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1"/>
  <workbookPr/>
  <mc:AlternateContent xmlns:mc="http://schemas.openxmlformats.org/markup-compatibility/2006">
    <mc:Choice Requires="x15">
      <x15ac:absPath xmlns:x15ac="http://schemas.microsoft.com/office/spreadsheetml/2010/11/ac" url="/Volumes/ASG_cofa1Working/ASG_Cofa_working/Sync/Cause of America/Library - CURRENT WORKING_/ASG Adds/TO BE ADDED TO LIBRARY/LindaCORA Responses/Primary 2022 CVR Files/"/>
    </mc:Choice>
  </mc:AlternateContent>
  <xr:revisionPtr revIDLastSave="0" documentId="8_{964454F9-5584-0B4D-AE15-E83F3453A433}" xr6:coauthVersionLast="47" xr6:coauthVersionMax="47" xr10:uidLastSave="{00000000-0000-0000-0000-000000000000}"/>
  <bookViews>
    <workbookView xWindow="17820" yWindow="5840" windowWidth="20860" windowHeight="11140" xr2:uid="{00000000-000D-0000-FFFF-FFFF00000000}"/>
  </bookViews>
  <sheets>
    <sheet name="CVR_Export_2022070710193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" l="1"/>
  <c r="B5" i="1"/>
  <c r="C5" i="1"/>
  <c r="D5" i="1"/>
  <c r="E5" i="1"/>
  <c r="A6" i="1"/>
  <c r="B6" i="1"/>
  <c r="C6" i="1"/>
  <c r="D6" i="1"/>
  <c r="E6" i="1"/>
  <c r="A7" i="1"/>
  <c r="B7" i="1"/>
  <c r="C7" i="1"/>
  <c r="D7" i="1"/>
  <c r="E7" i="1"/>
  <c r="A8" i="1"/>
  <c r="B8" i="1"/>
  <c r="C8" i="1"/>
  <c r="D8" i="1"/>
  <c r="E8" i="1"/>
  <c r="A9" i="1"/>
  <c r="B9" i="1"/>
  <c r="C9" i="1"/>
  <c r="D9" i="1"/>
  <c r="E9" i="1"/>
  <c r="A10" i="1"/>
  <c r="B10" i="1"/>
  <c r="C10" i="1"/>
  <c r="D10" i="1"/>
  <c r="E10" i="1"/>
  <c r="A11" i="1"/>
  <c r="B11" i="1"/>
  <c r="C11" i="1"/>
  <c r="D11" i="1"/>
  <c r="E11" i="1"/>
  <c r="A12" i="1"/>
  <c r="B12" i="1"/>
  <c r="C12" i="1"/>
  <c r="D12" i="1"/>
  <c r="E12" i="1"/>
  <c r="A13" i="1"/>
  <c r="B13" i="1"/>
  <c r="C13" i="1"/>
  <c r="D13" i="1"/>
  <c r="E13" i="1"/>
  <c r="A14" i="1"/>
  <c r="B14" i="1"/>
  <c r="C14" i="1"/>
  <c r="D14" i="1"/>
  <c r="E14" i="1"/>
  <c r="A15" i="1"/>
  <c r="B15" i="1"/>
  <c r="C15" i="1"/>
  <c r="D15" i="1"/>
  <c r="E15" i="1"/>
  <c r="A16" i="1"/>
  <c r="B16" i="1"/>
  <c r="C16" i="1"/>
  <c r="D16" i="1"/>
  <c r="E16" i="1"/>
  <c r="A17" i="1"/>
  <c r="B17" i="1"/>
  <c r="C17" i="1"/>
  <c r="D17" i="1"/>
  <c r="E17" i="1"/>
  <c r="A18" i="1"/>
  <c r="B18" i="1"/>
  <c r="C18" i="1"/>
  <c r="D18" i="1"/>
  <c r="E18" i="1"/>
  <c r="A19" i="1"/>
  <c r="B19" i="1"/>
  <c r="C19" i="1"/>
  <c r="D19" i="1"/>
  <c r="E19" i="1"/>
  <c r="A20" i="1"/>
  <c r="B20" i="1"/>
  <c r="C20" i="1"/>
  <c r="D20" i="1"/>
  <c r="E20" i="1"/>
  <c r="A21" i="1"/>
  <c r="B21" i="1"/>
  <c r="C21" i="1"/>
  <c r="D21" i="1"/>
  <c r="E21" i="1"/>
  <c r="A22" i="1"/>
  <c r="B22" i="1"/>
  <c r="C22" i="1"/>
  <c r="D22" i="1"/>
  <c r="E22" i="1"/>
  <c r="A23" i="1"/>
  <c r="B23" i="1"/>
  <c r="C23" i="1"/>
  <c r="D23" i="1"/>
  <c r="E23" i="1"/>
  <c r="A24" i="1"/>
  <c r="B24" i="1"/>
  <c r="C24" i="1"/>
  <c r="D24" i="1"/>
  <c r="E24" i="1"/>
  <c r="A25" i="1"/>
  <c r="B25" i="1"/>
  <c r="C25" i="1"/>
  <c r="D25" i="1"/>
  <c r="E25" i="1"/>
  <c r="A26" i="1"/>
  <c r="B26" i="1"/>
  <c r="C26" i="1"/>
  <c r="D26" i="1"/>
  <c r="E26" i="1"/>
  <c r="A27" i="1"/>
  <c r="B27" i="1"/>
  <c r="C27" i="1"/>
  <c r="D27" i="1"/>
  <c r="E27" i="1"/>
  <c r="A28" i="1"/>
  <c r="B28" i="1"/>
  <c r="C28" i="1"/>
  <c r="D28" i="1"/>
  <c r="E28" i="1"/>
  <c r="A29" i="1"/>
  <c r="B29" i="1"/>
  <c r="C29" i="1"/>
  <c r="D29" i="1"/>
  <c r="E29" i="1"/>
  <c r="A30" i="1"/>
  <c r="B30" i="1"/>
  <c r="C30" i="1"/>
  <c r="D30" i="1"/>
  <c r="E30" i="1"/>
  <c r="A31" i="1"/>
  <c r="B31" i="1"/>
  <c r="C31" i="1"/>
  <c r="D31" i="1"/>
  <c r="E31" i="1"/>
  <c r="A32" i="1"/>
  <c r="B32" i="1"/>
  <c r="C32" i="1"/>
  <c r="D32" i="1"/>
  <c r="E32" i="1"/>
  <c r="A33" i="1"/>
  <c r="B33" i="1"/>
  <c r="C33" i="1"/>
  <c r="D33" i="1"/>
  <c r="E33" i="1"/>
  <c r="A34" i="1"/>
  <c r="B34" i="1"/>
  <c r="C34" i="1"/>
  <c r="D34" i="1"/>
  <c r="E34" i="1"/>
  <c r="A35" i="1"/>
  <c r="B35" i="1"/>
  <c r="C35" i="1"/>
  <c r="D35" i="1"/>
  <c r="E35" i="1"/>
  <c r="A36" i="1"/>
  <c r="B36" i="1"/>
  <c r="C36" i="1"/>
  <c r="D36" i="1"/>
  <c r="E36" i="1"/>
  <c r="A37" i="1"/>
  <c r="B37" i="1"/>
  <c r="C37" i="1"/>
  <c r="D37" i="1"/>
  <c r="E37" i="1"/>
  <c r="A38" i="1"/>
  <c r="B38" i="1"/>
  <c r="C38" i="1"/>
  <c r="D38" i="1"/>
  <c r="E38" i="1"/>
  <c r="A39" i="1"/>
  <c r="B39" i="1"/>
  <c r="C39" i="1"/>
  <c r="D39" i="1"/>
  <c r="E39" i="1"/>
  <c r="A40" i="1"/>
  <c r="B40" i="1"/>
  <c r="C40" i="1"/>
  <c r="D40" i="1"/>
  <c r="E40" i="1"/>
  <c r="A41" i="1"/>
  <c r="B41" i="1"/>
  <c r="C41" i="1"/>
  <c r="D41" i="1"/>
  <c r="E41" i="1"/>
  <c r="A42" i="1"/>
  <c r="B42" i="1"/>
  <c r="C42" i="1"/>
  <c r="D42" i="1"/>
  <c r="E42" i="1"/>
  <c r="A43" i="1"/>
  <c r="B43" i="1"/>
  <c r="C43" i="1"/>
  <c r="D43" i="1"/>
  <c r="E43" i="1"/>
  <c r="A44" i="1"/>
  <c r="B44" i="1"/>
  <c r="C44" i="1"/>
  <c r="D44" i="1"/>
  <c r="E44" i="1"/>
  <c r="A45" i="1"/>
  <c r="B45" i="1"/>
  <c r="C45" i="1"/>
  <c r="D45" i="1"/>
  <c r="E45" i="1"/>
  <c r="A46" i="1"/>
  <c r="B46" i="1"/>
  <c r="C46" i="1"/>
  <c r="D46" i="1"/>
  <c r="E46" i="1"/>
  <c r="A47" i="1"/>
  <c r="B47" i="1"/>
  <c r="C47" i="1"/>
  <c r="D47" i="1"/>
  <c r="E47" i="1"/>
  <c r="A48" i="1"/>
  <c r="B48" i="1"/>
  <c r="C48" i="1"/>
  <c r="D48" i="1"/>
  <c r="E48" i="1"/>
  <c r="A49" i="1"/>
  <c r="B49" i="1"/>
  <c r="C49" i="1"/>
  <c r="D49" i="1"/>
  <c r="E49" i="1"/>
  <c r="A50" i="1"/>
  <c r="B50" i="1"/>
  <c r="C50" i="1"/>
  <c r="D50" i="1"/>
  <c r="E50" i="1"/>
  <c r="A51" i="1"/>
  <c r="B51" i="1"/>
  <c r="C51" i="1"/>
  <c r="D51" i="1"/>
  <c r="E51" i="1"/>
  <c r="A52" i="1"/>
  <c r="B52" i="1"/>
  <c r="C52" i="1"/>
  <c r="D52" i="1"/>
  <c r="E52" i="1"/>
  <c r="A53" i="1"/>
  <c r="B53" i="1"/>
  <c r="C53" i="1"/>
  <c r="D53" i="1"/>
  <c r="E53" i="1"/>
  <c r="A54" i="1"/>
  <c r="B54" i="1"/>
  <c r="C54" i="1"/>
  <c r="D54" i="1"/>
  <c r="E54" i="1"/>
  <c r="A55" i="1"/>
  <c r="B55" i="1"/>
  <c r="C55" i="1"/>
  <c r="D55" i="1"/>
  <c r="E55" i="1"/>
  <c r="A56" i="1"/>
  <c r="B56" i="1"/>
  <c r="C56" i="1"/>
  <c r="D56" i="1"/>
  <c r="E56" i="1"/>
  <c r="A57" i="1"/>
  <c r="B57" i="1"/>
  <c r="C57" i="1"/>
  <c r="D57" i="1"/>
  <c r="E57" i="1"/>
  <c r="A58" i="1"/>
  <c r="B58" i="1"/>
  <c r="C58" i="1"/>
  <c r="D58" i="1"/>
  <c r="E58" i="1"/>
  <c r="A59" i="1"/>
  <c r="B59" i="1"/>
  <c r="C59" i="1"/>
  <c r="D59" i="1"/>
  <c r="E59" i="1"/>
  <c r="A60" i="1"/>
  <c r="B60" i="1"/>
  <c r="C60" i="1"/>
  <c r="D60" i="1"/>
  <c r="E60" i="1"/>
  <c r="A61" i="1"/>
  <c r="B61" i="1"/>
  <c r="C61" i="1"/>
  <c r="D61" i="1"/>
  <c r="E61" i="1"/>
  <c r="A62" i="1"/>
  <c r="B62" i="1"/>
  <c r="C62" i="1"/>
  <c r="D62" i="1"/>
  <c r="E62" i="1"/>
  <c r="A63" i="1"/>
  <c r="B63" i="1"/>
  <c r="C63" i="1"/>
  <c r="D63" i="1"/>
  <c r="E63" i="1"/>
  <c r="A64" i="1"/>
  <c r="B64" i="1"/>
  <c r="C64" i="1"/>
  <c r="D64" i="1"/>
  <c r="E64" i="1"/>
  <c r="A65" i="1"/>
  <c r="B65" i="1"/>
  <c r="C65" i="1"/>
  <c r="D65" i="1"/>
  <c r="E65" i="1"/>
  <c r="A66" i="1"/>
  <c r="B66" i="1"/>
  <c r="C66" i="1"/>
  <c r="D66" i="1"/>
  <c r="E66" i="1"/>
  <c r="A67" i="1"/>
  <c r="B67" i="1"/>
  <c r="C67" i="1"/>
  <c r="D67" i="1"/>
  <c r="E67" i="1"/>
  <c r="A68" i="1"/>
  <c r="B68" i="1"/>
  <c r="C68" i="1"/>
  <c r="D68" i="1"/>
  <c r="E68" i="1"/>
  <c r="A69" i="1"/>
  <c r="B69" i="1"/>
  <c r="C69" i="1"/>
  <c r="D69" i="1"/>
  <c r="E69" i="1"/>
  <c r="A70" i="1"/>
  <c r="B70" i="1"/>
  <c r="C70" i="1"/>
  <c r="D70" i="1"/>
  <c r="E70" i="1"/>
  <c r="A71" i="1"/>
  <c r="B71" i="1"/>
  <c r="C71" i="1"/>
  <c r="D71" i="1"/>
  <c r="E71" i="1"/>
  <c r="A72" i="1"/>
  <c r="B72" i="1"/>
  <c r="C72" i="1"/>
  <c r="D72" i="1"/>
  <c r="E72" i="1"/>
  <c r="A73" i="1"/>
  <c r="B73" i="1"/>
  <c r="C73" i="1"/>
  <c r="D73" i="1"/>
  <c r="E73" i="1"/>
  <c r="A74" i="1"/>
  <c r="B74" i="1"/>
  <c r="C74" i="1"/>
  <c r="D74" i="1"/>
  <c r="E74" i="1"/>
  <c r="A75" i="1"/>
  <c r="B75" i="1"/>
  <c r="C75" i="1"/>
  <c r="D75" i="1"/>
  <c r="E75" i="1"/>
  <c r="A76" i="1"/>
  <c r="B76" i="1"/>
  <c r="C76" i="1"/>
  <c r="D76" i="1"/>
  <c r="E76" i="1"/>
  <c r="A77" i="1"/>
  <c r="B77" i="1"/>
  <c r="C77" i="1"/>
  <c r="D77" i="1"/>
  <c r="E77" i="1"/>
  <c r="A78" i="1"/>
  <c r="B78" i="1"/>
  <c r="C78" i="1"/>
  <c r="D78" i="1"/>
  <c r="E78" i="1"/>
  <c r="A79" i="1"/>
  <c r="B79" i="1"/>
  <c r="C79" i="1"/>
  <c r="D79" i="1"/>
  <c r="E79" i="1"/>
  <c r="A80" i="1"/>
  <c r="B80" i="1"/>
  <c r="C80" i="1"/>
  <c r="D80" i="1"/>
  <c r="E80" i="1"/>
  <c r="A81" i="1"/>
  <c r="B81" i="1"/>
  <c r="C81" i="1"/>
  <c r="D81" i="1"/>
  <c r="E81" i="1"/>
  <c r="A82" i="1"/>
  <c r="B82" i="1"/>
  <c r="C82" i="1"/>
  <c r="D82" i="1"/>
  <c r="E82" i="1"/>
  <c r="A83" i="1"/>
  <c r="B83" i="1"/>
  <c r="C83" i="1"/>
  <c r="D83" i="1"/>
  <c r="E83" i="1"/>
  <c r="A84" i="1"/>
  <c r="B84" i="1"/>
  <c r="C84" i="1"/>
  <c r="D84" i="1"/>
  <c r="E84" i="1"/>
  <c r="A85" i="1"/>
  <c r="B85" i="1"/>
  <c r="C85" i="1"/>
  <c r="D85" i="1"/>
  <c r="E85" i="1"/>
  <c r="A86" i="1"/>
  <c r="B86" i="1"/>
  <c r="C86" i="1"/>
  <c r="D86" i="1"/>
  <c r="E86" i="1"/>
  <c r="A87" i="1"/>
  <c r="B87" i="1"/>
  <c r="C87" i="1"/>
  <c r="D87" i="1"/>
  <c r="E87" i="1"/>
  <c r="A88" i="1"/>
  <c r="B88" i="1"/>
  <c r="C88" i="1"/>
  <c r="D88" i="1"/>
  <c r="E88" i="1"/>
  <c r="A89" i="1"/>
  <c r="B89" i="1"/>
  <c r="C89" i="1"/>
  <c r="D89" i="1"/>
  <c r="E89" i="1"/>
  <c r="A90" i="1"/>
  <c r="B90" i="1"/>
  <c r="C90" i="1"/>
  <c r="D90" i="1"/>
  <c r="E90" i="1"/>
  <c r="A91" i="1"/>
  <c r="B91" i="1"/>
  <c r="C91" i="1"/>
  <c r="D91" i="1"/>
  <c r="E91" i="1"/>
  <c r="A92" i="1"/>
  <c r="B92" i="1"/>
  <c r="C92" i="1"/>
  <c r="D92" i="1"/>
  <c r="E92" i="1"/>
  <c r="A93" i="1"/>
  <c r="B93" i="1"/>
  <c r="C93" i="1"/>
  <c r="D93" i="1"/>
  <c r="E93" i="1"/>
  <c r="A94" i="1"/>
  <c r="B94" i="1"/>
  <c r="C94" i="1"/>
  <c r="D94" i="1"/>
  <c r="E94" i="1"/>
  <c r="A95" i="1"/>
  <c r="B95" i="1"/>
  <c r="C95" i="1"/>
  <c r="D95" i="1"/>
  <c r="E95" i="1"/>
  <c r="A96" i="1"/>
  <c r="B96" i="1"/>
  <c r="C96" i="1"/>
  <c r="D96" i="1"/>
  <c r="E96" i="1"/>
  <c r="A97" i="1"/>
  <c r="B97" i="1"/>
  <c r="C97" i="1"/>
  <c r="D97" i="1"/>
  <c r="E97" i="1"/>
  <c r="A98" i="1"/>
  <c r="B98" i="1"/>
  <c r="C98" i="1"/>
  <c r="D98" i="1"/>
  <c r="E98" i="1"/>
  <c r="A99" i="1"/>
  <c r="B99" i="1"/>
  <c r="C99" i="1"/>
  <c r="D99" i="1"/>
  <c r="E99" i="1"/>
  <c r="A100" i="1"/>
  <c r="B100" i="1"/>
  <c r="C100" i="1"/>
  <c r="D100" i="1"/>
  <c r="E100" i="1"/>
  <c r="A101" i="1"/>
  <c r="B101" i="1"/>
  <c r="C101" i="1"/>
  <c r="D101" i="1"/>
  <c r="E101" i="1"/>
  <c r="A102" i="1"/>
  <c r="B102" i="1"/>
  <c r="C102" i="1"/>
  <c r="D102" i="1"/>
  <c r="E102" i="1"/>
  <c r="A103" i="1"/>
  <c r="B103" i="1"/>
  <c r="C103" i="1"/>
  <c r="D103" i="1"/>
  <c r="E103" i="1"/>
  <c r="A104" i="1"/>
  <c r="B104" i="1"/>
  <c r="C104" i="1"/>
  <c r="D104" i="1"/>
  <c r="E104" i="1"/>
  <c r="A105" i="1"/>
  <c r="B105" i="1"/>
  <c r="C105" i="1"/>
  <c r="D105" i="1"/>
  <c r="E105" i="1"/>
  <c r="A106" i="1"/>
  <c r="B106" i="1"/>
  <c r="C106" i="1"/>
  <c r="D106" i="1"/>
  <c r="E106" i="1"/>
  <c r="A107" i="1"/>
  <c r="B107" i="1"/>
  <c r="C107" i="1"/>
  <c r="D107" i="1"/>
  <c r="E107" i="1"/>
  <c r="A108" i="1"/>
  <c r="B108" i="1"/>
  <c r="C108" i="1"/>
  <c r="D108" i="1"/>
  <c r="E108" i="1"/>
  <c r="A109" i="1"/>
  <c r="B109" i="1"/>
  <c r="C109" i="1"/>
  <c r="D109" i="1"/>
  <c r="E109" i="1"/>
  <c r="A110" i="1"/>
  <c r="B110" i="1"/>
  <c r="C110" i="1"/>
  <c r="D110" i="1"/>
  <c r="E110" i="1"/>
  <c r="A111" i="1"/>
  <c r="B111" i="1"/>
  <c r="C111" i="1"/>
  <c r="D111" i="1"/>
  <c r="E111" i="1"/>
  <c r="A112" i="1"/>
  <c r="B112" i="1"/>
  <c r="C112" i="1"/>
  <c r="D112" i="1"/>
  <c r="E112" i="1"/>
  <c r="A113" i="1"/>
  <c r="B113" i="1"/>
  <c r="C113" i="1"/>
  <c r="D113" i="1"/>
  <c r="E113" i="1"/>
  <c r="A114" i="1"/>
  <c r="B114" i="1"/>
  <c r="C114" i="1"/>
  <c r="D114" i="1"/>
  <c r="E114" i="1"/>
  <c r="A115" i="1"/>
  <c r="B115" i="1"/>
  <c r="C115" i="1"/>
  <c r="D115" i="1"/>
  <c r="E115" i="1"/>
  <c r="A116" i="1"/>
  <c r="B116" i="1"/>
  <c r="C116" i="1"/>
  <c r="D116" i="1"/>
  <c r="E116" i="1"/>
  <c r="A117" i="1"/>
  <c r="B117" i="1"/>
  <c r="C117" i="1"/>
  <c r="D117" i="1"/>
  <c r="E117" i="1"/>
  <c r="A118" i="1"/>
  <c r="B118" i="1"/>
  <c r="C118" i="1"/>
  <c r="D118" i="1"/>
  <c r="E118" i="1"/>
  <c r="A119" i="1"/>
  <c r="B119" i="1"/>
  <c r="C119" i="1"/>
  <c r="D119" i="1"/>
  <c r="E119" i="1"/>
  <c r="A120" i="1"/>
  <c r="B120" i="1"/>
  <c r="C120" i="1"/>
  <c r="D120" i="1"/>
  <c r="E120" i="1"/>
  <c r="A121" i="1"/>
  <c r="B121" i="1"/>
  <c r="C121" i="1"/>
  <c r="D121" i="1"/>
  <c r="E121" i="1"/>
  <c r="A122" i="1"/>
  <c r="B122" i="1"/>
  <c r="C122" i="1"/>
  <c r="D122" i="1"/>
  <c r="E122" i="1"/>
  <c r="A123" i="1"/>
  <c r="B123" i="1"/>
  <c r="C123" i="1"/>
  <c r="D123" i="1"/>
  <c r="E123" i="1"/>
  <c r="A124" i="1"/>
  <c r="B124" i="1"/>
  <c r="C124" i="1"/>
  <c r="D124" i="1"/>
  <c r="E124" i="1"/>
  <c r="A125" i="1"/>
  <c r="B125" i="1"/>
  <c r="C125" i="1"/>
  <c r="D125" i="1"/>
  <c r="E125" i="1"/>
  <c r="A126" i="1"/>
  <c r="B126" i="1"/>
  <c r="C126" i="1"/>
  <c r="D126" i="1"/>
  <c r="E126" i="1"/>
  <c r="A127" i="1"/>
  <c r="B127" i="1"/>
  <c r="C127" i="1"/>
  <c r="D127" i="1"/>
  <c r="E127" i="1"/>
  <c r="A128" i="1"/>
  <c r="B128" i="1"/>
  <c r="C128" i="1"/>
  <c r="D128" i="1"/>
  <c r="E128" i="1"/>
  <c r="A129" i="1"/>
  <c r="B129" i="1"/>
  <c r="C129" i="1"/>
  <c r="D129" i="1"/>
  <c r="E129" i="1"/>
  <c r="A130" i="1"/>
  <c r="B130" i="1"/>
  <c r="C130" i="1"/>
  <c r="D130" i="1"/>
  <c r="E130" i="1"/>
  <c r="A131" i="1"/>
  <c r="B131" i="1"/>
  <c r="C131" i="1"/>
  <c r="D131" i="1"/>
  <c r="E131" i="1"/>
  <c r="A132" i="1"/>
  <c r="B132" i="1"/>
  <c r="C132" i="1"/>
  <c r="D132" i="1"/>
  <c r="E132" i="1"/>
  <c r="A133" i="1"/>
  <c r="B133" i="1"/>
  <c r="C133" i="1"/>
  <c r="D133" i="1"/>
  <c r="E133" i="1"/>
  <c r="A134" i="1"/>
  <c r="B134" i="1"/>
  <c r="C134" i="1"/>
  <c r="D134" i="1"/>
  <c r="E134" i="1"/>
  <c r="A135" i="1"/>
  <c r="B135" i="1"/>
  <c r="C135" i="1"/>
  <c r="D135" i="1"/>
  <c r="E135" i="1"/>
  <c r="A136" i="1"/>
  <c r="B136" i="1"/>
  <c r="C136" i="1"/>
  <c r="D136" i="1"/>
  <c r="E136" i="1"/>
  <c r="A137" i="1"/>
  <c r="B137" i="1"/>
  <c r="C137" i="1"/>
  <c r="D137" i="1"/>
  <c r="E137" i="1"/>
  <c r="A138" i="1"/>
  <c r="B138" i="1"/>
  <c r="C138" i="1"/>
  <c r="D138" i="1"/>
  <c r="E138" i="1"/>
  <c r="A139" i="1"/>
  <c r="B139" i="1"/>
  <c r="C139" i="1"/>
  <c r="D139" i="1"/>
  <c r="E139" i="1"/>
  <c r="A140" i="1"/>
  <c r="B140" i="1"/>
  <c r="C140" i="1"/>
  <c r="D140" i="1"/>
  <c r="E140" i="1"/>
  <c r="A141" i="1"/>
  <c r="B141" i="1"/>
  <c r="C141" i="1"/>
  <c r="D141" i="1"/>
  <c r="E141" i="1"/>
  <c r="A142" i="1"/>
  <c r="B142" i="1"/>
  <c r="C142" i="1"/>
  <c r="D142" i="1"/>
  <c r="E142" i="1"/>
  <c r="A143" i="1"/>
  <c r="B143" i="1"/>
  <c r="C143" i="1"/>
  <c r="D143" i="1"/>
  <c r="E143" i="1"/>
  <c r="A144" i="1"/>
  <c r="B144" i="1"/>
  <c r="C144" i="1"/>
  <c r="D144" i="1"/>
  <c r="E144" i="1"/>
  <c r="A145" i="1"/>
  <c r="B145" i="1"/>
  <c r="C145" i="1"/>
  <c r="D145" i="1"/>
  <c r="E145" i="1"/>
  <c r="A146" i="1"/>
  <c r="B146" i="1"/>
  <c r="C146" i="1"/>
  <c r="D146" i="1"/>
  <c r="E146" i="1"/>
  <c r="A147" i="1"/>
  <c r="B147" i="1"/>
  <c r="C147" i="1"/>
  <c r="D147" i="1"/>
  <c r="E147" i="1"/>
  <c r="A148" i="1"/>
  <c r="B148" i="1"/>
  <c r="C148" i="1"/>
  <c r="D148" i="1"/>
  <c r="E148" i="1"/>
  <c r="A149" i="1"/>
  <c r="B149" i="1"/>
  <c r="C149" i="1"/>
  <c r="D149" i="1"/>
  <c r="E149" i="1"/>
  <c r="A150" i="1"/>
  <c r="B150" i="1"/>
  <c r="C150" i="1"/>
  <c r="D150" i="1"/>
  <c r="E150" i="1"/>
  <c r="A151" i="1"/>
  <c r="B151" i="1"/>
  <c r="C151" i="1"/>
  <c r="D151" i="1"/>
  <c r="E151" i="1"/>
  <c r="A152" i="1"/>
  <c r="B152" i="1"/>
  <c r="C152" i="1"/>
  <c r="D152" i="1"/>
  <c r="E152" i="1"/>
  <c r="A153" i="1"/>
  <c r="B153" i="1"/>
  <c r="C153" i="1"/>
  <c r="D153" i="1"/>
  <c r="E153" i="1"/>
  <c r="A154" i="1"/>
  <c r="B154" i="1"/>
  <c r="C154" i="1"/>
  <c r="D154" i="1"/>
  <c r="E154" i="1"/>
  <c r="A155" i="1"/>
  <c r="B155" i="1"/>
  <c r="C155" i="1"/>
  <c r="D155" i="1"/>
  <c r="E155" i="1"/>
  <c r="A156" i="1"/>
  <c r="B156" i="1"/>
  <c r="C156" i="1"/>
  <c r="D156" i="1"/>
  <c r="E156" i="1"/>
  <c r="A157" i="1"/>
  <c r="B157" i="1"/>
  <c r="C157" i="1"/>
  <c r="D157" i="1"/>
  <c r="E157" i="1"/>
  <c r="A158" i="1"/>
  <c r="B158" i="1"/>
  <c r="C158" i="1"/>
  <c r="D158" i="1"/>
  <c r="E158" i="1"/>
  <c r="A159" i="1"/>
  <c r="B159" i="1"/>
  <c r="C159" i="1"/>
  <c r="D159" i="1"/>
  <c r="E159" i="1"/>
  <c r="A160" i="1"/>
  <c r="B160" i="1"/>
  <c r="C160" i="1"/>
  <c r="D160" i="1"/>
  <c r="E160" i="1"/>
  <c r="A161" i="1"/>
  <c r="B161" i="1"/>
  <c r="C161" i="1"/>
  <c r="D161" i="1"/>
  <c r="E161" i="1"/>
  <c r="A162" i="1"/>
  <c r="B162" i="1"/>
  <c r="C162" i="1"/>
  <c r="D162" i="1"/>
  <c r="E162" i="1"/>
  <c r="A163" i="1"/>
  <c r="B163" i="1"/>
  <c r="C163" i="1"/>
  <c r="D163" i="1"/>
  <c r="E163" i="1"/>
  <c r="A164" i="1"/>
  <c r="B164" i="1"/>
  <c r="C164" i="1"/>
  <c r="D164" i="1"/>
  <c r="E164" i="1"/>
  <c r="A165" i="1"/>
  <c r="B165" i="1"/>
  <c r="C165" i="1"/>
  <c r="D165" i="1"/>
  <c r="E165" i="1"/>
  <c r="A166" i="1"/>
  <c r="B166" i="1"/>
  <c r="C166" i="1"/>
  <c r="D166" i="1"/>
  <c r="E166" i="1"/>
  <c r="A167" i="1"/>
  <c r="B167" i="1"/>
  <c r="C167" i="1"/>
  <c r="D167" i="1"/>
  <c r="E167" i="1"/>
  <c r="A168" i="1"/>
  <c r="B168" i="1"/>
  <c r="C168" i="1"/>
  <c r="D168" i="1"/>
  <c r="E168" i="1"/>
  <c r="A169" i="1"/>
  <c r="B169" i="1"/>
  <c r="C169" i="1"/>
  <c r="D169" i="1"/>
  <c r="E169" i="1"/>
  <c r="A170" i="1"/>
  <c r="B170" i="1"/>
  <c r="C170" i="1"/>
  <c r="D170" i="1"/>
  <c r="E170" i="1"/>
  <c r="A171" i="1"/>
  <c r="B171" i="1"/>
  <c r="C171" i="1"/>
  <c r="D171" i="1"/>
  <c r="E171" i="1"/>
  <c r="A172" i="1"/>
  <c r="B172" i="1"/>
  <c r="C172" i="1"/>
  <c r="D172" i="1"/>
  <c r="E172" i="1"/>
  <c r="A173" i="1"/>
  <c r="B173" i="1"/>
  <c r="C173" i="1"/>
  <c r="D173" i="1"/>
  <c r="E173" i="1"/>
  <c r="A174" i="1"/>
  <c r="B174" i="1"/>
  <c r="C174" i="1"/>
  <c r="D174" i="1"/>
  <c r="E174" i="1"/>
  <c r="A175" i="1"/>
  <c r="B175" i="1"/>
  <c r="C175" i="1"/>
  <c r="D175" i="1"/>
  <c r="E175" i="1"/>
  <c r="A176" i="1"/>
  <c r="B176" i="1"/>
  <c r="C176" i="1"/>
  <c r="D176" i="1"/>
  <c r="E176" i="1"/>
  <c r="A177" i="1"/>
  <c r="B177" i="1"/>
  <c r="C177" i="1"/>
  <c r="D177" i="1"/>
  <c r="E177" i="1"/>
  <c r="A178" i="1"/>
  <c r="B178" i="1"/>
  <c r="C178" i="1"/>
  <c r="D178" i="1"/>
  <c r="E178" i="1"/>
  <c r="A179" i="1"/>
  <c r="B179" i="1"/>
  <c r="C179" i="1"/>
  <c r="D179" i="1"/>
  <c r="E179" i="1"/>
  <c r="A180" i="1"/>
  <c r="B180" i="1"/>
  <c r="C180" i="1"/>
  <c r="D180" i="1"/>
  <c r="E180" i="1"/>
  <c r="A181" i="1"/>
  <c r="B181" i="1"/>
  <c r="C181" i="1"/>
  <c r="D181" i="1"/>
  <c r="E181" i="1"/>
  <c r="A182" i="1"/>
  <c r="B182" i="1"/>
  <c r="C182" i="1"/>
  <c r="D182" i="1"/>
  <c r="E182" i="1"/>
  <c r="A183" i="1"/>
  <c r="B183" i="1"/>
  <c r="C183" i="1"/>
  <c r="D183" i="1"/>
  <c r="E183" i="1"/>
  <c r="A184" i="1"/>
  <c r="B184" i="1"/>
  <c r="C184" i="1"/>
  <c r="D184" i="1"/>
  <c r="E184" i="1"/>
  <c r="A185" i="1"/>
  <c r="B185" i="1"/>
  <c r="C185" i="1"/>
  <c r="D185" i="1"/>
  <c r="E185" i="1"/>
  <c r="A186" i="1"/>
  <c r="B186" i="1"/>
  <c r="C186" i="1"/>
  <c r="D186" i="1"/>
  <c r="E186" i="1"/>
  <c r="A187" i="1"/>
  <c r="B187" i="1"/>
  <c r="C187" i="1"/>
  <c r="D187" i="1"/>
  <c r="E187" i="1"/>
  <c r="A188" i="1"/>
  <c r="B188" i="1"/>
  <c r="C188" i="1"/>
  <c r="D188" i="1"/>
  <c r="E188" i="1"/>
  <c r="A189" i="1"/>
  <c r="B189" i="1"/>
  <c r="C189" i="1"/>
  <c r="D189" i="1"/>
  <c r="E189" i="1"/>
  <c r="A190" i="1"/>
  <c r="B190" i="1"/>
  <c r="C190" i="1"/>
  <c r="D190" i="1"/>
  <c r="E190" i="1"/>
  <c r="A191" i="1"/>
  <c r="B191" i="1"/>
  <c r="C191" i="1"/>
  <c r="D191" i="1"/>
  <c r="E191" i="1"/>
  <c r="A192" i="1"/>
  <c r="B192" i="1"/>
  <c r="C192" i="1"/>
  <c r="D192" i="1"/>
  <c r="E192" i="1"/>
  <c r="A193" i="1"/>
  <c r="B193" i="1"/>
  <c r="C193" i="1"/>
  <c r="D193" i="1"/>
  <c r="E193" i="1"/>
  <c r="A194" i="1"/>
  <c r="B194" i="1"/>
  <c r="C194" i="1"/>
  <c r="D194" i="1"/>
  <c r="E194" i="1"/>
  <c r="A195" i="1"/>
  <c r="B195" i="1"/>
  <c r="C195" i="1"/>
  <c r="D195" i="1"/>
  <c r="E195" i="1"/>
  <c r="A196" i="1"/>
  <c r="B196" i="1"/>
  <c r="C196" i="1"/>
  <c r="D196" i="1"/>
  <c r="E196" i="1"/>
  <c r="A197" i="1"/>
  <c r="B197" i="1"/>
  <c r="C197" i="1"/>
  <c r="D197" i="1"/>
  <c r="E197" i="1"/>
  <c r="A198" i="1"/>
  <c r="B198" i="1"/>
  <c r="C198" i="1"/>
  <c r="D198" i="1"/>
  <c r="E198" i="1"/>
  <c r="A199" i="1"/>
  <c r="B199" i="1"/>
  <c r="C199" i="1"/>
  <c r="D199" i="1"/>
  <c r="E199" i="1"/>
  <c r="A200" i="1"/>
  <c r="B200" i="1"/>
  <c r="C200" i="1"/>
  <c r="D200" i="1"/>
  <c r="E200" i="1"/>
  <c r="A201" i="1"/>
  <c r="B201" i="1"/>
  <c r="C201" i="1"/>
  <c r="D201" i="1"/>
  <c r="E201" i="1"/>
  <c r="A202" i="1"/>
  <c r="B202" i="1"/>
  <c r="C202" i="1"/>
  <c r="D202" i="1"/>
  <c r="E202" i="1"/>
  <c r="A203" i="1"/>
  <c r="B203" i="1"/>
  <c r="C203" i="1"/>
  <c r="D203" i="1"/>
  <c r="E203" i="1"/>
  <c r="A204" i="1"/>
  <c r="B204" i="1"/>
  <c r="C204" i="1"/>
  <c r="D204" i="1"/>
  <c r="E204" i="1"/>
  <c r="A205" i="1"/>
  <c r="B205" i="1"/>
  <c r="C205" i="1"/>
  <c r="D205" i="1"/>
  <c r="E205" i="1"/>
  <c r="A206" i="1"/>
  <c r="B206" i="1"/>
  <c r="C206" i="1"/>
  <c r="D206" i="1"/>
  <c r="E206" i="1"/>
  <c r="A207" i="1"/>
  <c r="B207" i="1"/>
  <c r="C207" i="1"/>
  <c r="D207" i="1"/>
  <c r="E207" i="1"/>
  <c r="A208" i="1"/>
  <c r="B208" i="1"/>
  <c r="C208" i="1"/>
  <c r="D208" i="1"/>
  <c r="E208" i="1"/>
  <c r="A209" i="1"/>
  <c r="B209" i="1"/>
  <c r="C209" i="1"/>
  <c r="D209" i="1"/>
  <c r="E209" i="1"/>
  <c r="A210" i="1"/>
  <c r="B210" i="1"/>
  <c r="C210" i="1"/>
  <c r="D210" i="1"/>
  <c r="E210" i="1"/>
  <c r="A211" i="1"/>
  <c r="B211" i="1"/>
  <c r="C211" i="1"/>
  <c r="D211" i="1"/>
  <c r="E211" i="1"/>
  <c r="A212" i="1"/>
  <c r="B212" i="1"/>
  <c r="C212" i="1"/>
  <c r="D212" i="1"/>
  <c r="E212" i="1"/>
  <c r="A213" i="1"/>
  <c r="B213" i="1"/>
  <c r="C213" i="1"/>
  <c r="D213" i="1"/>
  <c r="E213" i="1"/>
  <c r="A214" i="1"/>
  <c r="B214" i="1"/>
  <c r="C214" i="1"/>
  <c r="D214" i="1"/>
  <c r="E214" i="1"/>
  <c r="A215" i="1"/>
  <c r="B215" i="1"/>
  <c r="C215" i="1"/>
  <c r="D215" i="1"/>
  <c r="E215" i="1"/>
  <c r="A216" i="1"/>
  <c r="B216" i="1"/>
  <c r="C216" i="1"/>
  <c r="D216" i="1"/>
  <c r="E216" i="1"/>
  <c r="A217" i="1"/>
  <c r="B217" i="1"/>
  <c r="C217" i="1"/>
  <c r="D217" i="1"/>
  <c r="E217" i="1"/>
  <c r="A218" i="1"/>
  <c r="B218" i="1"/>
  <c r="C218" i="1"/>
  <c r="D218" i="1"/>
  <c r="E218" i="1"/>
  <c r="A219" i="1"/>
  <c r="B219" i="1"/>
  <c r="C219" i="1"/>
  <c r="D219" i="1"/>
  <c r="E219" i="1"/>
  <c r="A220" i="1"/>
  <c r="B220" i="1"/>
  <c r="C220" i="1"/>
  <c r="D220" i="1"/>
  <c r="E220" i="1"/>
  <c r="A221" i="1"/>
  <c r="B221" i="1"/>
  <c r="C221" i="1"/>
  <c r="D221" i="1"/>
  <c r="E221" i="1"/>
  <c r="A222" i="1"/>
  <c r="B222" i="1"/>
  <c r="C222" i="1"/>
  <c r="D222" i="1"/>
  <c r="E222" i="1"/>
  <c r="A223" i="1"/>
  <c r="B223" i="1"/>
  <c r="C223" i="1"/>
  <c r="D223" i="1"/>
  <c r="E223" i="1"/>
  <c r="A224" i="1"/>
  <c r="B224" i="1"/>
  <c r="C224" i="1"/>
  <c r="D224" i="1"/>
  <c r="E224" i="1"/>
  <c r="A225" i="1"/>
  <c r="B225" i="1"/>
  <c r="C225" i="1"/>
  <c r="D225" i="1"/>
  <c r="E225" i="1"/>
  <c r="A226" i="1"/>
  <c r="B226" i="1"/>
  <c r="C226" i="1"/>
  <c r="D226" i="1"/>
  <c r="E226" i="1"/>
  <c r="A227" i="1"/>
  <c r="B227" i="1"/>
  <c r="C227" i="1"/>
  <c r="D227" i="1"/>
  <c r="E227" i="1"/>
  <c r="A228" i="1"/>
  <c r="B228" i="1"/>
  <c r="C228" i="1"/>
  <c r="D228" i="1"/>
  <c r="E228" i="1"/>
  <c r="A229" i="1"/>
  <c r="B229" i="1"/>
  <c r="C229" i="1"/>
  <c r="D229" i="1"/>
  <c r="E229" i="1"/>
  <c r="A230" i="1"/>
  <c r="B230" i="1"/>
  <c r="C230" i="1"/>
  <c r="D230" i="1"/>
  <c r="E230" i="1"/>
  <c r="A231" i="1"/>
  <c r="B231" i="1"/>
  <c r="C231" i="1"/>
  <c r="D231" i="1"/>
  <c r="E231" i="1"/>
  <c r="A232" i="1"/>
  <c r="B232" i="1"/>
  <c r="C232" i="1"/>
  <c r="D232" i="1"/>
  <c r="E232" i="1"/>
  <c r="A233" i="1"/>
  <c r="B233" i="1"/>
  <c r="C233" i="1"/>
  <c r="D233" i="1"/>
  <c r="E233" i="1"/>
  <c r="A234" i="1"/>
  <c r="B234" i="1"/>
  <c r="C234" i="1"/>
  <c r="D234" i="1"/>
  <c r="E234" i="1"/>
  <c r="A235" i="1"/>
  <c r="B235" i="1"/>
  <c r="C235" i="1"/>
  <c r="D235" i="1"/>
  <c r="E235" i="1"/>
  <c r="A236" i="1"/>
  <c r="B236" i="1"/>
  <c r="C236" i="1"/>
  <c r="D236" i="1"/>
  <c r="E236" i="1"/>
  <c r="A237" i="1"/>
  <c r="B237" i="1"/>
  <c r="C237" i="1"/>
  <c r="D237" i="1"/>
  <c r="E237" i="1"/>
  <c r="A238" i="1"/>
  <c r="B238" i="1"/>
  <c r="C238" i="1"/>
  <c r="D238" i="1"/>
  <c r="E238" i="1"/>
  <c r="A239" i="1"/>
  <c r="B239" i="1"/>
  <c r="C239" i="1"/>
  <c r="D239" i="1"/>
  <c r="E239" i="1"/>
  <c r="A240" i="1"/>
  <c r="B240" i="1"/>
  <c r="C240" i="1"/>
  <c r="D240" i="1"/>
  <c r="E240" i="1"/>
  <c r="A241" i="1"/>
  <c r="B241" i="1"/>
  <c r="C241" i="1"/>
  <c r="D241" i="1"/>
  <c r="E241" i="1"/>
  <c r="A242" i="1"/>
  <c r="B242" i="1"/>
  <c r="C242" i="1"/>
  <c r="D242" i="1"/>
  <c r="E242" i="1"/>
  <c r="A243" i="1"/>
  <c r="B243" i="1"/>
  <c r="C243" i="1"/>
  <c r="D243" i="1"/>
  <c r="E243" i="1"/>
  <c r="A244" i="1"/>
  <c r="B244" i="1"/>
  <c r="C244" i="1"/>
  <c r="D244" i="1"/>
  <c r="E244" i="1"/>
  <c r="A245" i="1"/>
  <c r="B245" i="1"/>
  <c r="C245" i="1"/>
  <c r="D245" i="1"/>
  <c r="E245" i="1"/>
  <c r="A246" i="1"/>
  <c r="B246" i="1"/>
  <c r="C246" i="1"/>
  <c r="D246" i="1"/>
  <c r="E246" i="1"/>
  <c r="A247" i="1"/>
  <c r="B247" i="1"/>
  <c r="C247" i="1"/>
  <c r="D247" i="1"/>
  <c r="E247" i="1"/>
  <c r="A248" i="1"/>
  <c r="B248" i="1"/>
  <c r="C248" i="1"/>
  <c r="D248" i="1"/>
  <c r="E248" i="1"/>
  <c r="A249" i="1"/>
  <c r="B249" i="1"/>
  <c r="C249" i="1"/>
  <c r="D249" i="1"/>
  <c r="E249" i="1"/>
  <c r="A250" i="1"/>
  <c r="B250" i="1"/>
  <c r="C250" i="1"/>
  <c r="D250" i="1"/>
  <c r="E250" i="1"/>
  <c r="A251" i="1"/>
  <c r="B251" i="1"/>
  <c r="C251" i="1"/>
  <c r="D251" i="1"/>
  <c r="E251" i="1"/>
  <c r="A252" i="1"/>
  <c r="B252" i="1"/>
  <c r="C252" i="1"/>
  <c r="D252" i="1"/>
  <c r="E252" i="1"/>
  <c r="A253" i="1"/>
  <c r="B253" i="1"/>
  <c r="C253" i="1"/>
  <c r="D253" i="1"/>
  <c r="E253" i="1"/>
  <c r="A254" i="1"/>
  <c r="B254" i="1"/>
  <c r="C254" i="1"/>
  <c r="D254" i="1"/>
  <c r="E254" i="1"/>
  <c r="A255" i="1"/>
  <c r="B255" i="1"/>
  <c r="C255" i="1"/>
  <c r="D255" i="1"/>
  <c r="E255" i="1"/>
  <c r="A256" i="1"/>
  <c r="B256" i="1"/>
  <c r="C256" i="1"/>
  <c r="D256" i="1"/>
  <c r="E256" i="1"/>
  <c r="A257" i="1"/>
  <c r="B257" i="1"/>
  <c r="C257" i="1"/>
  <c r="D257" i="1"/>
  <c r="E257" i="1"/>
  <c r="A258" i="1"/>
  <c r="B258" i="1"/>
  <c r="C258" i="1"/>
  <c r="D258" i="1"/>
  <c r="E258" i="1"/>
  <c r="A259" i="1"/>
  <c r="B259" i="1"/>
  <c r="C259" i="1"/>
  <c r="D259" i="1"/>
  <c r="E259" i="1"/>
  <c r="A260" i="1"/>
  <c r="B260" i="1"/>
  <c r="C260" i="1"/>
  <c r="D260" i="1"/>
  <c r="E260" i="1"/>
  <c r="A261" i="1"/>
  <c r="B261" i="1"/>
  <c r="C261" i="1"/>
  <c r="D261" i="1"/>
  <c r="E261" i="1"/>
  <c r="A262" i="1"/>
  <c r="B262" i="1"/>
  <c r="C262" i="1"/>
  <c r="D262" i="1"/>
  <c r="E262" i="1"/>
  <c r="A263" i="1"/>
  <c r="B263" i="1"/>
  <c r="C263" i="1"/>
  <c r="D263" i="1"/>
  <c r="E263" i="1"/>
  <c r="A264" i="1"/>
  <c r="B264" i="1"/>
  <c r="C264" i="1"/>
  <c r="D264" i="1"/>
  <c r="E264" i="1"/>
  <c r="A265" i="1"/>
  <c r="B265" i="1"/>
  <c r="C265" i="1"/>
  <c r="D265" i="1"/>
  <c r="E265" i="1"/>
  <c r="A266" i="1"/>
  <c r="B266" i="1"/>
  <c r="C266" i="1"/>
  <c r="D266" i="1"/>
  <c r="E266" i="1"/>
  <c r="A267" i="1"/>
  <c r="B267" i="1"/>
  <c r="C267" i="1"/>
  <c r="D267" i="1"/>
  <c r="E267" i="1"/>
  <c r="A268" i="1"/>
  <c r="B268" i="1"/>
  <c r="C268" i="1"/>
  <c r="D268" i="1"/>
  <c r="E268" i="1"/>
  <c r="A269" i="1"/>
  <c r="B269" i="1"/>
  <c r="C269" i="1"/>
  <c r="D269" i="1"/>
  <c r="E269" i="1"/>
  <c r="A270" i="1"/>
  <c r="B270" i="1"/>
  <c r="C270" i="1"/>
  <c r="D270" i="1"/>
  <c r="E270" i="1"/>
  <c r="A271" i="1"/>
  <c r="B271" i="1"/>
  <c r="C271" i="1"/>
  <c r="D271" i="1"/>
  <c r="E271" i="1"/>
  <c r="A272" i="1"/>
  <c r="B272" i="1"/>
  <c r="C272" i="1"/>
  <c r="D272" i="1"/>
  <c r="E272" i="1"/>
  <c r="A273" i="1"/>
  <c r="B273" i="1"/>
  <c r="C273" i="1"/>
  <c r="D273" i="1"/>
  <c r="E273" i="1"/>
  <c r="A274" i="1"/>
  <c r="B274" i="1"/>
  <c r="C274" i="1"/>
  <c r="D274" i="1"/>
  <c r="E274" i="1"/>
  <c r="A275" i="1"/>
  <c r="B275" i="1"/>
  <c r="C275" i="1"/>
  <c r="D275" i="1"/>
  <c r="E275" i="1"/>
  <c r="A276" i="1"/>
  <c r="B276" i="1"/>
  <c r="C276" i="1"/>
  <c r="D276" i="1"/>
  <c r="E276" i="1"/>
  <c r="A277" i="1"/>
  <c r="B277" i="1"/>
  <c r="C277" i="1"/>
  <c r="D277" i="1"/>
  <c r="E277" i="1"/>
  <c r="A278" i="1"/>
  <c r="B278" i="1"/>
  <c r="C278" i="1"/>
  <c r="D278" i="1"/>
  <c r="E278" i="1"/>
  <c r="A279" i="1"/>
  <c r="B279" i="1"/>
  <c r="C279" i="1"/>
  <c r="D279" i="1"/>
  <c r="E279" i="1"/>
  <c r="A280" i="1"/>
  <c r="B280" i="1"/>
  <c r="C280" i="1"/>
  <c r="D280" i="1"/>
  <c r="E280" i="1"/>
  <c r="A281" i="1"/>
  <c r="B281" i="1"/>
  <c r="C281" i="1"/>
  <c r="D281" i="1"/>
  <c r="E281" i="1"/>
  <c r="A282" i="1"/>
  <c r="B282" i="1"/>
  <c r="C282" i="1"/>
  <c r="D282" i="1"/>
  <c r="E282" i="1"/>
  <c r="A283" i="1"/>
  <c r="B283" i="1"/>
  <c r="C283" i="1"/>
  <c r="D283" i="1"/>
  <c r="E283" i="1"/>
  <c r="A284" i="1"/>
  <c r="B284" i="1"/>
  <c r="C284" i="1"/>
  <c r="D284" i="1"/>
  <c r="E284" i="1"/>
  <c r="A285" i="1"/>
  <c r="B285" i="1"/>
  <c r="C285" i="1"/>
  <c r="D285" i="1"/>
  <c r="E285" i="1"/>
  <c r="A286" i="1"/>
  <c r="B286" i="1"/>
  <c r="C286" i="1"/>
  <c r="D286" i="1"/>
  <c r="E286" i="1"/>
  <c r="A287" i="1"/>
  <c r="B287" i="1"/>
  <c r="C287" i="1"/>
  <c r="D287" i="1"/>
  <c r="E287" i="1"/>
  <c r="A288" i="1"/>
  <c r="B288" i="1"/>
  <c r="C288" i="1"/>
  <c r="D288" i="1"/>
  <c r="E288" i="1"/>
  <c r="A289" i="1"/>
  <c r="B289" i="1"/>
  <c r="C289" i="1"/>
  <c r="D289" i="1"/>
  <c r="E289" i="1"/>
  <c r="A290" i="1"/>
  <c r="B290" i="1"/>
  <c r="C290" i="1"/>
  <c r="D290" i="1"/>
  <c r="E290" i="1"/>
  <c r="A291" i="1"/>
  <c r="B291" i="1"/>
  <c r="C291" i="1"/>
  <c r="D291" i="1"/>
  <c r="E291" i="1"/>
  <c r="A292" i="1"/>
  <c r="B292" i="1"/>
  <c r="C292" i="1"/>
  <c r="D292" i="1"/>
  <c r="E292" i="1"/>
  <c r="A293" i="1"/>
  <c r="B293" i="1"/>
  <c r="C293" i="1"/>
  <c r="D293" i="1"/>
  <c r="E293" i="1"/>
  <c r="A294" i="1"/>
  <c r="B294" i="1"/>
  <c r="C294" i="1"/>
  <c r="D294" i="1"/>
  <c r="E294" i="1"/>
  <c r="A295" i="1"/>
  <c r="B295" i="1"/>
  <c r="C295" i="1"/>
  <c r="D295" i="1"/>
  <c r="E295" i="1"/>
  <c r="A296" i="1"/>
  <c r="B296" i="1"/>
  <c r="C296" i="1"/>
  <c r="D296" i="1"/>
  <c r="E296" i="1"/>
  <c r="A297" i="1"/>
  <c r="B297" i="1"/>
  <c r="C297" i="1"/>
  <c r="D297" i="1"/>
  <c r="E297" i="1"/>
  <c r="A298" i="1"/>
  <c r="B298" i="1"/>
  <c r="C298" i="1"/>
  <c r="D298" i="1"/>
  <c r="E298" i="1"/>
  <c r="A299" i="1"/>
  <c r="B299" i="1"/>
  <c r="C299" i="1"/>
  <c r="D299" i="1"/>
  <c r="E299" i="1"/>
  <c r="A300" i="1"/>
  <c r="B300" i="1"/>
  <c r="C300" i="1"/>
  <c r="D300" i="1"/>
  <c r="E300" i="1"/>
  <c r="A301" i="1"/>
  <c r="B301" i="1"/>
  <c r="C301" i="1"/>
  <c r="D301" i="1"/>
  <c r="E301" i="1"/>
  <c r="A302" i="1"/>
  <c r="B302" i="1"/>
  <c r="C302" i="1"/>
  <c r="D302" i="1"/>
  <c r="E302" i="1"/>
  <c r="A303" i="1"/>
  <c r="B303" i="1"/>
  <c r="C303" i="1"/>
  <c r="D303" i="1"/>
  <c r="E303" i="1"/>
  <c r="A304" i="1"/>
  <c r="B304" i="1"/>
  <c r="C304" i="1"/>
  <c r="D304" i="1"/>
  <c r="E304" i="1"/>
  <c r="A305" i="1"/>
  <c r="B305" i="1"/>
  <c r="C305" i="1"/>
  <c r="D305" i="1"/>
  <c r="E305" i="1"/>
  <c r="A306" i="1"/>
  <c r="B306" i="1"/>
  <c r="C306" i="1"/>
  <c r="D306" i="1"/>
  <c r="E306" i="1"/>
  <c r="A307" i="1"/>
  <c r="B307" i="1"/>
  <c r="C307" i="1"/>
  <c r="D307" i="1"/>
  <c r="E307" i="1"/>
  <c r="A308" i="1"/>
  <c r="B308" i="1"/>
  <c r="C308" i="1"/>
  <c r="D308" i="1"/>
  <c r="E308" i="1"/>
  <c r="A309" i="1"/>
  <c r="B309" i="1"/>
  <c r="C309" i="1"/>
  <c r="D309" i="1"/>
  <c r="E309" i="1"/>
  <c r="A310" i="1"/>
  <c r="B310" i="1"/>
  <c r="C310" i="1"/>
  <c r="D310" i="1"/>
  <c r="E310" i="1"/>
  <c r="A311" i="1"/>
  <c r="B311" i="1"/>
  <c r="C311" i="1"/>
  <c r="D311" i="1"/>
  <c r="E311" i="1"/>
  <c r="A312" i="1"/>
  <c r="B312" i="1"/>
  <c r="C312" i="1"/>
  <c r="D312" i="1"/>
  <c r="E312" i="1"/>
  <c r="A313" i="1"/>
  <c r="B313" i="1"/>
  <c r="C313" i="1"/>
  <c r="D313" i="1"/>
  <c r="E313" i="1"/>
  <c r="A314" i="1"/>
  <c r="B314" i="1"/>
  <c r="C314" i="1"/>
  <c r="D314" i="1"/>
  <c r="E314" i="1"/>
  <c r="A315" i="1"/>
  <c r="B315" i="1"/>
  <c r="C315" i="1"/>
  <c r="D315" i="1"/>
  <c r="E315" i="1"/>
  <c r="A316" i="1"/>
  <c r="B316" i="1"/>
  <c r="C316" i="1"/>
  <c r="D316" i="1"/>
  <c r="E316" i="1"/>
  <c r="A317" i="1"/>
  <c r="B317" i="1"/>
  <c r="C317" i="1"/>
  <c r="D317" i="1"/>
  <c r="E317" i="1"/>
  <c r="A318" i="1"/>
  <c r="B318" i="1"/>
  <c r="C318" i="1"/>
  <c r="D318" i="1"/>
  <c r="E318" i="1"/>
  <c r="A319" i="1"/>
  <c r="B319" i="1"/>
  <c r="C319" i="1"/>
  <c r="D319" i="1"/>
  <c r="E319" i="1"/>
  <c r="A320" i="1"/>
  <c r="B320" i="1"/>
  <c r="C320" i="1"/>
  <c r="D320" i="1"/>
  <c r="E320" i="1"/>
  <c r="A321" i="1"/>
  <c r="B321" i="1"/>
  <c r="C321" i="1"/>
  <c r="D321" i="1"/>
  <c r="E321" i="1"/>
  <c r="A322" i="1"/>
  <c r="B322" i="1"/>
  <c r="C322" i="1"/>
  <c r="D322" i="1"/>
  <c r="E322" i="1"/>
  <c r="A323" i="1"/>
  <c r="B323" i="1"/>
  <c r="C323" i="1"/>
  <c r="D323" i="1"/>
  <c r="E323" i="1"/>
  <c r="A324" i="1"/>
  <c r="B324" i="1"/>
  <c r="C324" i="1"/>
  <c r="D324" i="1"/>
  <c r="E324" i="1"/>
  <c r="A325" i="1"/>
  <c r="B325" i="1"/>
  <c r="C325" i="1"/>
  <c r="D325" i="1"/>
  <c r="E325" i="1"/>
  <c r="A326" i="1"/>
  <c r="B326" i="1"/>
  <c r="C326" i="1"/>
  <c r="D326" i="1"/>
  <c r="E326" i="1"/>
  <c r="A327" i="1"/>
  <c r="B327" i="1"/>
  <c r="C327" i="1"/>
  <c r="D327" i="1"/>
  <c r="E327" i="1"/>
  <c r="A328" i="1"/>
  <c r="B328" i="1"/>
  <c r="C328" i="1"/>
  <c r="D328" i="1"/>
  <c r="E328" i="1"/>
  <c r="A329" i="1"/>
  <c r="B329" i="1"/>
  <c r="C329" i="1"/>
  <c r="D329" i="1"/>
  <c r="E329" i="1"/>
  <c r="A330" i="1"/>
  <c r="B330" i="1"/>
  <c r="C330" i="1"/>
  <c r="D330" i="1"/>
  <c r="E330" i="1"/>
  <c r="A331" i="1"/>
  <c r="B331" i="1"/>
  <c r="C331" i="1"/>
  <c r="D331" i="1"/>
  <c r="E331" i="1"/>
  <c r="A332" i="1"/>
  <c r="B332" i="1"/>
  <c r="C332" i="1"/>
  <c r="D332" i="1"/>
  <c r="E332" i="1"/>
  <c r="A333" i="1"/>
  <c r="B333" i="1"/>
  <c r="C333" i="1"/>
  <c r="D333" i="1"/>
  <c r="E333" i="1"/>
  <c r="A334" i="1"/>
  <c r="B334" i="1"/>
  <c r="C334" i="1"/>
  <c r="D334" i="1"/>
  <c r="E334" i="1"/>
  <c r="A335" i="1"/>
  <c r="B335" i="1"/>
  <c r="C335" i="1"/>
  <c r="D335" i="1"/>
  <c r="E335" i="1"/>
  <c r="A336" i="1"/>
  <c r="B336" i="1"/>
  <c r="C336" i="1"/>
  <c r="D336" i="1"/>
  <c r="E336" i="1"/>
  <c r="A337" i="1"/>
  <c r="B337" i="1"/>
  <c r="C337" i="1"/>
  <c r="D337" i="1"/>
  <c r="E337" i="1"/>
  <c r="A338" i="1"/>
  <c r="B338" i="1"/>
  <c r="C338" i="1"/>
  <c r="D338" i="1"/>
  <c r="E338" i="1"/>
  <c r="A339" i="1"/>
  <c r="B339" i="1"/>
  <c r="C339" i="1"/>
  <c r="D339" i="1"/>
  <c r="E339" i="1"/>
  <c r="A340" i="1"/>
  <c r="B340" i="1"/>
  <c r="C340" i="1"/>
  <c r="D340" i="1"/>
  <c r="E340" i="1"/>
  <c r="A341" i="1"/>
  <c r="B341" i="1"/>
  <c r="C341" i="1"/>
  <c r="D341" i="1"/>
  <c r="E341" i="1"/>
  <c r="A342" i="1"/>
  <c r="B342" i="1"/>
  <c r="C342" i="1"/>
  <c r="D342" i="1"/>
  <c r="E342" i="1"/>
  <c r="A343" i="1"/>
  <c r="B343" i="1"/>
  <c r="C343" i="1"/>
  <c r="D343" i="1"/>
  <c r="E343" i="1"/>
  <c r="A344" i="1"/>
  <c r="B344" i="1"/>
  <c r="C344" i="1"/>
  <c r="D344" i="1"/>
  <c r="E344" i="1"/>
  <c r="A345" i="1"/>
  <c r="B345" i="1"/>
  <c r="C345" i="1"/>
  <c r="D345" i="1"/>
  <c r="E345" i="1"/>
  <c r="A346" i="1"/>
  <c r="B346" i="1"/>
  <c r="C346" i="1"/>
  <c r="D346" i="1"/>
  <c r="E346" i="1"/>
  <c r="A347" i="1"/>
  <c r="B347" i="1"/>
  <c r="C347" i="1"/>
  <c r="D347" i="1"/>
  <c r="E347" i="1"/>
  <c r="A348" i="1"/>
  <c r="B348" i="1"/>
  <c r="C348" i="1"/>
  <c r="D348" i="1"/>
  <c r="E348" i="1"/>
  <c r="A349" i="1"/>
  <c r="B349" i="1"/>
  <c r="C349" i="1"/>
  <c r="D349" i="1"/>
  <c r="E349" i="1"/>
  <c r="A350" i="1"/>
  <c r="B350" i="1"/>
  <c r="C350" i="1"/>
  <c r="D350" i="1"/>
  <c r="E350" i="1"/>
  <c r="A351" i="1"/>
  <c r="B351" i="1"/>
  <c r="C351" i="1"/>
  <c r="D351" i="1"/>
  <c r="E351" i="1"/>
  <c r="A352" i="1"/>
  <c r="B352" i="1"/>
  <c r="C352" i="1"/>
  <c r="D352" i="1"/>
  <c r="E352" i="1"/>
  <c r="A353" i="1"/>
  <c r="B353" i="1"/>
  <c r="C353" i="1"/>
  <c r="D353" i="1"/>
  <c r="E353" i="1"/>
  <c r="A354" i="1"/>
  <c r="B354" i="1"/>
  <c r="C354" i="1"/>
  <c r="D354" i="1"/>
  <c r="E354" i="1"/>
  <c r="A355" i="1"/>
  <c r="B355" i="1"/>
  <c r="C355" i="1"/>
  <c r="D355" i="1"/>
  <c r="E355" i="1"/>
  <c r="A356" i="1"/>
  <c r="B356" i="1"/>
  <c r="C356" i="1"/>
  <c r="D356" i="1"/>
  <c r="E356" i="1"/>
  <c r="A357" i="1"/>
  <c r="B357" i="1"/>
  <c r="C357" i="1"/>
  <c r="D357" i="1"/>
  <c r="E357" i="1"/>
  <c r="A358" i="1"/>
  <c r="B358" i="1"/>
  <c r="C358" i="1"/>
  <c r="D358" i="1"/>
  <c r="E358" i="1"/>
  <c r="A359" i="1"/>
  <c r="B359" i="1"/>
  <c r="C359" i="1"/>
  <c r="D359" i="1"/>
  <c r="E359" i="1"/>
  <c r="A360" i="1"/>
  <c r="B360" i="1"/>
  <c r="C360" i="1"/>
  <c r="D360" i="1"/>
  <c r="E360" i="1"/>
  <c r="A361" i="1"/>
  <c r="B361" i="1"/>
  <c r="C361" i="1"/>
  <c r="D361" i="1"/>
  <c r="E361" i="1"/>
  <c r="A362" i="1"/>
  <c r="B362" i="1"/>
  <c r="C362" i="1"/>
  <c r="D362" i="1"/>
  <c r="E362" i="1"/>
  <c r="A363" i="1"/>
  <c r="B363" i="1"/>
  <c r="C363" i="1"/>
  <c r="D363" i="1"/>
  <c r="E363" i="1"/>
  <c r="A364" i="1"/>
  <c r="B364" i="1"/>
  <c r="C364" i="1"/>
  <c r="D364" i="1"/>
  <c r="E364" i="1"/>
  <c r="A365" i="1"/>
  <c r="B365" i="1"/>
  <c r="C365" i="1"/>
  <c r="D365" i="1"/>
  <c r="E365" i="1"/>
  <c r="A366" i="1"/>
  <c r="B366" i="1"/>
  <c r="C366" i="1"/>
  <c r="D366" i="1"/>
  <c r="E366" i="1"/>
  <c r="A367" i="1"/>
  <c r="B367" i="1"/>
  <c r="C367" i="1"/>
  <c r="D367" i="1"/>
  <c r="E367" i="1"/>
  <c r="A368" i="1"/>
  <c r="B368" i="1"/>
  <c r="C368" i="1"/>
  <c r="D368" i="1"/>
  <c r="E368" i="1"/>
  <c r="A369" i="1"/>
  <c r="B369" i="1"/>
  <c r="C369" i="1"/>
  <c r="D369" i="1"/>
  <c r="E369" i="1"/>
  <c r="A370" i="1"/>
  <c r="B370" i="1"/>
  <c r="C370" i="1"/>
  <c r="D370" i="1"/>
  <c r="E370" i="1"/>
  <c r="A371" i="1"/>
  <c r="B371" i="1"/>
  <c r="C371" i="1"/>
  <c r="D371" i="1"/>
  <c r="E371" i="1"/>
  <c r="A372" i="1"/>
  <c r="B372" i="1"/>
  <c r="C372" i="1"/>
  <c r="D372" i="1"/>
  <c r="E372" i="1"/>
  <c r="A373" i="1"/>
  <c r="B373" i="1"/>
  <c r="C373" i="1"/>
  <c r="D373" i="1"/>
  <c r="E373" i="1"/>
  <c r="A374" i="1"/>
  <c r="B374" i="1"/>
  <c r="C374" i="1"/>
  <c r="D374" i="1"/>
  <c r="E374" i="1"/>
  <c r="A375" i="1"/>
  <c r="B375" i="1"/>
  <c r="C375" i="1"/>
  <c r="D375" i="1"/>
  <c r="E375" i="1"/>
  <c r="A376" i="1"/>
  <c r="B376" i="1"/>
  <c r="C376" i="1"/>
  <c r="D376" i="1"/>
  <c r="E376" i="1"/>
  <c r="A377" i="1"/>
  <c r="B377" i="1"/>
  <c r="C377" i="1"/>
  <c r="D377" i="1"/>
  <c r="E377" i="1"/>
  <c r="A378" i="1"/>
  <c r="B378" i="1"/>
  <c r="C378" i="1"/>
  <c r="D378" i="1"/>
  <c r="E378" i="1"/>
  <c r="A379" i="1"/>
  <c r="B379" i="1"/>
  <c r="C379" i="1"/>
  <c r="D379" i="1"/>
  <c r="E379" i="1"/>
  <c r="A380" i="1"/>
  <c r="B380" i="1"/>
  <c r="C380" i="1"/>
  <c r="D380" i="1"/>
  <c r="E380" i="1"/>
  <c r="A381" i="1"/>
  <c r="B381" i="1"/>
  <c r="C381" i="1"/>
  <c r="D381" i="1"/>
  <c r="E381" i="1"/>
  <c r="A382" i="1"/>
  <c r="B382" i="1"/>
  <c r="C382" i="1"/>
  <c r="D382" i="1"/>
  <c r="E382" i="1"/>
  <c r="A383" i="1"/>
  <c r="B383" i="1"/>
  <c r="C383" i="1"/>
  <c r="D383" i="1"/>
  <c r="E383" i="1"/>
  <c r="A384" i="1"/>
  <c r="B384" i="1"/>
  <c r="C384" i="1"/>
  <c r="D384" i="1"/>
  <c r="E384" i="1"/>
  <c r="A385" i="1"/>
  <c r="B385" i="1"/>
  <c r="C385" i="1"/>
  <c r="D385" i="1"/>
  <c r="E385" i="1"/>
  <c r="A386" i="1"/>
  <c r="B386" i="1"/>
  <c r="C386" i="1"/>
  <c r="D386" i="1"/>
  <c r="E386" i="1"/>
  <c r="A387" i="1"/>
  <c r="B387" i="1"/>
  <c r="C387" i="1"/>
  <c r="D387" i="1"/>
  <c r="E387" i="1"/>
  <c r="A388" i="1"/>
  <c r="B388" i="1"/>
  <c r="C388" i="1"/>
  <c r="D388" i="1"/>
  <c r="E388" i="1"/>
  <c r="A389" i="1"/>
  <c r="B389" i="1"/>
  <c r="C389" i="1"/>
  <c r="D389" i="1"/>
  <c r="E389" i="1"/>
  <c r="A390" i="1"/>
  <c r="B390" i="1"/>
  <c r="C390" i="1"/>
  <c r="D390" i="1"/>
  <c r="E390" i="1"/>
  <c r="A391" i="1"/>
  <c r="B391" i="1"/>
  <c r="C391" i="1"/>
  <c r="D391" i="1"/>
  <c r="E391" i="1"/>
  <c r="A392" i="1"/>
  <c r="B392" i="1"/>
  <c r="C392" i="1"/>
  <c r="D392" i="1"/>
  <c r="E392" i="1"/>
  <c r="A393" i="1"/>
  <c r="B393" i="1"/>
  <c r="C393" i="1"/>
  <c r="D393" i="1"/>
  <c r="E393" i="1"/>
  <c r="A394" i="1"/>
  <c r="B394" i="1"/>
  <c r="C394" i="1"/>
  <c r="D394" i="1"/>
  <c r="E394" i="1"/>
  <c r="A395" i="1"/>
  <c r="B395" i="1"/>
  <c r="C395" i="1"/>
  <c r="D395" i="1"/>
  <c r="E395" i="1"/>
  <c r="A396" i="1"/>
  <c r="B396" i="1"/>
  <c r="C396" i="1"/>
  <c r="D396" i="1"/>
  <c r="E396" i="1"/>
  <c r="A397" i="1"/>
  <c r="B397" i="1"/>
  <c r="C397" i="1"/>
  <c r="D397" i="1"/>
  <c r="E397" i="1"/>
  <c r="A398" i="1"/>
  <c r="B398" i="1"/>
  <c r="C398" i="1"/>
  <c r="D398" i="1"/>
  <c r="E398" i="1"/>
  <c r="A399" i="1"/>
  <c r="B399" i="1"/>
  <c r="C399" i="1"/>
  <c r="D399" i="1"/>
  <c r="E399" i="1"/>
  <c r="A400" i="1"/>
  <c r="B400" i="1"/>
  <c r="C400" i="1"/>
  <c r="D400" i="1"/>
  <c r="E400" i="1"/>
  <c r="A401" i="1"/>
  <c r="B401" i="1"/>
  <c r="C401" i="1"/>
  <c r="D401" i="1"/>
  <c r="E401" i="1"/>
  <c r="A402" i="1"/>
  <c r="B402" i="1"/>
  <c r="C402" i="1"/>
  <c r="D402" i="1"/>
  <c r="E402" i="1"/>
  <c r="A403" i="1"/>
  <c r="B403" i="1"/>
  <c r="C403" i="1"/>
  <c r="D403" i="1"/>
  <c r="E403" i="1"/>
  <c r="A404" i="1"/>
  <c r="B404" i="1"/>
  <c r="C404" i="1"/>
  <c r="D404" i="1"/>
  <c r="E404" i="1"/>
  <c r="A405" i="1"/>
  <c r="B405" i="1"/>
  <c r="C405" i="1"/>
  <c r="D405" i="1"/>
  <c r="E405" i="1"/>
  <c r="A406" i="1"/>
  <c r="B406" i="1"/>
  <c r="C406" i="1"/>
  <c r="D406" i="1"/>
  <c r="E406" i="1"/>
  <c r="A407" i="1"/>
  <c r="B407" i="1"/>
  <c r="C407" i="1"/>
  <c r="D407" i="1"/>
  <c r="E407" i="1"/>
  <c r="A408" i="1"/>
  <c r="B408" i="1"/>
  <c r="C408" i="1"/>
  <c r="D408" i="1"/>
  <c r="E408" i="1"/>
  <c r="A409" i="1"/>
  <c r="B409" i="1"/>
  <c r="C409" i="1"/>
  <c r="D409" i="1"/>
  <c r="E409" i="1"/>
  <c r="A410" i="1"/>
  <c r="B410" i="1"/>
  <c r="C410" i="1"/>
  <c r="D410" i="1"/>
  <c r="E410" i="1"/>
  <c r="A411" i="1"/>
  <c r="B411" i="1"/>
  <c r="C411" i="1"/>
  <c r="D411" i="1"/>
  <c r="E411" i="1"/>
  <c r="A412" i="1"/>
  <c r="B412" i="1"/>
  <c r="C412" i="1"/>
  <c r="D412" i="1"/>
  <c r="E412" i="1"/>
  <c r="A413" i="1"/>
  <c r="B413" i="1"/>
  <c r="C413" i="1"/>
  <c r="D413" i="1"/>
  <c r="E413" i="1"/>
  <c r="A414" i="1"/>
  <c r="B414" i="1"/>
  <c r="C414" i="1"/>
  <c r="D414" i="1"/>
  <c r="E414" i="1"/>
  <c r="A415" i="1"/>
  <c r="B415" i="1"/>
  <c r="C415" i="1"/>
  <c r="D415" i="1"/>
  <c r="E415" i="1"/>
  <c r="A416" i="1"/>
  <c r="B416" i="1"/>
  <c r="C416" i="1"/>
  <c r="D416" i="1"/>
  <c r="E416" i="1"/>
  <c r="A417" i="1"/>
  <c r="B417" i="1"/>
  <c r="C417" i="1"/>
  <c r="D417" i="1"/>
  <c r="E417" i="1"/>
  <c r="A418" i="1"/>
  <c r="B418" i="1"/>
  <c r="C418" i="1"/>
  <c r="D418" i="1"/>
  <c r="E418" i="1"/>
  <c r="A419" i="1"/>
  <c r="B419" i="1"/>
  <c r="C419" i="1"/>
  <c r="D419" i="1"/>
  <c r="E419" i="1"/>
  <c r="A420" i="1"/>
  <c r="B420" i="1"/>
  <c r="C420" i="1"/>
  <c r="D420" i="1"/>
  <c r="E420" i="1"/>
  <c r="A421" i="1"/>
  <c r="B421" i="1"/>
  <c r="C421" i="1"/>
  <c r="D421" i="1"/>
  <c r="E421" i="1"/>
  <c r="A422" i="1"/>
  <c r="B422" i="1"/>
  <c r="C422" i="1"/>
  <c r="D422" i="1"/>
  <c r="E422" i="1"/>
  <c r="A423" i="1"/>
  <c r="B423" i="1"/>
  <c r="C423" i="1"/>
  <c r="D423" i="1"/>
  <c r="E423" i="1"/>
  <c r="A424" i="1"/>
  <c r="B424" i="1"/>
  <c r="C424" i="1"/>
  <c r="D424" i="1"/>
  <c r="E424" i="1"/>
  <c r="A425" i="1"/>
  <c r="B425" i="1"/>
  <c r="C425" i="1"/>
  <c r="D425" i="1"/>
  <c r="E425" i="1"/>
  <c r="A426" i="1"/>
  <c r="B426" i="1"/>
  <c r="C426" i="1"/>
  <c r="D426" i="1"/>
  <c r="E426" i="1"/>
  <c r="A427" i="1"/>
  <c r="B427" i="1"/>
  <c r="C427" i="1"/>
  <c r="D427" i="1"/>
  <c r="E427" i="1"/>
  <c r="A428" i="1"/>
  <c r="B428" i="1"/>
  <c r="C428" i="1"/>
  <c r="D428" i="1"/>
  <c r="E428" i="1"/>
  <c r="A429" i="1"/>
  <c r="B429" i="1"/>
  <c r="C429" i="1"/>
  <c r="D429" i="1"/>
  <c r="E429" i="1"/>
  <c r="A430" i="1"/>
  <c r="B430" i="1"/>
  <c r="C430" i="1"/>
  <c r="D430" i="1"/>
  <c r="E430" i="1"/>
  <c r="A431" i="1"/>
  <c r="B431" i="1"/>
  <c r="C431" i="1"/>
  <c r="D431" i="1"/>
  <c r="E431" i="1"/>
  <c r="A432" i="1"/>
  <c r="B432" i="1"/>
  <c r="C432" i="1"/>
  <c r="D432" i="1"/>
  <c r="E432" i="1"/>
  <c r="A433" i="1"/>
  <c r="B433" i="1"/>
  <c r="C433" i="1"/>
  <c r="D433" i="1"/>
  <c r="E433" i="1"/>
  <c r="A434" i="1"/>
  <c r="B434" i="1"/>
  <c r="C434" i="1"/>
  <c r="D434" i="1"/>
  <c r="E434" i="1"/>
  <c r="A435" i="1"/>
  <c r="B435" i="1"/>
  <c r="C435" i="1"/>
  <c r="D435" i="1"/>
  <c r="E435" i="1"/>
  <c r="A436" i="1"/>
  <c r="B436" i="1"/>
  <c r="C436" i="1"/>
  <c r="D436" i="1"/>
  <c r="E436" i="1"/>
  <c r="A437" i="1"/>
  <c r="B437" i="1"/>
  <c r="C437" i="1"/>
  <c r="D437" i="1"/>
  <c r="E437" i="1"/>
  <c r="A438" i="1"/>
  <c r="B438" i="1"/>
  <c r="C438" i="1"/>
  <c r="D438" i="1"/>
  <c r="E438" i="1"/>
  <c r="A439" i="1"/>
  <c r="B439" i="1"/>
  <c r="C439" i="1"/>
  <c r="D439" i="1"/>
  <c r="E439" i="1"/>
  <c r="A440" i="1"/>
  <c r="B440" i="1"/>
  <c r="C440" i="1"/>
  <c r="D440" i="1"/>
  <c r="E440" i="1"/>
  <c r="A441" i="1"/>
  <c r="B441" i="1"/>
  <c r="C441" i="1"/>
  <c r="D441" i="1"/>
  <c r="E441" i="1"/>
  <c r="A442" i="1"/>
  <c r="B442" i="1"/>
  <c r="C442" i="1"/>
  <c r="D442" i="1"/>
  <c r="E442" i="1"/>
  <c r="A443" i="1"/>
  <c r="B443" i="1"/>
  <c r="C443" i="1"/>
  <c r="D443" i="1"/>
  <c r="E443" i="1"/>
  <c r="A444" i="1"/>
  <c r="B444" i="1"/>
  <c r="C444" i="1"/>
  <c r="D444" i="1"/>
  <c r="E444" i="1"/>
  <c r="A445" i="1"/>
  <c r="B445" i="1"/>
  <c r="C445" i="1"/>
  <c r="D445" i="1"/>
  <c r="E445" i="1"/>
  <c r="A446" i="1"/>
  <c r="B446" i="1"/>
  <c r="C446" i="1"/>
  <c r="D446" i="1"/>
  <c r="E446" i="1"/>
  <c r="A447" i="1"/>
  <c r="B447" i="1"/>
  <c r="C447" i="1"/>
  <c r="D447" i="1"/>
  <c r="E447" i="1"/>
  <c r="A448" i="1"/>
  <c r="B448" i="1"/>
  <c r="C448" i="1"/>
  <c r="D448" i="1"/>
  <c r="E448" i="1"/>
  <c r="A449" i="1"/>
  <c r="B449" i="1"/>
  <c r="C449" i="1"/>
  <c r="D449" i="1"/>
  <c r="E449" i="1"/>
  <c r="A450" i="1"/>
  <c r="B450" i="1"/>
  <c r="C450" i="1"/>
  <c r="D450" i="1"/>
  <c r="E450" i="1"/>
  <c r="A451" i="1"/>
  <c r="B451" i="1"/>
  <c r="C451" i="1"/>
  <c r="D451" i="1"/>
  <c r="E451" i="1"/>
  <c r="A452" i="1"/>
  <c r="B452" i="1"/>
  <c r="C452" i="1"/>
  <c r="D452" i="1"/>
  <c r="E452" i="1"/>
  <c r="A453" i="1"/>
  <c r="B453" i="1"/>
  <c r="C453" i="1"/>
  <c r="D453" i="1"/>
  <c r="E453" i="1"/>
  <c r="A454" i="1"/>
  <c r="B454" i="1"/>
  <c r="C454" i="1"/>
  <c r="D454" i="1"/>
  <c r="E454" i="1"/>
  <c r="A455" i="1"/>
  <c r="B455" i="1"/>
  <c r="C455" i="1"/>
  <c r="D455" i="1"/>
  <c r="E455" i="1"/>
  <c r="A456" i="1"/>
  <c r="B456" i="1"/>
  <c r="C456" i="1"/>
  <c r="D456" i="1"/>
  <c r="E456" i="1"/>
  <c r="A457" i="1"/>
  <c r="B457" i="1"/>
  <c r="C457" i="1"/>
  <c r="D457" i="1"/>
  <c r="E457" i="1"/>
  <c r="A458" i="1"/>
  <c r="B458" i="1"/>
  <c r="C458" i="1"/>
  <c r="D458" i="1"/>
  <c r="E458" i="1"/>
  <c r="A459" i="1"/>
  <c r="B459" i="1"/>
  <c r="C459" i="1"/>
  <c r="D459" i="1"/>
  <c r="E459" i="1"/>
  <c r="A460" i="1"/>
  <c r="B460" i="1"/>
  <c r="C460" i="1"/>
  <c r="D460" i="1"/>
  <c r="E460" i="1"/>
  <c r="A461" i="1"/>
  <c r="B461" i="1"/>
  <c r="C461" i="1"/>
  <c r="D461" i="1"/>
  <c r="E461" i="1"/>
  <c r="A462" i="1"/>
  <c r="B462" i="1"/>
  <c r="C462" i="1"/>
  <c r="D462" i="1"/>
  <c r="E462" i="1"/>
  <c r="A463" i="1"/>
  <c r="B463" i="1"/>
  <c r="C463" i="1"/>
  <c r="D463" i="1"/>
  <c r="E463" i="1"/>
  <c r="A464" i="1"/>
  <c r="B464" i="1"/>
  <c r="C464" i="1"/>
  <c r="D464" i="1"/>
  <c r="E464" i="1"/>
  <c r="A465" i="1"/>
  <c r="B465" i="1"/>
  <c r="C465" i="1"/>
  <c r="D465" i="1"/>
  <c r="E465" i="1"/>
  <c r="A466" i="1"/>
  <c r="B466" i="1"/>
  <c r="C466" i="1"/>
  <c r="D466" i="1"/>
  <c r="E466" i="1"/>
  <c r="A467" i="1"/>
  <c r="B467" i="1"/>
  <c r="C467" i="1"/>
  <c r="D467" i="1"/>
  <c r="E467" i="1"/>
  <c r="A468" i="1"/>
  <c r="B468" i="1"/>
  <c r="C468" i="1"/>
  <c r="D468" i="1"/>
  <c r="E468" i="1"/>
  <c r="A469" i="1"/>
  <c r="B469" i="1"/>
  <c r="C469" i="1"/>
  <c r="D469" i="1"/>
  <c r="E469" i="1"/>
  <c r="A470" i="1"/>
  <c r="B470" i="1"/>
  <c r="C470" i="1"/>
  <c r="D470" i="1"/>
  <c r="E470" i="1"/>
  <c r="A471" i="1"/>
  <c r="B471" i="1"/>
  <c r="C471" i="1"/>
  <c r="D471" i="1"/>
  <c r="E471" i="1"/>
  <c r="A472" i="1"/>
  <c r="B472" i="1"/>
  <c r="C472" i="1"/>
  <c r="D472" i="1"/>
  <c r="E472" i="1"/>
  <c r="A473" i="1"/>
  <c r="B473" i="1"/>
  <c r="C473" i="1"/>
  <c r="D473" i="1"/>
  <c r="E473" i="1"/>
  <c r="A474" i="1"/>
  <c r="B474" i="1"/>
  <c r="C474" i="1"/>
  <c r="D474" i="1"/>
  <c r="E474" i="1"/>
  <c r="A475" i="1"/>
  <c r="B475" i="1"/>
  <c r="C475" i="1"/>
  <c r="D475" i="1"/>
  <c r="E475" i="1"/>
  <c r="A476" i="1"/>
  <c r="B476" i="1"/>
  <c r="C476" i="1"/>
  <c r="D476" i="1"/>
  <c r="E476" i="1"/>
  <c r="A477" i="1"/>
  <c r="B477" i="1"/>
  <c r="C477" i="1"/>
  <c r="D477" i="1"/>
  <c r="E477" i="1"/>
  <c r="A478" i="1"/>
  <c r="B478" i="1"/>
  <c r="C478" i="1"/>
  <c r="D478" i="1"/>
  <c r="E478" i="1"/>
  <c r="A479" i="1"/>
  <c r="B479" i="1"/>
  <c r="C479" i="1"/>
  <c r="D479" i="1"/>
  <c r="E479" i="1"/>
  <c r="A480" i="1"/>
  <c r="B480" i="1"/>
  <c r="C480" i="1"/>
  <c r="D480" i="1"/>
  <c r="E480" i="1"/>
  <c r="A481" i="1"/>
  <c r="B481" i="1"/>
  <c r="C481" i="1"/>
  <c r="D481" i="1"/>
  <c r="E481" i="1"/>
  <c r="A482" i="1"/>
  <c r="B482" i="1"/>
  <c r="C482" i="1"/>
  <c r="D482" i="1"/>
  <c r="E482" i="1"/>
  <c r="A483" i="1"/>
  <c r="B483" i="1"/>
  <c r="C483" i="1"/>
  <c r="D483" i="1"/>
  <c r="E483" i="1"/>
  <c r="A484" i="1"/>
  <c r="B484" i="1"/>
  <c r="C484" i="1"/>
  <c r="D484" i="1"/>
  <c r="E484" i="1"/>
  <c r="A485" i="1"/>
  <c r="B485" i="1"/>
  <c r="C485" i="1"/>
  <c r="D485" i="1"/>
  <c r="E485" i="1"/>
  <c r="A486" i="1"/>
  <c r="B486" i="1"/>
  <c r="C486" i="1"/>
  <c r="D486" i="1"/>
  <c r="E486" i="1"/>
  <c r="A487" i="1"/>
  <c r="B487" i="1"/>
  <c r="C487" i="1"/>
  <c r="D487" i="1"/>
  <c r="E487" i="1"/>
  <c r="A488" i="1"/>
  <c r="B488" i="1"/>
  <c r="C488" i="1"/>
  <c r="D488" i="1"/>
  <c r="E488" i="1"/>
  <c r="A489" i="1"/>
  <c r="B489" i="1"/>
  <c r="C489" i="1"/>
  <c r="D489" i="1"/>
  <c r="E489" i="1"/>
  <c r="A490" i="1"/>
  <c r="B490" i="1"/>
  <c r="C490" i="1"/>
  <c r="D490" i="1"/>
  <c r="E490" i="1"/>
  <c r="A491" i="1"/>
  <c r="B491" i="1"/>
  <c r="C491" i="1"/>
  <c r="D491" i="1"/>
  <c r="E491" i="1"/>
  <c r="A492" i="1"/>
  <c r="B492" i="1"/>
  <c r="C492" i="1"/>
  <c r="D492" i="1"/>
  <c r="E492" i="1"/>
  <c r="A493" i="1"/>
  <c r="B493" i="1"/>
  <c r="C493" i="1"/>
  <c r="D493" i="1"/>
  <c r="E493" i="1"/>
  <c r="A494" i="1"/>
  <c r="B494" i="1"/>
  <c r="C494" i="1"/>
  <c r="D494" i="1"/>
  <c r="E494" i="1"/>
  <c r="A495" i="1"/>
  <c r="B495" i="1"/>
  <c r="C495" i="1"/>
  <c r="D495" i="1"/>
  <c r="E495" i="1"/>
  <c r="A496" i="1"/>
  <c r="B496" i="1"/>
  <c r="C496" i="1"/>
  <c r="D496" i="1"/>
  <c r="E496" i="1"/>
  <c r="A497" i="1"/>
  <c r="B497" i="1"/>
  <c r="C497" i="1"/>
  <c r="D497" i="1"/>
  <c r="E497" i="1"/>
  <c r="A498" i="1"/>
  <c r="B498" i="1"/>
  <c r="C498" i="1"/>
  <c r="D498" i="1"/>
  <c r="E498" i="1"/>
  <c r="A499" i="1"/>
  <c r="B499" i="1"/>
  <c r="C499" i="1"/>
  <c r="D499" i="1"/>
  <c r="E499" i="1"/>
  <c r="A500" i="1"/>
  <c r="B500" i="1"/>
  <c r="C500" i="1"/>
  <c r="D500" i="1"/>
  <c r="E500" i="1"/>
  <c r="A501" i="1"/>
  <c r="B501" i="1"/>
  <c r="C501" i="1"/>
  <c r="D501" i="1"/>
  <c r="E501" i="1"/>
  <c r="A502" i="1"/>
  <c r="B502" i="1"/>
  <c r="C502" i="1"/>
  <c r="D502" i="1"/>
  <c r="E502" i="1"/>
  <c r="A503" i="1"/>
  <c r="B503" i="1"/>
  <c r="C503" i="1"/>
  <c r="D503" i="1"/>
  <c r="E503" i="1"/>
  <c r="A504" i="1"/>
  <c r="B504" i="1"/>
  <c r="C504" i="1"/>
  <c r="D504" i="1"/>
  <c r="E504" i="1"/>
  <c r="A505" i="1"/>
  <c r="B505" i="1"/>
  <c r="C505" i="1"/>
  <c r="D505" i="1"/>
  <c r="E505" i="1"/>
  <c r="A506" i="1"/>
  <c r="B506" i="1"/>
  <c r="C506" i="1"/>
  <c r="D506" i="1"/>
  <c r="E506" i="1"/>
  <c r="A507" i="1"/>
  <c r="B507" i="1"/>
  <c r="C507" i="1"/>
  <c r="D507" i="1"/>
  <c r="E507" i="1"/>
  <c r="A508" i="1"/>
  <c r="B508" i="1"/>
  <c r="C508" i="1"/>
  <c r="D508" i="1"/>
  <c r="E508" i="1"/>
  <c r="A509" i="1"/>
  <c r="B509" i="1"/>
  <c r="C509" i="1"/>
  <c r="D509" i="1"/>
  <c r="E509" i="1"/>
  <c r="A510" i="1"/>
  <c r="B510" i="1"/>
  <c r="C510" i="1"/>
  <c r="D510" i="1"/>
  <c r="E510" i="1"/>
  <c r="A511" i="1"/>
  <c r="B511" i="1"/>
  <c r="C511" i="1"/>
  <c r="D511" i="1"/>
  <c r="E511" i="1"/>
  <c r="A512" i="1"/>
  <c r="B512" i="1"/>
  <c r="C512" i="1"/>
  <c r="D512" i="1"/>
  <c r="E512" i="1"/>
  <c r="A513" i="1"/>
  <c r="B513" i="1"/>
  <c r="C513" i="1"/>
  <c r="D513" i="1"/>
  <c r="E513" i="1"/>
  <c r="A514" i="1"/>
  <c r="B514" i="1"/>
  <c r="C514" i="1"/>
  <c r="D514" i="1"/>
  <c r="E514" i="1"/>
  <c r="A515" i="1"/>
  <c r="B515" i="1"/>
  <c r="C515" i="1"/>
  <c r="D515" i="1"/>
  <c r="E515" i="1"/>
  <c r="A516" i="1"/>
  <c r="B516" i="1"/>
  <c r="C516" i="1"/>
  <c r="D516" i="1"/>
  <c r="E516" i="1"/>
  <c r="A517" i="1"/>
  <c r="B517" i="1"/>
  <c r="C517" i="1"/>
  <c r="D517" i="1"/>
  <c r="E517" i="1"/>
  <c r="A518" i="1"/>
  <c r="B518" i="1"/>
  <c r="C518" i="1"/>
  <c r="D518" i="1"/>
  <c r="E518" i="1"/>
  <c r="A519" i="1"/>
  <c r="B519" i="1"/>
  <c r="C519" i="1"/>
  <c r="D519" i="1"/>
  <c r="E519" i="1"/>
  <c r="A520" i="1"/>
  <c r="B520" i="1"/>
  <c r="C520" i="1"/>
  <c r="D520" i="1"/>
  <c r="E520" i="1"/>
  <c r="A521" i="1"/>
  <c r="B521" i="1"/>
  <c r="C521" i="1"/>
  <c r="D521" i="1"/>
  <c r="E521" i="1"/>
  <c r="A522" i="1"/>
  <c r="B522" i="1"/>
  <c r="C522" i="1"/>
  <c r="D522" i="1"/>
  <c r="E522" i="1"/>
  <c r="A523" i="1"/>
  <c r="B523" i="1"/>
  <c r="C523" i="1"/>
  <c r="D523" i="1"/>
  <c r="E523" i="1"/>
  <c r="A524" i="1"/>
  <c r="B524" i="1"/>
  <c r="C524" i="1"/>
  <c r="D524" i="1"/>
  <c r="E524" i="1"/>
  <c r="A525" i="1"/>
  <c r="B525" i="1"/>
  <c r="C525" i="1"/>
  <c r="D525" i="1"/>
  <c r="E525" i="1"/>
  <c r="A526" i="1"/>
  <c r="B526" i="1"/>
  <c r="C526" i="1"/>
  <c r="D526" i="1"/>
  <c r="E526" i="1"/>
  <c r="A527" i="1"/>
  <c r="B527" i="1"/>
  <c r="C527" i="1"/>
  <c r="D527" i="1"/>
  <c r="E527" i="1"/>
  <c r="A528" i="1"/>
  <c r="B528" i="1"/>
  <c r="C528" i="1"/>
  <c r="D528" i="1"/>
  <c r="E528" i="1"/>
  <c r="A529" i="1"/>
  <c r="B529" i="1"/>
  <c r="C529" i="1"/>
  <c r="D529" i="1"/>
  <c r="E529" i="1"/>
  <c r="A530" i="1"/>
  <c r="B530" i="1"/>
  <c r="C530" i="1"/>
  <c r="D530" i="1"/>
  <c r="E530" i="1"/>
  <c r="A531" i="1"/>
  <c r="B531" i="1"/>
  <c r="C531" i="1"/>
  <c r="D531" i="1"/>
  <c r="E531" i="1"/>
  <c r="A532" i="1"/>
  <c r="B532" i="1"/>
  <c r="C532" i="1"/>
  <c r="D532" i="1"/>
  <c r="E532" i="1"/>
  <c r="A533" i="1"/>
  <c r="B533" i="1"/>
  <c r="C533" i="1"/>
  <c r="D533" i="1"/>
  <c r="E533" i="1"/>
  <c r="A534" i="1"/>
  <c r="B534" i="1"/>
  <c r="C534" i="1"/>
  <c r="D534" i="1"/>
  <c r="E534" i="1"/>
  <c r="A535" i="1"/>
  <c r="B535" i="1"/>
  <c r="C535" i="1"/>
  <c r="D535" i="1"/>
  <c r="E535" i="1"/>
  <c r="A536" i="1"/>
  <c r="B536" i="1"/>
  <c r="C536" i="1"/>
  <c r="D536" i="1"/>
  <c r="E536" i="1"/>
  <c r="A537" i="1"/>
  <c r="B537" i="1"/>
  <c r="C537" i="1"/>
  <c r="D537" i="1"/>
  <c r="E537" i="1"/>
  <c r="A538" i="1"/>
  <c r="B538" i="1"/>
  <c r="C538" i="1"/>
  <c r="D538" i="1"/>
  <c r="E538" i="1"/>
  <c r="A539" i="1"/>
  <c r="B539" i="1"/>
  <c r="C539" i="1"/>
  <c r="D539" i="1"/>
  <c r="E539" i="1"/>
  <c r="A540" i="1"/>
  <c r="B540" i="1"/>
  <c r="C540" i="1"/>
  <c r="D540" i="1"/>
  <c r="E540" i="1"/>
  <c r="A541" i="1"/>
  <c r="B541" i="1"/>
  <c r="C541" i="1"/>
  <c r="D541" i="1"/>
  <c r="E541" i="1"/>
  <c r="A542" i="1"/>
  <c r="B542" i="1"/>
  <c r="C542" i="1"/>
  <c r="D542" i="1"/>
  <c r="E542" i="1"/>
  <c r="A543" i="1"/>
  <c r="B543" i="1"/>
  <c r="C543" i="1"/>
  <c r="D543" i="1"/>
  <c r="E543" i="1"/>
  <c r="A544" i="1"/>
  <c r="B544" i="1"/>
  <c r="C544" i="1"/>
  <c r="D544" i="1"/>
  <c r="E544" i="1"/>
  <c r="A545" i="1"/>
  <c r="B545" i="1"/>
  <c r="C545" i="1"/>
  <c r="D545" i="1"/>
  <c r="E545" i="1"/>
  <c r="A546" i="1"/>
  <c r="B546" i="1"/>
  <c r="C546" i="1"/>
  <c r="D546" i="1"/>
  <c r="E546" i="1"/>
  <c r="A547" i="1"/>
  <c r="B547" i="1"/>
  <c r="C547" i="1"/>
  <c r="D547" i="1"/>
  <c r="E547" i="1"/>
  <c r="A548" i="1"/>
  <c r="B548" i="1"/>
  <c r="C548" i="1"/>
  <c r="D548" i="1"/>
  <c r="E548" i="1"/>
  <c r="A549" i="1"/>
  <c r="B549" i="1"/>
  <c r="C549" i="1"/>
  <c r="D549" i="1"/>
  <c r="E549" i="1"/>
  <c r="A550" i="1"/>
  <c r="B550" i="1"/>
  <c r="C550" i="1"/>
  <c r="D550" i="1"/>
  <c r="E550" i="1"/>
  <c r="A551" i="1"/>
  <c r="B551" i="1"/>
  <c r="C551" i="1"/>
  <c r="D551" i="1"/>
  <c r="E551" i="1"/>
  <c r="A552" i="1"/>
  <c r="B552" i="1"/>
  <c r="C552" i="1"/>
  <c r="D552" i="1"/>
  <c r="E552" i="1"/>
  <c r="A553" i="1"/>
  <c r="B553" i="1"/>
  <c r="C553" i="1"/>
  <c r="D553" i="1"/>
  <c r="E553" i="1"/>
  <c r="A554" i="1"/>
  <c r="B554" i="1"/>
  <c r="C554" i="1"/>
  <c r="D554" i="1"/>
  <c r="E554" i="1"/>
  <c r="A555" i="1"/>
  <c r="B555" i="1"/>
  <c r="C555" i="1"/>
  <c r="D555" i="1"/>
  <c r="E555" i="1"/>
  <c r="A556" i="1"/>
  <c r="B556" i="1"/>
  <c r="C556" i="1"/>
  <c r="D556" i="1"/>
  <c r="E556" i="1"/>
  <c r="A557" i="1"/>
  <c r="B557" i="1"/>
  <c r="C557" i="1"/>
  <c r="D557" i="1"/>
  <c r="E557" i="1"/>
  <c r="A558" i="1"/>
  <c r="B558" i="1"/>
  <c r="C558" i="1"/>
  <c r="D558" i="1"/>
  <c r="E558" i="1"/>
  <c r="A559" i="1"/>
  <c r="B559" i="1"/>
  <c r="C559" i="1"/>
  <c r="D559" i="1"/>
  <c r="E559" i="1"/>
  <c r="A560" i="1"/>
  <c r="B560" i="1"/>
  <c r="C560" i="1"/>
  <c r="D560" i="1"/>
  <c r="E560" i="1"/>
  <c r="A561" i="1"/>
  <c r="B561" i="1"/>
  <c r="C561" i="1"/>
  <c r="D561" i="1"/>
  <c r="E561" i="1"/>
  <c r="A562" i="1"/>
  <c r="B562" i="1"/>
  <c r="C562" i="1"/>
  <c r="D562" i="1"/>
  <c r="E562" i="1"/>
  <c r="A563" i="1"/>
  <c r="B563" i="1"/>
  <c r="C563" i="1"/>
  <c r="D563" i="1"/>
  <c r="E563" i="1"/>
  <c r="A564" i="1"/>
  <c r="B564" i="1"/>
  <c r="C564" i="1"/>
  <c r="D564" i="1"/>
  <c r="E564" i="1"/>
  <c r="A565" i="1"/>
  <c r="B565" i="1"/>
  <c r="C565" i="1"/>
  <c r="D565" i="1"/>
  <c r="E565" i="1"/>
  <c r="A566" i="1"/>
  <c r="B566" i="1"/>
  <c r="C566" i="1"/>
  <c r="D566" i="1"/>
  <c r="E566" i="1"/>
  <c r="A567" i="1"/>
  <c r="B567" i="1"/>
  <c r="C567" i="1"/>
  <c r="D567" i="1"/>
  <c r="E567" i="1"/>
  <c r="A568" i="1"/>
  <c r="B568" i="1"/>
  <c r="C568" i="1"/>
  <c r="D568" i="1"/>
  <c r="E568" i="1"/>
  <c r="A569" i="1"/>
  <c r="B569" i="1"/>
  <c r="C569" i="1"/>
  <c r="D569" i="1"/>
  <c r="E569" i="1"/>
  <c r="A570" i="1"/>
  <c r="B570" i="1"/>
  <c r="C570" i="1"/>
  <c r="D570" i="1"/>
  <c r="E570" i="1"/>
  <c r="A571" i="1"/>
  <c r="B571" i="1"/>
  <c r="C571" i="1"/>
  <c r="D571" i="1"/>
  <c r="E571" i="1"/>
  <c r="A572" i="1"/>
  <c r="B572" i="1"/>
  <c r="C572" i="1"/>
  <c r="D572" i="1"/>
  <c r="E572" i="1"/>
  <c r="A573" i="1"/>
  <c r="B573" i="1"/>
  <c r="C573" i="1"/>
  <c r="D573" i="1"/>
  <c r="E573" i="1"/>
  <c r="A574" i="1"/>
  <c r="B574" i="1"/>
  <c r="C574" i="1"/>
  <c r="D574" i="1"/>
  <c r="E574" i="1"/>
  <c r="A575" i="1"/>
  <c r="B575" i="1"/>
  <c r="C575" i="1"/>
  <c r="D575" i="1"/>
  <c r="E575" i="1"/>
  <c r="A576" i="1"/>
  <c r="B576" i="1"/>
  <c r="C576" i="1"/>
  <c r="D576" i="1"/>
  <c r="E576" i="1"/>
  <c r="A577" i="1"/>
  <c r="B577" i="1"/>
  <c r="C577" i="1"/>
  <c r="D577" i="1"/>
  <c r="E577" i="1"/>
  <c r="A578" i="1"/>
  <c r="B578" i="1"/>
  <c r="C578" i="1"/>
  <c r="D578" i="1"/>
  <c r="E578" i="1"/>
  <c r="A579" i="1"/>
  <c r="B579" i="1"/>
  <c r="C579" i="1"/>
  <c r="D579" i="1"/>
  <c r="E579" i="1"/>
  <c r="A580" i="1"/>
  <c r="B580" i="1"/>
  <c r="C580" i="1"/>
  <c r="D580" i="1"/>
  <c r="E580" i="1"/>
  <c r="A581" i="1"/>
  <c r="B581" i="1"/>
  <c r="C581" i="1"/>
  <c r="D581" i="1"/>
  <c r="E581" i="1"/>
  <c r="A582" i="1"/>
  <c r="B582" i="1"/>
  <c r="C582" i="1"/>
  <c r="D582" i="1"/>
  <c r="E582" i="1"/>
  <c r="A583" i="1"/>
  <c r="B583" i="1"/>
  <c r="C583" i="1"/>
  <c r="D583" i="1"/>
  <c r="E583" i="1"/>
  <c r="A584" i="1"/>
  <c r="B584" i="1"/>
  <c r="C584" i="1"/>
  <c r="D584" i="1"/>
  <c r="E584" i="1"/>
  <c r="A585" i="1"/>
  <c r="B585" i="1"/>
  <c r="C585" i="1"/>
  <c r="D585" i="1"/>
  <c r="E585" i="1"/>
  <c r="A586" i="1"/>
  <c r="B586" i="1"/>
  <c r="C586" i="1"/>
  <c r="D586" i="1"/>
  <c r="E586" i="1"/>
  <c r="A587" i="1"/>
  <c r="B587" i="1"/>
  <c r="C587" i="1"/>
  <c r="D587" i="1"/>
  <c r="E587" i="1"/>
  <c r="A588" i="1"/>
  <c r="B588" i="1"/>
  <c r="C588" i="1"/>
  <c r="D588" i="1"/>
  <c r="E588" i="1"/>
  <c r="A589" i="1"/>
  <c r="B589" i="1"/>
  <c r="C589" i="1"/>
  <c r="D589" i="1"/>
  <c r="E589" i="1"/>
  <c r="A590" i="1"/>
  <c r="B590" i="1"/>
  <c r="C590" i="1"/>
  <c r="D590" i="1"/>
  <c r="E590" i="1"/>
  <c r="A591" i="1"/>
  <c r="B591" i="1"/>
  <c r="C591" i="1"/>
  <c r="D591" i="1"/>
  <c r="E591" i="1"/>
  <c r="A592" i="1"/>
  <c r="B592" i="1"/>
  <c r="C592" i="1"/>
  <c r="D592" i="1"/>
  <c r="E592" i="1"/>
  <c r="A593" i="1"/>
  <c r="B593" i="1"/>
  <c r="C593" i="1"/>
  <c r="D593" i="1"/>
  <c r="E593" i="1"/>
  <c r="A594" i="1"/>
  <c r="B594" i="1"/>
  <c r="C594" i="1"/>
  <c r="D594" i="1"/>
  <c r="E594" i="1"/>
  <c r="A595" i="1"/>
  <c r="B595" i="1"/>
  <c r="C595" i="1"/>
  <c r="D595" i="1"/>
  <c r="E595" i="1"/>
  <c r="A596" i="1"/>
  <c r="B596" i="1"/>
  <c r="C596" i="1"/>
  <c r="D596" i="1"/>
  <c r="E596" i="1"/>
  <c r="A597" i="1"/>
  <c r="B597" i="1"/>
  <c r="C597" i="1"/>
  <c r="D597" i="1"/>
  <c r="E597" i="1"/>
  <c r="A598" i="1"/>
  <c r="B598" i="1"/>
  <c r="C598" i="1"/>
  <c r="D598" i="1"/>
  <c r="E598" i="1"/>
  <c r="A599" i="1"/>
  <c r="B599" i="1"/>
  <c r="C599" i="1"/>
  <c r="D599" i="1"/>
  <c r="E599" i="1"/>
  <c r="A600" i="1"/>
  <c r="B600" i="1"/>
  <c r="C600" i="1"/>
  <c r="D600" i="1"/>
  <c r="E600" i="1"/>
  <c r="A601" i="1"/>
  <c r="B601" i="1"/>
  <c r="C601" i="1"/>
  <c r="D601" i="1"/>
  <c r="E601" i="1"/>
  <c r="A602" i="1"/>
  <c r="B602" i="1"/>
  <c r="C602" i="1"/>
  <c r="D602" i="1"/>
  <c r="E602" i="1"/>
  <c r="A603" i="1"/>
  <c r="B603" i="1"/>
  <c r="C603" i="1"/>
  <c r="D603" i="1"/>
  <c r="E603" i="1"/>
  <c r="A604" i="1"/>
  <c r="B604" i="1"/>
  <c r="C604" i="1"/>
  <c r="D604" i="1"/>
  <c r="E604" i="1"/>
  <c r="A605" i="1"/>
  <c r="B605" i="1"/>
  <c r="C605" i="1"/>
  <c r="D605" i="1"/>
  <c r="E605" i="1"/>
  <c r="A606" i="1"/>
  <c r="B606" i="1"/>
  <c r="C606" i="1"/>
  <c r="D606" i="1"/>
  <c r="E606" i="1"/>
  <c r="A607" i="1"/>
  <c r="B607" i="1"/>
  <c r="C607" i="1"/>
  <c r="D607" i="1"/>
  <c r="E607" i="1"/>
  <c r="A608" i="1"/>
  <c r="B608" i="1"/>
  <c r="C608" i="1"/>
  <c r="D608" i="1"/>
  <c r="E608" i="1"/>
  <c r="A609" i="1"/>
  <c r="B609" i="1"/>
  <c r="C609" i="1"/>
  <c r="D609" i="1"/>
  <c r="E609" i="1"/>
  <c r="A610" i="1"/>
  <c r="B610" i="1"/>
  <c r="C610" i="1"/>
  <c r="D610" i="1"/>
  <c r="E610" i="1"/>
  <c r="A611" i="1"/>
  <c r="B611" i="1"/>
  <c r="C611" i="1"/>
  <c r="D611" i="1"/>
  <c r="E611" i="1"/>
  <c r="A612" i="1"/>
  <c r="B612" i="1"/>
  <c r="C612" i="1"/>
  <c r="D612" i="1"/>
  <c r="E612" i="1"/>
  <c r="A613" i="1"/>
  <c r="B613" i="1"/>
  <c r="C613" i="1"/>
  <c r="D613" i="1"/>
  <c r="E613" i="1"/>
  <c r="A614" i="1"/>
  <c r="B614" i="1"/>
  <c r="C614" i="1"/>
  <c r="D614" i="1"/>
  <c r="E614" i="1"/>
  <c r="A615" i="1"/>
  <c r="B615" i="1"/>
  <c r="C615" i="1"/>
  <c r="D615" i="1"/>
  <c r="E615" i="1"/>
  <c r="A616" i="1"/>
  <c r="B616" i="1"/>
  <c r="C616" i="1"/>
  <c r="D616" i="1"/>
  <c r="E616" i="1"/>
  <c r="A617" i="1"/>
  <c r="B617" i="1"/>
  <c r="C617" i="1"/>
  <c r="D617" i="1"/>
  <c r="E617" i="1"/>
  <c r="A618" i="1"/>
  <c r="B618" i="1"/>
  <c r="C618" i="1"/>
  <c r="D618" i="1"/>
  <c r="E618" i="1"/>
  <c r="A619" i="1"/>
  <c r="B619" i="1"/>
  <c r="C619" i="1"/>
  <c r="D619" i="1"/>
  <c r="E619" i="1"/>
  <c r="A620" i="1"/>
  <c r="B620" i="1"/>
  <c r="C620" i="1"/>
  <c r="D620" i="1"/>
  <c r="E620" i="1"/>
  <c r="A621" i="1"/>
  <c r="B621" i="1"/>
  <c r="C621" i="1"/>
  <c r="D621" i="1"/>
  <c r="E621" i="1"/>
  <c r="A622" i="1"/>
  <c r="B622" i="1"/>
  <c r="C622" i="1"/>
  <c r="D622" i="1"/>
  <c r="E622" i="1"/>
  <c r="A623" i="1"/>
  <c r="B623" i="1"/>
  <c r="C623" i="1"/>
  <c r="D623" i="1"/>
  <c r="E623" i="1"/>
  <c r="A624" i="1"/>
  <c r="B624" i="1"/>
  <c r="C624" i="1"/>
  <c r="D624" i="1"/>
  <c r="E624" i="1"/>
  <c r="A625" i="1"/>
  <c r="B625" i="1"/>
  <c r="C625" i="1"/>
  <c r="D625" i="1"/>
  <c r="E625" i="1"/>
  <c r="A626" i="1"/>
  <c r="B626" i="1"/>
  <c r="C626" i="1"/>
  <c r="D626" i="1"/>
  <c r="E626" i="1"/>
  <c r="A627" i="1"/>
  <c r="B627" i="1"/>
  <c r="C627" i="1"/>
  <c r="D627" i="1"/>
  <c r="E627" i="1"/>
  <c r="A628" i="1"/>
  <c r="B628" i="1"/>
  <c r="C628" i="1"/>
  <c r="D628" i="1"/>
  <c r="E628" i="1"/>
  <c r="A629" i="1"/>
  <c r="B629" i="1"/>
  <c r="C629" i="1"/>
  <c r="D629" i="1"/>
  <c r="E629" i="1"/>
  <c r="A630" i="1"/>
  <c r="B630" i="1"/>
  <c r="C630" i="1"/>
  <c r="D630" i="1"/>
  <c r="E630" i="1"/>
  <c r="A631" i="1"/>
  <c r="B631" i="1"/>
  <c r="C631" i="1"/>
  <c r="D631" i="1"/>
  <c r="E631" i="1"/>
  <c r="A632" i="1"/>
  <c r="B632" i="1"/>
  <c r="C632" i="1"/>
  <c r="D632" i="1"/>
  <c r="E632" i="1"/>
  <c r="A633" i="1"/>
  <c r="B633" i="1"/>
  <c r="C633" i="1"/>
  <c r="D633" i="1"/>
  <c r="E633" i="1"/>
  <c r="A634" i="1"/>
  <c r="B634" i="1"/>
  <c r="C634" i="1"/>
  <c r="D634" i="1"/>
  <c r="E634" i="1"/>
  <c r="A635" i="1"/>
  <c r="B635" i="1"/>
  <c r="C635" i="1"/>
  <c r="D635" i="1"/>
  <c r="E635" i="1"/>
  <c r="A636" i="1"/>
  <c r="B636" i="1"/>
  <c r="C636" i="1"/>
  <c r="D636" i="1"/>
  <c r="E636" i="1"/>
  <c r="A637" i="1"/>
  <c r="B637" i="1"/>
  <c r="C637" i="1"/>
  <c r="D637" i="1"/>
  <c r="E637" i="1"/>
  <c r="A638" i="1"/>
  <c r="B638" i="1"/>
  <c r="C638" i="1"/>
  <c r="D638" i="1"/>
  <c r="E638" i="1"/>
  <c r="A639" i="1"/>
  <c r="B639" i="1"/>
  <c r="C639" i="1"/>
  <c r="D639" i="1"/>
  <c r="E639" i="1"/>
  <c r="A640" i="1"/>
  <c r="B640" i="1"/>
  <c r="C640" i="1"/>
  <c r="D640" i="1"/>
  <c r="E640" i="1"/>
  <c r="A641" i="1"/>
  <c r="B641" i="1"/>
  <c r="C641" i="1"/>
  <c r="D641" i="1"/>
  <c r="E641" i="1"/>
  <c r="A642" i="1"/>
  <c r="B642" i="1"/>
  <c r="C642" i="1"/>
  <c r="D642" i="1"/>
  <c r="E642" i="1"/>
  <c r="A643" i="1"/>
  <c r="B643" i="1"/>
  <c r="C643" i="1"/>
  <c r="D643" i="1"/>
  <c r="E643" i="1"/>
  <c r="A644" i="1"/>
  <c r="B644" i="1"/>
  <c r="C644" i="1"/>
  <c r="D644" i="1"/>
  <c r="E644" i="1"/>
  <c r="A645" i="1"/>
  <c r="B645" i="1"/>
  <c r="C645" i="1"/>
  <c r="D645" i="1"/>
  <c r="E645" i="1"/>
  <c r="A646" i="1"/>
  <c r="B646" i="1"/>
  <c r="C646" i="1"/>
  <c r="D646" i="1"/>
  <c r="E646" i="1"/>
  <c r="A647" i="1"/>
  <c r="B647" i="1"/>
  <c r="C647" i="1"/>
  <c r="D647" i="1"/>
  <c r="E647" i="1"/>
  <c r="A648" i="1"/>
  <c r="B648" i="1"/>
  <c r="C648" i="1"/>
  <c r="D648" i="1"/>
  <c r="E648" i="1"/>
  <c r="A649" i="1"/>
  <c r="B649" i="1"/>
  <c r="C649" i="1"/>
  <c r="D649" i="1"/>
  <c r="E649" i="1"/>
  <c r="A650" i="1"/>
  <c r="B650" i="1"/>
  <c r="C650" i="1"/>
  <c r="D650" i="1"/>
  <c r="E650" i="1"/>
  <c r="A651" i="1"/>
  <c r="B651" i="1"/>
  <c r="C651" i="1"/>
  <c r="D651" i="1"/>
  <c r="E651" i="1"/>
  <c r="A652" i="1"/>
  <c r="B652" i="1"/>
  <c r="C652" i="1"/>
  <c r="D652" i="1"/>
  <c r="E652" i="1"/>
  <c r="A653" i="1"/>
  <c r="B653" i="1"/>
  <c r="C653" i="1"/>
  <c r="D653" i="1"/>
  <c r="E653" i="1"/>
  <c r="A654" i="1"/>
  <c r="B654" i="1"/>
  <c r="C654" i="1"/>
  <c r="D654" i="1"/>
  <c r="E654" i="1"/>
  <c r="A655" i="1"/>
  <c r="B655" i="1"/>
  <c r="C655" i="1"/>
  <c r="D655" i="1"/>
  <c r="E655" i="1"/>
  <c r="A656" i="1"/>
  <c r="B656" i="1"/>
  <c r="C656" i="1"/>
  <c r="D656" i="1"/>
  <c r="E656" i="1"/>
  <c r="A657" i="1"/>
  <c r="B657" i="1"/>
  <c r="C657" i="1"/>
  <c r="D657" i="1"/>
  <c r="E657" i="1"/>
  <c r="A658" i="1"/>
  <c r="B658" i="1"/>
  <c r="C658" i="1"/>
  <c r="D658" i="1"/>
  <c r="E658" i="1"/>
  <c r="A659" i="1"/>
  <c r="B659" i="1"/>
  <c r="C659" i="1"/>
  <c r="D659" i="1"/>
  <c r="E659" i="1"/>
  <c r="A660" i="1"/>
  <c r="B660" i="1"/>
  <c r="C660" i="1"/>
  <c r="D660" i="1"/>
  <c r="E660" i="1"/>
  <c r="A661" i="1"/>
  <c r="B661" i="1"/>
  <c r="C661" i="1"/>
  <c r="D661" i="1"/>
  <c r="E661" i="1"/>
  <c r="A662" i="1"/>
  <c r="B662" i="1"/>
  <c r="C662" i="1"/>
  <c r="D662" i="1"/>
  <c r="E662" i="1"/>
  <c r="A663" i="1"/>
  <c r="B663" i="1"/>
  <c r="C663" i="1"/>
  <c r="D663" i="1"/>
  <c r="E663" i="1"/>
  <c r="A664" i="1"/>
  <c r="B664" i="1"/>
  <c r="C664" i="1"/>
  <c r="D664" i="1"/>
  <c r="E664" i="1"/>
  <c r="A665" i="1"/>
  <c r="B665" i="1"/>
  <c r="C665" i="1"/>
  <c r="D665" i="1"/>
  <c r="E665" i="1"/>
  <c r="A666" i="1"/>
  <c r="B666" i="1"/>
  <c r="C666" i="1"/>
  <c r="D666" i="1"/>
  <c r="E666" i="1"/>
  <c r="A667" i="1"/>
  <c r="B667" i="1"/>
  <c r="C667" i="1"/>
  <c r="D667" i="1"/>
  <c r="E667" i="1"/>
  <c r="A668" i="1"/>
  <c r="B668" i="1"/>
  <c r="C668" i="1"/>
  <c r="D668" i="1"/>
  <c r="E668" i="1"/>
  <c r="A669" i="1"/>
  <c r="B669" i="1"/>
  <c r="C669" i="1"/>
  <c r="D669" i="1"/>
  <c r="E669" i="1"/>
  <c r="A670" i="1"/>
  <c r="B670" i="1"/>
  <c r="C670" i="1"/>
  <c r="D670" i="1"/>
  <c r="E670" i="1"/>
  <c r="A671" i="1"/>
  <c r="B671" i="1"/>
  <c r="C671" i="1"/>
  <c r="D671" i="1"/>
  <c r="E671" i="1"/>
  <c r="A672" i="1"/>
  <c r="B672" i="1"/>
  <c r="C672" i="1"/>
  <c r="D672" i="1"/>
  <c r="E672" i="1"/>
  <c r="A673" i="1"/>
  <c r="B673" i="1"/>
  <c r="C673" i="1"/>
  <c r="D673" i="1"/>
  <c r="E673" i="1"/>
  <c r="A674" i="1"/>
  <c r="B674" i="1"/>
  <c r="C674" i="1"/>
  <c r="D674" i="1"/>
  <c r="E674" i="1"/>
  <c r="A675" i="1"/>
  <c r="B675" i="1"/>
  <c r="C675" i="1"/>
  <c r="D675" i="1"/>
  <c r="E675" i="1"/>
  <c r="A676" i="1"/>
  <c r="B676" i="1"/>
  <c r="C676" i="1"/>
  <c r="D676" i="1"/>
  <c r="E676" i="1"/>
  <c r="A677" i="1"/>
  <c r="B677" i="1"/>
  <c r="C677" i="1"/>
  <c r="D677" i="1"/>
  <c r="E677" i="1"/>
  <c r="A678" i="1"/>
  <c r="B678" i="1"/>
  <c r="C678" i="1"/>
  <c r="D678" i="1"/>
  <c r="E678" i="1"/>
  <c r="A679" i="1"/>
  <c r="B679" i="1"/>
  <c r="C679" i="1"/>
  <c r="D679" i="1"/>
  <c r="E679" i="1"/>
  <c r="A680" i="1"/>
  <c r="B680" i="1"/>
  <c r="C680" i="1"/>
  <c r="D680" i="1"/>
  <c r="E680" i="1"/>
  <c r="A681" i="1"/>
  <c r="B681" i="1"/>
  <c r="C681" i="1"/>
  <c r="D681" i="1"/>
  <c r="E681" i="1"/>
  <c r="A682" i="1"/>
  <c r="B682" i="1"/>
  <c r="C682" i="1"/>
  <c r="D682" i="1"/>
  <c r="E682" i="1"/>
  <c r="A683" i="1"/>
  <c r="B683" i="1"/>
  <c r="C683" i="1"/>
  <c r="D683" i="1"/>
  <c r="E683" i="1"/>
  <c r="A684" i="1"/>
  <c r="B684" i="1"/>
  <c r="C684" i="1"/>
  <c r="D684" i="1"/>
  <c r="E684" i="1"/>
  <c r="A685" i="1"/>
  <c r="B685" i="1"/>
  <c r="C685" i="1"/>
  <c r="D685" i="1"/>
  <c r="E685" i="1"/>
  <c r="A686" i="1"/>
  <c r="B686" i="1"/>
  <c r="C686" i="1"/>
  <c r="D686" i="1"/>
  <c r="E686" i="1"/>
  <c r="A687" i="1"/>
  <c r="B687" i="1"/>
  <c r="C687" i="1"/>
  <c r="D687" i="1"/>
  <c r="E687" i="1"/>
  <c r="A688" i="1"/>
  <c r="B688" i="1"/>
  <c r="C688" i="1"/>
  <c r="D688" i="1"/>
  <c r="E688" i="1"/>
  <c r="A689" i="1"/>
  <c r="B689" i="1"/>
  <c r="C689" i="1"/>
  <c r="D689" i="1"/>
  <c r="E689" i="1"/>
  <c r="A690" i="1"/>
  <c r="B690" i="1"/>
  <c r="C690" i="1"/>
  <c r="D690" i="1"/>
  <c r="E690" i="1"/>
  <c r="A691" i="1"/>
  <c r="B691" i="1"/>
  <c r="C691" i="1"/>
  <c r="D691" i="1"/>
  <c r="E691" i="1"/>
  <c r="A692" i="1"/>
  <c r="B692" i="1"/>
  <c r="C692" i="1"/>
  <c r="D692" i="1"/>
  <c r="E692" i="1"/>
  <c r="A693" i="1"/>
  <c r="B693" i="1"/>
  <c r="C693" i="1"/>
  <c r="D693" i="1"/>
  <c r="E693" i="1"/>
  <c r="A694" i="1"/>
  <c r="B694" i="1"/>
  <c r="C694" i="1"/>
  <c r="D694" i="1"/>
  <c r="E694" i="1"/>
  <c r="A695" i="1"/>
  <c r="B695" i="1"/>
  <c r="C695" i="1"/>
  <c r="D695" i="1"/>
  <c r="E695" i="1"/>
  <c r="A696" i="1"/>
  <c r="B696" i="1"/>
  <c r="C696" i="1"/>
  <c r="D696" i="1"/>
  <c r="E696" i="1"/>
  <c r="A697" i="1"/>
  <c r="B697" i="1"/>
  <c r="C697" i="1"/>
  <c r="D697" i="1"/>
  <c r="E697" i="1"/>
  <c r="A698" i="1"/>
  <c r="B698" i="1"/>
  <c r="C698" i="1"/>
  <c r="D698" i="1"/>
  <c r="E698" i="1"/>
  <c r="A699" i="1"/>
  <c r="B699" i="1"/>
  <c r="C699" i="1"/>
  <c r="D699" i="1"/>
  <c r="E699" i="1"/>
  <c r="A700" i="1"/>
  <c r="B700" i="1"/>
  <c r="C700" i="1"/>
  <c r="D700" i="1"/>
  <c r="E700" i="1"/>
  <c r="A701" i="1"/>
  <c r="B701" i="1"/>
  <c r="C701" i="1"/>
  <c r="D701" i="1"/>
  <c r="E701" i="1"/>
  <c r="A702" i="1"/>
  <c r="B702" i="1"/>
  <c r="C702" i="1"/>
  <c r="D702" i="1"/>
  <c r="E702" i="1"/>
  <c r="A703" i="1"/>
  <c r="B703" i="1"/>
  <c r="C703" i="1"/>
  <c r="D703" i="1"/>
  <c r="E703" i="1"/>
  <c r="A704" i="1"/>
  <c r="B704" i="1"/>
  <c r="C704" i="1"/>
  <c r="D704" i="1"/>
  <c r="E704" i="1"/>
  <c r="A705" i="1"/>
  <c r="B705" i="1"/>
  <c r="C705" i="1"/>
  <c r="D705" i="1"/>
  <c r="E705" i="1"/>
  <c r="A706" i="1"/>
  <c r="B706" i="1"/>
  <c r="C706" i="1"/>
  <c r="D706" i="1"/>
  <c r="E706" i="1"/>
  <c r="A707" i="1"/>
  <c r="B707" i="1"/>
  <c r="C707" i="1"/>
  <c r="D707" i="1"/>
  <c r="E707" i="1"/>
  <c r="A708" i="1"/>
  <c r="B708" i="1"/>
  <c r="C708" i="1"/>
  <c r="D708" i="1"/>
  <c r="E708" i="1"/>
  <c r="A709" i="1"/>
  <c r="B709" i="1"/>
  <c r="C709" i="1"/>
  <c r="D709" i="1"/>
  <c r="E709" i="1"/>
  <c r="A710" i="1"/>
  <c r="B710" i="1"/>
  <c r="C710" i="1"/>
  <c r="D710" i="1"/>
  <c r="E710" i="1"/>
  <c r="A711" i="1"/>
  <c r="B711" i="1"/>
  <c r="C711" i="1"/>
  <c r="D711" i="1"/>
  <c r="E711" i="1"/>
  <c r="A712" i="1"/>
  <c r="B712" i="1"/>
  <c r="C712" i="1"/>
  <c r="D712" i="1"/>
  <c r="E712" i="1"/>
  <c r="A713" i="1"/>
  <c r="B713" i="1"/>
  <c r="C713" i="1"/>
  <c r="D713" i="1"/>
  <c r="E713" i="1"/>
  <c r="A714" i="1"/>
  <c r="B714" i="1"/>
  <c r="C714" i="1"/>
  <c r="D714" i="1"/>
  <c r="E714" i="1"/>
  <c r="A715" i="1"/>
  <c r="B715" i="1"/>
  <c r="C715" i="1"/>
  <c r="D715" i="1"/>
  <c r="E715" i="1"/>
  <c r="A716" i="1"/>
  <c r="B716" i="1"/>
  <c r="C716" i="1"/>
  <c r="D716" i="1"/>
  <c r="E716" i="1"/>
  <c r="A717" i="1"/>
  <c r="B717" i="1"/>
  <c r="C717" i="1"/>
  <c r="D717" i="1"/>
  <c r="E717" i="1"/>
  <c r="A718" i="1"/>
  <c r="B718" i="1"/>
  <c r="C718" i="1"/>
  <c r="D718" i="1"/>
  <c r="E718" i="1"/>
  <c r="A719" i="1"/>
  <c r="B719" i="1"/>
  <c r="C719" i="1"/>
  <c r="D719" i="1"/>
  <c r="E719" i="1"/>
  <c r="A720" i="1"/>
  <c r="B720" i="1"/>
  <c r="C720" i="1"/>
  <c r="D720" i="1"/>
  <c r="E720" i="1"/>
  <c r="A721" i="1"/>
  <c r="B721" i="1"/>
  <c r="C721" i="1"/>
  <c r="D721" i="1"/>
  <c r="E721" i="1"/>
  <c r="A722" i="1"/>
  <c r="B722" i="1"/>
  <c r="C722" i="1"/>
  <c r="D722" i="1"/>
  <c r="E722" i="1"/>
  <c r="A723" i="1"/>
  <c r="B723" i="1"/>
  <c r="C723" i="1"/>
  <c r="D723" i="1"/>
  <c r="E723" i="1"/>
  <c r="A724" i="1"/>
  <c r="B724" i="1"/>
  <c r="C724" i="1"/>
  <c r="D724" i="1"/>
  <c r="E724" i="1"/>
  <c r="A725" i="1"/>
  <c r="B725" i="1"/>
  <c r="C725" i="1"/>
  <c r="D725" i="1"/>
  <c r="E725" i="1"/>
  <c r="A726" i="1"/>
  <c r="B726" i="1"/>
  <c r="C726" i="1"/>
  <c r="D726" i="1"/>
  <c r="E726" i="1"/>
  <c r="A727" i="1"/>
  <c r="B727" i="1"/>
  <c r="C727" i="1"/>
  <c r="D727" i="1"/>
  <c r="E727" i="1"/>
  <c r="A728" i="1"/>
  <c r="B728" i="1"/>
  <c r="C728" i="1"/>
  <c r="D728" i="1"/>
  <c r="E728" i="1"/>
  <c r="A729" i="1"/>
  <c r="B729" i="1"/>
  <c r="C729" i="1"/>
  <c r="D729" i="1"/>
  <c r="E729" i="1"/>
  <c r="A730" i="1"/>
  <c r="B730" i="1"/>
  <c r="C730" i="1"/>
  <c r="D730" i="1"/>
  <c r="E730" i="1"/>
  <c r="A731" i="1"/>
  <c r="B731" i="1"/>
  <c r="C731" i="1"/>
  <c r="D731" i="1"/>
  <c r="E731" i="1"/>
  <c r="A732" i="1"/>
  <c r="B732" i="1"/>
  <c r="C732" i="1"/>
  <c r="D732" i="1"/>
  <c r="E732" i="1"/>
  <c r="A733" i="1"/>
  <c r="B733" i="1"/>
  <c r="C733" i="1"/>
  <c r="D733" i="1"/>
  <c r="E733" i="1"/>
  <c r="A734" i="1"/>
  <c r="B734" i="1"/>
  <c r="C734" i="1"/>
  <c r="D734" i="1"/>
  <c r="E734" i="1"/>
  <c r="A735" i="1"/>
  <c r="B735" i="1"/>
  <c r="C735" i="1"/>
  <c r="D735" i="1"/>
  <c r="E735" i="1"/>
  <c r="A736" i="1"/>
  <c r="B736" i="1"/>
  <c r="C736" i="1"/>
  <c r="D736" i="1"/>
  <c r="E736" i="1"/>
  <c r="A737" i="1"/>
  <c r="B737" i="1"/>
  <c r="C737" i="1"/>
  <c r="D737" i="1"/>
  <c r="E737" i="1"/>
  <c r="A738" i="1"/>
  <c r="B738" i="1"/>
  <c r="C738" i="1"/>
  <c r="D738" i="1"/>
  <c r="E738" i="1"/>
  <c r="A739" i="1"/>
  <c r="B739" i="1"/>
  <c r="C739" i="1"/>
  <c r="D739" i="1"/>
  <c r="E739" i="1"/>
  <c r="A740" i="1"/>
  <c r="B740" i="1"/>
  <c r="C740" i="1"/>
  <c r="D740" i="1"/>
  <c r="E740" i="1"/>
  <c r="A741" i="1"/>
  <c r="B741" i="1"/>
  <c r="C741" i="1"/>
  <c r="D741" i="1"/>
  <c r="E741" i="1"/>
  <c r="A742" i="1"/>
  <c r="B742" i="1"/>
  <c r="C742" i="1"/>
  <c r="D742" i="1"/>
  <c r="E742" i="1"/>
  <c r="A743" i="1"/>
  <c r="B743" i="1"/>
  <c r="C743" i="1"/>
  <c r="D743" i="1"/>
  <c r="E743" i="1"/>
  <c r="A744" i="1"/>
  <c r="B744" i="1"/>
  <c r="C744" i="1"/>
  <c r="D744" i="1"/>
  <c r="E744" i="1"/>
  <c r="A745" i="1"/>
  <c r="B745" i="1"/>
  <c r="C745" i="1"/>
  <c r="D745" i="1"/>
  <c r="E745" i="1"/>
  <c r="A746" i="1"/>
  <c r="B746" i="1"/>
  <c r="C746" i="1"/>
  <c r="D746" i="1"/>
  <c r="E746" i="1"/>
  <c r="A747" i="1"/>
  <c r="B747" i="1"/>
  <c r="C747" i="1"/>
  <c r="D747" i="1"/>
  <c r="E747" i="1"/>
  <c r="A748" i="1"/>
  <c r="B748" i="1"/>
  <c r="C748" i="1"/>
  <c r="D748" i="1"/>
  <c r="E748" i="1"/>
  <c r="A749" i="1"/>
  <c r="B749" i="1"/>
  <c r="C749" i="1"/>
  <c r="D749" i="1"/>
  <c r="E749" i="1"/>
  <c r="A750" i="1"/>
  <c r="B750" i="1"/>
  <c r="C750" i="1"/>
  <c r="D750" i="1"/>
  <c r="E750" i="1"/>
  <c r="A751" i="1"/>
  <c r="B751" i="1"/>
  <c r="C751" i="1"/>
  <c r="D751" i="1"/>
  <c r="E751" i="1"/>
  <c r="A752" i="1"/>
  <c r="B752" i="1"/>
  <c r="C752" i="1"/>
  <c r="D752" i="1"/>
  <c r="E752" i="1"/>
  <c r="A753" i="1"/>
  <c r="B753" i="1"/>
  <c r="C753" i="1"/>
  <c r="D753" i="1"/>
  <c r="E753" i="1"/>
  <c r="A754" i="1"/>
  <c r="B754" i="1"/>
  <c r="C754" i="1"/>
  <c r="D754" i="1"/>
  <c r="E754" i="1"/>
  <c r="A755" i="1"/>
  <c r="B755" i="1"/>
  <c r="C755" i="1"/>
  <c r="D755" i="1"/>
  <c r="E755" i="1"/>
  <c r="A756" i="1"/>
  <c r="B756" i="1"/>
  <c r="C756" i="1"/>
  <c r="D756" i="1"/>
  <c r="E756" i="1"/>
  <c r="A757" i="1"/>
  <c r="B757" i="1"/>
  <c r="C757" i="1"/>
  <c r="D757" i="1"/>
  <c r="E757" i="1"/>
  <c r="A758" i="1"/>
  <c r="B758" i="1"/>
  <c r="C758" i="1"/>
  <c r="D758" i="1"/>
  <c r="E758" i="1"/>
  <c r="A759" i="1"/>
  <c r="B759" i="1"/>
  <c r="C759" i="1"/>
  <c r="D759" i="1"/>
  <c r="E759" i="1"/>
  <c r="A760" i="1"/>
  <c r="B760" i="1"/>
  <c r="C760" i="1"/>
  <c r="D760" i="1"/>
  <c r="E760" i="1"/>
  <c r="A761" i="1"/>
  <c r="B761" i="1"/>
  <c r="C761" i="1"/>
  <c r="D761" i="1"/>
  <c r="E761" i="1"/>
  <c r="A762" i="1"/>
  <c r="B762" i="1"/>
  <c r="C762" i="1"/>
  <c r="D762" i="1"/>
  <c r="E762" i="1"/>
  <c r="A763" i="1"/>
  <c r="B763" i="1"/>
  <c r="C763" i="1"/>
  <c r="D763" i="1"/>
  <c r="E763" i="1"/>
  <c r="A764" i="1"/>
  <c r="B764" i="1"/>
  <c r="C764" i="1"/>
  <c r="D764" i="1"/>
  <c r="E764" i="1"/>
  <c r="A765" i="1"/>
  <c r="B765" i="1"/>
  <c r="C765" i="1"/>
  <c r="D765" i="1"/>
  <c r="E765" i="1"/>
  <c r="A766" i="1"/>
  <c r="B766" i="1"/>
  <c r="C766" i="1"/>
  <c r="D766" i="1"/>
  <c r="E766" i="1"/>
  <c r="A767" i="1"/>
  <c r="B767" i="1"/>
  <c r="C767" i="1"/>
  <c r="D767" i="1"/>
  <c r="E767" i="1"/>
  <c r="A768" i="1"/>
  <c r="B768" i="1"/>
  <c r="C768" i="1"/>
  <c r="D768" i="1"/>
  <c r="E768" i="1"/>
  <c r="A769" i="1"/>
  <c r="B769" i="1"/>
  <c r="C769" i="1"/>
  <c r="D769" i="1"/>
  <c r="E769" i="1"/>
  <c r="A770" i="1"/>
  <c r="B770" i="1"/>
  <c r="C770" i="1"/>
  <c r="D770" i="1"/>
  <c r="E770" i="1"/>
  <c r="A771" i="1"/>
  <c r="B771" i="1"/>
  <c r="C771" i="1"/>
  <c r="D771" i="1"/>
  <c r="E771" i="1"/>
  <c r="A772" i="1"/>
  <c r="B772" i="1"/>
  <c r="C772" i="1"/>
  <c r="D772" i="1"/>
  <c r="E772" i="1"/>
  <c r="A773" i="1"/>
  <c r="B773" i="1"/>
  <c r="C773" i="1"/>
  <c r="D773" i="1"/>
  <c r="E773" i="1"/>
  <c r="A774" i="1"/>
  <c r="B774" i="1"/>
  <c r="C774" i="1"/>
  <c r="D774" i="1"/>
  <c r="E774" i="1"/>
  <c r="A775" i="1"/>
  <c r="B775" i="1"/>
  <c r="C775" i="1"/>
  <c r="D775" i="1"/>
  <c r="E775" i="1"/>
  <c r="A776" i="1"/>
  <c r="B776" i="1"/>
  <c r="C776" i="1"/>
  <c r="D776" i="1"/>
  <c r="E776" i="1"/>
  <c r="A777" i="1"/>
  <c r="B777" i="1"/>
  <c r="C777" i="1"/>
  <c r="D777" i="1"/>
  <c r="E777" i="1"/>
  <c r="A778" i="1"/>
  <c r="B778" i="1"/>
  <c r="C778" i="1"/>
  <c r="D778" i="1"/>
  <c r="E778" i="1"/>
  <c r="A779" i="1"/>
  <c r="B779" i="1"/>
  <c r="C779" i="1"/>
  <c r="D779" i="1"/>
  <c r="E779" i="1"/>
  <c r="A780" i="1"/>
  <c r="B780" i="1"/>
  <c r="C780" i="1"/>
  <c r="D780" i="1"/>
  <c r="E780" i="1"/>
  <c r="A781" i="1"/>
  <c r="B781" i="1"/>
  <c r="C781" i="1"/>
  <c r="D781" i="1"/>
  <c r="E781" i="1"/>
  <c r="A782" i="1"/>
  <c r="B782" i="1"/>
  <c r="C782" i="1"/>
  <c r="D782" i="1"/>
  <c r="E782" i="1"/>
  <c r="A783" i="1"/>
  <c r="B783" i="1"/>
  <c r="C783" i="1"/>
  <c r="D783" i="1"/>
  <c r="E783" i="1"/>
  <c r="A784" i="1"/>
  <c r="B784" i="1"/>
  <c r="C784" i="1"/>
  <c r="D784" i="1"/>
  <c r="E784" i="1"/>
  <c r="A785" i="1"/>
  <c r="B785" i="1"/>
  <c r="C785" i="1"/>
  <c r="D785" i="1"/>
  <c r="E785" i="1"/>
  <c r="A786" i="1"/>
  <c r="B786" i="1"/>
  <c r="C786" i="1"/>
  <c r="D786" i="1"/>
  <c r="E786" i="1"/>
  <c r="A787" i="1"/>
  <c r="B787" i="1"/>
  <c r="C787" i="1"/>
  <c r="D787" i="1"/>
  <c r="E787" i="1"/>
  <c r="A788" i="1"/>
  <c r="B788" i="1"/>
  <c r="C788" i="1"/>
  <c r="D788" i="1"/>
  <c r="E788" i="1"/>
  <c r="A789" i="1"/>
  <c r="B789" i="1"/>
  <c r="C789" i="1"/>
  <c r="D789" i="1"/>
  <c r="E789" i="1"/>
  <c r="A790" i="1"/>
  <c r="B790" i="1"/>
  <c r="C790" i="1"/>
  <c r="D790" i="1"/>
  <c r="E790" i="1"/>
  <c r="A791" i="1"/>
  <c r="B791" i="1"/>
  <c r="C791" i="1"/>
  <c r="D791" i="1"/>
  <c r="E791" i="1"/>
  <c r="A792" i="1"/>
  <c r="B792" i="1"/>
  <c r="C792" i="1"/>
  <c r="D792" i="1"/>
  <c r="E792" i="1"/>
  <c r="A793" i="1"/>
  <c r="B793" i="1"/>
  <c r="C793" i="1"/>
  <c r="D793" i="1"/>
  <c r="E793" i="1"/>
  <c r="A794" i="1"/>
  <c r="B794" i="1"/>
  <c r="C794" i="1"/>
  <c r="D794" i="1"/>
  <c r="E794" i="1"/>
  <c r="A795" i="1"/>
  <c r="B795" i="1"/>
  <c r="C795" i="1"/>
  <c r="D795" i="1"/>
  <c r="E795" i="1"/>
  <c r="A796" i="1"/>
  <c r="B796" i="1"/>
  <c r="C796" i="1"/>
  <c r="D796" i="1"/>
  <c r="E796" i="1"/>
  <c r="A797" i="1"/>
  <c r="B797" i="1"/>
  <c r="C797" i="1"/>
  <c r="D797" i="1"/>
  <c r="E797" i="1"/>
  <c r="A798" i="1"/>
  <c r="B798" i="1"/>
  <c r="C798" i="1"/>
  <c r="D798" i="1"/>
  <c r="E798" i="1"/>
  <c r="A799" i="1"/>
  <c r="B799" i="1"/>
  <c r="C799" i="1"/>
  <c r="D799" i="1"/>
  <c r="E799" i="1"/>
  <c r="A800" i="1"/>
  <c r="B800" i="1"/>
  <c r="C800" i="1"/>
  <c r="D800" i="1"/>
  <c r="E800" i="1"/>
  <c r="A801" i="1"/>
  <c r="B801" i="1"/>
  <c r="C801" i="1"/>
  <c r="D801" i="1"/>
  <c r="E801" i="1"/>
  <c r="A802" i="1"/>
  <c r="B802" i="1"/>
  <c r="C802" i="1"/>
  <c r="D802" i="1"/>
  <c r="E802" i="1"/>
  <c r="A803" i="1"/>
  <c r="B803" i="1"/>
  <c r="C803" i="1"/>
  <c r="D803" i="1"/>
  <c r="E803" i="1"/>
  <c r="A804" i="1"/>
  <c r="B804" i="1"/>
  <c r="C804" i="1"/>
  <c r="D804" i="1"/>
  <c r="E804" i="1"/>
  <c r="A805" i="1"/>
  <c r="B805" i="1"/>
  <c r="C805" i="1"/>
  <c r="D805" i="1"/>
  <c r="E805" i="1"/>
  <c r="A806" i="1"/>
  <c r="B806" i="1"/>
  <c r="C806" i="1"/>
  <c r="D806" i="1"/>
  <c r="E806" i="1"/>
  <c r="A807" i="1"/>
  <c r="B807" i="1"/>
  <c r="C807" i="1"/>
  <c r="D807" i="1"/>
  <c r="E807" i="1"/>
  <c r="A808" i="1"/>
  <c r="B808" i="1"/>
  <c r="C808" i="1"/>
  <c r="D808" i="1"/>
  <c r="E808" i="1"/>
  <c r="A809" i="1"/>
  <c r="B809" i="1"/>
  <c r="C809" i="1"/>
  <c r="D809" i="1"/>
  <c r="E809" i="1"/>
  <c r="A810" i="1"/>
  <c r="B810" i="1"/>
  <c r="C810" i="1"/>
  <c r="D810" i="1"/>
  <c r="E810" i="1"/>
  <c r="A811" i="1"/>
  <c r="B811" i="1"/>
  <c r="C811" i="1"/>
  <c r="D811" i="1"/>
  <c r="E811" i="1"/>
  <c r="A812" i="1"/>
  <c r="B812" i="1"/>
  <c r="C812" i="1"/>
  <c r="D812" i="1"/>
  <c r="E812" i="1"/>
  <c r="A813" i="1"/>
  <c r="B813" i="1"/>
  <c r="C813" i="1"/>
  <c r="D813" i="1"/>
  <c r="E813" i="1"/>
  <c r="A814" i="1"/>
  <c r="B814" i="1"/>
  <c r="C814" i="1"/>
  <c r="D814" i="1"/>
  <c r="E814" i="1"/>
  <c r="A815" i="1"/>
  <c r="B815" i="1"/>
  <c r="C815" i="1"/>
  <c r="D815" i="1"/>
  <c r="E815" i="1"/>
  <c r="A816" i="1"/>
  <c r="B816" i="1"/>
  <c r="C816" i="1"/>
  <c r="D816" i="1"/>
  <c r="E816" i="1"/>
  <c r="A817" i="1"/>
  <c r="B817" i="1"/>
  <c r="C817" i="1"/>
  <c r="D817" i="1"/>
  <c r="E817" i="1"/>
  <c r="A818" i="1"/>
  <c r="B818" i="1"/>
  <c r="C818" i="1"/>
  <c r="D818" i="1"/>
  <c r="E818" i="1"/>
  <c r="A819" i="1"/>
  <c r="B819" i="1"/>
  <c r="C819" i="1"/>
  <c r="D819" i="1"/>
  <c r="E819" i="1"/>
  <c r="A820" i="1"/>
  <c r="B820" i="1"/>
  <c r="C820" i="1"/>
  <c r="D820" i="1"/>
  <c r="E820" i="1"/>
  <c r="A821" i="1"/>
  <c r="B821" i="1"/>
  <c r="C821" i="1"/>
  <c r="D821" i="1"/>
  <c r="E821" i="1"/>
  <c r="A822" i="1"/>
  <c r="B822" i="1"/>
  <c r="C822" i="1"/>
  <c r="D822" i="1"/>
  <c r="E822" i="1"/>
  <c r="A823" i="1"/>
  <c r="B823" i="1"/>
  <c r="C823" i="1"/>
  <c r="D823" i="1"/>
  <c r="E823" i="1"/>
  <c r="A824" i="1"/>
  <c r="B824" i="1"/>
  <c r="C824" i="1"/>
  <c r="D824" i="1"/>
  <c r="E824" i="1"/>
  <c r="A825" i="1"/>
  <c r="B825" i="1"/>
  <c r="C825" i="1"/>
  <c r="D825" i="1"/>
  <c r="E825" i="1"/>
  <c r="A826" i="1"/>
  <c r="B826" i="1"/>
  <c r="C826" i="1"/>
  <c r="D826" i="1"/>
  <c r="E826" i="1"/>
  <c r="A827" i="1"/>
  <c r="B827" i="1"/>
  <c r="C827" i="1"/>
  <c r="D827" i="1"/>
  <c r="E827" i="1"/>
  <c r="A828" i="1"/>
  <c r="B828" i="1"/>
  <c r="C828" i="1"/>
  <c r="D828" i="1"/>
  <c r="E828" i="1"/>
  <c r="A829" i="1"/>
  <c r="B829" i="1"/>
  <c r="C829" i="1"/>
  <c r="D829" i="1"/>
  <c r="E829" i="1"/>
  <c r="A830" i="1"/>
  <c r="B830" i="1"/>
  <c r="C830" i="1"/>
  <c r="D830" i="1"/>
  <c r="E830" i="1"/>
  <c r="A831" i="1"/>
  <c r="B831" i="1"/>
  <c r="C831" i="1"/>
  <c r="D831" i="1"/>
  <c r="E831" i="1"/>
  <c r="A832" i="1"/>
  <c r="B832" i="1"/>
  <c r="C832" i="1"/>
  <c r="D832" i="1"/>
  <c r="E832" i="1"/>
  <c r="A833" i="1"/>
  <c r="B833" i="1"/>
  <c r="C833" i="1"/>
  <c r="D833" i="1"/>
  <c r="E833" i="1"/>
  <c r="A834" i="1"/>
  <c r="B834" i="1"/>
  <c r="C834" i="1"/>
  <c r="D834" i="1"/>
  <c r="E834" i="1"/>
  <c r="A835" i="1"/>
  <c r="B835" i="1"/>
  <c r="C835" i="1"/>
  <c r="D835" i="1"/>
  <c r="E835" i="1"/>
  <c r="A836" i="1"/>
  <c r="B836" i="1"/>
  <c r="C836" i="1"/>
  <c r="D836" i="1"/>
  <c r="E836" i="1"/>
  <c r="A837" i="1"/>
  <c r="B837" i="1"/>
  <c r="C837" i="1"/>
  <c r="D837" i="1"/>
  <c r="E837" i="1"/>
  <c r="A838" i="1"/>
  <c r="B838" i="1"/>
  <c r="C838" i="1"/>
  <c r="D838" i="1"/>
  <c r="E838" i="1"/>
  <c r="A839" i="1"/>
  <c r="B839" i="1"/>
  <c r="C839" i="1"/>
  <c r="D839" i="1"/>
  <c r="E839" i="1"/>
  <c r="A840" i="1"/>
  <c r="B840" i="1"/>
  <c r="C840" i="1"/>
  <c r="D840" i="1"/>
  <c r="E840" i="1"/>
  <c r="A841" i="1"/>
  <c r="B841" i="1"/>
  <c r="C841" i="1"/>
  <c r="D841" i="1"/>
  <c r="E841" i="1"/>
  <c r="A842" i="1"/>
  <c r="B842" i="1"/>
  <c r="C842" i="1"/>
  <c r="D842" i="1"/>
  <c r="E842" i="1"/>
  <c r="A843" i="1"/>
  <c r="B843" i="1"/>
  <c r="C843" i="1"/>
  <c r="D843" i="1"/>
  <c r="E843" i="1"/>
  <c r="A844" i="1"/>
  <c r="B844" i="1"/>
  <c r="C844" i="1"/>
  <c r="D844" i="1"/>
  <c r="E844" i="1"/>
  <c r="A845" i="1"/>
  <c r="B845" i="1"/>
  <c r="C845" i="1"/>
  <c r="D845" i="1"/>
  <c r="E845" i="1"/>
  <c r="A846" i="1"/>
  <c r="B846" i="1"/>
  <c r="C846" i="1"/>
  <c r="D846" i="1"/>
  <c r="E846" i="1"/>
  <c r="A847" i="1"/>
  <c r="B847" i="1"/>
  <c r="C847" i="1"/>
  <c r="D847" i="1"/>
  <c r="E847" i="1"/>
  <c r="A848" i="1"/>
  <c r="B848" i="1"/>
  <c r="C848" i="1"/>
  <c r="D848" i="1"/>
  <c r="E848" i="1"/>
  <c r="A849" i="1"/>
  <c r="B849" i="1"/>
  <c r="C849" i="1"/>
  <c r="D849" i="1"/>
  <c r="E849" i="1"/>
  <c r="A850" i="1"/>
  <c r="B850" i="1"/>
  <c r="C850" i="1"/>
  <c r="D850" i="1"/>
  <c r="E850" i="1"/>
  <c r="A851" i="1"/>
  <c r="B851" i="1"/>
  <c r="C851" i="1"/>
  <c r="D851" i="1"/>
  <c r="E851" i="1"/>
  <c r="A852" i="1"/>
  <c r="B852" i="1"/>
  <c r="C852" i="1"/>
  <c r="D852" i="1"/>
  <c r="E852" i="1"/>
  <c r="A853" i="1"/>
  <c r="B853" i="1"/>
  <c r="C853" i="1"/>
  <c r="D853" i="1"/>
  <c r="E853" i="1"/>
  <c r="A854" i="1"/>
  <c r="B854" i="1"/>
  <c r="C854" i="1"/>
  <c r="D854" i="1"/>
  <c r="E854" i="1"/>
  <c r="A855" i="1"/>
  <c r="B855" i="1"/>
  <c r="C855" i="1"/>
  <c r="D855" i="1"/>
  <c r="E855" i="1"/>
  <c r="A856" i="1"/>
  <c r="B856" i="1"/>
  <c r="C856" i="1"/>
  <c r="D856" i="1"/>
  <c r="E856" i="1"/>
  <c r="A857" i="1"/>
  <c r="B857" i="1"/>
  <c r="C857" i="1"/>
  <c r="D857" i="1"/>
  <c r="E857" i="1"/>
  <c r="A858" i="1"/>
  <c r="B858" i="1"/>
  <c r="C858" i="1"/>
  <c r="D858" i="1"/>
  <c r="E858" i="1"/>
  <c r="A859" i="1"/>
  <c r="B859" i="1"/>
  <c r="C859" i="1"/>
  <c r="D859" i="1"/>
  <c r="E859" i="1"/>
  <c r="A860" i="1"/>
  <c r="B860" i="1"/>
  <c r="C860" i="1"/>
  <c r="D860" i="1"/>
  <c r="E860" i="1"/>
  <c r="A861" i="1"/>
  <c r="B861" i="1"/>
  <c r="C861" i="1"/>
  <c r="D861" i="1"/>
  <c r="E861" i="1"/>
  <c r="A862" i="1"/>
  <c r="B862" i="1"/>
  <c r="C862" i="1"/>
  <c r="D862" i="1"/>
  <c r="E862" i="1"/>
  <c r="A863" i="1"/>
  <c r="B863" i="1"/>
  <c r="C863" i="1"/>
  <c r="D863" i="1"/>
  <c r="E863" i="1"/>
  <c r="A864" i="1"/>
  <c r="B864" i="1"/>
  <c r="C864" i="1"/>
  <c r="D864" i="1"/>
  <c r="E864" i="1"/>
  <c r="A865" i="1"/>
  <c r="B865" i="1"/>
  <c r="C865" i="1"/>
  <c r="D865" i="1"/>
  <c r="E865" i="1"/>
  <c r="A866" i="1"/>
  <c r="B866" i="1"/>
  <c r="C866" i="1"/>
  <c r="D866" i="1"/>
  <c r="E866" i="1"/>
  <c r="A867" i="1"/>
  <c r="B867" i="1"/>
  <c r="C867" i="1"/>
  <c r="D867" i="1"/>
  <c r="E867" i="1"/>
  <c r="A868" i="1"/>
  <c r="B868" i="1"/>
  <c r="C868" i="1"/>
  <c r="D868" i="1"/>
  <c r="E868" i="1"/>
  <c r="A869" i="1"/>
  <c r="B869" i="1"/>
  <c r="C869" i="1"/>
  <c r="D869" i="1"/>
  <c r="E869" i="1"/>
  <c r="A870" i="1"/>
  <c r="B870" i="1"/>
  <c r="C870" i="1"/>
  <c r="D870" i="1"/>
  <c r="E870" i="1"/>
  <c r="A871" i="1"/>
  <c r="B871" i="1"/>
  <c r="C871" i="1"/>
  <c r="D871" i="1"/>
  <c r="E871" i="1"/>
  <c r="A872" i="1"/>
  <c r="B872" i="1"/>
  <c r="C872" i="1"/>
  <c r="D872" i="1"/>
  <c r="E872" i="1"/>
  <c r="A873" i="1"/>
  <c r="B873" i="1"/>
  <c r="C873" i="1"/>
  <c r="D873" i="1"/>
  <c r="E873" i="1"/>
  <c r="A874" i="1"/>
  <c r="B874" i="1"/>
  <c r="C874" i="1"/>
  <c r="D874" i="1"/>
  <c r="E874" i="1"/>
  <c r="A875" i="1"/>
  <c r="B875" i="1"/>
  <c r="C875" i="1"/>
  <c r="D875" i="1"/>
  <c r="E875" i="1"/>
  <c r="A876" i="1"/>
  <c r="B876" i="1"/>
  <c r="C876" i="1"/>
  <c r="D876" i="1"/>
  <c r="E876" i="1"/>
  <c r="A877" i="1"/>
  <c r="B877" i="1"/>
  <c r="C877" i="1"/>
  <c r="D877" i="1"/>
  <c r="E877" i="1"/>
  <c r="A878" i="1"/>
  <c r="B878" i="1"/>
  <c r="C878" i="1"/>
  <c r="D878" i="1"/>
  <c r="E878" i="1"/>
  <c r="A879" i="1"/>
  <c r="B879" i="1"/>
  <c r="C879" i="1"/>
  <c r="D879" i="1"/>
  <c r="E879" i="1"/>
  <c r="A880" i="1"/>
  <c r="B880" i="1"/>
  <c r="C880" i="1"/>
  <c r="D880" i="1"/>
  <c r="E880" i="1"/>
  <c r="A881" i="1"/>
  <c r="B881" i="1"/>
  <c r="C881" i="1"/>
  <c r="D881" i="1"/>
  <c r="E881" i="1"/>
  <c r="A882" i="1"/>
  <c r="B882" i="1"/>
  <c r="C882" i="1"/>
  <c r="D882" i="1"/>
  <c r="E882" i="1"/>
  <c r="A883" i="1"/>
  <c r="B883" i="1"/>
  <c r="C883" i="1"/>
  <c r="D883" i="1"/>
  <c r="E883" i="1"/>
  <c r="A884" i="1"/>
  <c r="B884" i="1"/>
  <c r="C884" i="1"/>
  <c r="D884" i="1"/>
  <c r="E884" i="1"/>
  <c r="A885" i="1"/>
  <c r="B885" i="1"/>
  <c r="C885" i="1"/>
  <c r="D885" i="1"/>
  <c r="E885" i="1"/>
  <c r="A886" i="1"/>
  <c r="B886" i="1"/>
  <c r="C886" i="1"/>
  <c r="D886" i="1"/>
  <c r="E886" i="1"/>
  <c r="A887" i="1"/>
  <c r="B887" i="1"/>
  <c r="C887" i="1"/>
  <c r="D887" i="1"/>
  <c r="E887" i="1"/>
  <c r="A888" i="1"/>
  <c r="B888" i="1"/>
  <c r="C888" i="1"/>
  <c r="D888" i="1"/>
  <c r="E888" i="1"/>
  <c r="A889" i="1"/>
  <c r="B889" i="1"/>
  <c r="C889" i="1"/>
  <c r="D889" i="1"/>
  <c r="E889" i="1"/>
  <c r="A890" i="1"/>
  <c r="B890" i="1"/>
  <c r="C890" i="1"/>
  <c r="D890" i="1"/>
  <c r="E890" i="1"/>
  <c r="A891" i="1"/>
  <c r="B891" i="1"/>
  <c r="C891" i="1"/>
  <c r="D891" i="1"/>
  <c r="E891" i="1"/>
  <c r="A892" i="1"/>
  <c r="B892" i="1"/>
  <c r="C892" i="1"/>
  <c r="D892" i="1"/>
  <c r="E892" i="1"/>
  <c r="A893" i="1"/>
  <c r="B893" i="1"/>
  <c r="C893" i="1"/>
  <c r="D893" i="1"/>
  <c r="E893" i="1"/>
  <c r="A894" i="1"/>
  <c r="B894" i="1"/>
  <c r="C894" i="1"/>
  <c r="D894" i="1"/>
  <c r="E894" i="1"/>
  <c r="A895" i="1"/>
  <c r="B895" i="1"/>
  <c r="C895" i="1"/>
  <c r="D895" i="1"/>
  <c r="E895" i="1"/>
  <c r="A896" i="1"/>
  <c r="B896" i="1"/>
  <c r="C896" i="1"/>
  <c r="D896" i="1"/>
  <c r="E896" i="1"/>
  <c r="A897" i="1"/>
  <c r="B897" i="1"/>
  <c r="C897" i="1"/>
  <c r="D897" i="1"/>
  <c r="E897" i="1"/>
  <c r="A898" i="1"/>
  <c r="B898" i="1"/>
  <c r="C898" i="1"/>
  <c r="D898" i="1"/>
  <c r="E898" i="1"/>
  <c r="A899" i="1"/>
  <c r="B899" i="1"/>
  <c r="C899" i="1"/>
  <c r="D899" i="1"/>
  <c r="E899" i="1"/>
  <c r="A900" i="1"/>
  <c r="B900" i="1"/>
  <c r="C900" i="1"/>
  <c r="D900" i="1"/>
  <c r="E900" i="1"/>
  <c r="A901" i="1"/>
  <c r="B901" i="1"/>
  <c r="C901" i="1"/>
  <c r="D901" i="1"/>
  <c r="E901" i="1"/>
  <c r="A902" i="1"/>
  <c r="B902" i="1"/>
  <c r="C902" i="1"/>
  <c r="D902" i="1"/>
  <c r="E902" i="1"/>
  <c r="A903" i="1"/>
  <c r="B903" i="1"/>
  <c r="C903" i="1"/>
  <c r="D903" i="1"/>
  <c r="E903" i="1"/>
  <c r="A904" i="1"/>
  <c r="B904" i="1"/>
  <c r="C904" i="1"/>
  <c r="D904" i="1"/>
  <c r="E904" i="1"/>
  <c r="A905" i="1"/>
  <c r="B905" i="1"/>
  <c r="C905" i="1"/>
  <c r="D905" i="1"/>
  <c r="E905" i="1"/>
  <c r="A906" i="1"/>
  <c r="B906" i="1"/>
  <c r="C906" i="1"/>
  <c r="D906" i="1"/>
  <c r="E906" i="1"/>
  <c r="A907" i="1"/>
  <c r="B907" i="1"/>
  <c r="C907" i="1"/>
  <c r="D907" i="1"/>
  <c r="E907" i="1"/>
  <c r="A908" i="1"/>
  <c r="B908" i="1"/>
  <c r="C908" i="1"/>
  <c r="D908" i="1"/>
  <c r="E908" i="1"/>
  <c r="A909" i="1"/>
  <c r="B909" i="1"/>
  <c r="C909" i="1"/>
  <c r="D909" i="1"/>
  <c r="E909" i="1"/>
  <c r="A910" i="1"/>
  <c r="B910" i="1"/>
  <c r="C910" i="1"/>
  <c r="D910" i="1"/>
  <c r="E910" i="1"/>
  <c r="A911" i="1"/>
  <c r="B911" i="1"/>
  <c r="C911" i="1"/>
  <c r="D911" i="1"/>
  <c r="E911" i="1"/>
  <c r="A912" i="1"/>
  <c r="B912" i="1"/>
  <c r="C912" i="1"/>
  <c r="D912" i="1"/>
  <c r="E912" i="1"/>
  <c r="A913" i="1"/>
  <c r="B913" i="1"/>
  <c r="C913" i="1"/>
  <c r="D913" i="1"/>
  <c r="E913" i="1"/>
  <c r="A914" i="1"/>
  <c r="B914" i="1"/>
  <c r="C914" i="1"/>
  <c r="D914" i="1"/>
  <c r="E914" i="1"/>
  <c r="A915" i="1"/>
  <c r="B915" i="1"/>
  <c r="C915" i="1"/>
  <c r="D915" i="1"/>
  <c r="E915" i="1"/>
  <c r="A916" i="1"/>
  <c r="B916" i="1"/>
  <c r="C916" i="1"/>
  <c r="D916" i="1"/>
  <c r="E916" i="1"/>
  <c r="A917" i="1"/>
  <c r="B917" i="1"/>
  <c r="C917" i="1"/>
  <c r="D917" i="1"/>
  <c r="E917" i="1"/>
  <c r="A918" i="1"/>
  <c r="B918" i="1"/>
  <c r="C918" i="1"/>
  <c r="D918" i="1"/>
  <c r="E918" i="1"/>
  <c r="A919" i="1"/>
  <c r="B919" i="1"/>
  <c r="C919" i="1"/>
  <c r="D919" i="1"/>
  <c r="E919" i="1"/>
  <c r="A920" i="1"/>
  <c r="B920" i="1"/>
  <c r="C920" i="1"/>
  <c r="D920" i="1"/>
  <c r="E920" i="1"/>
  <c r="A921" i="1"/>
  <c r="B921" i="1"/>
  <c r="C921" i="1"/>
  <c r="D921" i="1"/>
  <c r="E921" i="1"/>
  <c r="A922" i="1"/>
  <c r="B922" i="1"/>
  <c r="C922" i="1"/>
  <c r="D922" i="1"/>
  <c r="E922" i="1"/>
  <c r="A923" i="1"/>
  <c r="B923" i="1"/>
  <c r="C923" i="1"/>
  <c r="D923" i="1"/>
  <c r="E923" i="1"/>
  <c r="A924" i="1"/>
  <c r="B924" i="1"/>
  <c r="C924" i="1"/>
  <c r="D924" i="1"/>
  <c r="E924" i="1"/>
  <c r="A925" i="1"/>
  <c r="B925" i="1"/>
  <c r="C925" i="1"/>
  <c r="D925" i="1"/>
  <c r="E925" i="1"/>
  <c r="A926" i="1"/>
  <c r="B926" i="1"/>
  <c r="C926" i="1"/>
  <c r="D926" i="1"/>
  <c r="E926" i="1"/>
  <c r="A927" i="1"/>
  <c r="B927" i="1"/>
  <c r="C927" i="1"/>
  <c r="D927" i="1"/>
  <c r="E927" i="1"/>
  <c r="A928" i="1"/>
  <c r="B928" i="1"/>
  <c r="C928" i="1"/>
  <c r="D928" i="1"/>
  <c r="E928" i="1"/>
  <c r="A929" i="1"/>
  <c r="B929" i="1"/>
  <c r="C929" i="1"/>
  <c r="D929" i="1"/>
  <c r="E929" i="1"/>
  <c r="A930" i="1"/>
  <c r="B930" i="1"/>
  <c r="C930" i="1"/>
  <c r="D930" i="1"/>
  <c r="E930" i="1"/>
  <c r="A931" i="1"/>
  <c r="B931" i="1"/>
  <c r="C931" i="1"/>
  <c r="D931" i="1"/>
  <c r="E931" i="1"/>
  <c r="A932" i="1"/>
  <c r="B932" i="1"/>
  <c r="C932" i="1"/>
  <c r="D932" i="1"/>
  <c r="E932" i="1"/>
  <c r="A933" i="1"/>
  <c r="B933" i="1"/>
  <c r="C933" i="1"/>
  <c r="D933" i="1"/>
  <c r="E933" i="1"/>
  <c r="A934" i="1"/>
  <c r="B934" i="1"/>
  <c r="C934" i="1"/>
  <c r="D934" i="1"/>
  <c r="E934" i="1"/>
  <c r="A935" i="1"/>
  <c r="B935" i="1"/>
  <c r="C935" i="1"/>
  <c r="D935" i="1"/>
  <c r="E935" i="1"/>
  <c r="A936" i="1"/>
  <c r="B936" i="1"/>
  <c r="C936" i="1"/>
  <c r="D936" i="1"/>
  <c r="E936" i="1"/>
  <c r="A937" i="1"/>
  <c r="B937" i="1"/>
  <c r="C937" i="1"/>
  <c r="D937" i="1"/>
  <c r="E937" i="1"/>
  <c r="A938" i="1"/>
  <c r="B938" i="1"/>
  <c r="C938" i="1"/>
  <c r="D938" i="1"/>
  <c r="E938" i="1"/>
  <c r="A939" i="1"/>
  <c r="B939" i="1"/>
  <c r="C939" i="1"/>
  <c r="D939" i="1"/>
  <c r="E939" i="1"/>
  <c r="A940" i="1"/>
  <c r="B940" i="1"/>
  <c r="C940" i="1"/>
  <c r="D940" i="1"/>
  <c r="E940" i="1"/>
  <c r="A941" i="1"/>
  <c r="B941" i="1"/>
  <c r="C941" i="1"/>
  <c r="D941" i="1"/>
  <c r="E941" i="1"/>
  <c r="A942" i="1"/>
  <c r="B942" i="1"/>
  <c r="C942" i="1"/>
  <c r="D942" i="1"/>
  <c r="E942" i="1"/>
  <c r="A943" i="1"/>
  <c r="B943" i="1"/>
  <c r="C943" i="1"/>
  <c r="D943" i="1"/>
  <c r="E943" i="1"/>
  <c r="A944" i="1"/>
  <c r="B944" i="1"/>
  <c r="C944" i="1"/>
  <c r="D944" i="1"/>
  <c r="E944" i="1"/>
  <c r="A945" i="1"/>
  <c r="B945" i="1"/>
  <c r="C945" i="1"/>
  <c r="D945" i="1"/>
  <c r="E945" i="1"/>
  <c r="A946" i="1"/>
  <c r="B946" i="1"/>
  <c r="C946" i="1"/>
  <c r="D946" i="1"/>
  <c r="E946" i="1"/>
  <c r="A947" i="1"/>
  <c r="B947" i="1"/>
  <c r="C947" i="1"/>
  <c r="D947" i="1"/>
  <c r="E947" i="1"/>
  <c r="A948" i="1"/>
  <c r="B948" i="1"/>
  <c r="C948" i="1"/>
  <c r="D948" i="1"/>
  <c r="E948" i="1"/>
  <c r="A949" i="1"/>
  <c r="B949" i="1"/>
  <c r="C949" i="1"/>
  <c r="D949" i="1"/>
  <c r="E949" i="1"/>
  <c r="A950" i="1"/>
  <c r="B950" i="1"/>
  <c r="C950" i="1"/>
  <c r="D950" i="1"/>
  <c r="E950" i="1"/>
  <c r="A951" i="1"/>
  <c r="B951" i="1"/>
  <c r="C951" i="1"/>
  <c r="D951" i="1"/>
  <c r="E951" i="1"/>
  <c r="A952" i="1"/>
  <c r="B952" i="1"/>
  <c r="C952" i="1"/>
  <c r="D952" i="1"/>
  <c r="E952" i="1"/>
  <c r="A953" i="1"/>
  <c r="B953" i="1"/>
  <c r="C953" i="1"/>
  <c r="D953" i="1"/>
  <c r="E953" i="1"/>
  <c r="A954" i="1"/>
  <c r="B954" i="1"/>
  <c r="C954" i="1"/>
  <c r="D954" i="1"/>
  <c r="E954" i="1"/>
  <c r="A955" i="1"/>
  <c r="B955" i="1"/>
  <c r="C955" i="1"/>
  <c r="D955" i="1"/>
  <c r="E955" i="1"/>
  <c r="A956" i="1"/>
  <c r="B956" i="1"/>
  <c r="C956" i="1"/>
  <c r="D956" i="1"/>
  <c r="E956" i="1"/>
  <c r="A957" i="1"/>
  <c r="B957" i="1"/>
  <c r="C957" i="1"/>
  <c r="D957" i="1"/>
  <c r="E957" i="1"/>
  <c r="A958" i="1"/>
  <c r="B958" i="1"/>
  <c r="C958" i="1"/>
  <c r="D958" i="1"/>
  <c r="E958" i="1"/>
  <c r="A959" i="1"/>
  <c r="B959" i="1"/>
  <c r="C959" i="1"/>
  <c r="D959" i="1"/>
  <c r="E959" i="1"/>
  <c r="A960" i="1"/>
  <c r="B960" i="1"/>
  <c r="C960" i="1"/>
  <c r="D960" i="1"/>
  <c r="E960" i="1"/>
  <c r="A961" i="1"/>
  <c r="B961" i="1"/>
  <c r="C961" i="1"/>
  <c r="D961" i="1"/>
  <c r="E961" i="1"/>
  <c r="A962" i="1"/>
  <c r="B962" i="1"/>
  <c r="C962" i="1"/>
  <c r="D962" i="1"/>
  <c r="E962" i="1"/>
  <c r="A963" i="1"/>
  <c r="B963" i="1"/>
  <c r="C963" i="1"/>
  <c r="D963" i="1"/>
  <c r="E963" i="1"/>
  <c r="A964" i="1"/>
  <c r="B964" i="1"/>
  <c r="C964" i="1"/>
  <c r="D964" i="1"/>
  <c r="E964" i="1"/>
  <c r="A965" i="1"/>
  <c r="B965" i="1"/>
  <c r="C965" i="1"/>
  <c r="D965" i="1"/>
  <c r="E965" i="1"/>
  <c r="A966" i="1"/>
  <c r="B966" i="1"/>
  <c r="C966" i="1"/>
  <c r="D966" i="1"/>
  <c r="E966" i="1"/>
  <c r="A967" i="1"/>
  <c r="B967" i="1"/>
  <c r="C967" i="1"/>
  <c r="D967" i="1"/>
  <c r="E967" i="1"/>
  <c r="A968" i="1"/>
  <c r="B968" i="1"/>
  <c r="C968" i="1"/>
  <c r="D968" i="1"/>
  <c r="E968" i="1"/>
  <c r="A969" i="1"/>
  <c r="B969" i="1"/>
  <c r="C969" i="1"/>
  <c r="D969" i="1"/>
  <c r="E969" i="1"/>
  <c r="A970" i="1"/>
  <c r="B970" i="1"/>
  <c r="C970" i="1"/>
  <c r="D970" i="1"/>
  <c r="E970" i="1"/>
  <c r="A971" i="1"/>
  <c r="B971" i="1"/>
  <c r="C971" i="1"/>
  <c r="D971" i="1"/>
  <c r="E971" i="1"/>
  <c r="A972" i="1"/>
  <c r="B972" i="1"/>
  <c r="C972" i="1"/>
  <c r="D972" i="1"/>
  <c r="E972" i="1"/>
  <c r="A973" i="1"/>
  <c r="B973" i="1"/>
  <c r="C973" i="1"/>
  <c r="D973" i="1"/>
  <c r="E973" i="1"/>
  <c r="A974" i="1"/>
  <c r="B974" i="1"/>
  <c r="C974" i="1"/>
  <c r="D974" i="1"/>
  <c r="E974" i="1"/>
  <c r="A975" i="1"/>
  <c r="B975" i="1"/>
  <c r="C975" i="1"/>
  <c r="D975" i="1"/>
  <c r="E975" i="1"/>
  <c r="A976" i="1"/>
  <c r="B976" i="1"/>
  <c r="C976" i="1"/>
  <c r="D976" i="1"/>
  <c r="E976" i="1"/>
  <c r="A977" i="1"/>
  <c r="B977" i="1"/>
  <c r="C977" i="1"/>
  <c r="D977" i="1"/>
  <c r="E977" i="1"/>
  <c r="A978" i="1"/>
  <c r="B978" i="1"/>
  <c r="C978" i="1"/>
  <c r="D978" i="1"/>
  <c r="E978" i="1"/>
  <c r="A979" i="1"/>
  <c r="B979" i="1"/>
  <c r="C979" i="1"/>
  <c r="D979" i="1"/>
  <c r="E979" i="1"/>
  <c r="A980" i="1"/>
  <c r="B980" i="1"/>
  <c r="C980" i="1"/>
  <c r="D980" i="1"/>
  <c r="E980" i="1"/>
  <c r="A981" i="1"/>
  <c r="B981" i="1"/>
  <c r="C981" i="1"/>
  <c r="D981" i="1"/>
  <c r="E981" i="1"/>
  <c r="A982" i="1"/>
  <c r="B982" i="1"/>
  <c r="C982" i="1"/>
  <c r="D982" i="1"/>
  <c r="E982" i="1"/>
  <c r="A983" i="1"/>
  <c r="B983" i="1"/>
  <c r="C983" i="1"/>
  <c r="D983" i="1"/>
  <c r="E983" i="1"/>
  <c r="A984" i="1"/>
  <c r="B984" i="1"/>
  <c r="C984" i="1"/>
  <c r="D984" i="1"/>
  <c r="E984" i="1"/>
  <c r="A985" i="1"/>
  <c r="B985" i="1"/>
  <c r="C985" i="1"/>
  <c r="D985" i="1"/>
  <c r="E985" i="1"/>
  <c r="A986" i="1"/>
  <c r="B986" i="1"/>
  <c r="C986" i="1"/>
  <c r="D986" i="1"/>
  <c r="E986" i="1"/>
  <c r="A987" i="1"/>
  <c r="B987" i="1"/>
  <c r="C987" i="1"/>
  <c r="D987" i="1"/>
  <c r="E987" i="1"/>
  <c r="A988" i="1"/>
  <c r="B988" i="1"/>
  <c r="C988" i="1"/>
  <c r="D988" i="1"/>
  <c r="E988" i="1"/>
  <c r="A989" i="1"/>
  <c r="B989" i="1"/>
  <c r="C989" i="1"/>
  <c r="D989" i="1"/>
  <c r="E989" i="1"/>
  <c r="A990" i="1"/>
  <c r="B990" i="1"/>
  <c r="C990" i="1"/>
  <c r="D990" i="1"/>
  <c r="E990" i="1"/>
  <c r="A991" i="1"/>
  <c r="B991" i="1"/>
  <c r="C991" i="1"/>
  <c r="D991" i="1"/>
  <c r="E991" i="1"/>
  <c r="A992" i="1"/>
  <c r="B992" i="1"/>
  <c r="C992" i="1"/>
  <c r="D992" i="1"/>
  <c r="E992" i="1"/>
  <c r="A993" i="1"/>
  <c r="B993" i="1"/>
  <c r="C993" i="1"/>
  <c r="D993" i="1"/>
  <c r="E993" i="1"/>
  <c r="A994" i="1"/>
  <c r="B994" i="1"/>
  <c r="C994" i="1"/>
  <c r="D994" i="1"/>
  <c r="E994" i="1"/>
  <c r="A995" i="1"/>
  <c r="B995" i="1"/>
  <c r="C995" i="1"/>
  <c r="D995" i="1"/>
  <c r="E995" i="1"/>
  <c r="A996" i="1"/>
  <c r="B996" i="1"/>
  <c r="C996" i="1"/>
  <c r="D996" i="1"/>
  <c r="E996" i="1"/>
  <c r="A997" i="1"/>
  <c r="B997" i="1"/>
  <c r="C997" i="1"/>
  <c r="D997" i="1"/>
  <c r="E997" i="1"/>
  <c r="A998" i="1"/>
  <c r="B998" i="1"/>
  <c r="C998" i="1"/>
  <c r="D998" i="1"/>
  <c r="E998" i="1"/>
  <c r="A999" i="1"/>
  <c r="B999" i="1"/>
  <c r="C999" i="1"/>
  <c r="D999" i="1"/>
  <c r="E999" i="1"/>
  <c r="A1000" i="1"/>
  <c r="B1000" i="1"/>
  <c r="C1000" i="1"/>
  <c r="D1000" i="1"/>
  <c r="E1000" i="1"/>
  <c r="A1001" i="1"/>
  <c r="B1001" i="1"/>
  <c r="C1001" i="1"/>
  <c r="D1001" i="1"/>
  <c r="E1001" i="1"/>
  <c r="A1002" i="1"/>
  <c r="B1002" i="1"/>
  <c r="C1002" i="1"/>
  <c r="D1002" i="1"/>
  <c r="E1002" i="1"/>
  <c r="A1003" i="1"/>
  <c r="B1003" i="1"/>
  <c r="C1003" i="1"/>
  <c r="D1003" i="1"/>
  <c r="E1003" i="1"/>
  <c r="A1004" i="1"/>
  <c r="B1004" i="1"/>
  <c r="C1004" i="1"/>
  <c r="D1004" i="1"/>
  <c r="E1004" i="1"/>
  <c r="A1005" i="1"/>
  <c r="B1005" i="1"/>
  <c r="C1005" i="1"/>
  <c r="D1005" i="1"/>
  <c r="E1005" i="1"/>
  <c r="A1006" i="1"/>
  <c r="B1006" i="1"/>
  <c r="C1006" i="1"/>
  <c r="D1006" i="1"/>
  <c r="E1006" i="1"/>
  <c r="A1007" i="1"/>
  <c r="B1007" i="1"/>
  <c r="C1007" i="1"/>
  <c r="D1007" i="1"/>
  <c r="E1007" i="1"/>
  <c r="A1008" i="1"/>
  <c r="B1008" i="1"/>
  <c r="C1008" i="1"/>
  <c r="D1008" i="1"/>
  <c r="E1008" i="1"/>
  <c r="A1009" i="1"/>
  <c r="B1009" i="1"/>
  <c r="C1009" i="1"/>
  <c r="D1009" i="1"/>
  <c r="E1009" i="1"/>
  <c r="A1010" i="1"/>
  <c r="B1010" i="1"/>
  <c r="C1010" i="1"/>
  <c r="D1010" i="1"/>
  <c r="E1010" i="1"/>
  <c r="A1011" i="1"/>
  <c r="B1011" i="1"/>
  <c r="C1011" i="1"/>
  <c r="D1011" i="1"/>
  <c r="E1011" i="1"/>
  <c r="A1012" i="1"/>
  <c r="B1012" i="1"/>
  <c r="C1012" i="1"/>
  <c r="D1012" i="1"/>
  <c r="E1012" i="1"/>
  <c r="A1013" i="1"/>
  <c r="B1013" i="1"/>
  <c r="C1013" i="1"/>
  <c r="D1013" i="1"/>
  <c r="E1013" i="1"/>
  <c r="A1014" i="1"/>
  <c r="B1014" i="1"/>
  <c r="C1014" i="1"/>
  <c r="D1014" i="1"/>
  <c r="E1014" i="1"/>
  <c r="A1015" i="1"/>
  <c r="B1015" i="1"/>
  <c r="C1015" i="1"/>
  <c r="D1015" i="1"/>
  <c r="E1015" i="1"/>
  <c r="A1016" i="1"/>
  <c r="B1016" i="1"/>
  <c r="C1016" i="1"/>
  <c r="D1016" i="1"/>
  <c r="E1016" i="1"/>
  <c r="A1017" i="1"/>
  <c r="B1017" i="1"/>
  <c r="C1017" i="1"/>
  <c r="D1017" i="1"/>
  <c r="E1017" i="1"/>
  <c r="A1018" i="1"/>
  <c r="B1018" i="1"/>
  <c r="C1018" i="1"/>
  <c r="D1018" i="1"/>
  <c r="E1018" i="1"/>
  <c r="A1019" i="1"/>
  <c r="B1019" i="1"/>
  <c r="C1019" i="1"/>
  <c r="D1019" i="1"/>
  <c r="E1019" i="1"/>
  <c r="A1020" i="1"/>
  <c r="B1020" i="1"/>
  <c r="C1020" i="1"/>
  <c r="D1020" i="1"/>
  <c r="E1020" i="1"/>
  <c r="A1021" i="1"/>
  <c r="B1021" i="1"/>
  <c r="C1021" i="1"/>
  <c r="D1021" i="1"/>
  <c r="E1021" i="1"/>
  <c r="A1022" i="1"/>
  <c r="B1022" i="1"/>
  <c r="C1022" i="1"/>
  <c r="D1022" i="1"/>
  <c r="E1022" i="1"/>
  <c r="A1023" i="1"/>
  <c r="B1023" i="1"/>
  <c r="C1023" i="1"/>
  <c r="D1023" i="1"/>
  <c r="E1023" i="1"/>
  <c r="A1024" i="1"/>
  <c r="B1024" i="1"/>
  <c r="C1024" i="1"/>
  <c r="D1024" i="1"/>
  <c r="E1024" i="1"/>
  <c r="A1025" i="1"/>
  <c r="B1025" i="1"/>
  <c r="C1025" i="1"/>
  <c r="D1025" i="1"/>
  <c r="E1025" i="1"/>
  <c r="A1026" i="1"/>
  <c r="B1026" i="1"/>
  <c r="C1026" i="1"/>
  <c r="D1026" i="1"/>
  <c r="E1026" i="1"/>
  <c r="A1027" i="1"/>
  <c r="B1027" i="1"/>
  <c r="C1027" i="1"/>
  <c r="D1027" i="1"/>
  <c r="E1027" i="1"/>
  <c r="A1028" i="1"/>
  <c r="B1028" i="1"/>
  <c r="C1028" i="1"/>
  <c r="D1028" i="1"/>
  <c r="E1028" i="1"/>
  <c r="A1029" i="1"/>
  <c r="B1029" i="1"/>
  <c r="C1029" i="1"/>
  <c r="D1029" i="1"/>
  <c r="E1029" i="1"/>
  <c r="A1030" i="1"/>
  <c r="B1030" i="1"/>
  <c r="C1030" i="1"/>
  <c r="D1030" i="1"/>
  <c r="E1030" i="1"/>
  <c r="A1031" i="1"/>
  <c r="B1031" i="1"/>
  <c r="C1031" i="1"/>
  <c r="D1031" i="1"/>
  <c r="E1031" i="1"/>
  <c r="A1032" i="1"/>
  <c r="B1032" i="1"/>
  <c r="C1032" i="1"/>
  <c r="D1032" i="1"/>
  <c r="E1032" i="1"/>
  <c r="A1033" i="1"/>
  <c r="B1033" i="1"/>
  <c r="C1033" i="1"/>
  <c r="D1033" i="1"/>
  <c r="E1033" i="1"/>
  <c r="A1034" i="1"/>
  <c r="B1034" i="1"/>
  <c r="C1034" i="1"/>
  <c r="D1034" i="1"/>
  <c r="E1034" i="1"/>
  <c r="A1035" i="1"/>
  <c r="B1035" i="1"/>
  <c r="C1035" i="1"/>
  <c r="D1035" i="1"/>
  <c r="E1035" i="1"/>
  <c r="A1036" i="1"/>
  <c r="B1036" i="1"/>
  <c r="C1036" i="1"/>
  <c r="D1036" i="1"/>
  <c r="E1036" i="1"/>
  <c r="A1037" i="1"/>
  <c r="B1037" i="1"/>
  <c r="C1037" i="1"/>
  <c r="D1037" i="1"/>
  <c r="E1037" i="1"/>
  <c r="A1038" i="1"/>
  <c r="B1038" i="1"/>
  <c r="C1038" i="1"/>
  <c r="D1038" i="1"/>
  <c r="E1038" i="1"/>
  <c r="A1039" i="1"/>
  <c r="B1039" i="1"/>
  <c r="C1039" i="1"/>
  <c r="D1039" i="1"/>
  <c r="E1039" i="1"/>
  <c r="A1040" i="1"/>
  <c r="B1040" i="1"/>
  <c r="C1040" i="1"/>
  <c r="D1040" i="1"/>
  <c r="E1040" i="1"/>
  <c r="A1041" i="1"/>
  <c r="B1041" i="1"/>
  <c r="C1041" i="1"/>
  <c r="D1041" i="1"/>
  <c r="E1041" i="1"/>
  <c r="A1042" i="1"/>
  <c r="B1042" i="1"/>
  <c r="C1042" i="1"/>
  <c r="D1042" i="1"/>
  <c r="E1042" i="1"/>
  <c r="A1043" i="1"/>
  <c r="B1043" i="1"/>
  <c r="C1043" i="1"/>
  <c r="D1043" i="1"/>
  <c r="E1043" i="1"/>
  <c r="A1044" i="1"/>
  <c r="B1044" i="1"/>
  <c r="C1044" i="1"/>
  <c r="D1044" i="1"/>
  <c r="E1044" i="1"/>
  <c r="A1045" i="1"/>
  <c r="B1045" i="1"/>
  <c r="C1045" i="1"/>
  <c r="D1045" i="1"/>
  <c r="E1045" i="1"/>
  <c r="A1046" i="1"/>
  <c r="B1046" i="1"/>
  <c r="C1046" i="1"/>
  <c r="D1046" i="1"/>
  <c r="E1046" i="1"/>
  <c r="A1047" i="1"/>
  <c r="B1047" i="1"/>
  <c r="C1047" i="1"/>
  <c r="D1047" i="1"/>
  <c r="E1047" i="1"/>
  <c r="A1048" i="1"/>
  <c r="B1048" i="1"/>
  <c r="C1048" i="1"/>
  <c r="D1048" i="1"/>
  <c r="E1048" i="1"/>
  <c r="A1049" i="1"/>
  <c r="B1049" i="1"/>
  <c r="C1049" i="1"/>
  <c r="D1049" i="1"/>
  <c r="E1049" i="1"/>
  <c r="A1050" i="1"/>
  <c r="B1050" i="1"/>
  <c r="C1050" i="1"/>
  <c r="D1050" i="1"/>
  <c r="E1050" i="1"/>
  <c r="A1051" i="1"/>
  <c r="B1051" i="1"/>
  <c r="C1051" i="1"/>
  <c r="D1051" i="1"/>
  <c r="E1051" i="1"/>
  <c r="A1052" i="1"/>
  <c r="B1052" i="1"/>
  <c r="C1052" i="1"/>
  <c r="D1052" i="1"/>
  <c r="E1052" i="1"/>
  <c r="A1053" i="1"/>
  <c r="B1053" i="1"/>
  <c r="C1053" i="1"/>
  <c r="D1053" i="1"/>
  <c r="E1053" i="1"/>
  <c r="A1054" i="1"/>
  <c r="B1054" i="1"/>
  <c r="C1054" i="1"/>
  <c r="D1054" i="1"/>
  <c r="E1054" i="1"/>
  <c r="A1055" i="1"/>
  <c r="B1055" i="1"/>
  <c r="C1055" i="1"/>
  <c r="D1055" i="1"/>
  <c r="E1055" i="1"/>
  <c r="A1056" i="1"/>
  <c r="B1056" i="1"/>
  <c r="C1056" i="1"/>
  <c r="D1056" i="1"/>
  <c r="E1056" i="1"/>
  <c r="A1057" i="1"/>
  <c r="B1057" i="1"/>
  <c r="C1057" i="1"/>
  <c r="D1057" i="1"/>
  <c r="E1057" i="1"/>
  <c r="A1058" i="1"/>
  <c r="B1058" i="1"/>
  <c r="C1058" i="1"/>
  <c r="D1058" i="1"/>
  <c r="E1058" i="1"/>
  <c r="A1059" i="1"/>
  <c r="B1059" i="1"/>
  <c r="C1059" i="1"/>
  <c r="D1059" i="1"/>
  <c r="E1059" i="1"/>
  <c r="A1060" i="1"/>
  <c r="B1060" i="1"/>
  <c r="C1060" i="1"/>
  <c r="D1060" i="1"/>
  <c r="E1060" i="1"/>
  <c r="A1061" i="1"/>
  <c r="B1061" i="1"/>
  <c r="C1061" i="1"/>
  <c r="D1061" i="1"/>
  <c r="E1061" i="1"/>
  <c r="A1062" i="1"/>
  <c r="B1062" i="1"/>
  <c r="C1062" i="1"/>
  <c r="D1062" i="1"/>
  <c r="E1062" i="1"/>
  <c r="A1063" i="1"/>
  <c r="B1063" i="1"/>
  <c r="C1063" i="1"/>
  <c r="D1063" i="1"/>
  <c r="E1063" i="1"/>
  <c r="A1064" i="1"/>
  <c r="B1064" i="1"/>
  <c r="C1064" i="1"/>
  <c r="D1064" i="1"/>
  <c r="E1064" i="1"/>
  <c r="A1065" i="1"/>
  <c r="B1065" i="1"/>
  <c r="C1065" i="1"/>
  <c r="D1065" i="1"/>
  <c r="E1065" i="1"/>
  <c r="A1066" i="1"/>
  <c r="B1066" i="1"/>
  <c r="C1066" i="1"/>
  <c r="D1066" i="1"/>
  <c r="E1066" i="1"/>
  <c r="A1067" i="1"/>
  <c r="B1067" i="1"/>
  <c r="C1067" i="1"/>
  <c r="D1067" i="1"/>
  <c r="E1067" i="1"/>
  <c r="A1068" i="1"/>
  <c r="B1068" i="1"/>
  <c r="C1068" i="1"/>
  <c r="D1068" i="1"/>
  <c r="E1068" i="1"/>
  <c r="A1069" i="1"/>
  <c r="B1069" i="1"/>
  <c r="C1069" i="1"/>
  <c r="D1069" i="1"/>
  <c r="E1069" i="1"/>
  <c r="A1070" i="1"/>
  <c r="B1070" i="1"/>
  <c r="C1070" i="1"/>
  <c r="D1070" i="1"/>
  <c r="E1070" i="1"/>
  <c r="A1071" i="1"/>
  <c r="B1071" i="1"/>
  <c r="C1071" i="1"/>
  <c r="D1071" i="1"/>
  <c r="E1071" i="1"/>
  <c r="A1072" i="1"/>
  <c r="B1072" i="1"/>
  <c r="C1072" i="1"/>
  <c r="D1072" i="1"/>
  <c r="E1072" i="1"/>
  <c r="A1073" i="1"/>
  <c r="B1073" i="1"/>
  <c r="C1073" i="1"/>
  <c r="D1073" i="1"/>
  <c r="E1073" i="1"/>
  <c r="A1074" i="1"/>
  <c r="B1074" i="1"/>
  <c r="C1074" i="1"/>
  <c r="D1074" i="1"/>
  <c r="E1074" i="1"/>
  <c r="A1075" i="1"/>
  <c r="B1075" i="1"/>
  <c r="C1075" i="1"/>
  <c r="D1075" i="1"/>
  <c r="E1075" i="1"/>
  <c r="A1076" i="1"/>
  <c r="B1076" i="1"/>
  <c r="C1076" i="1"/>
  <c r="D1076" i="1"/>
  <c r="E1076" i="1"/>
  <c r="A1077" i="1"/>
  <c r="B1077" i="1"/>
  <c r="C1077" i="1"/>
  <c r="D1077" i="1"/>
  <c r="E1077" i="1"/>
  <c r="A1078" i="1"/>
  <c r="B1078" i="1"/>
  <c r="C1078" i="1"/>
  <c r="D1078" i="1"/>
  <c r="E1078" i="1"/>
  <c r="A1079" i="1"/>
  <c r="B1079" i="1"/>
  <c r="C1079" i="1"/>
  <c r="D1079" i="1"/>
  <c r="E1079" i="1"/>
  <c r="A1080" i="1"/>
  <c r="B1080" i="1"/>
  <c r="C1080" i="1"/>
  <c r="D1080" i="1"/>
  <c r="E1080" i="1"/>
  <c r="A1081" i="1"/>
  <c r="B1081" i="1"/>
  <c r="C1081" i="1"/>
  <c r="D1081" i="1"/>
  <c r="E1081" i="1"/>
  <c r="A1082" i="1"/>
  <c r="B1082" i="1"/>
  <c r="C1082" i="1"/>
  <c r="D1082" i="1"/>
  <c r="E1082" i="1"/>
  <c r="A1083" i="1"/>
  <c r="B1083" i="1"/>
  <c r="C1083" i="1"/>
  <c r="D1083" i="1"/>
  <c r="E1083" i="1"/>
  <c r="A1084" i="1"/>
  <c r="B1084" i="1"/>
  <c r="C1084" i="1"/>
  <c r="D1084" i="1"/>
  <c r="E1084" i="1"/>
  <c r="A1085" i="1"/>
  <c r="B1085" i="1"/>
  <c r="C1085" i="1"/>
  <c r="D1085" i="1"/>
  <c r="E1085" i="1"/>
  <c r="A1086" i="1"/>
  <c r="B1086" i="1"/>
  <c r="C1086" i="1"/>
  <c r="D1086" i="1"/>
  <c r="E1086" i="1"/>
  <c r="A1087" i="1"/>
  <c r="B1087" i="1"/>
  <c r="C1087" i="1"/>
  <c r="D1087" i="1"/>
  <c r="E1087" i="1"/>
  <c r="A1088" i="1"/>
  <c r="B1088" i="1"/>
  <c r="C1088" i="1"/>
  <c r="D1088" i="1"/>
  <c r="E1088" i="1"/>
  <c r="A1089" i="1"/>
  <c r="B1089" i="1"/>
  <c r="C1089" i="1"/>
  <c r="D1089" i="1"/>
  <c r="E1089" i="1"/>
  <c r="A1090" i="1"/>
  <c r="B1090" i="1"/>
  <c r="C1090" i="1"/>
  <c r="D1090" i="1"/>
  <c r="E1090" i="1"/>
  <c r="A1091" i="1"/>
  <c r="B1091" i="1"/>
  <c r="C1091" i="1"/>
  <c r="D1091" i="1"/>
  <c r="E1091" i="1"/>
  <c r="A1092" i="1"/>
  <c r="B1092" i="1"/>
  <c r="C1092" i="1"/>
  <c r="D1092" i="1"/>
  <c r="E1092" i="1"/>
  <c r="A1093" i="1"/>
  <c r="B1093" i="1"/>
  <c r="C1093" i="1"/>
  <c r="D1093" i="1"/>
  <c r="E1093" i="1"/>
  <c r="A1094" i="1"/>
  <c r="B1094" i="1"/>
  <c r="C1094" i="1"/>
  <c r="D1094" i="1"/>
  <c r="E1094" i="1"/>
  <c r="A1095" i="1"/>
  <c r="B1095" i="1"/>
  <c r="C1095" i="1"/>
  <c r="D1095" i="1"/>
  <c r="E1095" i="1"/>
  <c r="A1096" i="1"/>
  <c r="B1096" i="1"/>
  <c r="C1096" i="1"/>
  <c r="D1096" i="1"/>
  <c r="E1096" i="1"/>
  <c r="A1097" i="1"/>
  <c r="B1097" i="1"/>
  <c r="C1097" i="1"/>
  <c r="D1097" i="1"/>
  <c r="E1097" i="1"/>
  <c r="A1098" i="1"/>
  <c r="B1098" i="1"/>
  <c r="C1098" i="1"/>
  <c r="D1098" i="1"/>
  <c r="E1098" i="1"/>
  <c r="A1099" i="1"/>
  <c r="B1099" i="1"/>
  <c r="C1099" i="1"/>
  <c r="D1099" i="1"/>
  <c r="E1099" i="1"/>
  <c r="A1100" i="1"/>
  <c r="B1100" i="1"/>
  <c r="C1100" i="1"/>
  <c r="D1100" i="1"/>
  <c r="E1100" i="1"/>
  <c r="A1101" i="1"/>
  <c r="B1101" i="1"/>
  <c r="C1101" i="1"/>
  <c r="D1101" i="1"/>
  <c r="E1101" i="1"/>
  <c r="A1102" i="1"/>
  <c r="B1102" i="1"/>
  <c r="C1102" i="1"/>
  <c r="D1102" i="1"/>
  <c r="E1102" i="1"/>
  <c r="A1103" i="1"/>
  <c r="B1103" i="1"/>
  <c r="C1103" i="1"/>
  <c r="D1103" i="1"/>
  <c r="E1103" i="1"/>
  <c r="A1104" i="1"/>
  <c r="B1104" i="1"/>
  <c r="C1104" i="1"/>
  <c r="D1104" i="1"/>
  <c r="E1104" i="1"/>
  <c r="A1105" i="1"/>
  <c r="B1105" i="1"/>
  <c r="C1105" i="1"/>
  <c r="D1105" i="1"/>
  <c r="E1105" i="1"/>
  <c r="A1106" i="1"/>
  <c r="B1106" i="1"/>
  <c r="C1106" i="1"/>
  <c r="D1106" i="1"/>
  <c r="E1106" i="1"/>
  <c r="A1107" i="1"/>
  <c r="B1107" i="1"/>
  <c r="C1107" i="1"/>
  <c r="D1107" i="1"/>
  <c r="E1107" i="1"/>
  <c r="A1108" i="1"/>
  <c r="B1108" i="1"/>
  <c r="C1108" i="1"/>
  <c r="D1108" i="1"/>
  <c r="E1108" i="1"/>
  <c r="A1109" i="1"/>
  <c r="B1109" i="1"/>
  <c r="C1109" i="1"/>
  <c r="D1109" i="1"/>
  <c r="E1109" i="1"/>
  <c r="A1110" i="1"/>
  <c r="B1110" i="1"/>
  <c r="C1110" i="1"/>
  <c r="D1110" i="1"/>
  <c r="E1110" i="1"/>
  <c r="A1111" i="1"/>
  <c r="B1111" i="1"/>
  <c r="C1111" i="1"/>
  <c r="D1111" i="1"/>
  <c r="E1111" i="1"/>
  <c r="A1112" i="1"/>
  <c r="B1112" i="1"/>
  <c r="C1112" i="1"/>
  <c r="D1112" i="1"/>
  <c r="E1112" i="1"/>
  <c r="A1113" i="1"/>
  <c r="B1113" i="1"/>
  <c r="C1113" i="1"/>
  <c r="D1113" i="1"/>
  <c r="E1113" i="1"/>
  <c r="A1114" i="1"/>
  <c r="B1114" i="1"/>
  <c r="C1114" i="1"/>
  <c r="D1114" i="1"/>
  <c r="E1114" i="1"/>
  <c r="A1115" i="1"/>
  <c r="B1115" i="1"/>
  <c r="C1115" i="1"/>
  <c r="D1115" i="1"/>
  <c r="E1115" i="1"/>
  <c r="A1116" i="1"/>
  <c r="B1116" i="1"/>
  <c r="C1116" i="1"/>
  <c r="D1116" i="1"/>
  <c r="E1116" i="1"/>
  <c r="A1117" i="1"/>
  <c r="B1117" i="1"/>
  <c r="C1117" i="1"/>
  <c r="D1117" i="1"/>
  <c r="E1117" i="1"/>
  <c r="A1118" i="1"/>
  <c r="B1118" i="1"/>
  <c r="C1118" i="1"/>
  <c r="D1118" i="1"/>
  <c r="E1118" i="1"/>
  <c r="A1119" i="1"/>
  <c r="B1119" i="1"/>
  <c r="C1119" i="1"/>
  <c r="D1119" i="1"/>
  <c r="E1119" i="1"/>
  <c r="A1120" i="1"/>
  <c r="B1120" i="1"/>
  <c r="C1120" i="1"/>
  <c r="D1120" i="1"/>
  <c r="E1120" i="1"/>
  <c r="A1121" i="1"/>
  <c r="B1121" i="1"/>
  <c r="C1121" i="1"/>
  <c r="D1121" i="1"/>
  <c r="E1121" i="1"/>
  <c r="A1122" i="1"/>
  <c r="B1122" i="1"/>
  <c r="C1122" i="1"/>
  <c r="D1122" i="1"/>
  <c r="E1122" i="1"/>
  <c r="A1123" i="1"/>
  <c r="B1123" i="1"/>
  <c r="C1123" i="1"/>
  <c r="D1123" i="1"/>
  <c r="E1123" i="1"/>
  <c r="A1124" i="1"/>
  <c r="B1124" i="1"/>
  <c r="C1124" i="1"/>
  <c r="D1124" i="1"/>
  <c r="E1124" i="1"/>
  <c r="A1125" i="1"/>
  <c r="B1125" i="1"/>
  <c r="C1125" i="1"/>
  <c r="D1125" i="1"/>
  <c r="E1125" i="1"/>
  <c r="A1126" i="1"/>
  <c r="B1126" i="1"/>
  <c r="C1126" i="1"/>
  <c r="D1126" i="1"/>
  <c r="E1126" i="1"/>
  <c r="A1127" i="1"/>
  <c r="B1127" i="1"/>
  <c r="C1127" i="1"/>
  <c r="D1127" i="1"/>
  <c r="E1127" i="1"/>
  <c r="A1128" i="1"/>
  <c r="B1128" i="1"/>
  <c r="C1128" i="1"/>
  <c r="D1128" i="1"/>
  <c r="E1128" i="1"/>
  <c r="A1129" i="1"/>
  <c r="B1129" i="1"/>
  <c r="C1129" i="1"/>
  <c r="D1129" i="1"/>
  <c r="E1129" i="1"/>
  <c r="A1130" i="1"/>
  <c r="B1130" i="1"/>
  <c r="C1130" i="1"/>
  <c r="D1130" i="1"/>
  <c r="E1130" i="1"/>
  <c r="A1131" i="1"/>
  <c r="B1131" i="1"/>
  <c r="C1131" i="1"/>
  <c r="D1131" i="1"/>
  <c r="E1131" i="1"/>
  <c r="A1132" i="1"/>
  <c r="B1132" i="1"/>
  <c r="C1132" i="1"/>
  <c r="D1132" i="1"/>
  <c r="E1132" i="1"/>
  <c r="A1133" i="1"/>
  <c r="B1133" i="1"/>
  <c r="C1133" i="1"/>
  <c r="D1133" i="1"/>
  <c r="E1133" i="1"/>
  <c r="A1134" i="1"/>
  <c r="B1134" i="1"/>
  <c r="C1134" i="1"/>
  <c r="D1134" i="1"/>
  <c r="E1134" i="1"/>
  <c r="A1135" i="1"/>
  <c r="B1135" i="1"/>
  <c r="C1135" i="1"/>
  <c r="D1135" i="1"/>
  <c r="E1135" i="1"/>
  <c r="A1136" i="1"/>
  <c r="B1136" i="1"/>
  <c r="C1136" i="1"/>
  <c r="D1136" i="1"/>
  <c r="E1136" i="1"/>
  <c r="A1137" i="1"/>
  <c r="B1137" i="1"/>
  <c r="C1137" i="1"/>
  <c r="D1137" i="1"/>
  <c r="E1137" i="1"/>
  <c r="A1138" i="1"/>
  <c r="B1138" i="1"/>
  <c r="C1138" i="1"/>
  <c r="D1138" i="1"/>
  <c r="E1138" i="1"/>
  <c r="A1139" i="1"/>
  <c r="B1139" i="1"/>
  <c r="C1139" i="1"/>
  <c r="D1139" i="1"/>
  <c r="E1139" i="1"/>
  <c r="A1140" i="1"/>
  <c r="B1140" i="1"/>
  <c r="C1140" i="1"/>
  <c r="D1140" i="1"/>
  <c r="E1140" i="1"/>
  <c r="A1141" i="1"/>
  <c r="B1141" i="1"/>
  <c r="C1141" i="1"/>
  <c r="D1141" i="1"/>
  <c r="E1141" i="1"/>
  <c r="A1142" i="1"/>
  <c r="B1142" i="1"/>
  <c r="C1142" i="1"/>
  <c r="D1142" i="1"/>
  <c r="E1142" i="1"/>
  <c r="A1143" i="1"/>
  <c r="B1143" i="1"/>
  <c r="C1143" i="1"/>
  <c r="D1143" i="1"/>
  <c r="E1143" i="1"/>
  <c r="A1144" i="1"/>
  <c r="B1144" i="1"/>
  <c r="C1144" i="1"/>
  <c r="D1144" i="1"/>
  <c r="E1144" i="1"/>
  <c r="A1145" i="1"/>
  <c r="B1145" i="1"/>
  <c r="C1145" i="1"/>
  <c r="D1145" i="1"/>
  <c r="E1145" i="1"/>
  <c r="A1146" i="1"/>
  <c r="B1146" i="1"/>
  <c r="C1146" i="1"/>
  <c r="D1146" i="1"/>
  <c r="E1146" i="1"/>
  <c r="A1147" i="1"/>
  <c r="B1147" i="1"/>
  <c r="C1147" i="1"/>
  <c r="D1147" i="1"/>
  <c r="E1147" i="1"/>
  <c r="A1148" i="1"/>
  <c r="B1148" i="1"/>
  <c r="C1148" i="1"/>
  <c r="D1148" i="1"/>
  <c r="E1148" i="1"/>
  <c r="A1149" i="1"/>
  <c r="B1149" i="1"/>
  <c r="C1149" i="1"/>
  <c r="D1149" i="1"/>
  <c r="E1149" i="1"/>
  <c r="A1150" i="1"/>
  <c r="B1150" i="1"/>
  <c r="C1150" i="1"/>
  <c r="D1150" i="1"/>
  <c r="E1150" i="1"/>
  <c r="A1151" i="1"/>
  <c r="B1151" i="1"/>
  <c r="C1151" i="1"/>
  <c r="D1151" i="1"/>
  <c r="E1151" i="1"/>
  <c r="A1152" i="1"/>
  <c r="B1152" i="1"/>
  <c r="C1152" i="1"/>
  <c r="D1152" i="1"/>
  <c r="E1152" i="1"/>
  <c r="A1153" i="1"/>
  <c r="B1153" i="1"/>
  <c r="C1153" i="1"/>
  <c r="D1153" i="1"/>
  <c r="E1153" i="1"/>
  <c r="A1154" i="1"/>
  <c r="B1154" i="1"/>
  <c r="C1154" i="1"/>
  <c r="D1154" i="1"/>
  <c r="E1154" i="1"/>
  <c r="A1155" i="1"/>
  <c r="B1155" i="1"/>
  <c r="C1155" i="1"/>
  <c r="D1155" i="1"/>
  <c r="E1155" i="1"/>
  <c r="A1156" i="1"/>
  <c r="B1156" i="1"/>
  <c r="C1156" i="1"/>
  <c r="D1156" i="1"/>
  <c r="E1156" i="1"/>
  <c r="A1157" i="1"/>
  <c r="B1157" i="1"/>
  <c r="C1157" i="1"/>
  <c r="D1157" i="1"/>
  <c r="E1157" i="1"/>
  <c r="A1158" i="1"/>
  <c r="B1158" i="1"/>
  <c r="C1158" i="1"/>
  <c r="D1158" i="1"/>
  <c r="E1158" i="1"/>
  <c r="A1159" i="1"/>
  <c r="B1159" i="1"/>
  <c r="C1159" i="1"/>
  <c r="D1159" i="1"/>
  <c r="E1159" i="1"/>
  <c r="A1160" i="1"/>
  <c r="B1160" i="1"/>
  <c r="C1160" i="1"/>
  <c r="D1160" i="1"/>
  <c r="E1160" i="1"/>
  <c r="A1161" i="1"/>
  <c r="B1161" i="1"/>
  <c r="C1161" i="1"/>
  <c r="D1161" i="1"/>
  <c r="E1161" i="1"/>
  <c r="A1162" i="1"/>
  <c r="B1162" i="1"/>
  <c r="C1162" i="1"/>
  <c r="D1162" i="1"/>
  <c r="E1162" i="1"/>
  <c r="A1163" i="1"/>
  <c r="B1163" i="1"/>
  <c r="C1163" i="1"/>
  <c r="D1163" i="1"/>
  <c r="E1163" i="1"/>
  <c r="A1164" i="1"/>
  <c r="B1164" i="1"/>
  <c r="C1164" i="1"/>
  <c r="D1164" i="1"/>
  <c r="E1164" i="1"/>
  <c r="A1165" i="1"/>
  <c r="B1165" i="1"/>
  <c r="C1165" i="1"/>
  <c r="D1165" i="1"/>
  <c r="E1165" i="1"/>
  <c r="A1166" i="1"/>
  <c r="B1166" i="1"/>
  <c r="C1166" i="1"/>
  <c r="D1166" i="1"/>
  <c r="E1166" i="1"/>
  <c r="A1167" i="1"/>
  <c r="B1167" i="1"/>
  <c r="C1167" i="1"/>
  <c r="D1167" i="1"/>
  <c r="E1167" i="1"/>
  <c r="A1168" i="1"/>
  <c r="B1168" i="1"/>
  <c r="C1168" i="1"/>
  <c r="D1168" i="1"/>
  <c r="E1168" i="1"/>
  <c r="A1169" i="1"/>
  <c r="B1169" i="1"/>
  <c r="C1169" i="1"/>
  <c r="D1169" i="1"/>
  <c r="E1169" i="1"/>
  <c r="A1170" i="1"/>
  <c r="B1170" i="1"/>
  <c r="C1170" i="1"/>
  <c r="D1170" i="1"/>
  <c r="E1170" i="1"/>
  <c r="A1171" i="1"/>
  <c r="B1171" i="1"/>
  <c r="C1171" i="1"/>
  <c r="D1171" i="1"/>
  <c r="E1171" i="1"/>
  <c r="A1172" i="1"/>
  <c r="B1172" i="1"/>
  <c r="C1172" i="1"/>
  <c r="D1172" i="1"/>
  <c r="E1172" i="1"/>
  <c r="A1173" i="1"/>
  <c r="B1173" i="1"/>
  <c r="C1173" i="1"/>
  <c r="D1173" i="1"/>
  <c r="E1173" i="1"/>
  <c r="A1174" i="1"/>
  <c r="B1174" i="1"/>
  <c r="C1174" i="1"/>
  <c r="D1174" i="1"/>
  <c r="E1174" i="1"/>
  <c r="A1175" i="1"/>
  <c r="B1175" i="1"/>
  <c r="C1175" i="1"/>
  <c r="D1175" i="1"/>
  <c r="E1175" i="1"/>
  <c r="A1176" i="1"/>
  <c r="B1176" i="1"/>
  <c r="C1176" i="1"/>
  <c r="D1176" i="1"/>
  <c r="E1176" i="1"/>
  <c r="A1177" i="1"/>
  <c r="B1177" i="1"/>
  <c r="C1177" i="1"/>
  <c r="D1177" i="1"/>
  <c r="E1177" i="1"/>
  <c r="A1178" i="1"/>
  <c r="B1178" i="1"/>
  <c r="C1178" i="1"/>
  <c r="D1178" i="1"/>
  <c r="E1178" i="1"/>
  <c r="A1179" i="1"/>
  <c r="B1179" i="1"/>
  <c r="C1179" i="1"/>
  <c r="D1179" i="1"/>
  <c r="E1179" i="1"/>
  <c r="A1180" i="1"/>
  <c r="B1180" i="1"/>
  <c r="C1180" i="1"/>
  <c r="D1180" i="1"/>
  <c r="E1180" i="1"/>
  <c r="A1181" i="1"/>
  <c r="B1181" i="1"/>
  <c r="C1181" i="1"/>
  <c r="D1181" i="1"/>
  <c r="E1181" i="1"/>
  <c r="A1182" i="1"/>
  <c r="B1182" i="1"/>
  <c r="C1182" i="1"/>
  <c r="D1182" i="1"/>
  <c r="E1182" i="1"/>
  <c r="A1183" i="1"/>
  <c r="B1183" i="1"/>
  <c r="C1183" i="1"/>
  <c r="D1183" i="1"/>
  <c r="E1183" i="1"/>
  <c r="A1184" i="1"/>
  <c r="B1184" i="1"/>
  <c r="C1184" i="1"/>
  <c r="D1184" i="1"/>
  <c r="E1184" i="1"/>
  <c r="A1185" i="1"/>
  <c r="B1185" i="1"/>
  <c r="C1185" i="1"/>
  <c r="D1185" i="1"/>
  <c r="E1185" i="1"/>
  <c r="A1186" i="1"/>
  <c r="B1186" i="1"/>
  <c r="C1186" i="1"/>
  <c r="D1186" i="1"/>
  <c r="E1186" i="1"/>
  <c r="A1187" i="1"/>
  <c r="B1187" i="1"/>
  <c r="C1187" i="1"/>
  <c r="D1187" i="1"/>
  <c r="E1187" i="1"/>
  <c r="A1188" i="1"/>
  <c r="B1188" i="1"/>
  <c r="C1188" i="1"/>
  <c r="D1188" i="1"/>
  <c r="E1188" i="1"/>
  <c r="A1189" i="1"/>
  <c r="B1189" i="1"/>
  <c r="C1189" i="1"/>
  <c r="D1189" i="1"/>
  <c r="E1189" i="1"/>
  <c r="A1190" i="1"/>
  <c r="B1190" i="1"/>
  <c r="C1190" i="1"/>
  <c r="D1190" i="1"/>
  <c r="E1190" i="1"/>
  <c r="A1191" i="1"/>
  <c r="B1191" i="1"/>
  <c r="C1191" i="1"/>
  <c r="D1191" i="1"/>
  <c r="E1191" i="1"/>
  <c r="A1192" i="1"/>
  <c r="B1192" i="1"/>
  <c r="C1192" i="1"/>
  <c r="D1192" i="1"/>
  <c r="E1192" i="1"/>
  <c r="A1193" i="1"/>
  <c r="B1193" i="1"/>
  <c r="C1193" i="1"/>
  <c r="D1193" i="1"/>
  <c r="E1193" i="1"/>
  <c r="A1194" i="1"/>
  <c r="B1194" i="1"/>
  <c r="C1194" i="1"/>
  <c r="D1194" i="1"/>
  <c r="E1194" i="1"/>
  <c r="A1195" i="1"/>
  <c r="B1195" i="1"/>
  <c r="C1195" i="1"/>
  <c r="D1195" i="1"/>
  <c r="E1195" i="1"/>
  <c r="A1196" i="1"/>
  <c r="B1196" i="1"/>
  <c r="C1196" i="1"/>
  <c r="D1196" i="1"/>
  <c r="E1196" i="1"/>
  <c r="A1197" i="1"/>
  <c r="B1197" i="1"/>
  <c r="C1197" i="1"/>
  <c r="D1197" i="1"/>
  <c r="E1197" i="1"/>
  <c r="A1198" i="1"/>
  <c r="B1198" i="1"/>
  <c r="C1198" i="1"/>
  <c r="D1198" i="1"/>
  <c r="E1198" i="1"/>
  <c r="A1199" i="1"/>
  <c r="B1199" i="1"/>
  <c r="C1199" i="1"/>
  <c r="D1199" i="1"/>
  <c r="E1199" i="1"/>
  <c r="A1200" i="1"/>
  <c r="B1200" i="1"/>
  <c r="C1200" i="1"/>
  <c r="D1200" i="1"/>
  <c r="E1200" i="1"/>
  <c r="A1201" i="1"/>
  <c r="B1201" i="1"/>
  <c r="C1201" i="1"/>
  <c r="D1201" i="1"/>
  <c r="E1201" i="1"/>
  <c r="A1202" i="1"/>
  <c r="B1202" i="1"/>
  <c r="C1202" i="1"/>
  <c r="D1202" i="1"/>
  <c r="E1202" i="1"/>
  <c r="A1203" i="1"/>
  <c r="B1203" i="1"/>
  <c r="C1203" i="1"/>
  <c r="D1203" i="1"/>
  <c r="E1203" i="1"/>
  <c r="A1204" i="1"/>
  <c r="B1204" i="1"/>
  <c r="C1204" i="1"/>
  <c r="D1204" i="1"/>
  <c r="E1204" i="1"/>
  <c r="A1205" i="1"/>
  <c r="B1205" i="1"/>
  <c r="C1205" i="1"/>
  <c r="D1205" i="1"/>
  <c r="E1205" i="1"/>
  <c r="A1206" i="1"/>
  <c r="B1206" i="1"/>
  <c r="C1206" i="1"/>
  <c r="D1206" i="1"/>
  <c r="E1206" i="1"/>
  <c r="A1207" i="1"/>
  <c r="B1207" i="1"/>
  <c r="C1207" i="1"/>
  <c r="D1207" i="1"/>
  <c r="E1207" i="1"/>
  <c r="A1208" i="1"/>
  <c r="B1208" i="1"/>
  <c r="C1208" i="1"/>
  <c r="D1208" i="1"/>
  <c r="E1208" i="1"/>
  <c r="A1209" i="1"/>
  <c r="B1209" i="1"/>
  <c r="C1209" i="1"/>
  <c r="D1209" i="1"/>
  <c r="E1209" i="1"/>
  <c r="A1210" i="1"/>
  <c r="B1210" i="1"/>
  <c r="C1210" i="1"/>
  <c r="D1210" i="1"/>
  <c r="E1210" i="1"/>
  <c r="A1211" i="1"/>
  <c r="B1211" i="1"/>
  <c r="C1211" i="1"/>
  <c r="D1211" i="1"/>
  <c r="E1211" i="1"/>
  <c r="A1212" i="1"/>
  <c r="B1212" i="1"/>
  <c r="C1212" i="1"/>
  <c r="D1212" i="1"/>
  <c r="E1212" i="1"/>
  <c r="A1213" i="1"/>
  <c r="B1213" i="1"/>
  <c r="C1213" i="1"/>
  <c r="D1213" i="1"/>
  <c r="E1213" i="1"/>
  <c r="A1214" i="1"/>
  <c r="B1214" i="1"/>
  <c r="C1214" i="1"/>
  <c r="D1214" i="1"/>
  <c r="E1214" i="1"/>
  <c r="A1215" i="1"/>
  <c r="B1215" i="1"/>
  <c r="C1215" i="1"/>
  <c r="D1215" i="1"/>
  <c r="E1215" i="1"/>
  <c r="A1216" i="1"/>
  <c r="B1216" i="1"/>
  <c r="C1216" i="1"/>
  <c r="D1216" i="1"/>
  <c r="E1216" i="1"/>
  <c r="A1217" i="1"/>
  <c r="B1217" i="1"/>
  <c r="C1217" i="1"/>
  <c r="D1217" i="1"/>
  <c r="E1217" i="1"/>
  <c r="A1218" i="1"/>
  <c r="B1218" i="1"/>
  <c r="C1218" i="1"/>
  <c r="D1218" i="1"/>
  <c r="E1218" i="1"/>
  <c r="A1219" i="1"/>
  <c r="B1219" i="1"/>
  <c r="C1219" i="1"/>
  <c r="D1219" i="1"/>
  <c r="E1219" i="1"/>
  <c r="A1220" i="1"/>
  <c r="B1220" i="1"/>
  <c r="C1220" i="1"/>
  <c r="D1220" i="1"/>
  <c r="E1220" i="1"/>
  <c r="A1221" i="1"/>
  <c r="B1221" i="1"/>
  <c r="C1221" i="1"/>
  <c r="D1221" i="1"/>
  <c r="E1221" i="1"/>
  <c r="A1222" i="1"/>
  <c r="B1222" i="1"/>
  <c r="C1222" i="1"/>
  <c r="D1222" i="1"/>
  <c r="E1222" i="1"/>
  <c r="A1223" i="1"/>
  <c r="B1223" i="1"/>
  <c r="C1223" i="1"/>
  <c r="D1223" i="1"/>
  <c r="E1223" i="1"/>
  <c r="A1224" i="1"/>
  <c r="B1224" i="1"/>
  <c r="C1224" i="1"/>
  <c r="D1224" i="1"/>
  <c r="E1224" i="1"/>
  <c r="A1225" i="1"/>
  <c r="B1225" i="1"/>
  <c r="C1225" i="1"/>
  <c r="D1225" i="1"/>
  <c r="E1225" i="1"/>
  <c r="A1226" i="1"/>
  <c r="B1226" i="1"/>
  <c r="C1226" i="1"/>
  <c r="D1226" i="1"/>
  <c r="E1226" i="1"/>
  <c r="A1227" i="1"/>
  <c r="B1227" i="1"/>
  <c r="C1227" i="1"/>
  <c r="D1227" i="1"/>
  <c r="E1227" i="1"/>
  <c r="A1228" i="1"/>
  <c r="B1228" i="1"/>
  <c r="C1228" i="1"/>
  <c r="D1228" i="1"/>
  <c r="E1228" i="1"/>
  <c r="A1229" i="1"/>
  <c r="B1229" i="1"/>
  <c r="C1229" i="1"/>
  <c r="D1229" i="1"/>
  <c r="E1229" i="1"/>
  <c r="A1230" i="1"/>
  <c r="B1230" i="1"/>
  <c r="C1230" i="1"/>
  <c r="D1230" i="1"/>
  <c r="E1230" i="1"/>
  <c r="A1231" i="1"/>
  <c r="B1231" i="1"/>
  <c r="C1231" i="1"/>
  <c r="D1231" i="1"/>
  <c r="E1231" i="1"/>
  <c r="A1232" i="1"/>
  <c r="B1232" i="1"/>
  <c r="C1232" i="1"/>
  <c r="D1232" i="1"/>
  <c r="E1232" i="1"/>
  <c r="A1233" i="1"/>
  <c r="B1233" i="1"/>
  <c r="C1233" i="1"/>
  <c r="D1233" i="1"/>
  <c r="E1233" i="1"/>
  <c r="A1234" i="1"/>
  <c r="B1234" i="1"/>
  <c r="C1234" i="1"/>
  <c r="D1234" i="1"/>
  <c r="E1234" i="1"/>
  <c r="A1235" i="1"/>
  <c r="B1235" i="1"/>
  <c r="C1235" i="1"/>
  <c r="D1235" i="1"/>
  <c r="E1235" i="1"/>
  <c r="A1236" i="1"/>
  <c r="B1236" i="1"/>
  <c r="C1236" i="1"/>
  <c r="D1236" i="1"/>
  <c r="E1236" i="1"/>
  <c r="A1237" i="1"/>
  <c r="B1237" i="1"/>
  <c r="C1237" i="1"/>
  <c r="D1237" i="1"/>
  <c r="E1237" i="1"/>
  <c r="A1238" i="1"/>
  <c r="B1238" i="1"/>
  <c r="C1238" i="1"/>
  <c r="D1238" i="1"/>
  <c r="E1238" i="1"/>
  <c r="A1239" i="1"/>
  <c r="B1239" i="1"/>
  <c r="C1239" i="1"/>
  <c r="D1239" i="1"/>
  <c r="E1239" i="1"/>
  <c r="A1240" i="1"/>
  <c r="B1240" i="1"/>
  <c r="C1240" i="1"/>
  <c r="D1240" i="1"/>
  <c r="E1240" i="1"/>
  <c r="A1241" i="1"/>
  <c r="B1241" i="1"/>
  <c r="C1241" i="1"/>
  <c r="D1241" i="1"/>
  <c r="E1241" i="1"/>
  <c r="A1242" i="1"/>
  <c r="B1242" i="1"/>
  <c r="C1242" i="1"/>
  <c r="D1242" i="1"/>
  <c r="E1242" i="1"/>
  <c r="A1243" i="1"/>
  <c r="B1243" i="1"/>
  <c r="C1243" i="1"/>
  <c r="D1243" i="1"/>
  <c r="E1243" i="1"/>
  <c r="A1244" i="1"/>
  <c r="B1244" i="1"/>
  <c r="C1244" i="1"/>
  <c r="D1244" i="1"/>
  <c r="E1244" i="1"/>
  <c r="A1245" i="1"/>
  <c r="B1245" i="1"/>
  <c r="C1245" i="1"/>
  <c r="D1245" i="1"/>
  <c r="E1245" i="1"/>
  <c r="A1246" i="1"/>
  <c r="B1246" i="1"/>
  <c r="C1246" i="1"/>
  <c r="D1246" i="1"/>
  <c r="E1246" i="1"/>
  <c r="A1247" i="1"/>
  <c r="B1247" i="1"/>
  <c r="C1247" i="1"/>
  <c r="D1247" i="1"/>
  <c r="E1247" i="1"/>
  <c r="A1248" i="1"/>
  <c r="B1248" i="1"/>
  <c r="C1248" i="1"/>
  <c r="D1248" i="1"/>
  <c r="E1248" i="1"/>
  <c r="A1249" i="1"/>
  <c r="B1249" i="1"/>
  <c r="C1249" i="1"/>
  <c r="D1249" i="1"/>
  <c r="E1249" i="1"/>
  <c r="A1250" i="1"/>
  <c r="B1250" i="1"/>
  <c r="C1250" i="1"/>
  <c r="D1250" i="1"/>
  <c r="E1250" i="1"/>
  <c r="A1251" i="1"/>
  <c r="B1251" i="1"/>
  <c r="C1251" i="1"/>
  <c r="D1251" i="1"/>
  <c r="E1251" i="1"/>
  <c r="A1252" i="1"/>
  <c r="B1252" i="1"/>
  <c r="C1252" i="1"/>
  <c r="D1252" i="1"/>
  <c r="E1252" i="1"/>
  <c r="A1253" i="1"/>
  <c r="B1253" i="1"/>
  <c r="C1253" i="1"/>
  <c r="D1253" i="1"/>
  <c r="E1253" i="1"/>
  <c r="A1254" i="1"/>
  <c r="B1254" i="1"/>
  <c r="C1254" i="1"/>
  <c r="D1254" i="1"/>
  <c r="E1254" i="1"/>
  <c r="A1255" i="1"/>
  <c r="B1255" i="1"/>
  <c r="C1255" i="1"/>
  <c r="D1255" i="1"/>
  <c r="E1255" i="1"/>
  <c r="A1256" i="1"/>
  <c r="B1256" i="1"/>
  <c r="C1256" i="1"/>
  <c r="D1256" i="1"/>
  <c r="E1256" i="1"/>
  <c r="A1257" i="1"/>
  <c r="B1257" i="1"/>
  <c r="C1257" i="1"/>
  <c r="D1257" i="1"/>
  <c r="E1257" i="1"/>
  <c r="A1258" i="1"/>
  <c r="B1258" i="1"/>
  <c r="C1258" i="1"/>
  <c r="D1258" i="1"/>
  <c r="E1258" i="1"/>
  <c r="A1259" i="1"/>
  <c r="B1259" i="1"/>
  <c r="C1259" i="1"/>
  <c r="D1259" i="1"/>
  <c r="E1259" i="1"/>
  <c r="A1260" i="1"/>
  <c r="B1260" i="1"/>
  <c r="C1260" i="1"/>
  <c r="D1260" i="1"/>
  <c r="E1260" i="1"/>
  <c r="A1261" i="1"/>
  <c r="B1261" i="1"/>
  <c r="C1261" i="1"/>
  <c r="D1261" i="1"/>
  <c r="E1261" i="1"/>
  <c r="A1262" i="1"/>
  <c r="B1262" i="1"/>
  <c r="C1262" i="1"/>
  <c r="D1262" i="1"/>
  <c r="E1262" i="1"/>
  <c r="A1263" i="1"/>
  <c r="B1263" i="1"/>
  <c r="C1263" i="1"/>
  <c r="D1263" i="1"/>
  <c r="E1263" i="1"/>
  <c r="A1264" i="1"/>
  <c r="B1264" i="1"/>
  <c r="C1264" i="1"/>
  <c r="D1264" i="1"/>
  <c r="E1264" i="1"/>
  <c r="A1265" i="1"/>
  <c r="B1265" i="1"/>
  <c r="C1265" i="1"/>
  <c r="D1265" i="1"/>
  <c r="E1265" i="1"/>
  <c r="A1266" i="1"/>
  <c r="B1266" i="1"/>
  <c r="C1266" i="1"/>
  <c r="D1266" i="1"/>
  <c r="E1266" i="1"/>
  <c r="A1267" i="1"/>
  <c r="B1267" i="1"/>
  <c r="C1267" i="1"/>
  <c r="D1267" i="1"/>
  <c r="E1267" i="1"/>
  <c r="A1268" i="1"/>
  <c r="B1268" i="1"/>
  <c r="C1268" i="1"/>
  <c r="D1268" i="1"/>
  <c r="E1268" i="1"/>
  <c r="A1269" i="1"/>
  <c r="B1269" i="1"/>
  <c r="C1269" i="1"/>
  <c r="D1269" i="1"/>
  <c r="E1269" i="1"/>
  <c r="A1270" i="1"/>
  <c r="B1270" i="1"/>
  <c r="C1270" i="1"/>
  <c r="D1270" i="1"/>
  <c r="E1270" i="1"/>
  <c r="A1271" i="1"/>
  <c r="B1271" i="1"/>
  <c r="C1271" i="1"/>
  <c r="D1271" i="1"/>
  <c r="E1271" i="1"/>
  <c r="A1272" i="1"/>
  <c r="B1272" i="1"/>
  <c r="C1272" i="1"/>
  <c r="D1272" i="1"/>
  <c r="E1272" i="1"/>
  <c r="A1273" i="1"/>
  <c r="B1273" i="1"/>
  <c r="C1273" i="1"/>
  <c r="D1273" i="1"/>
  <c r="E1273" i="1"/>
  <c r="A1274" i="1"/>
  <c r="B1274" i="1"/>
  <c r="C1274" i="1"/>
  <c r="D1274" i="1"/>
  <c r="E1274" i="1"/>
  <c r="A1275" i="1"/>
  <c r="B1275" i="1"/>
  <c r="C1275" i="1"/>
  <c r="D1275" i="1"/>
  <c r="E1275" i="1"/>
  <c r="A1276" i="1"/>
  <c r="B1276" i="1"/>
  <c r="C1276" i="1"/>
  <c r="D1276" i="1"/>
  <c r="E1276" i="1"/>
  <c r="A1277" i="1"/>
  <c r="B1277" i="1"/>
  <c r="C1277" i="1"/>
  <c r="D1277" i="1"/>
  <c r="E1277" i="1"/>
  <c r="A1278" i="1"/>
  <c r="B1278" i="1"/>
  <c r="C1278" i="1"/>
  <c r="D1278" i="1"/>
  <c r="E1278" i="1"/>
  <c r="A1279" i="1"/>
  <c r="B1279" i="1"/>
  <c r="C1279" i="1"/>
  <c r="D1279" i="1"/>
  <c r="E1279" i="1"/>
  <c r="A1280" i="1"/>
  <c r="B1280" i="1"/>
  <c r="C1280" i="1"/>
  <c r="D1280" i="1"/>
  <c r="E1280" i="1"/>
  <c r="A1281" i="1"/>
  <c r="B1281" i="1"/>
  <c r="C1281" i="1"/>
  <c r="D1281" i="1"/>
  <c r="E1281" i="1"/>
  <c r="A1282" i="1"/>
  <c r="B1282" i="1"/>
  <c r="C1282" i="1"/>
  <c r="D1282" i="1"/>
  <c r="E1282" i="1"/>
  <c r="A1283" i="1"/>
  <c r="B1283" i="1"/>
  <c r="C1283" i="1"/>
  <c r="D1283" i="1"/>
  <c r="E1283" i="1"/>
  <c r="A1284" i="1"/>
  <c r="B1284" i="1"/>
  <c r="C1284" i="1"/>
  <c r="D1284" i="1"/>
  <c r="E1284" i="1"/>
  <c r="A1285" i="1"/>
  <c r="B1285" i="1"/>
  <c r="C1285" i="1"/>
  <c r="D1285" i="1"/>
  <c r="E1285" i="1"/>
  <c r="A1286" i="1"/>
  <c r="B1286" i="1"/>
  <c r="C1286" i="1"/>
  <c r="D1286" i="1"/>
  <c r="E1286" i="1"/>
  <c r="A1287" i="1"/>
  <c r="B1287" i="1"/>
  <c r="C1287" i="1"/>
  <c r="D1287" i="1"/>
  <c r="E1287" i="1"/>
  <c r="A1288" i="1"/>
  <c r="B1288" i="1"/>
  <c r="C1288" i="1"/>
  <c r="D1288" i="1"/>
  <c r="E1288" i="1"/>
  <c r="A1289" i="1"/>
  <c r="B1289" i="1"/>
  <c r="C1289" i="1"/>
  <c r="D1289" i="1"/>
  <c r="E1289" i="1"/>
  <c r="A1290" i="1"/>
  <c r="B1290" i="1"/>
  <c r="C1290" i="1"/>
  <c r="D1290" i="1"/>
  <c r="E1290" i="1"/>
  <c r="A1291" i="1"/>
  <c r="B1291" i="1"/>
  <c r="C1291" i="1"/>
  <c r="D1291" i="1"/>
  <c r="E1291" i="1"/>
  <c r="A1292" i="1"/>
  <c r="B1292" i="1"/>
  <c r="C1292" i="1"/>
  <c r="D1292" i="1"/>
  <c r="E1292" i="1"/>
  <c r="A1293" i="1"/>
  <c r="B1293" i="1"/>
  <c r="C1293" i="1"/>
  <c r="D1293" i="1"/>
  <c r="E1293" i="1"/>
  <c r="A1294" i="1"/>
  <c r="B1294" i="1"/>
  <c r="C1294" i="1"/>
  <c r="D1294" i="1"/>
  <c r="E1294" i="1"/>
  <c r="A1295" i="1"/>
  <c r="B1295" i="1"/>
  <c r="C1295" i="1"/>
  <c r="D1295" i="1"/>
  <c r="E1295" i="1"/>
  <c r="A1296" i="1"/>
  <c r="B1296" i="1"/>
  <c r="C1296" i="1"/>
  <c r="D1296" i="1"/>
  <c r="E1296" i="1"/>
  <c r="A1297" i="1"/>
  <c r="B1297" i="1"/>
  <c r="C1297" i="1"/>
  <c r="D1297" i="1"/>
  <c r="E1297" i="1"/>
  <c r="A1298" i="1"/>
  <c r="B1298" i="1"/>
  <c r="C1298" i="1"/>
  <c r="D1298" i="1"/>
  <c r="E1298" i="1"/>
  <c r="A1299" i="1"/>
  <c r="B1299" i="1"/>
  <c r="C1299" i="1"/>
  <c r="D1299" i="1"/>
  <c r="E1299" i="1"/>
  <c r="A1300" i="1"/>
  <c r="B1300" i="1"/>
  <c r="C1300" i="1"/>
  <c r="D1300" i="1"/>
  <c r="E1300" i="1"/>
  <c r="A1301" i="1"/>
  <c r="B1301" i="1"/>
  <c r="C1301" i="1"/>
  <c r="D1301" i="1"/>
  <c r="E1301" i="1"/>
  <c r="A1302" i="1"/>
  <c r="B1302" i="1"/>
  <c r="C1302" i="1"/>
  <c r="D1302" i="1"/>
  <c r="E1302" i="1"/>
  <c r="A1303" i="1"/>
  <c r="B1303" i="1"/>
  <c r="C1303" i="1"/>
  <c r="D1303" i="1"/>
  <c r="E1303" i="1"/>
  <c r="A1304" i="1"/>
  <c r="B1304" i="1"/>
  <c r="C1304" i="1"/>
  <c r="D1304" i="1"/>
  <c r="E1304" i="1"/>
  <c r="A1305" i="1"/>
  <c r="B1305" i="1"/>
  <c r="C1305" i="1"/>
  <c r="D1305" i="1"/>
  <c r="E1305" i="1"/>
  <c r="A1306" i="1"/>
  <c r="B1306" i="1"/>
  <c r="C1306" i="1"/>
  <c r="D1306" i="1"/>
  <c r="E1306" i="1"/>
  <c r="A1307" i="1"/>
  <c r="B1307" i="1"/>
  <c r="C1307" i="1"/>
  <c r="D1307" i="1"/>
  <c r="E1307" i="1"/>
  <c r="A1308" i="1"/>
  <c r="B1308" i="1"/>
  <c r="C1308" i="1"/>
  <c r="D1308" i="1"/>
  <c r="E1308" i="1"/>
  <c r="A1309" i="1"/>
  <c r="B1309" i="1"/>
  <c r="C1309" i="1"/>
  <c r="D1309" i="1"/>
  <c r="E1309" i="1"/>
  <c r="A1310" i="1"/>
  <c r="B1310" i="1"/>
  <c r="C1310" i="1"/>
  <c r="D1310" i="1"/>
  <c r="E1310" i="1"/>
  <c r="A1311" i="1"/>
  <c r="B1311" i="1"/>
  <c r="C1311" i="1"/>
  <c r="D1311" i="1"/>
  <c r="E1311" i="1"/>
  <c r="A1312" i="1"/>
  <c r="B1312" i="1"/>
  <c r="C1312" i="1"/>
  <c r="D1312" i="1"/>
  <c r="E1312" i="1"/>
  <c r="A1313" i="1"/>
  <c r="B1313" i="1"/>
  <c r="C1313" i="1"/>
  <c r="D1313" i="1"/>
  <c r="E1313" i="1"/>
  <c r="A1314" i="1"/>
  <c r="B1314" i="1"/>
  <c r="C1314" i="1"/>
  <c r="D1314" i="1"/>
  <c r="E1314" i="1"/>
  <c r="A1315" i="1"/>
  <c r="B1315" i="1"/>
  <c r="C1315" i="1"/>
  <c r="D1315" i="1"/>
  <c r="E1315" i="1"/>
  <c r="A1316" i="1"/>
  <c r="B1316" i="1"/>
  <c r="C1316" i="1"/>
  <c r="D1316" i="1"/>
  <c r="E1316" i="1"/>
  <c r="A1317" i="1"/>
  <c r="B1317" i="1"/>
  <c r="C1317" i="1"/>
  <c r="D1317" i="1"/>
  <c r="E1317" i="1"/>
  <c r="A1318" i="1"/>
  <c r="B1318" i="1"/>
  <c r="C1318" i="1"/>
  <c r="D1318" i="1"/>
  <c r="E1318" i="1"/>
  <c r="A1319" i="1"/>
  <c r="B1319" i="1"/>
  <c r="C1319" i="1"/>
  <c r="D1319" i="1"/>
  <c r="E1319" i="1"/>
  <c r="A1320" i="1"/>
  <c r="B1320" i="1"/>
  <c r="C1320" i="1"/>
  <c r="D1320" i="1"/>
  <c r="E1320" i="1"/>
  <c r="A1321" i="1"/>
  <c r="B1321" i="1"/>
  <c r="C1321" i="1"/>
  <c r="D1321" i="1"/>
  <c r="E1321" i="1"/>
  <c r="A1322" i="1"/>
  <c r="B1322" i="1"/>
  <c r="C1322" i="1"/>
  <c r="D1322" i="1"/>
  <c r="E1322" i="1"/>
  <c r="A1323" i="1"/>
  <c r="B1323" i="1"/>
  <c r="C1323" i="1"/>
  <c r="D1323" i="1"/>
  <c r="E1323" i="1"/>
  <c r="A1324" i="1"/>
  <c r="B1324" i="1"/>
  <c r="C1324" i="1"/>
  <c r="D1324" i="1"/>
  <c r="E1324" i="1"/>
  <c r="A1325" i="1"/>
  <c r="B1325" i="1"/>
  <c r="C1325" i="1"/>
  <c r="D1325" i="1"/>
  <c r="E1325" i="1"/>
  <c r="A1326" i="1"/>
  <c r="B1326" i="1"/>
  <c r="C1326" i="1"/>
  <c r="D1326" i="1"/>
  <c r="E1326" i="1"/>
  <c r="A1327" i="1"/>
  <c r="B1327" i="1"/>
  <c r="C1327" i="1"/>
  <c r="D1327" i="1"/>
  <c r="E1327" i="1"/>
  <c r="A1328" i="1"/>
  <c r="B1328" i="1"/>
  <c r="C1328" i="1"/>
  <c r="D1328" i="1"/>
  <c r="E1328" i="1"/>
  <c r="A1329" i="1"/>
  <c r="B1329" i="1"/>
  <c r="C1329" i="1"/>
  <c r="D1329" i="1"/>
  <c r="E1329" i="1"/>
  <c r="A1330" i="1"/>
  <c r="B1330" i="1"/>
  <c r="C1330" i="1"/>
  <c r="D1330" i="1"/>
  <c r="E1330" i="1"/>
  <c r="A1331" i="1"/>
  <c r="B1331" i="1"/>
  <c r="C1331" i="1"/>
  <c r="D1331" i="1"/>
  <c r="E1331" i="1"/>
  <c r="A1332" i="1"/>
  <c r="B1332" i="1"/>
  <c r="C1332" i="1"/>
  <c r="D1332" i="1"/>
  <c r="E1332" i="1"/>
  <c r="A1333" i="1"/>
  <c r="B1333" i="1"/>
  <c r="C1333" i="1"/>
  <c r="D1333" i="1"/>
  <c r="E1333" i="1"/>
  <c r="A1334" i="1"/>
  <c r="B1334" i="1"/>
  <c r="C1334" i="1"/>
  <c r="D1334" i="1"/>
  <c r="E1334" i="1"/>
  <c r="A1335" i="1"/>
  <c r="B1335" i="1"/>
  <c r="C1335" i="1"/>
  <c r="D1335" i="1"/>
  <c r="E1335" i="1"/>
  <c r="A1336" i="1"/>
  <c r="B1336" i="1"/>
  <c r="C1336" i="1"/>
  <c r="D1336" i="1"/>
  <c r="E1336" i="1"/>
  <c r="A1337" i="1"/>
  <c r="B1337" i="1"/>
  <c r="C1337" i="1"/>
  <c r="D1337" i="1"/>
  <c r="E1337" i="1"/>
  <c r="A1338" i="1"/>
  <c r="B1338" i="1"/>
  <c r="C1338" i="1"/>
  <c r="D1338" i="1"/>
  <c r="E1338" i="1"/>
  <c r="A1339" i="1"/>
  <c r="B1339" i="1"/>
  <c r="C1339" i="1"/>
  <c r="D1339" i="1"/>
  <c r="E1339" i="1"/>
  <c r="A1340" i="1"/>
  <c r="B1340" i="1"/>
  <c r="C1340" i="1"/>
  <c r="D1340" i="1"/>
  <c r="E1340" i="1"/>
  <c r="A1341" i="1"/>
  <c r="B1341" i="1"/>
  <c r="C1341" i="1"/>
  <c r="D1341" i="1"/>
  <c r="E1341" i="1"/>
  <c r="A1342" i="1"/>
  <c r="B1342" i="1"/>
  <c r="C1342" i="1"/>
  <c r="D1342" i="1"/>
  <c r="E1342" i="1"/>
  <c r="A1343" i="1"/>
  <c r="B1343" i="1"/>
  <c r="C1343" i="1"/>
  <c r="D1343" i="1"/>
  <c r="E1343" i="1"/>
  <c r="A1344" i="1"/>
  <c r="B1344" i="1"/>
  <c r="C1344" i="1"/>
  <c r="D1344" i="1"/>
  <c r="E1344" i="1"/>
  <c r="A1345" i="1"/>
  <c r="B1345" i="1"/>
  <c r="C1345" i="1"/>
  <c r="D1345" i="1"/>
  <c r="E1345" i="1"/>
  <c r="A1346" i="1"/>
  <c r="B1346" i="1"/>
  <c r="C1346" i="1"/>
  <c r="D1346" i="1"/>
  <c r="E1346" i="1"/>
  <c r="A1347" i="1"/>
  <c r="B1347" i="1"/>
  <c r="C1347" i="1"/>
  <c r="D1347" i="1"/>
  <c r="E1347" i="1"/>
  <c r="A1348" i="1"/>
  <c r="B1348" i="1"/>
  <c r="C1348" i="1"/>
  <c r="D1348" i="1"/>
  <c r="E1348" i="1"/>
  <c r="A1349" i="1"/>
  <c r="B1349" i="1"/>
  <c r="C1349" i="1"/>
  <c r="D1349" i="1"/>
  <c r="E1349" i="1"/>
  <c r="A1350" i="1"/>
  <c r="B1350" i="1"/>
  <c r="C1350" i="1"/>
  <c r="D1350" i="1"/>
  <c r="E1350" i="1"/>
  <c r="A1351" i="1"/>
  <c r="B1351" i="1"/>
  <c r="C1351" i="1"/>
  <c r="D1351" i="1"/>
  <c r="E1351" i="1"/>
  <c r="A1352" i="1"/>
  <c r="B1352" i="1"/>
  <c r="C1352" i="1"/>
  <c r="D1352" i="1"/>
  <c r="E1352" i="1"/>
  <c r="A1353" i="1"/>
  <c r="B1353" i="1"/>
  <c r="C1353" i="1"/>
  <c r="D1353" i="1"/>
  <c r="E1353" i="1"/>
  <c r="A1354" i="1"/>
  <c r="B1354" i="1"/>
  <c r="C1354" i="1"/>
  <c r="D1354" i="1"/>
  <c r="E1354" i="1"/>
  <c r="A1355" i="1"/>
  <c r="B1355" i="1"/>
  <c r="C1355" i="1"/>
  <c r="D1355" i="1"/>
  <c r="E1355" i="1"/>
  <c r="A1356" i="1"/>
  <c r="B1356" i="1"/>
  <c r="C1356" i="1"/>
  <c r="D1356" i="1"/>
  <c r="E1356" i="1"/>
  <c r="A1357" i="1"/>
  <c r="B1357" i="1"/>
  <c r="C1357" i="1"/>
  <c r="D1357" i="1"/>
  <c r="E1357" i="1"/>
  <c r="A1358" i="1"/>
  <c r="B1358" i="1"/>
  <c r="C1358" i="1"/>
  <c r="D1358" i="1"/>
  <c r="E1358" i="1"/>
  <c r="A1359" i="1"/>
  <c r="B1359" i="1"/>
  <c r="C1359" i="1"/>
  <c r="D1359" i="1"/>
  <c r="E1359" i="1"/>
  <c r="A1360" i="1"/>
  <c r="B1360" i="1"/>
  <c r="C1360" i="1"/>
  <c r="D1360" i="1"/>
  <c r="E1360" i="1"/>
  <c r="A1361" i="1"/>
  <c r="B1361" i="1"/>
  <c r="C1361" i="1"/>
  <c r="D1361" i="1"/>
  <c r="E1361" i="1"/>
  <c r="A1362" i="1"/>
  <c r="B1362" i="1"/>
  <c r="C1362" i="1"/>
  <c r="D1362" i="1"/>
  <c r="E1362" i="1"/>
  <c r="A1363" i="1"/>
  <c r="B1363" i="1"/>
  <c r="C1363" i="1"/>
  <c r="D1363" i="1"/>
  <c r="E1363" i="1"/>
  <c r="A1364" i="1"/>
  <c r="B1364" i="1"/>
  <c r="C1364" i="1"/>
  <c r="D1364" i="1"/>
  <c r="E1364" i="1"/>
  <c r="A1365" i="1"/>
  <c r="B1365" i="1"/>
  <c r="C1365" i="1"/>
  <c r="D1365" i="1"/>
  <c r="E1365" i="1"/>
  <c r="A1366" i="1"/>
  <c r="B1366" i="1"/>
  <c r="C1366" i="1"/>
  <c r="D1366" i="1"/>
  <c r="E1366" i="1"/>
  <c r="A1367" i="1"/>
  <c r="B1367" i="1"/>
  <c r="C1367" i="1"/>
  <c r="D1367" i="1"/>
  <c r="E1367" i="1"/>
  <c r="A1368" i="1"/>
  <c r="B1368" i="1"/>
  <c r="C1368" i="1"/>
  <c r="D1368" i="1"/>
  <c r="E1368" i="1"/>
  <c r="A1369" i="1"/>
  <c r="B1369" i="1"/>
  <c r="C1369" i="1"/>
  <c r="D1369" i="1"/>
  <c r="E1369" i="1"/>
  <c r="A1370" i="1"/>
  <c r="B1370" i="1"/>
  <c r="C1370" i="1"/>
  <c r="D1370" i="1"/>
  <c r="E1370" i="1"/>
  <c r="A1371" i="1"/>
  <c r="B1371" i="1"/>
  <c r="C1371" i="1"/>
  <c r="D1371" i="1"/>
  <c r="E1371" i="1"/>
  <c r="A1372" i="1"/>
  <c r="B1372" i="1"/>
  <c r="C1372" i="1"/>
  <c r="D1372" i="1"/>
  <c r="E1372" i="1"/>
  <c r="A1373" i="1"/>
  <c r="B1373" i="1"/>
  <c r="C1373" i="1"/>
  <c r="D1373" i="1"/>
  <c r="E1373" i="1"/>
  <c r="A1374" i="1"/>
  <c r="B1374" i="1"/>
  <c r="C1374" i="1"/>
  <c r="D1374" i="1"/>
  <c r="E1374" i="1"/>
  <c r="A1375" i="1"/>
  <c r="B1375" i="1"/>
  <c r="C1375" i="1"/>
  <c r="D1375" i="1"/>
  <c r="E1375" i="1"/>
  <c r="A1376" i="1"/>
  <c r="B1376" i="1"/>
  <c r="C1376" i="1"/>
  <c r="D1376" i="1"/>
  <c r="E1376" i="1"/>
  <c r="A1377" i="1"/>
  <c r="B1377" i="1"/>
  <c r="C1377" i="1"/>
  <c r="D1377" i="1"/>
  <c r="E1377" i="1"/>
  <c r="A1378" i="1"/>
  <c r="B1378" i="1"/>
  <c r="C1378" i="1"/>
  <c r="D1378" i="1"/>
  <c r="E1378" i="1"/>
  <c r="A1379" i="1"/>
  <c r="B1379" i="1"/>
  <c r="C1379" i="1"/>
  <c r="D1379" i="1"/>
  <c r="E1379" i="1"/>
  <c r="A1380" i="1"/>
  <c r="B1380" i="1"/>
  <c r="C1380" i="1"/>
  <c r="D1380" i="1"/>
  <c r="E1380" i="1"/>
  <c r="A1381" i="1"/>
  <c r="B1381" i="1"/>
  <c r="C1381" i="1"/>
  <c r="D1381" i="1"/>
  <c r="E1381" i="1"/>
  <c r="A1382" i="1"/>
  <c r="B1382" i="1"/>
  <c r="C1382" i="1"/>
  <c r="D1382" i="1"/>
  <c r="E1382" i="1"/>
  <c r="A1383" i="1"/>
  <c r="B1383" i="1"/>
  <c r="C1383" i="1"/>
  <c r="D1383" i="1"/>
  <c r="E1383" i="1"/>
  <c r="A1384" i="1"/>
  <c r="B1384" i="1"/>
  <c r="C1384" i="1"/>
  <c r="D1384" i="1"/>
  <c r="E1384" i="1"/>
  <c r="A1385" i="1"/>
  <c r="B1385" i="1"/>
  <c r="C1385" i="1"/>
  <c r="D1385" i="1"/>
  <c r="E1385" i="1"/>
  <c r="A1386" i="1"/>
  <c r="B1386" i="1"/>
  <c r="C1386" i="1"/>
  <c r="D1386" i="1"/>
  <c r="E1386" i="1"/>
  <c r="A1387" i="1"/>
  <c r="B1387" i="1"/>
  <c r="C1387" i="1"/>
  <c r="D1387" i="1"/>
  <c r="E1387" i="1"/>
  <c r="A1388" i="1"/>
  <c r="B1388" i="1"/>
  <c r="C1388" i="1"/>
  <c r="D1388" i="1"/>
  <c r="E1388" i="1"/>
  <c r="A1389" i="1"/>
  <c r="B1389" i="1"/>
  <c r="C1389" i="1"/>
  <c r="D1389" i="1"/>
  <c r="E1389" i="1"/>
  <c r="A1390" i="1"/>
  <c r="B1390" i="1"/>
  <c r="C1390" i="1"/>
  <c r="D1390" i="1"/>
  <c r="E1390" i="1"/>
  <c r="A1391" i="1"/>
  <c r="B1391" i="1"/>
  <c r="C1391" i="1"/>
  <c r="D1391" i="1"/>
  <c r="E1391" i="1"/>
  <c r="A1392" i="1"/>
  <c r="B1392" i="1"/>
  <c r="C1392" i="1"/>
  <c r="D1392" i="1"/>
  <c r="E1392" i="1"/>
  <c r="A1393" i="1"/>
  <c r="B1393" i="1"/>
  <c r="C1393" i="1"/>
  <c r="D1393" i="1"/>
  <c r="E1393" i="1"/>
  <c r="A1394" i="1"/>
  <c r="B1394" i="1"/>
  <c r="C1394" i="1"/>
  <c r="D1394" i="1"/>
  <c r="E1394" i="1"/>
  <c r="A1395" i="1"/>
  <c r="B1395" i="1"/>
  <c r="C1395" i="1"/>
  <c r="D1395" i="1"/>
  <c r="E1395" i="1"/>
  <c r="A1396" i="1"/>
  <c r="B1396" i="1"/>
  <c r="C1396" i="1"/>
  <c r="D1396" i="1"/>
  <c r="E1396" i="1"/>
  <c r="A1397" i="1"/>
  <c r="B1397" i="1"/>
  <c r="C1397" i="1"/>
  <c r="D1397" i="1"/>
  <c r="E1397" i="1"/>
  <c r="A1398" i="1"/>
  <c r="B1398" i="1"/>
  <c r="C1398" i="1"/>
  <c r="D1398" i="1"/>
  <c r="E1398" i="1"/>
  <c r="A1399" i="1"/>
  <c r="B1399" i="1"/>
  <c r="C1399" i="1"/>
  <c r="D1399" i="1"/>
  <c r="E1399" i="1"/>
  <c r="A1400" i="1"/>
  <c r="B1400" i="1"/>
  <c r="C1400" i="1"/>
  <c r="D1400" i="1"/>
  <c r="E1400" i="1"/>
  <c r="A1401" i="1"/>
  <c r="B1401" i="1"/>
  <c r="C1401" i="1"/>
  <c r="D1401" i="1"/>
  <c r="E1401" i="1"/>
  <c r="A1402" i="1"/>
  <c r="B1402" i="1"/>
  <c r="C1402" i="1"/>
  <c r="D1402" i="1"/>
  <c r="E1402" i="1"/>
  <c r="A1403" i="1"/>
  <c r="B1403" i="1"/>
  <c r="C1403" i="1"/>
  <c r="D1403" i="1"/>
  <c r="E1403" i="1"/>
  <c r="A1404" i="1"/>
  <c r="B1404" i="1"/>
  <c r="C1404" i="1"/>
  <c r="D1404" i="1"/>
  <c r="E1404" i="1"/>
  <c r="A1405" i="1"/>
  <c r="B1405" i="1"/>
  <c r="C1405" i="1"/>
  <c r="D1405" i="1"/>
  <c r="E1405" i="1"/>
  <c r="A1406" i="1"/>
  <c r="B1406" i="1"/>
  <c r="C1406" i="1"/>
  <c r="D1406" i="1"/>
  <c r="E1406" i="1"/>
  <c r="A1407" i="1"/>
  <c r="B1407" i="1"/>
  <c r="C1407" i="1"/>
  <c r="D1407" i="1"/>
  <c r="E1407" i="1"/>
  <c r="A1408" i="1"/>
  <c r="B1408" i="1"/>
  <c r="C1408" i="1"/>
  <c r="D1408" i="1"/>
  <c r="E1408" i="1"/>
  <c r="A1409" i="1"/>
  <c r="B1409" i="1"/>
  <c r="C1409" i="1"/>
  <c r="D1409" i="1"/>
  <c r="E1409" i="1"/>
  <c r="A1410" i="1"/>
  <c r="B1410" i="1"/>
  <c r="C1410" i="1"/>
  <c r="D1410" i="1"/>
  <c r="E1410" i="1"/>
  <c r="A1411" i="1"/>
  <c r="B1411" i="1"/>
  <c r="C1411" i="1"/>
  <c r="D1411" i="1"/>
  <c r="E1411" i="1"/>
  <c r="A1412" i="1"/>
  <c r="B1412" i="1"/>
  <c r="C1412" i="1"/>
  <c r="D1412" i="1"/>
  <c r="E1412" i="1"/>
  <c r="A1413" i="1"/>
  <c r="B1413" i="1"/>
  <c r="C1413" i="1"/>
  <c r="D1413" i="1"/>
  <c r="E1413" i="1"/>
  <c r="A1414" i="1"/>
  <c r="B1414" i="1"/>
  <c r="C1414" i="1"/>
  <c r="D1414" i="1"/>
  <c r="E1414" i="1"/>
  <c r="A1415" i="1"/>
  <c r="B1415" i="1"/>
  <c r="C1415" i="1"/>
  <c r="D1415" i="1"/>
  <c r="E1415" i="1"/>
  <c r="A1416" i="1"/>
  <c r="B1416" i="1"/>
  <c r="C1416" i="1"/>
  <c r="D1416" i="1"/>
  <c r="E1416" i="1"/>
  <c r="A1417" i="1"/>
  <c r="B1417" i="1"/>
  <c r="C1417" i="1"/>
  <c r="D1417" i="1"/>
  <c r="E1417" i="1"/>
  <c r="A1418" i="1"/>
  <c r="B1418" i="1"/>
  <c r="C1418" i="1"/>
  <c r="D1418" i="1"/>
  <c r="E1418" i="1"/>
  <c r="A1419" i="1"/>
  <c r="B1419" i="1"/>
  <c r="C1419" i="1"/>
  <c r="D1419" i="1"/>
  <c r="E1419" i="1"/>
  <c r="A1420" i="1"/>
  <c r="B1420" i="1"/>
  <c r="C1420" i="1"/>
  <c r="D1420" i="1"/>
  <c r="E1420" i="1"/>
  <c r="A1421" i="1"/>
  <c r="B1421" i="1"/>
  <c r="C1421" i="1"/>
  <c r="D1421" i="1"/>
  <c r="E1421" i="1"/>
  <c r="A1422" i="1"/>
  <c r="B1422" i="1"/>
  <c r="C1422" i="1"/>
  <c r="D1422" i="1"/>
  <c r="E1422" i="1"/>
  <c r="A1423" i="1"/>
  <c r="B1423" i="1"/>
  <c r="C1423" i="1"/>
  <c r="D1423" i="1"/>
  <c r="E1423" i="1"/>
  <c r="A1424" i="1"/>
  <c r="B1424" i="1"/>
  <c r="C1424" i="1"/>
  <c r="D1424" i="1"/>
  <c r="E1424" i="1"/>
  <c r="A1425" i="1"/>
  <c r="B1425" i="1"/>
  <c r="C1425" i="1"/>
  <c r="D1425" i="1"/>
  <c r="E1425" i="1"/>
  <c r="A1426" i="1"/>
  <c r="B1426" i="1"/>
  <c r="C1426" i="1"/>
  <c r="D1426" i="1"/>
  <c r="E1426" i="1"/>
  <c r="A1427" i="1"/>
  <c r="B1427" i="1"/>
  <c r="C1427" i="1"/>
  <c r="D1427" i="1"/>
  <c r="E1427" i="1"/>
  <c r="A1428" i="1"/>
  <c r="B1428" i="1"/>
  <c r="C1428" i="1"/>
  <c r="D1428" i="1"/>
  <c r="E1428" i="1"/>
  <c r="A1429" i="1"/>
  <c r="B1429" i="1"/>
  <c r="C1429" i="1"/>
  <c r="D1429" i="1"/>
  <c r="E1429" i="1"/>
  <c r="A1430" i="1"/>
  <c r="B1430" i="1"/>
  <c r="C1430" i="1"/>
  <c r="D1430" i="1"/>
  <c r="E1430" i="1"/>
  <c r="A1431" i="1"/>
  <c r="B1431" i="1"/>
  <c r="C1431" i="1"/>
  <c r="D1431" i="1"/>
  <c r="E1431" i="1"/>
  <c r="A1432" i="1"/>
  <c r="B1432" i="1"/>
  <c r="C1432" i="1"/>
  <c r="D1432" i="1"/>
  <c r="E1432" i="1"/>
  <c r="A1433" i="1"/>
  <c r="B1433" i="1"/>
  <c r="C1433" i="1"/>
  <c r="D1433" i="1"/>
  <c r="E1433" i="1"/>
  <c r="A1434" i="1"/>
  <c r="B1434" i="1"/>
  <c r="C1434" i="1"/>
  <c r="D1434" i="1"/>
  <c r="E1434" i="1"/>
  <c r="A1435" i="1"/>
  <c r="B1435" i="1"/>
  <c r="C1435" i="1"/>
  <c r="D1435" i="1"/>
  <c r="E1435" i="1"/>
  <c r="A1436" i="1"/>
  <c r="B1436" i="1"/>
  <c r="C1436" i="1"/>
  <c r="D1436" i="1"/>
  <c r="E1436" i="1"/>
  <c r="A1437" i="1"/>
  <c r="B1437" i="1"/>
  <c r="C1437" i="1"/>
  <c r="D1437" i="1"/>
  <c r="E1437" i="1"/>
  <c r="A1438" i="1"/>
  <c r="B1438" i="1"/>
  <c r="C1438" i="1"/>
  <c r="D1438" i="1"/>
  <c r="E1438" i="1"/>
  <c r="A1439" i="1"/>
  <c r="B1439" i="1"/>
  <c r="C1439" i="1"/>
  <c r="D1439" i="1"/>
  <c r="E1439" i="1"/>
  <c r="A1440" i="1"/>
  <c r="B1440" i="1"/>
  <c r="C1440" i="1"/>
  <c r="D1440" i="1"/>
  <c r="E1440" i="1"/>
  <c r="A1441" i="1"/>
  <c r="B1441" i="1"/>
  <c r="C1441" i="1"/>
  <c r="D1441" i="1"/>
  <c r="E1441" i="1"/>
  <c r="A1442" i="1"/>
  <c r="B1442" i="1"/>
  <c r="C1442" i="1"/>
  <c r="D1442" i="1"/>
  <c r="E1442" i="1"/>
  <c r="A1443" i="1"/>
  <c r="B1443" i="1"/>
  <c r="C1443" i="1"/>
  <c r="D1443" i="1"/>
  <c r="E1443" i="1"/>
  <c r="A1444" i="1"/>
  <c r="B1444" i="1"/>
  <c r="C1444" i="1"/>
  <c r="D1444" i="1"/>
  <c r="E1444" i="1"/>
  <c r="A1445" i="1"/>
  <c r="B1445" i="1"/>
  <c r="C1445" i="1"/>
  <c r="D1445" i="1"/>
  <c r="E1445" i="1"/>
  <c r="A1446" i="1"/>
  <c r="B1446" i="1"/>
  <c r="C1446" i="1"/>
  <c r="D1446" i="1"/>
  <c r="E1446" i="1"/>
  <c r="A1447" i="1"/>
  <c r="B1447" i="1"/>
  <c r="C1447" i="1"/>
  <c r="D1447" i="1"/>
  <c r="E1447" i="1"/>
  <c r="A1448" i="1"/>
  <c r="B1448" i="1"/>
  <c r="C1448" i="1"/>
  <c r="D1448" i="1"/>
  <c r="E1448" i="1"/>
  <c r="A1449" i="1"/>
  <c r="B1449" i="1"/>
  <c r="C1449" i="1"/>
  <c r="D1449" i="1"/>
  <c r="E1449" i="1"/>
  <c r="A1450" i="1"/>
  <c r="B1450" i="1"/>
  <c r="C1450" i="1"/>
  <c r="D1450" i="1"/>
  <c r="E1450" i="1"/>
  <c r="A1451" i="1"/>
  <c r="B1451" i="1"/>
  <c r="C1451" i="1"/>
  <c r="D1451" i="1"/>
  <c r="E1451" i="1"/>
  <c r="A1452" i="1"/>
  <c r="B1452" i="1"/>
  <c r="C1452" i="1"/>
  <c r="D1452" i="1"/>
  <c r="E1452" i="1"/>
  <c r="A1453" i="1"/>
  <c r="B1453" i="1"/>
  <c r="C1453" i="1"/>
  <c r="D1453" i="1"/>
  <c r="E1453" i="1"/>
  <c r="A1454" i="1"/>
  <c r="B1454" i="1"/>
  <c r="C1454" i="1"/>
  <c r="D1454" i="1"/>
  <c r="E1454" i="1"/>
  <c r="A1455" i="1"/>
  <c r="B1455" i="1"/>
  <c r="C1455" i="1"/>
  <c r="D1455" i="1"/>
  <c r="E1455" i="1"/>
  <c r="A1456" i="1"/>
  <c r="B1456" i="1"/>
  <c r="C1456" i="1"/>
  <c r="D1456" i="1"/>
  <c r="E1456" i="1"/>
  <c r="A1457" i="1"/>
  <c r="B1457" i="1"/>
  <c r="C1457" i="1"/>
  <c r="D1457" i="1"/>
  <c r="E1457" i="1"/>
  <c r="A1458" i="1"/>
  <c r="B1458" i="1"/>
  <c r="C1458" i="1"/>
  <c r="D1458" i="1"/>
  <c r="E1458" i="1"/>
  <c r="A1459" i="1"/>
  <c r="B1459" i="1"/>
  <c r="C1459" i="1"/>
  <c r="D1459" i="1"/>
  <c r="E1459" i="1"/>
  <c r="A1460" i="1"/>
  <c r="B1460" i="1"/>
  <c r="C1460" i="1"/>
  <c r="D1460" i="1"/>
  <c r="E1460" i="1"/>
  <c r="A1461" i="1"/>
  <c r="B1461" i="1"/>
  <c r="C1461" i="1"/>
  <c r="D1461" i="1"/>
  <c r="E1461" i="1"/>
  <c r="A1462" i="1"/>
  <c r="B1462" i="1"/>
  <c r="C1462" i="1"/>
  <c r="D1462" i="1"/>
  <c r="E1462" i="1"/>
  <c r="A1463" i="1"/>
  <c r="B1463" i="1"/>
  <c r="C1463" i="1"/>
  <c r="D1463" i="1"/>
  <c r="E1463" i="1"/>
  <c r="A1464" i="1"/>
  <c r="B1464" i="1"/>
  <c r="C1464" i="1"/>
  <c r="D1464" i="1"/>
  <c r="E1464" i="1"/>
  <c r="A1465" i="1"/>
  <c r="B1465" i="1"/>
  <c r="C1465" i="1"/>
  <c r="D1465" i="1"/>
  <c r="E1465" i="1"/>
  <c r="A1466" i="1"/>
  <c r="B1466" i="1"/>
  <c r="C1466" i="1"/>
  <c r="D1466" i="1"/>
  <c r="E1466" i="1"/>
  <c r="A1467" i="1"/>
  <c r="B1467" i="1"/>
  <c r="C1467" i="1"/>
  <c r="D1467" i="1"/>
  <c r="E1467" i="1"/>
  <c r="A1468" i="1"/>
  <c r="B1468" i="1"/>
  <c r="C1468" i="1"/>
  <c r="D1468" i="1"/>
  <c r="E1468" i="1"/>
  <c r="A1469" i="1"/>
  <c r="B1469" i="1"/>
  <c r="C1469" i="1"/>
  <c r="D1469" i="1"/>
  <c r="E1469" i="1"/>
  <c r="A1470" i="1"/>
  <c r="B1470" i="1"/>
  <c r="C1470" i="1"/>
  <c r="D1470" i="1"/>
  <c r="E1470" i="1"/>
  <c r="A1471" i="1"/>
  <c r="B1471" i="1"/>
  <c r="C1471" i="1"/>
  <c r="D1471" i="1"/>
  <c r="E1471" i="1"/>
  <c r="A1472" i="1"/>
  <c r="B1472" i="1"/>
  <c r="C1472" i="1"/>
  <c r="D1472" i="1"/>
  <c r="E1472" i="1"/>
  <c r="A1473" i="1"/>
  <c r="B1473" i="1"/>
  <c r="C1473" i="1"/>
  <c r="D1473" i="1"/>
  <c r="E1473" i="1"/>
  <c r="A1474" i="1"/>
  <c r="B1474" i="1"/>
  <c r="C1474" i="1"/>
  <c r="D1474" i="1"/>
  <c r="E1474" i="1"/>
  <c r="A1475" i="1"/>
  <c r="B1475" i="1"/>
  <c r="C1475" i="1"/>
  <c r="D1475" i="1"/>
  <c r="E1475" i="1"/>
  <c r="A1476" i="1"/>
  <c r="B1476" i="1"/>
  <c r="C1476" i="1"/>
  <c r="D1476" i="1"/>
  <c r="E1476" i="1"/>
  <c r="A1477" i="1"/>
  <c r="B1477" i="1"/>
  <c r="C1477" i="1"/>
  <c r="D1477" i="1"/>
  <c r="E1477" i="1"/>
  <c r="A1478" i="1"/>
  <c r="B1478" i="1"/>
  <c r="C1478" i="1"/>
  <c r="D1478" i="1"/>
  <c r="E1478" i="1"/>
  <c r="A1479" i="1"/>
  <c r="B1479" i="1"/>
  <c r="C1479" i="1"/>
  <c r="D1479" i="1"/>
  <c r="E1479" i="1"/>
  <c r="A1480" i="1"/>
  <c r="B1480" i="1"/>
  <c r="C1480" i="1"/>
  <c r="D1480" i="1"/>
  <c r="E1480" i="1"/>
  <c r="A1481" i="1"/>
  <c r="B1481" i="1"/>
  <c r="C1481" i="1"/>
  <c r="D1481" i="1"/>
  <c r="E1481" i="1"/>
  <c r="A1482" i="1"/>
  <c r="B1482" i="1"/>
  <c r="C1482" i="1"/>
  <c r="D1482" i="1"/>
  <c r="E1482" i="1"/>
  <c r="A1483" i="1"/>
  <c r="B1483" i="1"/>
  <c r="C1483" i="1"/>
  <c r="D1483" i="1"/>
  <c r="E1483" i="1"/>
  <c r="A1484" i="1"/>
  <c r="B1484" i="1"/>
  <c r="C1484" i="1"/>
  <c r="D1484" i="1"/>
  <c r="E1484" i="1"/>
  <c r="A1485" i="1"/>
  <c r="B1485" i="1"/>
  <c r="C1485" i="1"/>
  <c r="D1485" i="1"/>
  <c r="E1485" i="1"/>
  <c r="A1486" i="1"/>
  <c r="B1486" i="1"/>
  <c r="C1486" i="1"/>
  <c r="D1486" i="1"/>
  <c r="E1486" i="1"/>
  <c r="A1487" i="1"/>
  <c r="B1487" i="1"/>
  <c r="C1487" i="1"/>
  <c r="D1487" i="1"/>
  <c r="E1487" i="1"/>
  <c r="A1488" i="1"/>
  <c r="B1488" i="1"/>
  <c r="C1488" i="1"/>
  <c r="D1488" i="1"/>
  <c r="E1488" i="1"/>
  <c r="A1489" i="1"/>
  <c r="B1489" i="1"/>
  <c r="C1489" i="1"/>
  <c r="D1489" i="1"/>
  <c r="E1489" i="1"/>
  <c r="A1490" i="1"/>
  <c r="B1490" i="1"/>
  <c r="C1490" i="1"/>
  <c r="D1490" i="1"/>
  <c r="E1490" i="1"/>
  <c r="A1491" i="1"/>
  <c r="B1491" i="1"/>
  <c r="C1491" i="1"/>
  <c r="D1491" i="1"/>
  <c r="E1491" i="1"/>
  <c r="A1492" i="1"/>
  <c r="B1492" i="1"/>
  <c r="C1492" i="1"/>
  <c r="D1492" i="1"/>
  <c r="E1492" i="1"/>
  <c r="A1493" i="1"/>
  <c r="B1493" i="1"/>
  <c r="C1493" i="1"/>
  <c r="D1493" i="1"/>
  <c r="E1493" i="1"/>
  <c r="A1494" i="1"/>
  <c r="B1494" i="1"/>
  <c r="C1494" i="1"/>
  <c r="D1494" i="1"/>
  <c r="E1494" i="1"/>
  <c r="A1495" i="1"/>
  <c r="B1495" i="1"/>
  <c r="C1495" i="1"/>
  <c r="D1495" i="1"/>
  <c r="E1495" i="1"/>
  <c r="A1496" i="1"/>
  <c r="B1496" i="1"/>
  <c r="C1496" i="1"/>
  <c r="D1496" i="1"/>
  <c r="E1496" i="1"/>
  <c r="A1497" i="1"/>
  <c r="B1497" i="1"/>
  <c r="C1497" i="1"/>
  <c r="D1497" i="1"/>
  <c r="E1497" i="1"/>
  <c r="A1498" i="1"/>
  <c r="B1498" i="1"/>
  <c r="C1498" i="1"/>
  <c r="D1498" i="1"/>
  <c r="E1498" i="1"/>
  <c r="A1499" i="1"/>
  <c r="B1499" i="1"/>
  <c r="C1499" i="1"/>
  <c r="D1499" i="1"/>
  <c r="E1499" i="1"/>
  <c r="A1500" i="1"/>
  <c r="B1500" i="1"/>
  <c r="C1500" i="1"/>
  <c r="D1500" i="1"/>
  <c r="E1500" i="1"/>
  <c r="A1501" i="1"/>
  <c r="B1501" i="1"/>
  <c r="C1501" i="1"/>
  <c r="D1501" i="1"/>
  <c r="E1501" i="1"/>
  <c r="A1502" i="1"/>
  <c r="B1502" i="1"/>
  <c r="C1502" i="1"/>
  <c r="D1502" i="1"/>
  <c r="E1502" i="1"/>
  <c r="A1503" i="1"/>
  <c r="B1503" i="1"/>
  <c r="C1503" i="1"/>
  <c r="D1503" i="1"/>
  <c r="E1503" i="1"/>
  <c r="A1504" i="1"/>
  <c r="B1504" i="1"/>
  <c r="C1504" i="1"/>
  <c r="D1504" i="1"/>
  <c r="E1504" i="1"/>
  <c r="A1505" i="1"/>
  <c r="B1505" i="1"/>
  <c r="C1505" i="1"/>
  <c r="D1505" i="1"/>
  <c r="E1505" i="1"/>
  <c r="A1506" i="1"/>
  <c r="B1506" i="1"/>
  <c r="C1506" i="1"/>
  <c r="D1506" i="1"/>
  <c r="E1506" i="1"/>
  <c r="A1507" i="1"/>
  <c r="B1507" i="1"/>
  <c r="C1507" i="1"/>
  <c r="D1507" i="1"/>
  <c r="E1507" i="1"/>
  <c r="A1508" i="1"/>
  <c r="B1508" i="1"/>
  <c r="C1508" i="1"/>
  <c r="D1508" i="1"/>
  <c r="E1508" i="1"/>
  <c r="A1509" i="1"/>
  <c r="B1509" i="1"/>
  <c r="C1509" i="1"/>
  <c r="D1509" i="1"/>
  <c r="E1509" i="1"/>
  <c r="A1510" i="1"/>
  <c r="B1510" i="1"/>
  <c r="C1510" i="1"/>
  <c r="D1510" i="1"/>
  <c r="E1510" i="1"/>
  <c r="A1511" i="1"/>
  <c r="B1511" i="1"/>
  <c r="C1511" i="1"/>
  <c r="D1511" i="1"/>
  <c r="E1511" i="1"/>
  <c r="A1512" i="1"/>
  <c r="B1512" i="1"/>
  <c r="C1512" i="1"/>
  <c r="D1512" i="1"/>
  <c r="E1512" i="1"/>
  <c r="A1513" i="1"/>
  <c r="B1513" i="1"/>
  <c r="C1513" i="1"/>
  <c r="D1513" i="1"/>
  <c r="E1513" i="1"/>
  <c r="A1514" i="1"/>
  <c r="B1514" i="1"/>
  <c r="C1514" i="1"/>
  <c r="D1514" i="1"/>
  <c r="E1514" i="1"/>
  <c r="A1515" i="1"/>
  <c r="B1515" i="1"/>
  <c r="C1515" i="1"/>
  <c r="D1515" i="1"/>
  <c r="E1515" i="1"/>
  <c r="A1516" i="1"/>
  <c r="B1516" i="1"/>
  <c r="C1516" i="1"/>
  <c r="D1516" i="1"/>
  <c r="E1516" i="1"/>
  <c r="A1517" i="1"/>
  <c r="B1517" i="1"/>
  <c r="C1517" i="1"/>
  <c r="D1517" i="1"/>
  <c r="E1517" i="1"/>
  <c r="A1518" i="1"/>
  <c r="B1518" i="1"/>
  <c r="C1518" i="1"/>
  <c r="D1518" i="1"/>
  <c r="E1518" i="1"/>
  <c r="A1519" i="1"/>
  <c r="B1519" i="1"/>
  <c r="C1519" i="1"/>
  <c r="D1519" i="1"/>
  <c r="E1519" i="1"/>
  <c r="A1520" i="1"/>
  <c r="B1520" i="1"/>
  <c r="C1520" i="1"/>
  <c r="D1520" i="1"/>
  <c r="E1520" i="1"/>
  <c r="A1521" i="1"/>
  <c r="B1521" i="1"/>
  <c r="C1521" i="1"/>
  <c r="D1521" i="1"/>
  <c r="E1521" i="1"/>
  <c r="A1522" i="1"/>
  <c r="B1522" i="1"/>
  <c r="C1522" i="1"/>
  <c r="D1522" i="1"/>
  <c r="E1522" i="1"/>
  <c r="A1523" i="1"/>
  <c r="B1523" i="1"/>
  <c r="C1523" i="1"/>
  <c r="D1523" i="1"/>
  <c r="E1523" i="1"/>
  <c r="A1524" i="1"/>
  <c r="B1524" i="1"/>
  <c r="C1524" i="1"/>
  <c r="D1524" i="1"/>
  <c r="E1524" i="1"/>
  <c r="A1525" i="1"/>
  <c r="B1525" i="1"/>
  <c r="C1525" i="1"/>
  <c r="D1525" i="1"/>
  <c r="E1525" i="1"/>
  <c r="A1526" i="1"/>
  <c r="B1526" i="1"/>
  <c r="C1526" i="1"/>
  <c r="D1526" i="1"/>
  <c r="E1526" i="1"/>
  <c r="A1527" i="1"/>
  <c r="B1527" i="1"/>
  <c r="C1527" i="1"/>
  <c r="D1527" i="1"/>
  <c r="E1527" i="1"/>
  <c r="A1528" i="1"/>
  <c r="B1528" i="1"/>
  <c r="C1528" i="1"/>
  <c r="D1528" i="1"/>
  <c r="E1528" i="1"/>
  <c r="A1529" i="1"/>
  <c r="B1529" i="1"/>
  <c r="C1529" i="1"/>
  <c r="D1529" i="1"/>
  <c r="E1529" i="1"/>
  <c r="A1530" i="1"/>
  <c r="B1530" i="1"/>
  <c r="C1530" i="1"/>
  <c r="D1530" i="1"/>
  <c r="E1530" i="1"/>
  <c r="A1531" i="1"/>
  <c r="B1531" i="1"/>
  <c r="C1531" i="1"/>
  <c r="D1531" i="1"/>
  <c r="E1531" i="1"/>
  <c r="A1532" i="1"/>
  <c r="B1532" i="1"/>
  <c r="C1532" i="1"/>
  <c r="D1532" i="1"/>
  <c r="E1532" i="1"/>
  <c r="A1533" i="1"/>
  <c r="B1533" i="1"/>
  <c r="C1533" i="1"/>
  <c r="D1533" i="1"/>
  <c r="E1533" i="1"/>
  <c r="A1534" i="1"/>
  <c r="B1534" i="1"/>
  <c r="C1534" i="1"/>
  <c r="D1534" i="1"/>
  <c r="E1534" i="1"/>
  <c r="A1535" i="1"/>
  <c r="B1535" i="1"/>
  <c r="C1535" i="1"/>
  <c r="D1535" i="1"/>
  <c r="E1535" i="1"/>
  <c r="A1536" i="1"/>
  <c r="B1536" i="1"/>
  <c r="C1536" i="1"/>
  <c r="D1536" i="1"/>
  <c r="E1536" i="1"/>
  <c r="A1537" i="1"/>
  <c r="B1537" i="1"/>
  <c r="C1537" i="1"/>
  <c r="D1537" i="1"/>
  <c r="E1537" i="1"/>
  <c r="A1538" i="1"/>
  <c r="B1538" i="1"/>
  <c r="C1538" i="1"/>
  <c r="D1538" i="1"/>
  <c r="E1538" i="1"/>
  <c r="A1539" i="1"/>
  <c r="B1539" i="1"/>
  <c r="C1539" i="1"/>
  <c r="D1539" i="1"/>
  <c r="E1539" i="1"/>
  <c r="A1540" i="1"/>
  <c r="B1540" i="1"/>
  <c r="C1540" i="1"/>
  <c r="D1540" i="1"/>
  <c r="E1540" i="1"/>
  <c r="A1541" i="1"/>
  <c r="B1541" i="1"/>
  <c r="C1541" i="1"/>
  <c r="D1541" i="1"/>
  <c r="E1541" i="1"/>
  <c r="A1542" i="1"/>
  <c r="B1542" i="1"/>
  <c r="C1542" i="1"/>
  <c r="D1542" i="1"/>
  <c r="E1542" i="1"/>
  <c r="A1543" i="1"/>
  <c r="B1543" i="1"/>
  <c r="C1543" i="1"/>
  <c r="D1543" i="1"/>
  <c r="E1543" i="1"/>
  <c r="A1544" i="1"/>
  <c r="B1544" i="1"/>
  <c r="C1544" i="1"/>
  <c r="D1544" i="1"/>
  <c r="E1544" i="1"/>
  <c r="A1545" i="1"/>
  <c r="B1545" i="1"/>
  <c r="C1545" i="1"/>
  <c r="D1545" i="1"/>
  <c r="E1545" i="1"/>
  <c r="A1546" i="1"/>
  <c r="B1546" i="1"/>
  <c r="C1546" i="1"/>
  <c r="D1546" i="1"/>
  <c r="E1546" i="1"/>
  <c r="A1547" i="1"/>
  <c r="B1547" i="1"/>
  <c r="C1547" i="1"/>
  <c r="D1547" i="1"/>
  <c r="E1547" i="1"/>
  <c r="A1548" i="1"/>
  <c r="B1548" i="1"/>
  <c r="C1548" i="1"/>
  <c r="D1548" i="1"/>
  <c r="E1548" i="1"/>
  <c r="A1549" i="1"/>
  <c r="B1549" i="1"/>
  <c r="C1549" i="1"/>
  <c r="D1549" i="1"/>
  <c r="E1549" i="1"/>
  <c r="A1550" i="1"/>
  <c r="B1550" i="1"/>
  <c r="C1550" i="1"/>
  <c r="D1550" i="1"/>
  <c r="E1550" i="1"/>
  <c r="A1551" i="1"/>
  <c r="B1551" i="1"/>
  <c r="C1551" i="1"/>
  <c r="D1551" i="1"/>
  <c r="E1551" i="1"/>
  <c r="A1552" i="1"/>
  <c r="B1552" i="1"/>
  <c r="C1552" i="1"/>
  <c r="D1552" i="1"/>
  <c r="E1552" i="1"/>
  <c r="A1553" i="1"/>
  <c r="B1553" i="1"/>
  <c r="C1553" i="1"/>
  <c r="D1553" i="1"/>
  <c r="E1553" i="1"/>
  <c r="A1554" i="1"/>
  <c r="B1554" i="1"/>
  <c r="C1554" i="1"/>
  <c r="D1554" i="1"/>
  <c r="E1554" i="1"/>
  <c r="A1555" i="1"/>
  <c r="B1555" i="1"/>
  <c r="C1555" i="1"/>
  <c r="D1555" i="1"/>
  <c r="E1555" i="1"/>
  <c r="A1556" i="1"/>
  <c r="B1556" i="1"/>
  <c r="C1556" i="1"/>
  <c r="D1556" i="1"/>
  <c r="E1556" i="1"/>
  <c r="A1557" i="1"/>
  <c r="B1557" i="1"/>
  <c r="C1557" i="1"/>
  <c r="D1557" i="1"/>
  <c r="E1557" i="1"/>
  <c r="A1558" i="1"/>
  <c r="B1558" i="1"/>
  <c r="C1558" i="1"/>
  <c r="D1558" i="1"/>
  <c r="E1558" i="1"/>
  <c r="A1559" i="1"/>
  <c r="B1559" i="1"/>
  <c r="C1559" i="1"/>
  <c r="D1559" i="1"/>
  <c r="E1559" i="1"/>
  <c r="A1560" i="1"/>
  <c r="B1560" i="1"/>
  <c r="C1560" i="1"/>
  <c r="D1560" i="1"/>
  <c r="E1560" i="1"/>
  <c r="A1561" i="1"/>
  <c r="B1561" i="1"/>
  <c r="C1561" i="1"/>
  <c r="D1561" i="1"/>
  <c r="E1561" i="1"/>
  <c r="A1562" i="1"/>
  <c r="B1562" i="1"/>
  <c r="C1562" i="1"/>
  <c r="D1562" i="1"/>
  <c r="E1562" i="1"/>
  <c r="A1563" i="1"/>
  <c r="B1563" i="1"/>
  <c r="C1563" i="1"/>
  <c r="D1563" i="1"/>
  <c r="E1563" i="1"/>
  <c r="A1564" i="1"/>
  <c r="B1564" i="1"/>
  <c r="C1564" i="1"/>
  <c r="D1564" i="1"/>
  <c r="E1564" i="1"/>
  <c r="A1565" i="1"/>
  <c r="B1565" i="1"/>
  <c r="C1565" i="1"/>
  <c r="D1565" i="1"/>
  <c r="E1565" i="1"/>
  <c r="A1566" i="1"/>
  <c r="B1566" i="1"/>
  <c r="C1566" i="1"/>
  <c r="D1566" i="1"/>
  <c r="E1566" i="1"/>
  <c r="A1567" i="1"/>
  <c r="B1567" i="1"/>
  <c r="C1567" i="1"/>
  <c r="D1567" i="1"/>
  <c r="E1567" i="1"/>
  <c r="A1568" i="1"/>
  <c r="B1568" i="1"/>
  <c r="C1568" i="1"/>
  <c r="D1568" i="1"/>
  <c r="E1568" i="1"/>
  <c r="A1569" i="1"/>
  <c r="B1569" i="1"/>
  <c r="C1569" i="1"/>
  <c r="D1569" i="1"/>
  <c r="E1569" i="1"/>
  <c r="A1570" i="1"/>
  <c r="B1570" i="1"/>
  <c r="C1570" i="1"/>
  <c r="D1570" i="1"/>
  <c r="E1570" i="1"/>
  <c r="A1571" i="1"/>
  <c r="B1571" i="1"/>
  <c r="C1571" i="1"/>
  <c r="D1571" i="1"/>
  <c r="E1571" i="1"/>
  <c r="A1572" i="1"/>
  <c r="B1572" i="1"/>
  <c r="C1572" i="1"/>
  <c r="D1572" i="1"/>
  <c r="E1572" i="1"/>
  <c r="A1573" i="1"/>
  <c r="B1573" i="1"/>
  <c r="C1573" i="1"/>
  <c r="D1573" i="1"/>
  <c r="E1573" i="1"/>
  <c r="A1574" i="1"/>
  <c r="B1574" i="1"/>
  <c r="C1574" i="1"/>
  <c r="D1574" i="1"/>
  <c r="E1574" i="1"/>
  <c r="A1575" i="1"/>
  <c r="B1575" i="1"/>
  <c r="C1575" i="1"/>
  <c r="D1575" i="1"/>
  <c r="E1575" i="1"/>
  <c r="A1576" i="1"/>
  <c r="B1576" i="1"/>
  <c r="C1576" i="1"/>
  <c r="D1576" i="1"/>
  <c r="E1576" i="1"/>
  <c r="A1577" i="1"/>
  <c r="B1577" i="1"/>
  <c r="C1577" i="1"/>
  <c r="D1577" i="1"/>
  <c r="E1577" i="1"/>
  <c r="A1578" i="1"/>
  <c r="B1578" i="1"/>
  <c r="C1578" i="1"/>
  <c r="D1578" i="1"/>
  <c r="E1578" i="1"/>
  <c r="A1579" i="1"/>
  <c r="B1579" i="1"/>
  <c r="C1579" i="1"/>
  <c r="D1579" i="1"/>
  <c r="E1579" i="1"/>
  <c r="A1580" i="1"/>
  <c r="B1580" i="1"/>
  <c r="C1580" i="1"/>
  <c r="D1580" i="1"/>
  <c r="E1580" i="1"/>
  <c r="A1581" i="1"/>
  <c r="B1581" i="1"/>
  <c r="C1581" i="1"/>
  <c r="D1581" i="1"/>
  <c r="E1581" i="1"/>
  <c r="A1582" i="1"/>
  <c r="B1582" i="1"/>
  <c r="C1582" i="1"/>
  <c r="D1582" i="1"/>
  <c r="E1582" i="1"/>
  <c r="A1583" i="1"/>
  <c r="B1583" i="1"/>
  <c r="C1583" i="1"/>
  <c r="D1583" i="1"/>
  <c r="E1583" i="1"/>
  <c r="A1584" i="1"/>
  <c r="B1584" i="1"/>
  <c r="C1584" i="1"/>
  <c r="D1584" i="1"/>
  <c r="E1584" i="1"/>
  <c r="A1585" i="1"/>
  <c r="B1585" i="1"/>
  <c r="C1585" i="1"/>
  <c r="D1585" i="1"/>
  <c r="E1585" i="1"/>
  <c r="A1586" i="1"/>
  <c r="B1586" i="1"/>
  <c r="C1586" i="1"/>
  <c r="D1586" i="1"/>
  <c r="E1586" i="1"/>
  <c r="A1587" i="1"/>
  <c r="B1587" i="1"/>
  <c r="C1587" i="1"/>
  <c r="D1587" i="1"/>
  <c r="E1587" i="1"/>
  <c r="A1588" i="1"/>
  <c r="B1588" i="1"/>
  <c r="C1588" i="1"/>
  <c r="D1588" i="1"/>
  <c r="E1588" i="1"/>
  <c r="A1589" i="1"/>
  <c r="B1589" i="1"/>
  <c r="C1589" i="1"/>
  <c r="D1589" i="1"/>
  <c r="E1589" i="1"/>
  <c r="A1590" i="1"/>
  <c r="B1590" i="1"/>
  <c r="C1590" i="1"/>
  <c r="D1590" i="1"/>
  <c r="E1590" i="1"/>
  <c r="A1591" i="1"/>
  <c r="B1591" i="1"/>
  <c r="C1591" i="1"/>
  <c r="D1591" i="1"/>
  <c r="E1591" i="1"/>
  <c r="A1592" i="1"/>
  <c r="B1592" i="1"/>
  <c r="C1592" i="1"/>
  <c r="D1592" i="1"/>
  <c r="E1592" i="1"/>
  <c r="A1593" i="1"/>
  <c r="B1593" i="1"/>
  <c r="C1593" i="1"/>
  <c r="D1593" i="1"/>
  <c r="E1593" i="1"/>
  <c r="A1594" i="1"/>
  <c r="B1594" i="1"/>
  <c r="C1594" i="1"/>
  <c r="D1594" i="1"/>
  <c r="E1594" i="1"/>
  <c r="A1595" i="1"/>
  <c r="B1595" i="1"/>
  <c r="C1595" i="1"/>
  <c r="D1595" i="1"/>
  <c r="E1595" i="1"/>
  <c r="A1596" i="1"/>
  <c r="B1596" i="1"/>
  <c r="C1596" i="1"/>
  <c r="D1596" i="1"/>
  <c r="E1596" i="1"/>
  <c r="A1597" i="1"/>
  <c r="B1597" i="1"/>
  <c r="C1597" i="1"/>
  <c r="D1597" i="1"/>
  <c r="E1597" i="1"/>
  <c r="A1598" i="1"/>
  <c r="B1598" i="1"/>
  <c r="C1598" i="1"/>
  <c r="D1598" i="1"/>
  <c r="E1598" i="1"/>
  <c r="A1599" i="1"/>
  <c r="B1599" i="1"/>
  <c r="C1599" i="1"/>
  <c r="D1599" i="1"/>
  <c r="E1599" i="1"/>
  <c r="A1600" i="1"/>
  <c r="B1600" i="1"/>
  <c r="C1600" i="1"/>
  <c r="D1600" i="1"/>
  <c r="E1600" i="1"/>
  <c r="A1601" i="1"/>
  <c r="B1601" i="1"/>
  <c r="C1601" i="1"/>
  <c r="D1601" i="1"/>
  <c r="E1601" i="1"/>
  <c r="A1602" i="1"/>
  <c r="B1602" i="1"/>
  <c r="C1602" i="1"/>
  <c r="D1602" i="1"/>
  <c r="E1602" i="1"/>
  <c r="A1603" i="1"/>
  <c r="B1603" i="1"/>
  <c r="C1603" i="1"/>
  <c r="D1603" i="1"/>
  <c r="E1603" i="1"/>
  <c r="A1604" i="1"/>
  <c r="B1604" i="1"/>
  <c r="C1604" i="1"/>
  <c r="D1604" i="1"/>
  <c r="E1604" i="1"/>
  <c r="A1605" i="1"/>
  <c r="B1605" i="1"/>
  <c r="C1605" i="1"/>
  <c r="D1605" i="1"/>
  <c r="E1605" i="1"/>
  <c r="A1606" i="1"/>
  <c r="B1606" i="1"/>
  <c r="C1606" i="1"/>
  <c r="D1606" i="1"/>
  <c r="E1606" i="1"/>
  <c r="A1607" i="1"/>
  <c r="B1607" i="1"/>
  <c r="C1607" i="1"/>
  <c r="D1607" i="1"/>
  <c r="E1607" i="1"/>
  <c r="A1608" i="1"/>
  <c r="B1608" i="1"/>
  <c r="C1608" i="1"/>
  <c r="D1608" i="1"/>
  <c r="E1608" i="1"/>
  <c r="A1609" i="1"/>
  <c r="B1609" i="1"/>
  <c r="C1609" i="1"/>
  <c r="D1609" i="1"/>
  <c r="E1609" i="1"/>
  <c r="A1610" i="1"/>
  <c r="B1610" i="1"/>
  <c r="C1610" i="1"/>
  <c r="D1610" i="1"/>
  <c r="E1610" i="1"/>
  <c r="A1611" i="1"/>
  <c r="B1611" i="1"/>
  <c r="C1611" i="1"/>
  <c r="D1611" i="1"/>
  <c r="E1611" i="1"/>
  <c r="A1612" i="1"/>
  <c r="B1612" i="1"/>
  <c r="C1612" i="1"/>
  <c r="D1612" i="1"/>
  <c r="E1612" i="1"/>
  <c r="A1613" i="1"/>
  <c r="B1613" i="1"/>
  <c r="C1613" i="1"/>
  <c r="D1613" i="1"/>
  <c r="E1613" i="1"/>
  <c r="A1614" i="1"/>
  <c r="B1614" i="1"/>
  <c r="C1614" i="1"/>
  <c r="D1614" i="1"/>
  <c r="E1614" i="1"/>
  <c r="A1615" i="1"/>
  <c r="B1615" i="1"/>
  <c r="C1615" i="1"/>
  <c r="D1615" i="1"/>
  <c r="E1615" i="1"/>
  <c r="A1616" i="1"/>
  <c r="B1616" i="1"/>
  <c r="C1616" i="1"/>
  <c r="D1616" i="1"/>
  <c r="E1616" i="1"/>
  <c r="A1617" i="1"/>
  <c r="B1617" i="1"/>
  <c r="C1617" i="1"/>
  <c r="D1617" i="1"/>
  <c r="E1617" i="1"/>
  <c r="A1618" i="1"/>
  <c r="B1618" i="1"/>
  <c r="C1618" i="1"/>
  <c r="D1618" i="1"/>
  <c r="E1618" i="1"/>
  <c r="A1619" i="1"/>
  <c r="B1619" i="1"/>
  <c r="C1619" i="1"/>
  <c r="D1619" i="1"/>
  <c r="E1619" i="1"/>
  <c r="A1620" i="1"/>
  <c r="B1620" i="1"/>
  <c r="C1620" i="1"/>
  <c r="D1620" i="1"/>
  <c r="E1620" i="1"/>
  <c r="A1621" i="1"/>
  <c r="B1621" i="1"/>
  <c r="C1621" i="1"/>
  <c r="D1621" i="1"/>
  <c r="E1621" i="1"/>
  <c r="A1622" i="1"/>
  <c r="B1622" i="1"/>
  <c r="C1622" i="1"/>
  <c r="D1622" i="1"/>
  <c r="E1622" i="1"/>
  <c r="A1623" i="1"/>
  <c r="B1623" i="1"/>
  <c r="C1623" i="1"/>
  <c r="D1623" i="1"/>
  <c r="E1623" i="1"/>
  <c r="A1624" i="1"/>
  <c r="B1624" i="1"/>
  <c r="C1624" i="1"/>
  <c r="D1624" i="1"/>
  <c r="E1624" i="1"/>
  <c r="A1625" i="1"/>
  <c r="B1625" i="1"/>
  <c r="C1625" i="1"/>
  <c r="D1625" i="1"/>
  <c r="E1625" i="1"/>
  <c r="A1626" i="1"/>
  <c r="B1626" i="1"/>
  <c r="C1626" i="1"/>
  <c r="D1626" i="1"/>
  <c r="E1626" i="1"/>
  <c r="A1627" i="1"/>
  <c r="B1627" i="1"/>
  <c r="C1627" i="1"/>
  <c r="D1627" i="1"/>
  <c r="E1627" i="1"/>
  <c r="A1628" i="1"/>
  <c r="B1628" i="1"/>
  <c r="C1628" i="1"/>
  <c r="D1628" i="1"/>
  <c r="E1628" i="1"/>
  <c r="A1629" i="1"/>
  <c r="B1629" i="1"/>
  <c r="C1629" i="1"/>
  <c r="D1629" i="1"/>
  <c r="E1629" i="1"/>
  <c r="A1630" i="1"/>
  <c r="B1630" i="1"/>
  <c r="C1630" i="1"/>
  <c r="D1630" i="1"/>
  <c r="E1630" i="1"/>
  <c r="A1631" i="1"/>
  <c r="B1631" i="1"/>
  <c r="C1631" i="1"/>
  <c r="D1631" i="1"/>
  <c r="E1631" i="1"/>
  <c r="A1632" i="1"/>
  <c r="B1632" i="1"/>
  <c r="C1632" i="1"/>
  <c r="D1632" i="1"/>
  <c r="E1632" i="1"/>
  <c r="A1633" i="1"/>
  <c r="B1633" i="1"/>
  <c r="C1633" i="1"/>
  <c r="D1633" i="1"/>
  <c r="E1633" i="1"/>
  <c r="A1634" i="1"/>
  <c r="B1634" i="1"/>
  <c r="C1634" i="1"/>
  <c r="D1634" i="1"/>
  <c r="E1634" i="1"/>
  <c r="A1635" i="1"/>
  <c r="B1635" i="1"/>
  <c r="C1635" i="1"/>
  <c r="D1635" i="1"/>
  <c r="E1635" i="1"/>
  <c r="A1636" i="1"/>
  <c r="B1636" i="1"/>
  <c r="C1636" i="1"/>
  <c r="D1636" i="1"/>
  <c r="E1636" i="1"/>
  <c r="A1637" i="1"/>
  <c r="B1637" i="1"/>
  <c r="C1637" i="1"/>
  <c r="D1637" i="1"/>
  <c r="E1637" i="1"/>
  <c r="A1638" i="1"/>
  <c r="B1638" i="1"/>
  <c r="C1638" i="1"/>
  <c r="D1638" i="1"/>
  <c r="E1638" i="1"/>
  <c r="A1639" i="1"/>
  <c r="B1639" i="1"/>
  <c r="C1639" i="1"/>
  <c r="D1639" i="1"/>
  <c r="E1639" i="1"/>
  <c r="A1640" i="1"/>
  <c r="B1640" i="1"/>
  <c r="C1640" i="1"/>
  <c r="D1640" i="1"/>
  <c r="E1640" i="1"/>
  <c r="A1641" i="1"/>
  <c r="B1641" i="1"/>
  <c r="C1641" i="1"/>
  <c r="D1641" i="1"/>
  <c r="E1641" i="1"/>
  <c r="A1642" i="1"/>
  <c r="B1642" i="1"/>
  <c r="C1642" i="1"/>
  <c r="D1642" i="1"/>
  <c r="E1642" i="1"/>
  <c r="A1643" i="1"/>
  <c r="B1643" i="1"/>
  <c r="C1643" i="1"/>
  <c r="D1643" i="1"/>
  <c r="E1643" i="1"/>
  <c r="A1644" i="1"/>
  <c r="B1644" i="1"/>
  <c r="C1644" i="1"/>
  <c r="D1644" i="1"/>
  <c r="E1644" i="1"/>
  <c r="A1645" i="1"/>
  <c r="B1645" i="1"/>
  <c r="C1645" i="1"/>
  <c r="D1645" i="1"/>
  <c r="E1645" i="1"/>
  <c r="A1646" i="1"/>
  <c r="B1646" i="1"/>
  <c r="C1646" i="1"/>
  <c r="D1646" i="1"/>
  <c r="E1646" i="1"/>
  <c r="A1647" i="1"/>
  <c r="B1647" i="1"/>
  <c r="C1647" i="1"/>
  <c r="D1647" i="1"/>
  <c r="E1647" i="1"/>
  <c r="A1648" i="1"/>
  <c r="B1648" i="1"/>
  <c r="C1648" i="1"/>
  <c r="D1648" i="1"/>
  <c r="E1648" i="1"/>
  <c r="A1649" i="1"/>
  <c r="B1649" i="1"/>
  <c r="C1649" i="1"/>
  <c r="D1649" i="1"/>
  <c r="E1649" i="1"/>
  <c r="A1650" i="1"/>
  <c r="B1650" i="1"/>
  <c r="C1650" i="1"/>
  <c r="D1650" i="1"/>
  <c r="E1650" i="1"/>
  <c r="A1651" i="1"/>
  <c r="B1651" i="1"/>
  <c r="C1651" i="1"/>
  <c r="D1651" i="1"/>
  <c r="E1651" i="1"/>
  <c r="A1652" i="1"/>
  <c r="B1652" i="1"/>
  <c r="C1652" i="1"/>
  <c r="D1652" i="1"/>
  <c r="E1652" i="1"/>
  <c r="A1653" i="1"/>
  <c r="B1653" i="1"/>
  <c r="C1653" i="1"/>
  <c r="D1653" i="1"/>
  <c r="E1653" i="1"/>
  <c r="A1654" i="1"/>
  <c r="B1654" i="1"/>
  <c r="C1654" i="1"/>
  <c r="D1654" i="1"/>
  <c r="E1654" i="1"/>
  <c r="A1655" i="1"/>
  <c r="B1655" i="1"/>
  <c r="C1655" i="1"/>
  <c r="D1655" i="1"/>
  <c r="E1655" i="1"/>
  <c r="A1656" i="1"/>
  <c r="B1656" i="1"/>
  <c r="C1656" i="1"/>
  <c r="D1656" i="1"/>
  <c r="E1656" i="1"/>
  <c r="A1657" i="1"/>
  <c r="B1657" i="1"/>
  <c r="C1657" i="1"/>
  <c r="D1657" i="1"/>
  <c r="E1657" i="1"/>
  <c r="A1658" i="1"/>
  <c r="B1658" i="1"/>
  <c r="C1658" i="1"/>
  <c r="D1658" i="1"/>
  <c r="E1658" i="1"/>
  <c r="A1659" i="1"/>
  <c r="B1659" i="1"/>
  <c r="C1659" i="1"/>
  <c r="D1659" i="1"/>
  <c r="E1659" i="1"/>
  <c r="A1660" i="1"/>
  <c r="B1660" i="1"/>
  <c r="C1660" i="1"/>
  <c r="D1660" i="1"/>
  <c r="E1660" i="1"/>
  <c r="A1661" i="1"/>
  <c r="B1661" i="1"/>
  <c r="C1661" i="1"/>
  <c r="D1661" i="1"/>
  <c r="E1661" i="1"/>
  <c r="A1662" i="1"/>
  <c r="B1662" i="1"/>
  <c r="C1662" i="1"/>
  <c r="D1662" i="1"/>
  <c r="E1662" i="1"/>
  <c r="A1663" i="1"/>
  <c r="B1663" i="1"/>
  <c r="C1663" i="1"/>
  <c r="D1663" i="1"/>
  <c r="E1663" i="1"/>
  <c r="A1664" i="1"/>
  <c r="B1664" i="1"/>
  <c r="C1664" i="1"/>
  <c r="D1664" i="1"/>
  <c r="E1664" i="1"/>
  <c r="A1665" i="1"/>
  <c r="B1665" i="1"/>
  <c r="C1665" i="1"/>
  <c r="D1665" i="1"/>
  <c r="E1665" i="1"/>
  <c r="A1666" i="1"/>
  <c r="B1666" i="1"/>
  <c r="C1666" i="1"/>
  <c r="D1666" i="1"/>
  <c r="E1666" i="1"/>
  <c r="A1667" i="1"/>
  <c r="B1667" i="1"/>
  <c r="C1667" i="1"/>
  <c r="D1667" i="1"/>
  <c r="E1667" i="1"/>
  <c r="A1668" i="1"/>
  <c r="B1668" i="1"/>
  <c r="C1668" i="1"/>
  <c r="D1668" i="1"/>
  <c r="E1668" i="1"/>
  <c r="A1669" i="1"/>
  <c r="B1669" i="1"/>
  <c r="C1669" i="1"/>
  <c r="D1669" i="1"/>
  <c r="E1669" i="1"/>
  <c r="A1670" i="1"/>
  <c r="B1670" i="1"/>
  <c r="C1670" i="1"/>
  <c r="D1670" i="1"/>
  <c r="E1670" i="1"/>
  <c r="A1671" i="1"/>
  <c r="B1671" i="1"/>
  <c r="C1671" i="1"/>
  <c r="D1671" i="1"/>
  <c r="E1671" i="1"/>
  <c r="A1672" i="1"/>
  <c r="B1672" i="1"/>
  <c r="C1672" i="1"/>
  <c r="D1672" i="1"/>
  <c r="E1672" i="1"/>
  <c r="A1673" i="1"/>
  <c r="B1673" i="1"/>
  <c r="C1673" i="1"/>
  <c r="D1673" i="1"/>
  <c r="E1673" i="1"/>
  <c r="A1674" i="1"/>
  <c r="B1674" i="1"/>
  <c r="C1674" i="1"/>
  <c r="D1674" i="1"/>
  <c r="E1674" i="1"/>
  <c r="A1675" i="1"/>
  <c r="B1675" i="1"/>
  <c r="C1675" i="1"/>
  <c r="D1675" i="1"/>
  <c r="E1675" i="1"/>
  <c r="A1676" i="1"/>
  <c r="B1676" i="1"/>
  <c r="C1676" i="1"/>
  <c r="D1676" i="1"/>
  <c r="E1676" i="1"/>
  <c r="A1677" i="1"/>
  <c r="B1677" i="1"/>
  <c r="C1677" i="1"/>
  <c r="D1677" i="1"/>
  <c r="E1677" i="1"/>
  <c r="A1678" i="1"/>
  <c r="B1678" i="1"/>
  <c r="C1678" i="1"/>
  <c r="D1678" i="1"/>
  <c r="E1678" i="1"/>
  <c r="A1679" i="1"/>
  <c r="B1679" i="1"/>
  <c r="C1679" i="1"/>
  <c r="D1679" i="1"/>
  <c r="E1679" i="1"/>
  <c r="A1680" i="1"/>
  <c r="B1680" i="1"/>
  <c r="C1680" i="1"/>
  <c r="D1680" i="1"/>
  <c r="E1680" i="1"/>
  <c r="A1681" i="1"/>
  <c r="B1681" i="1"/>
  <c r="C1681" i="1"/>
  <c r="D1681" i="1"/>
  <c r="E1681" i="1"/>
  <c r="A1682" i="1"/>
  <c r="B1682" i="1"/>
  <c r="C1682" i="1"/>
  <c r="D1682" i="1"/>
  <c r="E1682" i="1"/>
  <c r="A1683" i="1"/>
  <c r="B1683" i="1"/>
  <c r="C1683" i="1"/>
  <c r="D1683" i="1"/>
  <c r="E1683" i="1"/>
  <c r="A1684" i="1"/>
  <c r="B1684" i="1"/>
  <c r="C1684" i="1"/>
  <c r="D1684" i="1"/>
  <c r="E1684" i="1"/>
  <c r="A1685" i="1"/>
  <c r="B1685" i="1"/>
  <c r="C1685" i="1"/>
  <c r="D1685" i="1"/>
  <c r="E1685" i="1"/>
  <c r="A1686" i="1"/>
  <c r="B1686" i="1"/>
  <c r="C1686" i="1"/>
  <c r="D1686" i="1"/>
  <c r="E1686" i="1"/>
  <c r="A1687" i="1"/>
  <c r="B1687" i="1"/>
  <c r="C1687" i="1"/>
  <c r="D1687" i="1"/>
  <c r="E1687" i="1"/>
  <c r="A1688" i="1"/>
  <c r="B1688" i="1"/>
  <c r="C1688" i="1"/>
  <c r="D1688" i="1"/>
  <c r="E1688" i="1"/>
  <c r="A1689" i="1"/>
  <c r="B1689" i="1"/>
  <c r="C1689" i="1"/>
  <c r="D1689" i="1"/>
  <c r="E1689" i="1"/>
  <c r="A1690" i="1"/>
  <c r="B1690" i="1"/>
  <c r="C1690" i="1"/>
  <c r="D1690" i="1"/>
  <c r="E1690" i="1"/>
  <c r="A1691" i="1"/>
  <c r="B1691" i="1"/>
  <c r="C1691" i="1"/>
  <c r="D1691" i="1"/>
  <c r="E1691" i="1"/>
  <c r="A1692" i="1"/>
  <c r="B1692" i="1"/>
  <c r="C1692" i="1"/>
  <c r="D1692" i="1"/>
  <c r="E1692" i="1"/>
  <c r="A1693" i="1"/>
  <c r="B1693" i="1"/>
  <c r="C1693" i="1"/>
  <c r="D1693" i="1"/>
  <c r="E1693" i="1"/>
  <c r="A1694" i="1"/>
  <c r="B1694" i="1"/>
  <c r="C1694" i="1"/>
  <c r="D1694" i="1"/>
  <c r="E1694" i="1"/>
  <c r="A1695" i="1"/>
  <c r="B1695" i="1"/>
  <c r="C1695" i="1"/>
  <c r="D1695" i="1"/>
  <c r="E1695" i="1"/>
  <c r="A1696" i="1"/>
  <c r="B1696" i="1"/>
  <c r="C1696" i="1"/>
  <c r="D1696" i="1"/>
  <c r="E1696" i="1"/>
  <c r="A1697" i="1"/>
  <c r="B1697" i="1"/>
  <c r="C1697" i="1"/>
  <c r="D1697" i="1"/>
  <c r="E1697" i="1"/>
  <c r="A1698" i="1"/>
  <c r="B1698" i="1"/>
  <c r="C1698" i="1"/>
  <c r="D1698" i="1"/>
  <c r="E1698" i="1"/>
  <c r="A1699" i="1"/>
  <c r="B1699" i="1"/>
  <c r="C1699" i="1"/>
  <c r="D1699" i="1"/>
  <c r="E1699" i="1"/>
  <c r="A1700" i="1"/>
  <c r="B1700" i="1"/>
  <c r="C1700" i="1"/>
  <c r="D1700" i="1"/>
  <c r="E1700" i="1"/>
  <c r="A1701" i="1"/>
  <c r="B1701" i="1"/>
  <c r="C1701" i="1"/>
  <c r="D1701" i="1"/>
  <c r="E1701" i="1"/>
  <c r="A1702" i="1"/>
  <c r="B1702" i="1"/>
  <c r="C1702" i="1"/>
  <c r="D1702" i="1"/>
  <c r="E1702" i="1"/>
  <c r="A1703" i="1"/>
  <c r="B1703" i="1"/>
  <c r="C1703" i="1"/>
  <c r="D1703" i="1"/>
  <c r="E1703" i="1"/>
  <c r="A1704" i="1"/>
  <c r="B1704" i="1"/>
  <c r="C1704" i="1"/>
  <c r="D1704" i="1"/>
  <c r="E1704" i="1"/>
  <c r="A1705" i="1"/>
  <c r="B1705" i="1"/>
  <c r="C1705" i="1"/>
  <c r="D1705" i="1"/>
  <c r="E1705" i="1"/>
  <c r="A1706" i="1"/>
  <c r="B1706" i="1"/>
  <c r="C1706" i="1"/>
  <c r="D1706" i="1"/>
  <c r="E1706" i="1"/>
  <c r="A1707" i="1"/>
  <c r="B1707" i="1"/>
  <c r="C1707" i="1"/>
  <c r="D1707" i="1"/>
  <c r="E1707" i="1"/>
  <c r="A1708" i="1"/>
  <c r="B1708" i="1"/>
  <c r="C1708" i="1"/>
  <c r="D1708" i="1"/>
  <c r="E1708" i="1"/>
  <c r="A1709" i="1"/>
  <c r="B1709" i="1"/>
  <c r="C1709" i="1"/>
  <c r="D1709" i="1"/>
  <c r="E1709" i="1"/>
  <c r="A1710" i="1"/>
  <c r="B1710" i="1"/>
  <c r="C1710" i="1"/>
  <c r="D1710" i="1"/>
  <c r="E1710" i="1"/>
  <c r="A1711" i="1"/>
  <c r="B1711" i="1"/>
  <c r="C1711" i="1"/>
  <c r="D1711" i="1"/>
  <c r="E1711" i="1"/>
  <c r="A1712" i="1"/>
  <c r="B1712" i="1"/>
  <c r="C1712" i="1"/>
  <c r="D1712" i="1"/>
  <c r="E1712" i="1"/>
  <c r="A1713" i="1"/>
  <c r="B1713" i="1"/>
  <c r="C1713" i="1"/>
  <c r="D1713" i="1"/>
  <c r="E1713" i="1"/>
  <c r="A1714" i="1"/>
  <c r="B1714" i="1"/>
  <c r="C1714" i="1"/>
  <c r="D1714" i="1"/>
  <c r="E1714" i="1"/>
  <c r="A1715" i="1"/>
  <c r="B1715" i="1"/>
  <c r="C1715" i="1"/>
  <c r="D1715" i="1"/>
  <c r="E1715" i="1"/>
  <c r="A1716" i="1"/>
  <c r="B1716" i="1"/>
  <c r="C1716" i="1"/>
  <c r="D1716" i="1"/>
  <c r="E1716" i="1"/>
  <c r="A1717" i="1"/>
  <c r="B1717" i="1"/>
  <c r="C1717" i="1"/>
  <c r="D1717" i="1"/>
  <c r="E1717" i="1"/>
  <c r="A1718" i="1"/>
  <c r="B1718" i="1"/>
  <c r="C1718" i="1"/>
  <c r="D1718" i="1"/>
  <c r="E1718" i="1"/>
  <c r="A1719" i="1"/>
  <c r="B1719" i="1"/>
  <c r="C1719" i="1"/>
  <c r="D1719" i="1"/>
  <c r="E1719" i="1"/>
  <c r="A1720" i="1"/>
  <c r="B1720" i="1"/>
  <c r="C1720" i="1"/>
  <c r="D1720" i="1"/>
  <c r="E1720" i="1"/>
  <c r="A1721" i="1"/>
  <c r="B1721" i="1"/>
  <c r="C1721" i="1"/>
  <c r="D1721" i="1"/>
  <c r="E1721" i="1"/>
  <c r="A1722" i="1"/>
  <c r="B1722" i="1"/>
  <c r="C1722" i="1"/>
  <c r="D1722" i="1"/>
  <c r="E1722" i="1"/>
  <c r="A1723" i="1"/>
  <c r="B1723" i="1"/>
  <c r="C1723" i="1"/>
  <c r="D1723" i="1"/>
  <c r="E1723" i="1"/>
  <c r="A1724" i="1"/>
  <c r="B1724" i="1"/>
  <c r="C1724" i="1"/>
  <c r="D1724" i="1"/>
  <c r="E1724" i="1"/>
  <c r="A1725" i="1"/>
  <c r="B1725" i="1"/>
  <c r="C1725" i="1"/>
  <c r="D1725" i="1"/>
  <c r="E1725" i="1"/>
  <c r="A1726" i="1"/>
  <c r="B1726" i="1"/>
  <c r="C1726" i="1"/>
  <c r="D1726" i="1"/>
  <c r="E1726" i="1"/>
  <c r="A1727" i="1"/>
  <c r="B1727" i="1"/>
  <c r="C1727" i="1"/>
  <c r="D1727" i="1"/>
  <c r="E1727" i="1"/>
  <c r="A1728" i="1"/>
  <c r="B1728" i="1"/>
  <c r="C1728" i="1"/>
  <c r="D1728" i="1"/>
  <c r="E1728" i="1"/>
  <c r="A1729" i="1"/>
  <c r="B1729" i="1"/>
  <c r="C1729" i="1"/>
  <c r="D1729" i="1"/>
  <c r="E1729" i="1"/>
  <c r="A1730" i="1"/>
  <c r="B1730" i="1"/>
  <c r="C1730" i="1"/>
  <c r="D1730" i="1"/>
  <c r="E1730" i="1"/>
  <c r="A1731" i="1"/>
  <c r="B1731" i="1"/>
  <c r="C1731" i="1"/>
  <c r="D1731" i="1"/>
  <c r="E1731" i="1"/>
  <c r="A1732" i="1"/>
  <c r="B1732" i="1"/>
  <c r="C1732" i="1"/>
  <c r="D1732" i="1"/>
  <c r="E1732" i="1"/>
  <c r="A1733" i="1"/>
  <c r="B1733" i="1"/>
  <c r="C1733" i="1"/>
  <c r="D1733" i="1"/>
  <c r="E1733" i="1"/>
  <c r="A1734" i="1"/>
  <c r="B1734" i="1"/>
  <c r="C1734" i="1"/>
  <c r="D1734" i="1"/>
  <c r="E1734" i="1"/>
  <c r="A1735" i="1"/>
  <c r="B1735" i="1"/>
  <c r="C1735" i="1"/>
  <c r="D1735" i="1"/>
  <c r="E1735" i="1"/>
  <c r="A1736" i="1"/>
  <c r="B1736" i="1"/>
  <c r="C1736" i="1"/>
  <c r="D1736" i="1"/>
  <c r="E1736" i="1"/>
  <c r="A1737" i="1"/>
  <c r="B1737" i="1"/>
  <c r="C1737" i="1"/>
  <c r="D1737" i="1"/>
  <c r="E1737" i="1"/>
  <c r="A1738" i="1"/>
  <c r="B1738" i="1"/>
  <c r="C1738" i="1"/>
  <c r="D1738" i="1"/>
  <c r="E1738" i="1"/>
  <c r="A1739" i="1"/>
  <c r="B1739" i="1"/>
  <c r="C1739" i="1"/>
  <c r="D1739" i="1"/>
  <c r="E1739" i="1"/>
  <c r="A1740" i="1"/>
  <c r="B1740" i="1"/>
  <c r="C1740" i="1"/>
  <c r="D1740" i="1"/>
  <c r="E1740" i="1"/>
  <c r="A1741" i="1"/>
  <c r="B1741" i="1"/>
  <c r="C1741" i="1"/>
  <c r="D1741" i="1"/>
  <c r="E1741" i="1"/>
  <c r="A1742" i="1"/>
  <c r="B1742" i="1"/>
  <c r="C1742" i="1"/>
  <c r="D1742" i="1"/>
  <c r="E1742" i="1"/>
  <c r="A1743" i="1"/>
  <c r="B1743" i="1"/>
  <c r="C1743" i="1"/>
  <c r="D1743" i="1"/>
  <c r="E1743" i="1"/>
  <c r="A1744" i="1"/>
  <c r="B1744" i="1"/>
  <c r="C1744" i="1"/>
  <c r="D1744" i="1"/>
  <c r="E1744" i="1"/>
  <c r="A1745" i="1"/>
  <c r="B1745" i="1"/>
  <c r="C1745" i="1"/>
  <c r="D1745" i="1"/>
  <c r="E1745" i="1"/>
  <c r="A1746" i="1"/>
  <c r="B1746" i="1"/>
  <c r="C1746" i="1"/>
  <c r="D1746" i="1"/>
  <c r="E1746" i="1"/>
  <c r="A1747" i="1"/>
  <c r="B1747" i="1"/>
  <c r="C1747" i="1"/>
  <c r="D1747" i="1"/>
  <c r="E1747" i="1"/>
  <c r="A1748" i="1"/>
  <c r="B1748" i="1"/>
  <c r="C1748" i="1"/>
  <c r="D1748" i="1"/>
  <c r="E1748" i="1"/>
  <c r="A1749" i="1"/>
  <c r="B1749" i="1"/>
  <c r="C1749" i="1"/>
  <c r="D1749" i="1"/>
  <c r="E1749" i="1"/>
  <c r="A1750" i="1"/>
  <c r="B1750" i="1"/>
  <c r="C1750" i="1"/>
  <c r="D1750" i="1"/>
  <c r="E1750" i="1"/>
  <c r="A1751" i="1"/>
  <c r="B1751" i="1"/>
  <c r="C1751" i="1"/>
  <c r="D1751" i="1"/>
  <c r="E1751" i="1"/>
  <c r="A1752" i="1"/>
  <c r="B1752" i="1"/>
  <c r="C1752" i="1"/>
  <c r="D1752" i="1"/>
  <c r="E1752" i="1"/>
  <c r="A1753" i="1"/>
  <c r="B1753" i="1"/>
  <c r="C1753" i="1"/>
  <c r="D1753" i="1"/>
  <c r="E1753" i="1"/>
  <c r="A1754" i="1"/>
  <c r="B1754" i="1"/>
  <c r="C1754" i="1"/>
  <c r="D1754" i="1"/>
  <c r="E1754" i="1"/>
  <c r="A1755" i="1"/>
  <c r="B1755" i="1"/>
  <c r="C1755" i="1"/>
  <c r="D1755" i="1"/>
  <c r="E1755" i="1"/>
  <c r="A1756" i="1"/>
  <c r="B1756" i="1"/>
  <c r="C1756" i="1"/>
  <c r="D1756" i="1"/>
  <c r="E1756" i="1"/>
  <c r="A1757" i="1"/>
  <c r="B1757" i="1"/>
  <c r="C1757" i="1"/>
  <c r="D1757" i="1"/>
  <c r="E1757" i="1"/>
  <c r="A1758" i="1"/>
  <c r="B1758" i="1"/>
  <c r="C1758" i="1"/>
  <c r="D1758" i="1"/>
  <c r="E1758" i="1"/>
  <c r="A1759" i="1"/>
  <c r="B1759" i="1"/>
  <c r="C1759" i="1"/>
  <c r="D1759" i="1"/>
  <c r="E1759" i="1"/>
  <c r="A1760" i="1"/>
  <c r="B1760" i="1"/>
  <c r="C1760" i="1"/>
  <c r="D1760" i="1"/>
  <c r="E1760" i="1"/>
  <c r="A1761" i="1"/>
  <c r="B1761" i="1"/>
  <c r="C1761" i="1"/>
  <c r="D1761" i="1"/>
  <c r="E1761" i="1"/>
  <c r="A1762" i="1"/>
  <c r="B1762" i="1"/>
  <c r="C1762" i="1"/>
  <c r="D1762" i="1"/>
  <c r="E1762" i="1"/>
  <c r="A1763" i="1"/>
  <c r="B1763" i="1"/>
  <c r="C1763" i="1"/>
  <c r="D1763" i="1"/>
  <c r="E1763" i="1"/>
  <c r="A1764" i="1"/>
  <c r="B1764" i="1"/>
  <c r="C1764" i="1"/>
  <c r="D1764" i="1"/>
  <c r="E1764" i="1"/>
  <c r="A1765" i="1"/>
  <c r="B1765" i="1"/>
  <c r="C1765" i="1"/>
  <c r="D1765" i="1"/>
  <c r="E1765" i="1"/>
  <c r="A1766" i="1"/>
  <c r="B1766" i="1"/>
  <c r="C1766" i="1"/>
  <c r="D1766" i="1"/>
  <c r="E1766" i="1"/>
  <c r="A1767" i="1"/>
  <c r="B1767" i="1"/>
  <c r="C1767" i="1"/>
  <c r="D1767" i="1"/>
  <c r="E1767" i="1"/>
  <c r="A1768" i="1"/>
  <c r="B1768" i="1"/>
  <c r="C1768" i="1"/>
  <c r="D1768" i="1"/>
  <c r="E1768" i="1"/>
  <c r="A1769" i="1"/>
  <c r="B1769" i="1"/>
  <c r="C1769" i="1"/>
  <c r="D1769" i="1"/>
  <c r="E1769" i="1"/>
  <c r="A1770" i="1"/>
  <c r="B1770" i="1"/>
  <c r="C1770" i="1"/>
  <c r="D1770" i="1"/>
  <c r="E1770" i="1"/>
  <c r="A1771" i="1"/>
  <c r="B1771" i="1"/>
  <c r="C1771" i="1"/>
  <c r="D1771" i="1"/>
  <c r="E1771" i="1"/>
  <c r="A1772" i="1"/>
  <c r="B1772" i="1"/>
  <c r="C1772" i="1"/>
  <c r="D1772" i="1"/>
  <c r="E1772" i="1"/>
  <c r="A1773" i="1"/>
  <c r="B1773" i="1"/>
  <c r="C1773" i="1"/>
  <c r="D1773" i="1"/>
  <c r="E1773" i="1"/>
  <c r="A1774" i="1"/>
  <c r="B1774" i="1"/>
  <c r="C1774" i="1"/>
  <c r="D1774" i="1"/>
  <c r="E1774" i="1"/>
  <c r="A1775" i="1"/>
  <c r="B1775" i="1"/>
  <c r="C1775" i="1"/>
  <c r="D1775" i="1"/>
  <c r="E1775" i="1"/>
  <c r="A1776" i="1"/>
  <c r="B1776" i="1"/>
  <c r="C1776" i="1"/>
  <c r="D1776" i="1"/>
  <c r="E1776" i="1"/>
  <c r="A1777" i="1"/>
  <c r="B1777" i="1"/>
  <c r="C1777" i="1"/>
  <c r="D1777" i="1"/>
  <c r="E1777" i="1"/>
  <c r="A1778" i="1"/>
  <c r="B1778" i="1"/>
  <c r="C1778" i="1"/>
  <c r="D1778" i="1"/>
  <c r="E1778" i="1"/>
  <c r="A1779" i="1"/>
  <c r="B1779" i="1"/>
  <c r="C1779" i="1"/>
  <c r="D1779" i="1"/>
  <c r="E1779" i="1"/>
  <c r="A1780" i="1"/>
  <c r="B1780" i="1"/>
  <c r="C1780" i="1"/>
  <c r="D1780" i="1"/>
  <c r="E1780" i="1"/>
  <c r="A1781" i="1"/>
  <c r="B1781" i="1"/>
  <c r="C1781" i="1"/>
  <c r="D1781" i="1"/>
  <c r="E1781" i="1"/>
  <c r="A1782" i="1"/>
  <c r="B1782" i="1"/>
  <c r="C1782" i="1"/>
  <c r="D1782" i="1"/>
  <c r="E1782" i="1"/>
  <c r="A1783" i="1"/>
  <c r="B1783" i="1"/>
  <c r="C1783" i="1"/>
  <c r="D1783" i="1"/>
  <c r="E1783" i="1"/>
  <c r="A1784" i="1"/>
  <c r="B1784" i="1"/>
  <c r="C1784" i="1"/>
  <c r="D1784" i="1"/>
  <c r="E1784" i="1"/>
  <c r="A1785" i="1"/>
  <c r="B1785" i="1"/>
  <c r="C1785" i="1"/>
  <c r="D1785" i="1"/>
  <c r="E1785" i="1"/>
  <c r="A1786" i="1"/>
  <c r="B1786" i="1"/>
  <c r="C1786" i="1"/>
  <c r="D1786" i="1"/>
  <c r="E1786" i="1"/>
  <c r="A1787" i="1"/>
  <c r="B1787" i="1"/>
  <c r="C1787" i="1"/>
  <c r="D1787" i="1"/>
  <c r="E1787" i="1"/>
  <c r="A1788" i="1"/>
  <c r="B1788" i="1"/>
  <c r="C1788" i="1"/>
  <c r="D1788" i="1"/>
  <c r="E1788" i="1"/>
  <c r="A1789" i="1"/>
  <c r="B1789" i="1"/>
  <c r="C1789" i="1"/>
  <c r="D1789" i="1"/>
  <c r="E1789" i="1"/>
  <c r="A1790" i="1"/>
  <c r="B1790" i="1"/>
  <c r="C1790" i="1"/>
  <c r="D1790" i="1"/>
  <c r="E1790" i="1"/>
  <c r="A1791" i="1"/>
  <c r="B1791" i="1"/>
  <c r="C1791" i="1"/>
  <c r="D1791" i="1"/>
  <c r="E1791" i="1"/>
  <c r="A1792" i="1"/>
  <c r="B1792" i="1"/>
  <c r="C1792" i="1"/>
  <c r="D1792" i="1"/>
  <c r="E1792" i="1"/>
  <c r="A1793" i="1"/>
  <c r="B1793" i="1"/>
  <c r="C1793" i="1"/>
  <c r="D1793" i="1"/>
  <c r="E1793" i="1"/>
  <c r="A1794" i="1"/>
  <c r="B1794" i="1"/>
  <c r="C1794" i="1"/>
  <c r="D1794" i="1"/>
  <c r="E1794" i="1"/>
  <c r="A1795" i="1"/>
  <c r="B1795" i="1"/>
  <c r="C1795" i="1"/>
  <c r="D1795" i="1"/>
  <c r="E1795" i="1"/>
  <c r="A1796" i="1"/>
  <c r="B1796" i="1"/>
  <c r="C1796" i="1"/>
  <c r="D1796" i="1"/>
  <c r="E1796" i="1"/>
  <c r="A1797" i="1"/>
  <c r="B1797" i="1"/>
  <c r="C1797" i="1"/>
  <c r="D1797" i="1"/>
  <c r="E1797" i="1"/>
  <c r="A1798" i="1"/>
  <c r="B1798" i="1"/>
  <c r="C1798" i="1"/>
  <c r="D1798" i="1"/>
  <c r="E1798" i="1"/>
  <c r="A1799" i="1"/>
  <c r="B1799" i="1"/>
  <c r="C1799" i="1"/>
  <c r="D1799" i="1"/>
  <c r="E1799" i="1"/>
  <c r="A1800" i="1"/>
  <c r="B1800" i="1"/>
  <c r="C1800" i="1"/>
  <c r="D1800" i="1"/>
  <c r="E1800" i="1"/>
  <c r="A1801" i="1"/>
  <c r="B1801" i="1"/>
  <c r="C1801" i="1"/>
  <c r="D1801" i="1"/>
  <c r="E1801" i="1"/>
  <c r="A1802" i="1"/>
  <c r="B1802" i="1"/>
  <c r="C1802" i="1"/>
  <c r="D1802" i="1"/>
  <c r="E1802" i="1"/>
  <c r="A1803" i="1"/>
  <c r="B1803" i="1"/>
  <c r="C1803" i="1"/>
  <c r="D1803" i="1"/>
  <c r="E1803" i="1"/>
  <c r="A1804" i="1"/>
  <c r="B1804" i="1"/>
  <c r="C1804" i="1"/>
  <c r="D1804" i="1"/>
  <c r="E1804" i="1"/>
  <c r="A1805" i="1"/>
  <c r="B1805" i="1"/>
  <c r="C1805" i="1"/>
  <c r="D1805" i="1"/>
  <c r="E1805" i="1"/>
  <c r="A1806" i="1"/>
  <c r="B1806" i="1"/>
  <c r="C1806" i="1"/>
  <c r="D1806" i="1"/>
  <c r="E1806" i="1"/>
  <c r="A1807" i="1"/>
  <c r="B1807" i="1"/>
  <c r="C1807" i="1"/>
  <c r="D1807" i="1"/>
  <c r="E1807" i="1"/>
  <c r="A1808" i="1"/>
  <c r="B1808" i="1"/>
  <c r="C1808" i="1"/>
  <c r="D1808" i="1"/>
  <c r="E1808" i="1"/>
  <c r="A1809" i="1"/>
  <c r="B1809" i="1"/>
  <c r="C1809" i="1"/>
  <c r="D1809" i="1"/>
  <c r="E1809" i="1"/>
  <c r="A1810" i="1"/>
  <c r="B1810" i="1"/>
  <c r="C1810" i="1"/>
  <c r="D1810" i="1"/>
  <c r="E1810" i="1"/>
  <c r="A1811" i="1"/>
  <c r="B1811" i="1"/>
  <c r="C1811" i="1"/>
  <c r="D1811" i="1"/>
  <c r="E1811" i="1"/>
  <c r="A1812" i="1"/>
  <c r="B1812" i="1"/>
  <c r="C1812" i="1"/>
  <c r="D1812" i="1"/>
  <c r="E1812" i="1"/>
  <c r="A1813" i="1"/>
  <c r="B1813" i="1"/>
  <c r="C1813" i="1"/>
  <c r="D1813" i="1"/>
  <c r="E1813" i="1"/>
  <c r="A1814" i="1"/>
  <c r="B1814" i="1"/>
  <c r="C1814" i="1"/>
  <c r="D1814" i="1"/>
  <c r="E1814" i="1"/>
  <c r="A1815" i="1"/>
  <c r="B1815" i="1"/>
  <c r="C1815" i="1"/>
  <c r="D1815" i="1"/>
  <c r="E1815" i="1"/>
  <c r="A1816" i="1"/>
  <c r="B1816" i="1"/>
  <c r="C1816" i="1"/>
  <c r="D1816" i="1"/>
  <c r="E1816" i="1"/>
  <c r="A1817" i="1"/>
  <c r="B1817" i="1"/>
  <c r="C1817" i="1"/>
  <c r="D1817" i="1"/>
  <c r="E1817" i="1"/>
  <c r="A1818" i="1"/>
  <c r="B1818" i="1"/>
  <c r="C1818" i="1"/>
  <c r="D1818" i="1"/>
  <c r="E1818" i="1"/>
  <c r="A1819" i="1"/>
  <c r="B1819" i="1"/>
  <c r="C1819" i="1"/>
  <c r="D1819" i="1"/>
  <c r="E1819" i="1"/>
  <c r="A1820" i="1"/>
  <c r="B1820" i="1"/>
  <c r="C1820" i="1"/>
  <c r="D1820" i="1"/>
  <c r="E1820" i="1"/>
  <c r="A1821" i="1"/>
  <c r="B1821" i="1"/>
  <c r="C1821" i="1"/>
  <c r="D1821" i="1"/>
  <c r="E1821" i="1"/>
  <c r="A1822" i="1"/>
  <c r="B1822" i="1"/>
  <c r="C1822" i="1"/>
  <c r="D1822" i="1"/>
  <c r="E1822" i="1"/>
  <c r="A1823" i="1"/>
  <c r="B1823" i="1"/>
  <c r="C1823" i="1"/>
  <c r="D1823" i="1"/>
  <c r="E1823" i="1"/>
  <c r="A1824" i="1"/>
  <c r="B1824" i="1"/>
  <c r="C1824" i="1"/>
  <c r="D1824" i="1"/>
  <c r="E1824" i="1"/>
  <c r="A1825" i="1"/>
  <c r="B1825" i="1"/>
  <c r="C1825" i="1"/>
  <c r="D1825" i="1"/>
  <c r="E1825" i="1"/>
  <c r="A1826" i="1"/>
  <c r="B1826" i="1"/>
  <c r="C1826" i="1"/>
  <c r="D1826" i="1"/>
  <c r="E1826" i="1"/>
  <c r="A1827" i="1"/>
  <c r="B1827" i="1"/>
  <c r="C1827" i="1"/>
  <c r="D1827" i="1"/>
  <c r="E1827" i="1"/>
  <c r="A1828" i="1"/>
  <c r="B1828" i="1"/>
  <c r="C1828" i="1"/>
  <c r="D1828" i="1"/>
  <c r="E1828" i="1"/>
  <c r="A1829" i="1"/>
  <c r="B1829" i="1"/>
  <c r="C1829" i="1"/>
  <c r="D1829" i="1"/>
  <c r="E1829" i="1"/>
  <c r="A1830" i="1"/>
  <c r="B1830" i="1"/>
  <c r="C1830" i="1"/>
  <c r="D1830" i="1"/>
  <c r="E1830" i="1"/>
  <c r="A1831" i="1"/>
  <c r="B1831" i="1"/>
  <c r="C1831" i="1"/>
  <c r="D1831" i="1"/>
  <c r="E1831" i="1"/>
  <c r="A1832" i="1"/>
  <c r="B1832" i="1"/>
  <c r="C1832" i="1"/>
  <c r="D1832" i="1"/>
  <c r="E1832" i="1"/>
  <c r="A1833" i="1"/>
  <c r="B1833" i="1"/>
  <c r="C1833" i="1"/>
  <c r="D1833" i="1"/>
  <c r="E1833" i="1"/>
  <c r="A1834" i="1"/>
  <c r="B1834" i="1"/>
  <c r="C1834" i="1"/>
  <c r="D1834" i="1"/>
  <c r="E1834" i="1"/>
  <c r="A1835" i="1"/>
  <c r="B1835" i="1"/>
  <c r="C1835" i="1"/>
  <c r="D1835" i="1"/>
  <c r="E1835" i="1"/>
  <c r="A1836" i="1"/>
  <c r="B1836" i="1"/>
  <c r="C1836" i="1"/>
  <c r="D1836" i="1"/>
  <c r="E1836" i="1"/>
  <c r="A1837" i="1"/>
  <c r="B1837" i="1"/>
  <c r="C1837" i="1"/>
  <c r="D1837" i="1"/>
  <c r="E1837" i="1"/>
  <c r="A1838" i="1"/>
  <c r="B1838" i="1"/>
  <c r="C1838" i="1"/>
  <c r="D1838" i="1"/>
  <c r="E1838" i="1"/>
  <c r="A1839" i="1"/>
  <c r="B1839" i="1"/>
  <c r="C1839" i="1"/>
  <c r="D1839" i="1"/>
  <c r="E1839" i="1"/>
  <c r="A1840" i="1"/>
  <c r="B1840" i="1"/>
  <c r="C1840" i="1"/>
  <c r="D1840" i="1"/>
  <c r="E1840" i="1"/>
  <c r="A1841" i="1"/>
  <c r="B1841" i="1"/>
  <c r="C1841" i="1"/>
  <c r="D1841" i="1"/>
  <c r="E1841" i="1"/>
  <c r="A1842" i="1"/>
  <c r="B1842" i="1"/>
  <c r="C1842" i="1"/>
  <c r="D1842" i="1"/>
  <c r="E1842" i="1"/>
  <c r="A1843" i="1"/>
  <c r="B1843" i="1"/>
  <c r="C1843" i="1"/>
  <c r="D1843" i="1"/>
  <c r="E1843" i="1"/>
  <c r="A1844" i="1"/>
  <c r="B1844" i="1"/>
  <c r="C1844" i="1"/>
  <c r="D1844" i="1"/>
  <c r="E1844" i="1"/>
  <c r="A1845" i="1"/>
  <c r="B1845" i="1"/>
  <c r="C1845" i="1"/>
  <c r="D1845" i="1"/>
  <c r="E1845" i="1"/>
  <c r="A1846" i="1"/>
  <c r="B1846" i="1"/>
  <c r="C1846" i="1"/>
  <c r="D1846" i="1"/>
  <c r="E1846" i="1"/>
  <c r="A1847" i="1"/>
  <c r="B1847" i="1"/>
  <c r="C1847" i="1"/>
  <c r="D1847" i="1"/>
  <c r="E1847" i="1"/>
  <c r="A1848" i="1"/>
  <c r="B1848" i="1"/>
  <c r="C1848" i="1"/>
  <c r="D1848" i="1"/>
  <c r="E1848" i="1"/>
  <c r="A1849" i="1"/>
  <c r="B1849" i="1"/>
  <c r="C1849" i="1"/>
  <c r="D1849" i="1"/>
  <c r="E1849" i="1"/>
  <c r="A1850" i="1"/>
  <c r="B1850" i="1"/>
  <c r="C1850" i="1"/>
  <c r="D1850" i="1"/>
  <c r="E1850" i="1"/>
  <c r="A1851" i="1"/>
  <c r="B1851" i="1"/>
  <c r="C1851" i="1"/>
  <c r="D1851" i="1"/>
  <c r="E1851" i="1"/>
  <c r="A1852" i="1"/>
  <c r="B1852" i="1"/>
  <c r="C1852" i="1"/>
  <c r="D1852" i="1"/>
  <c r="E1852" i="1"/>
  <c r="A1853" i="1"/>
  <c r="B1853" i="1"/>
  <c r="C1853" i="1"/>
  <c r="D1853" i="1"/>
  <c r="E1853" i="1"/>
  <c r="A1854" i="1"/>
  <c r="B1854" i="1"/>
  <c r="C1854" i="1"/>
  <c r="D1854" i="1"/>
  <c r="E1854" i="1"/>
  <c r="A1855" i="1"/>
  <c r="B1855" i="1"/>
  <c r="C1855" i="1"/>
  <c r="D1855" i="1"/>
  <c r="E1855" i="1"/>
  <c r="A1856" i="1"/>
  <c r="B1856" i="1"/>
  <c r="C1856" i="1"/>
  <c r="D1856" i="1"/>
  <c r="E1856" i="1"/>
  <c r="A1857" i="1"/>
  <c r="B1857" i="1"/>
  <c r="C1857" i="1"/>
  <c r="D1857" i="1"/>
  <c r="E1857" i="1"/>
  <c r="A1858" i="1"/>
  <c r="B1858" i="1"/>
  <c r="C1858" i="1"/>
  <c r="D1858" i="1"/>
  <c r="E1858" i="1"/>
  <c r="A1859" i="1"/>
  <c r="B1859" i="1"/>
  <c r="C1859" i="1"/>
  <c r="D1859" i="1"/>
  <c r="E1859" i="1"/>
  <c r="A1860" i="1"/>
  <c r="B1860" i="1"/>
  <c r="C1860" i="1"/>
  <c r="D1860" i="1"/>
  <c r="E1860" i="1"/>
  <c r="A1861" i="1"/>
  <c r="B1861" i="1"/>
  <c r="C1861" i="1"/>
  <c r="D1861" i="1"/>
  <c r="E1861" i="1"/>
  <c r="A1862" i="1"/>
  <c r="B1862" i="1"/>
  <c r="C1862" i="1"/>
  <c r="D1862" i="1"/>
  <c r="E1862" i="1"/>
  <c r="A1863" i="1"/>
  <c r="B1863" i="1"/>
  <c r="C1863" i="1"/>
  <c r="D1863" i="1"/>
  <c r="E1863" i="1"/>
  <c r="A1864" i="1"/>
  <c r="B1864" i="1"/>
  <c r="C1864" i="1"/>
  <c r="D1864" i="1"/>
  <c r="E1864" i="1"/>
  <c r="A1865" i="1"/>
  <c r="B1865" i="1"/>
  <c r="C1865" i="1"/>
  <c r="D1865" i="1"/>
  <c r="E1865" i="1"/>
  <c r="A1866" i="1"/>
  <c r="B1866" i="1"/>
  <c r="C1866" i="1"/>
  <c r="D1866" i="1"/>
  <c r="E1866" i="1"/>
  <c r="A1867" i="1"/>
  <c r="B1867" i="1"/>
  <c r="C1867" i="1"/>
  <c r="D1867" i="1"/>
  <c r="E1867" i="1"/>
  <c r="A1868" i="1"/>
  <c r="B1868" i="1"/>
  <c r="C1868" i="1"/>
  <c r="D1868" i="1"/>
  <c r="E1868" i="1"/>
  <c r="A1869" i="1"/>
  <c r="B1869" i="1"/>
  <c r="C1869" i="1"/>
  <c r="D1869" i="1"/>
  <c r="E1869" i="1"/>
  <c r="A1870" i="1"/>
  <c r="B1870" i="1"/>
  <c r="C1870" i="1"/>
  <c r="D1870" i="1"/>
  <c r="E1870" i="1"/>
  <c r="A1871" i="1"/>
  <c r="B1871" i="1"/>
  <c r="C1871" i="1"/>
  <c r="D1871" i="1"/>
  <c r="E1871" i="1"/>
  <c r="A1872" i="1"/>
  <c r="B1872" i="1"/>
  <c r="C1872" i="1"/>
  <c r="D1872" i="1"/>
  <c r="E1872" i="1"/>
  <c r="A1873" i="1"/>
  <c r="B1873" i="1"/>
  <c r="C1873" i="1"/>
  <c r="D1873" i="1"/>
  <c r="E1873" i="1"/>
  <c r="A1874" i="1"/>
  <c r="B1874" i="1"/>
  <c r="C1874" i="1"/>
  <c r="D1874" i="1"/>
  <c r="E1874" i="1"/>
  <c r="A1875" i="1"/>
  <c r="B1875" i="1"/>
  <c r="C1875" i="1"/>
  <c r="D1875" i="1"/>
  <c r="E1875" i="1"/>
  <c r="A1876" i="1"/>
  <c r="B1876" i="1"/>
  <c r="C1876" i="1"/>
  <c r="D1876" i="1"/>
  <c r="E1876" i="1"/>
  <c r="A1877" i="1"/>
  <c r="B1877" i="1"/>
  <c r="C1877" i="1"/>
  <c r="D1877" i="1"/>
  <c r="E1877" i="1"/>
  <c r="A1878" i="1"/>
  <c r="B1878" i="1"/>
  <c r="C1878" i="1"/>
  <c r="D1878" i="1"/>
  <c r="E1878" i="1"/>
  <c r="A1879" i="1"/>
  <c r="B1879" i="1"/>
  <c r="C1879" i="1"/>
  <c r="D1879" i="1"/>
  <c r="E1879" i="1"/>
  <c r="A1880" i="1"/>
  <c r="B1880" i="1"/>
  <c r="C1880" i="1"/>
  <c r="D1880" i="1"/>
  <c r="E1880" i="1"/>
  <c r="A1881" i="1"/>
  <c r="B1881" i="1"/>
  <c r="C1881" i="1"/>
  <c r="D1881" i="1"/>
  <c r="E1881" i="1"/>
  <c r="A1882" i="1"/>
  <c r="B1882" i="1"/>
  <c r="C1882" i="1"/>
  <c r="D1882" i="1"/>
  <c r="E1882" i="1"/>
  <c r="A1883" i="1"/>
  <c r="B1883" i="1"/>
  <c r="C1883" i="1"/>
  <c r="D1883" i="1"/>
  <c r="E1883" i="1"/>
  <c r="A1884" i="1"/>
  <c r="B1884" i="1"/>
  <c r="C1884" i="1"/>
  <c r="D1884" i="1"/>
  <c r="E1884" i="1"/>
  <c r="A1885" i="1"/>
  <c r="B1885" i="1"/>
  <c r="C1885" i="1"/>
  <c r="D1885" i="1"/>
  <c r="E1885" i="1"/>
  <c r="A1886" i="1"/>
  <c r="B1886" i="1"/>
  <c r="C1886" i="1"/>
  <c r="D1886" i="1"/>
  <c r="E1886" i="1"/>
  <c r="A1887" i="1"/>
  <c r="B1887" i="1"/>
  <c r="C1887" i="1"/>
  <c r="D1887" i="1"/>
  <c r="E1887" i="1"/>
  <c r="A1888" i="1"/>
  <c r="B1888" i="1"/>
  <c r="C1888" i="1"/>
  <c r="D1888" i="1"/>
  <c r="E1888" i="1"/>
  <c r="A1889" i="1"/>
  <c r="B1889" i="1"/>
  <c r="C1889" i="1"/>
  <c r="D1889" i="1"/>
  <c r="E1889" i="1"/>
  <c r="A1890" i="1"/>
  <c r="B1890" i="1"/>
  <c r="C1890" i="1"/>
  <c r="D1890" i="1"/>
  <c r="E1890" i="1"/>
  <c r="A1891" i="1"/>
  <c r="B1891" i="1"/>
  <c r="C1891" i="1"/>
  <c r="D1891" i="1"/>
  <c r="E1891" i="1"/>
  <c r="A1892" i="1"/>
  <c r="B1892" i="1"/>
  <c r="C1892" i="1"/>
  <c r="D1892" i="1"/>
  <c r="E1892" i="1"/>
  <c r="A1893" i="1"/>
  <c r="B1893" i="1"/>
  <c r="C1893" i="1"/>
  <c r="D1893" i="1"/>
  <c r="E1893" i="1"/>
  <c r="A1894" i="1"/>
  <c r="B1894" i="1"/>
  <c r="C1894" i="1"/>
  <c r="D1894" i="1"/>
  <c r="E1894" i="1"/>
  <c r="A1895" i="1"/>
  <c r="B1895" i="1"/>
  <c r="C1895" i="1"/>
  <c r="D1895" i="1"/>
  <c r="E1895" i="1"/>
  <c r="A1896" i="1"/>
  <c r="B1896" i="1"/>
  <c r="C1896" i="1"/>
  <c r="D1896" i="1"/>
  <c r="E1896" i="1"/>
  <c r="A1897" i="1"/>
  <c r="B1897" i="1"/>
  <c r="C1897" i="1"/>
  <c r="D1897" i="1"/>
  <c r="E1897" i="1"/>
  <c r="A1898" i="1"/>
  <c r="B1898" i="1"/>
  <c r="C1898" i="1"/>
  <c r="D1898" i="1"/>
  <c r="E1898" i="1"/>
  <c r="A1899" i="1"/>
  <c r="B1899" i="1"/>
  <c r="C1899" i="1"/>
  <c r="D1899" i="1"/>
  <c r="E1899" i="1"/>
  <c r="A1900" i="1"/>
  <c r="B1900" i="1"/>
  <c r="C1900" i="1"/>
  <c r="D1900" i="1"/>
  <c r="E1900" i="1"/>
  <c r="A1901" i="1"/>
  <c r="B1901" i="1"/>
  <c r="C1901" i="1"/>
  <c r="D1901" i="1"/>
  <c r="E1901" i="1"/>
  <c r="A1902" i="1"/>
  <c r="B1902" i="1"/>
  <c r="C1902" i="1"/>
  <c r="D1902" i="1"/>
  <c r="E1902" i="1"/>
  <c r="A1903" i="1"/>
  <c r="B1903" i="1"/>
  <c r="C1903" i="1"/>
  <c r="D1903" i="1"/>
  <c r="E1903" i="1"/>
  <c r="A1904" i="1"/>
  <c r="B1904" i="1"/>
  <c r="C1904" i="1"/>
  <c r="D1904" i="1"/>
  <c r="E1904" i="1"/>
  <c r="A1905" i="1"/>
  <c r="B1905" i="1"/>
  <c r="C1905" i="1"/>
  <c r="D1905" i="1"/>
  <c r="E1905" i="1"/>
  <c r="A1906" i="1"/>
  <c r="B1906" i="1"/>
  <c r="C1906" i="1"/>
  <c r="D1906" i="1"/>
  <c r="E1906" i="1"/>
  <c r="A1907" i="1"/>
  <c r="B1907" i="1"/>
  <c r="C1907" i="1"/>
  <c r="D1907" i="1"/>
  <c r="E1907" i="1"/>
  <c r="A1908" i="1"/>
  <c r="B1908" i="1"/>
  <c r="C1908" i="1"/>
  <c r="D1908" i="1"/>
  <c r="E1908" i="1"/>
  <c r="A1909" i="1"/>
  <c r="B1909" i="1"/>
  <c r="C1909" i="1"/>
  <c r="D1909" i="1"/>
  <c r="E1909" i="1"/>
  <c r="A1910" i="1"/>
  <c r="B1910" i="1"/>
  <c r="C1910" i="1"/>
  <c r="D1910" i="1"/>
  <c r="E1910" i="1"/>
  <c r="A1911" i="1"/>
  <c r="B1911" i="1"/>
  <c r="C1911" i="1"/>
  <c r="D1911" i="1"/>
  <c r="E1911" i="1"/>
  <c r="A1912" i="1"/>
  <c r="B1912" i="1"/>
  <c r="C1912" i="1"/>
  <c r="D1912" i="1"/>
  <c r="E1912" i="1"/>
  <c r="A1913" i="1"/>
  <c r="B1913" i="1"/>
  <c r="C1913" i="1"/>
  <c r="D1913" i="1"/>
  <c r="E1913" i="1"/>
  <c r="A1914" i="1"/>
  <c r="B1914" i="1"/>
  <c r="C1914" i="1"/>
  <c r="D1914" i="1"/>
  <c r="E1914" i="1"/>
  <c r="A1915" i="1"/>
  <c r="B1915" i="1"/>
  <c r="C1915" i="1"/>
  <c r="D1915" i="1"/>
  <c r="E1915" i="1"/>
  <c r="A1916" i="1"/>
  <c r="B1916" i="1"/>
  <c r="C1916" i="1"/>
  <c r="D1916" i="1"/>
  <c r="E1916" i="1"/>
  <c r="A1917" i="1"/>
  <c r="B1917" i="1"/>
  <c r="C1917" i="1"/>
  <c r="D1917" i="1"/>
  <c r="E1917" i="1"/>
  <c r="A1918" i="1"/>
  <c r="B1918" i="1"/>
  <c r="C1918" i="1"/>
  <c r="D1918" i="1"/>
  <c r="E1918" i="1"/>
  <c r="A1919" i="1"/>
  <c r="B1919" i="1"/>
  <c r="C1919" i="1"/>
  <c r="D1919" i="1"/>
  <c r="E1919" i="1"/>
  <c r="A1920" i="1"/>
  <c r="B1920" i="1"/>
  <c r="C1920" i="1"/>
  <c r="D1920" i="1"/>
  <c r="E1920" i="1"/>
  <c r="A1921" i="1"/>
  <c r="B1921" i="1"/>
  <c r="C1921" i="1"/>
  <c r="D1921" i="1"/>
  <c r="E1921" i="1"/>
  <c r="A1922" i="1"/>
  <c r="B1922" i="1"/>
  <c r="C1922" i="1"/>
  <c r="D1922" i="1"/>
  <c r="E1922" i="1"/>
  <c r="A1923" i="1"/>
  <c r="B1923" i="1"/>
  <c r="C1923" i="1"/>
  <c r="D1923" i="1"/>
  <c r="E1923" i="1"/>
  <c r="A1924" i="1"/>
  <c r="B1924" i="1"/>
  <c r="C1924" i="1"/>
  <c r="D1924" i="1"/>
  <c r="E1924" i="1"/>
  <c r="A1925" i="1"/>
  <c r="B1925" i="1"/>
  <c r="C1925" i="1"/>
  <c r="D1925" i="1"/>
  <c r="E1925" i="1"/>
  <c r="A1926" i="1"/>
  <c r="B1926" i="1"/>
  <c r="C1926" i="1"/>
  <c r="D1926" i="1"/>
  <c r="E1926" i="1"/>
  <c r="A1927" i="1"/>
  <c r="B1927" i="1"/>
  <c r="C1927" i="1"/>
  <c r="D1927" i="1"/>
  <c r="E1927" i="1"/>
  <c r="A1928" i="1"/>
  <c r="B1928" i="1"/>
  <c r="C1928" i="1"/>
  <c r="D1928" i="1"/>
  <c r="E1928" i="1"/>
  <c r="A1929" i="1"/>
  <c r="B1929" i="1"/>
  <c r="C1929" i="1"/>
  <c r="D1929" i="1"/>
  <c r="E1929" i="1"/>
  <c r="A1930" i="1"/>
  <c r="B1930" i="1"/>
  <c r="C1930" i="1"/>
  <c r="D1930" i="1"/>
  <c r="E1930" i="1"/>
  <c r="A1931" i="1"/>
  <c r="B1931" i="1"/>
  <c r="C1931" i="1"/>
  <c r="D1931" i="1"/>
  <c r="E1931" i="1"/>
  <c r="A1932" i="1"/>
  <c r="B1932" i="1"/>
  <c r="C1932" i="1"/>
  <c r="D1932" i="1"/>
  <c r="E1932" i="1"/>
  <c r="A1933" i="1"/>
  <c r="B1933" i="1"/>
  <c r="C1933" i="1"/>
  <c r="D1933" i="1"/>
  <c r="E1933" i="1"/>
  <c r="A1934" i="1"/>
  <c r="B1934" i="1"/>
  <c r="C1934" i="1"/>
  <c r="D1934" i="1"/>
  <c r="E1934" i="1"/>
  <c r="A1935" i="1"/>
  <c r="B1935" i="1"/>
  <c r="C1935" i="1"/>
  <c r="D1935" i="1"/>
  <c r="E1935" i="1"/>
  <c r="A1936" i="1"/>
  <c r="B1936" i="1"/>
  <c r="C1936" i="1"/>
  <c r="D1936" i="1"/>
  <c r="E1936" i="1"/>
  <c r="A1937" i="1"/>
  <c r="B1937" i="1"/>
  <c r="C1937" i="1"/>
  <c r="D1937" i="1"/>
  <c r="E1937" i="1"/>
  <c r="A1938" i="1"/>
  <c r="B1938" i="1"/>
  <c r="C1938" i="1"/>
  <c r="D1938" i="1"/>
  <c r="E1938" i="1"/>
  <c r="A1939" i="1"/>
  <c r="B1939" i="1"/>
  <c r="C1939" i="1"/>
  <c r="D1939" i="1"/>
  <c r="E1939" i="1"/>
  <c r="A1940" i="1"/>
  <c r="B1940" i="1"/>
  <c r="C1940" i="1"/>
  <c r="D1940" i="1"/>
  <c r="E1940" i="1"/>
  <c r="A1941" i="1"/>
  <c r="B1941" i="1"/>
  <c r="C1941" i="1"/>
  <c r="D1941" i="1"/>
  <c r="E1941" i="1"/>
  <c r="A1942" i="1"/>
  <c r="B1942" i="1"/>
  <c r="C1942" i="1"/>
  <c r="D1942" i="1"/>
  <c r="E1942" i="1"/>
  <c r="A1943" i="1"/>
  <c r="B1943" i="1"/>
  <c r="C1943" i="1"/>
  <c r="D1943" i="1"/>
  <c r="E1943" i="1"/>
  <c r="A1944" i="1"/>
  <c r="B1944" i="1"/>
  <c r="C1944" i="1"/>
  <c r="D1944" i="1"/>
  <c r="E1944" i="1"/>
  <c r="A1945" i="1"/>
  <c r="B1945" i="1"/>
  <c r="C1945" i="1"/>
  <c r="D1945" i="1"/>
  <c r="E1945" i="1"/>
  <c r="A1946" i="1"/>
  <c r="B1946" i="1"/>
  <c r="C1946" i="1"/>
  <c r="D1946" i="1"/>
  <c r="E1946" i="1"/>
  <c r="A1947" i="1"/>
  <c r="B1947" i="1"/>
  <c r="C1947" i="1"/>
  <c r="D1947" i="1"/>
  <c r="E1947" i="1"/>
  <c r="A1948" i="1"/>
  <c r="B1948" i="1"/>
  <c r="C1948" i="1"/>
  <c r="D1948" i="1"/>
  <c r="E1948" i="1"/>
  <c r="A1949" i="1"/>
  <c r="B1949" i="1"/>
  <c r="C1949" i="1"/>
  <c r="D1949" i="1"/>
  <c r="E1949" i="1"/>
  <c r="A1950" i="1"/>
  <c r="B1950" i="1"/>
  <c r="C1950" i="1"/>
  <c r="D1950" i="1"/>
  <c r="E1950" i="1"/>
  <c r="A1951" i="1"/>
  <c r="B1951" i="1"/>
  <c r="C1951" i="1"/>
  <c r="D1951" i="1"/>
  <c r="E1951" i="1"/>
  <c r="A1952" i="1"/>
  <c r="B1952" i="1"/>
  <c r="C1952" i="1"/>
  <c r="D1952" i="1"/>
  <c r="E1952" i="1"/>
  <c r="A1953" i="1"/>
  <c r="B1953" i="1"/>
  <c r="C1953" i="1"/>
  <c r="D1953" i="1"/>
  <c r="E1953" i="1"/>
  <c r="A1954" i="1"/>
  <c r="B1954" i="1"/>
  <c r="C1954" i="1"/>
  <c r="D1954" i="1"/>
  <c r="E1954" i="1"/>
  <c r="A1955" i="1"/>
  <c r="B1955" i="1"/>
  <c r="C1955" i="1"/>
  <c r="D1955" i="1"/>
  <c r="E1955" i="1"/>
  <c r="A1956" i="1"/>
  <c r="B1956" i="1"/>
  <c r="C1956" i="1"/>
  <c r="D1956" i="1"/>
  <c r="E1956" i="1"/>
  <c r="A1957" i="1"/>
  <c r="B1957" i="1"/>
  <c r="C1957" i="1"/>
  <c r="D1957" i="1"/>
  <c r="E1957" i="1"/>
  <c r="A1958" i="1"/>
  <c r="B1958" i="1"/>
  <c r="C1958" i="1"/>
  <c r="D1958" i="1"/>
  <c r="E1958" i="1"/>
  <c r="A1959" i="1"/>
  <c r="B1959" i="1"/>
  <c r="C1959" i="1"/>
  <c r="D1959" i="1"/>
  <c r="E1959" i="1"/>
  <c r="A1960" i="1"/>
  <c r="B1960" i="1"/>
  <c r="C1960" i="1"/>
  <c r="D1960" i="1"/>
  <c r="E1960" i="1"/>
  <c r="A1961" i="1"/>
  <c r="B1961" i="1"/>
  <c r="C1961" i="1"/>
  <c r="D1961" i="1"/>
  <c r="E1961" i="1"/>
  <c r="A1962" i="1"/>
  <c r="B1962" i="1"/>
  <c r="C1962" i="1"/>
  <c r="D1962" i="1"/>
  <c r="E1962" i="1"/>
  <c r="A1963" i="1"/>
  <c r="B1963" i="1"/>
  <c r="C1963" i="1"/>
  <c r="D1963" i="1"/>
  <c r="E1963" i="1"/>
  <c r="A1964" i="1"/>
  <c r="B1964" i="1"/>
  <c r="C1964" i="1"/>
  <c r="D1964" i="1"/>
  <c r="E1964" i="1"/>
  <c r="A1965" i="1"/>
  <c r="B1965" i="1"/>
  <c r="C1965" i="1"/>
  <c r="D1965" i="1"/>
  <c r="E1965" i="1"/>
  <c r="A1966" i="1"/>
  <c r="B1966" i="1"/>
  <c r="C1966" i="1"/>
  <c r="D1966" i="1"/>
  <c r="E1966" i="1"/>
  <c r="A1967" i="1"/>
  <c r="B1967" i="1"/>
  <c r="C1967" i="1"/>
  <c r="D1967" i="1"/>
  <c r="E1967" i="1"/>
  <c r="A1968" i="1"/>
  <c r="B1968" i="1"/>
  <c r="C1968" i="1"/>
  <c r="D1968" i="1"/>
  <c r="E1968" i="1"/>
  <c r="A1969" i="1"/>
  <c r="B1969" i="1"/>
  <c r="C1969" i="1"/>
  <c r="D1969" i="1"/>
  <c r="E1969" i="1"/>
  <c r="A1970" i="1"/>
  <c r="B1970" i="1"/>
  <c r="C1970" i="1"/>
  <c r="D1970" i="1"/>
  <c r="E1970" i="1"/>
  <c r="A1971" i="1"/>
  <c r="B1971" i="1"/>
  <c r="C1971" i="1"/>
  <c r="D1971" i="1"/>
  <c r="E1971" i="1"/>
  <c r="A1972" i="1"/>
  <c r="B1972" i="1"/>
  <c r="C1972" i="1"/>
  <c r="D1972" i="1"/>
  <c r="E1972" i="1"/>
  <c r="A1973" i="1"/>
  <c r="B1973" i="1"/>
  <c r="C1973" i="1"/>
  <c r="D1973" i="1"/>
  <c r="E1973" i="1"/>
  <c r="A1974" i="1"/>
  <c r="B1974" i="1"/>
  <c r="C1974" i="1"/>
  <c r="D1974" i="1"/>
  <c r="E1974" i="1"/>
  <c r="A1975" i="1"/>
  <c r="B1975" i="1"/>
  <c r="C1975" i="1"/>
  <c r="D1975" i="1"/>
  <c r="E1975" i="1"/>
  <c r="A1976" i="1"/>
  <c r="B1976" i="1"/>
  <c r="C1976" i="1"/>
  <c r="D1976" i="1"/>
  <c r="E1976" i="1"/>
  <c r="A1977" i="1"/>
  <c r="B1977" i="1"/>
  <c r="C1977" i="1"/>
  <c r="D1977" i="1"/>
  <c r="E1977" i="1"/>
  <c r="A1978" i="1"/>
  <c r="B1978" i="1"/>
  <c r="C1978" i="1"/>
  <c r="D1978" i="1"/>
  <c r="E1978" i="1"/>
  <c r="A1979" i="1"/>
  <c r="B1979" i="1"/>
  <c r="C1979" i="1"/>
  <c r="D1979" i="1"/>
  <c r="E1979" i="1"/>
  <c r="A1980" i="1"/>
  <c r="B1980" i="1"/>
  <c r="C1980" i="1"/>
  <c r="D1980" i="1"/>
  <c r="E1980" i="1"/>
  <c r="A1981" i="1"/>
  <c r="B1981" i="1"/>
  <c r="C1981" i="1"/>
  <c r="D1981" i="1"/>
  <c r="E1981" i="1"/>
  <c r="A1982" i="1"/>
  <c r="B1982" i="1"/>
  <c r="C1982" i="1"/>
  <c r="D1982" i="1"/>
  <c r="E1982" i="1"/>
  <c r="A1983" i="1"/>
  <c r="B1983" i="1"/>
  <c r="C1983" i="1"/>
  <c r="D1983" i="1"/>
  <c r="E1983" i="1"/>
  <c r="A1984" i="1"/>
  <c r="B1984" i="1"/>
  <c r="C1984" i="1"/>
  <c r="D1984" i="1"/>
  <c r="E1984" i="1"/>
  <c r="A1985" i="1"/>
  <c r="B1985" i="1"/>
  <c r="C1985" i="1"/>
  <c r="D1985" i="1"/>
  <c r="E1985" i="1"/>
  <c r="A1986" i="1"/>
  <c r="B1986" i="1"/>
  <c r="C1986" i="1"/>
  <c r="D1986" i="1"/>
  <c r="E1986" i="1"/>
  <c r="A1987" i="1"/>
  <c r="B1987" i="1"/>
  <c r="C1987" i="1"/>
  <c r="D1987" i="1"/>
  <c r="E1987" i="1"/>
  <c r="A1988" i="1"/>
  <c r="B1988" i="1"/>
  <c r="C1988" i="1"/>
  <c r="D1988" i="1"/>
  <c r="E1988" i="1"/>
  <c r="A1989" i="1"/>
  <c r="B1989" i="1"/>
  <c r="C1989" i="1"/>
  <c r="D1989" i="1"/>
  <c r="E1989" i="1"/>
  <c r="A1990" i="1"/>
  <c r="B1990" i="1"/>
  <c r="C1990" i="1"/>
  <c r="D1990" i="1"/>
  <c r="E1990" i="1"/>
  <c r="A1991" i="1"/>
  <c r="B1991" i="1"/>
  <c r="C1991" i="1"/>
  <c r="D1991" i="1"/>
  <c r="E1991" i="1"/>
  <c r="A1992" i="1"/>
  <c r="B1992" i="1"/>
  <c r="C1992" i="1"/>
  <c r="D1992" i="1"/>
  <c r="E1992" i="1"/>
  <c r="A1993" i="1"/>
  <c r="B1993" i="1"/>
  <c r="C1993" i="1"/>
  <c r="D1993" i="1"/>
  <c r="E1993" i="1"/>
  <c r="A1994" i="1"/>
  <c r="B1994" i="1"/>
  <c r="C1994" i="1"/>
  <c r="D1994" i="1"/>
  <c r="E1994" i="1"/>
  <c r="A1995" i="1"/>
  <c r="B1995" i="1"/>
  <c r="C1995" i="1"/>
  <c r="D1995" i="1"/>
  <c r="E1995" i="1"/>
  <c r="A1996" i="1"/>
  <c r="B1996" i="1"/>
  <c r="C1996" i="1"/>
  <c r="D1996" i="1"/>
  <c r="E1996" i="1"/>
  <c r="A1997" i="1"/>
  <c r="B1997" i="1"/>
  <c r="C1997" i="1"/>
  <c r="D1997" i="1"/>
  <c r="E1997" i="1"/>
  <c r="A1998" i="1"/>
  <c r="B1998" i="1"/>
  <c r="C1998" i="1"/>
  <c r="D1998" i="1"/>
  <c r="E1998" i="1"/>
  <c r="A1999" i="1"/>
  <c r="B1999" i="1"/>
  <c r="C1999" i="1"/>
  <c r="D1999" i="1"/>
  <c r="E1999" i="1"/>
  <c r="A2000" i="1"/>
  <c r="B2000" i="1"/>
  <c r="C2000" i="1"/>
  <c r="D2000" i="1"/>
  <c r="E2000" i="1"/>
  <c r="A2001" i="1"/>
  <c r="B2001" i="1"/>
  <c r="C2001" i="1"/>
  <c r="D2001" i="1"/>
  <c r="E2001" i="1"/>
  <c r="A2002" i="1"/>
  <c r="B2002" i="1"/>
  <c r="C2002" i="1"/>
  <c r="D2002" i="1"/>
  <c r="E2002" i="1"/>
  <c r="A2003" i="1"/>
  <c r="B2003" i="1"/>
  <c r="C2003" i="1"/>
  <c r="D2003" i="1"/>
  <c r="E2003" i="1"/>
  <c r="A2004" i="1"/>
  <c r="B2004" i="1"/>
  <c r="C2004" i="1"/>
  <c r="D2004" i="1"/>
  <c r="E2004" i="1"/>
  <c r="A2005" i="1"/>
  <c r="B2005" i="1"/>
  <c r="C2005" i="1"/>
  <c r="D2005" i="1"/>
  <c r="E2005" i="1"/>
  <c r="A2006" i="1"/>
  <c r="B2006" i="1"/>
  <c r="C2006" i="1"/>
  <c r="D2006" i="1"/>
  <c r="E2006" i="1"/>
  <c r="A2007" i="1"/>
  <c r="B2007" i="1"/>
  <c r="C2007" i="1"/>
  <c r="D2007" i="1"/>
  <c r="E2007" i="1"/>
  <c r="A2008" i="1"/>
  <c r="B2008" i="1"/>
  <c r="C2008" i="1"/>
  <c r="D2008" i="1"/>
  <c r="E2008" i="1"/>
  <c r="A2009" i="1"/>
  <c r="B2009" i="1"/>
  <c r="C2009" i="1"/>
  <c r="D2009" i="1"/>
  <c r="E2009" i="1"/>
  <c r="A2010" i="1"/>
  <c r="B2010" i="1"/>
  <c r="C2010" i="1"/>
  <c r="D2010" i="1"/>
  <c r="E2010" i="1"/>
  <c r="A2011" i="1"/>
  <c r="B2011" i="1"/>
  <c r="C2011" i="1"/>
  <c r="D2011" i="1"/>
  <c r="E2011" i="1"/>
  <c r="A2012" i="1"/>
  <c r="B2012" i="1"/>
  <c r="C2012" i="1"/>
  <c r="D2012" i="1"/>
  <c r="E2012" i="1"/>
  <c r="A2013" i="1"/>
  <c r="B2013" i="1"/>
  <c r="C2013" i="1"/>
  <c r="D2013" i="1"/>
  <c r="E2013" i="1"/>
  <c r="A2014" i="1"/>
  <c r="B2014" i="1"/>
  <c r="C2014" i="1"/>
  <c r="D2014" i="1"/>
  <c r="E2014" i="1"/>
  <c r="A2015" i="1"/>
  <c r="B2015" i="1"/>
  <c r="C2015" i="1"/>
  <c r="D2015" i="1"/>
  <c r="E2015" i="1"/>
  <c r="A2016" i="1"/>
  <c r="B2016" i="1"/>
  <c r="C2016" i="1"/>
  <c r="D2016" i="1"/>
  <c r="E2016" i="1"/>
  <c r="A2017" i="1"/>
  <c r="B2017" i="1"/>
  <c r="C2017" i="1"/>
  <c r="D2017" i="1"/>
  <c r="E2017" i="1"/>
  <c r="A2018" i="1"/>
  <c r="B2018" i="1"/>
  <c r="C2018" i="1"/>
  <c r="D2018" i="1"/>
  <c r="E2018" i="1"/>
  <c r="A2019" i="1"/>
  <c r="B2019" i="1"/>
  <c r="C2019" i="1"/>
  <c r="D2019" i="1"/>
  <c r="E2019" i="1"/>
  <c r="A2020" i="1"/>
  <c r="B2020" i="1"/>
  <c r="C2020" i="1"/>
  <c r="D2020" i="1"/>
  <c r="E2020" i="1"/>
  <c r="A2021" i="1"/>
  <c r="B2021" i="1"/>
  <c r="C2021" i="1"/>
  <c r="D2021" i="1"/>
  <c r="E2021" i="1"/>
  <c r="A2022" i="1"/>
  <c r="B2022" i="1"/>
  <c r="C2022" i="1"/>
  <c r="D2022" i="1"/>
  <c r="E2022" i="1"/>
  <c r="A2023" i="1"/>
  <c r="B2023" i="1"/>
  <c r="C2023" i="1"/>
  <c r="D2023" i="1"/>
  <c r="E2023" i="1"/>
  <c r="A2024" i="1"/>
  <c r="B2024" i="1"/>
  <c r="C2024" i="1"/>
  <c r="D2024" i="1"/>
  <c r="E2024" i="1"/>
  <c r="A2025" i="1"/>
  <c r="B2025" i="1"/>
  <c r="C2025" i="1"/>
  <c r="D2025" i="1"/>
  <c r="E2025" i="1"/>
  <c r="A2026" i="1"/>
  <c r="B2026" i="1"/>
  <c r="C2026" i="1"/>
  <c r="D2026" i="1"/>
  <c r="E2026" i="1"/>
  <c r="A2027" i="1"/>
  <c r="B2027" i="1"/>
  <c r="C2027" i="1"/>
  <c r="D2027" i="1"/>
  <c r="E2027" i="1"/>
  <c r="A2028" i="1"/>
  <c r="B2028" i="1"/>
  <c r="C2028" i="1"/>
  <c r="D2028" i="1"/>
  <c r="E2028" i="1"/>
  <c r="A2029" i="1"/>
  <c r="B2029" i="1"/>
  <c r="C2029" i="1"/>
  <c r="D2029" i="1"/>
  <c r="E2029" i="1"/>
  <c r="A2030" i="1"/>
  <c r="B2030" i="1"/>
  <c r="C2030" i="1"/>
  <c r="D2030" i="1"/>
  <c r="E2030" i="1"/>
  <c r="A2031" i="1"/>
  <c r="B2031" i="1"/>
  <c r="C2031" i="1"/>
  <c r="D2031" i="1"/>
  <c r="E2031" i="1"/>
  <c r="A2032" i="1"/>
  <c r="B2032" i="1"/>
  <c r="C2032" i="1"/>
  <c r="D2032" i="1"/>
  <c r="E2032" i="1"/>
  <c r="A2033" i="1"/>
  <c r="B2033" i="1"/>
  <c r="C2033" i="1"/>
  <c r="D2033" i="1"/>
  <c r="E2033" i="1"/>
  <c r="A2034" i="1"/>
  <c r="B2034" i="1"/>
  <c r="C2034" i="1"/>
  <c r="D2034" i="1"/>
  <c r="E2034" i="1"/>
  <c r="A2035" i="1"/>
  <c r="B2035" i="1"/>
  <c r="C2035" i="1"/>
  <c r="D2035" i="1"/>
  <c r="E2035" i="1"/>
  <c r="A2036" i="1"/>
  <c r="B2036" i="1"/>
  <c r="C2036" i="1"/>
  <c r="D2036" i="1"/>
  <c r="E2036" i="1"/>
  <c r="A2037" i="1"/>
  <c r="B2037" i="1"/>
  <c r="C2037" i="1"/>
  <c r="D2037" i="1"/>
  <c r="E2037" i="1"/>
  <c r="A2038" i="1"/>
  <c r="B2038" i="1"/>
  <c r="C2038" i="1"/>
  <c r="D2038" i="1"/>
  <c r="E2038" i="1"/>
  <c r="A2039" i="1"/>
  <c r="B2039" i="1"/>
  <c r="C2039" i="1"/>
  <c r="D2039" i="1"/>
  <c r="E2039" i="1"/>
  <c r="A2040" i="1"/>
  <c r="B2040" i="1"/>
  <c r="C2040" i="1"/>
  <c r="D2040" i="1"/>
  <c r="E2040" i="1"/>
  <c r="A2041" i="1"/>
  <c r="B2041" i="1"/>
  <c r="C2041" i="1"/>
  <c r="D2041" i="1"/>
  <c r="E2041" i="1"/>
  <c r="A2042" i="1"/>
  <c r="B2042" i="1"/>
  <c r="C2042" i="1"/>
  <c r="D2042" i="1"/>
  <c r="E2042" i="1"/>
  <c r="A2043" i="1"/>
  <c r="B2043" i="1"/>
  <c r="C2043" i="1"/>
  <c r="D2043" i="1"/>
  <c r="E2043" i="1"/>
  <c r="A2044" i="1"/>
  <c r="B2044" i="1"/>
  <c r="C2044" i="1"/>
  <c r="D2044" i="1"/>
  <c r="E2044" i="1"/>
  <c r="A2045" i="1"/>
  <c r="B2045" i="1"/>
  <c r="C2045" i="1"/>
  <c r="D2045" i="1"/>
  <c r="E2045" i="1"/>
  <c r="A2046" i="1"/>
  <c r="B2046" i="1"/>
  <c r="C2046" i="1"/>
  <c r="D2046" i="1"/>
  <c r="E2046" i="1"/>
  <c r="A2047" i="1"/>
  <c r="B2047" i="1"/>
  <c r="C2047" i="1"/>
  <c r="D2047" i="1"/>
  <c r="E2047" i="1"/>
  <c r="A2048" i="1"/>
  <c r="B2048" i="1"/>
  <c r="C2048" i="1"/>
  <c r="D2048" i="1"/>
  <c r="E2048" i="1"/>
  <c r="A2049" i="1"/>
  <c r="B2049" i="1"/>
  <c r="C2049" i="1"/>
  <c r="D2049" i="1"/>
  <c r="E2049" i="1"/>
  <c r="A2050" i="1"/>
  <c r="B2050" i="1"/>
  <c r="C2050" i="1"/>
  <c r="D2050" i="1"/>
  <c r="E2050" i="1"/>
  <c r="A2051" i="1"/>
  <c r="B2051" i="1"/>
  <c r="C2051" i="1"/>
  <c r="D2051" i="1"/>
  <c r="E2051" i="1"/>
  <c r="A2052" i="1"/>
  <c r="B2052" i="1"/>
  <c r="C2052" i="1"/>
  <c r="D2052" i="1"/>
  <c r="E2052" i="1"/>
  <c r="A2053" i="1"/>
  <c r="B2053" i="1"/>
  <c r="C2053" i="1"/>
  <c r="D2053" i="1"/>
  <c r="E2053" i="1"/>
  <c r="A2054" i="1"/>
  <c r="B2054" i="1"/>
  <c r="C2054" i="1"/>
  <c r="D2054" i="1"/>
  <c r="E2054" i="1"/>
  <c r="A2055" i="1"/>
  <c r="B2055" i="1"/>
  <c r="C2055" i="1"/>
  <c r="D2055" i="1"/>
  <c r="E2055" i="1"/>
  <c r="A2056" i="1"/>
  <c r="B2056" i="1"/>
  <c r="C2056" i="1"/>
  <c r="D2056" i="1"/>
  <c r="E2056" i="1"/>
  <c r="A2057" i="1"/>
  <c r="B2057" i="1"/>
  <c r="C2057" i="1"/>
  <c r="D2057" i="1"/>
  <c r="E2057" i="1"/>
  <c r="A2058" i="1"/>
  <c r="B2058" i="1"/>
  <c r="C2058" i="1"/>
  <c r="D2058" i="1"/>
  <c r="E2058" i="1"/>
  <c r="A2059" i="1"/>
  <c r="B2059" i="1"/>
  <c r="C2059" i="1"/>
  <c r="D2059" i="1"/>
  <c r="E2059" i="1"/>
  <c r="A2060" i="1"/>
  <c r="B2060" i="1"/>
  <c r="C2060" i="1"/>
  <c r="D2060" i="1"/>
  <c r="E2060" i="1"/>
  <c r="A2061" i="1"/>
  <c r="B2061" i="1"/>
  <c r="C2061" i="1"/>
  <c r="D2061" i="1"/>
  <c r="E2061" i="1"/>
  <c r="A2062" i="1"/>
  <c r="B2062" i="1"/>
  <c r="C2062" i="1"/>
  <c r="D2062" i="1"/>
  <c r="E2062" i="1"/>
  <c r="A2063" i="1"/>
  <c r="B2063" i="1"/>
  <c r="C2063" i="1"/>
  <c r="D2063" i="1"/>
  <c r="E2063" i="1"/>
  <c r="A2064" i="1"/>
  <c r="B2064" i="1"/>
  <c r="C2064" i="1"/>
  <c r="D2064" i="1"/>
  <c r="E2064" i="1"/>
  <c r="A2065" i="1"/>
  <c r="B2065" i="1"/>
  <c r="C2065" i="1"/>
  <c r="D2065" i="1"/>
  <c r="E2065" i="1"/>
  <c r="A2066" i="1"/>
  <c r="B2066" i="1"/>
  <c r="C2066" i="1"/>
  <c r="D2066" i="1"/>
  <c r="E2066" i="1"/>
  <c r="A2067" i="1"/>
  <c r="B2067" i="1"/>
  <c r="C2067" i="1"/>
  <c r="D2067" i="1"/>
  <c r="E2067" i="1"/>
  <c r="A2068" i="1"/>
  <c r="B2068" i="1"/>
  <c r="C2068" i="1"/>
  <c r="D2068" i="1"/>
  <c r="E2068" i="1"/>
  <c r="A2069" i="1"/>
  <c r="B2069" i="1"/>
  <c r="C2069" i="1"/>
  <c r="D2069" i="1"/>
  <c r="E2069" i="1"/>
  <c r="A2070" i="1"/>
  <c r="B2070" i="1"/>
  <c r="C2070" i="1"/>
  <c r="D2070" i="1"/>
  <c r="E2070" i="1"/>
  <c r="A2071" i="1"/>
  <c r="B2071" i="1"/>
  <c r="C2071" i="1"/>
  <c r="D2071" i="1"/>
  <c r="E2071" i="1"/>
  <c r="A2072" i="1"/>
  <c r="B2072" i="1"/>
  <c r="C2072" i="1"/>
  <c r="D2072" i="1"/>
  <c r="E2072" i="1"/>
  <c r="A2073" i="1"/>
  <c r="B2073" i="1"/>
  <c r="C2073" i="1"/>
  <c r="D2073" i="1"/>
  <c r="E2073" i="1"/>
  <c r="A2074" i="1"/>
  <c r="B2074" i="1"/>
  <c r="C2074" i="1"/>
  <c r="D2074" i="1"/>
  <c r="E2074" i="1"/>
  <c r="A2075" i="1"/>
  <c r="B2075" i="1"/>
  <c r="C2075" i="1"/>
  <c r="D2075" i="1"/>
  <c r="E2075" i="1"/>
  <c r="A2076" i="1"/>
  <c r="B2076" i="1"/>
  <c r="C2076" i="1"/>
  <c r="D2076" i="1"/>
  <c r="E2076" i="1"/>
  <c r="A2077" i="1"/>
  <c r="B2077" i="1"/>
  <c r="C2077" i="1"/>
  <c r="D2077" i="1"/>
  <c r="E2077" i="1"/>
  <c r="A2078" i="1"/>
  <c r="B2078" i="1"/>
  <c r="C2078" i="1"/>
  <c r="D2078" i="1"/>
  <c r="E2078" i="1"/>
  <c r="A2079" i="1"/>
  <c r="B2079" i="1"/>
  <c r="C2079" i="1"/>
  <c r="D2079" i="1"/>
  <c r="E2079" i="1"/>
  <c r="A2080" i="1"/>
  <c r="B2080" i="1"/>
  <c r="C2080" i="1"/>
  <c r="D2080" i="1"/>
  <c r="E2080" i="1"/>
  <c r="A2081" i="1"/>
  <c r="B2081" i="1"/>
  <c r="C2081" i="1"/>
  <c r="D2081" i="1"/>
  <c r="E2081" i="1"/>
  <c r="A2082" i="1"/>
  <c r="B2082" i="1"/>
  <c r="C2082" i="1"/>
  <c r="D2082" i="1"/>
  <c r="E2082" i="1"/>
  <c r="A2083" i="1"/>
  <c r="B2083" i="1"/>
  <c r="C2083" i="1"/>
  <c r="D2083" i="1"/>
  <c r="E2083" i="1"/>
  <c r="A2084" i="1"/>
  <c r="B2084" i="1"/>
  <c r="C2084" i="1"/>
  <c r="D2084" i="1"/>
  <c r="E2084" i="1"/>
  <c r="A2085" i="1"/>
  <c r="B2085" i="1"/>
  <c r="C2085" i="1"/>
  <c r="D2085" i="1"/>
  <c r="E2085" i="1"/>
  <c r="A2086" i="1"/>
  <c r="B2086" i="1"/>
  <c r="C2086" i="1"/>
  <c r="D2086" i="1"/>
  <c r="E2086" i="1"/>
  <c r="A2087" i="1"/>
  <c r="B2087" i="1"/>
  <c r="C2087" i="1"/>
  <c r="D2087" i="1"/>
  <c r="E2087" i="1"/>
  <c r="A2088" i="1"/>
  <c r="B2088" i="1"/>
  <c r="C2088" i="1"/>
  <c r="D2088" i="1"/>
  <c r="E2088" i="1"/>
  <c r="A2089" i="1"/>
  <c r="B2089" i="1"/>
  <c r="C2089" i="1"/>
  <c r="D2089" i="1"/>
  <c r="E2089" i="1"/>
  <c r="A2090" i="1"/>
  <c r="B2090" i="1"/>
  <c r="C2090" i="1"/>
  <c r="D2090" i="1"/>
  <c r="E2090" i="1"/>
  <c r="A2091" i="1"/>
  <c r="B2091" i="1"/>
  <c r="C2091" i="1"/>
  <c r="D2091" i="1"/>
  <c r="E2091" i="1"/>
  <c r="A2092" i="1"/>
  <c r="B2092" i="1"/>
  <c r="C2092" i="1"/>
  <c r="D2092" i="1"/>
  <c r="E2092" i="1"/>
  <c r="A2093" i="1"/>
  <c r="B2093" i="1"/>
  <c r="C2093" i="1"/>
  <c r="D2093" i="1"/>
  <c r="E2093" i="1"/>
  <c r="A2094" i="1"/>
  <c r="B2094" i="1"/>
  <c r="C2094" i="1"/>
  <c r="D2094" i="1"/>
  <c r="E2094" i="1"/>
  <c r="A2095" i="1"/>
  <c r="B2095" i="1"/>
  <c r="C2095" i="1"/>
  <c r="D2095" i="1"/>
  <c r="E2095" i="1"/>
  <c r="A2096" i="1"/>
  <c r="B2096" i="1"/>
  <c r="C2096" i="1"/>
  <c r="D2096" i="1"/>
  <c r="E2096" i="1"/>
  <c r="A2097" i="1"/>
  <c r="B2097" i="1"/>
  <c r="C2097" i="1"/>
  <c r="D2097" i="1"/>
  <c r="E2097" i="1"/>
  <c r="A2098" i="1"/>
  <c r="B2098" i="1"/>
  <c r="C2098" i="1"/>
  <c r="D2098" i="1"/>
  <c r="E2098" i="1"/>
  <c r="A2099" i="1"/>
  <c r="B2099" i="1"/>
  <c r="C2099" i="1"/>
  <c r="D2099" i="1"/>
  <c r="E2099" i="1"/>
  <c r="A2100" i="1"/>
  <c r="B2100" i="1"/>
  <c r="C2100" i="1"/>
  <c r="D2100" i="1"/>
  <c r="E2100" i="1"/>
  <c r="A2101" i="1"/>
  <c r="B2101" i="1"/>
  <c r="C2101" i="1"/>
  <c r="D2101" i="1"/>
  <c r="E2101" i="1"/>
  <c r="A2102" i="1"/>
  <c r="B2102" i="1"/>
  <c r="C2102" i="1"/>
  <c r="D2102" i="1"/>
  <c r="E2102" i="1"/>
  <c r="A2103" i="1"/>
  <c r="B2103" i="1"/>
  <c r="C2103" i="1"/>
  <c r="D2103" i="1"/>
  <c r="E2103" i="1"/>
  <c r="A2104" i="1"/>
  <c r="B2104" i="1"/>
  <c r="C2104" i="1"/>
  <c r="D2104" i="1"/>
  <c r="E2104" i="1"/>
  <c r="A2105" i="1"/>
  <c r="B2105" i="1"/>
  <c r="C2105" i="1"/>
  <c r="D2105" i="1"/>
  <c r="E2105" i="1"/>
  <c r="A2106" i="1"/>
  <c r="B2106" i="1"/>
  <c r="C2106" i="1"/>
  <c r="D2106" i="1"/>
  <c r="E2106" i="1"/>
  <c r="A2107" i="1"/>
  <c r="B2107" i="1"/>
  <c r="C2107" i="1"/>
  <c r="D2107" i="1"/>
  <c r="E2107" i="1"/>
  <c r="A2108" i="1"/>
  <c r="B2108" i="1"/>
  <c r="C2108" i="1"/>
  <c r="D2108" i="1"/>
  <c r="E2108" i="1"/>
  <c r="A2109" i="1"/>
  <c r="B2109" i="1"/>
  <c r="C2109" i="1"/>
  <c r="D2109" i="1"/>
  <c r="E2109" i="1"/>
  <c r="A2110" i="1"/>
  <c r="B2110" i="1"/>
  <c r="C2110" i="1"/>
  <c r="D2110" i="1"/>
  <c r="E2110" i="1"/>
  <c r="A2111" i="1"/>
  <c r="B2111" i="1"/>
  <c r="C2111" i="1"/>
  <c r="D2111" i="1"/>
  <c r="E2111" i="1"/>
  <c r="A2112" i="1"/>
  <c r="B2112" i="1"/>
  <c r="C2112" i="1"/>
  <c r="D2112" i="1"/>
  <c r="E2112" i="1"/>
  <c r="A2113" i="1"/>
  <c r="B2113" i="1"/>
  <c r="C2113" i="1"/>
  <c r="D2113" i="1"/>
  <c r="E2113" i="1"/>
  <c r="A2114" i="1"/>
  <c r="B2114" i="1"/>
  <c r="C2114" i="1"/>
  <c r="D2114" i="1"/>
  <c r="E2114" i="1"/>
  <c r="A2115" i="1"/>
  <c r="B2115" i="1"/>
  <c r="C2115" i="1"/>
  <c r="D2115" i="1"/>
  <c r="E2115" i="1"/>
  <c r="A2116" i="1"/>
  <c r="B2116" i="1"/>
  <c r="C2116" i="1"/>
  <c r="D2116" i="1"/>
  <c r="E2116" i="1"/>
  <c r="A2117" i="1"/>
  <c r="B2117" i="1"/>
  <c r="C2117" i="1"/>
  <c r="D2117" i="1"/>
  <c r="E2117" i="1"/>
  <c r="A2118" i="1"/>
  <c r="B2118" i="1"/>
  <c r="C2118" i="1"/>
  <c r="D2118" i="1"/>
  <c r="E2118" i="1"/>
  <c r="A2119" i="1"/>
  <c r="B2119" i="1"/>
  <c r="C2119" i="1"/>
  <c r="D2119" i="1"/>
  <c r="E2119" i="1"/>
  <c r="A2120" i="1"/>
  <c r="B2120" i="1"/>
  <c r="C2120" i="1"/>
  <c r="D2120" i="1"/>
  <c r="E2120" i="1"/>
  <c r="A2121" i="1"/>
  <c r="B2121" i="1"/>
  <c r="C2121" i="1"/>
  <c r="D2121" i="1"/>
  <c r="E2121" i="1"/>
  <c r="A2122" i="1"/>
  <c r="B2122" i="1"/>
  <c r="C2122" i="1"/>
  <c r="D2122" i="1"/>
  <c r="E2122" i="1"/>
  <c r="A2123" i="1"/>
  <c r="B2123" i="1"/>
  <c r="C2123" i="1"/>
  <c r="D2123" i="1"/>
  <c r="E2123" i="1"/>
  <c r="A2124" i="1"/>
  <c r="B2124" i="1"/>
  <c r="C2124" i="1"/>
  <c r="D2124" i="1"/>
  <c r="E2124" i="1"/>
  <c r="A2125" i="1"/>
  <c r="B2125" i="1"/>
  <c r="C2125" i="1"/>
  <c r="D2125" i="1"/>
  <c r="E2125" i="1"/>
  <c r="A2126" i="1"/>
  <c r="B2126" i="1"/>
  <c r="C2126" i="1"/>
  <c r="D2126" i="1"/>
  <c r="E2126" i="1"/>
  <c r="A2127" i="1"/>
  <c r="B2127" i="1"/>
  <c r="C2127" i="1"/>
  <c r="D2127" i="1"/>
  <c r="E2127" i="1"/>
  <c r="A2128" i="1"/>
  <c r="B2128" i="1"/>
  <c r="C2128" i="1"/>
  <c r="D2128" i="1"/>
  <c r="E2128" i="1"/>
  <c r="A2129" i="1"/>
  <c r="B2129" i="1"/>
  <c r="C2129" i="1"/>
  <c r="D2129" i="1"/>
  <c r="E2129" i="1"/>
  <c r="A2130" i="1"/>
  <c r="B2130" i="1"/>
  <c r="C2130" i="1"/>
  <c r="D2130" i="1"/>
  <c r="E2130" i="1"/>
  <c r="A2131" i="1"/>
  <c r="B2131" i="1"/>
  <c r="C2131" i="1"/>
  <c r="D2131" i="1"/>
  <c r="E2131" i="1"/>
  <c r="A2132" i="1"/>
  <c r="B2132" i="1"/>
  <c r="C2132" i="1"/>
  <c r="D2132" i="1"/>
  <c r="E2132" i="1"/>
  <c r="A2133" i="1"/>
  <c r="B2133" i="1"/>
  <c r="C2133" i="1"/>
  <c r="D2133" i="1"/>
  <c r="E2133" i="1"/>
  <c r="A2134" i="1"/>
  <c r="B2134" i="1"/>
  <c r="C2134" i="1"/>
  <c r="D2134" i="1"/>
  <c r="E2134" i="1"/>
  <c r="A2135" i="1"/>
  <c r="B2135" i="1"/>
  <c r="C2135" i="1"/>
  <c r="D2135" i="1"/>
  <c r="E2135" i="1"/>
  <c r="A2136" i="1"/>
  <c r="B2136" i="1"/>
  <c r="C2136" i="1"/>
  <c r="D2136" i="1"/>
  <c r="E2136" i="1"/>
  <c r="A2137" i="1"/>
  <c r="B2137" i="1"/>
  <c r="C2137" i="1"/>
  <c r="D2137" i="1"/>
  <c r="E2137" i="1"/>
  <c r="A2138" i="1"/>
  <c r="B2138" i="1"/>
  <c r="C2138" i="1"/>
  <c r="D2138" i="1"/>
  <c r="E2138" i="1"/>
  <c r="A2139" i="1"/>
  <c r="B2139" i="1"/>
  <c r="C2139" i="1"/>
  <c r="D2139" i="1"/>
  <c r="E2139" i="1"/>
  <c r="A2140" i="1"/>
  <c r="B2140" i="1"/>
  <c r="C2140" i="1"/>
  <c r="D2140" i="1"/>
  <c r="E2140" i="1"/>
  <c r="A2141" i="1"/>
  <c r="B2141" i="1"/>
  <c r="C2141" i="1"/>
  <c r="D2141" i="1"/>
  <c r="E2141" i="1"/>
  <c r="A2142" i="1"/>
  <c r="B2142" i="1"/>
  <c r="C2142" i="1"/>
  <c r="D2142" i="1"/>
  <c r="E2142" i="1"/>
  <c r="A2143" i="1"/>
  <c r="B2143" i="1"/>
  <c r="C2143" i="1"/>
  <c r="D2143" i="1"/>
  <c r="E2143" i="1"/>
  <c r="A2144" i="1"/>
  <c r="B2144" i="1"/>
  <c r="C2144" i="1"/>
  <c r="D2144" i="1"/>
  <c r="E2144" i="1"/>
  <c r="A2145" i="1"/>
  <c r="B2145" i="1"/>
  <c r="C2145" i="1"/>
  <c r="D2145" i="1"/>
  <c r="E2145" i="1"/>
  <c r="A2146" i="1"/>
  <c r="B2146" i="1"/>
  <c r="C2146" i="1"/>
  <c r="D2146" i="1"/>
  <c r="E2146" i="1"/>
  <c r="A2147" i="1"/>
  <c r="B2147" i="1"/>
  <c r="C2147" i="1"/>
  <c r="D2147" i="1"/>
  <c r="E2147" i="1"/>
  <c r="A2148" i="1"/>
  <c r="B2148" i="1"/>
  <c r="C2148" i="1"/>
  <c r="D2148" i="1"/>
  <c r="E2148" i="1"/>
  <c r="A2149" i="1"/>
  <c r="B2149" i="1"/>
  <c r="C2149" i="1"/>
  <c r="D2149" i="1"/>
  <c r="E2149" i="1"/>
  <c r="A2150" i="1"/>
  <c r="B2150" i="1"/>
  <c r="C2150" i="1"/>
  <c r="D2150" i="1"/>
  <c r="E2150" i="1"/>
  <c r="A2151" i="1"/>
  <c r="B2151" i="1"/>
  <c r="C2151" i="1"/>
  <c r="D2151" i="1"/>
  <c r="E2151" i="1"/>
  <c r="A2152" i="1"/>
  <c r="B2152" i="1"/>
  <c r="C2152" i="1"/>
  <c r="D2152" i="1"/>
  <c r="E2152" i="1"/>
  <c r="A2153" i="1"/>
  <c r="B2153" i="1"/>
  <c r="C2153" i="1"/>
  <c r="D2153" i="1"/>
  <c r="E2153" i="1"/>
  <c r="A2154" i="1"/>
  <c r="B2154" i="1"/>
  <c r="C2154" i="1"/>
  <c r="D2154" i="1"/>
  <c r="E2154" i="1"/>
  <c r="A2155" i="1"/>
  <c r="B2155" i="1"/>
  <c r="C2155" i="1"/>
  <c r="D2155" i="1"/>
  <c r="E2155" i="1"/>
  <c r="A2156" i="1"/>
  <c r="B2156" i="1"/>
  <c r="C2156" i="1"/>
  <c r="D2156" i="1"/>
  <c r="E2156" i="1"/>
  <c r="A2157" i="1"/>
  <c r="B2157" i="1"/>
  <c r="C2157" i="1"/>
  <c r="D2157" i="1"/>
  <c r="E2157" i="1"/>
  <c r="A2158" i="1"/>
  <c r="B2158" i="1"/>
  <c r="C2158" i="1"/>
  <c r="D2158" i="1"/>
  <c r="E2158" i="1"/>
  <c r="A2159" i="1"/>
  <c r="B2159" i="1"/>
  <c r="C2159" i="1"/>
  <c r="D2159" i="1"/>
  <c r="E2159" i="1"/>
  <c r="A2160" i="1"/>
  <c r="B2160" i="1"/>
  <c r="C2160" i="1"/>
  <c r="D2160" i="1"/>
  <c r="E2160" i="1"/>
  <c r="A2161" i="1"/>
  <c r="B2161" i="1"/>
  <c r="C2161" i="1"/>
  <c r="D2161" i="1"/>
  <c r="E2161" i="1"/>
  <c r="A2162" i="1"/>
  <c r="B2162" i="1"/>
  <c r="C2162" i="1"/>
  <c r="D2162" i="1"/>
  <c r="E2162" i="1"/>
  <c r="A2163" i="1"/>
  <c r="B2163" i="1"/>
  <c r="C2163" i="1"/>
  <c r="D2163" i="1"/>
  <c r="E2163" i="1"/>
  <c r="A2164" i="1"/>
  <c r="B2164" i="1"/>
  <c r="C2164" i="1"/>
  <c r="D2164" i="1"/>
  <c r="E2164" i="1"/>
  <c r="A2165" i="1"/>
  <c r="B2165" i="1"/>
  <c r="C2165" i="1"/>
  <c r="D2165" i="1"/>
  <c r="E2165" i="1"/>
  <c r="A2166" i="1"/>
  <c r="B2166" i="1"/>
  <c r="C2166" i="1"/>
  <c r="D2166" i="1"/>
  <c r="E2166" i="1"/>
  <c r="A2167" i="1"/>
  <c r="B2167" i="1"/>
  <c r="C2167" i="1"/>
  <c r="D2167" i="1"/>
  <c r="E2167" i="1"/>
  <c r="A2168" i="1"/>
  <c r="B2168" i="1"/>
  <c r="C2168" i="1"/>
  <c r="D2168" i="1"/>
  <c r="E2168" i="1"/>
  <c r="A2169" i="1"/>
  <c r="B2169" i="1"/>
  <c r="C2169" i="1"/>
  <c r="D2169" i="1"/>
  <c r="E2169" i="1"/>
  <c r="A2170" i="1"/>
  <c r="B2170" i="1"/>
  <c r="C2170" i="1"/>
  <c r="D2170" i="1"/>
  <c r="E2170" i="1"/>
  <c r="A2171" i="1"/>
  <c r="B2171" i="1"/>
  <c r="C2171" i="1"/>
  <c r="D2171" i="1"/>
  <c r="E2171" i="1"/>
  <c r="A2172" i="1"/>
  <c r="B2172" i="1"/>
  <c r="C2172" i="1"/>
  <c r="D2172" i="1"/>
  <c r="E2172" i="1"/>
  <c r="A2173" i="1"/>
  <c r="B2173" i="1"/>
  <c r="C2173" i="1"/>
  <c r="D2173" i="1"/>
  <c r="E2173" i="1"/>
  <c r="A2174" i="1"/>
  <c r="B2174" i="1"/>
  <c r="C2174" i="1"/>
  <c r="D2174" i="1"/>
  <c r="E2174" i="1"/>
  <c r="A2175" i="1"/>
  <c r="B2175" i="1"/>
  <c r="C2175" i="1"/>
  <c r="D2175" i="1"/>
  <c r="E2175" i="1"/>
  <c r="A2176" i="1"/>
  <c r="B2176" i="1"/>
  <c r="C2176" i="1"/>
  <c r="D2176" i="1"/>
  <c r="E2176" i="1"/>
  <c r="A2177" i="1"/>
  <c r="B2177" i="1"/>
  <c r="C2177" i="1"/>
  <c r="D2177" i="1"/>
  <c r="E2177" i="1"/>
  <c r="A2178" i="1"/>
  <c r="B2178" i="1"/>
  <c r="C2178" i="1"/>
  <c r="D2178" i="1"/>
  <c r="E2178" i="1"/>
  <c r="A2179" i="1"/>
  <c r="B2179" i="1"/>
  <c r="C2179" i="1"/>
  <c r="D2179" i="1"/>
  <c r="E2179" i="1"/>
  <c r="A2180" i="1"/>
  <c r="B2180" i="1"/>
  <c r="C2180" i="1"/>
  <c r="D2180" i="1"/>
  <c r="E2180" i="1"/>
  <c r="A2181" i="1"/>
  <c r="B2181" i="1"/>
  <c r="C2181" i="1"/>
  <c r="D2181" i="1"/>
  <c r="E2181" i="1"/>
  <c r="A2182" i="1"/>
  <c r="B2182" i="1"/>
  <c r="C2182" i="1"/>
  <c r="D2182" i="1"/>
  <c r="E2182" i="1"/>
  <c r="A2183" i="1"/>
  <c r="B2183" i="1"/>
  <c r="C2183" i="1"/>
  <c r="D2183" i="1"/>
  <c r="E2183" i="1"/>
  <c r="A2184" i="1"/>
  <c r="B2184" i="1"/>
  <c r="C2184" i="1"/>
  <c r="D2184" i="1"/>
  <c r="E2184" i="1"/>
  <c r="A2185" i="1"/>
  <c r="B2185" i="1"/>
  <c r="C2185" i="1"/>
  <c r="D2185" i="1"/>
  <c r="E2185" i="1"/>
  <c r="A2186" i="1"/>
  <c r="B2186" i="1"/>
  <c r="C2186" i="1"/>
  <c r="D2186" i="1"/>
  <c r="E2186" i="1"/>
  <c r="A2187" i="1"/>
  <c r="B2187" i="1"/>
  <c r="C2187" i="1"/>
  <c r="D2187" i="1"/>
  <c r="E2187" i="1"/>
  <c r="A2188" i="1"/>
  <c r="B2188" i="1"/>
  <c r="C2188" i="1"/>
  <c r="D2188" i="1"/>
  <c r="E2188" i="1"/>
  <c r="A2189" i="1"/>
  <c r="B2189" i="1"/>
  <c r="C2189" i="1"/>
  <c r="D2189" i="1"/>
  <c r="E2189" i="1"/>
  <c r="A2190" i="1"/>
  <c r="B2190" i="1"/>
  <c r="C2190" i="1"/>
  <c r="D2190" i="1"/>
  <c r="E2190" i="1"/>
  <c r="A2191" i="1"/>
  <c r="B2191" i="1"/>
  <c r="C2191" i="1"/>
  <c r="D2191" i="1"/>
  <c r="E2191" i="1"/>
  <c r="A2192" i="1"/>
  <c r="B2192" i="1"/>
  <c r="C2192" i="1"/>
  <c r="D2192" i="1"/>
  <c r="E2192" i="1"/>
  <c r="A2193" i="1"/>
  <c r="B2193" i="1"/>
  <c r="C2193" i="1"/>
  <c r="D2193" i="1"/>
  <c r="E2193" i="1"/>
  <c r="A2194" i="1"/>
  <c r="B2194" i="1"/>
  <c r="C2194" i="1"/>
  <c r="D2194" i="1"/>
  <c r="E2194" i="1"/>
  <c r="A2195" i="1"/>
  <c r="B2195" i="1"/>
  <c r="C2195" i="1"/>
  <c r="D2195" i="1"/>
  <c r="E2195" i="1"/>
  <c r="A2196" i="1"/>
  <c r="B2196" i="1"/>
  <c r="C2196" i="1"/>
  <c r="D2196" i="1"/>
  <c r="E2196" i="1"/>
  <c r="A2197" i="1"/>
  <c r="B2197" i="1"/>
  <c r="C2197" i="1"/>
  <c r="D2197" i="1"/>
  <c r="E2197" i="1"/>
  <c r="A2198" i="1"/>
  <c r="B2198" i="1"/>
  <c r="C2198" i="1"/>
  <c r="D2198" i="1"/>
  <c r="E2198" i="1"/>
  <c r="A2199" i="1"/>
  <c r="B2199" i="1"/>
  <c r="C2199" i="1"/>
  <c r="D2199" i="1"/>
  <c r="E2199" i="1"/>
  <c r="A2200" i="1"/>
  <c r="B2200" i="1"/>
  <c r="C2200" i="1"/>
  <c r="D2200" i="1"/>
  <c r="E2200" i="1"/>
  <c r="A2201" i="1"/>
  <c r="B2201" i="1"/>
  <c r="C2201" i="1"/>
  <c r="D2201" i="1"/>
  <c r="E2201" i="1"/>
  <c r="A2202" i="1"/>
  <c r="B2202" i="1"/>
  <c r="C2202" i="1"/>
  <c r="D2202" i="1"/>
  <c r="E2202" i="1"/>
  <c r="A2203" i="1"/>
  <c r="B2203" i="1"/>
  <c r="C2203" i="1"/>
  <c r="D2203" i="1"/>
  <c r="E2203" i="1"/>
  <c r="A2204" i="1"/>
  <c r="B2204" i="1"/>
  <c r="C2204" i="1"/>
  <c r="D2204" i="1"/>
  <c r="E2204" i="1"/>
  <c r="A2205" i="1"/>
  <c r="B2205" i="1"/>
  <c r="C2205" i="1"/>
  <c r="D2205" i="1"/>
  <c r="E2205" i="1"/>
  <c r="A2206" i="1"/>
  <c r="B2206" i="1"/>
  <c r="C2206" i="1"/>
  <c r="D2206" i="1"/>
  <c r="E2206" i="1"/>
  <c r="A2207" i="1"/>
  <c r="B2207" i="1"/>
  <c r="C2207" i="1"/>
  <c r="D2207" i="1"/>
  <c r="E2207" i="1"/>
  <c r="A2208" i="1"/>
  <c r="B2208" i="1"/>
  <c r="C2208" i="1"/>
  <c r="D2208" i="1"/>
  <c r="E2208" i="1"/>
  <c r="A2209" i="1"/>
  <c r="B2209" i="1"/>
  <c r="C2209" i="1"/>
  <c r="D2209" i="1"/>
  <c r="E2209" i="1"/>
  <c r="A2210" i="1"/>
  <c r="B2210" i="1"/>
  <c r="C2210" i="1"/>
  <c r="D2210" i="1"/>
  <c r="E2210" i="1"/>
  <c r="A2211" i="1"/>
  <c r="B2211" i="1"/>
  <c r="C2211" i="1"/>
  <c r="D2211" i="1"/>
  <c r="E2211" i="1"/>
  <c r="A2212" i="1"/>
  <c r="B2212" i="1"/>
  <c r="C2212" i="1"/>
  <c r="D2212" i="1"/>
  <c r="E2212" i="1"/>
  <c r="A2213" i="1"/>
  <c r="B2213" i="1"/>
  <c r="C2213" i="1"/>
  <c r="D2213" i="1"/>
  <c r="E2213" i="1"/>
  <c r="A2214" i="1"/>
  <c r="B2214" i="1"/>
  <c r="C2214" i="1"/>
  <c r="D2214" i="1"/>
  <c r="E2214" i="1"/>
  <c r="A2215" i="1"/>
  <c r="B2215" i="1"/>
  <c r="C2215" i="1"/>
  <c r="D2215" i="1"/>
  <c r="E2215" i="1"/>
  <c r="A2216" i="1"/>
  <c r="B2216" i="1"/>
  <c r="C2216" i="1"/>
  <c r="D2216" i="1"/>
  <c r="E2216" i="1"/>
  <c r="A2217" i="1"/>
  <c r="B2217" i="1"/>
  <c r="C2217" i="1"/>
  <c r="D2217" i="1"/>
  <c r="E2217" i="1"/>
  <c r="A2218" i="1"/>
  <c r="B2218" i="1"/>
  <c r="C2218" i="1"/>
  <c r="D2218" i="1"/>
  <c r="E2218" i="1"/>
  <c r="A2219" i="1"/>
  <c r="B2219" i="1"/>
  <c r="C2219" i="1"/>
  <c r="D2219" i="1"/>
  <c r="E2219" i="1"/>
  <c r="A2220" i="1"/>
  <c r="B2220" i="1"/>
  <c r="C2220" i="1"/>
  <c r="D2220" i="1"/>
  <c r="E2220" i="1"/>
  <c r="A2221" i="1"/>
  <c r="B2221" i="1"/>
  <c r="C2221" i="1"/>
  <c r="D2221" i="1"/>
  <c r="E2221" i="1"/>
  <c r="A2222" i="1"/>
  <c r="B2222" i="1"/>
  <c r="C2222" i="1"/>
  <c r="D2222" i="1"/>
  <c r="E2222" i="1"/>
  <c r="A2223" i="1"/>
  <c r="B2223" i="1"/>
  <c r="C2223" i="1"/>
  <c r="D2223" i="1"/>
  <c r="E2223" i="1"/>
  <c r="A2224" i="1"/>
  <c r="B2224" i="1"/>
  <c r="C2224" i="1"/>
  <c r="D2224" i="1"/>
  <c r="E2224" i="1"/>
  <c r="A2225" i="1"/>
  <c r="B2225" i="1"/>
  <c r="C2225" i="1"/>
  <c r="D2225" i="1"/>
  <c r="E2225" i="1"/>
  <c r="A2226" i="1"/>
  <c r="B2226" i="1"/>
  <c r="C2226" i="1"/>
  <c r="D2226" i="1"/>
  <c r="E2226" i="1"/>
  <c r="A2227" i="1"/>
  <c r="B2227" i="1"/>
  <c r="C2227" i="1"/>
  <c r="D2227" i="1"/>
  <c r="E2227" i="1"/>
  <c r="A2228" i="1"/>
  <c r="B2228" i="1"/>
  <c r="C2228" i="1"/>
  <c r="D2228" i="1"/>
  <c r="E2228" i="1"/>
  <c r="A2229" i="1"/>
  <c r="B2229" i="1"/>
  <c r="C2229" i="1"/>
  <c r="D2229" i="1"/>
  <c r="E2229" i="1"/>
  <c r="A2230" i="1"/>
  <c r="B2230" i="1"/>
  <c r="C2230" i="1"/>
  <c r="D2230" i="1"/>
  <c r="E2230" i="1"/>
  <c r="A2231" i="1"/>
  <c r="B2231" i="1"/>
  <c r="C2231" i="1"/>
  <c r="D2231" i="1"/>
  <c r="E2231" i="1"/>
  <c r="A2232" i="1"/>
  <c r="B2232" i="1"/>
  <c r="C2232" i="1"/>
  <c r="D2232" i="1"/>
  <c r="E2232" i="1"/>
  <c r="A2233" i="1"/>
  <c r="B2233" i="1"/>
  <c r="C2233" i="1"/>
  <c r="D2233" i="1"/>
  <c r="E2233" i="1"/>
  <c r="A2234" i="1"/>
  <c r="B2234" i="1"/>
  <c r="C2234" i="1"/>
  <c r="D2234" i="1"/>
  <c r="E2234" i="1"/>
  <c r="A2235" i="1"/>
  <c r="B2235" i="1"/>
  <c r="C2235" i="1"/>
  <c r="D2235" i="1"/>
  <c r="E2235" i="1"/>
  <c r="A2236" i="1"/>
  <c r="B2236" i="1"/>
  <c r="C2236" i="1"/>
  <c r="D2236" i="1"/>
  <c r="E2236" i="1"/>
  <c r="A2237" i="1"/>
  <c r="B2237" i="1"/>
  <c r="C2237" i="1"/>
  <c r="D2237" i="1"/>
  <c r="E2237" i="1"/>
  <c r="A2238" i="1"/>
  <c r="B2238" i="1"/>
  <c r="C2238" i="1"/>
  <c r="D2238" i="1"/>
  <c r="E2238" i="1"/>
  <c r="A2239" i="1"/>
  <c r="B2239" i="1"/>
  <c r="C2239" i="1"/>
  <c r="D2239" i="1"/>
  <c r="E2239" i="1"/>
  <c r="A2240" i="1"/>
  <c r="B2240" i="1"/>
  <c r="C2240" i="1"/>
  <c r="D2240" i="1"/>
  <c r="E2240" i="1"/>
  <c r="A2241" i="1"/>
  <c r="B2241" i="1"/>
  <c r="C2241" i="1"/>
  <c r="D2241" i="1"/>
  <c r="E2241" i="1"/>
  <c r="A2242" i="1"/>
  <c r="B2242" i="1"/>
  <c r="C2242" i="1"/>
  <c r="D2242" i="1"/>
  <c r="E2242" i="1"/>
  <c r="A2243" i="1"/>
  <c r="B2243" i="1"/>
  <c r="C2243" i="1"/>
  <c r="D2243" i="1"/>
  <c r="E2243" i="1"/>
  <c r="A2244" i="1"/>
  <c r="B2244" i="1"/>
  <c r="C2244" i="1"/>
  <c r="D2244" i="1"/>
  <c r="E2244" i="1"/>
  <c r="A2245" i="1"/>
  <c r="B2245" i="1"/>
  <c r="C2245" i="1"/>
  <c r="D2245" i="1"/>
  <c r="E2245" i="1"/>
  <c r="A2246" i="1"/>
  <c r="B2246" i="1"/>
  <c r="C2246" i="1"/>
  <c r="D2246" i="1"/>
  <c r="E2246" i="1"/>
  <c r="A2247" i="1"/>
  <c r="B2247" i="1"/>
  <c r="C2247" i="1"/>
  <c r="D2247" i="1"/>
  <c r="E2247" i="1"/>
  <c r="A2248" i="1"/>
  <c r="B2248" i="1"/>
  <c r="C2248" i="1"/>
  <c r="D2248" i="1"/>
  <c r="E2248" i="1"/>
  <c r="A2249" i="1"/>
  <c r="B2249" i="1"/>
  <c r="C2249" i="1"/>
  <c r="D2249" i="1"/>
  <c r="E2249" i="1"/>
  <c r="A2250" i="1"/>
  <c r="B2250" i="1"/>
  <c r="C2250" i="1"/>
  <c r="D2250" i="1"/>
  <c r="E2250" i="1"/>
  <c r="A2251" i="1"/>
  <c r="B2251" i="1"/>
  <c r="C2251" i="1"/>
  <c r="D2251" i="1"/>
  <c r="E2251" i="1"/>
  <c r="A2252" i="1"/>
  <c r="B2252" i="1"/>
  <c r="C2252" i="1"/>
  <c r="D2252" i="1"/>
  <c r="E2252" i="1"/>
  <c r="A2253" i="1"/>
  <c r="B2253" i="1"/>
  <c r="C2253" i="1"/>
  <c r="D2253" i="1"/>
  <c r="E2253" i="1"/>
  <c r="A2254" i="1"/>
  <c r="B2254" i="1"/>
  <c r="C2254" i="1"/>
  <c r="D2254" i="1"/>
  <c r="E2254" i="1"/>
  <c r="A2255" i="1"/>
  <c r="B2255" i="1"/>
  <c r="C2255" i="1"/>
  <c r="D2255" i="1"/>
  <c r="E2255" i="1"/>
  <c r="A2256" i="1"/>
  <c r="B2256" i="1"/>
  <c r="C2256" i="1"/>
  <c r="D2256" i="1"/>
  <c r="E2256" i="1"/>
  <c r="A2257" i="1"/>
  <c r="B2257" i="1"/>
  <c r="C2257" i="1"/>
  <c r="D2257" i="1"/>
  <c r="E2257" i="1"/>
  <c r="A2258" i="1"/>
  <c r="B2258" i="1"/>
  <c r="C2258" i="1"/>
  <c r="D2258" i="1"/>
  <c r="E2258" i="1"/>
  <c r="A2259" i="1"/>
  <c r="B2259" i="1"/>
  <c r="C2259" i="1"/>
  <c r="D2259" i="1"/>
  <c r="E2259" i="1"/>
  <c r="A2260" i="1"/>
  <c r="B2260" i="1"/>
  <c r="C2260" i="1"/>
  <c r="D2260" i="1"/>
  <c r="E2260" i="1"/>
  <c r="A2261" i="1"/>
  <c r="B2261" i="1"/>
  <c r="C2261" i="1"/>
  <c r="D2261" i="1"/>
  <c r="E2261" i="1"/>
  <c r="A2262" i="1"/>
  <c r="B2262" i="1"/>
  <c r="C2262" i="1"/>
  <c r="D2262" i="1"/>
  <c r="E2262" i="1"/>
  <c r="A2263" i="1"/>
  <c r="B2263" i="1"/>
  <c r="C2263" i="1"/>
  <c r="D2263" i="1"/>
  <c r="E2263" i="1"/>
  <c r="A2264" i="1"/>
  <c r="B2264" i="1"/>
  <c r="C2264" i="1"/>
  <c r="D2264" i="1"/>
  <c r="E2264" i="1"/>
  <c r="A2265" i="1"/>
  <c r="B2265" i="1"/>
  <c r="C2265" i="1"/>
  <c r="D2265" i="1"/>
  <c r="E2265" i="1"/>
  <c r="A2266" i="1"/>
  <c r="B2266" i="1"/>
  <c r="C2266" i="1"/>
  <c r="D2266" i="1"/>
  <c r="E2266" i="1"/>
  <c r="A2267" i="1"/>
  <c r="B2267" i="1"/>
  <c r="C2267" i="1"/>
  <c r="D2267" i="1"/>
  <c r="E2267" i="1"/>
  <c r="A2268" i="1"/>
  <c r="B2268" i="1"/>
  <c r="C2268" i="1"/>
  <c r="D2268" i="1"/>
  <c r="E2268" i="1"/>
  <c r="A2269" i="1"/>
  <c r="B2269" i="1"/>
  <c r="C2269" i="1"/>
  <c r="D2269" i="1"/>
  <c r="E2269" i="1"/>
  <c r="A2270" i="1"/>
  <c r="B2270" i="1"/>
  <c r="C2270" i="1"/>
  <c r="D2270" i="1"/>
  <c r="E2270" i="1"/>
  <c r="A2271" i="1"/>
  <c r="B2271" i="1"/>
  <c r="C2271" i="1"/>
  <c r="D2271" i="1"/>
  <c r="E2271" i="1"/>
  <c r="A2272" i="1"/>
  <c r="B2272" i="1"/>
  <c r="C2272" i="1"/>
  <c r="D2272" i="1"/>
  <c r="E2272" i="1"/>
  <c r="A2273" i="1"/>
  <c r="B2273" i="1"/>
  <c r="C2273" i="1"/>
  <c r="D2273" i="1"/>
  <c r="E2273" i="1"/>
  <c r="A2274" i="1"/>
  <c r="B2274" i="1"/>
  <c r="C2274" i="1"/>
  <c r="D2274" i="1"/>
  <c r="E2274" i="1"/>
  <c r="A2275" i="1"/>
  <c r="B2275" i="1"/>
  <c r="C2275" i="1"/>
  <c r="D2275" i="1"/>
  <c r="E2275" i="1"/>
  <c r="A2276" i="1"/>
  <c r="B2276" i="1"/>
  <c r="C2276" i="1"/>
  <c r="D2276" i="1"/>
  <c r="E2276" i="1"/>
  <c r="A2277" i="1"/>
  <c r="B2277" i="1"/>
  <c r="C2277" i="1"/>
  <c r="D2277" i="1"/>
  <c r="E2277" i="1"/>
  <c r="A2278" i="1"/>
  <c r="B2278" i="1"/>
  <c r="C2278" i="1"/>
  <c r="D2278" i="1"/>
  <c r="E2278" i="1"/>
  <c r="A2279" i="1"/>
  <c r="B2279" i="1"/>
  <c r="C2279" i="1"/>
  <c r="D2279" i="1"/>
  <c r="E2279" i="1"/>
  <c r="A2280" i="1"/>
  <c r="B2280" i="1"/>
  <c r="C2280" i="1"/>
  <c r="D2280" i="1"/>
  <c r="E2280" i="1"/>
  <c r="A2281" i="1"/>
  <c r="B2281" i="1"/>
  <c r="C2281" i="1"/>
  <c r="D2281" i="1"/>
  <c r="E2281" i="1"/>
  <c r="A2282" i="1"/>
  <c r="B2282" i="1"/>
  <c r="C2282" i="1"/>
  <c r="D2282" i="1"/>
  <c r="E2282" i="1"/>
  <c r="A2283" i="1"/>
  <c r="B2283" i="1"/>
  <c r="C2283" i="1"/>
  <c r="D2283" i="1"/>
  <c r="E2283" i="1"/>
  <c r="A2284" i="1"/>
  <c r="B2284" i="1"/>
  <c r="C2284" i="1"/>
  <c r="D2284" i="1"/>
  <c r="E2284" i="1"/>
  <c r="A2285" i="1"/>
  <c r="B2285" i="1"/>
  <c r="C2285" i="1"/>
  <c r="D2285" i="1"/>
  <c r="E2285" i="1"/>
  <c r="A2286" i="1"/>
  <c r="B2286" i="1"/>
  <c r="C2286" i="1"/>
  <c r="D2286" i="1"/>
  <c r="E2286" i="1"/>
  <c r="A2287" i="1"/>
  <c r="B2287" i="1"/>
  <c r="C2287" i="1"/>
  <c r="D2287" i="1"/>
  <c r="E2287" i="1"/>
  <c r="A2288" i="1"/>
  <c r="B2288" i="1"/>
  <c r="C2288" i="1"/>
  <c r="D2288" i="1"/>
  <c r="E2288" i="1"/>
  <c r="A2289" i="1"/>
  <c r="B2289" i="1"/>
  <c r="C2289" i="1"/>
  <c r="D2289" i="1"/>
  <c r="E2289" i="1"/>
  <c r="A2290" i="1"/>
  <c r="B2290" i="1"/>
  <c r="C2290" i="1"/>
  <c r="D2290" i="1"/>
  <c r="E2290" i="1"/>
  <c r="A2291" i="1"/>
  <c r="B2291" i="1"/>
  <c r="C2291" i="1"/>
  <c r="D2291" i="1"/>
  <c r="E2291" i="1"/>
  <c r="A2292" i="1"/>
  <c r="B2292" i="1"/>
  <c r="C2292" i="1"/>
  <c r="D2292" i="1"/>
  <c r="E2292" i="1"/>
  <c r="A2293" i="1"/>
  <c r="B2293" i="1"/>
  <c r="C2293" i="1"/>
  <c r="D2293" i="1"/>
  <c r="E2293" i="1"/>
  <c r="A2294" i="1"/>
  <c r="B2294" i="1"/>
  <c r="C2294" i="1"/>
  <c r="D2294" i="1"/>
  <c r="E2294" i="1"/>
  <c r="A2295" i="1"/>
  <c r="B2295" i="1"/>
  <c r="C2295" i="1"/>
  <c r="D2295" i="1"/>
  <c r="E2295" i="1"/>
  <c r="A2296" i="1"/>
  <c r="B2296" i="1"/>
  <c r="C2296" i="1"/>
  <c r="D2296" i="1"/>
  <c r="E2296" i="1"/>
  <c r="A2297" i="1"/>
  <c r="B2297" i="1"/>
  <c r="C2297" i="1"/>
  <c r="D2297" i="1"/>
  <c r="E2297" i="1"/>
  <c r="A2298" i="1"/>
  <c r="B2298" i="1"/>
  <c r="C2298" i="1"/>
  <c r="D2298" i="1"/>
  <c r="E2298" i="1"/>
  <c r="A2299" i="1"/>
  <c r="B2299" i="1"/>
  <c r="C2299" i="1"/>
  <c r="D2299" i="1"/>
  <c r="E2299" i="1"/>
  <c r="A2300" i="1"/>
  <c r="B2300" i="1"/>
  <c r="C2300" i="1"/>
  <c r="D2300" i="1"/>
  <c r="E2300" i="1"/>
  <c r="A2301" i="1"/>
  <c r="B2301" i="1"/>
  <c r="C2301" i="1"/>
  <c r="D2301" i="1"/>
  <c r="E2301" i="1"/>
  <c r="A2302" i="1"/>
  <c r="B2302" i="1"/>
  <c r="C2302" i="1"/>
  <c r="D2302" i="1"/>
  <c r="E2302" i="1"/>
  <c r="A2303" i="1"/>
  <c r="B2303" i="1"/>
  <c r="C2303" i="1"/>
  <c r="D2303" i="1"/>
  <c r="E2303" i="1"/>
  <c r="A2304" i="1"/>
  <c r="B2304" i="1"/>
  <c r="C2304" i="1"/>
  <c r="D2304" i="1"/>
  <c r="E2304" i="1"/>
  <c r="A2305" i="1"/>
  <c r="B2305" i="1"/>
  <c r="C2305" i="1"/>
  <c r="D2305" i="1"/>
  <c r="E2305" i="1"/>
  <c r="A2306" i="1"/>
  <c r="B2306" i="1"/>
  <c r="C2306" i="1"/>
  <c r="D2306" i="1"/>
  <c r="E2306" i="1"/>
  <c r="A2307" i="1"/>
  <c r="B2307" i="1"/>
  <c r="C2307" i="1"/>
  <c r="D2307" i="1"/>
  <c r="E2307" i="1"/>
  <c r="A2308" i="1"/>
  <c r="B2308" i="1"/>
  <c r="C2308" i="1"/>
  <c r="D2308" i="1"/>
  <c r="E2308" i="1"/>
  <c r="A2309" i="1"/>
  <c r="B2309" i="1"/>
  <c r="C2309" i="1"/>
  <c r="D2309" i="1"/>
  <c r="E2309" i="1"/>
  <c r="A2310" i="1"/>
  <c r="B2310" i="1"/>
  <c r="C2310" i="1"/>
  <c r="D2310" i="1"/>
  <c r="E2310" i="1"/>
  <c r="A2311" i="1"/>
  <c r="B2311" i="1"/>
  <c r="C2311" i="1"/>
  <c r="D2311" i="1"/>
  <c r="E2311" i="1"/>
  <c r="A2312" i="1"/>
  <c r="B2312" i="1"/>
  <c r="C2312" i="1"/>
  <c r="D2312" i="1"/>
  <c r="E2312" i="1"/>
  <c r="A2313" i="1"/>
  <c r="B2313" i="1"/>
  <c r="C2313" i="1"/>
  <c r="D2313" i="1"/>
  <c r="E2313" i="1"/>
  <c r="A2314" i="1"/>
  <c r="B2314" i="1"/>
  <c r="C2314" i="1"/>
  <c r="D2314" i="1"/>
  <c r="E2314" i="1"/>
  <c r="A2315" i="1"/>
  <c r="B2315" i="1"/>
  <c r="C2315" i="1"/>
  <c r="D2315" i="1"/>
  <c r="E2315" i="1"/>
  <c r="A2316" i="1"/>
  <c r="B2316" i="1"/>
  <c r="C2316" i="1"/>
  <c r="D2316" i="1"/>
  <c r="E2316" i="1"/>
  <c r="A2317" i="1"/>
  <c r="B2317" i="1"/>
  <c r="C2317" i="1"/>
  <c r="D2317" i="1"/>
  <c r="E2317" i="1"/>
  <c r="A2318" i="1"/>
  <c r="B2318" i="1"/>
  <c r="C2318" i="1"/>
  <c r="D2318" i="1"/>
  <c r="E2318" i="1"/>
  <c r="A2319" i="1"/>
  <c r="B2319" i="1"/>
  <c r="C2319" i="1"/>
  <c r="D2319" i="1"/>
  <c r="E2319" i="1"/>
  <c r="A2320" i="1"/>
  <c r="B2320" i="1"/>
  <c r="C2320" i="1"/>
  <c r="D2320" i="1"/>
  <c r="E2320" i="1"/>
  <c r="A2321" i="1"/>
  <c r="B2321" i="1"/>
  <c r="C2321" i="1"/>
  <c r="D2321" i="1"/>
  <c r="E2321" i="1"/>
  <c r="A2322" i="1"/>
  <c r="B2322" i="1"/>
  <c r="C2322" i="1"/>
  <c r="D2322" i="1"/>
  <c r="E2322" i="1"/>
  <c r="A2323" i="1"/>
  <c r="B2323" i="1"/>
  <c r="C2323" i="1"/>
  <c r="D2323" i="1"/>
  <c r="E2323" i="1"/>
  <c r="A2324" i="1"/>
  <c r="B2324" i="1"/>
  <c r="C2324" i="1"/>
  <c r="D2324" i="1"/>
  <c r="E2324" i="1"/>
  <c r="A2325" i="1"/>
  <c r="B2325" i="1"/>
  <c r="C2325" i="1"/>
  <c r="D2325" i="1"/>
  <c r="E2325" i="1"/>
  <c r="A2326" i="1"/>
  <c r="B2326" i="1"/>
  <c r="C2326" i="1"/>
  <c r="D2326" i="1"/>
  <c r="E2326" i="1"/>
  <c r="A2327" i="1"/>
  <c r="B2327" i="1"/>
  <c r="C2327" i="1"/>
  <c r="D2327" i="1"/>
  <c r="E2327" i="1"/>
  <c r="A2328" i="1"/>
  <c r="B2328" i="1"/>
  <c r="C2328" i="1"/>
  <c r="D2328" i="1"/>
  <c r="E2328" i="1"/>
  <c r="A2329" i="1"/>
  <c r="B2329" i="1"/>
  <c r="C2329" i="1"/>
  <c r="D2329" i="1"/>
  <c r="E2329" i="1"/>
  <c r="A2330" i="1"/>
  <c r="B2330" i="1"/>
  <c r="C2330" i="1"/>
  <c r="D2330" i="1"/>
  <c r="E2330" i="1"/>
  <c r="A2331" i="1"/>
  <c r="B2331" i="1"/>
  <c r="C2331" i="1"/>
  <c r="D2331" i="1"/>
  <c r="E2331" i="1"/>
  <c r="A2332" i="1"/>
  <c r="B2332" i="1"/>
  <c r="C2332" i="1"/>
  <c r="D2332" i="1"/>
  <c r="E2332" i="1"/>
  <c r="A2333" i="1"/>
  <c r="B2333" i="1"/>
  <c r="C2333" i="1"/>
  <c r="D2333" i="1"/>
  <c r="E2333" i="1"/>
  <c r="A2334" i="1"/>
  <c r="B2334" i="1"/>
  <c r="C2334" i="1"/>
  <c r="D2334" i="1"/>
  <c r="E2334" i="1"/>
  <c r="A2335" i="1"/>
  <c r="B2335" i="1"/>
  <c r="C2335" i="1"/>
  <c r="D2335" i="1"/>
  <c r="E2335" i="1"/>
  <c r="A2336" i="1"/>
  <c r="B2336" i="1"/>
  <c r="C2336" i="1"/>
  <c r="D2336" i="1"/>
  <c r="E2336" i="1"/>
  <c r="A2337" i="1"/>
  <c r="B2337" i="1"/>
  <c r="C2337" i="1"/>
  <c r="D2337" i="1"/>
  <c r="E2337" i="1"/>
  <c r="A2338" i="1"/>
  <c r="B2338" i="1"/>
  <c r="C2338" i="1"/>
  <c r="D2338" i="1"/>
  <c r="E2338" i="1"/>
  <c r="A2339" i="1"/>
  <c r="B2339" i="1"/>
  <c r="C2339" i="1"/>
  <c r="D2339" i="1"/>
  <c r="E2339" i="1"/>
  <c r="A2340" i="1"/>
  <c r="B2340" i="1"/>
  <c r="C2340" i="1"/>
  <c r="D2340" i="1"/>
  <c r="E2340" i="1"/>
  <c r="A2341" i="1"/>
  <c r="B2341" i="1"/>
  <c r="C2341" i="1"/>
  <c r="D2341" i="1"/>
  <c r="E2341" i="1"/>
  <c r="A2342" i="1"/>
  <c r="B2342" i="1"/>
  <c r="C2342" i="1"/>
  <c r="D2342" i="1"/>
  <c r="E2342" i="1"/>
  <c r="A2343" i="1"/>
  <c r="B2343" i="1"/>
  <c r="C2343" i="1"/>
  <c r="D2343" i="1"/>
  <c r="E2343" i="1"/>
  <c r="A2344" i="1"/>
  <c r="B2344" i="1"/>
  <c r="C2344" i="1"/>
  <c r="D2344" i="1"/>
  <c r="E2344" i="1"/>
  <c r="A2345" i="1"/>
  <c r="B2345" i="1"/>
  <c r="C2345" i="1"/>
  <c r="D2345" i="1"/>
  <c r="E2345" i="1"/>
  <c r="A2346" i="1"/>
  <c r="B2346" i="1"/>
  <c r="C2346" i="1"/>
  <c r="D2346" i="1"/>
  <c r="E2346" i="1"/>
  <c r="A2347" i="1"/>
  <c r="B2347" i="1"/>
  <c r="C2347" i="1"/>
  <c r="D2347" i="1"/>
  <c r="E2347" i="1"/>
  <c r="A2348" i="1"/>
  <c r="B2348" i="1"/>
  <c r="C2348" i="1"/>
  <c r="D2348" i="1"/>
  <c r="E2348" i="1"/>
  <c r="A2349" i="1"/>
  <c r="B2349" i="1"/>
  <c r="C2349" i="1"/>
  <c r="D2349" i="1"/>
  <c r="E2349" i="1"/>
  <c r="A2350" i="1"/>
  <c r="B2350" i="1"/>
  <c r="C2350" i="1"/>
  <c r="D2350" i="1"/>
  <c r="E2350" i="1"/>
  <c r="A2351" i="1"/>
  <c r="B2351" i="1"/>
  <c r="C2351" i="1"/>
  <c r="D2351" i="1"/>
  <c r="E2351" i="1"/>
  <c r="A2352" i="1"/>
  <c r="B2352" i="1"/>
  <c r="C2352" i="1"/>
  <c r="D2352" i="1"/>
  <c r="E2352" i="1"/>
  <c r="A2353" i="1"/>
  <c r="B2353" i="1"/>
  <c r="C2353" i="1"/>
  <c r="D2353" i="1"/>
  <c r="E2353" i="1"/>
  <c r="A2354" i="1"/>
  <c r="B2354" i="1"/>
  <c r="C2354" i="1"/>
  <c r="D2354" i="1"/>
  <c r="E2354" i="1"/>
  <c r="A2355" i="1"/>
  <c r="B2355" i="1"/>
  <c r="C2355" i="1"/>
  <c r="D2355" i="1"/>
  <c r="E2355" i="1"/>
  <c r="A2356" i="1"/>
  <c r="B2356" i="1"/>
  <c r="C2356" i="1"/>
  <c r="D2356" i="1"/>
  <c r="E2356" i="1"/>
  <c r="A2357" i="1"/>
  <c r="B2357" i="1"/>
  <c r="C2357" i="1"/>
  <c r="D2357" i="1"/>
  <c r="E2357" i="1"/>
  <c r="A2358" i="1"/>
  <c r="B2358" i="1"/>
  <c r="C2358" i="1"/>
  <c r="D2358" i="1"/>
  <c r="E2358" i="1"/>
  <c r="A2359" i="1"/>
  <c r="B2359" i="1"/>
  <c r="C2359" i="1"/>
  <c r="D2359" i="1"/>
  <c r="E2359" i="1"/>
  <c r="A2360" i="1"/>
  <c r="B2360" i="1"/>
  <c r="C2360" i="1"/>
  <c r="D2360" i="1"/>
  <c r="E2360" i="1"/>
  <c r="A2361" i="1"/>
  <c r="B2361" i="1"/>
  <c r="C2361" i="1"/>
  <c r="D2361" i="1"/>
  <c r="E2361" i="1"/>
  <c r="A2362" i="1"/>
  <c r="B2362" i="1"/>
  <c r="C2362" i="1"/>
  <c r="D2362" i="1"/>
  <c r="E2362" i="1"/>
  <c r="A2363" i="1"/>
  <c r="B2363" i="1"/>
  <c r="C2363" i="1"/>
  <c r="D2363" i="1"/>
  <c r="E2363" i="1"/>
  <c r="A2364" i="1"/>
  <c r="B2364" i="1"/>
  <c r="C2364" i="1"/>
  <c r="D2364" i="1"/>
  <c r="E2364" i="1"/>
  <c r="A2365" i="1"/>
  <c r="B2365" i="1"/>
  <c r="C2365" i="1"/>
  <c r="D2365" i="1"/>
  <c r="E2365" i="1"/>
  <c r="A2366" i="1"/>
  <c r="B2366" i="1"/>
  <c r="C2366" i="1"/>
  <c r="D2366" i="1"/>
  <c r="E2366" i="1"/>
  <c r="A2367" i="1"/>
  <c r="B2367" i="1"/>
  <c r="C2367" i="1"/>
  <c r="D2367" i="1"/>
  <c r="E2367" i="1"/>
  <c r="A2368" i="1"/>
  <c r="B2368" i="1"/>
  <c r="C2368" i="1"/>
  <c r="D2368" i="1"/>
  <c r="E2368" i="1"/>
  <c r="A2369" i="1"/>
  <c r="B2369" i="1"/>
  <c r="C2369" i="1"/>
  <c r="D2369" i="1"/>
  <c r="E2369" i="1"/>
  <c r="A2370" i="1"/>
  <c r="B2370" i="1"/>
  <c r="C2370" i="1"/>
  <c r="D2370" i="1"/>
  <c r="E2370" i="1"/>
  <c r="A2371" i="1"/>
  <c r="B2371" i="1"/>
  <c r="C2371" i="1"/>
  <c r="D2371" i="1"/>
  <c r="E2371" i="1"/>
  <c r="A2372" i="1"/>
  <c r="B2372" i="1"/>
  <c r="C2372" i="1"/>
  <c r="D2372" i="1"/>
  <c r="E2372" i="1"/>
  <c r="A2373" i="1"/>
  <c r="B2373" i="1"/>
  <c r="C2373" i="1"/>
  <c r="D2373" i="1"/>
  <c r="E2373" i="1"/>
  <c r="A2374" i="1"/>
  <c r="B2374" i="1"/>
  <c r="C2374" i="1"/>
  <c r="D2374" i="1"/>
  <c r="E2374" i="1"/>
  <c r="A2375" i="1"/>
  <c r="B2375" i="1"/>
  <c r="C2375" i="1"/>
  <c r="D2375" i="1"/>
  <c r="E2375" i="1"/>
  <c r="A2376" i="1"/>
  <c r="B2376" i="1"/>
  <c r="C2376" i="1"/>
  <c r="D2376" i="1"/>
  <c r="E2376" i="1"/>
  <c r="A2377" i="1"/>
  <c r="B2377" i="1"/>
  <c r="C2377" i="1"/>
  <c r="D2377" i="1"/>
  <c r="E2377" i="1"/>
  <c r="A2378" i="1"/>
  <c r="B2378" i="1"/>
  <c r="C2378" i="1"/>
  <c r="D2378" i="1"/>
  <c r="E2378" i="1"/>
  <c r="A2379" i="1"/>
  <c r="B2379" i="1"/>
  <c r="C2379" i="1"/>
  <c r="D2379" i="1"/>
  <c r="E2379" i="1"/>
  <c r="A2380" i="1"/>
  <c r="B2380" i="1"/>
  <c r="C2380" i="1"/>
  <c r="D2380" i="1"/>
  <c r="E2380" i="1"/>
  <c r="A2381" i="1"/>
  <c r="B2381" i="1"/>
  <c r="C2381" i="1"/>
  <c r="D2381" i="1"/>
  <c r="E2381" i="1"/>
  <c r="A2382" i="1"/>
  <c r="B2382" i="1"/>
  <c r="C2382" i="1"/>
  <c r="D2382" i="1"/>
  <c r="E2382" i="1"/>
  <c r="A2383" i="1"/>
  <c r="B2383" i="1"/>
  <c r="C2383" i="1"/>
  <c r="D2383" i="1"/>
  <c r="E2383" i="1"/>
  <c r="A2384" i="1"/>
  <c r="B2384" i="1"/>
  <c r="C2384" i="1"/>
  <c r="D2384" i="1"/>
  <c r="E2384" i="1"/>
  <c r="A2385" i="1"/>
  <c r="B2385" i="1"/>
  <c r="C2385" i="1"/>
  <c r="D2385" i="1"/>
  <c r="E2385" i="1"/>
  <c r="A2386" i="1"/>
  <c r="B2386" i="1"/>
  <c r="C2386" i="1"/>
  <c r="D2386" i="1"/>
  <c r="E2386" i="1"/>
  <c r="A2387" i="1"/>
  <c r="B2387" i="1"/>
  <c r="C2387" i="1"/>
  <c r="D2387" i="1"/>
  <c r="E2387" i="1"/>
  <c r="A2388" i="1"/>
  <c r="B2388" i="1"/>
  <c r="C2388" i="1"/>
  <c r="D2388" i="1"/>
  <c r="E2388" i="1"/>
  <c r="A2389" i="1"/>
  <c r="B2389" i="1"/>
  <c r="C2389" i="1"/>
  <c r="D2389" i="1"/>
  <c r="E2389" i="1"/>
  <c r="A2390" i="1"/>
  <c r="B2390" i="1"/>
  <c r="C2390" i="1"/>
  <c r="D2390" i="1"/>
  <c r="E2390" i="1"/>
  <c r="A2391" i="1"/>
  <c r="B2391" i="1"/>
  <c r="C2391" i="1"/>
  <c r="D2391" i="1"/>
  <c r="E2391" i="1"/>
  <c r="A2392" i="1"/>
  <c r="B2392" i="1"/>
  <c r="C2392" i="1"/>
  <c r="D2392" i="1"/>
  <c r="E2392" i="1"/>
  <c r="A2393" i="1"/>
  <c r="B2393" i="1"/>
  <c r="C2393" i="1"/>
  <c r="D2393" i="1"/>
  <c r="E2393" i="1"/>
  <c r="A2394" i="1"/>
  <c r="B2394" i="1"/>
  <c r="C2394" i="1"/>
  <c r="D2394" i="1"/>
  <c r="E2394" i="1"/>
  <c r="A2395" i="1"/>
  <c r="B2395" i="1"/>
  <c r="C2395" i="1"/>
  <c r="D2395" i="1"/>
  <c r="E2395" i="1"/>
  <c r="A2396" i="1"/>
  <c r="B2396" i="1"/>
  <c r="C2396" i="1"/>
  <c r="D2396" i="1"/>
  <c r="E2396" i="1"/>
  <c r="A2397" i="1"/>
  <c r="B2397" i="1"/>
  <c r="C2397" i="1"/>
  <c r="D2397" i="1"/>
  <c r="E2397" i="1"/>
  <c r="A2398" i="1"/>
  <c r="B2398" i="1"/>
  <c r="C2398" i="1"/>
  <c r="D2398" i="1"/>
  <c r="E2398" i="1"/>
  <c r="A2399" i="1"/>
  <c r="B2399" i="1"/>
  <c r="C2399" i="1"/>
  <c r="D2399" i="1"/>
  <c r="E2399" i="1"/>
  <c r="A2400" i="1"/>
  <c r="B2400" i="1"/>
  <c r="C2400" i="1"/>
  <c r="D2400" i="1"/>
  <c r="E2400" i="1"/>
  <c r="A2401" i="1"/>
  <c r="B2401" i="1"/>
  <c r="C2401" i="1"/>
  <c r="D2401" i="1"/>
  <c r="E2401" i="1"/>
  <c r="A2402" i="1"/>
  <c r="B2402" i="1"/>
  <c r="C2402" i="1"/>
  <c r="D2402" i="1"/>
  <c r="E2402" i="1"/>
  <c r="A2403" i="1"/>
  <c r="B2403" i="1"/>
  <c r="C2403" i="1"/>
  <c r="D2403" i="1"/>
  <c r="E2403" i="1"/>
  <c r="A2404" i="1"/>
  <c r="B2404" i="1"/>
  <c r="C2404" i="1"/>
  <c r="D2404" i="1"/>
  <c r="E2404" i="1"/>
  <c r="A2405" i="1"/>
  <c r="B2405" i="1"/>
  <c r="C2405" i="1"/>
  <c r="D2405" i="1"/>
  <c r="E2405" i="1"/>
  <c r="A2406" i="1"/>
  <c r="B2406" i="1"/>
  <c r="C2406" i="1"/>
  <c r="D2406" i="1"/>
  <c r="E2406" i="1"/>
  <c r="A2407" i="1"/>
  <c r="B2407" i="1"/>
  <c r="C2407" i="1"/>
  <c r="D2407" i="1"/>
  <c r="E2407" i="1"/>
  <c r="A2408" i="1"/>
  <c r="B2408" i="1"/>
  <c r="C2408" i="1"/>
  <c r="D2408" i="1"/>
  <c r="E2408" i="1"/>
  <c r="A2409" i="1"/>
  <c r="B2409" i="1"/>
  <c r="C2409" i="1"/>
  <c r="D2409" i="1"/>
  <c r="E2409" i="1"/>
  <c r="A2410" i="1"/>
  <c r="B2410" i="1"/>
  <c r="C2410" i="1"/>
  <c r="D2410" i="1"/>
  <c r="E2410" i="1"/>
  <c r="A2411" i="1"/>
  <c r="B2411" i="1"/>
  <c r="C2411" i="1"/>
  <c r="D2411" i="1"/>
  <c r="E2411" i="1"/>
  <c r="A2412" i="1"/>
  <c r="B2412" i="1"/>
  <c r="C2412" i="1"/>
  <c r="D2412" i="1"/>
  <c r="E2412" i="1"/>
  <c r="A2413" i="1"/>
  <c r="B2413" i="1"/>
  <c r="C2413" i="1"/>
  <c r="D2413" i="1"/>
  <c r="E2413" i="1"/>
  <c r="A2414" i="1"/>
  <c r="B2414" i="1"/>
  <c r="C2414" i="1"/>
  <c r="D2414" i="1"/>
  <c r="E2414" i="1"/>
  <c r="A2415" i="1"/>
  <c r="B2415" i="1"/>
  <c r="C2415" i="1"/>
  <c r="D2415" i="1"/>
  <c r="E2415" i="1"/>
  <c r="A2416" i="1"/>
  <c r="B2416" i="1"/>
  <c r="C2416" i="1"/>
  <c r="D2416" i="1"/>
  <c r="E2416" i="1"/>
  <c r="A2417" i="1"/>
  <c r="B2417" i="1"/>
  <c r="C2417" i="1"/>
  <c r="D2417" i="1"/>
  <c r="E2417" i="1"/>
  <c r="A2418" i="1"/>
  <c r="B2418" i="1"/>
  <c r="C2418" i="1"/>
  <c r="D2418" i="1"/>
  <c r="E2418" i="1"/>
  <c r="A2419" i="1"/>
  <c r="B2419" i="1"/>
  <c r="C2419" i="1"/>
  <c r="D2419" i="1"/>
  <c r="E2419" i="1"/>
  <c r="A2420" i="1"/>
  <c r="B2420" i="1"/>
  <c r="C2420" i="1"/>
  <c r="D2420" i="1"/>
  <c r="E2420" i="1"/>
  <c r="A2421" i="1"/>
  <c r="B2421" i="1"/>
  <c r="C2421" i="1"/>
  <c r="D2421" i="1"/>
  <c r="E2421" i="1"/>
  <c r="A2422" i="1"/>
  <c r="B2422" i="1"/>
  <c r="C2422" i="1"/>
  <c r="D2422" i="1"/>
  <c r="E2422" i="1"/>
  <c r="A2423" i="1"/>
  <c r="B2423" i="1"/>
  <c r="C2423" i="1"/>
  <c r="D2423" i="1"/>
  <c r="E2423" i="1"/>
  <c r="A2424" i="1"/>
  <c r="B2424" i="1"/>
  <c r="C2424" i="1"/>
  <c r="D2424" i="1"/>
  <c r="E2424" i="1"/>
  <c r="A2425" i="1"/>
  <c r="B2425" i="1"/>
  <c r="C2425" i="1"/>
  <c r="D2425" i="1"/>
  <c r="E2425" i="1"/>
  <c r="A2426" i="1"/>
  <c r="B2426" i="1"/>
  <c r="C2426" i="1"/>
  <c r="D2426" i="1"/>
  <c r="E2426" i="1"/>
  <c r="A2427" i="1"/>
  <c r="B2427" i="1"/>
  <c r="C2427" i="1"/>
  <c r="D2427" i="1"/>
  <c r="E2427" i="1"/>
  <c r="A2428" i="1"/>
  <c r="B2428" i="1"/>
  <c r="C2428" i="1"/>
  <c r="D2428" i="1"/>
  <c r="E2428" i="1"/>
  <c r="A2429" i="1"/>
  <c r="B2429" i="1"/>
  <c r="C2429" i="1"/>
  <c r="D2429" i="1"/>
  <c r="E2429" i="1"/>
  <c r="A2430" i="1"/>
  <c r="B2430" i="1"/>
  <c r="C2430" i="1"/>
  <c r="D2430" i="1"/>
  <c r="E2430" i="1"/>
  <c r="A2431" i="1"/>
  <c r="B2431" i="1"/>
  <c r="C2431" i="1"/>
  <c r="D2431" i="1"/>
  <c r="E2431" i="1"/>
  <c r="A2432" i="1"/>
  <c r="B2432" i="1"/>
  <c r="C2432" i="1"/>
  <c r="D2432" i="1"/>
  <c r="E2432" i="1"/>
  <c r="A2433" i="1"/>
  <c r="B2433" i="1"/>
  <c r="C2433" i="1"/>
  <c r="D2433" i="1"/>
  <c r="E2433" i="1"/>
  <c r="A2434" i="1"/>
  <c r="B2434" i="1"/>
  <c r="C2434" i="1"/>
  <c r="D2434" i="1"/>
  <c r="E2434" i="1"/>
  <c r="A2435" i="1"/>
  <c r="B2435" i="1"/>
  <c r="C2435" i="1"/>
  <c r="D2435" i="1"/>
  <c r="E2435" i="1"/>
  <c r="A2436" i="1"/>
  <c r="B2436" i="1"/>
  <c r="C2436" i="1"/>
  <c r="D2436" i="1"/>
  <c r="E2436" i="1"/>
  <c r="A2437" i="1"/>
  <c r="B2437" i="1"/>
  <c r="C2437" i="1"/>
  <c r="D2437" i="1"/>
  <c r="E2437" i="1"/>
  <c r="A2438" i="1"/>
  <c r="B2438" i="1"/>
  <c r="C2438" i="1"/>
  <c r="D2438" i="1"/>
  <c r="E2438" i="1"/>
  <c r="A2439" i="1"/>
  <c r="B2439" i="1"/>
  <c r="C2439" i="1"/>
  <c r="D2439" i="1"/>
  <c r="E2439" i="1"/>
  <c r="A2440" i="1"/>
  <c r="B2440" i="1"/>
  <c r="C2440" i="1"/>
  <c r="D2440" i="1"/>
  <c r="E2440" i="1"/>
  <c r="A2441" i="1"/>
  <c r="B2441" i="1"/>
  <c r="C2441" i="1"/>
  <c r="D2441" i="1"/>
  <c r="E2441" i="1"/>
  <c r="A2442" i="1"/>
  <c r="B2442" i="1"/>
  <c r="C2442" i="1"/>
  <c r="D2442" i="1"/>
  <c r="E2442" i="1"/>
  <c r="A2443" i="1"/>
  <c r="B2443" i="1"/>
  <c r="C2443" i="1"/>
  <c r="D2443" i="1"/>
  <c r="E2443" i="1"/>
  <c r="A2444" i="1"/>
  <c r="B2444" i="1"/>
  <c r="C2444" i="1"/>
  <c r="D2444" i="1"/>
  <c r="E2444" i="1"/>
  <c r="A2445" i="1"/>
  <c r="B2445" i="1"/>
  <c r="C2445" i="1"/>
  <c r="D2445" i="1"/>
  <c r="E2445" i="1"/>
  <c r="A2446" i="1"/>
  <c r="B2446" i="1"/>
  <c r="C2446" i="1"/>
  <c r="D2446" i="1"/>
  <c r="E2446" i="1"/>
  <c r="A2447" i="1"/>
  <c r="B2447" i="1"/>
  <c r="C2447" i="1"/>
  <c r="D2447" i="1"/>
  <c r="E2447" i="1"/>
  <c r="A2448" i="1"/>
  <c r="B2448" i="1"/>
  <c r="C2448" i="1"/>
  <c r="D2448" i="1"/>
  <c r="E2448" i="1"/>
  <c r="A2449" i="1"/>
  <c r="B2449" i="1"/>
  <c r="C2449" i="1"/>
  <c r="D2449" i="1"/>
  <c r="E2449" i="1"/>
  <c r="A2450" i="1"/>
  <c r="B2450" i="1"/>
  <c r="C2450" i="1"/>
  <c r="D2450" i="1"/>
  <c r="E2450" i="1"/>
  <c r="A2451" i="1"/>
  <c r="B2451" i="1"/>
  <c r="C2451" i="1"/>
  <c r="D2451" i="1"/>
  <c r="E2451" i="1"/>
  <c r="A2452" i="1"/>
  <c r="B2452" i="1"/>
  <c r="C2452" i="1"/>
  <c r="D2452" i="1"/>
  <c r="E2452" i="1"/>
  <c r="A2453" i="1"/>
  <c r="B2453" i="1"/>
  <c r="C2453" i="1"/>
  <c r="D2453" i="1"/>
  <c r="E2453" i="1"/>
  <c r="A2454" i="1"/>
  <c r="B2454" i="1"/>
  <c r="C2454" i="1"/>
  <c r="D2454" i="1"/>
  <c r="E2454" i="1"/>
  <c r="A2455" i="1"/>
  <c r="B2455" i="1"/>
  <c r="C2455" i="1"/>
  <c r="D2455" i="1"/>
  <c r="E2455" i="1"/>
  <c r="A2456" i="1"/>
  <c r="B2456" i="1"/>
  <c r="C2456" i="1"/>
  <c r="D2456" i="1"/>
  <c r="E2456" i="1"/>
  <c r="A2457" i="1"/>
  <c r="B2457" i="1"/>
  <c r="C2457" i="1"/>
  <c r="D2457" i="1"/>
  <c r="E2457" i="1"/>
  <c r="A2458" i="1"/>
  <c r="B2458" i="1"/>
  <c r="C2458" i="1"/>
  <c r="D2458" i="1"/>
  <c r="E2458" i="1"/>
  <c r="A2459" i="1"/>
  <c r="B2459" i="1"/>
  <c r="C2459" i="1"/>
  <c r="D2459" i="1"/>
  <c r="E2459" i="1"/>
  <c r="A2460" i="1"/>
  <c r="B2460" i="1"/>
  <c r="C2460" i="1"/>
  <c r="D2460" i="1"/>
  <c r="E2460" i="1"/>
  <c r="A2461" i="1"/>
  <c r="B2461" i="1"/>
  <c r="C2461" i="1"/>
  <c r="D2461" i="1"/>
  <c r="E2461" i="1"/>
  <c r="A2462" i="1"/>
  <c r="B2462" i="1"/>
  <c r="C2462" i="1"/>
  <c r="D2462" i="1"/>
  <c r="E2462" i="1"/>
  <c r="A2463" i="1"/>
  <c r="B2463" i="1"/>
  <c r="C2463" i="1"/>
  <c r="D2463" i="1"/>
  <c r="E2463" i="1"/>
  <c r="A2464" i="1"/>
  <c r="B2464" i="1"/>
  <c r="C2464" i="1"/>
  <c r="D2464" i="1"/>
  <c r="E2464" i="1"/>
  <c r="A2465" i="1"/>
  <c r="B2465" i="1"/>
  <c r="C2465" i="1"/>
  <c r="D2465" i="1"/>
  <c r="E2465" i="1"/>
  <c r="A2466" i="1"/>
  <c r="B2466" i="1"/>
  <c r="C2466" i="1"/>
  <c r="D2466" i="1"/>
  <c r="E2466" i="1"/>
  <c r="A2467" i="1"/>
  <c r="B2467" i="1"/>
  <c r="C2467" i="1"/>
  <c r="D2467" i="1"/>
  <c r="E2467" i="1"/>
  <c r="A2468" i="1"/>
  <c r="B2468" i="1"/>
  <c r="C2468" i="1"/>
  <c r="D2468" i="1"/>
  <c r="E2468" i="1"/>
  <c r="A2469" i="1"/>
  <c r="B2469" i="1"/>
  <c r="C2469" i="1"/>
  <c r="D2469" i="1"/>
  <c r="E2469" i="1"/>
  <c r="A2470" i="1"/>
  <c r="B2470" i="1"/>
  <c r="C2470" i="1"/>
  <c r="D2470" i="1"/>
  <c r="E2470" i="1"/>
  <c r="A2471" i="1"/>
  <c r="B2471" i="1"/>
  <c r="C2471" i="1"/>
  <c r="D2471" i="1"/>
  <c r="E2471" i="1"/>
  <c r="A2472" i="1"/>
  <c r="B2472" i="1"/>
  <c r="C2472" i="1"/>
  <c r="D2472" i="1"/>
  <c r="E2472" i="1"/>
  <c r="A2473" i="1"/>
  <c r="B2473" i="1"/>
  <c r="C2473" i="1"/>
  <c r="D2473" i="1"/>
  <c r="E2473" i="1"/>
  <c r="A2474" i="1"/>
  <c r="B2474" i="1"/>
  <c r="C2474" i="1"/>
  <c r="D2474" i="1"/>
  <c r="E2474" i="1"/>
  <c r="A2475" i="1"/>
  <c r="B2475" i="1"/>
  <c r="C2475" i="1"/>
  <c r="D2475" i="1"/>
  <c r="E2475" i="1"/>
  <c r="A2476" i="1"/>
  <c r="B2476" i="1"/>
  <c r="C2476" i="1"/>
  <c r="D2476" i="1"/>
  <c r="E2476" i="1"/>
  <c r="A2477" i="1"/>
  <c r="B2477" i="1"/>
  <c r="C2477" i="1"/>
  <c r="D2477" i="1"/>
  <c r="E2477" i="1"/>
  <c r="A2478" i="1"/>
  <c r="B2478" i="1"/>
  <c r="C2478" i="1"/>
  <c r="D2478" i="1"/>
  <c r="E2478" i="1"/>
  <c r="A2479" i="1"/>
  <c r="B2479" i="1"/>
  <c r="C2479" i="1"/>
  <c r="D2479" i="1"/>
  <c r="E2479" i="1"/>
  <c r="A2480" i="1"/>
  <c r="B2480" i="1"/>
  <c r="C2480" i="1"/>
  <c r="D2480" i="1"/>
  <c r="E2480" i="1"/>
  <c r="A2481" i="1"/>
  <c r="B2481" i="1"/>
  <c r="C2481" i="1"/>
  <c r="D2481" i="1"/>
  <c r="E2481" i="1"/>
  <c r="A2482" i="1"/>
  <c r="B2482" i="1"/>
  <c r="C2482" i="1"/>
  <c r="D2482" i="1"/>
  <c r="E2482" i="1"/>
  <c r="A2483" i="1"/>
  <c r="B2483" i="1"/>
  <c r="C2483" i="1"/>
  <c r="D2483" i="1"/>
  <c r="E2483" i="1"/>
  <c r="A2484" i="1"/>
  <c r="B2484" i="1"/>
  <c r="C2484" i="1"/>
  <c r="D2484" i="1"/>
  <c r="E2484" i="1"/>
  <c r="A2485" i="1"/>
  <c r="B2485" i="1"/>
  <c r="C2485" i="1"/>
  <c r="D2485" i="1"/>
  <c r="E2485" i="1"/>
  <c r="A2486" i="1"/>
  <c r="B2486" i="1"/>
  <c r="C2486" i="1"/>
  <c r="D2486" i="1"/>
  <c r="E2486" i="1"/>
  <c r="A2487" i="1"/>
  <c r="B2487" i="1"/>
  <c r="C2487" i="1"/>
  <c r="D2487" i="1"/>
  <c r="E2487" i="1"/>
  <c r="A2488" i="1"/>
  <c r="B2488" i="1"/>
  <c r="C2488" i="1"/>
  <c r="D2488" i="1"/>
  <c r="E2488" i="1"/>
  <c r="A2489" i="1"/>
  <c r="B2489" i="1"/>
  <c r="C2489" i="1"/>
  <c r="D2489" i="1"/>
  <c r="E2489" i="1"/>
  <c r="A2490" i="1"/>
  <c r="B2490" i="1"/>
  <c r="C2490" i="1"/>
  <c r="D2490" i="1"/>
  <c r="E2490" i="1"/>
  <c r="A2491" i="1"/>
  <c r="B2491" i="1"/>
  <c r="C2491" i="1"/>
  <c r="D2491" i="1"/>
  <c r="E2491" i="1"/>
  <c r="A2492" i="1"/>
  <c r="B2492" i="1"/>
  <c r="C2492" i="1"/>
  <c r="D2492" i="1"/>
  <c r="E2492" i="1"/>
  <c r="A2493" i="1"/>
  <c r="B2493" i="1"/>
  <c r="C2493" i="1"/>
  <c r="D2493" i="1"/>
  <c r="E2493" i="1"/>
  <c r="A2494" i="1"/>
  <c r="B2494" i="1"/>
  <c r="C2494" i="1"/>
  <c r="D2494" i="1"/>
  <c r="E2494" i="1"/>
  <c r="A2495" i="1"/>
  <c r="B2495" i="1"/>
  <c r="C2495" i="1"/>
  <c r="D2495" i="1"/>
  <c r="E2495" i="1"/>
  <c r="A2496" i="1"/>
  <c r="B2496" i="1"/>
  <c r="C2496" i="1"/>
  <c r="D2496" i="1"/>
  <c r="E2496" i="1"/>
  <c r="A2497" i="1"/>
  <c r="B2497" i="1"/>
  <c r="C2497" i="1"/>
  <c r="D2497" i="1"/>
  <c r="E2497" i="1"/>
  <c r="A2498" i="1"/>
  <c r="B2498" i="1"/>
  <c r="C2498" i="1"/>
  <c r="D2498" i="1"/>
  <c r="E2498" i="1"/>
  <c r="A2499" i="1"/>
  <c r="B2499" i="1"/>
  <c r="C2499" i="1"/>
  <c r="D2499" i="1"/>
  <c r="E2499" i="1"/>
  <c r="A2500" i="1"/>
  <c r="B2500" i="1"/>
  <c r="C2500" i="1"/>
  <c r="D2500" i="1"/>
  <c r="E2500" i="1"/>
  <c r="A2501" i="1"/>
  <c r="B2501" i="1"/>
  <c r="C2501" i="1"/>
  <c r="D2501" i="1"/>
  <c r="E2501" i="1"/>
  <c r="A2502" i="1"/>
  <c r="B2502" i="1"/>
  <c r="C2502" i="1"/>
  <c r="D2502" i="1"/>
  <c r="E2502" i="1"/>
  <c r="A2503" i="1"/>
  <c r="B2503" i="1"/>
  <c r="C2503" i="1"/>
  <c r="D2503" i="1"/>
  <c r="E2503" i="1"/>
  <c r="A2504" i="1"/>
  <c r="B2504" i="1"/>
  <c r="C2504" i="1"/>
  <c r="D2504" i="1"/>
  <c r="E2504" i="1"/>
  <c r="A2505" i="1"/>
  <c r="B2505" i="1"/>
  <c r="C2505" i="1"/>
  <c r="D2505" i="1"/>
  <c r="E2505" i="1"/>
  <c r="A2506" i="1"/>
  <c r="B2506" i="1"/>
  <c r="C2506" i="1"/>
  <c r="D2506" i="1"/>
  <c r="E2506" i="1"/>
  <c r="A2507" i="1"/>
  <c r="B2507" i="1"/>
  <c r="C2507" i="1"/>
  <c r="D2507" i="1"/>
  <c r="E2507" i="1"/>
  <c r="A2508" i="1"/>
  <c r="B2508" i="1"/>
  <c r="C2508" i="1"/>
  <c r="D2508" i="1"/>
  <c r="E2508" i="1"/>
  <c r="A2509" i="1"/>
  <c r="B2509" i="1"/>
  <c r="C2509" i="1"/>
  <c r="D2509" i="1"/>
  <c r="E2509" i="1"/>
  <c r="A2510" i="1"/>
  <c r="B2510" i="1"/>
  <c r="C2510" i="1"/>
  <c r="D2510" i="1"/>
  <c r="E2510" i="1"/>
  <c r="A2511" i="1"/>
  <c r="B2511" i="1"/>
  <c r="C2511" i="1"/>
  <c r="D2511" i="1"/>
  <c r="E2511" i="1"/>
  <c r="A2512" i="1"/>
  <c r="B2512" i="1"/>
  <c r="C2512" i="1"/>
  <c r="D2512" i="1"/>
  <c r="E2512" i="1"/>
  <c r="A2513" i="1"/>
  <c r="B2513" i="1"/>
  <c r="C2513" i="1"/>
  <c r="D2513" i="1"/>
  <c r="E2513" i="1"/>
  <c r="A2514" i="1"/>
  <c r="B2514" i="1"/>
  <c r="C2514" i="1"/>
  <c r="D2514" i="1"/>
  <c r="E2514" i="1"/>
  <c r="A2515" i="1"/>
  <c r="B2515" i="1"/>
  <c r="C2515" i="1"/>
  <c r="D2515" i="1"/>
  <c r="E2515" i="1"/>
  <c r="A2516" i="1"/>
  <c r="B2516" i="1"/>
  <c r="C2516" i="1"/>
  <c r="D2516" i="1"/>
  <c r="E2516" i="1"/>
  <c r="A2517" i="1"/>
  <c r="B2517" i="1"/>
  <c r="C2517" i="1"/>
  <c r="D2517" i="1"/>
  <c r="E2517" i="1"/>
  <c r="A2518" i="1"/>
  <c r="B2518" i="1"/>
  <c r="C2518" i="1"/>
  <c r="D2518" i="1"/>
  <c r="E2518" i="1"/>
  <c r="A2519" i="1"/>
  <c r="B2519" i="1"/>
  <c r="C2519" i="1"/>
  <c r="D2519" i="1"/>
  <c r="E2519" i="1"/>
  <c r="A2520" i="1"/>
  <c r="B2520" i="1"/>
  <c r="C2520" i="1"/>
  <c r="D2520" i="1"/>
  <c r="E2520" i="1"/>
  <c r="A2521" i="1"/>
  <c r="B2521" i="1"/>
  <c r="C2521" i="1"/>
  <c r="D2521" i="1"/>
  <c r="E2521" i="1"/>
  <c r="A2522" i="1"/>
  <c r="B2522" i="1"/>
  <c r="C2522" i="1"/>
  <c r="D2522" i="1"/>
  <c r="E2522" i="1"/>
  <c r="A2523" i="1"/>
  <c r="B2523" i="1"/>
  <c r="C2523" i="1"/>
  <c r="D2523" i="1"/>
  <c r="E2523" i="1"/>
  <c r="A2524" i="1"/>
  <c r="B2524" i="1"/>
  <c r="C2524" i="1"/>
  <c r="D2524" i="1"/>
  <c r="E2524" i="1"/>
  <c r="A2525" i="1"/>
  <c r="B2525" i="1"/>
  <c r="C2525" i="1"/>
  <c r="D2525" i="1"/>
  <c r="E2525" i="1"/>
  <c r="A2526" i="1"/>
  <c r="B2526" i="1"/>
  <c r="C2526" i="1"/>
  <c r="D2526" i="1"/>
  <c r="E2526" i="1"/>
  <c r="A2527" i="1"/>
  <c r="B2527" i="1"/>
  <c r="C2527" i="1"/>
  <c r="D2527" i="1"/>
  <c r="E2527" i="1"/>
  <c r="A2528" i="1"/>
  <c r="B2528" i="1"/>
  <c r="C2528" i="1"/>
  <c r="D2528" i="1"/>
  <c r="E2528" i="1"/>
  <c r="A2529" i="1"/>
  <c r="B2529" i="1"/>
  <c r="C2529" i="1"/>
  <c r="D2529" i="1"/>
  <c r="E2529" i="1"/>
  <c r="A2530" i="1"/>
  <c r="B2530" i="1"/>
  <c r="C2530" i="1"/>
  <c r="D2530" i="1"/>
  <c r="E2530" i="1"/>
  <c r="A2531" i="1"/>
  <c r="B2531" i="1"/>
  <c r="C2531" i="1"/>
  <c r="D2531" i="1"/>
  <c r="E2531" i="1"/>
  <c r="A2532" i="1"/>
  <c r="B2532" i="1"/>
  <c r="C2532" i="1"/>
  <c r="D2532" i="1"/>
  <c r="E2532" i="1"/>
  <c r="A2533" i="1"/>
  <c r="B2533" i="1"/>
  <c r="C2533" i="1"/>
  <c r="D2533" i="1"/>
  <c r="E2533" i="1"/>
  <c r="A2534" i="1"/>
  <c r="B2534" i="1"/>
  <c r="C2534" i="1"/>
  <c r="D2534" i="1"/>
  <c r="E2534" i="1"/>
  <c r="A2535" i="1"/>
  <c r="B2535" i="1"/>
  <c r="C2535" i="1"/>
  <c r="D2535" i="1"/>
  <c r="E2535" i="1"/>
  <c r="A2536" i="1"/>
  <c r="B2536" i="1"/>
  <c r="C2536" i="1"/>
  <c r="D2536" i="1"/>
  <c r="E2536" i="1"/>
  <c r="A2537" i="1"/>
  <c r="B2537" i="1"/>
  <c r="C2537" i="1"/>
  <c r="D2537" i="1"/>
  <c r="E2537" i="1"/>
  <c r="A2538" i="1"/>
  <c r="B2538" i="1"/>
  <c r="C2538" i="1"/>
  <c r="D2538" i="1"/>
  <c r="E2538" i="1"/>
  <c r="A2539" i="1"/>
  <c r="B2539" i="1"/>
  <c r="C2539" i="1"/>
  <c r="D2539" i="1"/>
  <c r="E2539" i="1"/>
  <c r="A2540" i="1"/>
  <c r="B2540" i="1"/>
  <c r="C2540" i="1"/>
  <c r="D2540" i="1"/>
  <c r="E2540" i="1"/>
  <c r="A2541" i="1"/>
  <c r="B2541" i="1"/>
  <c r="C2541" i="1"/>
  <c r="D2541" i="1"/>
  <c r="E2541" i="1"/>
  <c r="A2542" i="1"/>
  <c r="B2542" i="1"/>
  <c r="C2542" i="1"/>
  <c r="D2542" i="1"/>
  <c r="E2542" i="1"/>
  <c r="A2543" i="1"/>
  <c r="B2543" i="1"/>
  <c r="C2543" i="1"/>
  <c r="D2543" i="1"/>
  <c r="E2543" i="1"/>
  <c r="A2544" i="1"/>
  <c r="B2544" i="1"/>
  <c r="C2544" i="1"/>
  <c r="D2544" i="1"/>
  <c r="E2544" i="1"/>
  <c r="A2545" i="1"/>
  <c r="B2545" i="1"/>
  <c r="C2545" i="1"/>
  <c r="D2545" i="1"/>
  <c r="E2545" i="1"/>
  <c r="A2546" i="1"/>
  <c r="B2546" i="1"/>
  <c r="C2546" i="1"/>
  <c r="D2546" i="1"/>
  <c r="E2546" i="1"/>
  <c r="A2547" i="1"/>
  <c r="B2547" i="1"/>
  <c r="C2547" i="1"/>
  <c r="D2547" i="1"/>
  <c r="E2547" i="1"/>
  <c r="A2548" i="1"/>
  <c r="B2548" i="1"/>
  <c r="C2548" i="1"/>
  <c r="D2548" i="1"/>
  <c r="E2548" i="1"/>
  <c r="A2549" i="1"/>
  <c r="B2549" i="1"/>
  <c r="C2549" i="1"/>
  <c r="D2549" i="1"/>
  <c r="E2549" i="1"/>
  <c r="A2550" i="1"/>
  <c r="B2550" i="1"/>
  <c r="C2550" i="1"/>
  <c r="D2550" i="1"/>
  <c r="E2550" i="1"/>
  <c r="A2551" i="1"/>
  <c r="B2551" i="1"/>
  <c r="C2551" i="1"/>
  <c r="D2551" i="1"/>
  <c r="E2551" i="1"/>
  <c r="A2552" i="1"/>
  <c r="B2552" i="1"/>
  <c r="C2552" i="1"/>
  <c r="D2552" i="1"/>
  <c r="E2552" i="1"/>
  <c r="A2553" i="1"/>
  <c r="B2553" i="1"/>
  <c r="C2553" i="1"/>
  <c r="D2553" i="1"/>
  <c r="E2553" i="1"/>
  <c r="A2554" i="1"/>
  <c r="B2554" i="1"/>
  <c r="C2554" i="1"/>
  <c r="D2554" i="1"/>
  <c r="E2554" i="1"/>
  <c r="A2555" i="1"/>
  <c r="B2555" i="1"/>
  <c r="C2555" i="1"/>
  <c r="D2555" i="1"/>
  <c r="E2555" i="1"/>
  <c r="A2556" i="1"/>
  <c r="B2556" i="1"/>
  <c r="C2556" i="1"/>
  <c r="D2556" i="1"/>
  <c r="E2556" i="1"/>
  <c r="A2557" i="1"/>
  <c r="B2557" i="1"/>
  <c r="C2557" i="1"/>
  <c r="D2557" i="1"/>
  <c r="E2557" i="1"/>
  <c r="A2558" i="1"/>
  <c r="B2558" i="1"/>
  <c r="C2558" i="1"/>
  <c r="D2558" i="1"/>
  <c r="E2558" i="1"/>
  <c r="A2559" i="1"/>
  <c r="B2559" i="1"/>
  <c r="C2559" i="1"/>
  <c r="D2559" i="1"/>
  <c r="E2559" i="1"/>
  <c r="A2560" i="1"/>
  <c r="B2560" i="1"/>
  <c r="C2560" i="1"/>
  <c r="D2560" i="1"/>
  <c r="E2560" i="1"/>
  <c r="A2561" i="1"/>
  <c r="B2561" i="1"/>
  <c r="C2561" i="1"/>
  <c r="D2561" i="1"/>
  <c r="E2561" i="1"/>
  <c r="A2562" i="1"/>
  <c r="B2562" i="1"/>
  <c r="C2562" i="1"/>
  <c r="D2562" i="1"/>
  <c r="E2562" i="1"/>
  <c r="A2563" i="1"/>
  <c r="B2563" i="1"/>
  <c r="C2563" i="1"/>
  <c r="D2563" i="1"/>
  <c r="E2563" i="1"/>
  <c r="A2564" i="1"/>
  <c r="B2564" i="1"/>
  <c r="C2564" i="1"/>
  <c r="D2564" i="1"/>
  <c r="E2564" i="1"/>
  <c r="A2565" i="1"/>
  <c r="B2565" i="1"/>
  <c r="C2565" i="1"/>
  <c r="D2565" i="1"/>
  <c r="E2565" i="1"/>
  <c r="A2566" i="1"/>
  <c r="B2566" i="1"/>
  <c r="C2566" i="1"/>
  <c r="D2566" i="1"/>
  <c r="E2566" i="1"/>
  <c r="A2567" i="1"/>
  <c r="B2567" i="1"/>
  <c r="C2567" i="1"/>
  <c r="D2567" i="1"/>
  <c r="E2567" i="1"/>
  <c r="A2568" i="1"/>
  <c r="B2568" i="1"/>
  <c r="C2568" i="1"/>
  <c r="D2568" i="1"/>
  <c r="E2568" i="1"/>
  <c r="A2569" i="1"/>
  <c r="B2569" i="1"/>
  <c r="C2569" i="1"/>
  <c r="D2569" i="1"/>
  <c r="E2569" i="1"/>
  <c r="A2570" i="1"/>
  <c r="B2570" i="1"/>
  <c r="C2570" i="1"/>
  <c r="D2570" i="1"/>
  <c r="E2570" i="1"/>
  <c r="A2571" i="1"/>
  <c r="B2571" i="1"/>
  <c r="C2571" i="1"/>
  <c r="D2571" i="1"/>
  <c r="E2571" i="1"/>
  <c r="A2572" i="1"/>
  <c r="B2572" i="1"/>
  <c r="C2572" i="1"/>
  <c r="D2572" i="1"/>
  <c r="E2572" i="1"/>
  <c r="A2573" i="1"/>
  <c r="B2573" i="1"/>
  <c r="C2573" i="1"/>
  <c r="D2573" i="1"/>
  <c r="E2573" i="1"/>
  <c r="A2574" i="1"/>
  <c r="B2574" i="1"/>
  <c r="C2574" i="1"/>
  <c r="D2574" i="1"/>
  <c r="E2574" i="1"/>
  <c r="A2575" i="1"/>
  <c r="B2575" i="1"/>
  <c r="C2575" i="1"/>
  <c r="D2575" i="1"/>
  <c r="E2575" i="1"/>
  <c r="A2576" i="1"/>
  <c r="B2576" i="1"/>
  <c r="C2576" i="1"/>
  <c r="D2576" i="1"/>
  <c r="E2576" i="1"/>
  <c r="A2577" i="1"/>
  <c r="B2577" i="1"/>
  <c r="C2577" i="1"/>
  <c r="D2577" i="1"/>
  <c r="E2577" i="1"/>
  <c r="A2578" i="1"/>
  <c r="B2578" i="1"/>
  <c r="C2578" i="1"/>
  <c r="D2578" i="1"/>
  <c r="E2578" i="1"/>
  <c r="A2579" i="1"/>
  <c r="B2579" i="1"/>
  <c r="C2579" i="1"/>
  <c r="D2579" i="1"/>
  <c r="E2579" i="1"/>
  <c r="A2580" i="1"/>
  <c r="B2580" i="1"/>
  <c r="C2580" i="1"/>
  <c r="D2580" i="1"/>
  <c r="E2580" i="1"/>
  <c r="A2581" i="1"/>
  <c r="B2581" i="1"/>
  <c r="C2581" i="1"/>
  <c r="D2581" i="1"/>
  <c r="E2581" i="1"/>
  <c r="A2582" i="1"/>
  <c r="B2582" i="1"/>
  <c r="C2582" i="1"/>
  <c r="D2582" i="1"/>
  <c r="E2582" i="1"/>
  <c r="A2583" i="1"/>
  <c r="B2583" i="1"/>
  <c r="C2583" i="1"/>
  <c r="D2583" i="1"/>
  <c r="E2583" i="1"/>
  <c r="A2584" i="1"/>
  <c r="B2584" i="1"/>
  <c r="C2584" i="1"/>
  <c r="D2584" i="1"/>
  <c r="E2584" i="1"/>
  <c r="A2585" i="1"/>
  <c r="B2585" i="1"/>
  <c r="C2585" i="1"/>
  <c r="D2585" i="1"/>
  <c r="E2585" i="1"/>
  <c r="A2586" i="1"/>
  <c r="B2586" i="1"/>
  <c r="C2586" i="1"/>
  <c r="D2586" i="1"/>
  <c r="E2586" i="1"/>
  <c r="A2587" i="1"/>
  <c r="B2587" i="1"/>
  <c r="C2587" i="1"/>
  <c r="D2587" i="1"/>
  <c r="E2587" i="1"/>
  <c r="A2588" i="1"/>
  <c r="B2588" i="1"/>
  <c r="C2588" i="1"/>
  <c r="D2588" i="1"/>
  <c r="E2588" i="1"/>
  <c r="A2589" i="1"/>
  <c r="B2589" i="1"/>
  <c r="C2589" i="1"/>
  <c r="D2589" i="1"/>
  <c r="E2589" i="1"/>
  <c r="A2590" i="1"/>
  <c r="B2590" i="1"/>
  <c r="C2590" i="1"/>
  <c r="D2590" i="1"/>
  <c r="E2590" i="1"/>
  <c r="A2591" i="1"/>
  <c r="B2591" i="1"/>
  <c r="C2591" i="1"/>
  <c r="D2591" i="1"/>
  <c r="E2591" i="1"/>
  <c r="A2592" i="1"/>
  <c r="B2592" i="1"/>
  <c r="C2592" i="1"/>
  <c r="D2592" i="1"/>
  <c r="E2592" i="1"/>
  <c r="A2593" i="1"/>
  <c r="B2593" i="1"/>
  <c r="C2593" i="1"/>
  <c r="D2593" i="1"/>
  <c r="E2593" i="1"/>
  <c r="A2594" i="1"/>
  <c r="B2594" i="1"/>
  <c r="C2594" i="1"/>
  <c r="D2594" i="1"/>
  <c r="E2594" i="1"/>
  <c r="A2595" i="1"/>
  <c r="B2595" i="1"/>
  <c r="C2595" i="1"/>
  <c r="D2595" i="1"/>
  <c r="E2595" i="1"/>
  <c r="A2596" i="1"/>
  <c r="B2596" i="1"/>
  <c r="C2596" i="1"/>
  <c r="D2596" i="1"/>
  <c r="E2596" i="1"/>
  <c r="A2597" i="1"/>
  <c r="B2597" i="1"/>
  <c r="C2597" i="1"/>
  <c r="D2597" i="1"/>
  <c r="E2597" i="1"/>
  <c r="A2598" i="1"/>
  <c r="B2598" i="1"/>
  <c r="C2598" i="1"/>
  <c r="D2598" i="1"/>
  <c r="E2598" i="1"/>
  <c r="A2599" i="1"/>
  <c r="B2599" i="1"/>
  <c r="C2599" i="1"/>
  <c r="D2599" i="1"/>
  <c r="E2599" i="1"/>
  <c r="A2600" i="1"/>
  <c r="B2600" i="1"/>
  <c r="C2600" i="1"/>
  <c r="D2600" i="1"/>
  <c r="E2600" i="1"/>
  <c r="A2601" i="1"/>
  <c r="B2601" i="1"/>
  <c r="C2601" i="1"/>
  <c r="D2601" i="1"/>
  <c r="E2601" i="1"/>
  <c r="A2602" i="1"/>
  <c r="B2602" i="1"/>
  <c r="C2602" i="1"/>
  <c r="D2602" i="1"/>
  <c r="E2602" i="1"/>
  <c r="A2603" i="1"/>
  <c r="B2603" i="1"/>
  <c r="C2603" i="1"/>
  <c r="D2603" i="1"/>
  <c r="E2603" i="1"/>
  <c r="A2604" i="1"/>
  <c r="B2604" i="1"/>
  <c r="C2604" i="1"/>
  <c r="D2604" i="1"/>
  <c r="E2604" i="1"/>
  <c r="A2605" i="1"/>
  <c r="B2605" i="1"/>
  <c r="C2605" i="1"/>
  <c r="D2605" i="1"/>
  <c r="E2605" i="1"/>
  <c r="A2606" i="1"/>
  <c r="B2606" i="1"/>
  <c r="C2606" i="1"/>
  <c r="D2606" i="1"/>
  <c r="E2606" i="1"/>
  <c r="A2607" i="1"/>
  <c r="B2607" i="1"/>
  <c r="C2607" i="1"/>
  <c r="D2607" i="1"/>
  <c r="E2607" i="1"/>
  <c r="A2608" i="1"/>
  <c r="B2608" i="1"/>
  <c r="C2608" i="1"/>
  <c r="D2608" i="1"/>
  <c r="E2608" i="1"/>
  <c r="A2609" i="1"/>
  <c r="B2609" i="1"/>
  <c r="C2609" i="1"/>
  <c r="D2609" i="1"/>
  <c r="E2609" i="1"/>
  <c r="A2610" i="1"/>
  <c r="B2610" i="1"/>
  <c r="C2610" i="1"/>
  <c r="D2610" i="1"/>
  <c r="E2610" i="1"/>
  <c r="A2611" i="1"/>
  <c r="B2611" i="1"/>
  <c r="C2611" i="1"/>
  <c r="D2611" i="1"/>
  <c r="E2611" i="1"/>
  <c r="A2612" i="1"/>
  <c r="B2612" i="1"/>
  <c r="C2612" i="1"/>
  <c r="D2612" i="1"/>
  <c r="E2612" i="1"/>
  <c r="A2613" i="1"/>
  <c r="B2613" i="1"/>
  <c r="C2613" i="1"/>
  <c r="D2613" i="1"/>
  <c r="E2613" i="1"/>
  <c r="A2614" i="1"/>
  <c r="B2614" i="1"/>
  <c r="C2614" i="1"/>
  <c r="D2614" i="1"/>
  <c r="E2614" i="1"/>
  <c r="A2615" i="1"/>
  <c r="B2615" i="1"/>
  <c r="C2615" i="1"/>
  <c r="D2615" i="1"/>
  <c r="E2615" i="1"/>
  <c r="A2616" i="1"/>
  <c r="B2616" i="1"/>
  <c r="C2616" i="1"/>
  <c r="D2616" i="1"/>
  <c r="E2616" i="1"/>
  <c r="A2617" i="1"/>
  <c r="B2617" i="1"/>
  <c r="C2617" i="1"/>
  <c r="D2617" i="1"/>
  <c r="E2617" i="1"/>
  <c r="A2618" i="1"/>
  <c r="B2618" i="1"/>
  <c r="C2618" i="1"/>
  <c r="D2618" i="1"/>
  <c r="E2618" i="1"/>
  <c r="A2619" i="1"/>
  <c r="B2619" i="1"/>
  <c r="C2619" i="1"/>
  <c r="D2619" i="1"/>
  <c r="E2619" i="1"/>
  <c r="A2620" i="1"/>
  <c r="B2620" i="1"/>
  <c r="C2620" i="1"/>
  <c r="D2620" i="1"/>
  <c r="E2620" i="1"/>
  <c r="A2621" i="1"/>
  <c r="B2621" i="1"/>
  <c r="C2621" i="1"/>
  <c r="D2621" i="1"/>
  <c r="E2621" i="1"/>
  <c r="A2622" i="1"/>
  <c r="B2622" i="1"/>
  <c r="C2622" i="1"/>
  <c r="D2622" i="1"/>
  <c r="E2622" i="1"/>
  <c r="A2623" i="1"/>
  <c r="B2623" i="1"/>
  <c r="C2623" i="1"/>
  <c r="D2623" i="1"/>
  <c r="E2623" i="1"/>
  <c r="A2624" i="1"/>
  <c r="B2624" i="1"/>
  <c r="C2624" i="1"/>
  <c r="D2624" i="1"/>
  <c r="E2624" i="1"/>
  <c r="A2625" i="1"/>
  <c r="B2625" i="1"/>
  <c r="C2625" i="1"/>
  <c r="D2625" i="1"/>
  <c r="E2625" i="1"/>
  <c r="A2626" i="1"/>
  <c r="B2626" i="1"/>
  <c r="C2626" i="1"/>
  <c r="D2626" i="1"/>
  <c r="E2626" i="1"/>
  <c r="A2627" i="1"/>
  <c r="B2627" i="1"/>
  <c r="C2627" i="1"/>
  <c r="D2627" i="1"/>
  <c r="E2627" i="1"/>
  <c r="A2628" i="1"/>
  <c r="B2628" i="1"/>
  <c r="C2628" i="1"/>
  <c r="D2628" i="1"/>
  <c r="E2628" i="1"/>
  <c r="A2629" i="1"/>
  <c r="B2629" i="1"/>
  <c r="C2629" i="1"/>
  <c r="D2629" i="1"/>
  <c r="E2629" i="1"/>
  <c r="A2630" i="1"/>
  <c r="B2630" i="1"/>
  <c r="C2630" i="1"/>
  <c r="D2630" i="1"/>
  <c r="E2630" i="1"/>
  <c r="A2631" i="1"/>
  <c r="B2631" i="1"/>
  <c r="C2631" i="1"/>
  <c r="D2631" i="1"/>
  <c r="E2631" i="1"/>
  <c r="A2632" i="1"/>
  <c r="B2632" i="1"/>
  <c r="C2632" i="1"/>
  <c r="D2632" i="1"/>
  <c r="E2632" i="1"/>
  <c r="A2633" i="1"/>
  <c r="B2633" i="1"/>
  <c r="C2633" i="1"/>
  <c r="D2633" i="1"/>
  <c r="E2633" i="1"/>
  <c r="A2634" i="1"/>
  <c r="B2634" i="1"/>
  <c r="C2634" i="1"/>
  <c r="D2634" i="1"/>
  <c r="E2634" i="1"/>
  <c r="A2635" i="1"/>
  <c r="B2635" i="1"/>
  <c r="C2635" i="1"/>
  <c r="D2635" i="1"/>
  <c r="E2635" i="1"/>
  <c r="A2636" i="1"/>
  <c r="B2636" i="1"/>
  <c r="C2636" i="1"/>
  <c r="D2636" i="1"/>
  <c r="E2636" i="1"/>
  <c r="A2637" i="1"/>
  <c r="B2637" i="1"/>
  <c r="C2637" i="1"/>
  <c r="D2637" i="1"/>
  <c r="E2637" i="1"/>
  <c r="A2638" i="1"/>
  <c r="B2638" i="1"/>
  <c r="C2638" i="1"/>
  <c r="D2638" i="1"/>
  <c r="E2638" i="1"/>
  <c r="A2639" i="1"/>
  <c r="B2639" i="1"/>
  <c r="C2639" i="1"/>
  <c r="D2639" i="1"/>
  <c r="E2639" i="1"/>
  <c r="A2640" i="1"/>
  <c r="B2640" i="1"/>
  <c r="C2640" i="1"/>
  <c r="D2640" i="1"/>
  <c r="E2640" i="1"/>
  <c r="A2641" i="1"/>
  <c r="B2641" i="1"/>
  <c r="C2641" i="1"/>
  <c r="D2641" i="1"/>
  <c r="E2641" i="1"/>
  <c r="A2642" i="1"/>
  <c r="B2642" i="1"/>
  <c r="C2642" i="1"/>
  <c r="D2642" i="1"/>
  <c r="E2642" i="1"/>
  <c r="A2643" i="1"/>
  <c r="B2643" i="1"/>
  <c r="C2643" i="1"/>
  <c r="D2643" i="1"/>
  <c r="E2643" i="1"/>
  <c r="A2644" i="1"/>
  <c r="B2644" i="1"/>
  <c r="C2644" i="1"/>
  <c r="D2644" i="1"/>
  <c r="E2644" i="1"/>
  <c r="A2645" i="1"/>
  <c r="B2645" i="1"/>
  <c r="C2645" i="1"/>
  <c r="D2645" i="1"/>
  <c r="E2645" i="1"/>
  <c r="A2646" i="1"/>
  <c r="B2646" i="1"/>
  <c r="C2646" i="1"/>
  <c r="D2646" i="1"/>
  <c r="E2646" i="1"/>
  <c r="A2647" i="1"/>
  <c r="B2647" i="1"/>
  <c r="C2647" i="1"/>
  <c r="D2647" i="1"/>
  <c r="E2647" i="1"/>
  <c r="A2648" i="1"/>
  <c r="B2648" i="1"/>
  <c r="C2648" i="1"/>
  <c r="D2648" i="1"/>
  <c r="E2648" i="1"/>
  <c r="A2649" i="1"/>
  <c r="B2649" i="1"/>
  <c r="C2649" i="1"/>
  <c r="D2649" i="1"/>
  <c r="E2649" i="1"/>
  <c r="A2650" i="1"/>
  <c r="B2650" i="1"/>
  <c r="C2650" i="1"/>
  <c r="D2650" i="1"/>
  <c r="E2650" i="1"/>
  <c r="A2651" i="1"/>
  <c r="B2651" i="1"/>
  <c r="C2651" i="1"/>
  <c r="D2651" i="1"/>
  <c r="E2651" i="1"/>
  <c r="A2652" i="1"/>
  <c r="B2652" i="1"/>
  <c r="C2652" i="1"/>
  <c r="D2652" i="1"/>
  <c r="E2652" i="1"/>
  <c r="A2653" i="1"/>
  <c r="B2653" i="1"/>
  <c r="C2653" i="1"/>
  <c r="D2653" i="1"/>
  <c r="E2653" i="1"/>
  <c r="A2654" i="1"/>
  <c r="B2654" i="1"/>
  <c r="C2654" i="1"/>
  <c r="D2654" i="1"/>
  <c r="E2654" i="1"/>
  <c r="A2655" i="1"/>
  <c r="B2655" i="1"/>
  <c r="C2655" i="1"/>
  <c r="D2655" i="1"/>
  <c r="E2655" i="1"/>
  <c r="A2656" i="1"/>
  <c r="B2656" i="1"/>
  <c r="C2656" i="1"/>
  <c r="D2656" i="1"/>
  <c r="E2656" i="1"/>
  <c r="A2657" i="1"/>
  <c r="B2657" i="1"/>
  <c r="C2657" i="1"/>
  <c r="D2657" i="1"/>
  <c r="E2657" i="1"/>
  <c r="A2658" i="1"/>
  <c r="B2658" i="1"/>
  <c r="C2658" i="1"/>
  <c r="D2658" i="1"/>
  <c r="E2658" i="1"/>
  <c r="A2659" i="1"/>
  <c r="B2659" i="1"/>
  <c r="C2659" i="1"/>
  <c r="D2659" i="1"/>
  <c r="E2659" i="1"/>
  <c r="A2660" i="1"/>
  <c r="B2660" i="1"/>
  <c r="C2660" i="1"/>
  <c r="D2660" i="1"/>
  <c r="E2660" i="1"/>
  <c r="A2661" i="1"/>
  <c r="B2661" i="1"/>
  <c r="C2661" i="1"/>
  <c r="D2661" i="1"/>
  <c r="E2661" i="1"/>
  <c r="A2662" i="1"/>
  <c r="B2662" i="1"/>
  <c r="C2662" i="1"/>
  <c r="D2662" i="1"/>
  <c r="E2662" i="1"/>
  <c r="A2663" i="1"/>
  <c r="B2663" i="1"/>
  <c r="C2663" i="1"/>
  <c r="D2663" i="1"/>
  <c r="E2663" i="1"/>
  <c r="A2664" i="1"/>
  <c r="B2664" i="1"/>
  <c r="C2664" i="1"/>
  <c r="D2664" i="1"/>
  <c r="E2664" i="1"/>
  <c r="A2665" i="1"/>
  <c r="B2665" i="1"/>
  <c r="C2665" i="1"/>
  <c r="D2665" i="1"/>
  <c r="E2665" i="1"/>
  <c r="A2666" i="1"/>
  <c r="B2666" i="1"/>
  <c r="C2666" i="1"/>
  <c r="D2666" i="1"/>
  <c r="E2666" i="1"/>
  <c r="A2667" i="1"/>
  <c r="B2667" i="1"/>
  <c r="C2667" i="1"/>
  <c r="D2667" i="1"/>
  <c r="E2667" i="1"/>
  <c r="A2668" i="1"/>
  <c r="B2668" i="1"/>
  <c r="C2668" i="1"/>
  <c r="D2668" i="1"/>
  <c r="E2668" i="1"/>
  <c r="A2669" i="1"/>
  <c r="B2669" i="1"/>
  <c r="C2669" i="1"/>
  <c r="D2669" i="1"/>
  <c r="E2669" i="1"/>
  <c r="A2670" i="1"/>
  <c r="B2670" i="1"/>
  <c r="C2670" i="1"/>
  <c r="D2670" i="1"/>
  <c r="E2670" i="1"/>
  <c r="A2671" i="1"/>
  <c r="B2671" i="1"/>
  <c r="C2671" i="1"/>
  <c r="D2671" i="1"/>
  <c r="E2671" i="1"/>
  <c r="A2672" i="1"/>
  <c r="B2672" i="1"/>
  <c r="C2672" i="1"/>
  <c r="D2672" i="1"/>
  <c r="E2672" i="1"/>
  <c r="A2673" i="1"/>
  <c r="B2673" i="1"/>
  <c r="C2673" i="1"/>
  <c r="D2673" i="1"/>
  <c r="E2673" i="1"/>
  <c r="A2674" i="1"/>
  <c r="B2674" i="1"/>
  <c r="C2674" i="1"/>
  <c r="D2674" i="1"/>
  <c r="E2674" i="1"/>
  <c r="A2675" i="1"/>
  <c r="B2675" i="1"/>
  <c r="C2675" i="1"/>
  <c r="D2675" i="1"/>
  <c r="E2675" i="1"/>
  <c r="A2676" i="1"/>
  <c r="B2676" i="1"/>
  <c r="C2676" i="1"/>
  <c r="D2676" i="1"/>
  <c r="E2676" i="1"/>
  <c r="A2677" i="1"/>
  <c r="B2677" i="1"/>
  <c r="C2677" i="1"/>
  <c r="D2677" i="1"/>
  <c r="E2677" i="1"/>
  <c r="A2678" i="1"/>
  <c r="B2678" i="1"/>
  <c r="C2678" i="1"/>
  <c r="D2678" i="1"/>
  <c r="E2678" i="1"/>
  <c r="A2679" i="1"/>
  <c r="B2679" i="1"/>
  <c r="C2679" i="1"/>
  <c r="D2679" i="1"/>
  <c r="E2679" i="1"/>
  <c r="A2680" i="1"/>
  <c r="B2680" i="1"/>
  <c r="C2680" i="1"/>
  <c r="D2680" i="1"/>
  <c r="E2680" i="1"/>
  <c r="A2681" i="1"/>
  <c r="B2681" i="1"/>
  <c r="C2681" i="1"/>
  <c r="D2681" i="1"/>
  <c r="E2681" i="1"/>
  <c r="A2682" i="1"/>
  <c r="B2682" i="1"/>
  <c r="C2682" i="1"/>
  <c r="D2682" i="1"/>
  <c r="E2682" i="1"/>
  <c r="A2683" i="1"/>
  <c r="B2683" i="1"/>
  <c r="C2683" i="1"/>
  <c r="D2683" i="1"/>
  <c r="E2683" i="1"/>
  <c r="A2684" i="1"/>
  <c r="B2684" i="1"/>
  <c r="C2684" i="1"/>
  <c r="D2684" i="1"/>
  <c r="E2684" i="1"/>
  <c r="A2685" i="1"/>
  <c r="B2685" i="1"/>
  <c r="C2685" i="1"/>
  <c r="D2685" i="1"/>
  <c r="E2685" i="1"/>
  <c r="A2686" i="1"/>
  <c r="B2686" i="1"/>
  <c r="C2686" i="1"/>
  <c r="D2686" i="1"/>
  <c r="E2686" i="1"/>
  <c r="A2687" i="1"/>
  <c r="B2687" i="1"/>
  <c r="C2687" i="1"/>
  <c r="D2687" i="1"/>
  <c r="E2687" i="1"/>
  <c r="A2688" i="1"/>
  <c r="B2688" i="1"/>
  <c r="C2688" i="1"/>
  <c r="D2688" i="1"/>
  <c r="E2688" i="1"/>
  <c r="A2689" i="1"/>
  <c r="B2689" i="1"/>
  <c r="C2689" i="1"/>
  <c r="D2689" i="1"/>
  <c r="E2689" i="1"/>
  <c r="A2690" i="1"/>
  <c r="B2690" i="1"/>
  <c r="C2690" i="1"/>
  <c r="D2690" i="1"/>
  <c r="E2690" i="1"/>
  <c r="A2691" i="1"/>
  <c r="B2691" i="1"/>
  <c r="C2691" i="1"/>
  <c r="D2691" i="1"/>
  <c r="E2691" i="1"/>
  <c r="A2692" i="1"/>
  <c r="B2692" i="1"/>
  <c r="C2692" i="1"/>
  <c r="D2692" i="1"/>
  <c r="E2692" i="1"/>
  <c r="A2693" i="1"/>
  <c r="B2693" i="1"/>
  <c r="C2693" i="1"/>
  <c r="D2693" i="1"/>
  <c r="E2693" i="1"/>
  <c r="A2694" i="1"/>
  <c r="B2694" i="1"/>
  <c r="C2694" i="1"/>
  <c r="D2694" i="1"/>
  <c r="E2694" i="1"/>
  <c r="A2695" i="1"/>
  <c r="B2695" i="1"/>
  <c r="C2695" i="1"/>
  <c r="D2695" i="1"/>
  <c r="E2695" i="1"/>
  <c r="A2696" i="1"/>
  <c r="B2696" i="1"/>
  <c r="C2696" i="1"/>
  <c r="D2696" i="1"/>
  <c r="E2696" i="1"/>
  <c r="A2697" i="1"/>
  <c r="B2697" i="1"/>
  <c r="C2697" i="1"/>
  <c r="D2697" i="1"/>
  <c r="E2697" i="1"/>
  <c r="A2698" i="1"/>
  <c r="B2698" i="1"/>
  <c r="C2698" i="1"/>
  <c r="D2698" i="1"/>
  <c r="E2698" i="1"/>
  <c r="A2699" i="1"/>
  <c r="B2699" i="1"/>
  <c r="C2699" i="1"/>
  <c r="D2699" i="1"/>
  <c r="E2699" i="1"/>
  <c r="A2700" i="1"/>
  <c r="B2700" i="1"/>
  <c r="C2700" i="1"/>
  <c r="D2700" i="1"/>
  <c r="E2700" i="1"/>
  <c r="A2701" i="1"/>
  <c r="B2701" i="1"/>
  <c r="C2701" i="1"/>
  <c r="D2701" i="1"/>
  <c r="E2701" i="1"/>
  <c r="A2702" i="1"/>
  <c r="B2702" i="1"/>
  <c r="C2702" i="1"/>
  <c r="D2702" i="1"/>
  <c r="E2702" i="1"/>
  <c r="A2703" i="1"/>
  <c r="B2703" i="1"/>
  <c r="C2703" i="1"/>
  <c r="D2703" i="1"/>
  <c r="E2703" i="1"/>
  <c r="A2704" i="1"/>
  <c r="B2704" i="1"/>
  <c r="C2704" i="1"/>
  <c r="D2704" i="1"/>
  <c r="E2704" i="1"/>
  <c r="A2705" i="1"/>
  <c r="B2705" i="1"/>
  <c r="C2705" i="1"/>
  <c r="D2705" i="1"/>
  <c r="E2705" i="1"/>
  <c r="A2706" i="1"/>
  <c r="B2706" i="1"/>
  <c r="C2706" i="1"/>
  <c r="D2706" i="1"/>
  <c r="E2706" i="1"/>
  <c r="A2707" i="1"/>
  <c r="B2707" i="1"/>
  <c r="C2707" i="1"/>
  <c r="D2707" i="1"/>
  <c r="E2707" i="1"/>
  <c r="A2708" i="1"/>
  <c r="B2708" i="1"/>
  <c r="C2708" i="1"/>
  <c r="D2708" i="1"/>
  <c r="E2708" i="1"/>
  <c r="A2709" i="1"/>
  <c r="B2709" i="1"/>
  <c r="C2709" i="1"/>
  <c r="D2709" i="1"/>
  <c r="E2709" i="1"/>
  <c r="A2710" i="1"/>
  <c r="B2710" i="1"/>
  <c r="C2710" i="1"/>
  <c r="D2710" i="1"/>
  <c r="E2710" i="1"/>
  <c r="A2711" i="1"/>
  <c r="B2711" i="1"/>
  <c r="C2711" i="1"/>
  <c r="D2711" i="1"/>
  <c r="E2711" i="1"/>
  <c r="A2712" i="1"/>
  <c r="B2712" i="1"/>
  <c r="C2712" i="1"/>
  <c r="D2712" i="1"/>
  <c r="E2712" i="1"/>
  <c r="A2713" i="1"/>
  <c r="B2713" i="1"/>
  <c r="C2713" i="1"/>
  <c r="D2713" i="1"/>
  <c r="E2713" i="1"/>
  <c r="A2714" i="1"/>
  <c r="B2714" i="1"/>
  <c r="C2714" i="1"/>
  <c r="D2714" i="1"/>
  <c r="E2714" i="1"/>
  <c r="A2715" i="1"/>
  <c r="B2715" i="1"/>
  <c r="C2715" i="1"/>
  <c r="D2715" i="1"/>
  <c r="E2715" i="1"/>
  <c r="A2716" i="1"/>
  <c r="B2716" i="1"/>
  <c r="C2716" i="1"/>
  <c r="D2716" i="1"/>
  <c r="E2716" i="1"/>
  <c r="A2717" i="1"/>
  <c r="B2717" i="1"/>
  <c r="C2717" i="1"/>
  <c r="D2717" i="1"/>
  <c r="E2717" i="1"/>
  <c r="A2718" i="1"/>
  <c r="B2718" i="1"/>
  <c r="C2718" i="1"/>
  <c r="D2718" i="1"/>
  <c r="E2718" i="1"/>
  <c r="A2719" i="1"/>
  <c r="B2719" i="1"/>
  <c r="C2719" i="1"/>
  <c r="D2719" i="1"/>
  <c r="E2719" i="1"/>
  <c r="A2720" i="1"/>
  <c r="B2720" i="1"/>
  <c r="C2720" i="1"/>
  <c r="D2720" i="1"/>
  <c r="E2720" i="1"/>
  <c r="A2721" i="1"/>
  <c r="B2721" i="1"/>
  <c r="C2721" i="1"/>
  <c r="D2721" i="1"/>
  <c r="E2721" i="1"/>
  <c r="A2722" i="1"/>
  <c r="B2722" i="1"/>
  <c r="C2722" i="1"/>
  <c r="D2722" i="1"/>
  <c r="E2722" i="1"/>
  <c r="A2723" i="1"/>
  <c r="B2723" i="1"/>
  <c r="C2723" i="1"/>
  <c r="D2723" i="1"/>
  <c r="E2723" i="1"/>
  <c r="A2724" i="1"/>
  <c r="B2724" i="1"/>
  <c r="C2724" i="1"/>
  <c r="D2724" i="1"/>
  <c r="E2724" i="1"/>
  <c r="A2725" i="1"/>
  <c r="B2725" i="1"/>
  <c r="C2725" i="1"/>
  <c r="D2725" i="1"/>
  <c r="E2725" i="1"/>
  <c r="A2726" i="1"/>
  <c r="B2726" i="1"/>
  <c r="C2726" i="1"/>
  <c r="D2726" i="1"/>
  <c r="E2726" i="1"/>
  <c r="A2727" i="1"/>
  <c r="B2727" i="1"/>
  <c r="C2727" i="1"/>
  <c r="D2727" i="1"/>
  <c r="E2727" i="1"/>
  <c r="A2728" i="1"/>
  <c r="B2728" i="1"/>
  <c r="C2728" i="1"/>
  <c r="D2728" i="1"/>
  <c r="E2728" i="1"/>
  <c r="A2729" i="1"/>
  <c r="B2729" i="1"/>
  <c r="C2729" i="1"/>
  <c r="D2729" i="1"/>
  <c r="E2729" i="1"/>
  <c r="A2730" i="1"/>
  <c r="B2730" i="1"/>
  <c r="C2730" i="1"/>
  <c r="D2730" i="1"/>
  <c r="E2730" i="1"/>
  <c r="A2731" i="1"/>
  <c r="B2731" i="1"/>
  <c r="C2731" i="1"/>
  <c r="D2731" i="1"/>
  <c r="E2731" i="1"/>
  <c r="A2732" i="1"/>
  <c r="B2732" i="1"/>
  <c r="C2732" i="1"/>
  <c r="D2732" i="1"/>
  <c r="E2732" i="1"/>
  <c r="A2733" i="1"/>
  <c r="B2733" i="1"/>
  <c r="C2733" i="1"/>
  <c r="D2733" i="1"/>
  <c r="E2733" i="1"/>
  <c r="A2734" i="1"/>
  <c r="B2734" i="1"/>
  <c r="C2734" i="1"/>
  <c r="D2734" i="1"/>
  <c r="E2734" i="1"/>
  <c r="A2735" i="1"/>
  <c r="B2735" i="1"/>
  <c r="C2735" i="1"/>
  <c r="D2735" i="1"/>
  <c r="E2735" i="1"/>
  <c r="A2736" i="1"/>
  <c r="B2736" i="1"/>
  <c r="C2736" i="1"/>
  <c r="D2736" i="1"/>
  <c r="E2736" i="1"/>
  <c r="A2737" i="1"/>
  <c r="B2737" i="1"/>
  <c r="C2737" i="1"/>
  <c r="D2737" i="1"/>
  <c r="E2737" i="1"/>
  <c r="A2738" i="1"/>
  <c r="B2738" i="1"/>
  <c r="C2738" i="1"/>
  <c r="D2738" i="1"/>
  <c r="E2738" i="1"/>
  <c r="A2739" i="1"/>
  <c r="B2739" i="1"/>
  <c r="C2739" i="1"/>
  <c r="D2739" i="1"/>
  <c r="E2739" i="1"/>
  <c r="A2740" i="1"/>
  <c r="B2740" i="1"/>
  <c r="C2740" i="1"/>
  <c r="D2740" i="1"/>
  <c r="E2740" i="1"/>
  <c r="A2741" i="1"/>
  <c r="B2741" i="1"/>
  <c r="C2741" i="1"/>
  <c r="D2741" i="1"/>
  <c r="E2741" i="1"/>
  <c r="A2742" i="1"/>
  <c r="B2742" i="1"/>
  <c r="C2742" i="1"/>
  <c r="D2742" i="1"/>
  <c r="E2742" i="1"/>
  <c r="A2743" i="1"/>
  <c r="B2743" i="1"/>
  <c r="C2743" i="1"/>
  <c r="D2743" i="1"/>
  <c r="E2743" i="1"/>
  <c r="A2744" i="1"/>
  <c r="B2744" i="1"/>
  <c r="C2744" i="1"/>
  <c r="D2744" i="1"/>
  <c r="E2744" i="1"/>
  <c r="A2745" i="1"/>
  <c r="B2745" i="1"/>
  <c r="C2745" i="1"/>
  <c r="D2745" i="1"/>
  <c r="E2745" i="1"/>
  <c r="A2746" i="1"/>
  <c r="B2746" i="1"/>
  <c r="C2746" i="1"/>
  <c r="D2746" i="1"/>
  <c r="E2746" i="1"/>
  <c r="A2747" i="1"/>
  <c r="B2747" i="1"/>
  <c r="C2747" i="1"/>
  <c r="D2747" i="1"/>
  <c r="E2747" i="1"/>
  <c r="A2748" i="1"/>
  <c r="B2748" i="1"/>
  <c r="C2748" i="1"/>
  <c r="D2748" i="1"/>
  <c r="E2748" i="1"/>
  <c r="A2749" i="1"/>
  <c r="B2749" i="1"/>
  <c r="C2749" i="1"/>
  <c r="D2749" i="1"/>
  <c r="E2749" i="1"/>
  <c r="A2750" i="1"/>
  <c r="B2750" i="1"/>
  <c r="C2750" i="1"/>
  <c r="D2750" i="1"/>
  <c r="E2750" i="1"/>
  <c r="A2751" i="1"/>
  <c r="B2751" i="1"/>
  <c r="C2751" i="1"/>
  <c r="D2751" i="1"/>
  <c r="E2751" i="1"/>
  <c r="A2752" i="1"/>
  <c r="B2752" i="1"/>
  <c r="C2752" i="1"/>
  <c r="D2752" i="1"/>
  <c r="E2752" i="1"/>
  <c r="A2753" i="1"/>
  <c r="B2753" i="1"/>
  <c r="C2753" i="1"/>
  <c r="D2753" i="1"/>
  <c r="E2753" i="1"/>
  <c r="A2754" i="1"/>
  <c r="B2754" i="1"/>
  <c r="C2754" i="1"/>
  <c r="D2754" i="1"/>
  <c r="E2754" i="1"/>
  <c r="A2755" i="1"/>
  <c r="B2755" i="1"/>
  <c r="C2755" i="1"/>
  <c r="D2755" i="1"/>
  <c r="E2755" i="1"/>
  <c r="A2756" i="1"/>
  <c r="B2756" i="1"/>
  <c r="C2756" i="1"/>
  <c r="D2756" i="1"/>
  <c r="E2756" i="1"/>
  <c r="A2757" i="1"/>
  <c r="B2757" i="1"/>
  <c r="C2757" i="1"/>
  <c r="D2757" i="1"/>
  <c r="E2757" i="1"/>
  <c r="A2758" i="1"/>
  <c r="B2758" i="1"/>
  <c r="C2758" i="1"/>
  <c r="D2758" i="1"/>
  <c r="E2758" i="1"/>
  <c r="A2759" i="1"/>
  <c r="B2759" i="1"/>
  <c r="C2759" i="1"/>
  <c r="D2759" i="1"/>
  <c r="E2759" i="1"/>
  <c r="A2760" i="1"/>
  <c r="B2760" i="1"/>
  <c r="C2760" i="1"/>
  <c r="D2760" i="1"/>
  <c r="E2760" i="1"/>
  <c r="A2761" i="1"/>
  <c r="B2761" i="1"/>
  <c r="C2761" i="1"/>
  <c r="D2761" i="1"/>
  <c r="E2761" i="1"/>
  <c r="A2762" i="1"/>
  <c r="B2762" i="1"/>
  <c r="C2762" i="1"/>
  <c r="D2762" i="1"/>
  <c r="E2762" i="1"/>
  <c r="A2763" i="1"/>
  <c r="B2763" i="1"/>
  <c r="C2763" i="1"/>
  <c r="D2763" i="1"/>
  <c r="E2763" i="1"/>
  <c r="A2764" i="1"/>
  <c r="B2764" i="1"/>
  <c r="C2764" i="1"/>
  <c r="D2764" i="1"/>
  <c r="E2764" i="1"/>
  <c r="A2765" i="1"/>
  <c r="B2765" i="1"/>
  <c r="C2765" i="1"/>
  <c r="D2765" i="1"/>
  <c r="E2765" i="1"/>
  <c r="A2766" i="1"/>
  <c r="B2766" i="1"/>
  <c r="C2766" i="1"/>
  <c r="D2766" i="1"/>
  <c r="E2766" i="1"/>
  <c r="A2767" i="1"/>
  <c r="B2767" i="1"/>
  <c r="C2767" i="1"/>
  <c r="D2767" i="1"/>
  <c r="E2767" i="1"/>
  <c r="A2768" i="1"/>
  <c r="B2768" i="1"/>
  <c r="C2768" i="1"/>
  <c r="D2768" i="1"/>
  <c r="E2768" i="1"/>
  <c r="A2769" i="1"/>
  <c r="B2769" i="1"/>
  <c r="C2769" i="1"/>
  <c r="D2769" i="1"/>
  <c r="E2769" i="1"/>
  <c r="A2770" i="1"/>
  <c r="B2770" i="1"/>
  <c r="C2770" i="1"/>
  <c r="D2770" i="1"/>
  <c r="E2770" i="1"/>
  <c r="A2771" i="1"/>
  <c r="B2771" i="1"/>
  <c r="C2771" i="1"/>
  <c r="D2771" i="1"/>
  <c r="E2771" i="1"/>
  <c r="A2772" i="1"/>
  <c r="B2772" i="1"/>
  <c r="C2772" i="1"/>
  <c r="D2772" i="1"/>
  <c r="E2772" i="1"/>
  <c r="A2773" i="1"/>
  <c r="B2773" i="1"/>
  <c r="C2773" i="1"/>
  <c r="D2773" i="1"/>
  <c r="E2773" i="1"/>
  <c r="A2774" i="1"/>
  <c r="B2774" i="1"/>
  <c r="C2774" i="1"/>
  <c r="D2774" i="1"/>
  <c r="E2774" i="1"/>
  <c r="A2775" i="1"/>
  <c r="B2775" i="1"/>
  <c r="C2775" i="1"/>
  <c r="D2775" i="1"/>
  <c r="E2775" i="1"/>
  <c r="A2776" i="1"/>
  <c r="B2776" i="1"/>
  <c r="C2776" i="1"/>
  <c r="D2776" i="1"/>
  <c r="E2776" i="1"/>
  <c r="A2777" i="1"/>
  <c r="B2777" i="1"/>
  <c r="C2777" i="1"/>
  <c r="D2777" i="1"/>
  <c r="E2777" i="1"/>
  <c r="A2778" i="1"/>
  <c r="B2778" i="1"/>
  <c r="C2778" i="1"/>
  <c r="D2778" i="1"/>
  <c r="E2778" i="1"/>
  <c r="A2779" i="1"/>
  <c r="B2779" i="1"/>
  <c r="C2779" i="1"/>
  <c r="D2779" i="1"/>
  <c r="E2779" i="1"/>
  <c r="A2780" i="1"/>
  <c r="B2780" i="1"/>
  <c r="C2780" i="1"/>
  <c r="D2780" i="1"/>
  <c r="E2780" i="1"/>
  <c r="A2781" i="1"/>
  <c r="B2781" i="1"/>
  <c r="C2781" i="1"/>
  <c r="D2781" i="1"/>
  <c r="E2781" i="1"/>
  <c r="A2782" i="1"/>
  <c r="B2782" i="1"/>
  <c r="C2782" i="1"/>
  <c r="D2782" i="1"/>
  <c r="E2782" i="1"/>
  <c r="A2783" i="1"/>
  <c r="B2783" i="1"/>
  <c r="C2783" i="1"/>
  <c r="D2783" i="1"/>
  <c r="E2783" i="1"/>
  <c r="A2784" i="1"/>
  <c r="B2784" i="1"/>
  <c r="C2784" i="1"/>
  <c r="D2784" i="1"/>
  <c r="E2784" i="1"/>
  <c r="A2785" i="1"/>
  <c r="B2785" i="1"/>
  <c r="C2785" i="1"/>
  <c r="D2785" i="1"/>
  <c r="E2785" i="1"/>
  <c r="A2786" i="1"/>
  <c r="B2786" i="1"/>
  <c r="C2786" i="1"/>
  <c r="D2786" i="1"/>
  <c r="E2786" i="1"/>
  <c r="A2787" i="1"/>
  <c r="B2787" i="1"/>
  <c r="C2787" i="1"/>
  <c r="D2787" i="1"/>
  <c r="E2787" i="1"/>
  <c r="A2788" i="1"/>
  <c r="B2788" i="1"/>
  <c r="C2788" i="1"/>
  <c r="D2788" i="1"/>
  <c r="E2788" i="1"/>
  <c r="A2789" i="1"/>
  <c r="B2789" i="1"/>
  <c r="C2789" i="1"/>
  <c r="D2789" i="1"/>
  <c r="E2789" i="1"/>
  <c r="A2790" i="1"/>
  <c r="B2790" i="1"/>
  <c r="C2790" i="1"/>
  <c r="D2790" i="1"/>
  <c r="E2790" i="1"/>
  <c r="A2791" i="1"/>
  <c r="B2791" i="1"/>
  <c r="C2791" i="1"/>
  <c r="D2791" i="1"/>
  <c r="E2791" i="1"/>
  <c r="A2792" i="1"/>
  <c r="B2792" i="1"/>
  <c r="C2792" i="1"/>
  <c r="D2792" i="1"/>
  <c r="E2792" i="1"/>
  <c r="A2793" i="1"/>
  <c r="B2793" i="1"/>
  <c r="C2793" i="1"/>
  <c r="D2793" i="1"/>
  <c r="E2793" i="1"/>
  <c r="A2794" i="1"/>
  <c r="B2794" i="1"/>
  <c r="C2794" i="1"/>
  <c r="D2794" i="1"/>
  <c r="E2794" i="1"/>
  <c r="A2795" i="1"/>
  <c r="B2795" i="1"/>
  <c r="C2795" i="1"/>
  <c r="D2795" i="1"/>
  <c r="E2795" i="1"/>
  <c r="A2796" i="1"/>
  <c r="B2796" i="1"/>
  <c r="C2796" i="1"/>
  <c r="D2796" i="1"/>
  <c r="E2796" i="1"/>
  <c r="A2797" i="1"/>
  <c r="B2797" i="1"/>
  <c r="C2797" i="1"/>
  <c r="D2797" i="1"/>
  <c r="E2797" i="1"/>
  <c r="A2798" i="1"/>
  <c r="B2798" i="1"/>
  <c r="C2798" i="1"/>
  <c r="D2798" i="1"/>
  <c r="E2798" i="1"/>
  <c r="A2799" i="1"/>
  <c r="B2799" i="1"/>
  <c r="C2799" i="1"/>
  <c r="D2799" i="1"/>
  <c r="E2799" i="1"/>
  <c r="A2800" i="1"/>
  <c r="B2800" i="1"/>
  <c r="C2800" i="1"/>
  <c r="D2800" i="1"/>
  <c r="E2800" i="1"/>
  <c r="A2801" i="1"/>
  <c r="B2801" i="1"/>
  <c r="C2801" i="1"/>
  <c r="D2801" i="1"/>
  <c r="E2801" i="1"/>
  <c r="A2802" i="1"/>
  <c r="B2802" i="1"/>
  <c r="C2802" i="1"/>
  <c r="D2802" i="1"/>
  <c r="E2802" i="1"/>
  <c r="A2803" i="1"/>
  <c r="B2803" i="1"/>
  <c r="C2803" i="1"/>
  <c r="D2803" i="1"/>
  <c r="E2803" i="1"/>
  <c r="A2804" i="1"/>
  <c r="B2804" i="1"/>
  <c r="C2804" i="1"/>
  <c r="D2804" i="1"/>
  <c r="E2804" i="1"/>
  <c r="A2805" i="1"/>
  <c r="B2805" i="1"/>
  <c r="C2805" i="1"/>
  <c r="D2805" i="1"/>
  <c r="E2805" i="1"/>
  <c r="A2806" i="1"/>
  <c r="B2806" i="1"/>
  <c r="C2806" i="1"/>
  <c r="D2806" i="1"/>
  <c r="E2806" i="1"/>
  <c r="A2807" i="1"/>
  <c r="B2807" i="1"/>
  <c r="C2807" i="1"/>
  <c r="D2807" i="1"/>
  <c r="E2807" i="1"/>
  <c r="A2808" i="1"/>
  <c r="B2808" i="1"/>
  <c r="C2808" i="1"/>
  <c r="D2808" i="1"/>
  <c r="E2808" i="1"/>
  <c r="A2809" i="1"/>
  <c r="B2809" i="1"/>
  <c r="C2809" i="1"/>
  <c r="D2809" i="1"/>
  <c r="E2809" i="1"/>
  <c r="A2810" i="1"/>
  <c r="B2810" i="1"/>
  <c r="C2810" i="1"/>
  <c r="D2810" i="1"/>
  <c r="E2810" i="1"/>
  <c r="A2811" i="1"/>
  <c r="B2811" i="1"/>
  <c r="C2811" i="1"/>
  <c r="D2811" i="1"/>
  <c r="E2811" i="1"/>
  <c r="A2812" i="1"/>
  <c r="B2812" i="1"/>
  <c r="C2812" i="1"/>
  <c r="D2812" i="1"/>
  <c r="E2812" i="1"/>
  <c r="A2813" i="1"/>
  <c r="B2813" i="1"/>
  <c r="C2813" i="1"/>
  <c r="D2813" i="1"/>
  <c r="E2813" i="1"/>
  <c r="A2814" i="1"/>
  <c r="B2814" i="1"/>
  <c r="C2814" i="1"/>
  <c r="D2814" i="1"/>
  <c r="E2814" i="1"/>
  <c r="A2815" i="1"/>
  <c r="B2815" i="1"/>
  <c r="C2815" i="1"/>
  <c r="D2815" i="1"/>
  <c r="E2815" i="1"/>
  <c r="A2816" i="1"/>
  <c r="B2816" i="1"/>
  <c r="C2816" i="1"/>
  <c r="D2816" i="1"/>
  <c r="E2816" i="1"/>
  <c r="A2817" i="1"/>
  <c r="B2817" i="1"/>
  <c r="C2817" i="1"/>
  <c r="D2817" i="1"/>
  <c r="E2817" i="1"/>
  <c r="A2818" i="1"/>
  <c r="B2818" i="1"/>
  <c r="C2818" i="1"/>
  <c r="D2818" i="1"/>
  <c r="E2818" i="1"/>
  <c r="A2819" i="1"/>
  <c r="B2819" i="1"/>
  <c r="C2819" i="1"/>
  <c r="D2819" i="1"/>
  <c r="E2819" i="1"/>
  <c r="A2820" i="1"/>
  <c r="B2820" i="1"/>
  <c r="C2820" i="1"/>
  <c r="D2820" i="1"/>
  <c r="E2820" i="1"/>
  <c r="A2821" i="1"/>
  <c r="B2821" i="1"/>
  <c r="C2821" i="1"/>
  <c r="D2821" i="1"/>
  <c r="E2821" i="1"/>
  <c r="A2822" i="1"/>
  <c r="B2822" i="1"/>
  <c r="C2822" i="1"/>
  <c r="D2822" i="1"/>
  <c r="E2822" i="1"/>
  <c r="A2823" i="1"/>
  <c r="B2823" i="1"/>
  <c r="C2823" i="1"/>
  <c r="D2823" i="1"/>
  <c r="E2823" i="1"/>
  <c r="A2824" i="1"/>
  <c r="B2824" i="1"/>
  <c r="C2824" i="1"/>
  <c r="D2824" i="1"/>
  <c r="E2824" i="1"/>
  <c r="A2825" i="1"/>
  <c r="B2825" i="1"/>
  <c r="C2825" i="1"/>
  <c r="D2825" i="1"/>
  <c r="E2825" i="1"/>
  <c r="A2826" i="1"/>
  <c r="B2826" i="1"/>
  <c r="C2826" i="1"/>
  <c r="D2826" i="1"/>
  <c r="E2826" i="1"/>
  <c r="A2827" i="1"/>
  <c r="B2827" i="1"/>
  <c r="C2827" i="1"/>
  <c r="D2827" i="1"/>
  <c r="E2827" i="1"/>
  <c r="A2828" i="1"/>
  <c r="B2828" i="1"/>
  <c r="C2828" i="1"/>
  <c r="D2828" i="1"/>
  <c r="E2828" i="1"/>
  <c r="A2829" i="1"/>
  <c r="B2829" i="1"/>
  <c r="C2829" i="1"/>
  <c r="D2829" i="1"/>
  <c r="E2829" i="1"/>
  <c r="A2830" i="1"/>
  <c r="B2830" i="1"/>
  <c r="C2830" i="1"/>
  <c r="D2830" i="1"/>
  <c r="E2830" i="1"/>
  <c r="A2831" i="1"/>
  <c r="B2831" i="1"/>
  <c r="C2831" i="1"/>
  <c r="D2831" i="1"/>
  <c r="E2831" i="1"/>
  <c r="A2832" i="1"/>
  <c r="B2832" i="1"/>
  <c r="C2832" i="1"/>
  <c r="D2832" i="1"/>
  <c r="E2832" i="1"/>
  <c r="A2833" i="1"/>
  <c r="B2833" i="1"/>
  <c r="C2833" i="1"/>
  <c r="D2833" i="1"/>
  <c r="E2833" i="1"/>
  <c r="A2834" i="1"/>
  <c r="B2834" i="1"/>
  <c r="C2834" i="1"/>
  <c r="D2834" i="1"/>
  <c r="E2834" i="1"/>
  <c r="A2835" i="1"/>
  <c r="B2835" i="1"/>
  <c r="C2835" i="1"/>
  <c r="D2835" i="1"/>
  <c r="E2835" i="1"/>
  <c r="A2836" i="1"/>
  <c r="B2836" i="1"/>
  <c r="C2836" i="1"/>
  <c r="D2836" i="1"/>
  <c r="E2836" i="1"/>
  <c r="A2837" i="1"/>
  <c r="B2837" i="1"/>
  <c r="C2837" i="1"/>
  <c r="D2837" i="1"/>
  <c r="E2837" i="1"/>
  <c r="A2838" i="1"/>
  <c r="B2838" i="1"/>
  <c r="C2838" i="1"/>
  <c r="D2838" i="1"/>
  <c r="E2838" i="1"/>
  <c r="A2839" i="1"/>
  <c r="B2839" i="1"/>
  <c r="C2839" i="1"/>
  <c r="D2839" i="1"/>
  <c r="E2839" i="1"/>
  <c r="A2840" i="1"/>
  <c r="B2840" i="1"/>
  <c r="C2840" i="1"/>
  <c r="D2840" i="1"/>
  <c r="E2840" i="1"/>
  <c r="A2841" i="1"/>
  <c r="B2841" i="1"/>
  <c r="C2841" i="1"/>
  <c r="D2841" i="1"/>
  <c r="E2841" i="1"/>
  <c r="A2842" i="1"/>
  <c r="B2842" i="1"/>
  <c r="C2842" i="1"/>
  <c r="D2842" i="1"/>
  <c r="E2842" i="1"/>
  <c r="A2843" i="1"/>
  <c r="B2843" i="1"/>
  <c r="C2843" i="1"/>
  <c r="D2843" i="1"/>
  <c r="E2843" i="1"/>
  <c r="A2844" i="1"/>
  <c r="B2844" i="1"/>
  <c r="C2844" i="1"/>
  <c r="D2844" i="1"/>
  <c r="E2844" i="1"/>
  <c r="A2845" i="1"/>
  <c r="B2845" i="1"/>
  <c r="C2845" i="1"/>
  <c r="D2845" i="1"/>
  <c r="E2845" i="1"/>
  <c r="A2846" i="1"/>
  <c r="B2846" i="1"/>
  <c r="C2846" i="1"/>
  <c r="D2846" i="1"/>
  <c r="E2846" i="1"/>
  <c r="A2847" i="1"/>
  <c r="B2847" i="1"/>
  <c r="C2847" i="1"/>
  <c r="D2847" i="1"/>
  <c r="E2847" i="1"/>
  <c r="A2848" i="1"/>
  <c r="B2848" i="1"/>
  <c r="C2848" i="1"/>
  <c r="D2848" i="1"/>
  <c r="E2848" i="1"/>
  <c r="A2849" i="1"/>
  <c r="B2849" i="1"/>
  <c r="C2849" i="1"/>
  <c r="D2849" i="1"/>
  <c r="E2849" i="1"/>
  <c r="A2850" i="1"/>
  <c r="B2850" i="1"/>
  <c r="C2850" i="1"/>
  <c r="D2850" i="1"/>
  <c r="E2850" i="1"/>
  <c r="A2851" i="1"/>
  <c r="B2851" i="1"/>
  <c r="C2851" i="1"/>
  <c r="D2851" i="1"/>
  <c r="E2851" i="1"/>
  <c r="A2852" i="1"/>
  <c r="B2852" i="1"/>
  <c r="C2852" i="1"/>
  <c r="D2852" i="1"/>
  <c r="E2852" i="1"/>
  <c r="A2853" i="1"/>
  <c r="B2853" i="1"/>
  <c r="C2853" i="1"/>
  <c r="D2853" i="1"/>
  <c r="E2853" i="1"/>
  <c r="A2854" i="1"/>
  <c r="B2854" i="1"/>
  <c r="C2854" i="1"/>
  <c r="D2854" i="1"/>
  <c r="E2854" i="1"/>
  <c r="A2855" i="1"/>
  <c r="B2855" i="1"/>
  <c r="C2855" i="1"/>
  <c r="D2855" i="1"/>
  <c r="E2855" i="1"/>
  <c r="A2856" i="1"/>
  <c r="B2856" i="1"/>
  <c r="C2856" i="1"/>
  <c r="D2856" i="1"/>
  <c r="E2856" i="1"/>
  <c r="A2857" i="1"/>
  <c r="B2857" i="1"/>
  <c r="C2857" i="1"/>
  <c r="D2857" i="1"/>
  <c r="E2857" i="1"/>
  <c r="A2858" i="1"/>
  <c r="B2858" i="1"/>
  <c r="C2858" i="1"/>
  <c r="D2858" i="1"/>
  <c r="E2858" i="1"/>
  <c r="A2859" i="1"/>
  <c r="B2859" i="1"/>
  <c r="C2859" i="1"/>
  <c r="D2859" i="1"/>
  <c r="E2859" i="1"/>
  <c r="A2860" i="1"/>
  <c r="B2860" i="1"/>
  <c r="C2860" i="1"/>
  <c r="D2860" i="1"/>
  <c r="E2860" i="1"/>
  <c r="A2861" i="1"/>
  <c r="B2861" i="1"/>
  <c r="C2861" i="1"/>
  <c r="D2861" i="1"/>
  <c r="E2861" i="1"/>
  <c r="A2862" i="1"/>
  <c r="B2862" i="1"/>
  <c r="C2862" i="1"/>
  <c r="D2862" i="1"/>
  <c r="E2862" i="1"/>
  <c r="A2863" i="1"/>
  <c r="B2863" i="1"/>
  <c r="C2863" i="1"/>
  <c r="D2863" i="1"/>
  <c r="E2863" i="1"/>
  <c r="A2864" i="1"/>
  <c r="B2864" i="1"/>
  <c r="C2864" i="1"/>
  <c r="D2864" i="1"/>
  <c r="E2864" i="1"/>
  <c r="A2865" i="1"/>
  <c r="B2865" i="1"/>
  <c r="C2865" i="1"/>
  <c r="D2865" i="1"/>
  <c r="E2865" i="1"/>
  <c r="A2866" i="1"/>
  <c r="B2866" i="1"/>
  <c r="C2866" i="1"/>
  <c r="D2866" i="1"/>
  <c r="E2866" i="1"/>
  <c r="A2867" i="1"/>
  <c r="B2867" i="1"/>
  <c r="C2867" i="1"/>
  <c r="D2867" i="1"/>
  <c r="E2867" i="1"/>
  <c r="A2868" i="1"/>
  <c r="B2868" i="1"/>
  <c r="C2868" i="1"/>
  <c r="D2868" i="1"/>
  <c r="E2868" i="1"/>
  <c r="A2869" i="1"/>
  <c r="B2869" i="1"/>
  <c r="C2869" i="1"/>
  <c r="D2869" i="1"/>
  <c r="E2869" i="1"/>
  <c r="A2870" i="1"/>
  <c r="B2870" i="1"/>
  <c r="C2870" i="1"/>
  <c r="D2870" i="1"/>
  <c r="E2870" i="1"/>
  <c r="A2871" i="1"/>
  <c r="B2871" i="1"/>
  <c r="C2871" i="1"/>
  <c r="D2871" i="1"/>
  <c r="E2871" i="1"/>
  <c r="A2872" i="1"/>
  <c r="B2872" i="1"/>
  <c r="C2872" i="1"/>
  <c r="D2872" i="1"/>
  <c r="E2872" i="1"/>
  <c r="A2873" i="1"/>
  <c r="B2873" i="1"/>
  <c r="C2873" i="1"/>
  <c r="D2873" i="1"/>
  <c r="E2873" i="1"/>
  <c r="A2874" i="1"/>
  <c r="B2874" i="1"/>
  <c r="C2874" i="1"/>
  <c r="D2874" i="1"/>
  <c r="E2874" i="1"/>
  <c r="A2875" i="1"/>
  <c r="B2875" i="1"/>
  <c r="C2875" i="1"/>
  <c r="D2875" i="1"/>
  <c r="E2875" i="1"/>
  <c r="A2876" i="1"/>
  <c r="B2876" i="1"/>
  <c r="C2876" i="1"/>
  <c r="D2876" i="1"/>
  <c r="E2876" i="1"/>
  <c r="A2877" i="1"/>
  <c r="B2877" i="1"/>
  <c r="C2877" i="1"/>
  <c r="D2877" i="1"/>
  <c r="E2877" i="1"/>
  <c r="A2878" i="1"/>
  <c r="B2878" i="1"/>
  <c r="C2878" i="1"/>
  <c r="D2878" i="1"/>
  <c r="E2878" i="1"/>
  <c r="A2879" i="1"/>
  <c r="B2879" i="1"/>
  <c r="C2879" i="1"/>
  <c r="D2879" i="1"/>
  <c r="E2879" i="1"/>
  <c r="A2880" i="1"/>
  <c r="B2880" i="1"/>
  <c r="C2880" i="1"/>
  <c r="D2880" i="1"/>
  <c r="E2880" i="1"/>
  <c r="A2881" i="1"/>
  <c r="B2881" i="1"/>
  <c r="C2881" i="1"/>
  <c r="D2881" i="1"/>
  <c r="E2881" i="1"/>
  <c r="A2882" i="1"/>
  <c r="B2882" i="1"/>
  <c r="C2882" i="1"/>
  <c r="D2882" i="1"/>
  <c r="E2882" i="1"/>
  <c r="A2883" i="1"/>
  <c r="B2883" i="1"/>
  <c r="C2883" i="1"/>
  <c r="D2883" i="1"/>
  <c r="E2883" i="1"/>
  <c r="A2884" i="1"/>
  <c r="B2884" i="1"/>
  <c r="C2884" i="1"/>
  <c r="D2884" i="1"/>
  <c r="E2884" i="1"/>
  <c r="A2885" i="1"/>
  <c r="B2885" i="1"/>
  <c r="C2885" i="1"/>
  <c r="D2885" i="1"/>
  <c r="E2885" i="1"/>
  <c r="A2886" i="1"/>
  <c r="B2886" i="1"/>
  <c r="C2886" i="1"/>
  <c r="D2886" i="1"/>
  <c r="E2886" i="1"/>
  <c r="A2887" i="1"/>
  <c r="B2887" i="1"/>
  <c r="C2887" i="1"/>
  <c r="D2887" i="1"/>
  <c r="E2887" i="1"/>
  <c r="A2888" i="1"/>
  <c r="B2888" i="1"/>
  <c r="C2888" i="1"/>
  <c r="D2888" i="1"/>
  <c r="E2888" i="1"/>
  <c r="A2889" i="1"/>
  <c r="B2889" i="1"/>
  <c r="C2889" i="1"/>
  <c r="D2889" i="1"/>
  <c r="E2889" i="1"/>
  <c r="A2890" i="1"/>
  <c r="B2890" i="1"/>
  <c r="C2890" i="1"/>
  <c r="D2890" i="1"/>
  <c r="E2890" i="1"/>
  <c r="A2891" i="1"/>
  <c r="B2891" i="1"/>
  <c r="C2891" i="1"/>
  <c r="D2891" i="1"/>
  <c r="E2891" i="1"/>
  <c r="A2892" i="1"/>
  <c r="B2892" i="1"/>
  <c r="C2892" i="1"/>
  <c r="D2892" i="1"/>
  <c r="E2892" i="1"/>
  <c r="A2893" i="1"/>
  <c r="B2893" i="1"/>
  <c r="C2893" i="1"/>
  <c r="D2893" i="1"/>
  <c r="E2893" i="1"/>
  <c r="A2894" i="1"/>
  <c r="B2894" i="1"/>
  <c r="C2894" i="1"/>
  <c r="D2894" i="1"/>
  <c r="E2894" i="1"/>
  <c r="A2895" i="1"/>
  <c r="B2895" i="1"/>
  <c r="C2895" i="1"/>
  <c r="D2895" i="1"/>
  <c r="E2895" i="1"/>
  <c r="A2896" i="1"/>
  <c r="B2896" i="1"/>
  <c r="C2896" i="1"/>
  <c r="D2896" i="1"/>
  <c r="E2896" i="1"/>
  <c r="A2897" i="1"/>
  <c r="B2897" i="1"/>
  <c r="C2897" i="1"/>
  <c r="D2897" i="1"/>
  <c r="E2897" i="1"/>
  <c r="A2898" i="1"/>
  <c r="B2898" i="1"/>
  <c r="C2898" i="1"/>
  <c r="D2898" i="1"/>
  <c r="E2898" i="1"/>
  <c r="A2899" i="1"/>
  <c r="B2899" i="1"/>
  <c r="C2899" i="1"/>
  <c r="D2899" i="1"/>
  <c r="E2899" i="1"/>
  <c r="A2900" i="1"/>
  <c r="B2900" i="1"/>
  <c r="C2900" i="1"/>
  <c r="D2900" i="1"/>
  <c r="E2900" i="1"/>
  <c r="A2901" i="1"/>
  <c r="B2901" i="1"/>
  <c r="C2901" i="1"/>
  <c r="D2901" i="1"/>
  <c r="E2901" i="1"/>
  <c r="A2902" i="1"/>
  <c r="B2902" i="1"/>
  <c r="C2902" i="1"/>
  <c r="D2902" i="1"/>
  <c r="E2902" i="1"/>
  <c r="A2903" i="1"/>
  <c r="B2903" i="1"/>
  <c r="C2903" i="1"/>
  <c r="D2903" i="1"/>
  <c r="E2903" i="1"/>
  <c r="A2904" i="1"/>
  <c r="B2904" i="1"/>
  <c r="C2904" i="1"/>
  <c r="D2904" i="1"/>
  <c r="E2904" i="1"/>
  <c r="A2905" i="1"/>
  <c r="B2905" i="1"/>
  <c r="C2905" i="1"/>
  <c r="D2905" i="1"/>
  <c r="E2905" i="1"/>
  <c r="A2906" i="1"/>
  <c r="B2906" i="1"/>
  <c r="C2906" i="1"/>
  <c r="D2906" i="1"/>
  <c r="E2906" i="1"/>
  <c r="A2907" i="1"/>
  <c r="B2907" i="1"/>
  <c r="C2907" i="1"/>
  <c r="D2907" i="1"/>
  <c r="E2907" i="1"/>
  <c r="A2908" i="1"/>
  <c r="B2908" i="1"/>
  <c r="C2908" i="1"/>
  <c r="D2908" i="1"/>
  <c r="E2908" i="1"/>
  <c r="A2909" i="1"/>
  <c r="B2909" i="1"/>
  <c r="C2909" i="1"/>
  <c r="D2909" i="1"/>
  <c r="E2909" i="1"/>
  <c r="A2910" i="1"/>
  <c r="B2910" i="1"/>
  <c r="C2910" i="1"/>
  <c r="D2910" i="1"/>
  <c r="E2910" i="1"/>
  <c r="A2911" i="1"/>
  <c r="B2911" i="1"/>
  <c r="C2911" i="1"/>
  <c r="D2911" i="1"/>
  <c r="E2911" i="1"/>
  <c r="A2912" i="1"/>
  <c r="B2912" i="1"/>
  <c r="C2912" i="1"/>
  <c r="D2912" i="1"/>
  <c r="E2912" i="1"/>
  <c r="A2913" i="1"/>
  <c r="B2913" i="1"/>
  <c r="C2913" i="1"/>
  <c r="D2913" i="1"/>
  <c r="E2913" i="1"/>
  <c r="A2914" i="1"/>
  <c r="B2914" i="1"/>
  <c r="C2914" i="1"/>
  <c r="D2914" i="1"/>
  <c r="E2914" i="1"/>
  <c r="A2915" i="1"/>
  <c r="B2915" i="1"/>
  <c r="C2915" i="1"/>
  <c r="D2915" i="1"/>
  <c r="E2915" i="1"/>
  <c r="A2916" i="1"/>
  <c r="B2916" i="1"/>
  <c r="C2916" i="1"/>
  <c r="D2916" i="1"/>
  <c r="E2916" i="1"/>
  <c r="A2917" i="1"/>
  <c r="B2917" i="1"/>
  <c r="C2917" i="1"/>
  <c r="D2917" i="1"/>
  <c r="E2917" i="1"/>
  <c r="A2918" i="1"/>
  <c r="B2918" i="1"/>
  <c r="C2918" i="1"/>
  <c r="D2918" i="1"/>
  <c r="E2918" i="1"/>
  <c r="A2919" i="1"/>
  <c r="B2919" i="1"/>
  <c r="C2919" i="1"/>
  <c r="D2919" i="1"/>
  <c r="E2919" i="1"/>
  <c r="A2920" i="1"/>
  <c r="B2920" i="1"/>
  <c r="C2920" i="1"/>
  <c r="D2920" i="1"/>
  <c r="E2920" i="1"/>
  <c r="A2921" i="1"/>
  <c r="B2921" i="1"/>
  <c r="C2921" i="1"/>
  <c r="D2921" i="1"/>
  <c r="E2921" i="1"/>
  <c r="A2922" i="1"/>
  <c r="B2922" i="1"/>
  <c r="C2922" i="1"/>
  <c r="D2922" i="1"/>
  <c r="E2922" i="1"/>
  <c r="A2923" i="1"/>
  <c r="B2923" i="1"/>
  <c r="C2923" i="1"/>
  <c r="D2923" i="1"/>
  <c r="E2923" i="1"/>
  <c r="A2924" i="1"/>
  <c r="B2924" i="1"/>
  <c r="C2924" i="1"/>
  <c r="D2924" i="1"/>
  <c r="E2924" i="1"/>
  <c r="A2925" i="1"/>
  <c r="B2925" i="1"/>
  <c r="C2925" i="1"/>
  <c r="D2925" i="1"/>
  <c r="E2925" i="1"/>
  <c r="A2926" i="1"/>
  <c r="B2926" i="1"/>
  <c r="C2926" i="1"/>
  <c r="D2926" i="1"/>
  <c r="E2926" i="1"/>
  <c r="A2927" i="1"/>
  <c r="B2927" i="1"/>
  <c r="C2927" i="1"/>
  <c r="D2927" i="1"/>
  <c r="E2927" i="1"/>
  <c r="A2928" i="1"/>
  <c r="B2928" i="1"/>
  <c r="C2928" i="1"/>
  <c r="D2928" i="1"/>
  <c r="E2928" i="1"/>
  <c r="A2929" i="1"/>
  <c r="B2929" i="1"/>
  <c r="C2929" i="1"/>
  <c r="D2929" i="1"/>
  <c r="E2929" i="1"/>
  <c r="A2930" i="1"/>
  <c r="B2930" i="1"/>
  <c r="C2930" i="1"/>
  <c r="D2930" i="1"/>
  <c r="E2930" i="1"/>
  <c r="A2931" i="1"/>
  <c r="B2931" i="1"/>
  <c r="C2931" i="1"/>
  <c r="D2931" i="1"/>
  <c r="E2931" i="1"/>
  <c r="A2932" i="1"/>
  <c r="B2932" i="1"/>
  <c r="C2932" i="1"/>
  <c r="D2932" i="1"/>
  <c r="E2932" i="1"/>
  <c r="A2933" i="1"/>
  <c r="B2933" i="1"/>
  <c r="C2933" i="1"/>
  <c r="D2933" i="1"/>
  <c r="E2933" i="1"/>
  <c r="A2934" i="1"/>
  <c r="B2934" i="1"/>
  <c r="C2934" i="1"/>
  <c r="D2934" i="1"/>
  <c r="E2934" i="1"/>
  <c r="A2935" i="1"/>
  <c r="B2935" i="1"/>
  <c r="C2935" i="1"/>
  <c r="D2935" i="1"/>
  <c r="E2935" i="1"/>
  <c r="A2936" i="1"/>
  <c r="B2936" i="1"/>
  <c r="C2936" i="1"/>
  <c r="D2936" i="1"/>
  <c r="E2936" i="1"/>
  <c r="A2937" i="1"/>
  <c r="B2937" i="1"/>
  <c r="C2937" i="1"/>
  <c r="D2937" i="1"/>
  <c r="E2937" i="1"/>
  <c r="A2938" i="1"/>
  <c r="B2938" i="1"/>
  <c r="C2938" i="1"/>
  <c r="D2938" i="1"/>
  <c r="E2938" i="1"/>
  <c r="A2939" i="1"/>
  <c r="B2939" i="1"/>
  <c r="C2939" i="1"/>
  <c r="D2939" i="1"/>
  <c r="E2939" i="1"/>
  <c r="A2940" i="1"/>
  <c r="B2940" i="1"/>
  <c r="C2940" i="1"/>
  <c r="D2940" i="1"/>
  <c r="E2940" i="1"/>
  <c r="A2941" i="1"/>
  <c r="B2941" i="1"/>
  <c r="C2941" i="1"/>
  <c r="D2941" i="1"/>
  <c r="E2941" i="1"/>
  <c r="A2942" i="1"/>
  <c r="B2942" i="1"/>
  <c r="C2942" i="1"/>
  <c r="D2942" i="1"/>
  <c r="E2942" i="1"/>
  <c r="A2943" i="1"/>
  <c r="B2943" i="1"/>
  <c r="C2943" i="1"/>
  <c r="D2943" i="1"/>
  <c r="E2943" i="1"/>
  <c r="A2944" i="1"/>
  <c r="B2944" i="1"/>
  <c r="C2944" i="1"/>
  <c r="D2944" i="1"/>
  <c r="E2944" i="1"/>
  <c r="A2945" i="1"/>
  <c r="B2945" i="1"/>
  <c r="C2945" i="1"/>
  <c r="D2945" i="1"/>
  <c r="E2945" i="1"/>
  <c r="A2946" i="1"/>
  <c r="B2946" i="1"/>
  <c r="C2946" i="1"/>
  <c r="D2946" i="1"/>
  <c r="E2946" i="1"/>
  <c r="A2947" i="1"/>
  <c r="B2947" i="1"/>
  <c r="C2947" i="1"/>
  <c r="D2947" i="1"/>
  <c r="E2947" i="1"/>
  <c r="A2948" i="1"/>
  <c r="B2948" i="1"/>
  <c r="C2948" i="1"/>
  <c r="D2948" i="1"/>
  <c r="E2948" i="1"/>
  <c r="A2949" i="1"/>
  <c r="B2949" i="1"/>
  <c r="C2949" i="1"/>
  <c r="D2949" i="1"/>
  <c r="E2949" i="1"/>
  <c r="A2950" i="1"/>
  <c r="B2950" i="1"/>
  <c r="C2950" i="1"/>
  <c r="D2950" i="1"/>
  <c r="E2950" i="1"/>
  <c r="A2951" i="1"/>
  <c r="B2951" i="1"/>
  <c r="C2951" i="1"/>
  <c r="D2951" i="1"/>
  <c r="E2951" i="1"/>
  <c r="A2952" i="1"/>
  <c r="B2952" i="1"/>
  <c r="C2952" i="1"/>
  <c r="D2952" i="1"/>
  <c r="E2952" i="1"/>
  <c r="A2953" i="1"/>
  <c r="B2953" i="1"/>
  <c r="C2953" i="1"/>
  <c r="D2953" i="1"/>
  <c r="E2953" i="1"/>
  <c r="A2954" i="1"/>
  <c r="B2954" i="1"/>
  <c r="C2954" i="1"/>
  <c r="D2954" i="1"/>
  <c r="E2954" i="1"/>
  <c r="A2955" i="1"/>
  <c r="B2955" i="1"/>
  <c r="C2955" i="1"/>
  <c r="D2955" i="1"/>
  <c r="E2955" i="1"/>
  <c r="A2956" i="1"/>
  <c r="B2956" i="1"/>
  <c r="C2956" i="1"/>
  <c r="D2956" i="1"/>
  <c r="E2956" i="1"/>
  <c r="A2957" i="1"/>
  <c r="B2957" i="1"/>
  <c r="C2957" i="1"/>
  <c r="D2957" i="1"/>
  <c r="E2957" i="1"/>
  <c r="A2958" i="1"/>
  <c r="B2958" i="1"/>
  <c r="C2958" i="1"/>
  <c r="D2958" i="1"/>
  <c r="E2958" i="1"/>
  <c r="A2959" i="1"/>
  <c r="B2959" i="1"/>
  <c r="C2959" i="1"/>
  <c r="D2959" i="1"/>
  <c r="E2959" i="1"/>
  <c r="A2960" i="1"/>
  <c r="B2960" i="1"/>
  <c r="C2960" i="1"/>
  <c r="D2960" i="1"/>
  <c r="E2960" i="1"/>
  <c r="A2961" i="1"/>
  <c r="B2961" i="1"/>
  <c r="C2961" i="1"/>
  <c r="D2961" i="1"/>
  <c r="E2961" i="1"/>
  <c r="A2962" i="1"/>
  <c r="B2962" i="1"/>
  <c r="C2962" i="1"/>
  <c r="D2962" i="1"/>
  <c r="E2962" i="1"/>
  <c r="A2963" i="1"/>
  <c r="B2963" i="1"/>
  <c r="C2963" i="1"/>
  <c r="D2963" i="1"/>
  <c r="E2963" i="1"/>
  <c r="A2964" i="1"/>
  <c r="B2964" i="1"/>
  <c r="C2964" i="1"/>
  <c r="D2964" i="1"/>
  <c r="E2964" i="1"/>
  <c r="A2965" i="1"/>
  <c r="B2965" i="1"/>
  <c r="C2965" i="1"/>
  <c r="D2965" i="1"/>
  <c r="E2965" i="1"/>
  <c r="A2966" i="1"/>
  <c r="B2966" i="1"/>
  <c r="C2966" i="1"/>
  <c r="D2966" i="1"/>
  <c r="E2966" i="1"/>
  <c r="A2967" i="1"/>
  <c r="B2967" i="1"/>
  <c r="C2967" i="1"/>
  <c r="D2967" i="1"/>
  <c r="E2967" i="1"/>
  <c r="A2968" i="1"/>
  <c r="B2968" i="1"/>
  <c r="C2968" i="1"/>
  <c r="D2968" i="1"/>
  <c r="E2968" i="1"/>
  <c r="A2969" i="1"/>
  <c r="B2969" i="1"/>
  <c r="C2969" i="1"/>
  <c r="D2969" i="1"/>
  <c r="E2969" i="1"/>
  <c r="A2970" i="1"/>
  <c r="B2970" i="1"/>
  <c r="C2970" i="1"/>
  <c r="D2970" i="1"/>
  <c r="E2970" i="1"/>
  <c r="A2971" i="1"/>
  <c r="B2971" i="1"/>
  <c r="C2971" i="1"/>
  <c r="D2971" i="1"/>
  <c r="E2971" i="1"/>
  <c r="A2972" i="1"/>
  <c r="B2972" i="1"/>
  <c r="C2972" i="1"/>
  <c r="D2972" i="1"/>
  <c r="E2972" i="1"/>
  <c r="A2973" i="1"/>
  <c r="B2973" i="1"/>
  <c r="C2973" i="1"/>
  <c r="D2973" i="1"/>
  <c r="E2973" i="1"/>
  <c r="A2974" i="1"/>
  <c r="B2974" i="1"/>
  <c r="C2974" i="1"/>
  <c r="D2974" i="1"/>
  <c r="E2974" i="1"/>
  <c r="A2975" i="1"/>
  <c r="B2975" i="1"/>
  <c r="C2975" i="1"/>
  <c r="D2975" i="1"/>
  <c r="E2975" i="1"/>
  <c r="A2976" i="1"/>
  <c r="B2976" i="1"/>
  <c r="C2976" i="1"/>
  <c r="D2976" i="1"/>
  <c r="E2976" i="1"/>
  <c r="A2977" i="1"/>
  <c r="B2977" i="1"/>
  <c r="C2977" i="1"/>
  <c r="D2977" i="1"/>
  <c r="E2977" i="1"/>
  <c r="A2978" i="1"/>
  <c r="B2978" i="1"/>
  <c r="C2978" i="1"/>
  <c r="D2978" i="1"/>
  <c r="E2978" i="1"/>
  <c r="A2979" i="1"/>
  <c r="B2979" i="1"/>
  <c r="C2979" i="1"/>
  <c r="D2979" i="1"/>
  <c r="E2979" i="1"/>
  <c r="A2980" i="1"/>
  <c r="B2980" i="1"/>
  <c r="C2980" i="1"/>
  <c r="D2980" i="1"/>
  <c r="E2980" i="1"/>
  <c r="A2981" i="1"/>
  <c r="B2981" i="1"/>
  <c r="C2981" i="1"/>
  <c r="D2981" i="1"/>
  <c r="E2981" i="1"/>
  <c r="A2982" i="1"/>
  <c r="B2982" i="1"/>
  <c r="C2982" i="1"/>
  <c r="D2982" i="1"/>
  <c r="E2982" i="1"/>
  <c r="A2983" i="1"/>
  <c r="B2983" i="1"/>
  <c r="C2983" i="1"/>
  <c r="D2983" i="1"/>
  <c r="E2983" i="1"/>
  <c r="A2984" i="1"/>
  <c r="B2984" i="1"/>
  <c r="C2984" i="1"/>
  <c r="D2984" i="1"/>
  <c r="E2984" i="1"/>
  <c r="A2985" i="1"/>
  <c r="B2985" i="1"/>
  <c r="C2985" i="1"/>
  <c r="D2985" i="1"/>
  <c r="E2985" i="1"/>
  <c r="A2986" i="1"/>
  <c r="B2986" i="1"/>
  <c r="C2986" i="1"/>
  <c r="D2986" i="1"/>
  <c r="E2986" i="1"/>
  <c r="A2987" i="1"/>
  <c r="B2987" i="1"/>
  <c r="C2987" i="1"/>
  <c r="D2987" i="1"/>
  <c r="E2987" i="1"/>
  <c r="A2988" i="1"/>
  <c r="B2988" i="1"/>
  <c r="C2988" i="1"/>
  <c r="D2988" i="1"/>
  <c r="E2988" i="1"/>
  <c r="A2989" i="1"/>
  <c r="B2989" i="1"/>
  <c r="C2989" i="1"/>
  <c r="D2989" i="1"/>
  <c r="E2989" i="1"/>
  <c r="A2990" i="1"/>
  <c r="B2990" i="1"/>
  <c r="C2990" i="1"/>
  <c r="D2990" i="1"/>
  <c r="E2990" i="1"/>
  <c r="A2991" i="1"/>
  <c r="B2991" i="1"/>
  <c r="C2991" i="1"/>
  <c r="D2991" i="1"/>
  <c r="E2991" i="1"/>
  <c r="A2992" i="1"/>
  <c r="B2992" i="1"/>
  <c r="C2992" i="1"/>
  <c r="D2992" i="1"/>
  <c r="E2992" i="1"/>
  <c r="A2993" i="1"/>
  <c r="B2993" i="1"/>
  <c r="C2993" i="1"/>
  <c r="D2993" i="1"/>
  <c r="E2993" i="1"/>
  <c r="A2994" i="1"/>
  <c r="B2994" i="1"/>
  <c r="C2994" i="1"/>
  <c r="D2994" i="1"/>
  <c r="E2994" i="1"/>
  <c r="A2995" i="1"/>
  <c r="B2995" i="1"/>
  <c r="C2995" i="1"/>
  <c r="D2995" i="1"/>
  <c r="E2995" i="1"/>
  <c r="A2996" i="1"/>
  <c r="B2996" i="1"/>
  <c r="C2996" i="1"/>
  <c r="D2996" i="1"/>
  <c r="E2996" i="1"/>
  <c r="A2997" i="1"/>
  <c r="B2997" i="1"/>
  <c r="C2997" i="1"/>
  <c r="D2997" i="1"/>
  <c r="E2997" i="1"/>
  <c r="A2998" i="1"/>
  <c r="B2998" i="1"/>
  <c r="C2998" i="1"/>
  <c r="D2998" i="1"/>
  <c r="E2998" i="1"/>
  <c r="A2999" i="1"/>
  <c r="B2999" i="1"/>
  <c r="C2999" i="1"/>
  <c r="D2999" i="1"/>
  <c r="E2999" i="1"/>
  <c r="A3000" i="1"/>
  <c r="B3000" i="1"/>
  <c r="C3000" i="1"/>
  <c r="D3000" i="1"/>
  <c r="E3000" i="1"/>
  <c r="A3001" i="1"/>
  <c r="B3001" i="1"/>
  <c r="C3001" i="1"/>
  <c r="D3001" i="1"/>
  <c r="E3001" i="1"/>
  <c r="A3002" i="1"/>
  <c r="B3002" i="1"/>
  <c r="C3002" i="1"/>
  <c r="D3002" i="1"/>
  <c r="E3002" i="1"/>
  <c r="A3003" i="1"/>
  <c r="B3003" i="1"/>
  <c r="C3003" i="1"/>
  <c r="D3003" i="1"/>
  <c r="E3003" i="1"/>
  <c r="A3004" i="1"/>
  <c r="B3004" i="1"/>
  <c r="C3004" i="1"/>
  <c r="D3004" i="1"/>
  <c r="E3004" i="1"/>
  <c r="A3005" i="1"/>
  <c r="B3005" i="1"/>
  <c r="C3005" i="1"/>
  <c r="D3005" i="1"/>
  <c r="E3005" i="1"/>
  <c r="A3006" i="1"/>
  <c r="B3006" i="1"/>
  <c r="C3006" i="1"/>
  <c r="D3006" i="1"/>
  <c r="E3006" i="1"/>
  <c r="A3007" i="1"/>
  <c r="B3007" i="1"/>
  <c r="C3007" i="1"/>
  <c r="D3007" i="1"/>
  <c r="E3007" i="1"/>
  <c r="A3008" i="1"/>
  <c r="B3008" i="1"/>
  <c r="C3008" i="1"/>
  <c r="D3008" i="1"/>
  <c r="E3008" i="1"/>
  <c r="A3009" i="1"/>
  <c r="B3009" i="1"/>
  <c r="C3009" i="1"/>
  <c r="D3009" i="1"/>
  <c r="E3009" i="1"/>
  <c r="A3010" i="1"/>
  <c r="B3010" i="1"/>
  <c r="C3010" i="1"/>
  <c r="D3010" i="1"/>
  <c r="E3010" i="1"/>
  <c r="A3011" i="1"/>
  <c r="B3011" i="1"/>
  <c r="C3011" i="1"/>
  <c r="D3011" i="1"/>
  <c r="E3011" i="1"/>
  <c r="A3012" i="1"/>
  <c r="B3012" i="1"/>
  <c r="C3012" i="1"/>
  <c r="D3012" i="1"/>
  <c r="E3012" i="1"/>
  <c r="A3013" i="1"/>
  <c r="B3013" i="1"/>
  <c r="C3013" i="1"/>
  <c r="D3013" i="1"/>
  <c r="E3013" i="1"/>
  <c r="A3014" i="1"/>
  <c r="B3014" i="1"/>
  <c r="C3014" i="1"/>
  <c r="D3014" i="1"/>
  <c r="E3014" i="1"/>
  <c r="A3015" i="1"/>
  <c r="B3015" i="1"/>
  <c r="C3015" i="1"/>
  <c r="D3015" i="1"/>
  <c r="E3015" i="1"/>
  <c r="A3016" i="1"/>
  <c r="B3016" i="1"/>
  <c r="C3016" i="1"/>
  <c r="D3016" i="1"/>
  <c r="E3016" i="1"/>
  <c r="A3017" i="1"/>
  <c r="B3017" i="1"/>
  <c r="C3017" i="1"/>
  <c r="D3017" i="1"/>
  <c r="E3017" i="1"/>
  <c r="A3018" i="1"/>
  <c r="B3018" i="1"/>
  <c r="C3018" i="1"/>
  <c r="D3018" i="1"/>
  <c r="E3018" i="1"/>
  <c r="A3019" i="1"/>
  <c r="B3019" i="1"/>
  <c r="C3019" i="1"/>
  <c r="D3019" i="1"/>
  <c r="E3019" i="1"/>
  <c r="A3020" i="1"/>
  <c r="B3020" i="1"/>
  <c r="C3020" i="1"/>
  <c r="D3020" i="1"/>
  <c r="E3020" i="1"/>
  <c r="A3021" i="1"/>
  <c r="B3021" i="1"/>
  <c r="C3021" i="1"/>
  <c r="D3021" i="1"/>
  <c r="E3021" i="1"/>
  <c r="A3022" i="1"/>
  <c r="B3022" i="1"/>
  <c r="C3022" i="1"/>
  <c r="D3022" i="1"/>
  <c r="E3022" i="1"/>
  <c r="A3023" i="1"/>
  <c r="B3023" i="1"/>
  <c r="C3023" i="1"/>
  <c r="D3023" i="1"/>
  <c r="E3023" i="1"/>
  <c r="A3024" i="1"/>
  <c r="B3024" i="1"/>
  <c r="C3024" i="1"/>
  <c r="D3024" i="1"/>
  <c r="E3024" i="1"/>
  <c r="A3025" i="1"/>
  <c r="B3025" i="1"/>
  <c r="C3025" i="1"/>
  <c r="D3025" i="1"/>
  <c r="E3025" i="1"/>
  <c r="A3026" i="1"/>
  <c r="B3026" i="1"/>
  <c r="C3026" i="1"/>
  <c r="D3026" i="1"/>
  <c r="E3026" i="1"/>
  <c r="A3027" i="1"/>
  <c r="B3027" i="1"/>
  <c r="C3027" i="1"/>
  <c r="D3027" i="1"/>
  <c r="E3027" i="1"/>
  <c r="A3028" i="1"/>
  <c r="B3028" i="1"/>
  <c r="C3028" i="1"/>
  <c r="D3028" i="1"/>
  <c r="E3028" i="1"/>
  <c r="A3029" i="1"/>
  <c r="B3029" i="1"/>
  <c r="C3029" i="1"/>
  <c r="D3029" i="1"/>
  <c r="E3029" i="1"/>
  <c r="A3030" i="1"/>
  <c r="B3030" i="1"/>
  <c r="C3030" i="1"/>
  <c r="D3030" i="1"/>
  <c r="E3030" i="1"/>
  <c r="A3031" i="1"/>
  <c r="B3031" i="1"/>
  <c r="C3031" i="1"/>
  <c r="D3031" i="1"/>
  <c r="E3031" i="1"/>
  <c r="A3032" i="1"/>
  <c r="B3032" i="1"/>
  <c r="C3032" i="1"/>
  <c r="D3032" i="1"/>
  <c r="E3032" i="1"/>
  <c r="A3033" i="1"/>
  <c r="B3033" i="1"/>
  <c r="C3033" i="1"/>
  <c r="D3033" i="1"/>
  <c r="E3033" i="1"/>
  <c r="A3034" i="1"/>
  <c r="B3034" i="1"/>
  <c r="C3034" i="1"/>
  <c r="D3034" i="1"/>
  <c r="E3034" i="1"/>
  <c r="A3035" i="1"/>
  <c r="B3035" i="1"/>
  <c r="C3035" i="1"/>
  <c r="D3035" i="1"/>
  <c r="E3035" i="1"/>
  <c r="A3036" i="1"/>
  <c r="B3036" i="1"/>
  <c r="C3036" i="1"/>
  <c r="D3036" i="1"/>
  <c r="E3036" i="1"/>
  <c r="A3037" i="1"/>
  <c r="B3037" i="1"/>
  <c r="C3037" i="1"/>
  <c r="D3037" i="1"/>
  <c r="E3037" i="1"/>
  <c r="A3038" i="1"/>
  <c r="B3038" i="1"/>
  <c r="C3038" i="1"/>
  <c r="D3038" i="1"/>
  <c r="E3038" i="1"/>
  <c r="A3039" i="1"/>
  <c r="B3039" i="1"/>
  <c r="C3039" i="1"/>
  <c r="D3039" i="1"/>
  <c r="E3039" i="1"/>
  <c r="A3040" i="1"/>
  <c r="B3040" i="1"/>
  <c r="C3040" i="1"/>
  <c r="D3040" i="1"/>
  <c r="E3040" i="1"/>
  <c r="A3041" i="1"/>
  <c r="B3041" i="1"/>
  <c r="C3041" i="1"/>
  <c r="D3041" i="1"/>
  <c r="E3041" i="1"/>
  <c r="A3042" i="1"/>
  <c r="B3042" i="1"/>
  <c r="C3042" i="1"/>
  <c r="D3042" i="1"/>
  <c r="E3042" i="1"/>
  <c r="A3043" i="1"/>
  <c r="B3043" i="1"/>
  <c r="C3043" i="1"/>
  <c r="D3043" i="1"/>
  <c r="E3043" i="1"/>
  <c r="A3044" i="1"/>
  <c r="B3044" i="1"/>
  <c r="C3044" i="1"/>
  <c r="D3044" i="1"/>
  <c r="E3044" i="1"/>
  <c r="A3045" i="1"/>
  <c r="B3045" i="1"/>
  <c r="C3045" i="1"/>
  <c r="D3045" i="1"/>
  <c r="E3045" i="1"/>
  <c r="A3046" i="1"/>
  <c r="B3046" i="1"/>
  <c r="C3046" i="1"/>
  <c r="D3046" i="1"/>
  <c r="E3046" i="1"/>
  <c r="A3047" i="1"/>
  <c r="B3047" i="1"/>
  <c r="C3047" i="1"/>
  <c r="D3047" i="1"/>
  <c r="E3047" i="1"/>
  <c r="A3048" i="1"/>
  <c r="B3048" i="1"/>
  <c r="C3048" i="1"/>
  <c r="D3048" i="1"/>
  <c r="E3048" i="1"/>
  <c r="A3049" i="1"/>
  <c r="B3049" i="1"/>
  <c r="C3049" i="1"/>
  <c r="D3049" i="1"/>
  <c r="E3049" i="1"/>
  <c r="A3050" i="1"/>
  <c r="B3050" i="1"/>
  <c r="C3050" i="1"/>
  <c r="D3050" i="1"/>
  <c r="E3050" i="1"/>
  <c r="A3051" i="1"/>
  <c r="B3051" i="1"/>
  <c r="C3051" i="1"/>
  <c r="D3051" i="1"/>
  <c r="E3051" i="1"/>
  <c r="A3052" i="1"/>
  <c r="B3052" i="1"/>
  <c r="C3052" i="1"/>
  <c r="D3052" i="1"/>
  <c r="E3052" i="1"/>
  <c r="A3053" i="1"/>
  <c r="B3053" i="1"/>
  <c r="C3053" i="1"/>
  <c r="D3053" i="1"/>
  <c r="E3053" i="1"/>
  <c r="A3054" i="1"/>
  <c r="B3054" i="1"/>
  <c r="C3054" i="1"/>
  <c r="D3054" i="1"/>
  <c r="E3054" i="1"/>
  <c r="A3055" i="1"/>
  <c r="B3055" i="1"/>
  <c r="C3055" i="1"/>
  <c r="D3055" i="1"/>
  <c r="E3055" i="1"/>
  <c r="A3056" i="1"/>
  <c r="B3056" i="1"/>
  <c r="C3056" i="1"/>
  <c r="D3056" i="1"/>
  <c r="E3056" i="1"/>
  <c r="A3057" i="1"/>
  <c r="B3057" i="1"/>
  <c r="C3057" i="1"/>
  <c r="D3057" i="1"/>
  <c r="E3057" i="1"/>
  <c r="A3058" i="1"/>
  <c r="B3058" i="1"/>
  <c r="C3058" i="1"/>
  <c r="D3058" i="1"/>
  <c r="E3058" i="1"/>
  <c r="A3059" i="1"/>
  <c r="B3059" i="1"/>
  <c r="C3059" i="1"/>
  <c r="D3059" i="1"/>
  <c r="E3059" i="1"/>
  <c r="A3060" i="1"/>
  <c r="B3060" i="1"/>
  <c r="C3060" i="1"/>
  <c r="D3060" i="1"/>
  <c r="E3060" i="1"/>
  <c r="A3061" i="1"/>
  <c r="B3061" i="1"/>
  <c r="C3061" i="1"/>
  <c r="D3061" i="1"/>
  <c r="E3061" i="1"/>
  <c r="A3062" i="1"/>
  <c r="B3062" i="1"/>
  <c r="C3062" i="1"/>
  <c r="D3062" i="1"/>
  <c r="E3062" i="1"/>
  <c r="A3063" i="1"/>
  <c r="B3063" i="1"/>
  <c r="C3063" i="1"/>
  <c r="D3063" i="1"/>
  <c r="E3063" i="1"/>
  <c r="A3064" i="1"/>
  <c r="B3064" i="1"/>
  <c r="C3064" i="1"/>
  <c r="D3064" i="1"/>
  <c r="E3064" i="1"/>
  <c r="A3065" i="1"/>
  <c r="B3065" i="1"/>
  <c r="C3065" i="1"/>
  <c r="D3065" i="1"/>
  <c r="E3065" i="1"/>
  <c r="A3066" i="1"/>
  <c r="B3066" i="1"/>
  <c r="C3066" i="1"/>
  <c r="D3066" i="1"/>
  <c r="E3066" i="1"/>
  <c r="A3067" i="1"/>
  <c r="B3067" i="1"/>
  <c r="C3067" i="1"/>
  <c r="D3067" i="1"/>
  <c r="E3067" i="1"/>
  <c r="A3068" i="1"/>
  <c r="B3068" i="1"/>
  <c r="C3068" i="1"/>
  <c r="D3068" i="1"/>
  <c r="E3068" i="1"/>
  <c r="A3069" i="1"/>
  <c r="B3069" i="1"/>
  <c r="C3069" i="1"/>
  <c r="D3069" i="1"/>
  <c r="E3069" i="1"/>
  <c r="A3070" i="1"/>
  <c r="B3070" i="1"/>
  <c r="C3070" i="1"/>
  <c r="D3070" i="1"/>
  <c r="E3070" i="1"/>
  <c r="A3071" i="1"/>
  <c r="B3071" i="1"/>
  <c r="C3071" i="1"/>
  <c r="D3071" i="1"/>
  <c r="E3071" i="1"/>
  <c r="A3072" i="1"/>
  <c r="B3072" i="1"/>
  <c r="C3072" i="1"/>
  <c r="D3072" i="1"/>
  <c r="E3072" i="1"/>
  <c r="A3073" i="1"/>
  <c r="B3073" i="1"/>
  <c r="C3073" i="1"/>
  <c r="D3073" i="1"/>
  <c r="E3073" i="1"/>
  <c r="A3074" i="1"/>
  <c r="B3074" i="1"/>
  <c r="C3074" i="1"/>
  <c r="D3074" i="1"/>
  <c r="E3074" i="1"/>
  <c r="A3075" i="1"/>
  <c r="B3075" i="1"/>
  <c r="C3075" i="1"/>
  <c r="D3075" i="1"/>
  <c r="E3075" i="1"/>
  <c r="A3076" i="1"/>
  <c r="B3076" i="1"/>
  <c r="C3076" i="1"/>
  <c r="D3076" i="1"/>
  <c r="E3076" i="1"/>
  <c r="A3077" i="1"/>
  <c r="B3077" i="1"/>
  <c r="C3077" i="1"/>
  <c r="D3077" i="1"/>
  <c r="E3077" i="1"/>
  <c r="A3078" i="1"/>
  <c r="B3078" i="1"/>
  <c r="C3078" i="1"/>
  <c r="D3078" i="1"/>
  <c r="E3078" i="1"/>
  <c r="A3079" i="1"/>
  <c r="B3079" i="1"/>
  <c r="C3079" i="1"/>
  <c r="D3079" i="1"/>
  <c r="E3079" i="1"/>
  <c r="A3080" i="1"/>
  <c r="B3080" i="1"/>
  <c r="C3080" i="1"/>
  <c r="D3080" i="1"/>
  <c r="E3080" i="1"/>
  <c r="A3081" i="1"/>
  <c r="B3081" i="1"/>
  <c r="C3081" i="1"/>
  <c r="D3081" i="1"/>
  <c r="E3081" i="1"/>
  <c r="A3082" i="1"/>
  <c r="B3082" i="1"/>
  <c r="C3082" i="1"/>
  <c r="D3082" i="1"/>
  <c r="E3082" i="1"/>
  <c r="A3083" i="1"/>
  <c r="B3083" i="1"/>
  <c r="C3083" i="1"/>
  <c r="D3083" i="1"/>
  <c r="E3083" i="1"/>
  <c r="A3084" i="1"/>
  <c r="B3084" i="1"/>
  <c r="C3084" i="1"/>
  <c r="D3084" i="1"/>
  <c r="E3084" i="1"/>
  <c r="A3085" i="1"/>
  <c r="B3085" i="1"/>
  <c r="C3085" i="1"/>
  <c r="D3085" i="1"/>
  <c r="E3085" i="1"/>
  <c r="A3086" i="1"/>
  <c r="B3086" i="1"/>
  <c r="C3086" i="1"/>
  <c r="D3086" i="1"/>
  <c r="E3086" i="1"/>
  <c r="A3087" i="1"/>
  <c r="B3087" i="1"/>
  <c r="C3087" i="1"/>
  <c r="D3087" i="1"/>
  <c r="E3087" i="1"/>
  <c r="A3088" i="1"/>
  <c r="B3088" i="1"/>
  <c r="C3088" i="1"/>
  <c r="D3088" i="1"/>
  <c r="E3088" i="1"/>
  <c r="A3089" i="1"/>
  <c r="B3089" i="1"/>
  <c r="C3089" i="1"/>
  <c r="D3089" i="1"/>
  <c r="E3089" i="1"/>
  <c r="A3090" i="1"/>
  <c r="B3090" i="1"/>
  <c r="C3090" i="1"/>
  <c r="D3090" i="1"/>
  <c r="E3090" i="1"/>
  <c r="A3091" i="1"/>
  <c r="B3091" i="1"/>
  <c r="C3091" i="1"/>
  <c r="D3091" i="1"/>
  <c r="E3091" i="1"/>
  <c r="A3092" i="1"/>
  <c r="B3092" i="1"/>
  <c r="C3092" i="1"/>
  <c r="D3092" i="1"/>
  <c r="E3092" i="1"/>
  <c r="A3093" i="1"/>
  <c r="B3093" i="1"/>
  <c r="C3093" i="1"/>
  <c r="D3093" i="1"/>
  <c r="E3093" i="1"/>
  <c r="A3094" i="1"/>
  <c r="B3094" i="1"/>
  <c r="C3094" i="1"/>
  <c r="D3094" i="1"/>
  <c r="E3094" i="1"/>
  <c r="A3095" i="1"/>
  <c r="B3095" i="1"/>
  <c r="C3095" i="1"/>
  <c r="D3095" i="1"/>
  <c r="E3095" i="1"/>
  <c r="A3096" i="1"/>
  <c r="B3096" i="1"/>
  <c r="C3096" i="1"/>
  <c r="D3096" i="1"/>
  <c r="E3096" i="1"/>
  <c r="A3097" i="1"/>
  <c r="B3097" i="1"/>
  <c r="C3097" i="1"/>
  <c r="D3097" i="1"/>
  <c r="E3097" i="1"/>
  <c r="A3098" i="1"/>
  <c r="B3098" i="1"/>
  <c r="C3098" i="1"/>
  <c r="D3098" i="1"/>
  <c r="E3098" i="1"/>
  <c r="A3099" i="1"/>
  <c r="B3099" i="1"/>
  <c r="C3099" i="1"/>
  <c r="D3099" i="1"/>
  <c r="E3099" i="1"/>
  <c r="A3100" i="1"/>
  <c r="B3100" i="1"/>
  <c r="C3100" i="1"/>
  <c r="D3100" i="1"/>
  <c r="E3100" i="1"/>
  <c r="A3101" i="1"/>
  <c r="B3101" i="1"/>
  <c r="C3101" i="1"/>
  <c r="D3101" i="1"/>
  <c r="E3101" i="1"/>
  <c r="A3102" i="1"/>
  <c r="B3102" i="1"/>
  <c r="C3102" i="1"/>
  <c r="D3102" i="1"/>
  <c r="E3102" i="1"/>
  <c r="A3103" i="1"/>
  <c r="B3103" i="1"/>
  <c r="C3103" i="1"/>
  <c r="D3103" i="1"/>
  <c r="E3103" i="1"/>
  <c r="A3104" i="1"/>
  <c r="B3104" i="1"/>
  <c r="C3104" i="1"/>
  <c r="D3104" i="1"/>
  <c r="E3104" i="1"/>
  <c r="A3105" i="1"/>
  <c r="B3105" i="1"/>
  <c r="C3105" i="1"/>
  <c r="D3105" i="1"/>
  <c r="E3105" i="1"/>
  <c r="A3106" i="1"/>
  <c r="B3106" i="1"/>
  <c r="C3106" i="1"/>
  <c r="D3106" i="1"/>
  <c r="E3106" i="1"/>
  <c r="A3107" i="1"/>
  <c r="B3107" i="1"/>
  <c r="C3107" i="1"/>
  <c r="D3107" i="1"/>
  <c r="E3107" i="1"/>
  <c r="A3108" i="1"/>
  <c r="B3108" i="1"/>
  <c r="C3108" i="1"/>
  <c r="D3108" i="1"/>
  <c r="E3108" i="1"/>
  <c r="A3109" i="1"/>
  <c r="B3109" i="1"/>
  <c r="C3109" i="1"/>
  <c r="D3109" i="1"/>
  <c r="E3109" i="1"/>
  <c r="A3110" i="1"/>
  <c r="B3110" i="1"/>
  <c r="C3110" i="1"/>
  <c r="D3110" i="1"/>
  <c r="E3110" i="1"/>
  <c r="A3111" i="1"/>
  <c r="B3111" i="1"/>
  <c r="C3111" i="1"/>
  <c r="D3111" i="1"/>
  <c r="E3111" i="1"/>
  <c r="A3112" i="1"/>
  <c r="B3112" i="1"/>
  <c r="C3112" i="1"/>
  <c r="D3112" i="1"/>
  <c r="E3112" i="1"/>
  <c r="A3113" i="1"/>
  <c r="B3113" i="1"/>
  <c r="C3113" i="1"/>
  <c r="D3113" i="1"/>
  <c r="E3113" i="1"/>
  <c r="A3114" i="1"/>
  <c r="B3114" i="1"/>
  <c r="C3114" i="1"/>
  <c r="D3114" i="1"/>
  <c r="E3114" i="1"/>
  <c r="A3115" i="1"/>
  <c r="B3115" i="1"/>
  <c r="C3115" i="1"/>
  <c r="D3115" i="1"/>
  <c r="E3115" i="1"/>
  <c r="A3116" i="1"/>
  <c r="B3116" i="1"/>
  <c r="C3116" i="1"/>
  <c r="D3116" i="1"/>
  <c r="E3116" i="1"/>
  <c r="A3117" i="1"/>
  <c r="B3117" i="1"/>
  <c r="C3117" i="1"/>
  <c r="D3117" i="1"/>
  <c r="E3117" i="1"/>
  <c r="A3118" i="1"/>
  <c r="B3118" i="1"/>
  <c r="C3118" i="1"/>
  <c r="D3118" i="1"/>
  <c r="E3118" i="1"/>
  <c r="A3119" i="1"/>
  <c r="B3119" i="1"/>
  <c r="C3119" i="1"/>
  <c r="D3119" i="1"/>
  <c r="E3119" i="1"/>
  <c r="A3120" i="1"/>
  <c r="B3120" i="1"/>
  <c r="C3120" i="1"/>
  <c r="D3120" i="1"/>
  <c r="E3120" i="1"/>
  <c r="A3121" i="1"/>
  <c r="B3121" i="1"/>
  <c r="C3121" i="1"/>
  <c r="D3121" i="1"/>
  <c r="E3121" i="1"/>
  <c r="A3122" i="1"/>
  <c r="B3122" i="1"/>
  <c r="C3122" i="1"/>
  <c r="D3122" i="1"/>
  <c r="E3122" i="1"/>
  <c r="A3123" i="1"/>
  <c r="B3123" i="1"/>
  <c r="C3123" i="1"/>
  <c r="D3123" i="1"/>
  <c r="E3123" i="1"/>
  <c r="A3124" i="1"/>
  <c r="B3124" i="1"/>
  <c r="C3124" i="1"/>
  <c r="D3124" i="1"/>
  <c r="E3124" i="1"/>
  <c r="A3125" i="1"/>
  <c r="B3125" i="1"/>
  <c r="C3125" i="1"/>
  <c r="D3125" i="1"/>
  <c r="E3125" i="1"/>
  <c r="A3126" i="1"/>
  <c r="B3126" i="1"/>
  <c r="C3126" i="1"/>
  <c r="D3126" i="1"/>
  <c r="E3126" i="1"/>
  <c r="A3127" i="1"/>
  <c r="B3127" i="1"/>
  <c r="C3127" i="1"/>
  <c r="D3127" i="1"/>
  <c r="E3127" i="1"/>
  <c r="A3128" i="1"/>
  <c r="B3128" i="1"/>
  <c r="C3128" i="1"/>
  <c r="D3128" i="1"/>
  <c r="E3128" i="1"/>
  <c r="A3129" i="1"/>
  <c r="B3129" i="1"/>
  <c r="C3129" i="1"/>
  <c r="D3129" i="1"/>
  <c r="E3129" i="1"/>
  <c r="A3130" i="1"/>
  <c r="B3130" i="1"/>
  <c r="C3130" i="1"/>
  <c r="D3130" i="1"/>
  <c r="E3130" i="1"/>
  <c r="A3131" i="1"/>
  <c r="B3131" i="1"/>
  <c r="C3131" i="1"/>
  <c r="D3131" i="1"/>
  <c r="E3131" i="1"/>
  <c r="A3132" i="1"/>
  <c r="B3132" i="1"/>
  <c r="C3132" i="1"/>
  <c r="D3132" i="1"/>
  <c r="E3132" i="1"/>
  <c r="A3133" i="1"/>
  <c r="B3133" i="1"/>
  <c r="C3133" i="1"/>
  <c r="D3133" i="1"/>
  <c r="E3133" i="1"/>
  <c r="A3134" i="1"/>
  <c r="B3134" i="1"/>
  <c r="C3134" i="1"/>
  <c r="D3134" i="1"/>
  <c r="E3134" i="1"/>
  <c r="A3135" i="1"/>
  <c r="B3135" i="1"/>
  <c r="C3135" i="1"/>
  <c r="D3135" i="1"/>
  <c r="E3135" i="1"/>
  <c r="A3136" i="1"/>
  <c r="B3136" i="1"/>
  <c r="C3136" i="1"/>
  <c r="D3136" i="1"/>
  <c r="E3136" i="1"/>
  <c r="A3137" i="1"/>
  <c r="B3137" i="1"/>
  <c r="C3137" i="1"/>
  <c r="D3137" i="1"/>
  <c r="E3137" i="1"/>
  <c r="A3138" i="1"/>
  <c r="B3138" i="1"/>
  <c r="C3138" i="1"/>
  <c r="D3138" i="1"/>
  <c r="E3138" i="1"/>
  <c r="A3139" i="1"/>
  <c r="B3139" i="1"/>
  <c r="C3139" i="1"/>
  <c r="D3139" i="1"/>
  <c r="E3139" i="1"/>
  <c r="A3140" i="1"/>
  <c r="B3140" i="1"/>
  <c r="C3140" i="1"/>
  <c r="D3140" i="1"/>
  <c r="E3140" i="1"/>
  <c r="A3141" i="1"/>
  <c r="B3141" i="1"/>
  <c r="C3141" i="1"/>
  <c r="D3141" i="1"/>
  <c r="E3141" i="1"/>
  <c r="A3142" i="1"/>
  <c r="B3142" i="1"/>
  <c r="C3142" i="1"/>
  <c r="D3142" i="1"/>
  <c r="E3142" i="1"/>
  <c r="A3143" i="1"/>
  <c r="B3143" i="1"/>
  <c r="C3143" i="1"/>
  <c r="D3143" i="1"/>
  <c r="E3143" i="1"/>
  <c r="A3144" i="1"/>
  <c r="B3144" i="1"/>
  <c r="C3144" i="1"/>
  <c r="D3144" i="1"/>
  <c r="E3144" i="1"/>
  <c r="A3145" i="1"/>
  <c r="B3145" i="1"/>
  <c r="C3145" i="1"/>
  <c r="D3145" i="1"/>
  <c r="E3145" i="1"/>
  <c r="A3146" i="1"/>
  <c r="B3146" i="1"/>
  <c r="C3146" i="1"/>
  <c r="D3146" i="1"/>
  <c r="E3146" i="1"/>
  <c r="A3147" i="1"/>
  <c r="B3147" i="1"/>
  <c r="C3147" i="1"/>
  <c r="D3147" i="1"/>
  <c r="E3147" i="1"/>
  <c r="A3148" i="1"/>
  <c r="B3148" i="1"/>
  <c r="C3148" i="1"/>
  <c r="D3148" i="1"/>
  <c r="E3148" i="1"/>
  <c r="A3149" i="1"/>
  <c r="B3149" i="1"/>
  <c r="C3149" i="1"/>
  <c r="D3149" i="1"/>
  <c r="E3149" i="1"/>
  <c r="A3150" i="1"/>
  <c r="B3150" i="1"/>
  <c r="C3150" i="1"/>
  <c r="D3150" i="1"/>
  <c r="E3150" i="1"/>
  <c r="A3151" i="1"/>
  <c r="B3151" i="1"/>
  <c r="C3151" i="1"/>
  <c r="D3151" i="1"/>
  <c r="E3151" i="1"/>
  <c r="A3152" i="1"/>
  <c r="B3152" i="1"/>
  <c r="C3152" i="1"/>
  <c r="D3152" i="1"/>
  <c r="E3152" i="1"/>
  <c r="A3153" i="1"/>
  <c r="B3153" i="1"/>
  <c r="C3153" i="1"/>
  <c r="D3153" i="1"/>
  <c r="E3153" i="1"/>
  <c r="A3154" i="1"/>
  <c r="B3154" i="1"/>
  <c r="C3154" i="1"/>
  <c r="D3154" i="1"/>
  <c r="E3154" i="1"/>
  <c r="A3155" i="1"/>
  <c r="B3155" i="1"/>
  <c r="C3155" i="1"/>
  <c r="D3155" i="1"/>
  <c r="E3155" i="1"/>
  <c r="A3156" i="1"/>
  <c r="B3156" i="1"/>
  <c r="C3156" i="1"/>
  <c r="D3156" i="1"/>
  <c r="E3156" i="1"/>
  <c r="A3157" i="1"/>
  <c r="B3157" i="1"/>
  <c r="C3157" i="1"/>
  <c r="D3157" i="1"/>
  <c r="E3157" i="1"/>
  <c r="A3158" i="1"/>
  <c r="B3158" i="1"/>
  <c r="C3158" i="1"/>
  <c r="D3158" i="1"/>
  <c r="E3158" i="1"/>
  <c r="A3159" i="1"/>
  <c r="B3159" i="1"/>
  <c r="C3159" i="1"/>
  <c r="D3159" i="1"/>
  <c r="E3159" i="1"/>
  <c r="A3160" i="1"/>
  <c r="B3160" i="1"/>
  <c r="C3160" i="1"/>
  <c r="D3160" i="1"/>
  <c r="E3160" i="1"/>
  <c r="A3161" i="1"/>
  <c r="B3161" i="1"/>
  <c r="C3161" i="1"/>
  <c r="D3161" i="1"/>
  <c r="E3161" i="1"/>
  <c r="A3162" i="1"/>
  <c r="B3162" i="1"/>
  <c r="C3162" i="1"/>
  <c r="D3162" i="1"/>
  <c r="E3162" i="1"/>
  <c r="A3163" i="1"/>
  <c r="B3163" i="1"/>
  <c r="C3163" i="1"/>
  <c r="D3163" i="1"/>
  <c r="E3163" i="1"/>
  <c r="A3164" i="1"/>
  <c r="B3164" i="1"/>
  <c r="C3164" i="1"/>
  <c r="D3164" i="1"/>
  <c r="E3164" i="1"/>
  <c r="A3165" i="1"/>
  <c r="B3165" i="1"/>
  <c r="C3165" i="1"/>
  <c r="D3165" i="1"/>
  <c r="E3165" i="1"/>
  <c r="A3166" i="1"/>
  <c r="B3166" i="1"/>
  <c r="C3166" i="1"/>
  <c r="D3166" i="1"/>
  <c r="E3166" i="1"/>
  <c r="A3167" i="1"/>
  <c r="B3167" i="1"/>
  <c r="C3167" i="1"/>
  <c r="D3167" i="1"/>
  <c r="E3167" i="1"/>
  <c r="A3168" i="1"/>
  <c r="B3168" i="1"/>
  <c r="C3168" i="1"/>
  <c r="D3168" i="1"/>
  <c r="E3168" i="1"/>
  <c r="A3169" i="1"/>
  <c r="B3169" i="1"/>
  <c r="C3169" i="1"/>
  <c r="D3169" i="1"/>
  <c r="E3169" i="1"/>
  <c r="A3170" i="1"/>
  <c r="B3170" i="1"/>
  <c r="C3170" i="1"/>
  <c r="D3170" i="1"/>
  <c r="E3170" i="1"/>
  <c r="A3171" i="1"/>
  <c r="B3171" i="1"/>
  <c r="C3171" i="1"/>
  <c r="D3171" i="1"/>
  <c r="E3171" i="1"/>
  <c r="A3172" i="1"/>
  <c r="B3172" i="1"/>
  <c r="C3172" i="1"/>
  <c r="D3172" i="1"/>
  <c r="E3172" i="1"/>
  <c r="A3173" i="1"/>
  <c r="B3173" i="1"/>
  <c r="C3173" i="1"/>
  <c r="D3173" i="1"/>
  <c r="E3173" i="1"/>
  <c r="A3174" i="1"/>
  <c r="B3174" i="1"/>
  <c r="C3174" i="1"/>
  <c r="D3174" i="1"/>
  <c r="E3174" i="1"/>
  <c r="A3175" i="1"/>
  <c r="B3175" i="1"/>
  <c r="C3175" i="1"/>
  <c r="D3175" i="1"/>
  <c r="E3175" i="1"/>
  <c r="A3176" i="1"/>
  <c r="B3176" i="1"/>
  <c r="C3176" i="1"/>
  <c r="D3176" i="1"/>
  <c r="E3176" i="1"/>
  <c r="A3177" i="1"/>
  <c r="B3177" i="1"/>
  <c r="C3177" i="1"/>
  <c r="D3177" i="1"/>
  <c r="E3177" i="1"/>
  <c r="A3178" i="1"/>
  <c r="B3178" i="1"/>
  <c r="C3178" i="1"/>
  <c r="D3178" i="1"/>
  <c r="E3178" i="1"/>
  <c r="A3179" i="1"/>
  <c r="B3179" i="1"/>
  <c r="C3179" i="1"/>
  <c r="D3179" i="1"/>
  <c r="E3179" i="1"/>
  <c r="A3180" i="1"/>
  <c r="B3180" i="1"/>
  <c r="C3180" i="1"/>
  <c r="D3180" i="1"/>
  <c r="E3180" i="1"/>
  <c r="A3181" i="1"/>
  <c r="B3181" i="1"/>
  <c r="C3181" i="1"/>
  <c r="D3181" i="1"/>
  <c r="E3181" i="1"/>
  <c r="A3182" i="1"/>
  <c r="B3182" i="1"/>
  <c r="C3182" i="1"/>
  <c r="D3182" i="1"/>
  <c r="E3182" i="1"/>
  <c r="A3183" i="1"/>
  <c r="B3183" i="1"/>
  <c r="C3183" i="1"/>
  <c r="D3183" i="1"/>
  <c r="E3183" i="1"/>
  <c r="A3184" i="1"/>
  <c r="B3184" i="1"/>
  <c r="C3184" i="1"/>
  <c r="D3184" i="1"/>
  <c r="E3184" i="1"/>
  <c r="A3185" i="1"/>
  <c r="B3185" i="1"/>
  <c r="C3185" i="1"/>
  <c r="D3185" i="1"/>
  <c r="E3185" i="1"/>
  <c r="A3186" i="1"/>
  <c r="B3186" i="1"/>
  <c r="C3186" i="1"/>
  <c r="D3186" i="1"/>
  <c r="E3186" i="1"/>
  <c r="A3187" i="1"/>
  <c r="B3187" i="1"/>
  <c r="C3187" i="1"/>
  <c r="D3187" i="1"/>
  <c r="E3187" i="1"/>
  <c r="A3188" i="1"/>
  <c r="B3188" i="1"/>
  <c r="C3188" i="1"/>
  <c r="D3188" i="1"/>
  <c r="E3188" i="1"/>
  <c r="A3189" i="1"/>
  <c r="B3189" i="1"/>
  <c r="C3189" i="1"/>
  <c r="D3189" i="1"/>
  <c r="E3189" i="1"/>
  <c r="A3190" i="1"/>
  <c r="B3190" i="1"/>
  <c r="C3190" i="1"/>
  <c r="D3190" i="1"/>
  <c r="E3190" i="1"/>
  <c r="A3191" i="1"/>
  <c r="B3191" i="1"/>
  <c r="C3191" i="1"/>
  <c r="D3191" i="1"/>
  <c r="E3191" i="1"/>
  <c r="A3192" i="1"/>
  <c r="B3192" i="1"/>
  <c r="C3192" i="1"/>
  <c r="D3192" i="1"/>
  <c r="E3192" i="1"/>
  <c r="A3193" i="1"/>
  <c r="B3193" i="1"/>
  <c r="C3193" i="1"/>
  <c r="D3193" i="1"/>
  <c r="E3193" i="1"/>
  <c r="A3194" i="1"/>
  <c r="B3194" i="1"/>
  <c r="C3194" i="1"/>
  <c r="D3194" i="1"/>
  <c r="E3194" i="1"/>
  <c r="A3195" i="1"/>
  <c r="B3195" i="1"/>
  <c r="C3195" i="1"/>
  <c r="D3195" i="1"/>
  <c r="E3195" i="1"/>
  <c r="A3196" i="1"/>
  <c r="B3196" i="1"/>
  <c r="C3196" i="1"/>
  <c r="D3196" i="1"/>
  <c r="E3196" i="1"/>
  <c r="A3197" i="1"/>
  <c r="B3197" i="1"/>
  <c r="C3197" i="1"/>
  <c r="D3197" i="1"/>
  <c r="E3197" i="1"/>
  <c r="A3198" i="1"/>
  <c r="B3198" i="1"/>
  <c r="C3198" i="1"/>
  <c r="D3198" i="1"/>
  <c r="E3198" i="1"/>
  <c r="A3199" i="1"/>
  <c r="B3199" i="1"/>
  <c r="C3199" i="1"/>
  <c r="D3199" i="1"/>
  <c r="E3199" i="1"/>
  <c r="A3200" i="1"/>
  <c r="B3200" i="1"/>
  <c r="C3200" i="1"/>
  <c r="D3200" i="1"/>
  <c r="E3200" i="1"/>
  <c r="A3201" i="1"/>
  <c r="B3201" i="1"/>
  <c r="C3201" i="1"/>
  <c r="D3201" i="1"/>
  <c r="E3201" i="1"/>
  <c r="A3202" i="1"/>
  <c r="B3202" i="1"/>
  <c r="C3202" i="1"/>
  <c r="D3202" i="1"/>
  <c r="E3202" i="1"/>
  <c r="A3203" i="1"/>
  <c r="B3203" i="1"/>
  <c r="C3203" i="1"/>
  <c r="D3203" i="1"/>
  <c r="E3203" i="1"/>
  <c r="A3204" i="1"/>
  <c r="B3204" i="1"/>
  <c r="C3204" i="1"/>
  <c r="D3204" i="1"/>
  <c r="E3204" i="1"/>
  <c r="A3205" i="1"/>
  <c r="B3205" i="1"/>
  <c r="C3205" i="1"/>
  <c r="D3205" i="1"/>
  <c r="E3205" i="1"/>
  <c r="A3206" i="1"/>
  <c r="B3206" i="1"/>
  <c r="C3206" i="1"/>
  <c r="D3206" i="1"/>
  <c r="E3206" i="1"/>
  <c r="A3207" i="1"/>
  <c r="B3207" i="1"/>
  <c r="C3207" i="1"/>
  <c r="D3207" i="1"/>
  <c r="E3207" i="1"/>
  <c r="A3208" i="1"/>
  <c r="B3208" i="1"/>
  <c r="C3208" i="1"/>
  <c r="D3208" i="1"/>
  <c r="E3208" i="1"/>
  <c r="A3209" i="1"/>
  <c r="B3209" i="1"/>
  <c r="C3209" i="1"/>
  <c r="D3209" i="1"/>
  <c r="E3209" i="1"/>
  <c r="A3210" i="1"/>
  <c r="B3210" i="1"/>
  <c r="C3210" i="1"/>
  <c r="D3210" i="1"/>
  <c r="E3210" i="1"/>
  <c r="A3211" i="1"/>
  <c r="B3211" i="1"/>
  <c r="C3211" i="1"/>
  <c r="D3211" i="1"/>
  <c r="E3211" i="1"/>
  <c r="A3212" i="1"/>
  <c r="B3212" i="1"/>
  <c r="C3212" i="1"/>
  <c r="D3212" i="1"/>
  <c r="E3212" i="1"/>
  <c r="A3213" i="1"/>
  <c r="B3213" i="1"/>
  <c r="C3213" i="1"/>
  <c r="D3213" i="1"/>
  <c r="E3213" i="1"/>
  <c r="A3214" i="1"/>
  <c r="B3214" i="1"/>
  <c r="C3214" i="1"/>
  <c r="D3214" i="1"/>
  <c r="E3214" i="1"/>
  <c r="A3215" i="1"/>
  <c r="B3215" i="1"/>
  <c r="C3215" i="1"/>
  <c r="D3215" i="1"/>
  <c r="E3215" i="1"/>
  <c r="A3216" i="1"/>
  <c r="B3216" i="1"/>
  <c r="C3216" i="1"/>
  <c r="D3216" i="1"/>
  <c r="E3216" i="1"/>
  <c r="A3217" i="1"/>
  <c r="B3217" i="1"/>
  <c r="C3217" i="1"/>
  <c r="D3217" i="1"/>
  <c r="E3217" i="1"/>
  <c r="A3218" i="1"/>
  <c r="B3218" i="1"/>
  <c r="C3218" i="1"/>
  <c r="D3218" i="1"/>
  <c r="E3218" i="1"/>
  <c r="A3219" i="1"/>
  <c r="B3219" i="1"/>
  <c r="C3219" i="1"/>
  <c r="D3219" i="1"/>
  <c r="E3219" i="1"/>
  <c r="A3220" i="1"/>
  <c r="B3220" i="1"/>
  <c r="C3220" i="1"/>
  <c r="D3220" i="1"/>
  <c r="E3220" i="1"/>
  <c r="A3221" i="1"/>
  <c r="B3221" i="1"/>
  <c r="C3221" i="1"/>
  <c r="D3221" i="1"/>
  <c r="E3221" i="1"/>
  <c r="A3222" i="1"/>
  <c r="B3222" i="1"/>
  <c r="C3222" i="1"/>
  <c r="D3222" i="1"/>
  <c r="E3222" i="1"/>
  <c r="A3223" i="1"/>
  <c r="B3223" i="1"/>
  <c r="C3223" i="1"/>
  <c r="D3223" i="1"/>
  <c r="E3223" i="1"/>
  <c r="A3224" i="1"/>
  <c r="B3224" i="1"/>
  <c r="C3224" i="1"/>
  <c r="D3224" i="1"/>
  <c r="E3224" i="1"/>
  <c r="A3225" i="1"/>
  <c r="B3225" i="1"/>
  <c r="C3225" i="1"/>
  <c r="D3225" i="1"/>
  <c r="E3225" i="1"/>
  <c r="A3226" i="1"/>
  <c r="B3226" i="1"/>
  <c r="C3226" i="1"/>
  <c r="D3226" i="1"/>
  <c r="E3226" i="1"/>
  <c r="A3227" i="1"/>
  <c r="B3227" i="1"/>
  <c r="C3227" i="1"/>
  <c r="D3227" i="1"/>
  <c r="E3227" i="1"/>
  <c r="A3228" i="1"/>
  <c r="B3228" i="1"/>
  <c r="C3228" i="1"/>
  <c r="D3228" i="1"/>
  <c r="E3228" i="1"/>
  <c r="A3229" i="1"/>
  <c r="B3229" i="1"/>
  <c r="C3229" i="1"/>
  <c r="D3229" i="1"/>
  <c r="E3229" i="1"/>
  <c r="A3230" i="1"/>
  <c r="B3230" i="1"/>
  <c r="C3230" i="1"/>
  <c r="D3230" i="1"/>
  <c r="E3230" i="1"/>
  <c r="A3231" i="1"/>
  <c r="B3231" i="1"/>
  <c r="C3231" i="1"/>
  <c r="D3231" i="1"/>
  <c r="E3231" i="1"/>
  <c r="A3232" i="1"/>
  <c r="B3232" i="1"/>
  <c r="C3232" i="1"/>
  <c r="D3232" i="1"/>
  <c r="E3232" i="1"/>
  <c r="A3233" i="1"/>
  <c r="B3233" i="1"/>
  <c r="C3233" i="1"/>
  <c r="D3233" i="1"/>
  <c r="E3233" i="1"/>
  <c r="A3234" i="1"/>
  <c r="B3234" i="1"/>
  <c r="C3234" i="1"/>
  <c r="D3234" i="1"/>
  <c r="E3234" i="1"/>
  <c r="A3235" i="1"/>
  <c r="B3235" i="1"/>
  <c r="C3235" i="1"/>
  <c r="D3235" i="1"/>
  <c r="E3235" i="1"/>
  <c r="A3236" i="1"/>
  <c r="B3236" i="1"/>
  <c r="C3236" i="1"/>
  <c r="D3236" i="1"/>
  <c r="E3236" i="1"/>
  <c r="A3237" i="1"/>
  <c r="B3237" i="1"/>
  <c r="C3237" i="1"/>
  <c r="D3237" i="1"/>
  <c r="E3237" i="1"/>
  <c r="A3238" i="1"/>
  <c r="B3238" i="1"/>
  <c r="C3238" i="1"/>
  <c r="D3238" i="1"/>
  <c r="E3238" i="1"/>
  <c r="A3239" i="1"/>
  <c r="B3239" i="1"/>
  <c r="C3239" i="1"/>
  <c r="D3239" i="1"/>
  <c r="E3239" i="1"/>
  <c r="A3240" i="1"/>
  <c r="B3240" i="1"/>
  <c r="C3240" i="1"/>
  <c r="D3240" i="1"/>
  <c r="E3240" i="1"/>
  <c r="A3241" i="1"/>
  <c r="B3241" i="1"/>
  <c r="C3241" i="1"/>
  <c r="D3241" i="1"/>
  <c r="E3241" i="1"/>
  <c r="A3242" i="1"/>
  <c r="B3242" i="1"/>
  <c r="C3242" i="1"/>
  <c r="D3242" i="1"/>
  <c r="E3242" i="1"/>
  <c r="A3243" i="1"/>
  <c r="B3243" i="1"/>
  <c r="C3243" i="1"/>
  <c r="D3243" i="1"/>
  <c r="E3243" i="1"/>
  <c r="A3244" i="1"/>
  <c r="B3244" i="1"/>
  <c r="C3244" i="1"/>
  <c r="D3244" i="1"/>
  <c r="E3244" i="1"/>
  <c r="A3245" i="1"/>
  <c r="B3245" i="1"/>
  <c r="C3245" i="1"/>
  <c r="D3245" i="1"/>
  <c r="E3245" i="1"/>
  <c r="A3246" i="1"/>
  <c r="B3246" i="1"/>
  <c r="C3246" i="1"/>
  <c r="D3246" i="1"/>
  <c r="E3246" i="1"/>
  <c r="A3247" i="1"/>
  <c r="B3247" i="1"/>
  <c r="C3247" i="1"/>
  <c r="D3247" i="1"/>
  <c r="E3247" i="1"/>
  <c r="A3248" i="1"/>
  <c r="B3248" i="1"/>
  <c r="C3248" i="1"/>
  <c r="D3248" i="1"/>
  <c r="E3248" i="1"/>
  <c r="A3249" i="1"/>
  <c r="B3249" i="1"/>
  <c r="C3249" i="1"/>
  <c r="D3249" i="1"/>
  <c r="E3249" i="1"/>
  <c r="A3250" i="1"/>
  <c r="B3250" i="1"/>
  <c r="C3250" i="1"/>
  <c r="D3250" i="1"/>
  <c r="E3250" i="1"/>
  <c r="A3251" i="1"/>
  <c r="B3251" i="1"/>
  <c r="C3251" i="1"/>
  <c r="D3251" i="1"/>
  <c r="E3251" i="1"/>
  <c r="A3252" i="1"/>
  <c r="B3252" i="1"/>
  <c r="C3252" i="1"/>
  <c r="D3252" i="1"/>
  <c r="E3252" i="1"/>
  <c r="A3253" i="1"/>
  <c r="B3253" i="1"/>
  <c r="C3253" i="1"/>
  <c r="D3253" i="1"/>
  <c r="E3253" i="1"/>
  <c r="A3254" i="1"/>
  <c r="B3254" i="1"/>
  <c r="C3254" i="1"/>
  <c r="D3254" i="1"/>
  <c r="E3254" i="1"/>
  <c r="A3255" i="1"/>
  <c r="B3255" i="1"/>
  <c r="C3255" i="1"/>
  <c r="D3255" i="1"/>
  <c r="E3255" i="1"/>
  <c r="A3256" i="1"/>
  <c r="B3256" i="1"/>
  <c r="C3256" i="1"/>
  <c r="D3256" i="1"/>
  <c r="E3256" i="1"/>
  <c r="A3257" i="1"/>
  <c r="B3257" i="1"/>
  <c r="C3257" i="1"/>
  <c r="D3257" i="1"/>
  <c r="E3257" i="1"/>
  <c r="A3258" i="1"/>
  <c r="B3258" i="1"/>
  <c r="C3258" i="1"/>
  <c r="D3258" i="1"/>
  <c r="E3258" i="1"/>
  <c r="A3259" i="1"/>
  <c r="B3259" i="1"/>
  <c r="C3259" i="1"/>
  <c r="D3259" i="1"/>
  <c r="E3259" i="1"/>
  <c r="A3260" i="1"/>
  <c r="B3260" i="1"/>
  <c r="C3260" i="1"/>
  <c r="D3260" i="1"/>
  <c r="E3260" i="1"/>
  <c r="A3261" i="1"/>
  <c r="B3261" i="1"/>
  <c r="C3261" i="1"/>
  <c r="D3261" i="1"/>
  <c r="E3261" i="1"/>
  <c r="A3262" i="1"/>
  <c r="B3262" i="1"/>
  <c r="C3262" i="1"/>
  <c r="D3262" i="1"/>
  <c r="E3262" i="1"/>
  <c r="A3263" i="1"/>
  <c r="B3263" i="1"/>
  <c r="C3263" i="1"/>
  <c r="D3263" i="1"/>
  <c r="E3263" i="1"/>
  <c r="A3264" i="1"/>
  <c r="B3264" i="1"/>
  <c r="C3264" i="1"/>
  <c r="D3264" i="1"/>
  <c r="E3264" i="1"/>
  <c r="A3265" i="1"/>
  <c r="B3265" i="1"/>
  <c r="C3265" i="1"/>
  <c r="D3265" i="1"/>
  <c r="E3265" i="1"/>
  <c r="A3266" i="1"/>
  <c r="B3266" i="1"/>
  <c r="C3266" i="1"/>
  <c r="D3266" i="1"/>
  <c r="E3266" i="1"/>
  <c r="A3267" i="1"/>
  <c r="B3267" i="1"/>
  <c r="C3267" i="1"/>
  <c r="D3267" i="1"/>
  <c r="E3267" i="1"/>
  <c r="A3268" i="1"/>
  <c r="B3268" i="1"/>
  <c r="C3268" i="1"/>
  <c r="D3268" i="1"/>
  <c r="E3268" i="1"/>
  <c r="A3269" i="1"/>
  <c r="B3269" i="1"/>
  <c r="C3269" i="1"/>
  <c r="D3269" i="1"/>
  <c r="E3269" i="1"/>
  <c r="A3270" i="1"/>
  <c r="B3270" i="1"/>
  <c r="C3270" i="1"/>
  <c r="D3270" i="1"/>
  <c r="E3270" i="1"/>
  <c r="A3271" i="1"/>
  <c r="B3271" i="1"/>
  <c r="C3271" i="1"/>
  <c r="D3271" i="1"/>
  <c r="E3271" i="1"/>
  <c r="A3272" i="1"/>
  <c r="B3272" i="1"/>
  <c r="C3272" i="1"/>
  <c r="D3272" i="1"/>
  <c r="E3272" i="1"/>
  <c r="A3273" i="1"/>
  <c r="B3273" i="1"/>
  <c r="C3273" i="1"/>
  <c r="D3273" i="1"/>
  <c r="E3273" i="1"/>
  <c r="A3274" i="1"/>
  <c r="B3274" i="1"/>
  <c r="C3274" i="1"/>
  <c r="D3274" i="1"/>
  <c r="E3274" i="1"/>
  <c r="A3275" i="1"/>
  <c r="B3275" i="1"/>
  <c r="C3275" i="1"/>
  <c r="D3275" i="1"/>
  <c r="E3275" i="1"/>
  <c r="A3276" i="1"/>
  <c r="B3276" i="1"/>
  <c r="C3276" i="1"/>
  <c r="D3276" i="1"/>
  <c r="E3276" i="1"/>
  <c r="A3277" i="1"/>
  <c r="B3277" i="1"/>
  <c r="C3277" i="1"/>
  <c r="D3277" i="1"/>
  <c r="E3277" i="1"/>
  <c r="A3278" i="1"/>
  <c r="B3278" i="1"/>
  <c r="C3278" i="1"/>
  <c r="D3278" i="1"/>
  <c r="E3278" i="1"/>
  <c r="A3279" i="1"/>
  <c r="B3279" i="1"/>
  <c r="C3279" i="1"/>
  <c r="D3279" i="1"/>
  <c r="E3279" i="1"/>
  <c r="A3280" i="1"/>
  <c r="B3280" i="1"/>
  <c r="C3280" i="1"/>
  <c r="D3280" i="1"/>
  <c r="E3280" i="1"/>
  <c r="A3281" i="1"/>
  <c r="B3281" i="1"/>
  <c r="C3281" i="1"/>
  <c r="D3281" i="1"/>
  <c r="E3281" i="1"/>
  <c r="A3282" i="1"/>
  <c r="B3282" i="1"/>
  <c r="C3282" i="1"/>
  <c r="D3282" i="1"/>
  <c r="E3282" i="1"/>
  <c r="A3283" i="1"/>
  <c r="B3283" i="1"/>
  <c r="C3283" i="1"/>
  <c r="D3283" i="1"/>
  <c r="E3283" i="1"/>
  <c r="A3284" i="1"/>
  <c r="B3284" i="1"/>
  <c r="C3284" i="1"/>
  <c r="D3284" i="1"/>
  <c r="E3284" i="1"/>
  <c r="A3285" i="1"/>
  <c r="B3285" i="1"/>
  <c r="C3285" i="1"/>
  <c r="D3285" i="1"/>
  <c r="E3285" i="1"/>
  <c r="A3286" i="1"/>
  <c r="B3286" i="1"/>
  <c r="C3286" i="1"/>
  <c r="D3286" i="1"/>
  <c r="E3286" i="1"/>
  <c r="A3287" i="1"/>
  <c r="B3287" i="1"/>
  <c r="C3287" i="1"/>
  <c r="D3287" i="1"/>
  <c r="E3287" i="1"/>
  <c r="A3288" i="1"/>
  <c r="B3288" i="1"/>
  <c r="C3288" i="1"/>
  <c r="D3288" i="1"/>
  <c r="E3288" i="1"/>
  <c r="A3289" i="1"/>
  <c r="B3289" i="1"/>
  <c r="C3289" i="1"/>
  <c r="D3289" i="1"/>
  <c r="E3289" i="1"/>
  <c r="A3290" i="1"/>
  <c r="B3290" i="1"/>
  <c r="C3290" i="1"/>
  <c r="D3290" i="1"/>
  <c r="E3290" i="1"/>
  <c r="A3291" i="1"/>
  <c r="B3291" i="1"/>
  <c r="C3291" i="1"/>
  <c r="D3291" i="1"/>
  <c r="E3291" i="1"/>
  <c r="A3292" i="1"/>
  <c r="B3292" i="1"/>
  <c r="C3292" i="1"/>
  <c r="D3292" i="1"/>
  <c r="E3292" i="1"/>
  <c r="A3293" i="1"/>
  <c r="B3293" i="1"/>
  <c r="C3293" i="1"/>
  <c r="D3293" i="1"/>
  <c r="E3293" i="1"/>
  <c r="A3294" i="1"/>
  <c r="B3294" i="1"/>
  <c r="C3294" i="1"/>
  <c r="D3294" i="1"/>
  <c r="E3294" i="1"/>
  <c r="A3295" i="1"/>
  <c r="B3295" i="1"/>
  <c r="C3295" i="1"/>
  <c r="D3295" i="1"/>
  <c r="E3295" i="1"/>
  <c r="A3296" i="1"/>
  <c r="B3296" i="1"/>
  <c r="C3296" i="1"/>
  <c r="D3296" i="1"/>
  <c r="E3296" i="1"/>
  <c r="A3297" i="1"/>
  <c r="B3297" i="1"/>
  <c r="C3297" i="1"/>
  <c r="D3297" i="1"/>
  <c r="E3297" i="1"/>
  <c r="A3298" i="1"/>
  <c r="B3298" i="1"/>
  <c r="C3298" i="1"/>
  <c r="D3298" i="1"/>
  <c r="E3298" i="1"/>
  <c r="A3299" i="1"/>
  <c r="B3299" i="1"/>
  <c r="C3299" i="1"/>
  <c r="D3299" i="1"/>
  <c r="E3299" i="1"/>
  <c r="A3300" i="1"/>
  <c r="B3300" i="1"/>
  <c r="C3300" i="1"/>
  <c r="D3300" i="1"/>
  <c r="E3300" i="1"/>
  <c r="A3301" i="1"/>
  <c r="B3301" i="1"/>
  <c r="C3301" i="1"/>
  <c r="D3301" i="1"/>
  <c r="E3301" i="1"/>
  <c r="A3302" i="1"/>
  <c r="B3302" i="1"/>
  <c r="C3302" i="1"/>
  <c r="D3302" i="1"/>
  <c r="E3302" i="1"/>
  <c r="A3303" i="1"/>
  <c r="B3303" i="1"/>
  <c r="C3303" i="1"/>
  <c r="D3303" i="1"/>
  <c r="E3303" i="1"/>
  <c r="A3304" i="1"/>
  <c r="B3304" i="1"/>
  <c r="C3304" i="1"/>
  <c r="D3304" i="1"/>
  <c r="E3304" i="1"/>
  <c r="A3305" i="1"/>
  <c r="B3305" i="1"/>
  <c r="C3305" i="1"/>
  <c r="D3305" i="1"/>
  <c r="E3305" i="1"/>
  <c r="A3306" i="1"/>
  <c r="B3306" i="1"/>
  <c r="C3306" i="1"/>
  <c r="D3306" i="1"/>
  <c r="E3306" i="1"/>
  <c r="A3307" i="1"/>
  <c r="B3307" i="1"/>
  <c r="C3307" i="1"/>
  <c r="D3307" i="1"/>
  <c r="E3307" i="1"/>
  <c r="A3308" i="1"/>
  <c r="B3308" i="1"/>
  <c r="C3308" i="1"/>
  <c r="D3308" i="1"/>
  <c r="E3308" i="1"/>
  <c r="A3309" i="1"/>
  <c r="B3309" i="1"/>
  <c r="C3309" i="1"/>
  <c r="D3309" i="1"/>
  <c r="E3309" i="1"/>
  <c r="A3310" i="1"/>
  <c r="B3310" i="1"/>
  <c r="C3310" i="1"/>
  <c r="D3310" i="1"/>
  <c r="E3310" i="1"/>
  <c r="A3311" i="1"/>
  <c r="B3311" i="1"/>
  <c r="C3311" i="1"/>
  <c r="D3311" i="1"/>
  <c r="E3311" i="1"/>
  <c r="A3312" i="1"/>
  <c r="B3312" i="1"/>
  <c r="C3312" i="1"/>
  <c r="D3312" i="1"/>
  <c r="E3312" i="1"/>
  <c r="A3313" i="1"/>
  <c r="B3313" i="1"/>
  <c r="C3313" i="1"/>
  <c r="D3313" i="1"/>
  <c r="E3313" i="1"/>
  <c r="A3314" i="1"/>
  <c r="B3314" i="1"/>
  <c r="C3314" i="1"/>
  <c r="D3314" i="1"/>
  <c r="E3314" i="1"/>
  <c r="A3315" i="1"/>
  <c r="B3315" i="1"/>
  <c r="C3315" i="1"/>
  <c r="D3315" i="1"/>
  <c r="E3315" i="1"/>
  <c r="A3316" i="1"/>
  <c r="B3316" i="1"/>
  <c r="C3316" i="1"/>
  <c r="D3316" i="1"/>
  <c r="E3316" i="1"/>
  <c r="A3317" i="1"/>
  <c r="B3317" i="1"/>
  <c r="C3317" i="1"/>
  <c r="D3317" i="1"/>
  <c r="E3317" i="1"/>
  <c r="A3318" i="1"/>
  <c r="B3318" i="1"/>
  <c r="C3318" i="1"/>
  <c r="D3318" i="1"/>
  <c r="E3318" i="1"/>
  <c r="A3319" i="1"/>
  <c r="B3319" i="1"/>
  <c r="C3319" i="1"/>
  <c r="D3319" i="1"/>
  <c r="E3319" i="1"/>
  <c r="A3320" i="1"/>
  <c r="B3320" i="1"/>
  <c r="C3320" i="1"/>
  <c r="D3320" i="1"/>
  <c r="E3320" i="1"/>
  <c r="A3321" i="1"/>
  <c r="B3321" i="1"/>
  <c r="C3321" i="1"/>
  <c r="D3321" i="1"/>
  <c r="E3321" i="1"/>
  <c r="A3322" i="1"/>
  <c r="B3322" i="1"/>
  <c r="C3322" i="1"/>
  <c r="D3322" i="1"/>
  <c r="E3322" i="1"/>
  <c r="A3323" i="1"/>
  <c r="B3323" i="1"/>
  <c r="C3323" i="1"/>
  <c r="D3323" i="1"/>
  <c r="E3323" i="1"/>
  <c r="A3324" i="1"/>
  <c r="B3324" i="1"/>
  <c r="C3324" i="1"/>
  <c r="D3324" i="1"/>
  <c r="E3324" i="1"/>
  <c r="A3325" i="1"/>
  <c r="B3325" i="1"/>
  <c r="C3325" i="1"/>
  <c r="D3325" i="1"/>
  <c r="E3325" i="1"/>
  <c r="A3326" i="1"/>
  <c r="B3326" i="1"/>
  <c r="C3326" i="1"/>
  <c r="D3326" i="1"/>
  <c r="E3326" i="1"/>
  <c r="A3327" i="1"/>
  <c r="B3327" i="1"/>
  <c r="C3327" i="1"/>
  <c r="D3327" i="1"/>
  <c r="E3327" i="1"/>
  <c r="A3328" i="1"/>
  <c r="B3328" i="1"/>
  <c r="C3328" i="1"/>
  <c r="D3328" i="1"/>
  <c r="E3328" i="1"/>
  <c r="A3329" i="1"/>
  <c r="B3329" i="1"/>
  <c r="C3329" i="1"/>
  <c r="D3329" i="1"/>
  <c r="E3329" i="1"/>
  <c r="A3330" i="1"/>
  <c r="B3330" i="1"/>
  <c r="C3330" i="1"/>
  <c r="D3330" i="1"/>
  <c r="E3330" i="1"/>
  <c r="A3331" i="1"/>
  <c r="B3331" i="1"/>
  <c r="C3331" i="1"/>
  <c r="D3331" i="1"/>
  <c r="E3331" i="1"/>
  <c r="A3332" i="1"/>
  <c r="B3332" i="1"/>
  <c r="C3332" i="1"/>
  <c r="D3332" i="1"/>
  <c r="E3332" i="1"/>
  <c r="A3333" i="1"/>
  <c r="B3333" i="1"/>
  <c r="C3333" i="1"/>
  <c r="D3333" i="1"/>
  <c r="E3333" i="1"/>
  <c r="A3334" i="1"/>
  <c r="B3334" i="1"/>
  <c r="C3334" i="1"/>
  <c r="D3334" i="1"/>
  <c r="E3334" i="1"/>
  <c r="A3335" i="1"/>
  <c r="B3335" i="1"/>
  <c r="C3335" i="1"/>
  <c r="D3335" i="1"/>
  <c r="E3335" i="1"/>
  <c r="A3336" i="1"/>
  <c r="B3336" i="1"/>
  <c r="C3336" i="1"/>
  <c r="D3336" i="1"/>
  <c r="E3336" i="1"/>
  <c r="A3337" i="1"/>
  <c r="B3337" i="1"/>
  <c r="C3337" i="1"/>
  <c r="D3337" i="1"/>
  <c r="E3337" i="1"/>
  <c r="A3338" i="1"/>
  <c r="B3338" i="1"/>
  <c r="C3338" i="1"/>
  <c r="D3338" i="1"/>
  <c r="E3338" i="1"/>
  <c r="A3339" i="1"/>
  <c r="B3339" i="1"/>
  <c r="C3339" i="1"/>
  <c r="D3339" i="1"/>
  <c r="E3339" i="1"/>
  <c r="A3340" i="1"/>
  <c r="B3340" i="1"/>
  <c r="C3340" i="1"/>
  <c r="D3340" i="1"/>
  <c r="E3340" i="1"/>
  <c r="A3341" i="1"/>
  <c r="B3341" i="1"/>
  <c r="C3341" i="1"/>
  <c r="D3341" i="1"/>
  <c r="E3341" i="1"/>
  <c r="A3342" i="1"/>
  <c r="B3342" i="1"/>
  <c r="C3342" i="1"/>
  <c r="D3342" i="1"/>
  <c r="E3342" i="1"/>
  <c r="A3343" i="1"/>
  <c r="B3343" i="1"/>
  <c r="C3343" i="1"/>
  <c r="D3343" i="1"/>
  <c r="E3343" i="1"/>
  <c r="A3344" i="1"/>
  <c r="B3344" i="1"/>
  <c r="C3344" i="1"/>
  <c r="D3344" i="1"/>
  <c r="E3344" i="1"/>
  <c r="A3345" i="1"/>
  <c r="B3345" i="1"/>
  <c r="C3345" i="1"/>
  <c r="D3345" i="1"/>
  <c r="E3345" i="1"/>
  <c r="A3346" i="1"/>
  <c r="B3346" i="1"/>
  <c r="C3346" i="1"/>
  <c r="D3346" i="1"/>
  <c r="E3346" i="1"/>
  <c r="A3347" i="1"/>
  <c r="B3347" i="1"/>
  <c r="C3347" i="1"/>
  <c r="D3347" i="1"/>
  <c r="E3347" i="1"/>
  <c r="A3348" i="1"/>
  <c r="B3348" i="1"/>
  <c r="C3348" i="1"/>
  <c r="D3348" i="1"/>
  <c r="E3348" i="1"/>
  <c r="A3349" i="1"/>
  <c r="B3349" i="1"/>
  <c r="C3349" i="1"/>
  <c r="D3349" i="1"/>
  <c r="E3349" i="1"/>
  <c r="A3350" i="1"/>
  <c r="B3350" i="1"/>
  <c r="C3350" i="1"/>
  <c r="D3350" i="1"/>
  <c r="E3350" i="1"/>
  <c r="A3351" i="1"/>
  <c r="B3351" i="1"/>
  <c r="C3351" i="1"/>
  <c r="D3351" i="1"/>
  <c r="E3351" i="1"/>
  <c r="A3352" i="1"/>
  <c r="B3352" i="1"/>
  <c r="C3352" i="1"/>
  <c r="D3352" i="1"/>
  <c r="E3352" i="1"/>
  <c r="A3353" i="1"/>
  <c r="B3353" i="1"/>
  <c r="C3353" i="1"/>
  <c r="D3353" i="1"/>
  <c r="E3353" i="1"/>
  <c r="A3354" i="1"/>
  <c r="B3354" i="1"/>
  <c r="C3354" i="1"/>
  <c r="D3354" i="1"/>
  <c r="E3354" i="1"/>
  <c r="A3355" i="1"/>
  <c r="B3355" i="1"/>
  <c r="C3355" i="1"/>
  <c r="D3355" i="1"/>
  <c r="E3355" i="1"/>
  <c r="A3356" i="1"/>
  <c r="B3356" i="1"/>
  <c r="C3356" i="1"/>
  <c r="D3356" i="1"/>
  <c r="E3356" i="1"/>
  <c r="A3357" i="1"/>
  <c r="B3357" i="1"/>
  <c r="C3357" i="1"/>
  <c r="D3357" i="1"/>
  <c r="E3357" i="1"/>
  <c r="A3358" i="1"/>
  <c r="B3358" i="1"/>
  <c r="C3358" i="1"/>
  <c r="D3358" i="1"/>
  <c r="E3358" i="1"/>
  <c r="A3359" i="1"/>
  <c r="B3359" i="1"/>
  <c r="C3359" i="1"/>
  <c r="D3359" i="1"/>
  <c r="E3359" i="1"/>
  <c r="A3360" i="1"/>
  <c r="B3360" i="1"/>
  <c r="C3360" i="1"/>
  <c r="D3360" i="1"/>
  <c r="E3360" i="1"/>
  <c r="A3361" i="1"/>
  <c r="B3361" i="1"/>
  <c r="C3361" i="1"/>
  <c r="D3361" i="1"/>
  <c r="E3361" i="1"/>
  <c r="A3362" i="1"/>
  <c r="B3362" i="1"/>
  <c r="C3362" i="1"/>
  <c r="D3362" i="1"/>
  <c r="E3362" i="1"/>
  <c r="A3363" i="1"/>
  <c r="B3363" i="1"/>
  <c r="C3363" i="1"/>
  <c r="D3363" i="1"/>
  <c r="E3363" i="1"/>
  <c r="A3364" i="1"/>
  <c r="B3364" i="1"/>
  <c r="C3364" i="1"/>
  <c r="D3364" i="1"/>
  <c r="E3364" i="1"/>
  <c r="A3365" i="1"/>
  <c r="B3365" i="1"/>
  <c r="C3365" i="1"/>
  <c r="D3365" i="1"/>
  <c r="E3365" i="1"/>
  <c r="A3366" i="1"/>
  <c r="B3366" i="1"/>
  <c r="C3366" i="1"/>
  <c r="D3366" i="1"/>
  <c r="E3366" i="1"/>
  <c r="A3367" i="1"/>
  <c r="B3367" i="1"/>
  <c r="C3367" i="1"/>
  <c r="D3367" i="1"/>
  <c r="E3367" i="1"/>
  <c r="A3368" i="1"/>
  <c r="B3368" i="1"/>
  <c r="C3368" i="1"/>
  <c r="D3368" i="1"/>
  <c r="E3368" i="1"/>
  <c r="A3369" i="1"/>
  <c r="B3369" i="1"/>
  <c r="C3369" i="1"/>
  <c r="D3369" i="1"/>
  <c r="E3369" i="1"/>
  <c r="A3370" i="1"/>
  <c r="B3370" i="1"/>
  <c r="C3370" i="1"/>
  <c r="D3370" i="1"/>
  <c r="E3370" i="1"/>
  <c r="A3371" i="1"/>
  <c r="B3371" i="1"/>
  <c r="C3371" i="1"/>
  <c r="D3371" i="1"/>
  <c r="E3371" i="1"/>
  <c r="A3372" i="1"/>
  <c r="B3372" i="1"/>
  <c r="C3372" i="1"/>
  <c r="D3372" i="1"/>
  <c r="E3372" i="1"/>
  <c r="A3373" i="1"/>
  <c r="B3373" i="1"/>
  <c r="C3373" i="1"/>
  <c r="D3373" i="1"/>
  <c r="E3373" i="1"/>
  <c r="A3374" i="1"/>
  <c r="B3374" i="1"/>
  <c r="C3374" i="1"/>
  <c r="D3374" i="1"/>
  <c r="E3374" i="1"/>
  <c r="A3375" i="1"/>
  <c r="B3375" i="1"/>
  <c r="C3375" i="1"/>
  <c r="D3375" i="1"/>
  <c r="E3375" i="1"/>
  <c r="A3376" i="1"/>
  <c r="B3376" i="1"/>
  <c r="C3376" i="1"/>
  <c r="D3376" i="1"/>
  <c r="E3376" i="1"/>
  <c r="A3377" i="1"/>
  <c r="B3377" i="1"/>
  <c r="C3377" i="1"/>
  <c r="D3377" i="1"/>
  <c r="E3377" i="1"/>
  <c r="A3378" i="1"/>
  <c r="B3378" i="1"/>
  <c r="C3378" i="1"/>
  <c r="D3378" i="1"/>
  <c r="E3378" i="1"/>
  <c r="A3379" i="1"/>
  <c r="B3379" i="1"/>
  <c r="C3379" i="1"/>
  <c r="D3379" i="1"/>
  <c r="E3379" i="1"/>
  <c r="A3380" i="1"/>
  <c r="B3380" i="1"/>
  <c r="C3380" i="1"/>
  <c r="D3380" i="1"/>
  <c r="E3380" i="1"/>
  <c r="A3381" i="1"/>
  <c r="B3381" i="1"/>
  <c r="C3381" i="1"/>
  <c r="D3381" i="1"/>
  <c r="E3381" i="1"/>
  <c r="A3382" i="1"/>
  <c r="B3382" i="1"/>
  <c r="C3382" i="1"/>
  <c r="D3382" i="1"/>
  <c r="E3382" i="1"/>
  <c r="A3383" i="1"/>
  <c r="B3383" i="1"/>
  <c r="C3383" i="1"/>
  <c r="D3383" i="1"/>
  <c r="E3383" i="1"/>
  <c r="A3384" i="1"/>
  <c r="B3384" i="1"/>
  <c r="C3384" i="1"/>
  <c r="D3384" i="1"/>
  <c r="E3384" i="1"/>
  <c r="A3385" i="1"/>
  <c r="B3385" i="1"/>
  <c r="C3385" i="1"/>
  <c r="D3385" i="1"/>
  <c r="E3385" i="1"/>
  <c r="A3386" i="1"/>
  <c r="B3386" i="1"/>
  <c r="C3386" i="1"/>
  <c r="D3386" i="1"/>
  <c r="E3386" i="1"/>
  <c r="A3387" i="1"/>
  <c r="B3387" i="1"/>
  <c r="C3387" i="1"/>
  <c r="D3387" i="1"/>
  <c r="E3387" i="1"/>
  <c r="A3388" i="1"/>
  <c r="B3388" i="1"/>
  <c r="C3388" i="1"/>
  <c r="D3388" i="1"/>
  <c r="E3388" i="1"/>
  <c r="A3389" i="1"/>
  <c r="B3389" i="1"/>
  <c r="C3389" i="1"/>
  <c r="D3389" i="1"/>
  <c r="E3389" i="1"/>
  <c r="A3390" i="1"/>
  <c r="B3390" i="1"/>
  <c r="C3390" i="1"/>
  <c r="D3390" i="1"/>
  <c r="E3390" i="1"/>
  <c r="A3391" i="1"/>
  <c r="B3391" i="1"/>
  <c r="C3391" i="1"/>
  <c r="D3391" i="1"/>
  <c r="E3391" i="1"/>
  <c r="A3392" i="1"/>
  <c r="B3392" i="1"/>
  <c r="C3392" i="1"/>
  <c r="D3392" i="1"/>
  <c r="E3392" i="1"/>
  <c r="A3393" i="1"/>
  <c r="B3393" i="1"/>
  <c r="C3393" i="1"/>
  <c r="D3393" i="1"/>
  <c r="E3393" i="1"/>
  <c r="A3394" i="1"/>
  <c r="B3394" i="1"/>
  <c r="C3394" i="1"/>
  <c r="D3394" i="1"/>
  <c r="E3394" i="1"/>
  <c r="A3395" i="1"/>
  <c r="B3395" i="1"/>
  <c r="C3395" i="1"/>
  <c r="D3395" i="1"/>
  <c r="E3395" i="1"/>
  <c r="A3396" i="1"/>
  <c r="B3396" i="1"/>
  <c r="C3396" i="1"/>
  <c r="D3396" i="1"/>
  <c r="E3396" i="1"/>
  <c r="A3397" i="1"/>
  <c r="B3397" i="1"/>
  <c r="C3397" i="1"/>
  <c r="D3397" i="1"/>
  <c r="E3397" i="1"/>
  <c r="A3398" i="1"/>
  <c r="B3398" i="1"/>
  <c r="C3398" i="1"/>
  <c r="D3398" i="1"/>
  <c r="E3398" i="1"/>
  <c r="A3399" i="1"/>
  <c r="B3399" i="1"/>
  <c r="C3399" i="1"/>
  <c r="D3399" i="1"/>
  <c r="E3399" i="1"/>
  <c r="A3400" i="1"/>
  <c r="B3400" i="1"/>
  <c r="C3400" i="1"/>
  <c r="D3400" i="1"/>
  <c r="E3400" i="1"/>
  <c r="A3401" i="1"/>
  <c r="B3401" i="1"/>
  <c r="C3401" i="1"/>
  <c r="D3401" i="1"/>
  <c r="E3401" i="1"/>
  <c r="A3402" i="1"/>
  <c r="B3402" i="1"/>
  <c r="C3402" i="1"/>
  <c r="D3402" i="1"/>
  <c r="E3402" i="1"/>
  <c r="A3403" i="1"/>
  <c r="B3403" i="1"/>
  <c r="C3403" i="1"/>
  <c r="D3403" i="1"/>
  <c r="E3403" i="1"/>
  <c r="A3404" i="1"/>
  <c r="B3404" i="1"/>
  <c r="C3404" i="1"/>
  <c r="D3404" i="1"/>
  <c r="E3404" i="1"/>
  <c r="A3405" i="1"/>
  <c r="B3405" i="1"/>
  <c r="C3405" i="1"/>
  <c r="D3405" i="1"/>
  <c r="E3405" i="1"/>
  <c r="A3406" i="1"/>
  <c r="B3406" i="1"/>
  <c r="C3406" i="1"/>
  <c r="D3406" i="1"/>
  <c r="E3406" i="1"/>
  <c r="A3407" i="1"/>
  <c r="B3407" i="1"/>
  <c r="C3407" i="1"/>
  <c r="D3407" i="1"/>
  <c r="E3407" i="1"/>
  <c r="A3408" i="1"/>
  <c r="B3408" i="1"/>
  <c r="C3408" i="1"/>
  <c r="D3408" i="1"/>
  <c r="E3408" i="1"/>
  <c r="A3409" i="1"/>
  <c r="B3409" i="1"/>
  <c r="C3409" i="1"/>
  <c r="D3409" i="1"/>
  <c r="E3409" i="1"/>
  <c r="A3410" i="1"/>
  <c r="B3410" i="1"/>
  <c r="C3410" i="1"/>
  <c r="D3410" i="1"/>
  <c r="E3410" i="1"/>
  <c r="A3411" i="1"/>
  <c r="B3411" i="1"/>
  <c r="C3411" i="1"/>
  <c r="D3411" i="1"/>
  <c r="E3411" i="1"/>
  <c r="A3412" i="1"/>
  <c r="B3412" i="1"/>
  <c r="C3412" i="1"/>
  <c r="D3412" i="1"/>
  <c r="E3412" i="1"/>
  <c r="A3413" i="1"/>
  <c r="B3413" i="1"/>
  <c r="C3413" i="1"/>
  <c r="D3413" i="1"/>
  <c r="E3413" i="1"/>
  <c r="A3414" i="1"/>
  <c r="B3414" i="1"/>
  <c r="C3414" i="1"/>
  <c r="D3414" i="1"/>
  <c r="E3414" i="1"/>
  <c r="A3415" i="1"/>
  <c r="B3415" i="1"/>
  <c r="C3415" i="1"/>
  <c r="D3415" i="1"/>
  <c r="E3415" i="1"/>
  <c r="A3416" i="1"/>
  <c r="B3416" i="1"/>
  <c r="C3416" i="1"/>
  <c r="D3416" i="1"/>
  <c r="E3416" i="1"/>
  <c r="A3417" i="1"/>
  <c r="B3417" i="1"/>
  <c r="C3417" i="1"/>
  <c r="D3417" i="1"/>
  <c r="E3417" i="1"/>
  <c r="A3418" i="1"/>
  <c r="B3418" i="1"/>
  <c r="C3418" i="1"/>
  <c r="D3418" i="1"/>
  <c r="E3418" i="1"/>
  <c r="A3419" i="1"/>
  <c r="B3419" i="1"/>
  <c r="C3419" i="1"/>
  <c r="D3419" i="1"/>
  <c r="E3419" i="1"/>
  <c r="A3420" i="1"/>
  <c r="B3420" i="1"/>
  <c r="C3420" i="1"/>
  <c r="D3420" i="1"/>
  <c r="E3420" i="1"/>
  <c r="A3421" i="1"/>
  <c r="B3421" i="1"/>
  <c r="C3421" i="1"/>
  <c r="D3421" i="1"/>
  <c r="E3421" i="1"/>
  <c r="A3422" i="1"/>
  <c r="B3422" i="1"/>
  <c r="C3422" i="1"/>
  <c r="D3422" i="1"/>
  <c r="E3422" i="1"/>
  <c r="A3423" i="1"/>
  <c r="B3423" i="1"/>
  <c r="C3423" i="1"/>
  <c r="D3423" i="1"/>
  <c r="E3423" i="1"/>
  <c r="A3424" i="1"/>
  <c r="B3424" i="1"/>
  <c r="C3424" i="1"/>
  <c r="D3424" i="1"/>
  <c r="E3424" i="1"/>
  <c r="A3425" i="1"/>
  <c r="B3425" i="1"/>
  <c r="C3425" i="1"/>
  <c r="D3425" i="1"/>
  <c r="E3425" i="1"/>
  <c r="A3426" i="1"/>
  <c r="B3426" i="1"/>
  <c r="C3426" i="1"/>
  <c r="D3426" i="1"/>
  <c r="E3426" i="1"/>
  <c r="A3427" i="1"/>
  <c r="B3427" i="1"/>
  <c r="C3427" i="1"/>
  <c r="D3427" i="1"/>
  <c r="E3427" i="1"/>
  <c r="A3428" i="1"/>
  <c r="B3428" i="1"/>
  <c r="C3428" i="1"/>
  <c r="D3428" i="1"/>
  <c r="E3428" i="1"/>
  <c r="A3429" i="1"/>
  <c r="B3429" i="1"/>
  <c r="C3429" i="1"/>
  <c r="D3429" i="1"/>
  <c r="E3429" i="1"/>
  <c r="A3430" i="1"/>
  <c r="B3430" i="1"/>
  <c r="C3430" i="1"/>
  <c r="D3430" i="1"/>
  <c r="E3430" i="1"/>
  <c r="A3431" i="1"/>
  <c r="B3431" i="1"/>
  <c r="C3431" i="1"/>
  <c r="D3431" i="1"/>
  <c r="E3431" i="1"/>
  <c r="A3432" i="1"/>
  <c r="B3432" i="1"/>
  <c r="C3432" i="1"/>
  <c r="D3432" i="1"/>
  <c r="E3432" i="1"/>
  <c r="A3433" i="1"/>
  <c r="B3433" i="1"/>
  <c r="C3433" i="1"/>
  <c r="D3433" i="1"/>
  <c r="E3433" i="1"/>
  <c r="A3434" i="1"/>
  <c r="B3434" i="1"/>
  <c r="C3434" i="1"/>
  <c r="D3434" i="1"/>
  <c r="E3434" i="1"/>
  <c r="A3435" i="1"/>
  <c r="B3435" i="1"/>
  <c r="C3435" i="1"/>
  <c r="D3435" i="1"/>
  <c r="E3435" i="1"/>
  <c r="A3436" i="1"/>
  <c r="B3436" i="1"/>
  <c r="C3436" i="1"/>
  <c r="D3436" i="1"/>
  <c r="E3436" i="1"/>
  <c r="A3437" i="1"/>
  <c r="B3437" i="1"/>
  <c r="C3437" i="1"/>
  <c r="D3437" i="1"/>
  <c r="E3437" i="1"/>
  <c r="A3438" i="1"/>
  <c r="B3438" i="1"/>
  <c r="C3438" i="1"/>
  <c r="D3438" i="1"/>
  <c r="E3438" i="1"/>
  <c r="A3439" i="1"/>
  <c r="B3439" i="1"/>
  <c r="C3439" i="1"/>
  <c r="D3439" i="1"/>
  <c r="E3439" i="1"/>
  <c r="A3440" i="1"/>
  <c r="B3440" i="1"/>
  <c r="C3440" i="1"/>
  <c r="D3440" i="1"/>
  <c r="E3440" i="1"/>
  <c r="A3441" i="1"/>
  <c r="B3441" i="1"/>
  <c r="C3441" i="1"/>
  <c r="D3441" i="1"/>
  <c r="E3441" i="1"/>
  <c r="A3442" i="1"/>
  <c r="B3442" i="1"/>
  <c r="C3442" i="1"/>
  <c r="D3442" i="1"/>
  <c r="E3442" i="1"/>
  <c r="A3443" i="1"/>
  <c r="B3443" i="1"/>
  <c r="C3443" i="1"/>
  <c r="D3443" i="1"/>
  <c r="E3443" i="1"/>
  <c r="A3444" i="1"/>
  <c r="B3444" i="1"/>
  <c r="C3444" i="1"/>
  <c r="D3444" i="1"/>
  <c r="E3444" i="1"/>
  <c r="A3445" i="1"/>
  <c r="B3445" i="1"/>
  <c r="C3445" i="1"/>
  <c r="D3445" i="1"/>
  <c r="E3445" i="1"/>
  <c r="A3446" i="1"/>
  <c r="B3446" i="1"/>
  <c r="C3446" i="1"/>
  <c r="D3446" i="1"/>
  <c r="E3446" i="1"/>
  <c r="A3447" i="1"/>
  <c r="B3447" i="1"/>
  <c r="C3447" i="1"/>
  <c r="D3447" i="1"/>
  <c r="E3447" i="1"/>
  <c r="A3448" i="1"/>
  <c r="B3448" i="1"/>
  <c r="C3448" i="1"/>
  <c r="D3448" i="1"/>
  <c r="E3448" i="1"/>
  <c r="A3449" i="1"/>
  <c r="B3449" i="1"/>
  <c r="C3449" i="1"/>
  <c r="D3449" i="1"/>
  <c r="E3449" i="1"/>
  <c r="A3450" i="1"/>
  <c r="B3450" i="1"/>
  <c r="C3450" i="1"/>
  <c r="D3450" i="1"/>
  <c r="E3450" i="1"/>
  <c r="A3451" i="1"/>
  <c r="B3451" i="1"/>
  <c r="C3451" i="1"/>
  <c r="D3451" i="1"/>
  <c r="E3451" i="1"/>
  <c r="A3452" i="1"/>
  <c r="B3452" i="1"/>
  <c r="C3452" i="1"/>
  <c r="D3452" i="1"/>
  <c r="E3452" i="1"/>
  <c r="A3453" i="1"/>
  <c r="B3453" i="1"/>
  <c r="C3453" i="1"/>
  <c r="D3453" i="1"/>
  <c r="E3453" i="1"/>
  <c r="A3454" i="1"/>
  <c r="B3454" i="1"/>
  <c r="C3454" i="1"/>
  <c r="D3454" i="1"/>
  <c r="E3454" i="1"/>
  <c r="A3455" i="1"/>
  <c r="B3455" i="1"/>
  <c r="C3455" i="1"/>
  <c r="D3455" i="1"/>
  <c r="E3455" i="1"/>
  <c r="A3456" i="1"/>
  <c r="B3456" i="1"/>
  <c r="C3456" i="1"/>
  <c r="D3456" i="1"/>
  <c r="E3456" i="1"/>
  <c r="A3457" i="1"/>
  <c r="B3457" i="1"/>
  <c r="C3457" i="1"/>
  <c r="D3457" i="1"/>
  <c r="E3457" i="1"/>
  <c r="A3458" i="1"/>
  <c r="B3458" i="1"/>
  <c r="C3458" i="1"/>
  <c r="D3458" i="1"/>
  <c r="E3458" i="1"/>
  <c r="A3459" i="1"/>
  <c r="B3459" i="1"/>
  <c r="C3459" i="1"/>
  <c r="D3459" i="1"/>
  <c r="E3459" i="1"/>
  <c r="A3460" i="1"/>
  <c r="B3460" i="1"/>
  <c r="C3460" i="1"/>
  <c r="D3460" i="1"/>
  <c r="E3460" i="1"/>
  <c r="A3461" i="1"/>
  <c r="B3461" i="1"/>
  <c r="C3461" i="1"/>
  <c r="D3461" i="1"/>
  <c r="E3461" i="1"/>
  <c r="A3462" i="1"/>
  <c r="B3462" i="1"/>
  <c r="C3462" i="1"/>
  <c r="D3462" i="1"/>
  <c r="E3462" i="1"/>
  <c r="A3463" i="1"/>
  <c r="B3463" i="1"/>
  <c r="C3463" i="1"/>
  <c r="D3463" i="1"/>
  <c r="E3463" i="1"/>
  <c r="A3464" i="1"/>
  <c r="B3464" i="1"/>
  <c r="C3464" i="1"/>
  <c r="D3464" i="1"/>
  <c r="E3464" i="1"/>
  <c r="A3465" i="1"/>
  <c r="B3465" i="1"/>
  <c r="C3465" i="1"/>
  <c r="D3465" i="1"/>
  <c r="E3465" i="1"/>
  <c r="A3466" i="1"/>
  <c r="B3466" i="1"/>
  <c r="C3466" i="1"/>
  <c r="D3466" i="1"/>
  <c r="E3466" i="1"/>
  <c r="A3467" i="1"/>
  <c r="B3467" i="1"/>
  <c r="C3467" i="1"/>
  <c r="D3467" i="1"/>
  <c r="E3467" i="1"/>
  <c r="A3468" i="1"/>
  <c r="B3468" i="1"/>
  <c r="C3468" i="1"/>
  <c r="D3468" i="1"/>
  <c r="E3468" i="1"/>
  <c r="A3469" i="1"/>
  <c r="B3469" i="1"/>
  <c r="C3469" i="1"/>
  <c r="D3469" i="1"/>
  <c r="E3469" i="1"/>
  <c r="A3470" i="1"/>
  <c r="B3470" i="1"/>
  <c r="C3470" i="1"/>
  <c r="D3470" i="1"/>
  <c r="E3470" i="1"/>
  <c r="A3471" i="1"/>
  <c r="B3471" i="1"/>
  <c r="C3471" i="1"/>
  <c r="D3471" i="1"/>
  <c r="E3471" i="1"/>
  <c r="A3472" i="1"/>
  <c r="B3472" i="1"/>
  <c r="C3472" i="1"/>
  <c r="D3472" i="1"/>
  <c r="E3472" i="1"/>
  <c r="A3473" i="1"/>
  <c r="B3473" i="1"/>
  <c r="C3473" i="1"/>
  <c r="D3473" i="1"/>
  <c r="E3473" i="1"/>
  <c r="A3474" i="1"/>
  <c r="B3474" i="1"/>
  <c r="C3474" i="1"/>
  <c r="D3474" i="1"/>
  <c r="E3474" i="1"/>
  <c r="A3475" i="1"/>
  <c r="B3475" i="1"/>
  <c r="C3475" i="1"/>
  <c r="D3475" i="1"/>
  <c r="E3475" i="1"/>
  <c r="A3476" i="1"/>
  <c r="B3476" i="1"/>
  <c r="C3476" i="1"/>
  <c r="D3476" i="1"/>
  <c r="E3476" i="1"/>
  <c r="A3477" i="1"/>
  <c r="B3477" i="1"/>
  <c r="C3477" i="1"/>
  <c r="D3477" i="1"/>
  <c r="E3477" i="1"/>
  <c r="A3478" i="1"/>
  <c r="B3478" i="1"/>
  <c r="C3478" i="1"/>
  <c r="D3478" i="1"/>
  <c r="E3478" i="1"/>
  <c r="A3479" i="1"/>
  <c r="B3479" i="1"/>
  <c r="C3479" i="1"/>
  <c r="D3479" i="1"/>
  <c r="E3479" i="1"/>
  <c r="A3480" i="1"/>
  <c r="B3480" i="1"/>
  <c r="C3480" i="1"/>
  <c r="D3480" i="1"/>
  <c r="E3480" i="1"/>
  <c r="A3481" i="1"/>
  <c r="B3481" i="1"/>
  <c r="C3481" i="1"/>
  <c r="D3481" i="1"/>
  <c r="E3481" i="1"/>
  <c r="A3482" i="1"/>
  <c r="B3482" i="1"/>
  <c r="C3482" i="1"/>
  <c r="D3482" i="1"/>
  <c r="E3482" i="1"/>
  <c r="A3483" i="1"/>
  <c r="B3483" i="1"/>
  <c r="C3483" i="1"/>
  <c r="D3483" i="1"/>
  <c r="E3483" i="1"/>
  <c r="A3484" i="1"/>
  <c r="B3484" i="1"/>
  <c r="C3484" i="1"/>
  <c r="D3484" i="1"/>
  <c r="E3484" i="1"/>
  <c r="A3485" i="1"/>
  <c r="B3485" i="1"/>
  <c r="C3485" i="1"/>
  <c r="D3485" i="1"/>
  <c r="E3485" i="1"/>
  <c r="A3486" i="1"/>
  <c r="B3486" i="1"/>
  <c r="C3486" i="1"/>
  <c r="D3486" i="1"/>
  <c r="E3486" i="1"/>
  <c r="A3487" i="1"/>
  <c r="B3487" i="1"/>
  <c r="C3487" i="1"/>
  <c r="D3487" i="1"/>
  <c r="E3487" i="1"/>
  <c r="A3488" i="1"/>
  <c r="B3488" i="1"/>
  <c r="C3488" i="1"/>
  <c r="D3488" i="1"/>
  <c r="E3488" i="1"/>
  <c r="A3489" i="1"/>
  <c r="B3489" i="1"/>
  <c r="C3489" i="1"/>
  <c r="D3489" i="1"/>
  <c r="E3489" i="1"/>
  <c r="A3490" i="1"/>
  <c r="B3490" i="1"/>
  <c r="C3490" i="1"/>
  <c r="D3490" i="1"/>
  <c r="E3490" i="1"/>
  <c r="A3491" i="1"/>
  <c r="B3491" i="1"/>
  <c r="C3491" i="1"/>
  <c r="D3491" i="1"/>
  <c r="E3491" i="1"/>
  <c r="A3492" i="1"/>
  <c r="B3492" i="1"/>
  <c r="C3492" i="1"/>
  <c r="D3492" i="1"/>
  <c r="E3492" i="1"/>
  <c r="A3493" i="1"/>
  <c r="B3493" i="1"/>
  <c r="C3493" i="1"/>
  <c r="D3493" i="1"/>
  <c r="E3493" i="1"/>
  <c r="A3494" i="1"/>
  <c r="B3494" i="1"/>
  <c r="C3494" i="1"/>
  <c r="D3494" i="1"/>
  <c r="E3494" i="1"/>
  <c r="A3495" i="1"/>
  <c r="B3495" i="1"/>
  <c r="C3495" i="1"/>
  <c r="D3495" i="1"/>
  <c r="E3495" i="1"/>
  <c r="A3496" i="1"/>
  <c r="B3496" i="1"/>
  <c r="C3496" i="1"/>
  <c r="D3496" i="1"/>
  <c r="E3496" i="1"/>
  <c r="A3497" i="1"/>
  <c r="B3497" i="1"/>
  <c r="C3497" i="1"/>
  <c r="D3497" i="1"/>
  <c r="E3497" i="1"/>
  <c r="A3498" i="1"/>
  <c r="B3498" i="1"/>
  <c r="C3498" i="1"/>
  <c r="D3498" i="1"/>
  <c r="E3498" i="1"/>
  <c r="A3499" i="1"/>
  <c r="B3499" i="1"/>
  <c r="C3499" i="1"/>
  <c r="D3499" i="1"/>
  <c r="E3499" i="1"/>
  <c r="A3500" i="1"/>
  <c r="B3500" i="1"/>
  <c r="C3500" i="1"/>
  <c r="D3500" i="1"/>
  <c r="E3500" i="1"/>
  <c r="A3501" i="1"/>
  <c r="B3501" i="1"/>
  <c r="C3501" i="1"/>
  <c r="D3501" i="1"/>
  <c r="E3501" i="1"/>
  <c r="A3502" i="1"/>
  <c r="B3502" i="1"/>
  <c r="C3502" i="1"/>
  <c r="D3502" i="1"/>
  <c r="E3502" i="1"/>
  <c r="A3503" i="1"/>
  <c r="B3503" i="1"/>
  <c r="C3503" i="1"/>
  <c r="D3503" i="1"/>
  <c r="E3503" i="1"/>
  <c r="A3504" i="1"/>
  <c r="B3504" i="1"/>
  <c r="C3504" i="1"/>
  <c r="D3504" i="1"/>
  <c r="E3504" i="1"/>
  <c r="A3505" i="1"/>
  <c r="B3505" i="1"/>
  <c r="C3505" i="1"/>
  <c r="D3505" i="1"/>
  <c r="E3505" i="1"/>
  <c r="A3506" i="1"/>
  <c r="B3506" i="1"/>
  <c r="C3506" i="1"/>
  <c r="D3506" i="1"/>
  <c r="E3506" i="1"/>
  <c r="A3507" i="1"/>
  <c r="B3507" i="1"/>
  <c r="C3507" i="1"/>
  <c r="D3507" i="1"/>
  <c r="E3507" i="1"/>
  <c r="A3508" i="1"/>
  <c r="B3508" i="1"/>
  <c r="C3508" i="1"/>
  <c r="D3508" i="1"/>
  <c r="E3508" i="1"/>
  <c r="A3509" i="1"/>
  <c r="B3509" i="1"/>
  <c r="C3509" i="1"/>
  <c r="D3509" i="1"/>
  <c r="E3509" i="1"/>
  <c r="A3510" i="1"/>
  <c r="B3510" i="1"/>
  <c r="C3510" i="1"/>
  <c r="D3510" i="1"/>
  <c r="E3510" i="1"/>
  <c r="A3511" i="1"/>
  <c r="B3511" i="1"/>
  <c r="C3511" i="1"/>
  <c r="D3511" i="1"/>
  <c r="E3511" i="1"/>
  <c r="A3512" i="1"/>
  <c r="B3512" i="1"/>
  <c r="C3512" i="1"/>
  <c r="D3512" i="1"/>
  <c r="E3512" i="1"/>
  <c r="A3513" i="1"/>
  <c r="B3513" i="1"/>
  <c r="C3513" i="1"/>
  <c r="D3513" i="1"/>
  <c r="E3513" i="1"/>
  <c r="A3514" i="1"/>
  <c r="B3514" i="1"/>
  <c r="C3514" i="1"/>
  <c r="D3514" i="1"/>
  <c r="E3514" i="1"/>
  <c r="A3515" i="1"/>
  <c r="B3515" i="1"/>
  <c r="C3515" i="1"/>
  <c r="D3515" i="1"/>
  <c r="E3515" i="1"/>
  <c r="A3516" i="1"/>
  <c r="B3516" i="1"/>
  <c r="C3516" i="1"/>
  <c r="D3516" i="1"/>
  <c r="E3516" i="1"/>
  <c r="A3517" i="1"/>
  <c r="B3517" i="1"/>
  <c r="C3517" i="1"/>
  <c r="D3517" i="1"/>
  <c r="E3517" i="1"/>
  <c r="A3518" i="1"/>
  <c r="B3518" i="1"/>
  <c r="C3518" i="1"/>
  <c r="D3518" i="1"/>
  <c r="E3518" i="1"/>
  <c r="A3519" i="1"/>
  <c r="B3519" i="1"/>
  <c r="C3519" i="1"/>
  <c r="D3519" i="1"/>
  <c r="E3519" i="1"/>
  <c r="A3520" i="1"/>
  <c r="B3520" i="1"/>
  <c r="C3520" i="1"/>
  <c r="D3520" i="1"/>
  <c r="E3520" i="1"/>
  <c r="A3521" i="1"/>
  <c r="B3521" i="1"/>
  <c r="C3521" i="1"/>
  <c r="D3521" i="1"/>
  <c r="E3521" i="1"/>
  <c r="A3522" i="1"/>
  <c r="B3522" i="1"/>
  <c r="C3522" i="1"/>
  <c r="D3522" i="1"/>
  <c r="E3522" i="1"/>
  <c r="A3523" i="1"/>
  <c r="B3523" i="1"/>
  <c r="C3523" i="1"/>
  <c r="D3523" i="1"/>
  <c r="E3523" i="1"/>
  <c r="A3524" i="1"/>
  <c r="B3524" i="1"/>
  <c r="C3524" i="1"/>
  <c r="D3524" i="1"/>
  <c r="E3524" i="1"/>
  <c r="A3525" i="1"/>
  <c r="B3525" i="1"/>
  <c r="C3525" i="1"/>
  <c r="D3525" i="1"/>
  <c r="E3525" i="1"/>
  <c r="A3526" i="1"/>
  <c r="B3526" i="1"/>
  <c r="C3526" i="1"/>
  <c r="D3526" i="1"/>
  <c r="E3526" i="1"/>
  <c r="A3527" i="1"/>
  <c r="B3527" i="1"/>
  <c r="C3527" i="1"/>
  <c r="D3527" i="1"/>
  <c r="E3527" i="1"/>
  <c r="A3528" i="1"/>
  <c r="B3528" i="1"/>
  <c r="C3528" i="1"/>
  <c r="D3528" i="1"/>
  <c r="E3528" i="1"/>
  <c r="A3529" i="1"/>
  <c r="B3529" i="1"/>
  <c r="C3529" i="1"/>
  <c r="D3529" i="1"/>
  <c r="E3529" i="1"/>
  <c r="A3530" i="1"/>
  <c r="B3530" i="1"/>
  <c r="C3530" i="1"/>
  <c r="D3530" i="1"/>
  <c r="E3530" i="1"/>
  <c r="A3531" i="1"/>
  <c r="B3531" i="1"/>
  <c r="C3531" i="1"/>
  <c r="D3531" i="1"/>
  <c r="E3531" i="1"/>
  <c r="A3532" i="1"/>
  <c r="B3532" i="1"/>
  <c r="C3532" i="1"/>
  <c r="D3532" i="1"/>
  <c r="E3532" i="1"/>
  <c r="A3533" i="1"/>
  <c r="B3533" i="1"/>
  <c r="C3533" i="1"/>
  <c r="D3533" i="1"/>
  <c r="E3533" i="1"/>
  <c r="A3534" i="1"/>
  <c r="B3534" i="1"/>
  <c r="C3534" i="1"/>
  <c r="D3534" i="1"/>
  <c r="E3534" i="1"/>
  <c r="A3535" i="1"/>
  <c r="B3535" i="1"/>
  <c r="C3535" i="1"/>
  <c r="D3535" i="1"/>
  <c r="E3535" i="1"/>
  <c r="A3536" i="1"/>
  <c r="B3536" i="1"/>
  <c r="C3536" i="1"/>
  <c r="D3536" i="1"/>
  <c r="E3536" i="1"/>
  <c r="A3537" i="1"/>
  <c r="B3537" i="1"/>
  <c r="C3537" i="1"/>
  <c r="D3537" i="1"/>
  <c r="E3537" i="1"/>
  <c r="A3538" i="1"/>
  <c r="B3538" i="1"/>
  <c r="C3538" i="1"/>
  <c r="D3538" i="1"/>
  <c r="E3538" i="1"/>
  <c r="A3539" i="1"/>
  <c r="B3539" i="1"/>
  <c r="C3539" i="1"/>
  <c r="D3539" i="1"/>
  <c r="E3539" i="1"/>
  <c r="A3540" i="1"/>
  <c r="B3540" i="1"/>
  <c r="C3540" i="1"/>
  <c r="D3540" i="1"/>
  <c r="E3540" i="1"/>
  <c r="A3541" i="1"/>
  <c r="B3541" i="1"/>
  <c r="C3541" i="1"/>
  <c r="D3541" i="1"/>
  <c r="E3541" i="1"/>
  <c r="A3542" i="1"/>
  <c r="B3542" i="1"/>
  <c r="C3542" i="1"/>
  <c r="D3542" i="1"/>
  <c r="E3542" i="1"/>
  <c r="A3543" i="1"/>
  <c r="B3543" i="1"/>
  <c r="C3543" i="1"/>
  <c r="D3543" i="1"/>
  <c r="E3543" i="1"/>
  <c r="A3544" i="1"/>
  <c r="B3544" i="1"/>
  <c r="C3544" i="1"/>
  <c r="D3544" i="1"/>
  <c r="E3544" i="1"/>
  <c r="A3545" i="1"/>
  <c r="B3545" i="1"/>
  <c r="C3545" i="1"/>
  <c r="D3545" i="1"/>
  <c r="E3545" i="1"/>
  <c r="A3546" i="1"/>
  <c r="B3546" i="1"/>
  <c r="C3546" i="1"/>
  <c r="D3546" i="1"/>
  <c r="E3546" i="1"/>
  <c r="A3547" i="1"/>
  <c r="B3547" i="1"/>
  <c r="C3547" i="1"/>
  <c r="D3547" i="1"/>
  <c r="E3547" i="1"/>
  <c r="A3548" i="1"/>
  <c r="B3548" i="1"/>
  <c r="C3548" i="1"/>
  <c r="D3548" i="1"/>
  <c r="E3548" i="1"/>
  <c r="A3549" i="1"/>
  <c r="B3549" i="1"/>
  <c r="C3549" i="1"/>
  <c r="D3549" i="1"/>
  <c r="E3549" i="1"/>
  <c r="A3550" i="1"/>
  <c r="B3550" i="1"/>
  <c r="C3550" i="1"/>
  <c r="D3550" i="1"/>
  <c r="E3550" i="1"/>
  <c r="A3551" i="1"/>
  <c r="B3551" i="1"/>
  <c r="C3551" i="1"/>
  <c r="D3551" i="1"/>
  <c r="E3551" i="1"/>
  <c r="A3552" i="1"/>
  <c r="B3552" i="1"/>
  <c r="C3552" i="1"/>
  <c r="D3552" i="1"/>
  <c r="E3552" i="1"/>
  <c r="A3553" i="1"/>
  <c r="B3553" i="1"/>
  <c r="C3553" i="1"/>
  <c r="D3553" i="1"/>
  <c r="E3553" i="1"/>
  <c r="A3554" i="1"/>
  <c r="B3554" i="1"/>
  <c r="C3554" i="1"/>
  <c r="D3554" i="1"/>
  <c r="E3554" i="1"/>
  <c r="A3555" i="1"/>
  <c r="B3555" i="1"/>
  <c r="C3555" i="1"/>
  <c r="D3555" i="1"/>
  <c r="E3555" i="1"/>
  <c r="A3556" i="1"/>
  <c r="B3556" i="1"/>
  <c r="C3556" i="1"/>
  <c r="D3556" i="1"/>
  <c r="E3556" i="1"/>
  <c r="A3557" i="1"/>
  <c r="B3557" i="1"/>
  <c r="C3557" i="1"/>
  <c r="D3557" i="1"/>
  <c r="E3557" i="1"/>
  <c r="A3558" i="1"/>
  <c r="B3558" i="1"/>
  <c r="C3558" i="1"/>
  <c r="D3558" i="1"/>
  <c r="E3558" i="1"/>
  <c r="A3559" i="1"/>
  <c r="B3559" i="1"/>
  <c r="C3559" i="1"/>
  <c r="D3559" i="1"/>
  <c r="E3559" i="1"/>
  <c r="A3560" i="1"/>
  <c r="B3560" i="1"/>
  <c r="C3560" i="1"/>
  <c r="D3560" i="1"/>
  <c r="E3560" i="1"/>
  <c r="A3561" i="1"/>
  <c r="B3561" i="1"/>
  <c r="C3561" i="1"/>
  <c r="D3561" i="1"/>
  <c r="E3561" i="1"/>
  <c r="A3562" i="1"/>
  <c r="B3562" i="1"/>
  <c r="C3562" i="1"/>
  <c r="D3562" i="1"/>
  <c r="E3562" i="1"/>
  <c r="A3563" i="1"/>
  <c r="B3563" i="1"/>
  <c r="C3563" i="1"/>
  <c r="D3563" i="1"/>
  <c r="E3563" i="1"/>
  <c r="A3564" i="1"/>
  <c r="B3564" i="1"/>
  <c r="C3564" i="1"/>
  <c r="D3564" i="1"/>
  <c r="E3564" i="1"/>
  <c r="A3565" i="1"/>
  <c r="B3565" i="1"/>
  <c r="C3565" i="1"/>
  <c r="D3565" i="1"/>
  <c r="E3565" i="1"/>
  <c r="A3566" i="1"/>
  <c r="B3566" i="1"/>
  <c r="C3566" i="1"/>
  <c r="D3566" i="1"/>
  <c r="E3566" i="1"/>
  <c r="A3567" i="1"/>
  <c r="B3567" i="1"/>
  <c r="C3567" i="1"/>
  <c r="D3567" i="1"/>
  <c r="E3567" i="1"/>
  <c r="A3568" i="1"/>
  <c r="B3568" i="1"/>
  <c r="C3568" i="1"/>
  <c r="D3568" i="1"/>
  <c r="E3568" i="1"/>
  <c r="A3569" i="1"/>
  <c r="B3569" i="1"/>
  <c r="C3569" i="1"/>
  <c r="D3569" i="1"/>
  <c r="E3569" i="1"/>
  <c r="A3570" i="1"/>
  <c r="B3570" i="1"/>
  <c r="C3570" i="1"/>
  <c r="D3570" i="1"/>
  <c r="E3570" i="1"/>
  <c r="A3571" i="1"/>
  <c r="B3571" i="1"/>
  <c r="C3571" i="1"/>
  <c r="D3571" i="1"/>
  <c r="E3571" i="1"/>
  <c r="A3572" i="1"/>
  <c r="B3572" i="1"/>
  <c r="C3572" i="1"/>
  <c r="D3572" i="1"/>
  <c r="E3572" i="1"/>
  <c r="A3573" i="1"/>
  <c r="B3573" i="1"/>
  <c r="C3573" i="1"/>
  <c r="D3573" i="1"/>
  <c r="E3573" i="1"/>
  <c r="A3574" i="1"/>
  <c r="B3574" i="1"/>
  <c r="C3574" i="1"/>
  <c r="D3574" i="1"/>
  <c r="E3574" i="1"/>
  <c r="A3575" i="1"/>
  <c r="B3575" i="1"/>
  <c r="C3575" i="1"/>
  <c r="D3575" i="1"/>
  <c r="E3575" i="1"/>
  <c r="A3576" i="1"/>
  <c r="B3576" i="1"/>
  <c r="C3576" i="1"/>
  <c r="D3576" i="1"/>
  <c r="E3576" i="1"/>
  <c r="A3577" i="1"/>
  <c r="B3577" i="1"/>
  <c r="C3577" i="1"/>
  <c r="D3577" i="1"/>
  <c r="E3577" i="1"/>
  <c r="A3578" i="1"/>
  <c r="B3578" i="1"/>
  <c r="C3578" i="1"/>
  <c r="D3578" i="1"/>
  <c r="E3578" i="1"/>
  <c r="A3579" i="1"/>
  <c r="B3579" i="1"/>
  <c r="C3579" i="1"/>
  <c r="D3579" i="1"/>
  <c r="E3579" i="1"/>
  <c r="A3580" i="1"/>
  <c r="B3580" i="1"/>
  <c r="C3580" i="1"/>
  <c r="D3580" i="1"/>
  <c r="E3580" i="1"/>
  <c r="A3581" i="1"/>
  <c r="B3581" i="1"/>
  <c r="C3581" i="1"/>
  <c r="D3581" i="1"/>
  <c r="E3581" i="1"/>
  <c r="A3582" i="1"/>
  <c r="B3582" i="1"/>
  <c r="C3582" i="1"/>
  <c r="D3582" i="1"/>
  <c r="E3582" i="1"/>
  <c r="A3583" i="1"/>
  <c r="B3583" i="1"/>
  <c r="C3583" i="1"/>
  <c r="D3583" i="1"/>
  <c r="E3583" i="1"/>
  <c r="A3584" i="1"/>
  <c r="B3584" i="1"/>
  <c r="C3584" i="1"/>
  <c r="D3584" i="1"/>
  <c r="E3584" i="1"/>
  <c r="A3585" i="1"/>
  <c r="B3585" i="1"/>
  <c r="C3585" i="1"/>
  <c r="D3585" i="1"/>
  <c r="E3585" i="1"/>
  <c r="A3586" i="1"/>
  <c r="B3586" i="1"/>
  <c r="C3586" i="1"/>
  <c r="D3586" i="1"/>
  <c r="E3586" i="1"/>
  <c r="A3587" i="1"/>
  <c r="B3587" i="1"/>
  <c r="C3587" i="1"/>
  <c r="D3587" i="1"/>
  <c r="E3587" i="1"/>
  <c r="A3588" i="1"/>
  <c r="B3588" i="1"/>
  <c r="C3588" i="1"/>
  <c r="D3588" i="1"/>
  <c r="E3588" i="1"/>
  <c r="A3589" i="1"/>
  <c r="B3589" i="1"/>
  <c r="C3589" i="1"/>
  <c r="D3589" i="1"/>
  <c r="E3589" i="1"/>
  <c r="A3590" i="1"/>
  <c r="B3590" i="1"/>
  <c r="C3590" i="1"/>
  <c r="D3590" i="1"/>
  <c r="E3590" i="1"/>
  <c r="A3591" i="1"/>
  <c r="B3591" i="1"/>
  <c r="C3591" i="1"/>
  <c r="D3591" i="1"/>
  <c r="E3591" i="1"/>
  <c r="A3592" i="1"/>
  <c r="B3592" i="1"/>
  <c r="C3592" i="1"/>
  <c r="D3592" i="1"/>
  <c r="E3592" i="1"/>
  <c r="A3593" i="1"/>
  <c r="B3593" i="1"/>
  <c r="C3593" i="1"/>
  <c r="D3593" i="1"/>
  <c r="E3593" i="1"/>
  <c r="A3594" i="1"/>
  <c r="B3594" i="1"/>
  <c r="C3594" i="1"/>
  <c r="D3594" i="1"/>
  <c r="E3594" i="1"/>
  <c r="A3595" i="1"/>
  <c r="B3595" i="1"/>
  <c r="C3595" i="1"/>
  <c r="D3595" i="1"/>
  <c r="E3595" i="1"/>
  <c r="A3596" i="1"/>
  <c r="B3596" i="1"/>
  <c r="C3596" i="1"/>
  <c r="D3596" i="1"/>
  <c r="E3596" i="1"/>
  <c r="A3597" i="1"/>
  <c r="B3597" i="1"/>
  <c r="C3597" i="1"/>
  <c r="D3597" i="1"/>
  <c r="E3597" i="1"/>
  <c r="A3598" i="1"/>
  <c r="B3598" i="1"/>
  <c r="C3598" i="1"/>
  <c r="D3598" i="1"/>
  <c r="E3598" i="1"/>
  <c r="A3599" i="1"/>
  <c r="B3599" i="1"/>
  <c r="C3599" i="1"/>
  <c r="D3599" i="1"/>
  <c r="E3599" i="1"/>
  <c r="A3600" i="1"/>
  <c r="B3600" i="1"/>
  <c r="C3600" i="1"/>
  <c r="D3600" i="1"/>
  <c r="E3600" i="1"/>
  <c r="A3601" i="1"/>
  <c r="B3601" i="1"/>
  <c r="C3601" i="1"/>
  <c r="D3601" i="1"/>
  <c r="E3601" i="1"/>
  <c r="A3602" i="1"/>
  <c r="B3602" i="1"/>
  <c r="C3602" i="1"/>
  <c r="D3602" i="1"/>
  <c r="E3602" i="1"/>
  <c r="A3603" i="1"/>
  <c r="B3603" i="1"/>
  <c r="C3603" i="1"/>
  <c r="D3603" i="1"/>
  <c r="E3603" i="1"/>
  <c r="A3604" i="1"/>
  <c r="B3604" i="1"/>
  <c r="C3604" i="1"/>
  <c r="D3604" i="1"/>
  <c r="E3604" i="1"/>
  <c r="A3605" i="1"/>
  <c r="B3605" i="1"/>
  <c r="C3605" i="1"/>
  <c r="D3605" i="1"/>
  <c r="E3605" i="1"/>
  <c r="A3606" i="1"/>
  <c r="B3606" i="1"/>
  <c r="C3606" i="1"/>
  <c r="D3606" i="1"/>
  <c r="E3606" i="1"/>
  <c r="A3607" i="1"/>
  <c r="B3607" i="1"/>
  <c r="C3607" i="1"/>
  <c r="D3607" i="1"/>
  <c r="E3607" i="1"/>
  <c r="A3608" i="1"/>
  <c r="B3608" i="1"/>
  <c r="C3608" i="1"/>
  <c r="D3608" i="1"/>
  <c r="E3608" i="1"/>
  <c r="A3609" i="1"/>
  <c r="B3609" i="1"/>
  <c r="C3609" i="1"/>
  <c r="D3609" i="1"/>
  <c r="E3609" i="1"/>
  <c r="A3610" i="1"/>
  <c r="B3610" i="1"/>
  <c r="C3610" i="1"/>
  <c r="D3610" i="1"/>
  <c r="E3610" i="1"/>
  <c r="A3611" i="1"/>
  <c r="B3611" i="1"/>
  <c r="C3611" i="1"/>
  <c r="D3611" i="1"/>
  <c r="E3611" i="1"/>
  <c r="A3612" i="1"/>
  <c r="B3612" i="1"/>
  <c r="C3612" i="1"/>
  <c r="D3612" i="1"/>
  <c r="E3612" i="1"/>
  <c r="A3613" i="1"/>
  <c r="B3613" i="1"/>
  <c r="C3613" i="1"/>
  <c r="D3613" i="1"/>
  <c r="E3613" i="1"/>
  <c r="A3614" i="1"/>
  <c r="B3614" i="1"/>
  <c r="C3614" i="1"/>
  <c r="D3614" i="1"/>
  <c r="E3614" i="1"/>
  <c r="A3615" i="1"/>
  <c r="B3615" i="1"/>
  <c r="C3615" i="1"/>
  <c r="D3615" i="1"/>
  <c r="E3615" i="1"/>
  <c r="A3616" i="1"/>
  <c r="B3616" i="1"/>
  <c r="C3616" i="1"/>
  <c r="D3616" i="1"/>
  <c r="E3616" i="1"/>
  <c r="A3617" i="1"/>
  <c r="B3617" i="1"/>
  <c r="C3617" i="1"/>
  <c r="D3617" i="1"/>
  <c r="E3617" i="1"/>
  <c r="A3618" i="1"/>
  <c r="B3618" i="1"/>
  <c r="C3618" i="1"/>
  <c r="D3618" i="1"/>
  <c r="E3618" i="1"/>
  <c r="A3619" i="1"/>
  <c r="B3619" i="1"/>
  <c r="C3619" i="1"/>
  <c r="D3619" i="1"/>
  <c r="E3619" i="1"/>
  <c r="A3620" i="1"/>
  <c r="B3620" i="1"/>
  <c r="C3620" i="1"/>
  <c r="D3620" i="1"/>
  <c r="E3620" i="1"/>
  <c r="A3621" i="1"/>
  <c r="B3621" i="1"/>
  <c r="C3621" i="1"/>
  <c r="D3621" i="1"/>
  <c r="E3621" i="1"/>
  <c r="A3622" i="1"/>
  <c r="B3622" i="1"/>
  <c r="C3622" i="1"/>
  <c r="D3622" i="1"/>
  <c r="E3622" i="1"/>
  <c r="A3623" i="1"/>
  <c r="B3623" i="1"/>
  <c r="C3623" i="1"/>
  <c r="D3623" i="1"/>
  <c r="E3623" i="1"/>
  <c r="A3624" i="1"/>
  <c r="B3624" i="1"/>
  <c r="C3624" i="1"/>
  <c r="D3624" i="1"/>
  <c r="E3624" i="1"/>
  <c r="A3625" i="1"/>
  <c r="B3625" i="1"/>
  <c r="C3625" i="1"/>
  <c r="D3625" i="1"/>
  <c r="E3625" i="1"/>
  <c r="A3626" i="1"/>
  <c r="B3626" i="1"/>
  <c r="C3626" i="1"/>
  <c r="D3626" i="1"/>
  <c r="E3626" i="1"/>
  <c r="A3627" i="1"/>
  <c r="B3627" i="1"/>
  <c r="C3627" i="1"/>
  <c r="D3627" i="1"/>
  <c r="E3627" i="1"/>
  <c r="A3628" i="1"/>
  <c r="B3628" i="1"/>
  <c r="C3628" i="1"/>
  <c r="D3628" i="1"/>
  <c r="E3628" i="1"/>
  <c r="A3629" i="1"/>
  <c r="B3629" i="1"/>
  <c r="C3629" i="1"/>
  <c r="D3629" i="1"/>
  <c r="E3629" i="1"/>
  <c r="A3630" i="1"/>
  <c r="B3630" i="1"/>
  <c r="C3630" i="1"/>
  <c r="D3630" i="1"/>
  <c r="E3630" i="1"/>
  <c r="A3631" i="1"/>
  <c r="B3631" i="1"/>
  <c r="C3631" i="1"/>
  <c r="D3631" i="1"/>
  <c r="E3631" i="1"/>
  <c r="A3632" i="1"/>
  <c r="B3632" i="1"/>
  <c r="C3632" i="1"/>
  <c r="D3632" i="1"/>
  <c r="E3632" i="1"/>
  <c r="A3633" i="1"/>
  <c r="B3633" i="1"/>
  <c r="C3633" i="1"/>
  <c r="D3633" i="1"/>
  <c r="E3633" i="1"/>
  <c r="A3634" i="1"/>
  <c r="B3634" i="1"/>
  <c r="C3634" i="1"/>
  <c r="D3634" i="1"/>
  <c r="E3634" i="1"/>
  <c r="A3635" i="1"/>
  <c r="B3635" i="1"/>
  <c r="C3635" i="1"/>
  <c r="D3635" i="1"/>
  <c r="E3635" i="1"/>
  <c r="A3636" i="1"/>
  <c r="B3636" i="1"/>
  <c r="C3636" i="1"/>
  <c r="D3636" i="1"/>
  <c r="E3636" i="1"/>
  <c r="A3637" i="1"/>
  <c r="B3637" i="1"/>
  <c r="C3637" i="1"/>
  <c r="D3637" i="1"/>
  <c r="E3637" i="1"/>
  <c r="A3638" i="1"/>
  <c r="B3638" i="1"/>
  <c r="C3638" i="1"/>
  <c r="D3638" i="1"/>
  <c r="E3638" i="1"/>
  <c r="A3639" i="1"/>
  <c r="B3639" i="1"/>
  <c r="C3639" i="1"/>
  <c r="D3639" i="1"/>
  <c r="E3639" i="1"/>
  <c r="A3640" i="1"/>
  <c r="B3640" i="1"/>
  <c r="C3640" i="1"/>
  <c r="D3640" i="1"/>
  <c r="E3640" i="1"/>
  <c r="A3641" i="1"/>
  <c r="B3641" i="1"/>
  <c r="C3641" i="1"/>
  <c r="D3641" i="1"/>
  <c r="E3641" i="1"/>
  <c r="A3642" i="1"/>
  <c r="B3642" i="1"/>
  <c r="C3642" i="1"/>
  <c r="D3642" i="1"/>
  <c r="E3642" i="1"/>
  <c r="A3643" i="1"/>
  <c r="B3643" i="1"/>
  <c r="C3643" i="1"/>
  <c r="D3643" i="1"/>
  <c r="E3643" i="1"/>
  <c r="A3644" i="1"/>
  <c r="B3644" i="1"/>
  <c r="C3644" i="1"/>
  <c r="D3644" i="1"/>
  <c r="E3644" i="1"/>
  <c r="A3645" i="1"/>
  <c r="B3645" i="1"/>
  <c r="C3645" i="1"/>
  <c r="D3645" i="1"/>
  <c r="E3645" i="1"/>
  <c r="A3646" i="1"/>
  <c r="B3646" i="1"/>
  <c r="C3646" i="1"/>
  <c r="D3646" i="1"/>
  <c r="E3646" i="1"/>
  <c r="A3647" i="1"/>
  <c r="B3647" i="1"/>
  <c r="C3647" i="1"/>
  <c r="D3647" i="1"/>
  <c r="E3647" i="1"/>
  <c r="A3648" i="1"/>
  <c r="B3648" i="1"/>
  <c r="C3648" i="1"/>
  <c r="D3648" i="1"/>
  <c r="E3648" i="1"/>
  <c r="A3649" i="1"/>
  <c r="B3649" i="1"/>
  <c r="C3649" i="1"/>
  <c r="D3649" i="1"/>
  <c r="E3649" i="1"/>
  <c r="A3650" i="1"/>
  <c r="B3650" i="1"/>
  <c r="C3650" i="1"/>
  <c r="D3650" i="1"/>
  <c r="E3650" i="1"/>
  <c r="A3651" i="1"/>
  <c r="B3651" i="1"/>
  <c r="C3651" i="1"/>
  <c r="D3651" i="1"/>
  <c r="E3651" i="1"/>
  <c r="A3652" i="1"/>
  <c r="B3652" i="1"/>
  <c r="C3652" i="1"/>
  <c r="D3652" i="1"/>
  <c r="E3652" i="1"/>
  <c r="A3653" i="1"/>
  <c r="B3653" i="1"/>
  <c r="C3653" i="1"/>
  <c r="D3653" i="1"/>
  <c r="E3653" i="1"/>
  <c r="A3654" i="1"/>
  <c r="B3654" i="1"/>
  <c r="C3654" i="1"/>
  <c r="D3654" i="1"/>
  <c r="E3654" i="1"/>
  <c r="A3655" i="1"/>
  <c r="B3655" i="1"/>
  <c r="C3655" i="1"/>
  <c r="D3655" i="1"/>
  <c r="E3655" i="1"/>
  <c r="A3656" i="1"/>
  <c r="B3656" i="1"/>
  <c r="C3656" i="1"/>
  <c r="D3656" i="1"/>
  <c r="E3656" i="1"/>
  <c r="A3657" i="1"/>
  <c r="B3657" i="1"/>
  <c r="C3657" i="1"/>
  <c r="D3657" i="1"/>
  <c r="E3657" i="1"/>
  <c r="A3658" i="1"/>
  <c r="B3658" i="1"/>
  <c r="C3658" i="1"/>
  <c r="D3658" i="1"/>
  <c r="E3658" i="1"/>
  <c r="A3659" i="1"/>
  <c r="B3659" i="1"/>
  <c r="C3659" i="1"/>
  <c r="D3659" i="1"/>
  <c r="E3659" i="1"/>
  <c r="A3660" i="1"/>
  <c r="B3660" i="1"/>
  <c r="C3660" i="1"/>
  <c r="D3660" i="1"/>
  <c r="E3660" i="1"/>
  <c r="A3661" i="1"/>
  <c r="B3661" i="1"/>
  <c r="C3661" i="1"/>
  <c r="D3661" i="1"/>
  <c r="E3661" i="1"/>
  <c r="A3662" i="1"/>
  <c r="B3662" i="1"/>
  <c r="C3662" i="1"/>
  <c r="D3662" i="1"/>
  <c r="E3662" i="1"/>
  <c r="A3663" i="1"/>
  <c r="B3663" i="1"/>
  <c r="C3663" i="1"/>
  <c r="D3663" i="1"/>
  <c r="E3663" i="1"/>
  <c r="A3664" i="1"/>
  <c r="B3664" i="1"/>
  <c r="C3664" i="1"/>
  <c r="D3664" i="1"/>
  <c r="E3664" i="1"/>
  <c r="A3665" i="1"/>
  <c r="B3665" i="1"/>
  <c r="C3665" i="1"/>
  <c r="D3665" i="1"/>
  <c r="E3665" i="1"/>
  <c r="A3666" i="1"/>
  <c r="B3666" i="1"/>
  <c r="C3666" i="1"/>
  <c r="D3666" i="1"/>
  <c r="E3666" i="1"/>
  <c r="A3667" i="1"/>
  <c r="B3667" i="1"/>
  <c r="C3667" i="1"/>
  <c r="D3667" i="1"/>
  <c r="E3667" i="1"/>
  <c r="A3668" i="1"/>
  <c r="B3668" i="1"/>
  <c r="C3668" i="1"/>
  <c r="D3668" i="1"/>
  <c r="E3668" i="1"/>
  <c r="A3669" i="1"/>
  <c r="B3669" i="1"/>
  <c r="C3669" i="1"/>
  <c r="D3669" i="1"/>
  <c r="E3669" i="1"/>
  <c r="A3670" i="1"/>
  <c r="B3670" i="1"/>
  <c r="C3670" i="1"/>
  <c r="D3670" i="1"/>
  <c r="E3670" i="1"/>
  <c r="A3671" i="1"/>
  <c r="B3671" i="1"/>
  <c r="C3671" i="1"/>
  <c r="D3671" i="1"/>
  <c r="E3671" i="1"/>
  <c r="A3672" i="1"/>
  <c r="B3672" i="1"/>
  <c r="C3672" i="1"/>
  <c r="D3672" i="1"/>
  <c r="E3672" i="1"/>
  <c r="A3673" i="1"/>
  <c r="B3673" i="1"/>
  <c r="C3673" i="1"/>
  <c r="D3673" i="1"/>
  <c r="E3673" i="1"/>
  <c r="A3674" i="1"/>
  <c r="B3674" i="1"/>
  <c r="C3674" i="1"/>
  <c r="D3674" i="1"/>
  <c r="E3674" i="1"/>
  <c r="A3675" i="1"/>
  <c r="B3675" i="1"/>
  <c r="C3675" i="1"/>
  <c r="D3675" i="1"/>
  <c r="E3675" i="1"/>
  <c r="A3676" i="1"/>
  <c r="B3676" i="1"/>
  <c r="C3676" i="1"/>
  <c r="D3676" i="1"/>
  <c r="E3676" i="1"/>
  <c r="A3677" i="1"/>
  <c r="B3677" i="1"/>
  <c r="C3677" i="1"/>
  <c r="D3677" i="1"/>
  <c r="E3677" i="1"/>
  <c r="A3678" i="1"/>
  <c r="B3678" i="1"/>
  <c r="C3678" i="1"/>
  <c r="D3678" i="1"/>
  <c r="E3678" i="1"/>
  <c r="A3679" i="1"/>
  <c r="B3679" i="1"/>
  <c r="C3679" i="1"/>
  <c r="D3679" i="1"/>
  <c r="E3679" i="1"/>
  <c r="A3680" i="1"/>
  <c r="B3680" i="1"/>
  <c r="C3680" i="1"/>
  <c r="D3680" i="1"/>
  <c r="E3680" i="1"/>
  <c r="A3681" i="1"/>
  <c r="B3681" i="1"/>
  <c r="C3681" i="1"/>
  <c r="D3681" i="1"/>
  <c r="E3681" i="1"/>
  <c r="A3682" i="1"/>
  <c r="B3682" i="1"/>
  <c r="C3682" i="1"/>
  <c r="D3682" i="1"/>
  <c r="E3682" i="1"/>
  <c r="A3683" i="1"/>
  <c r="B3683" i="1"/>
  <c r="C3683" i="1"/>
  <c r="D3683" i="1"/>
  <c r="E3683" i="1"/>
  <c r="A3684" i="1"/>
  <c r="B3684" i="1"/>
  <c r="C3684" i="1"/>
  <c r="D3684" i="1"/>
  <c r="E3684" i="1"/>
  <c r="A3685" i="1"/>
  <c r="B3685" i="1"/>
  <c r="C3685" i="1"/>
  <c r="D3685" i="1"/>
  <c r="E3685" i="1"/>
  <c r="A3686" i="1"/>
  <c r="B3686" i="1"/>
  <c r="C3686" i="1"/>
  <c r="D3686" i="1"/>
  <c r="E3686" i="1"/>
  <c r="A3687" i="1"/>
  <c r="B3687" i="1"/>
  <c r="C3687" i="1"/>
  <c r="D3687" i="1"/>
  <c r="E3687" i="1"/>
  <c r="A3688" i="1"/>
  <c r="B3688" i="1"/>
  <c r="C3688" i="1"/>
  <c r="D3688" i="1"/>
  <c r="E3688" i="1"/>
  <c r="A3689" i="1"/>
  <c r="B3689" i="1"/>
  <c r="C3689" i="1"/>
  <c r="D3689" i="1"/>
  <c r="E3689" i="1"/>
  <c r="A3690" i="1"/>
  <c r="B3690" i="1"/>
  <c r="C3690" i="1"/>
  <c r="D3690" i="1"/>
  <c r="E3690" i="1"/>
  <c r="A3691" i="1"/>
  <c r="B3691" i="1"/>
  <c r="C3691" i="1"/>
  <c r="D3691" i="1"/>
  <c r="E3691" i="1"/>
  <c r="A3692" i="1"/>
  <c r="B3692" i="1"/>
  <c r="C3692" i="1"/>
  <c r="D3692" i="1"/>
  <c r="E3692" i="1"/>
  <c r="A3693" i="1"/>
  <c r="B3693" i="1"/>
  <c r="C3693" i="1"/>
  <c r="D3693" i="1"/>
  <c r="E3693" i="1"/>
  <c r="A3694" i="1"/>
  <c r="B3694" i="1"/>
  <c r="C3694" i="1"/>
  <c r="D3694" i="1"/>
  <c r="E3694" i="1"/>
  <c r="A3695" i="1"/>
  <c r="B3695" i="1"/>
  <c r="C3695" i="1"/>
  <c r="D3695" i="1"/>
  <c r="E3695" i="1"/>
  <c r="A3696" i="1"/>
  <c r="B3696" i="1"/>
  <c r="C3696" i="1"/>
  <c r="D3696" i="1"/>
  <c r="E3696" i="1"/>
  <c r="A3697" i="1"/>
  <c r="B3697" i="1"/>
  <c r="C3697" i="1"/>
  <c r="D3697" i="1"/>
  <c r="E3697" i="1"/>
  <c r="A3698" i="1"/>
  <c r="B3698" i="1"/>
  <c r="C3698" i="1"/>
  <c r="D3698" i="1"/>
  <c r="E3698" i="1"/>
  <c r="A3699" i="1"/>
  <c r="B3699" i="1"/>
  <c r="C3699" i="1"/>
  <c r="D3699" i="1"/>
  <c r="E3699" i="1"/>
  <c r="A3700" i="1"/>
  <c r="B3700" i="1"/>
  <c r="C3700" i="1"/>
  <c r="D3700" i="1"/>
  <c r="E3700" i="1"/>
  <c r="A3701" i="1"/>
  <c r="B3701" i="1"/>
  <c r="C3701" i="1"/>
  <c r="D3701" i="1"/>
  <c r="E3701" i="1"/>
  <c r="A3702" i="1"/>
  <c r="B3702" i="1"/>
  <c r="C3702" i="1"/>
  <c r="D3702" i="1"/>
  <c r="E3702" i="1"/>
  <c r="A3703" i="1"/>
  <c r="B3703" i="1"/>
  <c r="C3703" i="1"/>
  <c r="D3703" i="1"/>
  <c r="E3703" i="1"/>
  <c r="A3704" i="1"/>
  <c r="B3704" i="1"/>
  <c r="C3704" i="1"/>
  <c r="D3704" i="1"/>
  <c r="E3704" i="1"/>
  <c r="A3705" i="1"/>
  <c r="B3705" i="1"/>
  <c r="C3705" i="1"/>
  <c r="D3705" i="1"/>
  <c r="E3705" i="1"/>
  <c r="A3706" i="1"/>
  <c r="B3706" i="1"/>
  <c r="C3706" i="1"/>
  <c r="D3706" i="1"/>
  <c r="E3706" i="1"/>
  <c r="A3707" i="1"/>
  <c r="B3707" i="1"/>
  <c r="C3707" i="1"/>
  <c r="D3707" i="1"/>
  <c r="E3707" i="1"/>
  <c r="A3708" i="1"/>
  <c r="B3708" i="1"/>
  <c r="C3708" i="1"/>
  <c r="D3708" i="1"/>
  <c r="E3708" i="1"/>
  <c r="A3709" i="1"/>
  <c r="B3709" i="1"/>
  <c r="C3709" i="1"/>
  <c r="D3709" i="1"/>
  <c r="E3709" i="1"/>
  <c r="A3710" i="1"/>
  <c r="B3710" i="1"/>
  <c r="C3710" i="1"/>
  <c r="D3710" i="1"/>
  <c r="E3710" i="1"/>
  <c r="A3711" i="1"/>
  <c r="B3711" i="1"/>
  <c r="C3711" i="1"/>
  <c r="D3711" i="1"/>
  <c r="E3711" i="1"/>
  <c r="A3712" i="1"/>
  <c r="B3712" i="1"/>
  <c r="C3712" i="1"/>
  <c r="D3712" i="1"/>
  <c r="E3712" i="1"/>
  <c r="A3713" i="1"/>
  <c r="B3713" i="1"/>
  <c r="C3713" i="1"/>
  <c r="D3713" i="1"/>
  <c r="E3713" i="1"/>
  <c r="A3714" i="1"/>
  <c r="B3714" i="1"/>
  <c r="C3714" i="1"/>
  <c r="D3714" i="1"/>
  <c r="E3714" i="1"/>
  <c r="A3715" i="1"/>
  <c r="B3715" i="1"/>
  <c r="C3715" i="1"/>
  <c r="D3715" i="1"/>
  <c r="E3715" i="1"/>
  <c r="A3716" i="1"/>
  <c r="B3716" i="1"/>
  <c r="C3716" i="1"/>
  <c r="D3716" i="1"/>
  <c r="E3716" i="1"/>
  <c r="A3717" i="1"/>
  <c r="B3717" i="1"/>
  <c r="C3717" i="1"/>
  <c r="D3717" i="1"/>
  <c r="E3717" i="1"/>
  <c r="A3718" i="1"/>
  <c r="B3718" i="1"/>
  <c r="C3718" i="1"/>
  <c r="D3718" i="1"/>
  <c r="E3718" i="1"/>
  <c r="A3719" i="1"/>
  <c r="B3719" i="1"/>
  <c r="C3719" i="1"/>
  <c r="D3719" i="1"/>
  <c r="E3719" i="1"/>
  <c r="A3720" i="1"/>
  <c r="B3720" i="1"/>
  <c r="C3720" i="1"/>
  <c r="D3720" i="1"/>
  <c r="E3720" i="1"/>
  <c r="A3721" i="1"/>
  <c r="B3721" i="1"/>
  <c r="C3721" i="1"/>
  <c r="D3721" i="1"/>
  <c r="E3721" i="1"/>
  <c r="A3722" i="1"/>
  <c r="B3722" i="1"/>
  <c r="C3722" i="1"/>
  <c r="D3722" i="1"/>
  <c r="E3722" i="1"/>
  <c r="A3723" i="1"/>
  <c r="B3723" i="1"/>
  <c r="C3723" i="1"/>
  <c r="D3723" i="1"/>
  <c r="E3723" i="1"/>
  <c r="A3724" i="1"/>
  <c r="B3724" i="1"/>
  <c r="C3724" i="1"/>
  <c r="D3724" i="1"/>
  <c r="E3724" i="1"/>
  <c r="A3725" i="1"/>
  <c r="B3725" i="1"/>
  <c r="C3725" i="1"/>
  <c r="D3725" i="1"/>
  <c r="E3725" i="1"/>
  <c r="A3726" i="1"/>
  <c r="B3726" i="1"/>
  <c r="C3726" i="1"/>
  <c r="D3726" i="1"/>
  <c r="E3726" i="1"/>
  <c r="A3727" i="1"/>
  <c r="B3727" i="1"/>
  <c r="C3727" i="1"/>
  <c r="D3727" i="1"/>
  <c r="E3727" i="1"/>
  <c r="A3728" i="1"/>
  <c r="B3728" i="1"/>
  <c r="C3728" i="1"/>
  <c r="D3728" i="1"/>
  <c r="E3728" i="1"/>
  <c r="A3729" i="1"/>
  <c r="B3729" i="1"/>
  <c r="C3729" i="1"/>
  <c r="D3729" i="1"/>
  <c r="E3729" i="1"/>
  <c r="A3730" i="1"/>
  <c r="B3730" i="1"/>
  <c r="C3730" i="1"/>
  <c r="D3730" i="1"/>
  <c r="E3730" i="1"/>
  <c r="A3731" i="1"/>
  <c r="B3731" i="1"/>
  <c r="C3731" i="1"/>
  <c r="D3731" i="1"/>
  <c r="E3731" i="1"/>
  <c r="A3732" i="1"/>
  <c r="B3732" i="1"/>
  <c r="C3732" i="1"/>
  <c r="D3732" i="1"/>
  <c r="E3732" i="1"/>
  <c r="A3733" i="1"/>
  <c r="B3733" i="1"/>
  <c r="C3733" i="1"/>
  <c r="D3733" i="1"/>
  <c r="E3733" i="1"/>
  <c r="A3734" i="1"/>
  <c r="B3734" i="1"/>
  <c r="C3734" i="1"/>
  <c r="D3734" i="1"/>
  <c r="E3734" i="1"/>
  <c r="A3735" i="1"/>
  <c r="B3735" i="1"/>
  <c r="C3735" i="1"/>
  <c r="D3735" i="1"/>
  <c r="E3735" i="1"/>
  <c r="A3736" i="1"/>
  <c r="B3736" i="1"/>
  <c r="C3736" i="1"/>
  <c r="D3736" i="1"/>
  <c r="E3736" i="1"/>
  <c r="A3737" i="1"/>
  <c r="B3737" i="1"/>
  <c r="C3737" i="1"/>
  <c r="D3737" i="1"/>
  <c r="E3737" i="1"/>
  <c r="A3738" i="1"/>
  <c r="B3738" i="1"/>
  <c r="C3738" i="1"/>
  <c r="D3738" i="1"/>
  <c r="E3738" i="1"/>
  <c r="A3739" i="1"/>
  <c r="B3739" i="1"/>
  <c r="C3739" i="1"/>
  <c r="D3739" i="1"/>
  <c r="E3739" i="1"/>
  <c r="A3740" i="1"/>
  <c r="B3740" i="1"/>
  <c r="C3740" i="1"/>
  <c r="D3740" i="1"/>
  <c r="E3740" i="1"/>
  <c r="A3741" i="1"/>
  <c r="B3741" i="1"/>
  <c r="C3741" i="1"/>
  <c r="D3741" i="1"/>
  <c r="E3741" i="1"/>
  <c r="A3742" i="1"/>
  <c r="B3742" i="1"/>
  <c r="C3742" i="1"/>
  <c r="D3742" i="1"/>
  <c r="E3742" i="1"/>
  <c r="A3743" i="1"/>
  <c r="B3743" i="1"/>
  <c r="C3743" i="1"/>
  <c r="D3743" i="1"/>
  <c r="E3743" i="1"/>
  <c r="A3744" i="1"/>
  <c r="B3744" i="1"/>
  <c r="C3744" i="1"/>
  <c r="D3744" i="1"/>
  <c r="E3744" i="1"/>
  <c r="A3745" i="1"/>
  <c r="B3745" i="1"/>
  <c r="C3745" i="1"/>
  <c r="D3745" i="1"/>
  <c r="E3745" i="1"/>
  <c r="A3746" i="1"/>
  <c r="B3746" i="1"/>
  <c r="C3746" i="1"/>
  <c r="D3746" i="1"/>
  <c r="E3746" i="1"/>
  <c r="A3747" i="1"/>
  <c r="B3747" i="1"/>
  <c r="C3747" i="1"/>
  <c r="D3747" i="1"/>
  <c r="E3747" i="1"/>
  <c r="A3748" i="1"/>
  <c r="B3748" i="1"/>
  <c r="C3748" i="1"/>
  <c r="D3748" i="1"/>
  <c r="E3748" i="1"/>
  <c r="A3749" i="1"/>
  <c r="B3749" i="1"/>
  <c r="C3749" i="1"/>
  <c r="D3749" i="1"/>
  <c r="E3749" i="1"/>
  <c r="A3750" i="1"/>
  <c r="B3750" i="1"/>
  <c r="C3750" i="1"/>
  <c r="D3750" i="1"/>
  <c r="E3750" i="1"/>
  <c r="A3751" i="1"/>
  <c r="B3751" i="1"/>
  <c r="C3751" i="1"/>
  <c r="D3751" i="1"/>
  <c r="E3751" i="1"/>
  <c r="A3752" i="1"/>
  <c r="B3752" i="1"/>
  <c r="C3752" i="1"/>
  <c r="D3752" i="1"/>
  <c r="E3752" i="1"/>
  <c r="A3753" i="1"/>
  <c r="B3753" i="1"/>
  <c r="C3753" i="1"/>
  <c r="D3753" i="1"/>
  <c r="E3753" i="1"/>
  <c r="A3754" i="1"/>
  <c r="B3754" i="1"/>
  <c r="C3754" i="1"/>
  <c r="D3754" i="1"/>
  <c r="E3754" i="1"/>
  <c r="A3755" i="1"/>
  <c r="B3755" i="1"/>
  <c r="C3755" i="1"/>
  <c r="D3755" i="1"/>
  <c r="E3755" i="1"/>
  <c r="A3756" i="1"/>
  <c r="B3756" i="1"/>
  <c r="C3756" i="1"/>
  <c r="D3756" i="1"/>
  <c r="E3756" i="1"/>
  <c r="A3757" i="1"/>
  <c r="B3757" i="1"/>
  <c r="C3757" i="1"/>
  <c r="D3757" i="1"/>
  <c r="E3757" i="1"/>
  <c r="A3758" i="1"/>
  <c r="B3758" i="1"/>
  <c r="C3758" i="1"/>
  <c r="D3758" i="1"/>
  <c r="E3758" i="1"/>
  <c r="A3759" i="1"/>
  <c r="B3759" i="1"/>
  <c r="C3759" i="1"/>
  <c r="D3759" i="1"/>
  <c r="E3759" i="1"/>
  <c r="A3760" i="1"/>
  <c r="B3760" i="1"/>
  <c r="C3760" i="1"/>
  <c r="D3760" i="1"/>
  <c r="E3760" i="1"/>
  <c r="A3761" i="1"/>
  <c r="B3761" i="1"/>
  <c r="C3761" i="1"/>
  <c r="D3761" i="1"/>
  <c r="E3761" i="1"/>
  <c r="A3762" i="1"/>
  <c r="B3762" i="1"/>
  <c r="C3762" i="1"/>
  <c r="D3762" i="1"/>
  <c r="E3762" i="1"/>
  <c r="A3763" i="1"/>
  <c r="B3763" i="1"/>
  <c r="C3763" i="1"/>
  <c r="D3763" i="1"/>
  <c r="E3763" i="1"/>
  <c r="A3764" i="1"/>
  <c r="B3764" i="1"/>
  <c r="C3764" i="1"/>
  <c r="D3764" i="1"/>
  <c r="E3764" i="1"/>
  <c r="A3765" i="1"/>
  <c r="B3765" i="1"/>
  <c r="C3765" i="1"/>
  <c r="D3765" i="1"/>
  <c r="E3765" i="1"/>
  <c r="A3766" i="1"/>
  <c r="B3766" i="1"/>
  <c r="C3766" i="1"/>
  <c r="D3766" i="1"/>
  <c r="E3766" i="1"/>
  <c r="A3767" i="1"/>
  <c r="B3767" i="1"/>
  <c r="C3767" i="1"/>
  <c r="D3767" i="1"/>
  <c r="E3767" i="1"/>
  <c r="A3768" i="1"/>
  <c r="B3768" i="1"/>
  <c r="C3768" i="1"/>
  <c r="D3768" i="1"/>
  <c r="E3768" i="1"/>
  <c r="A3769" i="1"/>
  <c r="B3769" i="1"/>
  <c r="C3769" i="1"/>
  <c r="D3769" i="1"/>
  <c r="E3769" i="1"/>
  <c r="A3770" i="1"/>
  <c r="B3770" i="1"/>
  <c r="C3770" i="1"/>
  <c r="D3770" i="1"/>
  <c r="E3770" i="1"/>
  <c r="A3771" i="1"/>
  <c r="B3771" i="1"/>
  <c r="C3771" i="1"/>
  <c r="D3771" i="1"/>
  <c r="E3771" i="1"/>
  <c r="A3772" i="1"/>
  <c r="B3772" i="1"/>
  <c r="C3772" i="1"/>
  <c r="D3772" i="1"/>
  <c r="E3772" i="1"/>
  <c r="A3773" i="1"/>
  <c r="B3773" i="1"/>
  <c r="C3773" i="1"/>
  <c r="D3773" i="1"/>
  <c r="E3773" i="1"/>
  <c r="A3774" i="1"/>
  <c r="B3774" i="1"/>
  <c r="C3774" i="1"/>
  <c r="D3774" i="1"/>
  <c r="E3774" i="1"/>
  <c r="A3775" i="1"/>
  <c r="B3775" i="1"/>
  <c r="C3775" i="1"/>
  <c r="D3775" i="1"/>
  <c r="E3775" i="1"/>
  <c r="A3776" i="1"/>
  <c r="B3776" i="1"/>
  <c r="C3776" i="1"/>
  <c r="D3776" i="1"/>
  <c r="E3776" i="1"/>
  <c r="A3777" i="1"/>
  <c r="B3777" i="1"/>
  <c r="C3777" i="1"/>
  <c r="D3777" i="1"/>
  <c r="E3777" i="1"/>
  <c r="A3778" i="1"/>
  <c r="B3778" i="1"/>
  <c r="C3778" i="1"/>
  <c r="D3778" i="1"/>
  <c r="E3778" i="1"/>
  <c r="A3779" i="1"/>
  <c r="B3779" i="1"/>
  <c r="C3779" i="1"/>
  <c r="D3779" i="1"/>
  <c r="E3779" i="1"/>
  <c r="A3780" i="1"/>
  <c r="B3780" i="1"/>
  <c r="C3780" i="1"/>
  <c r="D3780" i="1"/>
  <c r="E3780" i="1"/>
  <c r="A3781" i="1"/>
  <c r="B3781" i="1"/>
  <c r="C3781" i="1"/>
  <c r="D3781" i="1"/>
  <c r="E3781" i="1"/>
  <c r="A3782" i="1"/>
  <c r="B3782" i="1"/>
  <c r="C3782" i="1"/>
  <c r="D3782" i="1"/>
  <c r="E3782" i="1"/>
  <c r="A3783" i="1"/>
  <c r="B3783" i="1"/>
  <c r="C3783" i="1"/>
  <c r="D3783" i="1"/>
  <c r="E3783" i="1"/>
  <c r="A3784" i="1"/>
  <c r="B3784" i="1"/>
  <c r="C3784" i="1"/>
  <c r="D3784" i="1"/>
  <c r="E3784" i="1"/>
  <c r="A3785" i="1"/>
  <c r="B3785" i="1"/>
  <c r="C3785" i="1"/>
  <c r="D3785" i="1"/>
  <c r="E3785" i="1"/>
  <c r="A3786" i="1"/>
  <c r="B3786" i="1"/>
  <c r="C3786" i="1"/>
  <c r="D3786" i="1"/>
  <c r="E3786" i="1"/>
  <c r="A3787" i="1"/>
  <c r="B3787" i="1"/>
  <c r="C3787" i="1"/>
  <c r="D3787" i="1"/>
  <c r="E3787" i="1"/>
  <c r="A3788" i="1"/>
  <c r="B3788" i="1"/>
  <c r="C3788" i="1"/>
  <c r="D3788" i="1"/>
  <c r="E3788" i="1"/>
  <c r="A3789" i="1"/>
  <c r="B3789" i="1"/>
  <c r="C3789" i="1"/>
  <c r="D3789" i="1"/>
  <c r="E3789" i="1"/>
  <c r="A3790" i="1"/>
  <c r="B3790" i="1"/>
  <c r="C3790" i="1"/>
  <c r="D3790" i="1"/>
  <c r="E3790" i="1"/>
  <c r="A3791" i="1"/>
  <c r="B3791" i="1"/>
  <c r="C3791" i="1"/>
  <c r="D3791" i="1"/>
  <c r="E3791" i="1"/>
  <c r="A3792" i="1"/>
  <c r="B3792" i="1"/>
  <c r="C3792" i="1"/>
  <c r="D3792" i="1"/>
  <c r="E3792" i="1"/>
  <c r="A3793" i="1"/>
  <c r="B3793" i="1"/>
  <c r="C3793" i="1"/>
  <c r="D3793" i="1"/>
  <c r="E3793" i="1"/>
  <c r="A3794" i="1"/>
  <c r="B3794" i="1"/>
  <c r="C3794" i="1"/>
  <c r="D3794" i="1"/>
  <c r="E3794" i="1"/>
  <c r="A3795" i="1"/>
  <c r="B3795" i="1"/>
  <c r="C3795" i="1"/>
  <c r="D3795" i="1"/>
  <c r="E3795" i="1"/>
  <c r="A3796" i="1"/>
  <c r="B3796" i="1"/>
  <c r="C3796" i="1"/>
  <c r="D3796" i="1"/>
  <c r="E3796" i="1"/>
  <c r="A3797" i="1"/>
  <c r="B3797" i="1"/>
  <c r="C3797" i="1"/>
  <c r="D3797" i="1"/>
  <c r="E3797" i="1"/>
  <c r="A3798" i="1"/>
  <c r="B3798" i="1"/>
  <c r="C3798" i="1"/>
  <c r="D3798" i="1"/>
  <c r="E3798" i="1"/>
  <c r="A3799" i="1"/>
  <c r="B3799" i="1"/>
  <c r="C3799" i="1"/>
  <c r="D3799" i="1"/>
  <c r="E3799" i="1"/>
  <c r="A3800" i="1"/>
  <c r="B3800" i="1"/>
  <c r="C3800" i="1"/>
  <c r="D3800" i="1"/>
  <c r="E3800" i="1"/>
  <c r="A3801" i="1"/>
  <c r="B3801" i="1"/>
  <c r="C3801" i="1"/>
  <c r="D3801" i="1"/>
  <c r="E3801" i="1"/>
  <c r="A3802" i="1"/>
  <c r="B3802" i="1"/>
  <c r="C3802" i="1"/>
  <c r="D3802" i="1"/>
  <c r="E3802" i="1"/>
  <c r="A3803" i="1"/>
  <c r="B3803" i="1"/>
  <c r="C3803" i="1"/>
  <c r="D3803" i="1"/>
  <c r="E3803" i="1"/>
  <c r="A3804" i="1"/>
  <c r="B3804" i="1"/>
  <c r="C3804" i="1"/>
  <c r="D3804" i="1"/>
  <c r="E3804" i="1"/>
  <c r="A3805" i="1"/>
  <c r="B3805" i="1"/>
  <c r="C3805" i="1"/>
  <c r="D3805" i="1"/>
  <c r="E3805" i="1"/>
  <c r="A3806" i="1"/>
  <c r="B3806" i="1"/>
  <c r="C3806" i="1"/>
  <c r="D3806" i="1"/>
  <c r="E3806" i="1"/>
  <c r="A3807" i="1"/>
  <c r="B3807" i="1"/>
  <c r="C3807" i="1"/>
  <c r="D3807" i="1"/>
  <c r="E3807" i="1"/>
  <c r="A3808" i="1"/>
  <c r="B3808" i="1"/>
  <c r="C3808" i="1"/>
  <c r="D3808" i="1"/>
  <c r="E3808" i="1"/>
  <c r="A3809" i="1"/>
  <c r="B3809" i="1"/>
  <c r="C3809" i="1"/>
  <c r="D3809" i="1"/>
  <c r="E3809" i="1"/>
  <c r="A3810" i="1"/>
  <c r="B3810" i="1"/>
  <c r="C3810" i="1"/>
  <c r="D3810" i="1"/>
  <c r="E3810" i="1"/>
  <c r="A3811" i="1"/>
  <c r="B3811" i="1"/>
  <c r="C3811" i="1"/>
  <c r="D3811" i="1"/>
  <c r="E3811" i="1"/>
  <c r="A3812" i="1"/>
  <c r="B3812" i="1"/>
  <c r="C3812" i="1"/>
  <c r="D3812" i="1"/>
  <c r="E3812" i="1"/>
  <c r="A3813" i="1"/>
  <c r="B3813" i="1"/>
  <c r="C3813" i="1"/>
  <c r="D3813" i="1"/>
  <c r="E3813" i="1"/>
  <c r="A3814" i="1"/>
  <c r="B3814" i="1"/>
  <c r="C3814" i="1"/>
  <c r="D3814" i="1"/>
  <c r="E3814" i="1"/>
  <c r="A3815" i="1"/>
  <c r="B3815" i="1"/>
  <c r="C3815" i="1"/>
  <c r="D3815" i="1"/>
  <c r="E3815" i="1"/>
  <c r="A3816" i="1"/>
  <c r="B3816" i="1"/>
  <c r="C3816" i="1"/>
  <c r="D3816" i="1"/>
  <c r="E3816" i="1"/>
  <c r="A3817" i="1"/>
  <c r="B3817" i="1"/>
  <c r="C3817" i="1"/>
  <c r="D3817" i="1"/>
  <c r="E3817" i="1"/>
  <c r="A3818" i="1"/>
  <c r="B3818" i="1"/>
  <c r="C3818" i="1"/>
  <c r="D3818" i="1"/>
  <c r="E3818" i="1"/>
  <c r="A3819" i="1"/>
  <c r="B3819" i="1"/>
  <c r="C3819" i="1"/>
  <c r="D3819" i="1"/>
  <c r="E3819" i="1"/>
  <c r="A3820" i="1"/>
  <c r="B3820" i="1"/>
  <c r="C3820" i="1"/>
  <c r="D3820" i="1"/>
  <c r="E3820" i="1"/>
  <c r="A3821" i="1"/>
  <c r="B3821" i="1"/>
  <c r="C3821" i="1"/>
  <c r="D3821" i="1"/>
  <c r="E3821" i="1"/>
  <c r="A3822" i="1"/>
  <c r="B3822" i="1"/>
  <c r="C3822" i="1"/>
  <c r="D3822" i="1"/>
  <c r="E3822" i="1"/>
  <c r="A3823" i="1"/>
  <c r="B3823" i="1"/>
  <c r="C3823" i="1"/>
  <c r="D3823" i="1"/>
  <c r="E3823" i="1"/>
  <c r="A3824" i="1"/>
  <c r="B3824" i="1"/>
  <c r="C3824" i="1"/>
  <c r="D3824" i="1"/>
  <c r="E3824" i="1"/>
  <c r="A3825" i="1"/>
  <c r="B3825" i="1"/>
  <c r="C3825" i="1"/>
  <c r="D3825" i="1"/>
  <c r="E3825" i="1"/>
  <c r="A3826" i="1"/>
  <c r="B3826" i="1"/>
  <c r="C3826" i="1"/>
  <c r="D3826" i="1"/>
  <c r="E3826" i="1"/>
  <c r="A3827" i="1"/>
  <c r="B3827" i="1"/>
  <c r="C3827" i="1"/>
  <c r="D3827" i="1"/>
  <c r="E3827" i="1"/>
  <c r="A3828" i="1"/>
  <c r="B3828" i="1"/>
  <c r="C3828" i="1"/>
  <c r="D3828" i="1"/>
  <c r="E3828" i="1"/>
  <c r="A3829" i="1"/>
  <c r="B3829" i="1"/>
  <c r="C3829" i="1"/>
  <c r="D3829" i="1"/>
  <c r="E3829" i="1"/>
  <c r="A3830" i="1"/>
  <c r="B3830" i="1"/>
  <c r="C3830" i="1"/>
  <c r="D3830" i="1"/>
  <c r="E3830" i="1"/>
  <c r="A3831" i="1"/>
  <c r="B3831" i="1"/>
  <c r="C3831" i="1"/>
  <c r="D3831" i="1"/>
  <c r="E3831" i="1"/>
  <c r="A3832" i="1"/>
  <c r="B3832" i="1"/>
  <c r="C3832" i="1"/>
  <c r="D3832" i="1"/>
  <c r="E3832" i="1"/>
  <c r="A3833" i="1"/>
  <c r="B3833" i="1"/>
  <c r="C3833" i="1"/>
  <c r="D3833" i="1"/>
  <c r="E3833" i="1"/>
  <c r="A3834" i="1"/>
  <c r="B3834" i="1"/>
  <c r="C3834" i="1"/>
  <c r="D3834" i="1"/>
  <c r="E3834" i="1"/>
  <c r="A3835" i="1"/>
  <c r="B3835" i="1"/>
  <c r="C3835" i="1"/>
  <c r="D3835" i="1"/>
  <c r="E3835" i="1"/>
  <c r="A3836" i="1"/>
  <c r="B3836" i="1"/>
  <c r="C3836" i="1"/>
  <c r="D3836" i="1"/>
  <c r="E3836" i="1"/>
  <c r="A3837" i="1"/>
  <c r="B3837" i="1"/>
  <c r="C3837" i="1"/>
  <c r="D3837" i="1"/>
  <c r="E3837" i="1"/>
  <c r="A3838" i="1"/>
  <c r="B3838" i="1"/>
  <c r="C3838" i="1"/>
  <c r="D3838" i="1"/>
  <c r="E3838" i="1"/>
  <c r="A3839" i="1"/>
  <c r="B3839" i="1"/>
  <c r="C3839" i="1"/>
  <c r="D3839" i="1"/>
  <c r="E3839" i="1"/>
  <c r="A3840" i="1"/>
  <c r="B3840" i="1"/>
  <c r="C3840" i="1"/>
  <c r="D3840" i="1"/>
  <c r="E3840" i="1"/>
  <c r="A3841" i="1"/>
  <c r="B3841" i="1"/>
  <c r="C3841" i="1"/>
  <c r="D3841" i="1"/>
  <c r="E3841" i="1"/>
  <c r="A3842" i="1"/>
  <c r="B3842" i="1"/>
  <c r="C3842" i="1"/>
  <c r="D3842" i="1"/>
  <c r="E3842" i="1"/>
  <c r="A3843" i="1"/>
  <c r="B3843" i="1"/>
  <c r="C3843" i="1"/>
  <c r="D3843" i="1"/>
  <c r="E3843" i="1"/>
  <c r="A3844" i="1"/>
  <c r="B3844" i="1"/>
  <c r="C3844" i="1"/>
  <c r="D3844" i="1"/>
  <c r="E3844" i="1"/>
  <c r="A3845" i="1"/>
  <c r="B3845" i="1"/>
  <c r="C3845" i="1"/>
  <c r="D3845" i="1"/>
  <c r="E3845" i="1"/>
  <c r="A3846" i="1"/>
  <c r="B3846" i="1"/>
  <c r="C3846" i="1"/>
  <c r="D3846" i="1"/>
  <c r="E3846" i="1"/>
  <c r="A3847" i="1"/>
  <c r="B3847" i="1"/>
  <c r="C3847" i="1"/>
  <c r="D3847" i="1"/>
  <c r="E3847" i="1"/>
  <c r="A3848" i="1"/>
  <c r="B3848" i="1"/>
  <c r="C3848" i="1"/>
  <c r="D3848" i="1"/>
  <c r="E3848" i="1"/>
  <c r="A3849" i="1"/>
  <c r="B3849" i="1"/>
  <c r="C3849" i="1"/>
  <c r="D3849" i="1"/>
  <c r="E3849" i="1"/>
  <c r="A3850" i="1"/>
  <c r="B3850" i="1"/>
  <c r="C3850" i="1"/>
  <c r="D3850" i="1"/>
  <c r="E3850" i="1"/>
  <c r="A3851" i="1"/>
  <c r="B3851" i="1"/>
  <c r="C3851" i="1"/>
  <c r="D3851" i="1"/>
  <c r="E3851" i="1"/>
  <c r="A3852" i="1"/>
  <c r="B3852" i="1"/>
  <c r="C3852" i="1"/>
  <c r="D3852" i="1"/>
  <c r="E3852" i="1"/>
  <c r="A3853" i="1"/>
  <c r="B3853" i="1"/>
  <c r="C3853" i="1"/>
  <c r="D3853" i="1"/>
  <c r="E3853" i="1"/>
  <c r="A3854" i="1"/>
  <c r="B3854" i="1"/>
  <c r="C3854" i="1"/>
  <c r="D3854" i="1"/>
  <c r="E3854" i="1"/>
  <c r="A3855" i="1"/>
  <c r="B3855" i="1"/>
  <c r="C3855" i="1"/>
  <c r="D3855" i="1"/>
  <c r="E3855" i="1"/>
  <c r="A3856" i="1"/>
  <c r="B3856" i="1"/>
  <c r="C3856" i="1"/>
  <c r="D3856" i="1"/>
  <c r="E3856" i="1"/>
  <c r="A3857" i="1"/>
  <c r="B3857" i="1"/>
  <c r="C3857" i="1"/>
  <c r="D3857" i="1"/>
  <c r="E3857" i="1"/>
  <c r="A3858" i="1"/>
  <c r="B3858" i="1"/>
  <c r="C3858" i="1"/>
  <c r="D3858" i="1"/>
  <c r="E3858" i="1"/>
  <c r="A3859" i="1"/>
  <c r="B3859" i="1"/>
  <c r="C3859" i="1"/>
  <c r="D3859" i="1"/>
  <c r="E3859" i="1"/>
  <c r="A3860" i="1"/>
  <c r="B3860" i="1"/>
  <c r="C3860" i="1"/>
  <c r="D3860" i="1"/>
  <c r="E3860" i="1"/>
  <c r="A3861" i="1"/>
  <c r="B3861" i="1"/>
  <c r="C3861" i="1"/>
  <c r="D3861" i="1"/>
  <c r="E3861" i="1"/>
  <c r="A3862" i="1"/>
  <c r="B3862" i="1"/>
  <c r="C3862" i="1"/>
  <c r="D3862" i="1"/>
  <c r="E3862" i="1"/>
  <c r="A3863" i="1"/>
  <c r="B3863" i="1"/>
  <c r="C3863" i="1"/>
  <c r="D3863" i="1"/>
  <c r="E3863" i="1"/>
  <c r="A3864" i="1"/>
  <c r="B3864" i="1"/>
  <c r="C3864" i="1"/>
  <c r="D3864" i="1"/>
  <c r="E3864" i="1"/>
  <c r="A3865" i="1"/>
  <c r="B3865" i="1"/>
  <c r="C3865" i="1"/>
  <c r="D3865" i="1"/>
  <c r="E3865" i="1"/>
  <c r="A3866" i="1"/>
  <c r="B3866" i="1"/>
  <c r="C3866" i="1"/>
  <c r="D3866" i="1"/>
  <c r="E3866" i="1"/>
  <c r="A3867" i="1"/>
  <c r="B3867" i="1"/>
  <c r="C3867" i="1"/>
  <c r="D3867" i="1"/>
  <c r="E3867" i="1"/>
  <c r="A3868" i="1"/>
  <c r="B3868" i="1"/>
  <c r="C3868" i="1"/>
  <c r="D3868" i="1"/>
  <c r="E3868" i="1"/>
  <c r="A3869" i="1"/>
  <c r="B3869" i="1"/>
  <c r="C3869" i="1"/>
  <c r="D3869" i="1"/>
  <c r="E3869" i="1"/>
  <c r="A3870" i="1"/>
  <c r="B3870" i="1"/>
  <c r="C3870" i="1"/>
  <c r="D3870" i="1"/>
  <c r="E3870" i="1"/>
  <c r="A3871" i="1"/>
  <c r="B3871" i="1"/>
  <c r="C3871" i="1"/>
  <c r="D3871" i="1"/>
  <c r="E3871" i="1"/>
  <c r="A3872" i="1"/>
  <c r="B3872" i="1"/>
  <c r="C3872" i="1"/>
  <c r="D3872" i="1"/>
  <c r="E3872" i="1"/>
  <c r="A3873" i="1"/>
  <c r="B3873" i="1"/>
  <c r="C3873" i="1"/>
  <c r="D3873" i="1"/>
  <c r="E3873" i="1"/>
  <c r="A3874" i="1"/>
  <c r="B3874" i="1"/>
  <c r="C3874" i="1"/>
  <c r="D3874" i="1"/>
  <c r="E3874" i="1"/>
  <c r="A3875" i="1"/>
  <c r="B3875" i="1"/>
  <c r="C3875" i="1"/>
  <c r="D3875" i="1"/>
  <c r="E3875" i="1"/>
  <c r="A3876" i="1"/>
  <c r="B3876" i="1"/>
  <c r="C3876" i="1"/>
  <c r="D3876" i="1"/>
  <c r="E3876" i="1"/>
  <c r="A3877" i="1"/>
  <c r="B3877" i="1"/>
  <c r="C3877" i="1"/>
  <c r="D3877" i="1"/>
  <c r="E3877" i="1"/>
  <c r="A3878" i="1"/>
  <c r="B3878" i="1"/>
  <c r="C3878" i="1"/>
  <c r="D3878" i="1"/>
  <c r="E3878" i="1"/>
  <c r="A3879" i="1"/>
  <c r="B3879" i="1"/>
  <c r="C3879" i="1"/>
  <c r="D3879" i="1"/>
  <c r="E3879" i="1"/>
  <c r="A3880" i="1"/>
  <c r="B3880" i="1"/>
  <c r="C3880" i="1"/>
  <c r="D3880" i="1"/>
  <c r="E3880" i="1"/>
  <c r="A3881" i="1"/>
  <c r="B3881" i="1"/>
  <c r="C3881" i="1"/>
  <c r="D3881" i="1"/>
  <c r="E3881" i="1"/>
  <c r="A3882" i="1"/>
  <c r="B3882" i="1"/>
  <c r="C3882" i="1"/>
  <c r="D3882" i="1"/>
  <c r="E3882" i="1"/>
  <c r="A3883" i="1"/>
  <c r="B3883" i="1"/>
  <c r="C3883" i="1"/>
  <c r="D3883" i="1"/>
  <c r="E3883" i="1"/>
  <c r="A3884" i="1"/>
  <c r="B3884" i="1"/>
  <c r="C3884" i="1"/>
  <c r="D3884" i="1"/>
  <c r="E3884" i="1"/>
  <c r="A3885" i="1"/>
  <c r="B3885" i="1"/>
  <c r="C3885" i="1"/>
  <c r="D3885" i="1"/>
  <c r="E3885" i="1"/>
  <c r="A3886" i="1"/>
  <c r="B3886" i="1"/>
  <c r="C3886" i="1"/>
  <c r="D3886" i="1"/>
  <c r="E3886" i="1"/>
  <c r="A3887" i="1"/>
  <c r="B3887" i="1"/>
  <c r="C3887" i="1"/>
  <c r="D3887" i="1"/>
  <c r="E3887" i="1"/>
  <c r="A3888" i="1"/>
  <c r="B3888" i="1"/>
  <c r="C3888" i="1"/>
  <c r="D3888" i="1"/>
  <c r="E3888" i="1"/>
  <c r="A3889" i="1"/>
  <c r="B3889" i="1"/>
  <c r="C3889" i="1"/>
  <c r="D3889" i="1"/>
  <c r="E3889" i="1"/>
  <c r="A3890" i="1"/>
  <c r="B3890" i="1"/>
  <c r="C3890" i="1"/>
  <c r="D3890" i="1"/>
  <c r="E3890" i="1"/>
  <c r="A3891" i="1"/>
  <c r="B3891" i="1"/>
  <c r="C3891" i="1"/>
  <c r="D3891" i="1"/>
  <c r="E3891" i="1"/>
  <c r="A3892" i="1"/>
  <c r="B3892" i="1"/>
  <c r="C3892" i="1"/>
  <c r="D3892" i="1"/>
  <c r="E3892" i="1"/>
  <c r="A3893" i="1"/>
  <c r="B3893" i="1"/>
  <c r="C3893" i="1"/>
  <c r="D3893" i="1"/>
  <c r="E3893" i="1"/>
  <c r="A3894" i="1"/>
  <c r="B3894" i="1"/>
  <c r="C3894" i="1"/>
  <c r="D3894" i="1"/>
  <c r="E3894" i="1"/>
  <c r="A3895" i="1"/>
  <c r="B3895" i="1"/>
  <c r="C3895" i="1"/>
  <c r="D3895" i="1"/>
  <c r="E3895" i="1"/>
  <c r="A3896" i="1"/>
  <c r="B3896" i="1"/>
  <c r="C3896" i="1"/>
  <c r="D3896" i="1"/>
  <c r="E3896" i="1"/>
  <c r="A3897" i="1"/>
  <c r="B3897" i="1"/>
  <c r="C3897" i="1"/>
  <c r="D3897" i="1"/>
  <c r="E3897" i="1"/>
  <c r="A3898" i="1"/>
  <c r="B3898" i="1"/>
  <c r="C3898" i="1"/>
  <c r="D3898" i="1"/>
  <c r="E3898" i="1"/>
  <c r="A3899" i="1"/>
  <c r="B3899" i="1"/>
  <c r="C3899" i="1"/>
  <c r="D3899" i="1"/>
  <c r="E3899" i="1"/>
  <c r="A3900" i="1"/>
  <c r="B3900" i="1"/>
  <c r="C3900" i="1"/>
  <c r="D3900" i="1"/>
  <c r="E3900" i="1"/>
  <c r="A3901" i="1"/>
  <c r="B3901" i="1"/>
  <c r="C3901" i="1"/>
  <c r="D3901" i="1"/>
  <c r="E3901" i="1"/>
  <c r="A3902" i="1"/>
  <c r="B3902" i="1"/>
  <c r="C3902" i="1"/>
  <c r="D3902" i="1"/>
  <c r="E3902" i="1"/>
  <c r="A3903" i="1"/>
  <c r="B3903" i="1"/>
  <c r="C3903" i="1"/>
  <c r="D3903" i="1"/>
  <c r="E3903" i="1"/>
  <c r="A3904" i="1"/>
  <c r="B3904" i="1"/>
  <c r="C3904" i="1"/>
  <c r="D3904" i="1"/>
  <c r="E3904" i="1"/>
  <c r="A3905" i="1"/>
  <c r="B3905" i="1"/>
  <c r="C3905" i="1"/>
  <c r="D3905" i="1"/>
  <c r="E3905" i="1"/>
  <c r="A3906" i="1"/>
  <c r="B3906" i="1"/>
  <c r="C3906" i="1"/>
  <c r="D3906" i="1"/>
  <c r="E3906" i="1"/>
  <c r="A3907" i="1"/>
  <c r="B3907" i="1"/>
  <c r="C3907" i="1"/>
  <c r="D3907" i="1"/>
  <c r="E3907" i="1"/>
  <c r="A3908" i="1"/>
  <c r="B3908" i="1"/>
  <c r="C3908" i="1"/>
  <c r="D3908" i="1"/>
  <c r="E3908" i="1"/>
  <c r="A3909" i="1"/>
  <c r="B3909" i="1"/>
  <c r="C3909" i="1"/>
  <c r="D3909" i="1"/>
  <c r="E3909" i="1"/>
  <c r="A3910" i="1"/>
  <c r="B3910" i="1"/>
  <c r="C3910" i="1"/>
  <c r="D3910" i="1"/>
  <c r="E3910" i="1"/>
  <c r="A3911" i="1"/>
  <c r="B3911" i="1"/>
  <c r="C3911" i="1"/>
  <c r="D3911" i="1"/>
  <c r="E3911" i="1"/>
  <c r="A3912" i="1"/>
  <c r="B3912" i="1"/>
  <c r="C3912" i="1"/>
  <c r="D3912" i="1"/>
  <c r="E3912" i="1"/>
  <c r="A3913" i="1"/>
  <c r="B3913" i="1"/>
  <c r="C3913" i="1"/>
  <c r="D3913" i="1"/>
  <c r="E3913" i="1"/>
  <c r="A3914" i="1"/>
  <c r="B3914" i="1"/>
  <c r="C3914" i="1"/>
  <c r="D3914" i="1"/>
  <c r="E3914" i="1"/>
  <c r="A3915" i="1"/>
  <c r="B3915" i="1"/>
  <c r="C3915" i="1"/>
  <c r="D3915" i="1"/>
  <c r="E3915" i="1"/>
  <c r="A3916" i="1"/>
  <c r="B3916" i="1"/>
  <c r="C3916" i="1"/>
  <c r="D3916" i="1"/>
  <c r="E3916" i="1"/>
  <c r="A3917" i="1"/>
  <c r="B3917" i="1"/>
  <c r="C3917" i="1"/>
  <c r="D3917" i="1"/>
  <c r="E3917" i="1"/>
  <c r="A3918" i="1"/>
  <c r="B3918" i="1"/>
  <c r="C3918" i="1"/>
  <c r="D3918" i="1"/>
  <c r="E3918" i="1"/>
  <c r="A3919" i="1"/>
  <c r="B3919" i="1"/>
  <c r="C3919" i="1"/>
  <c r="D3919" i="1"/>
  <c r="E3919" i="1"/>
  <c r="A3920" i="1"/>
  <c r="B3920" i="1"/>
  <c r="C3920" i="1"/>
  <c r="D3920" i="1"/>
  <c r="E3920" i="1"/>
  <c r="A3921" i="1"/>
  <c r="B3921" i="1"/>
  <c r="C3921" i="1"/>
  <c r="D3921" i="1"/>
  <c r="E3921" i="1"/>
  <c r="A3922" i="1"/>
  <c r="B3922" i="1"/>
  <c r="C3922" i="1"/>
  <c r="D3922" i="1"/>
  <c r="E3922" i="1"/>
  <c r="A3923" i="1"/>
  <c r="B3923" i="1"/>
  <c r="C3923" i="1"/>
  <c r="D3923" i="1"/>
  <c r="E3923" i="1"/>
  <c r="A3924" i="1"/>
  <c r="B3924" i="1"/>
  <c r="C3924" i="1"/>
  <c r="D3924" i="1"/>
  <c r="E3924" i="1"/>
  <c r="A3925" i="1"/>
  <c r="B3925" i="1"/>
  <c r="C3925" i="1"/>
  <c r="D3925" i="1"/>
  <c r="E3925" i="1"/>
  <c r="A3926" i="1"/>
  <c r="B3926" i="1"/>
  <c r="C3926" i="1"/>
  <c r="D3926" i="1"/>
  <c r="E3926" i="1"/>
  <c r="A3927" i="1"/>
  <c r="B3927" i="1"/>
  <c r="C3927" i="1"/>
  <c r="D3927" i="1"/>
  <c r="E3927" i="1"/>
  <c r="A3928" i="1"/>
  <c r="B3928" i="1"/>
  <c r="C3928" i="1"/>
  <c r="D3928" i="1"/>
  <c r="E3928" i="1"/>
  <c r="A3929" i="1"/>
  <c r="B3929" i="1"/>
  <c r="C3929" i="1"/>
  <c r="D3929" i="1"/>
  <c r="E3929" i="1"/>
  <c r="A3930" i="1"/>
  <c r="B3930" i="1"/>
  <c r="C3930" i="1"/>
  <c r="D3930" i="1"/>
  <c r="E3930" i="1"/>
  <c r="A3931" i="1"/>
  <c r="B3931" i="1"/>
  <c r="C3931" i="1"/>
  <c r="D3931" i="1"/>
  <c r="E3931" i="1"/>
  <c r="A3932" i="1"/>
  <c r="B3932" i="1"/>
  <c r="C3932" i="1"/>
  <c r="D3932" i="1"/>
  <c r="E3932" i="1"/>
  <c r="A3933" i="1"/>
  <c r="B3933" i="1"/>
  <c r="C3933" i="1"/>
  <c r="D3933" i="1"/>
  <c r="E3933" i="1"/>
  <c r="A3934" i="1"/>
  <c r="B3934" i="1"/>
  <c r="C3934" i="1"/>
  <c r="D3934" i="1"/>
  <c r="E3934" i="1"/>
  <c r="A3935" i="1"/>
  <c r="B3935" i="1"/>
  <c r="C3935" i="1"/>
  <c r="D3935" i="1"/>
  <c r="E3935" i="1"/>
  <c r="A3936" i="1"/>
  <c r="B3936" i="1"/>
  <c r="C3936" i="1"/>
  <c r="D3936" i="1"/>
  <c r="E3936" i="1"/>
  <c r="A3937" i="1"/>
  <c r="B3937" i="1"/>
  <c r="C3937" i="1"/>
  <c r="D3937" i="1"/>
  <c r="E3937" i="1"/>
  <c r="A3938" i="1"/>
  <c r="B3938" i="1"/>
  <c r="C3938" i="1"/>
  <c r="D3938" i="1"/>
  <c r="E3938" i="1"/>
  <c r="A3939" i="1"/>
  <c r="B3939" i="1"/>
  <c r="C3939" i="1"/>
  <c r="D3939" i="1"/>
  <c r="E3939" i="1"/>
  <c r="A3940" i="1"/>
  <c r="B3940" i="1"/>
  <c r="C3940" i="1"/>
  <c r="D3940" i="1"/>
  <c r="E3940" i="1"/>
  <c r="A3941" i="1"/>
  <c r="B3941" i="1"/>
  <c r="C3941" i="1"/>
  <c r="D3941" i="1"/>
  <c r="E3941" i="1"/>
  <c r="A3942" i="1"/>
  <c r="B3942" i="1"/>
  <c r="C3942" i="1"/>
  <c r="D3942" i="1"/>
  <c r="E3942" i="1"/>
  <c r="A3943" i="1"/>
  <c r="B3943" i="1"/>
  <c r="C3943" i="1"/>
  <c r="D3943" i="1"/>
  <c r="E3943" i="1"/>
  <c r="A3944" i="1"/>
  <c r="B3944" i="1"/>
  <c r="C3944" i="1"/>
  <c r="D3944" i="1"/>
  <c r="E3944" i="1"/>
  <c r="A3945" i="1"/>
  <c r="B3945" i="1"/>
  <c r="C3945" i="1"/>
  <c r="D3945" i="1"/>
  <c r="E3945" i="1"/>
  <c r="A3946" i="1"/>
  <c r="B3946" i="1"/>
  <c r="C3946" i="1"/>
  <c r="D3946" i="1"/>
  <c r="E3946" i="1"/>
  <c r="A3947" i="1"/>
  <c r="B3947" i="1"/>
  <c r="C3947" i="1"/>
  <c r="D3947" i="1"/>
  <c r="E3947" i="1"/>
  <c r="A3948" i="1"/>
  <c r="B3948" i="1"/>
  <c r="C3948" i="1"/>
  <c r="D3948" i="1"/>
  <c r="E3948" i="1"/>
  <c r="A3949" i="1"/>
  <c r="B3949" i="1"/>
  <c r="C3949" i="1"/>
  <c r="D3949" i="1"/>
  <c r="E3949" i="1"/>
  <c r="A3950" i="1"/>
  <c r="B3950" i="1"/>
  <c r="C3950" i="1"/>
  <c r="D3950" i="1"/>
  <c r="E3950" i="1"/>
  <c r="A3951" i="1"/>
  <c r="B3951" i="1"/>
  <c r="C3951" i="1"/>
  <c r="D3951" i="1"/>
  <c r="E3951" i="1"/>
  <c r="A3952" i="1"/>
  <c r="B3952" i="1"/>
  <c r="C3952" i="1"/>
  <c r="D3952" i="1"/>
  <c r="E3952" i="1"/>
  <c r="A3953" i="1"/>
  <c r="B3953" i="1"/>
  <c r="C3953" i="1"/>
  <c r="D3953" i="1"/>
  <c r="E3953" i="1"/>
  <c r="A3954" i="1"/>
  <c r="B3954" i="1"/>
  <c r="C3954" i="1"/>
  <c r="D3954" i="1"/>
  <c r="E3954" i="1"/>
  <c r="A3955" i="1"/>
  <c r="B3955" i="1"/>
  <c r="C3955" i="1"/>
  <c r="D3955" i="1"/>
  <c r="E3955" i="1"/>
  <c r="A3956" i="1"/>
  <c r="B3956" i="1"/>
  <c r="C3956" i="1"/>
  <c r="D3956" i="1"/>
  <c r="E3956" i="1"/>
  <c r="A3957" i="1"/>
  <c r="B3957" i="1"/>
  <c r="C3957" i="1"/>
  <c r="D3957" i="1"/>
  <c r="E3957" i="1"/>
  <c r="A3958" i="1"/>
  <c r="B3958" i="1"/>
  <c r="C3958" i="1"/>
  <c r="D3958" i="1"/>
  <c r="E3958" i="1"/>
  <c r="A3959" i="1"/>
  <c r="B3959" i="1"/>
  <c r="C3959" i="1"/>
  <c r="D3959" i="1"/>
  <c r="E3959" i="1"/>
  <c r="A3960" i="1"/>
  <c r="B3960" i="1"/>
  <c r="C3960" i="1"/>
  <c r="D3960" i="1"/>
  <c r="E3960" i="1"/>
  <c r="A3961" i="1"/>
  <c r="B3961" i="1"/>
  <c r="C3961" i="1"/>
  <c r="D3961" i="1"/>
  <c r="E3961" i="1"/>
  <c r="A3962" i="1"/>
  <c r="B3962" i="1"/>
  <c r="C3962" i="1"/>
  <c r="D3962" i="1"/>
  <c r="E3962" i="1"/>
  <c r="A3963" i="1"/>
  <c r="B3963" i="1"/>
  <c r="C3963" i="1"/>
  <c r="D3963" i="1"/>
  <c r="E3963" i="1"/>
  <c r="A3964" i="1"/>
  <c r="B3964" i="1"/>
  <c r="C3964" i="1"/>
  <c r="D3964" i="1"/>
  <c r="E3964" i="1"/>
  <c r="A3965" i="1"/>
  <c r="B3965" i="1"/>
  <c r="C3965" i="1"/>
  <c r="D3965" i="1"/>
  <c r="E3965" i="1"/>
  <c r="A3966" i="1"/>
  <c r="B3966" i="1"/>
  <c r="C3966" i="1"/>
  <c r="D3966" i="1"/>
  <c r="E3966" i="1"/>
  <c r="A3967" i="1"/>
  <c r="B3967" i="1"/>
  <c r="C3967" i="1"/>
  <c r="D3967" i="1"/>
  <c r="E3967" i="1"/>
  <c r="A3968" i="1"/>
  <c r="B3968" i="1"/>
  <c r="C3968" i="1"/>
  <c r="D3968" i="1"/>
  <c r="E3968" i="1"/>
  <c r="A3969" i="1"/>
  <c r="B3969" i="1"/>
  <c r="C3969" i="1"/>
  <c r="D3969" i="1"/>
  <c r="E3969" i="1"/>
  <c r="A3970" i="1"/>
  <c r="B3970" i="1"/>
  <c r="C3970" i="1"/>
  <c r="D3970" i="1"/>
  <c r="E3970" i="1"/>
  <c r="A3971" i="1"/>
  <c r="B3971" i="1"/>
  <c r="C3971" i="1"/>
  <c r="D3971" i="1"/>
  <c r="E3971" i="1"/>
  <c r="A3972" i="1"/>
  <c r="B3972" i="1"/>
  <c r="C3972" i="1"/>
  <c r="D3972" i="1"/>
  <c r="E3972" i="1"/>
  <c r="A3973" i="1"/>
  <c r="B3973" i="1"/>
  <c r="C3973" i="1"/>
  <c r="D3973" i="1"/>
  <c r="E3973" i="1"/>
  <c r="A3974" i="1"/>
  <c r="B3974" i="1"/>
  <c r="C3974" i="1"/>
  <c r="D3974" i="1"/>
  <c r="E3974" i="1"/>
  <c r="A3975" i="1"/>
  <c r="B3975" i="1"/>
  <c r="C3975" i="1"/>
  <c r="D3975" i="1"/>
  <c r="E3975" i="1"/>
  <c r="A3976" i="1"/>
  <c r="B3976" i="1"/>
  <c r="C3976" i="1"/>
  <c r="D3976" i="1"/>
  <c r="E3976" i="1"/>
  <c r="A3977" i="1"/>
  <c r="B3977" i="1"/>
  <c r="C3977" i="1"/>
  <c r="D3977" i="1"/>
  <c r="E3977" i="1"/>
  <c r="A3978" i="1"/>
  <c r="B3978" i="1"/>
  <c r="C3978" i="1"/>
  <c r="D3978" i="1"/>
  <c r="E3978" i="1"/>
  <c r="A3979" i="1"/>
  <c r="B3979" i="1"/>
  <c r="C3979" i="1"/>
  <c r="D3979" i="1"/>
  <c r="E3979" i="1"/>
  <c r="A3980" i="1"/>
  <c r="B3980" i="1"/>
  <c r="C3980" i="1"/>
  <c r="D3980" i="1"/>
  <c r="E3980" i="1"/>
  <c r="A3981" i="1"/>
  <c r="B3981" i="1"/>
  <c r="C3981" i="1"/>
  <c r="D3981" i="1"/>
  <c r="E3981" i="1"/>
  <c r="A3982" i="1"/>
  <c r="B3982" i="1"/>
  <c r="C3982" i="1"/>
  <c r="D3982" i="1"/>
  <c r="E3982" i="1"/>
  <c r="A3983" i="1"/>
  <c r="B3983" i="1"/>
  <c r="C3983" i="1"/>
  <c r="D3983" i="1"/>
  <c r="E3983" i="1"/>
  <c r="A3984" i="1"/>
  <c r="B3984" i="1"/>
  <c r="C3984" i="1"/>
  <c r="D3984" i="1"/>
  <c r="E3984" i="1"/>
  <c r="A3985" i="1"/>
  <c r="B3985" i="1"/>
  <c r="C3985" i="1"/>
  <c r="D3985" i="1"/>
  <c r="E3985" i="1"/>
  <c r="A3986" i="1"/>
  <c r="B3986" i="1"/>
  <c r="C3986" i="1"/>
  <c r="D3986" i="1"/>
  <c r="E3986" i="1"/>
  <c r="A3987" i="1"/>
  <c r="B3987" i="1"/>
  <c r="C3987" i="1"/>
  <c r="D3987" i="1"/>
  <c r="E3987" i="1"/>
  <c r="A3988" i="1"/>
  <c r="B3988" i="1"/>
  <c r="C3988" i="1"/>
  <c r="D3988" i="1"/>
  <c r="E3988" i="1"/>
  <c r="A3989" i="1"/>
  <c r="B3989" i="1"/>
  <c r="C3989" i="1"/>
  <c r="D3989" i="1"/>
  <c r="E3989" i="1"/>
  <c r="A3990" i="1"/>
  <c r="B3990" i="1"/>
  <c r="C3990" i="1"/>
  <c r="D3990" i="1"/>
  <c r="E3990" i="1"/>
  <c r="A3991" i="1"/>
  <c r="B3991" i="1"/>
  <c r="C3991" i="1"/>
  <c r="D3991" i="1"/>
  <c r="E3991" i="1"/>
  <c r="A3992" i="1"/>
  <c r="B3992" i="1"/>
  <c r="C3992" i="1"/>
  <c r="D3992" i="1"/>
  <c r="E3992" i="1"/>
  <c r="A3993" i="1"/>
  <c r="B3993" i="1"/>
  <c r="C3993" i="1"/>
  <c r="D3993" i="1"/>
  <c r="E3993" i="1"/>
  <c r="A3994" i="1"/>
  <c r="B3994" i="1"/>
  <c r="C3994" i="1"/>
  <c r="D3994" i="1"/>
  <c r="E3994" i="1"/>
  <c r="A3995" i="1"/>
  <c r="B3995" i="1"/>
  <c r="C3995" i="1"/>
  <c r="D3995" i="1"/>
  <c r="E3995" i="1"/>
  <c r="A3996" i="1"/>
  <c r="B3996" i="1"/>
  <c r="C3996" i="1"/>
  <c r="D3996" i="1"/>
  <c r="E3996" i="1"/>
  <c r="A3997" i="1"/>
  <c r="B3997" i="1"/>
  <c r="C3997" i="1"/>
  <c r="D3997" i="1"/>
  <c r="E3997" i="1"/>
  <c r="A3998" i="1"/>
  <c r="B3998" i="1"/>
  <c r="C3998" i="1"/>
  <c r="D3998" i="1"/>
  <c r="E3998" i="1"/>
  <c r="A3999" i="1"/>
  <c r="B3999" i="1"/>
  <c r="C3999" i="1"/>
  <c r="D3999" i="1"/>
  <c r="E3999" i="1"/>
  <c r="A4000" i="1"/>
  <c r="B4000" i="1"/>
  <c r="C4000" i="1"/>
  <c r="D4000" i="1"/>
  <c r="E4000" i="1"/>
  <c r="A4001" i="1"/>
  <c r="B4001" i="1"/>
  <c r="C4001" i="1"/>
  <c r="D4001" i="1"/>
  <c r="E4001" i="1"/>
  <c r="A4002" i="1"/>
  <c r="B4002" i="1"/>
  <c r="C4002" i="1"/>
  <c r="D4002" i="1"/>
  <c r="E4002" i="1"/>
  <c r="A4003" i="1"/>
  <c r="B4003" i="1"/>
  <c r="C4003" i="1"/>
  <c r="D4003" i="1"/>
  <c r="E4003" i="1"/>
  <c r="A4004" i="1"/>
  <c r="B4004" i="1"/>
  <c r="C4004" i="1"/>
  <c r="D4004" i="1"/>
  <c r="E4004" i="1"/>
  <c r="A4005" i="1"/>
  <c r="B4005" i="1"/>
  <c r="C4005" i="1"/>
  <c r="D4005" i="1"/>
  <c r="E4005" i="1"/>
  <c r="A4006" i="1"/>
  <c r="B4006" i="1"/>
  <c r="C4006" i="1"/>
  <c r="D4006" i="1"/>
  <c r="E4006" i="1"/>
  <c r="A4007" i="1"/>
  <c r="B4007" i="1"/>
  <c r="C4007" i="1"/>
  <c r="D4007" i="1"/>
  <c r="E4007" i="1"/>
  <c r="A4008" i="1"/>
  <c r="B4008" i="1"/>
  <c r="C4008" i="1"/>
  <c r="D4008" i="1"/>
  <c r="E4008" i="1"/>
  <c r="A4009" i="1"/>
  <c r="B4009" i="1"/>
  <c r="C4009" i="1"/>
  <c r="D4009" i="1"/>
  <c r="E4009" i="1"/>
  <c r="A4010" i="1"/>
  <c r="B4010" i="1"/>
  <c r="C4010" i="1"/>
  <c r="D4010" i="1"/>
  <c r="E4010" i="1"/>
  <c r="A4011" i="1"/>
  <c r="B4011" i="1"/>
  <c r="C4011" i="1"/>
  <c r="D4011" i="1"/>
  <c r="E4011" i="1"/>
  <c r="A4012" i="1"/>
  <c r="B4012" i="1"/>
  <c r="C4012" i="1"/>
  <c r="D4012" i="1"/>
  <c r="E4012" i="1"/>
  <c r="A4013" i="1"/>
  <c r="B4013" i="1"/>
  <c r="C4013" i="1"/>
  <c r="D4013" i="1"/>
  <c r="E4013" i="1"/>
  <c r="A4014" i="1"/>
  <c r="B4014" i="1"/>
  <c r="C4014" i="1"/>
  <c r="D4014" i="1"/>
  <c r="E4014" i="1"/>
  <c r="A4015" i="1"/>
  <c r="B4015" i="1"/>
  <c r="C4015" i="1"/>
  <c r="D4015" i="1"/>
  <c r="E4015" i="1"/>
  <c r="A4016" i="1"/>
  <c r="B4016" i="1"/>
  <c r="C4016" i="1"/>
  <c r="D4016" i="1"/>
  <c r="E4016" i="1"/>
  <c r="A4017" i="1"/>
  <c r="B4017" i="1"/>
  <c r="C4017" i="1"/>
  <c r="D4017" i="1"/>
  <c r="E4017" i="1"/>
  <c r="A4018" i="1"/>
  <c r="B4018" i="1"/>
  <c r="C4018" i="1"/>
  <c r="D4018" i="1"/>
  <c r="E4018" i="1"/>
  <c r="A4019" i="1"/>
  <c r="B4019" i="1"/>
  <c r="C4019" i="1"/>
  <c r="D4019" i="1"/>
  <c r="E4019" i="1"/>
  <c r="A4020" i="1"/>
  <c r="B4020" i="1"/>
  <c r="C4020" i="1"/>
  <c r="D4020" i="1"/>
  <c r="E4020" i="1"/>
  <c r="A4021" i="1"/>
  <c r="B4021" i="1"/>
  <c r="C4021" i="1"/>
  <c r="D4021" i="1"/>
  <c r="E4021" i="1"/>
  <c r="A4022" i="1"/>
  <c r="B4022" i="1"/>
  <c r="C4022" i="1"/>
  <c r="D4022" i="1"/>
  <c r="E4022" i="1"/>
  <c r="A4023" i="1"/>
  <c r="B4023" i="1"/>
  <c r="C4023" i="1"/>
  <c r="D4023" i="1"/>
  <c r="E4023" i="1"/>
  <c r="A4024" i="1"/>
  <c r="B4024" i="1"/>
  <c r="C4024" i="1"/>
  <c r="D4024" i="1"/>
  <c r="E4024" i="1"/>
  <c r="A4025" i="1"/>
  <c r="B4025" i="1"/>
  <c r="C4025" i="1"/>
  <c r="D4025" i="1"/>
  <c r="E4025" i="1"/>
  <c r="A4026" i="1"/>
  <c r="B4026" i="1"/>
  <c r="C4026" i="1"/>
  <c r="D4026" i="1"/>
  <c r="E4026" i="1"/>
  <c r="A4027" i="1"/>
  <c r="B4027" i="1"/>
  <c r="C4027" i="1"/>
  <c r="D4027" i="1"/>
  <c r="E4027" i="1"/>
  <c r="A4028" i="1"/>
  <c r="B4028" i="1"/>
  <c r="C4028" i="1"/>
  <c r="D4028" i="1"/>
  <c r="E4028" i="1"/>
  <c r="A4029" i="1"/>
  <c r="B4029" i="1"/>
  <c r="C4029" i="1"/>
  <c r="D4029" i="1"/>
  <c r="E4029" i="1"/>
  <c r="A4030" i="1"/>
  <c r="B4030" i="1"/>
  <c r="C4030" i="1"/>
  <c r="D4030" i="1"/>
  <c r="E4030" i="1"/>
  <c r="A4031" i="1"/>
  <c r="B4031" i="1"/>
  <c r="C4031" i="1"/>
  <c r="D4031" i="1"/>
  <c r="E4031" i="1"/>
  <c r="A4032" i="1"/>
  <c r="B4032" i="1"/>
  <c r="C4032" i="1"/>
  <c r="D4032" i="1"/>
  <c r="E4032" i="1"/>
  <c r="A4033" i="1"/>
  <c r="B4033" i="1"/>
  <c r="C4033" i="1"/>
  <c r="D4033" i="1"/>
  <c r="E4033" i="1"/>
  <c r="A4034" i="1"/>
  <c r="B4034" i="1"/>
  <c r="C4034" i="1"/>
  <c r="D4034" i="1"/>
  <c r="E4034" i="1"/>
  <c r="A4035" i="1"/>
  <c r="B4035" i="1"/>
  <c r="C4035" i="1"/>
  <c r="D4035" i="1"/>
  <c r="E4035" i="1"/>
  <c r="A4036" i="1"/>
  <c r="B4036" i="1"/>
  <c r="C4036" i="1"/>
  <c r="D4036" i="1"/>
  <c r="E4036" i="1"/>
  <c r="A4037" i="1"/>
  <c r="B4037" i="1"/>
  <c r="C4037" i="1"/>
  <c r="D4037" i="1"/>
  <c r="E4037" i="1"/>
  <c r="A4038" i="1"/>
  <c r="B4038" i="1"/>
  <c r="C4038" i="1"/>
  <c r="D4038" i="1"/>
  <c r="E4038" i="1"/>
  <c r="A4039" i="1"/>
  <c r="B4039" i="1"/>
  <c r="C4039" i="1"/>
  <c r="D4039" i="1"/>
  <c r="E4039" i="1"/>
  <c r="A4040" i="1"/>
  <c r="B4040" i="1"/>
  <c r="C4040" i="1"/>
  <c r="D4040" i="1"/>
  <c r="E4040" i="1"/>
  <c r="A4041" i="1"/>
  <c r="B4041" i="1"/>
  <c r="C4041" i="1"/>
  <c r="D4041" i="1"/>
  <c r="E4041" i="1"/>
  <c r="A4042" i="1"/>
  <c r="B4042" i="1"/>
  <c r="C4042" i="1"/>
  <c r="D4042" i="1"/>
  <c r="E4042" i="1"/>
  <c r="A4043" i="1"/>
  <c r="B4043" i="1"/>
  <c r="C4043" i="1"/>
  <c r="D4043" i="1"/>
  <c r="E4043" i="1"/>
  <c r="A4044" i="1"/>
  <c r="B4044" i="1"/>
  <c r="C4044" i="1"/>
  <c r="D4044" i="1"/>
  <c r="E4044" i="1"/>
  <c r="A4045" i="1"/>
  <c r="B4045" i="1"/>
  <c r="C4045" i="1"/>
  <c r="D4045" i="1"/>
  <c r="E4045" i="1"/>
  <c r="A4046" i="1"/>
  <c r="B4046" i="1"/>
  <c r="C4046" i="1"/>
  <c r="D4046" i="1"/>
  <c r="E4046" i="1"/>
  <c r="A4047" i="1"/>
  <c r="B4047" i="1"/>
  <c r="C4047" i="1"/>
  <c r="D4047" i="1"/>
  <c r="E4047" i="1"/>
  <c r="A4048" i="1"/>
  <c r="B4048" i="1"/>
  <c r="C4048" i="1"/>
  <c r="D4048" i="1"/>
  <c r="E4048" i="1"/>
  <c r="A4049" i="1"/>
  <c r="B4049" i="1"/>
  <c r="C4049" i="1"/>
  <c r="D4049" i="1"/>
  <c r="E4049" i="1"/>
  <c r="A4050" i="1"/>
  <c r="B4050" i="1"/>
  <c r="C4050" i="1"/>
  <c r="D4050" i="1"/>
  <c r="E4050" i="1"/>
  <c r="A4051" i="1"/>
  <c r="B4051" i="1"/>
  <c r="C4051" i="1"/>
  <c r="D4051" i="1"/>
  <c r="E4051" i="1"/>
  <c r="A4052" i="1"/>
  <c r="B4052" i="1"/>
  <c r="C4052" i="1"/>
  <c r="D4052" i="1"/>
  <c r="E4052" i="1"/>
  <c r="A4053" i="1"/>
  <c r="B4053" i="1"/>
  <c r="C4053" i="1"/>
  <c r="D4053" i="1"/>
  <c r="E4053" i="1"/>
  <c r="A4054" i="1"/>
  <c r="B4054" i="1"/>
  <c r="C4054" i="1"/>
  <c r="D4054" i="1"/>
  <c r="E4054" i="1"/>
  <c r="A4055" i="1"/>
  <c r="B4055" i="1"/>
  <c r="C4055" i="1"/>
  <c r="D4055" i="1"/>
  <c r="E4055" i="1"/>
  <c r="A4056" i="1"/>
  <c r="B4056" i="1"/>
  <c r="C4056" i="1"/>
  <c r="D4056" i="1"/>
  <c r="E4056" i="1"/>
  <c r="A4057" i="1"/>
  <c r="B4057" i="1"/>
  <c r="C4057" i="1"/>
  <c r="D4057" i="1"/>
  <c r="E4057" i="1"/>
  <c r="A4058" i="1"/>
  <c r="B4058" i="1"/>
  <c r="C4058" i="1"/>
  <c r="D4058" i="1"/>
  <c r="E4058" i="1"/>
  <c r="A4059" i="1"/>
  <c r="B4059" i="1"/>
  <c r="C4059" i="1"/>
  <c r="D4059" i="1"/>
  <c r="E4059" i="1"/>
  <c r="A4060" i="1"/>
  <c r="B4060" i="1"/>
  <c r="C4060" i="1"/>
  <c r="D4060" i="1"/>
  <c r="E4060" i="1"/>
  <c r="A4061" i="1"/>
  <c r="B4061" i="1"/>
  <c r="C4061" i="1"/>
  <c r="D4061" i="1"/>
  <c r="E4061" i="1"/>
  <c r="A4062" i="1"/>
  <c r="B4062" i="1"/>
  <c r="C4062" i="1"/>
  <c r="D4062" i="1"/>
  <c r="E4062" i="1"/>
  <c r="A4063" i="1"/>
  <c r="B4063" i="1"/>
  <c r="C4063" i="1"/>
  <c r="D4063" i="1"/>
  <c r="E4063" i="1"/>
  <c r="A4064" i="1"/>
  <c r="B4064" i="1"/>
  <c r="C4064" i="1"/>
  <c r="D4064" i="1"/>
  <c r="E4064" i="1"/>
  <c r="A4065" i="1"/>
  <c r="B4065" i="1"/>
  <c r="C4065" i="1"/>
  <c r="D4065" i="1"/>
  <c r="E4065" i="1"/>
  <c r="A4066" i="1"/>
  <c r="B4066" i="1"/>
  <c r="C4066" i="1"/>
  <c r="D4066" i="1"/>
  <c r="E4066" i="1"/>
  <c r="A4067" i="1"/>
  <c r="B4067" i="1"/>
  <c r="C4067" i="1"/>
  <c r="D4067" i="1"/>
  <c r="E4067" i="1"/>
  <c r="A4068" i="1"/>
  <c r="B4068" i="1"/>
  <c r="C4068" i="1"/>
  <c r="D4068" i="1"/>
  <c r="E4068" i="1"/>
  <c r="A4069" i="1"/>
  <c r="B4069" i="1"/>
  <c r="C4069" i="1"/>
  <c r="D4069" i="1"/>
  <c r="E4069" i="1"/>
  <c r="A4070" i="1"/>
  <c r="B4070" i="1"/>
  <c r="C4070" i="1"/>
  <c r="D4070" i="1"/>
  <c r="E4070" i="1"/>
  <c r="A4071" i="1"/>
  <c r="B4071" i="1"/>
  <c r="C4071" i="1"/>
  <c r="D4071" i="1"/>
  <c r="E4071" i="1"/>
  <c r="A4072" i="1"/>
  <c r="B4072" i="1"/>
  <c r="C4072" i="1"/>
  <c r="D4072" i="1"/>
  <c r="E4072" i="1"/>
  <c r="A4073" i="1"/>
  <c r="B4073" i="1"/>
  <c r="C4073" i="1"/>
  <c r="D4073" i="1"/>
  <c r="E4073" i="1"/>
  <c r="A4074" i="1"/>
  <c r="B4074" i="1"/>
  <c r="C4074" i="1"/>
  <c r="D4074" i="1"/>
  <c r="E4074" i="1"/>
  <c r="A4075" i="1"/>
  <c r="B4075" i="1"/>
  <c r="C4075" i="1"/>
  <c r="D4075" i="1"/>
  <c r="E4075" i="1"/>
  <c r="A4076" i="1"/>
  <c r="B4076" i="1"/>
  <c r="C4076" i="1"/>
  <c r="D4076" i="1"/>
  <c r="E4076" i="1"/>
  <c r="A4077" i="1"/>
  <c r="B4077" i="1"/>
  <c r="C4077" i="1"/>
  <c r="D4077" i="1"/>
  <c r="E4077" i="1"/>
  <c r="A4078" i="1"/>
  <c r="B4078" i="1"/>
  <c r="C4078" i="1"/>
  <c r="D4078" i="1"/>
  <c r="E4078" i="1"/>
  <c r="A4079" i="1"/>
  <c r="B4079" i="1"/>
  <c r="C4079" i="1"/>
  <c r="D4079" i="1"/>
  <c r="E4079" i="1"/>
  <c r="A4080" i="1"/>
  <c r="B4080" i="1"/>
  <c r="C4080" i="1"/>
  <c r="D4080" i="1"/>
  <c r="E4080" i="1"/>
  <c r="A4081" i="1"/>
  <c r="B4081" i="1"/>
  <c r="C4081" i="1"/>
  <c r="D4081" i="1"/>
  <c r="E4081" i="1"/>
  <c r="A4082" i="1"/>
  <c r="B4082" i="1"/>
  <c r="C4082" i="1"/>
  <c r="D4082" i="1"/>
  <c r="E4082" i="1"/>
  <c r="A4083" i="1"/>
  <c r="B4083" i="1"/>
  <c r="C4083" i="1"/>
  <c r="D4083" i="1"/>
  <c r="E4083" i="1"/>
  <c r="A4084" i="1"/>
  <c r="B4084" i="1"/>
  <c r="C4084" i="1"/>
  <c r="D4084" i="1"/>
  <c r="E4084" i="1"/>
  <c r="A4085" i="1"/>
  <c r="B4085" i="1"/>
  <c r="C4085" i="1"/>
  <c r="D4085" i="1"/>
  <c r="E4085" i="1"/>
  <c r="A4086" i="1"/>
  <c r="B4086" i="1"/>
  <c r="C4086" i="1"/>
  <c r="D4086" i="1"/>
  <c r="E4086" i="1"/>
  <c r="A4087" i="1"/>
  <c r="B4087" i="1"/>
  <c r="C4087" i="1"/>
  <c r="D4087" i="1"/>
  <c r="E4087" i="1"/>
  <c r="A4088" i="1"/>
  <c r="B4088" i="1"/>
  <c r="C4088" i="1"/>
  <c r="D4088" i="1"/>
  <c r="E4088" i="1"/>
  <c r="A4089" i="1"/>
  <c r="B4089" i="1"/>
  <c r="C4089" i="1"/>
  <c r="D4089" i="1"/>
  <c r="E4089" i="1"/>
  <c r="A4090" i="1"/>
  <c r="B4090" i="1"/>
  <c r="C4090" i="1"/>
  <c r="D4090" i="1"/>
  <c r="E4090" i="1"/>
  <c r="A4091" i="1"/>
  <c r="B4091" i="1"/>
  <c r="C4091" i="1"/>
  <c r="D4091" i="1"/>
  <c r="E4091" i="1"/>
  <c r="A4092" i="1"/>
  <c r="B4092" i="1"/>
  <c r="C4092" i="1"/>
  <c r="D4092" i="1"/>
  <c r="E4092" i="1"/>
  <c r="A4093" i="1"/>
  <c r="B4093" i="1"/>
  <c r="C4093" i="1"/>
  <c r="D4093" i="1"/>
  <c r="E4093" i="1"/>
  <c r="A4094" i="1"/>
  <c r="B4094" i="1"/>
  <c r="C4094" i="1"/>
  <c r="D4094" i="1"/>
  <c r="E4094" i="1"/>
  <c r="A4095" i="1"/>
  <c r="B4095" i="1"/>
  <c r="C4095" i="1"/>
  <c r="D4095" i="1"/>
  <c r="E4095" i="1"/>
  <c r="A4096" i="1"/>
  <c r="B4096" i="1"/>
  <c r="C4096" i="1"/>
  <c r="D4096" i="1"/>
  <c r="E4096" i="1"/>
  <c r="A4097" i="1"/>
  <c r="B4097" i="1"/>
  <c r="C4097" i="1"/>
  <c r="D4097" i="1"/>
  <c r="E4097" i="1"/>
  <c r="A4098" i="1"/>
  <c r="B4098" i="1"/>
  <c r="C4098" i="1"/>
  <c r="D4098" i="1"/>
  <c r="E4098" i="1"/>
  <c r="A4099" i="1"/>
  <c r="B4099" i="1"/>
  <c r="C4099" i="1"/>
  <c r="D4099" i="1"/>
  <c r="E4099" i="1"/>
  <c r="A4100" i="1"/>
  <c r="B4100" i="1"/>
  <c r="C4100" i="1"/>
  <c r="D4100" i="1"/>
  <c r="E4100" i="1"/>
  <c r="A4101" i="1"/>
  <c r="B4101" i="1"/>
  <c r="C4101" i="1"/>
  <c r="D4101" i="1"/>
  <c r="E4101" i="1"/>
  <c r="A4102" i="1"/>
  <c r="B4102" i="1"/>
  <c r="C4102" i="1"/>
  <c r="D4102" i="1"/>
  <c r="E4102" i="1"/>
  <c r="A4103" i="1"/>
  <c r="B4103" i="1"/>
  <c r="C4103" i="1"/>
  <c r="D4103" i="1"/>
  <c r="E4103" i="1"/>
  <c r="A4104" i="1"/>
  <c r="B4104" i="1"/>
  <c r="C4104" i="1"/>
  <c r="D4104" i="1"/>
  <c r="E4104" i="1"/>
  <c r="A4105" i="1"/>
  <c r="B4105" i="1"/>
  <c r="C4105" i="1"/>
  <c r="D4105" i="1"/>
  <c r="E4105" i="1"/>
  <c r="A4106" i="1"/>
  <c r="B4106" i="1"/>
  <c r="C4106" i="1"/>
  <c r="D4106" i="1"/>
  <c r="E4106" i="1"/>
  <c r="A4107" i="1"/>
  <c r="B4107" i="1"/>
  <c r="C4107" i="1"/>
  <c r="D4107" i="1"/>
  <c r="E4107" i="1"/>
  <c r="A4108" i="1"/>
  <c r="B4108" i="1"/>
  <c r="C4108" i="1"/>
  <c r="D4108" i="1"/>
  <c r="E4108" i="1"/>
  <c r="A4109" i="1"/>
  <c r="B4109" i="1"/>
  <c r="C4109" i="1"/>
  <c r="D4109" i="1"/>
  <c r="E4109" i="1"/>
  <c r="A4110" i="1"/>
  <c r="B4110" i="1"/>
  <c r="C4110" i="1"/>
  <c r="D4110" i="1"/>
  <c r="E4110" i="1"/>
  <c r="A4111" i="1"/>
  <c r="B4111" i="1"/>
  <c r="C4111" i="1"/>
  <c r="D4111" i="1"/>
  <c r="E4111" i="1"/>
  <c r="A4112" i="1"/>
  <c r="B4112" i="1"/>
  <c r="C4112" i="1"/>
  <c r="D4112" i="1"/>
  <c r="E4112" i="1"/>
  <c r="A4113" i="1"/>
  <c r="B4113" i="1"/>
  <c r="C4113" i="1"/>
  <c r="D4113" i="1"/>
  <c r="E4113" i="1"/>
  <c r="A4114" i="1"/>
  <c r="B4114" i="1"/>
  <c r="C4114" i="1"/>
  <c r="D4114" i="1"/>
  <c r="E4114" i="1"/>
  <c r="A4115" i="1"/>
  <c r="B4115" i="1"/>
  <c r="C4115" i="1"/>
  <c r="D4115" i="1"/>
  <c r="E4115" i="1"/>
  <c r="A4116" i="1"/>
  <c r="B4116" i="1"/>
  <c r="C4116" i="1"/>
  <c r="D4116" i="1"/>
  <c r="E4116" i="1"/>
  <c r="A4117" i="1"/>
  <c r="B4117" i="1"/>
  <c r="C4117" i="1"/>
  <c r="D4117" i="1"/>
  <c r="E4117" i="1"/>
  <c r="A4118" i="1"/>
  <c r="B4118" i="1"/>
  <c r="C4118" i="1"/>
  <c r="D4118" i="1"/>
  <c r="E4118" i="1"/>
  <c r="A4119" i="1"/>
  <c r="B4119" i="1"/>
  <c r="C4119" i="1"/>
  <c r="D4119" i="1"/>
  <c r="E4119" i="1"/>
  <c r="A4120" i="1"/>
  <c r="B4120" i="1"/>
  <c r="C4120" i="1"/>
  <c r="D4120" i="1"/>
  <c r="E4120" i="1"/>
  <c r="A4121" i="1"/>
  <c r="B4121" i="1"/>
  <c r="C4121" i="1"/>
  <c r="D4121" i="1"/>
  <c r="E4121" i="1"/>
  <c r="A4122" i="1"/>
  <c r="B4122" i="1"/>
  <c r="C4122" i="1"/>
  <c r="D4122" i="1"/>
  <c r="E4122" i="1"/>
  <c r="A4123" i="1"/>
  <c r="B4123" i="1"/>
  <c r="C4123" i="1"/>
  <c r="D4123" i="1"/>
  <c r="E4123" i="1"/>
  <c r="A4124" i="1"/>
  <c r="B4124" i="1"/>
  <c r="C4124" i="1"/>
  <c r="D4124" i="1"/>
  <c r="E4124" i="1"/>
  <c r="A4125" i="1"/>
  <c r="B4125" i="1"/>
  <c r="C4125" i="1"/>
  <c r="D4125" i="1"/>
  <c r="E4125" i="1"/>
  <c r="A4126" i="1"/>
  <c r="B4126" i="1"/>
  <c r="C4126" i="1"/>
  <c r="D4126" i="1"/>
  <c r="E4126" i="1"/>
  <c r="A4127" i="1"/>
  <c r="B4127" i="1"/>
  <c r="C4127" i="1"/>
  <c r="D4127" i="1"/>
  <c r="E4127" i="1"/>
  <c r="A4128" i="1"/>
  <c r="B4128" i="1"/>
  <c r="C4128" i="1"/>
  <c r="D4128" i="1"/>
  <c r="E4128" i="1"/>
  <c r="A4129" i="1"/>
  <c r="B4129" i="1"/>
  <c r="C4129" i="1"/>
  <c r="D4129" i="1"/>
  <c r="E4129" i="1"/>
  <c r="A4130" i="1"/>
  <c r="B4130" i="1"/>
  <c r="C4130" i="1"/>
  <c r="D4130" i="1"/>
  <c r="E4130" i="1"/>
  <c r="A4131" i="1"/>
  <c r="B4131" i="1"/>
  <c r="C4131" i="1"/>
  <c r="D4131" i="1"/>
  <c r="E4131" i="1"/>
  <c r="A4132" i="1"/>
  <c r="B4132" i="1"/>
  <c r="C4132" i="1"/>
  <c r="D4132" i="1"/>
  <c r="E4132" i="1"/>
  <c r="A4133" i="1"/>
  <c r="B4133" i="1"/>
  <c r="C4133" i="1"/>
  <c r="D4133" i="1"/>
  <c r="E4133" i="1"/>
  <c r="A4134" i="1"/>
  <c r="B4134" i="1"/>
  <c r="C4134" i="1"/>
  <c r="D4134" i="1"/>
  <c r="E4134" i="1"/>
  <c r="A4135" i="1"/>
  <c r="B4135" i="1"/>
  <c r="C4135" i="1"/>
  <c r="D4135" i="1"/>
  <c r="E4135" i="1"/>
  <c r="A4136" i="1"/>
  <c r="B4136" i="1"/>
  <c r="C4136" i="1"/>
  <c r="D4136" i="1"/>
  <c r="E4136" i="1"/>
  <c r="A4137" i="1"/>
  <c r="B4137" i="1"/>
  <c r="C4137" i="1"/>
  <c r="D4137" i="1"/>
  <c r="E4137" i="1"/>
  <c r="A4138" i="1"/>
  <c r="B4138" i="1"/>
  <c r="C4138" i="1"/>
  <c r="D4138" i="1"/>
  <c r="E4138" i="1"/>
  <c r="A4139" i="1"/>
  <c r="B4139" i="1"/>
  <c r="C4139" i="1"/>
  <c r="D4139" i="1"/>
  <c r="E4139" i="1"/>
  <c r="A4140" i="1"/>
  <c r="B4140" i="1"/>
  <c r="C4140" i="1"/>
  <c r="D4140" i="1"/>
  <c r="E4140" i="1"/>
  <c r="A4141" i="1"/>
  <c r="B4141" i="1"/>
  <c r="C4141" i="1"/>
  <c r="D4141" i="1"/>
  <c r="E4141" i="1"/>
  <c r="A4142" i="1"/>
  <c r="B4142" i="1"/>
  <c r="C4142" i="1"/>
  <c r="D4142" i="1"/>
  <c r="E4142" i="1"/>
  <c r="A4143" i="1"/>
  <c r="B4143" i="1"/>
  <c r="C4143" i="1"/>
  <c r="D4143" i="1"/>
  <c r="E4143" i="1"/>
  <c r="A4144" i="1"/>
  <c r="B4144" i="1"/>
  <c r="C4144" i="1"/>
  <c r="D4144" i="1"/>
  <c r="E4144" i="1"/>
  <c r="A4145" i="1"/>
  <c r="B4145" i="1"/>
  <c r="C4145" i="1"/>
  <c r="D4145" i="1"/>
  <c r="E4145" i="1"/>
  <c r="A4146" i="1"/>
  <c r="B4146" i="1"/>
  <c r="C4146" i="1"/>
  <c r="D4146" i="1"/>
  <c r="E4146" i="1"/>
  <c r="A4147" i="1"/>
  <c r="B4147" i="1"/>
  <c r="C4147" i="1"/>
  <c r="D4147" i="1"/>
  <c r="E4147" i="1"/>
  <c r="A4148" i="1"/>
  <c r="B4148" i="1"/>
  <c r="C4148" i="1"/>
  <c r="D4148" i="1"/>
  <c r="E4148" i="1"/>
  <c r="A4149" i="1"/>
  <c r="B4149" i="1"/>
  <c r="C4149" i="1"/>
  <c r="D4149" i="1"/>
  <c r="E4149" i="1"/>
  <c r="A4150" i="1"/>
  <c r="B4150" i="1"/>
  <c r="C4150" i="1"/>
  <c r="D4150" i="1"/>
  <c r="E4150" i="1"/>
  <c r="A4151" i="1"/>
  <c r="B4151" i="1"/>
  <c r="C4151" i="1"/>
  <c r="D4151" i="1"/>
  <c r="E4151" i="1"/>
  <c r="A4152" i="1"/>
  <c r="B4152" i="1"/>
  <c r="C4152" i="1"/>
  <c r="D4152" i="1"/>
  <c r="E4152" i="1"/>
  <c r="A4153" i="1"/>
  <c r="B4153" i="1"/>
  <c r="C4153" i="1"/>
  <c r="D4153" i="1"/>
  <c r="E4153" i="1"/>
  <c r="A4154" i="1"/>
  <c r="B4154" i="1"/>
  <c r="C4154" i="1"/>
  <c r="D4154" i="1"/>
  <c r="E4154" i="1"/>
  <c r="A4155" i="1"/>
  <c r="B4155" i="1"/>
  <c r="C4155" i="1"/>
  <c r="D4155" i="1"/>
  <c r="E4155" i="1"/>
  <c r="A4156" i="1"/>
  <c r="B4156" i="1"/>
  <c r="C4156" i="1"/>
  <c r="D4156" i="1"/>
  <c r="E4156" i="1"/>
  <c r="A4157" i="1"/>
  <c r="B4157" i="1"/>
  <c r="C4157" i="1"/>
  <c r="D4157" i="1"/>
  <c r="E4157" i="1"/>
  <c r="A4158" i="1"/>
  <c r="B4158" i="1"/>
  <c r="C4158" i="1"/>
  <c r="D4158" i="1"/>
  <c r="E4158" i="1"/>
  <c r="A4159" i="1"/>
  <c r="B4159" i="1"/>
  <c r="C4159" i="1"/>
  <c r="D4159" i="1"/>
  <c r="E4159" i="1"/>
  <c r="A4160" i="1"/>
  <c r="B4160" i="1"/>
  <c r="C4160" i="1"/>
  <c r="D4160" i="1"/>
  <c r="E4160" i="1"/>
  <c r="A4161" i="1"/>
  <c r="B4161" i="1"/>
  <c r="C4161" i="1"/>
  <c r="D4161" i="1"/>
  <c r="E4161" i="1"/>
  <c r="A4162" i="1"/>
  <c r="B4162" i="1"/>
  <c r="C4162" i="1"/>
  <c r="D4162" i="1"/>
  <c r="E4162" i="1"/>
  <c r="A4163" i="1"/>
  <c r="B4163" i="1"/>
  <c r="C4163" i="1"/>
  <c r="D4163" i="1"/>
  <c r="E4163" i="1"/>
  <c r="A4164" i="1"/>
  <c r="B4164" i="1"/>
  <c r="C4164" i="1"/>
  <c r="D4164" i="1"/>
  <c r="E4164" i="1"/>
  <c r="A4165" i="1"/>
  <c r="B4165" i="1"/>
  <c r="C4165" i="1"/>
  <c r="D4165" i="1"/>
  <c r="E4165" i="1"/>
  <c r="A4166" i="1"/>
  <c r="B4166" i="1"/>
  <c r="C4166" i="1"/>
  <c r="D4166" i="1"/>
  <c r="E4166" i="1"/>
  <c r="A4167" i="1"/>
  <c r="B4167" i="1"/>
  <c r="C4167" i="1"/>
  <c r="D4167" i="1"/>
  <c r="E4167" i="1"/>
  <c r="A4168" i="1"/>
  <c r="B4168" i="1"/>
  <c r="C4168" i="1"/>
  <c r="D4168" i="1"/>
  <c r="E4168" i="1"/>
  <c r="A4169" i="1"/>
  <c r="B4169" i="1"/>
  <c r="C4169" i="1"/>
  <c r="D4169" i="1"/>
  <c r="E4169" i="1"/>
  <c r="A4170" i="1"/>
  <c r="B4170" i="1"/>
  <c r="C4170" i="1"/>
  <c r="D4170" i="1"/>
  <c r="E4170" i="1"/>
  <c r="A4171" i="1"/>
  <c r="B4171" i="1"/>
  <c r="C4171" i="1"/>
  <c r="D4171" i="1"/>
  <c r="E4171" i="1"/>
  <c r="A4172" i="1"/>
  <c r="B4172" i="1"/>
  <c r="C4172" i="1"/>
  <c r="D4172" i="1"/>
  <c r="E4172" i="1"/>
  <c r="A4173" i="1"/>
  <c r="B4173" i="1"/>
  <c r="C4173" i="1"/>
  <c r="D4173" i="1"/>
  <c r="E4173" i="1"/>
  <c r="A4174" i="1"/>
  <c r="B4174" i="1"/>
  <c r="C4174" i="1"/>
  <c r="D4174" i="1"/>
  <c r="E4174" i="1"/>
  <c r="A4175" i="1"/>
  <c r="B4175" i="1"/>
  <c r="C4175" i="1"/>
  <c r="D4175" i="1"/>
  <c r="E4175" i="1"/>
  <c r="A4176" i="1"/>
  <c r="B4176" i="1"/>
  <c r="C4176" i="1"/>
  <c r="D4176" i="1"/>
  <c r="E4176" i="1"/>
  <c r="A4177" i="1"/>
  <c r="B4177" i="1"/>
  <c r="C4177" i="1"/>
  <c r="D4177" i="1"/>
  <c r="E4177" i="1"/>
  <c r="A4178" i="1"/>
  <c r="B4178" i="1"/>
  <c r="C4178" i="1"/>
  <c r="D4178" i="1"/>
  <c r="E4178" i="1"/>
  <c r="A4179" i="1"/>
  <c r="B4179" i="1"/>
  <c r="C4179" i="1"/>
  <c r="D4179" i="1"/>
  <c r="E4179" i="1"/>
  <c r="A4180" i="1"/>
  <c r="B4180" i="1"/>
  <c r="C4180" i="1"/>
  <c r="D4180" i="1"/>
  <c r="E4180" i="1"/>
  <c r="A4181" i="1"/>
  <c r="B4181" i="1"/>
  <c r="C4181" i="1"/>
  <c r="D4181" i="1"/>
  <c r="E4181" i="1"/>
  <c r="A4182" i="1"/>
  <c r="B4182" i="1"/>
  <c r="C4182" i="1"/>
  <c r="D4182" i="1"/>
  <c r="E4182" i="1"/>
  <c r="A4183" i="1"/>
  <c r="B4183" i="1"/>
  <c r="C4183" i="1"/>
  <c r="D4183" i="1"/>
  <c r="E4183" i="1"/>
  <c r="A4184" i="1"/>
  <c r="B4184" i="1"/>
  <c r="C4184" i="1"/>
  <c r="D4184" i="1"/>
  <c r="E4184" i="1"/>
  <c r="A4185" i="1"/>
  <c r="B4185" i="1"/>
  <c r="C4185" i="1"/>
  <c r="D4185" i="1"/>
  <c r="E4185" i="1"/>
  <c r="A4186" i="1"/>
  <c r="B4186" i="1"/>
  <c r="C4186" i="1"/>
  <c r="D4186" i="1"/>
  <c r="E4186" i="1"/>
  <c r="A4187" i="1"/>
  <c r="B4187" i="1"/>
  <c r="C4187" i="1"/>
  <c r="D4187" i="1"/>
  <c r="E4187" i="1"/>
  <c r="A4188" i="1"/>
  <c r="B4188" i="1"/>
  <c r="C4188" i="1"/>
  <c r="D4188" i="1"/>
  <c r="E4188" i="1"/>
  <c r="A4189" i="1"/>
  <c r="B4189" i="1"/>
  <c r="C4189" i="1"/>
  <c r="D4189" i="1"/>
  <c r="E4189" i="1"/>
  <c r="A4190" i="1"/>
  <c r="B4190" i="1"/>
  <c r="C4190" i="1"/>
  <c r="D4190" i="1"/>
  <c r="E4190" i="1"/>
  <c r="A4191" i="1"/>
  <c r="B4191" i="1"/>
  <c r="C4191" i="1"/>
  <c r="D4191" i="1"/>
  <c r="E4191" i="1"/>
  <c r="A4192" i="1"/>
  <c r="B4192" i="1"/>
  <c r="C4192" i="1"/>
  <c r="D4192" i="1"/>
  <c r="E4192" i="1"/>
  <c r="A4193" i="1"/>
  <c r="B4193" i="1"/>
  <c r="C4193" i="1"/>
  <c r="D4193" i="1"/>
  <c r="E4193" i="1"/>
  <c r="A4194" i="1"/>
  <c r="B4194" i="1"/>
  <c r="C4194" i="1"/>
  <c r="D4194" i="1"/>
  <c r="E4194" i="1"/>
  <c r="A4195" i="1"/>
  <c r="B4195" i="1"/>
  <c r="C4195" i="1"/>
  <c r="D4195" i="1"/>
  <c r="E4195" i="1"/>
  <c r="A4196" i="1"/>
  <c r="B4196" i="1"/>
  <c r="C4196" i="1"/>
  <c r="D4196" i="1"/>
  <c r="E4196" i="1"/>
  <c r="A4197" i="1"/>
  <c r="B4197" i="1"/>
  <c r="C4197" i="1"/>
  <c r="D4197" i="1"/>
  <c r="E4197" i="1"/>
  <c r="A4198" i="1"/>
  <c r="B4198" i="1"/>
  <c r="C4198" i="1"/>
  <c r="D4198" i="1"/>
  <c r="E4198" i="1"/>
  <c r="A4199" i="1"/>
  <c r="B4199" i="1"/>
  <c r="C4199" i="1"/>
  <c r="D4199" i="1"/>
  <c r="E4199" i="1"/>
  <c r="A4200" i="1"/>
  <c r="B4200" i="1"/>
  <c r="C4200" i="1"/>
  <c r="D4200" i="1"/>
  <c r="E4200" i="1"/>
  <c r="A4201" i="1"/>
  <c r="B4201" i="1"/>
  <c r="C4201" i="1"/>
  <c r="D4201" i="1"/>
  <c r="E4201" i="1"/>
  <c r="A4202" i="1"/>
  <c r="B4202" i="1"/>
  <c r="C4202" i="1"/>
  <c r="D4202" i="1"/>
  <c r="E4202" i="1"/>
  <c r="A4203" i="1"/>
  <c r="B4203" i="1"/>
  <c r="C4203" i="1"/>
  <c r="D4203" i="1"/>
  <c r="E4203" i="1"/>
  <c r="A4204" i="1"/>
  <c r="B4204" i="1"/>
  <c r="C4204" i="1"/>
  <c r="D4204" i="1"/>
  <c r="E4204" i="1"/>
  <c r="A4205" i="1"/>
  <c r="B4205" i="1"/>
  <c r="C4205" i="1"/>
  <c r="D4205" i="1"/>
  <c r="E4205" i="1"/>
  <c r="A4206" i="1"/>
  <c r="B4206" i="1"/>
  <c r="C4206" i="1"/>
  <c r="D4206" i="1"/>
  <c r="E4206" i="1"/>
  <c r="A4207" i="1"/>
  <c r="B4207" i="1"/>
  <c r="C4207" i="1"/>
  <c r="D4207" i="1"/>
  <c r="E4207" i="1"/>
  <c r="A4208" i="1"/>
  <c r="B4208" i="1"/>
  <c r="C4208" i="1"/>
  <c r="D4208" i="1"/>
  <c r="E4208" i="1"/>
  <c r="A4209" i="1"/>
  <c r="B4209" i="1"/>
  <c r="C4209" i="1"/>
  <c r="D4209" i="1"/>
  <c r="E4209" i="1"/>
  <c r="A4210" i="1"/>
  <c r="B4210" i="1"/>
  <c r="C4210" i="1"/>
  <c r="D4210" i="1"/>
  <c r="E4210" i="1"/>
  <c r="A4211" i="1"/>
  <c r="B4211" i="1"/>
  <c r="C4211" i="1"/>
  <c r="D4211" i="1"/>
  <c r="E4211" i="1"/>
  <c r="A4212" i="1"/>
  <c r="B4212" i="1"/>
  <c r="C4212" i="1"/>
  <c r="D4212" i="1"/>
  <c r="E4212" i="1"/>
  <c r="A4213" i="1"/>
  <c r="B4213" i="1"/>
  <c r="C4213" i="1"/>
  <c r="D4213" i="1"/>
  <c r="E4213" i="1"/>
  <c r="A4214" i="1"/>
  <c r="B4214" i="1"/>
  <c r="C4214" i="1"/>
  <c r="D4214" i="1"/>
  <c r="E4214" i="1"/>
  <c r="A4215" i="1"/>
  <c r="B4215" i="1"/>
  <c r="C4215" i="1"/>
  <c r="D4215" i="1"/>
  <c r="E4215" i="1"/>
  <c r="A4216" i="1"/>
  <c r="B4216" i="1"/>
  <c r="C4216" i="1"/>
  <c r="D4216" i="1"/>
  <c r="E4216" i="1"/>
  <c r="A4217" i="1"/>
  <c r="B4217" i="1"/>
  <c r="C4217" i="1"/>
  <c r="D4217" i="1"/>
  <c r="E4217" i="1"/>
  <c r="A4218" i="1"/>
  <c r="B4218" i="1"/>
  <c r="C4218" i="1"/>
  <c r="D4218" i="1"/>
  <c r="E4218" i="1"/>
  <c r="A4219" i="1"/>
  <c r="B4219" i="1"/>
  <c r="C4219" i="1"/>
  <c r="D4219" i="1"/>
  <c r="E4219" i="1"/>
  <c r="A4220" i="1"/>
  <c r="B4220" i="1"/>
  <c r="C4220" i="1"/>
  <c r="D4220" i="1"/>
  <c r="E4220" i="1"/>
  <c r="A4221" i="1"/>
  <c r="B4221" i="1"/>
  <c r="C4221" i="1"/>
  <c r="D4221" i="1"/>
  <c r="E4221" i="1"/>
  <c r="A4222" i="1"/>
  <c r="B4222" i="1"/>
  <c r="C4222" i="1"/>
  <c r="D4222" i="1"/>
  <c r="E4222" i="1"/>
  <c r="A4223" i="1"/>
  <c r="B4223" i="1"/>
  <c r="C4223" i="1"/>
  <c r="D4223" i="1"/>
  <c r="E4223" i="1"/>
  <c r="A4224" i="1"/>
  <c r="B4224" i="1"/>
  <c r="C4224" i="1"/>
  <c r="D4224" i="1"/>
  <c r="E4224" i="1"/>
  <c r="A4225" i="1"/>
  <c r="B4225" i="1"/>
  <c r="C4225" i="1"/>
  <c r="D4225" i="1"/>
  <c r="E4225" i="1"/>
  <c r="A4226" i="1"/>
  <c r="B4226" i="1"/>
  <c r="C4226" i="1"/>
  <c r="D4226" i="1"/>
  <c r="E4226" i="1"/>
  <c r="A4227" i="1"/>
  <c r="B4227" i="1"/>
  <c r="C4227" i="1"/>
  <c r="D4227" i="1"/>
  <c r="E4227" i="1"/>
  <c r="A4228" i="1"/>
  <c r="B4228" i="1"/>
  <c r="C4228" i="1"/>
  <c r="D4228" i="1"/>
  <c r="E4228" i="1"/>
  <c r="A4229" i="1"/>
  <c r="B4229" i="1"/>
  <c r="C4229" i="1"/>
  <c r="D4229" i="1"/>
  <c r="E4229" i="1"/>
  <c r="A4230" i="1"/>
  <c r="B4230" i="1"/>
  <c r="C4230" i="1"/>
  <c r="D4230" i="1"/>
  <c r="E4230" i="1"/>
  <c r="A4231" i="1"/>
  <c r="B4231" i="1"/>
  <c r="C4231" i="1"/>
  <c r="D4231" i="1"/>
  <c r="E4231" i="1"/>
  <c r="A4232" i="1"/>
  <c r="B4232" i="1"/>
  <c r="C4232" i="1"/>
  <c r="D4232" i="1"/>
  <c r="E4232" i="1"/>
  <c r="A4233" i="1"/>
  <c r="B4233" i="1"/>
  <c r="C4233" i="1"/>
  <c r="D4233" i="1"/>
  <c r="E4233" i="1"/>
  <c r="A4234" i="1"/>
  <c r="B4234" i="1"/>
  <c r="C4234" i="1"/>
  <c r="D4234" i="1"/>
  <c r="E4234" i="1"/>
  <c r="A4235" i="1"/>
  <c r="B4235" i="1"/>
  <c r="C4235" i="1"/>
  <c r="D4235" i="1"/>
  <c r="E4235" i="1"/>
  <c r="A4236" i="1"/>
  <c r="B4236" i="1"/>
  <c r="C4236" i="1"/>
  <c r="D4236" i="1"/>
  <c r="E4236" i="1"/>
  <c r="A4237" i="1"/>
  <c r="B4237" i="1"/>
  <c r="C4237" i="1"/>
  <c r="D4237" i="1"/>
  <c r="E4237" i="1"/>
  <c r="A4238" i="1"/>
  <c r="B4238" i="1"/>
  <c r="C4238" i="1"/>
  <c r="D4238" i="1"/>
  <c r="E4238" i="1"/>
  <c r="A4239" i="1"/>
  <c r="B4239" i="1"/>
  <c r="C4239" i="1"/>
  <c r="D4239" i="1"/>
  <c r="E4239" i="1"/>
  <c r="A4240" i="1"/>
  <c r="B4240" i="1"/>
  <c r="C4240" i="1"/>
  <c r="D4240" i="1"/>
  <c r="E4240" i="1"/>
  <c r="A4241" i="1"/>
  <c r="B4241" i="1"/>
  <c r="C4241" i="1"/>
  <c r="D4241" i="1"/>
  <c r="E4241" i="1"/>
  <c r="A4242" i="1"/>
  <c r="B4242" i="1"/>
  <c r="C4242" i="1"/>
  <c r="D4242" i="1"/>
  <c r="E4242" i="1"/>
  <c r="A4243" i="1"/>
  <c r="B4243" i="1"/>
  <c r="C4243" i="1"/>
  <c r="D4243" i="1"/>
  <c r="E4243" i="1"/>
  <c r="A4244" i="1"/>
  <c r="B4244" i="1"/>
  <c r="C4244" i="1"/>
  <c r="D4244" i="1"/>
  <c r="E4244" i="1"/>
  <c r="A4245" i="1"/>
  <c r="B4245" i="1"/>
  <c r="C4245" i="1"/>
  <c r="D4245" i="1"/>
  <c r="E4245" i="1"/>
  <c r="A4246" i="1"/>
  <c r="B4246" i="1"/>
  <c r="C4246" i="1"/>
  <c r="D4246" i="1"/>
  <c r="E4246" i="1"/>
  <c r="A4247" i="1"/>
  <c r="B4247" i="1"/>
  <c r="C4247" i="1"/>
  <c r="D4247" i="1"/>
  <c r="E4247" i="1"/>
  <c r="A4248" i="1"/>
  <c r="B4248" i="1"/>
  <c r="C4248" i="1"/>
  <c r="D4248" i="1"/>
  <c r="E4248" i="1"/>
  <c r="A4249" i="1"/>
  <c r="B4249" i="1"/>
  <c r="C4249" i="1"/>
  <c r="D4249" i="1"/>
  <c r="E4249" i="1"/>
  <c r="A4250" i="1"/>
  <c r="B4250" i="1"/>
  <c r="C4250" i="1"/>
  <c r="D4250" i="1"/>
  <c r="E4250" i="1"/>
  <c r="A4251" i="1"/>
  <c r="B4251" i="1"/>
  <c r="C4251" i="1"/>
  <c r="D4251" i="1"/>
  <c r="E4251" i="1"/>
  <c r="A4252" i="1"/>
  <c r="B4252" i="1"/>
  <c r="C4252" i="1"/>
  <c r="D4252" i="1"/>
  <c r="E4252" i="1"/>
  <c r="A4253" i="1"/>
  <c r="B4253" i="1"/>
  <c r="C4253" i="1"/>
  <c r="D4253" i="1"/>
  <c r="E4253" i="1"/>
  <c r="A4254" i="1"/>
  <c r="B4254" i="1"/>
  <c r="C4254" i="1"/>
  <c r="D4254" i="1"/>
  <c r="E4254" i="1"/>
  <c r="A4255" i="1"/>
  <c r="B4255" i="1"/>
  <c r="C4255" i="1"/>
  <c r="D4255" i="1"/>
  <c r="E4255" i="1"/>
  <c r="A4256" i="1"/>
  <c r="B4256" i="1"/>
  <c r="C4256" i="1"/>
  <c r="D4256" i="1"/>
  <c r="E4256" i="1"/>
  <c r="A4257" i="1"/>
  <c r="B4257" i="1"/>
  <c r="C4257" i="1"/>
  <c r="D4257" i="1"/>
  <c r="E4257" i="1"/>
  <c r="A4258" i="1"/>
  <c r="B4258" i="1"/>
  <c r="C4258" i="1"/>
  <c r="D4258" i="1"/>
  <c r="E4258" i="1"/>
  <c r="A4259" i="1"/>
  <c r="B4259" i="1"/>
  <c r="C4259" i="1"/>
  <c r="D4259" i="1"/>
  <c r="E4259" i="1"/>
  <c r="A4260" i="1"/>
  <c r="B4260" i="1"/>
  <c r="C4260" i="1"/>
  <c r="D4260" i="1"/>
  <c r="E4260" i="1"/>
  <c r="A4261" i="1"/>
  <c r="B4261" i="1"/>
  <c r="C4261" i="1"/>
  <c r="D4261" i="1"/>
  <c r="E4261" i="1"/>
  <c r="A4262" i="1"/>
  <c r="B4262" i="1"/>
  <c r="C4262" i="1"/>
  <c r="D4262" i="1"/>
  <c r="E4262" i="1"/>
  <c r="A4263" i="1"/>
  <c r="B4263" i="1"/>
  <c r="C4263" i="1"/>
  <c r="D4263" i="1"/>
  <c r="E4263" i="1"/>
  <c r="A4264" i="1"/>
  <c r="B4264" i="1"/>
  <c r="C4264" i="1"/>
  <c r="D4264" i="1"/>
  <c r="E4264" i="1"/>
  <c r="A4265" i="1"/>
  <c r="B4265" i="1"/>
  <c r="C4265" i="1"/>
  <c r="D4265" i="1"/>
  <c r="E4265" i="1"/>
  <c r="A4266" i="1"/>
  <c r="B4266" i="1"/>
  <c r="C4266" i="1"/>
  <c r="D4266" i="1"/>
  <c r="E4266" i="1"/>
  <c r="A4267" i="1"/>
  <c r="B4267" i="1"/>
  <c r="C4267" i="1"/>
  <c r="D4267" i="1"/>
  <c r="E4267" i="1"/>
  <c r="A4268" i="1"/>
  <c r="B4268" i="1"/>
  <c r="C4268" i="1"/>
  <c r="D4268" i="1"/>
  <c r="E4268" i="1"/>
  <c r="A4269" i="1"/>
  <c r="B4269" i="1"/>
  <c r="C4269" i="1"/>
  <c r="D4269" i="1"/>
  <c r="E4269" i="1"/>
  <c r="A4270" i="1"/>
  <c r="B4270" i="1"/>
  <c r="C4270" i="1"/>
  <c r="D4270" i="1"/>
  <c r="E4270" i="1"/>
  <c r="A4271" i="1"/>
  <c r="B4271" i="1"/>
  <c r="C4271" i="1"/>
  <c r="D4271" i="1"/>
  <c r="E4271" i="1"/>
  <c r="A4272" i="1"/>
  <c r="B4272" i="1"/>
  <c r="C4272" i="1"/>
  <c r="D4272" i="1"/>
  <c r="E4272" i="1"/>
  <c r="A4273" i="1"/>
  <c r="B4273" i="1"/>
  <c r="C4273" i="1"/>
  <c r="D4273" i="1"/>
  <c r="E4273" i="1"/>
  <c r="A4274" i="1"/>
  <c r="B4274" i="1"/>
  <c r="C4274" i="1"/>
  <c r="D4274" i="1"/>
  <c r="E4274" i="1"/>
  <c r="A4275" i="1"/>
  <c r="B4275" i="1"/>
  <c r="C4275" i="1"/>
  <c r="D4275" i="1"/>
  <c r="E4275" i="1"/>
  <c r="A4276" i="1"/>
  <c r="B4276" i="1"/>
  <c r="C4276" i="1"/>
  <c r="D4276" i="1"/>
  <c r="E4276" i="1"/>
  <c r="A4277" i="1"/>
  <c r="B4277" i="1"/>
  <c r="C4277" i="1"/>
  <c r="D4277" i="1"/>
  <c r="E4277" i="1"/>
  <c r="A4278" i="1"/>
  <c r="B4278" i="1"/>
  <c r="C4278" i="1"/>
  <c r="D4278" i="1"/>
  <c r="E4278" i="1"/>
  <c r="A4279" i="1"/>
  <c r="B4279" i="1"/>
  <c r="C4279" i="1"/>
  <c r="D4279" i="1"/>
  <c r="E4279" i="1"/>
  <c r="A4280" i="1"/>
  <c r="B4280" i="1"/>
  <c r="C4280" i="1"/>
  <c r="D4280" i="1"/>
  <c r="E4280" i="1"/>
  <c r="A4281" i="1"/>
  <c r="B4281" i="1"/>
  <c r="C4281" i="1"/>
  <c r="D4281" i="1"/>
  <c r="E4281" i="1"/>
  <c r="A4282" i="1"/>
  <c r="B4282" i="1"/>
  <c r="C4282" i="1"/>
  <c r="D4282" i="1"/>
  <c r="E4282" i="1"/>
  <c r="A4283" i="1"/>
  <c r="B4283" i="1"/>
  <c r="C4283" i="1"/>
  <c r="D4283" i="1"/>
  <c r="E4283" i="1"/>
  <c r="A4284" i="1"/>
  <c r="B4284" i="1"/>
  <c r="C4284" i="1"/>
  <c r="D4284" i="1"/>
  <c r="E4284" i="1"/>
  <c r="A4285" i="1"/>
  <c r="B4285" i="1"/>
  <c r="C4285" i="1"/>
  <c r="D4285" i="1"/>
  <c r="E4285" i="1"/>
  <c r="A4286" i="1"/>
  <c r="B4286" i="1"/>
  <c r="C4286" i="1"/>
  <c r="D4286" i="1"/>
  <c r="E4286" i="1"/>
  <c r="A4287" i="1"/>
  <c r="B4287" i="1"/>
  <c r="C4287" i="1"/>
  <c r="D4287" i="1"/>
  <c r="E4287" i="1"/>
  <c r="A4288" i="1"/>
  <c r="B4288" i="1"/>
  <c r="C4288" i="1"/>
  <c r="D4288" i="1"/>
  <c r="E4288" i="1"/>
  <c r="A4289" i="1"/>
  <c r="B4289" i="1"/>
  <c r="C4289" i="1"/>
  <c r="D4289" i="1"/>
  <c r="E4289" i="1"/>
  <c r="A4290" i="1"/>
  <c r="B4290" i="1"/>
  <c r="C4290" i="1"/>
  <c r="D4290" i="1"/>
  <c r="E4290" i="1"/>
  <c r="A4291" i="1"/>
  <c r="B4291" i="1"/>
  <c r="C4291" i="1"/>
  <c r="D4291" i="1"/>
  <c r="E4291" i="1"/>
  <c r="A4292" i="1"/>
  <c r="B4292" i="1"/>
  <c r="C4292" i="1"/>
  <c r="D4292" i="1"/>
  <c r="E4292" i="1"/>
  <c r="A4293" i="1"/>
  <c r="B4293" i="1"/>
  <c r="C4293" i="1"/>
  <c r="D4293" i="1"/>
  <c r="E4293" i="1"/>
  <c r="A4294" i="1"/>
  <c r="B4294" i="1"/>
  <c r="C4294" i="1"/>
  <c r="D4294" i="1"/>
  <c r="E4294" i="1"/>
  <c r="A4295" i="1"/>
  <c r="B4295" i="1"/>
  <c r="C4295" i="1"/>
  <c r="D4295" i="1"/>
  <c r="E4295" i="1"/>
  <c r="A4296" i="1"/>
  <c r="B4296" i="1"/>
  <c r="C4296" i="1"/>
  <c r="D4296" i="1"/>
  <c r="E4296" i="1"/>
  <c r="A4297" i="1"/>
  <c r="B4297" i="1"/>
  <c r="C4297" i="1"/>
  <c r="D4297" i="1"/>
  <c r="E4297" i="1"/>
  <c r="A4298" i="1"/>
  <c r="B4298" i="1"/>
  <c r="C4298" i="1"/>
  <c r="D4298" i="1"/>
  <c r="E4298" i="1"/>
  <c r="A4299" i="1"/>
  <c r="B4299" i="1"/>
  <c r="C4299" i="1"/>
  <c r="D4299" i="1"/>
  <c r="E4299" i="1"/>
  <c r="A4300" i="1"/>
  <c r="B4300" i="1"/>
  <c r="C4300" i="1"/>
  <c r="D4300" i="1"/>
  <c r="E4300" i="1"/>
  <c r="A4301" i="1"/>
  <c r="B4301" i="1"/>
  <c r="C4301" i="1"/>
  <c r="D4301" i="1"/>
  <c r="E4301" i="1"/>
  <c r="A4302" i="1"/>
  <c r="B4302" i="1"/>
  <c r="C4302" i="1"/>
  <c r="D4302" i="1"/>
  <c r="E4302" i="1"/>
  <c r="A4303" i="1"/>
  <c r="B4303" i="1"/>
  <c r="C4303" i="1"/>
  <c r="D4303" i="1"/>
  <c r="E4303" i="1"/>
  <c r="A4304" i="1"/>
  <c r="B4304" i="1"/>
  <c r="C4304" i="1"/>
  <c r="D4304" i="1"/>
  <c r="E4304" i="1"/>
  <c r="A4305" i="1"/>
  <c r="B4305" i="1"/>
  <c r="C4305" i="1"/>
  <c r="D4305" i="1"/>
  <c r="E4305" i="1"/>
  <c r="A4306" i="1"/>
  <c r="B4306" i="1"/>
  <c r="C4306" i="1"/>
  <c r="D4306" i="1"/>
  <c r="E4306" i="1"/>
  <c r="A4307" i="1"/>
  <c r="B4307" i="1"/>
  <c r="C4307" i="1"/>
  <c r="D4307" i="1"/>
  <c r="E4307" i="1"/>
  <c r="A4308" i="1"/>
  <c r="B4308" i="1"/>
  <c r="C4308" i="1"/>
  <c r="D4308" i="1"/>
  <c r="E4308" i="1"/>
  <c r="A4309" i="1"/>
  <c r="B4309" i="1"/>
  <c r="C4309" i="1"/>
  <c r="D4309" i="1"/>
  <c r="E4309" i="1"/>
  <c r="A4310" i="1"/>
  <c r="B4310" i="1"/>
  <c r="C4310" i="1"/>
  <c r="D4310" i="1"/>
  <c r="E4310" i="1"/>
  <c r="A4311" i="1"/>
  <c r="B4311" i="1"/>
  <c r="C4311" i="1"/>
  <c r="D4311" i="1"/>
  <c r="E4311" i="1"/>
  <c r="A4312" i="1"/>
  <c r="B4312" i="1"/>
  <c r="C4312" i="1"/>
  <c r="D4312" i="1"/>
  <c r="E4312" i="1"/>
  <c r="A4313" i="1"/>
  <c r="B4313" i="1"/>
  <c r="C4313" i="1"/>
  <c r="D4313" i="1"/>
  <c r="E4313" i="1"/>
  <c r="A4314" i="1"/>
  <c r="B4314" i="1"/>
  <c r="C4314" i="1"/>
  <c r="D4314" i="1"/>
  <c r="E4314" i="1"/>
  <c r="A4315" i="1"/>
  <c r="B4315" i="1"/>
  <c r="C4315" i="1"/>
  <c r="D4315" i="1"/>
  <c r="E4315" i="1"/>
  <c r="A4316" i="1"/>
  <c r="B4316" i="1"/>
  <c r="C4316" i="1"/>
  <c r="D4316" i="1"/>
  <c r="E4316" i="1"/>
  <c r="A4317" i="1"/>
  <c r="B4317" i="1"/>
  <c r="C4317" i="1"/>
  <c r="D4317" i="1"/>
  <c r="E4317" i="1"/>
  <c r="A4318" i="1"/>
  <c r="B4318" i="1"/>
  <c r="C4318" i="1"/>
  <c r="D4318" i="1"/>
  <c r="E4318" i="1"/>
  <c r="A4319" i="1"/>
  <c r="B4319" i="1"/>
  <c r="C4319" i="1"/>
  <c r="D4319" i="1"/>
  <c r="E4319" i="1"/>
  <c r="A4320" i="1"/>
  <c r="B4320" i="1"/>
  <c r="C4320" i="1"/>
  <c r="D4320" i="1"/>
  <c r="E4320" i="1"/>
  <c r="A4321" i="1"/>
  <c r="B4321" i="1"/>
  <c r="C4321" i="1"/>
  <c r="D4321" i="1"/>
  <c r="E4321" i="1"/>
  <c r="A4322" i="1"/>
  <c r="B4322" i="1"/>
  <c r="C4322" i="1"/>
  <c r="D4322" i="1"/>
  <c r="E4322" i="1"/>
  <c r="A4323" i="1"/>
  <c r="B4323" i="1"/>
  <c r="C4323" i="1"/>
  <c r="D4323" i="1"/>
  <c r="E4323" i="1"/>
  <c r="A4324" i="1"/>
  <c r="B4324" i="1"/>
  <c r="C4324" i="1"/>
  <c r="D4324" i="1"/>
  <c r="E4324" i="1"/>
  <c r="A4325" i="1"/>
  <c r="B4325" i="1"/>
  <c r="C4325" i="1"/>
  <c r="D4325" i="1"/>
  <c r="E4325" i="1"/>
  <c r="A4326" i="1"/>
  <c r="B4326" i="1"/>
  <c r="C4326" i="1"/>
  <c r="D4326" i="1"/>
  <c r="E4326" i="1"/>
  <c r="A4327" i="1"/>
  <c r="B4327" i="1"/>
  <c r="C4327" i="1"/>
  <c r="D4327" i="1"/>
  <c r="E4327" i="1"/>
  <c r="A4328" i="1"/>
  <c r="B4328" i="1"/>
  <c r="C4328" i="1"/>
  <c r="D4328" i="1"/>
  <c r="E4328" i="1"/>
  <c r="A4329" i="1"/>
  <c r="B4329" i="1"/>
  <c r="C4329" i="1"/>
  <c r="D4329" i="1"/>
  <c r="E4329" i="1"/>
  <c r="A4330" i="1"/>
  <c r="B4330" i="1"/>
  <c r="C4330" i="1"/>
  <c r="D4330" i="1"/>
  <c r="E4330" i="1"/>
  <c r="A4331" i="1"/>
  <c r="B4331" i="1"/>
  <c r="C4331" i="1"/>
  <c r="D4331" i="1"/>
  <c r="E4331" i="1"/>
  <c r="A4332" i="1"/>
  <c r="B4332" i="1"/>
  <c r="C4332" i="1"/>
  <c r="D4332" i="1"/>
  <c r="E4332" i="1"/>
  <c r="A4333" i="1"/>
  <c r="B4333" i="1"/>
  <c r="C4333" i="1"/>
  <c r="D4333" i="1"/>
  <c r="E4333" i="1"/>
  <c r="A4334" i="1"/>
  <c r="B4334" i="1"/>
  <c r="C4334" i="1"/>
  <c r="D4334" i="1"/>
  <c r="E4334" i="1"/>
  <c r="A4335" i="1"/>
  <c r="B4335" i="1"/>
  <c r="C4335" i="1"/>
  <c r="D4335" i="1"/>
  <c r="E4335" i="1"/>
  <c r="A4336" i="1"/>
  <c r="B4336" i="1"/>
  <c r="C4336" i="1"/>
  <c r="D4336" i="1"/>
  <c r="E4336" i="1"/>
  <c r="A4337" i="1"/>
  <c r="B4337" i="1"/>
  <c r="C4337" i="1"/>
  <c r="D4337" i="1"/>
  <c r="E4337" i="1"/>
  <c r="A4338" i="1"/>
  <c r="B4338" i="1"/>
  <c r="C4338" i="1"/>
  <c r="D4338" i="1"/>
  <c r="E4338" i="1"/>
  <c r="A4339" i="1"/>
  <c r="B4339" i="1"/>
  <c r="C4339" i="1"/>
  <c r="D4339" i="1"/>
  <c r="E4339" i="1"/>
  <c r="A4340" i="1"/>
  <c r="B4340" i="1"/>
  <c r="C4340" i="1"/>
  <c r="D4340" i="1"/>
  <c r="E4340" i="1"/>
  <c r="A4341" i="1"/>
  <c r="B4341" i="1"/>
  <c r="C4341" i="1"/>
  <c r="D4341" i="1"/>
  <c r="E4341" i="1"/>
  <c r="A4342" i="1"/>
  <c r="B4342" i="1"/>
  <c r="C4342" i="1"/>
  <c r="D4342" i="1"/>
  <c r="E4342" i="1"/>
  <c r="A4343" i="1"/>
  <c r="B4343" i="1"/>
  <c r="C4343" i="1"/>
  <c r="D4343" i="1"/>
  <c r="E4343" i="1"/>
  <c r="A4344" i="1"/>
  <c r="B4344" i="1"/>
  <c r="C4344" i="1"/>
  <c r="D4344" i="1"/>
  <c r="E4344" i="1"/>
  <c r="A4345" i="1"/>
  <c r="B4345" i="1"/>
  <c r="C4345" i="1"/>
  <c r="D4345" i="1"/>
  <c r="E4345" i="1"/>
  <c r="A4346" i="1"/>
  <c r="B4346" i="1"/>
  <c r="C4346" i="1"/>
  <c r="D4346" i="1"/>
  <c r="E4346" i="1"/>
  <c r="A4347" i="1"/>
  <c r="B4347" i="1"/>
  <c r="C4347" i="1"/>
  <c r="D4347" i="1"/>
  <c r="E4347" i="1"/>
  <c r="A4348" i="1"/>
  <c r="B4348" i="1"/>
  <c r="C4348" i="1"/>
  <c r="D4348" i="1"/>
  <c r="E4348" i="1"/>
  <c r="A4349" i="1"/>
  <c r="B4349" i="1"/>
  <c r="C4349" i="1"/>
  <c r="D4349" i="1"/>
  <c r="E4349" i="1"/>
  <c r="A4350" i="1"/>
  <c r="B4350" i="1"/>
  <c r="C4350" i="1"/>
  <c r="D4350" i="1"/>
  <c r="E4350" i="1"/>
  <c r="A4351" i="1"/>
  <c r="B4351" i="1"/>
  <c r="C4351" i="1"/>
  <c r="D4351" i="1"/>
  <c r="E4351" i="1"/>
  <c r="A4352" i="1"/>
  <c r="B4352" i="1"/>
  <c r="C4352" i="1"/>
  <c r="D4352" i="1"/>
  <c r="E4352" i="1"/>
  <c r="A4353" i="1"/>
  <c r="B4353" i="1"/>
  <c r="C4353" i="1"/>
  <c r="D4353" i="1"/>
  <c r="E4353" i="1"/>
  <c r="A4354" i="1"/>
  <c r="B4354" i="1"/>
  <c r="C4354" i="1"/>
  <c r="D4354" i="1"/>
  <c r="E4354" i="1"/>
  <c r="A4355" i="1"/>
  <c r="B4355" i="1"/>
  <c r="C4355" i="1"/>
  <c r="D4355" i="1"/>
  <c r="E4355" i="1"/>
  <c r="A4356" i="1"/>
  <c r="B4356" i="1"/>
  <c r="C4356" i="1"/>
  <c r="D4356" i="1"/>
  <c r="E4356" i="1"/>
  <c r="A4357" i="1"/>
  <c r="B4357" i="1"/>
  <c r="C4357" i="1"/>
  <c r="D4357" i="1"/>
  <c r="E4357" i="1"/>
  <c r="A4358" i="1"/>
  <c r="B4358" i="1"/>
  <c r="C4358" i="1"/>
  <c r="D4358" i="1"/>
  <c r="E4358" i="1"/>
  <c r="A4359" i="1"/>
  <c r="B4359" i="1"/>
  <c r="C4359" i="1"/>
  <c r="D4359" i="1"/>
  <c r="E4359" i="1"/>
  <c r="A4360" i="1"/>
  <c r="B4360" i="1"/>
  <c r="C4360" i="1"/>
  <c r="D4360" i="1"/>
  <c r="E4360" i="1"/>
  <c r="A4361" i="1"/>
  <c r="B4361" i="1"/>
  <c r="C4361" i="1"/>
  <c r="D4361" i="1"/>
  <c r="E4361" i="1"/>
  <c r="A4362" i="1"/>
  <c r="B4362" i="1"/>
  <c r="C4362" i="1"/>
  <c r="D4362" i="1"/>
  <c r="E4362" i="1"/>
  <c r="A4363" i="1"/>
  <c r="B4363" i="1"/>
  <c r="C4363" i="1"/>
  <c r="D4363" i="1"/>
  <c r="E4363" i="1"/>
  <c r="A4364" i="1"/>
  <c r="B4364" i="1"/>
  <c r="C4364" i="1"/>
  <c r="D4364" i="1"/>
  <c r="E4364" i="1"/>
  <c r="A4365" i="1"/>
  <c r="B4365" i="1"/>
  <c r="C4365" i="1"/>
  <c r="D4365" i="1"/>
  <c r="E4365" i="1"/>
  <c r="A4366" i="1"/>
  <c r="B4366" i="1"/>
  <c r="C4366" i="1"/>
  <c r="D4366" i="1"/>
  <c r="E4366" i="1"/>
  <c r="A4367" i="1"/>
  <c r="B4367" i="1"/>
  <c r="C4367" i="1"/>
  <c r="D4367" i="1"/>
  <c r="E4367" i="1"/>
  <c r="A4368" i="1"/>
  <c r="B4368" i="1"/>
  <c r="C4368" i="1"/>
  <c r="D4368" i="1"/>
  <c r="E4368" i="1"/>
  <c r="A4369" i="1"/>
  <c r="B4369" i="1"/>
  <c r="C4369" i="1"/>
  <c r="D4369" i="1"/>
  <c r="E4369" i="1"/>
  <c r="A4370" i="1"/>
  <c r="B4370" i="1"/>
  <c r="C4370" i="1"/>
  <c r="D4370" i="1"/>
  <c r="E4370" i="1"/>
  <c r="A4371" i="1"/>
  <c r="B4371" i="1"/>
  <c r="C4371" i="1"/>
  <c r="D4371" i="1"/>
  <c r="E4371" i="1"/>
  <c r="A4372" i="1"/>
  <c r="B4372" i="1"/>
  <c r="C4372" i="1"/>
  <c r="D4372" i="1"/>
  <c r="E4372" i="1"/>
  <c r="A4373" i="1"/>
  <c r="B4373" i="1"/>
  <c r="C4373" i="1"/>
  <c r="D4373" i="1"/>
  <c r="E4373" i="1"/>
  <c r="A4374" i="1"/>
  <c r="B4374" i="1"/>
  <c r="C4374" i="1"/>
  <c r="D4374" i="1"/>
  <c r="E4374" i="1"/>
  <c r="A4375" i="1"/>
  <c r="B4375" i="1"/>
  <c r="C4375" i="1"/>
  <c r="D4375" i="1"/>
  <c r="E4375" i="1"/>
  <c r="A4376" i="1"/>
  <c r="B4376" i="1"/>
  <c r="C4376" i="1"/>
  <c r="D4376" i="1"/>
  <c r="E4376" i="1"/>
  <c r="A4377" i="1"/>
  <c r="B4377" i="1"/>
  <c r="C4377" i="1"/>
  <c r="D4377" i="1"/>
  <c r="E4377" i="1"/>
  <c r="A4378" i="1"/>
  <c r="B4378" i="1"/>
  <c r="C4378" i="1"/>
  <c r="D4378" i="1"/>
  <c r="E4378" i="1"/>
  <c r="A4379" i="1"/>
  <c r="B4379" i="1"/>
  <c r="C4379" i="1"/>
  <c r="D4379" i="1"/>
  <c r="E4379" i="1"/>
  <c r="A4380" i="1"/>
  <c r="B4380" i="1"/>
  <c r="C4380" i="1"/>
  <c r="D4380" i="1"/>
  <c r="E4380" i="1"/>
  <c r="A4381" i="1"/>
  <c r="B4381" i="1"/>
  <c r="C4381" i="1"/>
  <c r="D4381" i="1"/>
  <c r="E4381" i="1"/>
  <c r="A4382" i="1"/>
  <c r="B4382" i="1"/>
  <c r="C4382" i="1"/>
  <c r="D4382" i="1"/>
  <c r="E4382" i="1"/>
  <c r="A4383" i="1"/>
  <c r="B4383" i="1"/>
  <c r="C4383" i="1"/>
  <c r="D4383" i="1"/>
  <c r="E4383" i="1"/>
  <c r="A4384" i="1"/>
  <c r="B4384" i="1"/>
  <c r="C4384" i="1"/>
  <c r="D4384" i="1"/>
  <c r="E4384" i="1"/>
  <c r="A4385" i="1"/>
  <c r="B4385" i="1"/>
  <c r="C4385" i="1"/>
  <c r="D4385" i="1"/>
  <c r="E4385" i="1"/>
  <c r="A4386" i="1"/>
  <c r="B4386" i="1"/>
  <c r="C4386" i="1"/>
  <c r="D4386" i="1"/>
  <c r="E4386" i="1"/>
  <c r="A4387" i="1"/>
  <c r="B4387" i="1"/>
  <c r="C4387" i="1"/>
  <c r="D4387" i="1"/>
  <c r="E4387" i="1"/>
  <c r="A4388" i="1"/>
  <c r="B4388" i="1"/>
  <c r="C4388" i="1"/>
  <c r="D4388" i="1"/>
  <c r="E4388" i="1"/>
  <c r="A4389" i="1"/>
  <c r="B4389" i="1"/>
  <c r="C4389" i="1"/>
  <c r="D4389" i="1"/>
  <c r="E4389" i="1"/>
  <c r="A4390" i="1"/>
  <c r="B4390" i="1"/>
  <c r="C4390" i="1"/>
  <c r="D4390" i="1"/>
  <c r="E4390" i="1"/>
  <c r="A4391" i="1"/>
  <c r="B4391" i="1"/>
  <c r="C4391" i="1"/>
  <c r="D4391" i="1"/>
  <c r="E4391" i="1"/>
  <c r="A4392" i="1"/>
  <c r="B4392" i="1"/>
  <c r="C4392" i="1"/>
  <c r="D4392" i="1"/>
  <c r="E4392" i="1"/>
  <c r="A4393" i="1"/>
  <c r="B4393" i="1"/>
  <c r="C4393" i="1"/>
  <c r="D4393" i="1"/>
  <c r="E4393" i="1"/>
  <c r="A4394" i="1"/>
  <c r="B4394" i="1"/>
  <c r="C4394" i="1"/>
  <c r="D4394" i="1"/>
  <c r="E4394" i="1"/>
  <c r="A4395" i="1"/>
  <c r="B4395" i="1"/>
  <c r="C4395" i="1"/>
  <c r="D4395" i="1"/>
  <c r="E4395" i="1"/>
  <c r="A4396" i="1"/>
  <c r="B4396" i="1"/>
  <c r="C4396" i="1"/>
  <c r="D4396" i="1"/>
  <c r="E4396" i="1"/>
  <c r="A4397" i="1"/>
  <c r="B4397" i="1"/>
  <c r="C4397" i="1"/>
  <c r="D4397" i="1"/>
  <c r="E4397" i="1"/>
  <c r="A4398" i="1"/>
  <c r="B4398" i="1"/>
  <c r="C4398" i="1"/>
  <c r="D4398" i="1"/>
  <c r="E4398" i="1"/>
  <c r="A4399" i="1"/>
  <c r="B4399" i="1"/>
  <c r="C4399" i="1"/>
  <c r="D4399" i="1"/>
  <c r="E4399" i="1"/>
  <c r="A4400" i="1"/>
  <c r="B4400" i="1"/>
  <c r="C4400" i="1"/>
  <c r="D4400" i="1"/>
  <c r="E4400" i="1"/>
  <c r="A4401" i="1"/>
  <c r="B4401" i="1"/>
  <c r="C4401" i="1"/>
  <c r="D4401" i="1"/>
  <c r="E4401" i="1"/>
  <c r="A4402" i="1"/>
  <c r="B4402" i="1"/>
  <c r="C4402" i="1"/>
  <c r="D4402" i="1"/>
  <c r="E4402" i="1"/>
  <c r="A4403" i="1"/>
  <c r="B4403" i="1"/>
  <c r="C4403" i="1"/>
  <c r="D4403" i="1"/>
  <c r="E4403" i="1"/>
  <c r="A4404" i="1"/>
  <c r="B4404" i="1"/>
  <c r="C4404" i="1"/>
  <c r="D4404" i="1"/>
  <c r="E4404" i="1"/>
  <c r="A4405" i="1"/>
  <c r="B4405" i="1"/>
  <c r="C4405" i="1"/>
  <c r="D4405" i="1"/>
  <c r="E4405" i="1"/>
  <c r="A4406" i="1"/>
  <c r="B4406" i="1"/>
  <c r="C4406" i="1"/>
  <c r="D4406" i="1"/>
  <c r="E4406" i="1"/>
  <c r="A4407" i="1"/>
  <c r="B4407" i="1"/>
  <c r="C4407" i="1"/>
  <c r="D4407" i="1"/>
  <c r="E4407" i="1"/>
  <c r="A4408" i="1"/>
  <c r="B4408" i="1"/>
  <c r="C4408" i="1"/>
  <c r="D4408" i="1"/>
  <c r="E4408" i="1"/>
  <c r="A4409" i="1"/>
  <c r="B4409" i="1"/>
  <c r="C4409" i="1"/>
  <c r="D4409" i="1"/>
  <c r="E4409" i="1"/>
  <c r="A4410" i="1"/>
  <c r="B4410" i="1"/>
  <c r="C4410" i="1"/>
  <c r="D4410" i="1"/>
  <c r="E4410" i="1"/>
  <c r="A4411" i="1"/>
  <c r="B4411" i="1"/>
  <c r="C4411" i="1"/>
  <c r="D4411" i="1"/>
  <c r="E4411" i="1"/>
  <c r="A4412" i="1"/>
  <c r="B4412" i="1"/>
  <c r="C4412" i="1"/>
  <c r="D4412" i="1"/>
  <c r="E4412" i="1"/>
  <c r="A4413" i="1"/>
  <c r="B4413" i="1"/>
  <c r="C4413" i="1"/>
  <c r="D4413" i="1"/>
  <c r="E4413" i="1"/>
  <c r="A4414" i="1"/>
  <c r="B4414" i="1"/>
  <c r="C4414" i="1"/>
  <c r="D4414" i="1"/>
  <c r="E4414" i="1"/>
  <c r="A4415" i="1"/>
  <c r="B4415" i="1"/>
  <c r="C4415" i="1"/>
  <c r="D4415" i="1"/>
  <c r="E4415" i="1"/>
  <c r="A4416" i="1"/>
  <c r="B4416" i="1"/>
  <c r="C4416" i="1"/>
  <c r="D4416" i="1"/>
  <c r="E4416" i="1"/>
  <c r="A4417" i="1"/>
  <c r="B4417" i="1"/>
  <c r="C4417" i="1"/>
  <c r="D4417" i="1"/>
  <c r="E4417" i="1"/>
  <c r="A4418" i="1"/>
  <c r="B4418" i="1"/>
  <c r="C4418" i="1"/>
  <c r="D4418" i="1"/>
  <c r="E4418" i="1"/>
  <c r="A4419" i="1"/>
  <c r="B4419" i="1"/>
  <c r="C4419" i="1"/>
  <c r="D4419" i="1"/>
  <c r="E4419" i="1"/>
  <c r="A4420" i="1"/>
  <c r="B4420" i="1"/>
  <c r="C4420" i="1"/>
  <c r="D4420" i="1"/>
  <c r="E4420" i="1"/>
  <c r="A4421" i="1"/>
  <c r="B4421" i="1"/>
  <c r="C4421" i="1"/>
  <c r="D4421" i="1"/>
  <c r="E4421" i="1"/>
  <c r="A4422" i="1"/>
  <c r="B4422" i="1"/>
  <c r="C4422" i="1"/>
  <c r="D4422" i="1"/>
  <c r="E4422" i="1"/>
  <c r="A4423" i="1"/>
  <c r="B4423" i="1"/>
  <c r="C4423" i="1"/>
  <c r="D4423" i="1"/>
  <c r="E4423" i="1"/>
  <c r="A4424" i="1"/>
  <c r="B4424" i="1"/>
  <c r="C4424" i="1"/>
  <c r="D4424" i="1"/>
  <c r="E4424" i="1"/>
  <c r="A4425" i="1"/>
  <c r="B4425" i="1"/>
  <c r="C4425" i="1"/>
  <c r="D4425" i="1"/>
  <c r="E4425" i="1"/>
  <c r="A4426" i="1"/>
  <c r="B4426" i="1"/>
  <c r="C4426" i="1"/>
  <c r="D4426" i="1"/>
  <c r="E4426" i="1"/>
  <c r="A4427" i="1"/>
  <c r="B4427" i="1"/>
  <c r="C4427" i="1"/>
  <c r="D4427" i="1"/>
  <c r="E4427" i="1"/>
  <c r="A4428" i="1"/>
  <c r="B4428" i="1"/>
  <c r="C4428" i="1"/>
  <c r="D4428" i="1"/>
  <c r="E4428" i="1"/>
  <c r="A4429" i="1"/>
  <c r="B4429" i="1"/>
  <c r="C4429" i="1"/>
  <c r="D4429" i="1"/>
  <c r="E4429" i="1"/>
  <c r="A4430" i="1"/>
  <c r="B4430" i="1"/>
  <c r="C4430" i="1"/>
  <c r="D4430" i="1"/>
  <c r="E4430" i="1"/>
  <c r="A4431" i="1"/>
  <c r="B4431" i="1"/>
  <c r="C4431" i="1"/>
  <c r="D4431" i="1"/>
  <c r="E4431" i="1"/>
  <c r="A4432" i="1"/>
  <c r="B4432" i="1"/>
  <c r="C4432" i="1"/>
  <c r="D4432" i="1"/>
  <c r="E4432" i="1"/>
  <c r="A4433" i="1"/>
  <c r="B4433" i="1"/>
  <c r="C4433" i="1"/>
  <c r="D4433" i="1"/>
  <c r="E4433" i="1"/>
  <c r="A4434" i="1"/>
  <c r="B4434" i="1"/>
  <c r="C4434" i="1"/>
  <c r="D4434" i="1"/>
  <c r="E4434" i="1"/>
  <c r="A4435" i="1"/>
  <c r="B4435" i="1"/>
  <c r="C4435" i="1"/>
  <c r="D4435" i="1"/>
  <c r="E4435" i="1"/>
  <c r="A4436" i="1"/>
  <c r="B4436" i="1"/>
  <c r="C4436" i="1"/>
  <c r="D4436" i="1"/>
  <c r="E4436" i="1"/>
  <c r="A4437" i="1"/>
  <c r="B4437" i="1"/>
  <c r="C4437" i="1"/>
  <c r="D4437" i="1"/>
  <c r="E4437" i="1"/>
  <c r="A4438" i="1"/>
  <c r="B4438" i="1"/>
  <c r="C4438" i="1"/>
  <c r="D4438" i="1"/>
  <c r="E4438" i="1"/>
  <c r="A4439" i="1"/>
  <c r="B4439" i="1"/>
  <c r="C4439" i="1"/>
  <c r="D4439" i="1"/>
  <c r="E4439" i="1"/>
  <c r="A4440" i="1"/>
  <c r="B4440" i="1"/>
  <c r="C4440" i="1"/>
  <c r="D4440" i="1"/>
  <c r="E4440" i="1"/>
  <c r="A4441" i="1"/>
  <c r="B4441" i="1"/>
  <c r="C4441" i="1"/>
  <c r="D4441" i="1"/>
  <c r="E4441" i="1"/>
  <c r="A4442" i="1"/>
  <c r="B4442" i="1"/>
  <c r="C4442" i="1"/>
  <c r="D4442" i="1"/>
  <c r="E4442" i="1"/>
  <c r="A4443" i="1"/>
  <c r="B4443" i="1"/>
  <c r="C4443" i="1"/>
  <c r="D4443" i="1"/>
  <c r="E4443" i="1"/>
  <c r="A4444" i="1"/>
  <c r="B4444" i="1"/>
  <c r="C4444" i="1"/>
  <c r="D4444" i="1"/>
  <c r="E4444" i="1"/>
  <c r="A4445" i="1"/>
  <c r="B4445" i="1"/>
  <c r="C4445" i="1"/>
  <c r="D4445" i="1"/>
  <c r="E4445" i="1"/>
  <c r="A4446" i="1"/>
  <c r="B4446" i="1"/>
  <c r="C4446" i="1"/>
  <c r="D4446" i="1"/>
  <c r="E4446" i="1"/>
  <c r="A4447" i="1"/>
  <c r="B4447" i="1"/>
  <c r="C4447" i="1"/>
  <c r="D4447" i="1"/>
  <c r="E4447" i="1"/>
  <c r="A4448" i="1"/>
  <c r="B4448" i="1"/>
  <c r="C4448" i="1"/>
  <c r="D4448" i="1"/>
  <c r="E4448" i="1"/>
  <c r="A4449" i="1"/>
  <c r="B4449" i="1"/>
  <c r="C4449" i="1"/>
  <c r="D4449" i="1"/>
  <c r="E4449" i="1"/>
  <c r="A4450" i="1"/>
  <c r="B4450" i="1"/>
  <c r="C4450" i="1"/>
  <c r="D4450" i="1"/>
  <c r="E4450" i="1"/>
  <c r="A4451" i="1"/>
  <c r="B4451" i="1"/>
  <c r="C4451" i="1"/>
  <c r="D4451" i="1"/>
  <c r="E4451" i="1"/>
  <c r="A4452" i="1"/>
  <c r="B4452" i="1"/>
  <c r="C4452" i="1"/>
  <c r="D4452" i="1"/>
  <c r="E4452" i="1"/>
  <c r="A4453" i="1"/>
  <c r="B4453" i="1"/>
  <c r="C4453" i="1"/>
  <c r="D4453" i="1"/>
  <c r="E4453" i="1"/>
  <c r="A4454" i="1"/>
  <c r="B4454" i="1"/>
  <c r="C4454" i="1"/>
  <c r="D4454" i="1"/>
  <c r="E4454" i="1"/>
  <c r="A4455" i="1"/>
  <c r="B4455" i="1"/>
  <c r="C4455" i="1"/>
  <c r="D4455" i="1"/>
  <c r="E4455" i="1"/>
  <c r="A4456" i="1"/>
  <c r="B4456" i="1"/>
  <c r="C4456" i="1"/>
  <c r="D4456" i="1"/>
  <c r="E4456" i="1"/>
  <c r="A4457" i="1"/>
  <c r="B4457" i="1"/>
  <c r="C4457" i="1"/>
  <c r="D4457" i="1"/>
  <c r="E4457" i="1"/>
  <c r="A4458" i="1"/>
  <c r="B4458" i="1"/>
  <c r="C4458" i="1"/>
  <c r="D4458" i="1"/>
  <c r="E4458" i="1"/>
  <c r="A4459" i="1"/>
  <c r="B4459" i="1"/>
  <c r="C4459" i="1"/>
  <c r="D4459" i="1"/>
  <c r="E4459" i="1"/>
  <c r="A4460" i="1"/>
  <c r="B4460" i="1"/>
  <c r="C4460" i="1"/>
  <c r="D4460" i="1"/>
  <c r="E4460" i="1"/>
  <c r="A4461" i="1"/>
  <c r="B4461" i="1"/>
  <c r="C4461" i="1"/>
  <c r="D4461" i="1"/>
  <c r="E4461" i="1"/>
  <c r="A4462" i="1"/>
  <c r="B4462" i="1"/>
  <c r="C4462" i="1"/>
  <c r="D4462" i="1"/>
  <c r="E4462" i="1"/>
  <c r="A4463" i="1"/>
  <c r="B4463" i="1"/>
  <c r="C4463" i="1"/>
  <c r="D4463" i="1"/>
  <c r="E4463" i="1"/>
  <c r="A4464" i="1"/>
  <c r="B4464" i="1"/>
  <c r="C4464" i="1"/>
  <c r="D4464" i="1"/>
  <c r="E4464" i="1"/>
  <c r="A4465" i="1"/>
  <c r="B4465" i="1"/>
  <c r="C4465" i="1"/>
  <c r="D4465" i="1"/>
  <c r="E4465" i="1"/>
  <c r="A4466" i="1"/>
  <c r="B4466" i="1"/>
  <c r="C4466" i="1"/>
  <c r="D4466" i="1"/>
  <c r="E4466" i="1"/>
  <c r="A4467" i="1"/>
  <c r="B4467" i="1"/>
  <c r="C4467" i="1"/>
  <c r="D4467" i="1"/>
  <c r="E4467" i="1"/>
  <c r="A4468" i="1"/>
  <c r="B4468" i="1"/>
  <c r="C4468" i="1"/>
  <c r="D4468" i="1"/>
  <c r="E4468" i="1"/>
  <c r="A4469" i="1"/>
  <c r="B4469" i="1"/>
  <c r="C4469" i="1"/>
  <c r="D4469" i="1"/>
  <c r="E4469" i="1"/>
  <c r="A4470" i="1"/>
  <c r="B4470" i="1"/>
  <c r="C4470" i="1"/>
  <c r="D4470" i="1"/>
  <c r="E4470" i="1"/>
  <c r="A4471" i="1"/>
  <c r="B4471" i="1"/>
  <c r="C4471" i="1"/>
  <c r="D4471" i="1"/>
  <c r="E4471" i="1"/>
  <c r="A4472" i="1"/>
  <c r="B4472" i="1"/>
  <c r="C4472" i="1"/>
  <c r="D4472" i="1"/>
  <c r="E4472" i="1"/>
  <c r="A4473" i="1"/>
  <c r="B4473" i="1"/>
  <c r="C4473" i="1"/>
  <c r="D4473" i="1"/>
  <c r="E4473" i="1"/>
  <c r="A4474" i="1"/>
  <c r="B4474" i="1"/>
  <c r="C4474" i="1"/>
  <c r="D4474" i="1"/>
  <c r="E4474" i="1"/>
  <c r="A4475" i="1"/>
  <c r="B4475" i="1"/>
  <c r="C4475" i="1"/>
  <c r="D4475" i="1"/>
  <c r="E4475" i="1"/>
  <c r="A4476" i="1"/>
  <c r="B4476" i="1"/>
  <c r="C4476" i="1"/>
  <c r="D4476" i="1"/>
  <c r="E4476" i="1"/>
  <c r="A4477" i="1"/>
  <c r="B4477" i="1"/>
  <c r="C4477" i="1"/>
  <c r="D4477" i="1"/>
  <c r="E4477" i="1"/>
  <c r="A4478" i="1"/>
  <c r="B4478" i="1"/>
  <c r="C4478" i="1"/>
  <c r="D4478" i="1"/>
  <c r="E4478" i="1"/>
  <c r="A4479" i="1"/>
  <c r="B4479" i="1"/>
  <c r="C4479" i="1"/>
  <c r="D4479" i="1"/>
  <c r="E4479" i="1"/>
  <c r="A4480" i="1"/>
  <c r="B4480" i="1"/>
  <c r="C4480" i="1"/>
  <c r="D4480" i="1"/>
  <c r="E4480" i="1"/>
  <c r="A4481" i="1"/>
  <c r="B4481" i="1"/>
  <c r="C4481" i="1"/>
  <c r="D4481" i="1"/>
  <c r="E4481" i="1"/>
  <c r="A4482" i="1"/>
  <c r="B4482" i="1"/>
  <c r="C4482" i="1"/>
  <c r="D4482" i="1"/>
  <c r="E4482" i="1"/>
  <c r="A4483" i="1"/>
  <c r="B4483" i="1"/>
  <c r="C4483" i="1"/>
  <c r="D4483" i="1"/>
  <c r="E4483" i="1"/>
  <c r="A4484" i="1"/>
  <c r="B4484" i="1"/>
  <c r="C4484" i="1"/>
  <c r="D4484" i="1"/>
  <c r="E4484" i="1"/>
  <c r="A4485" i="1"/>
  <c r="B4485" i="1"/>
  <c r="C4485" i="1"/>
  <c r="D4485" i="1"/>
  <c r="E4485" i="1"/>
  <c r="A4486" i="1"/>
  <c r="B4486" i="1"/>
  <c r="C4486" i="1"/>
  <c r="D4486" i="1"/>
  <c r="E4486" i="1"/>
  <c r="A4487" i="1"/>
  <c r="B4487" i="1"/>
  <c r="C4487" i="1"/>
  <c r="D4487" i="1"/>
  <c r="E4487" i="1"/>
  <c r="A4488" i="1"/>
  <c r="B4488" i="1"/>
  <c r="C4488" i="1"/>
  <c r="D4488" i="1"/>
  <c r="E4488" i="1"/>
  <c r="A4489" i="1"/>
  <c r="B4489" i="1"/>
  <c r="C4489" i="1"/>
  <c r="D4489" i="1"/>
  <c r="E4489" i="1"/>
  <c r="A4490" i="1"/>
  <c r="B4490" i="1"/>
  <c r="C4490" i="1"/>
  <c r="D4490" i="1"/>
  <c r="E4490" i="1"/>
  <c r="A4491" i="1"/>
  <c r="B4491" i="1"/>
  <c r="C4491" i="1"/>
  <c r="D4491" i="1"/>
  <c r="E4491" i="1"/>
  <c r="A4492" i="1"/>
  <c r="B4492" i="1"/>
  <c r="C4492" i="1"/>
  <c r="D4492" i="1"/>
  <c r="E4492" i="1"/>
  <c r="A4493" i="1"/>
  <c r="B4493" i="1"/>
  <c r="C4493" i="1"/>
  <c r="D4493" i="1"/>
  <c r="E4493" i="1"/>
  <c r="A4494" i="1"/>
  <c r="B4494" i="1"/>
  <c r="C4494" i="1"/>
  <c r="D4494" i="1"/>
  <c r="E4494" i="1"/>
  <c r="A4495" i="1"/>
  <c r="B4495" i="1"/>
  <c r="C4495" i="1"/>
  <c r="D4495" i="1"/>
  <c r="E4495" i="1"/>
  <c r="A4496" i="1"/>
  <c r="B4496" i="1"/>
  <c r="C4496" i="1"/>
  <c r="D4496" i="1"/>
  <c r="E4496" i="1"/>
  <c r="A4497" i="1"/>
  <c r="B4497" i="1"/>
  <c r="C4497" i="1"/>
  <c r="D4497" i="1"/>
  <c r="E4497" i="1"/>
  <c r="A4498" i="1"/>
  <c r="B4498" i="1"/>
  <c r="C4498" i="1"/>
  <c r="D4498" i="1"/>
  <c r="E4498" i="1"/>
  <c r="A4499" i="1"/>
  <c r="B4499" i="1"/>
  <c r="C4499" i="1"/>
  <c r="D4499" i="1"/>
  <c r="E4499" i="1"/>
  <c r="A4500" i="1"/>
  <c r="B4500" i="1"/>
  <c r="C4500" i="1"/>
  <c r="D4500" i="1"/>
  <c r="E4500" i="1"/>
  <c r="A4501" i="1"/>
  <c r="B4501" i="1"/>
  <c r="C4501" i="1"/>
  <c r="D4501" i="1"/>
  <c r="E4501" i="1"/>
  <c r="A4502" i="1"/>
  <c r="B4502" i="1"/>
  <c r="C4502" i="1"/>
  <c r="D4502" i="1"/>
  <c r="E4502" i="1"/>
  <c r="A4503" i="1"/>
  <c r="B4503" i="1"/>
  <c r="C4503" i="1"/>
  <c r="D4503" i="1"/>
  <c r="E4503" i="1"/>
  <c r="A4504" i="1"/>
  <c r="B4504" i="1"/>
  <c r="C4504" i="1"/>
  <c r="D4504" i="1"/>
  <c r="E4504" i="1"/>
  <c r="A4505" i="1"/>
  <c r="B4505" i="1"/>
  <c r="C4505" i="1"/>
  <c r="D4505" i="1"/>
  <c r="E4505" i="1"/>
  <c r="A4506" i="1"/>
  <c r="B4506" i="1"/>
  <c r="C4506" i="1"/>
  <c r="D4506" i="1"/>
  <c r="E4506" i="1"/>
  <c r="A4507" i="1"/>
  <c r="B4507" i="1"/>
  <c r="C4507" i="1"/>
  <c r="D4507" i="1"/>
  <c r="E4507" i="1"/>
  <c r="A4508" i="1"/>
  <c r="B4508" i="1"/>
  <c r="C4508" i="1"/>
  <c r="D4508" i="1"/>
  <c r="E4508" i="1"/>
  <c r="A4509" i="1"/>
  <c r="B4509" i="1"/>
  <c r="C4509" i="1"/>
  <c r="D4509" i="1"/>
  <c r="E4509" i="1"/>
  <c r="A4510" i="1"/>
  <c r="B4510" i="1"/>
  <c r="C4510" i="1"/>
  <c r="D4510" i="1"/>
  <c r="E4510" i="1"/>
  <c r="A4511" i="1"/>
  <c r="B4511" i="1"/>
  <c r="C4511" i="1"/>
  <c r="D4511" i="1"/>
  <c r="E4511" i="1"/>
  <c r="A4512" i="1"/>
  <c r="B4512" i="1"/>
  <c r="C4512" i="1"/>
  <c r="D4512" i="1"/>
  <c r="E4512" i="1"/>
  <c r="A4513" i="1"/>
  <c r="B4513" i="1"/>
  <c r="C4513" i="1"/>
  <c r="D4513" i="1"/>
  <c r="E4513" i="1"/>
  <c r="A4514" i="1"/>
  <c r="B4514" i="1"/>
  <c r="C4514" i="1"/>
  <c r="D4514" i="1"/>
  <c r="E4514" i="1"/>
  <c r="A4515" i="1"/>
  <c r="B4515" i="1"/>
  <c r="C4515" i="1"/>
  <c r="D4515" i="1"/>
  <c r="E4515" i="1"/>
  <c r="A4516" i="1"/>
  <c r="B4516" i="1"/>
  <c r="C4516" i="1"/>
  <c r="D4516" i="1"/>
  <c r="E4516" i="1"/>
  <c r="A4517" i="1"/>
  <c r="B4517" i="1"/>
  <c r="C4517" i="1"/>
  <c r="D4517" i="1"/>
  <c r="E4517" i="1"/>
  <c r="A4518" i="1"/>
  <c r="B4518" i="1"/>
  <c r="C4518" i="1"/>
  <c r="D4518" i="1"/>
  <c r="E4518" i="1"/>
  <c r="A4519" i="1"/>
  <c r="B4519" i="1"/>
  <c r="C4519" i="1"/>
  <c r="D4519" i="1"/>
  <c r="E4519" i="1"/>
  <c r="A4520" i="1"/>
  <c r="B4520" i="1"/>
  <c r="C4520" i="1"/>
  <c r="D4520" i="1"/>
  <c r="E4520" i="1"/>
  <c r="A4521" i="1"/>
  <c r="B4521" i="1"/>
  <c r="C4521" i="1"/>
  <c r="D4521" i="1"/>
  <c r="E4521" i="1"/>
  <c r="A4522" i="1"/>
  <c r="B4522" i="1"/>
  <c r="C4522" i="1"/>
  <c r="D4522" i="1"/>
  <c r="E4522" i="1"/>
  <c r="A4523" i="1"/>
  <c r="B4523" i="1"/>
  <c r="C4523" i="1"/>
  <c r="D4523" i="1"/>
  <c r="E4523" i="1"/>
  <c r="A4524" i="1"/>
  <c r="B4524" i="1"/>
  <c r="C4524" i="1"/>
  <c r="D4524" i="1"/>
  <c r="E4524" i="1"/>
  <c r="A4525" i="1"/>
  <c r="B4525" i="1"/>
  <c r="C4525" i="1"/>
  <c r="D4525" i="1"/>
  <c r="E4525" i="1"/>
  <c r="A4526" i="1"/>
  <c r="B4526" i="1"/>
  <c r="C4526" i="1"/>
  <c r="D4526" i="1"/>
  <c r="E4526" i="1"/>
  <c r="A4527" i="1"/>
  <c r="B4527" i="1"/>
  <c r="C4527" i="1"/>
  <c r="D4527" i="1"/>
  <c r="E4527" i="1"/>
  <c r="A4528" i="1"/>
  <c r="B4528" i="1"/>
  <c r="C4528" i="1"/>
  <c r="D4528" i="1"/>
  <c r="E4528" i="1"/>
  <c r="A4529" i="1"/>
  <c r="B4529" i="1"/>
  <c r="C4529" i="1"/>
  <c r="D4529" i="1"/>
  <c r="E4529" i="1"/>
  <c r="A4530" i="1"/>
  <c r="B4530" i="1"/>
  <c r="C4530" i="1"/>
  <c r="D4530" i="1"/>
  <c r="E4530" i="1"/>
  <c r="A4531" i="1"/>
  <c r="B4531" i="1"/>
  <c r="C4531" i="1"/>
  <c r="D4531" i="1"/>
  <c r="E4531" i="1"/>
  <c r="A4532" i="1"/>
  <c r="B4532" i="1"/>
  <c r="C4532" i="1"/>
  <c r="D4532" i="1"/>
  <c r="E4532" i="1"/>
  <c r="A4533" i="1"/>
  <c r="B4533" i="1"/>
  <c r="C4533" i="1"/>
  <c r="D4533" i="1"/>
  <c r="E4533" i="1"/>
  <c r="A4534" i="1"/>
  <c r="B4534" i="1"/>
  <c r="C4534" i="1"/>
  <c r="D4534" i="1"/>
  <c r="E4534" i="1"/>
  <c r="A4535" i="1"/>
  <c r="B4535" i="1"/>
  <c r="C4535" i="1"/>
  <c r="D4535" i="1"/>
  <c r="E4535" i="1"/>
  <c r="A4536" i="1"/>
  <c r="B4536" i="1"/>
  <c r="C4536" i="1"/>
  <c r="D4536" i="1"/>
  <c r="E4536" i="1"/>
  <c r="A4537" i="1"/>
  <c r="B4537" i="1"/>
  <c r="C4537" i="1"/>
  <c r="D4537" i="1"/>
  <c r="E4537" i="1"/>
  <c r="A4538" i="1"/>
  <c r="B4538" i="1"/>
  <c r="C4538" i="1"/>
  <c r="D4538" i="1"/>
  <c r="E4538" i="1"/>
  <c r="A4539" i="1"/>
  <c r="B4539" i="1"/>
  <c r="C4539" i="1"/>
  <c r="D4539" i="1"/>
  <c r="E4539" i="1"/>
  <c r="A4540" i="1"/>
  <c r="B4540" i="1"/>
  <c r="C4540" i="1"/>
  <c r="D4540" i="1"/>
  <c r="E4540" i="1"/>
  <c r="A4541" i="1"/>
  <c r="B4541" i="1"/>
  <c r="C4541" i="1"/>
  <c r="D4541" i="1"/>
  <c r="E4541" i="1"/>
  <c r="A4542" i="1"/>
  <c r="B4542" i="1"/>
  <c r="C4542" i="1"/>
  <c r="D4542" i="1"/>
  <c r="E4542" i="1"/>
  <c r="A4543" i="1"/>
  <c r="B4543" i="1"/>
  <c r="C4543" i="1"/>
  <c r="D4543" i="1"/>
  <c r="E4543" i="1"/>
  <c r="A4544" i="1"/>
  <c r="B4544" i="1"/>
  <c r="C4544" i="1"/>
  <c r="D4544" i="1"/>
  <c r="E4544" i="1"/>
  <c r="A4545" i="1"/>
  <c r="B4545" i="1"/>
  <c r="C4545" i="1"/>
  <c r="D4545" i="1"/>
  <c r="E4545" i="1"/>
  <c r="A4546" i="1"/>
  <c r="B4546" i="1"/>
  <c r="C4546" i="1"/>
  <c r="D4546" i="1"/>
  <c r="E4546" i="1"/>
  <c r="A4547" i="1"/>
  <c r="B4547" i="1"/>
  <c r="C4547" i="1"/>
  <c r="D4547" i="1"/>
  <c r="E4547" i="1"/>
  <c r="A4548" i="1"/>
  <c r="B4548" i="1"/>
  <c r="C4548" i="1"/>
  <c r="D4548" i="1"/>
  <c r="E4548" i="1"/>
  <c r="A4549" i="1"/>
  <c r="B4549" i="1"/>
  <c r="C4549" i="1"/>
  <c r="D4549" i="1"/>
  <c r="E4549" i="1"/>
  <c r="A4550" i="1"/>
  <c r="B4550" i="1"/>
  <c r="C4550" i="1"/>
  <c r="D4550" i="1"/>
  <c r="E4550" i="1"/>
  <c r="A4551" i="1"/>
  <c r="B4551" i="1"/>
  <c r="C4551" i="1"/>
  <c r="D4551" i="1"/>
  <c r="E4551" i="1"/>
  <c r="A4552" i="1"/>
  <c r="B4552" i="1"/>
  <c r="C4552" i="1"/>
  <c r="D4552" i="1"/>
  <c r="E4552" i="1"/>
  <c r="A4553" i="1"/>
  <c r="B4553" i="1"/>
  <c r="C4553" i="1"/>
  <c r="D4553" i="1"/>
  <c r="E4553" i="1"/>
  <c r="A4554" i="1"/>
  <c r="B4554" i="1"/>
  <c r="C4554" i="1"/>
  <c r="D4554" i="1"/>
  <c r="E4554" i="1"/>
  <c r="A4555" i="1"/>
  <c r="B4555" i="1"/>
  <c r="C4555" i="1"/>
  <c r="D4555" i="1"/>
  <c r="E4555" i="1"/>
  <c r="A4556" i="1"/>
  <c r="B4556" i="1"/>
  <c r="C4556" i="1"/>
  <c r="D4556" i="1"/>
  <c r="E4556" i="1"/>
  <c r="A4557" i="1"/>
  <c r="B4557" i="1"/>
  <c r="C4557" i="1"/>
  <c r="D4557" i="1"/>
  <c r="E4557" i="1"/>
  <c r="A4558" i="1"/>
  <c r="B4558" i="1"/>
  <c r="C4558" i="1"/>
  <c r="D4558" i="1"/>
  <c r="E4558" i="1"/>
  <c r="A4559" i="1"/>
  <c r="B4559" i="1"/>
  <c r="C4559" i="1"/>
  <c r="D4559" i="1"/>
  <c r="E4559" i="1"/>
  <c r="A4560" i="1"/>
  <c r="B4560" i="1"/>
  <c r="C4560" i="1"/>
  <c r="D4560" i="1"/>
  <c r="E4560" i="1"/>
  <c r="A4561" i="1"/>
  <c r="B4561" i="1"/>
  <c r="C4561" i="1"/>
  <c r="D4561" i="1"/>
  <c r="E4561" i="1"/>
  <c r="A4562" i="1"/>
  <c r="B4562" i="1"/>
  <c r="C4562" i="1"/>
  <c r="D4562" i="1"/>
  <c r="E4562" i="1"/>
  <c r="A4563" i="1"/>
  <c r="B4563" i="1"/>
  <c r="C4563" i="1"/>
  <c r="D4563" i="1"/>
  <c r="E4563" i="1"/>
  <c r="A4564" i="1"/>
  <c r="B4564" i="1"/>
  <c r="C4564" i="1"/>
  <c r="D4564" i="1"/>
  <c r="E4564" i="1"/>
  <c r="A4565" i="1"/>
  <c r="B4565" i="1"/>
  <c r="C4565" i="1"/>
  <c r="D4565" i="1"/>
  <c r="E4565" i="1"/>
  <c r="A4566" i="1"/>
  <c r="B4566" i="1"/>
  <c r="C4566" i="1"/>
  <c r="D4566" i="1"/>
  <c r="E4566" i="1"/>
  <c r="A4567" i="1"/>
  <c r="B4567" i="1"/>
  <c r="C4567" i="1"/>
  <c r="D4567" i="1"/>
  <c r="E4567" i="1"/>
  <c r="A4568" i="1"/>
  <c r="B4568" i="1"/>
  <c r="C4568" i="1"/>
  <c r="D4568" i="1"/>
  <c r="E4568" i="1"/>
  <c r="A4569" i="1"/>
  <c r="B4569" i="1"/>
  <c r="C4569" i="1"/>
  <c r="D4569" i="1"/>
  <c r="E4569" i="1"/>
  <c r="A4570" i="1"/>
  <c r="B4570" i="1"/>
  <c r="C4570" i="1"/>
  <c r="D4570" i="1"/>
  <c r="E4570" i="1"/>
  <c r="A4571" i="1"/>
  <c r="B4571" i="1"/>
  <c r="C4571" i="1"/>
  <c r="D4571" i="1"/>
  <c r="E4571" i="1"/>
  <c r="A4572" i="1"/>
  <c r="B4572" i="1"/>
  <c r="C4572" i="1"/>
  <c r="D4572" i="1"/>
  <c r="E4572" i="1"/>
  <c r="A4573" i="1"/>
  <c r="B4573" i="1"/>
  <c r="C4573" i="1"/>
  <c r="D4573" i="1"/>
  <c r="E4573" i="1"/>
  <c r="A4574" i="1"/>
  <c r="B4574" i="1"/>
  <c r="C4574" i="1"/>
  <c r="D4574" i="1"/>
  <c r="E4574" i="1"/>
  <c r="A4575" i="1"/>
  <c r="B4575" i="1"/>
  <c r="C4575" i="1"/>
  <c r="D4575" i="1"/>
  <c r="E4575" i="1"/>
  <c r="A4576" i="1"/>
  <c r="B4576" i="1"/>
  <c r="C4576" i="1"/>
  <c r="D4576" i="1"/>
  <c r="E4576" i="1"/>
  <c r="A4577" i="1"/>
  <c r="B4577" i="1"/>
  <c r="C4577" i="1"/>
  <c r="D4577" i="1"/>
  <c r="E4577" i="1"/>
  <c r="A4578" i="1"/>
  <c r="B4578" i="1"/>
  <c r="C4578" i="1"/>
  <c r="D4578" i="1"/>
  <c r="E4578" i="1"/>
  <c r="A4579" i="1"/>
  <c r="B4579" i="1"/>
  <c r="C4579" i="1"/>
  <c r="D4579" i="1"/>
  <c r="E4579" i="1"/>
  <c r="A4580" i="1"/>
  <c r="B4580" i="1"/>
  <c r="C4580" i="1"/>
  <c r="D4580" i="1"/>
  <c r="E4580" i="1"/>
  <c r="A4581" i="1"/>
  <c r="B4581" i="1"/>
  <c r="C4581" i="1"/>
  <c r="D4581" i="1"/>
  <c r="E4581" i="1"/>
  <c r="A4582" i="1"/>
  <c r="B4582" i="1"/>
  <c r="C4582" i="1"/>
  <c r="D4582" i="1"/>
  <c r="E4582" i="1"/>
  <c r="A4583" i="1"/>
  <c r="B4583" i="1"/>
  <c r="C4583" i="1"/>
  <c r="D4583" i="1"/>
  <c r="E4583" i="1"/>
  <c r="A4584" i="1"/>
  <c r="B4584" i="1"/>
  <c r="C4584" i="1"/>
  <c r="D4584" i="1"/>
  <c r="E4584" i="1"/>
  <c r="A4585" i="1"/>
  <c r="B4585" i="1"/>
  <c r="C4585" i="1"/>
  <c r="D4585" i="1"/>
  <c r="E4585" i="1"/>
  <c r="A4586" i="1"/>
  <c r="B4586" i="1"/>
  <c r="C4586" i="1"/>
  <c r="D4586" i="1"/>
  <c r="E4586" i="1"/>
  <c r="A4587" i="1"/>
  <c r="B4587" i="1"/>
  <c r="C4587" i="1"/>
  <c r="D4587" i="1"/>
  <c r="E4587" i="1"/>
  <c r="A4588" i="1"/>
  <c r="B4588" i="1"/>
  <c r="C4588" i="1"/>
  <c r="D4588" i="1"/>
  <c r="E4588" i="1"/>
  <c r="A4589" i="1"/>
  <c r="B4589" i="1"/>
  <c r="C4589" i="1"/>
  <c r="D4589" i="1"/>
  <c r="E4589" i="1"/>
  <c r="A4590" i="1"/>
  <c r="B4590" i="1"/>
  <c r="C4590" i="1"/>
  <c r="D4590" i="1"/>
  <c r="E4590" i="1"/>
  <c r="A4591" i="1"/>
  <c r="B4591" i="1"/>
  <c r="C4591" i="1"/>
  <c r="D4591" i="1"/>
  <c r="E4591" i="1"/>
  <c r="A4592" i="1"/>
  <c r="B4592" i="1"/>
  <c r="C4592" i="1"/>
  <c r="D4592" i="1"/>
  <c r="E4592" i="1"/>
  <c r="A4593" i="1"/>
  <c r="B4593" i="1"/>
  <c r="C4593" i="1"/>
  <c r="D4593" i="1"/>
  <c r="E4593" i="1"/>
  <c r="A4594" i="1"/>
  <c r="B4594" i="1"/>
  <c r="C4594" i="1"/>
  <c r="D4594" i="1"/>
  <c r="E4594" i="1"/>
  <c r="A4595" i="1"/>
  <c r="B4595" i="1"/>
  <c r="C4595" i="1"/>
  <c r="D4595" i="1"/>
  <c r="E4595" i="1"/>
  <c r="A4596" i="1"/>
  <c r="B4596" i="1"/>
  <c r="C4596" i="1"/>
  <c r="D4596" i="1"/>
  <c r="E4596" i="1"/>
  <c r="A4597" i="1"/>
  <c r="B4597" i="1"/>
  <c r="C4597" i="1"/>
  <c r="D4597" i="1"/>
  <c r="E4597" i="1"/>
  <c r="A4598" i="1"/>
  <c r="B4598" i="1"/>
  <c r="C4598" i="1"/>
  <c r="D4598" i="1"/>
  <c r="E4598" i="1"/>
  <c r="A4599" i="1"/>
  <c r="B4599" i="1"/>
  <c r="C4599" i="1"/>
  <c r="D4599" i="1"/>
  <c r="E4599" i="1"/>
  <c r="A4600" i="1"/>
  <c r="B4600" i="1"/>
  <c r="C4600" i="1"/>
  <c r="D4600" i="1"/>
  <c r="E4600" i="1"/>
  <c r="A4601" i="1"/>
  <c r="B4601" i="1"/>
  <c r="C4601" i="1"/>
  <c r="D4601" i="1"/>
  <c r="E4601" i="1"/>
  <c r="A4602" i="1"/>
  <c r="B4602" i="1"/>
  <c r="C4602" i="1"/>
  <c r="D4602" i="1"/>
  <c r="E4602" i="1"/>
  <c r="A4603" i="1"/>
  <c r="B4603" i="1"/>
  <c r="C4603" i="1"/>
  <c r="D4603" i="1"/>
  <c r="E4603" i="1"/>
  <c r="A4604" i="1"/>
  <c r="B4604" i="1"/>
  <c r="C4604" i="1"/>
  <c r="D4604" i="1"/>
  <c r="E4604" i="1"/>
  <c r="A4605" i="1"/>
  <c r="B4605" i="1"/>
  <c r="C4605" i="1"/>
  <c r="D4605" i="1"/>
  <c r="E4605" i="1"/>
  <c r="A4606" i="1"/>
  <c r="B4606" i="1"/>
  <c r="C4606" i="1"/>
  <c r="D4606" i="1"/>
  <c r="E4606" i="1"/>
  <c r="A4607" i="1"/>
  <c r="B4607" i="1"/>
  <c r="C4607" i="1"/>
  <c r="D4607" i="1"/>
  <c r="E4607" i="1"/>
  <c r="A4608" i="1"/>
  <c r="B4608" i="1"/>
  <c r="C4608" i="1"/>
  <c r="D4608" i="1"/>
  <c r="E4608" i="1"/>
  <c r="A4609" i="1"/>
  <c r="B4609" i="1"/>
  <c r="C4609" i="1"/>
  <c r="D4609" i="1"/>
  <c r="E4609" i="1"/>
  <c r="A4610" i="1"/>
  <c r="B4610" i="1"/>
  <c r="C4610" i="1"/>
  <c r="D4610" i="1"/>
  <c r="E4610" i="1"/>
  <c r="A4611" i="1"/>
  <c r="B4611" i="1"/>
  <c r="C4611" i="1"/>
  <c r="D4611" i="1"/>
  <c r="E4611" i="1"/>
  <c r="A4612" i="1"/>
  <c r="B4612" i="1"/>
  <c r="C4612" i="1"/>
  <c r="D4612" i="1"/>
  <c r="E4612" i="1"/>
  <c r="A4613" i="1"/>
  <c r="B4613" i="1"/>
  <c r="C4613" i="1"/>
  <c r="D4613" i="1"/>
  <c r="E4613" i="1"/>
  <c r="A4614" i="1"/>
  <c r="B4614" i="1"/>
  <c r="C4614" i="1"/>
  <c r="D4614" i="1"/>
  <c r="E4614" i="1"/>
  <c r="A4615" i="1"/>
  <c r="B4615" i="1"/>
  <c r="C4615" i="1"/>
  <c r="D4615" i="1"/>
  <c r="E4615" i="1"/>
  <c r="A4616" i="1"/>
  <c r="B4616" i="1"/>
  <c r="C4616" i="1"/>
  <c r="D4616" i="1"/>
  <c r="E4616" i="1"/>
  <c r="A4617" i="1"/>
  <c r="B4617" i="1"/>
  <c r="C4617" i="1"/>
  <c r="D4617" i="1"/>
  <c r="E4617" i="1"/>
  <c r="A4618" i="1"/>
  <c r="B4618" i="1"/>
  <c r="C4618" i="1"/>
  <c r="D4618" i="1"/>
  <c r="E4618" i="1"/>
  <c r="A4619" i="1"/>
  <c r="B4619" i="1"/>
  <c r="C4619" i="1"/>
  <c r="D4619" i="1"/>
  <c r="E4619" i="1"/>
  <c r="A4620" i="1"/>
  <c r="B4620" i="1"/>
  <c r="C4620" i="1"/>
  <c r="D4620" i="1"/>
  <c r="E4620" i="1"/>
  <c r="A4621" i="1"/>
  <c r="B4621" i="1"/>
  <c r="C4621" i="1"/>
  <c r="D4621" i="1"/>
  <c r="E4621" i="1"/>
  <c r="A4622" i="1"/>
  <c r="B4622" i="1"/>
  <c r="C4622" i="1"/>
  <c r="D4622" i="1"/>
  <c r="E4622" i="1"/>
  <c r="A4623" i="1"/>
  <c r="B4623" i="1"/>
  <c r="C4623" i="1"/>
  <c r="D4623" i="1"/>
  <c r="E4623" i="1"/>
  <c r="A4624" i="1"/>
  <c r="B4624" i="1"/>
  <c r="C4624" i="1"/>
  <c r="D4624" i="1"/>
  <c r="E4624" i="1"/>
  <c r="A4625" i="1"/>
  <c r="B4625" i="1"/>
  <c r="C4625" i="1"/>
  <c r="D4625" i="1"/>
  <c r="E4625" i="1"/>
  <c r="A4626" i="1"/>
  <c r="B4626" i="1"/>
  <c r="C4626" i="1"/>
  <c r="D4626" i="1"/>
  <c r="E4626" i="1"/>
  <c r="A4627" i="1"/>
  <c r="B4627" i="1"/>
  <c r="C4627" i="1"/>
  <c r="D4627" i="1"/>
  <c r="E4627" i="1"/>
  <c r="A4628" i="1"/>
  <c r="B4628" i="1"/>
  <c r="C4628" i="1"/>
  <c r="D4628" i="1"/>
  <c r="E4628" i="1"/>
  <c r="A4629" i="1"/>
  <c r="B4629" i="1"/>
  <c r="C4629" i="1"/>
  <c r="D4629" i="1"/>
  <c r="E4629" i="1"/>
  <c r="A4630" i="1"/>
  <c r="B4630" i="1"/>
  <c r="C4630" i="1"/>
  <c r="D4630" i="1"/>
  <c r="E4630" i="1"/>
  <c r="A4631" i="1"/>
  <c r="B4631" i="1"/>
  <c r="C4631" i="1"/>
  <c r="D4631" i="1"/>
  <c r="E4631" i="1"/>
  <c r="A4632" i="1"/>
  <c r="B4632" i="1"/>
  <c r="C4632" i="1"/>
  <c r="D4632" i="1"/>
  <c r="E4632" i="1"/>
  <c r="A4633" i="1"/>
  <c r="B4633" i="1"/>
  <c r="C4633" i="1"/>
  <c r="D4633" i="1"/>
  <c r="E4633" i="1"/>
  <c r="A4634" i="1"/>
  <c r="B4634" i="1"/>
  <c r="C4634" i="1"/>
  <c r="D4634" i="1"/>
  <c r="E4634" i="1"/>
  <c r="A4635" i="1"/>
  <c r="B4635" i="1"/>
  <c r="C4635" i="1"/>
  <c r="D4635" i="1"/>
  <c r="E4635" i="1"/>
  <c r="A4636" i="1"/>
  <c r="B4636" i="1"/>
  <c r="C4636" i="1"/>
  <c r="D4636" i="1"/>
  <c r="E4636" i="1"/>
  <c r="A4637" i="1"/>
  <c r="B4637" i="1"/>
  <c r="C4637" i="1"/>
  <c r="D4637" i="1"/>
  <c r="E4637" i="1"/>
  <c r="A4638" i="1"/>
  <c r="B4638" i="1"/>
  <c r="C4638" i="1"/>
  <c r="D4638" i="1"/>
  <c r="E4638" i="1"/>
  <c r="A4639" i="1"/>
  <c r="B4639" i="1"/>
  <c r="C4639" i="1"/>
  <c r="D4639" i="1"/>
  <c r="E4639" i="1"/>
  <c r="A4640" i="1"/>
  <c r="B4640" i="1"/>
  <c r="C4640" i="1"/>
  <c r="D4640" i="1"/>
  <c r="E4640" i="1"/>
  <c r="A4641" i="1"/>
  <c r="B4641" i="1"/>
  <c r="C4641" i="1"/>
  <c r="D4641" i="1"/>
  <c r="E4641" i="1"/>
  <c r="A4642" i="1"/>
  <c r="B4642" i="1"/>
  <c r="C4642" i="1"/>
  <c r="D4642" i="1"/>
  <c r="E4642" i="1"/>
  <c r="A4643" i="1"/>
  <c r="B4643" i="1"/>
  <c r="C4643" i="1"/>
  <c r="D4643" i="1"/>
  <c r="E4643" i="1"/>
  <c r="A4644" i="1"/>
  <c r="B4644" i="1"/>
  <c r="C4644" i="1"/>
  <c r="D4644" i="1"/>
  <c r="E4644" i="1"/>
  <c r="A4645" i="1"/>
  <c r="B4645" i="1"/>
  <c r="C4645" i="1"/>
  <c r="D4645" i="1"/>
  <c r="E4645" i="1"/>
  <c r="A4646" i="1"/>
  <c r="B4646" i="1"/>
  <c r="C4646" i="1"/>
  <c r="D4646" i="1"/>
  <c r="E4646" i="1"/>
  <c r="A4647" i="1"/>
  <c r="B4647" i="1"/>
  <c r="C4647" i="1"/>
  <c r="D4647" i="1"/>
  <c r="E4647" i="1"/>
  <c r="A4648" i="1"/>
  <c r="B4648" i="1"/>
  <c r="C4648" i="1"/>
  <c r="D4648" i="1"/>
  <c r="E4648" i="1"/>
  <c r="A4649" i="1"/>
  <c r="B4649" i="1"/>
  <c r="C4649" i="1"/>
  <c r="D4649" i="1"/>
  <c r="E4649" i="1"/>
  <c r="A4650" i="1"/>
  <c r="B4650" i="1"/>
  <c r="C4650" i="1"/>
  <c r="D4650" i="1"/>
  <c r="E4650" i="1"/>
  <c r="A4651" i="1"/>
  <c r="B4651" i="1"/>
  <c r="C4651" i="1"/>
  <c r="D4651" i="1"/>
  <c r="E4651" i="1"/>
  <c r="A4652" i="1"/>
  <c r="B4652" i="1"/>
  <c r="C4652" i="1"/>
  <c r="D4652" i="1"/>
  <c r="E4652" i="1"/>
  <c r="A4653" i="1"/>
  <c r="B4653" i="1"/>
  <c r="C4653" i="1"/>
  <c r="D4653" i="1"/>
  <c r="E4653" i="1"/>
  <c r="A4654" i="1"/>
  <c r="B4654" i="1"/>
  <c r="C4654" i="1"/>
  <c r="D4654" i="1"/>
  <c r="E4654" i="1"/>
  <c r="A4655" i="1"/>
  <c r="B4655" i="1"/>
  <c r="C4655" i="1"/>
  <c r="D4655" i="1"/>
  <c r="E4655" i="1"/>
  <c r="A4656" i="1"/>
  <c r="B4656" i="1"/>
  <c r="C4656" i="1"/>
  <c r="D4656" i="1"/>
  <c r="E4656" i="1"/>
  <c r="A4657" i="1"/>
  <c r="B4657" i="1"/>
  <c r="C4657" i="1"/>
  <c r="D4657" i="1"/>
  <c r="E4657" i="1"/>
  <c r="A4658" i="1"/>
  <c r="B4658" i="1"/>
  <c r="C4658" i="1"/>
  <c r="D4658" i="1"/>
  <c r="E4658" i="1"/>
  <c r="A4659" i="1"/>
  <c r="B4659" i="1"/>
  <c r="C4659" i="1"/>
  <c r="D4659" i="1"/>
  <c r="E4659" i="1"/>
  <c r="A4660" i="1"/>
  <c r="B4660" i="1"/>
  <c r="C4660" i="1"/>
  <c r="D4660" i="1"/>
  <c r="E4660" i="1"/>
  <c r="A4661" i="1"/>
  <c r="B4661" i="1"/>
  <c r="C4661" i="1"/>
  <c r="D4661" i="1"/>
  <c r="E4661" i="1"/>
  <c r="A4662" i="1"/>
  <c r="B4662" i="1"/>
  <c r="C4662" i="1"/>
  <c r="D4662" i="1"/>
  <c r="E4662" i="1"/>
  <c r="A4663" i="1"/>
  <c r="B4663" i="1"/>
  <c r="C4663" i="1"/>
  <c r="D4663" i="1"/>
  <c r="E4663" i="1"/>
  <c r="A4664" i="1"/>
  <c r="B4664" i="1"/>
  <c r="C4664" i="1"/>
  <c r="D4664" i="1"/>
  <c r="E4664" i="1"/>
  <c r="A4665" i="1"/>
  <c r="B4665" i="1"/>
  <c r="C4665" i="1"/>
  <c r="D4665" i="1"/>
  <c r="E4665" i="1"/>
  <c r="A4666" i="1"/>
  <c r="B4666" i="1"/>
  <c r="C4666" i="1"/>
  <c r="D4666" i="1"/>
  <c r="E4666" i="1"/>
  <c r="A4667" i="1"/>
  <c r="B4667" i="1"/>
  <c r="C4667" i="1"/>
  <c r="D4667" i="1"/>
  <c r="E4667" i="1"/>
  <c r="A4668" i="1"/>
  <c r="B4668" i="1"/>
  <c r="C4668" i="1"/>
  <c r="D4668" i="1"/>
  <c r="E4668" i="1"/>
  <c r="A4669" i="1"/>
  <c r="B4669" i="1"/>
  <c r="C4669" i="1"/>
  <c r="D4669" i="1"/>
  <c r="E4669" i="1"/>
  <c r="A4670" i="1"/>
  <c r="B4670" i="1"/>
  <c r="C4670" i="1"/>
  <c r="D4670" i="1"/>
  <c r="E4670" i="1"/>
  <c r="A4671" i="1"/>
  <c r="B4671" i="1"/>
  <c r="C4671" i="1"/>
  <c r="D4671" i="1"/>
  <c r="E4671" i="1"/>
  <c r="A4672" i="1"/>
  <c r="B4672" i="1"/>
  <c r="C4672" i="1"/>
  <c r="D4672" i="1"/>
  <c r="E4672" i="1"/>
  <c r="A4673" i="1"/>
  <c r="B4673" i="1"/>
  <c r="C4673" i="1"/>
  <c r="D4673" i="1"/>
  <c r="E4673" i="1"/>
  <c r="A4674" i="1"/>
  <c r="B4674" i="1"/>
  <c r="C4674" i="1"/>
  <c r="D4674" i="1"/>
  <c r="E4674" i="1"/>
  <c r="A4675" i="1"/>
  <c r="B4675" i="1"/>
  <c r="C4675" i="1"/>
  <c r="D4675" i="1"/>
  <c r="E4675" i="1"/>
  <c r="A4676" i="1"/>
  <c r="B4676" i="1"/>
  <c r="C4676" i="1"/>
  <c r="D4676" i="1"/>
  <c r="E4676" i="1"/>
  <c r="A4677" i="1"/>
  <c r="B4677" i="1"/>
  <c r="C4677" i="1"/>
  <c r="D4677" i="1"/>
  <c r="E4677" i="1"/>
  <c r="A4678" i="1"/>
  <c r="B4678" i="1"/>
  <c r="C4678" i="1"/>
  <c r="D4678" i="1"/>
  <c r="E4678" i="1"/>
  <c r="A4679" i="1"/>
  <c r="B4679" i="1"/>
  <c r="C4679" i="1"/>
  <c r="D4679" i="1"/>
  <c r="E4679" i="1"/>
  <c r="A4680" i="1"/>
  <c r="B4680" i="1"/>
  <c r="C4680" i="1"/>
  <c r="D4680" i="1"/>
  <c r="E4680" i="1"/>
  <c r="A4681" i="1"/>
  <c r="B4681" i="1"/>
  <c r="C4681" i="1"/>
  <c r="D4681" i="1"/>
  <c r="E4681" i="1"/>
  <c r="A4682" i="1"/>
  <c r="B4682" i="1"/>
  <c r="C4682" i="1"/>
  <c r="D4682" i="1"/>
  <c r="E4682" i="1"/>
  <c r="A4683" i="1"/>
  <c r="B4683" i="1"/>
  <c r="C4683" i="1"/>
  <c r="D4683" i="1"/>
  <c r="E4683" i="1"/>
  <c r="A4684" i="1"/>
  <c r="B4684" i="1"/>
  <c r="C4684" i="1"/>
  <c r="D4684" i="1"/>
  <c r="E4684" i="1"/>
  <c r="A4685" i="1"/>
  <c r="B4685" i="1"/>
  <c r="C4685" i="1"/>
  <c r="D4685" i="1"/>
  <c r="E4685" i="1"/>
  <c r="A4686" i="1"/>
  <c r="B4686" i="1"/>
  <c r="C4686" i="1"/>
  <c r="D4686" i="1"/>
  <c r="E4686" i="1"/>
  <c r="A4687" i="1"/>
  <c r="B4687" i="1"/>
  <c r="C4687" i="1"/>
  <c r="D4687" i="1"/>
  <c r="E4687" i="1"/>
  <c r="A4688" i="1"/>
  <c r="B4688" i="1"/>
  <c r="C4688" i="1"/>
  <c r="D4688" i="1"/>
  <c r="E4688" i="1"/>
  <c r="A4689" i="1"/>
  <c r="B4689" i="1"/>
  <c r="C4689" i="1"/>
  <c r="D4689" i="1"/>
  <c r="E4689" i="1"/>
  <c r="A4690" i="1"/>
  <c r="B4690" i="1"/>
  <c r="C4690" i="1"/>
  <c r="D4690" i="1"/>
  <c r="E4690" i="1"/>
  <c r="A4691" i="1"/>
  <c r="B4691" i="1"/>
  <c r="C4691" i="1"/>
  <c r="D4691" i="1"/>
  <c r="E4691" i="1"/>
  <c r="A4692" i="1"/>
  <c r="B4692" i="1"/>
  <c r="C4692" i="1"/>
  <c r="D4692" i="1"/>
  <c r="E4692" i="1"/>
  <c r="A4693" i="1"/>
  <c r="B4693" i="1"/>
  <c r="C4693" i="1"/>
  <c r="D4693" i="1"/>
  <c r="E4693" i="1"/>
  <c r="A4694" i="1"/>
  <c r="B4694" i="1"/>
  <c r="C4694" i="1"/>
  <c r="D4694" i="1"/>
  <c r="E4694" i="1"/>
  <c r="A4695" i="1"/>
  <c r="B4695" i="1"/>
  <c r="C4695" i="1"/>
  <c r="D4695" i="1"/>
  <c r="E4695" i="1"/>
  <c r="A4696" i="1"/>
  <c r="B4696" i="1"/>
  <c r="C4696" i="1"/>
  <c r="D4696" i="1"/>
  <c r="E4696" i="1"/>
  <c r="A4697" i="1"/>
  <c r="B4697" i="1"/>
  <c r="C4697" i="1"/>
  <c r="D4697" i="1"/>
  <c r="E4697" i="1"/>
  <c r="A4698" i="1"/>
  <c r="B4698" i="1"/>
  <c r="C4698" i="1"/>
  <c r="D4698" i="1"/>
  <c r="E4698" i="1"/>
  <c r="A4699" i="1"/>
  <c r="B4699" i="1"/>
  <c r="C4699" i="1"/>
  <c r="D4699" i="1"/>
  <c r="E4699" i="1"/>
  <c r="A4700" i="1"/>
  <c r="B4700" i="1"/>
  <c r="C4700" i="1"/>
  <c r="D4700" i="1"/>
  <c r="E4700" i="1"/>
  <c r="A4701" i="1"/>
  <c r="B4701" i="1"/>
  <c r="C4701" i="1"/>
  <c r="D4701" i="1"/>
  <c r="E4701" i="1"/>
  <c r="A4702" i="1"/>
  <c r="B4702" i="1"/>
  <c r="C4702" i="1"/>
  <c r="D4702" i="1"/>
  <c r="E4702" i="1"/>
  <c r="A4703" i="1"/>
  <c r="B4703" i="1"/>
  <c r="C4703" i="1"/>
  <c r="D4703" i="1"/>
  <c r="E4703" i="1"/>
  <c r="A4704" i="1"/>
  <c r="B4704" i="1"/>
  <c r="C4704" i="1"/>
  <c r="D4704" i="1"/>
  <c r="E4704" i="1"/>
  <c r="A4705" i="1"/>
  <c r="B4705" i="1"/>
  <c r="C4705" i="1"/>
  <c r="D4705" i="1"/>
  <c r="E4705" i="1"/>
  <c r="A4706" i="1"/>
  <c r="B4706" i="1"/>
  <c r="C4706" i="1"/>
  <c r="D4706" i="1"/>
  <c r="E4706" i="1"/>
  <c r="A4707" i="1"/>
  <c r="B4707" i="1"/>
  <c r="C4707" i="1"/>
  <c r="D4707" i="1"/>
  <c r="E4707" i="1"/>
  <c r="A4708" i="1"/>
  <c r="B4708" i="1"/>
  <c r="C4708" i="1"/>
  <c r="D4708" i="1"/>
  <c r="E4708" i="1"/>
  <c r="A4709" i="1"/>
  <c r="B4709" i="1"/>
  <c r="C4709" i="1"/>
  <c r="D4709" i="1"/>
  <c r="E4709" i="1"/>
  <c r="A4710" i="1"/>
  <c r="B4710" i="1"/>
  <c r="C4710" i="1"/>
  <c r="D4710" i="1"/>
  <c r="E4710" i="1"/>
  <c r="A4711" i="1"/>
  <c r="B4711" i="1"/>
  <c r="C4711" i="1"/>
  <c r="D4711" i="1"/>
  <c r="E4711" i="1"/>
  <c r="A4712" i="1"/>
  <c r="B4712" i="1"/>
  <c r="C4712" i="1"/>
  <c r="D4712" i="1"/>
  <c r="E4712" i="1"/>
  <c r="A4713" i="1"/>
  <c r="B4713" i="1"/>
  <c r="C4713" i="1"/>
  <c r="D4713" i="1"/>
  <c r="E4713" i="1"/>
  <c r="A4714" i="1"/>
  <c r="B4714" i="1"/>
  <c r="C4714" i="1"/>
  <c r="D4714" i="1"/>
  <c r="E4714" i="1"/>
  <c r="A4715" i="1"/>
  <c r="B4715" i="1"/>
  <c r="C4715" i="1"/>
  <c r="D4715" i="1"/>
  <c r="E4715" i="1"/>
  <c r="A4716" i="1"/>
  <c r="B4716" i="1"/>
  <c r="C4716" i="1"/>
  <c r="D4716" i="1"/>
  <c r="E4716" i="1"/>
  <c r="A4717" i="1"/>
  <c r="B4717" i="1"/>
  <c r="C4717" i="1"/>
  <c r="D4717" i="1"/>
  <c r="E4717" i="1"/>
  <c r="A4718" i="1"/>
  <c r="B4718" i="1"/>
  <c r="C4718" i="1"/>
  <c r="D4718" i="1"/>
  <c r="E4718" i="1"/>
  <c r="A4719" i="1"/>
  <c r="B4719" i="1"/>
  <c r="C4719" i="1"/>
  <c r="D4719" i="1"/>
  <c r="E4719" i="1"/>
  <c r="A4720" i="1"/>
  <c r="B4720" i="1"/>
  <c r="C4720" i="1"/>
  <c r="D4720" i="1"/>
  <c r="E4720" i="1"/>
  <c r="A4721" i="1"/>
  <c r="B4721" i="1"/>
  <c r="C4721" i="1"/>
  <c r="D4721" i="1"/>
  <c r="E4721" i="1"/>
  <c r="A4722" i="1"/>
  <c r="B4722" i="1"/>
  <c r="C4722" i="1"/>
  <c r="D4722" i="1"/>
  <c r="E4722" i="1"/>
  <c r="A4723" i="1"/>
  <c r="B4723" i="1"/>
  <c r="C4723" i="1"/>
  <c r="D4723" i="1"/>
  <c r="E4723" i="1"/>
  <c r="A4724" i="1"/>
  <c r="B4724" i="1"/>
  <c r="C4724" i="1"/>
  <c r="D4724" i="1"/>
  <c r="E4724" i="1"/>
  <c r="A4725" i="1"/>
  <c r="B4725" i="1"/>
  <c r="C4725" i="1"/>
  <c r="D4725" i="1"/>
  <c r="E4725" i="1"/>
  <c r="A4726" i="1"/>
  <c r="B4726" i="1"/>
  <c r="C4726" i="1"/>
  <c r="D4726" i="1"/>
  <c r="E4726" i="1"/>
  <c r="A4727" i="1"/>
  <c r="B4727" i="1"/>
  <c r="C4727" i="1"/>
  <c r="D4727" i="1"/>
  <c r="E4727" i="1"/>
  <c r="A4728" i="1"/>
  <c r="B4728" i="1"/>
  <c r="C4728" i="1"/>
  <c r="D4728" i="1"/>
  <c r="E4728" i="1"/>
  <c r="A4729" i="1"/>
  <c r="B4729" i="1"/>
  <c r="C4729" i="1"/>
  <c r="D4729" i="1"/>
  <c r="E4729" i="1"/>
  <c r="A4730" i="1"/>
  <c r="B4730" i="1"/>
  <c r="C4730" i="1"/>
  <c r="D4730" i="1"/>
  <c r="E4730" i="1"/>
  <c r="A4731" i="1"/>
  <c r="B4731" i="1"/>
  <c r="C4731" i="1"/>
  <c r="D4731" i="1"/>
  <c r="E4731" i="1"/>
  <c r="A4732" i="1"/>
  <c r="B4732" i="1"/>
  <c r="C4732" i="1"/>
  <c r="D4732" i="1"/>
  <c r="E4732" i="1"/>
  <c r="A4733" i="1"/>
  <c r="B4733" i="1"/>
  <c r="C4733" i="1"/>
  <c r="D4733" i="1"/>
  <c r="E4733" i="1"/>
  <c r="A4734" i="1"/>
  <c r="B4734" i="1"/>
  <c r="C4734" i="1"/>
  <c r="D4734" i="1"/>
  <c r="E4734" i="1"/>
  <c r="A4735" i="1"/>
  <c r="B4735" i="1"/>
  <c r="C4735" i="1"/>
  <c r="D4735" i="1"/>
  <c r="E4735" i="1"/>
  <c r="A4736" i="1"/>
  <c r="B4736" i="1"/>
  <c r="C4736" i="1"/>
  <c r="D4736" i="1"/>
  <c r="E4736" i="1"/>
  <c r="A4737" i="1"/>
  <c r="B4737" i="1"/>
  <c r="C4737" i="1"/>
  <c r="D4737" i="1"/>
  <c r="E4737" i="1"/>
  <c r="A4738" i="1"/>
  <c r="B4738" i="1"/>
  <c r="C4738" i="1"/>
  <c r="D4738" i="1"/>
  <c r="E4738" i="1"/>
  <c r="A4739" i="1"/>
  <c r="B4739" i="1"/>
  <c r="C4739" i="1"/>
  <c r="D4739" i="1"/>
  <c r="E4739" i="1"/>
  <c r="A4740" i="1"/>
  <c r="B4740" i="1"/>
  <c r="C4740" i="1"/>
  <c r="D4740" i="1"/>
  <c r="E4740" i="1"/>
  <c r="A4741" i="1"/>
  <c r="B4741" i="1"/>
  <c r="C4741" i="1"/>
  <c r="D4741" i="1"/>
  <c r="E4741" i="1"/>
  <c r="A4742" i="1"/>
  <c r="B4742" i="1"/>
  <c r="C4742" i="1"/>
  <c r="D4742" i="1"/>
  <c r="E4742" i="1"/>
  <c r="A4743" i="1"/>
  <c r="B4743" i="1"/>
  <c r="C4743" i="1"/>
  <c r="D4743" i="1"/>
  <c r="E4743" i="1"/>
  <c r="A4744" i="1"/>
  <c r="B4744" i="1"/>
  <c r="C4744" i="1"/>
  <c r="D4744" i="1"/>
  <c r="E4744" i="1"/>
  <c r="A4745" i="1"/>
  <c r="B4745" i="1"/>
  <c r="C4745" i="1"/>
  <c r="D4745" i="1"/>
  <c r="E4745" i="1"/>
  <c r="A4746" i="1"/>
  <c r="B4746" i="1"/>
  <c r="C4746" i="1"/>
  <c r="D4746" i="1"/>
  <c r="E4746" i="1"/>
  <c r="A4747" i="1"/>
  <c r="B4747" i="1"/>
  <c r="C4747" i="1"/>
  <c r="D4747" i="1"/>
  <c r="E4747" i="1"/>
  <c r="A4748" i="1"/>
  <c r="B4748" i="1"/>
  <c r="C4748" i="1"/>
  <c r="D4748" i="1"/>
  <c r="E4748" i="1"/>
  <c r="A4749" i="1"/>
  <c r="B4749" i="1"/>
  <c r="C4749" i="1"/>
  <c r="D4749" i="1"/>
  <c r="E4749" i="1"/>
  <c r="A4750" i="1"/>
  <c r="B4750" i="1"/>
  <c r="C4750" i="1"/>
  <c r="D4750" i="1"/>
  <c r="E4750" i="1"/>
  <c r="A4751" i="1"/>
  <c r="B4751" i="1"/>
  <c r="C4751" i="1"/>
  <c r="D4751" i="1"/>
  <c r="E4751" i="1"/>
  <c r="A4752" i="1"/>
  <c r="B4752" i="1"/>
  <c r="C4752" i="1"/>
  <c r="D4752" i="1"/>
  <c r="E4752" i="1"/>
  <c r="A4753" i="1"/>
  <c r="B4753" i="1"/>
  <c r="C4753" i="1"/>
  <c r="D4753" i="1"/>
  <c r="E4753" i="1"/>
  <c r="A4754" i="1"/>
  <c r="B4754" i="1"/>
  <c r="C4754" i="1"/>
  <c r="D4754" i="1"/>
  <c r="E4754" i="1"/>
  <c r="A4755" i="1"/>
  <c r="B4755" i="1"/>
  <c r="C4755" i="1"/>
  <c r="D4755" i="1"/>
  <c r="E4755" i="1"/>
  <c r="A4756" i="1"/>
  <c r="B4756" i="1"/>
  <c r="C4756" i="1"/>
  <c r="D4756" i="1"/>
  <c r="E4756" i="1"/>
  <c r="A4757" i="1"/>
  <c r="B4757" i="1"/>
  <c r="C4757" i="1"/>
  <c r="D4757" i="1"/>
  <c r="E4757" i="1"/>
  <c r="A4758" i="1"/>
  <c r="B4758" i="1"/>
  <c r="C4758" i="1"/>
  <c r="D4758" i="1"/>
  <c r="E4758" i="1"/>
  <c r="A4759" i="1"/>
  <c r="B4759" i="1"/>
  <c r="C4759" i="1"/>
  <c r="D4759" i="1"/>
  <c r="E4759" i="1"/>
  <c r="A4760" i="1"/>
  <c r="B4760" i="1"/>
  <c r="C4760" i="1"/>
  <c r="D4760" i="1"/>
  <c r="E4760" i="1"/>
  <c r="A4761" i="1"/>
  <c r="B4761" i="1"/>
  <c r="C4761" i="1"/>
  <c r="D4761" i="1"/>
  <c r="E4761" i="1"/>
  <c r="A4762" i="1"/>
  <c r="B4762" i="1"/>
  <c r="C4762" i="1"/>
  <c r="D4762" i="1"/>
  <c r="E4762" i="1"/>
  <c r="A4763" i="1"/>
  <c r="B4763" i="1"/>
  <c r="C4763" i="1"/>
  <c r="D4763" i="1"/>
  <c r="E4763" i="1"/>
  <c r="A4764" i="1"/>
  <c r="B4764" i="1"/>
  <c r="C4764" i="1"/>
  <c r="D4764" i="1"/>
  <c r="E4764" i="1"/>
  <c r="A4765" i="1"/>
  <c r="B4765" i="1"/>
  <c r="C4765" i="1"/>
  <c r="D4765" i="1"/>
  <c r="E4765" i="1"/>
  <c r="A4766" i="1"/>
  <c r="B4766" i="1"/>
  <c r="C4766" i="1"/>
  <c r="D4766" i="1"/>
  <c r="E4766" i="1"/>
  <c r="A4767" i="1"/>
  <c r="B4767" i="1"/>
  <c r="C4767" i="1"/>
  <c r="D4767" i="1"/>
  <c r="E4767" i="1"/>
  <c r="A4768" i="1"/>
  <c r="B4768" i="1"/>
  <c r="C4768" i="1"/>
  <c r="D4768" i="1"/>
  <c r="E4768" i="1"/>
  <c r="A4769" i="1"/>
  <c r="B4769" i="1"/>
  <c r="C4769" i="1"/>
  <c r="D4769" i="1"/>
  <c r="E4769" i="1"/>
  <c r="A4770" i="1"/>
  <c r="B4770" i="1"/>
  <c r="C4770" i="1"/>
  <c r="D4770" i="1"/>
  <c r="E4770" i="1"/>
  <c r="A4771" i="1"/>
  <c r="B4771" i="1"/>
  <c r="C4771" i="1"/>
  <c r="D4771" i="1"/>
  <c r="E4771" i="1"/>
  <c r="A4772" i="1"/>
  <c r="B4772" i="1"/>
  <c r="C4772" i="1"/>
  <c r="D4772" i="1"/>
  <c r="E4772" i="1"/>
  <c r="A4773" i="1"/>
  <c r="B4773" i="1"/>
  <c r="C4773" i="1"/>
  <c r="D4773" i="1"/>
  <c r="E4773" i="1"/>
  <c r="A4774" i="1"/>
  <c r="B4774" i="1"/>
  <c r="C4774" i="1"/>
  <c r="D4774" i="1"/>
  <c r="E4774" i="1"/>
  <c r="A4775" i="1"/>
  <c r="B4775" i="1"/>
  <c r="C4775" i="1"/>
  <c r="D4775" i="1"/>
  <c r="E4775" i="1"/>
  <c r="A4776" i="1"/>
  <c r="B4776" i="1"/>
  <c r="C4776" i="1"/>
  <c r="D4776" i="1"/>
  <c r="E4776" i="1"/>
  <c r="A4777" i="1"/>
  <c r="B4777" i="1"/>
  <c r="C4777" i="1"/>
  <c r="D4777" i="1"/>
  <c r="E4777" i="1"/>
  <c r="A4778" i="1"/>
  <c r="B4778" i="1"/>
  <c r="C4778" i="1"/>
  <c r="D4778" i="1"/>
  <c r="E4778" i="1"/>
  <c r="A4779" i="1"/>
  <c r="B4779" i="1"/>
  <c r="C4779" i="1"/>
  <c r="D4779" i="1"/>
  <c r="E4779" i="1"/>
  <c r="A4780" i="1"/>
  <c r="B4780" i="1"/>
  <c r="C4780" i="1"/>
  <c r="D4780" i="1"/>
  <c r="E4780" i="1"/>
  <c r="A4781" i="1"/>
  <c r="B4781" i="1"/>
  <c r="C4781" i="1"/>
  <c r="D4781" i="1"/>
  <c r="E4781" i="1"/>
  <c r="A4782" i="1"/>
  <c r="B4782" i="1"/>
  <c r="C4782" i="1"/>
  <c r="D4782" i="1"/>
  <c r="E4782" i="1"/>
  <c r="A4783" i="1"/>
  <c r="B4783" i="1"/>
  <c r="C4783" i="1"/>
  <c r="D4783" i="1"/>
  <c r="E4783" i="1"/>
  <c r="A4784" i="1"/>
  <c r="B4784" i="1"/>
  <c r="C4784" i="1"/>
  <c r="D4784" i="1"/>
  <c r="E4784" i="1"/>
  <c r="A4785" i="1"/>
  <c r="B4785" i="1"/>
  <c r="C4785" i="1"/>
  <c r="D4785" i="1"/>
  <c r="E4785" i="1"/>
  <c r="A4786" i="1"/>
  <c r="B4786" i="1"/>
  <c r="C4786" i="1"/>
  <c r="D4786" i="1"/>
  <c r="E4786" i="1"/>
  <c r="A4787" i="1"/>
  <c r="B4787" i="1"/>
  <c r="C4787" i="1"/>
  <c r="D4787" i="1"/>
  <c r="E4787" i="1"/>
  <c r="A4788" i="1"/>
  <c r="B4788" i="1"/>
  <c r="C4788" i="1"/>
  <c r="D4788" i="1"/>
  <c r="E4788" i="1"/>
  <c r="A4789" i="1"/>
  <c r="B4789" i="1"/>
  <c r="C4789" i="1"/>
  <c r="D4789" i="1"/>
  <c r="E4789" i="1"/>
  <c r="A4790" i="1"/>
  <c r="B4790" i="1"/>
  <c r="C4790" i="1"/>
  <c r="D4790" i="1"/>
  <c r="E4790" i="1"/>
  <c r="A4791" i="1"/>
  <c r="B4791" i="1"/>
  <c r="C4791" i="1"/>
  <c r="D4791" i="1"/>
  <c r="E4791" i="1"/>
  <c r="A4792" i="1"/>
  <c r="B4792" i="1"/>
  <c r="C4792" i="1"/>
  <c r="D4792" i="1"/>
  <c r="E4792" i="1"/>
  <c r="A4793" i="1"/>
  <c r="B4793" i="1"/>
  <c r="C4793" i="1"/>
  <c r="D4793" i="1"/>
  <c r="E4793" i="1"/>
  <c r="A4794" i="1"/>
  <c r="B4794" i="1"/>
  <c r="C4794" i="1"/>
  <c r="D4794" i="1"/>
  <c r="E4794" i="1"/>
  <c r="A4795" i="1"/>
  <c r="B4795" i="1"/>
  <c r="C4795" i="1"/>
  <c r="D4795" i="1"/>
  <c r="E4795" i="1"/>
  <c r="A4796" i="1"/>
  <c r="B4796" i="1"/>
  <c r="C4796" i="1"/>
  <c r="D4796" i="1"/>
  <c r="E4796" i="1"/>
  <c r="A4797" i="1"/>
  <c r="B4797" i="1"/>
  <c r="C4797" i="1"/>
  <c r="D4797" i="1"/>
  <c r="E4797" i="1"/>
  <c r="A4798" i="1"/>
  <c r="B4798" i="1"/>
  <c r="C4798" i="1"/>
  <c r="D4798" i="1"/>
  <c r="E4798" i="1"/>
  <c r="A4799" i="1"/>
  <c r="B4799" i="1"/>
  <c r="C4799" i="1"/>
  <c r="D4799" i="1"/>
  <c r="E4799" i="1"/>
  <c r="A4800" i="1"/>
  <c r="B4800" i="1"/>
  <c r="C4800" i="1"/>
  <c r="D4800" i="1"/>
  <c r="E4800" i="1"/>
  <c r="A4801" i="1"/>
  <c r="B4801" i="1"/>
  <c r="C4801" i="1"/>
  <c r="D4801" i="1"/>
  <c r="E4801" i="1"/>
  <c r="A4802" i="1"/>
  <c r="B4802" i="1"/>
  <c r="C4802" i="1"/>
  <c r="D4802" i="1"/>
  <c r="E4802" i="1"/>
  <c r="A4803" i="1"/>
  <c r="B4803" i="1"/>
  <c r="C4803" i="1"/>
  <c r="D4803" i="1"/>
  <c r="E4803" i="1"/>
  <c r="A4804" i="1"/>
  <c r="B4804" i="1"/>
  <c r="C4804" i="1"/>
  <c r="D4804" i="1"/>
  <c r="E4804" i="1"/>
  <c r="A4805" i="1"/>
  <c r="B4805" i="1"/>
  <c r="C4805" i="1"/>
  <c r="D4805" i="1"/>
  <c r="E4805" i="1"/>
  <c r="A4806" i="1"/>
  <c r="B4806" i="1"/>
  <c r="C4806" i="1"/>
  <c r="D4806" i="1"/>
  <c r="E4806" i="1"/>
  <c r="A4807" i="1"/>
  <c r="B4807" i="1"/>
  <c r="C4807" i="1"/>
  <c r="D4807" i="1"/>
  <c r="E4807" i="1"/>
  <c r="A4808" i="1"/>
  <c r="B4808" i="1"/>
  <c r="C4808" i="1"/>
  <c r="D4808" i="1"/>
  <c r="E4808" i="1"/>
  <c r="A4809" i="1"/>
  <c r="B4809" i="1"/>
  <c r="C4809" i="1"/>
  <c r="D4809" i="1"/>
  <c r="E4809" i="1"/>
  <c r="A4810" i="1"/>
  <c r="B4810" i="1"/>
  <c r="C4810" i="1"/>
  <c r="D4810" i="1"/>
  <c r="E4810" i="1"/>
  <c r="A4811" i="1"/>
  <c r="B4811" i="1"/>
  <c r="C4811" i="1"/>
  <c r="D4811" i="1"/>
  <c r="E4811" i="1"/>
  <c r="A4812" i="1"/>
  <c r="B4812" i="1"/>
  <c r="C4812" i="1"/>
  <c r="D4812" i="1"/>
  <c r="E4812" i="1"/>
  <c r="A4813" i="1"/>
  <c r="B4813" i="1"/>
  <c r="C4813" i="1"/>
  <c r="D4813" i="1"/>
  <c r="E4813" i="1"/>
  <c r="A4814" i="1"/>
  <c r="B4814" i="1"/>
  <c r="C4814" i="1"/>
  <c r="D4814" i="1"/>
  <c r="E4814" i="1"/>
  <c r="A4815" i="1"/>
  <c r="B4815" i="1"/>
  <c r="C4815" i="1"/>
  <c r="D4815" i="1"/>
  <c r="E4815" i="1"/>
  <c r="A4816" i="1"/>
  <c r="B4816" i="1"/>
  <c r="C4816" i="1"/>
  <c r="D4816" i="1"/>
  <c r="E4816" i="1"/>
  <c r="A4817" i="1"/>
  <c r="B4817" i="1"/>
  <c r="C4817" i="1"/>
  <c r="D4817" i="1"/>
  <c r="E4817" i="1"/>
  <c r="A4818" i="1"/>
  <c r="B4818" i="1"/>
  <c r="C4818" i="1"/>
  <c r="D4818" i="1"/>
  <c r="E4818" i="1"/>
  <c r="A4819" i="1"/>
  <c r="B4819" i="1"/>
  <c r="C4819" i="1"/>
  <c r="D4819" i="1"/>
  <c r="E4819" i="1"/>
  <c r="A4820" i="1"/>
  <c r="B4820" i="1"/>
  <c r="C4820" i="1"/>
  <c r="D4820" i="1"/>
  <c r="E4820" i="1"/>
  <c r="A4821" i="1"/>
  <c r="B4821" i="1"/>
  <c r="C4821" i="1"/>
  <c r="D4821" i="1"/>
  <c r="E4821" i="1"/>
  <c r="A4822" i="1"/>
  <c r="B4822" i="1"/>
  <c r="C4822" i="1"/>
  <c r="D4822" i="1"/>
  <c r="E4822" i="1"/>
  <c r="A4823" i="1"/>
  <c r="B4823" i="1"/>
  <c r="C4823" i="1"/>
  <c r="D4823" i="1"/>
  <c r="E4823" i="1"/>
  <c r="A4824" i="1"/>
  <c r="B4824" i="1"/>
  <c r="C4824" i="1"/>
  <c r="D4824" i="1"/>
  <c r="E4824" i="1"/>
  <c r="A4825" i="1"/>
  <c r="B4825" i="1"/>
  <c r="C4825" i="1"/>
  <c r="D4825" i="1"/>
  <c r="E4825" i="1"/>
  <c r="A4826" i="1"/>
  <c r="B4826" i="1"/>
  <c r="C4826" i="1"/>
  <c r="D4826" i="1"/>
  <c r="E4826" i="1"/>
  <c r="A4827" i="1"/>
  <c r="B4827" i="1"/>
  <c r="C4827" i="1"/>
  <c r="D4827" i="1"/>
  <c r="E4827" i="1"/>
  <c r="A4828" i="1"/>
  <c r="B4828" i="1"/>
  <c r="C4828" i="1"/>
  <c r="D4828" i="1"/>
  <c r="E4828" i="1"/>
  <c r="A4829" i="1"/>
  <c r="B4829" i="1"/>
  <c r="C4829" i="1"/>
  <c r="D4829" i="1"/>
  <c r="E4829" i="1"/>
  <c r="A4830" i="1"/>
  <c r="B4830" i="1"/>
  <c r="C4830" i="1"/>
  <c r="D4830" i="1"/>
  <c r="E4830" i="1"/>
  <c r="A4831" i="1"/>
  <c r="B4831" i="1"/>
  <c r="C4831" i="1"/>
  <c r="D4831" i="1"/>
  <c r="E4831" i="1"/>
  <c r="A4832" i="1"/>
  <c r="B4832" i="1"/>
  <c r="C4832" i="1"/>
  <c r="D4832" i="1"/>
  <c r="E4832" i="1"/>
  <c r="A4833" i="1"/>
  <c r="B4833" i="1"/>
  <c r="C4833" i="1"/>
  <c r="D4833" i="1"/>
  <c r="E4833" i="1"/>
  <c r="A4834" i="1"/>
  <c r="B4834" i="1"/>
  <c r="C4834" i="1"/>
  <c r="D4834" i="1"/>
  <c r="E4834" i="1"/>
  <c r="A4835" i="1"/>
  <c r="B4835" i="1"/>
  <c r="C4835" i="1"/>
  <c r="D4835" i="1"/>
  <c r="E4835" i="1"/>
  <c r="A4836" i="1"/>
  <c r="B4836" i="1"/>
  <c r="C4836" i="1"/>
  <c r="D4836" i="1"/>
  <c r="E4836" i="1"/>
  <c r="A4837" i="1"/>
  <c r="B4837" i="1"/>
  <c r="C4837" i="1"/>
  <c r="D4837" i="1"/>
  <c r="E4837" i="1"/>
  <c r="A4838" i="1"/>
  <c r="B4838" i="1"/>
  <c r="C4838" i="1"/>
  <c r="D4838" i="1"/>
  <c r="E4838" i="1"/>
  <c r="A4839" i="1"/>
  <c r="B4839" i="1"/>
  <c r="C4839" i="1"/>
  <c r="D4839" i="1"/>
  <c r="E4839" i="1"/>
  <c r="A4840" i="1"/>
  <c r="B4840" i="1"/>
  <c r="C4840" i="1"/>
  <c r="D4840" i="1"/>
  <c r="E4840" i="1"/>
  <c r="A4841" i="1"/>
  <c r="B4841" i="1"/>
  <c r="C4841" i="1"/>
  <c r="D4841" i="1"/>
  <c r="E4841" i="1"/>
  <c r="A4842" i="1"/>
  <c r="B4842" i="1"/>
  <c r="C4842" i="1"/>
  <c r="D4842" i="1"/>
  <c r="E4842" i="1"/>
  <c r="A4843" i="1"/>
  <c r="B4843" i="1"/>
  <c r="C4843" i="1"/>
  <c r="D4843" i="1"/>
  <c r="E4843" i="1"/>
  <c r="A4844" i="1"/>
  <c r="B4844" i="1"/>
  <c r="C4844" i="1"/>
  <c r="D4844" i="1"/>
  <c r="E4844" i="1"/>
  <c r="A4845" i="1"/>
  <c r="B4845" i="1"/>
  <c r="C4845" i="1"/>
  <c r="D4845" i="1"/>
  <c r="E4845" i="1"/>
  <c r="A4846" i="1"/>
  <c r="B4846" i="1"/>
  <c r="C4846" i="1"/>
  <c r="D4846" i="1"/>
  <c r="E4846" i="1"/>
  <c r="A4847" i="1"/>
  <c r="B4847" i="1"/>
  <c r="C4847" i="1"/>
  <c r="D4847" i="1"/>
  <c r="E4847" i="1"/>
  <c r="A4848" i="1"/>
  <c r="B4848" i="1"/>
  <c r="C4848" i="1"/>
  <c r="D4848" i="1"/>
  <c r="E4848" i="1"/>
  <c r="A4849" i="1"/>
  <c r="B4849" i="1"/>
  <c r="C4849" i="1"/>
  <c r="D4849" i="1"/>
  <c r="E4849" i="1"/>
  <c r="A4850" i="1"/>
  <c r="B4850" i="1"/>
  <c r="C4850" i="1"/>
  <c r="D4850" i="1"/>
  <c r="E4850" i="1"/>
  <c r="A4851" i="1"/>
  <c r="B4851" i="1"/>
  <c r="C4851" i="1"/>
  <c r="D4851" i="1"/>
  <c r="E4851" i="1"/>
  <c r="A4852" i="1"/>
  <c r="B4852" i="1"/>
  <c r="C4852" i="1"/>
  <c r="D4852" i="1"/>
  <c r="E4852" i="1"/>
  <c r="A4853" i="1"/>
  <c r="B4853" i="1"/>
  <c r="C4853" i="1"/>
  <c r="D4853" i="1"/>
  <c r="E4853" i="1"/>
  <c r="A4854" i="1"/>
  <c r="B4854" i="1"/>
  <c r="C4854" i="1"/>
  <c r="D4854" i="1"/>
  <c r="E4854" i="1"/>
  <c r="A4855" i="1"/>
  <c r="B4855" i="1"/>
  <c r="C4855" i="1"/>
  <c r="D4855" i="1"/>
  <c r="E4855" i="1"/>
  <c r="A4856" i="1"/>
  <c r="B4856" i="1"/>
  <c r="C4856" i="1"/>
  <c r="D4856" i="1"/>
  <c r="E4856" i="1"/>
  <c r="A4857" i="1"/>
  <c r="B4857" i="1"/>
  <c r="C4857" i="1"/>
  <c r="D4857" i="1"/>
  <c r="E4857" i="1"/>
  <c r="A4858" i="1"/>
  <c r="B4858" i="1"/>
  <c r="C4858" i="1"/>
  <c r="D4858" i="1"/>
  <c r="E4858" i="1"/>
  <c r="A4859" i="1"/>
  <c r="B4859" i="1"/>
  <c r="C4859" i="1"/>
  <c r="D4859" i="1"/>
  <c r="E4859" i="1"/>
  <c r="A4860" i="1"/>
  <c r="B4860" i="1"/>
  <c r="C4860" i="1"/>
  <c r="D4860" i="1"/>
  <c r="E4860" i="1"/>
  <c r="A4861" i="1"/>
  <c r="B4861" i="1"/>
  <c r="C4861" i="1"/>
  <c r="D4861" i="1"/>
  <c r="E4861" i="1"/>
  <c r="A4862" i="1"/>
  <c r="B4862" i="1"/>
  <c r="C4862" i="1"/>
  <c r="D4862" i="1"/>
  <c r="E4862" i="1"/>
  <c r="A4863" i="1"/>
  <c r="B4863" i="1"/>
  <c r="C4863" i="1"/>
  <c r="D4863" i="1"/>
  <c r="E4863" i="1"/>
  <c r="A4864" i="1"/>
  <c r="B4864" i="1"/>
  <c r="C4864" i="1"/>
  <c r="D4864" i="1"/>
  <c r="E4864" i="1"/>
  <c r="A4865" i="1"/>
  <c r="B4865" i="1"/>
  <c r="C4865" i="1"/>
  <c r="D4865" i="1"/>
  <c r="E4865" i="1"/>
  <c r="A4866" i="1"/>
  <c r="B4866" i="1"/>
  <c r="C4866" i="1"/>
  <c r="D4866" i="1"/>
  <c r="E4866" i="1"/>
  <c r="A4867" i="1"/>
  <c r="B4867" i="1"/>
  <c r="C4867" i="1"/>
  <c r="D4867" i="1"/>
  <c r="E4867" i="1"/>
  <c r="A4868" i="1"/>
  <c r="B4868" i="1"/>
  <c r="C4868" i="1"/>
  <c r="D4868" i="1"/>
  <c r="E4868" i="1"/>
  <c r="A4869" i="1"/>
  <c r="B4869" i="1"/>
  <c r="C4869" i="1"/>
  <c r="D4869" i="1"/>
  <c r="E4869" i="1"/>
  <c r="A4870" i="1"/>
  <c r="B4870" i="1"/>
  <c r="C4870" i="1"/>
  <c r="D4870" i="1"/>
  <c r="E4870" i="1"/>
  <c r="A4871" i="1"/>
  <c r="B4871" i="1"/>
  <c r="C4871" i="1"/>
  <c r="D4871" i="1"/>
  <c r="E4871" i="1"/>
  <c r="A4872" i="1"/>
  <c r="B4872" i="1"/>
  <c r="C4872" i="1"/>
  <c r="D4872" i="1"/>
  <c r="E4872" i="1"/>
  <c r="A4873" i="1"/>
  <c r="B4873" i="1"/>
  <c r="C4873" i="1"/>
  <c r="D4873" i="1"/>
  <c r="E4873" i="1"/>
  <c r="A4874" i="1"/>
  <c r="B4874" i="1"/>
  <c r="C4874" i="1"/>
  <c r="D4874" i="1"/>
  <c r="E4874" i="1"/>
  <c r="A4875" i="1"/>
  <c r="B4875" i="1"/>
  <c r="C4875" i="1"/>
  <c r="D4875" i="1"/>
  <c r="E4875" i="1"/>
  <c r="A4876" i="1"/>
  <c r="B4876" i="1"/>
  <c r="C4876" i="1"/>
  <c r="D4876" i="1"/>
  <c r="E4876" i="1"/>
  <c r="A4877" i="1"/>
  <c r="B4877" i="1"/>
  <c r="C4877" i="1"/>
  <c r="D4877" i="1"/>
  <c r="E4877" i="1"/>
  <c r="A4878" i="1"/>
  <c r="B4878" i="1"/>
  <c r="C4878" i="1"/>
  <c r="D4878" i="1"/>
  <c r="E4878" i="1"/>
  <c r="A4879" i="1"/>
  <c r="B4879" i="1"/>
  <c r="C4879" i="1"/>
  <c r="D4879" i="1"/>
  <c r="E4879" i="1"/>
  <c r="A4880" i="1"/>
  <c r="B4880" i="1"/>
  <c r="C4880" i="1"/>
  <c r="D4880" i="1"/>
  <c r="E4880" i="1"/>
  <c r="A4881" i="1"/>
  <c r="B4881" i="1"/>
  <c r="C4881" i="1"/>
  <c r="D4881" i="1"/>
  <c r="E4881" i="1"/>
  <c r="A4882" i="1"/>
  <c r="B4882" i="1"/>
  <c r="C4882" i="1"/>
  <c r="D4882" i="1"/>
  <c r="E4882" i="1"/>
  <c r="A4883" i="1"/>
  <c r="B4883" i="1"/>
  <c r="C4883" i="1"/>
  <c r="D4883" i="1"/>
  <c r="E4883" i="1"/>
  <c r="A4884" i="1"/>
  <c r="B4884" i="1"/>
  <c r="C4884" i="1"/>
  <c r="D4884" i="1"/>
  <c r="E4884" i="1"/>
  <c r="A4885" i="1"/>
  <c r="B4885" i="1"/>
  <c r="C4885" i="1"/>
  <c r="D4885" i="1"/>
  <c r="E4885" i="1"/>
  <c r="A4886" i="1"/>
  <c r="B4886" i="1"/>
  <c r="C4886" i="1"/>
  <c r="D4886" i="1"/>
  <c r="E4886" i="1"/>
  <c r="A4887" i="1"/>
  <c r="B4887" i="1"/>
  <c r="C4887" i="1"/>
  <c r="D4887" i="1"/>
  <c r="E4887" i="1"/>
  <c r="A4888" i="1"/>
  <c r="B4888" i="1"/>
  <c r="C4888" i="1"/>
  <c r="D4888" i="1"/>
  <c r="E4888" i="1"/>
  <c r="A4889" i="1"/>
  <c r="B4889" i="1"/>
  <c r="C4889" i="1"/>
  <c r="D4889" i="1"/>
  <c r="E4889" i="1"/>
  <c r="A4890" i="1"/>
  <c r="B4890" i="1"/>
  <c r="C4890" i="1"/>
  <c r="D4890" i="1"/>
  <c r="E4890" i="1"/>
  <c r="A4891" i="1"/>
  <c r="B4891" i="1"/>
  <c r="C4891" i="1"/>
  <c r="D4891" i="1"/>
  <c r="E4891" i="1"/>
  <c r="A4892" i="1"/>
  <c r="B4892" i="1"/>
  <c r="C4892" i="1"/>
  <c r="D4892" i="1"/>
  <c r="E4892" i="1"/>
  <c r="A4893" i="1"/>
  <c r="B4893" i="1"/>
  <c r="C4893" i="1"/>
  <c r="D4893" i="1"/>
  <c r="E4893" i="1"/>
  <c r="A4894" i="1"/>
  <c r="B4894" i="1"/>
  <c r="C4894" i="1"/>
  <c r="D4894" i="1"/>
  <c r="E4894" i="1"/>
  <c r="A4895" i="1"/>
  <c r="B4895" i="1"/>
  <c r="C4895" i="1"/>
  <c r="D4895" i="1"/>
  <c r="E4895" i="1"/>
  <c r="A4896" i="1"/>
  <c r="B4896" i="1"/>
  <c r="C4896" i="1"/>
  <c r="D4896" i="1"/>
  <c r="E4896" i="1"/>
  <c r="A4897" i="1"/>
  <c r="B4897" i="1"/>
  <c r="C4897" i="1"/>
  <c r="D4897" i="1"/>
  <c r="E4897" i="1"/>
  <c r="A4898" i="1"/>
  <c r="B4898" i="1"/>
  <c r="C4898" i="1"/>
  <c r="D4898" i="1"/>
  <c r="E4898" i="1"/>
  <c r="A4899" i="1"/>
  <c r="B4899" i="1"/>
  <c r="C4899" i="1"/>
  <c r="D4899" i="1"/>
  <c r="E4899" i="1"/>
  <c r="A4900" i="1"/>
  <c r="B4900" i="1"/>
  <c r="C4900" i="1"/>
  <c r="D4900" i="1"/>
  <c r="E4900" i="1"/>
  <c r="A4901" i="1"/>
  <c r="B4901" i="1"/>
  <c r="C4901" i="1"/>
  <c r="D4901" i="1"/>
  <c r="E4901" i="1"/>
  <c r="A4902" i="1"/>
  <c r="B4902" i="1"/>
  <c r="C4902" i="1"/>
  <c r="D4902" i="1"/>
  <c r="E4902" i="1"/>
  <c r="A4903" i="1"/>
  <c r="B4903" i="1"/>
  <c r="C4903" i="1"/>
  <c r="D4903" i="1"/>
  <c r="E4903" i="1"/>
  <c r="A4904" i="1"/>
  <c r="B4904" i="1"/>
  <c r="C4904" i="1"/>
  <c r="D4904" i="1"/>
  <c r="E4904" i="1"/>
  <c r="A4905" i="1"/>
  <c r="B4905" i="1"/>
  <c r="C4905" i="1"/>
  <c r="D4905" i="1"/>
  <c r="E4905" i="1"/>
  <c r="A4906" i="1"/>
  <c r="B4906" i="1"/>
  <c r="C4906" i="1"/>
  <c r="D4906" i="1"/>
  <c r="E4906" i="1"/>
  <c r="A4907" i="1"/>
  <c r="B4907" i="1"/>
  <c r="C4907" i="1"/>
  <c r="D4907" i="1"/>
  <c r="E4907" i="1"/>
  <c r="A4908" i="1"/>
  <c r="B4908" i="1"/>
  <c r="C4908" i="1"/>
  <c r="D4908" i="1"/>
  <c r="E4908" i="1"/>
  <c r="A4909" i="1"/>
  <c r="B4909" i="1"/>
  <c r="C4909" i="1"/>
  <c r="D4909" i="1"/>
  <c r="E4909" i="1"/>
  <c r="A4910" i="1"/>
  <c r="B4910" i="1"/>
  <c r="C4910" i="1"/>
  <c r="D4910" i="1"/>
  <c r="E4910" i="1"/>
  <c r="A4911" i="1"/>
  <c r="B4911" i="1"/>
  <c r="C4911" i="1"/>
  <c r="D4911" i="1"/>
  <c r="E4911" i="1"/>
  <c r="A4912" i="1"/>
  <c r="B4912" i="1"/>
  <c r="C4912" i="1"/>
  <c r="D4912" i="1"/>
  <c r="E4912" i="1"/>
  <c r="A4913" i="1"/>
  <c r="B4913" i="1"/>
  <c r="C4913" i="1"/>
  <c r="D4913" i="1"/>
  <c r="E4913" i="1"/>
  <c r="A4914" i="1"/>
  <c r="B4914" i="1"/>
  <c r="C4914" i="1"/>
  <c r="D4914" i="1"/>
  <c r="E4914" i="1"/>
  <c r="A4915" i="1"/>
  <c r="B4915" i="1"/>
  <c r="C4915" i="1"/>
  <c r="D4915" i="1"/>
  <c r="E4915" i="1"/>
  <c r="A4916" i="1"/>
  <c r="B4916" i="1"/>
  <c r="C4916" i="1"/>
  <c r="D4916" i="1"/>
  <c r="E4916" i="1"/>
  <c r="A4917" i="1"/>
  <c r="B4917" i="1"/>
  <c r="C4917" i="1"/>
  <c r="D4917" i="1"/>
  <c r="E4917" i="1"/>
  <c r="A4918" i="1"/>
  <c r="B4918" i="1"/>
  <c r="C4918" i="1"/>
  <c r="D4918" i="1"/>
  <c r="E4918" i="1"/>
  <c r="A4919" i="1"/>
  <c r="B4919" i="1"/>
  <c r="C4919" i="1"/>
  <c r="D4919" i="1"/>
  <c r="E4919" i="1"/>
  <c r="A4920" i="1"/>
  <c r="B4920" i="1"/>
  <c r="C4920" i="1"/>
  <c r="D4920" i="1"/>
  <c r="E4920" i="1"/>
  <c r="A4921" i="1"/>
  <c r="B4921" i="1"/>
  <c r="C4921" i="1"/>
  <c r="D4921" i="1"/>
  <c r="E4921" i="1"/>
  <c r="A4922" i="1"/>
  <c r="B4922" i="1"/>
  <c r="C4922" i="1"/>
  <c r="D4922" i="1"/>
  <c r="E4922" i="1"/>
  <c r="A4923" i="1"/>
  <c r="B4923" i="1"/>
  <c r="C4923" i="1"/>
  <c r="D4923" i="1"/>
  <c r="E4923" i="1"/>
  <c r="A4924" i="1"/>
  <c r="B4924" i="1"/>
  <c r="C4924" i="1"/>
  <c r="D4924" i="1"/>
  <c r="E4924" i="1"/>
  <c r="A4925" i="1"/>
  <c r="B4925" i="1"/>
  <c r="C4925" i="1"/>
  <c r="D4925" i="1"/>
  <c r="E4925" i="1"/>
  <c r="A4926" i="1"/>
  <c r="B4926" i="1"/>
  <c r="C4926" i="1"/>
  <c r="D4926" i="1"/>
  <c r="E4926" i="1"/>
  <c r="A4927" i="1"/>
  <c r="B4927" i="1"/>
  <c r="C4927" i="1"/>
  <c r="D4927" i="1"/>
  <c r="E4927" i="1"/>
  <c r="A4928" i="1"/>
  <c r="B4928" i="1"/>
  <c r="C4928" i="1"/>
  <c r="D4928" i="1"/>
  <c r="E4928" i="1"/>
  <c r="A4929" i="1"/>
  <c r="B4929" i="1"/>
  <c r="C4929" i="1"/>
  <c r="D4929" i="1"/>
  <c r="E4929" i="1"/>
  <c r="A4930" i="1"/>
  <c r="B4930" i="1"/>
  <c r="C4930" i="1"/>
  <c r="D4930" i="1"/>
  <c r="E4930" i="1"/>
  <c r="A4931" i="1"/>
  <c r="B4931" i="1"/>
  <c r="C4931" i="1"/>
  <c r="D4931" i="1"/>
  <c r="E4931" i="1"/>
  <c r="A4932" i="1"/>
  <c r="B4932" i="1"/>
  <c r="C4932" i="1"/>
  <c r="D4932" i="1"/>
  <c r="E4932" i="1"/>
  <c r="A4933" i="1"/>
  <c r="B4933" i="1"/>
  <c r="C4933" i="1"/>
  <c r="D4933" i="1"/>
  <c r="E4933" i="1"/>
  <c r="A4934" i="1"/>
  <c r="B4934" i="1"/>
  <c r="C4934" i="1"/>
  <c r="D4934" i="1"/>
  <c r="E4934" i="1"/>
  <c r="A4935" i="1"/>
  <c r="B4935" i="1"/>
  <c r="C4935" i="1"/>
  <c r="D4935" i="1"/>
  <c r="E4935" i="1"/>
  <c r="A4936" i="1"/>
  <c r="B4936" i="1"/>
  <c r="C4936" i="1"/>
  <c r="D4936" i="1"/>
  <c r="E4936" i="1"/>
  <c r="A4937" i="1"/>
  <c r="B4937" i="1"/>
  <c r="C4937" i="1"/>
  <c r="D4937" i="1"/>
  <c r="E4937" i="1"/>
  <c r="A4938" i="1"/>
  <c r="B4938" i="1"/>
  <c r="C4938" i="1"/>
  <c r="D4938" i="1"/>
  <c r="E4938" i="1"/>
  <c r="A4939" i="1"/>
  <c r="B4939" i="1"/>
  <c r="C4939" i="1"/>
  <c r="D4939" i="1"/>
  <c r="E4939" i="1"/>
  <c r="A4940" i="1"/>
  <c r="B4940" i="1"/>
  <c r="C4940" i="1"/>
  <c r="D4940" i="1"/>
  <c r="E4940" i="1"/>
  <c r="A4941" i="1"/>
  <c r="B4941" i="1"/>
  <c r="C4941" i="1"/>
  <c r="D4941" i="1"/>
  <c r="E4941" i="1"/>
  <c r="A4942" i="1"/>
  <c r="B4942" i="1"/>
  <c r="C4942" i="1"/>
  <c r="D4942" i="1"/>
  <c r="E4942" i="1"/>
  <c r="A4943" i="1"/>
  <c r="B4943" i="1"/>
  <c r="C4943" i="1"/>
  <c r="D4943" i="1"/>
  <c r="E4943" i="1"/>
  <c r="A4944" i="1"/>
  <c r="B4944" i="1"/>
  <c r="C4944" i="1"/>
  <c r="D4944" i="1"/>
  <c r="E4944" i="1"/>
  <c r="A4945" i="1"/>
  <c r="B4945" i="1"/>
  <c r="C4945" i="1"/>
  <c r="D4945" i="1"/>
  <c r="E4945" i="1"/>
  <c r="A4946" i="1"/>
  <c r="B4946" i="1"/>
  <c r="C4946" i="1"/>
  <c r="D4946" i="1"/>
  <c r="E4946" i="1"/>
  <c r="A4947" i="1"/>
  <c r="B4947" i="1"/>
  <c r="C4947" i="1"/>
  <c r="D4947" i="1"/>
  <c r="E4947" i="1"/>
  <c r="A4948" i="1"/>
  <c r="B4948" i="1"/>
  <c r="C4948" i="1"/>
  <c r="D4948" i="1"/>
  <c r="E4948" i="1"/>
  <c r="A4949" i="1"/>
  <c r="B4949" i="1"/>
  <c r="C4949" i="1"/>
  <c r="D4949" i="1"/>
  <c r="E4949" i="1"/>
  <c r="A4950" i="1"/>
  <c r="B4950" i="1"/>
  <c r="C4950" i="1"/>
  <c r="D4950" i="1"/>
  <c r="E4950" i="1"/>
  <c r="A4951" i="1"/>
  <c r="B4951" i="1"/>
  <c r="C4951" i="1"/>
  <c r="D4951" i="1"/>
  <c r="E4951" i="1"/>
  <c r="A4952" i="1"/>
  <c r="B4952" i="1"/>
  <c r="C4952" i="1"/>
  <c r="D4952" i="1"/>
  <c r="E4952" i="1"/>
  <c r="A4953" i="1"/>
  <c r="B4953" i="1"/>
  <c r="C4953" i="1"/>
  <c r="D4953" i="1"/>
  <c r="E4953" i="1"/>
  <c r="A4954" i="1"/>
  <c r="B4954" i="1"/>
  <c r="C4954" i="1"/>
  <c r="D4954" i="1"/>
  <c r="E4954" i="1"/>
  <c r="A4955" i="1"/>
  <c r="B4955" i="1"/>
  <c r="C4955" i="1"/>
  <c r="D4955" i="1"/>
  <c r="E4955" i="1"/>
  <c r="A4956" i="1"/>
  <c r="B4956" i="1"/>
  <c r="C4956" i="1"/>
  <c r="D4956" i="1"/>
  <c r="E4956" i="1"/>
  <c r="A4957" i="1"/>
  <c r="B4957" i="1"/>
  <c r="C4957" i="1"/>
  <c r="D4957" i="1"/>
  <c r="E4957" i="1"/>
  <c r="A4958" i="1"/>
  <c r="B4958" i="1"/>
  <c r="C4958" i="1"/>
  <c r="D4958" i="1"/>
  <c r="E4958" i="1"/>
  <c r="A4959" i="1"/>
  <c r="B4959" i="1"/>
  <c r="C4959" i="1"/>
  <c r="D4959" i="1"/>
  <c r="E4959" i="1"/>
  <c r="A4960" i="1"/>
  <c r="B4960" i="1"/>
  <c r="C4960" i="1"/>
  <c r="D4960" i="1"/>
  <c r="E4960" i="1"/>
  <c r="A4961" i="1"/>
  <c r="B4961" i="1"/>
  <c r="C4961" i="1"/>
  <c r="D4961" i="1"/>
  <c r="E4961" i="1"/>
  <c r="A4962" i="1"/>
  <c r="B4962" i="1"/>
  <c r="C4962" i="1"/>
  <c r="D4962" i="1"/>
  <c r="E4962" i="1"/>
  <c r="A4963" i="1"/>
  <c r="B4963" i="1"/>
  <c r="C4963" i="1"/>
  <c r="D4963" i="1"/>
  <c r="E4963" i="1"/>
  <c r="A4964" i="1"/>
  <c r="B4964" i="1"/>
  <c r="C4964" i="1"/>
  <c r="D4964" i="1"/>
  <c r="E4964" i="1"/>
  <c r="A4965" i="1"/>
  <c r="B4965" i="1"/>
  <c r="C4965" i="1"/>
  <c r="D4965" i="1"/>
  <c r="E4965" i="1"/>
  <c r="A4966" i="1"/>
  <c r="B4966" i="1"/>
  <c r="C4966" i="1"/>
  <c r="D4966" i="1"/>
  <c r="E4966" i="1"/>
  <c r="A4967" i="1"/>
  <c r="B4967" i="1"/>
  <c r="C4967" i="1"/>
  <c r="D4967" i="1"/>
  <c r="E4967" i="1"/>
  <c r="A4968" i="1"/>
  <c r="B4968" i="1"/>
  <c r="C4968" i="1"/>
  <c r="D4968" i="1"/>
  <c r="E4968" i="1"/>
  <c r="A4969" i="1"/>
  <c r="B4969" i="1"/>
  <c r="C4969" i="1"/>
  <c r="D4969" i="1"/>
  <c r="E4969" i="1"/>
  <c r="A4970" i="1"/>
  <c r="B4970" i="1"/>
  <c r="C4970" i="1"/>
  <c r="D4970" i="1"/>
  <c r="E4970" i="1"/>
  <c r="A4971" i="1"/>
  <c r="B4971" i="1"/>
  <c r="C4971" i="1"/>
  <c r="D4971" i="1"/>
  <c r="E4971" i="1"/>
  <c r="A4972" i="1"/>
  <c r="B4972" i="1"/>
  <c r="C4972" i="1"/>
  <c r="D4972" i="1"/>
  <c r="E4972" i="1"/>
  <c r="A4973" i="1"/>
  <c r="B4973" i="1"/>
  <c r="C4973" i="1"/>
  <c r="D4973" i="1"/>
  <c r="E4973" i="1"/>
  <c r="A4974" i="1"/>
  <c r="B4974" i="1"/>
  <c r="C4974" i="1"/>
  <c r="D4974" i="1"/>
  <c r="E4974" i="1"/>
  <c r="A4975" i="1"/>
  <c r="B4975" i="1"/>
  <c r="C4975" i="1"/>
  <c r="D4975" i="1"/>
  <c r="E4975" i="1"/>
  <c r="A4976" i="1"/>
  <c r="B4976" i="1"/>
  <c r="C4976" i="1"/>
  <c r="D4976" i="1"/>
  <c r="E4976" i="1"/>
  <c r="A4977" i="1"/>
  <c r="B4977" i="1"/>
  <c r="C4977" i="1"/>
  <c r="D4977" i="1"/>
  <c r="E4977" i="1"/>
  <c r="A4978" i="1"/>
  <c r="B4978" i="1"/>
  <c r="C4978" i="1"/>
  <c r="D4978" i="1"/>
  <c r="E4978" i="1"/>
  <c r="A4979" i="1"/>
  <c r="B4979" i="1"/>
  <c r="C4979" i="1"/>
  <c r="D4979" i="1"/>
  <c r="E4979" i="1"/>
  <c r="A4980" i="1"/>
  <c r="B4980" i="1"/>
  <c r="C4980" i="1"/>
  <c r="D4980" i="1"/>
  <c r="E4980" i="1"/>
  <c r="A4981" i="1"/>
  <c r="B4981" i="1"/>
  <c r="C4981" i="1"/>
  <c r="D4981" i="1"/>
  <c r="E4981" i="1"/>
  <c r="A4982" i="1"/>
  <c r="B4982" i="1"/>
  <c r="C4982" i="1"/>
  <c r="D4982" i="1"/>
  <c r="E4982" i="1"/>
  <c r="A4983" i="1"/>
  <c r="B4983" i="1"/>
  <c r="C4983" i="1"/>
  <c r="D4983" i="1"/>
  <c r="E4983" i="1"/>
  <c r="A4984" i="1"/>
  <c r="B4984" i="1"/>
  <c r="C4984" i="1"/>
  <c r="D4984" i="1"/>
  <c r="E4984" i="1"/>
  <c r="A4985" i="1"/>
  <c r="B4985" i="1"/>
  <c r="C4985" i="1"/>
  <c r="D4985" i="1"/>
  <c r="E4985" i="1"/>
  <c r="A4986" i="1"/>
  <c r="B4986" i="1"/>
  <c r="C4986" i="1"/>
  <c r="D4986" i="1"/>
  <c r="E4986" i="1"/>
  <c r="A4987" i="1"/>
  <c r="B4987" i="1"/>
  <c r="C4987" i="1"/>
  <c r="D4987" i="1"/>
  <c r="E4987" i="1"/>
  <c r="A4988" i="1"/>
  <c r="B4988" i="1"/>
  <c r="C4988" i="1"/>
  <c r="D4988" i="1"/>
  <c r="E4988" i="1"/>
  <c r="A4989" i="1"/>
  <c r="B4989" i="1"/>
  <c r="C4989" i="1"/>
  <c r="D4989" i="1"/>
  <c r="E4989" i="1"/>
  <c r="A4990" i="1"/>
  <c r="B4990" i="1"/>
  <c r="C4990" i="1"/>
  <c r="D4990" i="1"/>
  <c r="E4990" i="1"/>
  <c r="A4991" i="1"/>
  <c r="B4991" i="1"/>
  <c r="C4991" i="1"/>
  <c r="D4991" i="1"/>
  <c r="E4991" i="1"/>
  <c r="A4992" i="1"/>
  <c r="B4992" i="1"/>
  <c r="C4992" i="1"/>
  <c r="D4992" i="1"/>
  <c r="E4992" i="1"/>
  <c r="A4993" i="1"/>
  <c r="B4993" i="1"/>
  <c r="C4993" i="1"/>
  <c r="D4993" i="1"/>
  <c r="E4993" i="1"/>
  <c r="A4994" i="1"/>
  <c r="B4994" i="1"/>
  <c r="C4994" i="1"/>
  <c r="D4994" i="1"/>
  <c r="E4994" i="1"/>
  <c r="A4995" i="1"/>
  <c r="B4995" i="1"/>
  <c r="C4995" i="1"/>
  <c r="D4995" i="1"/>
  <c r="E4995" i="1"/>
  <c r="A4996" i="1"/>
  <c r="B4996" i="1"/>
  <c r="C4996" i="1"/>
  <c r="D4996" i="1"/>
  <c r="E4996" i="1"/>
  <c r="A4997" i="1"/>
  <c r="B4997" i="1"/>
  <c r="C4997" i="1"/>
  <c r="D4997" i="1"/>
  <c r="E4997" i="1"/>
  <c r="A4998" i="1"/>
  <c r="B4998" i="1"/>
  <c r="C4998" i="1"/>
  <c r="D4998" i="1"/>
  <c r="E4998" i="1"/>
  <c r="A4999" i="1"/>
  <c r="B4999" i="1"/>
  <c r="C4999" i="1"/>
  <c r="D4999" i="1"/>
  <c r="E4999" i="1"/>
  <c r="A5000" i="1"/>
  <c r="B5000" i="1"/>
  <c r="C5000" i="1"/>
  <c r="D5000" i="1"/>
  <c r="E5000" i="1"/>
  <c r="A5001" i="1"/>
  <c r="B5001" i="1"/>
  <c r="C5001" i="1"/>
  <c r="D5001" i="1"/>
  <c r="E5001" i="1"/>
  <c r="A5002" i="1"/>
  <c r="B5002" i="1"/>
  <c r="C5002" i="1"/>
  <c r="D5002" i="1"/>
  <c r="E5002" i="1"/>
  <c r="A5003" i="1"/>
  <c r="B5003" i="1"/>
  <c r="C5003" i="1"/>
  <c r="D5003" i="1"/>
  <c r="E5003" i="1"/>
  <c r="A5004" i="1"/>
  <c r="B5004" i="1"/>
  <c r="C5004" i="1"/>
  <c r="D5004" i="1"/>
  <c r="E5004" i="1"/>
  <c r="A5005" i="1"/>
  <c r="B5005" i="1"/>
  <c r="C5005" i="1"/>
  <c r="D5005" i="1"/>
  <c r="E5005" i="1"/>
  <c r="A5006" i="1"/>
  <c r="B5006" i="1"/>
  <c r="C5006" i="1"/>
  <c r="D5006" i="1"/>
  <c r="E5006" i="1"/>
  <c r="A5007" i="1"/>
  <c r="B5007" i="1"/>
  <c r="C5007" i="1"/>
  <c r="D5007" i="1"/>
  <c r="E5007" i="1"/>
  <c r="A5008" i="1"/>
  <c r="B5008" i="1"/>
  <c r="C5008" i="1"/>
  <c r="D5008" i="1"/>
  <c r="E5008" i="1"/>
  <c r="A5009" i="1"/>
  <c r="B5009" i="1"/>
  <c r="C5009" i="1"/>
  <c r="D5009" i="1"/>
  <c r="E5009" i="1"/>
  <c r="A5010" i="1"/>
  <c r="B5010" i="1"/>
  <c r="C5010" i="1"/>
  <c r="D5010" i="1"/>
  <c r="E5010" i="1"/>
  <c r="A5011" i="1"/>
  <c r="B5011" i="1"/>
  <c r="C5011" i="1"/>
  <c r="D5011" i="1"/>
  <c r="E5011" i="1"/>
  <c r="A5012" i="1"/>
  <c r="B5012" i="1"/>
  <c r="C5012" i="1"/>
  <c r="D5012" i="1"/>
  <c r="E5012" i="1"/>
  <c r="A5013" i="1"/>
  <c r="B5013" i="1"/>
  <c r="C5013" i="1"/>
  <c r="D5013" i="1"/>
  <c r="E5013" i="1"/>
  <c r="A5014" i="1"/>
  <c r="B5014" i="1"/>
  <c r="C5014" i="1"/>
  <c r="D5014" i="1"/>
  <c r="E5014" i="1"/>
  <c r="A5015" i="1"/>
  <c r="B5015" i="1"/>
  <c r="C5015" i="1"/>
  <c r="D5015" i="1"/>
  <c r="E5015" i="1"/>
  <c r="A5016" i="1"/>
  <c r="B5016" i="1"/>
  <c r="C5016" i="1"/>
  <c r="D5016" i="1"/>
  <c r="E5016" i="1"/>
  <c r="A5017" i="1"/>
  <c r="B5017" i="1"/>
  <c r="C5017" i="1"/>
  <c r="D5017" i="1"/>
  <c r="E5017" i="1"/>
  <c r="A5018" i="1"/>
  <c r="B5018" i="1"/>
  <c r="C5018" i="1"/>
  <c r="D5018" i="1"/>
  <c r="E5018" i="1"/>
  <c r="A5019" i="1"/>
  <c r="B5019" i="1"/>
  <c r="C5019" i="1"/>
  <c r="D5019" i="1"/>
  <c r="E5019" i="1"/>
  <c r="A5020" i="1"/>
  <c r="B5020" i="1"/>
  <c r="C5020" i="1"/>
  <c r="D5020" i="1"/>
  <c r="E5020" i="1"/>
  <c r="A5021" i="1"/>
  <c r="B5021" i="1"/>
  <c r="C5021" i="1"/>
  <c r="D5021" i="1"/>
  <c r="E5021" i="1"/>
  <c r="A5022" i="1"/>
  <c r="B5022" i="1"/>
  <c r="C5022" i="1"/>
  <c r="D5022" i="1"/>
  <c r="E5022" i="1"/>
  <c r="A5023" i="1"/>
  <c r="B5023" i="1"/>
  <c r="C5023" i="1"/>
  <c r="D5023" i="1"/>
  <c r="E5023" i="1"/>
  <c r="A5024" i="1"/>
  <c r="B5024" i="1"/>
  <c r="C5024" i="1"/>
  <c r="D5024" i="1"/>
  <c r="E5024" i="1"/>
  <c r="A5025" i="1"/>
  <c r="B5025" i="1"/>
  <c r="C5025" i="1"/>
  <c r="D5025" i="1"/>
  <c r="E5025" i="1"/>
  <c r="A5026" i="1"/>
  <c r="B5026" i="1"/>
  <c r="C5026" i="1"/>
  <c r="D5026" i="1"/>
  <c r="E5026" i="1"/>
  <c r="A5027" i="1"/>
  <c r="B5027" i="1"/>
  <c r="C5027" i="1"/>
  <c r="D5027" i="1"/>
  <c r="E5027" i="1"/>
  <c r="A5028" i="1"/>
  <c r="B5028" i="1"/>
  <c r="C5028" i="1"/>
  <c r="D5028" i="1"/>
  <c r="E5028" i="1"/>
  <c r="A5029" i="1"/>
  <c r="B5029" i="1"/>
  <c r="C5029" i="1"/>
  <c r="D5029" i="1"/>
  <c r="E5029" i="1"/>
  <c r="A5030" i="1"/>
  <c r="B5030" i="1"/>
  <c r="C5030" i="1"/>
  <c r="D5030" i="1"/>
  <c r="E5030" i="1"/>
  <c r="A5031" i="1"/>
  <c r="B5031" i="1"/>
  <c r="C5031" i="1"/>
  <c r="D5031" i="1"/>
  <c r="E5031" i="1"/>
  <c r="A5032" i="1"/>
  <c r="B5032" i="1"/>
  <c r="C5032" i="1"/>
  <c r="D5032" i="1"/>
  <c r="E5032" i="1"/>
  <c r="A5033" i="1"/>
  <c r="B5033" i="1"/>
  <c r="C5033" i="1"/>
  <c r="D5033" i="1"/>
  <c r="E5033" i="1"/>
  <c r="A5034" i="1"/>
  <c r="B5034" i="1"/>
  <c r="C5034" i="1"/>
  <c r="D5034" i="1"/>
  <c r="E5034" i="1"/>
  <c r="A5035" i="1"/>
  <c r="B5035" i="1"/>
  <c r="C5035" i="1"/>
  <c r="D5035" i="1"/>
  <c r="E5035" i="1"/>
  <c r="A5036" i="1"/>
  <c r="B5036" i="1"/>
  <c r="C5036" i="1"/>
  <c r="D5036" i="1"/>
  <c r="E5036" i="1"/>
  <c r="A5037" i="1"/>
  <c r="B5037" i="1"/>
  <c r="C5037" i="1"/>
  <c r="D5037" i="1"/>
  <c r="E5037" i="1"/>
  <c r="A5038" i="1"/>
  <c r="B5038" i="1"/>
  <c r="C5038" i="1"/>
  <c r="D5038" i="1"/>
  <c r="E5038" i="1"/>
  <c r="A5039" i="1"/>
  <c r="B5039" i="1"/>
  <c r="C5039" i="1"/>
  <c r="D5039" i="1"/>
  <c r="E5039" i="1"/>
  <c r="A5040" i="1"/>
  <c r="B5040" i="1"/>
  <c r="C5040" i="1"/>
  <c r="D5040" i="1"/>
  <c r="E5040" i="1"/>
  <c r="A5041" i="1"/>
  <c r="B5041" i="1"/>
  <c r="C5041" i="1"/>
  <c r="D5041" i="1"/>
  <c r="E5041" i="1"/>
  <c r="A5042" i="1"/>
  <c r="B5042" i="1"/>
  <c r="C5042" i="1"/>
  <c r="D5042" i="1"/>
  <c r="E5042" i="1"/>
  <c r="A5043" i="1"/>
  <c r="B5043" i="1"/>
  <c r="C5043" i="1"/>
  <c r="D5043" i="1"/>
  <c r="E5043" i="1"/>
  <c r="A5044" i="1"/>
  <c r="B5044" i="1"/>
  <c r="C5044" i="1"/>
  <c r="D5044" i="1"/>
  <c r="E5044" i="1"/>
  <c r="A5045" i="1"/>
  <c r="B5045" i="1"/>
  <c r="C5045" i="1"/>
  <c r="D5045" i="1"/>
  <c r="E5045" i="1"/>
  <c r="A5046" i="1"/>
  <c r="B5046" i="1"/>
  <c r="C5046" i="1"/>
  <c r="D5046" i="1"/>
  <c r="E5046" i="1"/>
  <c r="A5047" i="1"/>
  <c r="B5047" i="1"/>
  <c r="C5047" i="1"/>
  <c r="D5047" i="1"/>
  <c r="E5047" i="1"/>
  <c r="A5048" i="1"/>
  <c r="B5048" i="1"/>
  <c r="C5048" i="1"/>
  <c r="D5048" i="1"/>
  <c r="E5048" i="1"/>
  <c r="A5049" i="1"/>
  <c r="B5049" i="1"/>
  <c r="C5049" i="1"/>
  <c r="D5049" i="1"/>
  <c r="E5049" i="1"/>
  <c r="A5050" i="1"/>
  <c r="B5050" i="1"/>
  <c r="C5050" i="1"/>
  <c r="D5050" i="1"/>
  <c r="E5050" i="1"/>
  <c r="A5051" i="1"/>
  <c r="B5051" i="1"/>
  <c r="C5051" i="1"/>
  <c r="D5051" i="1"/>
  <c r="E5051" i="1"/>
  <c r="A5052" i="1"/>
  <c r="B5052" i="1"/>
  <c r="C5052" i="1"/>
  <c r="D5052" i="1"/>
  <c r="E5052" i="1"/>
  <c r="A5053" i="1"/>
  <c r="B5053" i="1"/>
  <c r="C5053" i="1"/>
  <c r="D5053" i="1"/>
  <c r="E5053" i="1"/>
  <c r="A5054" i="1"/>
  <c r="B5054" i="1"/>
  <c r="C5054" i="1"/>
  <c r="D5054" i="1"/>
  <c r="E5054" i="1"/>
  <c r="A5055" i="1"/>
  <c r="B5055" i="1"/>
  <c r="C5055" i="1"/>
  <c r="D5055" i="1"/>
  <c r="E5055" i="1"/>
  <c r="A5056" i="1"/>
  <c r="B5056" i="1"/>
  <c r="C5056" i="1"/>
  <c r="D5056" i="1"/>
  <c r="E5056" i="1"/>
  <c r="A5057" i="1"/>
  <c r="B5057" i="1"/>
  <c r="C5057" i="1"/>
  <c r="D5057" i="1"/>
  <c r="E5057" i="1"/>
  <c r="A5058" i="1"/>
  <c r="B5058" i="1"/>
  <c r="C5058" i="1"/>
  <c r="D5058" i="1"/>
  <c r="E5058" i="1"/>
  <c r="A5059" i="1"/>
  <c r="B5059" i="1"/>
  <c r="C5059" i="1"/>
  <c r="D5059" i="1"/>
  <c r="E5059" i="1"/>
  <c r="A5060" i="1"/>
  <c r="B5060" i="1"/>
  <c r="C5060" i="1"/>
  <c r="D5060" i="1"/>
  <c r="E5060" i="1"/>
  <c r="A5061" i="1"/>
  <c r="B5061" i="1"/>
  <c r="C5061" i="1"/>
  <c r="D5061" i="1"/>
  <c r="E5061" i="1"/>
  <c r="A5062" i="1"/>
  <c r="B5062" i="1"/>
  <c r="C5062" i="1"/>
  <c r="D5062" i="1"/>
  <c r="E5062" i="1"/>
  <c r="A5063" i="1"/>
  <c r="B5063" i="1"/>
  <c r="C5063" i="1"/>
  <c r="D5063" i="1"/>
  <c r="E5063" i="1"/>
  <c r="A5064" i="1"/>
  <c r="B5064" i="1"/>
  <c r="C5064" i="1"/>
  <c r="D5064" i="1"/>
  <c r="E5064" i="1"/>
  <c r="A5065" i="1"/>
  <c r="B5065" i="1"/>
  <c r="C5065" i="1"/>
  <c r="D5065" i="1"/>
  <c r="E5065" i="1"/>
  <c r="A5066" i="1"/>
  <c r="B5066" i="1"/>
  <c r="C5066" i="1"/>
  <c r="D5066" i="1"/>
  <c r="E5066" i="1"/>
  <c r="A5067" i="1"/>
  <c r="B5067" i="1"/>
  <c r="C5067" i="1"/>
  <c r="D5067" i="1"/>
  <c r="E5067" i="1"/>
  <c r="A5068" i="1"/>
  <c r="B5068" i="1"/>
  <c r="C5068" i="1"/>
  <c r="D5068" i="1"/>
  <c r="E5068" i="1"/>
  <c r="A5069" i="1"/>
  <c r="B5069" i="1"/>
  <c r="C5069" i="1"/>
  <c r="D5069" i="1"/>
  <c r="E5069" i="1"/>
  <c r="A5070" i="1"/>
  <c r="B5070" i="1"/>
  <c r="C5070" i="1"/>
  <c r="D5070" i="1"/>
  <c r="E5070" i="1"/>
  <c r="A5071" i="1"/>
  <c r="B5071" i="1"/>
  <c r="C5071" i="1"/>
  <c r="D5071" i="1"/>
  <c r="E5071" i="1"/>
  <c r="A5072" i="1"/>
  <c r="B5072" i="1"/>
  <c r="C5072" i="1"/>
  <c r="D5072" i="1"/>
  <c r="E5072" i="1"/>
  <c r="A5073" i="1"/>
  <c r="B5073" i="1"/>
  <c r="C5073" i="1"/>
  <c r="D5073" i="1"/>
  <c r="E5073" i="1"/>
  <c r="A5074" i="1"/>
  <c r="B5074" i="1"/>
  <c r="C5074" i="1"/>
  <c r="D5074" i="1"/>
  <c r="E5074" i="1"/>
  <c r="A5075" i="1"/>
  <c r="B5075" i="1"/>
  <c r="C5075" i="1"/>
  <c r="D5075" i="1"/>
  <c r="E5075" i="1"/>
  <c r="A5076" i="1"/>
  <c r="B5076" i="1"/>
  <c r="C5076" i="1"/>
  <c r="D5076" i="1"/>
  <c r="E5076" i="1"/>
  <c r="A5077" i="1"/>
  <c r="B5077" i="1"/>
  <c r="C5077" i="1"/>
  <c r="D5077" i="1"/>
  <c r="E5077" i="1"/>
  <c r="A5078" i="1"/>
  <c r="B5078" i="1"/>
  <c r="C5078" i="1"/>
  <c r="D5078" i="1"/>
  <c r="E5078" i="1"/>
  <c r="A5079" i="1"/>
  <c r="B5079" i="1"/>
  <c r="C5079" i="1"/>
  <c r="D5079" i="1"/>
  <c r="E5079" i="1"/>
  <c r="A5080" i="1"/>
  <c r="B5080" i="1"/>
  <c r="C5080" i="1"/>
  <c r="D5080" i="1"/>
  <c r="E5080" i="1"/>
  <c r="A5081" i="1"/>
  <c r="B5081" i="1"/>
  <c r="C5081" i="1"/>
  <c r="D5081" i="1"/>
  <c r="E5081" i="1"/>
  <c r="A5082" i="1"/>
  <c r="B5082" i="1"/>
  <c r="C5082" i="1"/>
  <c r="D5082" i="1"/>
  <c r="E5082" i="1"/>
  <c r="A5083" i="1"/>
  <c r="B5083" i="1"/>
  <c r="C5083" i="1"/>
  <c r="D5083" i="1"/>
  <c r="E5083" i="1"/>
  <c r="A5084" i="1"/>
  <c r="B5084" i="1"/>
  <c r="C5084" i="1"/>
  <c r="D5084" i="1"/>
  <c r="E5084" i="1"/>
  <c r="A5085" i="1"/>
  <c r="B5085" i="1"/>
  <c r="C5085" i="1"/>
  <c r="D5085" i="1"/>
  <c r="E5085" i="1"/>
  <c r="A5086" i="1"/>
  <c r="B5086" i="1"/>
  <c r="C5086" i="1"/>
  <c r="D5086" i="1"/>
  <c r="E5086" i="1"/>
  <c r="A5087" i="1"/>
  <c r="B5087" i="1"/>
  <c r="C5087" i="1"/>
  <c r="D5087" i="1"/>
  <c r="E5087" i="1"/>
  <c r="A5088" i="1"/>
  <c r="B5088" i="1"/>
  <c r="C5088" i="1"/>
  <c r="D5088" i="1"/>
  <c r="E5088" i="1"/>
  <c r="A5089" i="1"/>
  <c r="B5089" i="1"/>
  <c r="C5089" i="1"/>
  <c r="D5089" i="1"/>
  <c r="E5089" i="1"/>
  <c r="A5090" i="1"/>
  <c r="B5090" i="1"/>
  <c r="C5090" i="1"/>
  <c r="D5090" i="1"/>
  <c r="E5090" i="1"/>
  <c r="A5091" i="1"/>
  <c r="B5091" i="1"/>
  <c r="C5091" i="1"/>
  <c r="D5091" i="1"/>
  <c r="E5091" i="1"/>
  <c r="A5092" i="1"/>
  <c r="B5092" i="1"/>
  <c r="C5092" i="1"/>
  <c r="D5092" i="1"/>
  <c r="E5092" i="1"/>
  <c r="A5093" i="1"/>
  <c r="B5093" i="1"/>
  <c r="C5093" i="1"/>
  <c r="D5093" i="1"/>
  <c r="E5093" i="1"/>
  <c r="A5094" i="1"/>
  <c r="B5094" i="1"/>
  <c r="C5094" i="1"/>
  <c r="D5094" i="1"/>
  <c r="E5094" i="1"/>
  <c r="A5095" i="1"/>
  <c r="B5095" i="1"/>
  <c r="C5095" i="1"/>
  <c r="D5095" i="1"/>
  <c r="E5095" i="1"/>
  <c r="A5096" i="1"/>
  <c r="B5096" i="1"/>
  <c r="C5096" i="1"/>
  <c r="D5096" i="1"/>
  <c r="E5096" i="1"/>
  <c r="A5097" i="1"/>
  <c r="B5097" i="1"/>
  <c r="C5097" i="1"/>
  <c r="D5097" i="1"/>
  <c r="E5097" i="1"/>
  <c r="A5098" i="1"/>
  <c r="B5098" i="1"/>
  <c r="C5098" i="1"/>
  <c r="D5098" i="1"/>
  <c r="E5098" i="1"/>
  <c r="A5099" i="1"/>
  <c r="B5099" i="1"/>
  <c r="C5099" i="1"/>
  <c r="D5099" i="1"/>
  <c r="E5099" i="1"/>
  <c r="A5100" i="1"/>
  <c r="B5100" i="1"/>
  <c r="C5100" i="1"/>
  <c r="D5100" i="1"/>
  <c r="E5100" i="1"/>
  <c r="A5101" i="1"/>
  <c r="B5101" i="1"/>
  <c r="C5101" i="1"/>
  <c r="D5101" i="1"/>
  <c r="E5101" i="1"/>
  <c r="A5102" i="1"/>
  <c r="B5102" i="1"/>
  <c r="C5102" i="1"/>
  <c r="D5102" i="1"/>
  <c r="E5102" i="1"/>
  <c r="A5103" i="1"/>
  <c r="B5103" i="1"/>
  <c r="C5103" i="1"/>
  <c r="D5103" i="1"/>
  <c r="E5103" i="1"/>
  <c r="A5104" i="1"/>
  <c r="B5104" i="1"/>
  <c r="C5104" i="1"/>
  <c r="D5104" i="1"/>
  <c r="E5104" i="1"/>
  <c r="A5105" i="1"/>
  <c r="B5105" i="1"/>
  <c r="C5105" i="1"/>
  <c r="D5105" i="1"/>
  <c r="E5105" i="1"/>
  <c r="A5106" i="1"/>
  <c r="B5106" i="1"/>
  <c r="C5106" i="1"/>
  <c r="D5106" i="1"/>
  <c r="E5106" i="1"/>
  <c r="A5107" i="1"/>
  <c r="B5107" i="1"/>
  <c r="C5107" i="1"/>
  <c r="D5107" i="1"/>
  <c r="E5107" i="1"/>
  <c r="A5108" i="1"/>
  <c r="B5108" i="1"/>
  <c r="C5108" i="1"/>
  <c r="D5108" i="1"/>
  <c r="E5108" i="1"/>
  <c r="A5109" i="1"/>
  <c r="B5109" i="1"/>
  <c r="C5109" i="1"/>
  <c r="D5109" i="1"/>
  <c r="E5109" i="1"/>
  <c r="A5110" i="1"/>
  <c r="B5110" i="1"/>
  <c r="C5110" i="1"/>
  <c r="D5110" i="1"/>
  <c r="E5110" i="1"/>
  <c r="A5111" i="1"/>
  <c r="B5111" i="1"/>
  <c r="C5111" i="1"/>
  <c r="D5111" i="1"/>
  <c r="E5111" i="1"/>
  <c r="A5112" i="1"/>
  <c r="B5112" i="1"/>
  <c r="C5112" i="1"/>
  <c r="D5112" i="1"/>
  <c r="E5112" i="1"/>
  <c r="A5113" i="1"/>
  <c r="B5113" i="1"/>
  <c r="C5113" i="1"/>
  <c r="D5113" i="1"/>
  <c r="E5113" i="1"/>
  <c r="A5114" i="1"/>
  <c r="B5114" i="1"/>
  <c r="C5114" i="1"/>
  <c r="D5114" i="1"/>
  <c r="E5114" i="1"/>
  <c r="A5115" i="1"/>
  <c r="B5115" i="1"/>
  <c r="C5115" i="1"/>
  <c r="D5115" i="1"/>
  <c r="E5115" i="1"/>
  <c r="A5116" i="1"/>
  <c r="B5116" i="1"/>
  <c r="C5116" i="1"/>
  <c r="D5116" i="1"/>
  <c r="E5116" i="1"/>
  <c r="A5117" i="1"/>
  <c r="B5117" i="1"/>
  <c r="C5117" i="1"/>
  <c r="D5117" i="1"/>
  <c r="E5117" i="1"/>
  <c r="A5118" i="1"/>
  <c r="B5118" i="1"/>
  <c r="C5118" i="1"/>
  <c r="D5118" i="1"/>
  <c r="E5118" i="1"/>
  <c r="A5119" i="1"/>
  <c r="B5119" i="1"/>
  <c r="C5119" i="1"/>
  <c r="D5119" i="1"/>
  <c r="E5119" i="1"/>
  <c r="A5120" i="1"/>
  <c r="B5120" i="1"/>
  <c r="C5120" i="1"/>
  <c r="D5120" i="1"/>
  <c r="E5120" i="1"/>
  <c r="A5121" i="1"/>
  <c r="B5121" i="1"/>
  <c r="C5121" i="1"/>
  <c r="D5121" i="1"/>
  <c r="E5121" i="1"/>
  <c r="A5122" i="1"/>
  <c r="B5122" i="1"/>
  <c r="C5122" i="1"/>
  <c r="D5122" i="1"/>
  <c r="E5122" i="1"/>
  <c r="A5123" i="1"/>
  <c r="B5123" i="1"/>
  <c r="C5123" i="1"/>
  <c r="D5123" i="1"/>
  <c r="E5123" i="1"/>
  <c r="A5124" i="1"/>
  <c r="B5124" i="1"/>
  <c r="C5124" i="1"/>
  <c r="D5124" i="1"/>
  <c r="E5124" i="1"/>
  <c r="A5125" i="1"/>
  <c r="B5125" i="1"/>
  <c r="C5125" i="1"/>
  <c r="D5125" i="1"/>
  <c r="E5125" i="1"/>
  <c r="A5126" i="1"/>
  <c r="B5126" i="1"/>
  <c r="C5126" i="1"/>
  <c r="D5126" i="1"/>
  <c r="E5126" i="1"/>
  <c r="A5127" i="1"/>
  <c r="B5127" i="1"/>
  <c r="C5127" i="1"/>
  <c r="D5127" i="1"/>
  <c r="E5127" i="1"/>
  <c r="A5128" i="1"/>
  <c r="B5128" i="1"/>
  <c r="C5128" i="1"/>
  <c r="D5128" i="1"/>
  <c r="E5128" i="1"/>
  <c r="A5129" i="1"/>
  <c r="B5129" i="1"/>
  <c r="C5129" i="1"/>
  <c r="D5129" i="1"/>
  <c r="E5129" i="1"/>
  <c r="A5130" i="1"/>
  <c r="B5130" i="1"/>
  <c r="C5130" i="1"/>
  <c r="D5130" i="1"/>
  <c r="E5130" i="1"/>
  <c r="A5131" i="1"/>
  <c r="B5131" i="1"/>
  <c r="C5131" i="1"/>
  <c r="D5131" i="1"/>
  <c r="E5131" i="1"/>
  <c r="A5132" i="1"/>
  <c r="B5132" i="1"/>
  <c r="C5132" i="1"/>
  <c r="D5132" i="1"/>
  <c r="E5132" i="1"/>
  <c r="A5133" i="1"/>
  <c r="B5133" i="1"/>
  <c r="C5133" i="1"/>
  <c r="D5133" i="1"/>
  <c r="E5133" i="1"/>
  <c r="A5134" i="1"/>
  <c r="B5134" i="1"/>
  <c r="C5134" i="1"/>
  <c r="D5134" i="1"/>
  <c r="E5134" i="1"/>
  <c r="A5135" i="1"/>
  <c r="B5135" i="1"/>
  <c r="C5135" i="1"/>
  <c r="D5135" i="1"/>
  <c r="E5135" i="1"/>
  <c r="A5136" i="1"/>
  <c r="B5136" i="1"/>
  <c r="C5136" i="1"/>
  <c r="D5136" i="1"/>
  <c r="E5136" i="1"/>
  <c r="A5137" i="1"/>
  <c r="B5137" i="1"/>
  <c r="C5137" i="1"/>
  <c r="D5137" i="1"/>
  <c r="E5137" i="1"/>
  <c r="A5138" i="1"/>
  <c r="B5138" i="1"/>
  <c r="C5138" i="1"/>
  <c r="D5138" i="1"/>
  <c r="E5138" i="1"/>
  <c r="A5139" i="1"/>
  <c r="B5139" i="1"/>
  <c r="C5139" i="1"/>
  <c r="D5139" i="1"/>
  <c r="E5139" i="1"/>
  <c r="A5140" i="1"/>
  <c r="B5140" i="1"/>
  <c r="C5140" i="1"/>
  <c r="D5140" i="1"/>
  <c r="E5140" i="1"/>
  <c r="A5141" i="1"/>
  <c r="B5141" i="1"/>
  <c r="C5141" i="1"/>
  <c r="D5141" i="1"/>
  <c r="E5141" i="1"/>
  <c r="A5142" i="1"/>
  <c r="B5142" i="1"/>
  <c r="C5142" i="1"/>
  <c r="D5142" i="1"/>
  <c r="E5142" i="1"/>
  <c r="A5143" i="1"/>
  <c r="B5143" i="1"/>
  <c r="C5143" i="1"/>
  <c r="D5143" i="1"/>
  <c r="E5143" i="1"/>
  <c r="A5144" i="1"/>
  <c r="B5144" i="1"/>
  <c r="C5144" i="1"/>
  <c r="D5144" i="1"/>
  <c r="E5144" i="1"/>
  <c r="A5145" i="1"/>
  <c r="B5145" i="1"/>
  <c r="C5145" i="1"/>
  <c r="D5145" i="1"/>
  <c r="E5145" i="1"/>
  <c r="A5146" i="1"/>
  <c r="B5146" i="1"/>
  <c r="C5146" i="1"/>
  <c r="D5146" i="1"/>
  <c r="E5146" i="1"/>
  <c r="A5147" i="1"/>
  <c r="B5147" i="1"/>
  <c r="C5147" i="1"/>
  <c r="D5147" i="1"/>
  <c r="E5147" i="1"/>
  <c r="A5148" i="1"/>
  <c r="B5148" i="1"/>
  <c r="C5148" i="1"/>
  <c r="D5148" i="1"/>
  <c r="E5148" i="1"/>
  <c r="A5149" i="1"/>
  <c r="B5149" i="1"/>
  <c r="C5149" i="1"/>
  <c r="D5149" i="1"/>
  <c r="E5149" i="1"/>
  <c r="A5150" i="1"/>
  <c r="B5150" i="1"/>
  <c r="C5150" i="1"/>
  <c r="D5150" i="1"/>
  <c r="E5150" i="1"/>
  <c r="A5151" i="1"/>
  <c r="B5151" i="1"/>
  <c r="C5151" i="1"/>
  <c r="D5151" i="1"/>
  <c r="E5151" i="1"/>
  <c r="A5152" i="1"/>
  <c r="B5152" i="1"/>
  <c r="C5152" i="1"/>
  <c r="D5152" i="1"/>
  <c r="E5152" i="1"/>
  <c r="A5153" i="1"/>
  <c r="B5153" i="1"/>
  <c r="C5153" i="1"/>
  <c r="D5153" i="1"/>
  <c r="E5153" i="1"/>
  <c r="A5154" i="1"/>
  <c r="B5154" i="1"/>
  <c r="C5154" i="1"/>
  <c r="D5154" i="1"/>
  <c r="E5154" i="1"/>
  <c r="A5155" i="1"/>
  <c r="B5155" i="1"/>
  <c r="C5155" i="1"/>
  <c r="D5155" i="1"/>
  <c r="E5155" i="1"/>
  <c r="A5156" i="1"/>
  <c r="B5156" i="1"/>
  <c r="C5156" i="1"/>
  <c r="D5156" i="1"/>
  <c r="E5156" i="1"/>
  <c r="A5157" i="1"/>
  <c r="B5157" i="1"/>
  <c r="C5157" i="1"/>
  <c r="D5157" i="1"/>
  <c r="E5157" i="1"/>
  <c r="A5158" i="1"/>
  <c r="B5158" i="1"/>
  <c r="C5158" i="1"/>
  <c r="D5158" i="1"/>
  <c r="E5158" i="1"/>
  <c r="A5159" i="1"/>
  <c r="B5159" i="1"/>
  <c r="C5159" i="1"/>
  <c r="D5159" i="1"/>
  <c r="E5159" i="1"/>
  <c r="A5160" i="1"/>
  <c r="B5160" i="1"/>
  <c r="C5160" i="1"/>
  <c r="D5160" i="1"/>
  <c r="E5160" i="1"/>
  <c r="A5161" i="1"/>
  <c r="B5161" i="1"/>
  <c r="C5161" i="1"/>
  <c r="D5161" i="1"/>
  <c r="E5161" i="1"/>
  <c r="A5162" i="1"/>
  <c r="B5162" i="1"/>
  <c r="C5162" i="1"/>
  <c r="D5162" i="1"/>
  <c r="E5162" i="1"/>
  <c r="A5163" i="1"/>
  <c r="B5163" i="1"/>
  <c r="C5163" i="1"/>
  <c r="D5163" i="1"/>
  <c r="E5163" i="1"/>
  <c r="A5164" i="1"/>
  <c r="B5164" i="1"/>
  <c r="C5164" i="1"/>
  <c r="D5164" i="1"/>
  <c r="E5164" i="1"/>
  <c r="A5165" i="1"/>
  <c r="B5165" i="1"/>
  <c r="C5165" i="1"/>
  <c r="D5165" i="1"/>
  <c r="E5165" i="1"/>
  <c r="A5166" i="1"/>
  <c r="B5166" i="1"/>
  <c r="C5166" i="1"/>
  <c r="D5166" i="1"/>
  <c r="E5166" i="1"/>
  <c r="A5167" i="1"/>
  <c r="B5167" i="1"/>
  <c r="C5167" i="1"/>
  <c r="D5167" i="1"/>
  <c r="E5167" i="1"/>
  <c r="A5168" i="1"/>
  <c r="B5168" i="1"/>
  <c r="C5168" i="1"/>
  <c r="D5168" i="1"/>
  <c r="E5168" i="1"/>
  <c r="A5169" i="1"/>
  <c r="B5169" i="1"/>
  <c r="C5169" i="1"/>
  <c r="D5169" i="1"/>
  <c r="E5169" i="1"/>
  <c r="A5170" i="1"/>
  <c r="B5170" i="1"/>
  <c r="C5170" i="1"/>
  <c r="D5170" i="1"/>
  <c r="E5170" i="1"/>
  <c r="A5171" i="1"/>
  <c r="B5171" i="1"/>
  <c r="C5171" i="1"/>
  <c r="D5171" i="1"/>
  <c r="E5171" i="1"/>
  <c r="A5172" i="1"/>
  <c r="B5172" i="1"/>
  <c r="C5172" i="1"/>
  <c r="D5172" i="1"/>
  <c r="E5172" i="1"/>
  <c r="A5173" i="1"/>
  <c r="B5173" i="1"/>
  <c r="C5173" i="1"/>
  <c r="D5173" i="1"/>
  <c r="E5173" i="1"/>
  <c r="A5174" i="1"/>
  <c r="B5174" i="1"/>
  <c r="C5174" i="1"/>
  <c r="D5174" i="1"/>
  <c r="E5174" i="1"/>
  <c r="A5175" i="1"/>
  <c r="B5175" i="1"/>
  <c r="C5175" i="1"/>
  <c r="D5175" i="1"/>
  <c r="E5175" i="1"/>
  <c r="A5176" i="1"/>
  <c r="B5176" i="1"/>
  <c r="C5176" i="1"/>
  <c r="D5176" i="1"/>
  <c r="E5176" i="1"/>
  <c r="A5177" i="1"/>
  <c r="B5177" i="1"/>
  <c r="C5177" i="1"/>
  <c r="D5177" i="1"/>
  <c r="E5177" i="1"/>
  <c r="A5178" i="1"/>
  <c r="B5178" i="1"/>
  <c r="C5178" i="1"/>
  <c r="D5178" i="1"/>
  <c r="E5178" i="1"/>
  <c r="A5179" i="1"/>
  <c r="B5179" i="1"/>
  <c r="C5179" i="1"/>
  <c r="D5179" i="1"/>
  <c r="E5179" i="1"/>
  <c r="A5180" i="1"/>
  <c r="B5180" i="1"/>
  <c r="C5180" i="1"/>
  <c r="D5180" i="1"/>
  <c r="E5180" i="1"/>
  <c r="A5181" i="1"/>
  <c r="B5181" i="1"/>
  <c r="C5181" i="1"/>
  <c r="D5181" i="1"/>
  <c r="E5181" i="1"/>
  <c r="A5182" i="1"/>
  <c r="B5182" i="1"/>
  <c r="C5182" i="1"/>
  <c r="D5182" i="1"/>
  <c r="E5182" i="1"/>
  <c r="A5183" i="1"/>
  <c r="B5183" i="1"/>
  <c r="C5183" i="1"/>
  <c r="D5183" i="1"/>
  <c r="E5183" i="1"/>
  <c r="A5184" i="1"/>
  <c r="B5184" i="1"/>
  <c r="C5184" i="1"/>
  <c r="D5184" i="1"/>
  <c r="E5184" i="1"/>
  <c r="A5185" i="1"/>
  <c r="B5185" i="1"/>
  <c r="C5185" i="1"/>
  <c r="D5185" i="1"/>
  <c r="E5185" i="1"/>
  <c r="A5186" i="1"/>
  <c r="B5186" i="1"/>
  <c r="C5186" i="1"/>
  <c r="D5186" i="1"/>
  <c r="E5186" i="1"/>
  <c r="A5187" i="1"/>
  <c r="B5187" i="1"/>
  <c r="C5187" i="1"/>
  <c r="D5187" i="1"/>
  <c r="E5187" i="1"/>
  <c r="A5188" i="1"/>
  <c r="B5188" i="1"/>
  <c r="C5188" i="1"/>
  <c r="D5188" i="1"/>
  <c r="E5188" i="1"/>
  <c r="A5189" i="1"/>
  <c r="B5189" i="1"/>
  <c r="C5189" i="1"/>
  <c r="D5189" i="1"/>
  <c r="E5189" i="1"/>
  <c r="A5190" i="1"/>
  <c r="B5190" i="1"/>
  <c r="C5190" i="1"/>
  <c r="D5190" i="1"/>
  <c r="E5190" i="1"/>
  <c r="A5191" i="1"/>
  <c r="B5191" i="1"/>
  <c r="C5191" i="1"/>
  <c r="D5191" i="1"/>
  <c r="E5191" i="1"/>
  <c r="A5192" i="1"/>
  <c r="B5192" i="1"/>
  <c r="C5192" i="1"/>
  <c r="D5192" i="1"/>
  <c r="E5192" i="1"/>
  <c r="A5193" i="1"/>
  <c r="B5193" i="1"/>
  <c r="C5193" i="1"/>
  <c r="D5193" i="1"/>
  <c r="E5193" i="1"/>
  <c r="A5194" i="1"/>
  <c r="B5194" i="1"/>
  <c r="C5194" i="1"/>
  <c r="D5194" i="1"/>
  <c r="E5194" i="1"/>
  <c r="A5195" i="1"/>
  <c r="B5195" i="1"/>
  <c r="C5195" i="1"/>
  <c r="D5195" i="1"/>
  <c r="E5195" i="1"/>
  <c r="A5196" i="1"/>
  <c r="B5196" i="1"/>
  <c r="C5196" i="1"/>
  <c r="D5196" i="1"/>
  <c r="E5196" i="1"/>
  <c r="A5197" i="1"/>
  <c r="B5197" i="1"/>
  <c r="C5197" i="1"/>
  <c r="D5197" i="1"/>
  <c r="E5197" i="1"/>
  <c r="A5198" i="1"/>
  <c r="B5198" i="1"/>
  <c r="C5198" i="1"/>
  <c r="D5198" i="1"/>
  <c r="E5198" i="1"/>
  <c r="A5199" i="1"/>
  <c r="B5199" i="1"/>
  <c r="C5199" i="1"/>
  <c r="D5199" i="1"/>
  <c r="E5199" i="1"/>
  <c r="A5200" i="1"/>
  <c r="B5200" i="1"/>
  <c r="C5200" i="1"/>
  <c r="D5200" i="1"/>
  <c r="E5200" i="1"/>
  <c r="A5201" i="1"/>
  <c r="B5201" i="1"/>
  <c r="C5201" i="1"/>
  <c r="D5201" i="1"/>
  <c r="E5201" i="1"/>
  <c r="A5202" i="1"/>
  <c r="B5202" i="1"/>
  <c r="C5202" i="1"/>
  <c r="D5202" i="1"/>
  <c r="E5202" i="1"/>
  <c r="A5203" i="1"/>
  <c r="B5203" i="1"/>
  <c r="C5203" i="1"/>
  <c r="D5203" i="1"/>
  <c r="E5203" i="1"/>
  <c r="A5204" i="1"/>
  <c r="B5204" i="1"/>
  <c r="C5204" i="1"/>
  <c r="D5204" i="1"/>
  <c r="E5204" i="1"/>
  <c r="A5205" i="1"/>
  <c r="B5205" i="1"/>
  <c r="C5205" i="1"/>
  <c r="D5205" i="1"/>
  <c r="E5205" i="1"/>
  <c r="A5206" i="1"/>
  <c r="B5206" i="1"/>
  <c r="C5206" i="1"/>
  <c r="D5206" i="1"/>
  <c r="E5206" i="1"/>
  <c r="A5207" i="1"/>
  <c r="B5207" i="1"/>
  <c r="C5207" i="1"/>
  <c r="D5207" i="1"/>
  <c r="E5207" i="1"/>
  <c r="A5208" i="1"/>
  <c r="B5208" i="1"/>
  <c r="C5208" i="1"/>
  <c r="D5208" i="1"/>
  <c r="E5208" i="1"/>
  <c r="A5209" i="1"/>
  <c r="B5209" i="1"/>
  <c r="C5209" i="1"/>
  <c r="D5209" i="1"/>
  <c r="E5209" i="1"/>
  <c r="A5210" i="1"/>
  <c r="B5210" i="1"/>
  <c r="C5210" i="1"/>
  <c r="D5210" i="1"/>
  <c r="E5210" i="1"/>
  <c r="A5211" i="1"/>
  <c r="B5211" i="1"/>
  <c r="C5211" i="1"/>
  <c r="D5211" i="1"/>
  <c r="E5211" i="1"/>
  <c r="A5212" i="1"/>
  <c r="B5212" i="1"/>
  <c r="C5212" i="1"/>
  <c r="D5212" i="1"/>
  <c r="E5212" i="1"/>
  <c r="A5213" i="1"/>
  <c r="B5213" i="1"/>
  <c r="C5213" i="1"/>
  <c r="D5213" i="1"/>
  <c r="E5213" i="1"/>
  <c r="A5214" i="1"/>
  <c r="B5214" i="1"/>
  <c r="C5214" i="1"/>
  <c r="D5214" i="1"/>
  <c r="E5214" i="1"/>
  <c r="A5215" i="1"/>
  <c r="B5215" i="1"/>
  <c r="C5215" i="1"/>
  <c r="D5215" i="1"/>
  <c r="E5215" i="1"/>
  <c r="A5216" i="1"/>
  <c r="B5216" i="1"/>
  <c r="C5216" i="1"/>
  <c r="D5216" i="1"/>
  <c r="E5216" i="1"/>
  <c r="A5217" i="1"/>
  <c r="B5217" i="1"/>
  <c r="C5217" i="1"/>
  <c r="D5217" i="1"/>
  <c r="E5217" i="1"/>
  <c r="A5218" i="1"/>
  <c r="B5218" i="1"/>
  <c r="C5218" i="1"/>
  <c r="D5218" i="1"/>
  <c r="E5218" i="1"/>
  <c r="A5219" i="1"/>
  <c r="B5219" i="1"/>
  <c r="C5219" i="1"/>
  <c r="D5219" i="1"/>
  <c r="E5219" i="1"/>
  <c r="A5220" i="1"/>
  <c r="B5220" i="1"/>
  <c r="C5220" i="1"/>
  <c r="D5220" i="1"/>
  <c r="E5220" i="1"/>
  <c r="A5221" i="1"/>
  <c r="B5221" i="1"/>
  <c r="C5221" i="1"/>
  <c r="D5221" i="1"/>
  <c r="E5221" i="1"/>
  <c r="A5222" i="1"/>
  <c r="B5222" i="1"/>
  <c r="C5222" i="1"/>
  <c r="D5222" i="1"/>
  <c r="E5222" i="1"/>
  <c r="A5223" i="1"/>
  <c r="B5223" i="1"/>
  <c r="C5223" i="1"/>
  <c r="D5223" i="1"/>
  <c r="E5223" i="1"/>
  <c r="A5224" i="1"/>
  <c r="B5224" i="1"/>
  <c r="C5224" i="1"/>
  <c r="D5224" i="1"/>
  <c r="E5224" i="1"/>
  <c r="A5225" i="1"/>
  <c r="B5225" i="1"/>
  <c r="C5225" i="1"/>
  <c r="D5225" i="1"/>
  <c r="E5225" i="1"/>
  <c r="A5226" i="1"/>
  <c r="B5226" i="1"/>
  <c r="C5226" i="1"/>
  <c r="D5226" i="1"/>
  <c r="E5226" i="1"/>
  <c r="A5227" i="1"/>
  <c r="B5227" i="1"/>
  <c r="C5227" i="1"/>
  <c r="D5227" i="1"/>
  <c r="E5227" i="1"/>
  <c r="A5228" i="1"/>
  <c r="B5228" i="1"/>
  <c r="C5228" i="1"/>
  <c r="D5228" i="1"/>
  <c r="E5228" i="1"/>
  <c r="A5229" i="1"/>
  <c r="B5229" i="1"/>
  <c r="C5229" i="1"/>
  <c r="D5229" i="1"/>
  <c r="E5229" i="1"/>
  <c r="A5230" i="1"/>
  <c r="B5230" i="1"/>
  <c r="C5230" i="1"/>
  <c r="D5230" i="1"/>
  <c r="E5230" i="1"/>
  <c r="A5231" i="1"/>
  <c r="B5231" i="1"/>
  <c r="C5231" i="1"/>
  <c r="D5231" i="1"/>
  <c r="E5231" i="1"/>
  <c r="A5232" i="1"/>
  <c r="B5232" i="1"/>
  <c r="C5232" i="1"/>
  <c r="D5232" i="1"/>
  <c r="E5232" i="1"/>
  <c r="A5233" i="1"/>
  <c r="B5233" i="1"/>
  <c r="C5233" i="1"/>
  <c r="D5233" i="1"/>
  <c r="E5233" i="1"/>
  <c r="A5234" i="1"/>
  <c r="B5234" i="1"/>
  <c r="C5234" i="1"/>
  <c r="D5234" i="1"/>
  <c r="E5234" i="1"/>
  <c r="A5235" i="1"/>
  <c r="B5235" i="1"/>
  <c r="C5235" i="1"/>
  <c r="D5235" i="1"/>
  <c r="E5235" i="1"/>
  <c r="A5236" i="1"/>
  <c r="B5236" i="1"/>
  <c r="C5236" i="1"/>
  <c r="D5236" i="1"/>
  <c r="E5236" i="1"/>
  <c r="A5237" i="1"/>
  <c r="B5237" i="1"/>
  <c r="C5237" i="1"/>
  <c r="D5237" i="1"/>
  <c r="E5237" i="1"/>
  <c r="A5238" i="1"/>
  <c r="B5238" i="1"/>
  <c r="C5238" i="1"/>
  <c r="D5238" i="1"/>
  <c r="E5238" i="1"/>
  <c r="A5239" i="1"/>
  <c r="B5239" i="1"/>
  <c r="C5239" i="1"/>
  <c r="D5239" i="1"/>
  <c r="E5239" i="1"/>
  <c r="A5240" i="1"/>
  <c r="B5240" i="1"/>
  <c r="C5240" i="1"/>
  <c r="D5240" i="1"/>
  <c r="E5240" i="1"/>
  <c r="A5241" i="1"/>
  <c r="B5241" i="1"/>
  <c r="C5241" i="1"/>
  <c r="D5241" i="1"/>
  <c r="E5241" i="1"/>
  <c r="A5242" i="1"/>
  <c r="B5242" i="1"/>
  <c r="C5242" i="1"/>
  <c r="D5242" i="1"/>
  <c r="E5242" i="1"/>
  <c r="A5243" i="1"/>
  <c r="B5243" i="1"/>
  <c r="C5243" i="1"/>
  <c r="D5243" i="1"/>
  <c r="E5243" i="1"/>
  <c r="A5244" i="1"/>
  <c r="B5244" i="1"/>
  <c r="C5244" i="1"/>
  <c r="D5244" i="1"/>
  <c r="E5244" i="1"/>
  <c r="A5245" i="1"/>
  <c r="B5245" i="1"/>
  <c r="C5245" i="1"/>
  <c r="D5245" i="1"/>
  <c r="E5245" i="1"/>
  <c r="A5246" i="1"/>
  <c r="B5246" i="1"/>
  <c r="C5246" i="1"/>
  <c r="D5246" i="1"/>
  <c r="E5246" i="1"/>
  <c r="A5247" i="1"/>
  <c r="B5247" i="1"/>
  <c r="C5247" i="1"/>
  <c r="D5247" i="1"/>
  <c r="E5247" i="1"/>
  <c r="A5248" i="1"/>
  <c r="B5248" i="1"/>
  <c r="C5248" i="1"/>
  <c r="D5248" i="1"/>
  <c r="E5248" i="1"/>
  <c r="A5249" i="1"/>
  <c r="B5249" i="1"/>
  <c r="C5249" i="1"/>
  <c r="D5249" i="1"/>
  <c r="E5249" i="1"/>
  <c r="A5250" i="1"/>
  <c r="B5250" i="1"/>
  <c r="C5250" i="1"/>
  <c r="D5250" i="1"/>
  <c r="E5250" i="1"/>
  <c r="A5251" i="1"/>
  <c r="B5251" i="1"/>
  <c r="C5251" i="1"/>
  <c r="D5251" i="1"/>
  <c r="E5251" i="1"/>
  <c r="A5252" i="1"/>
  <c r="B5252" i="1"/>
  <c r="C5252" i="1"/>
  <c r="D5252" i="1"/>
  <c r="E5252" i="1"/>
  <c r="A5253" i="1"/>
  <c r="B5253" i="1"/>
  <c r="C5253" i="1"/>
  <c r="D5253" i="1"/>
  <c r="E5253" i="1"/>
  <c r="A5254" i="1"/>
  <c r="B5254" i="1"/>
  <c r="C5254" i="1"/>
  <c r="D5254" i="1"/>
  <c r="E5254" i="1"/>
  <c r="A5255" i="1"/>
  <c r="B5255" i="1"/>
  <c r="C5255" i="1"/>
  <c r="D5255" i="1"/>
  <c r="E5255" i="1"/>
  <c r="A5256" i="1"/>
  <c r="B5256" i="1"/>
  <c r="C5256" i="1"/>
  <c r="D5256" i="1"/>
  <c r="E5256" i="1"/>
  <c r="A5257" i="1"/>
  <c r="B5257" i="1"/>
  <c r="C5257" i="1"/>
  <c r="D5257" i="1"/>
  <c r="E5257" i="1"/>
  <c r="A5258" i="1"/>
  <c r="B5258" i="1"/>
  <c r="C5258" i="1"/>
  <c r="D5258" i="1"/>
  <c r="E5258" i="1"/>
  <c r="A5259" i="1"/>
  <c r="B5259" i="1"/>
  <c r="C5259" i="1"/>
  <c r="D5259" i="1"/>
  <c r="E5259" i="1"/>
  <c r="A5260" i="1"/>
  <c r="B5260" i="1"/>
  <c r="C5260" i="1"/>
  <c r="D5260" i="1"/>
  <c r="E5260" i="1"/>
  <c r="A5261" i="1"/>
  <c r="B5261" i="1"/>
  <c r="C5261" i="1"/>
  <c r="D5261" i="1"/>
  <c r="E5261" i="1"/>
  <c r="A5262" i="1"/>
  <c r="B5262" i="1"/>
  <c r="C5262" i="1"/>
  <c r="D5262" i="1"/>
  <c r="E5262" i="1"/>
  <c r="A5263" i="1"/>
  <c r="B5263" i="1"/>
  <c r="C5263" i="1"/>
  <c r="D5263" i="1"/>
  <c r="E5263" i="1"/>
  <c r="A5264" i="1"/>
  <c r="B5264" i="1"/>
  <c r="C5264" i="1"/>
  <c r="D5264" i="1"/>
  <c r="E5264" i="1"/>
  <c r="A5265" i="1"/>
  <c r="B5265" i="1"/>
  <c r="C5265" i="1"/>
  <c r="D5265" i="1"/>
  <c r="E5265" i="1"/>
  <c r="A5266" i="1"/>
  <c r="B5266" i="1"/>
  <c r="C5266" i="1"/>
  <c r="D5266" i="1"/>
  <c r="E5266" i="1"/>
  <c r="A5267" i="1"/>
  <c r="B5267" i="1"/>
  <c r="C5267" i="1"/>
  <c r="D5267" i="1"/>
  <c r="E5267" i="1"/>
  <c r="A5268" i="1"/>
  <c r="B5268" i="1"/>
  <c r="C5268" i="1"/>
  <c r="D5268" i="1"/>
  <c r="E5268" i="1"/>
  <c r="A5269" i="1"/>
  <c r="B5269" i="1"/>
  <c r="C5269" i="1"/>
  <c r="D5269" i="1"/>
  <c r="E5269" i="1"/>
  <c r="A5270" i="1"/>
  <c r="B5270" i="1"/>
  <c r="C5270" i="1"/>
  <c r="D5270" i="1"/>
  <c r="E5270" i="1"/>
  <c r="A5271" i="1"/>
  <c r="B5271" i="1"/>
  <c r="C5271" i="1"/>
  <c r="D5271" i="1"/>
  <c r="E5271" i="1"/>
  <c r="A5272" i="1"/>
  <c r="B5272" i="1"/>
  <c r="C5272" i="1"/>
  <c r="D5272" i="1"/>
  <c r="E5272" i="1"/>
  <c r="A5273" i="1"/>
  <c r="B5273" i="1"/>
  <c r="C5273" i="1"/>
  <c r="D5273" i="1"/>
  <c r="E5273" i="1"/>
  <c r="A5274" i="1"/>
  <c r="B5274" i="1"/>
  <c r="C5274" i="1"/>
  <c r="D5274" i="1"/>
  <c r="E5274" i="1"/>
  <c r="A5275" i="1"/>
  <c r="B5275" i="1"/>
  <c r="C5275" i="1"/>
  <c r="D5275" i="1"/>
  <c r="E5275" i="1"/>
  <c r="A5276" i="1"/>
  <c r="B5276" i="1"/>
  <c r="C5276" i="1"/>
  <c r="D5276" i="1"/>
  <c r="E5276" i="1"/>
  <c r="A5277" i="1"/>
  <c r="B5277" i="1"/>
  <c r="C5277" i="1"/>
  <c r="D5277" i="1"/>
  <c r="E5277" i="1"/>
  <c r="A5278" i="1"/>
  <c r="B5278" i="1"/>
  <c r="C5278" i="1"/>
  <c r="D5278" i="1"/>
  <c r="E5278" i="1"/>
  <c r="A5279" i="1"/>
  <c r="B5279" i="1"/>
  <c r="C5279" i="1"/>
  <c r="D5279" i="1"/>
  <c r="E5279" i="1"/>
  <c r="A5280" i="1"/>
  <c r="B5280" i="1"/>
  <c r="C5280" i="1"/>
  <c r="D5280" i="1"/>
  <c r="E5280" i="1"/>
  <c r="A5281" i="1"/>
  <c r="B5281" i="1"/>
  <c r="C5281" i="1"/>
  <c r="D5281" i="1"/>
  <c r="E5281" i="1"/>
  <c r="A5282" i="1"/>
  <c r="B5282" i="1"/>
  <c r="C5282" i="1"/>
  <c r="D5282" i="1"/>
  <c r="E5282" i="1"/>
  <c r="A5283" i="1"/>
  <c r="B5283" i="1"/>
  <c r="C5283" i="1"/>
  <c r="D5283" i="1"/>
  <c r="E5283" i="1"/>
  <c r="A5284" i="1"/>
  <c r="B5284" i="1"/>
  <c r="C5284" i="1"/>
  <c r="D5284" i="1"/>
  <c r="E5284" i="1"/>
  <c r="A5285" i="1"/>
  <c r="B5285" i="1"/>
  <c r="C5285" i="1"/>
  <c r="D5285" i="1"/>
  <c r="E5285" i="1"/>
  <c r="A5286" i="1"/>
  <c r="B5286" i="1"/>
  <c r="C5286" i="1"/>
  <c r="D5286" i="1"/>
  <c r="E5286" i="1"/>
  <c r="A5287" i="1"/>
  <c r="B5287" i="1"/>
  <c r="C5287" i="1"/>
  <c r="D5287" i="1"/>
  <c r="E5287" i="1"/>
  <c r="A5288" i="1"/>
  <c r="B5288" i="1"/>
  <c r="C5288" i="1"/>
  <c r="D5288" i="1"/>
  <c r="E5288" i="1"/>
  <c r="A5289" i="1"/>
  <c r="B5289" i="1"/>
  <c r="C5289" i="1"/>
  <c r="D5289" i="1"/>
  <c r="E5289" i="1"/>
  <c r="A5290" i="1"/>
  <c r="B5290" i="1"/>
  <c r="C5290" i="1"/>
  <c r="D5290" i="1"/>
  <c r="E5290" i="1"/>
  <c r="A5291" i="1"/>
  <c r="B5291" i="1"/>
  <c r="C5291" i="1"/>
  <c r="D5291" i="1"/>
  <c r="E5291" i="1"/>
  <c r="A5292" i="1"/>
  <c r="B5292" i="1"/>
  <c r="C5292" i="1"/>
  <c r="D5292" i="1"/>
  <c r="E5292" i="1"/>
  <c r="A5293" i="1"/>
  <c r="B5293" i="1"/>
  <c r="C5293" i="1"/>
  <c r="D5293" i="1"/>
  <c r="E5293" i="1"/>
  <c r="A5294" i="1"/>
  <c r="B5294" i="1"/>
  <c r="C5294" i="1"/>
  <c r="D5294" i="1"/>
  <c r="E5294" i="1"/>
  <c r="A5295" i="1"/>
  <c r="B5295" i="1"/>
  <c r="C5295" i="1"/>
  <c r="D5295" i="1"/>
  <c r="E5295" i="1"/>
  <c r="A5296" i="1"/>
  <c r="B5296" i="1"/>
  <c r="C5296" i="1"/>
  <c r="D5296" i="1"/>
  <c r="E5296" i="1"/>
  <c r="A5297" i="1"/>
  <c r="B5297" i="1"/>
  <c r="C5297" i="1"/>
  <c r="D5297" i="1"/>
  <c r="E5297" i="1"/>
  <c r="A5298" i="1"/>
  <c r="B5298" i="1"/>
  <c r="C5298" i="1"/>
  <c r="D5298" i="1"/>
  <c r="E5298" i="1"/>
  <c r="A5299" i="1"/>
  <c r="B5299" i="1"/>
  <c r="C5299" i="1"/>
  <c r="D5299" i="1"/>
  <c r="E5299" i="1"/>
  <c r="A5300" i="1"/>
  <c r="B5300" i="1"/>
  <c r="C5300" i="1"/>
  <c r="D5300" i="1"/>
  <c r="E5300" i="1"/>
  <c r="A5301" i="1"/>
  <c r="B5301" i="1"/>
  <c r="C5301" i="1"/>
  <c r="D5301" i="1"/>
  <c r="E5301" i="1"/>
  <c r="A5302" i="1"/>
  <c r="B5302" i="1"/>
  <c r="C5302" i="1"/>
  <c r="D5302" i="1"/>
  <c r="E5302" i="1"/>
  <c r="A5303" i="1"/>
  <c r="B5303" i="1"/>
  <c r="C5303" i="1"/>
  <c r="D5303" i="1"/>
  <c r="E5303" i="1"/>
  <c r="A5304" i="1"/>
  <c r="B5304" i="1"/>
  <c r="C5304" i="1"/>
  <c r="D5304" i="1"/>
  <c r="E5304" i="1"/>
  <c r="A5305" i="1"/>
  <c r="B5305" i="1"/>
  <c r="C5305" i="1"/>
  <c r="D5305" i="1"/>
  <c r="E5305" i="1"/>
  <c r="A5306" i="1"/>
  <c r="B5306" i="1"/>
  <c r="C5306" i="1"/>
  <c r="D5306" i="1"/>
  <c r="E5306" i="1"/>
  <c r="A5307" i="1"/>
  <c r="B5307" i="1"/>
  <c r="C5307" i="1"/>
  <c r="D5307" i="1"/>
  <c r="E5307" i="1"/>
  <c r="A5308" i="1"/>
  <c r="B5308" i="1"/>
  <c r="C5308" i="1"/>
  <c r="D5308" i="1"/>
  <c r="E5308" i="1"/>
  <c r="A5309" i="1"/>
  <c r="B5309" i="1"/>
  <c r="C5309" i="1"/>
  <c r="D5309" i="1"/>
  <c r="E5309" i="1"/>
  <c r="A5310" i="1"/>
  <c r="B5310" i="1"/>
  <c r="C5310" i="1"/>
  <c r="D5310" i="1"/>
  <c r="E5310" i="1"/>
  <c r="A5311" i="1"/>
  <c r="B5311" i="1"/>
  <c r="C5311" i="1"/>
  <c r="D5311" i="1"/>
  <c r="E5311" i="1"/>
  <c r="A5312" i="1"/>
  <c r="B5312" i="1"/>
  <c r="C5312" i="1"/>
  <c r="D5312" i="1"/>
  <c r="E5312" i="1"/>
  <c r="A5313" i="1"/>
  <c r="B5313" i="1"/>
  <c r="C5313" i="1"/>
  <c r="D5313" i="1"/>
  <c r="E5313" i="1"/>
  <c r="A5314" i="1"/>
  <c r="B5314" i="1"/>
  <c r="C5314" i="1"/>
  <c r="D5314" i="1"/>
  <c r="E5314" i="1"/>
  <c r="A5315" i="1"/>
  <c r="B5315" i="1"/>
  <c r="C5315" i="1"/>
  <c r="D5315" i="1"/>
  <c r="E5315" i="1"/>
  <c r="A5316" i="1"/>
  <c r="B5316" i="1"/>
  <c r="C5316" i="1"/>
  <c r="D5316" i="1"/>
  <c r="E5316" i="1"/>
  <c r="A5317" i="1"/>
  <c r="B5317" i="1"/>
  <c r="C5317" i="1"/>
  <c r="D5317" i="1"/>
  <c r="E5317" i="1"/>
  <c r="A5318" i="1"/>
  <c r="B5318" i="1"/>
  <c r="C5318" i="1"/>
  <c r="D5318" i="1"/>
  <c r="E5318" i="1"/>
  <c r="A5319" i="1"/>
  <c r="B5319" i="1"/>
  <c r="C5319" i="1"/>
  <c r="D5319" i="1"/>
  <c r="E5319" i="1"/>
  <c r="A5320" i="1"/>
  <c r="B5320" i="1"/>
  <c r="C5320" i="1"/>
  <c r="D5320" i="1"/>
  <c r="E5320" i="1"/>
  <c r="A5321" i="1"/>
  <c r="B5321" i="1"/>
  <c r="C5321" i="1"/>
  <c r="D5321" i="1"/>
  <c r="E5321" i="1"/>
  <c r="A5322" i="1"/>
  <c r="B5322" i="1"/>
  <c r="C5322" i="1"/>
  <c r="D5322" i="1"/>
  <c r="E5322" i="1"/>
  <c r="A5323" i="1"/>
  <c r="B5323" i="1"/>
  <c r="C5323" i="1"/>
  <c r="D5323" i="1"/>
  <c r="E5323" i="1"/>
  <c r="A5324" i="1"/>
  <c r="B5324" i="1"/>
  <c r="C5324" i="1"/>
  <c r="D5324" i="1"/>
  <c r="E5324" i="1"/>
  <c r="A5325" i="1"/>
  <c r="B5325" i="1"/>
  <c r="C5325" i="1"/>
  <c r="D5325" i="1"/>
  <c r="E5325" i="1"/>
  <c r="A5326" i="1"/>
  <c r="B5326" i="1"/>
  <c r="C5326" i="1"/>
  <c r="D5326" i="1"/>
  <c r="E5326" i="1"/>
  <c r="A5327" i="1"/>
  <c r="B5327" i="1"/>
  <c r="C5327" i="1"/>
  <c r="D5327" i="1"/>
  <c r="E5327" i="1"/>
  <c r="A5328" i="1"/>
  <c r="B5328" i="1"/>
  <c r="C5328" i="1"/>
  <c r="D5328" i="1"/>
  <c r="E5328" i="1"/>
  <c r="A5329" i="1"/>
  <c r="B5329" i="1"/>
  <c r="C5329" i="1"/>
  <c r="D5329" i="1"/>
  <c r="E5329" i="1"/>
  <c r="A5330" i="1"/>
  <c r="B5330" i="1"/>
  <c r="C5330" i="1"/>
  <c r="D5330" i="1"/>
  <c r="E5330" i="1"/>
  <c r="A5331" i="1"/>
  <c r="B5331" i="1"/>
  <c r="C5331" i="1"/>
  <c r="D5331" i="1"/>
  <c r="E5331" i="1"/>
  <c r="A5332" i="1"/>
  <c r="B5332" i="1"/>
  <c r="C5332" i="1"/>
  <c r="D5332" i="1"/>
  <c r="E5332" i="1"/>
  <c r="A5333" i="1"/>
  <c r="B5333" i="1"/>
  <c r="C5333" i="1"/>
  <c r="D5333" i="1"/>
  <c r="E5333" i="1"/>
  <c r="A5334" i="1"/>
  <c r="B5334" i="1"/>
  <c r="C5334" i="1"/>
  <c r="D5334" i="1"/>
  <c r="E5334" i="1"/>
  <c r="A5335" i="1"/>
  <c r="B5335" i="1"/>
  <c r="C5335" i="1"/>
  <c r="D5335" i="1"/>
  <c r="E5335" i="1"/>
  <c r="A5336" i="1"/>
  <c r="B5336" i="1"/>
  <c r="C5336" i="1"/>
  <c r="D5336" i="1"/>
  <c r="E5336" i="1"/>
  <c r="A5337" i="1"/>
  <c r="B5337" i="1"/>
  <c r="C5337" i="1"/>
  <c r="D5337" i="1"/>
  <c r="E5337" i="1"/>
  <c r="A5338" i="1"/>
  <c r="B5338" i="1"/>
  <c r="C5338" i="1"/>
  <c r="D5338" i="1"/>
  <c r="E5338" i="1"/>
  <c r="A5339" i="1"/>
  <c r="B5339" i="1"/>
  <c r="C5339" i="1"/>
  <c r="D5339" i="1"/>
  <c r="E5339" i="1"/>
  <c r="A5340" i="1"/>
  <c r="B5340" i="1"/>
  <c r="C5340" i="1"/>
  <c r="D5340" i="1"/>
  <c r="E5340" i="1"/>
  <c r="A5341" i="1"/>
  <c r="B5341" i="1"/>
  <c r="C5341" i="1"/>
  <c r="D5341" i="1"/>
  <c r="E5341" i="1"/>
  <c r="A5342" i="1"/>
  <c r="B5342" i="1"/>
  <c r="C5342" i="1"/>
  <c r="D5342" i="1"/>
  <c r="E5342" i="1"/>
  <c r="A5343" i="1"/>
  <c r="B5343" i="1"/>
  <c r="C5343" i="1"/>
  <c r="D5343" i="1"/>
  <c r="E5343" i="1"/>
  <c r="A5344" i="1"/>
  <c r="B5344" i="1"/>
  <c r="C5344" i="1"/>
  <c r="D5344" i="1"/>
  <c r="E5344" i="1"/>
  <c r="A5345" i="1"/>
  <c r="B5345" i="1"/>
  <c r="C5345" i="1"/>
  <c r="D5345" i="1"/>
  <c r="E5345" i="1"/>
  <c r="A5346" i="1"/>
  <c r="B5346" i="1"/>
  <c r="C5346" i="1"/>
  <c r="D5346" i="1"/>
  <c r="E5346" i="1"/>
  <c r="A5347" i="1"/>
  <c r="B5347" i="1"/>
  <c r="C5347" i="1"/>
  <c r="D5347" i="1"/>
  <c r="E5347" i="1"/>
  <c r="A5348" i="1"/>
  <c r="B5348" i="1"/>
  <c r="C5348" i="1"/>
  <c r="D5348" i="1"/>
  <c r="E5348" i="1"/>
  <c r="A5349" i="1"/>
  <c r="B5349" i="1"/>
  <c r="C5349" i="1"/>
  <c r="D5349" i="1"/>
  <c r="E5349" i="1"/>
  <c r="A5350" i="1"/>
  <c r="B5350" i="1"/>
  <c r="C5350" i="1"/>
  <c r="D5350" i="1"/>
  <c r="E5350" i="1"/>
  <c r="A5351" i="1"/>
  <c r="B5351" i="1"/>
  <c r="C5351" i="1"/>
  <c r="D5351" i="1"/>
  <c r="E5351" i="1"/>
  <c r="A5352" i="1"/>
  <c r="B5352" i="1"/>
  <c r="C5352" i="1"/>
  <c r="D5352" i="1"/>
  <c r="E5352" i="1"/>
  <c r="A5353" i="1"/>
  <c r="B5353" i="1"/>
  <c r="C5353" i="1"/>
  <c r="D5353" i="1"/>
  <c r="E5353" i="1"/>
  <c r="A5354" i="1"/>
  <c r="B5354" i="1"/>
  <c r="C5354" i="1"/>
  <c r="D5354" i="1"/>
  <c r="E5354" i="1"/>
  <c r="A5355" i="1"/>
  <c r="B5355" i="1"/>
  <c r="C5355" i="1"/>
  <c r="D5355" i="1"/>
  <c r="E5355" i="1"/>
  <c r="A5356" i="1"/>
  <c r="B5356" i="1"/>
  <c r="C5356" i="1"/>
  <c r="D5356" i="1"/>
  <c r="E5356" i="1"/>
  <c r="A5357" i="1"/>
  <c r="B5357" i="1"/>
  <c r="C5357" i="1"/>
  <c r="D5357" i="1"/>
  <c r="E5357" i="1"/>
  <c r="A5358" i="1"/>
  <c r="B5358" i="1"/>
  <c r="C5358" i="1"/>
  <c r="D5358" i="1"/>
  <c r="E5358" i="1"/>
  <c r="A5359" i="1"/>
  <c r="B5359" i="1"/>
  <c r="C5359" i="1"/>
  <c r="D5359" i="1"/>
  <c r="E5359" i="1"/>
  <c r="A5360" i="1"/>
  <c r="B5360" i="1"/>
  <c r="C5360" i="1"/>
  <c r="D5360" i="1"/>
  <c r="E5360" i="1"/>
  <c r="A5361" i="1"/>
  <c r="B5361" i="1"/>
  <c r="C5361" i="1"/>
  <c r="D5361" i="1"/>
  <c r="E5361" i="1"/>
  <c r="A5362" i="1"/>
  <c r="B5362" i="1"/>
  <c r="C5362" i="1"/>
  <c r="D5362" i="1"/>
  <c r="E5362" i="1"/>
  <c r="A5363" i="1"/>
  <c r="B5363" i="1"/>
  <c r="C5363" i="1"/>
  <c r="D5363" i="1"/>
  <c r="E5363" i="1"/>
  <c r="A5364" i="1"/>
  <c r="B5364" i="1"/>
  <c r="C5364" i="1"/>
  <c r="D5364" i="1"/>
  <c r="E5364" i="1"/>
  <c r="A5365" i="1"/>
  <c r="B5365" i="1"/>
  <c r="C5365" i="1"/>
  <c r="D5365" i="1"/>
  <c r="E5365" i="1"/>
  <c r="A5366" i="1"/>
  <c r="B5366" i="1"/>
  <c r="C5366" i="1"/>
  <c r="D5366" i="1"/>
  <c r="E5366" i="1"/>
  <c r="A5367" i="1"/>
  <c r="B5367" i="1"/>
  <c r="C5367" i="1"/>
  <c r="D5367" i="1"/>
  <c r="E5367" i="1"/>
  <c r="A5368" i="1"/>
  <c r="B5368" i="1"/>
  <c r="C5368" i="1"/>
  <c r="D5368" i="1"/>
  <c r="E5368" i="1"/>
  <c r="A5369" i="1"/>
  <c r="B5369" i="1"/>
  <c r="C5369" i="1"/>
  <c r="D5369" i="1"/>
  <c r="E5369" i="1"/>
  <c r="A5370" i="1"/>
  <c r="B5370" i="1"/>
  <c r="C5370" i="1"/>
  <c r="D5370" i="1"/>
  <c r="E5370" i="1"/>
  <c r="A5371" i="1"/>
  <c r="B5371" i="1"/>
  <c r="C5371" i="1"/>
  <c r="D5371" i="1"/>
  <c r="E5371" i="1"/>
  <c r="A5372" i="1"/>
  <c r="B5372" i="1"/>
  <c r="C5372" i="1"/>
  <c r="D5372" i="1"/>
  <c r="E5372" i="1"/>
  <c r="A5373" i="1"/>
  <c r="B5373" i="1"/>
  <c r="C5373" i="1"/>
  <c r="D5373" i="1"/>
  <c r="E5373" i="1"/>
  <c r="A5374" i="1"/>
  <c r="B5374" i="1"/>
  <c r="C5374" i="1"/>
  <c r="D5374" i="1"/>
  <c r="E5374" i="1"/>
  <c r="A5375" i="1"/>
  <c r="B5375" i="1"/>
  <c r="C5375" i="1"/>
  <c r="D5375" i="1"/>
  <c r="E5375" i="1"/>
  <c r="A5376" i="1"/>
  <c r="B5376" i="1"/>
  <c r="C5376" i="1"/>
  <c r="D5376" i="1"/>
  <c r="E5376" i="1"/>
  <c r="A5377" i="1"/>
  <c r="B5377" i="1"/>
  <c r="C5377" i="1"/>
  <c r="D5377" i="1"/>
  <c r="E5377" i="1"/>
  <c r="A5378" i="1"/>
  <c r="B5378" i="1"/>
  <c r="C5378" i="1"/>
  <c r="D5378" i="1"/>
  <c r="E5378" i="1"/>
  <c r="A5379" i="1"/>
  <c r="B5379" i="1"/>
  <c r="C5379" i="1"/>
  <c r="D5379" i="1"/>
  <c r="E5379" i="1"/>
  <c r="A5380" i="1"/>
  <c r="B5380" i="1"/>
  <c r="C5380" i="1"/>
  <c r="D5380" i="1"/>
  <c r="E5380" i="1"/>
  <c r="A5381" i="1"/>
  <c r="B5381" i="1"/>
  <c r="C5381" i="1"/>
  <c r="D5381" i="1"/>
  <c r="E5381" i="1"/>
  <c r="A5382" i="1"/>
  <c r="B5382" i="1"/>
  <c r="C5382" i="1"/>
  <c r="D5382" i="1"/>
  <c r="E5382" i="1"/>
  <c r="A5383" i="1"/>
  <c r="B5383" i="1"/>
  <c r="C5383" i="1"/>
  <c r="D5383" i="1"/>
  <c r="E5383" i="1"/>
  <c r="A5384" i="1"/>
  <c r="B5384" i="1"/>
  <c r="C5384" i="1"/>
  <c r="D5384" i="1"/>
  <c r="E5384" i="1"/>
  <c r="A5385" i="1"/>
  <c r="B5385" i="1"/>
  <c r="C5385" i="1"/>
  <c r="D5385" i="1"/>
  <c r="E5385" i="1"/>
  <c r="A5386" i="1"/>
  <c r="B5386" i="1"/>
  <c r="C5386" i="1"/>
  <c r="D5386" i="1"/>
  <c r="E5386" i="1"/>
  <c r="A5387" i="1"/>
  <c r="B5387" i="1"/>
  <c r="C5387" i="1"/>
  <c r="D5387" i="1"/>
  <c r="E5387" i="1"/>
  <c r="A5388" i="1"/>
  <c r="B5388" i="1"/>
  <c r="C5388" i="1"/>
  <c r="D5388" i="1"/>
  <c r="E5388" i="1"/>
  <c r="A5389" i="1"/>
  <c r="B5389" i="1"/>
  <c r="C5389" i="1"/>
  <c r="D5389" i="1"/>
  <c r="E5389" i="1"/>
  <c r="A5390" i="1"/>
  <c r="B5390" i="1"/>
  <c r="C5390" i="1"/>
  <c r="D5390" i="1"/>
  <c r="E5390" i="1"/>
  <c r="A5391" i="1"/>
  <c r="B5391" i="1"/>
  <c r="C5391" i="1"/>
  <c r="D5391" i="1"/>
  <c r="E5391" i="1"/>
  <c r="A5392" i="1"/>
  <c r="B5392" i="1"/>
  <c r="C5392" i="1"/>
  <c r="D5392" i="1"/>
  <c r="E5392" i="1"/>
  <c r="A5393" i="1"/>
  <c r="B5393" i="1"/>
  <c r="C5393" i="1"/>
  <c r="D5393" i="1"/>
  <c r="E5393" i="1"/>
  <c r="A5394" i="1"/>
  <c r="B5394" i="1"/>
  <c r="C5394" i="1"/>
  <c r="D5394" i="1"/>
  <c r="E5394" i="1"/>
  <c r="A5395" i="1"/>
  <c r="B5395" i="1"/>
  <c r="C5395" i="1"/>
  <c r="D5395" i="1"/>
  <c r="E5395" i="1"/>
  <c r="A5396" i="1"/>
  <c r="B5396" i="1"/>
  <c r="C5396" i="1"/>
  <c r="D5396" i="1"/>
  <c r="E5396" i="1"/>
  <c r="A5397" i="1"/>
  <c r="B5397" i="1"/>
  <c r="C5397" i="1"/>
  <c r="D5397" i="1"/>
  <c r="E5397" i="1"/>
  <c r="A5398" i="1"/>
  <c r="B5398" i="1"/>
  <c r="C5398" i="1"/>
  <c r="D5398" i="1"/>
  <c r="E5398" i="1"/>
  <c r="A5399" i="1"/>
  <c r="B5399" i="1"/>
  <c r="C5399" i="1"/>
  <c r="D5399" i="1"/>
  <c r="E5399" i="1"/>
  <c r="A5400" i="1"/>
  <c r="B5400" i="1"/>
  <c r="C5400" i="1"/>
  <c r="D5400" i="1"/>
  <c r="E5400" i="1"/>
  <c r="A5401" i="1"/>
  <c r="B5401" i="1"/>
  <c r="C5401" i="1"/>
  <c r="D5401" i="1"/>
  <c r="E5401" i="1"/>
  <c r="A5402" i="1"/>
  <c r="B5402" i="1"/>
  <c r="C5402" i="1"/>
  <c r="D5402" i="1"/>
  <c r="E5402" i="1"/>
  <c r="A5403" i="1"/>
  <c r="B5403" i="1"/>
  <c r="C5403" i="1"/>
  <c r="D5403" i="1"/>
  <c r="E5403" i="1"/>
  <c r="A5404" i="1"/>
  <c r="B5404" i="1"/>
  <c r="C5404" i="1"/>
  <c r="D5404" i="1"/>
  <c r="E5404" i="1"/>
  <c r="A5405" i="1"/>
  <c r="B5405" i="1"/>
  <c r="C5405" i="1"/>
  <c r="D5405" i="1"/>
  <c r="E5405" i="1"/>
  <c r="A5406" i="1"/>
  <c r="B5406" i="1"/>
  <c r="C5406" i="1"/>
  <c r="D5406" i="1"/>
  <c r="E5406" i="1"/>
  <c r="A5407" i="1"/>
  <c r="B5407" i="1"/>
  <c r="C5407" i="1"/>
  <c r="D5407" i="1"/>
  <c r="E5407" i="1"/>
  <c r="A5408" i="1"/>
  <c r="B5408" i="1"/>
  <c r="C5408" i="1"/>
  <c r="D5408" i="1"/>
  <c r="E5408" i="1"/>
  <c r="A5409" i="1"/>
  <c r="B5409" i="1"/>
  <c r="C5409" i="1"/>
  <c r="D5409" i="1"/>
  <c r="E5409" i="1"/>
  <c r="A5410" i="1"/>
  <c r="B5410" i="1"/>
  <c r="C5410" i="1"/>
  <c r="D5410" i="1"/>
  <c r="E5410" i="1"/>
  <c r="A5411" i="1"/>
  <c r="B5411" i="1"/>
  <c r="C5411" i="1"/>
  <c r="D5411" i="1"/>
  <c r="E5411" i="1"/>
  <c r="A5412" i="1"/>
  <c r="B5412" i="1"/>
  <c r="C5412" i="1"/>
  <c r="D5412" i="1"/>
  <c r="E5412" i="1"/>
  <c r="A5413" i="1"/>
  <c r="B5413" i="1"/>
  <c r="C5413" i="1"/>
  <c r="D5413" i="1"/>
  <c r="E5413" i="1"/>
  <c r="A5414" i="1"/>
  <c r="B5414" i="1"/>
  <c r="C5414" i="1"/>
  <c r="D5414" i="1"/>
  <c r="E5414" i="1"/>
  <c r="A5415" i="1"/>
  <c r="B5415" i="1"/>
  <c r="C5415" i="1"/>
  <c r="D5415" i="1"/>
  <c r="E5415" i="1"/>
  <c r="A5416" i="1"/>
  <c r="B5416" i="1"/>
  <c r="C5416" i="1"/>
  <c r="D5416" i="1"/>
  <c r="E5416" i="1"/>
  <c r="A5417" i="1"/>
  <c r="B5417" i="1"/>
  <c r="C5417" i="1"/>
  <c r="D5417" i="1"/>
  <c r="E5417" i="1"/>
  <c r="A5418" i="1"/>
  <c r="B5418" i="1"/>
  <c r="C5418" i="1"/>
  <c r="D5418" i="1"/>
  <c r="E5418" i="1"/>
  <c r="A5419" i="1"/>
  <c r="B5419" i="1"/>
  <c r="C5419" i="1"/>
  <c r="D5419" i="1"/>
  <c r="E5419" i="1"/>
  <c r="A5420" i="1"/>
  <c r="B5420" i="1"/>
  <c r="C5420" i="1"/>
  <c r="D5420" i="1"/>
  <c r="E5420" i="1"/>
  <c r="A5421" i="1"/>
  <c r="B5421" i="1"/>
  <c r="C5421" i="1"/>
  <c r="D5421" i="1"/>
  <c r="E5421" i="1"/>
  <c r="A5422" i="1"/>
  <c r="B5422" i="1"/>
  <c r="C5422" i="1"/>
  <c r="D5422" i="1"/>
  <c r="E5422" i="1"/>
  <c r="A5423" i="1"/>
  <c r="B5423" i="1"/>
  <c r="C5423" i="1"/>
  <c r="D5423" i="1"/>
  <c r="E5423" i="1"/>
  <c r="A5424" i="1"/>
  <c r="B5424" i="1"/>
  <c r="C5424" i="1"/>
  <c r="D5424" i="1"/>
  <c r="E5424" i="1"/>
  <c r="A5425" i="1"/>
  <c r="B5425" i="1"/>
  <c r="C5425" i="1"/>
  <c r="D5425" i="1"/>
  <c r="E5425" i="1"/>
  <c r="A5426" i="1"/>
  <c r="B5426" i="1"/>
  <c r="C5426" i="1"/>
  <c r="D5426" i="1"/>
  <c r="E5426" i="1"/>
  <c r="A5427" i="1"/>
  <c r="B5427" i="1"/>
  <c r="C5427" i="1"/>
  <c r="D5427" i="1"/>
  <c r="E5427" i="1"/>
  <c r="A5428" i="1"/>
  <c r="B5428" i="1"/>
  <c r="C5428" i="1"/>
  <c r="D5428" i="1"/>
  <c r="E5428" i="1"/>
  <c r="A5429" i="1"/>
  <c r="B5429" i="1"/>
  <c r="C5429" i="1"/>
  <c r="D5429" i="1"/>
  <c r="E5429" i="1"/>
  <c r="A5430" i="1"/>
  <c r="B5430" i="1"/>
  <c r="C5430" i="1"/>
  <c r="D5430" i="1"/>
  <c r="E5430" i="1"/>
  <c r="A5431" i="1"/>
  <c r="B5431" i="1"/>
  <c r="C5431" i="1"/>
  <c r="D5431" i="1"/>
  <c r="E5431" i="1"/>
  <c r="A5432" i="1"/>
  <c r="B5432" i="1"/>
  <c r="C5432" i="1"/>
  <c r="D5432" i="1"/>
  <c r="E5432" i="1"/>
  <c r="A5433" i="1"/>
  <c r="B5433" i="1"/>
  <c r="C5433" i="1"/>
  <c r="D5433" i="1"/>
  <c r="E5433" i="1"/>
  <c r="A5434" i="1"/>
  <c r="B5434" i="1"/>
  <c r="C5434" i="1"/>
  <c r="D5434" i="1"/>
  <c r="E5434" i="1"/>
  <c r="A5435" i="1"/>
  <c r="B5435" i="1"/>
  <c r="C5435" i="1"/>
  <c r="D5435" i="1"/>
  <c r="E5435" i="1"/>
  <c r="A5436" i="1"/>
  <c r="B5436" i="1"/>
  <c r="C5436" i="1"/>
  <c r="D5436" i="1"/>
  <c r="E5436" i="1"/>
  <c r="A5437" i="1"/>
  <c r="B5437" i="1"/>
  <c r="C5437" i="1"/>
  <c r="D5437" i="1"/>
  <c r="E5437" i="1"/>
  <c r="A5438" i="1"/>
  <c r="B5438" i="1"/>
  <c r="C5438" i="1"/>
  <c r="D5438" i="1"/>
  <c r="E5438" i="1"/>
  <c r="A5439" i="1"/>
  <c r="B5439" i="1"/>
  <c r="C5439" i="1"/>
  <c r="D5439" i="1"/>
  <c r="E5439" i="1"/>
  <c r="A5440" i="1"/>
  <c r="B5440" i="1"/>
  <c r="C5440" i="1"/>
  <c r="D5440" i="1"/>
  <c r="E5440" i="1"/>
  <c r="A5441" i="1"/>
  <c r="B5441" i="1"/>
  <c r="C5441" i="1"/>
  <c r="D5441" i="1"/>
  <c r="E5441" i="1"/>
  <c r="A5442" i="1"/>
  <c r="B5442" i="1"/>
  <c r="C5442" i="1"/>
  <c r="D5442" i="1"/>
  <c r="E5442" i="1"/>
  <c r="A5443" i="1"/>
  <c r="B5443" i="1"/>
  <c r="C5443" i="1"/>
  <c r="D5443" i="1"/>
  <c r="E5443" i="1"/>
  <c r="A5444" i="1"/>
  <c r="B5444" i="1"/>
  <c r="C5444" i="1"/>
  <c r="D5444" i="1"/>
  <c r="E5444" i="1"/>
  <c r="A5445" i="1"/>
  <c r="B5445" i="1"/>
  <c r="C5445" i="1"/>
  <c r="D5445" i="1"/>
  <c r="E5445" i="1"/>
  <c r="A5446" i="1"/>
  <c r="B5446" i="1"/>
  <c r="C5446" i="1"/>
  <c r="D5446" i="1"/>
  <c r="E5446" i="1"/>
  <c r="A5447" i="1"/>
  <c r="B5447" i="1"/>
  <c r="C5447" i="1"/>
  <c r="D5447" i="1"/>
  <c r="E5447" i="1"/>
  <c r="A5448" i="1"/>
  <c r="B5448" i="1"/>
  <c r="C5448" i="1"/>
  <c r="D5448" i="1"/>
  <c r="E5448" i="1"/>
  <c r="A5449" i="1"/>
  <c r="B5449" i="1"/>
  <c r="C5449" i="1"/>
  <c r="D5449" i="1"/>
  <c r="E5449" i="1"/>
  <c r="A5450" i="1"/>
  <c r="B5450" i="1"/>
  <c r="C5450" i="1"/>
  <c r="D5450" i="1"/>
  <c r="E5450" i="1"/>
  <c r="A5451" i="1"/>
  <c r="B5451" i="1"/>
  <c r="C5451" i="1"/>
  <c r="D5451" i="1"/>
  <c r="E5451" i="1"/>
  <c r="A5452" i="1"/>
  <c r="B5452" i="1"/>
  <c r="C5452" i="1"/>
  <c r="D5452" i="1"/>
  <c r="E5452" i="1"/>
  <c r="A5453" i="1"/>
  <c r="B5453" i="1"/>
  <c r="C5453" i="1"/>
  <c r="D5453" i="1"/>
  <c r="E5453" i="1"/>
  <c r="A5454" i="1"/>
  <c r="B5454" i="1"/>
  <c r="C5454" i="1"/>
  <c r="D5454" i="1"/>
  <c r="E5454" i="1"/>
  <c r="A5455" i="1"/>
  <c r="B5455" i="1"/>
  <c r="C5455" i="1"/>
  <c r="D5455" i="1"/>
  <c r="E5455" i="1"/>
  <c r="A5456" i="1"/>
  <c r="B5456" i="1"/>
  <c r="C5456" i="1"/>
  <c r="D5456" i="1"/>
  <c r="E5456" i="1"/>
  <c r="A5457" i="1"/>
  <c r="B5457" i="1"/>
  <c r="C5457" i="1"/>
  <c r="D5457" i="1"/>
  <c r="E5457" i="1"/>
  <c r="A5458" i="1"/>
  <c r="B5458" i="1"/>
  <c r="C5458" i="1"/>
  <c r="D5458" i="1"/>
  <c r="E5458" i="1"/>
  <c r="A5459" i="1"/>
  <c r="B5459" i="1"/>
  <c r="C5459" i="1"/>
  <c r="D5459" i="1"/>
  <c r="E5459" i="1"/>
  <c r="A5460" i="1"/>
  <c r="B5460" i="1"/>
  <c r="C5460" i="1"/>
  <c r="D5460" i="1"/>
  <c r="E5460" i="1"/>
  <c r="A5461" i="1"/>
  <c r="B5461" i="1"/>
  <c r="C5461" i="1"/>
  <c r="D5461" i="1"/>
  <c r="E5461" i="1"/>
  <c r="A5462" i="1"/>
  <c r="B5462" i="1"/>
  <c r="C5462" i="1"/>
  <c r="D5462" i="1"/>
  <c r="E5462" i="1"/>
  <c r="A5463" i="1"/>
  <c r="B5463" i="1"/>
  <c r="C5463" i="1"/>
  <c r="D5463" i="1"/>
  <c r="E5463" i="1"/>
  <c r="A5464" i="1"/>
  <c r="B5464" i="1"/>
  <c r="C5464" i="1"/>
  <c r="D5464" i="1"/>
  <c r="E5464" i="1"/>
  <c r="A5465" i="1"/>
  <c r="B5465" i="1"/>
  <c r="C5465" i="1"/>
  <c r="D5465" i="1"/>
  <c r="E5465" i="1"/>
  <c r="A5466" i="1"/>
  <c r="B5466" i="1"/>
  <c r="C5466" i="1"/>
  <c r="D5466" i="1"/>
  <c r="E5466" i="1"/>
  <c r="A5467" i="1"/>
  <c r="B5467" i="1"/>
  <c r="C5467" i="1"/>
  <c r="D5467" i="1"/>
  <c r="E5467" i="1"/>
  <c r="A5468" i="1"/>
  <c r="B5468" i="1"/>
  <c r="C5468" i="1"/>
  <c r="D5468" i="1"/>
  <c r="E5468" i="1"/>
  <c r="A5469" i="1"/>
  <c r="B5469" i="1"/>
  <c r="C5469" i="1"/>
  <c r="D5469" i="1"/>
  <c r="E5469" i="1"/>
  <c r="A5470" i="1"/>
  <c r="B5470" i="1"/>
  <c r="C5470" i="1"/>
  <c r="D5470" i="1"/>
  <c r="E5470" i="1"/>
  <c r="A5471" i="1"/>
  <c r="B5471" i="1"/>
  <c r="C5471" i="1"/>
  <c r="D5471" i="1"/>
  <c r="E5471" i="1"/>
  <c r="A5472" i="1"/>
  <c r="B5472" i="1"/>
  <c r="C5472" i="1"/>
  <c r="D5472" i="1"/>
  <c r="E5472" i="1"/>
  <c r="A5473" i="1"/>
  <c r="B5473" i="1"/>
  <c r="C5473" i="1"/>
  <c r="D5473" i="1"/>
  <c r="E5473" i="1"/>
  <c r="A5474" i="1"/>
  <c r="B5474" i="1"/>
  <c r="C5474" i="1"/>
  <c r="D5474" i="1"/>
  <c r="E5474" i="1"/>
  <c r="A5475" i="1"/>
  <c r="B5475" i="1"/>
  <c r="C5475" i="1"/>
  <c r="D5475" i="1"/>
  <c r="E5475" i="1"/>
  <c r="A5476" i="1"/>
  <c r="B5476" i="1"/>
  <c r="C5476" i="1"/>
  <c r="D5476" i="1"/>
  <c r="E5476" i="1"/>
  <c r="A5477" i="1"/>
  <c r="B5477" i="1"/>
  <c r="C5477" i="1"/>
  <c r="D5477" i="1"/>
  <c r="E5477" i="1"/>
  <c r="A5478" i="1"/>
  <c r="B5478" i="1"/>
  <c r="C5478" i="1"/>
  <c r="D5478" i="1"/>
  <c r="E5478" i="1"/>
  <c r="A5479" i="1"/>
  <c r="B5479" i="1"/>
  <c r="C5479" i="1"/>
  <c r="D5479" i="1"/>
  <c r="E5479" i="1"/>
  <c r="A5480" i="1"/>
  <c r="B5480" i="1"/>
  <c r="C5480" i="1"/>
  <c r="D5480" i="1"/>
  <c r="E5480" i="1"/>
  <c r="A5481" i="1"/>
  <c r="B5481" i="1"/>
  <c r="C5481" i="1"/>
  <c r="D5481" i="1"/>
  <c r="E5481" i="1"/>
  <c r="A5482" i="1"/>
  <c r="B5482" i="1"/>
  <c r="C5482" i="1"/>
  <c r="D5482" i="1"/>
  <c r="E5482" i="1"/>
  <c r="A5483" i="1"/>
  <c r="B5483" i="1"/>
  <c r="C5483" i="1"/>
  <c r="D5483" i="1"/>
  <c r="E5483" i="1"/>
  <c r="A5484" i="1"/>
  <c r="B5484" i="1"/>
  <c r="C5484" i="1"/>
  <c r="D5484" i="1"/>
  <c r="E5484" i="1"/>
  <c r="A5485" i="1"/>
  <c r="B5485" i="1"/>
  <c r="C5485" i="1"/>
  <c r="D5485" i="1"/>
  <c r="E5485" i="1"/>
  <c r="A5486" i="1"/>
  <c r="B5486" i="1"/>
  <c r="C5486" i="1"/>
  <c r="D5486" i="1"/>
  <c r="E5486" i="1"/>
  <c r="A5487" i="1"/>
  <c r="B5487" i="1"/>
  <c r="C5487" i="1"/>
  <c r="D5487" i="1"/>
  <c r="E5487" i="1"/>
  <c r="A5488" i="1"/>
  <c r="B5488" i="1"/>
  <c r="C5488" i="1"/>
  <c r="D5488" i="1"/>
  <c r="E5488" i="1"/>
  <c r="A5489" i="1"/>
  <c r="B5489" i="1"/>
  <c r="C5489" i="1"/>
  <c r="D5489" i="1"/>
  <c r="E5489" i="1"/>
  <c r="A5490" i="1"/>
  <c r="B5490" i="1"/>
  <c r="C5490" i="1"/>
  <c r="D5490" i="1"/>
  <c r="E5490" i="1"/>
  <c r="A5491" i="1"/>
  <c r="B5491" i="1"/>
  <c r="C5491" i="1"/>
  <c r="D5491" i="1"/>
  <c r="E5491" i="1"/>
  <c r="A5492" i="1"/>
  <c r="B5492" i="1"/>
  <c r="C5492" i="1"/>
  <c r="D5492" i="1"/>
  <c r="E5492" i="1"/>
  <c r="A5493" i="1"/>
  <c r="B5493" i="1"/>
  <c r="C5493" i="1"/>
  <c r="D5493" i="1"/>
  <c r="E5493" i="1"/>
  <c r="A5494" i="1"/>
  <c r="B5494" i="1"/>
  <c r="C5494" i="1"/>
  <c r="D5494" i="1"/>
  <c r="E5494" i="1"/>
  <c r="A5495" i="1"/>
  <c r="B5495" i="1"/>
  <c r="C5495" i="1"/>
  <c r="D5495" i="1"/>
  <c r="E5495" i="1"/>
  <c r="A5496" i="1"/>
  <c r="B5496" i="1"/>
  <c r="C5496" i="1"/>
  <c r="D5496" i="1"/>
  <c r="E5496" i="1"/>
  <c r="A5497" i="1"/>
  <c r="B5497" i="1"/>
  <c r="C5497" i="1"/>
  <c r="D5497" i="1"/>
  <c r="E5497" i="1"/>
  <c r="A5498" i="1"/>
  <c r="B5498" i="1"/>
  <c r="C5498" i="1"/>
  <c r="D5498" i="1"/>
  <c r="E5498" i="1"/>
  <c r="A5499" i="1"/>
  <c r="B5499" i="1"/>
  <c r="C5499" i="1"/>
  <c r="D5499" i="1"/>
  <c r="E5499" i="1"/>
  <c r="A5500" i="1"/>
  <c r="B5500" i="1"/>
  <c r="C5500" i="1"/>
  <c r="D5500" i="1"/>
  <c r="E5500" i="1"/>
  <c r="A5501" i="1"/>
  <c r="B5501" i="1"/>
  <c r="C5501" i="1"/>
  <c r="D5501" i="1"/>
  <c r="E5501" i="1"/>
  <c r="A5502" i="1"/>
  <c r="B5502" i="1"/>
  <c r="C5502" i="1"/>
  <c r="D5502" i="1"/>
  <c r="E5502" i="1"/>
  <c r="A5503" i="1"/>
  <c r="B5503" i="1"/>
  <c r="C5503" i="1"/>
  <c r="D5503" i="1"/>
  <c r="E5503" i="1"/>
  <c r="A5504" i="1"/>
  <c r="B5504" i="1"/>
  <c r="C5504" i="1"/>
  <c r="D5504" i="1"/>
  <c r="E5504" i="1"/>
  <c r="A5505" i="1"/>
  <c r="B5505" i="1"/>
  <c r="C5505" i="1"/>
  <c r="D5505" i="1"/>
  <c r="E5505" i="1"/>
  <c r="A5506" i="1"/>
  <c r="B5506" i="1"/>
  <c r="C5506" i="1"/>
  <c r="D5506" i="1"/>
  <c r="E5506" i="1"/>
  <c r="A5507" i="1"/>
  <c r="B5507" i="1"/>
  <c r="C5507" i="1"/>
  <c r="D5507" i="1"/>
  <c r="E5507" i="1"/>
  <c r="A5508" i="1"/>
  <c r="B5508" i="1"/>
  <c r="C5508" i="1"/>
  <c r="D5508" i="1"/>
  <c r="E5508" i="1"/>
  <c r="A5509" i="1"/>
  <c r="B5509" i="1"/>
  <c r="C5509" i="1"/>
  <c r="D5509" i="1"/>
  <c r="E5509" i="1"/>
  <c r="A5510" i="1"/>
  <c r="B5510" i="1"/>
  <c r="C5510" i="1"/>
  <c r="D5510" i="1"/>
  <c r="E5510" i="1"/>
  <c r="A5511" i="1"/>
  <c r="B5511" i="1"/>
  <c r="C5511" i="1"/>
  <c r="D5511" i="1"/>
  <c r="E5511" i="1"/>
  <c r="A5512" i="1"/>
  <c r="B5512" i="1"/>
  <c r="C5512" i="1"/>
  <c r="D5512" i="1"/>
  <c r="E5512" i="1"/>
  <c r="A5513" i="1"/>
  <c r="B5513" i="1"/>
  <c r="C5513" i="1"/>
  <c r="D5513" i="1"/>
  <c r="E5513" i="1"/>
  <c r="A5514" i="1"/>
  <c r="B5514" i="1"/>
  <c r="C5514" i="1"/>
  <c r="D5514" i="1"/>
  <c r="E5514" i="1"/>
  <c r="A5515" i="1"/>
  <c r="B5515" i="1"/>
  <c r="C5515" i="1"/>
  <c r="D5515" i="1"/>
  <c r="E5515" i="1"/>
  <c r="A5516" i="1"/>
  <c r="B5516" i="1"/>
  <c r="C5516" i="1"/>
  <c r="D5516" i="1"/>
  <c r="E5516" i="1"/>
  <c r="A5517" i="1"/>
  <c r="B5517" i="1"/>
  <c r="C5517" i="1"/>
  <c r="D5517" i="1"/>
  <c r="E5517" i="1"/>
  <c r="A5518" i="1"/>
  <c r="B5518" i="1"/>
  <c r="C5518" i="1"/>
  <c r="D5518" i="1"/>
  <c r="E5518" i="1"/>
  <c r="A5519" i="1"/>
  <c r="B5519" i="1"/>
  <c r="C5519" i="1"/>
  <c r="D5519" i="1"/>
  <c r="E5519" i="1"/>
  <c r="A5520" i="1"/>
  <c r="B5520" i="1"/>
  <c r="C5520" i="1"/>
  <c r="D5520" i="1"/>
  <c r="E5520" i="1"/>
  <c r="A5521" i="1"/>
  <c r="B5521" i="1"/>
  <c r="C5521" i="1"/>
  <c r="D5521" i="1"/>
  <c r="E5521" i="1"/>
  <c r="A5522" i="1"/>
  <c r="B5522" i="1"/>
  <c r="C5522" i="1"/>
  <c r="D5522" i="1"/>
  <c r="E5522" i="1"/>
  <c r="A5523" i="1"/>
  <c r="B5523" i="1"/>
  <c r="C5523" i="1"/>
  <c r="D5523" i="1"/>
  <c r="E5523" i="1"/>
  <c r="A5524" i="1"/>
  <c r="B5524" i="1"/>
  <c r="C5524" i="1"/>
  <c r="D5524" i="1"/>
  <c r="E5524" i="1"/>
  <c r="A5525" i="1"/>
  <c r="B5525" i="1"/>
  <c r="C5525" i="1"/>
  <c r="D5525" i="1"/>
  <c r="E5525" i="1"/>
  <c r="A5526" i="1"/>
  <c r="B5526" i="1"/>
  <c r="C5526" i="1"/>
  <c r="D5526" i="1"/>
  <c r="E5526" i="1"/>
  <c r="A5527" i="1"/>
  <c r="B5527" i="1"/>
  <c r="C5527" i="1"/>
  <c r="D5527" i="1"/>
  <c r="E5527" i="1"/>
  <c r="A5528" i="1"/>
  <c r="B5528" i="1"/>
  <c r="C5528" i="1"/>
  <c r="D5528" i="1"/>
  <c r="E5528" i="1"/>
  <c r="A5529" i="1"/>
  <c r="B5529" i="1"/>
  <c r="C5529" i="1"/>
  <c r="D5529" i="1"/>
  <c r="E5529" i="1"/>
  <c r="A5530" i="1"/>
  <c r="B5530" i="1"/>
  <c r="C5530" i="1"/>
  <c r="D5530" i="1"/>
  <c r="E5530" i="1"/>
  <c r="A5531" i="1"/>
  <c r="B5531" i="1"/>
  <c r="C5531" i="1"/>
  <c r="D5531" i="1"/>
  <c r="E5531" i="1"/>
  <c r="A5532" i="1"/>
  <c r="B5532" i="1"/>
  <c r="C5532" i="1"/>
  <c r="D5532" i="1"/>
  <c r="E5532" i="1"/>
  <c r="A5533" i="1"/>
  <c r="B5533" i="1"/>
  <c r="C5533" i="1"/>
  <c r="D5533" i="1"/>
  <c r="E5533" i="1"/>
  <c r="A5534" i="1"/>
  <c r="B5534" i="1"/>
  <c r="C5534" i="1"/>
  <c r="D5534" i="1"/>
  <c r="E5534" i="1"/>
  <c r="A5535" i="1"/>
  <c r="B5535" i="1"/>
  <c r="C5535" i="1"/>
  <c r="D5535" i="1"/>
  <c r="E5535" i="1"/>
  <c r="A5536" i="1"/>
  <c r="B5536" i="1"/>
  <c r="C5536" i="1"/>
  <c r="D5536" i="1"/>
  <c r="E5536" i="1"/>
  <c r="A5537" i="1"/>
  <c r="B5537" i="1"/>
  <c r="C5537" i="1"/>
  <c r="D5537" i="1"/>
  <c r="E5537" i="1"/>
  <c r="A5538" i="1"/>
  <c r="B5538" i="1"/>
  <c r="C5538" i="1"/>
  <c r="D5538" i="1"/>
  <c r="E5538" i="1"/>
  <c r="A5539" i="1"/>
  <c r="B5539" i="1"/>
  <c r="C5539" i="1"/>
  <c r="D5539" i="1"/>
  <c r="E5539" i="1"/>
  <c r="A5540" i="1"/>
  <c r="B5540" i="1"/>
  <c r="C5540" i="1"/>
  <c r="D5540" i="1"/>
  <c r="E5540" i="1"/>
  <c r="A5541" i="1"/>
  <c r="B5541" i="1"/>
  <c r="C5541" i="1"/>
  <c r="D5541" i="1"/>
  <c r="E5541" i="1"/>
  <c r="A5542" i="1"/>
  <c r="B5542" i="1"/>
  <c r="C5542" i="1"/>
  <c r="D5542" i="1"/>
  <c r="E5542" i="1"/>
  <c r="A5543" i="1"/>
  <c r="B5543" i="1"/>
  <c r="C5543" i="1"/>
  <c r="D5543" i="1"/>
  <c r="E5543" i="1"/>
  <c r="A5544" i="1"/>
  <c r="B5544" i="1"/>
  <c r="C5544" i="1"/>
  <c r="D5544" i="1"/>
  <c r="E5544" i="1"/>
  <c r="A5545" i="1"/>
  <c r="B5545" i="1"/>
  <c r="C5545" i="1"/>
  <c r="D5545" i="1"/>
  <c r="E5545" i="1"/>
  <c r="A5546" i="1"/>
  <c r="B5546" i="1"/>
  <c r="C5546" i="1"/>
  <c r="D5546" i="1"/>
  <c r="E5546" i="1"/>
  <c r="A5547" i="1"/>
  <c r="B5547" i="1"/>
  <c r="C5547" i="1"/>
  <c r="D5547" i="1"/>
  <c r="E5547" i="1"/>
  <c r="A5548" i="1"/>
  <c r="B5548" i="1"/>
  <c r="C5548" i="1"/>
  <c r="D5548" i="1"/>
  <c r="E5548" i="1"/>
  <c r="A5549" i="1"/>
  <c r="B5549" i="1"/>
  <c r="C5549" i="1"/>
  <c r="D5549" i="1"/>
  <c r="E5549" i="1"/>
  <c r="A5550" i="1"/>
  <c r="B5550" i="1"/>
  <c r="C5550" i="1"/>
  <c r="D5550" i="1"/>
  <c r="E5550" i="1"/>
  <c r="A5551" i="1"/>
  <c r="B5551" i="1"/>
  <c r="C5551" i="1"/>
  <c r="D5551" i="1"/>
  <c r="E5551" i="1"/>
  <c r="A5552" i="1"/>
  <c r="B5552" i="1"/>
  <c r="C5552" i="1"/>
  <c r="D5552" i="1"/>
  <c r="E5552" i="1"/>
  <c r="A5553" i="1"/>
  <c r="B5553" i="1"/>
  <c r="C5553" i="1"/>
  <c r="D5553" i="1"/>
  <c r="E5553" i="1"/>
  <c r="A5554" i="1"/>
  <c r="B5554" i="1"/>
  <c r="C5554" i="1"/>
  <c r="D5554" i="1"/>
  <c r="E5554" i="1"/>
  <c r="A5555" i="1"/>
  <c r="B5555" i="1"/>
  <c r="C5555" i="1"/>
  <c r="D5555" i="1"/>
  <c r="E5555" i="1"/>
  <c r="A5556" i="1"/>
  <c r="B5556" i="1"/>
  <c r="C5556" i="1"/>
  <c r="D5556" i="1"/>
  <c r="E5556" i="1"/>
  <c r="A5557" i="1"/>
  <c r="B5557" i="1"/>
  <c r="C5557" i="1"/>
  <c r="D5557" i="1"/>
  <c r="E5557" i="1"/>
  <c r="A5558" i="1"/>
  <c r="B5558" i="1"/>
  <c r="C5558" i="1"/>
  <c r="D5558" i="1"/>
  <c r="E5558" i="1"/>
  <c r="A5559" i="1"/>
  <c r="B5559" i="1"/>
  <c r="C5559" i="1"/>
  <c r="D5559" i="1"/>
  <c r="E5559" i="1"/>
  <c r="A5560" i="1"/>
  <c r="B5560" i="1"/>
  <c r="C5560" i="1"/>
  <c r="D5560" i="1"/>
  <c r="E5560" i="1"/>
  <c r="A5561" i="1"/>
  <c r="B5561" i="1"/>
  <c r="C5561" i="1"/>
  <c r="D5561" i="1"/>
  <c r="E5561" i="1"/>
  <c r="A5562" i="1"/>
  <c r="B5562" i="1"/>
  <c r="C5562" i="1"/>
  <c r="D5562" i="1"/>
  <c r="E5562" i="1"/>
  <c r="A5563" i="1"/>
  <c r="B5563" i="1"/>
  <c r="C5563" i="1"/>
  <c r="D5563" i="1"/>
  <c r="E5563" i="1"/>
  <c r="A5564" i="1"/>
  <c r="B5564" i="1"/>
  <c r="C5564" i="1"/>
  <c r="D5564" i="1"/>
  <c r="E5564" i="1"/>
  <c r="A5565" i="1"/>
  <c r="B5565" i="1"/>
  <c r="C5565" i="1"/>
  <c r="D5565" i="1"/>
  <c r="E5565" i="1"/>
  <c r="A5566" i="1"/>
  <c r="B5566" i="1"/>
  <c r="C5566" i="1"/>
  <c r="D5566" i="1"/>
  <c r="E5566" i="1"/>
  <c r="A5567" i="1"/>
  <c r="B5567" i="1"/>
  <c r="C5567" i="1"/>
  <c r="D5567" i="1"/>
  <c r="E5567" i="1"/>
  <c r="A5568" i="1"/>
  <c r="B5568" i="1"/>
  <c r="C5568" i="1"/>
  <c r="D5568" i="1"/>
  <c r="E5568" i="1"/>
  <c r="A5569" i="1"/>
  <c r="B5569" i="1"/>
  <c r="C5569" i="1"/>
  <c r="D5569" i="1"/>
  <c r="E5569" i="1"/>
  <c r="A5570" i="1"/>
  <c r="B5570" i="1"/>
  <c r="C5570" i="1"/>
  <c r="D5570" i="1"/>
  <c r="E5570" i="1"/>
  <c r="A5571" i="1"/>
  <c r="B5571" i="1"/>
  <c r="C5571" i="1"/>
  <c r="D5571" i="1"/>
  <c r="E5571" i="1"/>
  <c r="A5572" i="1"/>
  <c r="B5572" i="1"/>
  <c r="C5572" i="1"/>
  <c r="D5572" i="1"/>
  <c r="E5572" i="1"/>
  <c r="A5573" i="1"/>
  <c r="B5573" i="1"/>
  <c r="C5573" i="1"/>
  <c r="D5573" i="1"/>
  <c r="E5573" i="1"/>
  <c r="A5574" i="1"/>
  <c r="B5574" i="1"/>
  <c r="C5574" i="1"/>
  <c r="D5574" i="1"/>
  <c r="E5574" i="1"/>
  <c r="A5575" i="1"/>
  <c r="B5575" i="1"/>
  <c r="C5575" i="1"/>
  <c r="D5575" i="1"/>
  <c r="E5575" i="1"/>
  <c r="A5576" i="1"/>
  <c r="B5576" i="1"/>
  <c r="C5576" i="1"/>
  <c r="D5576" i="1"/>
  <c r="E5576" i="1"/>
  <c r="A5577" i="1"/>
  <c r="B5577" i="1"/>
  <c r="C5577" i="1"/>
  <c r="D5577" i="1"/>
  <c r="E5577" i="1"/>
  <c r="A5578" i="1"/>
  <c r="B5578" i="1"/>
  <c r="C5578" i="1"/>
  <c r="D5578" i="1"/>
  <c r="E5578" i="1"/>
  <c r="A5579" i="1"/>
  <c r="B5579" i="1"/>
  <c r="C5579" i="1"/>
  <c r="D5579" i="1"/>
  <c r="E5579" i="1"/>
  <c r="A5580" i="1"/>
  <c r="B5580" i="1"/>
  <c r="C5580" i="1"/>
  <c r="D5580" i="1"/>
  <c r="E5580" i="1"/>
  <c r="A5581" i="1"/>
  <c r="B5581" i="1"/>
  <c r="C5581" i="1"/>
  <c r="D5581" i="1"/>
  <c r="E5581" i="1"/>
  <c r="A5582" i="1"/>
  <c r="B5582" i="1"/>
  <c r="C5582" i="1"/>
  <c r="D5582" i="1"/>
  <c r="E5582" i="1"/>
  <c r="A5583" i="1"/>
  <c r="B5583" i="1"/>
  <c r="C5583" i="1"/>
  <c r="D5583" i="1"/>
  <c r="E5583" i="1"/>
  <c r="A5584" i="1"/>
  <c r="B5584" i="1"/>
  <c r="C5584" i="1"/>
  <c r="D5584" i="1"/>
  <c r="E5584" i="1"/>
  <c r="A5585" i="1"/>
  <c r="B5585" i="1"/>
  <c r="C5585" i="1"/>
  <c r="D5585" i="1"/>
  <c r="E5585" i="1"/>
  <c r="A5586" i="1"/>
  <c r="B5586" i="1"/>
  <c r="C5586" i="1"/>
  <c r="D5586" i="1"/>
  <c r="E5586" i="1"/>
  <c r="A5587" i="1"/>
  <c r="B5587" i="1"/>
  <c r="C5587" i="1"/>
  <c r="D5587" i="1"/>
  <c r="E5587" i="1"/>
  <c r="A5588" i="1"/>
  <c r="B5588" i="1"/>
  <c r="C5588" i="1"/>
  <c r="D5588" i="1"/>
  <c r="E5588" i="1"/>
  <c r="A5589" i="1"/>
  <c r="B5589" i="1"/>
  <c r="C5589" i="1"/>
  <c r="D5589" i="1"/>
  <c r="E5589" i="1"/>
  <c r="A5590" i="1"/>
  <c r="B5590" i="1"/>
  <c r="C5590" i="1"/>
  <c r="D5590" i="1"/>
  <c r="E5590" i="1"/>
  <c r="A5591" i="1"/>
  <c r="B5591" i="1"/>
  <c r="C5591" i="1"/>
  <c r="D5591" i="1"/>
  <c r="E5591" i="1"/>
  <c r="A5592" i="1"/>
  <c r="B5592" i="1"/>
  <c r="C5592" i="1"/>
  <c r="D5592" i="1"/>
  <c r="E5592" i="1"/>
  <c r="A5593" i="1"/>
  <c r="B5593" i="1"/>
  <c r="C5593" i="1"/>
  <c r="D5593" i="1"/>
  <c r="E5593" i="1"/>
  <c r="A5594" i="1"/>
  <c r="B5594" i="1"/>
  <c r="C5594" i="1"/>
  <c r="D5594" i="1"/>
  <c r="E5594" i="1"/>
  <c r="A5595" i="1"/>
  <c r="B5595" i="1"/>
  <c r="C5595" i="1"/>
  <c r="D5595" i="1"/>
  <c r="E5595" i="1"/>
  <c r="A5596" i="1"/>
  <c r="B5596" i="1"/>
  <c r="C5596" i="1"/>
  <c r="D5596" i="1"/>
  <c r="E5596" i="1"/>
  <c r="A5597" i="1"/>
  <c r="B5597" i="1"/>
  <c r="C5597" i="1"/>
  <c r="D5597" i="1"/>
  <c r="E5597" i="1"/>
  <c r="A5598" i="1"/>
  <c r="B5598" i="1"/>
  <c r="C5598" i="1"/>
  <c r="D5598" i="1"/>
  <c r="E5598" i="1"/>
  <c r="A5599" i="1"/>
  <c r="B5599" i="1"/>
  <c r="C5599" i="1"/>
  <c r="D5599" i="1"/>
  <c r="E5599" i="1"/>
  <c r="A5600" i="1"/>
  <c r="B5600" i="1"/>
  <c r="C5600" i="1"/>
  <c r="D5600" i="1"/>
  <c r="E5600" i="1"/>
  <c r="A5601" i="1"/>
  <c r="B5601" i="1"/>
  <c r="C5601" i="1"/>
  <c r="D5601" i="1"/>
  <c r="E5601" i="1"/>
  <c r="A5602" i="1"/>
  <c r="B5602" i="1"/>
  <c r="C5602" i="1"/>
  <c r="D5602" i="1"/>
  <c r="E5602" i="1"/>
  <c r="A5603" i="1"/>
  <c r="B5603" i="1"/>
  <c r="C5603" i="1"/>
  <c r="D5603" i="1"/>
  <c r="E5603" i="1"/>
  <c r="A5604" i="1"/>
  <c r="B5604" i="1"/>
  <c r="C5604" i="1"/>
  <c r="D5604" i="1"/>
  <c r="E5604" i="1"/>
  <c r="A5605" i="1"/>
  <c r="B5605" i="1"/>
  <c r="C5605" i="1"/>
  <c r="D5605" i="1"/>
  <c r="E5605" i="1"/>
  <c r="A5606" i="1"/>
  <c r="B5606" i="1"/>
  <c r="C5606" i="1"/>
  <c r="D5606" i="1"/>
  <c r="E5606" i="1"/>
  <c r="A5607" i="1"/>
  <c r="B5607" i="1"/>
  <c r="C5607" i="1"/>
  <c r="D5607" i="1"/>
  <c r="E5607" i="1"/>
  <c r="A5608" i="1"/>
  <c r="B5608" i="1"/>
  <c r="C5608" i="1"/>
  <c r="D5608" i="1"/>
  <c r="E5608" i="1"/>
  <c r="A5609" i="1"/>
  <c r="B5609" i="1"/>
  <c r="C5609" i="1"/>
  <c r="D5609" i="1"/>
  <c r="E5609" i="1"/>
  <c r="A5610" i="1"/>
  <c r="B5610" i="1"/>
  <c r="C5610" i="1"/>
  <c r="D5610" i="1"/>
  <c r="E5610" i="1"/>
  <c r="A5611" i="1"/>
  <c r="B5611" i="1"/>
  <c r="C5611" i="1"/>
  <c r="D5611" i="1"/>
  <c r="E5611" i="1"/>
  <c r="A5612" i="1"/>
  <c r="B5612" i="1"/>
  <c r="C5612" i="1"/>
  <c r="D5612" i="1"/>
  <c r="E5612" i="1"/>
  <c r="A5613" i="1"/>
  <c r="B5613" i="1"/>
  <c r="C5613" i="1"/>
  <c r="D5613" i="1"/>
  <c r="E5613" i="1"/>
  <c r="A5614" i="1"/>
  <c r="B5614" i="1"/>
  <c r="C5614" i="1"/>
  <c r="D5614" i="1"/>
  <c r="E5614" i="1"/>
  <c r="A5615" i="1"/>
  <c r="B5615" i="1"/>
  <c r="C5615" i="1"/>
  <c r="D5615" i="1"/>
  <c r="E5615" i="1"/>
  <c r="A5616" i="1"/>
  <c r="B5616" i="1"/>
  <c r="C5616" i="1"/>
  <c r="D5616" i="1"/>
  <c r="E5616" i="1"/>
  <c r="A5617" i="1"/>
  <c r="B5617" i="1"/>
  <c r="C5617" i="1"/>
  <c r="D5617" i="1"/>
  <c r="E5617" i="1"/>
  <c r="A5618" i="1"/>
  <c r="B5618" i="1"/>
  <c r="C5618" i="1"/>
  <c r="D5618" i="1"/>
  <c r="E5618" i="1"/>
  <c r="A5619" i="1"/>
  <c r="B5619" i="1"/>
  <c r="C5619" i="1"/>
  <c r="D5619" i="1"/>
  <c r="E5619" i="1"/>
  <c r="A5620" i="1"/>
  <c r="B5620" i="1"/>
  <c r="C5620" i="1"/>
  <c r="D5620" i="1"/>
  <c r="E5620" i="1"/>
  <c r="A5621" i="1"/>
  <c r="B5621" i="1"/>
  <c r="C5621" i="1"/>
  <c r="D5621" i="1"/>
  <c r="E5621" i="1"/>
  <c r="A5622" i="1"/>
  <c r="B5622" i="1"/>
  <c r="C5622" i="1"/>
  <c r="D5622" i="1"/>
  <c r="E5622" i="1"/>
  <c r="A5623" i="1"/>
  <c r="B5623" i="1"/>
  <c r="C5623" i="1"/>
  <c r="D5623" i="1"/>
  <c r="E5623" i="1"/>
  <c r="A5624" i="1"/>
  <c r="B5624" i="1"/>
  <c r="C5624" i="1"/>
  <c r="D5624" i="1"/>
  <c r="E5624" i="1"/>
  <c r="A5625" i="1"/>
  <c r="B5625" i="1"/>
  <c r="C5625" i="1"/>
  <c r="D5625" i="1"/>
  <c r="E5625" i="1"/>
  <c r="A5626" i="1"/>
  <c r="B5626" i="1"/>
  <c r="C5626" i="1"/>
  <c r="D5626" i="1"/>
  <c r="E5626" i="1"/>
  <c r="A5627" i="1"/>
  <c r="B5627" i="1"/>
  <c r="C5627" i="1"/>
  <c r="D5627" i="1"/>
  <c r="E5627" i="1"/>
  <c r="A5628" i="1"/>
  <c r="B5628" i="1"/>
  <c r="C5628" i="1"/>
  <c r="D5628" i="1"/>
  <c r="E5628" i="1"/>
  <c r="A5629" i="1"/>
  <c r="B5629" i="1"/>
  <c r="C5629" i="1"/>
  <c r="D5629" i="1"/>
  <c r="E5629" i="1"/>
  <c r="A5630" i="1"/>
  <c r="B5630" i="1"/>
  <c r="C5630" i="1"/>
  <c r="D5630" i="1"/>
  <c r="E5630" i="1"/>
  <c r="A5631" i="1"/>
  <c r="B5631" i="1"/>
  <c r="C5631" i="1"/>
  <c r="D5631" i="1"/>
  <c r="E5631" i="1"/>
  <c r="A5632" i="1"/>
  <c r="B5632" i="1"/>
  <c r="C5632" i="1"/>
  <c r="D5632" i="1"/>
  <c r="E5632" i="1"/>
  <c r="A5633" i="1"/>
  <c r="B5633" i="1"/>
  <c r="C5633" i="1"/>
  <c r="D5633" i="1"/>
  <c r="E5633" i="1"/>
  <c r="A5634" i="1"/>
  <c r="B5634" i="1"/>
  <c r="C5634" i="1"/>
  <c r="D5634" i="1"/>
  <c r="E5634" i="1"/>
  <c r="A5635" i="1"/>
  <c r="B5635" i="1"/>
  <c r="C5635" i="1"/>
  <c r="D5635" i="1"/>
  <c r="E5635" i="1"/>
  <c r="A5636" i="1"/>
  <c r="B5636" i="1"/>
  <c r="C5636" i="1"/>
  <c r="D5636" i="1"/>
  <c r="E5636" i="1"/>
  <c r="A5637" i="1"/>
  <c r="B5637" i="1"/>
  <c r="C5637" i="1"/>
  <c r="D5637" i="1"/>
  <c r="E5637" i="1"/>
  <c r="A5638" i="1"/>
  <c r="B5638" i="1"/>
  <c r="C5638" i="1"/>
  <c r="D5638" i="1"/>
  <c r="E5638" i="1"/>
  <c r="A5639" i="1"/>
  <c r="B5639" i="1"/>
  <c r="C5639" i="1"/>
  <c r="D5639" i="1"/>
  <c r="E5639" i="1"/>
  <c r="A5640" i="1"/>
  <c r="B5640" i="1"/>
  <c r="C5640" i="1"/>
  <c r="D5640" i="1"/>
  <c r="E5640" i="1"/>
  <c r="A5641" i="1"/>
  <c r="B5641" i="1"/>
  <c r="C5641" i="1"/>
  <c r="D5641" i="1"/>
  <c r="E5641" i="1"/>
  <c r="A5642" i="1"/>
  <c r="B5642" i="1"/>
  <c r="C5642" i="1"/>
  <c r="D5642" i="1"/>
  <c r="E5642" i="1"/>
  <c r="A5643" i="1"/>
  <c r="B5643" i="1"/>
  <c r="C5643" i="1"/>
  <c r="D5643" i="1"/>
  <c r="E5643" i="1"/>
  <c r="A5644" i="1"/>
  <c r="B5644" i="1"/>
  <c r="C5644" i="1"/>
  <c r="D5644" i="1"/>
  <c r="E5644" i="1"/>
  <c r="A5645" i="1"/>
  <c r="B5645" i="1"/>
  <c r="C5645" i="1"/>
  <c r="D5645" i="1"/>
  <c r="E5645" i="1"/>
  <c r="A5646" i="1"/>
  <c r="B5646" i="1"/>
  <c r="C5646" i="1"/>
  <c r="D5646" i="1"/>
  <c r="E5646" i="1"/>
  <c r="A5647" i="1"/>
  <c r="B5647" i="1"/>
  <c r="C5647" i="1"/>
  <c r="D5647" i="1"/>
  <c r="E5647" i="1"/>
  <c r="A5648" i="1"/>
  <c r="B5648" i="1"/>
  <c r="C5648" i="1"/>
  <c r="D5648" i="1"/>
  <c r="E5648" i="1"/>
  <c r="A5649" i="1"/>
  <c r="B5649" i="1"/>
  <c r="C5649" i="1"/>
  <c r="D5649" i="1"/>
  <c r="E5649" i="1"/>
  <c r="A5650" i="1"/>
  <c r="B5650" i="1"/>
  <c r="C5650" i="1"/>
  <c r="D5650" i="1"/>
  <c r="E5650" i="1"/>
  <c r="A5651" i="1"/>
  <c r="B5651" i="1"/>
  <c r="C5651" i="1"/>
  <c r="D5651" i="1"/>
  <c r="E5651" i="1"/>
  <c r="A5652" i="1"/>
  <c r="B5652" i="1"/>
  <c r="C5652" i="1"/>
  <c r="D5652" i="1"/>
  <c r="E5652" i="1"/>
  <c r="A5653" i="1"/>
  <c r="B5653" i="1"/>
  <c r="C5653" i="1"/>
  <c r="D5653" i="1"/>
  <c r="E5653" i="1"/>
  <c r="A5654" i="1"/>
  <c r="B5654" i="1"/>
  <c r="C5654" i="1"/>
  <c r="D5654" i="1"/>
  <c r="E5654" i="1"/>
  <c r="A5655" i="1"/>
  <c r="B5655" i="1"/>
  <c r="C5655" i="1"/>
  <c r="D5655" i="1"/>
  <c r="E5655" i="1"/>
  <c r="A5656" i="1"/>
  <c r="B5656" i="1"/>
  <c r="C5656" i="1"/>
  <c r="D5656" i="1"/>
  <c r="E5656" i="1"/>
  <c r="A5657" i="1"/>
  <c r="B5657" i="1"/>
  <c r="C5657" i="1"/>
  <c r="D5657" i="1"/>
  <c r="E5657" i="1"/>
  <c r="A5658" i="1"/>
  <c r="B5658" i="1"/>
  <c r="C5658" i="1"/>
  <c r="D5658" i="1"/>
  <c r="E5658" i="1"/>
  <c r="A5659" i="1"/>
  <c r="B5659" i="1"/>
  <c r="C5659" i="1"/>
  <c r="D5659" i="1"/>
  <c r="E5659" i="1"/>
  <c r="A5660" i="1"/>
  <c r="B5660" i="1"/>
  <c r="C5660" i="1"/>
  <c r="D5660" i="1"/>
  <c r="E5660" i="1"/>
  <c r="A5661" i="1"/>
  <c r="B5661" i="1"/>
  <c r="C5661" i="1"/>
  <c r="D5661" i="1"/>
  <c r="E5661" i="1"/>
  <c r="A5662" i="1"/>
  <c r="B5662" i="1"/>
  <c r="C5662" i="1"/>
  <c r="D5662" i="1"/>
  <c r="E5662" i="1"/>
  <c r="A5663" i="1"/>
  <c r="B5663" i="1"/>
  <c r="C5663" i="1"/>
  <c r="D5663" i="1"/>
  <c r="E5663" i="1"/>
  <c r="A5664" i="1"/>
  <c r="B5664" i="1"/>
  <c r="C5664" i="1"/>
  <c r="D5664" i="1"/>
  <c r="E5664" i="1"/>
  <c r="A5665" i="1"/>
  <c r="B5665" i="1"/>
  <c r="C5665" i="1"/>
  <c r="D5665" i="1"/>
  <c r="E5665" i="1"/>
  <c r="A5666" i="1"/>
  <c r="B5666" i="1"/>
  <c r="C5666" i="1"/>
  <c r="D5666" i="1"/>
  <c r="E5666" i="1"/>
  <c r="A5667" i="1"/>
  <c r="B5667" i="1"/>
  <c r="C5667" i="1"/>
  <c r="D5667" i="1"/>
  <c r="E5667" i="1"/>
  <c r="A5668" i="1"/>
  <c r="B5668" i="1"/>
  <c r="C5668" i="1"/>
  <c r="D5668" i="1"/>
  <c r="E5668" i="1"/>
  <c r="A5669" i="1"/>
  <c r="B5669" i="1"/>
  <c r="C5669" i="1"/>
  <c r="D5669" i="1"/>
  <c r="E5669" i="1"/>
  <c r="A5670" i="1"/>
  <c r="B5670" i="1"/>
  <c r="C5670" i="1"/>
  <c r="D5670" i="1"/>
  <c r="E5670" i="1"/>
  <c r="A5671" i="1"/>
  <c r="B5671" i="1"/>
  <c r="C5671" i="1"/>
  <c r="D5671" i="1"/>
  <c r="E5671" i="1"/>
  <c r="A5672" i="1"/>
  <c r="B5672" i="1"/>
  <c r="C5672" i="1"/>
  <c r="D5672" i="1"/>
  <c r="E5672" i="1"/>
  <c r="A5673" i="1"/>
  <c r="B5673" i="1"/>
  <c r="C5673" i="1"/>
  <c r="D5673" i="1"/>
  <c r="E5673" i="1"/>
  <c r="A5674" i="1"/>
  <c r="B5674" i="1"/>
  <c r="C5674" i="1"/>
  <c r="D5674" i="1"/>
  <c r="E5674" i="1"/>
  <c r="A5675" i="1"/>
  <c r="B5675" i="1"/>
  <c r="C5675" i="1"/>
  <c r="D5675" i="1"/>
  <c r="E5675" i="1"/>
  <c r="A5676" i="1"/>
  <c r="B5676" i="1"/>
  <c r="C5676" i="1"/>
  <c r="D5676" i="1"/>
  <c r="E5676" i="1"/>
  <c r="A5677" i="1"/>
  <c r="B5677" i="1"/>
  <c r="C5677" i="1"/>
  <c r="D5677" i="1"/>
  <c r="E5677" i="1"/>
  <c r="A5678" i="1"/>
  <c r="B5678" i="1"/>
  <c r="C5678" i="1"/>
  <c r="D5678" i="1"/>
  <c r="E5678" i="1"/>
  <c r="A5679" i="1"/>
  <c r="B5679" i="1"/>
  <c r="C5679" i="1"/>
  <c r="D5679" i="1"/>
  <c r="E5679" i="1"/>
  <c r="A5680" i="1"/>
  <c r="B5680" i="1"/>
  <c r="C5680" i="1"/>
  <c r="D5680" i="1"/>
  <c r="E5680" i="1"/>
  <c r="A5681" i="1"/>
  <c r="B5681" i="1"/>
  <c r="C5681" i="1"/>
  <c r="D5681" i="1"/>
  <c r="E5681" i="1"/>
  <c r="A5682" i="1"/>
  <c r="B5682" i="1"/>
  <c r="C5682" i="1"/>
  <c r="D5682" i="1"/>
  <c r="E5682" i="1"/>
  <c r="A5683" i="1"/>
  <c r="B5683" i="1"/>
  <c r="C5683" i="1"/>
  <c r="D5683" i="1"/>
  <c r="E5683" i="1"/>
  <c r="A5684" i="1"/>
  <c r="B5684" i="1"/>
  <c r="C5684" i="1"/>
  <c r="D5684" i="1"/>
  <c r="E5684" i="1"/>
  <c r="A5685" i="1"/>
  <c r="B5685" i="1"/>
  <c r="C5685" i="1"/>
  <c r="D5685" i="1"/>
  <c r="E5685" i="1"/>
  <c r="A5686" i="1"/>
  <c r="B5686" i="1"/>
  <c r="C5686" i="1"/>
  <c r="D5686" i="1"/>
  <c r="E5686" i="1"/>
  <c r="A5687" i="1"/>
  <c r="B5687" i="1"/>
  <c r="C5687" i="1"/>
  <c r="D5687" i="1"/>
  <c r="E5687" i="1"/>
  <c r="A5688" i="1"/>
  <c r="B5688" i="1"/>
  <c r="C5688" i="1"/>
  <c r="D5688" i="1"/>
  <c r="E5688" i="1"/>
  <c r="A5689" i="1"/>
  <c r="B5689" i="1"/>
  <c r="C5689" i="1"/>
  <c r="D5689" i="1"/>
  <c r="E5689" i="1"/>
  <c r="A5690" i="1"/>
  <c r="B5690" i="1"/>
  <c r="C5690" i="1"/>
  <c r="D5690" i="1"/>
  <c r="E5690" i="1"/>
  <c r="A5691" i="1"/>
  <c r="B5691" i="1"/>
  <c r="C5691" i="1"/>
  <c r="D5691" i="1"/>
  <c r="E5691" i="1"/>
  <c r="A5692" i="1"/>
  <c r="B5692" i="1"/>
  <c r="C5692" i="1"/>
  <c r="D5692" i="1"/>
  <c r="E5692" i="1"/>
  <c r="A5693" i="1"/>
  <c r="B5693" i="1"/>
  <c r="C5693" i="1"/>
  <c r="D5693" i="1"/>
  <c r="E5693" i="1"/>
  <c r="A5694" i="1"/>
  <c r="B5694" i="1"/>
  <c r="C5694" i="1"/>
  <c r="D5694" i="1"/>
  <c r="E5694" i="1"/>
  <c r="A5695" i="1"/>
  <c r="B5695" i="1"/>
  <c r="C5695" i="1"/>
  <c r="D5695" i="1"/>
  <c r="E5695" i="1"/>
  <c r="A5696" i="1"/>
  <c r="B5696" i="1"/>
  <c r="C5696" i="1"/>
  <c r="D5696" i="1"/>
  <c r="E5696" i="1"/>
  <c r="A5697" i="1"/>
  <c r="B5697" i="1"/>
  <c r="C5697" i="1"/>
  <c r="D5697" i="1"/>
  <c r="E5697" i="1"/>
  <c r="A5698" i="1"/>
  <c r="B5698" i="1"/>
  <c r="C5698" i="1"/>
  <c r="D5698" i="1"/>
  <c r="E5698" i="1"/>
  <c r="A5699" i="1"/>
  <c r="B5699" i="1"/>
  <c r="C5699" i="1"/>
  <c r="D5699" i="1"/>
  <c r="E5699" i="1"/>
  <c r="A5700" i="1"/>
  <c r="B5700" i="1"/>
  <c r="C5700" i="1"/>
  <c r="D5700" i="1"/>
  <c r="E5700" i="1"/>
  <c r="A5701" i="1"/>
  <c r="B5701" i="1"/>
  <c r="C5701" i="1"/>
  <c r="D5701" i="1"/>
  <c r="E5701" i="1"/>
  <c r="A5702" i="1"/>
  <c r="B5702" i="1"/>
  <c r="C5702" i="1"/>
  <c r="D5702" i="1"/>
  <c r="E5702" i="1"/>
  <c r="A5703" i="1"/>
  <c r="B5703" i="1"/>
  <c r="C5703" i="1"/>
  <c r="D5703" i="1"/>
  <c r="E5703" i="1"/>
  <c r="A5704" i="1"/>
  <c r="B5704" i="1"/>
  <c r="C5704" i="1"/>
  <c r="D5704" i="1"/>
  <c r="E5704" i="1"/>
  <c r="A5705" i="1"/>
  <c r="B5705" i="1"/>
  <c r="C5705" i="1"/>
  <c r="D5705" i="1"/>
  <c r="E5705" i="1"/>
  <c r="A5706" i="1"/>
  <c r="B5706" i="1"/>
  <c r="C5706" i="1"/>
  <c r="D5706" i="1"/>
  <c r="E5706" i="1"/>
  <c r="A5707" i="1"/>
  <c r="B5707" i="1"/>
  <c r="C5707" i="1"/>
  <c r="D5707" i="1"/>
  <c r="E5707" i="1"/>
  <c r="A5708" i="1"/>
  <c r="B5708" i="1"/>
  <c r="C5708" i="1"/>
  <c r="D5708" i="1"/>
  <c r="E5708" i="1"/>
  <c r="A5709" i="1"/>
  <c r="B5709" i="1"/>
  <c r="C5709" i="1"/>
  <c r="D5709" i="1"/>
  <c r="E5709" i="1"/>
  <c r="A5710" i="1"/>
  <c r="B5710" i="1"/>
  <c r="C5710" i="1"/>
  <c r="D5710" i="1"/>
  <c r="E5710" i="1"/>
  <c r="A5711" i="1"/>
  <c r="B5711" i="1"/>
  <c r="C5711" i="1"/>
  <c r="D5711" i="1"/>
  <c r="E5711" i="1"/>
  <c r="A5712" i="1"/>
  <c r="B5712" i="1"/>
  <c r="C5712" i="1"/>
  <c r="D5712" i="1"/>
  <c r="E5712" i="1"/>
  <c r="A5713" i="1"/>
  <c r="B5713" i="1"/>
  <c r="C5713" i="1"/>
  <c r="D5713" i="1"/>
  <c r="E5713" i="1"/>
  <c r="A5714" i="1"/>
  <c r="B5714" i="1"/>
  <c r="C5714" i="1"/>
  <c r="D5714" i="1"/>
  <c r="E5714" i="1"/>
  <c r="A5715" i="1"/>
  <c r="B5715" i="1"/>
  <c r="C5715" i="1"/>
  <c r="D5715" i="1"/>
  <c r="E5715" i="1"/>
  <c r="A5716" i="1"/>
  <c r="B5716" i="1"/>
  <c r="C5716" i="1"/>
  <c r="D5716" i="1"/>
  <c r="E5716" i="1"/>
  <c r="A5717" i="1"/>
  <c r="B5717" i="1"/>
  <c r="C5717" i="1"/>
  <c r="D5717" i="1"/>
  <c r="E5717" i="1"/>
  <c r="A5718" i="1"/>
  <c r="B5718" i="1"/>
  <c r="C5718" i="1"/>
  <c r="D5718" i="1"/>
  <c r="E5718" i="1"/>
  <c r="A5719" i="1"/>
  <c r="B5719" i="1"/>
  <c r="C5719" i="1"/>
  <c r="D5719" i="1"/>
  <c r="E5719" i="1"/>
  <c r="A5720" i="1"/>
  <c r="B5720" i="1"/>
  <c r="C5720" i="1"/>
  <c r="D5720" i="1"/>
  <c r="E5720" i="1"/>
  <c r="A5721" i="1"/>
  <c r="B5721" i="1"/>
  <c r="C5721" i="1"/>
  <c r="D5721" i="1"/>
  <c r="E5721" i="1"/>
  <c r="A5722" i="1"/>
  <c r="B5722" i="1"/>
  <c r="C5722" i="1"/>
  <c r="D5722" i="1"/>
  <c r="E5722" i="1"/>
  <c r="A5723" i="1"/>
  <c r="B5723" i="1"/>
  <c r="C5723" i="1"/>
  <c r="D5723" i="1"/>
  <c r="E5723" i="1"/>
  <c r="A5724" i="1"/>
  <c r="B5724" i="1"/>
  <c r="C5724" i="1"/>
  <c r="D5724" i="1"/>
  <c r="E5724" i="1"/>
  <c r="A5725" i="1"/>
  <c r="B5725" i="1"/>
  <c r="C5725" i="1"/>
  <c r="D5725" i="1"/>
  <c r="E5725" i="1"/>
  <c r="A5726" i="1"/>
  <c r="B5726" i="1"/>
  <c r="C5726" i="1"/>
  <c r="D5726" i="1"/>
  <c r="E5726" i="1"/>
  <c r="A5727" i="1"/>
  <c r="B5727" i="1"/>
  <c r="C5727" i="1"/>
  <c r="D5727" i="1"/>
  <c r="E5727" i="1"/>
  <c r="A5728" i="1"/>
  <c r="B5728" i="1"/>
  <c r="C5728" i="1"/>
  <c r="D5728" i="1"/>
  <c r="E5728" i="1"/>
  <c r="A5729" i="1"/>
  <c r="B5729" i="1"/>
  <c r="C5729" i="1"/>
  <c r="D5729" i="1"/>
  <c r="E5729" i="1"/>
  <c r="A5730" i="1"/>
  <c r="B5730" i="1"/>
  <c r="C5730" i="1"/>
  <c r="D5730" i="1"/>
  <c r="E5730" i="1"/>
  <c r="A5731" i="1"/>
  <c r="B5731" i="1"/>
  <c r="C5731" i="1"/>
  <c r="D5731" i="1"/>
  <c r="E5731" i="1"/>
  <c r="A5732" i="1"/>
  <c r="B5732" i="1"/>
  <c r="C5732" i="1"/>
  <c r="D5732" i="1"/>
  <c r="E5732" i="1"/>
  <c r="A5733" i="1"/>
  <c r="B5733" i="1"/>
  <c r="C5733" i="1"/>
  <c r="D5733" i="1"/>
  <c r="E5733" i="1"/>
  <c r="A5734" i="1"/>
  <c r="B5734" i="1"/>
  <c r="C5734" i="1"/>
  <c r="D5734" i="1"/>
  <c r="E5734" i="1"/>
  <c r="A5735" i="1"/>
  <c r="B5735" i="1"/>
  <c r="C5735" i="1"/>
  <c r="D5735" i="1"/>
  <c r="E5735" i="1"/>
  <c r="A5736" i="1"/>
  <c r="B5736" i="1"/>
  <c r="C5736" i="1"/>
  <c r="D5736" i="1"/>
  <c r="E5736" i="1"/>
  <c r="A5737" i="1"/>
  <c r="B5737" i="1"/>
  <c r="C5737" i="1"/>
  <c r="D5737" i="1"/>
  <c r="E5737" i="1"/>
  <c r="A5738" i="1"/>
  <c r="B5738" i="1"/>
  <c r="C5738" i="1"/>
  <c r="D5738" i="1"/>
  <c r="E5738" i="1"/>
  <c r="A5739" i="1"/>
  <c r="B5739" i="1"/>
  <c r="C5739" i="1"/>
  <c r="D5739" i="1"/>
  <c r="E5739" i="1"/>
  <c r="A5740" i="1"/>
  <c r="B5740" i="1"/>
  <c r="C5740" i="1"/>
  <c r="D5740" i="1"/>
  <c r="E5740" i="1"/>
  <c r="A5741" i="1"/>
  <c r="B5741" i="1"/>
  <c r="C5741" i="1"/>
  <c r="D5741" i="1"/>
  <c r="E5741" i="1"/>
  <c r="A5742" i="1"/>
  <c r="B5742" i="1"/>
  <c r="C5742" i="1"/>
  <c r="D5742" i="1"/>
  <c r="E5742" i="1"/>
  <c r="A5743" i="1"/>
  <c r="B5743" i="1"/>
  <c r="C5743" i="1"/>
  <c r="D5743" i="1"/>
  <c r="E5743" i="1"/>
  <c r="A5744" i="1"/>
  <c r="B5744" i="1"/>
  <c r="C5744" i="1"/>
  <c r="D5744" i="1"/>
  <c r="E5744" i="1"/>
  <c r="A5745" i="1"/>
  <c r="B5745" i="1"/>
  <c r="C5745" i="1"/>
  <c r="D5745" i="1"/>
  <c r="E5745" i="1"/>
  <c r="A5746" i="1"/>
  <c r="B5746" i="1"/>
  <c r="C5746" i="1"/>
  <c r="D5746" i="1"/>
  <c r="E5746" i="1"/>
  <c r="A5747" i="1"/>
  <c r="B5747" i="1"/>
  <c r="C5747" i="1"/>
  <c r="D5747" i="1"/>
  <c r="E5747" i="1"/>
  <c r="A5748" i="1"/>
  <c r="B5748" i="1"/>
  <c r="C5748" i="1"/>
  <c r="D5748" i="1"/>
  <c r="E5748" i="1"/>
  <c r="A5749" i="1"/>
  <c r="B5749" i="1"/>
  <c r="C5749" i="1"/>
  <c r="D5749" i="1"/>
  <c r="E5749" i="1"/>
  <c r="A5750" i="1"/>
  <c r="B5750" i="1"/>
  <c r="C5750" i="1"/>
  <c r="D5750" i="1"/>
  <c r="E5750" i="1"/>
  <c r="A5751" i="1"/>
  <c r="B5751" i="1"/>
  <c r="C5751" i="1"/>
  <c r="D5751" i="1"/>
  <c r="E5751" i="1"/>
  <c r="A5752" i="1"/>
  <c r="B5752" i="1"/>
  <c r="C5752" i="1"/>
  <c r="D5752" i="1"/>
  <c r="E5752" i="1"/>
  <c r="A5753" i="1"/>
  <c r="B5753" i="1"/>
  <c r="C5753" i="1"/>
  <c r="D5753" i="1"/>
  <c r="E5753" i="1"/>
  <c r="A5754" i="1"/>
  <c r="B5754" i="1"/>
  <c r="C5754" i="1"/>
  <c r="D5754" i="1"/>
  <c r="E5754" i="1"/>
  <c r="A5755" i="1"/>
  <c r="B5755" i="1"/>
  <c r="C5755" i="1"/>
  <c r="D5755" i="1"/>
  <c r="E5755" i="1"/>
  <c r="A5756" i="1"/>
  <c r="B5756" i="1"/>
  <c r="C5756" i="1"/>
  <c r="D5756" i="1"/>
  <c r="E5756" i="1"/>
  <c r="A5757" i="1"/>
  <c r="B5757" i="1"/>
  <c r="C5757" i="1"/>
  <c r="D5757" i="1"/>
  <c r="E5757" i="1"/>
  <c r="A5758" i="1"/>
  <c r="B5758" i="1"/>
  <c r="C5758" i="1"/>
  <c r="D5758" i="1"/>
  <c r="E5758" i="1"/>
  <c r="A5759" i="1"/>
  <c r="B5759" i="1"/>
  <c r="C5759" i="1"/>
  <c r="D5759" i="1"/>
  <c r="E5759" i="1"/>
  <c r="A5760" i="1"/>
  <c r="B5760" i="1"/>
  <c r="C5760" i="1"/>
  <c r="D5760" i="1"/>
  <c r="E5760" i="1"/>
  <c r="A5761" i="1"/>
  <c r="B5761" i="1"/>
  <c r="C5761" i="1"/>
  <c r="D5761" i="1"/>
  <c r="E5761" i="1"/>
  <c r="A5762" i="1"/>
  <c r="B5762" i="1"/>
  <c r="C5762" i="1"/>
  <c r="D5762" i="1"/>
  <c r="E5762" i="1"/>
  <c r="A5763" i="1"/>
  <c r="B5763" i="1"/>
  <c r="C5763" i="1"/>
  <c r="D5763" i="1"/>
  <c r="E5763" i="1"/>
  <c r="A5764" i="1"/>
  <c r="B5764" i="1"/>
  <c r="C5764" i="1"/>
  <c r="D5764" i="1"/>
  <c r="E5764" i="1"/>
  <c r="A5765" i="1"/>
  <c r="B5765" i="1"/>
  <c r="C5765" i="1"/>
  <c r="D5765" i="1"/>
  <c r="E5765" i="1"/>
  <c r="A5766" i="1"/>
  <c r="B5766" i="1"/>
  <c r="C5766" i="1"/>
  <c r="D5766" i="1"/>
  <c r="E5766" i="1"/>
  <c r="A5767" i="1"/>
  <c r="B5767" i="1"/>
  <c r="C5767" i="1"/>
  <c r="D5767" i="1"/>
  <c r="E5767" i="1"/>
  <c r="A5768" i="1"/>
  <c r="B5768" i="1"/>
  <c r="C5768" i="1"/>
  <c r="D5768" i="1"/>
  <c r="E5768" i="1"/>
  <c r="A5769" i="1"/>
  <c r="B5769" i="1"/>
  <c r="C5769" i="1"/>
  <c r="D5769" i="1"/>
  <c r="E5769" i="1"/>
  <c r="A5770" i="1"/>
  <c r="B5770" i="1"/>
  <c r="C5770" i="1"/>
  <c r="D5770" i="1"/>
  <c r="E5770" i="1"/>
  <c r="A5771" i="1"/>
  <c r="B5771" i="1"/>
  <c r="C5771" i="1"/>
  <c r="D5771" i="1"/>
  <c r="E5771" i="1"/>
  <c r="A5772" i="1"/>
  <c r="B5772" i="1"/>
  <c r="C5772" i="1"/>
  <c r="D5772" i="1"/>
  <c r="E5772" i="1"/>
  <c r="A5773" i="1"/>
  <c r="B5773" i="1"/>
  <c r="C5773" i="1"/>
  <c r="D5773" i="1"/>
  <c r="E5773" i="1"/>
  <c r="A5774" i="1"/>
  <c r="B5774" i="1"/>
  <c r="C5774" i="1"/>
  <c r="D5774" i="1"/>
  <c r="E5774" i="1"/>
  <c r="A5775" i="1"/>
  <c r="B5775" i="1"/>
  <c r="C5775" i="1"/>
  <c r="D5775" i="1"/>
  <c r="E5775" i="1"/>
  <c r="A5776" i="1"/>
  <c r="B5776" i="1"/>
  <c r="C5776" i="1"/>
  <c r="D5776" i="1"/>
  <c r="E5776" i="1"/>
  <c r="A5777" i="1"/>
  <c r="B5777" i="1"/>
  <c r="C5777" i="1"/>
  <c r="D5777" i="1"/>
  <c r="E5777" i="1"/>
  <c r="A5778" i="1"/>
  <c r="B5778" i="1"/>
  <c r="C5778" i="1"/>
  <c r="D5778" i="1"/>
  <c r="E5778" i="1"/>
  <c r="A5779" i="1"/>
  <c r="B5779" i="1"/>
  <c r="C5779" i="1"/>
  <c r="D5779" i="1"/>
  <c r="E5779" i="1"/>
  <c r="A5780" i="1"/>
  <c r="B5780" i="1"/>
  <c r="C5780" i="1"/>
  <c r="D5780" i="1"/>
  <c r="E5780" i="1"/>
  <c r="A5781" i="1"/>
  <c r="B5781" i="1"/>
  <c r="C5781" i="1"/>
  <c r="D5781" i="1"/>
  <c r="E5781" i="1"/>
  <c r="A5782" i="1"/>
  <c r="B5782" i="1"/>
  <c r="C5782" i="1"/>
  <c r="D5782" i="1"/>
  <c r="E5782" i="1"/>
  <c r="A5783" i="1"/>
  <c r="B5783" i="1"/>
  <c r="C5783" i="1"/>
  <c r="D5783" i="1"/>
  <c r="E5783" i="1"/>
  <c r="A5784" i="1"/>
  <c r="B5784" i="1"/>
  <c r="C5784" i="1"/>
  <c r="D5784" i="1"/>
  <c r="E5784" i="1"/>
  <c r="A5785" i="1"/>
  <c r="B5785" i="1"/>
  <c r="C5785" i="1"/>
  <c r="D5785" i="1"/>
  <c r="E5785" i="1"/>
  <c r="A5786" i="1"/>
  <c r="B5786" i="1"/>
  <c r="C5786" i="1"/>
  <c r="D5786" i="1"/>
  <c r="E5786" i="1"/>
  <c r="A5787" i="1"/>
  <c r="B5787" i="1"/>
  <c r="C5787" i="1"/>
  <c r="D5787" i="1"/>
  <c r="E5787" i="1"/>
  <c r="A5788" i="1"/>
  <c r="B5788" i="1"/>
  <c r="C5788" i="1"/>
  <c r="D5788" i="1"/>
  <c r="E5788" i="1"/>
  <c r="A5789" i="1"/>
  <c r="B5789" i="1"/>
  <c r="C5789" i="1"/>
  <c r="D5789" i="1"/>
  <c r="E5789" i="1"/>
  <c r="A5790" i="1"/>
  <c r="B5790" i="1"/>
  <c r="C5790" i="1"/>
  <c r="D5790" i="1"/>
  <c r="E5790" i="1"/>
  <c r="A5791" i="1"/>
  <c r="B5791" i="1"/>
  <c r="C5791" i="1"/>
  <c r="D5791" i="1"/>
  <c r="E5791" i="1"/>
  <c r="A5792" i="1"/>
  <c r="B5792" i="1"/>
  <c r="C5792" i="1"/>
  <c r="D5792" i="1"/>
  <c r="E5792" i="1"/>
  <c r="A5793" i="1"/>
  <c r="B5793" i="1"/>
  <c r="C5793" i="1"/>
  <c r="D5793" i="1"/>
  <c r="E5793" i="1"/>
  <c r="A5794" i="1"/>
  <c r="B5794" i="1"/>
  <c r="C5794" i="1"/>
  <c r="D5794" i="1"/>
  <c r="E5794" i="1"/>
  <c r="A5795" i="1"/>
  <c r="B5795" i="1"/>
  <c r="C5795" i="1"/>
  <c r="D5795" i="1"/>
  <c r="E5795" i="1"/>
  <c r="A5796" i="1"/>
  <c r="B5796" i="1"/>
  <c r="C5796" i="1"/>
  <c r="D5796" i="1"/>
  <c r="E5796" i="1"/>
  <c r="A5797" i="1"/>
  <c r="B5797" i="1"/>
  <c r="C5797" i="1"/>
  <c r="D5797" i="1"/>
  <c r="E5797" i="1"/>
  <c r="A5798" i="1"/>
  <c r="B5798" i="1"/>
  <c r="C5798" i="1"/>
  <c r="D5798" i="1"/>
  <c r="E5798" i="1"/>
  <c r="A5799" i="1"/>
  <c r="B5799" i="1"/>
  <c r="C5799" i="1"/>
  <c r="D5799" i="1"/>
  <c r="E5799" i="1"/>
  <c r="A5800" i="1"/>
  <c r="B5800" i="1"/>
  <c r="C5800" i="1"/>
  <c r="D5800" i="1"/>
  <c r="E5800" i="1"/>
  <c r="A5801" i="1"/>
  <c r="B5801" i="1"/>
  <c r="C5801" i="1"/>
  <c r="D5801" i="1"/>
  <c r="E5801" i="1"/>
  <c r="A5802" i="1"/>
  <c r="B5802" i="1"/>
  <c r="C5802" i="1"/>
  <c r="D5802" i="1"/>
  <c r="E5802" i="1"/>
  <c r="A5803" i="1"/>
  <c r="B5803" i="1"/>
  <c r="C5803" i="1"/>
  <c r="D5803" i="1"/>
  <c r="E5803" i="1"/>
  <c r="A5804" i="1"/>
  <c r="B5804" i="1"/>
  <c r="C5804" i="1"/>
  <c r="D5804" i="1"/>
  <c r="E5804" i="1"/>
  <c r="A5805" i="1"/>
  <c r="B5805" i="1"/>
  <c r="C5805" i="1"/>
  <c r="D5805" i="1"/>
  <c r="E5805" i="1"/>
  <c r="A5806" i="1"/>
  <c r="B5806" i="1"/>
  <c r="C5806" i="1"/>
  <c r="D5806" i="1"/>
  <c r="E5806" i="1"/>
  <c r="A5807" i="1"/>
  <c r="B5807" i="1"/>
  <c r="C5807" i="1"/>
  <c r="D5807" i="1"/>
  <c r="E5807" i="1"/>
  <c r="A5808" i="1"/>
  <c r="B5808" i="1"/>
  <c r="C5808" i="1"/>
  <c r="D5808" i="1"/>
  <c r="E5808" i="1"/>
  <c r="A5809" i="1"/>
  <c r="B5809" i="1"/>
  <c r="C5809" i="1"/>
  <c r="D5809" i="1"/>
  <c r="E5809" i="1"/>
  <c r="A5810" i="1"/>
  <c r="B5810" i="1"/>
  <c r="C5810" i="1"/>
  <c r="D5810" i="1"/>
  <c r="E5810" i="1"/>
  <c r="A5811" i="1"/>
  <c r="B5811" i="1"/>
  <c r="C5811" i="1"/>
  <c r="D5811" i="1"/>
  <c r="E5811" i="1"/>
  <c r="A5812" i="1"/>
  <c r="B5812" i="1"/>
  <c r="C5812" i="1"/>
  <c r="D5812" i="1"/>
  <c r="E5812" i="1"/>
  <c r="A5813" i="1"/>
  <c r="B5813" i="1"/>
  <c r="C5813" i="1"/>
  <c r="D5813" i="1"/>
  <c r="E5813" i="1"/>
  <c r="A5814" i="1"/>
  <c r="B5814" i="1"/>
  <c r="C5814" i="1"/>
  <c r="D5814" i="1"/>
  <c r="E5814" i="1"/>
  <c r="A5815" i="1"/>
  <c r="B5815" i="1"/>
  <c r="C5815" i="1"/>
  <c r="D5815" i="1"/>
  <c r="E5815" i="1"/>
  <c r="A5816" i="1"/>
  <c r="B5816" i="1"/>
  <c r="C5816" i="1"/>
  <c r="D5816" i="1"/>
  <c r="E5816" i="1"/>
  <c r="A5817" i="1"/>
  <c r="B5817" i="1"/>
  <c r="C5817" i="1"/>
  <c r="D5817" i="1"/>
  <c r="E5817" i="1"/>
  <c r="A5818" i="1"/>
  <c r="B5818" i="1"/>
  <c r="C5818" i="1"/>
  <c r="D5818" i="1"/>
  <c r="E5818" i="1"/>
  <c r="A5819" i="1"/>
  <c r="B5819" i="1"/>
  <c r="C5819" i="1"/>
  <c r="D5819" i="1"/>
  <c r="E5819" i="1"/>
  <c r="A5820" i="1"/>
  <c r="B5820" i="1"/>
  <c r="C5820" i="1"/>
  <c r="D5820" i="1"/>
  <c r="E5820" i="1"/>
  <c r="A5821" i="1"/>
  <c r="B5821" i="1"/>
  <c r="C5821" i="1"/>
  <c r="D5821" i="1"/>
  <c r="E5821" i="1"/>
  <c r="A5822" i="1"/>
  <c r="B5822" i="1"/>
  <c r="C5822" i="1"/>
  <c r="D5822" i="1"/>
  <c r="E5822" i="1"/>
  <c r="A5823" i="1"/>
  <c r="B5823" i="1"/>
  <c r="C5823" i="1"/>
  <c r="D5823" i="1"/>
  <c r="E5823" i="1"/>
  <c r="A5824" i="1"/>
  <c r="B5824" i="1"/>
  <c r="C5824" i="1"/>
  <c r="D5824" i="1"/>
  <c r="E5824" i="1"/>
  <c r="A5825" i="1"/>
  <c r="B5825" i="1"/>
  <c r="C5825" i="1"/>
  <c r="D5825" i="1"/>
  <c r="E5825" i="1"/>
  <c r="A5826" i="1"/>
  <c r="B5826" i="1"/>
  <c r="C5826" i="1"/>
  <c r="D5826" i="1"/>
  <c r="E5826" i="1"/>
  <c r="A5827" i="1"/>
  <c r="B5827" i="1"/>
  <c r="C5827" i="1"/>
  <c r="D5827" i="1"/>
  <c r="E5827" i="1"/>
  <c r="A5828" i="1"/>
  <c r="B5828" i="1"/>
  <c r="C5828" i="1"/>
  <c r="D5828" i="1"/>
  <c r="E5828" i="1"/>
  <c r="A5829" i="1"/>
  <c r="B5829" i="1"/>
  <c r="C5829" i="1"/>
  <c r="D5829" i="1"/>
  <c r="E5829" i="1"/>
  <c r="A5830" i="1"/>
  <c r="B5830" i="1"/>
  <c r="C5830" i="1"/>
  <c r="D5830" i="1"/>
  <c r="E5830" i="1"/>
  <c r="A5831" i="1"/>
  <c r="B5831" i="1"/>
  <c r="C5831" i="1"/>
  <c r="D5831" i="1"/>
  <c r="E5831" i="1"/>
  <c r="A5832" i="1"/>
  <c r="B5832" i="1"/>
  <c r="C5832" i="1"/>
  <c r="D5832" i="1"/>
  <c r="E5832" i="1"/>
  <c r="A5833" i="1"/>
  <c r="B5833" i="1"/>
  <c r="C5833" i="1"/>
  <c r="D5833" i="1"/>
  <c r="E5833" i="1"/>
  <c r="A5834" i="1"/>
  <c r="B5834" i="1"/>
  <c r="C5834" i="1"/>
  <c r="D5834" i="1"/>
  <c r="E5834" i="1"/>
  <c r="A5835" i="1"/>
  <c r="B5835" i="1"/>
  <c r="C5835" i="1"/>
  <c r="D5835" i="1"/>
  <c r="E5835" i="1"/>
  <c r="A5836" i="1"/>
  <c r="B5836" i="1"/>
  <c r="C5836" i="1"/>
  <c r="D5836" i="1"/>
  <c r="E5836" i="1"/>
  <c r="A5837" i="1"/>
  <c r="B5837" i="1"/>
  <c r="C5837" i="1"/>
  <c r="D5837" i="1"/>
  <c r="E5837" i="1"/>
  <c r="A5838" i="1"/>
  <c r="B5838" i="1"/>
  <c r="C5838" i="1"/>
  <c r="D5838" i="1"/>
  <c r="E5838" i="1"/>
  <c r="A5839" i="1"/>
  <c r="B5839" i="1"/>
  <c r="C5839" i="1"/>
  <c r="D5839" i="1"/>
  <c r="E5839" i="1"/>
  <c r="A5840" i="1"/>
  <c r="B5840" i="1"/>
  <c r="C5840" i="1"/>
  <c r="D5840" i="1"/>
  <c r="E5840" i="1"/>
  <c r="A5841" i="1"/>
  <c r="B5841" i="1"/>
  <c r="C5841" i="1"/>
  <c r="D5841" i="1"/>
  <c r="E5841" i="1"/>
  <c r="A5842" i="1"/>
  <c r="B5842" i="1"/>
  <c r="C5842" i="1"/>
  <c r="D5842" i="1"/>
  <c r="E5842" i="1"/>
  <c r="A5843" i="1"/>
  <c r="B5843" i="1"/>
  <c r="C5843" i="1"/>
  <c r="D5843" i="1"/>
  <c r="E5843" i="1"/>
  <c r="A5844" i="1"/>
  <c r="B5844" i="1"/>
  <c r="C5844" i="1"/>
  <c r="D5844" i="1"/>
  <c r="E5844" i="1"/>
  <c r="A5845" i="1"/>
  <c r="B5845" i="1"/>
  <c r="C5845" i="1"/>
  <c r="D5845" i="1"/>
  <c r="E5845" i="1"/>
  <c r="A5846" i="1"/>
  <c r="B5846" i="1"/>
  <c r="C5846" i="1"/>
  <c r="D5846" i="1"/>
  <c r="E5846" i="1"/>
  <c r="A5847" i="1"/>
  <c r="B5847" i="1"/>
  <c r="C5847" i="1"/>
  <c r="D5847" i="1"/>
  <c r="E5847" i="1"/>
  <c r="A5848" i="1"/>
  <c r="B5848" i="1"/>
  <c r="C5848" i="1"/>
  <c r="D5848" i="1"/>
  <c r="E5848" i="1"/>
  <c r="A5849" i="1"/>
  <c r="B5849" i="1"/>
  <c r="C5849" i="1"/>
  <c r="D5849" i="1"/>
  <c r="E5849" i="1"/>
  <c r="A5850" i="1"/>
  <c r="B5850" i="1"/>
  <c r="C5850" i="1"/>
  <c r="D5850" i="1"/>
  <c r="E5850" i="1"/>
  <c r="A5851" i="1"/>
  <c r="B5851" i="1"/>
  <c r="C5851" i="1"/>
  <c r="D5851" i="1"/>
  <c r="E5851" i="1"/>
  <c r="A5852" i="1"/>
  <c r="B5852" i="1"/>
  <c r="C5852" i="1"/>
  <c r="D5852" i="1"/>
  <c r="E5852" i="1"/>
  <c r="A5853" i="1"/>
  <c r="B5853" i="1"/>
  <c r="C5853" i="1"/>
  <c r="D5853" i="1"/>
  <c r="E5853" i="1"/>
  <c r="A5854" i="1"/>
  <c r="B5854" i="1"/>
  <c r="C5854" i="1"/>
  <c r="D5854" i="1"/>
  <c r="E5854" i="1"/>
  <c r="A5855" i="1"/>
  <c r="B5855" i="1"/>
  <c r="C5855" i="1"/>
  <c r="D5855" i="1"/>
  <c r="E5855" i="1"/>
  <c r="A5856" i="1"/>
  <c r="B5856" i="1"/>
  <c r="C5856" i="1"/>
  <c r="D5856" i="1"/>
  <c r="E5856" i="1"/>
  <c r="A5857" i="1"/>
  <c r="B5857" i="1"/>
  <c r="C5857" i="1"/>
  <c r="D5857" i="1"/>
  <c r="E5857" i="1"/>
  <c r="A5858" i="1"/>
  <c r="B5858" i="1"/>
  <c r="C5858" i="1"/>
  <c r="D5858" i="1"/>
  <c r="E5858" i="1"/>
  <c r="A5859" i="1"/>
  <c r="B5859" i="1"/>
  <c r="C5859" i="1"/>
  <c r="D5859" i="1"/>
  <c r="E5859" i="1"/>
  <c r="A5860" i="1"/>
  <c r="B5860" i="1"/>
  <c r="C5860" i="1"/>
  <c r="D5860" i="1"/>
  <c r="E5860" i="1"/>
  <c r="A5861" i="1"/>
  <c r="B5861" i="1"/>
  <c r="C5861" i="1"/>
  <c r="D5861" i="1"/>
  <c r="E5861" i="1"/>
  <c r="A5862" i="1"/>
  <c r="B5862" i="1"/>
  <c r="C5862" i="1"/>
  <c r="D5862" i="1"/>
  <c r="E5862" i="1"/>
  <c r="A5863" i="1"/>
  <c r="B5863" i="1"/>
  <c r="C5863" i="1"/>
  <c r="D5863" i="1"/>
  <c r="E5863" i="1"/>
  <c r="A5864" i="1"/>
  <c r="B5864" i="1"/>
  <c r="C5864" i="1"/>
  <c r="D5864" i="1"/>
  <c r="E5864" i="1"/>
  <c r="A5865" i="1"/>
  <c r="B5865" i="1"/>
  <c r="C5865" i="1"/>
  <c r="D5865" i="1"/>
  <c r="E5865" i="1"/>
  <c r="A5866" i="1"/>
  <c r="B5866" i="1"/>
  <c r="C5866" i="1"/>
  <c r="D5866" i="1"/>
  <c r="E5866" i="1"/>
  <c r="A5867" i="1"/>
  <c r="B5867" i="1"/>
  <c r="C5867" i="1"/>
  <c r="D5867" i="1"/>
  <c r="E5867" i="1"/>
  <c r="A5868" i="1"/>
  <c r="B5868" i="1"/>
  <c r="C5868" i="1"/>
  <c r="D5868" i="1"/>
  <c r="E5868" i="1"/>
  <c r="A5869" i="1"/>
  <c r="B5869" i="1"/>
  <c r="C5869" i="1"/>
  <c r="D5869" i="1"/>
  <c r="E5869" i="1"/>
  <c r="A5870" i="1"/>
  <c r="B5870" i="1"/>
  <c r="C5870" i="1"/>
  <c r="D5870" i="1"/>
  <c r="E5870" i="1"/>
  <c r="A5871" i="1"/>
  <c r="B5871" i="1"/>
  <c r="C5871" i="1"/>
  <c r="D5871" i="1"/>
  <c r="E5871" i="1"/>
  <c r="A5872" i="1"/>
  <c r="B5872" i="1"/>
  <c r="C5872" i="1"/>
  <c r="D5872" i="1"/>
  <c r="E5872" i="1"/>
  <c r="A5873" i="1"/>
  <c r="B5873" i="1"/>
  <c r="C5873" i="1"/>
  <c r="D5873" i="1"/>
  <c r="E5873" i="1"/>
  <c r="A5874" i="1"/>
  <c r="B5874" i="1"/>
  <c r="C5874" i="1"/>
  <c r="D5874" i="1"/>
  <c r="E5874" i="1"/>
  <c r="A5875" i="1"/>
  <c r="B5875" i="1"/>
  <c r="C5875" i="1"/>
  <c r="D5875" i="1"/>
  <c r="E5875" i="1"/>
  <c r="A5876" i="1"/>
  <c r="B5876" i="1"/>
  <c r="C5876" i="1"/>
  <c r="D5876" i="1"/>
  <c r="E5876" i="1"/>
  <c r="A5877" i="1"/>
  <c r="B5877" i="1"/>
  <c r="C5877" i="1"/>
  <c r="D5877" i="1"/>
  <c r="E5877" i="1"/>
  <c r="A5878" i="1"/>
  <c r="B5878" i="1"/>
  <c r="C5878" i="1"/>
  <c r="D5878" i="1"/>
  <c r="E5878" i="1"/>
  <c r="A5879" i="1"/>
  <c r="B5879" i="1"/>
  <c r="C5879" i="1"/>
  <c r="D5879" i="1"/>
  <c r="E5879" i="1"/>
  <c r="A5880" i="1"/>
  <c r="B5880" i="1"/>
  <c r="C5880" i="1"/>
  <c r="D5880" i="1"/>
  <c r="E5880" i="1"/>
  <c r="A5881" i="1"/>
  <c r="B5881" i="1"/>
  <c r="C5881" i="1"/>
  <c r="D5881" i="1"/>
  <c r="E5881" i="1"/>
  <c r="A5882" i="1"/>
  <c r="B5882" i="1"/>
  <c r="C5882" i="1"/>
  <c r="D5882" i="1"/>
  <c r="E5882" i="1"/>
  <c r="A5883" i="1"/>
  <c r="B5883" i="1"/>
  <c r="C5883" i="1"/>
  <c r="D5883" i="1"/>
  <c r="E5883" i="1"/>
  <c r="A5884" i="1"/>
  <c r="B5884" i="1"/>
  <c r="C5884" i="1"/>
  <c r="D5884" i="1"/>
  <c r="E5884" i="1"/>
  <c r="A5885" i="1"/>
  <c r="B5885" i="1"/>
  <c r="C5885" i="1"/>
  <c r="D5885" i="1"/>
  <c r="E5885" i="1"/>
  <c r="A5886" i="1"/>
  <c r="B5886" i="1"/>
  <c r="C5886" i="1"/>
  <c r="D5886" i="1"/>
  <c r="E5886" i="1"/>
  <c r="A5887" i="1"/>
  <c r="B5887" i="1"/>
  <c r="C5887" i="1"/>
  <c r="D5887" i="1"/>
  <c r="E5887" i="1"/>
  <c r="A5888" i="1"/>
  <c r="B5888" i="1"/>
  <c r="C5888" i="1"/>
  <c r="D5888" i="1"/>
  <c r="E5888" i="1"/>
  <c r="A5889" i="1"/>
  <c r="B5889" i="1"/>
  <c r="C5889" i="1"/>
  <c r="D5889" i="1"/>
  <c r="E5889" i="1"/>
  <c r="A5890" i="1"/>
  <c r="B5890" i="1"/>
  <c r="C5890" i="1"/>
  <c r="D5890" i="1"/>
  <c r="E5890" i="1"/>
  <c r="A5891" i="1"/>
  <c r="B5891" i="1"/>
  <c r="C5891" i="1"/>
  <c r="D5891" i="1"/>
  <c r="E5891" i="1"/>
  <c r="A5892" i="1"/>
  <c r="B5892" i="1"/>
  <c r="C5892" i="1"/>
  <c r="D5892" i="1"/>
  <c r="E5892" i="1"/>
  <c r="A5893" i="1"/>
  <c r="B5893" i="1"/>
  <c r="C5893" i="1"/>
  <c r="D5893" i="1"/>
  <c r="E5893" i="1"/>
  <c r="A5894" i="1"/>
  <c r="B5894" i="1"/>
  <c r="C5894" i="1"/>
  <c r="D5894" i="1"/>
  <c r="E5894" i="1"/>
  <c r="A5895" i="1"/>
  <c r="B5895" i="1"/>
  <c r="C5895" i="1"/>
  <c r="D5895" i="1"/>
  <c r="E5895" i="1"/>
  <c r="A5896" i="1"/>
  <c r="B5896" i="1"/>
  <c r="C5896" i="1"/>
  <c r="D5896" i="1"/>
  <c r="E5896" i="1"/>
  <c r="A5897" i="1"/>
  <c r="B5897" i="1"/>
  <c r="C5897" i="1"/>
  <c r="D5897" i="1"/>
  <c r="E5897" i="1"/>
  <c r="A5898" i="1"/>
  <c r="B5898" i="1"/>
  <c r="C5898" i="1"/>
  <c r="D5898" i="1"/>
  <c r="E5898" i="1"/>
  <c r="A5899" i="1"/>
  <c r="B5899" i="1"/>
  <c r="C5899" i="1"/>
  <c r="D5899" i="1"/>
  <c r="E5899" i="1"/>
  <c r="A5900" i="1"/>
  <c r="B5900" i="1"/>
  <c r="C5900" i="1"/>
  <c r="D5900" i="1"/>
  <c r="E5900" i="1"/>
  <c r="A5901" i="1"/>
  <c r="B5901" i="1"/>
  <c r="C5901" i="1"/>
  <c r="D5901" i="1"/>
  <c r="E5901" i="1"/>
  <c r="A5902" i="1"/>
  <c r="B5902" i="1"/>
  <c r="C5902" i="1"/>
  <c r="D5902" i="1"/>
  <c r="E5902" i="1"/>
  <c r="A5903" i="1"/>
  <c r="B5903" i="1"/>
  <c r="C5903" i="1"/>
  <c r="D5903" i="1"/>
  <c r="E5903" i="1"/>
  <c r="A5904" i="1"/>
  <c r="B5904" i="1"/>
  <c r="C5904" i="1"/>
  <c r="D5904" i="1"/>
  <c r="E5904" i="1"/>
  <c r="A5905" i="1"/>
  <c r="B5905" i="1"/>
  <c r="C5905" i="1"/>
  <c r="D5905" i="1"/>
  <c r="E5905" i="1"/>
  <c r="A5906" i="1"/>
  <c r="B5906" i="1"/>
  <c r="C5906" i="1"/>
  <c r="D5906" i="1"/>
  <c r="E5906" i="1"/>
  <c r="A5907" i="1"/>
  <c r="B5907" i="1"/>
  <c r="C5907" i="1"/>
  <c r="D5907" i="1"/>
  <c r="E5907" i="1"/>
  <c r="A5908" i="1"/>
  <c r="B5908" i="1"/>
  <c r="C5908" i="1"/>
  <c r="D5908" i="1"/>
  <c r="E5908" i="1"/>
  <c r="A5909" i="1"/>
  <c r="B5909" i="1"/>
  <c r="C5909" i="1"/>
  <c r="D5909" i="1"/>
  <c r="E5909" i="1"/>
  <c r="A5910" i="1"/>
  <c r="B5910" i="1"/>
  <c r="C5910" i="1"/>
  <c r="D5910" i="1"/>
  <c r="E5910" i="1"/>
  <c r="A5911" i="1"/>
  <c r="B5911" i="1"/>
  <c r="C5911" i="1"/>
  <c r="D5911" i="1"/>
  <c r="E5911" i="1"/>
  <c r="A5912" i="1"/>
  <c r="B5912" i="1"/>
  <c r="C5912" i="1"/>
  <c r="D5912" i="1"/>
  <c r="E5912" i="1"/>
  <c r="A5913" i="1"/>
  <c r="B5913" i="1"/>
  <c r="C5913" i="1"/>
  <c r="D5913" i="1"/>
  <c r="E5913" i="1"/>
  <c r="A5914" i="1"/>
  <c r="B5914" i="1"/>
  <c r="C5914" i="1"/>
  <c r="D5914" i="1"/>
  <c r="E5914" i="1"/>
  <c r="A5915" i="1"/>
  <c r="B5915" i="1"/>
  <c r="C5915" i="1"/>
  <c r="D5915" i="1"/>
  <c r="E5915" i="1"/>
  <c r="A5916" i="1"/>
  <c r="B5916" i="1"/>
  <c r="C5916" i="1"/>
  <c r="D5916" i="1"/>
  <c r="E5916" i="1"/>
  <c r="A5917" i="1"/>
  <c r="B5917" i="1"/>
  <c r="C5917" i="1"/>
  <c r="D5917" i="1"/>
  <c r="E5917" i="1"/>
  <c r="A5918" i="1"/>
  <c r="B5918" i="1"/>
  <c r="C5918" i="1"/>
  <c r="D5918" i="1"/>
  <c r="E5918" i="1"/>
  <c r="A5919" i="1"/>
  <c r="B5919" i="1"/>
  <c r="C5919" i="1"/>
  <c r="D5919" i="1"/>
  <c r="E5919" i="1"/>
  <c r="A5920" i="1"/>
  <c r="B5920" i="1"/>
  <c r="C5920" i="1"/>
  <c r="D5920" i="1"/>
  <c r="E5920" i="1"/>
  <c r="A5921" i="1"/>
  <c r="B5921" i="1"/>
  <c r="C5921" i="1"/>
  <c r="D5921" i="1"/>
  <c r="E5921" i="1"/>
  <c r="A5922" i="1"/>
  <c r="B5922" i="1"/>
  <c r="C5922" i="1"/>
  <c r="D5922" i="1"/>
  <c r="E5922" i="1"/>
  <c r="A5923" i="1"/>
  <c r="B5923" i="1"/>
  <c r="C5923" i="1"/>
  <c r="D5923" i="1"/>
  <c r="E5923" i="1"/>
  <c r="A5924" i="1"/>
  <c r="B5924" i="1"/>
  <c r="C5924" i="1"/>
  <c r="D5924" i="1"/>
  <c r="E5924" i="1"/>
  <c r="A5925" i="1"/>
  <c r="B5925" i="1"/>
  <c r="C5925" i="1"/>
  <c r="D5925" i="1"/>
  <c r="E5925" i="1"/>
  <c r="A5926" i="1"/>
  <c r="B5926" i="1"/>
  <c r="C5926" i="1"/>
  <c r="D5926" i="1"/>
  <c r="E5926" i="1"/>
  <c r="A5927" i="1"/>
  <c r="B5927" i="1"/>
  <c r="C5927" i="1"/>
  <c r="D5927" i="1"/>
  <c r="E5927" i="1"/>
  <c r="A5928" i="1"/>
  <c r="B5928" i="1"/>
  <c r="C5928" i="1"/>
  <c r="D5928" i="1"/>
  <c r="E5928" i="1"/>
  <c r="A5929" i="1"/>
  <c r="B5929" i="1"/>
  <c r="C5929" i="1"/>
  <c r="D5929" i="1"/>
  <c r="E5929" i="1"/>
  <c r="A5930" i="1"/>
  <c r="B5930" i="1"/>
  <c r="C5930" i="1"/>
  <c r="D5930" i="1"/>
  <c r="E5930" i="1"/>
  <c r="A5931" i="1"/>
  <c r="B5931" i="1"/>
  <c r="C5931" i="1"/>
  <c r="D5931" i="1"/>
  <c r="E5931" i="1"/>
  <c r="A5932" i="1"/>
  <c r="B5932" i="1"/>
  <c r="C5932" i="1"/>
  <c r="D5932" i="1"/>
  <c r="E5932" i="1"/>
  <c r="A5933" i="1"/>
  <c r="B5933" i="1"/>
  <c r="C5933" i="1"/>
  <c r="D5933" i="1"/>
  <c r="E5933" i="1"/>
  <c r="A5934" i="1"/>
  <c r="B5934" i="1"/>
  <c r="C5934" i="1"/>
  <c r="D5934" i="1"/>
  <c r="E5934" i="1"/>
  <c r="A5935" i="1"/>
  <c r="B5935" i="1"/>
  <c r="C5935" i="1"/>
  <c r="D5935" i="1"/>
  <c r="E5935" i="1"/>
  <c r="A5936" i="1"/>
  <c r="B5936" i="1"/>
  <c r="C5936" i="1"/>
  <c r="D5936" i="1"/>
  <c r="E5936" i="1"/>
  <c r="A5937" i="1"/>
  <c r="B5937" i="1"/>
  <c r="C5937" i="1"/>
  <c r="D5937" i="1"/>
  <c r="E5937" i="1"/>
  <c r="A5938" i="1"/>
  <c r="B5938" i="1"/>
  <c r="C5938" i="1"/>
  <c r="D5938" i="1"/>
  <c r="E5938" i="1"/>
  <c r="A5939" i="1"/>
  <c r="B5939" i="1"/>
  <c r="C5939" i="1"/>
  <c r="D5939" i="1"/>
  <c r="E5939" i="1"/>
  <c r="A5940" i="1"/>
  <c r="B5940" i="1"/>
  <c r="C5940" i="1"/>
  <c r="D5940" i="1"/>
  <c r="E5940" i="1"/>
  <c r="A5941" i="1"/>
  <c r="B5941" i="1"/>
  <c r="C5941" i="1"/>
  <c r="D5941" i="1"/>
  <c r="E5941" i="1"/>
  <c r="A5942" i="1"/>
  <c r="B5942" i="1"/>
  <c r="C5942" i="1"/>
  <c r="D5942" i="1"/>
  <c r="E5942" i="1"/>
  <c r="A5943" i="1"/>
  <c r="B5943" i="1"/>
  <c r="C5943" i="1"/>
  <c r="D5943" i="1"/>
  <c r="E5943" i="1"/>
  <c r="A5944" i="1"/>
  <c r="B5944" i="1"/>
  <c r="C5944" i="1"/>
  <c r="D5944" i="1"/>
  <c r="E5944" i="1"/>
  <c r="A5945" i="1"/>
  <c r="B5945" i="1"/>
  <c r="C5945" i="1"/>
  <c r="D5945" i="1"/>
  <c r="E5945" i="1"/>
  <c r="A5946" i="1"/>
  <c r="B5946" i="1"/>
  <c r="C5946" i="1"/>
  <c r="D5946" i="1"/>
  <c r="E5946" i="1"/>
  <c r="A5947" i="1"/>
  <c r="B5947" i="1"/>
  <c r="C5947" i="1"/>
  <c r="D5947" i="1"/>
  <c r="E5947" i="1"/>
  <c r="A5948" i="1"/>
  <c r="B5948" i="1"/>
  <c r="C5948" i="1"/>
  <c r="D5948" i="1"/>
  <c r="E5948" i="1"/>
  <c r="A5949" i="1"/>
  <c r="B5949" i="1"/>
  <c r="C5949" i="1"/>
  <c r="D5949" i="1"/>
  <c r="E5949" i="1"/>
  <c r="A5950" i="1"/>
  <c r="B5950" i="1"/>
  <c r="C5950" i="1"/>
  <c r="D5950" i="1"/>
  <c r="E5950" i="1"/>
  <c r="A5951" i="1"/>
  <c r="B5951" i="1"/>
  <c r="C5951" i="1"/>
  <c r="D5951" i="1"/>
  <c r="E5951" i="1"/>
  <c r="A5952" i="1"/>
  <c r="B5952" i="1"/>
  <c r="C5952" i="1"/>
  <c r="D5952" i="1"/>
  <c r="E5952" i="1"/>
  <c r="A5953" i="1"/>
  <c r="B5953" i="1"/>
  <c r="C5953" i="1"/>
  <c r="D5953" i="1"/>
  <c r="E5953" i="1"/>
  <c r="A5954" i="1"/>
  <c r="B5954" i="1"/>
  <c r="C5954" i="1"/>
  <c r="D5954" i="1"/>
  <c r="E5954" i="1"/>
  <c r="A5955" i="1"/>
  <c r="B5955" i="1"/>
  <c r="C5955" i="1"/>
  <c r="D5955" i="1"/>
  <c r="E5955" i="1"/>
  <c r="A5956" i="1"/>
  <c r="B5956" i="1"/>
  <c r="C5956" i="1"/>
  <c r="D5956" i="1"/>
  <c r="E5956" i="1"/>
  <c r="A5957" i="1"/>
  <c r="B5957" i="1"/>
  <c r="C5957" i="1"/>
  <c r="D5957" i="1"/>
  <c r="E5957" i="1"/>
  <c r="A5958" i="1"/>
  <c r="B5958" i="1"/>
  <c r="C5958" i="1"/>
  <c r="D5958" i="1"/>
  <c r="E5958" i="1"/>
  <c r="A5959" i="1"/>
  <c r="B5959" i="1"/>
  <c r="C5959" i="1"/>
  <c r="D5959" i="1"/>
  <c r="E5959" i="1"/>
  <c r="A5960" i="1"/>
  <c r="B5960" i="1"/>
  <c r="C5960" i="1"/>
  <c r="D5960" i="1"/>
  <c r="E5960" i="1"/>
  <c r="A5961" i="1"/>
  <c r="B5961" i="1"/>
  <c r="C5961" i="1"/>
  <c r="D5961" i="1"/>
  <c r="E5961" i="1"/>
  <c r="A5962" i="1"/>
  <c r="B5962" i="1"/>
  <c r="C5962" i="1"/>
  <c r="D5962" i="1"/>
  <c r="E5962" i="1"/>
  <c r="A5963" i="1"/>
  <c r="B5963" i="1"/>
  <c r="C5963" i="1"/>
  <c r="D5963" i="1"/>
  <c r="E5963" i="1"/>
  <c r="A5964" i="1"/>
  <c r="B5964" i="1"/>
  <c r="C5964" i="1"/>
  <c r="D5964" i="1"/>
  <c r="E5964" i="1"/>
  <c r="A5965" i="1"/>
  <c r="B5965" i="1"/>
  <c r="C5965" i="1"/>
  <c r="D5965" i="1"/>
  <c r="E5965" i="1"/>
  <c r="A5966" i="1"/>
  <c r="B5966" i="1"/>
  <c r="C5966" i="1"/>
  <c r="D5966" i="1"/>
  <c r="E5966" i="1"/>
  <c r="A5967" i="1"/>
  <c r="B5967" i="1"/>
  <c r="C5967" i="1"/>
  <c r="D5967" i="1"/>
  <c r="E5967" i="1"/>
  <c r="A5968" i="1"/>
  <c r="B5968" i="1"/>
  <c r="C5968" i="1"/>
  <c r="D5968" i="1"/>
  <c r="E5968" i="1"/>
  <c r="A5969" i="1"/>
  <c r="B5969" i="1"/>
  <c r="C5969" i="1"/>
  <c r="D5969" i="1"/>
  <c r="E5969" i="1"/>
  <c r="A5970" i="1"/>
  <c r="B5970" i="1"/>
  <c r="C5970" i="1"/>
  <c r="D5970" i="1"/>
  <c r="E5970" i="1"/>
  <c r="A5971" i="1"/>
  <c r="B5971" i="1"/>
  <c r="C5971" i="1"/>
  <c r="D5971" i="1"/>
  <c r="E5971" i="1"/>
  <c r="A5972" i="1"/>
  <c r="B5972" i="1"/>
  <c r="C5972" i="1"/>
  <c r="D5972" i="1"/>
  <c r="E5972" i="1"/>
  <c r="A5973" i="1"/>
  <c r="B5973" i="1"/>
  <c r="C5973" i="1"/>
  <c r="D5973" i="1"/>
  <c r="E5973" i="1"/>
  <c r="A5974" i="1"/>
  <c r="B5974" i="1"/>
  <c r="C5974" i="1"/>
  <c r="D5974" i="1"/>
  <c r="E5974" i="1"/>
  <c r="A5975" i="1"/>
  <c r="B5975" i="1"/>
  <c r="C5975" i="1"/>
  <c r="D5975" i="1"/>
  <c r="E5975" i="1"/>
  <c r="A5976" i="1"/>
  <c r="B5976" i="1"/>
  <c r="C5976" i="1"/>
  <c r="D5976" i="1"/>
  <c r="E5976" i="1"/>
  <c r="A5977" i="1"/>
  <c r="B5977" i="1"/>
  <c r="C5977" i="1"/>
  <c r="D5977" i="1"/>
  <c r="E5977" i="1"/>
  <c r="A5978" i="1"/>
  <c r="B5978" i="1"/>
  <c r="C5978" i="1"/>
  <c r="D5978" i="1"/>
  <c r="E5978" i="1"/>
  <c r="A5979" i="1"/>
  <c r="B5979" i="1"/>
  <c r="C5979" i="1"/>
  <c r="D5979" i="1"/>
  <c r="E5979" i="1"/>
  <c r="A5980" i="1"/>
  <c r="B5980" i="1"/>
  <c r="C5980" i="1"/>
  <c r="D5980" i="1"/>
  <c r="E5980" i="1"/>
  <c r="A5981" i="1"/>
  <c r="B5981" i="1"/>
  <c r="C5981" i="1"/>
  <c r="D5981" i="1"/>
  <c r="E5981" i="1"/>
  <c r="A5982" i="1"/>
  <c r="B5982" i="1"/>
  <c r="C5982" i="1"/>
  <c r="D5982" i="1"/>
  <c r="E5982" i="1"/>
  <c r="A5983" i="1"/>
  <c r="B5983" i="1"/>
  <c r="C5983" i="1"/>
  <c r="D5983" i="1"/>
  <c r="E5983" i="1"/>
  <c r="A5984" i="1"/>
  <c r="B5984" i="1"/>
  <c r="C5984" i="1"/>
  <c r="D5984" i="1"/>
  <c r="E5984" i="1"/>
  <c r="A5985" i="1"/>
  <c r="B5985" i="1"/>
  <c r="C5985" i="1"/>
  <c r="D5985" i="1"/>
  <c r="E5985" i="1"/>
  <c r="A5986" i="1"/>
  <c r="B5986" i="1"/>
  <c r="C5986" i="1"/>
  <c r="D5986" i="1"/>
  <c r="E5986" i="1"/>
  <c r="A5987" i="1"/>
  <c r="B5987" i="1"/>
  <c r="C5987" i="1"/>
  <c r="D5987" i="1"/>
  <c r="E5987" i="1"/>
  <c r="A5988" i="1"/>
  <c r="B5988" i="1"/>
  <c r="C5988" i="1"/>
  <c r="D5988" i="1"/>
  <c r="E5988" i="1"/>
  <c r="A5989" i="1"/>
  <c r="B5989" i="1"/>
  <c r="C5989" i="1"/>
  <c r="D5989" i="1"/>
  <c r="E5989" i="1"/>
  <c r="A5990" i="1"/>
  <c r="B5990" i="1"/>
  <c r="C5990" i="1"/>
  <c r="D5990" i="1"/>
  <c r="E5990" i="1"/>
  <c r="A5991" i="1"/>
  <c r="B5991" i="1"/>
  <c r="C5991" i="1"/>
  <c r="D5991" i="1"/>
  <c r="E5991" i="1"/>
  <c r="A5992" i="1"/>
  <c r="B5992" i="1"/>
  <c r="C5992" i="1"/>
  <c r="D5992" i="1"/>
  <c r="E5992" i="1"/>
  <c r="A5993" i="1"/>
  <c r="B5993" i="1"/>
  <c r="C5993" i="1"/>
  <c r="D5993" i="1"/>
  <c r="E5993" i="1"/>
  <c r="A5994" i="1"/>
  <c r="B5994" i="1"/>
  <c r="C5994" i="1"/>
  <c r="D5994" i="1"/>
  <c r="E5994" i="1"/>
  <c r="A5995" i="1"/>
  <c r="B5995" i="1"/>
  <c r="C5995" i="1"/>
  <c r="D5995" i="1"/>
  <c r="E5995" i="1"/>
  <c r="A5996" i="1"/>
  <c r="B5996" i="1"/>
  <c r="C5996" i="1"/>
  <c r="D5996" i="1"/>
  <c r="E5996" i="1"/>
  <c r="A5997" i="1"/>
  <c r="B5997" i="1"/>
  <c r="C5997" i="1"/>
  <c r="D5997" i="1"/>
  <c r="E5997" i="1"/>
  <c r="A5998" i="1"/>
  <c r="B5998" i="1"/>
  <c r="C5998" i="1"/>
  <c r="D5998" i="1"/>
  <c r="E5998" i="1"/>
  <c r="A5999" i="1"/>
  <c r="B5999" i="1"/>
  <c r="C5999" i="1"/>
  <c r="D5999" i="1"/>
  <c r="E5999" i="1"/>
  <c r="A6000" i="1"/>
  <c r="B6000" i="1"/>
  <c r="C6000" i="1"/>
  <c r="D6000" i="1"/>
  <c r="E6000" i="1"/>
  <c r="A6001" i="1"/>
  <c r="B6001" i="1"/>
  <c r="C6001" i="1"/>
  <c r="D6001" i="1"/>
  <c r="E6001" i="1"/>
  <c r="A6002" i="1"/>
  <c r="B6002" i="1"/>
  <c r="C6002" i="1"/>
  <c r="D6002" i="1"/>
  <c r="E6002" i="1"/>
  <c r="A6003" i="1"/>
  <c r="B6003" i="1"/>
  <c r="C6003" i="1"/>
  <c r="D6003" i="1"/>
  <c r="E6003" i="1"/>
  <c r="A6004" i="1"/>
  <c r="B6004" i="1"/>
  <c r="C6004" i="1"/>
  <c r="D6004" i="1"/>
  <c r="E6004" i="1"/>
  <c r="A6005" i="1"/>
  <c r="B6005" i="1"/>
  <c r="C6005" i="1"/>
  <c r="D6005" i="1"/>
  <c r="E6005" i="1"/>
  <c r="A6006" i="1"/>
  <c r="B6006" i="1"/>
  <c r="C6006" i="1"/>
  <c r="D6006" i="1"/>
  <c r="E6006" i="1"/>
  <c r="A6007" i="1"/>
  <c r="B6007" i="1"/>
  <c r="C6007" i="1"/>
  <c r="D6007" i="1"/>
  <c r="E6007" i="1"/>
  <c r="A6008" i="1"/>
  <c r="B6008" i="1"/>
  <c r="C6008" i="1"/>
  <c r="D6008" i="1"/>
  <c r="E6008" i="1"/>
  <c r="A6009" i="1"/>
  <c r="B6009" i="1"/>
  <c r="C6009" i="1"/>
  <c r="D6009" i="1"/>
  <c r="E6009" i="1"/>
  <c r="A6010" i="1"/>
  <c r="B6010" i="1"/>
  <c r="C6010" i="1"/>
  <c r="D6010" i="1"/>
  <c r="E6010" i="1"/>
  <c r="A6011" i="1"/>
  <c r="B6011" i="1"/>
  <c r="C6011" i="1"/>
  <c r="D6011" i="1"/>
  <c r="E6011" i="1"/>
  <c r="A6012" i="1"/>
  <c r="B6012" i="1"/>
  <c r="C6012" i="1"/>
  <c r="D6012" i="1"/>
  <c r="E6012" i="1"/>
  <c r="A6013" i="1"/>
  <c r="B6013" i="1"/>
  <c r="C6013" i="1"/>
  <c r="D6013" i="1"/>
  <c r="E6013" i="1"/>
  <c r="A6014" i="1"/>
  <c r="B6014" i="1"/>
  <c r="C6014" i="1"/>
  <c r="D6014" i="1"/>
  <c r="E6014" i="1"/>
  <c r="A6015" i="1"/>
  <c r="B6015" i="1"/>
  <c r="C6015" i="1"/>
  <c r="D6015" i="1"/>
  <c r="E6015" i="1"/>
  <c r="A6016" i="1"/>
  <c r="B6016" i="1"/>
  <c r="C6016" i="1"/>
  <c r="D6016" i="1"/>
  <c r="E6016" i="1"/>
  <c r="A6017" i="1"/>
  <c r="B6017" i="1"/>
  <c r="C6017" i="1"/>
  <c r="D6017" i="1"/>
  <c r="E6017" i="1"/>
  <c r="A6018" i="1"/>
  <c r="B6018" i="1"/>
  <c r="C6018" i="1"/>
  <c r="D6018" i="1"/>
  <c r="E6018" i="1"/>
  <c r="A6019" i="1"/>
  <c r="B6019" i="1"/>
  <c r="C6019" i="1"/>
  <c r="D6019" i="1"/>
  <c r="E6019" i="1"/>
  <c r="A6020" i="1"/>
  <c r="B6020" i="1"/>
  <c r="C6020" i="1"/>
  <c r="D6020" i="1"/>
  <c r="E6020" i="1"/>
  <c r="A6021" i="1"/>
  <c r="B6021" i="1"/>
  <c r="C6021" i="1"/>
  <c r="D6021" i="1"/>
  <c r="E6021" i="1"/>
  <c r="A6022" i="1"/>
  <c r="B6022" i="1"/>
  <c r="C6022" i="1"/>
  <c r="D6022" i="1"/>
  <c r="E6022" i="1"/>
  <c r="A6023" i="1"/>
  <c r="B6023" i="1"/>
  <c r="C6023" i="1"/>
  <c r="D6023" i="1"/>
  <c r="E6023" i="1"/>
  <c r="A6024" i="1"/>
  <c r="B6024" i="1"/>
  <c r="C6024" i="1"/>
  <c r="D6024" i="1"/>
  <c r="E6024" i="1"/>
  <c r="A6025" i="1"/>
  <c r="B6025" i="1"/>
  <c r="C6025" i="1"/>
  <c r="D6025" i="1"/>
  <c r="E6025" i="1"/>
  <c r="A6026" i="1"/>
  <c r="B6026" i="1"/>
  <c r="C6026" i="1"/>
  <c r="D6026" i="1"/>
  <c r="E6026" i="1"/>
  <c r="A6027" i="1"/>
  <c r="B6027" i="1"/>
  <c r="C6027" i="1"/>
  <c r="D6027" i="1"/>
  <c r="E6027" i="1"/>
  <c r="A6028" i="1"/>
  <c r="B6028" i="1"/>
  <c r="C6028" i="1"/>
  <c r="D6028" i="1"/>
  <c r="E6028" i="1"/>
  <c r="A6029" i="1"/>
  <c r="B6029" i="1"/>
  <c r="C6029" i="1"/>
  <c r="D6029" i="1"/>
  <c r="E6029" i="1"/>
  <c r="A6030" i="1"/>
  <c r="B6030" i="1"/>
  <c r="C6030" i="1"/>
  <c r="D6030" i="1"/>
  <c r="E6030" i="1"/>
  <c r="A6031" i="1"/>
  <c r="B6031" i="1"/>
  <c r="C6031" i="1"/>
  <c r="D6031" i="1"/>
  <c r="E6031" i="1"/>
  <c r="A6032" i="1"/>
  <c r="B6032" i="1"/>
  <c r="C6032" i="1"/>
  <c r="D6032" i="1"/>
  <c r="E6032" i="1"/>
  <c r="A6033" i="1"/>
  <c r="B6033" i="1"/>
  <c r="C6033" i="1"/>
  <c r="D6033" i="1"/>
  <c r="E6033" i="1"/>
  <c r="A6034" i="1"/>
  <c r="B6034" i="1"/>
  <c r="C6034" i="1"/>
  <c r="D6034" i="1"/>
  <c r="E6034" i="1"/>
  <c r="A6035" i="1"/>
  <c r="B6035" i="1"/>
  <c r="C6035" i="1"/>
  <c r="D6035" i="1"/>
  <c r="E6035" i="1"/>
  <c r="A6036" i="1"/>
  <c r="B6036" i="1"/>
  <c r="C6036" i="1"/>
  <c r="D6036" i="1"/>
  <c r="E6036" i="1"/>
  <c r="A6037" i="1"/>
  <c r="B6037" i="1"/>
  <c r="C6037" i="1"/>
  <c r="D6037" i="1"/>
  <c r="E6037" i="1"/>
  <c r="A6038" i="1"/>
  <c r="B6038" i="1"/>
  <c r="C6038" i="1"/>
  <c r="D6038" i="1"/>
  <c r="E6038" i="1"/>
  <c r="A6039" i="1"/>
  <c r="B6039" i="1"/>
  <c r="C6039" i="1"/>
  <c r="D6039" i="1"/>
  <c r="E6039" i="1"/>
  <c r="A6040" i="1"/>
  <c r="B6040" i="1"/>
  <c r="C6040" i="1"/>
  <c r="D6040" i="1"/>
  <c r="E6040" i="1"/>
  <c r="A6041" i="1"/>
  <c r="B6041" i="1"/>
  <c r="C6041" i="1"/>
  <c r="D6041" i="1"/>
  <c r="E6041" i="1"/>
  <c r="A6042" i="1"/>
  <c r="B6042" i="1"/>
  <c r="C6042" i="1"/>
  <c r="D6042" i="1"/>
  <c r="E6042" i="1"/>
  <c r="A6043" i="1"/>
  <c r="B6043" i="1"/>
  <c r="C6043" i="1"/>
  <c r="D6043" i="1"/>
  <c r="E6043" i="1"/>
  <c r="A6044" i="1"/>
  <c r="B6044" i="1"/>
  <c r="C6044" i="1"/>
  <c r="D6044" i="1"/>
  <c r="E6044" i="1"/>
  <c r="A6045" i="1"/>
  <c r="B6045" i="1"/>
  <c r="C6045" i="1"/>
  <c r="D6045" i="1"/>
  <c r="E6045" i="1"/>
  <c r="A6046" i="1"/>
  <c r="B6046" i="1"/>
  <c r="C6046" i="1"/>
  <c r="D6046" i="1"/>
  <c r="E6046" i="1"/>
  <c r="A6047" i="1"/>
  <c r="B6047" i="1"/>
  <c r="C6047" i="1"/>
  <c r="D6047" i="1"/>
  <c r="E6047" i="1"/>
  <c r="A6048" i="1"/>
  <c r="B6048" i="1"/>
  <c r="C6048" i="1"/>
  <c r="D6048" i="1"/>
  <c r="E6048" i="1"/>
  <c r="A6049" i="1"/>
  <c r="B6049" i="1"/>
  <c r="C6049" i="1"/>
  <c r="D6049" i="1"/>
  <c r="E6049" i="1"/>
  <c r="A6050" i="1"/>
  <c r="B6050" i="1"/>
  <c r="C6050" i="1"/>
  <c r="D6050" i="1"/>
  <c r="E6050" i="1"/>
  <c r="A6051" i="1"/>
  <c r="B6051" i="1"/>
  <c r="C6051" i="1"/>
  <c r="D6051" i="1"/>
  <c r="E6051" i="1"/>
  <c r="A6052" i="1"/>
  <c r="B6052" i="1"/>
  <c r="C6052" i="1"/>
  <c r="D6052" i="1"/>
  <c r="E6052" i="1"/>
  <c r="A6053" i="1"/>
  <c r="B6053" i="1"/>
  <c r="C6053" i="1"/>
  <c r="D6053" i="1"/>
  <c r="E6053" i="1"/>
  <c r="A6054" i="1"/>
  <c r="B6054" i="1"/>
  <c r="C6054" i="1"/>
  <c r="D6054" i="1"/>
  <c r="E6054" i="1"/>
  <c r="A6055" i="1"/>
  <c r="B6055" i="1"/>
  <c r="C6055" i="1"/>
  <c r="D6055" i="1"/>
  <c r="E6055" i="1"/>
  <c r="A6056" i="1"/>
  <c r="B6056" i="1"/>
  <c r="C6056" i="1"/>
  <c r="D6056" i="1"/>
  <c r="E6056" i="1"/>
  <c r="A6057" i="1"/>
  <c r="B6057" i="1"/>
  <c r="C6057" i="1"/>
  <c r="D6057" i="1"/>
  <c r="E6057" i="1"/>
  <c r="A6058" i="1"/>
  <c r="B6058" i="1"/>
  <c r="C6058" i="1"/>
  <c r="D6058" i="1"/>
  <c r="E6058" i="1"/>
  <c r="A6059" i="1"/>
  <c r="B6059" i="1"/>
  <c r="C6059" i="1"/>
  <c r="D6059" i="1"/>
  <c r="E6059" i="1"/>
  <c r="A6060" i="1"/>
  <c r="B6060" i="1"/>
  <c r="C6060" i="1"/>
  <c r="D6060" i="1"/>
  <c r="E6060" i="1"/>
  <c r="A6061" i="1"/>
  <c r="B6061" i="1"/>
  <c r="C6061" i="1"/>
  <c r="D6061" i="1"/>
  <c r="E6061" i="1"/>
  <c r="A6062" i="1"/>
  <c r="B6062" i="1"/>
  <c r="C6062" i="1"/>
  <c r="D6062" i="1"/>
  <c r="E6062" i="1"/>
  <c r="A6063" i="1"/>
  <c r="B6063" i="1"/>
  <c r="C6063" i="1"/>
  <c r="D6063" i="1"/>
  <c r="E6063" i="1"/>
  <c r="A6064" i="1"/>
  <c r="B6064" i="1"/>
  <c r="C6064" i="1"/>
  <c r="D6064" i="1"/>
  <c r="E6064" i="1"/>
  <c r="A6065" i="1"/>
  <c r="B6065" i="1"/>
  <c r="C6065" i="1"/>
  <c r="D6065" i="1"/>
  <c r="E6065" i="1"/>
  <c r="A6066" i="1"/>
  <c r="B6066" i="1"/>
  <c r="C6066" i="1"/>
  <c r="D6066" i="1"/>
  <c r="E6066" i="1"/>
  <c r="A6067" i="1"/>
  <c r="B6067" i="1"/>
  <c r="C6067" i="1"/>
  <c r="D6067" i="1"/>
  <c r="E6067" i="1"/>
  <c r="A6068" i="1"/>
  <c r="B6068" i="1"/>
  <c r="C6068" i="1"/>
  <c r="D6068" i="1"/>
  <c r="E6068" i="1"/>
  <c r="A6069" i="1"/>
  <c r="B6069" i="1"/>
  <c r="C6069" i="1"/>
  <c r="D6069" i="1"/>
  <c r="E6069" i="1"/>
  <c r="A6070" i="1"/>
  <c r="B6070" i="1"/>
  <c r="C6070" i="1"/>
  <c r="D6070" i="1"/>
  <c r="E6070" i="1"/>
  <c r="A6071" i="1"/>
  <c r="B6071" i="1"/>
  <c r="C6071" i="1"/>
  <c r="D6071" i="1"/>
  <c r="E6071" i="1"/>
  <c r="A6072" i="1"/>
  <c r="B6072" i="1"/>
  <c r="C6072" i="1"/>
  <c r="D6072" i="1"/>
  <c r="E6072" i="1"/>
  <c r="A6073" i="1"/>
  <c r="B6073" i="1"/>
  <c r="C6073" i="1"/>
  <c r="D6073" i="1"/>
  <c r="E6073" i="1"/>
  <c r="A6074" i="1"/>
  <c r="B6074" i="1"/>
  <c r="C6074" i="1"/>
  <c r="D6074" i="1"/>
  <c r="E6074" i="1"/>
  <c r="A6075" i="1"/>
  <c r="B6075" i="1"/>
  <c r="C6075" i="1"/>
  <c r="D6075" i="1"/>
  <c r="E6075" i="1"/>
  <c r="A6076" i="1"/>
  <c r="B6076" i="1"/>
  <c r="C6076" i="1"/>
  <c r="D6076" i="1"/>
  <c r="E6076" i="1"/>
  <c r="A6077" i="1"/>
  <c r="B6077" i="1"/>
  <c r="C6077" i="1"/>
  <c r="D6077" i="1"/>
  <c r="E6077" i="1"/>
  <c r="A6078" i="1"/>
  <c r="B6078" i="1"/>
  <c r="C6078" i="1"/>
  <c r="D6078" i="1"/>
  <c r="E6078" i="1"/>
  <c r="A6079" i="1"/>
  <c r="B6079" i="1"/>
  <c r="C6079" i="1"/>
  <c r="D6079" i="1"/>
  <c r="E6079" i="1"/>
  <c r="A6080" i="1"/>
  <c r="B6080" i="1"/>
  <c r="C6080" i="1"/>
  <c r="D6080" i="1"/>
  <c r="E6080" i="1"/>
  <c r="A6081" i="1"/>
  <c r="B6081" i="1"/>
  <c r="C6081" i="1"/>
  <c r="D6081" i="1"/>
  <c r="E6081" i="1"/>
  <c r="A6082" i="1"/>
  <c r="B6082" i="1"/>
  <c r="C6082" i="1"/>
  <c r="D6082" i="1"/>
  <c r="E6082" i="1"/>
  <c r="A6083" i="1"/>
  <c r="B6083" i="1"/>
  <c r="C6083" i="1"/>
  <c r="D6083" i="1"/>
  <c r="E6083" i="1"/>
  <c r="A6084" i="1"/>
  <c r="B6084" i="1"/>
  <c r="C6084" i="1"/>
  <c r="D6084" i="1"/>
  <c r="E6084" i="1"/>
  <c r="A6085" i="1"/>
  <c r="B6085" i="1"/>
  <c r="C6085" i="1"/>
  <c r="D6085" i="1"/>
  <c r="E6085" i="1"/>
  <c r="A6086" i="1"/>
  <c r="B6086" i="1"/>
  <c r="C6086" i="1"/>
  <c r="D6086" i="1"/>
  <c r="E6086" i="1"/>
  <c r="A6087" i="1"/>
  <c r="B6087" i="1"/>
  <c r="C6087" i="1"/>
  <c r="D6087" i="1"/>
  <c r="E6087" i="1"/>
  <c r="A6088" i="1"/>
  <c r="B6088" i="1"/>
  <c r="C6088" i="1"/>
  <c r="D6088" i="1"/>
  <c r="E6088" i="1"/>
  <c r="A6089" i="1"/>
  <c r="B6089" i="1"/>
  <c r="C6089" i="1"/>
  <c r="D6089" i="1"/>
  <c r="E6089" i="1"/>
  <c r="A6090" i="1"/>
  <c r="B6090" i="1"/>
  <c r="C6090" i="1"/>
  <c r="D6090" i="1"/>
  <c r="E6090" i="1"/>
  <c r="A6091" i="1"/>
  <c r="B6091" i="1"/>
  <c r="C6091" i="1"/>
  <c r="D6091" i="1"/>
  <c r="E6091" i="1"/>
  <c r="A6092" i="1"/>
  <c r="B6092" i="1"/>
  <c r="C6092" i="1"/>
  <c r="D6092" i="1"/>
  <c r="E6092" i="1"/>
  <c r="A6093" i="1"/>
  <c r="B6093" i="1"/>
  <c r="C6093" i="1"/>
  <c r="D6093" i="1"/>
  <c r="E6093" i="1"/>
  <c r="A6094" i="1"/>
  <c r="B6094" i="1"/>
  <c r="C6094" i="1"/>
  <c r="D6094" i="1"/>
  <c r="E6094" i="1"/>
  <c r="A6095" i="1"/>
  <c r="B6095" i="1"/>
  <c r="C6095" i="1"/>
  <c r="D6095" i="1"/>
  <c r="E6095" i="1"/>
  <c r="A6096" i="1"/>
  <c r="B6096" i="1"/>
  <c r="C6096" i="1"/>
  <c r="D6096" i="1"/>
  <c r="E6096" i="1"/>
  <c r="A6097" i="1"/>
  <c r="B6097" i="1"/>
  <c r="C6097" i="1"/>
  <c r="D6097" i="1"/>
  <c r="E6097" i="1"/>
  <c r="A6098" i="1"/>
  <c r="B6098" i="1"/>
  <c r="C6098" i="1"/>
  <c r="D6098" i="1"/>
  <c r="E6098" i="1"/>
  <c r="A6099" i="1"/>
  <c r="B6099" i="1"/>
  <c r="C6099" i="1"/>
  <c r="D6099" i="1"/>
  <c r="E6099" i="1"/>
  <c r="A6100" i="1"/>
  <c r="B6100" i="1"/>
  <c r="C6100" i="1"/>
  <c r="D6100" i="1"/>
  <c r="E6100" i="1"/>
  <c r="A6101" i="1"/>
  <c r="B6101" i="1"/>
  <c r="C6101" i="1"/>
  <c r="D6101" i="1"/>
  <c r="E6101" i="1"/>
  <c r="A6102" i="1"/>
  <c r="B6102" i="1"/>
  <c r="C6102" i="1"/>
  <c r="D6102" i="1"/>
  <c r="E6102" i="1"/>
  <c r="A6103" i="1"/>
  <c r="B6103" i="1"/>
  <c r="C6103" i="1"/>
  <c r="D6103" i="1"/>
  <c r="E6103" i="1"/>
  <c r="A6104" i="1"/>
  <c r="B6104" i="1"/>
  <c r="C6104" i="1"/>
  <c r="D6104" i="1"/>
  <c r="E6104" i="1"/>
  <c r="A6105" i="1"/>
  <c r="B6105" i="1"/>
  <c r="C6105" i="1"/>
  <c r="D6105" i="1"/>
  <c r="E6105" i="1"/>
  <c r="A6106" i="1"/>
  <c r="B6106" i="1"/>
  <c r="C6106" i="1"/>
  <c r="D6106" i="1"/>
  <c r="E6106" i="1"/>
  <c r="A6107" i="1"/>
  <c r="B6107" i="1"/>
  <c r="C6107" i="1"/>
  <c r="D6107" i="1"/>
  <c r="E6107" i="1"/>
  <c r="A6108" i="1"/>
  <c r="B6108" i="1"/>
  <c r="C6108" i="1"/>
  <c r="D6108" i="1"/>
  <c r="E6108" i="1"/>
  <c r="A6109" i="1"/>
  <c r="B6109" i="1"/>
  <c r="C6109" i="1"/>
  <c r="D6109" i="1"/>
  <c r="E6109" i="1"/>
  <c r="A6110" i="1"/>
  <c r="B6110" i="1"/>
  <c r="C6110" i="1"/>
  <c r="D6110" i="1"/>
  <c r="E6110" i="1"/>
  <c r="A6111" i="1"/>
  <c r="B6111" i="1"/>
  <c r="C6111" i="1"/>
  <c r="D6111" i="1"/>
  <c r="E6111" i="1"/>
  <c r="A6112" i="1"/>
  <c r="B6112" i="1"/>
  <c r="C6112" i="1"/>
  <c r="D6112" i="1"/>
  <c r="E6112" i="1"/>
  <c r="A6113" i="1"/>
  <c r="B6113" i="1"/>
  <c r="C6113" i="1"/>
  <c r="D6113" i="1"/>
  <c r="E6113" i="1"/>
  <c r="A6114" i="1"/>
  <c r="B6114" i="1"/>
  <c r="C6114" i="1"/>
  <c r="D6114" i="1"/>
  <c r="E6114" i="1"/>
  <c r="A6115" i="1"/>
  <c r="B6115" i="1"/>
  <c r="C6115" i="1"/>
  <c r="D6115" i="1"/>
  <c r="E6115" i="1"/>
  <c r="A6116" i="1"/>
  <c r="B6116" i="1"/>
  <c r="C6116" i="1"/>
  <c r="D6116" i="1"/>
  <c r="E6116" i="1"/>
  <c r="A6117" i="1"/>
  <c r="B6117" i="1"/>
  <c r="C6117" i="1"/>
  <c r="D6117" i="1"/>
  <c r="E6117" i="1"/>
  <c r="A6118" i="1"/>
  <c r="B6118" i="1"/>
  <c r="C6118" i="1"/>
  <c r="D6118" i="1"/>
  <c r="E6118" i="1"/>
  <c r="A6119" i="1"/>
  <c r="B6119" i="1"/>
  <c r="C6119" i="1"/>
  <c r="D6119" i="1"/>
  <c r="E6119" i="1"/>
  <c r="A6120" i="1"/>
  <c r="B6120" i="1"/>
  <c r="C6120" i="1"/>
  <c r="D6120" i="1"/>
  <c r="E6120" i="1"/>
  <c r="A6121" i="1"/>
  <c r="B6121" i="1"/>
  <c r="C6121" i="1"/>
  <c r="D6121" i="1"/>
  <c r="E6121" i="1"/>
  <c r="A6122" i="1"/>
  <c r="B6122" i="1"/>
  <c r="C6122" i="1"/>
  <c r="D6122" i="1"/>
  <c r="E6122" i="1"/>
  <c r="A6123" i="1"/>
  <c r="B6123" i="1"/>
  <c r="C6123" i="1"/>
  <c r="D6123" i="1"/>
  <c r="E6123" i="1"/>
  <c r="A6124" i="1"/>
  <c r="B6124" i="1"/>
  <c r="C6124" i="1"/>
  <c r="D6124" i="1"/>
  <c r="E6124" i="1"/>
  <c r="A6125" i="1"/>
  <c r="B6125" i="1"/>
  <c r="C6125" i="1"/>
  <c r="D6125" i="1"/>
  <c r="E6125" i="1"/>
  <c r="A6126" i="1"/>
  <c r="B6126" i="1"/>
  <c r="C6126" i="1"/>
  <c r="D6126" i="1"/>
  <c r="E6126" i="1"/>
  <c r="A6127" i="1"/>
  <c r="B6127" i="1"/>
  <c r="C6127" i="1"/>
  <c r="D6127" i="1"/>
  <c r="E6127" i="1"/>
  <c r="A6128" i="1"/>
  <c r="B6128" i="1"/>
  <c r="C6128" i="1"/>
  <c r="D6128" i="1"/>
  <c r="E6128" i="1"/>
  <c r="A6129" i="1"/>
  <c r="B6129" i="1"/>
  <c r="C6129" i="1"/>
  <c r="D6129" i="1"/>
  <c r="E6129" i="1"/>
  <c r="A6130" i="1"/>
  <c r="B6130" i="1"/>
  <c r="C6130" i="1"/>
  <c r="D6130" i="1"/>
  <c r="E6130" i="1"/>
  <c r="A6131" i="1"/>
  <c r="B6131" i="1"/>
  <c r="C6131" i="1"/>
  <c r="D6131" i="1"/>
  <c r="E6131" i="1"/>
  <c r="A6132" i="1"/>
  <c r="B6132" i="1"/>
  <c r="C6132" i="1"/>
  <c r="D6132" i="1"/>
  <c r="E6132" i="1"/>
  <c r="A6133" i="1"/>
  <c r="B6133" i="1"/>
  <c r="C6133" i="1"/>
  <c r="D6133" i="1"/>
  <c r="E6133" i="1"/>
  <c r="A6134" i="1"/>
  <c r="B6134" i="1"/>
  <c r="C6134" i="1"/>
  <c r="D6134" i="1"/>
  <c r="E6134" i="1"/>
  <c r="A6135" i="1"/>
  <c r="B6135" i="1"/>
  <c r="C6135" i="1"/>
  <c r="D6135" i="1"/>
  <c r="E6135" i="1"/>
  <c r="A6136" i="1"/>
  <c r="B6136" i="1"/>
  <c r="C6136" i="1"/>
  <c r="D6136" i="1"/>
  <c r="E6136" i="1"/>
  <c r="A6137" i="1"/>
  <c r="B6137" i="1"/>
  <c r="C6137" i="1"/>
  <c r="D6137" i="1"/>
  <c r="E6137" i="1"/>
  <c r="A6138" i="1"/>
  <c r="B6138" i="1"/>
  <c r="C6138" i="1"/>
  <c r="D6138" i="1"/>
  <c r="E6138" i="1"/>
  <c r="A6139" i="1"/>
  <c r="B6139" i="1"/>
  <c r="C6139" i="1"/>
  <c r="D6139" i="1"/>
  <c r="E6139" i="1"/>
  <c r="A6140" i="1"/>
  <c r="B6140" i="1"/>
  <c r="C6140" i="1"/>
  <c r="D6140" i="1"/>
  <c r="E6140" i="1"/>
  <c r="A6141" i="1"/>
  <c r="B6141" i="1"/>
  <c r="C6141" i="1"/>
  <c r="D6141" i="1"/>
  <c r="E6141" i="1"/>
  <c r="A6142" i="1"/>
  <c r="B6142" i="1"/>
  <c r="C6142" i="1"/>
  <c r="D6142" i="1"/>
  <c r="E6142" i="1"/>
  <c r="A6143" i="1"/>
  <c r="B6143" i="1"/>
  <c r="C6143" i="1"/>
  <c r="D6143" i="1"/>
  <c r="E6143" i="1"/>
  <c r="A6144" i="1"/>
  <c r="B6144" i="1"/>
  <c r="C6144" i="1"/>
  <c r="D6144" i="1"/>
  <c r="E6144" i="1"/>
  <c r="A6145" i="1"/>
  <c r="B6145" i="1"/>
  <c r="C6145" i="1"/>
  <c r="D6145" i="1"/>
  <c r="E6145" i="1"/>
  <c r="A6146" i="1"/>
  <c r="B6146" i="1"/>
  <c r="C6146" i="1"/>
  <c r="D6146" i="1"/>
  <c r="E6146" i="1"/>
  <c r="A6147" i="1"/>
  <c r="B6147" i="1"/>
  <c r="C6147" i="1"/>
  <c r="D6147" i="1"/>
  <c r="E6147" i="1"/>
  <c r="A6148" i="1"/>
  <c r="B6148" i="1"/>
  <c r="C6148" i="1"/>
  <c r="D6148" i="1"/>
  <c r="E6148" i="1"/>
  <c r="A6149" i="1"/>
  <c r="B6149" i="1"/>
  <c r="C6149" i="1"/>
  <c r="D6149" i="1"/>
  <c r="E6149" i="1"/>
  <c r="A6150" i="1"/>
  <c r="B6150" i="1"/>
  <c r="C6150" i="1"/>
  <c r="D6150" i="1"/>
  <c r="E6150" i="1"/>
  <c r="A6151" i="1"/>
  <c r="B6151" i="1"/>
  <c r="C6151" i="1"/>
  <c r="D6151" i="1"/>
  <c r="E6151" i="1"/>
  <c r="A6152" i="1"/>
  <c r="B6152" i="1"/>
  <c r="C6152" i="1"/>
  <c r="D6152" i="1"/>
  <c r="E6152" i="1"/>
  <c r="A6153" i="1"/>
  <c r="B6153" i="1"/>
  <c r="C6153" i="1"/>
  <c r="D6153" i="1"/>
  <c r="E6153" i="1"/>
  <c r="A6154" i="1"/>
  <c r="B6154" i="1"/>
  <c r="C6154" i="1"/>
  <c r="D6154" i="1"/>
  <c r="E6154" i="1"/>
  <c r="A6155" i="1"/>
  <c r="B6155" i="1"/>
  <c r="C6155" i="1"/>
  <c r="D6155" i="1"/>
  <c r="E6155" i="1"/>
  <c r="A6156" i="1"/>
  <c r="B6156" i="1"/>
  <c r="C6156" i="1"/>
  <c r="D6156" i="1"/>
  <c r="E6156" i="1"/>
  <c r="A6157" i="1"/>
  <c r="B6157" i="1"/>
  <c r="C6157" i="1"/>
  <c r="D6157" i="1"/>
  <c r="E6157" i="1"/>
  <c r="A6158" i="1"/>
  <c r="B6158" i="1"/>
  <c r="C6158" i="1"/>
  <c r="D6158" i="1"/>
  <c r="E6158" i="1"/>
  <c r="A6159" i="1"/>
  <c r="B6159" i="1"/>
  <c r="C6159" i="1"/>
  <c r="D6159" i="1"/>
  <c r="E6159" i="1"/>
  <c r="A6160" i="1"/>
  <c r="B6160" i="1"/>
  <c r="C6160" i="1"/>
  <c r="D6160" i="1"/>
  <c r="E6160" i="1"/>
  <c r="A6161" i="1"/>
  <c r="B6161" i="1"/>
  <c r="C6161" i="1"/>
  <c r="D6161" i="1"/>
  <c r="E6161" i="1"/>
  <c r="A6162" i="1"/>
  <c r="B6162" i="1"/>
  <c r="C6162" i="1"/>
  <c r="D6162" i="1"/>
  <c r="E6162" i="1"/>
  <c r="A6163" i="1"/>
  <c r="B6163" i="1"/>
  <c r="C6163" i="1"/>
  <c r="D6163" i="1"/>
  <c r="E6163" i="1"/>
  <c r="A6164" i="1"/>
  <c r="B6164" i="1"/>
  <c r="C6164" i="1"/>
  <c r="D6164" i="1"/>
  <c r="E6164" i="1"/>
  <c r="A6165" i="1"/>
  <c r="B6165" i="1"/>
  <c r="C6165" i="1"/>
  <c r="D6165" i="1"/>
  <c r="E6165" i="1"/>
  <c r="A6166" i="1"/>
  <c r="B6166" i="1"/>
  <c r="C6166" i="1"/>
  <c r="D6166" i="1"/>
  <c r="E6166" i="1"/>
  <c r="A6167" i="1"/>
  <c r="B6167" i="1"/>
  <c r="C6167" i="1"/>
  <c r="D6167" i="1"/>
  <c r="E6167" i="1"/>
  <c r="A6168" i="1"/>
  <c r="B6168" i="1"/>
  <c r="C6168" i="1"/>
  <c r="D6168" i="1"/>
  <c r="E6168" i="1"/>
  <c r="A6169" i="1"/>
  <c r="B6169" i="1"/>
  <c r="C6169" i="1"/>
  <c r="D6169" i="1"/>
  <c r="E6169" i="1"/>
  <c r="A6170" i="1"/>
  <c r="B6170" i="1"/>
  <c r="C6170" i="1"/>
  <c r="D6170" i="1"/>
  <c r="E6170" i="1"/>
  <c r="A6171" i="1"/>
  <c r="B6171" i="1"/>
  <c r="C6171" i="1"/>
  <c r="D6171" i="1"/>
  <c r="E6171" i="1"/>
  <c r="A6172" i="1"/>
  <c r="B6172" i="1"/>
  <c r="C6172" i="1"/>
  <c r="D6172" i="1"/>
  <c r="E6172" i="1"/>
  <c r="A6173" i="1"/>
  <c r="B6173" i="1"/>
  <c r="C6173" i="1"/>
  <c r="D6173" i="1"/>
  <c r="E6173" i="1"/>
  <c r="A6174" i="1"/>
  <c r="B6174" i="1"/>
  <c r="C6174" i="1"/>
  <c r="D6174" i="1"/>
  <c r="E6174" i="1"/>
  <c r="A6175" i="1"/>
  <c r="B6175" i="1"/>
  <c r="C6175" i="1"/>
  <c r="D6175" i="1"/>
  <c r="E6175" i="1"/>
  <c r="A6176" i="1"/>
  <c r="B6176" i="1"/>
  <c r="C6176" i="1"/>
  <c r="D6176" i="1"/>
  <c r="E6176" i="1"/>
  <c r="A6177" i="1"/>
  <c r="B6177" i="1"/>
  <c r="C6177" i="1"/>
  <c r="D6177" i="1"/>
  <c r="E6177" i="1"/>
  <c r="A6178" i="1"/>
  <c r="B6178" i="1"/>
  <c r="C6178" i="1"/>
  <c r="D6178" i="1"/>
  <c r="E6178" i="1"/>
  <c r="A6179" i="1"/>
  <c r="B6179" i="1"/>
  <c r="C6179" i="1"/>
  <c r="D6179" i="1"/>
  <c r="E6179" i="1"/>
  <c r="A6180" i="1"/>
  <c r="B6180" i="1"/>
  <c r="C6180" i="1"/>
  <c r="D6180" i="1"/>
  <c r="E6180" i="1"/>
  <c r="A6181" i="1"/>
  <c r="B6181" i="1"/>
  <c r="C6181" i="1"/>
  <c r="D6181" i="1"/>
  <c r="E6181" i="1"/>
  <c r="A6182" i="1"/>
  <c r="B6182" i="1"/>
  <c r="C6182" i="1"/>
  <c r="D6182" i="1"/>
  <c r="E6182" i="1"/>
  <c r="A6183" i="1"/>
  <c r="B6183" i="1"/>
  <c r="C6183" i="1"/>
  <c r="D6183" i="1"/>
  <c r="E6183" i="1"/>
  <c r="A6184" i="1"/>
  <c r="B6184" i="1"/>
  <c r="C6184" i="1"/>
  <c r="D6184" i="1"/>
  <c r="E6184" i="1"/>
  <c r="A6185" i="1"/>
  <c r="B6185" i="1"/>
  <c r="C6185" i="1"/>
  <c r="D6185" i="1"/>
  <c r="E6185" i="1"/>
  <c r="A6186" i="1"/>
  <c r="B6186" i="1"/>
  <c r="C6186" i="1"/>
  <c r="D6186" i="1"/>
  <c r="E6186" i="1"/>
  <c r="A6187" i="1"/>
  <c r="B6187" i="1"/>
  <c r="C6187" i="1"/>
  <c r="D6187" i="1"/>
  <c r="E6187" i="1"/>
  <c r="A6188" i="1"/>
  <c r="B6188" i="1"/>
  <c r="C6188" i="1"/>
  <c r="D6188" i="1"/>
  <c r="E6188" i="1"/>
  <c r="A6189" i="1"/>
  <c r="B6189" i="1"/>
  <c r="C6189" i="1"/>
  <c r="D6189" i="1"/>
  <c r="E6189" i="1"/>
  <c r="A6190" i="1"/>
  <c r="B6190" i="1"/>
  <c r="C6190" i="1"/>
  <c r="D6190" i="1"/>
  <c r="E6190" i="1"/>
  <c r="A6191" i="1"/>
  <c r="B6191" i="1"/>
  <c r="C6191" i="1"/>
  <c r="D6191" i="1"/>
  <c r="E6191" i="1"/>
  <c r="A6192" i="1"/>
  <c r="B6192" i="1"/>
  <c r="C6192" i="1"/>
  <c r="D6192" i="1"/>
  <c r="E6192" i="1"/>
  <c r="A6193" i="1"/>
  <c r="B6193" i="1"/>
  <c r="C6193" i="1"/>
  <c r="D6193" i="1"/>
  <c r="E6193" i="1"/>
  <c r="A6194" i="1"/>
  <c r="B6194" i="1"/>
  <c r="C6194" i="1"/>
  <c r="D6194" i="1"/>
  <c r="E6194" i="1"/>
  <c r="A6195" i="1"/>
  <c r="B6195" i="1"/>
  <c r="C6195" i="1"/>
  <c r="D6195" i="1"/>
  <c r="E6195" i="1"/>
  <c r="A6196" i="1"/>
  <c r="B6196" i="1"/>
  <c r="C6196" i="1"/>
  <c r="D6196" i="1"/>
  <c r="E6196" i="1"/>
  <c r="A6197" i="1"/>
  <c r="B6197" i="1"/>
  <c r="C6197" i="1"/>
  <c r="D6197" i="1"/>
  <c r="E6197" i="1"/>
  <c r="A6198" i="1"/>
  <c r="B6198" i="1"/>
  <c r="C6198" i="1"/>
  <c r="D6198" i="1"/>
  <c r="E6198" i="1"/>
  <c r="A6199" i="1"/>
  <c r="B6199" i="1"/>
  <c r="C6199" i="1"/>
  <c r="D6199" i="1"/>
  <c r="E6199" i="1"/>
  <c r="A6200" i="1"/>
  <c r="B6200" i="1"/>
  <c r="C6200" i="1"/>
  <c r="D6200" i="1"/>
  <c r="E6200" i="1"/>
  <c r="A6201" i="1"/>
  <c r="B6201" i="1"/>
  <c r="C6201" i="1"/>
  <c r="D6201" i="1"/>
  <c r="E6201" i="1"/>
  <c r="A6202" i="1"/>
  <c r="B6202" i="1"/>
  <c r="C6202" i="1"/>
  <c r="D6202" i="1"/>
  <c r="E6202" i="1"/>
  <c r="A6203" i="1"/>
  <c r="B6203" i="1"/>
  <c r="C6203" i="1"/>
  <c r="D6203" i="1"/>
  <c r="E6203" i="1"/>
  <c r="A6204" i="1"/>
  <c r="B6204" i="1"/>
  <c r="C6204" i="1"/>
  <c r="D6204" i="1"/>
  <c r="E6204" i="1"/>
  <c r="A6205" i="1"/>
  <c r="B6205" i="1"/>
  <c r="C6205" i="1"/>
  <c r="D6205" i="1"/>
  <c r="E6205" i="1"/>
  <c r="A6206" i="1"/>
  <c r="B6206" i="1"/>
  <c r="C6206" i="1"/>
  <c r="D6206" i="1"/>
  <c r="E6206" i="1"/>
  <c r="A6207" i="1"/>
  <c r="B6207" i="1"/>
  <c r="C6207" i="1"/>
  <c r="D6207" i="1"/>
  <c r="E6207" i="1"/>
  <c r="A6208" i="1"/>
  <c r="B6208" i="1"/>
  <c r="C6208" i="1"/>
  <c r="D6208" i="1"/>
  <c r="E6208" i="1"/>
  <c r="A6209" i="1"/>
  <c r="B6209" i="1"/>
  <c r="C6209" i="1"/>
  <c r="D6209" i="1"/>
  <c r="E6209" i="1"/>
  <c r="A6210" i="1"/>
  <c r="B6210" i="1"/>
  <c r="C6210" i="1"/>
  <c r="D6210" i="1"/>
  <c r="E6210" i="1"/>
  <c r="A6211" i="1"/>
  <c r="B6211" i="1"/>
  <c r="C6211" i="1"/>
  <c r="D6211" i="1"/>
  <c r="E6211" i="1"/>
  <c r="A6212" i="1"/>
  <c r="B6212" i="1"/>
  <c r="C6212" i="1"/>
  <c r="D6212" i="1"/>
  <c r="E6212" i="1"/>
  <c r="A6213" i="1"/>
  <c r="B6213" i="1"/>
  <c r="C6213" i="1"/>
  <c r="D6213" i="1"/>
  <c r="E6213" i="1"/>
  <c r="A6214" i="1"/>
  <c r="B6214" i="1"/>
  <c r="C6214" i="1"/>
  <c r="D6214" i="1"/>
  <c r="E6214" i="1"/>
  <c r="A6215" i="1"/>
  <c r="B6215" i="1"/>
  <c r="C6215" i="1"/>
  <c r="D6215" i="1"/>
  <c r="E6215" i="1"/>
  <c r="A6216" i="1"/>
  <c r="B6216" i="1"/>
  <c r="C6216" i="1"/>
  <c r="D6216" i="1"/>
  <c r="E6216" i="1"/>
  <c r="A6217" i="1"/>
  <c r="B6217" i="1"/>
  <c r="C6217" i="1"/>
  <c r="D6217" i="1"/>
  <c r="E6217" i="1"/>
  <c r="A6218" i="1"/>
  <c r="B6218" i="1"/>
  <c r="C6218" i="1"/>
  <c r="D6218" i="1"/>
  <c r="E6218" i="1"/>
  <c r="A6219" i="1"/>
  <c r="B6219" i="1"/>
  <c r="C6219" i="1"/>
  <c r="D6219" i="1"/>
  <c r="E6219" i="1"/>
  <c r="A6220" i="1"/>
  <c r="B6220" i="1"/>
  <c r="C6220" i="1"/>
  <c r="D6220" i="1"/>
  <c r="E6220" i="1"/>
  <c r="A6221" i="1"/>
  <c r="B6221" i="1"/>
  <c r="C6221" i="1"/>
  <c r="D6221" i="1"/>
  <c r="E6221" i="1"/>
  <c r="A6222" i="1"/>
  <c r="B6222" i="1"/>
  <c r="C6222" i="1"/>
  <c r="D6222" i="1"/>
  <c r="E6222" i="1"/>
  <c r="A6223" i="1"/>
  <c r="B6223" i="1"/>
  <c r="C6223" i="1"/>
  <c r="D6223" i="1"/>
  <c r="E6223" i="1"/>
  <c r="A6224" i="1"/>
  <c r="B6224" i="1"/>
  <c r="C6224" i="1"/>
  <c r="D6224" i="1"/>
  <c r="E6224" i="1"/>
  <c r="A6225" i="1"/>
  <c r="B6225" i="1"/>
  <c r="C6225" i="1"/>
  <c r="D6225" i="1"/>
  <c r="E6225" i="1"/>
  <c r="A6226" i="1"/>
  <c r="B6226" i="1"/>
  <c r="C6226" i="1"/>
  <c r="D6226" i="1"/>
  <c r="E6226" i="1"/>
  <c r="A6227" i="1"/>
  <c r="B6227" i="1"/>
  <c r="C6227" i="1"/>
  <c r="D6227" i="1"/>
  <c r="E6227" i="1"/>
  <c r="A6228" i="1"/>
  <c r="B6228" i="1"/>
  <c r="C6228" i="1"/>
  <c r="D6228" i="1"/>
  <c r="E6228" i="1"/>
  <c r="A6229" i="1"/>
  <c r="B6229" i="1"/>
  <c r="C6229" i="1"/>
  <c r="D6229" i="1"/>
  <c r="E6229" i="1"/>
  <c r="A6230" i="1"/>
  <c r="B6230" i="1"/>
  <c r="C6230" i="1"/>
  <c r="D6230" i="1"/>
  <c r="E6230" i="1"/>
  <c r="A6231" i="1"/>
  <c r="B6231" i="1"/>
  <c r="C6231" i="1"/>
  <c r="D6231" i="1"/>
  <c r="E6231" i="1"/>
  <c r="A6232" i="1"/>
  <c r="B6232" i="1"/>
  <c r="C6232" i="1"/>
  <c r="D6232" i="1"/>
  <c r="E6232" i="1"/>
  <c r="A6233" i="1"/>
  <c r="B6233" i="1"/>
  <c r="C6233" i="1"/>
  <c r="D6233" i="1"/>
  <c r="E6233" i="1"/>
  <c r="A6234" i="1"/>
  <c r="B6234" i="1"/>
  <c r="C6234" i="1"/>
  <c r="D6234" i="1"/>
  <c r="E6234" i="1"/>
  <c r="A6235" i="1"/>
  <c r="B6235" i="1"/>
  <c r="C6235" i="1"/>
  <c r="D6235" i="1"/>
  <c r="E6235" i="1"/>
  <c r="A6236" i="1"/>
  <c r="B6236" i="1"/>
  <c r="C6236" i="1"/>
  <c r="D6236" i="1"/>
  <c r="E6236" i="1"/>
  <c r="A6237" i="1"/>
  <c r="B6237" i="1"/>
  <c r="C6237" i="1"/>
  <c r="D6237" i="1"/>
  <c r="E6237" i="1"/>
  <c r="A6238" i="1"/>
  <c r="B6238" i="1"/>
  <c r="C6238" i="1"/>
  <c r="D6238" i="1"/>
  <c r="E6238" i="1"/>
  <c r="A6239" i="1"/>
  <c r="B6239" i="1"/>
  <c r="C6239" i="1"/>
  <c r="D6239" i="1"/>
  <c r="E6239" i="1"/>
  <c r="A6240" i="1"/>
  <c r="B6240" i="1"/>
  <c r="C6240" i="1"/>
  <c r="D6240" i="1"/>
  <c r="E6240" i="1"/>
  <c r="A6241" i="1"/>
  <c r="B6241" i="1"/>
  <c r="C6241" i="1"/>
  <c r="D6241" i="1"/>
  <c r="E6241" i="1"/>
  <c r="A6242" i="1"/>
  <c r="B6242" i="1"/>
  <c r="C6242" i="1"/>
  <c r="D6242" i="1"/>
  <c r="E6242" i="1"/>
  <c r="A6243" i="1"/>
  <c r="B6243" i="1"/>
  <c r="C6243" i="1"/>
  <c r="D6243" i="1"/>
  <c r="E6243" i="1"/>
  <c r="A6244" i="1"/>
  <c r="B6244" i="1"/>
  <c r="C6244" i="1"/>
  <c r="D6244" i="1"/>
  <c r="E6244" i="1"/>
  <c r="A6245" i="1"/>
  <c r="B6245" i="1"/>
  <c r="C6245" i="1"/>
  <c r="D6245" i="1"/>
  <c r="E6245" i="1"/>
  <c r="A6246" i="1"/>
  <c r="B6246" i="1"/>
  <c r="C6246" i="1"/>
  <c r="D6246" i="1"/>
  <c r="E6246" i="1"/>
  <c r="A6247" i="1"/>
  <c r="B6247" i="1"/>
  <c r="C6247" i="1"/>
  <c r="D6247" i="1"/>
  <c r="E6247" i="1"/>
  <c r="A6248" i="1"/>
  <c r="B6248" i="1"/>
  <c r="C6248" i="1"/>
  <c r="D6248" i="1"/>
  <c r="E6248" i="1"/>
  <c r="A6249" i="1"/>
  <c r="B6249" i="1"/>
  <c r="C6249" i="1"/>
  <c r="D6249" i="1"/>
  <c r="E6249" i="1"/>
  <c r="A6250" i="1"/>
  <c r="B6250" i="1"/>
  <c r="C6250" i="1"/>
  <c r="D6250" i="1"/>
  <c r="E6250" i="1"/>
  <c r="A6251" i="1"/>
  <c r="B6251" i="1"/>
  <c r="C6251" i="1"/>
  <c r="D6251" i="1"/>
  <c r="E6251" i="1"/>
  <c r="A6252" i="1"/>
  <c r="B6252" i="1"/>
  <c r="C6252" i="1"/>
  <c r="D6252" i="1"/>
  <c r="E6252" i="1"/>
  <c r="A6253" i="1"/>
  <c r="B6253" i="1"/>
  <c r="C6253" i="1"/>
  <c r="D6253" i="1"/>
  <c r="E6253" i="1"/>
  <c r="A6254" i="1"/>
  <c r="B6254" i="1"/>
  <c r="C6254" i="1"/>
  <c r="D6254" i="1"/>
  <c r="E6254" i="1"/>
  <c r="A6255" i="1"/>
  <c r="B6255" i="1"/>
  <c r="C6255" i="1"/>
  <c r="D6255" i="1"/>
  <c r="E6255" i="1"/>
  <c r="A6256" i="1"/>
  <c r="B6256" i="1"/>
  <c r="C6256" i="1"/>
  <c r="D6256" i="1"/>
  <c r="E6256" i="1"/>
  <c r="A6257" i="1"/>
  <c r="B6257" i="1"/>
  <c r="C6257" i="1"/>
  <c r="D6257" i="1"/>
  <c r="E6257" i="1"/>
  <c r="A6258" i="1"/>
  <c r="B6258" i="1"/>
  <c r="C6258" i="1"/>
  <c r="D6258" i="1"/>
  <c r="E6258" i="1"/>
  <c r="A6259" i="1"/>
  <c r="B6259" i="1"/>
  <c r="C6259" i="1"/>
  <c r="D6259" i="1"/>
  <c r="E6259" i="1"/>
  <c r="A6260" i="1"/>
  <c r="B6260" i="1"/>
  <c r="C6260" i="1"/>
  <c r="D6260" i="1"/>
  <c r="E6260" i="1"/>
  <c r="A6261" i="1"/>
  <c r="B6261" i="1"/>
  <c r="C6261" i="1"/>
  <c r="D6261" i="1"/>
  <c r="E6261" i="1"/>
  <c r="A6262" i="1"/>
  <c r="B6262" i="1"/>
  <c r="C6262" i="1"/>
  <c r="D6262" i="1"/>
  <c r="E6262" i="1"/>
  <c r="A6263" i="1"/>
  <c r="B6263" i="1"/>
  <c r="C6263" i="1"/>
  <c r="D6263" i="1"/>
  <c r="E6263" i="1"/>
  <c r="A6264" i="1"/>
  <c r="B6264" i="1"/>
  <c r="C6264" i="1"/>
  <c r="D6264" i="1"/>
  <c r="E6264" i="1"/>
  <c r="A6265" i="1"/>
  <c r="B6265" i="1"/>
  <c r="C6265" i="1"/>
  <c r="D6265" i="1"/>
  <c r="E6265" i="1"/>
  <c r="A6266" i="1"/>
  <c r="B6266" i="1"/>
  <c r="C6266" i="1"/>
  <c r="D6266" i="1"/>
  <c r="E6266" i="1"/>
  <c r="A6267" i="1"/>
  <c r="B6267" i="1"/>
  <c r="C6267" i="1"/>
  <c r="D6267" i="1"/>
  <c r="E6267" i="1"/>
  <c r="A6268" i="1"/>
  <c r="B6268" i="1"/>
  <c r="C6268" i="1"/>
  <c r="D6268" i="1"/>
  <c r="E6268" i="1"/>
  <c r="A6269" i="1"/>
  <c r="B6269" i="1"/>
  <c r="C6269" i="1"/>
  <c r="D6269" i="1"/>
  <c r="E6269" i="1"/>
  <c r="A6270" i="1"/>
  <c r="B6270" i="1"/>
  <c r="C6270" i="1"/>
  <c r="D6270" i="1"/>
  <c r="E6270" i="1"/>
  <c r="A6271" i="1"/>
  <c r="B6271" i="1"/>
  <c r="C6271" i="1"/>
  <c r="D6271" i="1"/>
  <c r="E6271" i="1"/>
  <c r="A6272" i="1"/>
  <c r="B6272" i="1"/>
  <c r="C6272" i="1"/>
  <c r="D6272" i="1"/>
  <c r="E6272" i="1"/>
  <c r="A6273" i="1"/>
  <c r="B6273" i="1"/>
  <c r="C6273" i="1"/>
  <c r="D6273" i="1"/>
  <c r="E6273" i="1"/>
  <c r="A6274" i="1"/>
  <c r="B6274" i="1"/>
  <c r="C6274" i="1"/>
  <c r="D6274" i="1"/>
  <c r="E6274" i="1"/>
  <c r="A6275" i="1"/>
  <c r="B6275" i="1"/>
  <c r="C6275" i="1"/>
  <c r="D6275" i="1"/>
  <c r="E6275" i="1"/>
  <c r="A6276" i="1"/>
  <c r="B6276" i="1"/>
  <c r="C6276" i="1"/>
  <c r="D6276" i="1"/>
  <c r="E6276" i="1"/>
  <c r="A6277" i="1"/>
  <c r="B6277" i="1"/>
  <c r="C6277" i="1"/>
  <c r="D6277" i="1"/>
  <c r="E6277" i="1"/>
  <c r="A6278" i="1"/>
  <c r="B6278" i="1"/>
  <c r="C6278" i="1"/>
  <c r="D6278" i="1"/>
  <c r="E6278" i="1"/>
  <c r="A6279" i="1"/>
  <c r="B6279" i="1"/>
  <c r="C6279" i="1"/>
  <c r="D6279" i="1"/>
  <c r="E6279" i="1"/>
  <c r="A6280" i="1"/>
  <c r="B6280" i="1"/>
  <c r="C6280" i="1"/>
  <c r="D6280" i="1"/>
  <c r="E6280" i="1"/>
  <c r="A6281" i="1"/>
  <c r="B6281" i="1"/>
  <c r="C6281" i="1"/>
  <c r="D6281" i="1"/>
  <c r="E6281" i="1"/>
  <c r="A6282" i="1"/>
  <c r="B6282" i="1"/>
  <c r="C6282" i="1"/>
  <c r="D6282" i="1"/>
  <c r="E6282" i="1"/>
  <c r="A6283" i="1"/>
  <c r="B6283" i="1"/>
  <c r="C6283" i="1"/>
  <c r="D6283" i="1"/>
  <c r="E6283" i="1"/>
  <c r="A6284" i="1"/>
  <c r="B6284" i="1"/>
  <c r="C6284" i="1"/>
  <c r="D6284" i="1"/>
  <c r="E6284" i="1"/>
  <c r="A6285" i="1"/>
  <c r="B6285" i="1"/>
  <c r="C6285" i="1"/>
  <c r="D6285" i="1"/>
  <c r="E6285" i="1"/>
  <c r="A6286" i="1"/>
  <c r="B6286" i="1"/>
  <c r="C6286" i="1"/>
  <c r="D6286" i="1"/>
  <c r="E6286" i="1"/>
  <c r="A6287" i="1"/>
  <c r="B6287" i="1"/>
  <c r="C6287" i="1"/>
  <c r="D6287" i="1"/>
  <c r="E6287" i="1"/>
  <c r="A6288" i="1"/>
  <c r="B6288" i="1"/>
  <c r="C6288" i="1"/>
  <c r="D6288" i="1"/>
  <c r="E6288" i="1"/>
  <c r="A6289" i="1"/>
  <c r="B6289" i="1"/>
  <c r="C6289" i="1"/>
  <c r="D6289" i="1"/>
  <c r="E6289" i="1"/>
  <c r="A6290" i="1"/>
  <c r="B6290" i="1"/>
  <c r="C6290" i="1"/>
  <c r="D6290" i="1"/>
  <c r="E6290" i="1"/>
  <c r="A6291" i="1"/>
  <c r="B6291" i="1"/>
  <c r="C6291" i="1"/>
  <c r="D6291" i="1"/>
  <c r="E6291" i="1"/>
  <c r="A6292" i="1"/>
  <c r="B6292" i="1"/>
  <c r="C6292" i="1"/>
  <c r="D6292" i="1"/>
  <c r="E6292" i="1"/>
  <c r="A6293" i="1"/>
  <c r="B6293" i="1"/>
  <c r="C6293" i="1"/>
  <c r="D6293" i="1"/>
  <c r="E6293" i="1"/>
  <c r="A6294" i="1"/>
  <c r="B6294" i="1"/>
  <c r="C6294" i="1"/>
  <c r="D6294" i="1"/>
  <c r="E6294" i="1"/>
  <c r="A6295" i="1"/>
  <c r="B6295" i="1"/>
  <c r="C6295" i="1"/>
  <c r="D6295" i="1"/>
  <c r="E6295" i="1"/>
  <c r="A6296" i="1"/>
  <c r="B6296" i="1"/>
  <c r="C6296" i="1"/>
  <c r="D6296" i="1"/>
  <c r="E6296" i="1"/>
  <c r="A6297" i="1"/>
  <c r="B6297" i="1"/>
  <c r="C6297" i="1"/>
  <c r="D6297" i="1"/>
  <c r="E6297" i="1"/>
  <c r="A6298" i="1"/>
  <c r="B6298" i="1"/>
  <c r="C6298" i="1"/>
  <c r="D6298" i="1"/>
  <c r="E6298" i="1"/>
  <c r="A6299" i="1"/>
  <c r="B6299" i="1"/>
  <c r="C6299" i="1"/>
  <c r="D6299" i="1"/>
  <c r="E6299" i="1"/>
  <c r="A6300" i="1"/>
  <c r="B6300" i="1"/>
  <c r="C6300" i="1"/>
  <c r="D6300" i="1"/>
  <c r="E6300" i="1"/>
  <c r="A6301" i="1"/>
  <c r="B6301" i="1"/>
  <c r="C6301" i="1"/>
  <c r="D6301" i="1"/>
  <c r="E6301" i="1"/>
  <c r="A6302" i="1"/>
  <c r="B6302" i="1"/>
  <c r="C6302" i="1"/>
  <c r="D6302" i="1"/>
  <c r="E6302" i="1"/>
  <c r="A6303" i="1"/>
  <c r="B6303" i="1"/>
  <c r="C6303" i="1"/>
  <c r="D6303" i="1"/>
  <c r="E6303" i="1"/>
  <c r="A6304" i="1"/>
  <c r="B6304" i="1"/>
  <c r="C6304" i="1"/>
  <c r="D6304" i="1"/>
  <c r="E6304" i="1"/>
  <c r="A6305" i="1"/>
  <c r="B6305" i="1"/>
  <c r="C6305" i="1"/>
  <c r="D6305" i="1"/>
  <c r="E6305" i="1"/>
  <c r="A6306" i="1"/>
  <c r="B6306" i="1"/>
  <c r="C6306" i="1"/>
  <c r="D6306" i="1"/>
  <c r="E6306" i="1"/>
  <c r="A6307" i="1"/>
  <c r="B6307" i="1"/>
  <c r="C6307" i="1"/>
  <c r="D6307" i="1"/>
  <c r="E6307" i="1"/>
  <c r="A6308" i="1"/>
  <c r="B6308" i="1"/>
  <c r="C6308" i="1"/>
  <c r="D6308" i="1"/>
  <c r="E6308" i="1"/>
  <c r="A6309" i="1"/>
  <c r="B6309" i="1"/>
  <c r="C6309" i="1"/>
  <c r="D6309" i="1"/>
  <c r="E6309" i="1"/>
  <c r="A6310" i="1"/>
  <c r="B6310" i="1"/>
  <c r="C6310" i="1"/>
  <c r="D6310" i="1"/>
  <c r="E6310" i="1"/>
  <c r="A6311" i="1"/>
  <c r="B6311" i="1"/>
  <c r="C6311" i="1"/>
  <c r="D6311" i="1"/>
  <c r="E6311" i="1"/>
  <c r="A6312" i="1"/>
  <c r="B6312" i="1"/>
  <c r="C6312" i="1"/>
  <c r="D6312" i="1"/>
  <c r="E6312" i="1"/>
  <c r="A6313" i="1"/>
  <c r="B6313" i="1"/>
  <c r="C6313" i="1"/>
  <c r="D6313" i="1"/>
  <c r="E6313" i="1"/>
  <c r="A6314" i="1"/>
  <c r="B6314" i="1"/>
  <c r="C6314" i="1"/>
  <c r="D6314" i="1"/>
  <c r="E6314" i="1"/>
  <c r="A6315" i="1"/>
  <c r="B6315" i="1"/>
  <c r="C6315" i="1"/>
  <c r="D6315" i="1"/>
  <c r="E6315" i="1"/>
  <c r="A6316" i="1"/>
  <c r="B6316" i="1"/>
  <c r="C6316" i="1"/>
  <c r="D6316" i="1"/>
  <c r="E6316" i="1"/>
  <c r="A6317" i="1"/>
  <c r="B6317" i="1"/>
  <c r="C6317" i="1"/>
  <c r="D6317" i="1"/>
  <c r="E6317" i="1"/>
  <c r="A6318" i="1"/>
  <c r="B6318" i="1"/>
  <c r="C6318" i="1"/>
  <c r="D6318" i="1"/>
  <c r="E6318" i="1"/>
  <c r="A6319" i="1"/>
  <c r="B6319" i="1"/>
  <c r="C6319" i="1"/>
  <c r="D6319" i="1"/>
  <c r="E6319" i="1"/>
  <c r="A6320" i="1"/>
  <c r="B6320" i="1"/>
  <c r="C6320" i="1"/>
  <c r="D6320" i="1"/>
  <c r="E6320" i="1"/>
  <c r="A6321" i="1"/>
  <c r="B6321" i="1"/>
  <c r="C6321" i="1"/>
  <c r="D6321" i="1"/>
  <c r="E6321" i="1"/>
  <c r="A6322" i="1"/>
  <c r="B6322" i="1"/>
  <c r="C6322" i="1"/>
  <c r="D6322" i="1"/>
  <c r="E6322" i="1"/>
  <c r="A6323" i="1"/>
  <c r="B6323" i="1"/>
  <c r="C6323" i="1"/>
  <c r="D6323" i="1"/>
  <c r="E6323" i="1"/>
  <c r="A6324" i="1"/>
  <c r="B6324" i="1"/>
  <c r="C6324" i="1"/>
  <c r="D6324" i="1"/>
  <c r="E6324" i="1"/>
  <c r="A6325" i="1"/>
  <c r="B6325" i="1"/>
  <c r="C6325" i="1"/>
  <c r="D6325" i="1"/>
  <c r="E6325" i="1"/>
  <c r="A6326" i="1"/>
  <c r="B6326" i="1"/>
  <c r="C6326" i="1"/>
  <c r="D6326" i="1"/>
  <c r="E6326" i="1"/>
  <c r="A6327" i="1"/>
  <c r="B6327" i="1"/>
  <c r="C6327" i="1"/>
  <c r="D6327" i="1"/>
  <c r="E6327" i="1"/>
  <c r="A6328" i="1"/>
  <c r="B6328" i="1"/>
  <c r="C6328" i="1"/>
  <c r="D6328" i="1"/>
  <c r="E6328" i="1"/>
  <c r="A6329" i="1"/>
  <c r="B6329" i="1"/>
  <c r="C6329" i="1"/>
  <c r="D6329" i="1"/>
  <c r="E6329" i="1"/>
  <c r="A6330" i="1"/>
  <c r="B6330" i="1"/>
  <c r="C6330" i="1"/>
  <c r="D6330" i="1"/>
  <c r="E6330" i="1"/>
  <c r="A6331" i="1"/>
  <c r="B6331" i="1"/>
  <c r="C6331" i="1"/>
  <c r="D6331" i="1"/>
  <c r="E6331" i="1"/>
  <c r="A6332" i="1"/>
  <c r="B6332" i="1"/>
  <c r="C6332" i="1"/>
  <c r="D6332" i="1"/>
  <c r="E6332" i="1"/>
  <c r="A6333" i="1"/>
  <c r="B6333" i="1"/>
  <c r="C6333" i="1"/>
  <c r="D6333" i="1"/>
  <c r="E6333" i="1"/>
  <c r="A6334" i="1"/>
  <c r="B6334" i="1"/>
  <c r="C6334" i="1"/>
  <c r="D6334" i="1"/>
  <c r="E6334" i="1"/>
  <c r="A6335" i="1"/>
  <c r="B6335" i="1"/>
  <c r="C6335" i="1"/>
  <c r="D6335" i="1"/>
  <c r="E6335" i="1"/>
  <c r="A6336" i="1"/>
  <c r="B6336" i="1"/>
  <c r="C6336" i="1"/>
  <c r="D6336" i="1"/>
  <c r="E6336" i="1"/>
  <c r="A6337" i="1"/>
  <c r="B6337" i="1"/>
  <c r="C6337" i="1"/>
  <c r="D6337" i="1"/>
  <c r="E6337" i="1"/>
  <c r="A6338" i="1"/>
  <c r="B6338" i="1"/>
  <c r="C6338" i="1"/>
  <c r="D6338" i="1"/>
  <c r="E6338" i="1"/>
  <c r="A6339" i="1"/>
  <c r="B6339" i="1"/>
  <c r="C6339" i="1"/>
  <c r="D6339" i="1"/>
  <c r="E6339" i="1"/>
  <c r="A6340" i="1"/>
  <c r="B6340" i="1"/>
  <c r="C6340" i="1"/>
  <c r="D6340" i="1"/>
  <c r="E6340" i="1"/>
  <c r="A6341" i="1"/>
  <c r="B6341" i="1"/>
  <c r="C6341" i="1"/>
  <c r="D6341" i="1"/>
  <c r="E6341" i="1"/>
  <c r="A6342" i="1"/>
  <c r="B6342" i="1"/>
  <c r="C6342" i="1"/>
  <c r="D6342" i="1"/>
  <c r="E6342" i="1"/>
  <c r="A6343" i="1"/>
  <c r="B6343" i="1"/>
  <c r="C6343" i="1"/>
  <c r="D6343" i="1"/>
  <c r="E6343" i="1"/>
  <c r="A6344" i="1"/>
  <c r="B6344" i="1"/>
  <c r="C6344" i="1"/>
  <c r="D6344" i="1"/>
  <c r="E6344" i="1"/>
  <c r="A6345" i="1"/>
  <c r="B6345" i="1"/>
  <c r="C6345" i="1"/>
  <c r="D6345" i="1"/>
  <c r="E6345" i="1"/>
  <c r="A6346" i="1"/>
  <c r="B6346" i="1"/>
  <c r="C6346" i="1"/>
  <c r="D6346" i="1"/>
  <c r="E6346" i="1"/>
  <c r="A6347" i="1"/>
  <c r="B6347" i="1"/>
  <c r="C6347" i="1"/>
  <c r="D6347" i="1"/>
  <c r="E6347" i="1"/>
  <c r="A6348" i="1"/>
  <c r="B6348" i="1"/>
  <c r="C6348" i="1"/>
  <c r="D6348" i="1"/>
  <c r="E6348" i="1"/>
  <c r="A6349" i="1"/>
  <c r="B6349" i="1"/>
  <c r="C6349" i="1"/>
  <c r="D6349" i="1"/>
  <c r="E6349" i="1"/>
  <c r="A6350" i="1"/>
  <c r="B6350" i="1"/>
  <c r="C6350" i="1"/>
  <c r="D6350" i="1"/>
  <c r="E6350" i="1"/>
  <c r="A6351" i="1"/>
  <c r="B6351" i="1"/>
  <c r="C6351" i="1"/>
  <c r="D6351" i="1"/>
  <c r="E6351" i="1"/>
  <c r="A6352" i="1"/>
  <c r="B6352" i="1"/>
  <c r="C6352" i="1"/>
  <c r="D6352" i="1"/>
  <c r="E6352" i="1"/>
  <c r="A6353" i="1"/>
  <c r="B6353" i="1"/>
  <c r="C6353" i="1"/>
  <c r="D6353" i="1"/>
  <c r="E6353" i="1"/>
  <c r="A6354" i="1"/>
  <c r="B6354" i="1"/>
  <c r="C6354" i="1"/>
  <c r="D6354" i="1"/>
  <c r="E6354" i="1"/>
  <c r="A6355" i="1"/>
  <c r="B6355" i="1"/>
  <c r="C6355" i="1"/>
  <c r="D6355" i="1"/>
  <c r="E6355" i="1"/>
  <c r="A6356" i="1"/>
  <c r="B6356" i="1"/>
  <c r="C6356" i="1"/>
  <c r="D6356" i="1"/>
  <c r="E6356" i="1"/>
  <c r="A6357" i="1"/>
  <c r="B6357" i="1"/>
  <c r="C6357" i="1"/>
  <c r="D6357" i="1"/>
  <c r="E6357" i="1"/>
  <c r="A6358" i="1"/>
  <c r="B6358" i="1"/>
  <c r="C6358" i="1"/>
  <c r="D6358" i="1"/>
  <c r="E6358" i="1"/>
  <c r="A6359" i="1"/>
  <c r="B6359" i="1"/>
  <c r="C6359" i="1"/>
  <c r="D6359" i="1"/>
  <c r="E6359" i="1"/>
  <c r="A6360" i="1"/>
  <c r="B6360" i="1"/>
  <c r="C6360" i="1"/>
  <c r="D6360" i="1"/>
  <c r="E6360" i="1"/>
  <c r="A6361" i="1"/>
  <c r="B6361" i="1"/>
  <c r="C6361" i="1"/>
  <c r="D6361" i="1"/>
  <c r="E6361" i="1"/>
  <c r="A6362" i="1"/>
  <c r="B6362" i="1"/>
  <c r="C6362" i="1"/>
  <c r="D6362" i="1"/>
  <c r="E6362" i="1"/>
  <c r="A6363" i="1"/>
  <c r="B6363" i="1"/>
  <c r="C6363" i="1"/>
  <c r="D6363" i="1"/>
  <c r="E6363" i="1"/>
  <c r="A6364" i="1"/>
  <c r="B6364" i="1"/>
  <c r="C6364" i="1"/>
  <c r="D6364" i="1"/>
  <c r="E6364" i="1"/>
  <c r="A6365" i="1"/>
  <c r="B6365" i="1"/>
  <c r="C6365" i="1"/>
  <c r="D6365" i="1"/>
  <c r="E6365" i="1"/>
  <c r="A6366" i="1"/>
  <c r="B6366" i="1"/>
  <c r="C6366" i="1"/>
  <c r="D6366" i="1"/>
  <c r="E6366" i="1"/>
  <c r="A6367" i="1"/>
  <c r="B6367" i="1"/>
  <c r="C6367" i="1"/>
  <c r="D6367" i="1"/>
  <c r="E6367" i="1"/>
  <c r="A6368" i="1"/>
  <c r="B6368" i="1"/>
  <c r="C6368" i="1"/>
  <c r="D6368" i="1"/>
  <c r="E6368" i="1"/>
  <c r="A6369" i="1"/>
  <c r="B6369" i="1"/>
  <c r="C6369" i="1"/>
  <c r="D6369" i="1"/>
  <c r="E6369" i="1"/>
  <c r="A6370" i="1"/>
  <c r="B6370" i="1"/>
  <c r="C6370" i="1"/>
  <c r="D6370" i="1"/>
  <c r="E6370" i="1"/>
  <c r="A6371" i="1"/>
  <c r="B6371" i="1"/>
  <c r="C6371" i="1"/>
  <c r="D6371" i="1"/>
  <c r="E6371" i="1"/>
  <c r="A6372" i="1"/>
  <c r="B6372" i="1"/>
  <c r="C6372" i="1"/>
  <c r="D6372" i="1"/>
  <c r="E6372" i="1"/>
  <c r="A6373" i="1"/>
  <c r="B6373" i="1"/>
  <c r="C6373" i="1"/>
  <c r="D6373" i="1"/>
  <c r="E6373" i="1"/>
  <c r="A6374" i="1"/>
  <c r="B6374" i="1"/>
  <c r="C6374" i="1"/>
  <c r="D6374" i="1"/>
  <c r="E6374" i="1"/>
  <c r="A6375" i="1"/>
  <c r="B6375" i="1"/>
  <c r="C6375" i="1"/>
  <c r="D6375" i="1"/>
  <c r="E6375" i="1"/>
  <c r="A6376" i="1"/>
  <c r="B6376" i="1"/>
  <c r="C6376" i="1"/>
  <c r="D6376" i="1"/>
  <c r="E6376" i="1"/>
  <c r="A6377" i="1"/>
  <c r="B6377" i="1"/>
  <c r="C6377" i="1"/>
  <c r="D6377" i="1"/>
  <c r="E6377" i="1"/>
  <c r="A6378" i="1"/>
  <c r="B6378" i="1"/>
  <c r="C6378" i="1"/>
  <c r="D6378" i="1"/>
  <c r="E6378" i="1"/>
  <c r="A6379" i="1"/>
  <c r="B6379" i="1"/>
  <c r="C6379" i="1"/>
  <c r="D6379" i="1"/>
  <c r="E6379" i="1"/>
  <c r="A6380" i="1"/>
  <c r="B6380" i="1"/>
  <c r="C6380" i="1"/>
  <c r="D6380" i="1"/>
  <c r="E6380" i="1"/>
  <c r="A6381" i="1"/>
  <c r="B6381" i="1"/>
  <c r="C6381" i="1"/>
  <c r="D6381" i="1"/>
  <c r="E6381" i="1"/>
  <c r="A6382" i="1"/>
  <c r="B6382" i="1"/>
  <c r="C6382" i="1"/>
  <c r="D6382" i="1"/>
  <c r="E6382" i="1"/>
  <c r="A6383" i="1"/>
  <c r="B6383" i="1"/>
  <c r="C6383" i="1"/>
  <c r="D6383" i="1"/>
  <c r="E6383" i="1"/>
  <c r="A6384" i="1"/>
  <c r="B6384" i="1"/>
  <c r="C6384" i="1"/>
  <c r="D6384" i="1"/>
  <c r="E6384" i="1"/>
  <c r="A6385" i="1"/>
  <c r="B6385" i="1"/>
  <c r="C6385" i="1"/>
  <c r="D6385" i="1"/>
  <c r="E6385" i="1"/>
  <c r="A6386" i="1"/>
  <c r="B6386" i="1"/>
  <c r="C6386" i="1"/>
  <c r="D6386" i="1"/>
  <c r="E6386" i="1"/>
  <c r="A6387" i="1"/>
  <c r="B6387" i="1"/>
  <c r="C6387" i="1"/>
  <c r="D6387" i="1"/>
  <c r="E6387" i="1"/>
  <c r="A6388" i="1"/>
  <c r="B6388" i="1"/>
  <c r="C6388" i="1"/>
  <c r="D6388" i="1"/>
  <c r="E6388" i="1"/>
  <c r="A6389" i="1"/>
  <c r="B6389" i="1"/>
  <c r="C6389" i="1"/>
  <c r="D6389" i="1"/>
  <c r="E6389" i="1"/>
  <c r="A6390" i="1"/>
  <c r="B6390" i="1"/>
  <c r="C6390" i="1"/>
  <c r="D6390" i="1"/>
  <c r="E6390" i="1"/>
  <c r="A6391" i="1"/>
  <c r="B6391" i="1"/>
  <c r="C6391" i="1"/>
  <c r="D6391" i="1"/>
  <c r="E6391" i="1"/>
  <c r="A6392" i="1"/>
  <c r="B6392" i="1"/>
  <c r="C6392" i="1"/>
  <c r="D6392" i="1"/>
  <c r="E6392" i="1"/>
  <c r="A6393" i="1"/>
  <c r="B6393" i="1"/>
  <c r="C6393" i="1"/>
  <c r="D6393" i="1"/>
  <c r="E6393" i="1"/>
  <c r="A6394" i="1"/>
  <c r="B6394" i="1"/>
  <c r="C6394" i="1"/>
  <c r="D6394" i="1"/>
  <c r="E6394" i="1"/>
  <c r="A6395" i="1"/>
  <c r="B6395" i="1"/>
  <c r="C6395" i="1"/>
  <c r="D6395" i="1"/>
  <c r="E6395" i="1"/>
  <c r="A6396" i="1"/>
  <c r="B6396" i="1"/>
  <c r="C6396" i="1"/>
  <c r="D6396" i="1"/>
  <c r="E6396" i="1"/>
  <c r="A6397" i="1"/>
  <c r="B6397" i="1"/>
  <c r="C6397" i="1"/>
  <c r="D6397" i="1"/>
  <c r="E6397" i="1"/>
  <c r="A6398" i="1"/>
  <c r="B6398" i="1"/>
  <c r="C6398" i="1"/>
  <c r="D6398" i="1"/>
  <c r="E6398" i="1"/>
  <c r="A6399" i="1"/>
  <c r="B6399" i="1"/>
  <c r="C6399" i="1"/>
  <c r="D6399" i="1"/>
  <c r="E6399" i="1"/>
  <c r="A6400" i="1"/>
  <c r="B6400" i="1"/>
  <c r="C6400" i="1"/>
  <c r="D6400" i="1"/>
  <c r="E6400" i="1"/>
  <c r="A6401" i="1"/>
  <c r="B6401" i="1"/>
  <c r="C6401" i="1"/>
  <c r="D6401" i="1"/>
  <c r="E6401" i="1"/>
  <c r="A6402" i="1"/>
  <c r="B6402" i="1"/>
  <c r="C6402" i="1"/>
  <c r="D6402" i="1"/>
  <c r="E6402" i="1"/>
  <c r="A6403" i="1"/>
  <c r="B6403" i="1"/>
  <c r="C6403" i="1"/>
  <c r="D6403" i="1"/>
  <c r="E6403" i="1"/>
  <c r="A6404" i="1"/>
  <c r="B6404" i="1"/>
  <c r="C6404" i="1"/>
  <c r="D6404" i="1"/>
  <c r="E6404" i="1"/>
  <c r="A6405" i="1"/>
  <c r="B6405" i="1"/>
  <c r="C6405" i="1"/>
  <c r="D6405" i="1"/>
  <c r="E6405" i="1"/>
  <c r="A6406" i="1"/>
  <c r="B6406" i="1"/>
  <c r="C6406" i="1"/>
  <c r="D6406" i="1"/>
  <c r="E6406" i="1"/>
  <c r="A6407" i="1"/>
  <c r="B6407" i="1"/>
  <c r="C6407" i="1"/>
  <c r="D6407" i="1"/>
  <c r="E6407" i="1"/>
  <c r="A6408" i="1"/>
  <c r="B6408" i="1"/>
  <c r="C6408" i="1"/>
  <c r="D6408" i="1"/>
  <c r="E6408" i="1"/>
  <c r="A6409" i="1"/>
  <c r="B6409" i="1"/>
  <c r="C6409" i="1"/>
  <c r="D6409" i="1"/>
  <c r="E6409" i="1"/>
  <c r="A6410" i="1"/>
  <c r="B6410" i="1"/>
  <c r="C6410" i="1"/>
  <c r="D6410" i="1"/>
  <c r="E6410" i="1"/>
  <c r="A6411" i="1"/>
  <c r="B6411" i="1"/>
  <c r="C6411" i="1"/>
  <c r="D6411" i="1"/>
  <c r="E6411" i="1"/>
  <c r="A6412" i="1"/>
  <c r="B6412" i="1"/>
  <c r="C6412" i="1"/>
  <c r="D6412" i="1"/>
  <c r="E6412" i="1"/>
  <c r="A6413" i="1"/>
  <c r="B6413" i="1"/>
  <c r="C6413" i="1"/>
  <c r="D6413" i="1"/>
  <c r="E6413" i="1"/>
  <c r="A6414" i="1"/>
  <c r="B6414" i="1"/>
  <c r="C6414" i="1"/>
  <c r="D6414" i="1"/>
  <c r="E6414" i="1"/>
  <c r="A6415" i="1"/>
  <c r="B6415" i="1"/>
  <c r="C6415" i="1"/>
  <c r="D6415" i="1"/>
  <c r="E6415" i="1"/>
  <c r="A6416" i="1"/>
  <c r="B6416" i="1"/>
  <c r="C6416" i="1"/>
  <c r="D6416" i="1"/>
  <c r="E6416" i="1"/>
  <c r="A6417" i="1"/>
  <c r="B6417" i="1"/>
  <c r="C6417" i="1"/>
  <c r="D6417" i="1"/>
  <c r="E6417" i="1"/>
  <c r="A6418" i="1"/>
  <c r="B6418" i="1"/>
  <c r="C6418" i="1"/>
  <c r="D6418" i="1"/>
  <c r="E6418" i="1"/>
  <c r="A6419" i="1"/>
  <c r="B6419" i="1"/>
  <c r="C6419" i="1"/>
  <c r="D6419" i="1"/>
  <c r="E6419" i="1"/>
  <c r="A6420" i="1"/>
  <c r="B6420" i="1"/>
  <c r="C6420" i="1"/>
  <c r="D6420" i="1"/>
  <c r="E6420" i="1"/>
  <c r="A6421" i="1"/>
  <c r="B6421" i="1"/>
  <c r="C6421" i="1"/>
  <c r="D6421" i="1"/>
  <c r="E6421" i="1"/>
  <c r="A6422" i="1"/>
  <c r="B6422" i="1"/>
  <c r="C6422" i="1"/>
  <c r="D6422" i="1"/>
  <c r="E6422" i="1"/>
  <c r="A6423" i="1"/>
  <c r="B6423" i="1"/>
  <c r="C6423" i="1"/>
  <c r="D6423" i="1"/>
  <c r="E6423" i="1"/>
  <c r="A6424" i="1"/>
  <c r="B6424" i="1"/>
  <c r="C6424" i="1"/>
  <c r="D6424" i="1"/>
  <c r="E6424" i="1"/>
  <c r="A6425" i="1"/>
  <c r="B6425" i="1"/>
  <c r="C6425" i="1"/>
  <c r="D6425" i="1"/>
  <c r="E6425" i="1"/>
  <c r="A6426" i="1"/>
  <c r="B6426" i="1"/>
  <c r="C6426" i="1"/>
  <c r="D6426" i="1"/>
  <c r="E6426" i="1"/>
  <c r="A6427" i="1"/>
  <c r="B6427" i="1"/>
  <c r="C6427" i="1"/>
  <c r="D6427" i="1"/>
  <c r="E6427" i="1"/>
  <c r="A6428" i="1"/>
  <c r="B6428" i="1"/>
  <c r="C6428" i="1"/>
  <c r="D6428" i="1"/>
  <c r="E6428" i="1"/>
  <c r="A6429" i="1"/>
  <c r="B6429" i="1"/>
  <c r="C6429" i="1"/>
  <c r="D6429" i="1"/>
  <c r="E6429" i="1"/>
  <c r="A6430" i="1"/>
  <c r="B6430" i="1"/>
  <c r="C6430" i="1"/>
  <c r="D6430" i="1"/>
  <c r="E6430" i="1"/>
  <c r="A6431" i="1"/>
  <c r="B6431" i="1"/>
  <c r="C6431" i="1"/>
  <c r="D6431" i="1"/>
  <c r="E6431" i="1"/>
  <c r="A6432" i="1"/>
  <c r="B6432" i="1"/>
  <c r="C6432" i="1"/>
  <c r="D6432" i="1"/>
  <c r="E6432" i="1"/>
  <c r="A6433" i="1"/>
  <c r="B6433" i="1"/>
  <c r="C6433" i="1"/>
  <c r="D6433" i="1"/>
  <c r="E6433" i="1"/>
  <c r="A6434" i="1"/>
  <c r="B6434" i="1"/>
  <c r="C6434" i="1"/>
  <c r="D6434" i="1"/>
  <c r="E6434" i="1"/>
  <c r="A6435" i="1"/>
  <c r="B6435" i="1"/>
  <c r="C6435" i="1"/>
  <c r="D6435" i="1"/>
  <c r="E6435" i="1"/>
  <c r="A6436" i="1"/>
  <c r="B6436" i="1"/>
  <c r="C6436" i="1"/>
  <c r="D6436" i="1"/>
  <c r="E6436" i="1"/>
  <c r="A6437" i="1"/>
  <c r="B6437" i="1"/>
  <c r="C6437" i="1"/>
  <c r="D6437" i="1"/>
  <c r="E6437" i="1"/>
  <c r="A6438" i="1"/>
  <c r="B6438" i="1"/>
  <c r="C6438" i="1"/>
  <c r="D6438" i="1"/>
  <c r="E6438" i="1"/>
  <c r="A6439" i="1"/>
  <c r="B6439" i="1"/>
  <c r="C6439" i="1"/>
  <c r="D6439" i="1"/>
  <c r="E6439" i="1"/>
  <c r="A6440" i="1"/>
  <c r="B6440" i="1"/>
  <c r="C6440" i="1"/>
  <c r="D6440" i="1"/>
  <c r="E6440" i="1"/>
  <c r="A6441" i="1"/>
  <c r="B6441" i="1"/>
  <c r="C6441" i="1"/>
  <c r="D6441" i="1"/>
  <c r="E6441" i="1"/>
  <c r="A6442" i="1"/>
  <c r="B6442" i="1"/>
  <c r="C6442" i="1"/>
  <c r="D6442" i="1"/>
  <c r="E6442" i="1"/>
  <c r="A6443" i="1"/>
  <c r="B6443" i="1"/>
  <c r="C6443" i="1"/>
  <c r="D6443" i="1"/>
  <c r="E6443" i="1"/>
  <c r="A6444" i="1"/>
  <c r="B6444" i="1"/>
  <c r="C6444" i="1"/>
  <c r="D6444" i="1"/>
  <c r="E6444" i="1"/>
  <c r="A6445" i="1"/>
  <c r="B6445" i="1"/>
  <c r="C6445" i="1"/>
  <c r="D6445" i="1"/>
  <c r="E6445" i="1"/>
  <c r="A6446" i="1"/>
  <c r="B6446" i="1"/>
  <c r="C6446" i="1"/>
  <c r="D6446" i="1"/>
  <c r="E6446" i="1"/>
  <c r="A6447" i="1"/>
  <c r="B6447" i="1"/>
  <c r="C6447" i="1"/>
  <c r="D6447" i="1"/>
  <c r="E6447" i="1"/>
  <c r="A6448" i="1"/>
  <c r="B6448" i="1"/>
  <c r="C6448" i="1"/>
  <c r="D6448" i="1"/>
  <c r="E6448" i="1"/>
  <c r="A6449" i="1"/>
  <c r="B6449" i="1"/>
  <c r="C6449" i="1"/>
  <c r="D6449" i="1"/>
  <c r="E6449" i="1"/>
  <c r="A6450" i="1"/>
  <c r="B6450" i="1"/>
  <c r="C6450" i="1"/>
  <c r="D6450" i="1"/>
  <c r="E6450" i="1"/>
  <c r="A6451" i="1"/>
  <c r="B6451" i="1"/>
  <c r="C6451" i="1"/>
  <c r="D6451" i="1"/>
  <c r="E6451" i="1"/>
  <c r="A6452" i="1"/>
  <c r="B6452" i="1"/>
  <c r="C6452" i="1"/>
  <c r="D6452" i="1"/>
  <c r="E6452" i="1"/>
  <c r="A6453" i="1"/>
  <c r="B6453" i="1"/>
  <c r="C6453" i="1"/>
  <c r="D6453" i="1"/>
  <c r="E6453" i="1"/>
  <c r="A6454" i="1"/>
  <c r="B6454" i="1"/>
  <c r="C6454" i="1"/>
  <c r="D6454" i="1"/>
  <c r="E6454" i="1"/>
  <c r="A6455" i="1"/>
  <c r="B6455" i="1"/>
  <c r="C6455" i="1"/>
  <c r="D6455" i="1"/>
  <c r="E6455" i="1"/>
  <c r="A6456" i="1"/>
  <c r="B6456" i="1"/>
  <c r="C6456" i="1"/>
  <c r="D6456" i="1"/>
  <c r="E6456" i="1"/>
  <c r="A6457" i="1"/>
  <c r="B6457" i="1"/>
  <c r="C6457" i="1"/>
  <c r="D6457" i="1"/>
  <c r="E6457" i="1"/>
  <c r="A6458" i="1"/>
  <c r="B6458" i="1"/>
  <c r="C6458" i="1"/>
  <c r="D6458" i="1"/>
  <c r="E6458" i="1"/>
  <c r="A6459" i="1"/>
  <c r="B6459" i="1"/>
  <c r="C6459" i="1"/>
  <c r="D6459" i="1"/>
  <c r="E6459" i="1"/>
  <c r="A6460" i="1"/>
  <c r="B6460" i="1"/>
  <c r="C6460" i="1"/>
  <c r="D6460" i="1"/>
  <c r="E6460" i="1"/>
  <c r="A6461" i="1"/>
  <c r="B6461" i="1"/>
  <c r="C6461" i="1"/>
  <c r="D6461" i="1"/>
  <c r="E6461" i="1"/>
  <c r="A6462" i="1"/>
  <c r="B6462" i="1"/>
  <c r="C6462" i="1"/>
  <c r="D6462" i="1"/>
  <c r="E6462" i="1"/>
  <c r="A6463" i="1"/>
  <c r="B6463" i="1"/>
  <c r="C6463" i="1"/>
  <c r="D6463" i="1"/>
  <c r="E6463" i="1"/>
  <c r="A6464" i="1"/>
  <c r="B6464" i="1"/>
  <c r="C6464" i="1"/>
  <c r="D6464" i="1"/>
  <c r="E6464" i="1"/>
  <c r="A6465" i="1"/>
  <c r="B6465" i="1"/>
  <c r="C6465" i="1"/>
  <c r="D6465" i="1"/>
  <c r="E6465" i="1"/>
  <c r="A6466" i="1"/>
  <c r="B6466" i="1"/>
  <c r="C6466" i="1"/>
  <c r="D6466" i="1"/>
  <c r="E6466" i="1"/>
  <c r="A6467" i="1"/>
  <c r="B6467" i="1"/>
  <c r="C6467" i="1"/>
  <c r="D6467" i="1"/>
  <c r="E6467" i="1"/>
  <c r="A6468" i="1"/>
  <c r="B6468" i="1"/>
  <c r="C6468" i="1"/>
  <c r="D6468" i="1"/>
  <c r="E6468" i="1"/>
  <c r="A6469" i="1"/>
  <c r="B6469" i="1"/>
  <c r="C6469" i="1"/>
  <c r="D6469" i="1"/>
  <c r="E6469" i="1"/>
  <c r="A6470" i="1"/>
  <c r="B6470" i="1"/>
  <c r="C6470" i="1"/>
  <c r="D6470" i="1"/>
  <c r="E6470" i="1"/>
  <c r="A6471" i="1"/>
  <c r="B6471" i="1"/>
  <c r="C6471" i="1"/>
  <c r="D6471" i="1"/>
  <c r="E6471" i="1"/>
  <c r="A6472" i="1"/>
  <c r="B6472" i="1"/>
  <c r="C6472" i="1"/>
  <c r="D6472" i="1"/>
  <c r="E6472" i="1"/>
  <c r="A6473" i="1"/>
  <c r="B6473" i="1"/>
  <c r="C6473" i="1"/>
  <c r="D6473" i="1"/>
  <c r="E6473" i="1"/>
  <c r="A6474" i="1"/>
  <c r="B6474" i="1"/>
  <c r="C6474" i="1"/>
  <c r="D6474" i="1"/>
  <c r="E6474" i="1"/>
  <c r="A6475" i="1"/>
  <c r="B6475" i="1"/>
  <c r="C6475" i="1"/>
  <c r="D6475" i="1"/>
  <c r="E6475" i="1"/>
  <c r="A6476" i="1"/>
  <c r="B6476" i="1"/>
  <c r="C6476" i="1"/>
  <c r="D6476" i="1"/>
  <c r="E6476" i="1"/>
  <c r="A6477" i="1"/>
  <c r="B6477" i="1"/>
  <c r="C6477" i="1"/>
  <c r="D6477" i="1"/>
  <c r="E6477" i="1"/>
  <c r="A6478" i="1"/>
  <c r="B6478" i="1"/>
  <c r="C6478" i="1"/>
  <c r="D6478" i="1"/>
  <c r="E6478" i="1"/>
  <c r="A6479" i="1"/>
  <c r="B6479" i="1"/>
  <c r="C6479" i="1"/>
  <c r="D6479" i="1"/>
  <c r="E6479" i="1"/>
  <c r="A6480" i="1"/>
  <c r="B6480" i="1"/>
  <c r="C6480" i="1"/>
  <c r="D6480" i="1"/>
  <c r="E6480" i="1"/>
  <c r="A6481" i="1"/>
  <c r="B6481" i="1"/>
  <c r="C6481" i="1"/>
  <c r="D6481" i="1"/>
  <c r="E6481" i="1"/>
  <c r="A6482" i="1"/>
  <c r="B6482" i="1"/>
  <c r="C6482" i="1"/>
  <c r="D6482" i="1"/>
  <c r="E6482" i="1"/>
  <c r="A6483" i="1"/>
  <c r="B6483" i="1"/>
  <c r="C6483" i="1"/>
  <c r="D6483" i="1"/>
  <c r="E6483" i="1"/>
  <c r="A6484" i="1"/>
  <c r="B6484" i="1"/>
  <c r="C6484" i="1"/>
  <c r="D6484" i="1"/>
  <c r="E6484" i="1"/>
  <c r="A6485" i="1"/>
  <c r="B6485" i="1"/>
  <c r="C6485" i="1"/>
  <c r="D6485" i="1"/>
  <c r="E6485" i="1"/>
  <c r="A6486" i="1"/>
  <c r="B6486" i="1"/>
  <c r="C6486" i="1"/>
  <c r="D6486" i="1"/>
  <c r="E6486" i="1"/>
  <c r="A6487" i="1"/>
  <c r="B6487" i="1"/>
  <c r="C6487" i="1"/>
  <c r="D6487" i="1"/>
  <c r="E6487" i="1"/>
  <c r="A6488" i="1"/>
  <c r="B6488" i="1"/>
  <c r="C6488" i="1"/>
  <c r="D6488" i="1"/>
  <c r="E6488" i="1"/>
  <c r="A6489" i="1"/>
  <c r="B6489" i="1"/>
  <c r="C6489" i="1"/>
  <c r="D6489" i="1"/>
  <c r="E6489" i="1"/>
  <c r="A6490" i="1"/>
  <c r="B6490" i="1"/>
  <c r="C6490" i="1"/>
  <c r="D6490" i="1"/>
  <c r="E6490" i="1"/>
  <c r="A6491" i="1"/>
  <c r="B6491" i="1"/>
  <c r="C6491" i="1"/>
  <c r="D6491" i="1"/>
  <c r="E6491" i="1"/>
  <c r="A6492" i="1"/>
  <c r="B6492" i="1"/>
  <c r="C6492" i="1"/>
  <c r="D6492" i="1"/>
  <c r="E6492" i="1"/>
  <c r="A6493" i="1"/>
  <c r="B6493" i="1"/>
  <c r="C6493" i="1"/>
  <c r="D6493" i="1"/>
  <c r="E6493" i="1"/>
  <c r="A6494" i="1"/>
  <c r="B6494" i="1"/>
  <c r="C6494" i="1"/>
  <c r="D6494" i="1"/>
  <c r="E6494" i="1"/>
  <c r="A6495" i="1"/>
  <c r="B6495" i="1"/>
  <c r="C6495" i="1"/>
  <c r="D6495" i="1"/>
  <c r="E6495" i="1"/>
  <c r="A6496" i="1"/>
  <c r="B6496" i="1"/>
  <c r="C6496" i="1"/>
  <c r="D6496" i="1"/>
  <c r="E6496" i="1"/>
  <c r="A6497" i="1"/>
  <c r="B6497" i="1"/>
  <c r="C6497" i="1"/>
  <c r="D6497" i="1"/>
  <c r="E6497" i="1"/>
  <c r="A6498" i="1"/>
  <c r="B6498" i="1"/>
  <c r="C6498" i="1"/>
  <c r="D6498" i="1"/>
  <c r="E6498" i="1"/>
  <c r="A6499" i="1"/>
  <c r="B6499" i="1"/>
  <c r="C6499" i="1"/>
  <c r="D6499" i="1"/>
  <c r="E6499" i="1"/>
  <c r="A6500" i="1"/>
  <c r="B6500" i="1"/>
  <c r="C6500" i="1"/>
  <c r="D6500" i="1"/>
  <c r="E6500" i="1"/>
  <c r="A6501" i="1"/>
  <c r="B6501" i="1"/>
  <c r="C6501" i="1"/>
  <c r="D6501" i="1"/>
  <c r="E6501" i="1"/>
  <c r="A6502" i="1"/>
  <c r="B6502" i="1"/>
  <c r="C6502" i="1"/>
  <c r="D6502" i="1"/>
  <c r="E6502" i="1"/>
  <c r="A6503" i="1"/>
  <c r="B6503" i="1"/>
  <c r="C6503" i="1"/>
  <c r="D6503" i="1"/>
  <c r="E6503" i="1"/>
  <c r="A6504" i="1"/>
  <c r="B6504" i="1"/>
  <c r="C6504" i="1"/>
  <c r="D6504" i="1"/>
  <c r="E6504" i="1"/>
  <c r="A6505" i="1"/>
  <c r="B6505" i="1"/>
  <c r="C6505" i="1"/>
  <c r="D6505" i="1"/>
  <c r="E6505" i="1"/>
  <c r="A6506" i="1"/>
  <c r="B6506" i="1"/>
  <c r="C6506" i="1"/>
  <c r="D6506" i="1"/>
  <c r="E6506" i="1"/>
  <c r="A6507" i="1"/>
  <c r="B6507" i="1"/>
  <c r="C6507" i="1"/>
  <c r="D6507" i="1"/>
  <c r="E6507" i="1"/>
  <c r="A6508" i="1"/>
  <c r="B6508" i="1"/>
  <c r="C6508" i="1"/>
  <c r="D6508" i="1"/>
  <c r="E6508" i="1"/>
  <c r="A6509" i="1"/>
  <c r="B6509" i="1"/>
  <c r="C6509" i="1"/>
  <c r="D6509" i="1"/>
  <c r="E6509" i="1"/>
  <c r="A6510" i="1"/>
  <c r="B6510" i="1"/>
  <c r="C6510" i="1"/>
  <c r="D6510" i="1"/>
  <c r="E6510" i="1"/>
  <c r="A6511" i="1"/>
  <c r="B6511" i="1"/>
  <c r="C6511" i="1"/>
  <c r="D6511" i="1"/>
  <c r="E6511" i="1"/>
  <c r="A6512" i="1"/>
  <c r="B6512" i="1"/>
  <c r="C6512" i="1"/>
  <c r="D6512" i="1"/>
  <c r="E6512" i="1"/>
  <c r="A6513" i="1"/>
  <c r="B6513" i="1"/>
  <c r="C6513" i="1"/>
  <c r="D6513" i="1"/>
  <c r="E6513" i="1"/>
  <c r="A6514" i="1"/>
  <c r="B6514" i="1"/>
  <c r="C6514" i="1"/>
  <c r="D6514" i="1"/>
  <c r="E6514" i="1"/>
  <c r="A6515" i="1"/>
  <c r="B6515" i="1"/>
  <c r="C6515" i="1"/>
  <c r="D6515" i="1"/>
  <c r="E6515" i="1"/>
  <c r="A6516" i="1"/>
  <c r="B6516" i="1"/>
  <c r="C6516" i="1"/>
  <c r="D6516" i="1"/>
  <c r="E6516" i="1"/>
  <c r="A6517" i="1"/>
  <c r="B6517" i="1"/>
  <c r="C6517" i="1"/>
  <c r="D6517" i="1"/>
  <c r="E6517" i="1"/>
  <c r="A6518" i="1"/>
  <c r="B6518" i="1"/>
  <c r="C6518" i="1"/>
  <c r="D6518" i="1"/>
  <c r="E6518" i="1"/>
  <c r="A6519" i="1"/>
  <c r="B6519" i="1"/>
  <c r="C6519" i="1"/>
  <c r="D6519" i="1"/>
  <c r="E6519" i="1"/>
  <c r="A6520" i="1"/>
  <c r="B6520" i="1"/>
  <c r="C6520" i="1"/>
  <c r="D6520" i="1"/>
  <c r="E6520" i="1"/>
  <c r="A6521" i="1"/>
  <c r="B6521" i="1"/>
  <c r="C6521" i="1"/>
  <c r="D6521" i="1"/>
  <c r="E6521" i="1"/>
  <c r="A6522" i="1"/>
  <c r="B6522" i="1"/>
  <c r="C6522" i="1"/>
  <c r="D6522" i="1"/>
  <c r="E6522" i="1"/>
  <c r="A6523" i="1"/>
  <c r="B6523" i="1"/>
  <c r="C6523" i="1"/>
  <c r="D6523" i="1"/>
  <c r="E6523" i="1"/>
  <c r="A6524" i="1"/>
  <c r="B6524" i="1"/>
  <c r="C6524" i="1"/>
  <c r="D6524" i="1"/>
  <c r="E6524" i="1"/>
  <c r="A6525" i="1"/>
  <c r="B6525" i="1"/>
  <c r="C6525" i="1"/>
  <c r="D6525" i="1"/>
  <c r="E6525" i="1"/>
  <c r="A6526" i="1"/>
  <c r="B6526" i="1"/>
  <c r="C6526" i="1"/>
  <c r="D6526" i="1"/>
  <c r="E6526" i="1"/>
  <c r="A6527" i="1"/>
  <c r="B6527" i="1"/>
  <c r="C6527" i="1"/>
  <c r="D6527" i="1"/>
  <c r="E6527" i="1"/>
  <c r="A6528" i="1"/>
  <c r="B6528" i="1"/>
  <c r="C6528" i="1"/>
  <c r="D6528" i="1"/>
  <c r="E6528" i="1"/>
  <c r="A6529" i="1"/>
  <c r="B6529" i="1"/>
  <c r="C6529" i="1"/>
  <c r="D6529" i="1"/>
  <c r="E6529" i="1"/>
  <c r="A6530" i="1"/>
  <c r="B6530" i="1"/>
  <c r="C6530" i="1"/>
  <c r="D6530" i="1"/>
  <c r="E6530" i="1"/>
  <c r="A6531" i="1"/>
  <c r="B6531" i="1"/>
  <c r="C6531" i="1"/>
  <c r="D6531" i="1"/>
  <c r="E6531" i="1"/>
  <c r="A6532" i="1"/>
  <c r="B6532" i="1"/>
  <c r="C6532" i="1"/>
  <c r="D6532" i="1"/>
  <c r="E6532" i="1"/>
  <c r="A6533" i="1"/>
  <c r="B6533" i="1"/>
  <c r="C6533" i="1"/>
  <c r="D6533" i="1"/>
  <c r="E6533" i="1"/>
  <c r="A6534" i="1"/>
  <c r="B6534" i="1"/>
  <c r="C6534" i="1"/>
  <c r="D6534" i="1"/>
  <c r="E6534" i="1"/>
  <c r="A6535" i="1"/>
  <c r="B6535" i="1"/>
  <c r="C6535" i="1"/>
  <c r="D6535" i="1"/>
  <c r="E6535" i="1"/>
  <c r="A6536" i="1"/>
  <c r="B6536" i="1"/>
  <c r="C6536" i="1"/>
  <c r="D6536" i="1"/>
  <c r="E6536" i="1"/>
  <c r="A6537" i="1"/>
  <c r="B6537" i="1"/>
  <c r="C6537" i="1"/>
  <c r="D6537" i="1"/>
  <c r="E6537" i="1"/>
  <c r="A6538" i="1"/>
  <c r="B6538" i="1"/>
  <c r="C6538" i="1"/>
  <c r="D6538" i="1"/>
  <c r="E6538" i="1"/>
  <c r="A6539" i="1"/>
  <c r="B6539" i="1"/>
  <c r="C6539" i="1"/>
  <c r="D6539" i="1"/>
  <c r="E6539" i="1"/>
  <c r="A6540" i="1"/>
  <c r="B6540" i="1"/>
  <c r="C6540" i="1"/>
  <c r="D6540" i="1"/>
  <c r="E6540" i="1"/>
  <c r="A6541" i="1"/>
  <c r="B6541" i="1"/>
  <c r="C6541" i="1"/>
  <c r="D6541" i="1"/>
  <c r="E6541" i="1"/>
  <c r="A6542" i="1"/>
  <c r="B6542" i="1"/>
  <c r="C6542" i="1"/>
  <c r="D6542" i="1"/>
  <c r="E6542" i="1"/>
  <c r="A6543" i="1"/>
  <c r="B6543" i="1"/>
  <c r="C6543" i="1"/>
  <c r="D6543" i="1"/>
  <c r="E6543" i="1"/>
  <c r="A6544" i="1"/>
  <c r="B6544" i="1"/>
  <c r="C6544" i="1"/>
  <c r="D6544" i="1"/>
  <c r="E6544" i="1"/>
  <c r="A6545" i="1"/>
  <c r="B6545" i="1"/>
  <c r="C6545" i="1"/>
  <c r="D6545" i="1"/>
  <c r="E6545" i="1"/>
  <c r="A6546" i="1"/>
  <c r="B6546" i="1"/>
  <c r="C6546" i="1"/>
  <c r="D6546" i="1"/>
  <c r="E6546" i="1"/>
  <c r="A6547" i="1"/>
  <c r="B6547" i="1"/>
  <c r="C6547" i="1"/>
  <c r="D6547" i="1"/>
  <c r="E6547" i="1"/>
  <c r="A6548" i="1"/>
  <c r="B6548" i="1"/>
  <c r="C6548" i="1"/>
  <c r="D6548" i="1"/>
  <c r="E6548" i="1"/>
  <c r="A6549" i="1"/>
  <c r="B6549" i="1"/>
  <c r="C6549" i="1"/>
  <c r="D6549" i="1"/>
  <c r="E6549" i="1"/>
  <c r="A6550" i="1"/>
  <c r="B6550" i="1"/>
  <c r="C6550" i="1"/>
  <c r="D6550" i="1"/>
  <c r="E6550" i="1"/>
  <c r="A6551" i="1"/>
  <c r="B6551" i="1"/>
  <c r="C6551" i="1"/>
  <c r="D6551" i="1"/>
  <c r="E6551" i="1"/>
  <c r="A6552" i="1"/>
  <c r="B6552" i="1"/>
  <c r="C6552" i="1"/>
  <c r="D6552" i="1"/>
  <c r="E6552" i="1"/>
  <c r="A6553" i="1"/>
  <c r="B6553" i="1"/>
  <c r="C6553" i="1"/>
  <c r="D6553" i="1"/>
  <c r="E6553" i="1"/>
  <c r="A6554" i="1"/>
  <c r="B6554" i="1"/>
  <c r="C6554" i="1"/>
  <c r="D6554" i="1"/>
  <c r="E6554" i="1"/>
  <c r="A6555" i="1"/>
  <c r="B6555" i="1"/>
  <c r="C6555" i="1"/>
  <c r="D6555" i="1"/>
  <c r="E6555" i="1"/>
  <c r="A6556" i="1"/>
  <c r="B6556" i="1"/>
  <c r="C6556" i="1"/>
  <c r="D6556" i="1"/>
  <c r="E6556" i="1"/>
  <c r="A6557" i="1"/>
  <c r="B6557" i="1"/>
  <c r="C6557" i="1"/>
  <c r="D6557" i="1"/>
  <c r="E6557" i="1"/>
  <c r="A6558" i="1"/>
  <c r="B6558" i="1"/>
  <c r="C6558" i="1"/>
  <c r="D6558" i="1"/>
  <c r="E6558" i="1"/>
  <c r="A6559" i="1"/>
  <c r="B6559" i="1"/>
  <c r="C6559" i="1"/>
  <c r="D6559" i="1"/>
  <c r="E6559" i="1"/>
  <c r="A6560" i="1"/>
  <c r="B6560" i="1"/>
  <c r="C6560" i="1"/>
  <c r="D6560" i="1"/>
  <c r="E6560" i="1"/>
  <c r="A6561" i="1"/>
  <c r="B6561" i="1"/>
  <c r="C6561" i="1"/>
  <c r="D6561" i="1"/>
  <c r="E6561" i="1"/>
  <c r="A6562" i="1"/>
  <c r="B6562" i="1"/>
  <c r="C6562" i="1"/>
  <c r="D6562" i="1"/>
  <c r="E6562" i="1"/>
  <c r="A6563" i="1"/>
  <c r="B6563" i="1"/>
  <c r="C6563" i="1"/>
  <c r="D6563" i="1"/>
  <c r="E6563" i="1"/>
  <c r="A6564" i="1"/>
  <c r="B6564" i="1"/>
  <c r="C6564" i="1"/>
  <c r="D6564" i="1"/>
  <c r="E6564" i="1"/>
  <c r="A6565" i="1"/>
  <c r="B6565" i="1"/>
  <c r="C6565" i="1"/>
  <c r="D6565" i="1"/>
  <c r="E6565" i="1"/>
  <c r="A6566" i="1"/>
  <c r="B6566" i="1"/>
  <c r="C6566" i="1"/>
  <c r="D6566" i="1"/>
  <c r="E6566" i="1"/>
  <c r="A6567" i="1"/>
  <c r="B6567" i="1"/>
  <c r="C6567" i="1"/>
  <c r="D6567" i="1"/>
  <c r="E6567" i="1"/>
  <c r="A6568" i="1"/>
  <c r="B6568" i="1"/>
  <c r="C6568" i="1"/>
  <c r="D6568" i="1"/>
  <c r="E6568" i="1"/>
  <c r="A6569" i="1"/>
  <c r="B6569" i="1"/>
  <c r="C6569" i="1"/>
  <c r="D6569" i="1"/>
  <c r="E6569" i="1"/>
  <c r="A6570" i="1"/>
  <c r="B6570" i="1"/>
  <c r="C6570" i="1"/>
  <c r="D6570" i="1"/>
  <c r="E6570" i="1"/>
  <c r="A6571" i="1"/>
  <c r="B6571" i="1"/>
  <c r="C6571" i="1"/>
  <c r="D6571" i="1"/>
  <c r="E6571" i="1"/>
  <c r="A6572" i="1"/>
  <c r="B6572" i="1"/>
  <c r="C6572" i="1"/>
  <c r="D6572" i="1"/>
  <c r="E6572" i="1"/>
  <c r="A6573" i="1"/>
  <c r="B6573" i="1"/>
  <c r="C6573" i="1"/>
  <c r="D6573" i="1"/>
  <c r="E6573" i="1"/>
  <c r="A6574" i="1"/>
  <c r="B6574" i="1"/>
  <c r="C6574" i="1"/>
  <c r="D6574" i="1"/>
  <c r="E6574" i="1"/>
  <c r="A6575" i="1"/>
  <c r="B6575" i="1"/>
  <c r="C6575" i="1"/>
  <c r="D6575" i="1"/>
  <c r="E6575" i="1"/>
  <c r="A6576" i="1"/>
  <c r="B6576" i="1"/>
  <c r="C6576" i="1"/>
  <c r="D6576" i="1"/>
  <c r="E6576" i="1"/>
  <c r="A6577" i="1"/>
  <c r="B6577" i="1"/>
  <c r="C6577" i="1"/>
  <c r="D6577" i="1"/>
  <c r="E6577" i="1"/>
  <c r="A6578" i="1"/>
  <c r="B6578" i="1"/>
  <c r="C6578" i="1"/>
  <c r="D6578" i="1"/>
  <c r="E6578" i="1"/>
  <c r="A6579" i="1"/>
  <c r="B6579" i="1"/>
  <c r="C6579" i="1"/>
  <c r="D6579" i="1"/>
  <c r="E6579" i="1"/>
  <c r="A6580" i="1"/>
  <c r="B6580" i="1"/>
  <c r="C6580" i="1"/>
  <c r="D6580" i="1"/>
  <c r="E6580" i="1"/>
  <c r="A6581" i="1"/>
  <c r="B6581" i="1"/>
  <c r="C6581" i="1"/>
  <c r="D6581" i="1"/>
  <c r="E6581" i="1"/>
  <c r="A6582" i="1"/>
  <c r="B6582" i="1"/>
  <c r="C6582" i="1"/>
  <c r="D6582" i="1"/>
  <c r="E6582" i="1"/>
  <c r="A6583" i="1"/>
  <c r="B6583" i="1"/>
  <c r="C6583" i="1"/>
  <c r="D6583" i="1"/>
  <c r="E6583" i="1"/>
  <c r="A6584" i="1"/>
  <c r="B6584" i="1"/>
  <c r="C6584" i="1"/>
  <c r="D6584" i="1"/>
  <c r="E6584" i="1"/>
  <c r="A6585" i="1"/>
  <c r="B6585" i="1"/>
  <c r="C6585" i="1"/>
  <c r="D6585" i="1"/>
  <c r="E6585" i="1"/>
  <c r="A6586" i="1"/>
  <c r="B6586" i="1"/>
  <c r="C6586" i="1"/>
  <c r="D6586" i="1"/>
  <c r="E6586" i="1"/>
  <c r="A6587" i="1"/>
  <c r="B6587" i="1"/>
  <c r="C6587" i="1"/>
  <c r="D6587" i="1"/>
  <c r="E6587" i="1"/>
  <c r="A6588" i="1"/>
  <c r="B6588" i="1"/>
  <c r="C6588" i="1"/>
  <c r="D6588" i="1"/>
  <c r="E6588" i="1"/>
  <c r="A6589" i="1"/>
  <c r="B6589" i="1"/>
  <c r="C6589" i="1"/>
  <c r="D6589" i="1"/>
  <c r="E6589" i="1"/>
  <c r="A6590" i="1"/>
  <c r="B6590" i="1"/>
  <c r="C6590" i="1"/>
  <c r="D6590" i="1"/>
  <c r="E6590" i="1"/>
  <c r="A6591" i="1"/>
  <c r="B6591" i="1"/>
  <c r="C6591" i="1"/>
  <c r="D6591" i="1"/>
  <c r="E6591" i="1"/>
  <c r="A6592" i="1"/>
  <c r="B6592" i="1"/>
  <c r="C6592" i="1"/>
  <c r="D6592" i="1"/>
  <c r="E6592" i="1"/>
  <c r="A6593" i="1"/>
  <c r="B6593" i="1"/>
  <c r="C6593" i="1"/>
  <c r="D6593" i="1"/>
  <c r="E6593" i="1"/>
  <c r="A6594" i="1"/>
  <c r="B6594" i="1"/>
  <c r="C6594" i="1"/>
  <c r="D6594" i="1"/>
  <c r="E6594" i="1"/>
  <c r="A6595" i="1"/>
  <c r="B6595" i="1"/>
  <c r="C6595" i="1"/>
  <c r="D6595" i="1"/>
  <c r="E6595" i="1"/>
  <c r="A6596" i="1"/>
  <c r="B6596" i="1"/>
  <c r="C6596" i="1"/>
  <c r="D6596" i="1"/>
  <c r="E6596" i="1"/>
  <c r="A6597" i="1"/>
  <c r="B6597" i="1"/>
  <c r="C6597" i="1"/>
  <c r="D6597" i="1"/>
  <c r="E6597" i="1"/>
  <c r="A6598" i="1"/>
  <c r="B6598" i="1"/>
  <c r="C6598" i="1"/>
  <c r="D6598" i="1"/>
  <c r="E6598" i="1"/>
  <c r="A6599" i="1"/>
  <c r="B6599" i="1"/>
  <c r="C6599" i="1"/>
  <c r="D6599" i="1"/>
  <c r="E6599" i="1"/>
  <c r="A6600" i="1"/>
  <c r="B6600" i="1"/>
  <c r="C6600" i="1"/>
  <c r="D6600" i="1"/>
  <c r="E6600" i="1"/>
  <c r="A6601" i="1"/>
  <c r="B6601" i="1"/>
  <c r="C6601" i="1"/>
  <c r="D6601" i="1"/>
  <c r="E6601" i="1"/>
  <c r="A6602" i="1"/>
  <c r="B6602" i="1"/>
  <c r="C6602" i="1"/>
  <c r="D6602" i="1"/>
  <c r="E6602" i="1"/>
  <c r="A6603" i="1"/>
  <c r="B6603" i="1"/>
  <c r="C6603" i="1"/>
  <c r="D6603" i="1"/>
  <c r="E6603" i="1"/>
  <c r="A6604" i="1"/>
  <c r="B6604" i="1"/>
  <c r="C6604" i="1"/>
  <c r="D6604" i="1"/>
  <c r="E6604" i="1"/>
  <c r="A6605" i="1"/>
  <c r="B6605" i="1"/>
  <c r="C6605" i="1"/>
  <c r="D6605" i="1"/>
  <c r="E6605" i="1"/>
  <c r="A6606" i="1"/>
  <c r="B6606" i="1"/>
  <c r="C6606" i="1"/>
  <c r="D6606" i="1"/>
  <c r="E6606" i="1"/>
  <c r="A6607" i="1"/>
  <c r="B6607" i="1"/>
  <c r="C6607" i="1"/>
  <c r="D6607" i="1"/>
  <c r="E6607" i="1"/>
  <c r="A6608" i="1"/>
  <c r="B6608" i="1"/>
  <c r="C6608" i="1"/>
  <c r="D6608" i="1"/>
  <c r="E6608" i="1"/>
  <c r="A6609" i="1"/>
  <c r="B6609" i="1"/>
  <c r="C6609" i="1"/>
  <c r="D6609" i="1"/>
  <c r="E6609" i="1"/>
  <c r="A6610" i="1"/>
  <c r="B6610" i="1"/>
  <c r="C6610" i="1"/>
  <c r="D6610" i="1"/>
  <c r="E6610" i="1"/>
  <c r="A6611" i="1"/>
  <c r="B6611" i="1"/>
  <c r="C6611" i="1"/>
  <c r="D6611" i="1"/>
  <c r="E6611" i="1"/>
  <c r="A6612" i="1"/>
  <c r="B6612" i="1"/>
  <c r="C6612" i="1"/>
  <c r="D6612" i="1"/>
  <c r="E6612" i="1"/>
  <c r="A6613" i="1"/>
  <c r="B6613" i="1"/>
  <c r="C6613" i="1"/>
  <c r="D6613" i="1"/>
  <c r="E6613" i="1"/>
  <c r="A6614" i="1"/>
  <c r="B6614" i="1"/>
  <c r="C6614" i="1"/>
  <c r="D6614" i="1"/>
  <c r="E6614" i="1"/>
  <c r="A6615" i="1"/>
  <c r="B6615" i="1"/>
  <c r="C6615" i="1"/>
  <c r="D6615" i="1"/>
  <c r="E6615" i="1"/>
  <c r="A6616" i="1"/>
  <c r="B6616" i="1"/>
  <c r="C6616" i="1"/>
  <c r="D6616" i="1"/>
  <c r="E6616" i="1"/>
  <c r="A6617" i="1"/>
  <c r="B6617" i="1"/>
  <c r="C6617" i="1"/>
  <c r="D6617" i="1"/>
  <c r="E6617" i="1"/>
  <c r="A6618" i="1"/>
  <c r="B6618" i="1"/>
  <c r="C6618" i="1"/>
  <c r="D6618" i="1"/>
  <c r="E6618" i="1"/>
  <c r="A6619" i="1"/>
  <c r="B6619" i="1"/>
  <c r="C6619" i="1"/>
  <c r="D6619" i="1"/>
  <c r="E6619" i="1"/>
  <c r="A6620" i="1"/>
  <c r="B6620" i="1"/>
  <c r="C6620" i="1"/>
  <c r="D6620" i="1"/>
  <c r="E6620" i="1"/>
  <c r="A6621" i="1"/>
  <c r="B6621" i="1"/>
  <c r="C6621" i="1"/>
  <c r="D6621" i="1"/>
  <c r="E6621" i="1"/>
  <c r="A6622" i="1"/>
  <c r="B6622" i="1"/>
  <c r="C6622" i="1"/>
  <c r="D6622" i="1"/>
  <c r="E6622" i="1"/>
  <c r="A6623" i="1"/>
  <c r="B6623" i="1"/>
  <c r="C6623" i="1"/>
  <c r="D6623" i="1"/>
  <c r="E6623" i="1"/>
  <c r="A6624" i="1"/>
  <c r="B6624" i="1"/>
  <c r="C6624" i="1"/>
  <c r="D6624" i="1"/>
  <c r="E6624" i="1"/>
  <c r="A6625" i="1"/>
  <c r="B6625" i="1"/>
  <c r="C6625" i="1"/>
  <c r="D6625" i="1"/>
  <c r="E6625" i="1"/>
  <c r="A6626" i="1"/>
  <c r="B6626" i="1"/>
  <c r="C6626" i="1"/>
  <c r="D6626" i="1"/>
  <c r="E6626" i="1"/>
  <c r="A6627" i="1"/>
  <c r="B6627" i="1"/>
  <c r="C6627" i="1"/>
  <c r="D6627" i="1"/>
  <c r="E6627" i="1"/>
  <c r="A6628" i="1"/>
  <c r="B6628" i="1"/>
  <c r="C6628" i="1"/>
  <c r="D6628" i="1"/>
  <c r="E6628" i="1"/>
  <c r="A6629" i="1"/>
  <c r="B6629" i="1"/>
  <c r="C6629" i="1"/>
  <c r="D6629" i="1"/>
  <c r="E6629" i="1"/>
  <c r="A6630" i="1"/>
  <c r="B6630" i="1"/>
  <c r="C6630" i="1"/>
  <c r="D6630" i="1"/>
  <c r="E6630" i="1"/>
  <c r="A6631" i="1"/>
  <c r="B6631" i="1"/>
  <c r="C6631" i="1"/>
  <c r="D6631" i="1"/>
  <c r="E6631" i="1"/>
  <c r="A6632" i="1"/>
  <c r="B6632" i="1"/>
  <c r="C6632" i="1"/>
  <c r="D6632" i="1"/>
  <c r="E6632" i="1"/>
  <c r="A6633" i="1"/>
  <c r="B6633" i="1"/>
  <c r="C6633" i="1"/>
  <c r="D6633" i="1"/>
  <c r="E6633" i="1"/>
  <c r="A6634" i="1"/>
  <c r="B6634" i="1"/>
  <c r="C6634" i="1"/>
  <c r="D6634" i="1"/>
  <c r="E6634" i="1"/>
  <c r="A6635" i="1"/>
  <c r="B6635" i="1"/>
  <c r="C6635" i="1"/>
  <c r="D6635" i="1"/>
  <c r="E6635" i="1"/>
  <c r="A6636" i="1"/>
  <c r="B6636" i="1"/>
  <c r="C6636" i="1"/>
  <c r="D6636" i="1"/>
  <c r="E6636" i="1"/>
  <c r="A6637" i="1"/>
  <c r="B6637" i="1"/>
  <c r="C6637" i="1"/>
  <c r="D6637" i="1"/>
  <c r="E6637" i="1"/>
  <c r="A6638" i="1"/>
  <c r="B6638" i="1"/>
  <c r="C6638" i="1"/>
  <c r="D6638" i="1"/>
  <c r="E6638" i="1"/>
  <c r="A6639" i="1"/>
  <c r="B6639" i="1"/>
  <c r="C6639" i="1"/>
  <c r="D6639" i="1"/>
  <c r="E6639" i="1"/>
  <c r="A6640" i="1"/>
  <c r="B6640" i="1"/>
  <c r="C6640" i="1"/>
  <c r="D6640" i="1"/>
  <c r="E6640" i="1"/>
  <c r="A6641" i="1"/>
  <c r="B6641" i="1"/>
  <c r="C6641" i="1"/>
  <c r="D6641" i="1"/>
  <c r="E6641" i="1"/>
  <c r="A6642" i="1"/>
  <c r="B6642" i="1"/>
  <c r="C6642" i="1"/>
  <c r="D6642" i="1"/>
  <c r="E6642" i="1"/>
  <c r="A6643" i="1"/>
  <c r="B6643" i="1"/>
  <c r="C6643" i="1"/>
  <c r="D6643" i="1"/>
  <c r="E6643" i="1"/>
  <c r="A6644" i="1"/>
  <c r="B6644" i="1"/>
  <c r="C6644" i="1"/>
  <c r="D6644" i="1"/>
  <c r="E6644" i="1"/>
  <c r="A6645" i="1"/>
  <c r="B6645" i="1"/>
  <c r="C6645" i="1"/>
  <c r="D6645" i="1"/>
  <c r="E6645" i="1"/>
  <c r="A6646" i="1"/>
  <c r="B6646" i="1"/>
  <c r="C6646" i="1"/>
  <c r="D6646" i="1"/>
  <c r="E6646" i="1"/>
  <c r="A6647" i="1"/>
  <c r="B6647" i="1"/>
  <c r="C6647" i="1"/>
  <c r="D6647" i="1"/>
  <c r="E6647" i="1"/>
  <c r="A6648" i="1"/>
  <c r="B6648" i="1"/>
  <c r="C6648" i="1"/>
  <c r="D6648" i="1"/>
  <c r="E6648" i="1"/>
  <c r="A6649" i="1"/>
  <c r="B6649" i="1"/>
  <c r="C6649" i="1"/>
  <c r="D6649" i="1"/>
  <c r="E6649" i="1"/>
  <c r="A6650" i="1"/>
  <c r="B6650" i="1"/>
  <c r="C6650" i="1"/>
  <c r="D6650" i="1"/>
  <c r="E6650" i="1"/>
  <c r="A6651" i="1"/>
  <c r="B6651" i="1"/>
  <c r="C6651" i="1"/>
  <c r="D6651" i="1"/>
  <c r="E6651" i="1"/>
  <c r="A6652" i="1"/>
  <c r="B6652" i="1"/>
  <c r="C6652" i="1"/>
  <c r="D6652" i="1"/>
  <c r="E6652" i="1"/>
  <c r="A6653" i="1"/>
  <c r="B6653" i="1"/>
  <c r="C6653" i="1"/>
  <c r="D6653" i="1"/>
  <c r="E6653" i="1"/>
  <c r="A6654" i="1"/>
  <c r="B6654" i="1"/>
  <c r="C6654" i="1"/>
  <c r="D6654" i="1"/>
  <c r="E6654" i="1"/>
  <c r="A6655" i="1"/>
  <c r="B6655" i="1"/>
  <c r="C6655" i="1"/>
  <c r="D6655" i="1"/>
  <c r="E6655" i="1"/>
  <c r="A6656" i="1"/>
  <c r="B6656" i="1"/>
  <c r="C6656" i="1"/>
  <c r="D6656" i="1"/>
  <c r="E6656" i="1"/>
  <c r="A6657" i="1"/>
  <c r="B6657" i="1"/>
  <c r="C6657" i="1"/>
  <c r="D6657" i="1"/>
  <c r="E6657" i="1"/>
  <c r="A6658" i="1"/>
  <c r="B6658" i="1"/>
  <c r="C6658" i="1"/>
  <c r="D6658" i="1"/>
  <c r="E6658" i="1"/>
  <c r="A6659" i="1"/>
  <c r="B6659" i="1"/>
  <c r="C6659" i="1"/>
  <c r="D6659" i="1"/>
  <c r="E6659" i="1"/>
  <c r="A6660" i="1"/>
  <c r="B6660" i="1"/>
  <c r="C6660" i="1"/>
  <c r="D6660" i="1"/>
  <c r="E6660" i="1"/>
  <c r="A6661" i="1"/>
  <c r="B6661" i="1"/>
  <c r="C6661" i="1"/>
  <c r="D6661" i="1"/>
  <c r="E6661" i="1"/>
  <c r="A6662" i="1"/>
  <c r="B6662" i="1"/>
  <c r="C6662" i="1"/>
  <c r="D6662" i="1"/>
  <c r="E6662" i="1"/>
  <c r="A6663" i="1"/>
  <c r="B6663" i="1"/>
  <c r="C6663" i="1"/>
  <c r="D6663" i="1"/>
  <c r="E6663" i="1"/>
  <c r="A6664" i="1"/>
  <c r="B6664" i="1"/>
  <c r="C6664" i="1"/>
  <c r="D6664" i="1"/>
  <c r="E6664" i="1"/>
  <c r="A6665" i="1"/>
  <c r="B6665" i="1"/>
  <c r="C6665" i="1"/>
  <c r="D6665" i="1"/>
  <c r="E6665" i="1"/>
  <c r="A6666" i="1"/>
  <c r="B6666" i="1"/>
  <c r="C6666" i="1"/>
  <c r="D6666" i="1"/>
  <c r="E6666" i="1"/>
  <c r="A6667" i="1"/>
  <c r="B6667" i="1"/>
  <c r="C6667" i="1"/>
  <c r="D6667" i="1"/>
  <c r="E6667" i="1"/>
  <c r="A6668" i="1"/>
  <c r="B6668" i="1"/>
  <c r="C6668" i="1"/>
  <c r="D6668" i="1"/>
  <c r="E6668" i="1"/>
  <c r="A6669" i="1"/>
  <c r="B6669" i="1"/>
  <c r="C6669" i="1"/>
  <c r="D6669" i="1"/>
  <c r="E6669" i="1"/>
  <c r="A6670" i="1"/>
  <c r="B6670" i="1"/>
  <c r="C6670" i="1"/>
  <c r="D6670" i="1"/>
  <c r="E6670" i="1"/>
  <c r="A6671" i="1"/>
  <c r="B6671" i="1"/>
  <c r="C6671" i="1"/>
  <c r="D6671" i="1"/>
  <c r="E6671" i="1"/>
  <c r="A6672" i="1"/>
  <c r="B6672" i="1"/>
  <c r="C6672" i="1"/>
  <c r="D6672" i="1"/>
  <c r="E6672" i="1"/>
  <c r="A6673" i="1"/>
  <c r="B6673" i="1"/>
  <c r="C6673" i="1"/>
  <c r="D6673" i="1"/>
  <c r="E6673" i="1"/>
  <c r="A6674" i="1"/>
  <c r="B6674" i="1"/>
  <c r="C6674" i="1"/>
  <c r="D6674" i="1"/>
  <c r="E6674" i="1"/>
  <c r="A6675" i="1"/>
  <c r="B6675" i="1"/>
  <c r="C6675" i="1"/>
  <c r="D6675" i="1"/>
  <c r="E6675" i="1"/>
  <c r="A6676" i="1"/>
  <c r="B6676" i="1"/>
  <c r="C6676" i="1"/>
  <c r="D6676" i="1"/>
  <c r="E6676" i="1"/>
  <c r="A6677" i="1"/>
  <c r="B6677" i="1"/>
  <c r="C6677" i="1"/>
  <c r="D6677" i="1"/>
  <c r="E6677" i="1"/>
  <c r="A6678" i="1"/>
  <c r="B6678" i="1"/>
  <c r="C6678" i="1"/>
  <c r="D6678" i="1"/>
  <c r="E6678" i="1"/>
  <c r="A6679" i="1"/>
  <c r="B6679" i="1"/>
  <c r="C6679" i="1"/>
  <c r="D6679" i="1"/>
  <c r="E6679" i="1"/>
  <c r="A6680" i="1"/>
  <c r="B6680" i="1"/>
  <c r="C6680" i="1"/>
  <c r="D6680" i="1"/>
  <c r="E6680" i="1"/>
  <c r="A6681" i="1"/>
  <c r="B6681" i="1"/>
  <c r="C6681" i="1"/>
  <c r="D6681" i="1"/>
  <c r="E6681" i="1"/>
  <c r="A6682" i="1"/>
  <c r="B6682" i="1"/>
  <c r="C6682" i="1"/>
  <c r="D6682" i="1"/>
  <c r="E6682" i="1"/>
  <c r="A6683" i="1"/>
  <c r="B6683" i="1"/>
  <c r="C6683" i="1"/>
  <c r="D6683" i="1"/>
  <c r="E6683" i="1"/>
  <c r="A6684" i="1"/>
  <c r="B6684" i="1"/>
  <c r="C6684" i="1"/>
  <c r="D6684" i="1"/>
  <c r="E6684" i="1"/>
  <c r="A6685" i="1"/>
  <c r="B6685" i="1"/>
  <c r="C6685" i="1"/>
  <c r="D6685" i="1"/>
  <c r="E6685" i="1"/>
  <c r="A6686" i="1"/>
  <c r="B6686" i="1"/>
  <c r="C6686" i="1"/>
  <c r="D6686" i="1"/>
  <c r="E6686" i="1"/>
  <c r="A6687" i="1"/>
  <c r="B6687" i="1"/>
  <c r="C6687" i="1"/>
  <c r="D6687" i="1"/>
  <c r="E6687" i="1"/>
  <c r="A6688" i="1"/>
  <c r="B6688" i="1"/>
  <c r="C6688" i="1"/>
  <c r="D6688" i="1"/>
  <c r="E6688" i="1"/>
  <c r="A6689" i="1"/>
  <c r="B6689" i="1"/>
  <c r="C6689" i="1"/>
  <c r="D6689" i="1"/>
  <c r="E6689" i="1"/>
  <c r="A6690" i="1"/>
  <c r="B6690" i="1"/>
  <c r="C6690" i="1"/>
  <c r="D6690" i="1"/>
  <c r="E6690" i="1"/>
  <c r="A6691" i="1"/>
  <c r="B6691" i="1"/>
  <c r="C6691" i="1"/>
  <c r="D6691" i="1"/>
  <c r="E6691" i="1"/>
  <c r="A6692" i="1"/>
  <c r="B6692" i="1"/>
  <c r="C6692" i="1"/>
  <c r="D6692" i="1"/>
  <c r="E6692" i="1"/>
  <c r="A6693" i="1"/>
  <c r="B6693" i="1"/>
  <c r="C6693" i="1"/>
  <c r="D6693" i="1"/>
  <c r="E6693" i="1"/>
  <c r="A6694" i="1"/>
  <c r="B6694" i="1"/>
  <c r="C6694" i="1"/>
  <c r="D6694" i="1"/>
  <c r="E6694" i="1"/>
  <c r="A6695" i="1"/>
  <c r="B6695" i="1"/>
  <c r="C6695" i="1"/>
  <c r="D6695" i="1"/>
  <c r="E6695" i="1"/>
  <c r="A6696" i="1"/>
  <c r="B6696" i="1"/>
  <c r="C6696" i="1"/>
  <c r="D6696" i="1"/>
  <c r="E6696" i="1"/>
  <c r="A6697" i="1"/>
  <c r="B6697" i="1"/>
  <c r="C6697" i="1"/>
  <c r="D6697" i="1"/>
  <c r="E6697" i="1"/>
  <c r="A6698" i="1"/>
  <c r="B6698" i="1"/>
  <c r="C6698" i="1"/>
  <c r="D6698" i="1"/>
  <c r="E6698" i="1"/>
  <c r="A6699" i="1"/>
  <c r="B6699" i="1"/>
  <c r="C6699" i="1"/>
  <c r="D6699" i="1"/>
  <c r="E6699" i="1"/>
  <c r="A6700" i="1"/>
  <c r="B6700" i="1"/>
  <c r="C6700" i="1"/>
  <c r="D6700" i="1"/>
  <c r="E6700" i="1"/>
  <c r="A6701" i="1"/>
  <c r="B6701" i="1"/>
  <c r="C6701" i="1"/>
  <c r="D6701" i="1"/>
  <c r="E6701" i="1"/>
  <c r="A6702" i="1"/>
  <c r="B6702" i="1"/>
  <c r="C6702" i="1"/>
  <c r="D6702" i="1"/>
  <c r="E6702" i="1"/>
  <c r="A6703" i="1"/>
  <c r="B6703" i="1"/>
  <c r="C6703" i="1"/>
  <c r="D6703" i="1"/>
  <c r="E6703" i="1"/>
  <c r="A6704" i="1"/>
  <c r="B6704" i="1"/>
  <c r="C6704" i="1"/>
  <c r="D6704" i="1"/>
  <c r="E6704" i="1"/>
  <c r="A6705" i="1"/>
  <c r="B6705" i="1"/>
  <c r="C6705" i="1"/>
  <c r="D6705" i="1"/>
  <c r="E6705" i="1"/>
  <c r="A6706" i="1"/>
  <c r="B6706" i="1"/>
  <c r="C6706" i="1"/>
  <c r="D6706" i="1"/>
  <c r="E6706" i="1"/>
  <c r="A6707" i="1"/>
  <c r="B6707" i="1"/>
  <c r="C6707" i="1"/>
  <c r="D6707" i="1"/>
  <c r="E6707" i="1"/>
  <c r="A6708" i="1"/>
  <c r="B6708" i="1"/>
  <c r="C6708" i="1"/>
  <c r="D6708" i="1"/>
  <c r="E6708" i="1"/>
  <c r="A6709" i="1"/>
  <c r="B6709" i="1"/>
  <c r="C6709" i="1"/>
  <c r="D6709" i="1"/>
  <c r="E6709" i="1"/>
  <c r="A6710" i="1"/>
  <c r="B6710" i="1"/>
  <c r="C6710" i="1"/>
  <c r="D6710" i="1"/>
  <c r="E6710" i="1"/>
  <c r="A6711" i="1"/>
  <c r="B6711" i="1"/>
  <c r="C6711" i="1"/>
  <c r="D6711" i="1"/>
  <c r="E6711" i="1"/>
  <c r="A6712" i="1"/>
  <c r="B6712" i="1"/>
  <c r="C6712" i="1"/>
  <c r="D6712" i="1"/>
  <c r="E6712" i="1"/>
  <c r="A6713" i="1"/>
  <c r="B6713" i="1"/>
  <c r="C6713" i="1"/>
  <c r="D6713" i="1"/>
  <c r="E6713" i="1"/>
  <c r="A6714" i="1"/>
  <c r="B6714" i="1"/>
  <c r="C6714" i="1"/>
  <c r="D6714" i="1"/>
  <c r="E6714" i="1"/>
  <c r="A6715" i="1"/>
  <c r="B6715" i="1"/>
  <c r="C6715" i="1"/>
  <c r="D6715" i="1"/>
  <c r="E6715" i="1"/>
  <c r="A6716" i="1"/>
  <c r="B6716" i="1"/>
  <c r="C6716" i="1"/>
  <c r="D6716" i="1"/>
  <c r="E6716" i="1"/>
  <c r="A6717" i="1"/>
  <c r="B6717" i="1"/>
  <c r="C6717" i="1"/>
  <c r="D6717" i="1"/>
  <c r="E6717" i="1"/>
  <c r="A6718" i="1"/>
  <c r="B6718" i="1"/>
  <c r="C6718" i="1"/>
  <c r="D6718" i="1"/>
  <c r="E6718" i="1"/>
  <c r="A6719" i="1"/>
  <c r="B6719" i="1"/>
  <c r="C6719" i="1"/>
  <c r="D6719" i="1"/>
  <c r="E6719" i="1"/>
  <c r="A6720" i="1"/>
  <c r="B6720" i="1"/>
  <c r="C6720" i="1"/>
  <c r="D6720" i="1"/>
  <c r="E6720" i="1"/>
  <c r="A6721" i="1"/>
  <c r="B6721" i="1"/>
  <c r="C6721" i="1"/>
  <c r="D6721" i="1"/>
  <c r="E6721" i="1"/>
  <c r="A6722" i="1"/>
  <c r="B6722" i="1"/>
  <c r="C6722" i="1"/>
  <c r="D6722" i="1"/>
  <c r="E6722" i="1"/>
  <c r="A6723" i="1"/>
  <c r="B6723" i="1"/>
  <c r="C6723" i="1"/>
  <c r="D6723" i="1"/>
  <c r="E6723" i="1"/>
  <c r="A6724" i="1"/>
  <c r="B6724" i="1"/>
  <c r="C6724" i="1"/>
  <c r="D6724" i="1"/>
  <c r="E6724" i="1"/>
  <c r="A6725" i="1"/>
  <c r="B6725" i="1"/>
  <c r="C6725" i="1"/>
  <c r="D6725" i="1"/>
  <c r="E6725" i="1"/>
  <c r="A6726" i="1"/>
  <c r="B6726" i="1"/>
  <c r="C6726" i="1"/>
  <c r="D6726" i="1"/>
  <c r="E6726" i="1"/>
  <c r="A6727" i="1"/>
  <c r="B6727" i="1"/>
  <c r="C6727" i="1"/>
  <c r="D6727" i="1"/>
  <c r="E6727" i="1"/>
  <c r="A6728" i="1"/>
  <c r="B6728" i="1"/>
  <c r="C6728" i="1"/>
  <c r="D6728" i="1"/>
  <c r="E6728" i="1"/>
  <c r="A6729" i="1"/>
  <c r="B6729" i="1"/>
  <c r="C6729" i="1"/>
  <c r="D6729" i="1"/>
  <c r="E6729" i="1"/>
  <c r="A6730" i="1"/>
  <c r="B6730" i="1"/>
  <c r="C6730" i="1"/>
  <c r="D6730" i="1"/>
  <c r="E6730" i="1"/>
  <c r="A6731" i="1"/>
  <c r="B6731" i="1"/>
  <c r="C6731" i="1"/>
  <c r="D6731" i="1"/>
  <c r="E6731" i="1"/>
  <c r="A6732" i="1"/>
  <c r="B6732" i="1"/>
  <c r="C6732" i="1"/>
  <c r="D6732" i="1"/>
  <c r="E6732" i="1"/>
  <c r="A6733" i="1"/>
  <c r="B6733" i="1"/>
  <c r="C6733" i="1"/>
  <c r="D6733" i="1"/>
  <c r="E6733" i="1"/>
  <c r="A6734" i="1"/>
  <c r="B6734" i="1"/>
  <c r="C6734" i="1"/>
  <c r="D6734" i="1"/>
  <c r="E6734" i="1"/>
  <c r="A6735" i="1"/>
  <c r="B6735" i="1"/>
  <c r="C6735" i="1"/>
  <c r="D6735" i="1"/>
  <c r="E6735" i="1"/>
  <c r="A6736" i="1"/>
  <c r="B6736" i="1"/>
  <c r="C6736" i="1"/>
  <c r="D6736" i="1"/>
  <c r="E6736" i="1"/>
  <c r="A6737" i="1"/>
  <c r="B6737" i="1"/>
  <c r="C6737" i="1"/>
  <c r="D6737" i="1"/>
  <c r="E6737" i="1"/>
  <c r="A6738" i="1"/>
  <c r="B6738" i="1"/>
  <c r="C6738" i="1"/>
  <c r="D6738" i="1"/>
  <c r="E6738" i="1"/>
  <c r="A6739" i="1"/>
  <c r="B6739" i="1"/>
  <c r="C6739" i="1"/>
  <c r="D6739" i="1"/>
  <c r="E6739" i="1"/>
  <c r="A6740" i="1"/>
  <c r="B6740" i="1"/>
  <c r="C6740" i="1"/>
  <c r="D6740" i="1"/>
  <c r="E6740" i="1"/>
  <c r="A6741" i="1"/>
  <c r="B6741" i="1"/>
  <c r="C6741" i="1"/>
  <c r="D6741" i="1"/>
  <c r="E6741" i="1"/>
  <c r="A6742" i="1"/>
  <c r="B6742" i="1"/>
  <c r="C6742" i="1"/>
  <c r="D6742" i="1"/>
  <c r="E6742" i="1"/>
  <c r="A6743" i="1"/>
  <c r="B6743" i="1"/>
  <c r="C6743" i="1"/>
  <c r="D6743" i="1"/>
  <c r="E6743" i="1"/>
  <c r="A6744" i="1"/>
  <c r="B6744" i="1"/>
  <c r="C6744" i="1"/>
  <c r="D6744" i="1"/>
  <c r="E6744" i="1"/>
  <c r="A6745" i="1"/>
  <c r="B6745" i="1"/>
  <c r="C6745" i="1"/>
  <c r="D6745" i="1"/>
  <c r="E6745" i="1"/>
  <c r="A6746" i="1"/>
  <c r="B6746" i="1"/>
  <c r="C6746" i="1"/>
  <c r="D6746" i="1"/>
  <c r="E6746" i="1"/>
  <c r="A6747" i="1"/>
  <c r="B6747" i="1"/>
  <c r="C6747" i="1"/>
  <c r="D6747" i="1"/>
  <c r="E6747" i="1"/>
  <c r="A6748" i="1"/>
  <c r="B6748" i="1"/>
  <c r="C6748" i="1"/>
  <c r="D6748" i="1"/>
  <c r="E6748" i="1"/>
  <c r="A6749" i="1"/>
  <c r="B6749" i="1"/>
  <c r="C6749" i="1"/>
  <c r="D6749" i="1"/>
  <c r="E6749" i="1"/>
  <c r="A6750" i="1"/>
  <c r="B6750" i="1"/>
  <c r="C6750" i="1"/>
  <c r="D6750" i="1"/>
  <c r="E6750" i="1"/>
  <c r="A6751" i="1"/>
  <c r="B6751" i="1"/>
  <c r="C6751" i="1"/>
  <c r="D6751" i="1"/>
  <c r="E6751" i="1"/>
  <c r="A6752" i="1"/>
  <c r="B6752" i="1"/>
  <c r="C6752" i="1"/>
  <c r="D6752" i="1"/>
  <c r="E6752" i="1"/>
  <c r="A6753" i="1"/>
  <c r="B6753" i="1"/>
  <c r="C6753" i="1"/>
  <c r="D6753" i="1"/>
  <c r="E6753" i="1"/>
  <c r="A6754" i="1"/>
  <c r="B6754" i="1"/>
  <c r="C6754" i="1"/>
  <c r="D6754" i="1"/>
  <c r="E6754" i="1"/>
  <c r="A6755" i="1"/>
  <c r="B6755" i="1"/>
  <c r="C6755" i="1"/>
  <c r="D6755" i="1"/>
  <c r="E6755" i="1"/>
  <c r="A6756" i="1"/>
  <c r="B6756" i="1"/>
  <c r="C6756" i="1"/>
  <c r="D6756" i="1"/>
  <c r="E6756" i="1"/>
  <c r="A6757" i="1"/>
  <c r="B6757" i="1"/>
  <c r="C6757" i="1"/>
  <c r="D6757" i="1"/>
  <c r="E6757" i="1"/>
  <c r="A6758" i="1"/>
  <c r="B6758" i="1"/>
  <c r="C6758" i="1"/>
  <c r="D6758" i="1"/>
  <c r="E6758" i="1"/>
  <c r="A6759" i="1"/>
  <c r="B6759" i="1"/>
  <c r="C6759" i="1"/>
  <c r="D6759" i="1"/>
  <c r="E6759" i="1"/>
  <c r="A6760" i="1"/>
  <c r="B6760" i="1"/>
  <c r="C6760" i="1"/>
  <c r="D6760" i="1"/>
  <c r="E6760" i="1"/>
  <c r="A6761" i="1"/>
  <c r="B6761" i="1"/>
  <c r="C6761" i="1"/>
  <c r="D6761" i="1"/>
  <c r="E6761" i="1"/>
  <c r="A6762" i="1"/>
  <c r="B6762" i="1"/>
  <c r="C6762" i="1"/>
  <c r="D6762" i="1"/>
  <c r="E6762" i="1"/>
  <c r="A6763" i="1"/>
  <c r="B6763" i="1"/>
  <c r="C6763" i="1"/>
  <c r="D6763" i="1"/>
  <c r="E6763" i="1"/>
  <c r="A6764" i="1"/>
  <c r="B6764" i="1"/>
  <c r="C6764" i="1"/>
  <c r="D6764" i="1"/>
  <c r="E6764" i="1"/>
  <c r="A6765" i="1"/>
  <c r="B6765" i="1"/>
  <c r="C6765" i="1"/>
  <c r="D6765" i="1"/>
  <c r="E6765" i="1"/>
  <c r="A6766" i="1"/>
  <c r="B6766" i="1"/>
  <c r="C6766" i="1"/>
  <c r="D6766" i="1"/>
  <c r="E6766" i="1"/>
  <c r="A6767" i="1"/>
  <c r="B6767" i="1"/>
  <c r="C6767" i="1"/>
  <c r="D6767" i="1"/>
  <c r="E6767" i="1"/>
  <c r="A6768" i="1"/>
  <c r="B6768" i="1"/>
  <c r="C6768" i="1"/>
  <c r="D6768" i="1"/>
  <c r="E6768" i="1"/>
  <c r="A6769" i="1"/>
  <c r="B6769" i="1"/>
  <c r="C6769" i="1"/>
  <c r="D6769" i="1"/>
  <c r="E6769" i="1"/>
  <c r="A6770" i="1"/>
  <c r="B6770" i="1"/>
  <c r="C6770" i="1"/>
  <c r="D6770" i="1"/>
  <c r="E6770" i="1"/>
  <c r="A6771" i="1"/>
  <c r="B6771" i="1"/>
  <c r="C6771" i="1"/>
  <c r="D6771" i="1"/>
  <c r="E6771" i="1"/>
  <c r="A6772" i="1"/>
  <c r="B6772" i="1"/>
  <c r="C6772" i="1"/>
  <c r="D6772" i="1"/>
  <c r="E6772" i="1"/>
  <c r="A6773" i="1"/>
  <c r="B6773" i="1"/>
  <c r="C6773" i="1"/>
  <c r="D6773" i="1"/>
  <c r="E6773" i="1"/>
  <c r="A6774" i="1"/>
  <c r="B6774" i="1"/>
  <c r="C6774" i="1"/>
  <c r="D6774" i="1"/>
  <c r="E6774" i="1"/>
  <c r="A6775" i="1"/>
  <c r="B6775" i="1"/>
  <c r="C6775" i="1"/>
  <c r="D6775" i="1"/>
  <c r="E6775" i="1"/>
  <c r="A6776" i="1"/>
  <c r="B6776" i="1"/>
  <c r="C6776" i="1"/>
  <c r="D6776" i="1"/>
  <c r="E6776" i="1"/>
  <c r="A6777" i="1"/>
  <c r="B6777" i="1"/>
  <c r="C6777" i="1"/>
  <c r="D6777" i="1"/>
  <c r="E6777" i="1"/>
  <c r="A6778" i="1"/>
  <c r="B6778" i="1"/>
  <c r="C6778" i="1"/>
  <c r="D6778" i="1"/>
  <c r="E6778" i="1"/>
  <c r="A6779" i="1"/>
  <c r="B6779" i="1"/>
  <c r="C6779" i="1"/>
  <c r="D6779" i="1"/>
  <c r="E6779" i="1"/>
  <c r="A6780" i="1"/>
  <c r="B6780" i="1"/>
  <c r="C6780" i="1"/>
  <c r="D6780" i="1"/>
  <c r="E6780" i="1"/>
  <c r="A6781" i="1"/>
  <c r="B6781" i="1"/>
  <c r="C6781" i="1"/>
  <c r="D6781" i="1"/>
  <c r="E6781" i="1"/>
  <c r="A6782" i="1"/>
  <c r="B6782" i="1"/>
  <c r="C6782" i="1"/>
  <c r="D6782" i="1"/>
  <c r="E6782" i="1"/>
  <c r="A6783" i="1"/>
  <c r="B6783" i="1"/>
  <c r="C6783" i="1"/>
  <c r="D6783" i="1"/>
  <c r="E6783" i="1"/>
  <c r="A6784" i="1"/>
  <c r="B6784" i="1"/>
  <c r="C6784" i="1"/>
  <c r="D6784" i="1"/>
  <c r="E6784" i="1"/>
  <c r="A6785" i="1"/>
  <c r="B6785" i="1"/>
  <c r="C6785" i="1"/>
  <c r="D6785" i="1"/>
  <c r="E6785" i="1"/>
  <c r="A6786" i="1"/>
  <c r="B6786" i="1"/>
  <c r="C6786" i="1"/>
  <c r="D6786" i="1"/>
  <c r="E6786" i="1"/>
  <c r="A6787" i="1"/>
  <c r="B6787" i="1"/>
  <c r="C6787" i="1"/>
  <c r="D6787" i="1"/>
  <c r="E6787" i="1"/>
  <c r="A6788" i="1"/>
  <c r="B6788" i="1"/>
  <c r="C6788" i="1"/>
  <c r="D6788" i="1"/>
  <c r="E6788" i="1"/>
  <c r="A6789" i="1"/>
  <c r="B6789" i="1"/>
  <c r="C6789" i="1"/>
  <c r="D6789" i="1"/>
  <c r="E6789" i="1"/>
  <c r="A6790" i="1"/>
  <c r="B6790" i="1"/>
  <c r="C6790" i="1"/>
  <c r="D6790" i="1"/>
  <c r="E6790" i="1"/>
  <c r="A6791" i="1"/>
  <c r="B6791" i="1"/>
  <c r="C6791" i="1"/>
  <c r="D6791" i="1"/>
  <c r="E6791" i="1"/>
  <c r="A6792" i="1"/>
  <c r="B6792" i="1"/>
  <c r="C6792" i="1"/>
  <c r="D6792" i="1"/>
  <c r="E6792" i="1"/>
  <c r="A6793" i="1"/>
  <c r="B6793" i="1"/>
  <c r="C6793" i="1"/>
  <c r="D6793" i="1"/>
  <c r="E6793" i="1"/>
  <c r="A6794" i="1"/>
  <c r="B6794" i="1"/>
  <c r="C6794" i="1"/>
  <c r="D6794" i="1"/>
  <c r="E6794" i="1"/>
  <c r="A6795" i="1"/>
  <c r="B6795" i="1"/>
  <c r="C6795" i="1"/>
  <c r="D6795" i="1"/>
  <c r="E6795" i="1"/>
  <c r="A6796" i="1"/>
  <c r="B6796" i="1"/>
  <c r="C6796" i="1"/>
  <c r="D6796" i="1"/>
  <c r="E6796" i="1"/>
  <c r="A6797" i="1"/>
  <c r="B6797" i="1"/>
  <c r="C6797" i="1"/>
  <c r="D6797" i="1"/>
  <c r="E6797" i="1"/>
  <c r="A6798" i="1"/>
  <c r="B6798" i="1"/>
  <c r="C6798" i="1"/>
  <c r="D6798" i="1"/>
  <c r="E6798" i="1"/>
  <c r="A6799" i="1"/>
  <c r="B6799" i="1"/>
  <c r="C6799" i="1"/>
  <c r="D6799" i="1"/>
  <c r="E6799" i="1"/>
  <c r="A6800" i="1"/>
  <c r="B6800" i="1"/>
  <c r="C6800" i="1"/>
  <c r="D6800" i="1"/>
  <c r="E6800" i="1"/>
  <c r="A6801" i="1"/>
  <c r="B6801" i="1"/>
  <c r="C6801" i="1"/>
  <c r="D6801" i="1"/>
  <c r="E6801" i="1"/>
  <c r="A6802" i="1"/>
  <c r="B6802" i="1"/>
  <c r="C6802" i="1"/>
  <c r="D6802" i="1"/>
  <c r="E6802" i="1"/>
  <c r="A6803" i="1"/>
  <c r="B6803" i="1"/>
  <c r="C6803" i="1"/>
  <c r="D6803" i="1"/>
  <c r="E6803" i="1"/>
  <c r="A6804" i="1"/>
  <c r="B6804" i="1"/>
  <c r="C6804" i="1"/>
  <c r="D6804" i="1"/>
  <c r="E6804" i="1"/>
  <c r="A6805" i="1"/>
  <c r="B6805" i="1"/>
  <c r="C6805" i="1"/>
  <c r="D6805" i="1"/>
  <c r="E6805" i="1"/>
  <c r="A6806" i="1"/>
  <c r="B6806" i="1"/>
  <c r="C6806" i="1"/>
  <c r="D6806" i="1"/>
  <c r="E6806" i="1"/>
  <c r="A6807" i="1"/>
  <c r="B6807" i="1"/>
  <c r="C6807" i="1"/>
  <c r="D6807" i="1"/>
  <c r="E6807" i="1"/>
  <c r="A6808" i="1"/>
  <c r="B6808" i="1"/>
  <c r="C6808" i="1"/>
  <c r="D6808" i="1"/>
  <c r="E6808" i="1"/>
  <c r="A6809" i="1"/>
  <c r="B6809" i="1"/>
  <c r="C6809" i="1"/>
  <c r="D6809" i="1"/>
  <c r="E6809" i="1"/>
  <c r="A6810" i="1"/>
  <c r="B6810" i="1"/>
  <c r="C6810" i="1"/>
  <c r="D6810" i="1"/>
  <c r="E6810" i="1"/>
  <c r="A6811" i="1"/>
  <c r="B6811" i="1"/>
  <c r="C6811" i="1"/>
  <c r="D6811" i="1"/>
  <c r="E6811" i="1"/>
  <c r="A6812" i="1"/>
  <c r="B6812" i="1"/>
  <c r="C6812" i="1"/>
  <c r="D6812" i="1"/>
  <c r="E6812" i="1"/>
  <c r="A6813" i="1"/>
  <c r="B6813" i="1"/>
  <c r="C6813" i="1"/>
  <c r="D6813" i="1"/>
  <c r="E6813" i="1"/>
  <c r="A6814" i="1"/>
  <c r="B6814" i="1"/>
  <c r="C6814" i="1"/>
  <c r="D6814" i="1"/>
  <c r="E6814" i="1"/>
  <c r="A6815" i="1"/>
  <c r="B6815" i="1"/>
  <c r="C6815" i="1"/>
  <c r="D6815" i="1"/>
  <c r="E6815" i="1"/>
  <c r="A6816" i="1"/>
  <c r="B6816" i="1"/>
  <c r="C6816" i="1"/>
  <c r="D6816" i="1"/>
  <c r="E6816" i="1"/>
  <c r="A6817" i="1"/>
  <c r="B6817" i="1"/>
  <c r="C6817" i="1"/>
  <c r="D6817" i="1"/>
  <c r="E6817" i="1"/>
  <c r="A6818" i="1"/>
  <c r="B6818" i="1"/>
  <c r="C6818" i="1"/>
  <c r="D6818" i="1"/>
  <c r="E6818" i="1"/>
  <c r="A6819" i="1"/>
  <c r="B6819" i="1"/>
  <c r="C6819" i="1"/>
  <c r="D6819" i="1"/>
  <c r="E6819" i="1"/>
  <c r="A6820" i="1"/>
  <c r="B6820" i="1"/>
  <c r="C6820" i="1"/>
  <c r="D6820" i="1"/>
  <c r="E6820" i="1"/>
  <c r="A6821" i="1"/>
  <c r="B6821" i="1"/>
  <c r="C6821" i="1"/>
  <c r="D6821" i="1"/>
  <c r="E6821" i="1"/>
  <c r="A6822" i="1"/>
  <c r="B6822" i="1"/>
  <c r="C6822" i="1"/>
  <c r="D6822" i="1"/>
  <c r="E6822" i="1"/>
  <c r="A6823" i="1"/>
  <c r="B6823" i="1"/>
  <c r="C6823" i="1"/>
  <c r="D6823" i="1"/>
  <c r="E6823" i="1"/>
  <c r="A6824" i="1"/>
  <c r="B6824" i="1"/>
  <c r="C6824" i="1"/>
  <c r="D6824" i="1"/>
  <c r="E6824" i="1"/>
  <c r="A6825" i="1"/>
  <c r="B6825" i="1"/>
  <c r="C6825" i="1"/>
  <c r="D6825" i="1"/>
  <c r="E6825" i="1"/>
  <c r="A6826" i="1"/>
  <c r="B6826" i="1"/>
  <c r="C6826" i="1"/>
  <c r="D6826" i="1"/>
  <c r="E6826" i="1"/>
  <c r="A6827" i="1"/>
  <c r="B6827" i="1"/>
  <c r="C6827" i="1"/>
  <c r="D6827" i="1"/>
  <c r="E6827" i="1"/>
  <c r="A6828" i="1"/>
  <c r="B6828" i="1"/>
  <c r="C6828" i="1"/>
  <c r="D6828" i="1"/>
  <c r="E6828" i="1"/>
  <c r="A6829" i="1"/>
  <c r="B6829" i="1"/>
  <c r="C6829" i="1"/>
  <c r="D6829" i="1"/>
  <c r="E6829" i="1"/>
  <c r="A6830" i="1"/>
  <c r="B6830" i="1"/>
  <c r="C6830" i="1"/>
  <c r="D6830" i="1"/>
  <c r="E6830" i="1"/>
  <c r="A6831" i="1"/>
  <c r="B6831" i="1"/>
  <c r="C6831" i="1"/>
  <c r="D6831" i="1"/>
  <c r="E6831" i="1"/>
  <c r="A6832" i="1"/>
  <c r="B6832" i="1"/>
  <c r="C6832" i="1"/>
  <c r="D6832" i="1"/>
  <c r="E6832" i="1"/>
  <c r="A6833" i="1"/>
  <c r="B6833" i="1"/>
  <c r="C6833" i="1"/>
  <c r="D6833" i="1"/>
  <c r="E6833" i="1"/>
  <c r="A6834" i="1"/>
  <c r="B6834" i="1"/>
  <c r="C6834" i="1"/>
  <c r="D6834" i="1"/>
  <c r="E6834" i="1"/>
  <c r="A6835" i="1"/>
  <c r="B6835" i="1"/>
  <c r="C6835" i="1"/>
  <c r="D6835" i="1"/>
  <c r="E6835" i="1"/>
  <c r="A6836" i="1"/>
  <c r="B6836" i="1"/>
  <c r="C6836" i="1"/>
  <c r="D6836" i="1"/>
  <c r="E6836" i="1"/>
  <c r="A6837" i="1"/>
  <c r="B6837" i="1"/>
  <c r="C6837" i="1"/>
  <c r="D6837" i="1"/>
  <c r="E6837" i="1"/>
  <c r="A6838" i="1"/>
  <c r="B6838" i="1"/>
  <c r="C6838" i="1"/>
  <c r="D6838" i="1"/>
  <c r="E6838" i="1"/>
  <c r="A6839" i="1"/>
  <c r="B6839" i="1"/>
  <c r="C6839" i="1"/>
  <c r="D6839" i="1"/>
  <c r="E6839" i="1"/>
  <c r="A6840" i="1"/>
  <c r="B6840" i="1"/>
  <c r="C6840" i="1"/>
  <c r="D6840" i="1"/>
  <c r="E6840" i="1"/>
  <c r="A6841" i="1"/>
  <c r="B6841" i="1"/>
  <c r="C6841" i="1"/>
  <c r="D6841" i="1"/>
  <c r="E6841" i="1"/>
  <c r="A6842" i="1"/>
  <c r="B6842" i="1"/>
  <c r="C6842" i="1"/>
  <c r="D6842" i="1"/>
  <c r="E6842" i="1"/>
  <c r="A6843" i="1"/>
  <c r="B6843" i="1"/>
  <c r="C6843" i="1"/>
  <c r="D6843" i="1"/>
  <c r="E6843" i="1"/>
  <c r="A6844" i="1"/>
  <c r="B6844" i="1"/>
  <c r="C6844" i="1"/>
  <c r="D6844" i="1"/>
  <c r="E6844" i="1"/>
  <c r="A6845" i="1"/>
  <c r="B6845" i="1"/>
  <c r="C6845" i="1"/>
  <c r="D6845" i="1"/>
  <c r="E6845" i="1"/>
  <c r="A6846" i="1"/>
  <c r="B6846" i="1"/>
  <c r="C6846" i="1"/>
  <c r="D6846" i="1"/>
  <c r="E6846" i="1"/>
  <c r="A6847" i="1"/>
  <c r="B6847" i="1"/>
  <c r="C6847" i="1"/>
  <c r="D6847" i="1"/>
  <c r="E6847" i="1"/>
  <c r="A6848" i="1"/>
  <c r="B6848" i="1"/>
  <c r="C6848" i="1"/>
  <c r="D6848" i="1"/>
  <c r="E6848" i="1"/>
  <c r="A6849" i="1"/>
  <c r="B6849" i="1"/>
  <c r="C6849" i="1"/>
  <c r="D6849" i="1"/>
  <c r="E6849" i="1"/>
  <c r="A6850" i="1"/>
  <c r="B6850" i="1"/>
  <c r="C6850" i="1"/>
  <c r="D6850" i="1"/>
  <c r="E6850" i="1"/>
  <c r="A6851" i="1"/>
  <c r="B6851" i="1"/>
  <c r="C6851" i="1"/>
  <c r="D6851" i="1"/>
  <c r="E6851" i="1"/>
  <c r="A6852" i="1"/>
  <c r="B6852" i="1"/>
  <c r="C6852" i="1"/>
  <c r="D6852" i="1"/>
  <c r="E6852" i="1"/>
  <c r="A6853" i="1"/>
  <c r="B6853" i="1"/>
  <c r="C6853" i="1"/>
  <c r="D6853" i="1"/>
  <c r="E6853" i="1"/>
  <c r="A6854" i="1"/>
  <c r="B6854" i="1"/>
  <c r="C6854" i="1"/>
  <c r="D6854" i="1"/>
  <c r="E6854" i="1"/>
  <c r="A6855" i="1"/>
  <c r="B6855" i="1"/>
  <c r="C6855" i="1"/>
  <c r="D6855" i="1"/>
  <c r="E6855" i="1"/>
  <c r="A6856" i="1"/>
  <c r="B6856" i="1"/>
  <c r="C6856" i="1"/>
  <c r="D6856" i="1"/>
  <c r="E6856" i="1"/>
  <c r="A6857" i="1"/>
  <c r="B6857" i="1"/>
  <c r="C6857" i="1"/>
  <c r="D6857" i="1"/>
  <c r="E6857" i="1"/>
  <c r="A6858" i="1"/>
  <c r="B6858" i="1"/>
  <c r="C6858" i="1"/>
  <c r="D6858" i="1"/>
  <c r="E6858" i="1"/>
  <c r="A6859" i="1"/>
  <c r="B6859" i="1"/>
  <c r="C6859" i="1"/>
  <c r="D6859" i="1"/>
  <c r="E6859" i="1"/>
  <c r="A6860" i="1"/>
  <c r="B6860" i="1"/>
  <c r="C6860" i="1"/>
  <c r="D6860" i="1"/>
  <c r="E6860" i="1"/>
  <c r="A6861" i="1"/>
  <c r="B6861" i="1"/>
  <c r="C6861" i="1"/>
  <c r="D6861" i="1"/>
  <c r="E6861" i="1"/>
  <c r="A6862" i="1"/>
  <c r="B6862" i="1"/>
  <c r="C6862" i="1"/>
  <c r="D6862" i="1"/>
  <c r="E6862" i="1"/>
  <c r="A6863" i="1"/>
  <c r="B6863" i="1"/>
  <c r="C6863" i="1"/>
  <c r="D6863" i="1"/>
  <c r="E6863" i="1"/>
  <c r="A6864" i="1"/>
  <c r="B6864" i="1"/>
  <c r="C6864" i="1"/>
  <c r="D6864" i="1"/>
  <c r="E6864" i="1"/>
  <c r="A6865" i="1"/>
  <c r="B6865" i="1"/>
  <c r="C6865" i="1"/>
  <c r="D6865" i="1"/>
  <c r="E6865" i="1"/>
  <c r="A6866" i="1"/>
  <c r="B6866" i="1"/>
  <c r="C6866" i="1"/>
  <c r="D6866" i="1"/>
  <c r="E6866" i="1"/>
  <c r="A6867" i="1"/>
  <c r="B6867" i="1"/>
  <c r="C6867" i="1"/>
  <c r="D6867" i="1"/>
  <c r="E6867" i="1"/>
  <c r="A6868" i="1"/>
  <c r="B6868" i="1"/>
  <c r="C6868" i="1"/>
  <c r="D6868" i="1"/>
  <c r="E6868" i="1"/>
  <c r="A6869" i="1"/>
  <c r="B6869" i="1"/>
  <c r="C6869" i="1"/>
  <c r="D6869" i="1"/>
  <c r="E6869" i="1"/>
  <c r="A6870" i="1"/>
  <c r="B6870" i="1"/>
  <c r="C6870" i="1"/>
  <c r="D6870" i="1"/>
  <c r="E6870" i="1"/>
  <c r="A6871" i="1"/>
  <c r="B6871" i="1"/>
  <c r="C6871" i="1"/>
  <c r="D6871" i="1"/>
  <c r="E6871" i="1"/>
  <c r="A6872" i="1"/>
  <c r="B6872" i="1"/>
  <c r="C6872" i="1"/>
  <c r="D6872" i="1"/>
  <c r="E6872" i="1"/>
  <c r="A6873" i="1"/>
  <c r="B6873" i="1"/>
  <c r="C6873" i="1"/>
  <c r="D6873" i="1"/>
  <c r="E6873" i="1"/>
  <c r="A6874" i="1"/>
  <c r="B6874" i="1"/>
  <c r="C6874" i="1"/>
  <c r="D6874" i="1"/>
  <c r="E6874" i="1"/>
  <c r="A6875" i="1"/>
  <c r="B6875" i="1"/>
  <c r="C6875" i="1"/>
  <c r="D6875" i="1"/>
  <c r="E6875" i="1"/>
  <c r="A6876" i="1"/>
  <c r="B6876" i="1"/>
  <c r="C6876" i="1"/>
  <c r="D6876" i="1"/>
  <c r="E6876" i="1"/>
  <c r="A6877" i="1"/>
  <c r="B6877" i="1"/>
  <c r="C6877" i="1"/>
  <c r="D6877" i="1"/>
  <c r="E6877" i="1"/>
  <c r="A6878" i="1"/>
  <c r="B6878" i="1"/>
  <c r="C6878" i="1"/>
  <c r="D6878" i="1"/>
  <c r="E6878" i="1"/>
  <c r="A6879" i="1"/>
  <c r="B6879" i="1"/>
  <c r="C6879" i="1"/>
  <c r="D6879" i="1"/>
  <c r="E6879" i="1"/>
  <c r="A6880" i="1"/>
  <c r="B6880" i="1"/>
  <c r="C6880" i="1"/>
  <c r="D6880" i="1"/>
  <c r="E6880" i="1"/>
  <c r="A6881" i="1"/>
  <c r="B6881" i="1"/>
  <c r="C6881" i="1"/>
  <c r="D6881" i="1"/>
  <c r="E6881" i="1"/>
  <c r="A6882" i="1"/>
  <c r="B6882" i="1"/>
  <c r="C6882" i="1"/>
  <c r="D6882" i="1"/>
  <c r="E6882" i="1"/>
  <c r="A6883" i="1"/>
  <c r="B6883" i="1"/>
  <c r="C6883" i="1"/>
  <c r="D6883" i="1"/>
  <c r="E6883" i="1"/>
  <c r="A6884" i="1"/>
  <c r="B6884" i="1"/>
  <c r="C6884" i="1"/>
  <c r="D6884" i="1"/>
  <c r="E6884" i="1"/>
  <c r="A6885" i="1"/>
  <c r="B6885" i="1"/>
  <c r="C6885" i="1"/>
  <c r="D6885" i="1"/>
  <c r="E6885" i="1"/>
  <c r="A6886" i="1"/>
  <c r="B6886" i="1"/>
  <c r="C6886" i="1"/>
  <c r="D6886" i="1"/>
  <c r="E6886" i="1"/>
  <c r="A6887" i="1"/>
  <c r="B6887" i="1"/>
  <c r="C6887" i="1"/>
  <c r="D6887" i="1"/>
  <c r="E6887" i="1"/>
  <c r="A6888" i="1"/>
  <c r="B6888" i="1"/>
  <c r="C6888" i="1"/>
  <c r="D6888" i="1"/>
  <c r="E6888" i="1"/>
  <c r="A6889" i="1"/>
  <c r="B6889" i="1"/>
  <c r="C6889" i="1"/>
  <c r="D6889" i="1"/>
  <c r="E6889" i="1"/>
  <c r="A6890" i="1"/>
  <c r="B6890" i="1"/>
  <c r="C6890" i="1"/>
  <c r="D6890" i="1"/>
  <c r="E6890" i="1"/>
  <c r="A6891" i="1"/>
  <c r="B6891" i="1"/>
  <c r="C6891" i="1"/>
  <c r="D6891" i="1"/>
  <c r="E6891" i="1"/>
  <c r="A6892" i="1"/>
  <c r="B6892" i="1"/>
  <c r="C6892" i="1"/>
  <c r="D6892" i="1"/>
  <c r="E6892" i="1"/>
  <c r="A6893" i="1"/>
  <c r="B6893" i="1"/>
  <c r="C6893" i="1"/>
  <c r="D6893" i="1"/>
  <c r="E6893" i="1"/>
  <c r="A6894" i="1"/>
  <c r="B6894" i="1"/>
  <c r="C6894" i="1"/>
  <c r="D6894" i="1"/>
  <c r="E6894" i="1"/>
  <c r="A6895" i="1"/>
  <c r="B6895" i="1"/>
  <c r="C6895" i="1"/>
  <c r="D6895" i="1"/>
  <c r="E6895" i="1"/>
  <c r="A6896" i="1"/>
  <c r="B6896" i="1"/>
  <c r="C6896" i="1"/>
  <c r="D6896" i="1"/>
  <c r="E6896" i="1"/>
  <c r="A6897" i="1"/>
  <c r="B6897" i="1"/>
  <c r="C6897" i="1"/>
  <c r="D6897" i="1"/>
  <c r="E6897" i="1"/>
  <c r="A6898" i="1"/>
  <c r="B6898" i="1"/>
  <c r="C6898" i="1"/>
  <c r="D6898" i="1"/>
  <c r="E6898" i="1"/>
  <c r="A6899" i="1"/>
  <c r="B6899" i="1"/>
  <c r="C6899" i="1"/>
  <c r="D6899" i="1"/>
  <c r="E6899" i="1"/>
  <c r="A6900" i="1"/>
  <c r="B6900" i="1"/>
  <c r="C6900" i="1"/>
  <c r="D6900" i="1"/>
  <c r="E6900" i="1"/>
  <c r="A6901" i="1"/>
  <c r="B6901" i="1"/>
  <c r="C6901" i="1"/>
  <c r="D6901" i="1"/>
  <c r="E6901" i="1"/>
  <c r="A6902" i="1"/>
  <c r="B6902" i="1"/>
  <c r="C6902" i="1"/>
  <c r="D6902" i="1"/>
  <c r="E6902" i="1"/>
  <c r="A6903" i="1"/>
  <c r="B6903" i="1"/>
  <c r="C6903" i="1"/>
  <c r="D6903" i="1"/>
  <c r="E6903" i="1"/>
  <c r="A6904" i="1"/>
  <c r="B6904" i="1"/>
  <c r="C6904" i="1"/>
  <c r="D6904" i="1"/>
  <c r="E6904" i="1"/>
  <c r="A6905" i="1"/>
  <c r="B6905" i="1"/>
  <c r="C6905" i="1"/>
  <c r="D6905" i="1"/>
  <c r="E6905" i="1"/>
  <c r="A6906" i="1"/>
  <c r="B6906" i="1"/>
  <c r="C6906" i="1"/>
  <c r="D6906" i="1"/>
  <c r="E6906" i="1"/>
  <c r="A6907" i="1"/>
  <c r="B6907" i="1"/>
  <c r="C6907" i="1"/>
  <c r="D6907" i="1"/>
  <c r="E6907" i="1"/>
  <c r="A6908" i="1"/>
  <c r="B6908" i="1"/>
  <c r="C6908" i="1"/>
  <c r="D6908" i="1"/>
  <c r="E6908" i="1"/>
  <c r="A6909" i="1"/>
  <c r="B6909" i="1"/>
  <c r="C6909" i="1"/>
  <c r="D6909" i="1"/>
  <c r="E6909" i="1"/>
  <c r="A6910" i="1"/>
  <c r="B6910" i="1"/>
  <c r="C6910" i="1"/>
  <c r="D6910" i="1"/>
  <c r="E6910" i="1"/>
  <c r="A6911" i="1"/>
  <c r="B6911" i="1"/>
  <c r="C6911" i="1"/>
  <c r="D6911" i="1"/>
  <c r="E6911" i="1"/>
  <c r="A6912" i="1"/>
  <c r="B6912" i="1"/>
  <c r="C6912" i="1"/>
  <c r="D6912" i="1"/>
  <c r="E6912" i="1"/>
  <c r="A6913" i="1"/>
  <c r="B6913" i="1"/>
  <c r="C6913" i="1"/>
  <c r="D6913" i="1"/>
  <c r="E6913" i="1"/>
  <c r="A6914" i="1"/>
  <c r="B6914" i="1"/>
  <c r="C6914" i="1"/>
  <c r="D6914" i="1"/>
  <c r="E6914" i="1"/>
  <c r="A6915" i="1"/>
  <c r="B6915" i="1"/>
  <c r="C6915" i="1"/>
  <c r="D6915" i="1"/>
  <c r="E6915" i="1"/>
  <c r="A6916" i="1"/>
  <c r="B6916" i="1"/>
  <c r="C6916" i="1"/>
  <c r="D6916" i="1"/>
  <c r="E6916" i="1"/>
  <c r="A6917" i="1"/>
  <c r="B6917" i="1"/>
  <c r="C6917" i="1"/>
  <c r="D6917" i="1"/>
  <c r="E6917" i="1"/>
  <c r="A6918" i="1"/>
  <c r="B6918" i="1"/>
  <c r="C6918" i="1"/>
  <c r="D6918" i="1"/>
  <c r="E6918" i="1"/>
  <c r="A6919" i="1"/>
  <c r="B6919" i="1"/>
  <c r="C6919" i="1"/>
  <c r="D6919" i="1"/>
  <c r="E6919" i="1"/>
  <c r="A6920" i="1"/>
  <c r="B6920" i="1"/>
  <c r="C6920" i="1"/>
  <c r="D6920" i="1"/>
  <c r="E6920" i="1"/>
  <c r="A6921" i="1"/>
  <c r="B6921" i="1"/>
  <c r="C6921" i="1"/>
  <c r="D6921" i="1"/>
  <c r="E6921" i="1"/>
  <c r="A6922" i="1"/>
  <c r="B6922" i="1"/>
  <c r="C6922" i="1"/>
  <c r="D6922" i="1"/>
  <c r="E6922" i="1"/>
  <c r="A6923" i="1"/>
  <c r="B6923" i="1"/>
  <c r="C6923" i="1"/>
  <c r="D6923" i="1"/>
  <c r="E6923" i="1"/>
  <c r="A6924" i="1"/>
  <c r="B6924" i="1"/>
  <c r="C6924" i="1"/>
  <c r="D6924" i="1"/>
  <c r="E6924" i="1"/>
  <c r="A6925" i="1"/>
  <c r="B6925" i="1"/>
  <c r="C6925" i="1"/>
  <c r="D6925" i="1"/>
  <c r="E6925" i="1"/>
  <c r="A6926" i="1"/>
  <c r="B6926" i="1"/>
  <c r="C6926" i="1"/>
  <c r="D6926" i="1"/>
  <c r="E6926" i="1"/>
  <c r="A6927" i="1"/>
  <c r="B6927" i="1"/>
  <c r="C6927" i="1"/>
  <c r="D6927" i="1"/>
  <c r="E6927" i="1"/>
  <c r="A6928" i="1"/>
  <c r="B6928" i="1"/>
  <c r="C6928" i="1"/>
  <c r="D6928" i="1"/>
  <c r="E6928" i="1"/>
  <c r="A6929" i="1"/>
  <c r="B6929" i="1"/>
  <c r="C6929" i="1"/>
  <c r="D6929" i="1"/>
  <c r="E6929" i="1"/>
  <c r="A6930" i="1"/>
  <c r="B6930" i="1"/>
  <c r="C6930" i="1"/>
  <c r="D6930" i="1"/>
  <c r="E6930" i="1"/>
  <c r="A6931" i="1"/>
  <c r="B6931" i="1"/>
  <c r="C6931" i="1"/>
  <c r="D6931" i="1"/>
  <c r="E6931" i="1"/>
  <c r="A6932" i="1"/>
  <c r="B6932" i="1"/>
  <c r="C6932" i="1"/>
  <c r="D6932" i="1"/>
  <c r="E6932" i="1"/>
  <c r="A6933" i="1"/>
  <c r="B6933" i="1"/>
  <c r="C6933" i="1"/>
  <c r="D6933" i="1"/>
  <c r="E6933" i="1"/>
  <c r="A6934" i="1"/>
  <c r="B6934" i="1"/>
  <c r="C6934" i="1"/>
  <c r="D6934" i="1"/>
  <c r="E6934" i="1"/>
  <c r="A6935" i="1"/>
  <c r="B6935" i="1"/>
  <c r="C6935" i="1"/>
  <c r="D6935" i="1"/>
  <c r="E6935" i="1"/>
  <c r="A6936" i="1"/>
  <c r="B6936" i="1"/>
  <c r="C6936" i="1"/>
  <c r="D6936" i="1"/>
  <c r="E6936" i="1"/>
  <c r="A6937" i="1"/>
  <c r="B6937" i="1"/>
  <c r="C6937" i="1"/>
  <c r="D6937" i="1"/>
  <c r="E6937" i="1"/>
  <c r="A6938" i="1"/>
  <c r="B6938" i="1"/>
  <c r="C6938" i="1"/>
  <c r="D6938" i="1"/>
  <c r="E6938" i="1"/>
  <c r="A6939" i="1"/>
  <c r="B6939" i="1"/>
  <c r="C6939" i="1"/>
  <c r="D6939" i="1"/>
  <c r="E6939" i="1"/>
  <c r="A6940" i="1"/>
  <c r="B6940" i="1"/>
  <c r="C6940" i="1"/>
  <c r="D6940" i="1"/>
  <c r="E6940" i="1"/>
  <c r="A6941" i="1"/>
  <c r="B6941" i="1"/>
  <c r="C6941" i="1"/>
  <c r="D6941" i="1"/>
  <c r="E6941" i="1"/>
  <c r="A6942" i="1"/>
  <c r="B6942" i="1"/>
  <c r="C6942" i="1"/>
  <c r="D6942" i="1"/>
  <c r="E6942" i="1"/>
  <c r="A6943" i="1"/>
  <c r="B6943" i="1"/>
  <c r="C6943" i="1"/>
  <c r="D6943" i="1"/>
  <c r="E6943" i="1"/>
  <c r="A6944" i="1"/>
  <c r="B6944" i="1"/>
  <c r="C6944" i="1"/>
  <c r="D6944" i="1"/>
  <c r="E6944" i="1"/>
  <c r="A6945" i="1"/>
  <c r="B6945" i="1"/>
  <c r="C6945" i="1"/>
  <c r="D6945" i="1"/>
  <c r="E6945" i="1"/>
  <c r="A6946" i="1"/>
  <c r="B6946" i="1"/>
  <c r="C6946" i="1"/>
  <c r="D6946" i="1"/>
  <c r="E6946" i="1"/>
  <c r="A6947" i="1"/>
  <c r="B6947" i="1"/>
  <c r="C6947" i="1"/>
  <c r="D6947" i="1"/>
  <c r="E6947" i="1"/>
  <c r="A6948" i="1"/>
  <c r="B6948" i="1"/>
  <c r="C6948" i="1"/>
  <c r="D6948" i="1"/>
  <c r="E6948" i="1"/>
  <c r="A6949" i="1"/>
  <c r="B6949" i="1"/>
  <c r="C6949" i="1"/>
  <c r="D6949" i="1"/>
  <c r="E6949" i="1"/>
  <c r="A6950" i="1"/>
  <c r="B6950" i="1"/>
  <c r="C6950" i="1"/>
  <c r="D6950" i="1"/>
  <c r="E6950" i="1"/>
  <c r="A6951" i="1"/>
  <c r="B6951" i="1"/>
  <c r="C6951" i="1"/>
  <c r="D6951" i="1"/>
  <c r="E6951" i="1"/>
  <c r="A6952" i="1"/>
  <c r="B6952" i="1"/>
  <c r="C6952" i="1"/>
  <c r="D6952" i="1"/>
  <c r="E6952" i="1"/>
  <c r="A6953" i="1"/>
  <c r="B6953" i="1"/>
  <c r="C6953" i="1"/>
  <c r="D6953" i="1"/>
  <c r="E6953" i="1"/>
  <c r="A6954" i="1"/>
  <c r="B6954" i="1"/>
  <c r="C6954" i="1"/>
  <c r="D6954" i="1"/>
  <c r="E6954" i="1"/>
  <c r="A6955" i="1"/>
  <c r="B6955" i="1"/>
  <c r="C6955" i="1"/>
  <c r="D6955" i="1"/>
  <c r="E6955" i="1"/>
  <c r="A6956" i="1"/>
  <c r="B6956" i="1"/>
  <c r="C6956" i="1"/>
  <c r="D6956" i="1"/>
  <c r="E6956" i="1"/>
  <c r="A6957" i="1"/>
  <c r="B6957" i="1"/>
  <c r="C6957" i="1"/>
  <c r="D6957" i="1"/>
  <c r="E6957" i="1"/>
  <c r="A6958" i="1"/>
  <c r="B6958" i="1"/>
  <c r="C6958" i="1"/>
  <c r="D6958" i="1"/>
  <c r="E6958" i="1"/>
  <c r="A6959" i="1"/>
  <c r="B6959" i="1"/>
  <c r="C6959" i="1"/>
  <c r="D6959" i="1"/>
  <c r="E6959" i="1"/>
  <c r="A6960" i="1"/>
  <c r="B6960" i="1"/>
  <c r="C6960" i="1"/>
  <c r="D6960" i="1"/>
  <c r="E6960" i="1"/>
  <c r="A6961" i="1"/>
  <c r="B6961" i="1"/>
  <c r="C6961" i="1"/>
  <c r="D6961" i="1"/>
  <c r="E6961" i="1"/>
  <c r="A6962" i="1"/>
  <c r="B6962" i="1"/>
  <c r="C6962" i="1"/>
  <c r="D6962" i="1"/>
  <c r="E6962" i="1"/>
  <c r="A6963" i="1"/>
  <c r="B6963" i="1"/>
  <c r="C6963" i="1"/>
  <c r="D6963" i="1"/>
  <c r="E6963" i="1"/>
  <c r="A6964" i="1"/>
  <c r="B6964" i="1"/>
  <c r="C6964" i="1"/>
  <c r="D6964" i="1"/>
  <c r="E6964" i="1"/>
  <c r="A6965" i="1"/>
  <c r="B6965" i="1"/>
  <c r="C6965" i="1"/>
  <c r="D6965" i="1"/>
  <c r="E6965" i="1"/>
  <c r="A6966" i="1"/>
  <c r="B6966" i="1"/>
  <c r="C6966" i="1"/>
  <c r="D6966" i="1"/>
  <c r="E6966" i="1"/>
  <c r="A6967" i="1"/>
  <c r="B6967" i="1"/>
  <c r="C6967" i="1"/>
  <c r="D6967" i="1"/>
  <c r="E6967" i="1"/>
  <c r="A6968" i="1"/>
  <c r="B6968" i="1"/>
  <c r="C6968" i="1"/>
  <c r="D6968" i="1"/>
  <c r="E6968" i="1"/>
  <c r="A6969" i="1"/>
  <c r="B6969" i="1"/>
  <c r="C6969" i="1"/>
  <c r="D6969" i="1"/>
  <c r="E6969" i="1"/>
  <c r="A6970" i="1"/>
  <c r="B6970" i="1"/>
  <c r="C6970" i="1"/>
  <c r="D6970" i="1"/>
  <c r="E6970" i="1"/>
  <c r="A6971" i="1"/>
  <c r="B6971" i="1"/>
  <c r="C6971" i="1"/>
  <c r="D6971" i="1"/>
  <c r="E6971" i="1"/>
  <c r="A6972" i="1"/>
  <c r="B6972" i="1"/>
  <c r="C6972" i="1"/>
  <c r="D6972" i="1"/>
  <c r="E6972" i="1"/>
  <c r="A6973" i="1"/>
  <c r="B6973" i="1"/>
  <c r="C6973" i="1"/>
  <c r="D6973" i="1"/>
  <c r="E6973" i="1"/>
  <c r="A6974" i="1"/>
  <c r="B6974" i="1"/>
  <c r="C6974" i="1"/>
  <c r="D6974" i="1"/>
  <c r="E6974" i="1"/>
  <c r="A6975" i="1"/>
  <c r="B6975" i="1"/>
  <c r="C6975" i="1"/>
  <c r="D6975" i="1"/>
  <c r="E6975" i="1"/>
  <c r="A6976" i="1"/>
  <c r="B6976" i="1"/>
  <c r="C6976" i="1"/>
  <c r="D6976" i="1"/>
  <c r="E6976" i="1"/>
  <c r="A6977" i="1"/>
  <c r="B6977" i="1"/>
  <c r="C6977" i="1"/>
  <c r="D6977" i="1"/>
  <c r="E6977" i="1"/>
  <c r="A6978" i="1"/>
  <c r="B6978" i="1"/>
  <c r="C6978" i="1"/>
  <c r="D6978" i="1"/>
  <c r="E6978" i="1"/>
  <c r="A6979" i="1"/>
  <c r="B6979" i="1"/>
  <c r="C6979" i="1"/>
  <c r="D6979" i="1"/>
  <c r="E6979" i="1"/>
  <c r="A6980" i="1"/>
  <c r="B6980" i="1"/>
  <c r="C6980" i="1"/>
  <c r="D6980" i="1"/>
  <c r="E6980" i="1"/>
  <c r="A6981" i="1"/>
  <c r="B6981" i="1"/>
  <c r="C6981" i="1"/>
  <c r="D6981" i="1"/>
  <c r="E6981" i="1"/>
  <c r="A6982" i="1"/>
  <c r="B6982" i="1"/>
  <c r="C6982" i="1"/>
  <c r="D6982" i="1"/>
  <c r="E6982" i="1"/>
  <c r="A6983" i="1"/>
  <c r="B6983" i="1"/>
  <c r="C6983" i="1"/>
  <c r="D6983" i="1"/>
  <c r="E6983" i="1"/>
  <c r="A6984" i="1"/>
  <c r="B6984" i="1"/>
  <c r="C6984" i="1"/>
  <c r="D6984" i="1"/>
  <c r="E6984" i="1"/>
  <c r="A6985" i="1"/>
  <c r="B6985" i="1"/>
  <c r="C6985" i="1"/>
  <c r="D6985" i="1"/>
  <c r="E6985" i="1"/>
  <c r="A6986" i="1"/>
  <c r="B6986" i="1"/>
  <c r="C6986" i="1"/>
  <c r="D6986" i="1"/>
  <c r="E6986" i="1"/>
  <c r="A6987" i="1"/>
  <c r="B6987" i="1"/>
  <c r="C6987" i="1"/>
  <c r="D6987" i="1"/>
  <c r="E6987" i="1"/>
  <c r="A6988" i="1"/>
  <c r="B6988" i="1"/>
  <c r="C6988" i="1"/>
  <c r="D6988" i="1"/>
  <c r="E6988" i="1"/>
  <c r="A6989" i="1"/>
  <c r="B6989" i="1"/>
  <c r="C6989" i="1"/>
  <c r="D6989" i="1"/>
  <c r="E6989" i="1"/>
  <c r="A6990" i="1"/>
  <c r="B6990" i="1"/>
  <c r="C6990" i="1"/>
  <c r="D6990" i="1"/>
  <c r="E6990" i="1"/>
  <c r="A6991" i="1"/>
  <c r="B6991" i="1"/>
  <c r="C6991" i="1"/>
  <c r="D6991" i="1"/>
  <c r="E6991" i="1"/>
  <c r="A6992" i="1"/>
  <c r="B6992" i="1"/>
  <c r="C6992" i="1"/>
  <c r="D6992" i="1"/>
  <c r="E6992" i="1"/>
  <c r="A6993" i="1"/>
  <c r="B6993" i="1"/>
  <c r="C6993" i="1"/>
  <c r="D6993" i="1"/>
  <c r="E6993" i="1"/>
  <c r="A6994" i="1"/>
  <c r="B6994" i="1"/>
  <c r="C6994" i="1"/>
  <c r="D6994" i="1"/>
  <c r="E6994" i="1"/>
  <c r="A6995" i="1"/>
  <c r="B6995" i="1"/>
  <c r="C6995" i="1"/>
  <c r="D6995" i="1"/>
  <c r="E6995" i="1"/>
  <c r="A6996" i="1"/>
  <c r="B6996" i="1"/>
  <c r="C6996" i="1"/>
  <c r="D6996" i="1"/>
  <c r="E6996" i="1"/>
  <c r="A6997" i="1"/>
  <c r="B6997" i="1"/>
  <c r="C6997" i="1"/>
  <c r="D6997" i="1"/>
  <c r="E6997" i="1"/>
  <c r="A6998" i="1"/>
  <c r="B6998" i="1"/>
  <c r="C6998" i="1"/>
  <c r="D6998" i="1"/>
  <c r="E6998" i="1"/>
  <c r="A6999" i="1"/>
  <c r="B6999" i="1"/>
  <c r="C6999" i="1"/>
  <c r="D6999" i="1"/>
  <c r="E6999" i="1"/>
  <c r="A7000" i="1"/>
  <c r="B7000" i="1"/>
  <c r="C7000" i="1"/>
  <c r="D7000" i="1"/>
  <c r="E7000" i="1"/>
  <c r="A7001" i="1"/>
  <c r="B7001" i="1"/>
  <c r="C7001" i="1"/>
  <c r="D7001" i="1"/>
  <c r="E7001" i="1"/>
  <c r="A7002" i="1"/>
  <c r="B7002" i="1"/>
  <c r="C7002" i="1"/>
  <c r="D7002" i="1"/>
  <c r="E7002" i="1"/>
  <c r="A7003" i="1"/>
  <c r="B7003" i="1"/>
  <c r="C7003" i="1"/>
  <c r="D7003" i="1"/>
  <c r="E7003" i="1"/>
  <c r="A7004" i="1"/>
  <c r="B7004" i="1"/>
  <c r="C7004" i="1"/>
  <c r="D7004" i="1"/>
  <c r="E7004" i="1"/>
  <c r="A7005" i="1"/>
  <c r="B7005" i="1"/>
  <c r="C7005" i="1"/>
  <c r="D7005" i="1"/>
  <c r="E7005" i="1"/>
  <c r="A7006" i="1"/>
  <c r="B7006" i="1"/>
  <c r="C7006" i="1"/>
  <c r="D7006" i="1"/>
  <c r="E7006" i="1"/>
  <c r="A7007" i="1"/>
  <c r="B7007" i="1"/>
  <c r="C7007" i="1"/>
  <c r="D7007" i="1"/>
  <c r="E7007" i="1"/>
  <c r="A7008" i="1"/>
  <c r="B7008" i="1"/>
  <c r="C7008" i="1"/>
  <c r="D7008" i="1"/>
  <c r="E7008" i="1"/>
  <c r="A7009" i="1"/>
  <c r="B7009" i="1"/>
  <c r="C7009" i="1"/>
  <c r="D7009" i="1"/>
  <c r="E7009" i="1"/>
  <c r="A7010" i="1"/>
  <c r="B7010" i="1"/>
  <c r="C7010" i="1"/>
  <c r="D7010" i="1"/>
  <c r="E7010" i="1"/>
  <c r="A7011" i="1"/>
  <c r="B7011" i="1"/>
  <c r="C7011" i="1"/>
  <c r="D7011" i="1"/>
  <c r="E7011" i="1"/>
  <c r="A7012" i="1"/>
  <c r="B7012" i="1"/>
  <c r="C7012" i="1"/>
  <c r="D7012" i="1"/>
  <c r="E7012" i="1"/>
  <c r="A7013" i="1"/>
  <c r="B7013" i="1"/>
  <c r="C7013" i="1"/>
  <c r="D7013" i="1"/>
  <c r="E7013" i="1"/>
  <c r="A7014" i="1"/>
  <c r="B7014" i="1"/>
  <c r="C7014" i="1"/>
  <c r="D7014" i="1"/>
  <c r="E7014" i="1"/>
  <c r="A7015" i="1"/>
  <c r="B7015" i="1"/>
  <c r="C7015" i="1"/>
  <c r="D7015" i="1"/>
  <c r="E7015" i="1"/>
  <c r="A7016" i="1"/>
  <c r="B7016" i="1"/>
  <c r="C7016" i="1"/>
  <c r="D7016" i="1"/>
  <c r="E7016" i="1"/>
  <c r="A7017" i="1"/>
  <c r="B7017" i="1"/>
  <c r="C7017" i="1"/>
  <c r="D7017" i="1"/>
  <c r="E7017" i="1"/>
  <c r="A7018" i="1"/>
  <c r="B7018" i="1"/>
  <c r="C7018" i="1"/>
  <c r="D7018" i="1"/>
  <c r="E7018" i="1"/>
  <c r="A7019" i="1"/>
  <c r="B7019" i="1"/>
  <c r="C7019" i="1"/>
  <c r="D7019" i="1"/>
  <c r="E7019" i="1"/>
  <c r="A7020" i="1"/>
  <c r="B7020" i="1"/>
  <c r="C7020" i="1"/>
  <c r="D7020" i="1"/>
  <c r="E7020" i="1"/>
  <c r="A7021" i="1"/>
  <c r="B7021" i="1"/>
  <c r="C7021" i="1"/>
  <c r="D7021" i="1"/>
  <c r="E7021" i="1"/>
  <c r="A7022" i="1"/>
  <c r="B7022" i="1"/>
  <c r="C7022" i="1"/>
  <c r="D7022" i="1"/>
  <c r="E7022" i="1"/>
  <c r="A7023" i="1"/>
  <c r="B7023" i="1"/>
  <c r="C7023" i="1"/>
  <c r="D7023" i="1"/>
  <c r="E7023" i="1"/>
  <c r="A7024" i="1"/>
  <c r="B7024" i="1"/>
  <c r="C7024" i="1"/>
  <c r="D7024" i="1"/>
  <c r="E7024" i="1"/>
  <c r="A7025" i="1"/>
  <c r="B7025" i="1"/>
  <c r="C7025" i="1"/>
  <c r="D7025" i="1"/>
  <c r="E7025" i="1"/>
  <c r="A7026" i="1"/>
  <c r="B7026" i="1"/>
  <c r="C7026" i="1"/>
  <c r="D7026" i="1"/>
  <c r="E7026" i="1"/>
  <c r="A7027" i="1"/>
  <c r="B7027" i="1"/>
  <c r="C7027" i="1"/>
  <c r="D7027" i="1"/>
  <c r="E7027" i="1"/>
  <c r="A7028" i="1"/>
  <c r="B7028" i="1"/>
  <c r="C7028" i="1"/>
  <c r="D7028" i="1"/>
  <c r="E7028" i="1"/>
  <c r="A7029" i="1"/>
  <c r="B7029" i="1"/>
  <c r="C7029" i="1"/>
  <c r="D7029" i="1"/>
  <c r="E7029" i="1"/>
  <c r="A7030" i="1"/>
  <c r="B7030" i="1"/>
  <c r="C7030" i="1"/>
  <c r="D7030" i="1"/>
  <c r="E7030" i="1"/>
  <c r="A7031" i="1"/>
  <c r="B7031" i="1"/>
  <c r="C7031" i="1"/>
  <c r="D7031" i="1"/>
  <c r="E7031" i="1"/>
  <c r="A7032" i="1"/>
  <c r="B7032" i="1"/>
  <c r="C7032" i="1"/>
  <c r="D7032" i="1"/>
  <c r="E7032" i="1"/>
  <c r="A7033" i="1"/>
  <c r="B7033" i="1"/>
  <c r="C7033" i="1"/>
  <c r="D7033" i="1"/>
  <c r="E7033" i="1"/>
  <c r="A7034" i="1"/>
  <c r="B7034" i="1"/>
  <c r="C7034" i="1"/>
  <c r="D7034" i="1"/>
  <c r="E7034" i="1"/>
  <c r="A7035" i="1"/>
  <c r="B7035" i="1"/>
  <c r="C7035" i="1"/>
  <c r="D7035" i="1"/>
  <c r="E7035" i="1"/>
  <c r="A7036" i="1"/>
  <c r="B7036" i="1"/>
  <c r="C7036" i="1"/>
  <c r="D7036" i="1"/>
  <c r="E7036" i="1"/>
  <c r="A7037" i="1"/>
  <c r="B7037" i="1"/>
  <c r="C7037" i="1"/>
  <c r="D7037" i="1"/>
  <c r="E7037" i="1"/>
  <c r="A7038" i="1"/>
  <c r="B7038" i="1"/>
  <c r="C7038" i="1"/>
  <c r="D7038" i="1"/>
  <c r="E7038" i="1"/>
  <c r="A7039" i="1"/>
  <c r="B7039" i="1"/>
  <c r="C7039" i="1"/>
  <c r="D7039" i="1"/>
  <c r="E7039" i="1"/>
  <c r="A7040" i="1"/>
  <c r="B7040" i="1"/>
  <c r="C7040" i="1"/>
  <c r="D7040" i="1"/>
  <c r="E7040" i="1"/>
  <c r="A7041" i="1"/>
  <c r="B7041" i="1"/>
  <c r="C7041" i="1"/>
  <c r="D7041" i="1"/>
  <c r="E7041" i="1"/>
  <c r="A7042" i="1"/>
  <c r="B7042" i="1"/>
  <c r="C7042" i="1"/>
  <c r="D7042" i="1"/>
  <c r="E7042" i="1"/>
  <c r="A7043" i="1"/>
  <c r="B7043" i="1"/>
  <c r="C7043" i="1"/>
  <c r="D7043" i="1"/>
  <c r="E7043" i="1"/>
  <c r="A7044" i="1"/>
  <c r="B7044" i="1"/>
  <c r="C7044" i="1"/>
  <c r="D7044" i="1"/>
  <c r="E7044" i="1"/>
  <c r="A7045" i="1"/>
  <c r="B7045" i="1"/>
  <c r="C7045" i="1"/>
  <c r="D7045" i="1"/>
  <c r="E7045" i="1"/>
  <c r="A7046" i="1"/>
  <c r="B7046" i="1"/>
  <c r="C7046" i="1"/>
  <c r="D7046" i="1"/>
  <c r="E7046" i="1"/>
  <c r="A7047" i="1"/>
  <c r="B7047" i="1"/>
  <c r="C7047" i="1"/>
  <c r="D7047" i="1"/>
  <c r="E7047" i="1"/>
  <c r="A7048" i="1"/>
  <c r="B7048" i="1"/>
  <c r="C7048" i="1"/>
  <c r="D7048" i="1"/>
  <c r="E7048" i="1"/>
  <c r="A7049" i="1"/>
  <c r="B7049" i="1"/>
  <c r="C7049" i="1"/>
  <c r="D7049" i="1"/>
  <c r="E7049" i="1"/>
  <c r="A7050" i="1"/>
  <c r="B7050" i="1"/>
  <c r="C7050" i="1"/>
  <c r="D7050" i="1"/>
  <c r="E7050" i="1"/>
  <c r="A7051" i="1"/>
  <c r="B7051" i="1"/>
  <c r="C7051" i="1"/>
  <c r="D7051" i="1"/>
  <c r="E7051" i="1"/>
  <c r="A7052" i="1"/>
  <c r="B7052" i="1"/>
  <c r="C7052" i="1"/>
  <c r="D7052" i="1"/>
  <c r="E7052" i="1"/>
  <c r="A7053" i="1"/>
  <c r="B7053" i="1"/>
  <c r="C7053" i="1"/>
  <c r="D7053" i="1"/>
  <c r="E7053" i="1"/>
  <c r="A7054" i="1"/>
  <c r="B7054" i="1"/>
  <c r="C7054" i="1"/>
  <c r="D7054" i="1"/>
  <c r="E7054" i="1"/>
  <c r="A7055" i="1"/>
  <c r="B7055" i="1"/>
  <c r="C7055" i="1"/>
  <c r="D7055" i="1"/>
  <c r="E7055" i="1"/>
  <c r="A7056" i="1"/>
  <c r="B7056" i="1"/>
  <c r="C7056" i="1"/>
  <c r="D7056" i="1"/>
  <c r="E7056" i="1"/>
  <c r="A7057" i="1"/>
  <c r="B7057" i="1"/>
  <c r="C7057" i="1"/>
  <c r="D7057" i="1"/>
  <c r="E7057" i="1"/>
  <c r="A7058" i="1"/>
  <c r="B7058" i="1"/>
  <c r="C7058" i="1"/>
  <c r="D7058" i="1"/>
  <c r="E7058" i="1"/>
  <c r="A7059" i="1"/>
  <c r="B7059" i="1"/>
  <c r="C7059" i="1"/>
  <c r="D7059" i="1"/>
  <c r="E7059" i="1"/>
  <c r="A7060" i="1"/>
  <c r="B7060" i="1"/>
  <c r="C7060" i="1"/>
  <c r="D7060" i="1"/>
  <c r="E7060" i="1"/>
  <c r="A7061" i="1"/>
  <c r="B7061" i="1"/>
  <c r="C7061" i="1"/>
  <c r="D7061" i="1"/>
  <c r="E7061" i="1"/>
  <c r="A7062" i="1"/>
  <c r="B7062" i="1"/>
  <c r="C7062" i="1"/>
  <c r="D7062" i="1"/>
  <c r="E7062" i="1"/>
  <c r="A7063" i="1"/>
  <c r="B7063" i="1"/>
  <c r="C7063" i="1"/>
  <c r="D7063" i="1"/>
  <c r="E7063" i="1"/>
  <c r="A7064" i="1"/>
  <c r="B7064" i="1"/>
  <c r="C7064" i="1"/>
  <c r="D7064" i="1"/>
  <c r="E7064" i="1"/>
  <c r="A7065" i="1"/>
  <c r="B7065" i="1"/>
  <c r="C7065" i="1"/>
  <c r="D7065" i="1"/>
  <c r="E7065" i="1"/>
  <c r="A7066" i="1"/>
  <c r="B7066" i="1"/>
  <c r="C7066" i="1"/>
  <c r="D7066" i="1"/>
  <c r="E7066" i="1"/>
  <c r="A7067" i="1"/>
  <c r="B7067" i="1"/>
  <c r="C7067" i="1"/>
  <c r="D7067" i="1"/>
  <c r="E7067" i="1"/>
  <c r="A7068" i="1"/>
  <c r="B7068" i="1"/>
  <c r="C7068" i="1"/>
  <c r="D7068" i="1"/>
  <c r="E7068" i="1"/>
  <c r="A7069" i="1"/>
  <c r="B7069" i="1"/>
  <c r="C7069" i="1"/>
  <c r="D7069" i="1"/>
  <c r="E7069" i="1"/>
  <c r="A7070" i="1"/>
  <c r="B7070" i="1"/>
  <c r="C7070" i="1"/>
  <c r="D7070" i="1"/>
  <c r="E7070" i="1"/>
  <c r="A7071" i="1"/>
  <c r="B7071" i="1"/>
  <c r="C7071" i="1"/>
  <c r="D7071" i="1"/>
  <c r="E7071" i="1"/>
  <c r="A7072" i="1"/>
  <c r="B7072" i="1"/>
  <c r="C7072" i="1"/>
  <c r="D7072" i="1"/>
  <c r="E7072" i="1"/>
  <c r="A7073" i="1"/>
  <c r="B7073" i="1"/>
  <c r="C7073" i="1"/>
  <c r="D7073" i="1"/>
  <c r="E7073" i="1"/>
  <c r="A7074" i="1"/>
  <c r="B7074" i="1"/>
  <c r="C7074" i="1"/>
  <c r="D7074" i="1"/>
  <c r="E7074" i="1"/>
  <c r="A7075" i="1"/>
  <c r="B7075" i="1"/>
  <c r="C7075" i="1"/>
  <c r="D7075" i="1"/>
  <c r="E7075" i="1"/>
  <c r="A7076" i="1"/>
  <c r="B7076" i="1"/>
  <c r="C7076" i="1"/>
  <c r="D7076" i="1"/>
  <c r="E7076" i="1"/>
  <c r="A7077" i="1"/>
  <c r="B7077" i="1"/>
  <c r="C7077" i="1"/>
  <c r="D7077" i="1"/>
  <c r="E7077" i="1"/>
  <c r="A7078" i="1"/>
  <c r="B7078" i="1"/>
  <c r="C7078" i="1"/>
  <c r="D7078" i="1"/>
  <c r="E7078" i="1"/>
  <c r="A7079" i="1"/>
  <c r="B7079" i="1"/>
  <c r="C7079" i="1"/>
  <c r="D7079" i="1"/>
  <c r="E7079" i="1"/>
  <c r="A7080" i="1"/>
  <c r="B7080" i="1"/>
  <c r="C7080" i="1"/>
  <c r="D7080" i="1"/>
  <c r="E7080" i="1"/>
  <c r="A7081" i="1"/>
  <c r="B7081" i="1"/>
  <c r="C7081" i="1"/>
  <c r="D7081" i="1"/>
  <c r="E7081" i="1"/>
  <c r="A7082" i="1"/>
  <c r="B7082" i="1"/>
  <c r="C7082" i="1"/>
  <c r="D7082" i="1"/>
  <c r="E7082" i="1"/>
  <c r="A7083" i="1"/>
  <c r="B7083" i="1"/>
  <c r="C7083" i="1"/>
  <c r="D7083" i="1"/>
  <c r="E7083" i="1"/>
  <c r="A7084" i="1"/>
  <c r="B7084" i="1"/>
  <c r="C7084" i="1"/>
  <c r="D7084" i="1"/>
  <c r="E7084" i="1"/>
  <c r="A7085" i="1"/>
  <c r="B7085" i="1"/>
  <c r="C7085" i="1"/>
  <c r="D7085" i="1"/>
  <c r="E7085" i="1"/>
  <c r="A7086" i="1"/>
  <c r="B7086" i="1"/>
  <c r="C7086" i="1"/>
  <c r="D7086" i="1"/>
  <c r="E7086" i="1"/>
  <c r="A7087" i="1"/>
  <c r="B7087" i="1"/>
  <c r="C7087" i="1"/>
  <c r="D7087" i="1"/>
  <c r="E7087" i="1"/>
  <c r="A7088" i="1"/>
  <c r="B7088" i="1"/>
  <c r="C7088" i="1"/>
  <c r="D7088" i="1"/>
  <c r="E7088" i="1"/>
  <c r="A7089" i="1"/>
  <c r="B7089" i="1"/>
  <c r="C7089" i="1"/>
  <c r="D7089" i="1"/>
  <c r="E7089" i="1"/>
  <c r="A7090" i="1"/>
  <c r="B7090" i="1"/>
  <c r="C7090" i="1"/>
  <c r="D7090" i="1"/>
  <c r="E7090" i="1"/>
  <c r="A7091" i="1"/>
  <c r="B7091" i="1"/>
  <c r="C7091" i="1"/>
  <c r="D7091" i="1"/>
  <c r="E7091" i="1"/>
  <c r="A7092" i="1"/>
  <c r="B7092" i="1"/>
  <c r="C7092" i="1"/>
  <c r="D7092" i="1"/>
  <c r="E7092" i="1"/>
  <c r="A7093" i="1"/>
  <c r="B7093" i="1"/>
  <c r="C7093" i="1"/>
  <c r="D7093" i="1"/>
  <c r="E7093" i="1"/>
  <c r="A7094" i="1"/>
  <c r="B7094" i="1"/>
  <c r="C7094" i="1"/>
  <c r="D7094" i="1"/>
  <c r="E7094" i="1"/>
  <c r="A7095" i="1"/>
  <c r="B7095" i="1"/>
  <c r="C7095" i="1"/>
  <c r="D7095" i="1"/>
  <c r="E7095" i="1"/>
  <c r="A7096" i="1"/>
  <c r="B7096" i="1"/>
  <c r="C7096" i="1"/>
  <c r="D7096" i="1"/>
  <c r="E7096" i="1"/>
  <c r="A7097" i="1"/>
  <c r="B7097" i="1"/>
  <c r="C7097" i="1"/>
  <c r="D7097" i="1"/>
  <c r="E7097" i="1"/>
  <c r="A7098" i="1"/>
  <c r="B7098" i="1"/>
  <c r="C7098" i="1"/>
  <c r="D7098" i="1"/>
  <c r="E7098" i="1"/>
  <c r="A7099" i="1"/>
  <c r="B7099" i="1"/>
  <c r="C7099" i="1"/>
  <c r="D7099" i="1"/>
  <c r="E7099" i="1"/>
  <c r="A7100" i="1"/>
  <c r="B7100" i="1"/>
  <c r="C7100" i="1"/>
  <c r="D7100" i="1"/>
  <c r="E7100" i="1"/>
  <c r="A7101" i="1"/>
  <c r="B7101" i="1"/>
  <c r="C7101" i="1"/>
  <c r="D7101" i="1"/>
  <c r="E7101" i="1"/>
  <c r="A7102" i="1"/>
  <c r="B7102" i="1"/>
  <c r="C7102" i="1"/>
  <c r="D7102" i="1"/>
  <c r="E7102" i="1"/>
  <c r="A7103" i="1"/>
  <c r="B7103" i="1"/>
  <c r="C7103" i="1"/>
  <c r="D7103" i="1"/>
  <c r="E7103" i="1"/>
  <c r="A7104" i="1"/>
  <c r="B7104" i="1"/>
  <c r="C7104" i="1"/>
  <c r="D7104" i="1"/>
  <c r="E7104" i="1"/>
  <c r="A7105" i="1"/>
  <c r="B7105" i="1"/>
  <c r="C7105" i="1"/>
  <c r="D7105" i="1"/>
  <c r="E7105" i="1"/>
  <c r="A7106" i="1"/>
  <c r="B7106" i="1"/>
  <c r="C7106" i="1"/>
  <c r="D7106" i="1"/>
  <c r="E7106" i="1"/>
  <c r="A7107" i="1"/>
  <c r="B7107" i="1"/>
  <c r="C7107" i="1"/>
  <c r="D7107" i="1"/>
  <c r="E7107" i="1"/>
  <c r="A7108" i="1"/>
  <c r="B7108" i="1"/>
  <c r="C7108" i="1"/>
  <c r="D7108" i="1"/>
  <c r="E7108" i="1"/>
  <c r="A7109" i="1"/>
  <c r="B7109" i="1"/>
  <c r="C7109" i="1"/>
  <c r="D7109" i="1"/>
  <c r="E7109" i="1"/>
  <c r="A7110" i="1"/>
  <c r="B7110" i="1"/>
  <c r="C7110" i="1"/>
  <c r="D7110" i="1"/>
  <c r="E7110" i="1"/>
  <c r="A7111" i="1"/>
  <c r="B7111" i="1"/>
  <c r="C7111" i="1"/>
  <c r="D7111" i="1"/>
  <c r="E7111" i="1"/>
  <c r="A7112" i="1"/>
  <c r="B7112" i="1"/>
  <c r="C7112" i="1"/>
  <c r="D7112" i="1"/>
  <c r="E7112" i="1"/>
  <c r="A7113" i="1"/>
  <c r="B7113" i="1"/>
  <c r="C7113" i="1"/>
  <c r="D7113" i="1"/>
  <c r="E7113" i="1"/>
  <c r="A7114" i="1"/>
  <c r="B7114" i="1"/>
  <c r="C7114" i="1"/>
  <c r="D7114" i="1"/>
  <c r="E7114" i="1"/>
  <c r="A7115" i="1"/>
  <c r="B7115" i="1"/>
  <c r="C7115" i="1"/>
  <c r="D7115" i="1"/>
  <c r="E7115" i="1"/>
  <c r="A7116" i="1"/>
  <c r="B7116" i="1"/>
  <c r="C7116" i="1"/>
  <c r="D7116" i="1"/>
  <c r="E7116" i="1"/>
  <c r="A7117" i="1"/>
  <c r="B7117" i="1"/>
  <c r="C7117" i="1"/>
  <c r="D7117" i="1"/>
  <c r="E7117" i="1"/>
  <c r="A7118" i="1"/>
  <c r="B7118" i="1"/>
  <c r="C7118" i="1"/>
  <c r="D7118" i="1"/>
  <c r="E7118" i="1"/>
  <c r="A7119" i="1"/>
  <c r="B7119" i="1"/>
  <c r="C7119" i="1"/>
  <c r="D7119" i="1"/>
  <c r="E7119" i="1"/>
  <c r="A7120" i="1"/>
  <c r="B7120" i="1"/>
  <c r="C7120" i="1"/>
  <c r="D7120" i="1"/>
  <c r="E7120" i="1"/>
  <c r="A7121" i="1"/>
  <c r="B7121" i="1"/>
  <c r="C7121" i="1"/>
  <c r="D7121" i="1"/>
  <c r="E7121" i="1"/>
  <c r="A7122" i="1"/>
  <c r="B7122" i="1"/>
  <c r="C7122" i="1"/>
  <c r="D7122" i="1"/>
  <c r="E7122" i="1"/>
  <c r="A7123" i="1"/>
  <c r="B7123" i="1"/>
  <c r="C7123" i="1"/>
  <c r="D7123" i="1"/>
  <c r="E7123" i="1"/>
  <c r="A7124" i="1"/>
  <c r="B7124" i="1"/>
  <c r="C7124" i="1"/>
  <c r="D7124" i="1"/>
  <c r="E7124" i="1"/>
  <c r="A7125" i="1"/>
  <c r="B7125" i="1"/>
  <c r="C7125" i="1"/>
  <c r="D7125" i="1"/>
  <c r="E7125" i="1"/>
  <c r="A7126" i="1"/>
  <c r="B7126" i="1"/>
  <c r="C7126" i="1"/>
  <c r="D7126" i="1"/>
  <c r="E7126" i="1"/>
  <c r="A7127" i="1"/>
  <c r="B7127" i="1"/>
  <c r="C7127" i="1"/>
  <c r="D7127" i="1"/>
  <c r="E7127" i="1"/>
  <c r="A7128" i="1"/>
  <c r="B7128" i="1"/>
  <c r="C7128" i="1"/>
  <c r="D7128" i="1"/>
  <c r="E7128" i="1"/>
  <c r="A7129" i="1"/>
  <c r="B7129" i="1"/>
  <c r="C7129" i="1"/>
  <c r="D7129" i="1"/>
  <c r="E7129" i="1"/>
  <c r="A7130" i="1"/>
  <c r="B7130" i="1"/>
  <c r="C7130" i="1"/>
  <c r="D7130" i="1"/>
  <c r="E7130" i="1"/>
  <c r="A7131" i="1"/>
  <c r="B7131" i="1"/>
  <c r="C7131" i="1"/>
  <c r="D7131" i="1"/>
  <c r="E7131" i="1"/>
  <c r="A7132" i="1"/>
  <c r="B7132" i="1"/>
  <c r="C7132" i="1"/>
  <c r="D7132" i="1"/>
  <c r="E7132" i="1"/>
  <c r="A7133" i="1"/>
  <c r="B7133" i="1"/>
  <c r="C7133" i="1"/>
  <c r="D7133" i="1"/>
  <c r="E7133" i="1"/>
  <c r="A7134" i="1"/>
  <c r="B7134" i="1"/>
  <c r="C7134" i="1"/>
  <c r="D7134" i="1"/>
  <c r="E7134" i="1"/>
  <c r="A7135" i="1"/>
  <c r="B7135" i="1"/>
  <c r="C7135" i="1"/>
  <c r="D7135" i="1"/>
  <c r="E7135" i="1"/>
  <c r="A7136" i="1"/>
  <c r="B7136" i="1"/>
  <c r="C7136" i="1"/>
  <c r="D7136" i="1"/>
  <c r="E7136" i="1"/>
  <c r="A7137" i="1"/>
  <c r="B7137" i="1"/>
  <c r="C7137" i="1"/>
  <c r="D7137" i="1"/>
  <c r="E7137" i="1"/>
  <c r="A7138" i="1"/>
  <c r="B7138" i="1"/>
  <c r="C7138" i="1"/>
  <c r="D7138" i="1"/>
  <c r="E7138" i="1"/>
  <c r="A7139" i="1"/>
  <c r="B7139" i="1"/>
  <c r="C7139" i="1"/>
  <c r="D7139" i="1"/>
  <c r="E7139" i="1"/>
  <c r="A7140" i="1"/>
  <c r="B7140" i="1"/>
  <c r="C7140" i="1"/>
  <c r="D7140" i="1"/>
  <c r="E7140" i="1"/>
  <c r="A7141" i="1"/>
  <c r="B7141" i="1"/>
  <c r="C7141" i="1"/>
  <c r="D7141" i="1"/>
  <c r="E7141" i="1"/>
  <c r="A7142" i="1"/>
  <c r="B7142" i="1"/>
  <c r="C7142" i="1"/>
  <c r="D7142" i="1"/>
  <c r="E7142" i="1"/>
  <c r="A7143" i="1"/>
  <c r="B7143" i="1"/>
  <c r="C7143" i="1"/>
  <c r="D7143" i="1"/>
  <c r="E7143" i="1"/>
  <c r="A7144" i="1"/>
  <c r="B7144" i="1"/>
  <c r="C7144" i="1"/>
  <c r="D7144" i="1"/>
  <c r="E7144" i="1"/>
  <c r="A7145" i="1"/>
  <c r="B7145" i="1"/>
  <c r="C7145" i="1"/>
  <c r="D7145" i="1"/>
  <c r="E7145" i="1"/>
  <c r="A7146" i="1"/>
  <c r="B7146" i="1"/>
  <c r="C7146" i="1"/>
  <c r="D7146" i="1"/>
  <c r="E7146" i="1"/>
  <c r="A7147" i="1"/>
  <c r="B7147" i="1"/>
  <c r="C7147" i="1"/>
  <c r="D7147" i="1"/>
  <c r="E7147" i="1"/>
  <c r="A7148" i="1"/>
  <c r="B7148" i="1"/>
  <c r="C7148" i="1"/>
  <c r="D7148" i="1"/>
  <c r="E7148" i="1"/>
  <c r="A7149" i="1"/>
  <c r="B7149" i="1"/>
  <c r="C7149" i="1"/>
  <c r="D7149" i="1"/>
  <c r="E7149" i="1"/>
  <c r="A7150" i="1"/>
  <c r="B7150" i="1"/>
  <c r="C7150" i="1"/>
  <c r="D7150" i="1"/>
  <c r="E7150" i="1"/>
  <c r="A7151" i="1"/>
  <c r="B7151" i="1"/>
  <c r="C7151" i="1"/>
  <c r="D7151" i="1"/>
  <c r="E7151" i="1"/>
  <c r="A7152" i="1"/>
  <c r="B7152" i="1"/>
  <c r="C7152" i="1"/>
  <c r="D7152" i="1"/>
  <c r="E7152" i="1"/>
  <c r="A7153" i="1"/>
  <c r="B7153" i="1"/>
  <c r="C7153" i="1"/>
  <c r="D7153" i="1"/>
  <c r="E7153" i="1"/>
  <c r="A7154" i="1"/>
  <c r="B7154" i="1"/>
  <c r="C7154" i="1"/>
  <c r="D7154" i="1"/>
  <c r="E7154" i="1"/>
  <c r="A7155" i="1"/>
  <c r="B7155" i="1"/>
  <c r="C7155" i="1"/>
  <c r="D7155" i="1"/>
  <c r="E7155" i="1"/>
  <c r="A7156" i="1"/>
  <c r="B7156" i="1"/>
  <c r="C7156" i="1"/>
  <c r="D7156" i="1"/>
  <c r="E7156" i="1"/>
  <c r="A7157" i="1"/>
  <c r="B7157" i="1"/>
  <c r="C7157" i="1"/>
  <c r="D7157" i="1"/>
  <c r="E7157" i="1"/>
  <c r="A7158" i="1"/>
  <c r="B7158" i="1"/>
  <c r="C7158" i="1"/>
  <c r="D7158" i="1"/>
  <c r="E7158" i="1"/>
  <c r="A7159" i="1"/>
  <c r="B7159" i="1"/>
  <c r="C7159" i="1"/>
  <c r="D7159" i="1"/>
  <c r="E7159" i="1"/>
  <c r="A7160" i="1"/>
  <c r="B7160" i="1"/>
  <c r="C7160" i="1"/>
  <c r="D7160" i="1"/>
  <c r="E7160" i="1"/>
  <c r="A7161" i="1"/>
  <c r="B7161" i="1"/>
  <c r="C7161" i="1"/>
  <c r="D7161" i="1"/>
  <c r="E7161" i="1"/>
  <c r="A7162" i="1"/>
  <c r="B7162" i="1"/>
  <c r="C7162" i="1"/>
  <c r="D7162" i="1"/>
  <c r="E7162" i="1"/>
  <c r="A7163" i="1"/>
  <c r="B7163" i="1"/>
  <c r="C7163" i="1"/>
  <c r="D7163" i="1"/>
  <c r="E7163" i="1"/>
  <c r="A7164" i="1"/>
  <c r="B7164" i="1"/>
  <c r="C7164" i="1"/>
  <c r="D7164" i="1"/>
  <c r="E7164" i="1"/>
  <c r="A7165" i="1"/>
  <c r="B7165" i="1"/>
  <c r="C7165" i="1"/>
  <c r="D7165" i="1"/>
  <c r="E7165" i="1"/>
  <c r="A7166" i="1"/>
  <c r="B7166" i="1"/>
  <c r="C7166" i="1"/>
  <c r="D7166" i="1"/>
  <c r="E7166" i="1"/>
  <c r="A7167" i="1"/>
  <c r="B7167" i="1"/>
  <c r="C7167" i="1"/>
  <c r="D7167" i="1"/>
  <c r="E7167" i="1"/>
  <c r="A7168" i="1"/>
  <c r="B7168" i="1"/>
  <c r="C7168" i="1"/>
  <c r="D7168" i="1"/>
  <c r="E7168" i="1"/>
  <c r="A7169" i="1"/>
  <c r="B7169" i="1"/>
  <c r="C7169" i="1"/>
  <c r="D7169" i="1"/>
  <c r="E7169" i="1"/>
  <c r="A7170" i="1"/>
  <c r="B7170" i="1"/>
  <c r="C7170" i="1"/>
  <c r="D7170" i="1"/>
  <c r="E7170" i="1"/>
  <c r="A7171" i="1"/>
  <c r="B7171" i="1"/>
  <c r="C7171" i="1"/>
  <c r="D7171" i="1"/>
  <c r="E7171" i="1"/>
  <c r="A7172" i="1"/>
  <c r="B7172" i="1"/>
  <c r="C7172" i="1"/>
  <c r="D7172" i="1"/>
  <c r="E7172" i="1"/>
  <c r="A7173" i="1"/>
  <c r="B7173" i="1"/>
  <c r="C7173" i="1"/>
  <c r="D7173" i="1"/>
  <c r="E7173" i="1"/>
  <c r="A7174" i="1"/>
  <c r="B7174" i="1"/>
  <c r="C7174" i="1"/>
  <c r="D7174" i="1"/>
  <c r="E7174" i="1"/>
  <c r="A7175" i="1"/>
  <c r="B7175" i="1"/>
  <c r="C7175" i="1"/>
  <c r="D7175" i="1"/>
  <c r="E7175" i="1"/>
  <c r="A7176" i="1"/>
  <c r="B7176" i="1"/>
  <c r="C7176" i="1"/>
  <c r="D7176" i="1"/>
  <c r="E7176" i="1"/>
  <c r="A7177" i="1"/>
  <c r="B7177" i="1"/>
  <c r="C7177" i="1"/>
  <c r="D7177" i="1"/>
  <c r="E7177" i="1"/>
  <c r="A7178" i="1"/>
  <c r="B7178" i="1"/>
  <c r="C7178" i="1"/>
  <c r="D7178" i="1"/>
  <c r="E7178" i="1"/>
  <c r="A7179" i="1"/>
  <c r="B7179" i="1"/>
  <c r="C7179" i="1"/>
  <c r="D7179" i="1"/>
  <c r="E7179" i="1"/>
  <c r="A7180" i="1"/>
  <c r="B7180" i="1"/>
  <c r="C7180" i="1"/>
  <c r="D7180" i="1"/>
  <c r="E7180" i="1"/>
  <c r="A7181" i="1"/>
  <c r="B7181" i="1"/>
  <c r="C7181" i="1"/>
  <c r="D7181" i="1"/>
  <c r="E7181" i="1"/>
  <c r="A7182" i="1"/>
  <c r="B7182" i="1"/>
  <c r="C7182" i="1"/>
  <c r="D7182" i="1"/>
  <c r="E7182" i="1"/>
  <c r="A7183" i="1"/>
  <c r="B7183" i="1"/>
  <c r="C7183" i="1"/>
  <c r="D7183" i="1"/>
  <c r="E7183" i="1"/>
  <c r="A7184" i="1"/>
  <c r="B7184" i="1"/>
  <c r="C7184" i="1"/>
  <c r="D7184" i="1"/>
  <c r="E7184" i="1"/>
  <c r="A7185" i="1"/>
  <c r="B7185" i="1"/>
  <c r="C7185" i="1"/>
  <c r="D7185" i="1"/>
  <c r="E7185" i="1"/>
  <c r="A7186" i="1"/>
  <c r="B7186" i="1"/>
  <c r="C7186" i="1"/>
  <c r="D7186" i="1"/>
  <c r="E7186" i="1"/>
  <c r="A7187" i="1"/>
  <c r="B7187" i="1"/>
  <c r="C7187" i="1"/>
  <c r="D7187" i="1"/>
  <c r="E7187" i="1"/>
  <c r="A7188" i="1"/>
  <c r="B7188" i="1"/>
  <c r="C7188" i="1"/>
  <c r="D7188" i="1"/>
  <c r="E7188" i="1"/>
  <c r="A7189" i="1"/>
  <c r="B7189" i="1"/>
  <c r="C7189" i="1"/>
  <c r="D7189" i="1"/>
  <c r="E7189" i="1"/>
  <c r="A7190" i="1"/>
  <c r="B7190" i="1"/>
  <c r="C7190" i="1"/>
  <c r="D7190" i="1"/>
  <c r="E7190" i="1"/>
  <c r="A7191" i="1"/>
  <c r="B7191" i="1"/>
  <c r="C7191" i="1"/>
  <c r="D7191" i="1"/>
  <c r="E7191" i="1"/>
  <c r="A7192" i="1"/>
  <c r="B7192" i="1"/>
  <c r="C7192" i="1"/>
  <c r="D7192" i="1"/>
  <c r="E7192" i="1"/>
  <c r="A7193" i="1"/>
  <c r="B7193" i="1"/>
  <c r="C7193" i="1"/>
  <c r="D7193" i="1"/>
  <c r="E7193" i="1"/>
  <c r="A7194" i="1"/>
  <c r="B7194" i="1"/>
  <c r="C7194" i="1"/>
  <c r="D7194" i="1"/>
  <c r="E7194" i="1"/>
  <c r="A7195" i="1"/>
  <c r="B7195" i="1"/>
  <c r="C7195" i="1"/>
  <c r="D7195" i="1"/>
  <c r="E7195" i="1"/>
  <c r="A7196" i="1"/>
  <c r="B7196" i="1"/>
  <c r="C7196" i="1"/>
  <c r="D7196" i="1"/>
  <c r="E7196" i="1"/>
  <c r="A7197" i="1"/>
  <c r="B7197" i="1"/>
  <c r="C7197" i="1"/>
  <c r="D7197" i="1"/>
  <c r="E7197" i="1"/>
  <c r="A7198" i="1"/>
  <c r="B7198" i="1"/>
  <c r="C7198" i="1"/>
  <c r="D7198" i="1"/>
  <c r="E7198" i="1"/>
  <c r="A7199" i="1"/>
  <c r="B7199" i="1"/>
  <c r="C7199" i="1"/>
  <c r="D7199" i="1"/>
  <c r="E7199" i="1"/>
  <c r="A7200" i="1"/>
  <c r="B7200" i="1"/>
  <c r="C7200" i="1"/>
  <c r="D7200" i="1"/>
  <c r="E7200" i="1"/>
  <c r="A7201" i="1"/>
  <c r="B7201" i="1"/>
  <c r="C7201" i="1"/>
  <c r="D7201" i="1"/>
  <c r="E7201" i="1"/>
  <c r="A7202" i="1"/>
  <c r="B7202" i="1"/>
  <c r="C7202" i="1"/>
  <c r="D7202" i="1"/>
  <c r="E7202" i="1"/>
  <c r="A7203" i="1"/>
  <c r="B7203" i="1"/>
  <c r="C7203" i="1"/>
  <c r="D7203" i="1"/>
  <c r="E7203" i="1"/>
  <c r="A7204" i="1"/>
  <c r="B7204" i="1"/>
  <c r="C7204" i="1"/>
  <c r="D7204" i="1"/>
  <c r="E7204" i="1"/>
  <c r="A7205" i="1"/>
  <c r="B7205" i="1"/>
  <c r="C7205" i="1"/>
  <c r="D7205" i="1"/>
  <c r="E7205" i="1"/>
  <c r="A7206" i="1"/>
  <c r="B7206" i="1"/>
  <c r="C7206" i="1"/>
  <c r="D7206" i="1"/>
  <c r="E7206" i="1"/>
  <c r="A7207" i="1"/>
  <c r="B7207" i="1"/>
  <c r="C7207" i="1"/>
  <c r="D7207" i="1"/>
  <c r="E7207" i="1"/>
  <c r="A7208" i="1"/>
  <c r="B7208" i="1"/>
  <c r="C7208" i="1"/>
  <c r="D7208" i="1"/>
  <c r="E7208" i="1"/>
  <c r="A7209" i="1"/>
  <c r="B7209" i="1"/>
  <c r="C7209" i="1"/>
  <c r="D7209" i="1"/>
  <c r="E7209" i="1"/>
  <c r="A7210" i="1"/>
  <c r="B7210" i="1"/>
  <c r="C7210" i="1"/>
  <c r="D7210" i="1"/>
  <c r="E7210" i="1"/>
  <c r="A7211" i="1"/>
  <c r="B7211" i="1"/>
  <c r="C7211" i="1"/>
  <c r="D7211" i="1"/>
  <c r="E7211" i="1"/>
  <c r="A7212" i="1"/>
  <c r="B7212" i="1"/>
  <c r="C7212" i="1"/>
  <c r="D7212" i="1"/>
  <c r="E7212" i="1"/>
  <c r="A7213" i="1"/>
  <c r="B7213" i="1"/>
  <c r="C7213" i="1"/>
  <c r="D7213" i="1"/>
  <c r="E7213" i="1"/>
  <c r="A7214" i="1"/>
  <c r="B7214" i="1"/>
  <c r="C7214" i="1"/>
  <c r="D7214" i="1"/>
  <c r="E7214" i="1"/>
  <c r="A7215" i="1"/>
  <c r="B7215" i="1"/>
  <c r="C7215" i="1"/>
  <c r="D7215" i="1"/>
  <c r="E7215" i="1"/>
  <c r="A7216" i="1"/>
  <c r="B7216" i="1"/>
  <c r="C7216" i="1"/>
  <c r="D7216" i="1"/>
  <c r="E7216" i="1"/>
  <c r="A7217" i="1"/>
  <c r="B7217" i="1"/>
  <c r="C7217" i="1"/>
  <c r="D7217" i="1"/>
  <c r="E7217" i="1"/>
  <c r="A7218" i="1"/>
  <c r="B7218" i="1"/>
  <c r="C7218" i="1"/>
  <c r="D7218" i="1"/>
  <c r="E7218" i="1"/>
  <c r="A7219" i="1"/>
  <c r="B7219" i="1"/>
  <c r="C7219" i="1"/>
  <c r="D7219" i="1"/>
  <c r="E7219" i="1"/>
  <c r="A7220" i="1"/>
  <c r="B7220" i="1"/>
  <c r="C7220" i="1"/>
  <c r="D7220" i="1"/>
  <c r="E7220" i="1"/>
  <c r="A7221" i="1"/>
  <c r="B7221" i="1"/>
  <c r="C7221" i="1"/>
  <c r="D7221" i="1"/>
  <c r="E7221" i="1"/>
  <c r="A7222" i="1"/>
  <c r="B7222" i="1"/>
  <c r="C7222" i="1"/>
  <c r="D7222" i="1"/>
  <c r="E7222" i="1"/>
  <c r="A7223" i="1"/>
  <c r="B7223" i="1"/>
  <c r="C7223" i="1"/>
  <c r="D7223" i="1"/>
  <c r="E7223" i="1"/>
  <c r="A7224" i="1"/>
  <c r="B7224" i="1"/>
  <c r="C7224" i="1"/>
  <c r="D7224" i="1"/>
  <c r="E7224" i="1"/>
  <c r="A7225" i="1"/>
  <c r="B7225" i="1"/>
  <c r="C7225" i="1"/>
  <c r="D7225" i="1"/>
  <c r="E7225" i="1"/>
  <c r="A7226" i="1"/>
  <c r="B7226" i="1"/>
  <c r="C7226" i="1"/>
  <c r="D7226" i="1"/>
  <c r="E7226" i="1"/>
  <c r="A7227" i="1"/>
  <c r="B7227" i="1"/>
  <c r="C7227" i="1"/>
  <c r="D7227" i="1"/>
  <c r="E7227" i="1"/>
  <c r="A7228" i="1"/>
  <c r="B7228" i="1"/>
  <c r="C7228" i="1"/>
  <c r="D7228" i="1"/>
  <c r="E7228" i="1"/>
  <c r="A7229" i="1"/>
  <c r="B7229" i="1"/>
  <c r="C7229" i="1"/>
  <c r="D7229" i="1"/>
  <c r="E7229" i="1"/>
  <c r="A7230" i="1"/>
  <c r="B7230" i="1"/>
  <c r="C7230" i="1"/>
  <c r="D7230" i="1"/>
  <c r="E7230" i="1"/>
  <c r="A7231" i="1"/>
  <c r="B7231" i="1"/>
  <c r="C7231" i="1"/>
  <c r="D7231" i="1"/>
  <c r="E7231" i="1"/>
  <c r="A7232" i="1"/>
  <c r="B7232" i="1"/>
  <c r="C7232" i="1"/>
  <c r="D7232" i="1"/>
  <c r="E7232" i="1"/>
  <c r="A7233" i="1"/>
  <c r="B7233" i="1"/>
  <c r="C7233" i="1"/>
  <c r="D7233" i="1"/>
  <c r="E7233" i="1"/>
  <c r="A7234" i="1"/>
  <c r="B7234" i="1"/>
  <c r="C7234" i="1"/>
  <c r="D7234" i="1"/>
  <c r="E7234" i="1"/>
  <c r="A7235" i="1"/>
  <c r="B7235" i="1"/>
  <c r="C7235" i="1"/>
  <c r="D7235" i="1"/>
  <c r="E7235" i="1"/>
  <c r="A7236" i="1"/>
  <c r="B7236" i="1"/>
  <c r="C7236" i="1"/>
  <c r="D7236" i="1"/>
  <c r="E7236" i="1"/>
  <c r="A7237" i="1"/>
  <c r="B7237" i="1"/>
  <c r="C7237" i="1"/>
  <c r="D7237" i="1"/>
  <c r="E7237" i="1"/>
  <c r="A7238" i="1"/>
  <c r="B7238" i="1"/>
  <c r="C7238" i="1"/>
  <c r="D7238" i="1"/>
  <c r="E7238" i="1"/>
  <c r="A7239" i="1"/>
  <c r="B7239" i="1"/>
  <c r="C7239" i="1"/>
  <c r="D7239" i="1"/>
  <c r="E7239" i="1"/>
  <c r="A7240" i="1"/>
  <c r="B7240" i="1"/>
  <c r="C7240" i="1"/>
  <c r="D7240" i="1"/>
  <c r="E7240" i="1"/>
  <c r="A7241" i="1"/>
  <c r="B7241" i="1"/>
  <c r="C7241" i="1"/>
  <c r="D7241" i="1"/>
  <c r="E7241" i="1"/>
  <c r="A7242" i="1"/>
  <c r="B7242" i="1"/>
  <c r="C7242" i="1"/>
  <c r="D7242" i="1"/>
  <c r="E7242" i="1"/>
  <c r="A7243" i="1"/>
  <c r="B7243" i="1"/>
  <c r="C7243" i="1"/>
  <c r="D7243" i="1"/>
  <c r="E7243" i="1"/>
  <c r="A7244" i="1"/>
  <c r="B7244" i="1"/>
  <c r="C7244" i="1"/>
  <c r="D7244" i="1"/>
  <c r="E7244" i="1"/>
  <c r="A7245" i="1"/>
  <c r="B7245" i="1"/>
  <c r="C7245" i="1"/>
  <c r="D7245" i="1"/>
  <c r="E7245" i="1"/>
  <c r="A7246" i="1"/>
  <c r="B7246" i="1"/>
  <c r="C7246" i="1"/>
  <c r="D7246" i="1"/>
  <c r="E7246" i="1"/>
  <c r="A7247" i="1"/>
  <c r="B7247" i="1"/>
  <c r="C7247" i="1"/>
  <c r="D7247" i="1"/>
  <c r="E7247" i="1"/>
  <c r="A7248" i="1"/>
  <c r="B7248" i="1"/>
  <c r="C7248" i="1"/>
  <c r="D7248" i="1"/>
  <c r="E7248" i="1"/>
  <c r="A7249" i="1"/>
  <c r="B7249" i="1"/>
  <c r="C7249" i="1"/>
  <c r="D7249" i="1"/>
  <c r="E7249" i="1"/>
  <c r="A7250" i="1"/>
  <c r="B7250" i="1"/>
  <c r="C7250" i="1"/>
  <c r="D7250" i="1"/>
  <c r="E7250" i="1"/>
  <c r="A7251" i="1"/>
  <c r="B7251" i="1"/>
  <c r="C7251" i="1"/>
  <c r="D7251" i="1"/>
  <c r="E7251" i="1"/>
  <c r="A7252" i="1"/>
  <c r="B7252" i="1"/>
  <c r="C7252" i="1"/>
  <c r="D7252" i="1"/>
  <c r="E7252" i="1"/>
  <c r="A7253" i="1"/>
  <c r="B7253" i="1"/>
  <c r="C7253" i="1"/>
  <c r="D7253" i="1"/>
  <c r="E7253" i="1"/>
  <c r="A7254" i="1"/>
  <c r="B7254" i="1"/>
  <c r="C7254" i="1"/>
  <c r="D7254" i="1"/>
  <c r="E7254" i="1"/>
  <c r="A7255" i="1"/>
  <c r="B7255" i="1"/>
  <c r="C7255" i="1"/>
  <c r="D7255" i="1"/>
  <c r="E7255" i="1"/>
  <c r="A7256" i="1"/>
  <c r="B7256" i="1"/>
  <c r="C7256" i="1"/>
  <c r="D7256" i="1"/>
  <c r="E7256" i="1"/>
  <c r="A7257" i="1"/>
  <c r="B7257" i="1"/>
  <c r="C7257" i="1"/>
  <c r="D7257" i="1"/>
  <c r="E7257" i="1"/>
  <c r="A7258" i="1"/>
  <c r="B7258" i="1"/>
  <c r="C7258" i="1"/>
  <c r="D7258" i="1"/>
  <c r="E7258" i="1"/>
  <c r="A7259" i="1"/>
  <c r="B7259" i="1"/>
  <c r="C7259" i="1"/>
  <c r="D7259" i="1"/>
  <c r="E7259" i="1"/>
  <c r="A7260" i="1"/>
  <c r="B7260" i="1"/>
  <c r="C7260" i="1"/>
  <c r="D7260" i="1"/>
  <c r="E7260" i="1"/>
  <c r="A7261" i="1"/>
  <c r="B7261" i="1"/>
  <c r="C7261" i="1"/>
  <c r="D7261" i="1"/>
  <c r="E7261" i="1"/>
  <c r="A7262" i="1"/>
  <c r="B7262" i="1"/>
  <c r="C7262" i="1"/>
  <c r="D7262" i="1"/>
  <c r="E7262" i="1"/>
  <c r="A7263" i="1"/>
  <c r="B7263" i="1"/>
  <c r="C7263" i="1"/>
  <c r="D7263" i="1"/>
  <c r="E7263" i="1"/>
  <c r="A7264" i="1"/>
  <c r="B7264" i="1"/>
  <c r="C7264" i="1"/>
  <c r="D7264" i="1"/>
  <c r="E7264" i="1"/>
  <c r="A7265" i="1"/>
  <c r="B7265" i="1"/>
  <c r="C7265" i="1"/>
  <c r="D7265" i="1"/>
  <c r="E7265" i="1"/>
  <c r="A7266" i="1"/>
  <c r="B7266" i="1"/>
  <c r="C7266" i="1"/>
  <c r="D7266" i="1"/>
  <c r="E7266" i="1"/>
  <c r="A7267" i="1"/>
  <c r="B7267" i="1"/>
  <c r="C7267" i="1"/>
  <c r="D7267" i="1"/>
  <c r="E7267" i="1"/>
  <c r="A7268" i="1"/>
  <c r="B7268" i="1"/>
  <c r="C7268" i="1"/>
  <c r="D7268" i="1"/>
  <c r="E7268" i="1"/>
  <c r="A7269" i="1"/>
  <c r="B7269" i="1"/>
  <c r="C7269" i="1"/>
  <c r="D7269" i="1"/>
  <c r="E7269" i="1"/>
  <c r="A7270" i="1"/>
  <c r="B7270" i="1"/>
  <c r="C7270" i="1"/>
  <c r="D7270" i="1"/>
  <c r="E7270" i="1"/>
  <c r="A7271" i="1"/>
  <c r="B7271" i="1"/>
  <c r="C7271" i="1"/>
  <c r="D7271" i="1"/>
  <c r="E7271" i="1"/>
  <c r="A7272" i="1"/>
  <c r="B7272" i="1"/>
  <c r="C7272" i="1"/>
  <c r="D7272" i="1"/>
  <c r="E7272" i="1"/>
  <c r="A7273" i="1"/>
  <c r="B7273" i="1"/>
  <c r="C7273" i="1"/>
  <c r="D7273" i="1"/>
  <c r="E7273" i="1"/>
  <c r="A7274" i="1"/>
  <c r="B7274" i="1"/>
  <c r="C7274" i="1"/>
  <c r="D7274" i="1"/>
  <c r="E7274" i="1"/>
  <c r="A7275" i="1"/>
  <c r="B7275" i="1"/>
  <c r="C7275" i="1"/>
  <c r="D7275" i="1"/>
  <c r="E7275" i="1"/>
  <c r="A7276" i="1"/>
  <c r="B7276" i="1"/>
  <c r="C7276" i="1"/>
  <c r="D7276" i="1"/>
  <c r="E7276" i="1"/>
  <c r="A7277" i="1"/>
  <c r="B7277" i="1"/>
  <c r="C7277" i="1"/>
  <c r="D7277" i="1"/>
  <c r="E7277" i="1"/>
  <c r="A7278" i="1"/>
  <c r="B7278" i="1"/>
  <c r="C7278" i="1"/>
  <c r="D7278" i="1"/>
  <c r="E7278" i="1"/>
  <c r="A7279" i="1"/>
  <c r="B7279" i="1"/>
  <c r="C7279" i="1"/>
  <c r="D7279" i="1"/>
  <c r="E7279" i="1"/>
  <c r="A7280" i="1"/>
  <c r="B7280" i="1"/>
  <c r="C7280" i="1"/>
  <c r="D7280" i="1"/>
  <c r="E7280" i="1"/>
  <c r="A7281" i="1"/>
  <c r="B7281" i="1"/>
  <c r="C7281" i="1"/>
  <c r="D7281" i="1"/>
  <c r="E7281" i="1"/>
  <c r="A7282" i="1"/>
  <c r="B7282" i="1"/>
  <c r="C7282" i="1"/>
  <c r="D7282" i="1"/>
  <c r="E7282" i="1"/>
  <c r="A7283" i="1"/>
  <c r="B7283" i="1"/>
  <c r="C7283" i="1"/>
  <c r="D7283" i="1"/>
  <c r="E7283" i="1"/>
  <c r="A7284" i="1"/>
  <c r="B7284" i="1"/>
  <c r="C7284" i="1"/>
  <c r="D7284" i="1"/>
  <c r="E7284" i="1"/>
  <c r="A7285" i="1"/>
  <c r="B7285" i="1"/>
  <c r="C7285" i="1"/>
  <c r="D7285" i="1"/>
  <c r="E7285" i="1"/>
  <c r="A7286" i="1"/>
  <c r="B7286" i="1"/>
  <c r="C7286" i="1"/>
  <c r="D7286" i="1"/>
  <c r="E7286" i="1"/>
  <c r="A7287" i="1"/>
  <c r="B7287" i="1"/>
  <c r="C7287" i="1"/>
  <c r="D7287" i="1"/>
  <c r="E7287" i="1"/>
  <c r="A7288" i="1"/>
  <c r="B7288" i="1"/>
  <c r="C7288" i="1"/>
  <c r="D7288" i="1"/>
  <c r="E7288" i="1"/>
  <c r="A7289" i="1"/>
  <c r="B7289" i="1"/>
  <c r="C7289" i="1"/>
  <c r="D7289" i="1"/>
  <c r="E7289" i="1"/>
  <c r="A7290" i="1"/>
  <c r="B7290" i="1"/>
  <c r="C7290" i="1"/>
  <c r="D7290" i="1"/>
  <c r="E7290" i="1"/>
  <c r="A7291" i="1"/>
  <c r="B7291" i="1"/>
  <c r="C7291" i="1"/>
  <c r="D7291" i="1"/>
  <c r="E7291" i="1"/>
  <c r="A7292" i="1"/>
  <c r="B7292" i="1"/>
  <c r="C7292" i="1"/>
  <c r="D7292" i="1"/>
  <c r="E7292" i="1"/>
  <c r="A7293" i="1"/>
  <c r="B7293" i="1"/>
  <c r="C7293" i="1"/>
  <c r="D7293" i="1"/>
  <c r="E7293" i="1"/>
  <c r="A7294" i="1"/>
  <c r="B7294" i="1"/>
  <c r="C7294" i="1"/>
  <c r="D7294" i="1"/>
  <c r="E7294" i="1"/>
  <c r="A7295" i="1"/>
  <c r="B7295" i="1"/>
  <c r="C7295" i="1"/>
  <c r="D7295" i="1"/>
  <c r="E7295" i="1"/>
  <c r="A7296" i="1"/>
  <c r="B7296" i="1"/>
  <c r="C7296" i="1"/>
  <c r="D7296" i="1"/>
  <c r="E7296" i="1"/>
  <c r="A7297" i="1"/>
  <c r="B7297" i="1"/>
  <c r="C7297" i="1"/>
  <c r="D7297" i="1"/>
  <c r="E7297" i="1"/>
  <c r="A7298" i="1"/>
  <c r="B7298" i="1"/>
  <c r="C7298" i="1"/>
  <c r="D7298" i="1"/>
  <c r="E7298" i="1"/>
  <c r="A7299" i="1"/>
  <c r="B7299" i="1"/>
  <c r="C7299" i="1"/>
  <c r="D7299" i="1"/>
  <c r="E7299" i="1"/>
  <c r="A7300" i="1"/>
  <c r="B7300" i="1"/>
  <c r="C7300" i="1"/>
  <c r="D7300" i="1"/>
  <c r="E7300" i="1"/>
  <c r="A7301" i="1"/>
  <c r="B7301" i="1"/>
  <c r="C7301" i="1"/>
  <c r="D7301" i="1"/>
  <c r="E7301" i="1"/>
  <c r="A7302" i="1"/>
  <c r="B7302" i="1"/>
  <c r="C7302" i="1"/>
  <c r="D7302" i="1"/>
  <c r="E7302" i="1"/>
  <c r="A7303" i="1"/>
  <c r="B7303" i="1"/>
  <c r="C7303" i="1"/>
  <c r="D7303" i="1"/>
  <c r="E7303" i="1"/>
  <c r="A7304" i="1"/>
  <c r="B7304" i="1"/>
  <c r="C7304" i="1"/>
  <c r="D7304" i="1"/>
  <c r="E7304" i="1"/>
  <c r="A7305" i="1"/>
  <c r="B7305" i="1"/>
  <c r="C7305" i="1"/>
  <c r="D7305" i="1"/>
  <c r="E7305" i="1"/>
  <c r="A7306" i="1"/>
  <c r="B7306" i="1"/>
  <c r="C7306" i="1"/>
  <c r="D7306" i="1"/>
  <c r="E7306" i="1"/>
  <c r="A7307" i="1"/>
  <c r="B7307" i="1"/>
  <c r="C7307" i="1"/>
  <c r="D7307" i="1"/>
  <c r="E7307" i="1"/>
  <c r="A7308" i="1"/>
  <c r="B7308" i="1"/>
  <c r="C7308" i="1"/>
  <c r="D7308" i="1"/>
  <c r="E7308" i="1"/>
  <c r="A7309" i="1"/>
  <c r="B7309" i="1"/>
  <c r="C7309" i="1"/>
  <c r="D7309" i="1"/>
  <c r="E7309" i="1"/>
  <c r="A7310" i="1"/>
  <c r="B7310" i="1"/>
  <c r="C7310" i="1"/>
  <c r="D7310" i="1"/>
  <c r="E7310" i="1"/>
  <c r="A7311" i="1"/>
  <c r="B7311" i="1"/>
  <c r="C7311" i="1"/>
  <c r="D7311" i="1"/>
  <c r="E7311" i="1"/>
  <c r="A7312" i="1"/>
  <c r="B7312" i="1"/>
  <c r="C7312" i="1"/>
  <c r="D7312" i="1"/>
  <c r="E7312" i="1"/>
  <c r="A7313" i="1"/>
  <c r="B7313" i="1"/>
  <c r="C7313" i="1"/>
  <c r="D7313" i="1"/>
  <c r="E7313" i="1"/>
  <c r="A7314" i="1"/>
  <c r="B7314" i="1"/>
  <c r="C7314" i="1"/>
  <c r="D7314" i="1"/>
  <c r="E7314" i="1"/>
  <c r="A7315" i="1"/>
  <c r="B7315" i="1"/>
  <c r="C7315" i="1"/>
  <c r="D7315" i="1"/>
  <c r="E7315" i="1"/>
  <c r="A7316" i="1"/>
  <c r="B7316" i="1"/>
  <c r="C7316" i="1"/>
  <c r="D7316" i="1"/>
  <c r="E7316" i="1"/>
  <c r="A7317" i="1"/>
  <c r="B7317" i="1"/>
  <c r="C7317" i="1"/>
  <c r="D7317" i="1"/>
  <c r="E7317" i="1"/>
  <c r="A7318" i="1"/>
  <c r="B7318" i="1"/>
  <c r="C7318" i="1"/>
  <c r="D7318" i="1"/>
  <c r="E7318" i="1"/>
  <c r="A7319" i="1"/>
  <c r="B7319" i="1"/>
  <c r="C7319" i="1"/>
  <c r="D7319" i="1"/>
  <c r="E7319" i="1"/>
  <c r="A7320" i="1"/>
  <c r="B7320" i="1"/>
  <c r="C7320" i="1"/>
  <c r="D7320" i="1"/>
  <c r="E7320" i="1"/>
  <c r="A7321" i="1"/>
  <c r="B7321" i="1"/>
  <c r="C7321" i="1"/>
  <c r="D7321" i="1"/>
  <c r="E7321" i="1"/>
  <c r="A7322" i="1"/>
  <c r="B7322" i="1"/>
  <c r="C7322" i="1"/>
  <c r="D7322" i="1"/>
  <c r="E7322" i="1"/>
  <c r="A7323" i="1"/>
  <c r="B7323" i="1"/>
  <c r="C7323" i="1"/>
  <c r="D7323" i="1"/>
  <c r="E7323" i="1"/>
  <c r="A7324" i="1"/>
  <c r="B7324" i="1"/>
  <c r="C7324" i="1"/>
  <c r="D7324" i="1"/>
  <c r="E7324" i="1"/>
  <c r="A7325" i="1"/>
  <c r="B7325" i="1"/>
  <c r="C7325" i="1"/>
  <c r="D7325" i="1"/>
  <c r="E7325" i="1"/>
  <c r="A7326" i="1"/>
  <c r="B7326" i="1"/>
  <c r="C7326" i="1"/>
  <c r="D7326" i="1"/>
  <c r="E7326" i="1"/>
  <c r="A7327" i="1"/>
  <c r="B7327" i="1"/>
  <c r="C7327" i="1"/>
  <c r="D7327" i="1"/>
  <c r="E7327" i="1"/>
  <c r="A7328" i="1"/>
  <c r="B7328" i="1"/>
  <c r="C7328" i="1"/>
  <c r="D7328" i="1"/>
  <c r="E7328" i="1"/>
  <c r="A7329" i="1"/>
  <c r="B7329" i="1"/>
  <c r="C7329" i="1"/>
  <c r="D7329" i="1"/>
  <c r="E7329" i="1"/>
  <c r="A7330" i="1"/>
  <c r="B7330" i="1"/>
  <c r="C7330" i="1"/>
  <c r="D7330" i="1"/>
  <c r="E7330" i="1"/>
  <c r="A7331" i="1"/>
  <c r="B7331" i="1"/>
  <c r="C7331" i="1"/>
  <c r="D7331" i="1"/>
  <c r="E7331" i="1"/>
  <c r="A7332" i="1"/>
  <c r="B7332" i="1"/>
  <c r="C7332" i="1"/>
  <c r="D7332" i="1"/>
  <c r="E7332" i="1"/>
  <c r="A7333" i="1"/>
  <c r="B7333" i="1"/>
  <c r="C7333" i="1"/>
  <c r="D7333" i="1"/>
  <c r="E7333" i="1"/>
  <c r="A7334" i="1"/>
  <c r="B7334" i="1"/>
  <c r="C7334" i="1"/>
  <c r="D7334" i="1"/>
  <c r="E7334" i="1"/>
  <c r="A7335" i="1"/>
  <c r="B7335" i="1"/>
  <c r="C7335" i="1"/>
  <c r="D7335" i="1"/>
  <c r="E7335" i="1"/>
  <c r="A7336" i="1"/>
  <c r="B7336" i="1"/>
  <c r="C7336" i="1"/>
  <c r="D7336" i="1"/>
  <c r="E7336" i="1"/>
  <c r="A7337" i="1"/>
  <c r="B7337" i="1"/>
  <c r="C7337" i="1"/>
  <c r="D7337" i="1"/>
  <c r="E7337" i="1"/>
  <c r="A7338" i="1"/>
  <c r="B7338" i="1"/>
  <c r="C7338" i="1"/>
  <c r="D7338" i="1"/>
  <c r="E7338" i="1"/>
  <c r="A7339" i="1"/>
  <c r="B7339" i="1"/>
  <c r="C7339" i="1"/>
  <c r="D7339" i="1"/>
  <c r="E7339" i="1"/>
  <c r="A7340" i="1"/>
  <c r="B7340" i="1"/>
  <c r="C7340" i="1"/>
  <c r="D7340" i="1"/>
  <c r="E7340" i="1"/>
  <c r="A7341" i="1"/>
  <c r="B7341" i="1"/>
  <c r="C7341" i="1"/>
  <c r="D7341" i="1"/>
  <c r="E7341" i="1"/>
  <c r="A7342" i="1"/>
  <c r="B7342" i="1"/>
  <c r="C7342" i="1"/>
  <c r="D7342" i="1"/>
  <c r="E7342" i="1"/>
  <c r="A7343" i="1"/>
  <c r="B7343" i="1"/>
  <c r="C7343" i="1"/>
  <c r="D7343" i="1"/>
  <c r="E7343" i="1"/>
  <c r="A7344" i="1"/>
  <c r="B7344" i="1"/>
  <c r="C7344" i="1"/>
  <c r="D7344" i="1"/>
  <c r="E7344" i="1"/>
  <c r="A7345" i="1"/>
  <c r="B7345" i="1"/>
  <c r="C7345" i="1"/>
  <c r="D7345" i="1"/>
  <c r="E7345" i="1"/>
  <c r="A7346" i="1"/>
  <c r="B7346" i="1"/>
  <c r="C7346" i="1"/>
  <c r="D7346" i="1"/>
  <c r="E7346" i="1"/>
  <c r="A7347" i="1"/>
  <c r="B7347" i="1"/>
  <c r="C7347" i="1"/>
  <c r="D7347" i="1"/>
  <c r="E7347" i="1"/>
  <c r="A7348" i="1"/>
  <c r="B7348" i="1"/>
  <c r="C7348" i="1"/>
  <c r="D7348" i="1"/>
  <c r="E7348" i="1"/>
  <c r="A7349" i="1"/>
  <c r="B7349" i="1"/>
  <c r="C7349" i="1"/>
  <c r="D7349" i="1"/>
  <c r="E7349" i="1"/>
  <c r="A7350" i="1"/>
  <c r="B7350" i="1"/>
  <c r="C7350" i="1"/>
  <c r="D7350" i="1"/>
  <c r="E7350" i="1"/>
  <c r="A7351" i="1"/>
  <c r="B7351" i="1"/>
  <c r="C7351" i="1"/>
  <c r="D7351" i="1"/>
  <c r="E7351" i="1"/>
  <c r="A7352" i="1"/>
  <c r="B7352" i="1"/>
  <c r="C7352" i="1"/>
  <c r="D7352" i="1"/>
  <c r="E7352" i="1"/>
  <c r="A7353" i="1"/>
  <c r="B7353" i="1"/>
  <c r="C7353" i="1"/>
  <c r="D7353" i="1"/>
  <c r="E7353" i="1"/>
  <c r="A7354" i="1"/>
  <c r="B7354" i="1"/>
  <c r="C7354" i="1"/>
  <c r="D7354" i="1"/>
  <c r="E7354" i="1"/>
  <c r="A7355" i="1"/>
  <c r="B7355" i="1"/>
  <c r="C7355" i="1"/>
  <c r="D7355" i="1"/>
  <c r="E7355" i="1"/>
  <c r="A7356" i="1"/>
  <c r="B7356" i="1"/>
  <c r="C7356" i="1"/>
  <c r="D7356" i="1"/>
  <c r="E7356" i="1"/>
  <c r="A7357" i="1"/>
  <c r="B7357" i="1"/>
  <c r="C7357" i="1"/>
  <c r="D7357" i="1"/>
  <c r="E7357" i="1"/>
  <c r="A7358" i="1"/>
  <c r="B7358" i="1"/>
  <c r="C7358" i="1"/>
  <c r="D7358" i="1"/>
  <c r="E7358" i="1"/>
  <c r="A7359" i="1"/>
  <c r="B7359" i="1"/>
  <c r="C7359" i="1"/>
  <c r="D7359" i="1"/>
  <c r="E7359" i="1"/>
  <c r="A7360" i="1"/>
  <c r="B7360" i="1"/>
  <c r="C7360" i="1"/>
  <c r="D7360" i="1"/>
  <c r="E7360" i="1"/>
  <c r="A7361" i="1"/>
  <c r="B7361" i="1"/>
  <c r="C7361" i="1"/>
  <c r="D7361" i="1"/>
  <c r="E7361" i="1"/>
  <c r="A7362" i="1"/>
  <c r="B7362" i="1"/>
  <c r="C7362" i="1"/>
  <c r="D7362" i="1"/>
  <c r="E7362" i="1"/>
  <c r="A7363" i="1"/>
  <c r="B7363" i="1"/>
  <c r="C7363" i="1"/>
  <c r="D7363" i="1"/>
  <c r="E7363" i="1"/>
  <c r="A7364" i="1"/>
  <c r="B7364" i="1"/>
  <c r="C7364" i="1"/>
  <c r="D7364" i="1"/>
  <c r="E7364" i="1"/>
  <c r="A7365" i="1"/>
  <c r="B7365" i="1"/>
  <c r="C7365" i="1"/>
  <c r="D7365" i="1"/>
  <c r="E7365" i="1"/>
  <c r="A7366" i="1"/>
  <c r="B7366" i="1"/>
  <c r="C7366" i="1"/>
  <c r="D7366" i="1"/>
  <c r="E7366" i="1"/>
  <c r="A7367" i="1"/>
  <c r="B7367" i="1"/>
  <c r="C7367" i="1"/>
  <c r="D7367" i="1"/>
  <c r="E7367" i="1"/>
  <c r="A7368" i="1"/>
  <c r="B7368" i="1"/>
  <c r="C7368" i="1"/>
  <c r="D7368" i="1"/>
  <c r="E7368" i="1"/>
  <c r="A7369" i="1"/>
  <c r="B7369" i="1"/>
  <c r="C7369" i="1"/>
  <c r="D7369" i="1"/>
  <c r="E7369" i="1"/>
  <c r="A7370" i="1"/>
  <c r="B7370" i="1"/>
  <c r="C7370" i="1"/>
  <c r="D7370" i="1"/>
  <c r="E7370" i="1"/>
  <c r="A7371" i="1"/>
  <c r="B7371" i="1"/>
  <c r="C7371" i="1"/>
  <c r="D7371" i="1"/>
  <c r="E7371" i="1"/>
  <c r="A7372" i="1"/>
  <c r="B7372" i="1"/>
  <c r="C7372" i="1"/>
  <c r="D7372" i="1"/>
  <c r="E7372" i="1"/>
  <c r="A7373" i="1"/>
  <c r="B7373" i="1"/>
  <c r="C7373" i="1"/>
  <c r="D7373" i="1"/>
  <c r="E7373" i="1"/>
  <c r="A7374" i="1"/>
  <c r="B7374" i="1"/>
  <c r="C7374" i="1"/>
  <c r="D7374" i="1"/>
  <c r="E7374" i="1"/>
  <c r="A7375" i="1"/>
  <c r="B7375" i="1"/>
  <c r="C7375" i="1"/>
  <c r="D7375" i="1"/>
  <c r="E7375" i="1"/>
  <c r="A7376" i="1"/>
  <c r="B7376" i="1"/>
  <c r="C7376" i="1"/>
  <c r="D7376" i="1"/>
  <c r="E7376" i="1"/>
  <c r="A7377" i="1"/>
  <c r="B7377" i="1"/>
  <c r="C7377" i="1"/>
  <c r="D7377" i="1"/>
  <c r="E7377" i="1"/>
  <c r="A7378" i="1"/>
  <c r="B7378" i="1"/>
  <c r="C7378" i="1"/>
  <c r="D7378" i="1"/>
  <c r="E7378" i="1"/>
  <c r="A7379" i="1"/>
  <c r="B7379" i="1"/>
  <c r="C7379" i="1"/>
  <c r="D7379" i="1"/>
  <c r="E7379" i="1"/>
  <c r="A7380" i="1"/>
  <c r="B7380" i="1"/>
  <c r="C7380" i="1"/>
  <c r="D7380" i="1"/>
  <c r="E7380" i="1"/>
  <c r="A7381" i="1"/>
  <c r="B7381" i="1"/>
  <c r="C7381" i="1"/>
  <c r="D7381" i="1"/>
  <c r="E7381" i="1"/>
  <c r="A7382" i="1"/>
  <c r="B7382" i="1"/>
  <c r="C7382" i="1"/>
  <c r="D7382" i="1"/>
  <c r="E7382" i="1"/>
  <c r="A7383" i="1"/>
  <c r="B7383" i="1"/>
  <c r="C7383" i="1"/>
  <c r="D7383" i="1"/>
  <c r="E7383" i="1"/>
  <c r="A7384" i="1"/>
  <c r="B7384" i="1"/>
  <c r="C7384" i="1"/>
  <c r="D7384" i="1"/>
  <c r="E7384" i="1"/>
  <c r="A7385" i="1"/>
  <c r="B7385" i="1"/>
  <c r="C7385" i="1"/>
  <c r="D7385" i="1"/>
  <c r="E7385" i="1"/>
  <c r="A7386" i="1"/>
  <c r="B7386" i="1"/>
  <c r="C7386" i="1"/>
  <c r="D7386" i="1"/>
  <c r="E7386" i="1"/>
  <c r="A7387" i="1"/>
  <c r="B7387" i="1"/>
  <c r="C7387" i="1"/>
  <c r="D7387" i="1"/>
  <c r="E7387" i="1"/>
  <c r="A7388" i="1"/>
  <c r="B7388" i="1"/>
  <c r="C7388" i="1"/>
  <c r="D7388" i="1"/>
  <c r="E7388" i="1"/>
  <c r="A7389" i="1"/>
  <c r="B7389" i="1"/>
  <c r="C7389" i="1"/>
  <c r="D7389" i="1"/>
  <c r="E7389" i="1"/>
  <c r="A7390" i="1"/>
  <c r="B7390" i="1"/>
  <c r="C7390" i="1"/>
  <c r="D7390" i="1"/>
  <c r="E7390" i="1"/>
  <c r="A7391" i="1"/>
  <c r="B7391" i="1"/>
  <c r="C7391" i="1"/>
  <c r="D7391" i="1"/>
  <c r="E7391" i="1"/>
  <c r="A7392" i="1"/>
  <c r="B7392" i="1"/>
  <c r="C7392" i="1"/>
  <c r="D7392" i="1"/>
  <c r="E7392" i="1"/>
  <c r="A7393" i="1"/>
  <c r="B7393" i="1"/>
  <c r="C7393" i="1"/>
  <c r="D7393" i="1"/>
  <c r="E7393" i="1"/>
  <c r="A7394" i="1"/>
  <c r="B7394" i="1"/>
  <c r="C7394" i="1"/>
  <c r="D7394" i="1"/>
  <c r="E7394" i="1"/>
  <c r="A7395" i="1"/>
  <c r="B7395" i="1"/>
  <c r="C7395" i="1"/>
  <c r="D7395" i="1"/>
  <c r="E7395" i="1"/>
  <c r="A7396" i="1"/>
  <c r="B7396" i="1"/>
  <c r="C7396" i="1"/>
  <c r="D7396" i="1"/>
  <c r="E7396" i="1"/>
  <c r="A7397" i="1"/>
  <c r="B7397" i="1"/>
  <c r="C7397" i="1"/>
  <c r="D7397" i="1"/>
  <c r="E7397" i="1"/>
  <c r="A7398" i="1"/>
  <c r="B7398" i="1"/>
  <c r="C7398" i="1"/>
  <c r="D7398" i="1"/>
  <c r="E7398" i="1"/>
  <c r="A7399" i="1"/>
  <c r="B7399" i="1"/>
  <c r="C7399" i="1"/>
  <c r="D7399" i="1"/>
  <c r="E7399" i="1"/>
  <c r="A7400" i="1"/>
  <c r="B7400" i="1"/>
  <c r="C7400" i="1"/>
  <c r="D7400" i="1"/>
  <c r="E7400" i="1"/>
  <c r="A7401" i="1"/>
  <c r="B7401" i="1"/>
  <c r="C7401" i="1"/>
  <c r="D7401" i="1"/>
  <c r="E7401" i="1"/>
  <c r="A7402" i="1"/>
  <c r="B7402" i="1"/>
  <c r="C7402" i="1"/>
  <c r="D7402" i="1"/>
  <c r="E7402" i="1"/>
  <c r="A7403" i="1"/>
  <c r="B7403" i="1"/>
  <c r="C7403" i="1"/>
  <c r="D7403" i="1"/>
  <c r="E7403" i="1"/>
  <c r="A7404" i="1"/>
  <c r="B7404" i="1"/>
  <c r="C7404" i="1"/>
  <c r="D7404" i="1"/>
  <c r="E7404" i="1"/>
  <c r="A7405" i="1"/>
  <c r="B7405" i="1"/>
  <c r="C7405" i="1"/>
  <c r="D7405" i="1"/>
  <c r="E7405" i="1"/>
  <c r="A7406" i="1"/>
  <c r="B7406" i="1"/>
  <c r="C7406" i="1"/>
  <c r="D7406" i="1"/>
  <c r="E7406" i="1"/>
  <c r="A7407" i="1"/>
  <c r="B7407" i="1"/>
  <c r="C7407" i="1"/>
  <c r="D7407" i="1"/>
  <c r="E7407" i="1"/>
  <c r="A7408" i="1"/>
  <c r="B7408" i="1"/>
  <c r="C7408" i="1"/>
  <c r="D7408" i="1"/>
  <c r="E7408" i="1"/>
  <c r="A7409" i="1"/>
  <c r="B7409" i="1"/>
  <c r="C7409" i="1"/>
  <c r="D7409" i="1"/>
  <c r="E7409" i="1"/>
  <c r="A7410" i="1"/>
  <c r="B7410" i="1"/>
  <c r="C7410" i="1"/>
  <c r="D7410" i="1"/>
  <c r="E7410" i="1"/>
  <c r="A7411" i="1"/>
  <c r="B7411" i="1"/>
  <c r="C7411" i="1"/>
  <c r="D7411" i="1"/>
  <c r="E7411" i="1"/>
  <c r="A7412" i="1"/>
  <c r="B7412" i="1"/>
  <c r="C7412" i="1"/>
  <c r="D7412" i="1"/>
  <c r="E7412" i="1"/>
  <c r="A7413" i="1"/>
  <c r="B7413" i="1"/>
  <c r="C7413" i="1"/>
  <c r="D7413" i="1"/>
  <c r="E7413" i="1"/>
  <c r="A7414" i="1"/>
  <c r="B7414" i="1"/>
  <c r="C7414" i="1"/>
  <c r="D7414" i="1"/>
  <c r="E7414" i="1"/>
  <c r="A7415" i="1"/>
  <c r="B7415" i="1"/>
  <c r="C7415" i="1"/>
  <c r="D7415" i="1"/>
  <c r="E7415" i="1"/>
  <c r="A7416" i="1"/>
  <c r="B7416" i="1"/>
  <c r="C7416" i="1"/>
  <c r="D7416" i="1"/>
  <c r="E7416" i="1"/>
  <c r="A7417" i="1"/>
  <c r="B7417" i="1"/>
  <c r="C7417" i="1"/>
  <c r="D7417" i="1"/>
  <c r="E7417" i="1"/>
  <c r="A7418" i="1"/>
  <c r="B7418" i="1"/>
  <c r="C7418" i="1"/>
  <c r="D7418" i="1"/>
  <c r="E7418" i="1"/>
  <c r="A7419" i="1"/>
  <c r="B7419" i="1"/>
  <c r="C7419" i="1"/>
  <c r="D7419" i="1"/>
  <c r="E7419" i="1"/>
  <c r="A7420" i="1"/>
  <c r="B7420" i="1"/>
  <c r="C7420" i="1"/>
  <c r="D7420" i="1"/>
  <c r="E7420" i="1"/>
  <c r="A7421" i="1"/>
  <c r="B7421" i="1"/>
  <c r="C7421" i="1"/>
  <c r="D7421" i="1"/>
  <c r="E7421" i="1"/>
  <c r="A7422" i="1"/>
  <c r="B7422" i="1"/>
  <c r="C7422" i="1"/>
  <c r="D7422" i="1"/>
  <c r="E7422" i="1"/>
  <c r="A7423" i="1"/>
  <c r="B7423" i="1"/>
  <c r="C7423" i="1"/>
  <c r="D7423" i="1"/>
  <c r="E7423" i="1"/>
  <c r="A7424" i="1"/>
  <c r="B7424" i="1"/>
  <c r="C7424" i="1"/>
  <c r="D7424" i="1"/>
  <c r="E7424" i="1"/>
  <c r="A7425" i="1"/>
  <c r="B7425" i="1"/>
  <c r="C7425" i="1"/>
  <c r="D7425" i="1"/>
  <c r="E7425" i="1"/>
  <c r="A7426" i="1"/>
  <c r="B7426" i="1"/>
  <c r="C7426" i="1"/>
  <c r="D7426" i="1"/>
  <c r="E7426" i="1"/>
  <c r="A7427" i="1"/>
  <c r="B7427" i="1"/>
  <c r="C7427" i="1"/>
  <c r="D7427" i="1"/>
  <c r="E7427" i="1"/>
  <c r="A7428" i="1"/>
  <c r="B7428" i="1"/>
  <c r="C7428" i="1"/>
  <c r="D7428" i="1"/>
  <c r="E7428" i="1"/>
  <c r="A7429" i="1"/>
  <c r="B7429" i="1"/>
  <c r="C7429" i="1"/>
  <c r="D7429" i="1"/>
  <c r="E7429" i="1"/>
  <c r="A7430" i="1"/>
  <c r="B7430" i="1"/>
  <c r="C7430" i="1"/>
  <c r="D7430" i="1"/>
  <c r="E7430" i="1"/>
  <c r="A7431" i="1"/>
  <c r="B7431" i="1"/>
  <c r="C7431" i="1"/>
  <c r="D7431" i="1"/>
  <c r="E7431" i="1"/>
  <c r="A7432" i="1"/>
  <c r="B7432" i="1"/>
  <c r="C7432" i="1"/>
  <c r="D7432" i="1"/>
  <c r="E7432" i="1"/>
  <c r="A7433" i="1"/>
  <c r="B7433" i="1"/>
  <c r="C7433" i="1"/>
  <c r="D7433" i="1"/>
  <c r="E7433" i="1"/>
  <c r="A7434" i="1"/>
  <c r="B7434" i="1"/>
  <c r="C7434" i="1"/>
  <c r="D7434" i="1"/>
  <c r="E7434" i="1"/>
  <c r="A7435" i="1"/>
  <c r="B7435" i="1"/>
  <c r="C7435" i="1"/>
  <c r="D7435" i="1"/>
  <c r="E7435" i="1"/>
  <c r="A7436" i="1"/>
  <c r="B7436" i="1"/>
  <c r="C7436" i="1"/>
  <c r="D7436" i="1"/>
  <c r="E7436" i="1"/>
  <c r="A7437" i="1"/>
  <c r="B7437" i="1"/>
  <c r="C7437" i="1"/>
  <c r="D7437" i="1"/>
  <c r="E7437" i="1"/>
  <c r="A7438" i="1"/>
  <c r="B7438" i="1"/>
  <c r="C7438" i="1"/>
  <c r="D7438" i="1"/>
  <c r="E7438" i="1"/>
  <c r="A7439" i="1"/>
  <c r="B7439" i="1"/>
  <c r="C7439" i="1"/>
  <c r="D7439" i="1"/>
  <c r="E7439" i="1"/>
  <c r="A7440" i="1"/>
  <c r="B7440" i="1"/>
  <c r="C7440" i="1"/>
  <c r="D7440" i="1"/>
  <c r="E7440" i="1"/>
  <c r="A7441" i="1"/>
  <c r="B7441" i="1"/>
  <c r="C7441" i="1"/>
  <c r="D7441" i="1"/>
  <c r="E7441" i="1"/>
  <c r="A7442" i="1"/>
  <c r="B7442" i="1"/>
  <c r="C7442" i="1"/>
  <c r="D7442" i="1"/>
  <c r="E7442" i="1"/>
  <c r="A7443" i="1"/>
  <c r="B7443" i="1"/>
  <c r="C7443" i="1"/>
  <c r="D7443" i="1"/>
  <c r="E7443" i="1"/>
  <c r="A7444" i="1"/>
  <c r="B7444" i="1"/>
  <c r="C7444" i="1"/>
  <c r="D7444" i="1"/>
  <c r="E7444" i="1"/>
  <c r="A7445" i="1"/>
  <c r="B7445" i="1"/>
  <c r="C7445" i="1"/>
  <c r="D7445" i="1"/>
  <c r="E7445" i="1"/>
  <c r="A7446" i="1"/>
  <c r="B7446" i="1"/>
  <c r="C7446" i="1"/>
  <c r="D7446" i="1"/>
  <c r="E7446" i="1"/>
  <c r="A7447" i="1"/>
  <c r="B7447" i="1"/>
  <c r="C7447" i="1"/>
  <c r="D7447" i="1"/>
  <c r="E7447" i="1"/>
  <c r="A7448" i="1"/>
  <c r="B7448" i="1"/>
  <c r="C7448" i="1"/>
  <c r="D7448" i="1"/>
  <c r="E7448" i="1"/>
  <c r="A7449" i="1"/>
  <c r="B7449" i="1"/>
  <c r="C7449" i="1"/>
  <c r="D7449" i="1"/>
  <c r="E7449" i="1"/>
  <c r="A7450" i="1"/>
  <c r="B7450" i="1"/>
  <c r="C7450" i="1"/>
  <c r="D7450" i="1"/>
  <c r="E7450" i="1"/>
  <c r="A7451" i="1"/>
  <c r="B7451" i="1"/>
  <c r="C7451" i="1"/>
  <c r="D7451" i="1"/>
  <c r="E7451" i="1"/>
  <c r="A7452" i="1"/>
  <c r="B7452" i="1"/>
  <c r="C7452" i="1"/>
  <c r="D7452" i="1"/>
  <c r="E7452" i="1"/>
  <c r="A7453" i="1"/>
  <c r="B7453" i="1"/>
  <c r="C7453" i="1"/>
  <c r="D7453" i="1"/>
  <c r="E7453" i="1"/>
  <c r="A7454" i="1"/>
  <c r="B7454" i="1"/>
  <c r="C7454" i="1"/>
  <c r="D7454" i="1"/>
  <c r="E7454" i="1"/>
  <c r="A7455" i="1"/>
  <c r="B7455" i="1"/>
  <c r="C7455" i="1"/>
  <c r="D7455" i="1"/>
  <c r="E7455" i="1"/>
  <c r="A7456" i="1"/>
  <c r="B7456" i="1"/>
  <c r="C7456" i="1"/>
  <c r="D7456" i="1"/>
  <c r="E7456" i="1"/>
  <c r="A7457" i="1"/>
  <c r="B7457" i="1"/>
  <c r="C7457" i="1"/>
  <c r="D7457" i="1"/>
  <c r="E7457" i="1"/>
  <c r="A7458" i="1"/>
  <c r="B7458" i="1"/>
  <c r="C7458" i="1"/>
  <c r="D7458" i="1"/>
  <c r="E7458" i="1"/>
  <c r="A7459" i="1"/>
  <c r="B7459" i="1"/>
  <c r="C7459" i="1"/>
  <c r="D7459" i="1"/>
  <c r="E7459" i="1"/>
  <c r="A7460" i="1"/>
  <c r="B7460" i="1"/>
  <c r="C7460" i="1"/>
  <c r="D7460" i="1"/>
  <c r="E7460" i="1"/>
  <c r="A7461" i="1"/>
  <c r="B7461" i="1"/>
  <c r="C7461" i="1"/>
  <c r="D7461" i="1"/>
  <c r="E7461" i="1"/>
  <c r="A7462" i="1"/>
  <c r="B7462" i="1"/>
  <c r="C7462" i="1"/>
  <c r="D7462" i="1"/>
  <c r="E7462" i="1"/>
  <c r="A7463" i="1"/>
  <c r="B7463" i="1"/>
  <c r="C7463" i="1"/>
  <c r="D7463" i="1"/>
  <c r="E7463" i="1"/>
  <c r="A7464" i="1"/>
  <c r="B7464" i="1"/>
  <c r="C7464" i="1"/>
  <c r="D7464" i="1"/>
  <c r="E7464" i="1"/>
  <c r="A7465" i="1"/>
  <c r="B7465" i="1"/>
  <c r="C7465" i="1"/>
  <c r="D7465" i="1"/>
  <c r="E7465" i="1"/>
  <c r="A7466" i="1"/>
  <c r="B7466" i="1"/>
  <c r="C7466" i="1"/>
  <c r="D7466" i="1"/>
  <c r="E7466" i="1"/>
  <c r="A7467" i="1"/>
  <c r="B7467" i="1"/>
  <c r="C7467" i="1"/>
  <c r="D7467" i="1"/>
  <c r="E7467" i="1"/>
  <c r="A7468" i="1"/>
  <c r="B7468" i="1"/>
  <c r="C7468" i="1"/>
  <c r="D7468" i="1"/>
  <c r="E7468" i="1"/>
  <c r="A7469" i="1"/>
  <c r="B7469" i="1"/>
  <c r="C7469" i="1"/>
  <c r="D7469" i="1"/>
  <c r="E7469" i="1"/>
  <c r="A7470" i="1"/>
  <c r="B7470" i="1"/>
  <c r="C7470" i="1"/>
  <c r="D7470" i="1"/>
  <c r="E7470" i="1"/>
  <c r="A7471" i="1"/>
  <c r="B7471" i="1"/>
  <c r="C7471" i="1"/>
  <c r="D7471" i="1"/>
  <c r="E7471" i="1"/>
  <c r="A7472" i="1"/>
  <c r="B7472" i="1"/>
  <c r="C7472" i="1"/>
  <c r="D7472" i="1"/>
  <c r="E7472" i="1"/>
  <c r="A7473" i="1"/>
  <c r="B7473" i="1"/>
  <c r="C7473" i="1"/>
  <c r="D7473" i="1"/>
  <c r="E7473" i="1"/>
  <c r="A7474" i="1"/>
  <c r="B7474" i="1"/>
  <c r="C7474" i="1"/>
  <c r="D7474" i="1"/>
  <c r="E7474" i="1"/>
  <c r="A7475" i="1"/>
  <c r="B7475" i="1"/>
  <c r="C7475" i="1"/>
  <c r="D7475" i="1"/>
  <c r="E7475" i="1"/>
  <c r="A7476" i="1"/>
  <c r="B7476" i="1"/>
  <c r="C7476" i="1"/>
  <c r="D7476" i="1"/>
  <c r="E7476" i="1"/>
  <c r="A7477" i="1"/>
  <c r="B7477" i="1"/>
  <c r="C7477" i="1"/>
  <c r="D7477" i="1"/>
  <c r="E7477" i="1"/>
  <c r="A7478" i="1"/>
  <c r="B7478" i="1"/>
  <c r="C7478" i="1"/>
  <c r="D7478" i="1"/>
  <c r="E7478" i="1"/>
  <c r="A7479" i="1"/>
  <c r="B7479" i="1"/>
  <c r="C7479" i="1"/>
  <c r="D7479" i="1"/>
  <c r="E7479" i="1"/>
  <c r="A7480" i="1"/>
  <c r="B7480" i="1"/>
  <c r="C7480" i="1"/>
  <c r="D7480" i="1"/>
  <c r="E7480" i="1"/>
  <c r="A7481" i="1"/>
  <c r="B7481" i="1"/>
  <c r="C7481" i="1"/>
  <c r="D7481" i="1"/>
  <c r="E7481" i="1"/>
  <c r="A7482" i="1"/>
  <c r="B7482" i="1"/>
  <c r="C7482" i="1"/>
  <c r="D7482" i="1"/>
  <c r="E7482" i="1"/>
  <c r="A7483" i="1"/>
  <c r="B7483" i="1"/>
  <c r="C7483" i="1"/>
  <c r="D7483" i="1"/>
  <c r="E7483" i="1"/>
  <c r="A7484" i="1"/>
  <c r="B7484" i="1"/>
  <c r="C7484" i="1"/>
  <c r="D7484" i="1"/>
  <c r="E7484" i="1"/>
  <c r="A7485" i="1"/>
  <c r="B7485" i="1"/>
  <c r="C7485" i="1"/>
  <c r="D7485" i="1"/>
  <c r="E7485" i="1"/>
  <c r="A7486" i="1"/>
  <c r="B7486" i="1"/>
  <c r="C7486" i="1"/>
  <c r="D7486" i="1"/>
  <c r="E7486" i="1"/>
  <c r="A7487" i="1"/>
  <c r="B7487" i="1"/>
  <c r="C7487" i="1"/>
  <c r="D7487" i="1"/>
  <c r="E7487" i="1"/>
  <c r="A7488" i="1"/>
  <c r="B7488" i="1"/>
  <c r="C7488" i="1"/>
  <c r="D7488" i="1"/>
  <c r="E7488" i="1"/>
  <c r="A7489" i="1"/>
  <c r="B7489" i="1"/>
  <c r="C7489" i="1"/>
  <c r="D7489" i="1"/>
  <c r="E7489" i="1"/>
  <c r="A7490" i="1"/>
  <c r="B7490" i="1"/>
  <c r="C7490" i="1"/>
  <c r="D7490" i="1"/>
  <c r="E7490" i="1"/>
  <c r="A7491" i="1"/>
  <c r="B7491" i="1"/>
  <c r="C7491" i="1"/>
  <c r="D7491" i="1"/>
  <c r="E7491" i="1"/>
  <c r="A7492" i="1"/>
  <c r="B7492" i="1"/>
  <c r="C7492" i="1"/>
  <c r="D7492" i="1"/>
  <c r="E7492" i="1"/>
  <c r="A7493" i="1"/>
  <c r="B7493" i="1"/>
  <c r="C7493" i="1"/>
  <c r="D7493" i="1"/>
  <c r="E7493" i="1"/>
  <c r="A7494" i="1"/>
  <c r="B7494" i="1"/>
  <c r="C7494" i="1"/>
  <c r="D7494" i="1"/>
  <c r="E7494" i="1"/>
  <c r="A7495" i="1"/>
  <c r="B7495" i="1"/>
  <c r="C7495" i="1"/>
  <c r="D7495" i="1"/>
  <c r="E7495" i="1"/>
  <c r="A7496" i="1"/>
  <c r="B7496" i="1"/>
  <c r="C7496" i="1"/>
  <c r="D7496" i="1"/>
  <c r="E7496" i="1"/>
  <c r="A7497" i="1"/>
  <c r="B7497" i="1"/>
  <c r="C7497" i="1"/>
  <c r="D7497" i="1"/>
  <c r="E7497" i="1"/>
  <c r="A7498" i="1"/>
  <c r="B7498" i="1"/>
  <c r="C7498" i="1"/>
  <c r="D7498" i="1"/>
  <c r="E7498" i="1"/>
  <c r="A7499" i="1"/>
  <c r="B7499" i="1"/>
  <c r="C7499" i="1"/>
  <c r="D7499" i="1"/>
  <c r="E7499" i="1"/>
  <c r="A7500" i="1"/>
  <c r="B7500" i="1"/>
  <c r="C7500" i="1"/>
  <c r="D7500" i="1"/>
  <c r="E7500" i="1"/>
  <c r="A7501" i="1"/>
  <c r="B7501" i="1"/>
  <c r="C7501" i="1"/>
  <c r="D7501" i="1"/>
  <c r="E7501" i="1"/>
  <c r="A7502" i="1"/>
  <c r="B7502" i="1"/>
  <c r="C7502" i="1"/>
  <c r="D7502" i="1"/>
  <c r="E7502" i="1"/>
  <c r="A7503" i="1"/>
  <c r="B7503" i="1"/>
  <c r="C7503" i="1"/>
  <c r="D7503" i="1"/>
  <c r="E7503" i="1"/>
  <c r="A7504" i="1"/>
  <c r="B7504" i="1"/>
  <c r="C7504" i="1"/>
  <c r="D7504" i="1"/>
  <c r="E7504" i="1"/>
  <c r="A7505" i="1"/>
  <c r="B7505" i="1"/>
  <c r="C7505" i="1"/>
  <c r="D7505" i="1"/>
  <c r="E7505" i="1"/>
  <c r="A7506" i="1"/>
  <c r="B7506" i="1"/>
  <c r="C7506" i="1"/>
  <c r="D7506" i="1"/>
  <c r="E7506" i="1"/>
  <c r="A7507" i="1"/>
  <c r="B7507" i="1"/>
  <c r="C7507" i="1"/>
  <c r="D7507" i="1"/>
  <c r="E7507" i="1"/>
  <c r="A7508" i="1"/>
  <c r="B7508" i="1"/>
  <c r="C7508" i="1"/>
  <c r="D7508" i="1"/>
  <c r="E7508" i="1"/>
  <c r="A7509" i="1"/>
  <c r="B7509" i="1"/>
  <c r="C7509" i="1"/>
  <c r="D7509" i="1"/>
  <c r="E7509" i="1"/>
  <c r="A7510" i="1"/>
  <c r="B7510" i="1"/>
  <c r="C7510" i="1"/>
  <c r="D7510" i="1"/>
  <c r="E7510" i="1"/>
  <c r="A7511" i="1"/>
  <c r="B7511" i="1"/>
  <c r="C7511" i="1"/>
  <c r="D7511" i="1"/>
  <c r="E7511" i="1"/>
  <c r="A7512" i="1"/>
  <c r="B7512" i="1"/>
  <c r="C7512" i="1"/>
  <c r="D7512" i="1"/>
  <c r="E7512" i="1"/>
  <c r="A7513" i="1"/>
  <c r="B7513" i="1"/>
  <c r="C7513" i="1"/>
  <c r="D7513" i="1"/>
  <c r="E7513" i="1"/>
  <c r="A7514" i="1"/>
  <c r="B7514" i="1"/>
  <c r="C7514" i="1"/>
  <c r="D7514" i="1"/>
  <c r="E7514" i="1"/>
  <c r="A7515" i="1"/>
  <c r="B7515" i="1"/>
  <c r="C7515" i="1"/>
  <c r="D7515" i="1"/>
  <c r="E7515" i="1"/>
  <c r="A7516" i="1"/>
  <c r="B7516" i="1"/>
  <c r="C7516" i="1"/>
  <c r="D7516" i="1"/>
  <c r="E7516" i="1"/>
  <c r="A7517" i="1"/>
  <c r="B7517" i="1"/>
  <c r="C7517" i="1"/>
  <c r="D7517" i="1"/>
  <c r="E7517" i="1"/>
  <c r="A7518" i="1"/>
  <c r="B7518" i="1"/>
  <c r="C7518" i="1"/>
  <c r="D7518" i="1"/>
  <c r="E7518" i="1"/>
  <c r="A7519" i="1"/>
  <c r="B7519" i="1"/>
  <c r="C7519" i="1"/>
  <c r="D7519" i="1"/>
  <c r="E7519" i="1"/>
  <c r="A7520" i="1"/>
  <c r="B7520" i="1"/>
  <c r="C7520" i="1"/>
  <c r="D7520" i="1"/>
  <c r="E7520" i="1"/>
  <c r="A7521" i="1"/>
  <c r="B7521" i="1"/>
  <c r="C7521" i="1"/>
  <c r="D7521" i="1"/>
  <c r="E7521" i="1"/>
  <c r="A7522" i="1"/>
  <c r="B7522" i="1"/>
  <c r="C7522" i="1"/>
  <c r="D7522" i="1"/>
  <c r="E7522" i="1"/>
  <c r="A7523" i="1"/>
  <c r="B7523" i="1"/>
  <c r="C7523" i="1"/>
  <c r="D7523" i="1"/>
  <c r="E7523" i="1"/>
  <c r="A7524" i="1"/>
  <c r="B7524" i="1"/>
  <c r="C7524" i="1"/>
  <c r="D7524" i="1"/>
  <c r="E7524" i="1"/>
  <c r="A7525" i="1"/>
  <c r="B7525" i="1"/>
  <c r="C7525" i="1"/>
  <c r="D7525" i="1"/>
  <c r="E7525" i="1"/>
  <c r="A7526" i="1"/>
  <c r="B7526" i="1"/>
  <c r="C7526" i="1"/>
  <c r="D7526" i="1"/>
  <c r="E7526" i="1"/>
  <c r="A7527" i="1"/>
  <c r="B7527" i="1"/>
  <c r="C7527" i="1"/>
  <c r="D7527" i="1"/>
  <c r="E7527" i="1"/>
  <c r="A7528" i="1"/>
  <c r="B7528" i="1"/>
  <c r="C7528" i="1"/>
  <c r="D7528" i="1"/>
  <c r="E7528" i="1"/>
  <c r="A7529" i="1"/>
  <c r="B7529" i="1"/>
  <c r="C7529" i="1"/>
  <c r="D7529" i="1"/>
  <c r="E7529" i="1"/>
  <c r="A7530" i="1"/>
  <c r="B7530" i="1"/>
  <c r="C7530" i="1"/>
  <c r="D7530" i="1"/>
  <c r="E7530" i="1"/>
  <c r="A7531" i="1"/>
  <c r="B7531" i="1"/>
  <c r="C7531" i="1"/>
  <c r="D7531" i="1"/>
  <c r="E7531" i="1"/>
  <c r="A7532" i="1"/>
  <c r="B7532" i="1"/>
  <c r="C7532" i="1"/>
  <c r="D7532" i="1"/>
  <c r="E7532" i="1"/>
  <c r="A7533" i="1"/>
  <c r="B7533" i="1"/>
  <c r="C7533" i="1"/>
  <c r="D7533" i="1"/>
  <c r="E7533" i="1"/>
  <c r="A7534" i="1"/>
  <c r="B7534" i="1"/>
  <c r="C7534" i="1"/>
  <c r="D7534" i="1"/>
  <c r="E7534" i="1"/>
  <c r="A7535" i="1"/>
  <c r="B7535" i="1"/>
  <c r="C7535" i="1"/>
  <c r="D7535" i="1"/>
  <c r="E7535" i="1"/>
  <c r="A7536" i="1"/>
  <c r="B7536" i="1"/>
  <c r="C7536" i="1"/>
  <c r="D7536" i="1"/>
  <c r="E7536" i="1"/>
  <c r="A7537" i="1"/>
  <c r="B7537" i="1"/>
  <c r="C7537" i="1"/>
  <c r="D7537" i="1"/>
  <c r="E7537" i="1"/>
  <c r="A7538" i="1"/>
  <c r="B7538" i="1"/>
  <c r="C7538" i="1"/>
  <c r="D7538" i="1"/>
  <c r="E7538" i="1"/>
  <c r="A7539" i="1"/>
  <c r="B7539" i="1"/>
  <c r="C7539" i="1"/>
  <c r="D7539" i="1"/>
  <c r="E7539" i="1"/>
  <c r="A7540" i="1"/>
  <c r="B7540" i="1"/>
  <c r="C7540" i="1"/>
  <c r="D7540" i="1"/>
  <c r="E7540" i="1"/>
  <c r="A7541" i="1"/>
  <c r="B7541" i="1"/>
  <c r="C7541" i="1"/>
  <c r="D7541" i="1"/>
  <c r="E7541" i="1"/>
  <c r="A7542" i="1"/>
  <c r="B7542" i="1"/>
  <c r="C7542" i="1"/>
  <c r="D7542" i="1"/>
  <c r="E7542" i="1"/>
  <c r="A7543" i="1"/>
  <c r="B7543" i="1"/>
  <c r="C7543" i="1"/>
  <c r="D7543" i="1"/>
  <c r="E7543" i="1"/>
  <c r="A7544" i="1"/>
  <c r="B7544" i="1"/>
  <c r="C7544" i="1"/>
  <c r="D7544" i="1"/>
  <c r="E7544" i="1"/>
  <c r="A7545" i="1"/>
  <c r="B7545" i="1"/>
  <c r="C7545" i="1"/>
  <c r="D7545" i="1"/>
  <c r="E7545" i="1"/>
  <c r="A7546" i="1"/>
  <c r="B7546" i="1"/>
  <c r="C7546" i="1"/>
  <c r="D7546" i="1"/>
  <c r="E7546" i="1"/>
  <c r="A7547" i="1"/>
  <c r="B7547" i="1"/>
  <c r="C7547" i="1"/>
  <c r="D7547" i="1"/>
  <c r="E7547" i="1"/>
  <c r="A7548" i="1"/>
  <c r="B7548" i="1"/>
  <c r="C7548" i="1"/>
  <c r="D7548" i="1"/>
  <c r="E7548" i="1"/>
  <c r="A7549" i="1"/>
  <c r="B7549" i="1"/>
  <c r="C7549" i="1"/>
  <c r="D7549" i="1"/>
  <c r="E7549" i="1"/>
  <c r="A7550" i="1"/>
  <c r="B7550" i="1"/>
  <c r="C7550" i="1"/>
  <c r="D7550" i="1"/>
  <c r="E7550" i="1"/>
  <c r="A7551" i="1"/>
  <c r="B7551" i="1"/>
  <c r="C7551" i="1"/>
  <c r="D7551" i="1"/>
  <c r="E7551" i="1"/>
  <c r="A7552" i="1"/>
  <c r="B7552" i="1"/>
  <c r="C7552" i="1"/>
  <c r="D7552" i="1"/>
  <c r="E7552" i="1"/>
  <c r="A7553" i="1"/>
  <c r="B7553" i="1"/>
  <c r="C7553" i="1"/>
  <c r="D7553" i="1"/>
  <c r="E7553" i="1"/>
  <c r="A7554" i="1"/>
  <c r="B7554" i="1"/>
  <c r="C7554" i="1"/>
  <c r="D7554" i="1"/>
  <c r="E7554" i="1"/>
  <c r="A7555" i="1"/>
  <c r="B7555" i="1"/>
  <c r="C7555" i="1"/>
  <c r="D7555" i="1"/>
  <c r="E7555" i="1"/>
  <c r="A7556" i="1"/>
  <c r="B7556" i="1"/>
  <c r="C7556" i="1"/>
  <c r="D7556" i="1"/>
  <c r="E7556" i="1"/>
  <c r="A7557" i="1"/>
  <c r="B7557" i="1"/>
  <c r="C7557" i="1"/>
  <c r="D7557" i="1"/>
  <c r="E7557" i="1"/>
  <c r="A7558" i="1"/>
  <c r="B7558" i="1"/>
  <c r="C7558" i="1"/>
  <c r="D7558" i="1"/>
  <c r="E7558" i="1"/>
  <c r="A7559" i="1"/>
  <c r="B7559" i="1"/>
  <c r="C7559" i="1"/>
  <c r="D7559" i="1"/>
  <c r="E7559" i="1"/>
  <c r="A7560" i="1"/>
  <c r="B7560" i="1"/>
  <c r="C7560" i="1"/>
  <c r="D7560" i="1"/>
  <c r="E7560" i="1"/>
  <c r="A7561" i="1"/>
  <c r="B7561" i="1"/>
  <c r="C7561" i="1"/>
  <c r="D7561" i="1"/>
  <c r="E7561" i="1"/>
  <c r="A7562" i="1"/>
  <c r="B7562" i="1"/>
  <c r="C7562" i="1"/>
  <c r="D7562" i="1"/>
  <c r="E7562" i="1"/>
  <c r="A7563" i="1"/>
  <c r="B7563" i="1"/>
  <c r="C7563" i="1"/>
  <c r="D7563" i="1"/>
  <c r="E7563" i="1"/>
  <c r="A7564" i="1"/>
  <c r="B7564" i="1"/>
  <c r="C7564" i="1"/>
  <c r="D7564" i="1"/>
  <c r="E7564" i="1"/>
  <c r="A7565" i="1"/>
  <c r="B7565" i="1"/>
  <c r="C7565" i="1"/>
  <c r="D7565" i="1"/>
  <c r="E7565" i="1"/>
  <c r="A7566" i="1"/>
  <c r="B7566" i="1"/>
  <c r="C7566" i="1"/>
  <c r="D7566" i="1"/>
  <c r="E7566" i="1"/>
  <c r="A7567" i="1"/>
  <c r="B7567" i="1"/>
  <c r="C7567" i="1"/>
  <c r="D7567" i="1"/>
  <c r="E7567" i="1"/>
  <c r="A7568" i="1"/>
  <c r="B7568" i="1"/>
  <c r="C7568" i="1"/>
  <c r="D7568" i="1"/>
  <c r="E7568" i="1"/>
  <c r="A7569" i="1"/>
  <c r="B7569" i="1"/>
  <c r="C7569" i="1"/>
  <c r="D7569" i="1"/>
  <c r="E7569" i="1"/>
  <c r="A7570" i="1"/>
  <c r="B7570" i="1"/>
  <c r="C7570" i="1"/>
  <c r="D7570" i="1"/>
  <c r="E7570" i="1"/>
  <c r="A7571" i="1"/>
  <c r="B7571" i="1"/>
  <c r="C7571" i="1"/>
  <c r="D7571" i="1"/>
  <c r="E7571" i="1"/>
  <c r="A7572" i="1"/>
  <c r="B7572" i="1"/>
  <c r="C7572" i="1"/>
  <c r="D7572" i="1"/>
  <c r="E7572" i="1"/>
  <c r="A7573" i="1"/>
  <c r="B7573" i="1"/>
  <c r="C7573" i="1"/>
  <c r="D7573" i="1"/>
  <c r="E7573" i="1"/>
  <c r="A7574" i="1"/>
  <c r="B7574" i="1"/>
  <c r="C7574" i="1"/>
  <c r="D7574" i="1"/>
  <c r="E7574" i="1"/>
  <c r="A7575" i="1"/>
  <c r="B7575" i="1"/>
  <c r="C7575" i="1"/>
  <c r="D7575" i="1"/>
  <c r="E7575" i="1"/>
  <c r="A7576" i="1"/>
  <c r="B7576" i="1"/>
  <c r="C7576" i="1"/>
  <c r="D7576" i="1"/>
  <c r="E7576" i="1"/>
  <c r="A7577" i="1"/>
  <c r="B7577" i="1"/>
  <c r="C7577" i="1"/>
  <c r="D7577" i="1"/>
  <c r="E7577" i="1"/>
  <c r="A7578" i="1"/>
  <c r="B7578" i="1"/>
  <c r="C7578" i="1"/>
  <c r="D7578" i="1"/>
  <c r="E7578" i="1"/>
  <c r="A7579" i="1"/>
  <c r="B7579" i="1"/>
  <c r="C7579" i="1"/>
  <c r="D7579" i="1"/>
  <c r="E7579" i="1"/>
  <c r="A7580" i="1"/>
  <c r="B7580" i="1"/>
  <c r="C7580" i="1"/>
  <c r="D7580" i="1"/>
  <c r="E7580" i="1"/>
  <c r="A7581" i="1"/>
  <c r="B7581" i="1"/>
  <c r="C7581" i="1"/>
  <c r="D7581" i="1"/>
  <c r="E7581" i="1"/>
  <c r="A7582" i="1"/>
  <c r="B7582" i="1"/>
  <c r="C7582" i="1"/>
  <c r="D7582" i="1"/>
  <c r="E7582" i="1"/>
  <c r="A7583" i="1"/>
  <c r="B7583" i="1"/>
  <c r="C7583" i="1"/>
  <c r="D7583" i="1"/>
  <c r="E7583" i="1"/>
  <c r="A7584" i="1"/>
  <c r="B7584" i="1"/>
  <c r="C7584" i="1"/>
  <c r="D7584" i="1"/>
  <c r="E7584" i="1"/>
  <c r="A7585" i="1"/>
  <c r="B7585" i="1"/>
  <c r="C7585" i="1"/>
  <c r="D7585" i="1"/>
  <c r="E7585" i="1"/>
  <c r="A7586" i="1"/>
  <c r="B7586" i="1"/>
  <c r="C7586" i="1"/>
  <c r="D7586" i="1"/>
  <c r="E7586" i="1"/>
  <c r="A7587" i="1"/>
  <c r="B7587" i="1"/>
  <c r="C7587" i="1"/>
  <c r="D7587" i="1"/>
  <c r="E7587" i="1"/>
  <c r="A7588" i="1"/>
  <c r="B7588" i="1"/>
  <c r="C7588" i="1"/>
  <c r="D7588" i="1"/>
  <c r="E7588" i="1"/>
  <c r="A7589" i="1"/>
  <c r="B7589" i="1"/>
  <c r="C7589" i="1"/>
  <c r="D7589" i="1"/>
  <c r="E7589" i="1"/>
  <c r="A7590" i="1"/>
  <c r="B7590" i="1"/>
  <c r="C7590" i="1"/>
  <c r="D7590" i="1"/>
  <c r="E7590" i="1"/>
  <c r="A7591" i="1"/>
  <c r="B7591" i="1"/>
  <c r="C7591" i="1"/>
  <c r="D7591" i="1"/>
  <c r="E7591" i="1"/>
  <c r="A7592" i="1"/>
  <c r="B7592" i="1"/>
  <c r="C7592" i="1"/>
  <c r="D7592" i="1"/>
  <c r="E7592" i="1"/>
  <c r="A7593" i="1"/>
  <c r="B7593" i="1"/>
  <c r="C7593" i="1"/>
  <c r="D7593" i="1"/>
  <c r="E7593" i="1"/>
  <c r="A7594" i="1"/>
  <c r="B7594" i="1"/>
  <c r="C7594" i="1"/>
  <c r="D7594" i="1"/>
  <c r="E7594" i="1"/>
  <c r="A7595" i="1"/>
  <c r="B7595" i="1"/>
  <c r="C7595" i="1"/>
  <c r="D7595" i="1"/>
  <c r="E7595" i="1"/>
  <c r="A7596" i="1"/>
  <c r="B7596" i="1"/>
  <c r="C7596" i="1"/>
  <c r="D7596" i="1"/>
  <c r="E7596" i="1"/>
  <c r="A7597" i="1"/>
  <c r="B7597" i="1"/>
  <c r="C7597" i="1"/>
  <c r="D7597" i="1"/>
  <c r="E7597" i="1"/>
  <c r="A7598" i="1"/>
  <c r="B7598" i="1"/>
  <c r="C7598" i="1"/>
  <c r="D7598" i="1"/>
  <c r="E7598" i="1"/>
  <c r="A7599" i="1"/>
  <c r="B7599" i="1"/>
  <c r="C7599" i="1"/>
  <c r="D7599" i="1"/>
  <c r="E7599" i="1"/>
  <c r="A7600" i="1"/>
  <c r="B7600" i="1"/>
  <c r="C7600" i="1"/>
  <c r="D7600" i="1"/>
  <c r="E7600" i="1"/>
  <c r="A7601" i="1"/>
  <c r="B7601" i="1"/>
  <c r="C7601" i="1"/>
  <c r="D7601" i="1"/>
  <c r="E7601" i="1"/>
  <c r="A7602" i="1"/>
  <c r="B7602" i="1"/>
  <c r="C7602" i="1"/>
  <c r="D7602" i="1"/>
  <c r="E7602" i="1"/>
  <c r="A7603" i="1"/>
  <c r="B7603" i="1"/>
  <c r="C7603" i="1"/>
  <c r="D7603" i="1"/>
  <c r="E7603" i="1"/>
  <c r="A7604" i="1"/>
  <c r="B7604" i="1"/>
  <c r="C7604" i="1"/>
  <c r="D7604" i="1"/>
  <c r="E7604" i="1"/>
  <c r="A7605" i="1"/>
  <c r="B7605" i="1"/>
  <c r="C7605" i="1"/>
  <c r="D7605" i="1"/>
  <c r="E7605" i="1"/>
  <c r="A7606" i="1"/>
  <c r="B7606" i="1"/>
  <c r="C7606" i="1"/>
  <c r="D7606" i="1"/>
  <c r="E7606" i="1"/>
  <c r="A7607" i="1"/>
  <c r="B7607" i="1"/>
  <c r="C7607" i="1"/>
  <c r="D7607" i="1"/>
  <c r="E7607" i="1"/>
  <c r="A7608" i="1"/>
  <c r="B7608" i="1"/>
  <c r="C7608" i="1"/>
  <c r="D7608" i="1"/>
  <c r="E7608" i="1"/>
  <c r="A7609" i="1"/>
  <c r="B7609" i="1"/>
  <c r="C7609" i="1"/>
  <c r="D7609" i="1"/>
  <c r="E7609" i="1"/>
  <c r="A7610" i="1"/>
  <c r="B7610" i="1"/>
  <c r="C7610" i="1"/>
  <c r="D7610" i="1"/>
  <c r="E7610" i="1"/>
  <c r="A7611" i="1"/>
  <c r="B7611" i="1"/>
  <c r="C7611" i="1"/>
  <c r="D7611" i="1"/>
  <c r="E7611" i="1"/>
  <c r="A7612" i="1"/>
  <c r="B7612" i="1"/>
  <c r="C7612" i="1"/>
  <c r="D7612" i="1"/>
  <c r="E7612" i="1"/>
  <c r="A7613" i="1"/>
  <c r="B7613" i="1"/>
  <c r="C7613" i="1"/>
  <c r="D7613" i="1"/>
  <c r="E7613" i="1"/>
  <c r="A7614" i="1"/>
  <c r="B7614" i="1"/>
  <c r="C7614" i="1"/>
  <c r="D7614" i="1"/>
  <c r="E7614" i="1"/>
  <c r="A7615" i="1"/>
  <c r="B7615" i="1"/>
  <c r="C7615" i="1"/>
  <c r="D7615" i="1"/>
  <c r="E7615" i="1"/>
  <c r="A7616" i="1"/>
  <c r="B7616" i="1"/>
  <c r="C7616" i="1"/>
  <c r="D7616" i="1"/>
  <c r="E7616" i="1"/>
  <c r="A7617" i="1"/>
  <c r="B7617" i="1"/>
  <c r="C7617" i="1"/>
  <c r="D7617" i="1"/>
  <c r="E7617" i="1"/>
  <c r="A7618" i="1"/>
  <c r="B7618" i="1"/>
  <c r="C7618" i="1"/>
  <c r="D7618" i="1"/>
  <c r="E7618" i="1"/>
  <c r="A7619" i="1"/>
  <c r="B7619" i="1"/>
  <c r="C7619" i="1"/>
  <c r="D7619" i="1"/>
  <c r="E7619" i="1"/>
  <c r="A7620" i="1"/>
  <c r="B7620" i="1"/>
  <c r="C7620" i="1"/>
  <c r="D7620" i="1"/>
  <c r="E7620" i="1"/>
  <c r="A7621" i="1"/>
  <c r="B7621" i="1"/>
  <c r="C7621" i="1"/>
  <c r="D7621" i="1"/>
  <c r="E7621" i="1"/>
  <c r="A7622" i="1"/>
  <c r="B7622" i="1"/>
  <c r="C7622" i="1"/>
  <c r="D7622" i="1"/>
  <c r="E7622" i="1"/>
  <c r="A7623" i="1"/>
  <c r="B7623" i="1"/>
  <c r="C7623" i="1"/>
  <c r="D7623" i="1"/>
  <c r="E7623" i="1"/>
  <c r="A7624" i="1"/>
  <c r="B7624" i="1"/>
  <c r="C7624" i="1"/>
  <c r="D7624" i="1"/>
  <c r="E7624" i="1"/>
  <c r="A7625" i="1"/>
  <c r="B7625" i="1"/>
  <c r="C7625" i="1"/>
  <c r="D7625" i="1"/>
  <c r="E7625" i="1"/>
  <c r="A7626" i="1"/>
  <c r="B7626" i="1"/>
  <c r="C7626" i="1"/>
  <c r="D7626" i="1"/>
  <c r="E7626" i="1"/>
  <c r="A7627" i="1"/>
  <c r="B7627" i="1"/>
  <c r="C7627" i="1"/>
  <c r="D7627" i="1"/>
  <c r="E7627" i="1"/>
  <c r="A7628" i="1"/>
  <c r="B7628" i="1"/>
  <c r="C7628" i="1"/>
  <c r="D7628" i="1"/>
  <c r="E7628" i="1"/>
  <c r="A7629" i="1"/>
  <c r="B7629" i="1"/>
  <c r="C7629" i="1"/>
  <c r="D7629" i="1"/>
  <c r="E7629" i="1"/>
  <c r="A7630" i="1"/>
  <c r="B7630" i="1"/>
  <c r="C7630" i="1"/>
  <c r="D7630" i="1"/>
  <c r="E7630" i="1"/>
  <c r="A7631" i="1"/>
  <c r="B7631" i="1"/>
  <c r="C7631" i="1"/>
  <c r="D7631" i="1"/>
  <c r="E7631" i="1"/>
  <c r="A7632" i="1"/>
  <c r="B7632" i="1"/>
  <c r="C7632" i="1"/>
  <c r="D7632" i="1"/>
  <c r="E7632" i="1"/>
  <c r="A7633" i="1"/>
  <c r="B7633" i="1"/>
  <c r="C7633" i="1"/>
  <c r="D7633" i="1"/>
  <c r="E7633" i="1"/>
  <c r="A7634" i="1"/>
  <c r="B7634" i="1"/>
  <c r="C7634" i="1"/>
  <c r="D7634" i="1"/>
  <c r="E7634" i="1"/>
  <c r="A7635" i="1"/>
  <c r="B7635" i="1"/>
  <c r="C7635" i="1"/>
  <c r="D7635" i="1"/>
  <c r="E7635" i="1"/>
  <c r="A7636" i="1"/>
  <c r="B7636" i="1"/>
  <c r="C7636" i="1"/>
  <c r="D7636" i="1"/>
  <c r="E7636" i="1"/>
  <c r="A7637" i="1"/>
  <c r="B7637" i="1"/>
  <c r="C7637" i="1"/>
  <c r="D7637" i="1"/>
  <c r="E7637" i="1"/>
  <c r="A7638" i="1"/>
  <c r="B7638" i="1"/>
  <c r="C7638" i="1"/>
  <c r="D7638" i="1"/>
  <c r="E7638" i="1"/>
  <c r="A7639" i="1"/>
  <c r="B7639" i="1"/>
  <c r="C7639" i="1"/>
  <c r="D7639" i="1"/>
  <c r="E7639" i="1"/>
  <c r="A7640" i="1"/>
  <c r="B7640" i="1"/>
  <c r="C7640" i="1"/>
  <c r="D7640" i="1"/>
  <c r="E7640" i="1"/>
  <c r="A7641" i="1"/>
  <c r="B7641" i="1"/>
  <c r="C7641" i="1"/>
  <c r="D7641" i="1"/>
  <c r="E7641" i="1"/>
  <c r="A7642" i="1"/>
  <c r="B7642" i="1"/>
  <c r="C7642" i="1"/>
  <c r="D7642" i="1"/>
  <c r="E7642" i="1"/>
  <c r="A7643" i="1"/>
  <c r="B7643" i="1"/>
  <c r="C7643" i="1"/>
  <c r="D7643" i="1"/>
  <c r="E7643" i="1"/>
  <c r="A7644" i="1"/>
  <c r="B7644" i="1"/>
  <c r="C7644" i="1"/>
  <c r="D7644" i="1"/>
  <c r="E7644" i="1"/>
  <c r="A7645" i="1"/>
  <c r="B7645" i="1"/>
  <c r="C7645" i="1"/>
  <c r="D7645" i="1"/>
  <c r="E7645" i="1"/>
  <c r="A7646" i="1"/>
  <c r="B7646" i="1"/>
  <c r="C7646" i="1"/>
  <c r="D7646" i="1"/>
  <c r="E7646" i="1"/>
  <c r="A7647" i="1"/>
  <c r="B7647" i="1"/>
  <c r="C7647" i="1"/>
  <c r="D7647" i="1"/>
  <c r="E7647" i="1"/>
  <c r="A7648" i="1"/>
  <c r="B7648" i="1"/>
  <c r="C7648" i="1"/>
  <c r="D7648" i="1"/>
  <c r="E7648" i="1"/>
  <c r="A7649" i="1"/>
  <c r="B7649" i="1"/>
  <c r="C7649" i="1"/>
  <c r="D7649" i="1"/>
  <c r="E7649" i="1"/>
  <c r="A7650" i="1"/>
  <c r="B7650" i="1"/>
  <c r="C7650" i="1"/>
  <c r="D7650" i="1"/>
  <c r="E7650" i="1"/>
  <c r="A7651" i="1"/>
  <c r="B7651" i="1"/>
  <c r="C7651" i="1"/>
  <c r="D7651" i="1"/>
  <c r="E7651" i="1"/>
  <c r="A7652" i="1"/>
  <c r="B7652" i="1"/>
  <c r="C7652" i="1"/>
  <c r="D7652" i="1"/>
  <c r="E7652" i="1"/>
  <c r="A7653" i="1"/>
  <c r="B7653" i="1"/>
  <c r="C7653" i="1"/>
  <c r="D7653" i="1"/>
  <c r="E7653" i="1"/>
  <c r="A7654" i="1"/>
  <c r="B7654" i="1"/>
  <c r="C7654" i="1"/>
  <c r="D7654" i="1"/>
  <c r="E7654" i="1"/>
  <c r="A7655" i="1"/>
  <c r="B7655" i="1"/>
  <c r="C7655" i="1"/>
  <c r="D7655" i="1"/>
  <c r="E7655" i="1"/>
  <c r="A7656" i="1"/>
  <c r="B7656" i="1"/>
  <c r="C7656" i="1"/>
  <c r="D7656" i="1"/>
  <c r="E7656" i="1"/>
  <c r="A7657" i="1"/>
  <c r="B7657" i="1"/>
  <c r="C7657" i="1"/>
  <c r="D7657" i="1"/>
  <c r="E7657" i="1"/>
  <c r="A7658" i="1"/>
  <c r="B7658" i="1"/>
  <c r="C7658" i="1"/>
  <c r="D7658" i="1"/>
  <c r="E7658" i="1"/>
  <c r="A7659" i="1"/>
  <c r="B7659" i="1"/>
  <c r="C7659" i="1"/>
  <c r="D7659" i="1"/>
  <c r="E7659" i="1"/>
  <c r="A7660" i="1"/>
  <c r="B7660" i="1"/>
  <c r="C7660" i="1"/>
  <c r="D7660" i="1"/>
  <c r="E7660" i="1"/>
  <c r="A7661" i="1"/>
  <c r="B7661" i="1"/>
  <c r="C7661" i="1"/>
  <c r="D7661" i="1"/>
  <c r="E7661" i="1"/>
  <c r="A7662" i="1"/>
  <c r="B7662" i="1"/>
  <c r="C7662" i="1"/>
  <c r="D7662" i="1"/>
  <c r="E7662" i="1"/>
  <c r="A7663" i="1"/>
  <c r="B7663" i="1"/>
  <c r="C7663" i="1"/>
  <c r="D7663" i="1"/>
  <c r="E7663" i="1"/>
  <c r="A7664" i="1"/>
  <c r="B7664" i="1"/>
  <c r="C7664" i="1"/>
  <c r="D7664" i="1"/>
  <c r="E7664" i="1"/>
  <c r="A7665" i="1"/>
  <c r="B7665" i="1"/>
  <c r="C7665" i="1"/>
  <c r="D7665" i="1"/>
  <c r="E7665" i="1"/>
  <c r="A7666" i="1"/>
  <c r="B7666" i="1"/>
  <c r="C7666" i="1"/>
  <c r="D7666" i="1"/>
  <c r="E7666" i="1"/>
  <c r="A7667" i="1"/>
  <c r="B7667" i="1"/>
  <c r="C7667" i="1"/>
  <c r="D7667" i="1"/>
  <c r="E7667" i="1"/>
  <c r="A7668" i="1"/>
  <c r="B7668" i="1"/>
  <c r="C7668" i="1"/>
  <c r="D7668" i="1"/>
  <c r="E7668" i="1"/>
  <c r="A7669" i="1"/>
  <c r="B7669" i="1"/>
  <c r="C7669" i="1"/>
  <c r="D7669" i="1"/>
  <c r="E7669" i="1"/>
  <c r="A7670" i="1"/>
  <c r="B7670" i="1"/>
  <c r="C7670" i="1"/>
  <c r="D7670" i="1"/>
  <c r="E7670" i="1"/>
  <c r="A7671" i="1"/>
  <c r="B7671" i="1"/>
  <c r="C7671" i="1"/>
  <c r="D7671" i="1"/>
  <c r="E7671" i="1"/>
  <c r="A7672" i="1"/>
  <c r="B7672" i="1"/>
  <c r="C7672" i="1"/>
  <c r="D7672" i="1"/>
  <c r="E7672" i="1"/>
  <c r="A7673" i="1"/>
  <c r="B7673" i="1"/>
  <c r="C7673" i="1"/>
  <c r="D7673" i="1"/>
  <c r="E7673" i="1"/>
  <c r="A7674" i="1"/>
  <c r="B7674" i="1"/>
  <c r="C7674" i="1"/>
  <c r="D7674" i="1"/>
  <c r="E7674" i="1"/>
  <c r="A7675" i="1"/>
  <c r="B7675" i="1"/>
  <c r="C7675" i="1"/>
  <c r="D7675" i="1"/>
  <c r="E7675" i="1"/>
  <c r="A7676" i="1"/>
  <c r="B7676" i="1"/>
  <c r="C7676" i="1"/>
  <c r="D7676" i="1"/>
  <c r="E7676" i="1"/>
  <c r="A7677" i="1"/>
  <c r="B7677" i="1"/>
  <c r="C7677" i="1"/>
  <c r="D7677" i="1"/>
  <c r="E7677" i="1"/>
  <c r="A7678" i="1"/>
  <c r="B7678" i="1"/>
  <c r="C7678" i="1"/>
  <c r="D7678" i="1"/>
  <c r="E7678" i="1"/>
  <c r="A7679" i="1"/>
  <c r="B7679" i="1"/>
  <c r="C7679" i="1"/>
  <c r="D7679" i="1"/>
  <c r="E7679" i="1"/>
  <c r="A7680" i="1"/>
  <c r="B7680" i="1"/>
  <c r="C7680" i="1"/>
  <c r="D7680" i="1"/>
  <c r="E7680" i="1"/>
  <c r="A7681" i="1"/>
  <c r="B7681" i="1"/>
  <c r="C7681" i="1"/>
  <c r="D7681" i="1"/>
  <c r="E7681" i="1"/>
  <c r="A7682" i="1"/>
  <c r="B7682" i="1"/>
  <c r="C7682" i="1"/>
  <c r="D7682" i="1"/>
  <c r="E7682" i="1"/>
  <c r="A7683" i="1"/>
  <c r="B7683" i="1"/>
  <c r="C7683" i="1"/>
  <c r="D7683" i="1"/>
  <c r="E7683" i="1"/>
  <c r="A7684" i="1"/>
  <c r="B7684" i="1"/>
  <c r="C7684" i="1"/>
  <c r="D7684" i="1"/>
  <c r="E7684" i="1"/>
  <c r="A7685" i="1"/>
  <c r="B7685" i="1"/>
  <c r="C7685" i="1"/>
  <c r="D7685" i="1"/>
  <c r="E7685" i="1"/>
  <c r="A7686" i="1"/>
  <c r="B7686" i="1"/>
  <c r="C7686" i="1"/>
  <c r="D7686" i="1"/>
  <c r="E7686" i="1"/>
  <c r="A7687" i="1"/>
  <c r="B7687" i="1"/>
  <c r="C7687" i="1"/>
  <c r="D7687" i="1"/>
  <c r="E7687" i="1"/>
  <c r="A7688" i="1"/>
  <c r="B7688" i="1"/>
  <c r="C7688" i="1"/>
  <c r="D7688" i="1"/>
  <c r="E7688" i="1"/>
  <c r="A7689" i="1"/>
  <c r="B7689" i="1"/>
  <c r="C7689" i="1"/>
  <c r="D7689" i="1"/>
  <c r="E7689" i="1"/>
  <c r="A7690" i="1"/>
  <c r="B7690" i="1"/>
  <c r="C7690" i="1"/>
  <c r="D7690" i="1"/>
  <c r="E7690" i="1"/>
  <c r="A7691" i="1"/>
  <c r="B7691" i="1"/>
  <c r="C7691" i="1"/>
  <c r="D7691" i="1"/>
  <c r="E7691" i="1"/>
  <c r="A7692" i="1"/>
  <c r="B7692" i="1"/>
  <c r="C7692" i="1"/>
  <c r="D7692" i="1"/>
  <c r="E7692" i="1"/>
  <c r="A7693" i="1"/>
  <c r="B7693" i="1"/>
  <c r="C7693" i="1"/>
  <c r="D7693" i="1"/>
  <c r="E7693" i="1"/>
  <c r="A7694" i="1"/>
  <c r="B7694" i="1"/>
  <c r="C7694" i="1"/>
  <c r="D7694" i="1"/>
  <c r="E7694" i="1"/>
  <c r="A7695" i="1"/>
  <c r="B7695" i="1"/>
  <c r="C7695" i="1"/>
  <c r="D7695" i="1"/>
  <c r="E7695" i="1"/>
  <c r="A7696" i="1"/>
  <c r="B7696" i="1"/>
  <c r="C7696" i="1"/>
  <c r="D7696" i="1"/>
  <c r="E7696" i="1"/>
  <c r="A7697" i="1"/>
  <c r="B7697" i="1"/>
  <c r="C7697" i="1"/>
  <c r="D7697" i="1"/>
  <c r="E7697" i="1"/>
  <c r="A7698" i="1"/>
  <c r="B7698" i="1"/>
  <c r="C7698" i="1"/>
  <c r="D7698" i="1"/>
  <c r="E7698" i="1"/>
  <c r="A7699" i="1"/>
  <c r="B7699" i="1"/>
  <c r="C7699" i="1"/>
  <c r="D7699" i="1"/>
  <c r="E7699" i="1"/>
  <c r="A7700" i="1"/>
  <c r="B7700" i="1"/>
  <c r="C7700" i="1"/>
  <c r="D7700" i="1"/>
  <c r="E7700" i="1"/>
  <c r="A7701" i="1"/>
  <c r="B7701" i="1"/>
  <c r="C7701" i="1"/>
  <c r="D7701" i="1"/>
  <c r="E7701" i="1"/>
  <c r="A7702" i="1"/>
  <c r="B7702" i="1"/>
  <c r="C7702" i="1"/>
  <c r="D7702" i="1"/>
  <c r="E7702" i="1"/>
  <c r="A7703" i="1"/>
  <c r="B7703" i="1"/>
  <c r="C7703" i="1"/>
  <c r="D7703" i="1"/>
  <c r="E7703" i="1"/>
  <c r="A7704" i="1"/>
  <c r="B7704" i="1"/>
  <c r="C7704" i="1"/>
  <c r="D7704" i="1"/>
  <c r="E7704" i="1"/>
  <c r="A7705" i="1"/>
  <c r="B7705" i="1"/>
  <c r="C7705" i="1"/>
  <c r="D7705" i="1"/>
  <c r="E7705" i="1"/>
  <c r="A7706" i="1"/>
  <c r="B7706" i="1"/>
  <c r="C7706" i="1"/>
  <c r="D7706" i="1"/>
  <c r="E7706" i="1"/>
  <c r="A7707" i="1"/>
  <c r="B7707" i="1"/>
  <c r="C7707" i="1"/>
  <c r="D7707" i="1"/>
  <c r="E7707" i="1"/>
  <c r="A7708" i="1"/>
  <c r="B7708" i="1"/>
  <c r="C7708" i="1"/>
  <c r="D7708" i="1"/>
  <c r="E7708" i="1"/>
  <c r="A7709" i="1"/>
  <c r="B7709" i="1"/>
  <c r="C7709" i="1"/>
  <c r="D7709" i="1"/>
  <c r="E7709" i="1"/>
  <c r="A7710" i="1"/>
  <c r="B7710" i="1"/>
  <c r="C7710" i="1"/>
  <c r="D7710" i="1"/>
  <c r="E7710" i="1"/>
  <c r="A7711" i="1"/>
  <c r="B7711" i="1"/>
  <c r="C7711" i="1"/>
  <c r="D7711" i="1"/>
  <c r="E7711" i="1"/>
  <c r="A7712" i="1"/>
  <c r="B7712" i="1"/>
  <c r="C7712" i="1"/>
  <c r="D7712" i="1"/>
  <c r="E7712" i="1"/>
  <c r="A7713" i="1"/>
  <c r="B7713" i="1"/>
  <c r="C7713" i="1"/>
  <c r="D7713" i="1"/>
  <c r="E7713" i="1"/>
  <c r="A7714" i="1"/>
  <c r="B7714" i="1"/>
  <c r="C7714" i="1"/>
  <c r="D7714" i="1"/>
  <c r="E7714" i="1"/>
  <c r="A7715" i="1"/>
  <c r="B7715" i="1"/>
  <c r="C7715" i="1"/>
  <c r="D7715" i="1"/>
  <c r="E7715" i="1"/>
  <c r="A7716" i="1"/>
  <c r="B7716" i="1"/>
  <c r="C7716" i="1"/>
  <c r="D7716" i="1"/>
  <c r="E7716" i="1"/>
  <c r="A7717" i="1"/>
  <c r="B7717" i="1"/>
  <c r="C7717" i="1"/>
  <c r="D7717" i="1"/>
  <c r="E7717" i="1"/>
  <c r="A7718" i="1"/>
  <c r="B7718" i="1"/>
  <c r="C7718" i="1"/>
  <c r="D7718" i="1"/>
  <c r="E7718" i="1"/>
  <c r="A7719" i="1"/>
  <c r="B7719" i="1"/>
  <c r="C7719" i="1"/>
  <c r="D7719" i="1"/>
  <c r="E7719" i="1"/>
  <c r="A7720" i="1"/>
  <c r="B7720" i="1"/>
  <c r="C7720" i="1"/>
  <c r="D7720" i="1"/>
  <c r="E7720" i="1"/>
  <c r="A7721" i="1"/>
  <c r="B7721" i="1"/>
  <c r="C7721" i="1"/>
  <c r="D7721" i="1"/>
  <c r="E7721" i="1"/>
  <c r="A7722" i="1"/>
  <c r="B7722" i="1"/>
  <c r="C7722" i="1"/>
  <c r="D7722" i="1"/>
  <c r="E7722" i="1"/>
  <c r="A7723" i="1"/>
  <c r="B7723" i="1"/>
  <c r="C7723" i="1"/>
  <c r="D7723" i="1"/>
  <c r="E7723" i="1"/>
  <c r="A7724" i="1"/>
  <c r="B7724" i="1"/>
  <c r="C7724" i="1"/>
  <c r="D7724" i="1"/>
  <c r="E7724" i="1"/>
  <c r="A7725" i="1"/>
  <c r="B7725" i="1"/>
  <c r="C7725" i="1"/>
  <c r="D7725" i="1"/>
  <c r="E7725" i="1"/>
  <c r="A7726" i="1"/>
  <c r="B7726" i="1"/>
  <c r="C7726" i="1"/>
  <c r="D7726" i="1"/>
  <c r="E7726" i="1"/>
  <c r="A7727" i="1"/>
  <c r="B7727" i="1"/>
  <c r="C7727" i="1"/>
  <c r="D7727" i="1"/>
  <c r="E7727" i="1"/>
  <c r="A7728" i="1"/>
  <c r="B7728" i="1"/>
  <c r="C7728" i="1"/>
  <c r="D7728" i="1"/>
  <c r="E7728" i="1"/>
  <c r="A7729" i="1"/>
  <c r="B7729" i="1"/>
  <c r="C7729" i="1"/>
  <c r="D7729" i="1"/>
  <c r="E7729" i="1"/>
  <c r="A7730" i="1"/>
  <c r="B7730" i="1"/>
  <c r="C7730" i="1"/>
  <c r="D7730" i="1"/>
  <c r="E7730" i="1"/>
  <c r="A7731" i="1"/>
  <c r="B7731" i="1"/>
  <c r="C7731" i="1"/>
  <c r="D7731" i="1"/>
  <c r="E7731" i="1"/>
  <c r="A7732" i="1"/>
  <c r="B7732" i="1"/>
  <c r="C7732" i="1"/>
  <c r="D7732" i="1"/>
  <c r="E7732" i="1"/>
  <c r="A7733" i="1"/>
  <c r="B7733" i="1"/>
  <c r="C7733" i="1"/>
  <c r="D7733" i="1"/>
  <c r="E7733" i="1"/>
  <c r="A7734" i="1"/>
  <c r="B7734" i="1"/>
  <c r="C7734" i="1"/>
  <c r="D7734" i="1"/>
  <c r="E7734" i="1"/>
  <c r="A7735" i="1"/>
  <c r="B7735" i="1"/>
  <c r="C7735" i="1"/>
  <c r="D7735" i="1"/>
  <c r="E7735" i="1"/>
  <c r="A7736" i="1"/>
  <c r="B7736" i="1"/>
  <c r="C7736" i="1"/>
  <c r="D7736" i="1"/>
  <c r="E7736" i="1"/>
  <c r="A7737" i="1"/>
  <c r="B7737" i="1"/>
  <c r="C7737" i="1"/>
  <c r="D7737" i="1"/>
  <c r="E7737" i="1"/>
  <c r="A7738" i="1"/>
  <c r="B7738" i="1"/>
  <c r="C7738" i="1"/>
  <c r="D7738" i="1"/>
  <c r="E7738" i="1"/>
  <c r="A7739" i="1"/>
  <c r="B7739" i="1"/>
  <c r="C7739" i="1"/>
  <c r="D7739" i="1"/>
  <c r="E7739" i="1"/>
  <c r="A7740" i="1"/>
  <c r="B7740" i="1"/>
  <c r="C7740" i="1"/>
  <c r="D7740" i="1"/>
  <c r="E7740" i="1"/>
  <c r="A7741" i="1"/>
  <c r="B7741" i="1"/>
  <c r="C7741" i="1"/>
  <c r="D7741" i="1"/>
  <c r="E7741" i="1"/>
  <c r="A7742" i="1"/>
  <c r="B7742" i="1"/>
  <c r="C7742" i="1"/>
  <c r="D7742" i="1"/>
  <c r="E7742" i="1"/>
  <c r="A7743" i="1"/>
  <c r="B7743" i="1"/>
  <c r="C7743" i="1"/>
  <c r="D7743" i="1"/>
  <c r="E7743" i="1"/>
  <c r="A7744" i="1"/>
  <c r="B7744" i="1"/>
  <c r="C7744" i="1"/>
  <c r="D7744" i="1"/>
  <c r="E7744" i="1"/>
  <c r="A7745" i="1"/>
  <c r="B7745" i="1"/>
  <c r="C7745" i="1"/>
  <c r="D7745" i="1"/>
  <c r="E7745" i="1"/>
  <c r="A7746" i="1"/>
  <c r="B7746" i="1"/>
  <c r="C7746" i="1"/>
  <c r="D7746" i="1"/>
  <c r="E7746" i="1"/>
  <c r="A7747" i="1"/>
  <c r="B7747" i="1"/>
  <c r="C7747" i="1"/>
  <c r="D7747" i="1"/>
  <c r="E7747" i="1"/>
  <c r="A7748" i="1"/>
  <c r="B7748" i="1"/>
  <c r="C7748" i="1"/>
  <c r="D7748" i="1"/>
  <c r="E7748" i="1"/>
  <c r="A7749" i="1"/>
  <c r="B7749" i="1"/>
  <c r="C7749" i="1"/>
  <c r="D7749" i="1"/>
  <c r="E7749" i="1"/>
  <c r="A7750" i="1"/>
  <c r="B7750" i="1"/>
  <c r="C7750" i="1"/>
  <c r="D7750" i="1"/>
  <c r="E7750" i="1"/>
  <c r="A7751" i="1"/>
  <c r="B7751" i="1"/>
  <c r="C7751" i="1"/>
  <c r="D7751" i="1"/>
  <c r="E7751" i="1"/>
  <c r="A7752" i="1"/>
  <c r="B7752" i="1"/>
  <c r="C7752" i="1"/>
  <c r="D7752" i="1"/>
  <c r="E7752" i="1"/>
  <c r="A7753" i="1"/>
  <c r="B7753" i="1"/>
  <c r="C7753" i="1"/>
  <c r="D7753" i="1"/>
  <c r="E7753" i="1"/>
  <c r="A7754" i="1"/>
  <c r="B7754" i="1"/>
  <c r="C7754" i="1"/>
  <c r="D7754" i="1"/>
  <c r="E7754" i="1"/>
  <c r="A7755" i="1"/>
  <c r="B7755" i="1"/>
  <c r="C7755" i="1"/>
  <c r="D7755" i="1"/>
  <c r="E7755" i="1"/>
  <c r="A7756" i="1"/>
  <c r="B7756" i="1"/>
  <c r="C7756" i="1"/>
  <c r="D7756" i="1"/>
  <c r="E7756" i="1"/>
  <c r="A7757" i="1"/>
  <c r="B7757" i="1"/>
  <c r="C7757" i="1"/>
  <c r="D7757" i="1"/>
  <c r="E7757" i="1"/>
  <c r="A7758" i="1"/>
  <c r="B7758" i="1"/>
  <c r="C7758" i="1"/>
  <c r="D7758" i="1"/>
  <c r="E7758" i="1"/>
  <c r="A7759" i="1"/>
  <c r="B7759" i="1"/>
  <c r="C7759" i="1"/>
  <c r="D7759" i="1"/>
  <c r="E7759" i="1"/>
  <c r="A7760" i="1"/>
  <c r="B7760" i="1"/>
  <c r="C7760" i="1"/>
  <c r="D7760" i="1"/>
  <c r="E7760" i="1"/>
  <c r="A7761" i="1"/>
  <c r="B7761" i="1"/>
  <c r="C7761" i="1"/>
  <c r="D7761" i="1"/>
  <c r="E7761" i="1"/>
  <c r="A7762" i="1"/>
  <c r="B7762" i="1"/>
  <c r="C7762" i="1"/>
  <c r="D7762" i="1"/>
  <c r="E7762" i="1"/>
  <c r="A7763" i="1"/>
  <c r="B7763" i="1"/>
  <c r="C7763" i="1"/>
  <c r="D7763" i="1"/>
  <c r="E7763" i="1"/>
  <c r="A7764" i="1"/>
  <c r="B7764" i="1"/>
  <c r="C7764" i="1"/>
  <c r="D7764" i="1"/>
  <c r="E7764" i="1"/>
  <c r="A7765" i="1"/>
  <c r="B7765" i="1"/>
  <c r="C7765" i="1"/>
  <c r="D7765" i="1"/>
  <c r="E7765" i="1"/>
  <c r="A7766" i="1"/>
  <c r="B7766" i="1"/>
  <c r="C7766" i="1"/>
  <c r="D7766" i="1"/>
  <c r="E7766" i="1"/>
  <c r="A7767" i="1"/>
  <c r="B7767" i="1"/>
  <c r="C7767" i="1"/>
  <c r="D7767" i="1"/>
  <c r="E7767" i="1"/>
  <c r="A7768" i="1"/>
  <c r="B7768" i="1"/>
  <c r="C7768" i="1"/>
  <c r="D7768" i="1"/>
  <c r="E7768" i="1"/>
  <c r="A7769" i="1"/>
  <c r="B7769" i="1"/>
  <c r="C7769" i="1"/>
  <c r="D7769" i="1"/>
  <c r="E7769" i="1"/>
  <c r="A7770" i="1"/>
  <c r="B7770" i="1"/>
  <c r="C7770" i="1"/>
  <c r="D7770" i="1"/>
  <c r="E7770" i="1"/>
  <c r="A7771" i="1"/>
  <c r="B7771" i="1"/>
  <c r="C7771" i="1"/>
  <c r="D7771" i="1"/>
  <c r="E7771" i="1"/>
  <c r="A7772" i="1"/>
  <c r="B7772" i="1"/>
  <c r="C7772" i="1"/>
  <c r="D7772" i="1"/>
  <c r="E7772" i="1"/>
  <c r="A7773" i="1"/>
  <c r="B7773" i="1"/>
  <c r="C7773" i="1"/>
  <c r="D7773" i="1"/>
  <c r="E7773" i="1"/>
  <c r="A7774" i="1"/>
  <c r="B7774" i="1"/>
  <c r="C7774" i="1"/>
  <c r="D7774" i="1"/>
  <c r="E7774" i="1"/>
  <c r="A7775" i="1"/>
  <c r="B7775" i="1"/>
  <c r="C7775" i="1"/>
  <c r="D7775" i="1"/>
  <c r="E7775" i="1"/>
  <c r="A7776" i="1"/>
  <c r="B7776" i="1"/>
  <c r="C7776" i="1"/>
  <c r="D7776" i="1"/>
  <c r="E7776" i="1"/>
  <c r="A7777" i="1"/>
  <c r="B7777" i="1"/>
  <c r="C7777" i="1"/>
  <c r="D7777" i="1"/>
  <c r="E7777" i="1"/>
  <c r="A7778" i="1"/>
  <c r="B7778" i="1"/>
  <c r="C7778" i="1"/>
  <c r="D7778" i="1"/>
  <c r="E7778" i="1"/>
  <c r="A7779" i="1"/>
  <c r="B7779" i="1"/>
  <c r="C7779" i="1"/>
  <c r="D7779" i="1"/>
  <c r="E7779" i="1"/>
  <c r="A7780" i="1"/>
  <c r="B7780" i="1"/>
  <c r="C7780" i="1"/>
  <c r="D7780" i="1"/>
  <c r="E7780" i="1"/>
  <c r="A7781" i="1"/>
  <c r="B7781" i="1"/>
  <c r="C7781" i="1"/>
  <c r="D7781" i="1"/>
  <c r="E7781" i="1"/>
  <c r="A7782" i="1"/>
  <c r="B7782" i="1"/>
  <c r="C7782" i="1"/>
  <c r="D7782" i="1"/>
  <c r="E7782" i="1"/>
  <c r="A7783" i="1"/>
  <c r="B7783" i="1"/>
  <c r="C7783" i="1"/>
  <c r="D7783" i="1"/>
  <c r="E7783" i="1"/>
  <c r="A7784" i="1"/>
  <c r="B7784" i="1"/>
  <c r="C7784" i="1"/>
  <c r="D7784" i="1"/>
  <c r="E7784" i="1"/>
  <c r="A7785" i="1"/>
  <c r="B7785" i="1"/>
  <c r="C7785" i="1"/>
  <c r="D7785" i="1"/>
  <c r="E7785" i="1"/>
  <c r="A7786" i="1"/>
  <c r="B7786" i="1"/>
  <c r="C7786" i="1"/>
  <c r="D7786" i="1"/>
  <c r="E7786" i="1"/>
  <c r="A7787" i="1"/>
  <c r="B7787" i="1"/>
  <c r="C7787" i="1"/>
  <c r="D7787" i="1"/>
  <c r="E7787" i="1"/>
  <c r="A7788" i="1"/>
  <c r="B7788" i="1"/>
  <c r="C7788" i="1"/>
  <c r="D7788" i="1"/>
  <c r="E7788" i="1"/>
  <c r="A7789" i="1"/>
  <c r="B7789" i="1"/>
  <c r="C7789" i="1"/>
  <c r="D7789" i="1"/>
  <c r="E7789" i="1"/>
  <c r="A7790" i="1"/>
  <c r="B7790" i="1"/>
  <c r="C7790" i="1"/>
  <c r="D7790" i="1"/>
  <c r="E7790" i="1"/>
  <c r="A7791" i="1"/>
  <c r="B7791" i="1"/>
  <c r="C7791" i="1"/>
  <c r="D7791" i="1"/>
  <c r="E7791" i="1"/>
  <c r="A7792" i="1"/>
  <c r="B7792" i="1"/>
  <c r="C7792" i="1"/>
  <c r="D7792" i="1"/>
  <c r="E7792" i="1"/>
  <c r="A7793" i="1"/>
  <c r="B7793" i="1"/>
  <c r="C7793" i="1"/>
  <c r="D7793" i="1"/>
  <c r="E7793" i="1"/>
  <c r="A7794" i="1"/>
  <c r="B7794" i="1"/>
  <c r="C7794" i="1"/>
  <c r="D7794" i="1"/>
  <c r="E7794" i="1"/>
  <c r="A7795" i="1"/>
  <c r="B7795" i="1"/>
  <c r="C7795" i="1"/>
  <c r="D7795" i="1"/>
  <c r="E7795" i="1"/>
  <c r="A7796" i="1"/>
  <c r="B7796" i="1"/>
  <c r="C7796" i="1"/>
  <c r="D7796" i="1"/>
  <c r="E7796" i="1"/>
  <c r="A7797" i="1"/>
  <c r="B7797" i="1"/>
  <c r="C7797" i="1"/>
  <c r="D7797" i="1"/>
  <c r="E7797" i="1"/>
  <c r="A7798" i="1"/>
  <c r="B7798" i="1"/>
  <c r="C7798" i="1"/>
  <c r="D7798" i="1"/>
  <c r="E7798" i="1"/>
  <c r="A7799" i="1"/>
  <c r="B7799" i="1"/>
  <c r="C7799" i="1"/>
  <c r="D7799" i="1"/>
  <c r="E7799" i="1"/>
  <c r="A7800" i="1"/>
  <c r="B7800" i="1"/>
  <c r="C7800" i="1"/>
  <c r="D7800" i="1"/>
  <c r="E7800" i="1"/>
  <c r="A7801" i="1"/>
  <c r="B7801" i="1"/>
  <c r="C7801" i="1"/>
  <c r="D7801" i="1"/>
  <c r="E7801" i="1"/>
  <c r="A7802" i="1"/>
  <c r="B7802" i="1"/>
  <c r="C7802" i="1"/>
  <c r="D7802" i="1"/>
  <c r="E7802" i="1"/>
  <c r="A7803" i="1"/>
  <c r="B7803" i="1"/>
  <c r="C7803" i="1"/>
  <c r="D7803" i="1"/>
  <c r="E7803" i="1"/>
  <c r="A7804" i="1"/>
  <c r="B7804" i="1"/>
  <c r="C7804" i="1"/>
  <c r="D7804" i="1"/>
  <c r="E7804" i="1"/>
  <c r="A7805" i="1"/>
  <c r="B7805" i="1"/>
  <c r="C7805" i="1"/>
  <c r="D7805" i="1"/>
  <c r="E7805" i="1"/>
  <c r="A7806" i="1"/>
  <c r="B7806" i="1"/>
  <c r="C7806" i="1"/>
  <c r="D7806" i="1"/>
  <c r="E7806" i="1"/>
  <c r="A7807" i="1"/>
  <c r="B7807" i="1"/>
  <c r="C7807" i="1"/>
  <c r="D7807" i="1"/>
  <c r="E7807" i="1"/>
  <c r="A7808" i="1"/>
  <c r="B7808" i="1"/>
  <c r="C7808" i="1"/>
  <c r="D7808" i="1"/>
  <c r="E7808" i="1"/>
  <c r="A7809" i="1"/>
  <c r="B7809" i="1"/>
  <c r="C7809" i="1"/>
  <c r="D7809" i="1"/>
  <c r="E7809" i="1"/>
  <c r="A7810" i="1"/>
  <c r="B7810" i="1"/>
  <c r="C7810" i="1"/>
  <c r="D7810" i="1"/>
  <c r="E7810" i="1"/>
  <c r="A7811" i="1"/>
  <c r="B7811" i="1"/>
  <c r="C7811" i="1"/>
  <c r="D7811" i="1"/>
  <c r="E7811" i="1"/>
  <c r="A7812" i="1"/>
  <c r="B7812" i="1"/>
  <c r="C7812" i="1"/>
  <c r="D7812" i="1"/>
  <c r="E7812" i="1"/>
  <c r="A7813" i="1"/>
  <c r="B7813" i="1"/>
  <c r="C7813" i="1"/>
  <c r="D7813" i="1"/>
  <c r="E7813" i="1"/>
  <c r="A7814" i="1"/>
  <c r="B7814" i="1"/>
  <c r="C7814" i="1"/>
  <c r="D7814" i="1"/>
  <c r="E7814" i="1"/>
  <c r="A7815" i="1"/>
  <c r="B7815" i="1"/>
  <c r="C7815" i="1"/>
  <c r="D7815" i="1"/>
  <c r="E7815" i="1"/>
  <c r="A7816" i="1"/>
  <c r="B7816" i="1"/>
  <c r="C7816" i="1"/>
  <c r="D7816" i="1"/>
  <c r="E7816" i="1"/>
  <c r="A7817" i="1"/>
  <c r="B7817" i="1"/>
  <c r="C7817" i="1"/>
  <c r="D7817" i="1"/>
  <c r="E7817" i="1"/>
  <c r="A7818" i="1"/>
  <c r="B7818" i="1"/>
  <c r="C7818" i="1"/>
  <c r="D7818" i="1"/>
  <c r="E7818" i="1"/>
  <c r="A7819" i="1"/>
  <c r="B7819" i="1"/>
  <c r="C7819" i="1"/>
  <c r="D7819" i="1"/>
  <c r="E7819" i="1"/>
  <c r="A7820" i="1"/>
  <c r="B7820" i="1"/>
  <c r="C7820" i="1"/>
  <c r="D7820" i="1"/>
  <c r="E7820" i="1"/>
  <c r="A7821" i="1"/>
  <c r="B7821" i="1"/>
  <c r="C7821" i="1"/>
  <c r="D7821" i="1"/>
  <c r="E7821" i="1"/>
  <c r="A7822" i="1"/>
  <c r="B7822" i="1"/>
  <c r="C7822" i="1"/>
  <c r="D7822" i="1"/>
  <c r="E7822" i="1"/>
  <c r="A7823" i="1"/>
  <c r="B7823" i="1"/>
  <c r="C7823" i="1"/>
  <c r="D7823" i="1"/>
  <c r="E7823" i="1"/>
  <c r="A7824" i="1"/>
  <c r="B7824" i="1"/>
  <c r="C7824" i="1"/>
  <c r="D7824" i="1"/>
  <c r="E7824" i="1"/>
  <c r="A7825" i="1"/>
  <c r="B7825" i="1"/>
  <c r="C7825" i="1"/>
  <c r="D7825" i="1"/>
  <c r="E7825" i="1"/>
  <c r="A7826" i="1"/>
  <c r="B7826" i="1"/>
  <c r="C7826" i="1"/>
  <c r="D7826" i="1"/>
  <c r="E7826" i="1"/>
  <c r="A7827" i="1"/>
  <c r="B7827" i="1"/>
  <c r="C7827" i="1"/>
  <c r="D7827" i="1"/>
  <c r="E7827" i="1"/>
  <c r="A7828" i="1"/>
  <c r="B7828" i="1"/>
  <c r="C7828" i="1"/>
  <c r="D7828" i="1"/>
  <c r="E7828" i="1"/>
  <c r="A7829" i="1"/>
  <c r="B7829" i="1"/>
  <c r="C7829" i="1"/>
  <c r="D7829" i="1"/>
  <c r="E7829" i="1"/>
  <c r="A7830" i="1"/>
  <c r="B7830" i="1"/>
  <c r="C7830" i="1"/>
  <c r="D7830" i="1"/>
  <c r="E7830" i="1"/>
  <c r="A7831" i="1"/>
  <c r="B7831" i="1"/>
  <c r="C7831" i="1"/>
  <c r="D7831" i="1"/>
  <c r="E7831" i="1"/>
  <c r="A7832" i="1"/>
  <c r="B7832" i="1"/>
  <c r="C7832" i="1"/>
  <c r="D7832" i="1"/>
  <c r="E7832" i="1"/>
  <c r="A7833" i="1"/>
  <c r="B7833" i="1"/>
  <c r="C7833" i="1"/>
  <c r="D7833" i="1"/>
  <c r="E7833" i="1"/>
  <c r="A7834" i="1"/>
  <c r="B7834" i="1"/>
  <c r="C7834" i="1"/>
  <c r="D7834" i="1"/>
  <c r="E7834" i="1"/>
  <c r="A7835" i="1"/>
  <c r="B7835" i="1"/>
  <c r="C7835" i="1"/>
  <c r="D7835" i="1"/>
  <c r="E7835" i="1"/>
  <c r="A7836" i="1"/>
  <c r="B7836" i="1"/>
  <c r="C7836" i="1"/>
  <c r="D7836" i="1"/>
  <c r="E7836" i="1"/>
  <c r="A7837" i="1"/>
  <c r="B7837" i="1"/>
  <c r="C7837" i="1"/>
  <c r="D7837" i="1"/>
  <c r="E7837" i="1"/>
  <c r="A7838" i="1"/>
  <c r="B7838" i="1"/>
  <c r="C7838" i="1"/>
  <c r="D7838" i="1"/>
  <c r="E7838" i="1"/>
  <c r="A7839" i="1"/>
  <c r="B7839" i="1"/>
  <c r="C7839" i="1"/>
  <c r="D7839" i="1"/>
  <c r="E7839" i="1"/>
  <c r="A7840" i="1"/>
  <c r="B7840" i="1"/>
  <c r="C7840" i="1"/>
  <c r="D7840" i="1"/>
  <c r="E7840" i="1"/>
  <c r="A7841" i="1"/>
  <c r="B7841" i="1"/>
  <c r="C7841" i="1"/>
  <c r="D7841" i="1"/>
  <c r="E7841" i="1"/>
  <c r="A7842" i="1"/>
  <c r="B7842" i="1"/>
  <c r="C7842" i="1"/>
  <c r="D7842" i="1"/>
  <c r="E7842" i="1"/>
  <c r="A7843" i="1"/>
  <c r="B7843" i="1"/>
  <c r="C7843" i="1"/>
  <c r="D7843" i="1"/>
  <c r="E7843" i="1"/>
  <c r="A7844" i="1"/>
  <c r="B7844" i="1"/>
  <c r="C7844" i="1"/>
  <c r="D7844" i="1"/>
  <c r="E7844" i="1"/>
  <c r="A7845" i="1"/>
  <c r="B7845" i="1"/>
  <c r="C7845" i="1"/>
  <c r="D7845" i="1"/>
  <c r="E7845" i="1"/>
  <c r="A7846" i="1"/>
  <c r="B7846" i="1"/>
  <c r="C7846" i="1"/>
  <c r="D7846" i="1"/>
  <c r="E7846" i="1"/>
  <c r="A7847" i="1"/>
  <c r="B7847" i="1"/>
  <c r="C7847" i="1"/>
  <c r="D7847" i="1"/>
  <c r="E7847" i="1"/>
  <c r="A7848" i="1"/>
  <c r="B7848" i="1"/>
  <c r="C7848" i="1"/>
  <c r="D7848" i="1"/>
  <c r="E7848" i="1"/>
  <c r="A7849" i="1"/>
  <c r="B7849" i="1"/>
  <c r="C7849" i="1"/>
  <c r="D7849" i="1"/>
  <c r="E7849" i="1"/>
  <c r="A7850" i="1"/>
  <c r="B7850" i="1"/>
  <c r="C7850" i="1"/>
  <c r="D7850" i="1"/>
  <c r="E7850" i="1"/>
  <c r="A7851" i="1"/>
  <c r="B7851" i="1"/>
  <c r="C7851" i="1"/>
  <c r="D7851" i="1"/>
  <c r="E7851" i="1"/>
  <c r="A7852" i="1"/>
  <c r="B7852" i="1"/>
  <c r="C7852" i="1"/>
  <c r="D7852" i="1"/>
  <c r="E7852" i="1"/>
  <c r="A7853" i="1"/>
  <c r="B7853" i="1"/>
  <c r="C7853" i="1"/>
  <c r="D7853" i="1"/>
  <c r="E7853" i="1"/>
  <c r="A7854" i="1"/>
  <c r="B7854" i="1"/>
  <c r="C7854" i="1"/>
  <c r="D7854" i="1"/>
  <c r="E7854" i="1"/>
  <c r="A7855" i="1"/>
  <c r="B7855" i="1"/>
  <c r="C7855" i="1"/>
  <c r="D7855" i="1"/>
  <c r="E7855" i="1"/>
  <c r="A7856" i="1"/>
  <c r="B7856" i="1"/>
  <c r="C7856" i="1"/>
  <c r="D7856" i="1"/>
  <c r="E7856" i="1"/>
  <c r="A7857" i="1"/>
  <c r="B7857" i="1"/>
  <c r="C7857" i="1"/>
  <c r="D7857" i="1"/>
  <c r="E7857" i="1"/>
  <c r="A7858" i="1"/>
  <c r="B7858" i="1"/>
  <c r="C7858" i="1"/>
  <c r="D7858" i="1"/>
  <c r="E7858" i="1"/>
  <c r="A7859" i="1"/>
  <c r="B7859" i="1"/>
  <c r="C7859" i="1"/>
  <c r="D7859" i="1"/>
  <c r="E7859" i="1"/>
  <c r="A7860" i="1"/>
  <c r="B7860" i="1"/>
  <c r="C7860" i="1"/>
  <c r="D7860" i="1"/>
  <c r="E7860" i="1"/>
  <c r="A7861" i="1"/>
  <c r="B7861" i="1"/>
  <c r="C7861" i="1"/>
  <c r="D7861" i="1"/>
  <c r="E7861" i="1"/>
  <c r="A7862" i="1"/>
  <c r="B7862" i="1"/>
  <c r="C7862" i="1"/>
  <c r="D7862" i="1"/>
  <c r="E7862" i="1"/>
  <c r="A7863" i="1"/>
  <c r="B7863" i="1"/>
  <c r="C7863" i="1"/>
  <c r="D7863" i="1"/>
  <c r="E7863" i="1"/>
  <c r="A7864" i="1"/>
  <c r="B7864" i="1"/>
  <c r="C7864" i="1"/>
  <c r="D7864" i="1"/>
  <c r="E7864" i="1"/>
  <c r="A7865" i="1"/>
  <c r="B7865" i="1"/>
  <c r="C7865" i="1"/>
  <c r="D7865" i="1"/>
  <c r="E7865" i="1"/>
  <c r="A7866" i="1"/>
  <c r="B7866" i="1"/>
  <c r="C7866" i="1"/>
  <c r="D7866" i="1"/>
  <c r="E7866" i="1"/>
  <c r="A7867" i="1"/>
  <c r="B7867" i="1"/>
  <c r="C7867" i="1"/>
  <c r="D7867" i="1"/>
  <c r="E7867" i="1"/>
  <c r="A7868" i="1"/>
  <c r="B7868" i="1"/>
  <c r="C7868" i="1"/>
  <c r="D7868" i="1"/>
  <c r="E7868" i="1"/>
  <c r="A7869" i="1"/>
  <c r="B7869" i="1"/>
  <c r="C7869" i="1"/>
  <c r="D7869" i="1"/>
  <c r="E7869" i="1"/>
  <c r="A7870" i="1"/>
  <c r="B7870" i="1"/>
  <c r="C7870" i="1"/>
  <c r="D7870" i="1"/>
  <c r="E7870" i="1"/>
  <c r="A7871" i="1"/>
  <c r="B7871" i="1"/>
  <c r="C7871" i="1"/>
  <c r="D7871" i="1"/>
  <c r="E7871" i="1"/>
  <c r="A7872" i="1"/>
  <c r="B7872" i="1"/>
  <c r="C7872" i="1"/>
  <c r="D7872" i="1"/>
  <c r="E7872" i="1"/>
  <c r="A7873" i="1"/>
  <c r="B7873" i="1"/>
  <c r="C7873" i="1"/>
  <c r="D7873" i="1"/>
  <c r="E7873" i="1"/>
  <c r="A7874" i="1"/>
  <c r="B7874" i="1"/>
  <c r="C7874" i="1"/>
  <c r="D7874" i="1"/>
  <c r="E7874" i="1"/>
  <c r="A7875" i="1"/>
  <c r="B7875" i="1"/>
  <c r="C7875" i="1"/>
  <c r="D7875" i="1"/>
  <c r="E7875" i="1"/>
  <c r="A7876" i="1"/>
  <c r="B7876" i="1"/>
  <c r="C7876" i="1"/>
  <c r="D7876" i="1"/>
  <c r="E7876" i="1"/>
  <c r="A7877" i="1"/>
  <c r="B7877" i="1"/>
  <c r="C7877" i="1"/>
  <c r="D7877" i="1"/>
  <c r="E7877" i="1"/>
  <c r="A7878" i="1"/>
  <c r="B7878" i="1"/>
  <c r="C7878" i="1"/>
  <c r="D7878" i="1"/>
  <c r="E7878" i="1"/>
  <c r="A7879" i="1"/>
  <c r="B7879" i="1"/>
  <c r="C7879" i="1"/>
  <c r="D7879" i="1"/>
  <c r="E7879" i="1"/>
  <c r="A7880" i="1"/>
  <c r="B7880" i="1"/>
  <c r="C7880" i="1"/>
  <c r="D7880" i="1"/>
  <c r="E7880" i="1"/>
  <c r="A7881" i="1"/>
  <c r="B7881" i="1"/>
  <c r="C7881" i="1"/>
  <c r="D7881" i="1"/>
  <c r="E7881" i="1"/>
  <c r="A7882" i="1"/>
  <c r="B7882" i="1"/>
  <c r="C7882" i="1"/>
  <c r="D7882" i="1"/>
  <c r="E7882" i="1"/>
  <c r="A7883" i="1"/>
  <c r="B7883" i="1"/>
  <c r="C7883" i="1"/>
  <c r="D7883" i="1"/>
  <c r="E7883" i="1"/>
  <c r="A7884" i="1"/>
  <c r="B7884" i="1"/>
  <c r="C7884" i="1"/>
  <c r="D7884" i="1"/>
  <c r="E7884" i="1"/>
  <c r="A7885" i="1"/>
  <c r="B7885" i="1"/>
  <c r="C7885" i="1"/>
  <c r="D7885" i="1"/>
  <c r="E7885" i="1"/>
  <c r="A7886" i="1"/>
  <c r="B7886" i="1"/>
  <c r="C7886" i="1"/>
  <c r="D7886" i="1"/>
  <c r="E7886" i="1"/>
  <c r="A7887" i="1"/>
  <c r="B7887" i="1"/>
  <c r="C7887" i="1"/>
  <c r="D7887" i="1"/>
  <c r="E7887" i="1"/>
  <c r="A7888" i="1"/>
  <c r="B7888" i="1"/>
  <c r="C7888" i="1"/>
  <c r="D7888" i="1"/>
  <c r="E7888" i="1"/>
  <c r="A7889" i="1"/>
  <c r="B7889" i="1"/>
  <c r="C7889" i="1"/>
  <c r="D7889" i="1"/>
  <c r="E7889" i="1"/>
  <c r="A7890" i="1"/>
  <c r="B7890" i="1"/>
  <c r="C7890" i="1"/>
  <c r="D7890" i="1"/>
  <c r="E7890" i="1"/>
  <c r="A7891" i="1"/>
  <c r="B7891" i="1"/>
  <c r="C7891" i="1"/>
  <c r="D7891" i="1"/>
  <c r="E7891" i="1"/>
  <c r="A7892" i="1"/>
  <c r="B7892" i="1"/>
  <c r="C7892" i="1"/>
  <c r="D7892" i="1"/>
  <c r="E7892" i="1"/>
  <c r="A7893" i="1"/>
  <c r="B7893" i="1"/>
  <c r="C7893" i="1"/>
  <c r="D7893" i="1"/>
  <c r="E7893" i="1"/>
  <c r="A7894" i="1"/>
  <c r="B7894" i="1"/>
  <c r="C7894" i="1"/>
  <c r="D7894" i="1"/>
  <c r="E7894" i="1"/>
  <c r="A7895" i="1"/>
  <c r="B7895" i="1"/>
  <c r="C7895" i="1"/>
  <c r="D7895" i="1"/>
  <c r="E7895" i="1"/>
  <c r="A7896" i="1"/>
  <c r="B7896" i="1"/>
  <c r="C7896" i="1"/>
  <c r="D7896" i="1"/>
  <c r="E7896" i="1"/>
  <c r="A7897" i="1"/>
  <c r="B7897" i="1"/>
  <c r="C7897" i="1"/>
  <c r="D7897" i="1"/>
  <c r="E7897" i="1"/>
  <c r="A7898" i="1"/>
  <c r="B7898" i="1"/>
  <c r="C7898" i="1"/>
  <c r="D7898" i="1"/>
  <c r="E7898" i="1"/>
  <c r="A7899" i="1"/>
  <c r="B7899" i="1"/>
  <c r="C7899" i="1"/>
  <c r="D7899" i="1"/>
  <c r="E7899" i="1"/>
  <c r="A7900" i="1"/>
  <c r="B7900" i="1"/>
  <c r="C7900" i="1"/>
  <c r="D7900" i="1"/>
  <c r="E7900" i="1"/>
  <c r="A7901" i="1"/>
  <c r="B7901" i="1"/>
  <c r="C7901" i="1"/>
  <c r="D7901" i="1"/>
  <c r="E7901" i="1"/>
  <c r="A7902" i="1"/>
  <c r="B7902" i="1"/>
  <c r="C7902" i="1"/>
  <c r="D7902" i="1"/>
  <c r="E7902" i="1"/>
  <c r="A7903" i="1"/>
  <c r="B7903" i="1"/>
  <c r="C7903" i="1"/>
  <c r="D7903" i="1"/>
  <c r="E7903" i="1"/>
  <c r="A7904" i="1"/>
  <c r="B7904" i="1"/>
  <c r="C7904" i="1"/>
  <c r="D7904" i="1"/>
  <c r="E7904" i="1"/>
  <c r="A7905" i="1"/>
  <c r="B7905" i="1"/>
  <c r="C7905" i="1"/>
  <c r="D7905" i="1"/>
  <c r="E7905" i="1"/>
  <c r="A7906" i="1"/>
  <c r="B7906" i="1"/>
  <c r="C7906" i="1"/>
  <c r="D7906" i="1"/>
  <c r="E7906" i="1"/>
  <c r="A7907" i="1"/>
  <c r="B7907" i="1"/>
  <c r="C7907" i="1"/>
  <c r="D7907" i="1"/>
  <c r="E7907" i="1"/>
  <c r="A7908" i="1"/>
  <c r="B7908" i="1"/>
  <c r="C7908" i="1"/>
  <c r="D7908" i="1"/>
  <c r="E7908" i="1"/>
  <c r="A7909" i="1"/>
  <c r="B7909" i="1"/>
  <c r="C7909" i="1"/>
  <c r="D7909" i="1"/>
  <c r="E7909" i="1"/>
  <c r="A7910" i="1"/>
  <c r="B7910" i="1"/>
  <c r="C7910" i="1"/>
  <c r="D7910" i="1"/>
  <c r="E7910" i="1"/>
  <c r="A7911" i="1"/>
  <c r="B7911" i="1"/>
  <c r="C7911" i="1"/>
  <c r="D7911" i="1"/>
  <c r="E7911" i="1"/>
  <c r="A7912" i="1"/>
  <c r="B7912" i="1"/>
  <c r="C7912" i="1"/>
  <c r="D7912" i="1"/>
  <c r="E7912" i="1"/>
  <c r="A7913" i="1"/>
  <c r="B7913" i="1"/>
  <c r="C7913" i="1"/>
  <c r="D7913" i="1"/>
  <c r="E7913" i="1"/>
  <c r="A7914" i="1"/>
  <c r="B7914" i="1"/>
  <c r="C7914" i="1"/>
  <c r="D7914" i="1"/>
  <c r="E7914" i="1"/>
  <c r="A7915" i="1"/>
  <c r="B7915" i="1"/>
  <c r="C7915" i="1"/>
  <c r="D7915" i="1"/>
  <c r="E7915" i="1"/>
  <c r="A7916" i="1"/>
  <c r="B7916" i="1"/>
  <c r="C7916" i="1"/>
  <c r="D7916" i="1"/>
  <c r="E7916" i="1"/>
  <c r="A7917" i="1"/>
  <c r="B7917" i="1"/>
  <c r="C7917" i="1"/>
  <c r="D7917" i="1"/>
  <c r="E7917" i="1"/>
  <c r="A7918" i="1"/>
  <c r="B7918" i="1"/>
  <c r="C7918" i="1"/>
  <c r="D7918" i="1"/>
  <c r="E7918" i="1"/>
  <c r="A7919" i="1"/>
  <c r="B7919" i="1"/>
  <c r="C7919" i="1"/>
  <c r="D7919" i="1"/>
  <c r="E7919" i="1"/>
  <c r="A7920" i="1"/>
  <c r="B7920" i="1"/>
  <c r="C7920" i="1"/>
  <c r="D7920" i="1"/>
  <c r="E7920" i="1"/>
  <c r="A7921" i="1"/>
  <c r="B7921" i="1"/>
  <c r="C7921" i="1"/>
  <c r="D7921" i="1"/>
  <c r="E7921" i="1"/>
  <c r="A7922" i="1"/>
  <c r="B7922" i="1"/>
  <c r="C7922" i="1"/>
  <c r="D7922" i="1"/>
  <c r="E7922" i="1"/>
  <c r="A7923" i="1"/>
  <c r="B7923" i="1"/>
  <c r="C7923" i="1"/>
  <c r="D7923" i="1"/>
  <c r="E7923" i="1"/>
  <c r="A7924" i="1"/>
  <c r="B7924" i="1"/>
  <c r="C7924" i="1"/>
  <c r="D7924" i="1"/>
  <c r="E7924" i="1"/>
  <c r="A7925" i="1"/>
  <c r="B7925" i="1"/>
  <c r="C7925" i="1"/>
  <c r="D7925" i="1"/>
  <c r="E7925" i="1"/>
  <c r="A7926" i="1"/>
  <c r="B7926" i="1"/>
  <c r="C7926" i="1"/>
  <c r="D7926" i="1"/>
  <c r="E7926" i="1"/>
  <c r="A7927" i="1"/>
  <c r="B7927" i="1"/>
  <c r="C7927" i="1"/>
  <c r="D7927" i="1"/>
  <c r="E7927" i="1"/>
  <c r="A7928" i="1"/>
  <c r="B7928" i="1"/>
  <c r="C7928" i="1"/>
  <c r="D7928" i="1"/>
  <c r="E7928" i="1"/>
  <c r="A7929" i="1"/>
  <c r="B7929" i="1"/>
  <c r="C7929" i="1"/>
  <c r="D7929" i="1"/>
  <c r="E7929" i="1"/>
  <c r="A7930" i="1"/>
  <c r="B7930" i="1"/>
  <c r="C7930" i="1"/>
  <c r="D7930" i="1"/>
  <c r="E7930" i="1"/>
  <c r="A7931" i="1"/>
  <c r="B7931" i="1"/>
  <c r="C7931" i="1"/>
  <c r="D7931" i="1"/>
  <c r="E7931" i="1"/>
  <c r="A7932" i="1"/>
  <c r="B7932" i="1"/>
  <c r="C7932" i="1"/>
  <c r="D7932" i="1"/>
  <c r="E7932" i="1"/>
  <c r="A7933" i="1"/>
  <c r="B7933" i="1"/>
  <c r="C7933" i="1"/>
  <c r="D7933" i="1"/>
  <c r="E7933" i="1"/>
  <c r="A7934" i="1"/>
  <c r="B7934" i="1"/>
  <c r="C7934" i="1"/>
  <c r="D7934" i="1"/>
  <c r="E7934" i="1"/>
  <c r="A7935" i="1"/>
  <c r="B7935" i="1"/>
  <c r="C7935" i="1"/>
  <c r="D7935" i="1"/>
  <c r="E7935" i="1"/>
  <c r="A7936" i="1"/>
  <c r="B7936" i="1"/>
  <c r="C7936" i="1"/>
  <c r="D7936" i="1"/>
  <c r="E7936" i="1"/>
  <c r="A7937" i="1"/>
  <c r="B7937" i="1"/>
  <c r="C7937" i="1"/>
  <c r="D7937" i="1"/>
  <c r="E7937" i="1"/>
  <c r="A7938" i="1"/>
  <c r="B7938" i="1"/>
  <c r="C7938" i="1"/>
  <c r="D7938" i="1"/>
  <c r="E7938" i="1"/>
  <c r="A7939" i="1"/>
  <c r="B7939" i="1"/>
  <c r="C7939" i="1"/>
  <c r="D7939" i="1"/>
  <c r="E7939" i="1"/>
  <c r="A7940" i="1"/>
  <c r="B7940" i="1"/>
  <c r="C7940" i="1"/>
  <c r="D7940" i="1"/>
  <c r="E7940" i="1"/>
  <c r="A7941" i="1"/>
  <c r="B7941" i="1"/>
  <c r="C7941" i="1"/>
  <c r="D7941" i="1"/>
  <c r="E7941" i="1"/>
  <c r="A7942" i="1"/>
  <c r="B7942" i="1"/>
  <c r="C7942" i="1"/>
  <c r="D7942" i="1"/>
  <c r="E7942" i="1"/>
  <c r="A7943" i="1"/>
  <c r="B7943" i="1"/>
  <c r="C7943" i="1"/>
  <c r="D7943" i="1"/>
  <c r="E7943" i="1"/>
  <c r="A7944" i="1"/>
  <c r="B7944" i="1"/>
  <c r="C7944" i="1"/>
  <c r="D7944" i="1"/>
  <c r="E7944" i="1"/>
  <c r="A7945" i="1"/>
  <c r="B7945" i="1"/>
  <c r="C7945" i="1"/>
  <c r="D7945" i="1"/>
  <c r="E7945" i="1"/>
  <c r="A7946" i="1"/>
  <c r="B7946" i="1"/>
  <c r="C7946" i="1"/>
  <c r="D7946" i="1"/>
  <c r="E7946" i="1"/>
  <c r="A7947" i="1"/>
  <c r="B7947" i="1"/>
  <c r="C7947" i="1"/>
  <c r="D7947" i="1"/>
  <c r="E7947" i="1"/>
  <c r="A7948" i="1"/>
  <c r="B7948" i="1"/>
  <c r="C7948" i="1"/>
  <c r="D7948" i="1"/>
  <c r="E7948" i="1"/>
  <c r="A7949" i="1"/>
  <c r="B7949" i="1"/>
  <c r="C7949" i="1"/>
  <c r="D7949" i="1"/>
  <c r="E7949" i="1"/>
  <c r="A7950" i="1"/>
  <c r="B7950" i="1"/>
  <c r="C7950" i="1"/>
  <c r="D7950" i="1"/>
  <c r="E7950" i="1"/>
  <c r="A7951" i="1"/>
  <c r="B7951" i="1"/>
  <c r="C7951" i="1"/>
  <c r="D7951" i="1"/>
  <c r="E7951" i="1"/>
  <c r="A7952" i="1"/>
  <c r="B7952" i="1"/>
  <c r="C7952" i="1"/>
  <c r="D7952" i="1"/>
  <c r="E7952" i="1"/>
  <c r="A7953" i="1"/>
  <c r="B7953" i="1"/>
  <c r="C7953" i="1"/>
  <c r="D7953" i="1"/>
  <c r="E7953" i="1"/>
  <c r="A7954" i="1"/>
  <c r="B7954" i="1"/>
  <c r="C7954" i="1"/>
  <c r="D7954" i="1"/>
  <c r="E7954" i="1"/>
  <c r="A7955" i="1"/>
  <c r="B7955" i="1"/>
  <c r="C7955" i="1"/>
  <c r="D7955" i="1"/>
  <c r="E7955" i="1"/>
  <c r="A7956" i="1"/>
  <c r="B7956" i="1"/>
  <c r="C7956" i="1"/>
  <c r="D7956" i="1"/>
  <c r="E7956" i="1"/>
  <c r="A7957" i="1"/>
  <c r="B7957" i="1"/>
  <c r="C7957" i="1"/>
  <c r="D7957" i="1"/>
  <c r="E7957" i="1"/>
  <c r="A7958" i="1"/>
  <c r="B7958" i="1"/>
  <c r="C7958" i="1"/>
  <c r="D7958" i="1"/>
  <c r="E7958" i="1"/>
  <c r="A7959" i="1"/>
  <c r="B7959" i="1"/>
  <c r="C7959" i="1"/>
  <c r="D7959" i="1"/>
  <c r="E7959" i="1"/>
  <c r="A7960" i="1"/>
  <c r="B7960" i="1"/>
  <c r="C7960" i="1"/>
  <c r="D7960" i="1"/>
  <c r="E7960" i="1"/>
  <c r="A7961" i="1"/>
  <c r="B7961" i="1"/>
  <c r="C7961" i="1"/>
  <c r="D7961" i="1"/>
  <c r="E7961" i="1"/>
  <c r="A7962" i="1"/>
  <c r="B7962" i="1"/>
  <c r="C7962" i="1"/>
  <c r="D7962" i="1"/>
  <c r="E7962" i="1"/>
  <c r="A7963" i="1"/>
  <c r="B7963" i="1"/>
  <c r="C7963" i="1"/>
  <c r="D7963" i="1"/>
  <c r="E7963" i="1"/>
  <c r="A7964" i="1"/>
  <c r="B7964" i="1"/>
  <c r="C7964" i="1"/>
  <c r="D7964" i="1"/>
  <c r="E7964" i="1"/>
  <c r="A7965" i="1"/>
  <c r="B7965" i="1"/>
  <c r="C7965" i="1"/>
  <c r="D7965" i="1"/>
  <c r="E7965" i="1"/>
  <c r="A7966" i="1"/>
  <c r="B7966" i="1"/>
  <c r="C7966" i="1"/>
  <c r="D7966" i="1"/>
  <c r="E7966" i="1"/>
  <c r="A7967" i="1"/>
  <c r="B7967" i="1"/>
  <c r="C7967" i="1"/>
  <c r="D7967" i="1"/>
  <c r="E7967" i="1"/>
  <c r="A7968" i="1"/>
  <c r="B7968" i="1"/>
  <c r="C7968" i="1"/>
  <c r="D7968" i="1"/>
  <c r="E7968" i="1"/>
  <c r="A7969" i="1"/>
  <c r="B7969" i="1"/>
  <c r="C7969" i="1"/>
  <c r="D7969" i="1"/>
  <c r="E7969" i="1"/>
  <c r="A7970" i="1"/>
  <c r="B7970" i="1"/>
  <c r="C7970" i="1"/>
  <c r="D7970" i="1"/>
  <c r="E7970" i="1"/>
  <c r="A7971" i="1"/>
  <c r="B7971" i="1"/>
  <c r="C7971" i="1"/>
  <c r="D7971" i="1"/>
  <c r="E7971" i="1"/>
  <c r="A7972" i="1"/>
  <c r="B7972" i="1"/>
  <c r="C7972" i="1"/>
  <c r="D7972" i="1"/>
  <c r="E7972" i="1"/>
  <c r="A7973" i="1"/>
  <c r="B7973" i="1"/>
  <c r="C7973" i="1"/>
  <c r="D7973" i="1"/>
  <c r="E7973" i="1"/>
  <c r="A7974" i="1"/>
  <c r="B7974" i="1"/>
  <c r="C7974" i="1"/>
  <c r="D7974" i="1"/>
  <c r="E7974" i="1"/>
  <c r="A7975" i="1"/>
  <c r="B7975" i="1"/>
  <c r="C7975" i="1"/>
  <c r="D7975" i="1"/>
  <c r="E7975" i="1"/>
  <c r="A7976" i="1"/>
  <c r="B7976" i="1"/>
  <c r="C7976" i="1"/>
  <c r="D7976" i="1"/>
  <c r="E7976" i="1"/>
  <c r="A7977" i="1"/>
  <c r="B7977" i="1"/>
  <c r="C7977" i="1"/>
  <c r="D7977" i="1"/>
  <c r="E7977" i="1"/>
  <c r="A7978" i="1"/>
  <c r="B7978" i="1"/>
  <c r="C7978" i="1"/>
  <c r="D7978" i="1"/>
  <c r="E7978" i="1"/>
  <c r="A7979" i="1"/>
  <c r="B7979" i="1"/>
  <c r="C7979" i="1"/>
  <c r="D7979" i="1"/>
  <c r="E7979" i="1"/>
  <c r="A7980" i="1"/>
  <c r="B7980" i="1"/>
  <c r="C7980" i="1"/>
  <c r="D7980" i="1"/>
  <c r="E7980" i="1"/>
  <c r="A7981" i="1"/>
  <c r="B7981" i="1"/>
  <c r="C7981" i="1"/>
  <c r="D7981" i="1"/>
  <c r="E7981" i="1"/>
  <c r="A7982" i="1"/>
  <c r="B7982" i="1"/>
  <c r="C7982" i="1"/>
  <c r="D7982" i="1"/>
  <c r="E7982" i="1"/>
  <c r="A7983" i="1"/>
  <c r="B7983" i="1"/>
  <c r="C7983" i="1"/>
  <c r="D7983" i="1"/>
  <c r="E7983" i="1"/>
  <c r="A7984" i="1"/>
  <c r="B7984" i="1"/>
  <c r="C7984" i="1"/>
  <c r="D7984" i="1"/>
  <c r="E7984" i="1"/>
  <c r="A7985" i="1"/>
  <c r="B7985" i="1"/>
  <c r="C7985" i="1"/>
  <c r="D7985" i="1"/>
  <c r="E7985" i="1"/>
  <c r="A7986" i="1"/>
  <c r="B7986" i="1"/>
  <c r="C7986" i="1"/>
  <c r="D7986" i="1"/>
  <c r="E7986" i="1"/>
  <c r="A7987" i="1"/>
  <c r="B7987" i="1"/>
  <c r="C7987" i="1"/>
  <c r="D7987" i="1"/>
  <c r="E7987" i="1"/>
  <c r="A7988" i="1"/>
  <c r="B7988" i="1"/>
  <c r="C7988" i="1"/>
  <c r="D7988" i="1"/>
  <c r="E7988" i="1"/>
  <c r="A7989" i="1"/>
  <c r="B7989" i="1"/>
  <c r="C7989" i="1"/>
  <c r="D7989" i="1"/>
  <c r="E7989" i="1"/>
  <c r="A7990" i="1"/>
  <c r="B7990" i="1"/>
  <c r="C7990" i="1"/>
  <c r="D7990" i="1"/>
  <c r="E7990" i="1"/>
  <c r="A7991" i="1"/>
  <c r="B7991" i="1"/>
  <c r="C7991" i="1"/>
  <c r="D7991" i="1"/>
  <c r="E7991" i="1"/>
  <c r="A7992" i="1"/>
  <c r="B7992" i="1"/>
  <c r="C7992" i="1"/>
  <c r="D7992" i="1"/>
  <c r="E7992" i="1"/>
  <c r="A7993" i="1"/>
  <c r="B7993" i="1"/>
  <c r="C7993" i="1"/>
  <c r="D7993" i="1"/>
  <c r="E7993" i="1"/>
  <c r="A7994" i="1"/>
  <c r="B7994" i="1"/>
  <c r="C7994" i="1"/>
  <c r="D7994" i="1"/>
  <c r="E7994" i="1"/>
  <c r="A7995" i="1"/>
  <c r="B7995" i="1"/>
  <c r="C7995" i="1"/>
  <c r="D7995" i="1"/>
  <c r="E7995" i="1"/>
  <c r="A7996" i="1"/>
  <c r="B7996" i="1"/>
  <c r="C7996" i="1"/>
  <c r="D7996" i="1"/>
  <c r="E7996" i="1"/>
  <c r="A7997" i="1"/>
  <c r="B7997" i="1"/>
  <c r="C7997" i="1"/>
  <c r="D7997" i="1"/>
  <c r="E7997" i="1"/>
  <c r="A7998" i="1"/>
  <c r="B7998" i="1"/>
  <c r="C7998" i="1"/>
  <c r="D7998" i="1"/>
  <c r="E7998" i="1"/>
  <c r="A7999" i="1"/>
  <c r="B7999" i="1"/>
  <c r="C7999" i="1"/>
  <c r="D7999" i="1"/>
  <c r="E7999" i="1"/>
  <c r="A8000" i="1"/>
  <c r="B8000" i="1"/>
  <c r="C8000" i="1"/>
  <c r="D8000" i="1"/>
  <c r="E8000" i="1"/>
  <c r="A8001" i="1"/>
  <c r="B8001" i="1"/>
  <c r="C8001" i="1"/>
  <c r="D8001" i="1"/>
  <c r="E8001" i="1"/>
  <c r="A8002" i="1"/>
  <c r="B8002" i="1"/>
  <c r="C8002" i="1"/>
  <c r="D8002" i="1"/>
  <c r="E8002" i="1"/>
  <c r="A8003" i="1"/>
  <c r="B8003" i="1"/>
  <c r="C8003" i="1"/>
  <c r="D8003" i="1"/>
  <c r="E8003" i="1"/>
  <c r="A8004" i="1"/>
  <c r="B8004" i="1"/>
  <c r="C8004" i="1"/>
  <c r="D8004" i="1"/>
  <c r="E8004" i="1"/>
  <c r="A8005" i="1"/>
  <c r="B8005" i="1"/>
  <c r="C8005" i="1"/>
  <c r="D8005" i="1"/>
  <c r="E8005" i="1"/>
  <c r="A8006" i="1"/>
  <c r="B8006" i="1"/>
  <c r="C8006" i="1"/>
  <c r="D8006" i="1"/>
  <c r="E8006" i="1"/>
  <c r="A8007" i="1"/>
  <c r="B8007" i="1"/>
  <c r="C8007" i="1"/>
  <c r="D8007" i="1"/>
  <c r="E8007" i="1"/>
  <c r="A8008" i="1"/>
  <c r="B8008" i="1"/>
  <c r="C8008" i="1"/>
  <c r="D8008" i="1"/>
  <c r="E8008" i="1"/>
  <c r="A8009" i="1"/>
  <c r="B8009" i="1"/>
  <c r="C8009" i="1"/>
  <c r="D8009" i="1"/>
  <c r="E8009" i="1"/>
  <c r="A8010" i="1"/>
  <c r="B8010" i="1"/>
  <c r="C8010" i="1"/>
  <c r="D8010" i="1"/>
  <c r="E8010" i="1"/>
  <c r="A8011" i="1"/>
  <c r="B8011" i="1"/>
  <c r="C8011" i="1"/>
  <c r="D8011" i="1"/>
  <c r="E8011" i="1"/>
  <c r="A8012" i="1"/>
  <c r="B8012" i="1"/>
  <c r="C8012" i="1"/>
  <c r="D8012" i="1"/>
  <c r="E8012" i="1"/>
  <c r="A8013" i="1"/>
  <c r="B8013" i="1"/>
  <c r="C8013" i="1"/>
  <c r="D8013" i="1"/>
  <c r="E8013" i="1"/>
  <c r="A8014" i="1"/>
  <c r="B8014" i="1"/>
  <c r="C8014" i="1"/>
  <c r="D8014" i="1"/>
  <c r="E8014" i="1"/>
  <c r="A8015" i="1"/>
  <c r="B8015" i="1"/>
  <c r="C8015" i="1"/>
  <c r="D8015" i="1"/>
  <c r="E8015" i="1"/>
  <c r="A8016" i="1"/>
  <c r="B8016" i="1"/>
  <c r="C8016" i="1"/>
  <c r="D8016" i="1"/>
  <c r="E8016" i="1"/>
  <c r="A8017" i="1"/>
  <c r="B8017" i="1"/>
  <c r="C8017" i="1"/>
  <c r="D8017" i="1"/>
  <c r="E8017" i="1"/>
  <c r="A8018" i="1"/>
  <c r="B8018" i="1"/>
  <c r="C8018" i="1"/>
  <c r="D8018" i="1"/>
  <c r="E8018" i="1"/>
  <c r="A8019" i="1"/>
  <c r="B8019" i="1"/>
  <c r="C8019" i="1"/>
  <c r="D8019" i="1"/>
  <c r="E8019" i="1"/>
  <c r="A8020" i="1"/>
  <c r="B8020" i="1"/>
  <c r="C8020" i="1"/>
  <c r="D8020" i="1"/>
  <c r="E8020" i="1"/>
  <c r="A8021" i="1"/>
  <c r="B8021" i="1"/>
  <c r="C8021" i="1"/>
  <c r="D8021" i="1"/>
  <c r="E8021" i="1"/>
  <c r="A8022" i="1"/>
  <c r="B8022" i="1"/>
  <c r="C8022" i="1"/>
  <c r="D8022" i="1"/>
  <c r="E8022" i="1"/>
  <c r="A8023" i="1"/>
  <c r="B8023" i="1"/>
  <c r="C8023" i="1"/>
  <c r="D8023" i="1"/>
  <c r="E8023" i="1"/>
  <c r="A8024" i="1"/>
  <c r="B8024" i="1"/>
  <c r="C8024" i="1"/>
  <c r="D8024" i="1"/>
  <c r="E8024" i="1"/>
  <c r="A8025" i="1"/>
  <c r="B8025" i="1"/>
  <c r="C8025" i="1"/>
  <c r="D8025" i="1"/>
  <c r="E8025" i="1"/>
  <c r="A8026" i="1"/>
  <c r="B8026" i="1"/>
  <c r="C8026" i="1"/>
  <c r="D8026" i="1"/>
  <c r="E8026" i="1"/>
  <c r="A8027" i="1"/>
  <c r="B8027" i="1"/>
  <c r="C8027" i="1"/>
  <c r="D8027" i="1"/>
  <c r="E8027" i="1"/>
  <c r="A8028" i="1"/>
  <c r="B8028" i="1"/>
  <c r="C8028" i="1"/>
  <c r="D8028" i="1"/>
  <c r="E8028" i="1"/>
  <c r="A8029" i="1"/>
  <c r="B8029" i="1"/>
  <c r="C8029" i="1"/>
  <c r="D8029" i="1"/>
  <c r="E8029" i="1"/>
  <c r="A8030" i="1"/>
  <c r="B8030" i="1"/>
  <c r="C8030" i="1"/>
  <c r="D8030" i="1"/>
  <c r="E8030" i="1"/>
  <c r="A8031" i="1"/>
  <c r="B8031" i="1"/>
  <c r="C8031" i="1"/>
  <c r="D8031" i="1"/>
  <c r="E8031" i="1"/>
  <c r="A8032" i="1"/>
  <c r="B8032" i="1"/>
  <c r="C8032" i="1"/>
  <c r="D8032" i="1"/>
  <c r="E8032" i="1"/>
  <c r="A8033" i="1"/>
  <c r="B8033" i="1"/>
  <c r="C8033" i="1"/>
  <c r="D8033" i="1"/>
  <c r="E8033" i="1"/>
  <c r="A8034" i="1"/>
  <c r="B8034" i="1"/>
  <c r="C8034" i="1"/>
  <c r="D8034" i="1"/>
  <c r="E8034" i="1"/>
  <c r="A8035" i="1"/>
  <c r="B8035" i="1"/>
  <c r="C8035" i="1"/>
  <c r="D8035" i="1"/>
  <c r="E8035" i="1"/>
  <c r="A8036" i="1"/>
  <c r="B8036" i="1"/>
  <c r="C8036" i="1"/>
  <c r="D8036" i="1"/>
  <c r="E8036" i="1"/>
  <c r="A8037" i="1"/>
  <c r="B8037" i="1"/>
  <c r="C8037" i="1"/>
  <c r="D8037" i="1"/>
  <c r="E8037" i="1"/>
  <c r="A8038" i="1"/>
  <c r="B8038" i="1"/>
  <c r="C8038" i="1"/>
  <c r="D8038" i="1"/>
  <c r="E8038" i="1"/>
  <c r="A8039" i="1"/>
  <c r="B8039" i="1"/>
  <c r="C8039" i="1"/>
  <c r="D8039" i="1"/>
  <c r="E8039" i="1"/>
  <c r="A8040" i="1"/>
  <c r="B8040" i="1"/>
  <c r="C8040" i="1"/>
  <c r="D8040" i="1"/>
  <c r="E8040" i="1"/>
  <c r="A8041" i="1"/>
  <c r="B8041" i="1"/>
  <c r="C8041" i="1"/>
  <c r="D8041" i="1"/>
  <c r="E8041" i="1"/>
  <c r="A8042" i="1"/>
  <c r="B8042" i="1"/>
  <c r="C8042" i="1"/>
  <c r="D8042" i="1"/>
  <c r="E8042" i="1"/>
  <c r="A8043" i="1"/>
  <c r="B8043" i="1"/>
  <c r="C8043" i="1"/>
  <c r="D8043" i="1"/>
  <c r="E8043" i="1"/>
  <c r="A8044" i="1"/>
  <c r="B8044" i="1"/>
  <c r="C8044" i="1"/>
  <c r="D8044" i="1"/>
  <c r="E8044" i="1"/>
  <c r="A8045" i="1"/>
  <c r="B8045" i="1"/>
  <c r="C8045" i="1"/>
  <c r="D8045" i="1"/>
  <c r="E8045" i="1"/>
  <c r="A8046" i="1"/>
  <c r="B8046" i="1"/>
  <c r="C8046" i="1"/>
  <c r="D8046" i="1"/>
  <c r="E8046" i="1"/>
  <c r="A8047" i="1"/>
  <c r="B8047" i="1"/>
  <c r="C8047" i="1"/>
  <c r="D8047" i="1"/>
  <c r="E8047" i="1"/>
  <c r="A8048" i="1"/>
  <c r="B8048" i="1"/>
  <c r="C8048" i="1"/>
  <c r="D8048" i="1"/>
  <c r="E8048" i="1"/>
  <c r="A8049" i="1"/>
  <c r="B8049" i="1"/>
  <c r="C8049" i="1"/>
  <c r="D8049" i="1"/>
  <c r="E8049" i="1"/>
  <c r="A8050" i="1"/>
  <c r="B8050" i="1"/>
  <c r="C8050" i="1"/>
  <c r="D8050" i="1"/>
  <c r="E8050" i="1"/>
  <c r="A8051" i="1"/>
  <c r="B8051" i="1"/>
  <c r="C8051" i="1"/>
  <c r="D8051" i="1"/>
  <c r="E8051" i="1"/>
  <c r="A8052" i="1"/>
  <c r="B8052" i="1"/>
  <c r="C8052" i="1"/>
  <c r="D8052" i="1"/>
  <c r="E8052" i="1"/>
  <c r="A8053" i="1"/>
  <c r="B8053" i="1"/>
  <c r="C8053" i="1"/>
  <c r="D8053" i="1"/>
  <c r="E8053" i="1"/>
  <c r="A8054" i="1"/>
  <c r="B8054" i="1"/>
  <c r="C8054" i="1"/>
  <c r="D8054" i="1"/>
  <c r="E8054" i="1"/>
  <c r="A8055" i="1"/>
  <c r="B8055" i="1"/>
  <c r="C8055" i="1"/>
  <c r="D8055" i="1"/>
  <c r="E8055" i="1"/>
  <c r="A8056" i="1"/>
  <c r="B8056" i="1"/>
  <c r="C8056" i="1"/>
  <c r="D8056" i="1"/>
  <c r="E8056" i="1"/>
  <c r="A8057" i="1"/>
  <c r="B8057" i="1"/>
  <c r="C8057" i="1"/>
  <c r="D8057" i="1"/>
  <c r="E8057" i="1"/>
  <c r="A8058" i="1"/>
  <c r="B8058" i="1"/>
  <c r="C8058" i="1"/>
  <c r="D8058" i="1"/>
  <c r="E8058" i="1"/>
  <c r="A8059" i="1"/>
  <c r="B8059" i="1"/>
  <c r="C8059" i="1"/>
  <c r="D8059" i="1"/>
  <c r="E8059" i="1"/>
  <c r="A8060" i="1"/>
  <c r="B8060" i="1"/>
  <c r="C8060" i="1"/>
  <c r="D8060" i="1"/>
  <c r="E8060" i="1"/>
  <c r="A8061" i="1"/>
  <c r="B8061" i="1"/>
  <c r="C8061" i="1"/>
  <c r="D8061" i="1"/>
  <c r="E8061" i="1"/>
  <c r="A8062" i="1"/>
  <c r="B8062" i="1"/>
  <c r="C8062" i="1"/>
  <c r="D8062" i="1"/>
  <c r="E8062" i="1"/>
  <c r="A8063" i="1"/>
  <c r="B8063" i="1"/>
  <c r="C8063" i="1"/>
  <c r="D8063" i="1"/>
  <c r="E8063" i="1"/>
  <c r="A8064" i="1"/>
  <c r="B8064" i="1"/>
  <c r="C8064" i="1"/>
  <c r="D8064" i="1"/>
  <c r="E8064" i="1"/>
  <c r="A8065" i="1"/>
  <c r="B8065" i="1"/>
  <c r="C8065" i="1"/>
  <c r="D8065" i="1"/>
  <c r="E8065" i="1"/>
  <c r="A8066" i="1"/>
  <c r="B8066" i="1"/>
  <c r="C8066" i="1"/>
  <c r="D8066" i="1"/>
  <c r="E8066" i="1"/>
  <c r="A8067" i="1"/>
  <c r="B8067" i="1"/>
  <c r="C8067" i="1"/>
  <c r="D8067" i="1"/>
  <c r="E8067" i="1"/>
  <c r="A8068" i="1"/>
  <c r="B8068" i="1"/>
  <c r="C8068" i="1"/>
  <c r="D8068" i="1"/>
  <c r="E8068" i="1"/>
  <c r="A8069" i="1"/>
  <c r="B8069" i="1"/>
  <c r="C8069" i="1"/>
  <c r="D8069" i="1"/>
  <c r="E8069" i="1"/>
  <c r="A8070" i="1"/>
  <c r="B8070" i="1"/>
  <c r="C8070" i="1"/>
  <c r="D8070" i="1"/>
  <c r="E8070" i="1"/>
  <c r="A8071" i="1"/>
  <c r="B8071" i="1"/>
  <c r="C8071" i="1"/>
  <c r="D8071" i="1"/>
  <c r="E8071" i="1"/>
  <c r="A8072" i="1"/>
  <c r="B8072" i="1"/>
  <c r="C8072" i="1"/>
  <c r="D8072" i="1"/>
  <c r="E8072" i="1"/>
  <c r="A8073" i="1"/>
  <c r="B8073" i="1"/>
  <c r="C8073" i="1"/>
  <c r="D8073" i="1"/>
  <c r="E8073" i="1"/>
  <c r="A8074" i="1"/>
  <c r="B8074" i="1"/>
  <c r="C8074" i="1"/>
  <c r="D8074" i="1"/>
  <c r="E8074" i="1"/>
  <c r="A8075" i="1"/>
  <c r="B8075" i="1"/>
  <c r="C8075" i="1"/>
  <c r="D8075" i="1"/>
  <c r="E8075" i="1"/>
  <c r="A8076" i="1"/>
  <c r="B8076" i="1"/>
  <c r="C8076" i="1"/>
  <c r="D8076" i="1"/>
  <c r="E8076" i="1"/>
  <c r="A8077" i="1"/>
  <c r="B8077" i="1"/>
  <c r="C8077" i="1"/>
  <c r="D8077" i="1"/>
  <c r="E8077" i="1"/>
  <c r="A8078" i="1"/>
  <c r="B8078" i="1"/>
  <c r="C8078" i="1"/>
  <c r="D8078" i="1"/>
  <c r="E8078" i="1"/>
  <c r="A8079" i="1"/>
  <c r="B8079" i="1"/>
  <c r="C8079" i="1"/>
  <c r="D8079" i="1"/>
  <c r="E8079" i="1"/>
  <c r="A8080" i="1"/>
  <c r="B8080" i="1"/>
  <c r="C8080" i="1"/>
  <c r="D8080" i="1"/>
  <c r="E8080" i="1"/>
  <c r="A8081" i="1"/>
  <c r="B8081" i="1"/>
  <c r="C8081" i="1"/>
  <c r="D8081" i="1"/>
  <c r="E8081" i="1"/>
  <c r="A8082" i="1"/>
  <c r="B8082" i="1"/>
  <c r="C8082" i="1"/>
  <c r="D8082" i="1"/>
  <c r="E8082" i="1"/>
  <c r="A8083" i="1"/>
  <c r="B8083" i="1"/>
  <c r="C8083" i="1"/>
  <c r="D8083" i="1"/>
  <c r="E8083" i="1"/>
  <c r="A8084" i="1"/>
  <c r="B8084" i="1"/>
  <c r="C8084" i="1"/>
  <c r="D8084" i="1"/>
  <c r="E8084" i="1"/>
  <c r="A8085" i="1"/>
  <c r="B8085" i="1"/>
  <c r="C8085" i="1"/>
  <c r="D8085" i="1"/>
  <c r="E8085" i="1"/>
  <c r="A8086" i="1"/>
  <c r="B8086" i="1"/>
  <c r="C8086" i="1"/>
  <c r="D8086" i="1"/>
  <c r="E8086" i="1"/>
  <c r="A8087" i="1"/>
  <c r="B8087" i="1"/>
  <c r="C8087" i="1"/>
  <c r="D8087" i="1"/>
  <c r="E8087" i="1"/>
  <c r="A8088" i="1"/>
  <c r="B8088" i="1"/>
  <c r="C8088" i="1"/>
  <c r="D8088" i="1"/>
  <c r="E8088" i="1"/>
  <c r="A8089" i="1"/>
  <c r="B8089" i="1"/>
  <c r="C8089" i="1"/>
  <c r="D8089" i="1"/>
  <c r="E8089" i="1"/>
  <c r="A8090" i="1"/>
  <c r="B8090" i="1"/>
  <c r="C8090" i="1"/>
  <c r="D8090" i="1"/>
  <c r="E8090" i="1"/>
  <c r="A8091" i="1"/>
  <c r="B8091" i="1"/>
  <c r="C8091" i="1"/>
  <c r="D8091" i="1"/>
  <c r="E8091" i="1"/>
  <c r="A8092" i="1"/>
  <c r="B8092" i="1"/>
  <c r="C8092" i="1"/>
  <c r="D8092" i="1"/>
  <c r="E8092" i="1"/>
  <c r="A8093" i="1"/>
  <c r="B8093" i="1"/>
  <c r="C8093" i="1"/>
  <c r="D8093" i="1"/>
  <c r="E8093" i="1"/>
  <c r="A8094" i="1"/>
  <c r="B8094" i="1"/>
  <c r="C8094" i="1"/>
  <c r="D8094" i="1"/>
  <c r="E8094" i="1"/>
  <c r="A8095" i="1"/>
  <c r="B8095" i="1"/>
  <c r="C8095" i="1"/>
  <c r="D8095" i="1"/>
  <c r="E8095" i="1"/>
  <c r="A8096" i="1"/>
  <c r="B8096" i="1"/>
  <c r="C8096" i="1"/>
  <c r="D8096" i="1"/>
  <c r="E8096" i="1"/>
  <c r="A8097" i="1"/>
  <c r="B8097" i="1"/>
  <c r="C8097" i="1"/>
  <c r="D8097" i="1"/>
  <c r="E8097" i="1"/>
  <c r="A8098" i="1"/>
  <c r="B8098" i="1"/>
  <c r="C8098" i="1"/>
  <c r="D8098" i="1"/>
  <c r="E8098" i="1"/>
  <c r="A8099" i="1"/>
  <c r="B8099" i="1"/>
  <c r="C8099" i="1"/>
  <c r="D8099" i="1"/>
  <c r="E8099" i="1"/>
  <c r="A8100" i="1"/>
  <c r="B8100" i="1"/>
  <c r="C8100" i="1"/>
  <c r="D8100" i="1"/>
  <c r="E8100" i="1"/>
  <c r="A8101" i="1"/>
  <c r="B8101" i="1"/>
  <c r="C8101" i="1"/>
  <c r="D8101" i="1"/>
  <c r="E8101" i="1"/>
  <c r="A8102" i="1"/>
  <c r="B8102" i="1"/>
  <c r="C8102" i="1"/>
  <c r="D8102" i="1"/>
  <c r="E8102" i="1"/>
  <c r="A8103" i="1"/>
  <c r="B8103" i="1"/>
  <c r="C8103" i="1"/>
  <c r="D8103" i="1"/>
  <c r="E8103" i="1"/>
  <c r="A8104" i="1"/>
  <c r="B8104" i="1"/>
  <c r="C8104" i="1"/>
  <c r="D8104" i="1"/>
  <c r="E8104" i="1"/>
  <c r="A8105" i="1"/>
  <c r="B8105" i="1"/>
  <c r="C8105" i="1"/>
  <c r="D8105" i="1"/>
  <c r="E8105" i="1"/>
  <c r="A8106" i="1"/>
  <c r="B8106" i="1"/>
  <c r="C8106" i="1"/>
  <c r="D8106" i="1"/>
  <c r="E8106" i="1"/>
  <c r="A8107" i="1"/>
  <c r="B8107" i="1"/>
  <c r="C8107" i="1"/>
  <c r="D8107" i="1"/>
  <c r="E8107" i="1"/>
  <c r="A8108" i="1"/>
  <c r="B8108" i="1"/>
  <c r="C8108" i="1"/>
  <c r="D8108" i="1"/>
  <c r="E8108" i="1"/>
  <c r="A8109" i="1"/>
  <c r="B8109" i="1"/>
  <c r="C8109" i="1"/>
  <c r="D8109" i="1"/>
  <c r="E8109" i="1"/>
  <c r="A8110" i="1"/>
  <c r="B8110" i="1"/>
  <c r="C8110" i="1"/>
  <c r="D8110" i="1"/>
  <c r="E8110" i="1"/>
  <c r="A8111" i="1"/>
  <c r="B8111" i="1"/>
  <c r="C8111" i="1"/>
  <c r="D8111" i="1"/>
  <c r="E8111" i="1"/>
  <c r="A8112" i="1"/>
  <c r="B8112" i="1"/>
  <c r="C8112" i="1"/>
  <c r="D8112" i="1"/>
  <c r="E8112" i="1"/>
  <c r="A8113" i="1"/>
  <c r="B8113" i="1"/>
  <c r="C8113" i="1"/>
  <c r="D8113" i="1"/>
  <c r="E8113" i="1"/>
  <c r="A8114" i="1"/>
  <c r="B8114" i="1"/>
  <c r="C8114" i="1"/>
  <c r="D8114" i="1"/>
  <c r="E8114" i="1"/>
  <c r="A8115" i="1"/>
  <c r="B8115" i="1"/>
  <c r="C8115" i="1"/>
  <c r="D8115" i="1"/>
  <c r="E8115" i="1"/>
  <c r="A8116" i="1"/>
  <c r="B8116" i="1"/>
  <c r="C8116" i="1"/>
  <c r="D8116" i="1"/>
  <c r="E8116" i="1"/>
  <c r="A8117" i="1"/>
  <c r="B8117" i="1"/>
  <c r="C8117" i="1"/>
  <c r="D8117" i="1"/>
  <c r="E8117" i="1"/>
  <c r="A8118" i="1"/>
  <c r="B8118" i="1"/>
  <c r="C8118" i="1"/>
  <c r="D8118" i="1"/>
  <c r="E8118" i="1"/>
  <c r="A8119" i="1"/>
  <c r="B8119" i="1"/>
  <c r="C8119" i="1"/>
  <c r="D8119" i="1"/>
  <c r="E8119" i="1"/>
  <c r="A8120" i="1"/>
  <c r="B8120" i="1"/>
  <c r="C8120" i="1"/>
  <c r="D8120" i="1"/>
  <c r="E8120" i="1"/>
  <c r="A8121" i="1"/>
  <c r="B8121" i="1"/>
  <c r="C8121" i="1"/>
  <c r="D8121" i="1"/>
  <c r="E8121" i="1"/>
  <c r="A8122" i="1"/>
  <c r="B8122" i="1"/>
  <c r="C8122" i="1"/>
  <c r="D8122" i="1"/>
  <c r="E8122" i="1"/>
  <c r="A8123" i="1"/>
  <c r="B8123" i="1"/>
  <c r="C8123" i="1"/>
  <c r="D8123" i="1"/>
  <c r="E8123" i="1"/>
  <c r="A8124" i="1"/>
  <c r="B8124" i="1"/>
  <c r="C8124" i="1"/>
  <c r="D8124" i="1"/>
  <c r="E8124" i="1"/>
  <c r="A8125" i="1"/>
  <c r="B8125" i="1"/>
  <c r="C8125" i="1"/>
  <c r="D8125" i="1"/>
  <c r="E8125" i="1"/>
  <c r="A8126" i="1"/>
  <c r="B8126" i="1"/>
  <c r="C8126" i="1"/>
  <c r="D8126" i="1"/>
  <c r="E8126" i="1"/>
  <c r="A8127" i="1"/>
  <c r="B8127" i="1"/>
  <c r="C8127" i="1"/>
  <c r="D8127" i="1"/>
  <c r="E8127" i="1"/>
  <c r="A8128" i="1"/>
  <c r="B8128" i="1"/>
  <c r="C8128" i="1"/>
  <c r="D8128" i="1"/>
  <c r="E8128" i="1"/>
  <c r="A8129" i="1"/>
  <c r="B8129" i="1"/>
  <c r="C8129" i="1"/>
  <c r="D8129" i="1"/>
  <c r="E8129" i="1"/>
  <c r="A8130" i="1"/>
  <c r="B8130" i="1"/>
  <c r="C8130" i="1"/>
  <c r="D8130" i="1"/>
  <c r="E8130" i="1"/>
  <c r="A8131" i="1"/>
  <c r="B8131" i="1"/>
  <c r="C8131" i="1"/>
  <c r="D8131" i="1"/>
  <c r="E8131" i="1"/>
  <c r="A8132" i="1"/>
  <c r="B8132" i="1"/>
  <c r="C8132" i="1"/>
  <c r="D8132" i="1"/>
  <c r="E8132" i="1"/>
  <c r="A8133" i="1"/>
  <c r="B8133" i="1"/>
  <c r="C8133" i="1"/>
  <c r="D8133" i="1"/>
  <c r="E8133" i="1"/>
  <c r="A8134" i="1"/>
  <c r="B8134" i="1"/>
  <c r="C8134" i="1"/>
  <c r="D8134" i="1"/>
  <c r="E8134" i="1"/>
  <c r="A8135" i="1"/>
  <c r="B8135" i="1"/>
  <c r="C8135" i="1"/>
  <c r="D8135" i="1"/>
  <c r="E8135" i="1"/>
  <c r="A8136" i="1"/>
  <c r="B8136" i="1"/>
  <c r="C8136" i="1"/>
  <c r="D8136" i="1"/>
  <c r="E8136" i="1"/>
  <c r="A8137" i="1"/>
  <c r="B8137" i="1"/>
  <c r="C8137" i="1"/>
  <c r="D8137" i="1"/>
  <c r="E8137" i="1"/>
  <c r="A8138" i="1"/>
  <c r="B8138" i="1"/>
  <c r="C8138" i="1"/>
  <c r="D8138" i="1"/>
  <c r="E8138" i="1"/>
  <c r="A8139" i="1"/>
  <c r="B8139" i="1"/>
  <c r="C8139" i="1"/>
  <c r="D8139" i="1"/>
  <c r="E8139" i="1"/>
  <c r="A8140" i="1"/>
  <c r="B8140" i="1"/>
  <c r="C8140" i="1"/>
  <c r="D8140" i="1"/>
  <c r="E8140" i="1"/>
  <c r="A8141" i="1"/>
  <c r="B8141" i="1"/>
  <c r="C8141" i="1"/>
  <c r="D8141" i="1"/>
  <c r="E8141" i="1"/>
  <c r="A8142" i="1"/>
  <c r="B8142" i="1"/>
  <c r="C8142" i="1"/>
  <c r="D8142" i="1"/>
  <c r="E8142" i="1"/>
  <c r="A8143" i="1"/>
  <c r="B8143" i="1"/>
  <c r="C8143" i="1"/>
  <c r="D8143" i="1"/>
  <c r="E8143" i="1"/>
  <c r="A8144" i="1"/>
  <c r="B8144" i="1"/>
  <c r="C8144" i="1"/>
  <c r="D8144" i="1"/>
  <c r="E8144" i="1"/>
  <c r="A8145" i="1"/>
  <c r="B8145" i="1"/>
  <c r="C8145" i="1"/>
  <c r="D8145" i="1"/>
  <c r="E8145" i="1"/>
  <c r="A8146" i="1"/>
  <c r="B8146" i="1"/>
  <c r="C8146" i="1"/>
  <c r="D8146" i="1"/>
  <c r="E8146" i="1"/>
  <c r="A8147" i="1"/>
  <c r="B8147" i="1"/>
  <c r="C8147" i="1"/>
  <c r="D8147" i="1"/>
  <c r="E8147" i="1"/>
  <c r="A8148" i="1"/>
  <c r="B8148" i="1"/>
  <c r="C8148" i="1"/>
  <c r="D8148" i="1"/>
  <c r="E8148" i="1"/>
  <c r="A8149" i="1"/>
  <c r="B8149" i="1"/>
  <c r="C8149" i="1"/>
  <c r="D8149" i="1"/>
  <c r="E8149" i="1"/>
  <c r="A8150" i="1"/>
  <c r="B8150" i="1"/>
  <c r="C8150" i="1"/>
  <c r="D8150" i="1"/>
  <c r="E8150" i="1"/>
  <c r="A8151" i="1"/>
  <c r="B8151" i="1"/>
  <c r="C8151" i="1"/>
  <c r="D8151" i="1"/>
  <c r="E8151" i="1"/>
  <c r="A8152" i="1"/>
  <c r="B8152" i="1"/>
  <c r="C8152" i="1"/>
  <c r="D8152" i="1"/>
  <c r="E8152" i="1"/>
  <c r="A8153" i="1"/>
  <c r="B8153" i="1"/>
  <c r="C8153" i="1"/>
  <c r="D8153" i="1"/>
  <c r="E8153" i="1"/>
  <c r="A8154" i="1"/>
  <c r="B8154" i="1"/>
  <c r="C8154" i="1"/>
  <c r="D8154" i="1"/>
  <c r="E8154" i="1"/>
  <c r="A8155" i="1"/>
  <c r="B8155" i="1"/>
  <c r="C8155" i="1"/>
  <c r="D8155" i="1"/>
  <c r="E8155" i="1"/>
  <c r="A8156" i="1"/>
  <c r="B8156" i="1"/>
  <c r="C8156" i="1"/>
  <c r="D8156" i="1"/>
  <c r="E8156" i="1"/>
  <c r="A8157" i="1"/>
  <c r="B8157" i="1"/>
  <c r="C8157" i="1"/>
  <c r="D8157" i="1"/>
  <c r="E8157" i="1"/>
  <c r="A8158" i="1"/>
  <c r="B8158" i="1"/>
  <c r="C8158" i="1"/>
  <c r="D8158" i="1"/>
  <c r="E8158" i="1"/>
  <c r="A8159" i="1"/>
  <c r="B8159" i="1"/>
  <c r="C8159" i="1"/>
  <c r="D8159" i="1"/>
  <c r="E8159" i="1"/>
  <c r="A8160" i="1"/>
  <c r="B8160" i="1"/>
  <c r="C8160" i="1"/>
  <c r="D8160" i="1"/>
  <c r="E8160" i="1"/>
  <c r="A8161" i="1"/>
  <c r="B8161" i="1"/>
  <c r="C8161" i="1"/>
  <c r="D8161" i="1"/>
  <c r="E8161" i="1"/>
  <c r="A8162" i="1"/>
  <c r="B8162" i="1"/>
  <c r="C8162" i="1"/>
  <c r="D8162" i="1"/>
  <c r="E8162" i="1"/>
  <c r="A8163" i="1"/>
  <c r="B8163" i="1"/>
  <c r="C8163" i="1"/>
  <c r="D8163" i="1"/>
  <c r="E8163" i="1"/>
  <c r="A8164" i="1"/>
  <c r="B8164" i="1"/>
  <c r="C8164" i="1"/>
  <c r="D8164" i="1"/>
  <c r="E8164" i="1"/>
  <c r="A8165" i="1"/>
  <c r="B8165" i="1"/>
  <c r="C8165" i="1"/>
  <c r="D8165" i="1"/>
  <c r="E8165" i="1"/>
  <c r="A8166" i="1"/>
  <c r="B8166" i="1"/>
  <c r="C8166" i="1"/>
  <c r="D8166" i="1"/>
  <c r="E8166" i="1"/>
  <c r="A8167" i="1"/>
  <c r="B8167" i="1"/>
  <c r="C8167" i="1"/>
  <c r="D8167" i="1"/>
  <c r="E8167" i="1"/>
  <c r="A8168" i="1"/>
  <c r="B8168" i="1"/>
  <c r="C8168" i="1"/>
  <c r="D8168" i="1"/>
  <c r="E8168" i="1"/>
  <c r="A8169" i="1"/>
  <c r="B8169" i="1"/>
  <c r="C8169" i="1"/>
  <c r="D8169" i="1"/>
  <c r="E8169" i="1"/>
  <c r="A8170" i="1"/>
  <c r="B8170" i="1"/>
  <c r="C8170" i="1"/>
  <c r="D8170" i="1"/>
  <c r="E8170" i="1"/>
  <c r="A8171" i="1"/>
  <c r="B8171" i="1"/>
  <c r="C8171" i="1"/>
  <c r="D8171" i="1"/>
  <c r="E8171" i="1"/>
  <c r="A8172" i="1"/>
  <c r="B8172" i="1"/>
  <c r="C8172" i="1"/>
  <c r="D8172" i="1"/>
  <c r="E8172" i="1"/>
  <c r="A8173" i="1"/>
  <c r="B8173" i="1"/>
  <c r="C8173" i="1"/>
  <c r="D8173" i="1"/>
  <c r="E8173" i="1"/>
  <c r="A8174" i="1"/>
  <c r="B8174" i="1"/>
  <c r="C8174" i="1"/>
  <c r="D8174" i="1"/>
  <c r="E8174" i="1"/>
  <c r="A8175" i="1"/>
  <c r="B8175" i="1"/>
  <c r="C8175" i="1"/>
  <c r="D8175" i="1"/>
  <c r="E8175" i="1"/>
  <c r="A8176" i="1"/>
  <c r="B8176" i="1"/>
  <c r="C8176" i="1"/>
  <c r="D8176" i="1"/>
  <c r="E8176" i="1"/>
  <c r="A8177" i="1"/>
  <c r="B8177" i="1"/>
  <c r="C8177" i="1"/>
  <c r="D8177" i="1"/>
  <c r="E8177" i="1"/>
  <c r="A8178" i="1"/>
  <c r="B8178" i="1"/>
  <c r="C8178" i="1"/>
  <c r="D8178" i="1"/>
  <c r="E8178" i="1"/>
  <c r="A8179" i="1"/>
  <c r="B8179" i="1"/>
  <c r="C8179" i="1"/>
  <c r="D8179" i="1"/>
  <c r="E8179" i="1"/>
  <c r="A8180" i="1"/>
  <c r="B8180" i="1"/>
  <c r="C8180" i="1"/>
  <c r="D8180" i="1"/>
  <c r="E8180" i="1"/>
  <c r="A8181" i="1"/>
  <c r="B8181" i="1"/>
  <c r="C8181" i="1"/>
  <c r="D8181" i="1"/>
  <c r="E8181" i="1"/>
  <c r="A8182" i="1"/>
  <c r="B8182" i="1"/>
  <c r="C8182" i="1"/>
  <c r="D8182" i="1"/>
  <c r="E8182" i="1"/>
  <c r="A8183" i="1"/>
  <c r="B8183" i="1"/>
  <c r="C8183" i="1"/>
  <c r="D8183" i="1"/>
  <c r="E8183" i="1"/>
  <c r="A8184" i="1"/>
  <c r="B8184" i="1"/>
  <c r="C8184" i="1"/>
  <c r="D8184" i="1"/>
  <c r="E8184" i="1"/>
  <c r="A8185" i="1"/>
  <c r="B8185" i="1"/>
  <c r="C8185" i="1"/>
  <c r="D8185" i="1"/>
  <c r="E8185" i="1"/>
  <c r="A8186" i="1"/>
  <c r="B8186" i="1"/>
  <c r="C8186" i="1"/>
  <c r="D8186" i="1"/>
  <c r="E8186" i="1"/>
  <c r="A8187" i="1"/>
  <c r="B8187" i="1"/>
  <c r="C8187" i="1"/>
  <c r="D8187" i="1"/>
  <c r="E8187" i="1"/>
  <c r="A8188" i="1"/>
  <c r="B8188" i="1"/>
  <c r="C8188" i="1"/>
  <c r="D8188" i="1"/>
  <c r="E8188" i="1"/>
  <c r="A8189" i="1"/>
  <c r="B8189" i="1"/>
  <c r="C8189" i="1"/>
  <c r="D8189" i="1"/>
  <c r="E8189" i="1"/>
  <c r="A8190" i="1"/>
  <c r="B8190" i="1"/>
  <c r="C8190" i="1"/>
  <c r="D8190" i="1"/>
  <c r="E8190" i="1"/>
  <c r="A8191" i="1"/>
  <c r="B8191" i="1"/>
  <c r="C8191" i="1"/>
  <c r="D8191" i="1"/>
  <c r="E8191" i="1"/>
  <c r="A8192" i="1"/>
  <c r="B8192" i="1"/>
  <c r="C8192" i="1"/>
  <c r="D8192" i="1"/>
  <c r="E8192" i="1"/>
  <c r="A8193" i="1"/>
  <c r="B8193" i="1"/>
  <c r="C8193" i="1"/>
  <c r="D8193" i="1"/>
  <c r="E8193" i="1"/>
  <c r="A8194" i="1"/>
  <c r="B8194" i="1"/>
  <c r="C8194" i="1"/>
  <c r="D8194" i="1"/>
  <c r="E8194" i="1"/>
  <c r="A8195" i="1"/>
  <c r="B8195" i="1"/>
  <c r="C8195" i="1"/>
  <c r="D8195" i="1"/>
  <c r="E8195" i="1"/>
  <c r="A8196" i="1"/>
  <c r="B8196" i="1"/>
  <c r="C8196" i="1"/>
  <c r="D8196" i="1"/>
  <c r="E8196" i="1"/>
  <c r="A8197" i="1"/>
  <c r="B8197" i="1"/>
  <c r="C8197" i="1"/>
  <c r="D8197" i="1"/>
  <c r="E8197" i="1"/>
  <c r="A8198" i="1"/>
  <c r="B8198" i="1"/>
  <c r="C8198" i="1"/>
  <c r="D8198" i="1"/>
  <c r="E8198" i="1"/>
  <c r="A8199" i="1"/>
  <c r="B8199" i="1"/>
  <c r="C8199" i="1"/>
  <c r="D8199" i="1"/>
  <c r="E8199" i="1"/>
  <c r="A8200" i="1"/>
  <c r="B8200" i="1"/>
  <c r="C8200" i="1"/>
  <c r="D8200" i="1"/>
  <c r="E8200" i="1"/>
  <c r="A8201" i="1"/>
  <c r="B8201" i="1"/>
  <c r="C8201" i="1"/>
  <c r="D8201" i="1"/>
  <c r="E8201" i="1"/>
  <c r="A8202" i="1"/>
  <c r="B8202" i="1"/>
  <c r="C8202" i="1"/>
  <c r="D8202" i="1"/>
  <c r="E8202" i="1"/>
  <c r="A8203" i="1"/>
  <c r="B8203" i="1"/>
  <c r="C8203" i="1"/>
  <c r="D8203" i="1"/>
  <c r="E8203" i="1"/>
  <c r="A8204" i="1"/>
  <c r="B8204" i="1"/>
  <c r="C8204" i="1"/>
  <c r="D8204" i="1"/>
  <c r="E8204" i="1"/>
  <c r="A8205" i="1"/>
  <c r="B8205" i="1"/>
  <c r="C8205" i="1"/>
  <c r="D8205" i="1"/>
  <c r="E8205" i="1"/>
  <c r="A8206" i="1"/>
  <c r="B8206" i="1"/>
  <c r="C8206" i="1"/>
  <c r="D8206" i="1"/>
  <c r="E8206" i="1"/>
  <c r="A8207" i="1"/>
  <c r="B8207" i="1"/>
  <c r="C8207" i="1"/>
  <c r="D8207" i="1"/>
  <c r="E8207" i="1"/>
  <c r="A8208" i="1"/>
  <c r="B8208" i="1"/>
  <c r="C8208" i="1"/>
  <c r="D8208" i="1"/>
  <c r="E8208" i="1"/>
  <c r="A8209" i="1"/>
  <c r="B8209" i="1"/>
  <c r="C8209" i="1"/>
  <c r="D8209" i="1"/>
  <c r="E8209" i="1"/>
  <c r="A8210" i="1"/>
  <c r="B8210" i="1"/>
  <c r="C8210" i="1"/>
  <c r="D8210" i="1"/>
  <c r="E8210" i="1"/>
  <c r="A8211" i="1"/>
  <c r="B8211" i="1"/>
  <c r="C8211" i="1"/>
  <c r="D8211" i="1"/>
  <c r="E8211" i="1"/>
  <c r="A8212" i="1"/>
  <c r="B8212" i="1"/>
  <c r="C8212" i="1"/>
  <c r="D8212" i="1"/>
  <c r="E8212" i="1"/>
  <c r="A8213" i="1"/>
  <c r="B8213" i="1"/>
  <c r="C8213" i="1"/>
  <c r="D8213" i="1"/>
  <c r="E8213" i="1"/>
  <c r="A8214" i="1"/>
  <c r="B8214" i="1"/>
  <c r="C8214" i="1"/>
  <c r="D8214" i="1"/>
  <c r="E8214" i="1"/>
  <c r="A8215" i="1"/>
  <c r="B8215" i="1"/>
  <c r="C8215" i="1"/>
  <c r="D8215" i="1"/>
  <c r="E8215" i="1"/>
  <c r="A8216" i="1"/>
  <c r="B8216" i="1"/>
  <c r="C8216" i="1"/>
  <c r="D8216" i="1"/>
  <c r="E8216" i="1"/>
  <c r="A8217" i="1"/>
  <c r="B8217" i="1"/>
  <c r="C8217" i="1"/>
  <c r="D8217" i="1"/>
  <c r="E8217" i="1"/>
  <c r="A8218" i="1"/>
  <c r="B8218" i="1"/>
  <c r="C8218" i="1"/>
  <c r="D8218" i="1"/>
  <c r="E8218" i="1"/>
  <c r="A8219" i="1"/>
  <c r="B8219" i="1"/>
  <c r="C8219" i="1"/>
  <c r="D8219" i="1"/>
  <c r="E8219" i="1"/>
  <c r="A8220" i="1"/>
  <c r="B8220" i="1"/>
  <c r="C8220" i="1"/>
  <c r="D8220" i="1"/>
  <c r="E8220" i="1"/>
  <c r="A8221" i="1"/>
  <c r="B8221" i="1"/>
  <c r="C8221" i="1"/>
  <c r="D8221" i="1"/>
  <c r="E8221" i="1"/>
  <c r="A8222" i="1"/>
  <c r="B8222" i="1"/>
  <c r="C8222" i="1"/>
  <c r="D8222" i="1"/>
  <c r="E8222" i="1"/>
  <c r="A8223" i="1"/>
  <c r="B8223" i="1"/>
  <c r="C8223" i="1"/>
  <c r="D8223" i="1"/>
  <c r="E8223" i="1"/>
  <c r="A8224" i="1"/>
  <c r="B8224" i="1"/>
  <c r="C8224" i="1"/>
  <c r="D8224" i="1"/>
  <c r="E8224" i="1"/>
  <c r="A8225" i="1"/>
  <c r="B8225" i="1"/>
  <c r="C8225" i="1"/>
  <c r="D8225" i="1"/>
  <c r="E8225" i="1"/>
  <c r="A8226" i="1"/>
  <c r="B8226" i="1"/>
  <c r="C8226" i="1"/>
  <c r="D8226" i="1"/>
  <c r="E8226" i="1"/>
  <c r="A8227" i="1"/>
  <c r="B8227" i="1"/>
  <c r="C8227" i="1"/>
  <c r="D8227" i="1"/>
  <c r="E8227" i="1"/>
  <c r="A8228" i="1"/>
  <c r="B8228" i="1"/>
  <c r="C8228" i="1"/>
  <c r="D8228" i="1"/>
  <c r="E8228" i="1"/>
  <c r="A8229" i="1"/>
  <c r="B8229" i="1"/>
  <c r="C8229" i="1"/>
  <c r="D8229" i="1"/>
  <c r="E8229" i="1"/>
  <c r="A8230" i="1"/>
  <c r="B8230" i="1"/>
  <c r="C8230" i="1"/>
  <c r="D8230" i="1"/>
  <c r="E8230" i="1"/>
  <c r="A8231" i="1"/>
  <c r="B8231" i="1"/>
  <c r="C8231" i="1"/>
  <c r="D8231" i="1"/>
  <c r="E8231" i="1"/>
  <c r="A8232" i="1"/>
  <c r="B8232" i="1"/>
  <c r="C8232" i="1"/>
  <c r="D8232" i="1"/>
  <c r="E8232" i="1"/>
  <c r="A8233" i="1"/>
  <c r="B8233" i="1"/>
  <c r="C8233" i="1"/>
  <c r="D8233" i="1"/>
  <c r="E8233" i="1"/>
  <c r="A8234" i="1"/>
  <c r="B8234" i="1"/>
  <c r="C8234" i="1"/>
  <c r="D8234" i="1"/>
  <c r="E8234" i="1"/>
  <c r="A8235" i="1"/>
  <c r="B8235" i="1"/>
  <c r="C8235" i="1"/>
  <c r="D8235" i="1"/>
  <c r="E8235" i="1"/>
  <c r="A8236" i="1"/>
  <c r="B8236" i="1"/>
  <c r="C8236" i="1"/>
  <c r="D8236" i="1"/>
  <c r="E8236" i="1"/>
  <c r="A8237" i="1"/>
  <c r="B8237" i="1"/>
  <c r="C8237" i="1"/>
  <c r="D8237" i="1"/>
  <c r="E8237" i="1"/>
  <c r="A8238" i="1"/>
  <c r="B8238" i="1"/>
  <c r="C8238" i="1"/>
  <c r="D8238" i="1"/>
  <c r="E8238" i="1"/>
  <c r="A8239" i="1"/>
  <c r="B8239" i="1"/>
  <c r="C8239" i="1"/>
  <c r="D8239" i="1"/>
  <c r="E8239" i="1"/>
  <c r="A8240" i="1"/>
  <c r="B8240" i="1"/>
  <c r="C8240" i="1"/>
  <c r="D8240" i="1"/>
  <c r="E8240" i="1"/>
  <c r="A8241" i="1"/>
  <c r="B8241" i="1"/>
  <c r="C8241" i="1"/>
  <c r="D8241" i="1"/>
  <c r="E8241" i="1"/>
  <c r="A8242" i="1"/>
  <c r="B8242" i="1"/>
  <c r="C8242" i="1"/>
  <c r="D8242" i="1"/>
  <c r="E8242" i="1"/>
  <c r="A8243" i="1"/>
  <c r="B8243" i="1"/>
  <c r="C8243" i="1"/>
  <c r="D8243" i="1"/>
  <c r="E8243" i="1"/>
  <c r="A8244" i="1"/>
  <c r="B8244" i="1"/>
  <c r="C8244" i="1"/>
  <c r="D8244" i="1"/>
  <c r="E8244" i="1"/>
  <c r="A8245" i="1"/>
  <c r="B8245" i="1"/>
  <c r="C8245" i="1"/>
  <c r="D8245" i="1"/>
  <c r="E8245" i="1"/>
  <c r="A8246" i="1"/>
  <c r="B8246" i="1"/>
  <c r="C8246" i="1"/>
  <c r="D8246" i="1"/>
  <c r="E8246" i="1"/>
  <c r="A8247" i="1"/>
  <c r="B8247" i="1"/>
  <c r="C8247" i="1"/>
  <c r="D8247" i="1"/>
  <c r="E8247" i="1"/>
  <c r="A8248" i="1"/>
  <c r="B8248" i="1"/>
  <c r="C8248" i="1"/>
  <c r="D8248" i="1"/>
  <c r="E8248" i="1"/>
  <c r="A8249" i="1"/>
  <c r="B8249" i="1"/>
  <c r="C8249" i="1"/>
  <c r="D8249" i="1"/>
  <c r="E8249" i="1"/>
  <c r="A8250" i="1"/>
  <c r="B8250" i="1"/>
  <c r="C8250" i="1"/>
  <c r="D8250" i="1"/>
  <c r="E8250" i="1"/>
  <c r="A8251" i="1"/>
  <c r="B8251" i="1"/>
  <c r="C8251" i="1"/>
  <c r="D8251" i="1"/>
  <c r="E8251" i="1"/>
  <c r="A8252" i="1"/>
  <c r="B8252" i="1"/>
  <c r="C8252" i="1"/>
  <c r="D8252" i="1"/>
  <c r="E8252" i="1"/>
  <c r="A8253" i="1"/>
  <c r="B8253" i="1"/>
  <c r="C8253" i="1"/>
  <c r="D8253" i="1"/>
  <c r="E8253" i="1"/>
  <c r="A8254" i="1"/>
  <c r="B8254" i="1"/>
  <c r="C8254" i="1"/>
  <c r="D8254" i="1"/>
  <c r="E8254" i="1"/>
  <c r="A8255" i="1"/>
  <c r="B8255" i="1"/>
  <c r="C8255" i="1"/>
  <c r="D8255" i="1"/>
  <c r="E8255" i="1"/>
  <c r="A8256" i="1"/>
  <c r="B8256" i="1"/>
  <c r="C8256" i="1"/>
  <c r="D8256" i="1"/>
  <c r="E8256" i="1"/>
  <c r="A8257" i="1"/>
  <c r="B8257" i="1"/>
  <c r="C8257" i="1"/>
  <c r="D8257" i="1"/>
  <c r="E8257" i="1"/>
  <c r="A8258" i="1"/>
  <c r="B8258" i="1"/>
  <c r="C8258" i="1"/>
  <c r="D8258" i="1"/>
  <c r="E8258" i="1"/>
  <c r="A8259" i="1"/>
  <c r="B8259" i="1"/>
  <c r="C8259" i="1"/>
  <c r="D8259" i="1"/>
  <c r="E8259" i="1"/>
  <c r="A8260" i="1"/>
  <c r="B8260" i="1"/>
  <c r="C8260" i="1"/>
  <c r="D8260" i="1"/>
  <c r="E8260" i="1"/>
  <c r="A8261" i="1"/>
  <c r="B8261" i="1"/>
  <c r="C8261" i="1"/>
  <c r="D8261" i="1"/>
  <c r="E8261" i="1"/>
  <c r="A8262" i="1"/>
  <c r="B8262" i="1"/>
  <c r="C8262" i="1"/>
  <c r="D8262" i="1"/>
  <c r="E8262" i="1"/>
  <c r="A8263" i="1"/>
  <c r="B8263" i="1"/>
  <c r="C8263" i="1"/>
  <c r="D8263" i="1"/>
  <c r="E8263" i="1"/>
  <c r="A8264" i="1"/>
  <c r="B8264" i="1"/>
  <c r="C8264" i="1"/>
  <c r="D8264" i="1"/>
  <c r="E8264" i="1"/>
  <c r="A8265" i="1"/>
  <c r="B8265" i="1"/>
  <c r="C8265" i="1"/>
  <c r="D8265" i="1"/>
  <c r="E8265" i="1"/>
  <c r="A8266" i="1"/>
  <c r="B8266" i="1"/>
  <c r="C8266" i="1"/>
  <c r="D8266" i="1"/>
  <c r="E8266" i="1"/>
  <c r="A8267" i="1"/>
  <c r="B8267" i="1"/>
  <c r="C8267" i="1"/>
  <c r="D8267" i="1"/>
  <c r="E8267" i="1"/>
  <c r="A8268" i="1"/>
  <c r="B8268" i="1"/>
  <c r="C8268" i="1"/>
  <c r="D8268" i="1"/>
  <c r="E8268" i="1"/>
  <c r="A8269" i="1"/>
  <c r="B8269" i="1"/>
  <c r="C8269" i="1"/>
  <c r="D8269" i="1"/>
  <c r="E8269" i="1"/>
  <c r="A8270" i="1"/>
  <c r="B8270" i="1"/>
  <c r="C8270" i="1"/>
  <c r="D8270" i="1"/>
  <c r="E8270" i="1"/>
  <c r="A8271" i="1"/>
  <c r="B8271" i="1"/>
  <c r="C8271" i="1"/>
  <c r="D8271" i="1"/>
  <c r="E8271" i="1"/>
  <c r="A8272" i="1"/>
  <c r="B8272" i="1"/>
  <c r="C8272" i="1"/>
  <c r="D8272" i="1"/>
  <c r="E8272" i="1"/>
  <c r="A8273" i="1"/>
  <c r="B8273" i="1"/>
  <c r="C8273" i="1"/>
  <c r="D8273" i="1"/>
  <c r="E8273" i="1"/>
  <c r="A8274" i="1"/>
  <c r="B8274" i="1"/>
  <c r="C8274" i="1"/>
  <c r="D8274" i="1"/>
  <c r="E8274" i="1"/>
  <c r="A8275" i="1"/>
  <c r="B8275" i="1"/>
  <c r="C8275" i="1"/>
  <c r="D8275" i="1"/>
  <c r="E8275" i="1"/>
  <c r="A8276" i="1"/>
  <c r="B8276" i="1"/>
  <c r="C8276" i="1"/>
  <c r="D8276" i="1"/>
  <c r="E8276" i="1"/>
  <c r="A8277" i="1"/>
  <c r="B8277" i="1"/>
  <c r="C8277" i="1"/>
  <c r="D8277" i="1"/>
  <c r="E8277" i="1"/>
  <c r="A8278" i="1"/>
  <c r="B8278" i="1"/>
  <c r="C8278" i="1"/>
  <c r="D8278" i="1"/>
  <c r="E8278" i="1"/>
  <c r="A8279" i="1"/>
  <c r="B8279" i="1"/>
  <c r="C8279" i="1"/>
  <c r="D8279" i="1"/>
  <c r="E8279" i="1"/>
  <c r="A8280" i="1"/>
  <c r="B8280" i="1"/>
  <c r="C8280" i="1"/>
  <c r="D8280" i="1"/>
  <c r="E8280" i="1"/>
  <c r="A8281" i="1"/>
  <c r="B8281" i="1"/>
  <c r="C8281" i="1"/>
  <c r="D8281" i="1"/>
  <c r="E8281" i="1"/>
  <c r="A8282" i="1"/>
  <c r="B8282" i="1"/>
  <c r="C8282" i="1"/>
  <c r="D8282" i="1"/>
  <c r="E8282" i="1"/>
  <c r="A8283" i="1"/>
  <c r="B8283" i="1"/>
  <c r="C8283" i="1"/>
  <c r="D8283" i="1"/>
  <c r="E8283" i="1"/>
  <c r="A8284" i="1"/>
  <c r="B8284" i="1"/>
  <c r="C8284" i="1"/>
  <c r="D8284" i="1"/>
  <c r="E8284" i="1"/>
  <c r="A8285" i="1"/>
  <c r="B8285" i="1"/>
  <c r="C8285" i="1"/>
  <c r="D8285" i="1"/>
  <c r="E8285" i="1"/>
  <c r="A8286" i="1"/>
  <c r="B8286" i="1"/>
  <c r="C8286" i="1"/>
  <c r="D8286" i="1"/>
  <c r="E8286" i="1"/>
  <c r="A8287" i="1"/>
  <c r="B8287" i="1"/>
  <c r="C8287" i="1"/>
  <c r="D8287" i="1"/>
  <c r="E8287" i="1"/>
  <c r="A8288" i="1"/>
  <c r="B8288" i="1"/>
  <c r="C8288" i="1"/>
  <c r="D8288" i="1"/>
  <c r="E8288" i="1"/>
  <c r="A8289" i="1"/>
  <c r="B8289" i="1"/>
  <c r="C8289" i="1"/>
  <c r="D8289" i="1"/>
  <c r="E8289" i="1"/>
  <c r="A8290" i="1"/>
  <c r="B8290" i="1"/>
  <c r="C8290" i="1"/>
  <c r="D8290" i="1"/>
  <c r="E8290" i="1"/>
  <c r="A8291" i="1"/>
  <c r="B8291" i="1"/>
  <c r="C8291" i="1"/>
  <c r="D8291" i="1"/>
  <c r="E8291" i="1"/>
  <c r="A8292" i="1"/>
  <c r="B8292" i="1"/>
  <c r="C8292" i="1"/>
  <c r="D8292" i="1"/>
  <c r="E8292" i="1"/>
  <c r="A8293" i="1"/>
  <c r="B8293" i="1"/>
  <c r="C8293" i="1"/>
  <c r="D8293" i="1"/>
  <c r="E8293" i="1"/>
  <c r="A8294" i="1"/>
  <c r="B8294" i="1"/>
  <c r="C8294" i="1"/>
  <c r="D8294" i="1"/>
  <c r="E8294" i="1"/>
  <c r="A8295" i="1"/>
  <c r="B8295" i="1"/>
  <c r="C8295" i="1"/>
  <c r="D8295" i="1"/>
  <c r="E8295" i="1"/>
  <c r="A8296" i="1"/>
  <c r="B8296" i="1"/>
  <c r="C8296" i="1"/>
  <c r="D8296" i="1"/>
  <c r="E8296" i="1"/>
  <c r="A8297" i="1"/>
  <c r="B8297" i="1"/>
  <c r="C8297" i="1"/>
  <c r="D8297" i="1"/>
  <c r="E8297" i="1"/>
  <c r="A8298" i="1"/>
  <c r="B8298" i="1"/>
  <c r="C8298" i="1"/>
  <c r="D8298" i="1"/>
  <c r="E8298" i="1"/>
  <c r="A8299" i="1"/>
  <c r="B8299" i="1"/>
  <c r="C8299" i="1"/>
  <c r="D8299" i="1"/>
  <c r="E8299" i="1"/>
  <c r="A8300" i="1"/>
  <c r="B8300" i="1"/>
  <c r="C8300" i="1"/>
  <c r="D8300" i="1"/>
  <c r="E8300" i="1"/>
  <c r="A8301" i="1"/>
  <c r="B8301" i="1"/>
  <c r="C8301" i="1"/>
  <c r="D8301" i="1"/>
  <c r="E8301" i="1"/>
  <c r="A8302" i="1"/>
  <c r="B8302" i="1"/>
  <c r="C8302" i="1"/>
  <c r="D8302" i="1"/>
  <c r="E8302" i="1"/>
  <c r="A8303" i="1"/>
  <c r="B8303" i="1"/>
  <c r="C8303" i="1"/>
  <c r="D8303" i="1"/>
  <c r="E8303" i="1"/>
  <c r="A8304" i="1"/>
  <c r="B8304" i="1"/>
  <c r="C8304" i="1"/>
  <c r="D8304" i="1"/>
  <c r="E8304" i="1"/>
  <c r="A8305" i="1"/>
  <c r="B8305" i="1"/>
  <c r="C8305" i="1"/>
  <c r="D8305" i="1"/>
  <c r="E8305" i="1"/>
  <c r="A8306" i="1"/>
  <c r="B8306" i="1"/>
  <c r="C8306" i="1"/>
  <c r="D8306" i="1"/>
  <c r="E8306" i="1"/>
  <c r="A8307" i="1"/>
  <c r="B8307" i="1"/>
  <c r="C8307" i="1"/>
  <c r="D8307" i="1"/>
  <c r="E8307" i="1"/>
  <c r="A8308" i="1"/>
  <c r="B8308" i="1"/>
  <c r="C8308" i="1"/>
  <c r="D8308" i="1"/>
  <c r="E8308" i="1"/>
  <c r="A8309" i="1"/>
  <c r="B8309" i="1"/>
  <c r="C8309" i="1"/>
  <c r="D8309" i="1"/>
  <c r="E8309" i="1"/>
  <c r="A8310" i="1"/>
  <c r="B8310" i="1"/>
  <c r="C8310" i="1"/>
  <c r="D8310" i="1"/>
  <c r="E8310" i="1"/>
  <c r="A8311" i="1"/>
  <c r="B8311" i="1"/>
  <c r="C8311" i="1"/>
  <c r="D8311" i="1"/>
  <c r="E8311" i="1"/>
  <c r="A8312" i="1"/>
  <c r="B8312" i="1"/>
  <c r="C8312" i="1"/>
  <c r="D8312" i="1"/>
  <c r="E8312" i="1"/>
  <c r="A8313" i="1"/>
  <c r="B8313" i="1"/>
  <c r="C8313" i="1"/>
  <c r="D8313" i="1"/>
  <c r="E8313" i="1"/>
  <c r="A8314" i="1"/>
  <c r="B8314" i="1"/>
  <c r="C8314" i="1"/>
  <c r="D8314" i="1"/>
  <c r="E8314" i="1"/>
  <c r="A8315" i="1"/>
  <c r="B8315" i="1"/>
  <c r="C8315" i="1"/>
  <c r="D8315" i="1"/>
  <c r="E8315" i="1"/>
  <c r="A8316" i="1"/>
  <c r="B8316" i="1"/>
  <c r="C8316" i="1"/>
  <c r="D8316" i="1"/>
  <c r="E8316" i="1"/>
  <c r="A8317" i="1"/>
  <c r="B8317" i="1"/>
  <c r="C8317" i="1"/>
  <c r="D8317" i="1"/>
  <c r="E8317" i="1"/>
  <c r="A8318" i="1"/>
  <c r="B8318" i="1"/>
  <c r="C8318" i="1"/>
  <c r="D8318" i="1"/>
  <c r="E8318" i="1"/>
  <c r="A8319" i="1"/>
  <c r="B8319" i="1"/>
  <c r="C8319" i="1"/>
  <c r="D8319" i="1"/>
  <c r="E8319" i="1"/>
  <c r="A8320" i="1"/>
  <c r="B8320" i="1"/>
  <c r="C8320" i="1"/>
  <c r="D8320" i="1"/>
  <c r="E8320" i="1"/>
  <c r="A8321" i="1"/>
  <c r="B8321" i="1"/>
  <c r="C8321" i="1"/>
  <c r="D8321" i="1"/>
  <c r="E8321" i="1"/>
  <c r="A8322" i="1"/>
  <c r="B8322" i="1"/>
  <c r="C8322" i="1"/>
  <c r="D8322" i="1"/>
  <c r="E8322" i="1"/>
  <c r="A8323" i="1"/>
  <c r="B8323" i="1"/>
  <c r="C8323" i="1"/>
  <c r="D8323" i="1"/>
  <c r="E8323" i="1"/>
  <c r="A8324" i="1"/>
  <c r="B8324" i="1"/>
  <c r="C8324" i="1"/>
  <c r="D8324" i="1"/>
  <c r="E8324" i="1"/>
  <c r="A8325" i="1"/>
  <c r="B8325" i="1"/>
  <c r="C8325" i="1"/>
  <c r="D8325" i="1"/>
  <c r="E8325" i="1"/>
  <c r="A8326" i="1"/>
  <c r="B8326" i="1"/>
  <c r="C8326" i="1"/>
  <c r="D8326" i="1"/>
  <c r="E8326" i="1"/>
  <c r="A8327" i="1"/>
  <c r="B8327" i="1"/>
  <c r="C8327" i="1"/>
  <c r="D8327" i="1"/>
  <c r="E8327" i="1"/>
  <c r="A8328" i="1"/>
  <c r="B8328" i="1"/>
  <c r="C8328" i="1"/>
  <c r="D8328" i="1"/>
  <c r="E8328" i="1"/>
  <c r="A8329" i="1"/>
  <c r="B8329" i="1"/>
  <c r="C8329" i="1"/>
  <c r="D8329" i="1"/>
  <c r="E8329" i="1"/>
  <c r="A8330" i="1"/>
  <c r="B8330" i="1"/>
  <c r="C8330" i="1"/>
  <c r="D8330" i="1"/>
  <c r="E8330" i="1"/>
  <c r="A8331" i="1"/>
  <c r="B8331" i="1"/>
  <c r="C8331" i="1"/>
  <c r="D8331" i="1"/>
  <c r="E8331" i="1"/>
  <c r="A8332" i="1"/>
  <c r="B8332" i="1"/>
  <c r="C8332" i="1"/>
  <c r="D8332" i="1"/>
  <c r="E8332" i="1"/>
  <c r="A8333" i="1"/>
  <c r="B8333" i="1"/>
  <c r="C8333" i="1"/>
  <c r="D8333" i="1"/>
  <c r="E8333" i="1"/>
  <c r="A8334" i="1"/>
  <c r="B8334" i="1"/>
  <c r="C8334" i="1"/>
  <c r="D8334" i="1"/>
  <c r="E8334" i="1"/>
  <c r="A8335" i="1"/>
  <c r="B8335" i="1"/>
  <c r="C8335" i="1"/>
  <c r="D8335" i="1"/>
  <c r="E8335" i="1"/>
  <c r="A8336" i="1"/>
  <c r="B8336" i="1"/>
  <c r="C8336" i="1"/>
  <c r="D8336" i="1"/>
  <c r="E8336" i="1"/>
  <c r="A8337" i="1"/>
  <c r="B8337" i="1"/>
  <c r="C8337" i="1"/>
  <c r="D8337" i="1"/>
  <c r="E8337" i="1"/>
  <c r="A8338" i="1"/>
  <c r="B8338" i="1"/>
  <c r="C8338" i="1"/>
  <c r="D8338" i="1"/>
  <c r="E8338" i="1"/>
  <c r="A8339" i="1"/>
  <c r="B8339" i="1"/>
  <c r="C8339" i="1"/>
  <c r="D8339" i="1"/>
  <c r="E8339" i="1"/>
  <c r="A8340" i="1"/>
  <c r="B8340" i="1"/>
  <c r="C8340" i="1"/>
  <c r="D8340" i="1"/>
  <c r="E8340" i="1"/>
  <c r="A8341" i="1"/>
  <c r="B8341" i="1"/>
  <c r="C8341" i="1"/>
  <c r="D8341" i="1"/>
  <c r="E8341" i="1"/>
  <c r="A8342" i="1"/>
  <c r="B8342" i="1"/>
  <c r="C8342" i="1"/>
  <c r="D8342" i="1"/>
  <c r="E8342" i="1"/>
  <c r="A8343" i="1"/>
  <c r="B8343" i="1"/>
  <c r="C8343" i="1"/>
  <c r="D8343" i="1"/>
  <c r="E8343" i="1"/>
  <c r="A8344" i="1"/>
  <c r="B8344" i="1"/>
  <c r="C8344" i="1"/>
  <c r="D8344" i="1"/>
  <c r="E8344" i="1"/>
  <c r="A8345" i="1"/>
  <c r="B8345" i="1"/>
  <c r="C8345" i="1"/>
  <c r="D8345" i="1"/>
  <c r="E8345" i="1"/>
  <c r="A8346" i="1"/>
  <c r="B8346" i="1"/>
  <c r="C8346" i="1"/>
  <c r="D8346" i="1"/>
  <c r="E8346" i="1"/>
  <c r="A8347" i="1"/>
  <c r="B8347" i="1"/>
  <c r="C8347" i="1"/>
  <c r="D8347" i="1"/>
  <c r="E8347" i="1"/>
  <c r="A8348" i="1"/>
  <c r="B8348" i="1"/>
  <c r="C8348" i="1"/>
  <c r="D8348" i="1"/>
  <c r="E8348" i="1"/>
  <c r="A8349" i="1"/>
  <c r="B8349" i="1"/>
  <c r="C8349" i="1"/>
  <c r="D8349" i="1"/>
  <c r="E8349" i="1"/>
  <c r="A8350" i="1"/>
  <c r="B8350" i="1"/>
  <c r="C8350" i="1"/>
  <c r="D8350" i="1"/>
  <c r="E8350" i="1"/>
  <c r="A8351" i="1"/>
  <c r="B8351" i="1"/>
  <c r="C8351" i="1"/>
  <c r="D8351" i="1"/>
  <c r="E8351" i="1"/>
  <c r="A8352" i="1"/>
  <c r="B8352" i="1"/>
  <c r="C8352" i="1"/>
  <c r="D8352" i="1"/>
  <c r="E8352" i="1"/>
  <c r="A8353" i="1"/>
  <c r="B8353" i="1"/>
  <c r="C8353" i="1"/>
  <c r="D8353" i="1"/>
  <c r="E8353" i="1"/>
  <c r="A8354" i="1"/>
  <c r="B8354" i="1"/>
  <c r="C8354" i="1"/>
  <c r="D8354" i="1"/>
  <c r="E8354" i="1"/>
  <c r="A8355" i="1"/>
  <c r="B8355" i="1"/>
  <c r="C8355" i="1"/>
  <c r="D8355" i="1"/>
  <c r="E8355" i="1"/>
  <c r="A8356" i="1"/>
  <c r="B8356" i="1"/>
  <c r="C8356" i="1"/>
  <c r="D8356" i="1"/>
  <c r="E8356" i="1"/>
  <c r="A8357" i="1"/>
  <c r="B8357" i="1"/>
  <c r="C8357" i="1"/>
  <c r="D8357" i="1"/>
  <c r="E8357" i="1"/>
  <c r="A8358" i="1"/>
  <c r="B8358" i="1"/>
  <c r="C8358" i="1"/>
  <c r="D8358" i="1"/>
  <c r="E8358" i="1"/>
  <c r="A8359" i="1"/>
  <c r="B8359" i="1"/>
  <c r="C8359" i="1"/>
  <c r="D8359" i="1"/>
  <c r="E8359" i="1"/>
  <c r="A8360" i="1"/>
  <c r="B8360" i="1"/>
  <c r="C8360" i="1"/>
  <c r="D8360" i="1"/>
  <c r="E8360" i="1"/>
  <c r="A8361" i="1"/>
  <c r="B8361" i="1"/>
  <c r="C8361" i="1"/>
  <c r="D8361" i="1"/>
  <c r="E8361" i="1"/>
  <c r="A8362" i="1"/>
  <c r="B8362" i="1"/>
  <c r="C8362" i="1"/>
  <c r="D8362" i="1"/>
  <c r="E8362" i="1"/>
  <c r="A8363" i="1"/>
  <c r="B8363" i="1"/>
  <c r="C8363" i="1"/>
  <c r="D8363" i="1"/>
  <c r="E8363" i="1"/>
  <c r="A8364" i="1"/>
  <c r="B8364" i="1"/>
  <c r="C8364" i="1"/>
  <c r="D8364" i="1"/>
  <c r="E8364" i="1"/>
  <c r="A8365" i="1"/>
  <c r="B8365" i="1"/>
  <c r="C8365" i="1"/>
  <c r="D8365" i="1"/>
  <c r="E8365" i="1"/>
  <c r="A8366" i="1"/>
  <c r="B8366" i="1"/>
  <c r="C8366" i="1"/>
  <c r="D8366" i="1"/>
  <c r="E8366" i="1"/>
  <c r="A8367" i="1"/>
  <c r="B8367" i="1"/>
  <c r="C8367" i="1"/>
  <c r="D8367" i="1"/>
  <c r="E8367" i="1"/>
  <c r="A8368" i="1"/>
  <c r="B8368" i="1"/>
  <c r="C8368" i="1"/>
  <c r="D8368" i="1"/>
  <c r="E8368" i="1"/>
  <c r="A8369" i="1"/>
  <c r="B8369" i="1"/>
  <c r="C8369" i="1"/>
  <c r="D8369" i="1"/>
  <c r="E8369" i="1"/>
  <c r="A8370" i="1"/>
  <c r="B8370" i="1"/>
  <c r="C8370" i="1"/>
  <c r="D8370" i="1"/>
  <c r="E8370" i="1"/>
  <c r="A8371" i="1"/>
  <c r="B8371" i="1"/>
  <c r="C8371" i="1"/>
  <c r="D8371" i="1"/>
  <c r="E8371" i="1"/>
  <c r="A8372" i="1"/>
  <c r="B8372" i="1"/>
  <c r="C8372" i="1"/>
  <c r="D8372" i="1"/>
  <c r="E8372" i="1"/>
  <c r="A8373" i="1"/>
  <c r="B8373" i="1"/>
  <c r="C8373" i="1"/>
  <c r="D8373" i="1"/>
  <c r="E8373" i="1"/>
  <c r="A8374" i="1"/>
  <c r="B8374" i="1"/>
  <c r="C8374" i="1"/>
  <c r="D8374" i="1"/>
  <c r="E8374" i="1"/>
  <c r="A8375" i="1"/>
  <c r="B8375" i="1"/>
  <c r="C8375" i="1"/>
  <c r="D8375" i="1"/>
  <c r="E8375" i="1"/>
  <c r="A8376" i="1"/>
  <c r="B8376" i="1"/>
  <c r="C8376" i="1"/>
  <c r="D8376" i="1"/>
  <c r="E8376" i="1"/>
  <c r="A8377" i="1"/>
  <c r="B8377" i="1"/>
  <c r="C8377" i="1"/>
  <c r="D8377" i="1"/>
  <c r="E8377" i="1"/>
  <c r="A8378" i="1"/>
  <c r="B8378" i="1"/>
  <c r="C8378" i="1"/>
  <c r="D8378" i="1"/>
  <c r="E8378" i="1"/>
  <c r="A8379" i="1"/>
  <c r="B8379" i="1"/>
  <c r="C8379" i="1"/>
  <c r="D8379" i="1"/>
  <c r="E8379" i="1"/>
  <c r="A8380" i="1"/>
  <c r="B8380" i="1"/>
  <c r="C8380" i="1"/>
  <c r="D8380" i="1"/>
  <c r="E8380" i="1"/>
  <c r="A8381" i="1"/>
  <c r="B8381" i="1"/>
  <c r="C8381" i="1"/>
  <c r="D8381" i="1"/>
  <c r="E8381" i="1"/>
  <c r="A8382" i="1"/>
  <c r="B8382" i="1"/>
  <c r="C8382" i="1"/>
  <c r="D8382" i="1"/>
  <c r="E8382" i="1"/>
  <c r="A8383" i="1"/>
  <c r="B8383" i="1"/>
  <c r="C8383" i="1"/>
  <c r="D8383" i="1"/>
  <c r="E8383" i="1"/>
  <c r="A8384" i="1"/>
  <c r="B8384" i="1"/>
  <c r="C8384" i="1"/>
  <c r="D8384" i="1"/>
  <c r="E8384" i="1"/>
  <c r="A8385" i="1"/>
  <c r="B8385" i="1"/>
  <c r="C8385" i="1"/>
  <c r="D8385" i="1"/>
  <c r="E8385" i="1"/>
  <c r="A8386" i="1"/>
  <c r="B8386" i="1"/>
  <c r="C8386" i="1"/>
  <c r="D8386" i="1"/>
  <c r="E8386" i="1"/>
  <c r="A8387" i="1"/>
  <c r="B8387" i="1"/>
  <c r="C8387" i="1"/>
  <c r="D8387" i="1"/>
  <c r="E8387" i="1"/>
  <c r="A8388" i="1"/>
  <c r="B8388" i="1"/>
  <c r="C8388" i="1"/>
  <c r="D8388" i="1"/>
  <c r="E8388" i="1"/>
  <c r="A8389" i="1"/>
  <c r="B8389" i="1"/>
  <c r="C8389" i="1"/>
  <c r="D8389" i="1"/>
  <c r="E8389" i="1"/>
  <c r="A8390" i="1"/>
  <c r="B8390" i="1"/>
  <c r="C8390" i="1"/>
  <c r="D8390" i="1"/>
  <c r="E8390" i="1"/>
  <c r="A8391" i="1"/>
  <c r="B8391" i="1"/>
  <c r="C8391" i="1"/>
  <c r="D8391" i="1"/>
  <c r="E8391" i="1"/>
  <c r="A8392" i="1"/>
  <c r="B8392" i="1"/>
  <c r="C8392" i="1"/>
  <c r="D8392" i="1"/>
  <c r="E8392" i="1"/>
  <c r="A8393" i="1"/>
  <c r="B8393" i="1"/>
  <c r="C8393" i="1"/>
  <c r="D8393" i="1"/>
  <c r="E8393" i="1"/>
  <c r="A8394" i="1"/>
  <c r="B8394" i="1"/>
  <c r="C8394" i="1"/>
  <c r="D8394" i="1"/>
  <c r="E8394" i="1"/>
  <c r="A8395" i="1"/>
  <c r="B8395" i="1"/>
  <c r="C8395" i="1"/>
  <c r="D8395" i="1"/>
  <c r="E8395" i="1"/>
  <c r="A8396" i="1"/>
  <c r="B8396" i="1"/>
  <c r="C8396" i="1"/>
  <c r="D8396" i="1"/>
  <c r="E8396" i="1"/>
  <c r="A8397" i="1"/>
  <c r="B8397" i="1"/>
  <c r="C8397" i="1"/>
  <c r="D8397" i="1"/>
  <c r="E8397" i="1"/>
  <c r="A8398" i="1"/>
  <c r="B8398" i="1"/>
  <c r="C8398" i="1"/>
  <c r="D8398" i="1"/>
  <c r="E8398" i="1"/>
  <c r="A8399" i="1"/>
  <c r="B8399" i="1"/>
  <c r="C8399" i="1"/>
  <c r="D8399" i="1"/>
  <c r="E8399" i="1"/>
  <c r="A8400" i="1"/>
  <c r="B8400" i="1"/>
  <c r="C8400" i="1"/>
  <c r="D8400" i="1"/>
  <c r="E8400" i="1"/>
  <c r="A8401" i="1"/>
  <c r="B8401" i="1"/>
  <c r="C8401" i="1"/>
  <c r="D8401" i="1"/>
  <c r="E8401" i="1"/>
  <c r="A8402" i="1"/>
  <c r="B8402" i="1"/>
  <c r="C8402" i="1"/>
  <c r="D8402" i="1"/>
  <c r="E8402" i="1"/>
  <c r="A8403" i="1"/>
  <c r="B8403" i="1"/>
  <c r="C8403" i="1"/>
  <c r="D8403" i="1"/>
  <c r="E8403" i="1"/>
  <c r="A8404" i="1"/>
  <c r="B8404" i="1"/>
  <c r="C8404" i="1"/>
  <c r="D8404" i="1"/>
  <c r="E8404" i="1"/>
  <c r="A8405" i="1"/>
  <c r="B8405" i="1"/>
  <c r="C8405" i="1"/>
  <c r="D8405" i="1"/>
  <c r="E8405" i="1"/>
  <c r="A8406" i="1"/>
  <c r="B8406" i="1"/>
  <c r="C8406" i="1"/>
  <c r="D8406" i="1"/>
  <c r="E8406" i="1"/>
  <c r="A8407" i="1"/>
  <c r="B8407" i="1"/>
  <c r="C8407" i="1"/>
  <c r="D8407" i="1"/>
  <c r="E8407" i="1"/>
  <c r="A8408" i="1"/>
  <c r="B8408" i="1"/>
  <c r="C8408" i="1"/>
  <c r="D8408" i="1"/>
  <c r="E8408" i="1"/>
  <c r="A8409" i="1"/>
  <c r="B8409" i="1"/>
  <c r="C8409" i="1"/>
  <c r="D8409" i="1"/>
  <c r="E8409" i="1"/>
  <c r="A8410" i="1"/>
  <c r="B8410" i="1"/>
  <c r="C8410" i="1"/>
  <c r="D8410" i="1"/>
  <c r="E8410" i="1"/>
  <c r="A8411" i="1"/>
  <c r="B8411" i="1"/>
  <c r="C8411" i="1"/>
  <c r="D8411" i="1"/>
  <c r="E8411" i="1"/>
  <c r="A8412" i="1"/>
  <c r="B8412" i="1"/>
  <c r="C8412" i="1"/>
  <c r="D8412" i="1"/>
  <c r="E8412" i="1"/>
  <c r="A8413" i="1"/>
  <c r="B8413" i="1"/>
  <c r="C8413" i="1"/>
  <c r="D8413" i="1"/>
  <c r="E8413" i="1"/>
  <c r="A8414" i="1"/>
  <c r="B8414" i="1"/>
  <c r="C8414" i="1"/>
  <c r="D8414" i="1"/>
  <c r="E8414" i="1"/>
  <c r="A8415" i="1"/>
  <c r="B8415" i="1"/>
  <c r="C8415" i="1"/>
  <c r="D8415" i="1"/>
  <c r="E8415" i="1"/>
  <c r="A8416" i="1"/>
  <c r="B8416" i="1"/>
  <c r="C8416" i="1"/>
  <c r="D8416" i="1"/>
  <c r="E8416" i="1"/>
  <c r="A8417" i="1"/>
  <c r="B8417" i="1"/>
  <c r="C8417" i="1"/>
  <c r="D8417" i="1"/>
  <c r="E8417" i="1"/>
  <c r="A8418" i="1"/>
  <c r="B8418" i="1"/>
  <c r="C8418" i="1"/>
  <c r="D8418" i="1"/>
  <c r="E8418" i="1"/>
  <c r="A8419" i="1"/>
  <c r="B8419" i="1"/>
  <c r="C8419" i="1"/>
  <c r="D8419" i="1"/>
  <c r="E8419" i="1"/>
  <c r="A8420" i="1"/>
  <c r="B8420" i="1"/>
  <c r="C8420" i="1"/>
  <c r="D8420" i="1"/>
  <c r="E8420" i="1"/>
  <c r="A8421" i="1"/>
  <c r="B8421" i="1"/>
  <c r="C8421" i="1"/>
  <c r="D8421" i="1"/>
  <c r="E8421" i="1"/>
  <c r="A8422" i="1"/>
  <c r="B8422" i="1"/>
  <c r="C8422" i="1"/>
  <c r="D8422" i="1"/>
  <c r="E8422" i="1"/>
  <c r="A8423" i="1"/>
  <c r="B8423" i="1"/>
  <c r="C8423" i="1"/>
  <c r="D8423" i="1"/>
  <c r="E8423" i="1"/>
  <c r="A8424" i="1"/>
  <c r="B8424" i="1"/>
  <c r="C8424" i="1"/>
  <c r="D8424" i="1"/>
  <c r="E8424" i="1"/>
  <c r="A8425" i="1"/>
  <c r="B8425" i="1"/>
  <c r="C8425" i="1"/>
  <c r="D8425" i="1"/>
  <c r="E8425" i="1"/>
  <c r="A8426" i="1"/>
  <c r="B8426" i="1"/>
  <c r="C8426" i="1"/>
  <c r="D8426" i="1"/>
  <c r="E8426" i="1"/>
  <c r="A8427" i="1"/>
  <c r="B8427" i="1"/>
  <c r="C8427" i="1"/>
  <c r="D8427" i="1"/>
  <c r="E8427" i="1"/>
  <c r="A8428" i="1"/>
  <c r="B8428" i="1"/>
  <c r="C8428" i="1"/>
  <c r="D8428" i="1"/>
  <c r="E8428" i="1"/>
  <c r="A8429" i="1"/>
  <c r="B8429" i="1"/>
  <c r="C8429" i="1"/>
  <c r="D8429" i="1"/>
  <c r="E8429" i="1"/>
  <c r="A8430" i="1"/>
  <c r="B8430" i="1"/>
  <c r="C8430" i="1"/>
  <c r="D8430" i="1"/>
  <c r="E8430" i="1"/>
  <c r="A8431" i="1"/>
  <c r="B8431" i="1"/>
  <c r="C8431" i="1"/>
  <c r="D8431" i="1"/>
  <c r="E8431" i="1"/>
  <c r="A8432" i="1"/>
  <c r="B8432" i="1"/>
  <c r="C8432" i="1"/>
  <c r="D8432" i="1"/>
  <c r="E8432" i="1"/>
  <c r="A8433" i="1"/>
  <c r="B8433" i="1"/>
  <c r="C8433" i="1"/>
  <c r="D8433" i="1"/>
  <c r="E8433" i="1"/>
  <c r="A8434" i="1"/>
  <c r="B8434" i="1"/>
  <c r="C8434" i="1"/>
  <c r="D8434" i="1"/>
  <c r="E8434" i="1"/>
  <c r="A8435" i="1"/>
  <c r="B8435" i="1"/>
  <c r="C8435" i="1"/>
  <c r="D8435" i="1"/>
  <c r="E8435" i="1"/>
  <c r="A8436" i="1"/>
  <c r="B8436" i="1"/>
  <c r="C8436" i="1"/>
  <c r="D8436" i="1"/>
  <c r="E8436" i="1"/>
  <c r="A8437" i="1"/>
  <c r="B8437" i="1"/>
  <c r="C8437" i="1"/>
  <c r="D8437" i="1"/>
  <c r="E8437" i="1"/>
  <c r="A8438" i="1"/>
  <c r="B8438" i="1"/>
  <c r="C8438" i="1"/>
  <c r="D8438" i="1"/>
  <c r="E8438" i="1"/>
  <c r="A8439" i="1"/>
  <c r="B8439" i="1"/>
  <c r="C8439" i="1"/>
  <c r="D8439" i="1"/>
  <c r="E8439" i="1"/>
  <c r="A8440" i="1"/>
  <c r="B8440" i="1"/>
  <c r="C8440" i="1"/>
  <c r="D8440" i="1"/>
  <c r="E8440" i="1"/>
  <c r="A8441" i="1"/>
  <c r="B8441" i="1"/>
  <c r="C8441" i="1"/>
  <c r="D8441" i="1"/>
  <c r="E8441" i="1"/>
  <c r="A8442" i="1"/>
  <c r="B8442" i="1"/>
  <c r="C8442" i="1"/>
  <c r="D8442" i="1"/>
  <c r="E8442" i="1"/>
  <c r="A8443" i="1"/>
  <c r="B8443" i="1"/>
  <c r="C8443" i="1"/>
  <c r="D8443" i="1"/>
  <c r="E8443" i="1"/>
  <c r="A8444" i="1"/>
  <c r="B8444" i="1"/>
  <c r="C8444" i="1"/>
  <c r="D8444" i="1"/>
  <c r="E8444" i="1"/>
  <c r="A8445" i="1"/>
  <c r="B8445" i="1"/>
  <c r="C8445" i="1"/>
  <c r="D8445" i="1"/>
  <c r="E8445" i="1"/>
  <c r="A8446" i="1"/>
  <c r="B8446" i="1"/>
  <c r="C8446" i="1"/>
  <c r="D8446" i="1"/>
  <c r="E8446" i="1"/>
  <c r="A8447" i="1"/>
  <c r="B8447" i="1"/>
  <c r="C8447" i="1"/>
  <c r="D8447" i="1"/>
  <c r="E8447" i="1"/>
  <c r="A8448" i="1"/>
  <c r="B8448" i="1"/>
  <c r="C8448" i="1"/>
  <c r="D8448" i="1"/>
  <c r="E8448" i="1"/>
  <c r="A8449" i="1"/>
  <c r="B8449" i="1"/>
  <c r="C8449" i="1"/>
  <c r="D8449" i="1"/>
  <c r="E8449" i="1"/>
  <c r="A8450" i="1"/>
  <c r="B8450" i="1"/>
  <c r="C8450" i="1"/>
  <c r="D8450" i="1"/>
  <c r="E8450" i="1"/>
  <c r="A8451" i="1"/>
  <c r="B8451" i="1"/>
  <c r="C8451" i="1"/>
  <c r="D8451" i="1"/>
  <c r="E8451" i="1"/>
  <c r="A8452" i="1"/>
  <c r="B8452" i="1"/>
  <c r="C8452" i="1"/>
  <c r="D8452" i="1"/>
  <c r="E8452" i="1"/>
  <c r="A8453" i="1"/>
  <c r="B8453" i="1"/>
  <c r="C8453" i="1"/>
  <c r="D8453" i="1"/>
  <c r="E8453" i="1"/>
  <c r="A8454" i="1"/>
  <c r="B8454" i="1"/>
  <c r="C8454" i="1"/>
  <c r="D8454" i="1"/>
  <c r="E8454" i="1"/>
  <c r="A8455" i="1"/>
  <c r="B8455" i="1"/>
  <c r="C8455" i="1"/>
  <c r="D8455" i="1"/>
  <c r="E8455" i="1"/>
  <c r="A8456" i="1"/>
  <c r="B8456" i="1"/>
  <c r="C8456" i="1"/>
  <c r="D8456" i="1"/>
  <c r="E8456" i="1"/>
  <c r="A8457" i="1"/>
  <c r="B8457" i="1"/>
  <c r="C8457" i="1"/>
  <c r="D8457" i="1"/>
  <c r="E8457" i="1"/>
  <c r="A8458" i="1"/>
  <c r="B8458" i="1"/>
  <c r="C8458" i="1"/>
  <c r="D8458" i="1"/>
  <c r="E8458" i="1"/>
  <c r="A8459" i="1"/>
  <c r="B8459" i="1"/>
  <c r="C8459" i="1"/>
  <c r="D8459" i="1"/>
  <c r="E8459" i="1"/>
  <c r="A8460" i="1"/>
  <c r="B8460" i="1"/>
  <c r="C8460" i="1"/>
  <c r="D8460" i="1"/>
  <c r="E8460" i="1"/>
  <c r="A8461" i="1"/>
  <c r="B8461" i="1"/>
  <c r="C8461" i="1"/>
  <c r="D8461" i="1"/>
  <c r="E8461" i="1"/>
  <c r="A8462" i="1"/>
  <c r="B8462" i="1"/>
  <c r="C8462" i="1"/>
  <c r="D8462" i="1"/>
  <c r="E8462" i="1"/>
  <c r="A8463" i="1"/>
  <c r="B8463" i="1"/>
  <c r="C8463" i="1"/>
  <c r="D8463" i="1"/>
  <c r="E8463" i="1"/>
  <c r="A8464" i="1"/>
  <c r="B8464" i="1"/>
  <c r="C8464" i="1"/>
  <c r="D8464" i="1"/>
  <c r="E8464" i="1"/>
  <c r="A8465" i="1"/>
  <c r="B8465" i="1"/>
  <c r="C8465" i="1"/>
  <c r="D8465" i="1"/>
  <c r="E8465" i="1"/>
  <c r="A8466" i="1"/>
  <c r="B8466" i="1"/>
  <c r="C8466" i="1"/>
  <c r="D8466" i="1"/>
  <c r="E8466" i="1"/>
  <c r="A8467" i="1"/>
  <c r="B8467" i="1"/>
  <c r="C8467" i="1"/>
  <c r="D8467" i="1"/>
  <c r="E8467" i="1"/>
  <c r="A8468" i="1"/>
  <c r="B8468" i="1"/>
  <c r="C8468" i="1"/>
  <c r="D8468" i="1"/>
  <c r="E8468" i="1"/>
  <c r="A8469" i="1"/>
  <c r="B8469" i="1"/>
  <c r="C8469" i="1"/>
  <c r="D8469" i="1"/>
  <c r="E8469" i="1"/>
  <c r="A8470" i="1"/>
  <c r="B8470" i="1"/>
  <c r="C8470" i="1"/>
  <c r="D8470" i="1"/>
  <c r="E8470" i="1"/>
  <c r="A8471" i="1"/>
  <c r="B8471" i="1"/>
  <c r="C8471" i="1"/>
  <c r="D8471" i="1"/>
  <c r="E8471" i="1"/>
  <c r="A8472" i="1"/>
  <c r="B8472" i="1"/>
  <c r="C8472" i="1"/>
  <c r="D8472" i="1"/>
  <c r="E8472" i="1"/>
  <c r="A8473" i="1"/>
  <c r="B8473" i="1"/>
  <c r="C8473" i="1"/>
  <c r="D8473" i="1"/>
  <c r="E8473" i="1"/>
  <c r="A8474" i="1"/>
  <c r="B8474" i="1"/>
  <c r="C8474" i="1"/>
  <c r="D8474" i="1"/>
  <c r="E8474" i="1"/>
  <c r="A8475" i="1"/>
  <c r="B8475" i="1"/>
  <c r="C8475" i="1"/>
  <c r="D8475" i="1"/>
  <c r="E8475" i="1"/>
  <c r="A8476" i="1"/>
  <c r="B8476" i="1"/>
  <c r="C8476" i="1"/>
  <c r="D8476" i="1"/>
  <c r="E8476" i="1"/>
  <c r="A8477" i="1"/>
  <c r="B8477" i="1"/>
  <c r="C8477" i="1"/>
  <c r="D8477" i="1"/>
  <c r="E8477" i="1"/>
  <c r="A8478" i="1"/>
  <c r="B8478" i="1"/>
  <c r="C8478" i="1"/>
  <c r="D8478" i="1"/>
  <c r="E8478" i="1"/>
  <c r="A8479" i="1"/>
  <c r="B8479" i="1"/>
  <c r="C8479" i="1"/>
  <c r="D8479" i="1"/>
  <c r="E8479" i="1"/>
  <c r="A8480" i="1"/>
  <c r="B8480" i="1"/>
  <c r="C8480" i="1"/>
  <c r="D8480" i="1"/>
  <c r="E8480" i="1"/>
  <c r="A8481" i="1"/>
  <c r="B8481" i="1"/>
  <c r="C8481" i="1"/>
  <c r="D8481" i="1"/>
  <c r="E8481" i="1"/>
  <c r="A8482" i="1"/>
  <c r="B8482" i="1"/>
  <c r="C8482" i="1"/>
  <c r="D8482" i="1"/>
  <c r="E8482" i="1"/>
  <c r="A8483" i="1"/>
  <c r="B8483" i="1"/>
  <c r="C8483" i="1"/>
  <c r="D8483" i="1"/>
  <c r="E8483" i="1"/>
  <c r="A8484" i="1"/>
  <c r="B8484" i="1"/>
  <c r="C8484" i="1"/>
  <c r="D8484" i="1"/>
  <c r="E8484" i="1"/>
  <c r="A8485" i="1"/>
  <c r="B8485" i="1"/>
  <c r="C8485" i="1"/>
  <c r="D8485" i="1"/>
  <c r="E8485" i="1"/>
  <c r="A8486" i="1"/>
  <c r="B8486" i="1"/>
  <c r="C8486" i="1"/>
  <c r="D8486" i="1"/>
  <c r="E8486" i="1"/>
  <c r="A8487" i="1"/>
  <c r="B8487" i="1"/>
  <c r="C8487" i="1"/>
  <c r="D8487" i="1"/>
  <c r="E8487" i="1"/>
  <c r="A8488" i="1"/>
  <c r="B8488" i="1"/>
  <c r="C8488" i="1"/>
  <c r="D8488" i="1"/>
  <c r="E8488" i="1"/>
  <c r="A8489" i="1"/>
  <c r="B8489" i="1"/>
  <c r="C8489" i="1"/>
  <c r="D8489" i="1"/>
  <c r="E8489" i="1"/>
  <c r="A8490" i="1"/>
  <c r="B8490" i="1"/>
  <c r="C8490" i="1"/>
  <c r="D8490" i="1"/>
  <c r="E8490" i="1"/>
  <c r="A8491" i="1"/>
  <c r="B8491" i="1"/>
  <c r="C8491" i="1"/>
  <c r="D8491" i="1"/>
  <c r="E8491" i="1"/>
  <c r="A8492" i="1"/>
  <c r="B8492" i="1"/>
  <c r="C8492" i="1"/>
  <c r="D8492" i="1"/>
  <c r="E8492" i="1"/>
  <c r="A8493" i="1"/>
  <c r="B8493" i="1"/>
  <c r="C8493" i="1"/>
  <c r="D8493" i="1"/>
  <c r="E8493" i="1"/>
  <c r="A8494" i="1"/>
  <c r="B8494" i="1"/>
  <c r="C8494" i="1"/>
  <c r="D8494" i="1"/>
  <c r="E8494" i="1"/>
  <c r="A8495" i="1"/>
  <c r="B8495" i="1"/>
  <c r="C8495" i="1"/>
  <c r="D8495" i="1"/>
  <c r="E8495" i="1"/>
  <c r="A8496" i="1"/>
  <c r="B8496" i="1"/>
  <c r="C8496" i="1"/>
  <c r="D8496" i="1"/>
  <c r="E8496" i="1"/>
  <c r="A8497" i="1"/>
  <c r="B8497" i="1"/>
  <c r="C8497" i="1"/>
  <c r="D8497" i="1"/>
  <c r="E8497" i="1"/>
  <c r="A8498" i="1"/>
  <c r="B8498" i="1"/>
  <c r="C8498" i="1"/>
  <c r="D8498" i="1"/>
  <c r="E8498" i="1"/>
  <c r="A8499" i="1"/>
  <c r="B8499" i="1"/>
  <c r="C8499" i="1"/>
  <c r="D8499" i="1"/>
  <c r="E8499" i="1"/>
  <c r="A8500" i="1"/>
  <c r="B8500" i="1"/>
  <c r="C8500" i="1"/>
  <c r="D8500" i="1"/>
  <c r="E8500" i="1"/>
  <c r="A8501" i="1"/>
  <c r="B8501" i="1"/>
  <c r="C8501" i="1"/>
  <c r="D8501" i="1"/>
  <c r="E8501" i="1"/>
  <c r="A8502" i="1"/>
  <c r="B8502" i="1"/>
  <c r="C8502" i="1"/>
  <c r="D8502" i="1"/>
  <c r="E8502" i="1"/>
  <c r="A8503" i="1"/>
  <c r="B8503" i="1"/>
  <c r="C8503" i="1"/>
  <c r="D8503" i="1"/>
  <c r="E8503" i="1"/>
  <c r="A8504" i="1"/>
  <c r="B8504" i="1"/>
  <c r="C8504" i="1"/>
  <c r="D8504" i="1"/>
  <c r="E8504" i="1"/>
  <c r="A8505" i="1"/>
  <c r="B8505" i="1"/>
  <c r="C8505" i="1"/>
  <c r="D8505" i="1"/>
  <c r="E8505" i="1"/>
  <c r="A8506" i="1"/>
  <c r="B8506" i="1"/>
  <c r="C8506" i="1"/>
  <c r="D8506" i="1"/>
  <c r="E8506" i="1"/>
  <c r="A8507" i="1"/>
  <c r="B8507" i="1"/>
  <c r="C8507" i="1"/>
  <c r="D8507" i="1"/>
  <c r="E8507" i="1"/>
  <c r="A8508" i="1"/>
  <c r="B8508" i="1"/>
  <c r="C8508" i="1"/>
  <c r="D8508" i="1"/>
  <c r="E8508" i="1"/>
  <c r="A8509" i="1"/>
  <c r="B8509" i="1"/>
  <c r="C8509" i="1"/>
  <c r="D8509" i="1"/>
  <c r="E8509" i="1"/>
  <c r="A8510" i="1"/>
  <c r="B8510" i="1"/>
  <c r="C8510" i="1"/>
  <c r="D8510" i="1"/>
  <c r="E8510" i="1"/>
  <c r="A8511" i="1"/>
  <c r="B8511" i="1"/>
  <c r="C8511" i="1"/>
  <c r="D8511" i="1"/>
  <c r="E8511" i="1"/>
  <c r="A8512" i="1"/>
  <c r="B8512" i="1"/>
  <c r="C8512" i="1"/>
  <c r="D8512" i="1"/>
  <c r="E8512" i="1"/>
  <c r="A8513" i="1"/>
  <c r="B8513" i="1"/>
  <c r="C8513" i="1"/>
  <c r="D8513" i="1"/>
  <c r="E8513" i="1"/>
  <c r="A8514" i="1"/>
  <c r="B8514" i="1"/>
  <c r="C8514" i="1"/>
  <c r="D8514" i="1"/>
  <c r="E8514" i="1"/>
  <c r="A8515" i="1"/>
  <c r="B8515" i="1"/>
  <c r="C8515" i="1"/>
  <c r="D8515" i="1"/>
  <c r="E8515" i="1"/>
  <c r="A8516" i="1"/>
  <c r="B8516" i="1"/>
  <c r="C8516" i="1"/>
  <c r="D8516" i="1"/>
  <c r="E8516" i="1"/>
  <c r="A8517" i="1"/>
  <c r="B8517" i="1"/>
  <c r="C8517" i="1"/>
  <c r="D8517" i="1"/>
  <c r="E8517" i="1"/>
  <c r="A8518" i="1"/>
  <c r="B8518" i="1"/>
  <c r="C8518" i="1"/>
  <c r="D8518" i="1"/>
  <c r="E8518" i="1"/>
  <c r="A8519" i="1"/>
  <c r="B8519" i="1"/>
  <c r="C8519" i="1"/>
  <c r="D8519" i="1"/>
  <c r="E8519" i="1"/>
  <c r="A8520" i="1"/>
  <c r="B8520" i="1"/>
  <c r="C8520" i="1"/>
  <c r="D8520" i="1"/>
  <c r="E8520" i="1"/>
  <c r="A8521" i="1"/>
  <c r="B8521" i="1"/>
  <c r="C8521" i="1"/>
  <c r="D8521" i="1"/>
  <c r="E8521" i="1"/>
  <c r="A8522" i="1"/>
  <c r="B8522" i="1"/>
  <c r="C8522" i="1"/>
  <c r="D8522" i="1"/>
  <c r="E8522" i="1"/>
  <c r="A8523" i="1"/>
  <c r="B8523" i="1"/>
  <c r="C8523" i="1"/>
  <c r="D8523" i="1"/>
  <c r="E8523" i="1"/>
  <c r="A8524" i="1"/>
  <c r="B8524" i="1"/>
  <c r="C8524" i="1"/>
  <c r="D8524" i="1"/>
  <c r="E8524" i="1"/>
  <c r="A8525" i="1"/>
  <c r="B8525" i="1"/>
  <c r="C8525" i="1"/>
  <c r="D8525" i="1"/>
  <c r="E8525" i="1"/>
  <c r="A8526" i="1"/>
  <c r="B8526" i="1"/>
  <c r="C8526" i="1"/>
  <c r="D8526" i="1"/>
  <c r="E8526" i="1"/>
  <c r="A8527" i="1"/>
  <c r="B8527" i="1"/>
  <c r="C8527" i="1"/>
  <c r="D8527" i="1"/>
  <c r="E8527" i="1"/>
  <c r="A8528" i="1"/>
  <c r="B8528" i="1"/>
  <c r="C8528" i="1"/>
  <c r="D8528" i="1"/>
  <c r="E8528" i="1"/>
  <c r="A8529" i="1"/>
  <c r="B8529" i="1"/>
  <c r="C8529" i="1"/>
  <c r="D8529" i="1"/>
  <c r="E8529" i="1"/>
  <c r="A8530" i="1"/>
  <c r="B8530" i="1"/>
  <c r="C8530" i="1"/>
  <c r="D8530" i="1"/>
  <c r="E8530" i="1"/>
  <c r="A8531" i="1"/>
  <c r="B8531" i="1"/>
  <c r="C8531" i="1"/>
  <c r="D8531" i="1"/>
  <c r="E8531" i="1"/>
  <c r="A8532" i="1"/>
  <c r="B8532" i="1"/>
  <c r="C8532" i="1"/>
  <c r="D8532" i="1"/>
  <c r="E8532" i="1"/>
  <c r="A8533" i="1"/>
  <c r="B8533" i="1"/>
  <c r="C8533" i="1"/>
  <c r="D8533" i="1"/>
  <c r="E8533" i="1"/>
  <c r="A8534" i="1"/>
  <c r="B8534" i="1"/>
  <c r="C8534" i="1"/>
  <c r="D8534" i="1"/>
  <c r="E8534" i="1"/>
  <c r="A8535" i="1"/>
  <c r="B8535" i="1"/>
  <c r="C8535" i="1"/>
  <c r="D8535" i="1"/>
  <c r="E8535" i="1"/>
  <c r="A8536" i="1"/>
  <c r="B8536" i="1"/>
  <c r="C8536" i="1"/>
  <c r="D8536" i="1"/>
  <c r="E8536" i="1"/>
  <c r="A8537" i="1"/>
  <c r="B8537" i="1"/>
  <c r="C8537" i="1"/>
  <c r="D8537" i="1"/>
  <c r="E8537" i="1"/>
  <c r="A8538" i="1"/>
  <c r="B8538" i="1"/>
  <c r="C8538" i="1"/>
  <c r="D8538" i="1"/>
  <c r="E8538" i="1"/>
  <c r="A8539" i="1"/>
  <c r="B8539" i="1"/>
  <c r="C8539" i="1"/>
  <c r="D8539" i="1"/>
  <c r="E8539" i="1"/>
  <c r="A8540" i="1"/>
  <c r="B8540" i="1"/>
  <c r="C8540" i="1"/>
  <c r="D8540" i="1"/>
  <c r="E8540" i="1"/>
  <c r="A8541" i="1"/>
  <c r="B8541" i="1"/>
  <c r="C8541" i="1"/>
  <c r="D8541" i="1"/>
  <c r="E8541" i="1"/>
  <c r="A8542" i="1"/>
  <c r="B8542" i="1"/>
  <c r="C8542" i="1"/>
  <c r="D8542" i="1"/>
  <c r="E8542" i="1"/>
  <c r="A8543" i="1"/>
  <c r="B8543" i="1"/>
  <c r="C8543" i="1"/>
  <c r="D8543" i="1"/>
  <c r="E8543" i="1"/>
  <c r="A8544" i="1"/>
  <c r="B8544" i="1"/>
  <c r="C8544" i="1"/>
  <c r="D8544" i="1"/>
  <c r="E8544" i="1"/>
  <c r="A8545" i="1"/>
  <c r="B8545" i="1"/>
  <c r="C8545" i="1"/>
  <c r="D8545" i="1"/>
  <c r="E8545" i="1"/>
  <c r="A8546" i="1"/>
  <c r="B8546" i="1"/>
  <c r="C8546" i="1"/>
  <c r="D8546" i="1"/>
  <c r="E8546" i="1"/>
  <c r="A8547" i="1"/>
  <c r="B8547" i="1"/>
  <c r="C8547" i="1"/>
  <c r="D8547" i="1"/>
  <c r="E8547" i="1"/>
  <c r="A8548" i="1"/>
  <c r="B8548" i="1"/>
  <c r="C8548" i="1"/>
  <c r="D8548" i="1"/>
  <c r="E8548" i="1"/>
  <c r="A8549" i="1"/>
  <c r="B8549" i="1"/>
  <c r="C8549" i="1"/>
  <c r="D8549" i="1"/>
  <c r="E8549" i="1"/>
  <c r="A8550" i="1"/>
  <c r="B8550" i="1"/>
  <c r="C8550" i="1"/>
  <c r="D8550" i="1"/>
  <c r="E8550" i="1"/>
  <c r="A8551" i="1"/>
  <c r="B8551" i="1"/>
  <c r="C8551" i="1"/>
  <c r="D8551" i="1"/>
  <c r="E8551" i="1"/>
  <c r="A8552" i="1"/>
  <c r="B8552" i="1"/>
  <c r="C8552" i="1"/>
  <c r="D8552" i="1"/>
  <c r="E8552" i="1"/>
  <c r="A8553" i="1"/>
  <c r="B8553" i="1"/>
  <c r="C8553" i="1"/>
  <c r="D8553" i="1"/>
  <c r="E8553" i="1"/>
  <c r="A8554" i="1"/>
  <c r="B8554" i="1"/>
  <c r="C8554" i="1"/>
  <c r="D8554" i="1"/>
  <c r="E8554" i="1"/>
  <c r="A8555" i="1"/>
  <c r="B8555" i="1"/>
  <c r="C8555" i="1"/>
  <c r="D8555" i="1"/>
  <c r="E8555" i="1"/>
  <c r="A8556" i="1"/>
  <c r="B8556" i="1"/>
  <c r="C8556" i="1"/>
  <c r="D8556" i="1"/>
  <c r="E8556" i="1"/>
  <c r="A8557" i="1"/>
  <c r="B8557" i="1"/>
  <c r="C8557" i="1"/>
  <c r="D8557" i="1"/>
  <c r="E8557" i="1"/>
  <c r="A8558" i="1"/>
  <c r="B8558" i="1"/>
  <c r="C8558" i="1"/>
  <c r="D8558" i="1"/>
  <c r="E8558" i="1"/>
  <c r="A8559" i="1"/>
  <c r="B8559" i="1"/>
  <c r="C8559" i="1"/>
  <c r="D8559" i="1"/>
  <c r="E8559" i="1"/>
  <c r="A8560" i="1"/>
  <c r="B8560" i="1"/>
  <c r="C8560" i="1"/>
  <c r="D8560" i="1"/>
  <c r="E8560" i="1"/>
  <c r="A8561" i="1"/>
  <c r="B8561" i="1"/>
  <c r="C8561" i="1"/>
  <c r="D8561" i="1"/>
  <c r="E8561" i="1"/>
  <c r="A8562" i="1"/>
  <c r="B8562" i="1"/>
  <c r="C8562" i="1"/>
  <c r="D8562" i="1"/>
  <c r="E8562" i="1"/>
  <c r="A8563" i="1"/>
  <c r="B8563" i="1"/>
  <c r="C8563" i="1"/>
  <c r="D8563" i="1"/>
  <c r="E8563" i="1"/>
  <c r="A8564" i="1"/>
  <c r="B8564" i="1"/>
  <c r="C8564" i="1"/>
  <c r="D8564" i="1"/>
  <c r="E8564" i="1"/>
  <c r="A8565" i="1"/>
  <c r="B8565" i="1"/>
  <c r="C8565" i="1"/>
  <c r="D8565" i="1"/>
  <c r="E8565" i="1"/>
  <c r="A8566" i="1"/>
  <c r="B8566" i="1"/>
  <c r="C8566" i="1"/>
  <c r="D8566" i="1"/>
  <c r="E8566" i="1"/>
  <c r="A8567" i="1"/>
  <c r="B8567" i="1"/>
  <c r="C8567" i="1"/>
  <c r="D8567" i="1"/>
  <c r="E8567" i="1"/>
  <c r="A8568" i="1"/>
  <c r="B8568" i="1"/>
  <c r="C8568" i="1"/>
  <c r="D8568" i="1"/>
  <c r="E8568" i="1"/>
  <c r="A8569" i="1"/>
  <c r="B8569" i="1"/>
  <c r="C8569" i="1"/>
  <c r="D8569" i="1"/>
  <c r="E8569" i="1"/>
  <c r="A8570" i="1"/>
  <c r="B8570" i="1"/>
  <c r="C8570" i="1"/>
  <c r="D8570" i="1"/>
  <c r="E8570" i="1"/>
  <c r="A8571" i="1"/>
  <c r="B8571" i="1"/>
  <c r="C8571" i="1"/>
  <c r="D8571" i="1"/>
  <c r="E8571" i="1"/>
  <c r="A8572" i="1"/>
  <c r="B8572" i="1"/>
  <c r="C8572" i="1"/>
  <c r="D8572" i="1"/>
  <c r="E8572" i="1"/>
  <c r="A8573" i="1"/>
  <c r="B8573" i="1"/>
  <c r="C8573" i="1"/>
  <c r="D8573" i="1"/>
  <c r="E8573" i="1"/>
  <c r="A8574" i="1"/>
  <c r="B8574" i="1"/>
  <c r="C8574" i="1"/>
  <c r="D8574" i="1"/>
  <c r="E8574" i="1"/>
  <c r="A8575" i="1"/>
  <c r="B8575" i="1"/>
  <c r="C8575" i="1"/>
  <c r="D8575" i="1"/>
  <c r="E8575" i="1"/>
  <c r="A8576" i="1"/>
  <c r="B8576" i="1"/>
  <c r="C8576" i="1"/>
  <c r="D8576" i="1"/>
  <c r="E8576" i="1"/>
  <c r="A8577" i="1"/>
  <c r="B8577" i="1"/>
  <c r="C8577" i="1"/>
  <c r="D8577" i="1"/>
  <c r="E8577" i="1"/>
  <c r="A8578" i="1"/>
  <c r="B8578" i="1"/>
  <c r="C8578" i="1"/>
  <c r="D8578" i="1"/>
  <c r="E8578" i="1"/>
  <c r="A8579" i="1"/>
  <c r="B8579" i="1"/>
  <c r="C8579" i="1"/>
  <c r="D8579" i="1"/>
  <c r="E8579" i="1"/>
  <c r="A8580" i="1"/>
  <c r="B8580" i="1"/>
  <c r="C8580" i="1"/>
  <c r="D8580" i="1"/>
  <c r="E8580" i="1"/>
  <c r="A8581" i="1"/>
  <c r="B8581" i="1"/>
  <c r="C8581" i="1"/>
  <c r="D8581" i="1"/>
  <c r="E8581" i="1"/>
  <c r="A8582" i="1"/>
  <c r="B8582" i="1"/>
  <c r="C8582" i="1"/>
  <c r="D8582" i="1"/>
  <c r="E8582" i="1"/>
  <c r="A8583" i="1"/>
  <c r="B8583" i="1"/>
  <c r="C8583" i="1"/>
  <c r="D8583" i="1"/>
  <c r="E8583" i="1"/>
  <c r="A8584" i="1"/>
  <c r="B8584" i="1"/>
  <c r="C8584" i="1"/>
  <c r="D8584" i="1"/>
  <c r="E8584" i="1"/>
  <c r="A8585" i="1"/>
  <c r="B8585" i="1"/>
  <c r="C8585" i="1"/>
  <c r="D8585" i="1"/>
  <c r="E8585" i="1"/>
  <c r="A8586" i="1"/>
  <c r="B8586" i="1"/>
  <c r="C8586" i="1"/>
  <c r="D8586" i="1"/>
  <c r="E8586" i="1"/>
  <c r="A8587" i="1"/>
  <c r="B8587" i="1"/>
  <c r="C8587" i="1"/>
  <c r="D8587" i="1"/>
  <c r="E8587" i="1"/>
  <c r="A8588" i="1"/>
  <c r="B8588" i="1"/>
  <c r="C8588" i="1"/>
  <c r="D8588" i="1"/>
  <c r="E8588" i="1"/>
  <c r="A8589" i="1"/>
  <c r="B8589" i="1"/>
  <c r="C8589" i="1"/>
  <c r="D8589" i="1"/>
  <c r="E8589" i="1"/>
  <c r="A8590" i="1"/>
  <c r="B8590" i="1"/>
  <c r="C8590" i="1"/>
  <c r="D8590" i="1"/>
  <c r="E8590" i="1"/>
  <c r="A8591" i="1"/>
  <c r="B8591" i="1"/>
  <c r="C8591" i="1"/>
  <c r="D8591" i="1"/>
  <c r="E8591" i="1"/>
  <c r="A8592" i="1"/>
  <c r="B8592" i="1"/>
  <c r="C8592" i="1"/>
  <c r="D8592" i="1"/>
  <c r="E8592" i="1"/>
  <c r="A8593" i="1"/>
  <c r="B8593" i="1"/>
  <c r="C8593" i="1"/>
  <c r="D8593" i="1"/>
  <c r="E8593" i="1"/>
  <c r="A8594" i="1"/>
  <c r="B8594" i="1"/>
  <c r="C8594" i="1"/>
  <c r="D8594" i="1"/>
  <c r="E8594" i="1"/>
  <c r="A8595" i="1"/>
  <c r="B8595" i="1"/>
  <c r="C8595" i="1"/>
  <c r="D8595" i="1"/>
  <c r="E8595" i="1"/>
  <c r="A8596" i="1"/>
  <c r="B8596" i="1"/>
  <c r="C8596" i="1"/>
  <c r="D8596" i="1"/>
  <c r="E8596" i="1"/>
  <c r="A8597" i="1"/>
  <c r="B8597" i="1"/>
  <c r="C8597" i="1"/>
  <c r="D8597" i="1"/>
  <c r="E8597" i="1"/>
  <c r="A8598" i="1"/>
  <c r="B8598" i="1"/>
  <c r="C8598" i="1"/>
  <c r="D8598" i="1"/>
  <c r="E8598" i="1"/>
  <c r="A8599" i="1"/>
  <c r="B8599" i="1"/>
  <c r="C8599" i="1"/>
  <c r="D8599" i="1"/>
  <c r="E8599" i="1"/>
  <c r="A8600" i="1"/>
  <c r="B8600" i="1"/>
  <c r="C8600" i="1"/>
  <c r="D8600" i="1"/>
  <c r="E8600" i="1"/>
  <c r="A8601" i="1"/>
  <c r="B8601" i="1"/>
  <c r="C8601" i="1"/>
  <c r="D8601" i="1"/>
  <c r="E8601" i="1"/>
  <c r="A8602" i="1"/>
  <c r="B8602" i="1"/>
  <c r="C8602" i="1"/>
  <c r="D8602" i="1"/>
  <c r="E8602" i="1"/>
  <c r="A8603" i="1"/>
  <c r="B8603" i="1"/>
  <c r="C8603" i="1"/>
  <c r="D8603" i="1"/>
  <c r="E8603" i="1"/>
  <c r="A8604" i="1"/>
  <c r="B8604" i="1"/>
  <c r="C8604" i="1"/>
  <c r="D8604" i="1"/>
  <c r="E8604" i="1"/>
  <c r="A8605" i="1"/>
  <c r="B8605" i="1"/>
  <c r="C8605" i="1"/>
  <c r="D8605" i="1"/>
  <c r="E8605" i="1"/>
  <c r="A8606" i="1"/>
  <c r="B8606" i="1"/>
  <c r="C8606" i="1"/>
  <c r="D8606" i="1"/>
  <c r="E8606" i="1"/>
  <c r="A8607" i="1"/>
  <c r="B8607" i="1"/>
  <c r="C8607" i="1"/>
  <c r="D8607" i="1"/>
  <c r="E8607" i="1"/>
  <c r="A8608" i="1"/>
  <c r="B8608" i="1"/>
  <c r="C8608" i="1"/>
  <c r="D8608" i="1"/>
  <c r="E8608" i="1"/>
  <c r="A8609" i="1"/>
  <c r="B8609" i="1"/>
  <c r="C8609" i="1"/>
  <c r="D8609" i="1"/>
  <c r="E8609" i="1"/>
  <c r="A8610" i="1"/>
  <c r="B8610" i="1"/>
  <c r="C8610" i="1"/>
  <c r="D8610" i="1"/>
  <c r="E8610" i="1"/>
  <c r="A8611" i="1"/>
  <c r="B8611" i="1"/>
  <c r="C8611" i="1"/>
  <c r="D8611" i="1"/>
  <c r="E8611" i="1"/>
  <c r="A8612" i="1"/>
  <c r="B8612" i="1"/>
  <c r="C8612" i="1"/>
  <c r="D8612" i="1"/>
  <c r="E8612" i="1"/>
  <c r="A8613" i="1"/>
  <c r="B8613" i="1"/>
  <c r="C8613" i="1"/>
  <c r="D8613" i="1"/>
  <c r="E8613" i="1"/>
  <c r="A8614" i="1"/>
  <c r="B8614" i="1"/>
  <c r="C8614" i="1"/>
  <c r="D8614" i="1"/>
  <c r="E8614" i="1"/>
  <c r="A8615" i="1"/>
  <c r="B8615" i="1"/>
  <c r="C8615" i="1"/>
  <c r="D8615" i="1"/>
  <c r="E8615" i="1"/>
  <c r="A8616" i="1"/>
  <c r="B8616" i="1"/>
  <c r="C8616" i="1"/>
  <c r="D8616" i="1"/>
  <c r="E8616" i="1"/>
  <c r="A8617" i="1"/>
  <c r="B8617" i="1"/>
  <c r="C8617" i="1"/>
  <c r="D8617" i="1"/>
  <c r="E8617" i="1"/>
  <c r="A8618" i="1"/>
  <c r="B8618" i="1"/>
  <c r="C8618" i="1"/>
  <c r="D8618" i="1"/>
  <c r="E8618" i="1"/>
  <c r="A8619" i="1"/>
  <c r="B8619" i="1"/>
  <c r="C8619" i="1"/>
  <c r="D8619" i="1"/>
  <c r="E8619" i="1"/>
  <c r="A8620" i="1"/>
  <c r="B8620" i="1"/>
  <c r="C8620" i="1"/>
  <c r="D8620" i="1"/>
  <c r="E8620" i="1"/>
  <c r="A8621" i="1"/>
  <c r="B8621" i="1"/>
  <c r="C8621" i="1"/>
  <c r="D8621" i="1"/>
  <c r="E8621" i="1"/>
  <c r="A8622" i="1"/>
  <c r="B8622" i="1"/>
  <c r="C8622" i="1"/>
  <c r="D8622" i="1"/>
  <c r="E8622" i="1"/>
  <c r="A8623" i="1"/>
  <c r="B8623" i="1"/>
  <c r="C8623" i="1"/>
  <c r="D8623" i="1"/>
  <c r="E8623" i="1"/>
  <c r="A8624" i="1"/>
  <c r="B8624" i="1"/>
  <c r="C8624" i="1"/>
  <c r="D8624" i="1"/>
  <c r="E8624" i="1"/>
  <c r="A8625" i="1"/>
  <c r="B8625" i="1"/>
  <c r="C8625" i="1"/>
  <c r="D8625" i="1"/>
  <c r="E8625" i="1"/>
  <c r="A8626" i="1"/>
  <c r="B8626" i="1"/>
  <c r="C8626" i="1"/>
  <c r="D8626" i="1"/>
  <c r="E8626" i="1"/>
  <c r="A8627" i="1"/>
  <c r="B8627" i="1"/>
  <c r="C8627" i="1"/>
  <c r="D8627" i="1"/>
  <c r="E8627" i="1"/>
  <c r="A8628" i="1"/>
  <c r="B8628" i="1"/>
  <c r="C8628" i="1"/>
  <c r="D8628" i="1"/>
  <c r="E8628" i="1"/>
  <c r="A8629" i="1"/>
  <c r="B8629" i="1"/>
  <c r="C8629" i="1"/>
  <c r="D8629" i="1"/>
  <c r="E8629" i="1"/>
  <c r="A8630" i="1"/>
  <c r="B8630" i="1"/>
  <c r="C8630" i="1"/>
  <c r="D8630" i="1"/>
  <c r="E8630" i="1"/>
  <c r="A8631" i="1"/>
  <c r="B8631" i="1"/>
  <c r="C8631" i="1"/>
  <c r="D8631" i="1"/>
  <c r="E8631" i="1"/>
  <c r="A8632" i="1"/>
  <c r="B8632" i="1"/>
  <c r="C8632" i="1"/>
  <c r="D8632" i="1"/>
  <c r="E8632" i="1"/>
  <c r="A8633" i="1"/>
  <c r="B8633" i="1"/>
  <c r="C8633" i="1"/>
  <c r="D8633" i="1"/>
  <c r="E8633" i="1"/>
  <c r="A8634" i="1"/>
  <c r="B8634" i="1"/>
  <c r="C8634" i="1"/>
  <c r="D8634" i="1"/>
  <c r="E8634" i="1"/>
  <c r="A8635" i="1"/>
  <c r="B8635" i="1"/>
  <c r="C8635" i="1"/>
  <c r="D8635" i="1"/>
  <c r="E8635" i="1"/>
  <c r="A8636" i="1"/>
  <c r="B8636" i="1"/>
  <c r="C8636" i="1"/>
  <c r="D8636" i="1"/>
  <c r="E8636" i="1"/>
  <c r="A8637" i="1"/>
  <c r="B8637" i="1"/>
  <c r="C8637" i="1"/>
  <c r="D8637" i="1"/>
  <c r="E8637" i="1"/>
  <c r="A8638" i="1"/>
  <c r="B8638" i="1"/>
  <c r="C8638" i="1"/>
  <c r="D8638" i="1"/>
  <c r="E8638" i="1"/>
  <c r="A8639" i="1"/>
  <c r="B8639" i="1"/>
  <c r="C8639" i="1"/>
  <c r="D8639" i="1"/>
  <c r="E8639" i="1"/>
  <c r="A8640" i="1"/>
  <c r="B8640" i="1"/>
  <c r="C8640" i="1"/>
  <c r="D8640" i="1"/>
  <c r="E8640" i="1"/>
  <c r="A8641" i="1"/>
  <c r="B8641" i="1"/>
  <c r="C8641" i="1"/>
  <c r="D8641" i="1"/>
  <c r="E8641" i="1"/>
  <c r="A8642" i="1"/>
  <c r="B8642" i="1"/>
  <c r="C8642" i="1"/>
  <c r="D8642" i="1"/>
  <c r="E8642" i="1"/>
  <c r="A8643" i="1"/>
  <c r="B8643" i="1"/>
  <c r="C8643" i="1"/>
  <c r="D8643" i="1"/>
  <c r="E8643" i="1"/>
  <c r="A8644" i="1"/>
  <c r="B8644" i="1"/>
  <c r="C8644" i="1"/>
  <c r="D8644" i="1"/>
  <c r="E8644" i="1"/>
  <c r="A8645" i="1"/>
  <c r="B8645" i="1"/>
  <c r="C8645" i="1"/>
  <c r="D8645" i="1"/>
  <c r="E8645" i="1"/>
  <c r="A8646" i="1"/>
  <c r="B8646" i="1"/>
  <c r="C8646" i="1"/>
  <c r="D8646" i="1"/>
  <c r="E8646" i="1"/>
  <c r="A8647" i="1"/>
  <c r="B8647" i="1"/>
  <c r="C8647" i="1"/>
  <c r="D8647" i="1"/>
  <c r="E8647" i="1"/>
  <c r="A8648" i="1"/>
  <c r="B8648" i="1"/>
  <c r="C8648" i="1"/>
  <c r="D8648" i="1"/>
  <c r="E8648" i="1"/>
  <c r="A8649" i="1"/>
  <c r="B8649" i="1"/>
  <c r="C8649" i="1"/>
  <c r="D8649" i="1"/>
  <c r="E8649" i="1"/>
  <c r="A8650" i="1"/>
  <c r="B8650" i="1"/>
  <c r="C8650" i="1"/>
  <c r="D8650" i="1"/>
  <c r="E8650" i="1"/>
  <c r="A8651" i="1"/>
  <c r="B8651" i="1"/>
  <c r="C8651" i="1"/>
  <c r="D8651" i="1"/>
  <c r="E8651" i="1"/>
  <c r="A8652" i="1"/>
  <c r="B8652" i="1"/>
  <c r="C8652" i="1"/>
  <c r="D8652" i="1"/>
  <c r="E8652" i="1"/>
  <c r="A8653" i="1"/>
  <c r="B8653" i="1"/>
  <c r="C8653" i="1"/>
  <c r="D8653" i="1"/>
  <c r="E8653" i="1"/>
  <c r="A8654" i="1"/>
  <c r="B8654" i="1"/>
  <c r="C8654" i="1"/>
  <c r="D8654" i="1"/>
  <c r="E8654" i="1"/>
  <c r="A8655" i="1"/>
  <c r="B8655" i="1"/>
  <c r="C8655" i="1"/>
  <c r="D8655" i="1"/>
  <c r="E8655" i="1"/>
  <c r="A8656" i="1"/>
  <c r="B8656" i="1"/>
  <c r="C8656" i="1"/>
  <c r="D8656" i="1"/>
  <c r="E8656" i="1"/>
  <c r="A8657" i="1"/>
  <c r="B8657" i="1"/>
  <c r="C8657" i="1"/>
  <c r="D8657" i="1"/>
  <c r="E8657" i="1"/>
  <c r="A8658" i="1"/>
  <c r="B8658" i="1"/>
  <c r="C8658" i="1"/>
  <c r="D8658" i="1"/>
  <c r="E8658" i="1"/>
  <c r="A8659" i="1"/>
  <c r="B8659" i="1"/>
  <c r="C8659" i="1"/>
  <c r="D8659" i="1"/>
  <c r="E8659" i="1"/>
  <c r="A8660" i="1"/>
  <c r="B8660" i="1"/>
  <c r="C8660" i="1"/>
  <c r="D8660" i="1"/>
  <c r="E8660" i="1"/>
  <c r="A8661" i="1"/>
  <c r="B8661" i="1"/>
  <c r="C8661" i="1"/>
  <c r="D8661" i="1"/>
  <c r="E8661" i="1"/>
  <c r="A8662" i="1"/>
  <c r="B8662" i="1"/>
  <c r="C8662" i="1"/>
  <c r="D8662" i="1"/>
  <c r="E8662" i="1"/>
  <c r="A8663" i="1"/>
  <c r="B8663" i="1"/>
  <c r="C8663" i="1"/>
  <c r="D8663" i="1"/>
  <c r="E8663" i="1"/>
  <c r="A8664" i="1"/>
  <c r="B8664" i="1"/>
  <c r="C8664" i="1"/>
  <c r="D8664" i="1"/>
  <c r="E8664" i="1"/>
  <c r="A8665" i="1"/>
  <c r="B8665" i="1"/>
  <c r="C8665" i="1"/>
  <c r="D8665" i="1"/>
  <c r="E8665" i="1"/>
  <c r="A8666" i="1"/>
  <c r="B8666" i="1"/>
  <c r="C8666" i="1"/>
  <c r="D8666" i="1"/>
  <c r="E8666" i="1"/>
  <c r="A8667" i="1"/>
  <c r="B8667" i="1"/>
  <c r="C8667" i="1"/>
  <c r="D8667" i="1"/>
  <c r="E8667" i="1"/>
  <c r="A8668" i="1"/>
  <c r="B8668" i="1"/>
  <c r="C8668" i="1"/>
  <c r="D8668" i="1"/>
  <c r="E8668" i="1"/>
  <c r="A8669" i="1"/>
  <c r="B8669" i="1"/>
  <c r="C8669" i="1"/>
  <c r="D8669" i="1"/>
  <c r="E8669" i="1"/>
  <c r="A8670" i="1"/>
  <c r="B8670" i="1"/>
  <c r="C8670" i="1"/>
  <c r="D8670" i="1"/>
  <c r="E8670" i="1"/>
  <c r="A8671" i="1"/>
  <c r="B8671" i="1"/>
  <c r="C8671" i="1"/>
  <c r="D8671" i="1"/>
  <c r="E8671" i="1"/>
  <c r="A8672" i="1"/>
  <c r="B8672" i="1"/>
  <c r="C8672" i="1"/>
  <c r="D8672" i="1"/>
  <c r="E8672" i="1"/>
  <c r="A8673" i="1"/>
  <c r="B8673" i="1"/>
  <c r="C8673" i="1"/>
  <c r="D8673" i="1"/>
  <c r="E8673" i="1"/>
  <c r="A8674" i="1"/>
  <c r="B8674" i="1"/>
  <c r="C8674" i="1"/>
  <c r="D8674" i="1"/>
  <c r="E8674" i="1"/>
  <c r="A8675" i="1"/>
  <c r="B8675" i="1"/>
  <c r="C8675" i="1"/>
  <c r="D8675" i="1"/>
  <c r="E8675" i="1"/>
  <c r="A8676" i="1"/>
  <c r="B8676" i="1"/>
  <c r="C8676" i="1"/>
  <c r="D8676" i="1"/>
  <c r="E8676" i="1"/>
  <c r="A8677" i="1"/>
  <c r="B8677" i="1"/>
  <c r="C8677" i="1"/>
  <c r="D8677" i="1"/>
  <c r="E8677" i="1"/>
  <c r="A8678" i="1"/>
  <c r="B8678" i="1"/>
  <c r="C8678" i="1"/>
  <c r="D8678" i="1"/>
  <c r="E8678" i="1"/>
  <c r="A8679" i="1"/>
  <c r="B8679" i="1"/>
  <c r="C8679" i="1"/>
  <c r="D8679" i="1"/>
  <c r="E8679" i="1"/>
  <c r="A8680" i="1"/>
  <c r="B8680" i="1"/>
  <c r="C8680" i="1"/>
  <c r="D8680" i="1"/>
  <c r="E8680" i="1"/>
  <c r="A8681" i="1"/>
  <c r="B8681" i="1"/>
  <c r="C8681" i="1"/>
  <c r="D8681" i="1"/>
  <c r="E8681" i="1"/>
  <c r="A8682" i="1"/>
  <c r="B8682" i="1"/>
  <c r="C8682" i="1"/>
  <c r="D8682" i="1"/>
  <c r="E8682" i="1"/>
  <c r="A8683" i="1"/>
  <c r="B8683" i="1"/>
  <c r="C8683" i="1"/>
  <c r="D8683" i="1"/>
  <c r="E8683" i="1"/>
  <c r="A8684" i="1"/>
  <c r="B8684" i="1"/>
  <c r="C8684" i="1"/>
  <c r="D8684" i="1"/>
  <c r="E8684" i="1"/>
  <c r="A8685" i="1"/>
  <c r="B8685" i="1"/>
  <c r="C8685" i="1"/>
  <c r="D8685" i="1"/>
  <c r="E8685" i="1"/>
  <c r="A8686" i="1"/>
  <c r="B8686" i="1"/>
  <c r="C8686" i="1"/>
  <c r="D8686" i="1"/>
  <c r="E8686" i="1"/>
  <c r="A8687" i="1"/>
  <c r="B8687" i="1"/>
  <c r="C8687" i="1"/>
  <c r="D8687" i="1"/>
  <c r="E8687" i="1"/>
  <c r="A8688" i="1"/>
  <c r="B8688" i="1"/>
  <c r="C8688" i="1"/>
  <c r="D8688" i="1"/>
  <c r="E8688" i="1"/>
  <c r="A8689" i="1"/>
  <c r="B8689" i="1"/>
  <c r="C8689" i="1"/>
  <c r="D8689" i="1"/>
  <c r="E8689" i="1"/>
  <c r="A8690" i="1"/>
  <c r="B8690" i="1"/>
  <c r="C8690" i="1"/>
  <c r="D8690" i="1"/>
  <c r="E8690" i="1"/>
  <c r="A8691" i="1"/>
  <c r="B8691" i="1"/>
  <c r="C8691" i="1"/>
  <c r="D8691" i="1"/>
  <c r="E8691" i="1"/>
  <c r="A8692" i="1"/>
  <c r="B8692" i="1"/>
  <c r="C8692" i="1"/>
  <c r="D8692" i="1"/>
  <c r="E8692" i="1"/>
  <c r="A8693" i="1"/>
  <c r="B8693" i="1"/>
  <c r="C8693" i="1"/>
  <c r="D8693" i="1"/>
  <c r="E8693" i="1"/>
  <c r="A8694" i="1"/>
  <c r="B8694" i="1"/>
  <c r="C8694" i="1"/>
  <c r="D8694" i="1"/>
  <c r="E8694" i="1"/>
  <c r="A8695" i="1"/>
  <c r="B8695" i="1"/>
  <c r="C8695" i="1"/>
  <c r="D8695" i="1"/>
  <c r="E8695" i="1"/>
  <c r="A8696" i="1"/>
  <c r="B8696" i="1"/>
  <c r="C8696" i="1"/>
  <c r="D8696" i="1"/>
  <c r="E8696" i="1"/>
  <c r="A8697" i="1"/>
  <c r="B8697" i="1"/>
  <c r="C8697" i="1"/>
  <c r="D8697" i="1"/>
  <c r="E8697" i="1"/>
  <c r="A8698" i="1"/>
  <c r="B8698" i="1"/>
  <c r="C8698" i="1"/>
  <c r="D8698" i="1"/>
  <c r="E8698" i="1"/>
  <c r="A8699" i="1"/>
  <c r="B8699" i="1"/>
  <c r="C8699" i="1"/>
  <c r="D8699" i="1"/>
  <c r="E8699" i="1"/>
  <c r="A8700" i="1"/>
  <c r="B8700" i="1"/>
  <c r="C8700" i="1"/>
  <c r="D8700" i="1"/>
  <c r="E8700" i="1"/>
  <c r="A8701" i="1"/>
  <c r="B8701" i="1"/>
  <c r="C8701" i="1"/>
  <c r="D8701" i="1"/>
  <c r="E8701" i="1"/>
  <c r="A8702" i="1"/>
  <c r="B8702" i="1"/>
  <c r="C8702" i="1"/>
  <c r="D8702" i="1"/>
  <c r="E8702" i="1"/>
  <c r="A8703" i="1"/>
  <c r="B8703" i="1"/>
  <c r="C8703" i="1"/>
  <c r="D8703" i="1"/>
  <c r="E8703" i="1"/>
  <c r="A8704" i="1"/>
  <c r="B8704" i="1"/>
  <c r="C8704" i="1"/>
  <c r="D8704" i="1"/>
  <c r="E8704" i="1"/>
  <c r="A8705" i="1"/>
  <c r="B8705" i="1"/>
  <c r="C8705" i="1"/>
  <c r="D8705" i="1"/>
  <c r="E8705" i="1"/>
  <c r="A8706" i="1"/>
  <c r="B8706" i="1"/>
  <c r="C8706" i="1"/>
  <c r="D8706" i="1"/>
  <c r="E8706" i="1"/>
  <c r="A8707" i="1"/>
  <c r="B8707" i="1"/>
  <c r="C8707" i="1"/>
  <c r="D8707" i="1"/>
  <c r="E8707" i="1"/>
  <c r="A8708" i="1"/>
  <c r="B8708" i="1"/>
  <c r="C8708" i="1"/>
  <c r="D8708" i="1"/>
  <c r="E8708" i="1"/>
  <c r="A8709" i="1"/>
  <c r="B8709" i="1"/>
  <c r="C8709" i="1"/>
  <c r="D8709" i="1"/>
  <c r="E8709" i="1"/>
  <c r="A8710" i="1"/>
  <c r="B8710" i="1"/>
  <c r="C8710" i="1"/>
  <c r="D8710" i="1"/>
  <c r="E8710" i="1"/>
  <c r="A8711" i="1"/>
  <c r="B8711" i="1"/>
  <c r="C8711" i="1"/>
  <c r="D8711" i="1"/>
  <c r="E8711" i="1"/>
  <c r="A8712" i="1"/>
  <c r="B8712" i="1"/>
  <c r="C8712" i="1"/>
  <c r="D8712" i="1"/>
  <c r="E8712" i="1"/>
  <c r="A8713" i="1"/>
  <c r="B8713" i="1"/>
  <c r="C8713" i="1"/>
  <c r="D8713" i="1"/>
  <c r="E8713" i="1"/>
  <c r="A8714" i="1"/>
  <c r="B8714" i="1"/>
  <c r="C8714" i="1"/>
  <c r="D8714" i="1"/>
  <c r="E8714" i="1"/>
  <c r="A8715" i="1"/>
  <c r="B8715" i="1"/>
  <c r="C8715" i="1"/>
  <c r="D8715" i="1"/>
  <c r="E8715" i="1"/>
  <c r="A8716" i="1"/>
  <c r="B8716" i="1"/>
  <c r="C8716" i="1"/>
  <c r="D8716" i="1"/>
  <c r="E8716" i="1"/>
  <c r="A8717" i="1"/>
  <c r="B8717" i="1"/>
  <c r="C8717" i="1"/>
  <c r="D8717" i="1"/>
  <c r="E8717" i="1"/>
  <c r="A8718" i="1"/>
  <c r="B8718" i="1"/>
  <c r="C8718" i="1"/>
  <c r="D8718" i="1"/>
  <c r="E8718" i="1"/>
  <c r="A8719" i="1"/>
  <c r="B8719" i="1"/>
  <c r="C8719" i="1"/>
  <c r="D8719" i="1"/>
  <c r="E8719" i="1"/>
  <c r="A8720" i="1"/>
  <c r="B8720" i="1"/>
  <c r="C8720" i="1"/>
  <c r="D8720" i="1"/>
  <c r="E8720" i="1"/>
  <c r="A8721" i="1"/>
  <c r="B8721" i="1"/>
  <c r="C8721" i="1"/>
  <c r="D8721" i="1"/>
  <c r="E8721" i="1"/>
  <c r="A8722" i="1"/>
  <c r="B8722" i="1"/>
  <c r="C8722" i="1"/>
  <c r="D8722" i="1"/>
  <c r="E8722" i="1"/>
  <c r="A8723" i="1"/>
  <c r="B8723" i="1"/>
  <c r="C8723" i="1"/>
  <c r="D8723" i="1"/>
  <c r="E8723" i="1"/>
  <c r="A8724" i="1"/>
  <c r="B8724" i="1"/>
  <c r="C8724" i="1"/>
  <c r="D8724" i="1"/>
  <c r="E8724" i="1"/>
  <c r="A8725" i="1"/>
  <c r="B8725" i="1"/>
  <c r="C8725" i="1"/>
  <c r="D8725" i="1"/>
  <c r="E8725" i="1"/>
  <c r="A8726" i="1"/>
  <c r="B8726" i="1"/>
  <c r="C8726" i="1"/>
  <c r="D8726" i="1"/>
  <c r="E8726" i="1"/>
  <c r="A8727" i="1"/>
  <c r="B8727" i="1"/>
  <c r="C8727" i="1"/>
  <c r="D8727" i="1"/>
  <c r="E8727" i="1"/>
  <c r="A8728" i="1"/>
  <c r="B8728" i="1"/>
  <c r="C8728" i="1"/>
  <c r="D8728" i="1"/>
  <c r="E8728" i="1"/>
  <c r="A8729" i="1"/>
  <c r="B8729" i="1"/>
  <c r="C8729" i="1"/>
  <c r="D8729" i="1"/>
  <c r="E8729" i="1"/>
  <c r="A8730" i="1"/>
  <c r="B8730" i="1"/>
  <c r="C8730" i="1"/>
  <c r="D8730" i="1"/>
  <c r="E8730" i="1"/>
  <c r="A8731" i="1"/>
  <c r="B8731" i="1"/>
  <c r="C8731" i="1"/>
  <c r="D8731" i="1"/>
  <c r="E8731" i="1"/>
  <c r="A8732" i="1"/>
  <c r="B8732" i="1"/>
  <c r="C8732" i="1"/>
  <c r="D8732" i="1"/>
  <c r="E8732" i="1"/>
  <c r="A8733" i="1"/>
  <c r="B8733" i="1"/>
  <c r="C8733" i="1"/>
  <c r="D8733" i="1"/>
  <c r="E8733" i="1"/>
  <c r="A8734" i="1"/>
  <c r="B8734" i="1"/>
  <c r="C8734" i="1"/>
  <c r="D8734" i="1"/>
  <c r="E8734" i="1"/>
  <c r="A8735" i="1"/>
  <c r="B8735" i="1"/>
  <c r="C8735" i="1"/>
  <c r="D8735" i="1"/>
  <c r="E8735" i="1"/>
  <c r="A8736" i="1"/>
  <c r="B8736" i="1"/>
  <c r="C8736" i="1"/>
  <c r="D8736" i="1"/>
  <c r="E8736" i="1"/>
  <c r="A8737" i="1"/>
  <c r="B8737" i="1"/>
  <c r="C8737" i="1"/>
  <c r="D8737" i="1"/>
  <c r="E8737" i="1"/>
  <c r="A8738" i="1"/>
  <c r="B8738" i="1"/>
  <c r="C8738" i="1"/>
  <c r="D8738" i="1"/>
  <c r="E8738" i="1"/>
  <c r="A8739" i="1"/>
  <c r="B8739" i="1"/>
  <c r="C8739" i="1"/>
  <c r="D8739" i="1"/>
  <c r="E8739" i="1"/>
  <c r="A8740" i="1"/>
  <c r="B8740" i="1"/>
  <c r="C8740" i="1"/>
  <c r="D8740" i="1"/>
  <c r="E8740" i="1"/>
  <c r="A8741" i="1"/>
  <c r="B8741" i="1"/>
  <c r="C8741" i="1"/>
  <c r="D8741" i="1"/>
  <c r="E8741" i="1"/>
  <c r="A8742" i="1"/>
  <c r="B8742" i="1"/>
  <c r="C8742" i="1"/>
  <c r="D8742" i="1"/>
  <c r="E8742" i="1"/>
  <c r="A8743" i="1"/>
  <c r="B8743" i="1"/>
  <c r="C8743" i="1"/>
  <c r="D8743" i="1"/>
  <c r="E8743" i="1"/>
  <c r="A8744" i="1"/>
  <c r="B8744" i="1"/>
  <c r="C8744" i="1"/>
  <c r="D8744" i="1"/>
  <c r="E8744" i="1"/>
  <c r="A8745" i="1"/>
  <c r="B8745" i="1"/>
  <c r="C8745" i="1"/>
  <c r="D8745" i="1"/>
  <c r="E8745" i="1"/>
  <c r="A8746" i="1"/>
  <c r="B8746" i="1"/>
  <c r="C8746" i="1"/>
  <c r="D8746" i="1"/>
  <c r="E8746" i="1"/>
  <c r="A8747" i="1"/>
  <c r="B8747" i="1"/>
  <c r="C8747" i="1"/>
  <c r="D8747" i="1"/>
  <c r="E8747" i="1"/>
  <c r="A8748" i="1"/>
  <c r="B8748" i="1"/>
  <c r="C8748" i="1"/>
  <c r="D8748" i="1"/>
  <c r="E8748" i="1"/>
  <c r="A8749" i="1"/>
  <c r="B8749" i="1"/>
  <c r="C8749" i="1"/>
  <c r="D8749" i="1"/>
  <c r="E8749" i="1"/>
  <c r="A8750" i="1"/>
  <c r="B8750" i="1"/>
  <c r="C8750" i="1"/>
  <c r="D8750" i="1"/>
  <c r="E8750" i="1"/>
  <c r="A8751" i="1"/>
  <c r="B8751" i="1"/>
  <c r="C8751" i="1"/>
  <c r="D8751" i="1"/>
  <c r="E8751" i="1"/>
  <c r="A8752" i="1"/>
  <c r="B8752" i="1"/>
  <c r="C8752" i="1"/>
  <c r="D8752" i="1"/>
  <c r="E8752" i="1"/>
  <c r="A8753" i="1"/>
  <c r="B8753" i="1"/>
  <c r="C8753" i="1"/>
  <c r="D8753" i="1"/>
  <c r="E8753" i="1"/>
  <c r="A8754" i="1"/>
  <c r="B8754" i="1"/>
  <c r="C8754" i="1"/>
  <c r="D8754" i="1"/>
  <c r="E8754" i="1"/>
  <c r="A8755" i="1"/>
  <c r="B8755" i="1"/>
  <c r="C8755" i="1"/>
  <c r="D8755" i="1"/>
  <c r="E8755" i="1"/>
  <c r="A8756" i="1"/>
  <c r="B8756" i="1"/>
  <c r="C8756" i="1"/>
  <c r="D8756" i="1"/>
  <c r="E8756" i="1"/>
  <c r="A8757" i="1"/>
  <c r="B8757" i="1"/>
  <c r="C8757" i="1"/>
  <c r="D8757" i="1"/>
  <c r="E8757" i="1"/>
  <c r="A8758" i="1"/>
  <c r="B8758" i="1"/>
  <c r="C8758" i="1"/>
  <c r="D8758" i="1"/>
  <c r="E8758" i="1"/>
  <c r="A8759" i="1"/>
  <c r="B8759" i="1"/>
  <c r="C8759" i="1"/>
  <c r="D8759" i="1"/>
  <c r="E8759" i="1"/>
  <c r="A8760" i="1"/>
  <c r="B8760" i="1"/>
  <c r="C8760" i="1"/>
  <c r="D8760" i="1"/>
  <c r="E8760" i="1"/>
  <c r="A8761" i="1"/>
  <c r="B8761" i="1"/>
  <c r="C8761" i="1"/>
  <c r="D8761" i="1"/>
  <c r="E8761" i="1"/>
  <c r="A8762" i="1"/>
  <c r="B8762" i="1"/>
  <c r="C8762" i="1"/>
  <c r="D8762" i="1"/>
  <c r="E8762" i="1"/>
  <c r="A8763" i="1"/>
  <c r="B8763" i="1"/>
  <c r="C8763" i="1"/>
  <c r="D8763" i="1"/>
  <c r="E8763" i="1"/>
  <c r="A8764" i="1"/>
  <c r="B8764" i="1"/>
  <c r="C8764" i="1"/>
  <c r="D8764" i="1"/>
  <c r="E8764" i="1"/>
  <c r="A8765" i="1"/>
  <c r="B8765" i="1"/>
  <c r="C8765" i="1"/>
  <c r="D8765" i="1"/>
  <c r="E8765" i="1"/>
  <c r="A8766" i="1"/>
  <c r="B8766" i="1"/>
  <c r="C8766" i="1"/>
  <c r="D8766" i="1"/>
  <c r="E8766" i="1"/>
  <c r="A8767" i="1"/>
  <c r="B8767" i="1"/>
  <c r="C8767" i="1"/>
  <c r="D8767" i="1"/>
  <c r="E8767" i="1"/>
  <c r="A8768" i="1"/>
  <c r="B8768" i="1"/>
  <c r="C8768" i="1"/>
  <c r="D8768" i="1"/>
  <c r="E8768" i="1"/>
  <c r="A8769" i="1"/>
  <c r="B8769" i="1"/>
  <c r="C8769" i="1"/>
  <c r="D8769" i="1"/>
  <c r="E8769" i="1"/>
  <c r="A8770" i="1"/>
  <c r="B8770" i="1"/>
  <c r="C8770" i="1"/>
  <c r="D8770" i="1"/>
  <c r="E8770" i="1"/>
  <c r="A8771" i="1"/>
  <c r="B8771" i="1"/>
  <c r="C8771" i="1"/>
  <c r="D8771" i="1"/>
  <c r="E8771" i="1"/>
  <c r="A8772" i="1"/>
  <c r="B8772" i="1"/>
  <c r="C8772" i="1"/>
  <c r="D8772" i="1"/>
  <c r="E8772" i="1"/>
  <c r="A8773" i="1"/>
  <c r="B8773" i="1"/>
  <c r="C8773" i="1"/>
  <c r="D8773" i="1"/>
  <c r="E8773" i="1"/>
  <c r="A8774" i="1"/>
  <c r="B8774" i="1"/>
  <c r="C8774" i="1"/>
  <c r="D8774" i="1"/>
  <c r="E8774" i="1"/>
  <c r="A8775" i="1"/>
  <c r="B8775" i="1"/>
  <c r="C8775" i="1"/>
  <c r="D8775" i="1"/>
  <c r="E8775" i="1"/>
  <c r="A8776" i="1"/>
  <c r="B8776" i="1"/>
  <c r="C8776" i="1"/>
  <c r="D8776" i="1"/>
  <c r="E8776" i="1"/>
  <c r="A8777" i="1"/>
  <c r="B8777" i="1"/>
  <c r="C8777" i="1"/>
  <c r="D8777" i="1"/>
  <c r="E8777" i="1"/>
  <c r="A8778" i="1"/>
  <c r="B8778" i="1"/>
  <c r="C8778" i="1"/>
  <c r="D8778" i="1"/>
  <c r="E8778" i="1"/>
  <c r="A8779" i="1"/>
  <c r="B8779" i="1"/>
  <c r="C8779" i="1"/>
  <c r="D8779" i="1"/>
  <c r="E8779" i="1"/>
  <c r="A8780" i="1"/>
  <c r="B8780" i="1"/>
  <c r="C8780" i="1"/>
  <c r="D8780" i="1"/>
  <c r="E8780" i="1"/>
  <c r="A8781" i="1"/>
  <c r="B8781" i="1"/>
  <c r="C8781" i="1"/>
  <c r="D8781" i="1"/>
  <c r="E8781" i="1"/>
  <c r="A8782" i="1"/>
  <c r="B8782" i="1"/>
  <c r="C8782" i="1"/>
  <c r="D8782" i="1"/>
  <c r="E8782" i="1"/>
  <c r="A8783" i="1"/>
  <c r="B8783" i="1"/>
  <c r="C8783" i="1"/>
  <c r="D8783" i="1"/>
  <c r="E8783" i="1"/>
  <c r="A8784" i="1"/>
  <c r="B8784" i="1"/>
  <c r="C8784" i="1"/>
  <c r="D8784" i="1"/>
  <c r="E8784" i="1"/>
  <c r="A8785" i="1"/>
  <c r="B8785" i="1"/>
  <c r="C8785" i="1"/>
  <c r="D8785" i="1"/>
  <c r="E8785" i="1"/>
  <c r="A8786" i="1"/>
  <c r="B8786" i="1"/>
  <c r="C8786" i="1"/>
  <c r="D8786" i="1"/>
  <c r="E8786" i="1"/>
  <c r="A8787" i="1"/>
  <c r="B8787" i="1"/>
  <c r="C8787" i="1"/>
  <c r="D8787" i="1"/>
  <c r="E8787" i="1"/>
  <c r="A8788" i="1"/>
  <c r="B8788" i="1"/>
  <c r="C8788" i="1"/>
  <c r="D8788" i="1"/>
  <c r="E8788" i="1"/>
  <c r="A8789" i="1"/>
  <c r="B8789" i="1"/>
  <c r="C8789" i="1"/>
  <c r="D8789" i="1"/>
  <c r="E8789" i="1"/>
  <c r="A8790" i="1"/>
  <c r="B8790" i="1"/>
  <c r="C8790" i="1"/>
  <c r="D8790" i="1"/>
  <c r="E8790" i="1"/>
  <c r="A8791" i="1"/>
  <c r="B8791" i="1"/>
  <c r="C8791" i="1"/>
  <c r="D8791" i="1"/>
  <c r="E8791" i="1"/>
  <c r="A8792" i="1"/>
  <c r="B8792" i="1"/>
  <c r="C8792" i="1"/>
  <c r="D8792" i="1"/>
  <c r="E8792" i="1"/>
  <c r="A8793" i="1"/>
  <c r="B8793" i="1"/>
  <c r="C8793" i="1"/>
  <c r="D8793" i="1"/>
  <c r="E8793" i="1"/>
  <c r="A8794" i="1"/>
  <c r="B8794" i="1"/>
  <c r="C8794" i="1"/>
  <c r="D8794" i="1"/>
  <c r="E8794" i="1"/>
  <c r="A8795" i="1"/>
  <c r="B8795" i="1"/>
  <c r="C8795" i="1"/>
  <c r="D8795" i="1"/>
  <c r="E8795" i="1"/>
  <c r="A8796" i="1"/>
  <c r="B8796" i="1"/>
  <c r="C8796" i="1"/>
  <c r="D8796" i="1"/>
  <c r="E8796" i="1"/>
  <c r="A8797" i="1"/>
  <c r="B8797" i="1"/>
  <c r="C8797" i="1"/>
  <c r="D8797" i="1"/>
  <c r="E8797" i="1"/>
  <c r="A8798" i="1"/>
  <c r="B8798" i="1"/>
  <c r="C8798" i="1"/>
  <c r="D8798" i="1"/>
  <c r="E8798" i="1"/>
  <c r="A8799" i="1"/>
  <c r="B8799" i="1"/>
  <c r="C8799" i="1"/>
  <c r="D8799" i="1"/>
  <c r="E8799" i="1"/>
  <c r="A8800" i="1"/>
  <c r="B8800" i="1"/>
  <c r="C8800" i="1"/>
  <c r="D8800" i="1"/>
  <c r="E8800" i="1"/>
  <c r="A8801" i="1"/>
  <c r="B8801" i="1"/>
  <c r="C8801" i="1"/>
  <c r="D8801" i="1"/>
  <c r="E8801" i="1"/>
  <c r="A8802" i="1"/>
  <c r="B8802" i="1"/>
  <c r="C8802" i="1"/>
  <c r="D8802" i="1"/>
  <c r="E8802" i="1"/>
  <c r="A8803" i="1"/>
  <c r="B8803" i="1"/>
  <c r="C8803" i="1"/>
  <c r="D8803" i="1"/>
  <c r="E8803" i="1"/>
  <c r="A8804" i="1"/>
  <c r="B8804" i="1"/>
  <c r="C8804" i="1"/>
  <c r="D8804" i="1"/>
  <c r="E8804" i="1"/>
  <c r="A8805" i="1"/>
  <c r="B8805" i="1"/>
  <c r="C8805" i="1"/>
  <c r="D8805" i="1"/>
  <c r="E8805" i="1"/>
  <c r="A8806" i="1"/>
  <c r="B8806" i="1"/>
  <c r="C8806" i="1"/>
  <c r="D8806" i="1"/>
  <c r="E8806" i="1"/>
  <c r="A8807" i="1"/>
  <c r="B8807" i="1"/>
  <c r="C8807" i="1"/>
  <c r="D8807" i="1"/>
  <c r="E8807" i="1"/>
  <c r="A8808" i="1"/>
  <c r="B8808" i="1"/>
  <c r="C8808" i="1"/>
  <c r="D8808" i="1"/>
  <c r="E8808" i="1"/>
  <c r="A8809" i="1"/>
  <c r="B8809" i="1"/>
  <c r="C8809" i="1"/>
  <c r="D8809" i="1"/>
  <c r="E8809" i="1"/>
  <c r="A8810" i="1"/>
  <c r="B8810" i="1"/>
  <c r="C8810" i="1"/>
  <c r="D8810" i="1"/>
  <c r="E8810" i="1"/>
  <c r="A8811" i="1"/>
  <c r="B8811" i="1"/>
  <c r="C8811" i="1"/>
  <c r="D8811" i="1"/>
  <c r="E8811" i="1"/>
  <c r="A8812" i="1"/>
  <c r="B8812" i="1"/>
  <c r="C8812" i="1"/>
  <c r="D8812" i="1"/>
  <c r="E8812" i="1"/>
  <c r="A8813" i="1"/>
  <c r="B8813" i="1"/>
  <c r="C8813" i="1"/>
  <c r="D8813" i="1"/>
  <c r="E8813" i="1"/>
  <c r="A8814" i="1"/>
  <c r="B8814" i="1"/>
  <c r="C8814" i="1"/>
  <c r="D8814" i="1"/>
  <c r="E8814" i="1"/>
  <c r="A8815" i="1"/>
  <c r="B8815" i="1"/>
  <c r="C8815" i="1"/>
  <c r="D8815" i="1"/>
  <c r="E8815" i="1"/>
  <c r="A8816" i="1"/>
  <c r="B8816" i="1"/>
  <c r="C8816" i="1"/>
  <c r="D8816" i="1"/>
  <c r="E8816" i="1"/>
  <c r="A8817" i="1"/>
  <c r="B8817" i="1"/>
  <c r="C8817" i="1"/>
  <c r="D8817" i="1"/>
  <c r="E8817" i="1"/>
  <c r="A8818" i="1"/>
  <c r="B8818" i="1"/>
  <c r="C8818" i="1"/>
  <c r="D8818" i="1"/>
  <c r="E8818" i="1"/>
  <c r="A8819" i="1"/>
  <c r="B8819" i="1"/>
  <c r="C8819" i="1"/>
  <c r="D8819" i="1"/>
  <c r="E8819" i="1"/>
  <c r="A8820" i="1"/>
  <c r="B8820" i="1"/>
  <c r="C8820" i="1"/>
  <c r="D8820" i="1"/>
  <c r="E8820" i="1"/>
  <c r="A8821" i="1"/>
  <c r="B8821" i="1"/>
  <c r="C8821" i="1"/>
  <c r="D8821" i="1"/>
  <c r="E8821" i="1"/>
  <c r="A8822" i="1"/>
  <c r="B8822" i="1"/>
  <c r="C8822" i="1"/>
  <c r="D8822" i="1"/>
  <c r="E8822" i="1"/>
  <c r="A8823" i="1"/>
  <c r="B8823" i="1"/>
  <c r="C8823" i="1"/>
  <c r="D8823" i="1"/>
  <c r="E8823" i="1"/>
  <c r="A8824" i="1"/>
  <c r="B8824" i="1"/>
  <c r="C8824" i="1"/>
  <c r="D8824" i="1"/>
  <c r="E8824" i="1"/>
  <c r="A8825" i="1"/>
  <c r="B8825" i="1"/>
  <c r="C8825" i="1"/>
  <c r="D8825" i="1"/>
  <c r="E8825" i="1"/>
  <c r="A8826" i="1"/>
  <c r="B8826" i="1"/>
  <c r="C8826" i="1"/>
  <c r="D8826" i="1"/>
  <c r="E8826" i="1"/>
  <c r="A8827" i="1"/>
  <c r="B8827" i="1"/>
  <c r="C8827" i="1"/>
  <c r="D8827" i="1"/>
  <c r="E8827" i="1"/>
  <c r="A8828" i="1"/>
  <c r="B8828" i="1"/>
  <c r="C8828" i="1"/>
  <c r="D8828" i="1"/>
  <c r="E8828" i="1"/>
  <c r="A8829" i="1"/>
  <c r="B8829" i="1"/>
  <c r="C8829" i="1"/>
  <c r="D8829" i="1"/>
  <c r="E8829" i="1"/>
  <c r="A8830" i="1"/>
  <c r="B8830" i="1"/>
  <c r="C8830" i="1"/>
  <c r="D8830" i="1"/>
  <c r="E8830" i="1"/>
  <c r="A8831" i="1"/>
  <c r="B8831" i="1"/>
  <c r="C8831" i="1"/>
  <c r="D8831" i="1"/>
  <c r="E8831" i="1"/>
  <c r="A8832" i="1"/>
  <c r="B8832" i="1"/>
  <c r="C8832" i="1"/>
  <c r="D8832" i="1"/>
  <c r="E8832" i="1"/>
  <c r="A8833" i="1"/>
  <c r="B8833" i="1"/>
  <c r="C8833" i="1"/>
  <c r="D8833" i="1"/>
  <c r="E8833" i="1"/>
  <c r="A8834" i="1"/>
  <c r="B8834" i="1"/>
  <c r="C8834" i="1"/>
  <c r="D8834" i="1"/>
  <c r="E8834" i="1"/>
  <c r="A8835" i="1"/>
  <c r="B8835" i="1"/>
  <c r="C8835" i="1"/>
  <c r="D8835" i="1"/>
  <c r="E8835" i="1"/>
  <c r="A8836" i="1"/>
  <c r="B8836" i="1"/>
  <c r="C8836" i="1"/>
  <c r="D8836" i="1"/>
  <c r="E8836" i="1"/>
  <c r="A8837" i="1"/>
  <c r="B8837" i="1"/>
  <c r="C8837" i="1"/>
  <c r="D8837" i="1"/>
  <c r="E8837" i="1"/>
  <c r="A8838" i="1"/>
  <c r="B8838" i="1"/>
  <c r="C8838" i="1"/>
  <c r="D8838" i="1"/>
  <c r="E8838" i="1"/>
  <c r="A8839" i="1"/>
  <c r="B8839" i="1"/>
  <c r="C8839" i="1"/>
  <c r="D8839" i="1"/>
  <c r="E8839" i="1"/>
  <c r="A8840" i="1"/>
  <c r="B8840" i="1"/>
  <c r="C8840" i="1"/>
  <c r="D8840" i="1"/>
  <c r="E8840" i="1"/>
  <c r="A8841" i="1"/>
  <c r="B8841" i="1"/>
  <c r="C8841" i="1"/>
  <c r="D8841" i="1"/>
  <c r="E8841" i="1"/>
  <c r="A8842" i="1"/>
  <c r="B8842" i="1"/>
  <c r="C8842" i="1"/>
  <c r="D8842" i="1"/>
  <c r="E8842" i="1"/>
  <c r="A8843" i="1"/>
  <c r="B8843" i="1"/>
  <c r="C8843" i="1"/>
  <c r="D8843" i="1"/>
  <c r="E8843" i="1"/>
  <c r="A8844" i="1"/>
  <c r="B8844" i="1"/>
  <c r="C8844" i="1"/>
  <c r="D8844" i="1"/>
  <c r="E8844" i="1"/>
  <c r="A8845" i="1"/>
  <c r="B8845" i="1"/>
  <c r="C8845" i="1"/>
  <c r="D8845" i="1"/>
  <c r="E8845" i="1"/>
  <c r="A8846" i="1"/>
  <c r="B8846" i="1"/>
  <c r="C8846" i="1"/>
  <c r="D8846" i="1"/>
  <c r="E8846" i="1"/>
  <c r="A8847" i="1"/>
  <c r="B8847" i="1"/>
  <c r="C8847" i="1"/>
  <c r="D8847" i="1"/>
  <c r="E8847" i="1"/>
  <c r="A8848" i="1"/>
  <c r="B8848" i="1"/>
  <c r="C8848" i="1"/>
  <c r="D8848" i="1"/>
  <c r="E8848" i="1"/>
  <c r="A8849" i="1"/>
  <c r="B8849" i="1"/>
  <c r="C8849" i="1"/>
  <c r="D8849" i="1"/>
  <c r="E8849" i="1"/>
  <c r="A8850" i="1"/>
  <c r="B8850" i="1"/>
  <c r="C8850" i="1"/>
  <c r="D8850" i="1"/>
  <c r="E8850" i="1"/>
  <c r="A8851" i="1"/>
  <c r="B8851" i="1"/>
  <c r="C8851" i="1"/>
  <c r="D8851" i="1"/>
  <c r="E8851" i="1"/>
  <c r="A8852" i="1"/>
  <c r="B8852" i="1"/>
  <c r="C8852" i="1"/>
  <c r="D8852" i="1"/>
  <c r="E8852" i="1"/>
  <c r="A8853" i="1"/>
  <c r="B8853" i="1"/>
  <c r="C8853" i="1"/>
  <c r="D8853" i="1"/>
  <c r="E8853" i="1"/>
  <c r="A8854" i="1"/>
  <c r="B8854" i="1"/>
  <c r="C8854" i="1"/>
  <c r="D8854" i="1"/>
  <c r="E8854" i="1"/>
  <c r="A8855" i="1"/>
  <c r="B8855" i="1"/>
  <c r="C8855" i="1"/>
  <c r="D8855" i="1"/>
  <c r="E8855" i="1"/>
  <c r="A8856" i="1"/>
  <c r="B8856" i="1"/>
  <c r="C8856" i="1"/>
  <c r="D8856" i="1"/>
  <c r="E8856" i="1"/>
  <c r="A8857" i="1"/>
  <c r="B8857" i="1"/>
  <c r="C8857" i="1"/>
  <c r="D8857" i="1"/>
  <c r="E8857" i="1"/>
  <c r="A8858" i="1"/>
  <c r="B8858" i="1"/>
  <c r="C8858" i="1"/>
  <c r="D8858" i="1"/>
  <c r="E8858" i="1"/>
  <c r="A8859" i="1"/>
  <c r="B8859" i="1"/>
  <c r="C8859" i="1"/>
  <c r="D8859" i="1"/>
  <c r="E8859" i="1"/>
  <c r="A8860" i="1"/>
  <c r="B8860" i="1"/>
  <c r="C8860" i="1"/>
  <c r="D8860" i="1"/>
  <c r="E8860" i="1"/>
  <c r="A8861" i="1"/>
  <c r="B8861" i="1"/>
  <c r="C8861" i="1"/>
  <c r="D8861" i="1"/>
  <c r="E8861" i="1"/>
  <c r="A8862" i="1"/>
  <c r="B8862" i="1"/>
  <c r="C8862" i="1"/>
  <c r="D8862" i="1"/>
  <c r="E8862" i="1"/>
  <c r="A8863" i="1"/>
  <c r="B8863" i="1"/>
  <c r="C8863" i="1"/>
  <c r="D8863" i="1"/>
  <c r="E8863" i="1"/>
  <c r="A8864" i="1"/>
  <c r="B8864" i="1"/>
  <c r="C8864" i="1"/>
  <c r="D8864" i="1"/>
  <c r="E8864" i="1"/>
  <c r="A8865" i="1"/>
  <c r="B8865" i="1"/>
  <c r="C8865" i="1"/>
  <c r="D8865" i="1"/>
  <c r="E8865" i="1"/>
  <c r="A8866" i="1"/>
  <c r="B8866" i="1"/>
  <c r="C8866" i="1"/>
  <c r="D8866" i="1"/>
  <c r="E8866" i="1"/>
  <c r="A8867" i="1"/>
  <c r="B8867" i="1"/>
  <c r="C8867" i="1"/>
  <c r="D8867" i="1"/>
  <c r="E8867" i="1"/>
  <c r="A8868" i="1"/>
  <c r="B8868" i="1"/>
  <c r="C8868" i="1"/>
  <c r="D8868" i="1"/>
  <c r="E8868" i="1"/>
  <c r="A8869" i="1"/>
  <c r="B8869" i="1"/>
  <c r="C8869" i="1"/>
  <c r="D8869" i="1"/>
  <c r="E8869" i="1"/>
  <c r="A8870" i="1"/>
  <c r="B8870" i="1"/>
  <c r="C8870" i="1"/>
  <c r="D8870" i="1"/>
  <c r="E8870" i="1"/>
  <c r="A8871" i="1"/>
  <c r="B8871" i="1"/>
  <c r="C8871" i="1"/>
  <c r="D8871" i="1"/>
  <c r="E8871" i="1"/>
  <c r="A8872" i="1"/>
  <c r="B8872" i="1"/>
  <c r="C8872" i="1"/>
  <c r="D8872" i="1"/>
  <c r="E8872" i="1"/>
  <c r="A8873" i="1"/>
  <c r="B8873" i="1"/>
  <c r="C8873" i="1"/>
  <c r="D8873" i="1"/>
  <c r="E8873" i="1"/>
  <c r="A8874" i="1"/>
  <c r="B8874" i="1"/>
  <c r="C8874" i="1"/>
  <c r="D8874" i="1"/>
  <c r="E8874" i="1"/>
  <c r="A8875" i="1"/>
  <c r="B8875" i="1"/>
  <c r="C8875" i="1"/>
  <c r="D8875" i="1"/>
  <c r="E8875" i="1"/>
  <c r="A8876" i="1"/>
  <c r="B8876" i="1"/>
  <c r="C8876" i="1"/>
  <c r="D8876" i="1"/>
  <c r="E8876" i="1"/>
  <c r="A8877" i="1"/>
  <c r="B8877" i="1"/>
  <c r="C8877" i="1"/>
  <c r="D8877" i="1"/>
  <c r="E8877" i="1"/>
  <c r="A8878" i="1"/>
  <c r="B8878" i="1"/>
  <c r="C8878" i="1"/>
  <c r="D8878" i="1"/>
  <c r="E8878" i="1"/>
  <c r="A8879" i="1"/>
  <c r="B8879" i="1"/>
  <c r="C8879" i="1"/>
  <c r="D8879" i="1"/>
  <c r="E8879" i="1"/>
  <c r="A8880" i="1"/>
  <c r="B8880" i="1"/>
  <c r="C8880" i="1"/>
  <c r="D8880" i="1"/>
  <c r="E8880" i="1"/>
  <c r="A8881" i="1"/>
  <c r="B8881" i="1"/>
  <c r="C8881" i="1"/>
  <c r="D8881" i="1"/>
  <c r="E8881" i="1"/>
  <c r="A8882" i="1"/>
  <c r="B8882" i="1"/>
  <c r="C8882" i="1"/>
  <c r="D8882" i="1"/>
  <c r="E8882" i="1"/>
  <c r="A8883" i="1"/>
  <c r="B8883" i="1"/>
  <c r="C8883" i="1"/>
  <c r="D8883" i="1"/>
  <c r="E8883" i="1"/>
  <c r="A8884" i="1"/>
  <c r="B8884" i="1"/>
  <c r="C8884" i="1"/>
  <c r="D8884" i="1"/>
  <c r="E8884" i="1"/>
  <c r="A8885" i="1"/>
  <c r="B8885" i="1"/>
  <c r="C8885" i="1"/>
  <c r="D8885" i="1"/>
  <c r="E8885" i="1"/>
  <c r="A8886" i="1"/>
  <c r="B8886" i="1"/>
  <c r="C8886" i="1"/>
  <c r="D8886" i="1"/>
  <c r="E8886" i="1"/>
  <c r="A8887" i="1"/>
  <c r="B8887" i="1"/>
  <c r="C8887" i="1"/>
  <c r="D8887" i="1"/>
  <c r="E8887" i="1"/>
  <c r="A8888" i="1"/>
  <c r="B8888" i="1"/>
  <c r="C8888" i="1"/>
  <c r="D8888" i="1"/>
  <c r="E8888" i="1"/>
  <c r="A8889" i="1"/>
  <c r="B8889" i="1"/>
  <c r="C8889" i="1"/>
  <c r="D8889" i="1"/>
  <c r="E8889" i="1"/>
  <c r="A8890" i="1"/>
  <c r="B8890" i="1"/>
  <c r="C8890" i="1"/>
  <c r="D8890" i="1"/>
  <c r="E8890" i="1"/>
  <c r="A8891" i="1"/>
  <c r="B8891" i="1"/>
  <c r="C8891" i="1"/>
  <c r="D8891" i="1"/>
  <c r="E8891" i="1"/>
  <c r="A8892" i="1"/>
  <c r="B8892" i="1"/>
  <c r="C8892" i="1"/>
  <c r="D8892" i="1"/>
  <c r="E8892" i="1"/>
  <c r="A8893" i="1"/>
  <c r="B8893" i="1"/>
  <c r="C8893" i="1"/>
  <c r="D8893" i="1"/>
  <c r="E8893" i="1"/>
  <c r="A8894" i="1"/>
  <c r="B8894" i="1"/>
  <c r="C8894" i="1"/>
  <c r="D8894" i="1"/>
  <c r="E8894" i="1"/>
  <c r="A8895" i="1"/>
  <c r="B8895" i="1"/>
  <c r="C8895" i="1"/>
  <c r="D8895" i="1"/>
  <c r="E8895" i="1"/>
  <c r="A8896" i="1"/>
  <c r="B8896" i="1"/>
  <c r="C8896" i="1"/>
  <c r="D8896" i="1"/>
  <c r="E8896" i="1"/>
  <c r="A8897" i="1"/>
  <c r="B8897" i="1"/>
  <c r="C8897" i="1"/>
  <c r="D8897" i="1"/>
  <c r="E8897" i="1"/>
  <c r="A8898" i="1"/>
  <c r="B8898" i="1"/>
  <c r="C8898" i="1"/>
  <c r="D8898" i="1"/>
  <c r="E8898" i="1"/>
  <c r="A8899" i="1"/>
  <c r="B8899" i="1"/>
  <c r="C8899" i="1"/>
  <c r="D8899" i="1"/>
  <c r="E8899" i="1"/>
  <c r="A8900" i="1"/>
  <c r="B8900" i="1"/>
  <c r="C8900" i="1"/>
  <c r="D8900" i="1"/>
  <c r="E8900" i="1"/>
  <c r="A8901" i="1"/>
  <c r="B8901" i="1"/>
  <c r="C8901" i="1"/>
  <c r="D8901" i="1"/>
  <c r="E8901" i="1"/>
  <c r="A8902" i="1"/>
  <c r="B8902" i="1"/>
  <c r="C8902" i="1"/>
  <c r="D8902" i="1"/>
  <c r="E8902" i="1"/>
  <c r="A8903" i="1"/>
  <c r="B8903" i="1"/>
  <c r="C8903" i="1"/>
  <c r="D8903" i="1"/>
  <c r="E8903" i="1"/>
  <c r="A8904" i="1"/>
  <c r="B8904" i="1"/>
  <c r="C8904" i="1"/>
  <c r="D8904" i="1"/>
  <c r="E8904" i="1"/>
  <c r="A8905" i="1"/>
  <c r="B8905" i="1"/>
  <c r="C8905" i="1"/>
  <c r="D8905" i="1"/>
  <c r="E8905" i="1"/>
  <c r="A8906" i="1"/>
  <c r="B8906" i="1"/>
  <c r="C8906" i="1"/>
  <c r="D8906" i="1"/>
  <c r="E8906" i="1"/>
  <c r="A8907" i="1"/>
  <c r="B8907" i="1"/>
  <c r="C8907" i="1"/>
  <c r="D8907" i="1"/>
  <c r="E8907" i="1"/>
  <c r="A8908" i="1"/>
  <c r="B8908" i="1"/>
  <c r="C8908" i="1"/>
  <c r="D8908" i="1"/>
  <c r="E8908" i="1"/>
  <c r="A8909" i="1"/>
  <c r="B8909" i="1"/>
  <c r="C8909" i="1"/>
  <c r="D8909" i="1"/>
  <c r="E8909" i="1"/>
  <c r="A8910" i="1"/>
  <c r="B8910" i="1"/>
  <c r="C8910" i="1"/>
  <c r="D8910" i="1"/>
  <c r="E8910" i="1"/>
  <c r="A8911" i="1"/>
  <c r="B8911" i="1"/>
  <c r="C8911" i="1"/>
  <c r="D8911" i="1"/>
  <c r="E8911" i="1"/>
  <c r="A8912" i="1"/>
  <c r="B8912" i="1"/>
  <c r="C8912" i="1"/>
  <c r="D8912" i="1"/>
  <c r="E8912" i="1"/>
  <c r="A8913" i="1"/>
  <c r="B8913" i="1"/>
  <c r="C8913" i="1"/>
  <c r="D8913" i="1"/>
  <c r="E8913" i="1"/>
  <c r="A8914" i="1"/>
  <c r="B8914" i="1"/>
  <c r="C8914" i="1"/>
  <c r="D8914" i="1"/>
  <c r="E8914" i="1"/>
  <c r="A8915" i="1"/>
  <c r="B8915" i="1"/>
  <c r="C8915" i="1"/>
  <c r="D8915" i="1"/>
  <c r="E8915" i="1"/>
  <c r="A8916" i="1"/>
  <c r="B8916" i="1"/>
  <c r="C8916" i="1"/>
  <c r="D8916" i="1"/>
  <c r="E8916" i="1"/>
  <c r="A8917" i="1"/>
  <c r="B8917" i="1"/>
  <c r="C8917" i="1"/>
  <c r="D8917" i="1"/>
  <c r="E8917" i="1"/>
  <c r="A8918" i="1"/>
  <c r="B8918" i="1"/>
  <c r="C8918" i="1"/>
  <c r="D8918" i="1"/>
  <c r="E8918" i="1"/>
  <c r="A8919" i="1"/>
  <c r="B8919" i="1"/>
  <c r="C8919" i="1"/>
  <c r="D8919" i="1"/>
  <c r="E8919" i="1"/>
  <c r="A8920" i="1"/>
  <c r="B8920" i="1"/>
  <c r="C8920" i="1"/>
  <c r="D8920" i="1"/>
  <c r="E8920" i="1"/>
  <c r="A8921" i="1"/>
  <c r="B8921" i="1"/>
  <c r="C8921" i="1"/>
  <c r="D8921" i="1"/>
  <c r="E8921" i="1"/>
  <c r="A8922" i="1"/>
  <c r="B8922" i="1"/>
  <c r="C8922" i="1"/>
  <c r="D8922" i="1"/>
  <c r="E8922" i="1"/>
  <c r="A8923" i="1"/>
  <c r="B8923" i="1"/>
  <c r="C8923" i="1"/>
  <c r="D8923" i="1"/>
  <c r="E8923" i="1"/>
  <c r="A8924" i="1"/>
  <c r="B8924" i="1"/>
  <c r="C8924" i="1"/>
  <c r="D8924" i="1"/>
  <c r="E8924" i="1"/>
  <c r="A8925" i="1"/>
  <c r="B8925" i="1"/>
  <c r="C8925" i="1"/>
  <c r="D8925" i="1"/>
  <c r="E8925" i="1"/>
  <c r="A8926" i="1"/>
  <c r="B8926" i="1"/>
  <c r="C8926" i="1"/>
  <c r="D8926" i="1"/>
  <c r="E8926" i="1"/>
  <c r="A8927" i="1"/>
  <c r="B8927" i="1"/>
  <c r="C8927" i="1"/>
  <c r="D8927" i="1"/>
  <c r="E8927" i="1"/>
  <c r="A8928" i="1"/>
  <c r="B8928" i="1"/>
  <c r="C8928" i="1"/>
  <c r="D8928" i="1"/>
  <c r="E8928" i="1"/>
  <c r="A8929" i="1"/>
  <c r="B8929" i="1"/>
  <c r="C8929" i="1"/>
  <c r="D8929" i="1"/>
  <c r="E8929" i="1"/>
  <c r="A8930" i="1"/>
  <c r="B8930" i="1"/>
  <c r="C8930" i="1"/>
  <c r="D8930" i="1"/>
  <c r="E8930" i="1"/>
  <c r="A8931" i="1"/>
  <c r="B8931" i="1"/>
  <c r="C8931" i="1"/>
  <c r="D8931" i="1"/>
  <c r="E8931" i="1"/>
  <c r="A8932" i="1"/>
  <c r="B8932" i="1"/>
  <c r="C8932" i="1"/>
  <c r="D8932" i="1"/>
  <c r="E8932" i="1"/>
  <c r="A8933" i="1"/>
  <c r="B8933" i="1"/>
  <c r="C8933" i="1"/>
  <c r="D8933" i="1"/>
  <c r="E8933" i="1"/>
  <c r="A8934" i="1"/>
  <c r="B8934" i="1"/>
  <c r="C8934" i="1"/>
  <c r="D8934" i="1"/>
  <c r="E8934" i="1"/>
  <c r="A8935" i="1"/>
  <c r="B8935" i="1"/>
  <c r="C8935" i="1"/>
  <c r="D8935" i="1"/>
  <c r="E8935" i="1"/>
  <c r="A8936" i="1"/>
  <c r="B8936" i="1"/>
  <c r="C8936" i="1"/>
  <c r="D8936" i="1"/>
  <c r="E8936" i="1"/>
  <c r="A8937" i="1"/>
  <c r="B8937" i="1"/>
  <c r="C8937" i="1"/>
  <c r="D8937" i="1"/>
  <c r="E8937" i="1"/>
  <c r="A8938" i="1"/>
  <c r="B8938" i="1"/>
  <c r="C8938" i="1"/>
  <c r="D8938" i="1"/>
  <c r="E8938" i="1"/>
  <c r="A8939" i="1"/>
  <c r="B8939" i="1"/>
  <c r="C8939" i="1"/>
  <c r="D8939" i="1"/>
  <c r="E8939" i="1"/>
  <c r="A8940" i="1"/>
  <c r="B8940" i="1"/>
  <c r="C8940" i="1"/>
  <c r="D8940" i="1"/>
  <c r="E8940" i="1"/>
  <c r="A8941" i="1"/>
  <c r="B8941" i="1"/>
  <c r="C8941" i="1"/>
  <c r="D8941" i="1"/>
  <c r="E8941" i="1"/>
  <c r="A8942" i="1"/>
  <c r="B8942" i="1"/>
  <c r="C8942" i="1"/>
  <c r="D8942" i="1"/>
  <c r="E8942" i="1"/>
  <c r="A8943" i="1"/>
  <c r="B8943" i="1"/>
  <c r="C8943" i="1"/>
  <c r="D8943" i="1"/>
  <c r="E8943" i="1"/>
  <c r="A8944" i="1"/>
  <c r="B8944" i="1"/>
  <c r="C8944" i="1"/>
  <c r="D8944" i="1"/>
  <c r="E8944" i="1"/>
  <c r="A8945" i="1"/>
  <c r="B8945" i="1"/>
  <c r="C8945" i="1"/>
  <c r="D8945" i="1"/>
  <c r="E8945" i="1"/>
  <c r="A8946" i="1"/>
  <c r="B8946" i="1"/>
  <c r="C8946" i="1"/>
  <c r="D8946" i="1"/>
  <c r="E8946" i="1"/>
  <c r="A8947" i="1"/>
  <c r="B8947" i="1"/>
  <c r="C8947" i="1"/>
  <c r="D8947" i="1"/>
  <c r="E8947" i="1"/>
  <c r="A8948" i="1"/>
  <c r="B8948" i="1"/>
  <c r="C8948" i="1"/>
  <c r="D8948" i="1"/>
  <c r="E8948" i="1"/>
  <c r="A8949" i="1"/>
  <c r="B8949" i="1"/>
  <c r="C8949" i="1"/>
  <c r="D8949" i="1"/>
  <c r="E8949" i="1"/>
  <c r="A8950" i="1"/>
  <c r="B8950" i="1"/>
  <c r="C8950" i="1"/>
  <c r="D8950" i="1"/>
  <c r="E8950" i="1"/>
  <c r="A8951" i="1"/>
  <c r="B8951" i="1"/>
  <c r="C8951" i="1"/>
  <c r="D8951" i="1"/>
  <c r="E8951" i="1"/>
  <c r="A8952" i="1"/>
  <c r="B8952" i="1"/>
  <c r="C8952" i="1"/>
  <c r="D8952" i="1"/>
  <c r="E8952" i="1"/>
  <c r="A8953" i="1"/>
  <c r="B8953" i="1"/>
  <c r="C8953" i="1"/>
  <c r="D8953" i="1"/>
  <c r="E8953" i="1"/>
  <c r="A8954" i="1"/>
  <c r="B8954" i="1"/>
  <c r="C8954" i="1"/>
  <c r="D8954" i="1"/>
  <c r="E8954" i="1"/>
  <c r="A8955" i="1"/>
  <c r="B8955" i="1"/>
  <c r="C8955" i="1"/>
  <c r="D8955" i="1"/>
  <c r="E8955" i="1"/>
  <c r="A8956" i="1"/>
  <c r="B8956" i="1"/>
  <c r="C8956" i="1"/>
  <c r="D8956" i="1"/>
  <c r="E8956" i="1"/>
  <c r="A8957" i="1"/>
  <c r="B8957" i="1"/>
  <c r="C8957" i="1"/>
  <c r="D8957" i="1"/>
  <c r="E8957" i="1"/>
  <c r="A8958" i="1"/>
  <c r="B8958" i="1"/>
  <c r="C8958" i="1"/>
  <c r="D8958" i="1"/>
  <c r="E8958" i="1"/>
  <c r="A8959" i="1"/>
  <c r="B8959" i="1"/>
  <c r="C8959" i="1"/>
  <c r="D8959" i="1"/>
  <c r="E8959" i="1"/>
  <c r="A8960" i="1"/>
  <c r="B8960" i="1"/>
  <c r="C8960" i="1"/>
  <c r="D8960" i="1"/>
  <c r="E8960" i="1"/>
  <c r="A8961" i="1"/>
  <c r="B8961" i="1"/>
  <c r="C8961" i="1"/>
  <c r="D8961" i="1"/>
  <c r="E8961" i="1"/>
  <c r="A8962" i="1"/>
  <c r="B8962" i="1"/>
  <c r="C8962" i="1"/>
  <c r="D8962" i="1"/>
  <c r="E8962" i="1"/>
  <c r="A8963" i="1"/>
  <c r="B8963" i="1"/>
  <c r="C8963" i="1"/>
  <c r="D8963" i="1"/>
  <c r="E8963" i="1"/>
  <c r="A8964" i="1"/>
  <c r="B8964" i="1"/>
  <c r="C8964" i="1"/>
  <c r="D8964" i="1"/>
  <c r="E8964" i="1"/>
  <c r="A8965" i="1"/>
  <c r="B8965" i="1"/>
  <c r="C8965" i="1"/>
  <c r="D8965" i="1"/>
  <c r="E8965" i="1"/>
  <c r="A8966" i="1"/>
  <c r="B8966" i="1"/>
  <c r="C8966" i="1"/>
  <c r="D8966" i="1"/>
  <c r="E8966" i="1"/>
  <c r="A8967" i="1"/>
  <c r="B8967" i="1"/>
  <c r="C8967" i="1"/>
  <c r="D8967" i="1"/>
  <c r="E8967" i="1"/>
  <c r="A8968" i="1"/>
  <c r="B8968" i="1"/>
  <c r="C8968" i="1"/>
  <c r="D8968" i="1"/>
  <c r="E8968" i="1"/>
  <c r="A8969" i="1"/>
  <c r="B8969" i="1"/>
  <c r="C8969" i="1"/>
  <c r="D8969" i="1"/>
  <c r="E8969" i="1"/>
  <c r="A8970" i="1"/>
  <c r="B8970" i="1"/>
  <c r="C8970" i="1"/>
  <c r="D8970" i="1"/>
  <c r="E8970" i="1"/>
  <c r="A8971" i="1"/>
  <c r="B8971" i="1"/>
  <c r="C8971" i="1"/>
  <c r="D8971" i="1"/>
  <c r="E8971" i="1"/>
  <c r="A8972" i="1"/>
  <c r="B8972" i="1"/>
  <c r="C8972" i="1"/>
  <c r="D8972" i="1"/>
  <c r="E8972" i="1"/>
  <c r="A8973" i="1"/>
  <c r="B8973" i="1"/>
  <c r="C8973" i="1"/>
  <c r="D8973" i="1"/>
  <c r="E8973" i="1"/>
  <c r="A8974" i="1"/>
  <c r="B8974" i="1"/>
  <c r="C8974" i="1"/>
  <c r="D8974" i="1"/>
  <c r="E8974" i="1"/>
  <c r="A8975" i="1"/>
  <c r="B8975" i="1"/>
  <c r="C8975" i="1"/>
  <c r="D8975" i="1"/>
  <c r="E8975" i="1"/>
  <c r="A8976" i="1"/>
  <c r="B8976" i="1"/>
  <c r="C8976" i="1"/>
  <c r="D8976" i="1"/>
  <c r="E8976" i="1"/>
  <c r="A8977" i="1"/>
  <c r="B8977" i="1"/>
  <c r="C8977" i="1"/>
  <c r="D8977" i="1"/>
  <c r="E8977" i="1"/>
  <c r="A8978" i="1"/>
  <c r="B8978" i="1"/>
  <c r="C8978" i="1"/>
  <c r="D8978" i="1"/>
  <c r="E8978" i="1"/>
  <c r="A8979" i="1"/>
  <c r="B8979" i="1"/>
  <c r="C8979" i="1"/>
  <c r="D8979" i="1"/>
  <c r="E8979" i="1"/>
  <c r="A8980" i="1"/>
  <c r="B8980" i="1"/>
  <c r="C8980" i="1"/>
  <c r="D8980" i="1"/>
  <c r="E8980" i="1"/>
  <c r="A8981" i="1"/>
  <c r="B8981" i="1"/>
  <c r="C8981" i="1"/>
  <c r="D8981" i="1"/>
  <c r="E8981" i="1"/>
  <c r="A8982" i="1"/>
  <c r="B8982" i="1"/>
  <c r="C8982" i="1"/>
  <c r="D8982" i="1"/>
  <c r="E8982" i="1"/>
  <c r="A8983" i="1"/>
  <c r="B8983" i="1"/>
  <c r="C8983" i="1"/>
  <c r="D8983" i="1"/>
  <c r="E8983" i="1"/>
  <c r="A8984" i="1"/>
  <c r="B8984" i="1"/>
  <c r="C8984" i="1"/>
  <c r="D8984" i="1"/>
  <c r="E8984" i="1"/>
  <c r="A8985" i="1"/>
  <c r="B8985" i="1"/>
  <c r="C8985" i="1"/>
  <c r="D8985" i="1"/>
  <c r="E8985" i="1"/>
  <c r="A8986" i="1"/>
  <c r="B8986" i="1"/>
  <c r="C8986" i="1"/>
  <c r="D8986" i="1"/>
  <c r="E8986" i="1"/>
  <c r="A8987" i="1"/>
  <c r="B8987" i="1"/>
  <c r="C8987" i="1"/>
  <c r="D8987" i="1"/>
  <c r="E8987" i="1"/>
  <c r="A8988" i="1"/>
  <c r="B8988" i="1"/>
  <c r="C8988" i="1"/>
  <c r="D8988" i="1"/>
  <c r="E8988" i="1"/>
  <c r="A8989" i="1"/>
  <c r="B8989" i="1"/>
  <c r="C8989" i="1"/>
  <c r="D8989" i="1"/>
  <c r="E8989" i="1"/>
  <c r="A8990" i="1"/>
  <c r="B8990" i="1"/>
  <c r="C8990" i="1"/>
  <c r="D8990" i="1"/>
  <c r="E8990" i="1"/>
  <c r="A8991" i="1"/>
  <c r="B8991" i="1"/>
  <c r="C8991" i="1"/>
  <c r="D8991" i="1"/>
  <c r="E8991" i="1"/>
  <c r="A8992" i="1"/>
  <c r="B8992" i="1"/>
  <c r="C8992" i="1"/>
  <c r="D8992" i="1"/>
  <c r="E8992" i="1"/>
  <c r="A8993" i="1"/>
  <c r="B8993" i="1"/>
  <c r="C8993" i="1"/>
  <c r="D8993" i="1"/>
  <c r="E8993" i="1"/>
  <c r="A8994" i="1"/>
  <c r="B8994" i="1"/>
  <c r="C8994" i="1"/>
  <c r="D8994" i="1"/>
  <c r="E8994" i="1"/>
  <c r="A8995" i="1"/>
  <c r="B8995" i="1"/>
  <c r="C8995" i="1"/>
  <c r="D8995" i="1"/>
  <c r="E8995" i="1"/>
  <c r="A8996" i="1"/>
  <c r="B8996" i="1"/>
  <c r="C8996" i="1"/>
  <c r="D8996" i="1"/>
  <c r="E8996" i="1"/>
  <c r="A8997" i="1"/>
  <c r="B8997" i="1"/>
  <c r="C8997" i="1"/>
  <c r="D8997" i="1"/>
  <c r="E8997" i="1"/>
  <c r="A8998" i="1"/>
  <c r="B8998" i="1"/>
  <c r="C8998" i="1"/>
  <c r="D8998" i="1"/>
  <c r="E8998" i="1"/>
  <c r="A8999" i="1"/>
  <c r="B8999" i="1"/>
  <c r="C8999" i="1"/>
  <c r="D8999" i="1"/>
  <c r="E8999" i="1"/>
  <c r="A9000" i="1"/>
  <c r="B9000" i="1"/>
  <c r="C9000" i="1"/>
  <c r="D9000" i="1"/>
  <c r="E9000" i="1"/>
  <c r="A9001" i="1"/>
  <c r="B9001" i="1"/>
  <c r="C9001" i="1"/>
  <c r="D9001" i="1"/>
  <c r="E9001" i="1"/>
  <c r="A9002" i="1"/>
  <c r="B9002" i="1"/>
  <c r="C9002" i="1"/>
  <c r="D9002" i="1"/>
  <c r="E9002" i="1"/>
  <c r="A9003" i="1"/>
  <c r="B9003" i="1"/>
  <c r="C9003" i="1"/>
  <c r="D9003" i="1"/>
  <c r="E9003" i="1"/>
  <c r="A9004" i="1"/>
  <c r="B9004" i="1"/>
  <c r="C9004" i="1"/>
  <c r="D9004" i="1"/>
  <c r="E9004" i="1"/>
  <c r="A9005" i="1"/>
  <c r="B9005" i="1"/>
  <c r="C9005" i="1"/>
  <c r="D9005" i="1"/>
  <c r="E9005" i="1"/>
  <c r="A9006" i="1"/>
  <c r="B9006" i="1"/>
  <c r="C9006" i="1"/>
  <c r="D9006" i="1"/>
  <c r="E9006" i="1"/>
  <c r="A9007" i="1"/>
  <c r="B9007" i="1"/>
  <c r="C9007" i="1"/>
  <c r="D9007" i="1"/>
  <c r="E9007" i="1"/>
  <c r="A9008" i="1"/>
  <c r="B9008" i="1"/>
  <c r="C9008" i="1"/>
  <c r="D9008" i="1"/>
  <c r="E9008" i="1"/>
  <c r="A9009" i="1"/>
  <c r="B9009" i="1"/>
  <c r="C9009" i="1"/>
  <c r="D9009" i="1"/>
  <c r="E9009" i="1"/>
  <c r="A9010" i="1"/>
  <c r="B9010" i="1"/>
  <c r="C9010" i="1"/>
  <c r="D9010" i="1"/>
  <c r="E9010" i="1"/>
  <c r="A9011" i="1"/>
  <c r="B9011" i="1"/>
  <c r="C9011" i="1"/>
  <c r="D9011" i="1"/>
  <c r="E9011" i="1"/>
  <c r="A9012" i="1"/>
  <c r="B9012" i="1"/>
  <c r="C9012" i="1"/>
  <c r="D9012" i="1"/>
  <c r="E9012" i="1"/>
  <c r="A9013" i="1"/>
  <c r="B9013" i="1"/>
  <c r="C9013" i="1"/>
  <c r="D9013" i="1"/>
  <c r="E9013" i="1"/>
  <c r="A9014" i="1"/>
  <c r="B9014" i="1"/>
  <c r="C9014" i="1"/>
  <c r="D9014" i="1"/>
  <c r="E9014" i="1"/>
  <c r="A9015" i="1"/>
  <c r="B9015" i="1"/>
  <c r="C9015" i="1"/>
  <c r="D9015" i="1"/>
  <c r="E9015" i="1"/>
  <c r="A9016" i="1"/>
  <c r="B9016" i="1"/>
  <c r="C9016" i="1"/>
  <c r="D9016" i="1"/>
  <c r="E9016" i="1"/>
  <c r="A9017" i="1"/>
  <c r="B9017" i="1"/>
  <c r="C9017" i="1"/>
  <c r="D9017" i="1"/>
  <c r="E9017" i="1"/>
  <c r="A9018" i="1"/>
  <c r="B9018" i="1"/>
  <c r="C9018" i="1"/>
  <c r="D9018" i="1"/>
  <c r="E9018" i="1"/>
  <c r="A9019" i="1"/>
  <c r="B9019" i="1"/>
  <c r="C9019" i="1"/>
  <c r="D9019" i="1"/>
  <c r="E9019" i="1"/>
  <c r="A9020" i="1"/>
  <c r="B9020" i="1"/>
  <c r="C9020" i="1"/>
  <c r="D9020" i="1"/>
  <c r="E9020" i="1"/>
  <c r="A9021" i="1"/>
  <c r="B9021" i="1"/>
  <c r="C9021" i="1"/>
  <c r="D9021" i="1"/>
  <c r="E9021" i="1"/>
  <c r="A9022" i="1"/>
  <c r="B9022" i="1"/>
  <c r="C9022" i="1"/>
  <c r="D9022" i="1"/>
  <c r="E9022" i="1"/>
  <c r="A9023" i="1"/>
  <c r="B9023" i="1"/>
  <c r="C9023" i="1"/>
  <c r="D9023" i="1"/>
  <c r="E9023" i="1"/>
  <c r="A9024" i="1"/>
  <c r="B9024" i="1"/>
  <c r="C9024" i="1"/>
  <c r="D9024" i="1"/>
  <c r="E9024" i="1"/>
  <c r="A9025" i="1"/>
  <c r="B9025" i="1"/>
  <c r="C9025" i="1"/>
  <c r="D9025" i="1"/>
  <c r="E9025" i="1"/>
  <c r="A9026" i="1"/>
  <c r="B9026" i="1"/>
  <c r="C9026" i="1"/>
  <c r="D9026" i="1"/>
  <c r="E9026" i="1"/>
  <c r="A9027" i="1"/>
  <c r="B9027" i="1"/>
  <c r="C9027" i="1"/>
  <c r="D9027" i="1"/>
  <c r="E9027" i="1"/>
  <c r="A9028" i="1"/>
  <c r="B9028" i="1"/>
  <c r="C9028" i="1"/>
  <c r="D9028" i="1"/>
  <c r="E9028" i="1"/>
  <c r="A9029" i="1"/>
  <c r="B9029" i="1"/>
  <c r="C9029" i="1"/>
  <c r="D9029" i="1"/>
  <c r="E9029" i="1"/>
  <c r="A9030" i="1"/>
  <c r="B9030" i="1"/>
  <c r="C9030" i="1"/>
  <c r="D9030" i="1"/>
  <c r="E9030" i="1"/>
  <c r="A9031" i="1"/>
  <c r="B9031" i="1"/>
  <c r="C9031" i="1"/>
  <c r="D9031" i="1"/>
  <c r="E9031" i="1"/>
  <c r="A9032" i="1"/>
  <c r="B9032" i="1"/>
  <c r="C9032" i="1"/>
  <c r="D9032" i="1"/>
  <c r="E9032" i="1"/>
  <c r="A9033" i="1"/>
  <c r="B9033" i="1"/>
  <c r="C9033" i="1"/>
  <c r="D9033" i="1"/>
  <c r="E9033" i="1"/>
  <c r="A9034" i="1"/>
  <c r="B9034" i="1"/>
  <c r="C9034" i="1"/>
  <c r="D9034" i="1"/>
  <c r="E9034" i="1"/>
  <c r="A9035" i="1"/>
  <c r="B9035" i="1"/>
  <c r="C9035" i="1"/>
  <c r="D9035" i="1"/>
  <c r="E9035" i="1"/>
  <c r="A9036" i="1"/>
  <c r="B9036" i="1"/>
  <c r="C9036" i="1"/>
  <c r="D9036" i="1"/>
  <c r="E9036" i="1"/>
  <c r="A9037" i="1"/>
  <c r="B9037" i="1"/>
  <c r="C9037" i="1"/>
  <c r="D9037" i="1"/>
  <c r="E9037" i="1"/>
  <c r="A9038" i="1"/>
  <c r="B9038" i="1"/>
  <c r="C9038" i="1"/>
  <c r="D9038" i="1"/>
  <c r="E9038" i="1"/>
  <c r="A9039" i="1"/>
  <c r="B9039" i="1"/>
  <c r="C9039" i="1"/>
  <c r="D9039" i="1"/>
  <c r="E9039" i="1"/>
  <c r="A9040" i="1"/>
  <c r="B9040" i="1"/>
  <c r="C9040" i="1"/>
  <c r="D9040" i="1"/>
  <c r="E9040" i="1"/>
  <c r="A9041" i="1"/>
  <c r="B9041" i="1"/>
  <c r="C9041" i="1"/>
  <c r="D9041" i="1"/>
  <c r="E9041" i="1"/>
  <c r="A9042" i="1"/>
  <c r="B9042" i="1"/>
  <c r="C9042" i="1"/>
  <c r="D9042" i="1"/>
  <c r="E9042" i="1"/>
  <c r="A9043" i="1"/>
  <c r="B9043" i="1"/>
  <c r="C9043" i="1"/>
  <c r="D9043" i="1"/>
  <c r="E9043" i="1"/>
  <c r="A9044" i="1"/>
  <c r="B9044" i="1"/>
  <c r="C9044" i="1"/>
  <c r="D9044" i="1"/>
  <c r="E9044" i="1"/>
  <c r="A9045" i="1"/>
  <c r="B9045" i="1"/>
  <c r="C9045" i="1"/>
  <c r="D9045" i="1"/>
  <c r="E9045" i="1"/>
  <c r="A9046" i="1"/>
  <c r="B9046" i="1"/>
  <c r="C9046" i="1"/>
  <c r="D9046" i="1"/>
  <c r="E9046" i="1"/>
  <c r="A9047" i="1"/>
  <c r="B9047" i="1"/>
  <c r="C9047" i="1"/>
  <c r="D9047" i="1"/>
  <c r="E9047" i="1"/>
  <c r="A9048" i="1"/>
  <c r="B9048" i="1"/>
  <c r="C9048" i="1"/>
  <c r="D9048" i="1"/>
  <c r="E9048" i="1"/>
  <c r="A9049" i="1"/>
  <c r="B9049" i="1"/>
  <c r="C9049" i="1"/>
  <c r="D9049" i="1"/>
  <c r="E9049" i="1"/>
  <c r="A9050" i="1"/>
  <c r="B9050" i="1"/>
  <c r="C9050" i="1"/>
  <c r="D9050" i="1"/>
  <c r="E9050" i="1"/>
  <c r="A9051" i="1"/>
  <c r="B9051" i="1"/>
  <c r="C9051" i="1"/>
  <c r="D9051" i="1"/>
  <c r="E9051" i="1"/>
  <c r="A9052" i="1"/>
  <c r="B9052" i="1"/>
  <c r="C9052" i="1"/>
  <c r="D9052" i="1"/>
  <c r="E9052" i="1"/>
  <c r="A9053" i="1"/>
  <c r="B9053" i="1"/>
  <c r="C9053" i="1"/>
  <c r="D9053" i="1"/>
  <c r="E9053" i="1"/>
  <c r="A9054" i="1"/>
  <c r="B9054" i="1"/>
  <c r="C9054" i="1"/>
  <c r="D9054" i="1"/>
  <c r="E9054" i="1"/>
  <c r="A9055" i="1"/>
  <c r="B9055" i="1"/>
  <c r="C9055" i="1"/>
  <c r="D9055" i="1"/>
  <c r="E9055" i="1"/>
  <c r="A9056" i="1"/>
  <c r="B9056" i="1"/>
  <c r="C9056" i="1"/>
  <c r="D9056" i="1"/>
  <c r="E9056" i="1"/>
  <c r="A9057" i="1"/>
  <c r="B9057" i="1"/>
  <c r="C9057" i="1"/>
  <c r="D9057" i="1"/>
  <c r="E9057" i="1"/>
  <c r="A9058" i="1"/>
  <c r="B9058" i="1"/>
  <c r="C9058" i="1"/>
  <c r="D9058" i="1"/>
  <c r="E9058" i="1"/>
  <c r="A9059" i="1"/>
  <c r="B9059" i="1"/>
  <c r="C9059" i="1"/>
  <c r="D9059" i="1"/>
  <c r="E9059" i="1"/>
  <c r="A9060" i="1"/>
  <c r="B9060" i="1"/>
  <c r="C9060" i="1"/>
  <c r="D9060" i="1"/>
  <c r="E9060" i="1"/>
  <c r="A9061" i="1"/>
  <c r="B9061" i="1"/>
  <c r="C9061" i="1"/>
  <c r="D9061" i="1"/>
  <c r="E9061" i="1"/>
  <c r="A9062" i="1"/>
  <c r="B9062" i="1"/>
  <c r="C9062" i="1"/>
  <c r="D9062" i="1"/>
  <c r="E9062" i="1"/>
  <c r="A9063" i="1"/>
  <c r="B9063" i="1"/>
  <c r="C9063" i="1"/>
  <c r="D9063" i="1"/>
  <c r="E9063" i="1"/>
  <c r="A9064" i="1"/>
  <c r="B9064" i="1"/>
  <c r="C9064" i="1"/>
  <c r="D9064" i="1"/>
  <c r="E9064" i="1"/>
  <c r="A9065" i="1"/>
  <c r="B9065" i="1"/>
  <c r="C9065" i="1"/>
  <c r="D9065" i="1"/>
  <c r="E9065" i="1"/>
  <c r="A9066" i="1"/>
  <c r="B9066" i="1"/>
  <c r="C9066" i="1"/>
  <c r="D9066" i="1"/>
  <c r="E9066" i="1"/>
  <c r="A9067" i="1"/>
  <c r="B9067" i="1"/>
  <c r="C9067" i="1"/>
  <c r="D9067" i="1"/>
  <c r="E9067" i="1"/>
  <c r="A9068" i="1"/>
  <c r="B9068" i="1"/>
  <c r="C9068" i="1"/>
  <c r="D9068" i="1"/>
  <c r="E9068" i="1"/>
  <c r="A9069" i="1"/>
  <c r="B9069" i="1"/>
  <c r="C9069" i="1"/>
  <c r="D9069" i="1"/>
  <c r="E9069" i="1"/>
  <c r="A9070" i="1"/>
  <c r="B9070" i="1"/>
  <c r="C9070" i="1"/>
  <c r="D9070" i="1"/>
  <c r="E9070" i="1"/>
  <c r="A9071" i="1"/>
  <c r="B9071" i="1"/>
  <c r="C9071" i="1"/>
  <c r="D9071" i="1"/>
  <c r="E9071" i="1"/>
  <c r="A9072" i="1"/>
  <c r="B9072" i="1"/>
  <c r="C9072" i="1"/>
  <c r="D9072" i="1"/>
  <c r="E9072" i="1"/>
  <c r="A9073" i="1"/>
  <c r="B9073" i="1"/>
  <c r="C9073" i="1"/>
  <c r="D9073" i="1"/>
  <c r="E9073" i="1"/>
  <c r="A9074" i="1"/>
  <c r="B9074" i="1"/>
  <c r="C9074" i="1"/>
  <c r="D9074" i="1"/>
  <c r="E9074" i="1"/>
  <c r="A9075" i="1"/>
  <c r="B9075" i="1"/>
  <c r="C9075" i="1"/>
  <c r="D9075" i="1"/>
  <c r="E9075" i="1"/>
  <c r="A9076" i="1"/>
  <c r="B9076" i="1"/>
  <c r="C9076" i="1"/>
  <c r="D9076" i="1"/>
  <c r="E9076" i="1"/>
  <c r="A9077" i="1"/>
  <c r="B9077" i="1"/>
  <c r="C9077" i="1"/>
  <c r="D9077" i="1"/>
  <c r="E9077" i="1"/>
  <c r="A9078" i="1"/>
  <c r="B9078" i="1"/>
  <c r="C9078" i="1"/>
  <c r="D9078" i="1"/>
  <c r="E9078" i="1"/>
  <c r="A9079" i="1"/>
  <c r="B9079" i="1"/>
  <c r="C9079" i="1"/>
  <c r="D9079" i="1"/>
  <c r="E9079" i="1"/>
  <c r="A9080" i="1"/>
  <c r="B9080" i="1"/>
  <c r="C9080" i="1"/>
  <c r="D9080" i="1"/>
  <c r="E9080" i="1"/>
  <c r="A9081" i="1"/>
  <c r="B9081" i="1"/>
  <c r="C9081" i="1"/>
  <c r="D9081" i="1"/>
  <c r="E9081" i="1"/>
  <c r="A9082" i="1"/>
  <c r="B9082" i="1"/>
  <c r="C9082" i="1"/>
  <c r="D9082" i="1"/>
  <c r="E9082" i="1"/>
  <c r="A9083" i="1"/>
  <c r="B9083" i="1"/>
  <c r="C9083" i="1"/>
  <c r="D9083" i="1"/>
  <c r="E9083" i="1"/>
  <c r="A9084" i="1"/>
  <c r="B9084" i="1"/>
  <c r="C9084" i="1"/>
  <c r="D9084" i="1"/>
  <c r="E9084" i="1"/>
  <c r="A9085" i="1"/>
  <c r="B9085" i="1"/>
  <c r="C9085" i="1"/>
  <c r="D9085" i="1"/>
  <c r="E9085" i="1"/>
  <c r="A9086" i="1"/>
  <c r="B9086" i="1"/>
  <c r="C9086" i="1"/>
  <c r="D9086" i="1"/>
  <c r="E9086" i="1"/>
  <c r="A9087" i="1"/>
  <c r="B9087" i="1"/>
  <c r="C9087" i="1"/>
  <c r="D9087" i="1"/>
  <c r="E9087" i="1"/>
  <c r="A9088" i="1"/>
  <c r="B9088" i="1"/>
  <c r="C9088" i="1"/>
  <c r="D9088" i="1"/>
  <c r="E9088" i="1"/>
  <c r="A9089" i="1"/>
  <c r="B9089" i="1"/>
  <c r="C9089" i="1"/>
  <c r="D9089" i="1"/>
  <c r="E9089" i="1"/>
  <c r="A9090" i="1"/>
  <c r="B9090" i="1"/>
  <c r="C9090" i="1"/>
  <c r="D9090" i="1"/>
  <c r="E9090" i="1"/>
  <c r="A9091" i="1"/>
  <c r="B9091" i="1"/>
  <c r="C9091" i="1"/>
  <c r="D9091" i="1"/>
  <c r="E9091" i="1"/>
  <c r="A9092" i="1"/>
  <c r="B9092" i="1"/>
  <c r="C9092" i="1"/>
  <c r="D9092" i="1"/>
  <c r="E9092" i="1"/>
  <c r="A9093" i="1"/>
  <c r="B9093" i="1"/>
  <c r="C9093" i="1"/>
  <c r="D9093" i="1"/>
  <c r="E9093" i="1"/>
  <c r="A9094" i="1"/>
  <c r="B9094" i="1"/>
  <c r="C9094" i="1"/>
  <c r="D9094" i="1"/>
  <c r="E9094" i="1"/>
  <c r="A9095" i="1"/>
  <c r="B9095" i="1"/>
  <c r="C9095" i="1"/>
  <c r="D9095" i="1"/>
  <c r="E9095" i="1"/>
  <c r="A9096" i="1"/>
  <c r="B9096" i="1"/>
  <c r="C9096" i="1"/>
  <c r="D9096" i="1"/>
  <c r="E9096" i="1"/>
  <c r="A9097" i="1"/>
  <c r="B9097" i="1"/>
  <c r="C9097" i="1"/>
  <c r="D9097" i="1"/>
  <c r="E9097" i="1"/>
  <c r="A9098" i="1"/>
  <c r="B9098" i="1"/>
  <c r="C9098" i="1"/>
  <c r="D9098" i="1"/>
  <c r="E9098" i="1"/>
  <c r="A9099" i="1"/>
  <c r="B9099" i="1"/>
  <c r="C9099" i="1"/>
  <c r="D9099" i="1"/>
  <c r="E9099" i="1"/>
  <c r="A9100" i="1"/>
  <c r="B9100" i="1"/>
  <c r="C9100" i="1"/>
  <c r="D9100" i="1"/>
  <c r="E9100" i="1"/>
  <c r="A9101" i="1"/>
  <c r="B9101" i="1"/>
  <c r="C9101" i="1"/>
  <c r="D9101" i="1"/>
  <c r="E9101" i="1"/>
  <c r="A9102" i="1"/>
  <c r="B9102" i="1"/>
  <c r="C9102" i="1"/>
  <c r="D9102" i="1"/>
  <c r="E9102" i="1"/>
  <c r="A9103" i="1"/>
  <c r="B9103" i="1"/>
  <c r="C9103" i="1"/>
  <c r="D9103" i="1"/>
  <c r="E9103" i="1"/>
  <c r="A9104" i="1"/>
  <c r="B9104" i="1"/>
  <c r="C9104" i="1"/>
  <c r="D9104" i="1"/>
  <c r="E9104" i="1"/>
  <c r="A9105" i="1"/>
  <c r="B9105" i="1"/>
  <c r="C9105" i="1"/>
  <c r="D9105" i="1"/>
  <c r="E9105" i="1"/>
  <c r="A9106" i="1"/>
  <c r="B9106" i="1"/>
  <c r="C9106" i="1"/>
  <c r="D9106" i="1"/>
  <c r="E9106" i="1"/>
  <c r="A9107" i="1"/>
  <c r="B9107" i="1"/>
  <c r="C9107" i="1"/>
  <c r="D9107" i="1"/>
  <c r="E9107" i="1"/>
  <c r="A9108" i="1"/>
  <c r="B9108" i="1"/>
  <c r="C9108" i="1"/>
  <c r="D9108" i="1"/>
  <c r="E9108" i="1"/>
  <c r="A9109" i="1"/>
  <c r="B9109" i="1"/>
  <c r="C9109" i="1"/>
  <c r="D9109" i="1"/>
  <c r="E9109" i="1"/>
  <c r="A9110" i="1"/>
  <c r="B9110" i="1"/>
  <c r="C9110" i="1"/>
  <c r="D9110" i="1"/>
  <c r="E9110" i="1"/>
  <c r="A9111" i="1"/>
  <c r="B9111" i="1"/>
  <c r="C9111" i="1"/>
  <c r="D9111" i="1"/>
  <c r="E9111" i="1"/>
  <c r="A9112" i="1"/>
  <c r="B9112" i="1"/>
  <c r="C9112" i="1"/>
  <c r="D9112" i="1"/>
  <c r="E9112" i="1"/>
  <c r="A9113" i="1"/>
  <c r="B9113" i="1"/>
  <c r="C9113" i="1"/>
  <c r="D9113" i="1"/>
  <c r="E9113" i="1"/>
  <c r="A9114" i="1"/>
  <c r="B9114" i="1"/>
  <c r="C9114" i="1"/>
  <c r="D9114" i="1"/>
  <c r="E9114" i="1"/>
  <c r="A9115" i="1"/>
  <c r="B9115" i="1"/>
  <c r="C9115" i="1"/>
  <c r="D9115" i="1"/>
  <c r="E9115" i="1"/>
  <c r="A9116" i="1"/>
  <c r="B9116" i="1"/>
  <c r="C9116" i="1"/>
  <c r="D9116" i="1"/>
  <c r="E9116" i="1"/>
  <c r="A9117" i="1"/>
  <c r="B9117" i="1"/>
  <c r="C9117" i="1"/>
  <c r="D9117" i="1"/>
  <c r="E9117" i="1"/>
  <c r="A9118" i="1"/>
  <c r="B9118" i="1"/>
  <c r="C9118" i="1"/>
  <c r="D9118" i="1"/>
  <c r="E9118" i="1"/>
  <c r="A9119" i="1"/>
  <c r="B9119" i="1"/>
  <c r="C9119" i="1"/>
  <c r="D9119" i="1"/>
  <c r="E9119" i="1"/>
  <c r="A9120" i="1"/>
  <c r="B9120" i="1"/>
  <c r="C9120" i="1"/>
  <c r="D9120" i="1"/>
  <c r="E9120" i="1"/>
  <c r="A9121" i="1"/>
  <c r="B9121" i="1"/>
  <c r="C9121" i="1"/>
  <c r="D9121" i="1"/>
  <c r="E9121" i="1"/>
  <c r="A9122" i="1"/>
  <c r="B9122" i="1"/>
  <c r="C9122" i="1"/>
  <c r="D9122" i="1"/>
  <c r="E9122" i="1"/>
  <c r="A9123" i="1"/>
  <c r="B9123" i="1"/>
  <c r="C9123" i="1"/>
  <c r="D9123" i="1"/>
  <c r="E9123" i="1"/>
  <c r="A9124" i="1"/>
  <c r="B9124" i="1"/>
  <c r="C9124" i="1"/>
  <c r="D9124" i="1"/>
  <c r="E9124" i="1"/>
  <c r="A9125" i="1"/>
  <c r="B9125" i="1"/>
  <c r="C9125" i="1"/>
  <c r="D9125" i="1"/>
  <c r="E9125" i="1"/>
  <c r="A9126" i="1"/>
  <c r="B9126" i="1"/>
  <c r="C9126" i="1"/>
  <c r="D9126" i="1"/>
  <c r="E9126" i="1"/>
  <c r="A9127" i="1"/>
  <c r="B9127" i="1"/>
  <c r="C9127" i="1"/>
  <c r="D9127" i="1"/>
  <c r="E9127" i="1"/>
  <c r="A9128" i="1"/>
  <c r="B9128" i="1"/>
  <c r="C9128" i="1"/>
  <c r="D9128" i="1"/>
  <c r="E9128" i="1"/>
  <c r="A9129" i="1"/>
  <c r="B9129" i="1"/>
  <c r="C9129" i="1"/>
  <c r="D9129" i="1"/>
  <c r="E9129" i="1"/>
  <c r="A9130" i="1"/>
  <c r="B9130" i="1"/>
  <c r="C9130" i="1"/>
  <c r="D9130" i="1"/>
  <c r="E9130" i="1"/>
  <c r="A9131" i="1"/>
  <c r="B9131" i="1"/>
  <c r="C9131" i="1"/>
  <c r="D9131" i="1"/>
  <c r="E9131" i="1"/>
  <c r="A9132" i="1"/>
  <c r="B9132" i="1"/>
  <c r="C9132" i="1"/>
  <c r="D9132" i="1"/>
  <c r="E9132" i="1"/>
  <c r="A9133" i="1"/>
  <c r="B9133" i="1"/>
  <c r="C9133" i="1"/>
  <c r="D9133" i="1"/>
  <c r="E9133" i="1"/>
  <c r="A9134" i="1"/>
  <c r="B9134" i="1"/>
  <c r="C9134" i="1"/>
  <c r="D9134" i="1"/>
  <c r="E9134" i="1"/>
  <c r="A9135" i="1"/>
  <c r="B9135" i="1"/>
  <c r="C9135" i="1"/>
  <c r="D9135" i="1"/>
  <c r="E9135" i="1"/>
  <c r="A9136" i="1"/>
  <c r="B9136" i="1"/>
  <c r="C9136" i="1"/>
  <c r="D9136" i="1"/>
  <c r="E9136" i="1"/>
  <c r="A9137" i="1"/>
  <c r="B9137" i="1"/>
  <c r="C9137" i="1"/>
  <c r="D9137" i="1"/>
  <c r="E9137" i="1"/>
  <c r="A9138" i="1"/>
  <c r="B9138" i="1"/>
  <c r="C9138" i="1"/>
  <c r="D9138" i="1"/>
  <c r="E9138" i="1"/>
  <c r="A9139" i="1"/>
  <c r="B9139" i="1"/>
  <c r="C9139" i="1"/>
  <c r="D9139" i="1"/>
  <c r="E9139" i="1"/>
  <c r="A9140" i="1"/>
  <c r="B9140" i="1"/>
  <c r="C9140" i="1"/>
  <c r="D9140" i="1"/>
  <c r="E9140" i="1"/>
  <c r="A9141" i="1"/>
  <c r="B9141" i="1"/>
  <c r="C9141" i="1"/>
  <c r="D9141" i="1"/>
  <c r="E9141" i="1"/>
  <c r="A9142" i="1"/>
  <c r="B9142" i="1"/>
  <c r="C9142" i="1"/>
  <c r="D9142" i="1"/>
  <c r="E9142" i="1"/>
  <c r="A9143" i="1"/>
  <c r="B9143" i="1"/>
  <c r="C9143" i="1"/>
  <c r="D9143" i="1"/>
  <c r="E9143" i="1"/>
  <c r="A9144" i="1"/>
  <c r="B9144" i="1"/>
  <c r="C9144" i="1"/>
  <c r="D9144" i="1"/>
  <c r="E9144" i="1"/>
  <c r="A9145" i="1"/>
  <c r="B9145" i="1"/>
  <c r="C9145" i="1"/>
  <c r="D9145" i="1"/>
  <c r="E9145" i="1"/>
  <c r="A9146" i="1"/>
  <c r="B9146" i="1"/>
  <c r="C9146" i="1"/>
  <c r="D9146" i="1"/>
  <c r="E9146" i="1"/>
  <c r="A9147" i="1"/>
  <c r="B9147" i="1"/>
  <c r="C9147" i="1"/>
  <c r="D9147" i="1"/>
  <c r="E9147" i="1"/>
  <c r="A9148" i="1"/>
  <c r="B9148" i="1"/>
  <c r="C9148" i="1"/>
  <c r="D9148" i="1"/>
  <c r="E9148" i="1"/>
  <c r="A9149" i="1"/>
  <c r="B9149" i="1"/>
  <c r="C9149" i="1"/>
  <c r="D9149" i="1"/>
  <c r="E9149" i="1"/>
  <c r="A9150" i="1"/>
  <c r="B9150" i="1"/>
  <c r="C9150" i="1"/>
  <c r="D9150" i="1"/>
  <c r="E9150" i="1"/>
  <c r="A9151" i="1"/>
  <c r="B9151" i="1"/>
  <c r="C9151" i="1"/>
  <c r="D9151" i="1"/>
  <c r="E9151" i="1"/>
  <c r="A9152" i="1"/>
  <c r="B9152" i="1"/>
  <c r="C9152" i="1"/>
  <c r="D9152" i="1"/>
  <c r="E9152" i="1"/>
  <c r="A9153" i="1"/>
  <c r="B9153" i="1"/>
  <c r="C9153" i="1"/>
  <c r="D9153" i="1"/>
  <c r="E9153" i="1"/>
  <c r="A9154" i="1"/>
  <c r="B9154" i="1"/>
  <c r="C9154" i="1"/>
  <c r="D9154" i="1"/>
  <c r="E9154" i="1"/>
  <c r="A9155" i="1"/>
  <c r="B9155" i="1"/>
  <c r="C9155" i="1"/>
  <c r="D9155" i="1"/>
  <c r="E9155" i="1"/>
  <c r="A9156" i="1"/>
  <c r="B9156" i="1"/>
  <c r="C9156" i="1"/>
  <c r="D9156" i="1"/>
  <c r="E9156" i="1"/>
  <c r="A9157" i="1"/>
  <c r="B9157" i="1"/>
  <c r="C9157" i="1"/>
  <c r="D9157" i="1"/>
  <c r="E9157" i="1"/>
  <c r="A9158" i="1"/>
  <c r="B9158" i="1"/>
  <c r="C9158" i="1"/>
  <c r="D9158" i="1"/>
  <c r="E9158" i="1"/>
  <c r="A9159" i="1"/>
  <c r="B9159" i="1"/>
  <c r="C9159" i="1"/>
  <c r="D9159" i="1"/>
  <c r="E9159" i="1"/>
  <c r="A9160" i="1"/>
  <c r="B9160" i="1"/>
  <c r="C9160" i="1"/>
  <c r="D9160" i="1"/>
  <c r="E9160" i="1"/>
  <c r="A9161" i="1"/>
  <c r="B9161" i="1"/>
  <c r="C9161" i="1"/>
  <c r="D9161" i="1"/>
  <c r="E9161" i="1"/>
  <c r="A9162" i="1"/>
  <c r="B9162" i="1"/>
  <c r="C9162" i="1"/>
  <c r="D9162" i="1"/>
  <c r="E9162" i="1"/>
  <c r="A9163" i="1"/>
  <c r="B9163" i="1"/>
  <c r="C9163" i="1"/>
  <c r="D9163" i="1"/>
  <c r="E9163" i="1"/>
  <c r="A9164" i="1"/>
  <c r="B9164" i="1"/>
  <c r="C9164" i="1"/>
  <c r="D9164" i="1"/>
  <c r="E9164" i="1"/>
  <c r="A9165" i="1"/>
  <c r="B9165" i="1"/>
  <c r="C9165" i="1"/>
  <c r="D9165" i="1"/>
  <c r="E9165" i="1"/>
  <c r="A9166" i="1"/>
  <c r="B9166" i="1"/>
  <c r="C9166" i="1"/>
  <c r="D9166" i="1"/>
  <c r="E9166" i="1"/>
  <c r="A9167" i="1"/>
  <c r="B9167" i="1"/>
  <c r="C9167" i="1"/>
  <c r="D9167" i="1"/>
  <c r="E9167" i="1"/>
  <c r="A9168" i="1"/>
  <c r="B9168" i="1"/>
  <c r="C9168" i="1"/>
  <c r="D9168" i="1"/>
  <c r="E9168" i="1"/>
  <c r="A9169" i="1"/>
  <c r="B9169" i="1"/>
  <c r="C9169" i="1"/>
  <c r="D9169" i="1"/>
  <c r="E9169" i="1"/>
  <c r="A9170" i="1"/>
  <c r="B9170" i="1"/>
  <c r="C9170" i="1"/>
  <c r="D9170" i="1"/>
  <c r="E9170" i="1"/>
  <c r="A9171" i="1"/>
  <c r="B9171" i="1"/>
  <c r="C9171" i="1"/>
  <c r="D9171" i="1"/>
  <c r="E9171" i="1"/>
  <c r="A9172" i="1"/>
  <c r="B9172" i="1"/>
  <c r="C9172" i="1"/>
  <c r="D9172" i="1"/>
  <c r="E9172" i="1"/>
  <c r="A9173" i="1"/>
  <c r="B9173" i="1"/>
  <c r="C9173" i="1"/>
  <c r="D9173" i="1"/>
  <c r="E9173" i="1"/>
  <c r="A9174" i="1"/>
  <c r="B9174" i="1"/>
  <c r="C9174" i="1"/>
  <c r="D9174" i="1"/>
  <c r="E9174" i="1"/>
  <c r="A9175" i="1"/>
  <c r="B9175" i="1"/>
  <c r="C9175" i="1"/>
  <c r="D9175" i="1"/>
  <c r="E9175" i="1"/>
  <c r="A9176" i="1"/>
  <c r="B9176" i="1"/>
  <c r="C9176" i="1"/>
  <c r="D9176" i="1"/>
  <c r="E9176" i="1"/>
  <c r="A9177" i="1"/>
  <c r="B9177" i="1"/>
  <c r="C9177" i="1"/>
  <c r="D9177" i="1"/>
  <c r="E9177" i="1"/>
  <c r="A9178" i="1"/>
  <c r="B9178" i="1"/>
  <c r="C9178" i="1"/>
  <c r="D9178" i="1"/>
  <c r="E9178" i="1"/>
  <c r="A9179" i="1"/>
  <c r="B9179" i="1"/>
  <c r="C9179" i="1"/>
  <c r="D9179" i="1"/>
  <c r="E9179" i="1"/>
  <c r="A9180" i="1"/>
  <c r="B9180" i="1"/>
  <c r="C9180" i="1"/>
  <c r="D9180" i="1"/>
  <c r="E9180" i="1"/>
  <c r="A9181" i="1"/>
  <c r="B9181" i="1"/>
  <c r="C9181" i="1"/>
  <c r="D9181" i="1"/>
  <c r="E9181" i="1"/>
  <c r="A9182" i="1"/>
  <c r="B9182" i="1"/>
  <c r="C9182" i="1"/>
  <c r="D9182" i="1"/>
  <c r="E9182" i="1"/>
  <c r="A9183" i="1"/>
  <c r="B9183" i="1"/>
  <c r="C9183" i="1"/>
  <c r="D9183" i="1"/>
  <c r="E9183" i="1"/>
  <c r="A9184" i="1"/>
  <c r="B9184" i="1"/>
  <c r="C9184" i="1"/>
  <c r="D9184" i="1"/>
  <c r="E9184" i="1"/>
  <c r="A9185" i="1"/>
  <c r="B9185" i="1"/>
  <c r="C9185" i="1"/>
  <c r="D9185" i="1"/>
  <c r="E9185" i="1"/>
  <c r="A9186" i="1"/>
  <c r="B9186" i="1"/>
  <c r="C9186" i="1"/>
  <c r="D9186" i="1"/>
  <c r="E9186" i="1"/>
  <c r="A9187" i="1"/>
  <c r="B9187" i="1"/>
  <c r="C9187" i="1"/>
  <c r="D9187" i="1"/>
  <c r="E9187" i="1"/>
  <c r="A9188" i="1"/>
  <c r="B9188" i="1"/>
  <c r="C9188" i="1"/>
  <c r="D9188" i="1"/>
  <c r="E9188" i="1"/>
  <c r="A9189" i="1"/>
  <c r="B9189" i="1"/>
  <c r="C9189" i="1"/>
  <c r="D9189" i="1"/>
  <c r="E9189" i="1"/>
  <c r="A9190" i="1"/>
  <c r="B9190" i="1"/>
  <c r="C9190" i="1"/>
  <c r="D9190" i="1"/>
  <c r="E9190" i="1"/>
  <c r="A9191" i="1"/>
  <c r="B9191" i="1"/>
  <c r="C9191" i="1"/>
  <c r="D9191" i="1"/>
  <c r="E9191" i="1"/>
  <c r="A9192" i="1"/>
  <c r="B9192" i="1"/>
  <c r="C9192" i="1"/>
  <c r="D9192" i="1"/>
  <c r="E9192" i="1"/>
  <c r="A9193" i="1"/>
  <c r="B9193" i="1"/>
  <c r="C9193" i="1"/>
  <c r="D9193" i="1"/>
  <c r="E9193" i="1"/>
  <c r="A9194" i="1"/>
  <c r="B9194" i="1"/>
  <c r="C9194" i="1"/>
  <c r="D9194" i="1"/>
  <c r="E9194" i="1"/>
  <c r="A9195" i="1"/>
  <c r="B9195" i="1"/>
  <c r="C9195" i="1"/>
  <c r="D9195" i="1"/>
  <c r="E9195" i="1"/>
  <c r="A9196" i="1"/>
  <c r="B9196" i="1"/>
  <c r="C9196" i="1"/>
  <c r="D9196" i="1"/>
  <c r="E9196" i="1"/>
  <c r="A9197" i="1"/>
  <c r="B9197" i="1"/>
  <c r="C9197" i="1"/>
  <c r="D9197" i="1"/>
  <c r="E9197" i="1"/>
  <c r="A9198" i="1"/>
  <c r="B9198" i="1"/>
  <c r="C9198" i="1"/>
  <c r="D9198" i="1"/>
  <c r="E9198" i="1"/>
  <c r="A9199" i="1"/>
  <c r="B9199" i="1"/>
  <c r="C9199" i="1"/>
  <c r="D9199" i="1"/>
  <c r="E9199" i="1"/>
  <c r="A9200" i="1"/>
  <c r="B9200" i="1"/>
  <c r="C9200" i="1"/>
  <c r="D9200" i="1"/>
  <c r="E9200" i="1"/>
  <c r="A9201" i="1"/>
  <c r="B9201" i="1"/>
  <c r="C9201" i="1"/>
  <c r="D9201" i="1"/>
  <c r="E9201" i="1"/>
  <c r="A9202" i="1"/>
  <c r="B9202" i="1"/>
  <c r="C9202" i="1"/>
  <c r="D9202" i="1"/>
  <c r="E9202" i="1"/>
  <c r="A9203" i="1"/>
  <c r="B9203" i="1"/>
  <c r="C9203" i="1"/>
  <c r="D9203" i="1"/>
  <c r="E9203" i="1"/>
  <c r="A9204" i="1"/>
  <c r="B9204" i="1"/>
  <c r="C9204" i="1"/>
  <c r="D9204" i="1"/>
  <c r="E9204" i="1"/>
  <c r="A9205" i="1"/>
  <c r="B9205" i="1"/>
  <c r="C9205" i="1"/>
  <c r="D9205" i="1"/>
  <c r="E9205" i="1"/>
  <c r="A9206" i="1"/>
  <c r="B9206" i="1"/>
  <c r="C9206" i="1"/>
  <c r="D9206" i="1"/>
  <c r="E9206" i="1"/>
  <c r="A9207" i="1"/>
  <c r="B9207" i="1"/>
  <c r="C9207" i="1"/>
  <c r="D9207" i="1"/>
  <c r="E9207" i="1"/>
  <c r="A9208" i="1"/>
  <c r="B9208" i="1"/>
  <c r="C9208" i="1"/>
  <c r="D9208" i="1"/>
  <c r="E9208" i="1"/>
  <c r="A9209" i="1"/>
  <c r="B9209" i="1"/>
  <c r="C9209" i="1"/>
  <c r="D9209" i="1"/>
  <c r="E9209" i="1"/>
  <c r="A9210" i="1"/>
  <c r="B9210" i="1"/>
  <c r="C9210" i="1"/>
  <c r="D9210" i="1"/>
  <c r="E9210" i="1"/>
  <c r="A9211" i="1"/>
  <c r="B9211" i="1"/>
  <c r="C9211" i="1"/>
  <c r="D9211" i="1"/>
  <c r="E9211" i="1"/>
  <c r="A9212" i="1"/>
  <c r="B9212" i="1"/>
  <c r="C9212" i="1"/>
  <c r="D9212" i="1"/>
  <c r="E9212" i="1"/>
  <c r="A9213" i="1"/>
  <c r="B9213" i="1"/>
  <c r="C9213" i="1"/>
  <c r="D9213" i="1"/>
  <c r="E9213" i="1"/>
  <c r="A9214" i="1"/>
  <c r="B9214" i="1"/>
  <c r="C9214" i="1"/>
  <c r="D9214" i="1"/>
  <c r="E9214" i="1"/>
  <c r="A9215" i="1"/>
  <c r="B9215" i="1"/>
  <c r="C9215" i="1"/>
  <c r="D9215" i="1"/>
  <c r="E9215" i="1"/>
  <c r="A9216" i="1"/>
  <c r="B9216" i="1"/>
  <c r="C9216" i="1"/>
  <c r="D9216" i="1"/>
  <c r="E9216" i="1"/>
  <c r="A9217" i="1"/>
  <c r="B9217" i="1"/>
  <c r="C9217" i="1"/>
  <c r="D9217" i="1"/>
  <c r="E9217" i="1"/>
  <c r="A9218" i="1"/>
  <c r="B9218" i="1"/>
  <c r="C9218" i="1"/>
  <c r="D9218" i="1"/>
  <c r="E9218" i="1"/>
  <c r="A9219" i="1"/>
  <c r="B9219" i="1"/>
  <c r="C9219" i="1"/>
  <c r="D9219" i="1"/>
  <c r="E9219" i="1"/>
  <c r="A9220" i="1"/>
  <c r="B9220" i="1"/>
  <c r="C9220" i="1"/>
  <c r="D9220" i="1"/>
  <c r="E9220" i="1"/>
  <c r="A9221" i="1"/>
  <c r="B9221" i="1"/>
  <c r="C9221" i="1"/>
  <c r="D9221" i="1"/>
  <c r="E9221" i="1"/>
  <c r="A9222" i="1"/>
  <c r="B9222" i="1"/>
  <c r="C9222" i="1"/>
  <c r="D9222" i="1"/>
  <c r="E9222" i="1"/>
  <c r="A9223" i="1"/>
  <c r="B9223" i="1"/>
  <c r="C9223" i="1"/>
  <c r="D9223" i="1"/>
  <c r="E9223" i="1"/>
  <c r="A9224" i="1"/>
  <c r="B9224" i="1"/>
  <c r="C9224" i="1"/>
  <c r="D9224" i="1"/>
  <c r="E9224" i="1"/>
  <c r="A9225" i="1"/>
  <c r="B9225" i="1"/>
  <c r="C9225" i="1"/>
  <c r="D9225" i="1"/>
  <c r="E9225" i="1"/>
  <c r="A9226" i="1"/>
  <c r="B9226" i="1"/>
  <c r="C9226" i="1"/>
  <c r="D9226" i="1"/>
  <c r="E9226" i="1"/>
  <c r="A9227" i="1"/>
  <c r="B9227" i="1"/>
  <c r="C9227" i="1"/>
  <c r="D9227" i="1"/>
  <c r="E9227" i="1"/>
  <c r="A9228" i="1"/>
  <c r="B9228" i="1"/>
  <c r="C9228" i="1"/>
  <c r="D9228" i="1"/>
  <c r="E9228" i="1"/>
  <c r="A9229" i="1"/>
  <c r="B9229" i="1"/>
  <c r="C9229" i="1"/>
  <c r="D9229" i="1"/>
  <c r="E9229" i="1"/>
  <c r="A9230" i="1"/>
  <c r="B9230" i="1"/>
  <c r="C9230" i="1"/>
  <c r="D9230" i="1"/>
  <c r="E9230" i="1"/>
  <c r="A9231" i="1"/>
  <c r="B9231" i="1"/>
  <c r="C9231" i="1"/>
  <c r="D9231" i="1"/>
  <c r="E9231" i="1"/>
  <c r="A9232" i="1"/>
  <c r="B9232" i="1"/>
  <c r="C9232" i="1"/>
  <c r="D9232" i="1"/>
  <c r="E9232" i="1"/>
  <c r="A9233" i="1"/>
  <c r="B9233" i="1"/>
  <c r="C9233" i="1"/>
  <c r="D9233" i="1"/>
  <c r="E9233" i="1"/>
  <c r="A9234" i="1"/>
  <c r="B9234" i="1"/>
  <c r="C9234" i="1"/>
  <c r="D9234" i="1"/>
  <c r="E9234" i="1"/>
  <c r="A9235" i="1"/>
  <c r="B9235" i="1"/>
  <c r="C9235" i="1"/>
  <c r="D9235" i="1"/>
  <c r="E9235" i="1"/>
  <c r="A9236" i="1"/>
  <c r="B9236" i="1"/>
  <c r="C9236" i="1"/>
  <c r="D9236" i="1"/>
  <c r="E9236" i="1"/>
  <c r="A9237" i="1"/>
  <c r="B9237" i="1"/>
  <c r="C9237" i="1"/>
  <c r="D9237" i="1"/>
  <c r="E9237" i="1"/>
  <c r="A9238" i="1"/>
  <c r="B9238" i="1"/>
  <c r="C9238" i="1"/>
  <c r="D9238" i="1"/>
  <c r="E9238" i="1"/>
  <c r="A9239" i="1"/>
  <c r="B9239" i="1"/>
  <c r="C9239" i="1"/>
  <c r="D9239" i="1"/>
  <c r="E9239" i="1"/>
  <c r="A9240" i="1"/>
  <c r="B9240" i="1"/>
  <c r="C9240" i="1"/>
  <c r="D9240" i="1"/>
  <c r="E9240" i="1"/>
  <c r="A9241" i="1"/>
  <c r="B9241" i="1"/>
  <c r="C9241" i="1"/>
  <c r="D9241" i="1"/>
  <c r="E9241" i="1"/>
  <c r="A9242" i="1"/>
  <c r="B9242" i="1"/>
  <c r="C9242" i="1"/>
  <c r="D9242" i="1"/>
  <c r="E9242" i="1"/>
  <c r="A9243" i="1"/>
  <c r="B9243" i="1"/>
  <c r="C9243" i="1"/>
  <c r="D9243" i="1"/>
  <c r="E9243" i="1"/>
  <c r="A9244" i="1"/>
  <c r="B9244" i="1"/>
  <c r="C9244" i="1"/>
  <c r="D9244" i="1"/>
  <c r="E9244" i="1"/>
  <c r="A9245" i="1"/>
  <c r="B9245" i="1"/>
  <c r="C9245" i="1"/>
  <c r="D9245" i="1"/>
  <c r="E9245" i="1"/>
  <c r="A9246" i="1"/>
  <c r="B9246" i="1"/>
  <c r="C9246" i="1"/>
  <c r="D9246" i="1"/>
  <c r="E9246" i="1"/>
  <c r="A9247" i="1"/>
  <c r="B9247" i="1"/>
  <c r="C9247" i="1"/>
  <c r="D9247" i="1"/>
  <c r="E9247" i="1"/>
  <c r="A9248" i="1"/>
  <c r="B9248" i="1"/>
  <c r="C9248" i="1"/>
  <c r="D9248" i="1"/>
  <c r="E9248" i="1"/>
  <c r="A9249" i="1"/>
  <c r="B9249" i="1"/>
  <c r="C9249" i="1"/>
  <c r="D9249" i="1"/>
  <c r="E9249" i="1"/>
  <c r="A9250" i="1"/>
  <c r="B9250" i="1"/>
  <c r="C9250" i="1"/>
  <c r="D9250" i="1"/>
  <c r="E9250" i="1"/>
  <c r="A9251" i="1"/>
  <c r="B9251" i="1"/>
  <c r="C9251" i="1"/>
  <c r="D9251" i="1"/>
  <c r="E9251" i="1"/>
  <c r="A9252" i="1"/>
  <c r="B9252" i="1"/>
  <c r="C9252" i="1"/>
  <c r="D9252" i="1"/>
  <c r="E9252" i="1"/>
  <c r="A9253" i="1"/>
  <c r="B9253" i="1"/>
  <c r="C9253" i="1"/>
  <c r="D9253" i="1"/>
  <c r="E9253" i="1"/>
  <c r="A9254" i="1"/>
  <c r="B9254" i="1"/>
  <c r="C9254" i="1"/>
  <c r="D9254" i="1"/>
  <c r="E9254" i="1"/>
  <c r="A9255" i="1"/>
  <c r="B9255" i="1"/>
  <c r="C9255" i="1"/>
  <c r="D9255" i="1"/>
  <c r="E9255" i="1"/>
  <c r="A9256" i="1"/>
  <c r="B9256" i="1"/>
  <c r="C9256" i="1"/>
  <c r="D9256" i="1"/>
  <c r="E9256" i="1"/>
  <c r="A9257" i="1"/>
  <c r="B9257" i="1"/>
  <c r="C9257" i="1"/>
  <c r="D9257" i="1"/>
  <c r="E9257" i="1"/>
  <c r="A9258" i="1"/>
  <c r="B9258" i="1"/>
  <c r="C9258" i="1"/>
  <c r="D9258" i="1"/>
  <c r="E9258" i="1"/>
  <c r="A9259" i="1"/>
  <c r="B9259" i="1"/>
  <c r="C9259" i="1"/>
  <c r="D9259" i="1"/>
  <c r="E9259" i="1"/>
  <c r="A9260" i="1"/>
  <c r="B9260" i="1"/>
  <c r="C9260" i="1"/>
  <c r="D9260" i="1"/>
  <c r="E9260" i="1"/>
  <c r="A9261" i="1"/>
  <c r="B9261" i="1"/>
  <c r="C9261" i="1"/>
  <c r="D9261" i="1"/>
  <c r="E9261" i="1"/>
  <c r="A9262" i="1"/>
  <c r="B9262" i="1"/>
  <c r="C9262" i="1"/>
  <c r="D9262" i="1"/>
  <c r="E9262" i="1"/>
  <c r="A9263" i="1"/>
  <c r="B9263" i="1"/>
  <c r="C9263" i="1"/>
  <c r="D9263" i="1"/>
  <c r="E9263" i="1"/>
  <c r="A9264" i="1"/>
  <c r="B9264" i="1"/>
  <c r="C9264" i="1"/>
  <c r="D9264" i="1"/>
  <c r="E9264" i="1"/>
  <c r="A9265" i="1"/>
  <c r="B9265" i="1"/>
  <c r="C9265" i="1"/>
  <c r="D9265" i="1"/>
  <c r="E9265" i="1"/>
  <c r="A9266" i="1"/>
  <c r="B9266" i="1"/>
  <c r="C9266" i="1"/>
  <c r="D9266" i="1"/>
  <c r="E9266" i="1"/>
  <c r="A9267" i="1"/>
  <c r="B9267" i="1"/>
  <c r="C9267" i="1"/>
  <c r="D9267" i="1"/>
  <c r="E9267" i="1"/>
  <c r="A9268" i="1"/>
  <c r="B9268" i="1"/>
  <c r="C9268" i="1"/>
  <c r="D9268" i="1"/>
  <c r="E9268" i="1"/>
  <c r="A9269" i="1"/>
  <c r="B9269" i="1"/>
  <c r="C9269" i="1"/>
  <c r="D9269" i="1"/>
  <c r="E9269" i="1"/>
  <c r="A9270" i="1"/>
  <c r="B9270" i="1"/>
  <c r="C9270" i="1"/>
  <c r="D9270" i="1"/>
  <c r="E9270" i="1"/>
  <c r="A9271" i="1"/>
  <c r="B9271" i="1"/>
  <c r="C9271" i="1"/>
  <c r="D9271" i="1"/>
  <c r="E9271" i="1"/>
  <c r="A9272" i="1"/>
  <c r="B9272" i="1"/>
  <c r="C9272" i="1"/>
  <c r="D9272" i="1"/>
  <c r="E9272" i="1"/>
  <c r="A9273" i="1"/>
  <c r="B9273" i="1"/>
  <c r="C9273" i="1"/>
  <c r="D9273" i="1"/>
  <c r="E9273" i="1"/>
  <c r="A9274" i="1"/>
  <c r="B9274" i="1"/>
  <c r="C9274" i="1"/>
  <c r="D9274" i="1"/>
  <c r="E9274" i="1"/>
  <c r="A9275" i="1"/>
  <c r="B9275" i="1"/>
  <c r="C9275" i="1"/>
  <c r="D9275" i="1"/>
  <c r="E9275" i="1"/>
  <c r="A9276" i="1"/>
  <c r="B9276" i="1"/>
  <c r="C9276" i="1"/>
  <c r="D9276" i="1"/>
  <c r="E9276" i="1"/>
  <c r="A9277" i="1"/>
  <c r="B9277" i="1"/>
  <c r="C9277" i="1"/>
  <c r="D9277" i="1"/>
  <c r="E9277" i="1"/>
  <c r="A9278" i="1"/>
  <c r="B9278" i="1"/>
  <c r="C9278" i="1"/>
  <c r="D9278" i="1"/>
  <c r="E9278" i="1"/>
  <c r="A9279" i="1"/>
  <c r="B9279" i="1"/>
  <c r="C9279" i="1"/>
  <c r="D9279" i="1"/>
  <c r="E9279" i="1"/>
  <c r="A9280" i="1"/>
  <c r="B9280" i="1"/>
  <c r="C9280" i="1"/>
  <c r="D9280" i="1"/>
  <c r="E9280" i="1"/>
  <c r="A9281" i="1"/>
  <c r="B9281" i="1"/>
  <c r="C9281" i="1"/>
  <c r="D9281" i="1"/>
  <c r="E9281" i="1"/>
  <c r="A9282" i="1"/>
  <c r="B9282" i="1"/>
  <c r="C9282" i="1"/>
  <c r="D9282" i="1"/>
  <c r="E9282" i="1"/>
  <c r="A9283" i="1"/>
  <c r="B9283" i="1"/>
  <c r="C9283" i="1"/>
  <c r="D9283" i="1"/>
  <c r="E9283" i="1"/>
  <c r="A9284" i="1"/>
  <c r="B9284" i="1"/>
  <c r="C9284" i="1"/>
  <c r="D9284" i="1"/>
  <c r="E9284" i="1"/>
  <c r="A9285" i="1"/>
  <c r="B9285" i="1"/>
  <c r="C9285" i="1"/>
  <c r="D9285" i="1"/>
  <c r="E9285" i="1"/>
  <c r="A9286" i="1"/>
  <c r="B9286" i="1"/>
  <c r="C9286" i="1"/>
  <c r="D9286" i="1"/>
  <c r="E9286" i="1"/>
  <c r="A9287" i="1"/>
  <c r="B9287" i="1"/>
  <c r="C9287" i="1"/>
  <c r="D9287" i="1"/>
  <c r="E9287" i="1"/>
  <c r="A9288" i="1"/>
  <c r="B9288" i="1"/>
  <c r="C9288" i="1"/>
  <c r="D9288" i="1"/>
  <c r="E9288" i="1"/>
  <c r="A9289" i="1"/>
  <c r="B9289" i="1"/>
  <c r="C9289" i="1"/>
  <c r="D9289" i="1"/>
  <c r="E9289" i="1"/>
  <c r="A9290" i="1"/>
  <c r="B9290" i="1"/>
  <c r="C9290" i="1"/>
  <c r="D9290" i="1"/>
  <c r="E9290" i="1"/>
  <c r="A9291" i="1"/>
  <c r="B9291" i="1"/>
  <c r="C9291" i="1"/>
  <c r="D9291" i="1"/>
  <c r="E9291" i="1"/>
  <c r="A9292" i="1"/>
  <c r="B9292" i="1"/>
  <c r="C9292" i="1"/>
  <c r="D9292" i="1"/>
  <c r="E9292" i="1"/>
  <c r="A9293" i="1"/>
  <c r="B9293" i="1"/>
  <c r="C9293" i="1"/>
  <c r="D9293" i="1"/>
  <c r="E9293" i="1"/>
  <c r="A9294" i="1"/>
  <c r="B9294" i="1"/>
  <c r="C9294" i="1"/>
  <c r="D9294" i="1"/>
  <c r="E9294" i="1"/>
  <c r="A9295" i="1"/>
  <c r="B9295" i="1"/>
  <c r="C9295" i="1"/>
  <c r="D9295" i="1"/>
  <c r="E9295" i="1"/>
  <c r="A9296" i="1"/>
  <c r="B9296" i="1"/>
  <c r="C9296" i="1"/>
  <c r="D9296" i="1"/>
  <c r="E9296" i="1"/>
  <c r="A9297" i="1"/>
  <c r="B9297" i="1"/>
  <c r="C9297" i="1"/>
  <c r="D9297" i="1"/>
  <c r="E9297" i="1"/>
  <c r="A9298" i="1"/>
  <c r="B9298" i="1"/>
  <c r="C9298" i="1"/>
  <c r="D9298" i="1"/>
  <c r="E9298" i="1"/>
  <c r="A9299" i="1"/>
  <c r="B9299" i="1"/>
  <c r="C9299" i="1"/>
  <c r="D9299" i="1"/>
  <c r="E9299" i="1"/>
  <c r="A9300" i="1"/>
  <c r="B9300" i="1"/>
  <c r="C9300" i="1"/>
  <c r="D9300" i="1"/>
  <c r="E9300" i="1"/>
  <c r="A9301" i="1"/>
  <c r="B9301" i="1"/>
  <c r="C9301" i="1"/>
  <c r="D9301" i="1"/>
  <c r="E9301" i="1"/>
  <c r="A9302" i="1"/>
  <c r="B9302" i="1"/>
  <c r="C9302" i="1"/>
  <c r="D9302" i="1"/>
  <c r="E9302" i="1"/>
  <c r="A9303" i="1"/>
  <c r="B9303" i="1"/>
  <c r="C9303" i="1"/>
  <c r="D9303" i="1"/>
  <c r="E9303" i="1"/>
  <c r="A9304" i="1"/>
  <c r="B9304" i="1"/>
  <c r="C9304" i="1"/>
  <c r="D9304" i="1"/>
  <c r="E9304" i="1"/>
  <c r="A9305" i="1"/>
  <c r="B9305" i="1"/>
  <c r="C9305" i="1"/>
  <c r="D9305" i="1"/>
  <c r="E9305" i="1"/>
  <c r="A9306" i="1"/>
  <c r="B9306" i="1"/>
  <c r="C9306" i="1"/>
  <c r="D9306" i="1"/>
  <c r="E9306" i="1"/>
  <c r="A9307" i="1"/>
  <c r="B9307" i="1"/>
  <c r="C9307" i="1"/>
  <c r="D9307" i="1"/>
  <c r="E9307" i="1"/>
  <c r="A9308" i="1"/>
  <c r="B9308" i="1"/>
  <c r="C9308" i="1"/>
  <c r="D9308" i="1"/>
  <c r="E9308" i="1"/>
  <c r="A9309" i="1"/>
  <c r="B9309" i="1"/>
  <c r="C9309" i="1"/>
  <c r="D9309" i="1"/>
  <c r="E9309" i="1"/>
  <c r="A9310" i="1"/>
  <c r="B9310" i="1"/>
  <c r="C9310" i="1"/>
  <c r="D9310" i="1"/>
  <c r="E9310" i="1"/>
  <c r="A9311" i="1"/>
  <c r="B9311" i="1"/>
  <c r="C9311" i="1"/>
  <c r="D9311" i="1"/>
  <c r="E9311" i="1"/>
  <c r="A9312" i="1"/>
  <c r="B9312" i="1"/>
  <c r="C9312" i="1"/>
  <c r="D9312" i="1"/>
  <c r="E9312" i="1"/>
  <c r="A9313" i="1"/>
  <c r="B9313" i="1"/>
  <c r="C9313" i="1"/>
  <c r="D9313" i="1"/>
  <c r="E9313" i="1"/>
  <c r="A9314" i="1"/>
  <c r="B9314" i="1"/>
  <c r="C9314" i="1"/>
  <c r="D9314" i="1"/>
  <c r="E9314" i="1"/>
  <c r="A9315" i="1"/>
  <c r="B9315" i="1"/>
  <c r="C9315" i="1"/>
  <c r="D9315" i="1"/>
  <c r="E9315" i="1"/>
  <c r="A9316" i="1"/>
  <c r="B9316" i="1"/>
  <c r="C9316" i="1"/>
  <c r="D9316" i="1"/>
  <c r="E9316" i="1"/>
  <c r="A9317" i="1"/>
  <c r="B9317" i="1"/>
  <c r="C9317" i="1"/>
  <c r="D9317" i="1"/>
  <c r="E9317" i="1"/>
  <c r="A9318" i="1"/>
  <c r="B9318" i="1"/>
  <c r="C9318" i="1"/>
  <c r="D9318" i="1"/>
  <c r="E9318" i="1"/>
  <c r="A9319" i="1"/>
  <c r="B9319" i="1"/>
  <c r="C9319" i="1"/>
  <c r="D9319" i="1"/>
  <c r="E9319" i="1"/>
  <c r="A9320" i="1"/>
  <c r="B9320" i="1"/>
  <c r="C9320" i="1"/>
  <c r="D9320" i="1"/>
  <c r="E9320" i="1"/>
  <c r="A9321" i="1"/>
  <c r="B9321" i="1"/>
  <c r="C9321" i="1"/>
  <c r="D9321" i="1"/>
  <c r="E9321" i="1"/>
  <c r="A9322" i="1"/>
  <c r="B9322" i="1"/>
  <c r="C9322" i="1"/>
  <c r="D9322" i="1"/>
  <c r="E9322" i="1"/>
  <c r="A9323" i="1"/>
  <c r="B9323" i="1"/>
  <c r="C9323" i="1"/>
  <c r="D9323" i="1"/>
  <c r="E9323" i="1"/>
  <c r="A9324" i="1"/>
  <c r="B9324" i="1"/>
  <c r="C9324" i="1"/>
  <c r="D9324" i="1"/>
  <c r="E9324" i="1"/>
  <c r="A9325" i="1"/>
  <c r="B9325" i="1"/>
  <c r="C9325" i="1"/>
  <c r="D9325" i="1"/>
  <c r="E9325" i="1"/>
  <c r="A9326" i="1"/>
  <c r="B9326" i="1"/>
  <c r="C9326" i="1"/>
  <c r="D9326" i="1"/>
  <c r="E9326" i="1"/>
  <c r="A9327" i="1"/>
  <c r="B9327" i="1"/>
  <c r="C9327" i="1"/>
  <c r="D9327" i="1"/>
  <c r="E9327" i="1"/>
  <c r="A9328" i="1"/>
  <c r="B9328" i="1"/>
  <c r="C9328" i="1"/>
  <c r="D9328" i="1"/>
  <c r="E9328" i="1"/>
  <c r="A9329" i="1"/>
  <c r="B9329" i="1"/>
  <c r="C9329" i="1"/>
  <c r="D9329" i="1"/>
  <c r="E9329" i="1"/>
  <c r="A9330" i="1"/>
  <c r="B9330" i="1"/>
  <c r="C9330" i="1"/>
  <c r="D9330" i="1"/>
  <c r="E9330" i="1"/>
  <c r="A9331" i="1"/>
  <c r="B9331" i="1"/>
  <c r="C9331" i="1"/>
  <c r="D9331" i="1"/>
  <c r="E9331" i="1"/>
  <c r="A9332" i="1"/>
  <c r="B9332" i="1"/>
  <c r="C9332" i="1"/>
  <c r="D9332" i="1"/>
  <c r="E9332" i="1"/>
  <c r="A9333" i="1"/>
  <c r="B9333" i="1"/>
  <c r="C9333" i="1"/>
  <c r="D9333" i="1"/>
  <c r="E9333" i="1"/>
  <c r="A9334" i="1"/>
  <c r="B9334" i="1"/>
  <c r="C9334" i="1"/>
  <c r="D9334" i="1"/>
  <c r="E9334" i="1"/>
  <c r="A9335" i="1"/>
  <c r="B9335" i="1"/>
  <c r="C9335" i="1"/>
  <c r="D9335" i="1"/>
  <c r="E9335" i="1"/>
  <c r="A9336" i="1"/>
  <c r="B9336" i="1"/>
  <c r="C9336" i="1"/>
  <c r="D9336" i="1"/>
  <c r="E9336" i="1"/>
  <c r="A9337" i="1"/>
  <c r="B9337" i="1"/>
  <c r="C9337" i="1"/>
  <c r="D9337" i="1"/>
  <c r="E9337" i="1"/>
  <c r="A9338" i="1"/>
  <c r="B9338" i="1"/>
  <c r="C9338" i="1"/>
  <c r="D9338" i="1"/>
  <c r="E9338" i="1"/>
  <c r="A9339" i="1"/>
  <c r="B9339" i="1"/>
  <c r="C9339" i="1"/>
  <c r="D9339" i="1"/>
  <c r="E9339" i="1"/>
  <c r="A9340" i="1"/>
  <c r="B9340" i="1"/>
  <c r="C9340" i="1"/>
  <c r="D9340" i="1"/>
  <c r="E9340" i="1"/>
  <c r="A9341" i="1"/>
  <c r="B9341" i="1"/>
  <c r="C9341" i="1"/>
  <c r="D9341" i="1"/>
  <c r="E9341" i="1"/>
  <c r="A9342" i="1"/>
  <c r="B9342" i="1"/>
  <c r="C9342" i="1"/>
  <c r="D9342" i="1"/>
  <c r="E9342" i="1"/>
  <c r="A9343" i="1"/>
  <c r="B9343" i="1"/>
  <c r="C9343" i="1"/>
  <c r="D9343" i="1"/>
  <c r="E9343" i="1"/>
  <c r="A9344" i="1"/>
  <c r="B9344" i="1"/>
  <c r="C9344" i="1"/>
  <c r="D9344" i="1"/>
  <c r="E9344" i="1"/>
  <c r="A9345" i="1"/>
  <c r="B9345" i="1"/>
  <c r="C9345" i="1"/>
  <c r="D9345" i="1"/>
  <c r="E9345" i="1"/>
  <c r="A9346" i="1"/>
  <c r="B9346" i="1"/>
  <c r="C9346" i="1"/>
  <c r="D9346" i="1"/>
  <c r="E9346" i="1"/>
  <c r="A9347" i="1"/>
  <c r="B9347" i="1"/>
  <c r="C9347" i="1"/>
  <c r="D9347" i="1"/>
  <c r="E9347" i="1"/>
  <c r="A9348" i="1"/>
  <c r="B9348" i="1"/>
  <c r="C9348" i="1"/>
  <c r="D9348" i="1"/>
  <c r="E9348" i="1"/>
  <c r="A9349" i="1"/>
  <c r="B9349" i="1"/>
  <c r="C9349" i="1"/>
  <c r="D9349" i="1"/>
  <c r="E9349" i="1"/>
  <c r="A9350" i="1"/>
  <c r="B9350" i="1"/>
  <c r="C9350" i="1"/>
  <c r="D9350" i="1"/>
  <c r="E9350" i="1"/>
  <c r="A9351" i="1"/>
  <c r="B9351" i="1"/>
  <c r="C9351" i="1"/>
  <c r="D9351" i="1"/>
  <c r="E9351" i="1"/>
  <c r="A9352" i="1"/>
  <c r="B9352" i="1"/>
  <c r="C9352" i="1"/>
  <c r="D9352" i="1"/>
  <c r="E9352" i="1"/>
  <c r="A9353" i="1"/>
  <c r="B9353" i="1"/>
  <c r="C9353" i="1"/>
  <c r="D9353" i="1"/>
  <c r="E9353" i="1"/>
  <c r="A9354" i="1"/>
  <c r="B9354" i="1"/>
  <c r="C9354" i="1"/>
  <c r="D9354" i="1"/>
  <c r="E9354" i="1"/>
  <c r="A9355" i="1"/>
  <c r="B9355" i="1"/>
  <c r="C9355" i="1"/>
  <c r="D9355" i="1"/>
  <c r="E9355" i="1"/>
  <c r="A9356" i="1"/>
  <c r="B9356" i="1"/>
  <c r="C9356" i="1"/>
  <c r="D9356" i="1"/>
  <c r="E9356" i="1"/>
  <c r="A9357" i="1"/>
  <c r="B9357" i="1"/>
  <c r="C9357" i="1"/>
  <c r="D9357" i="1"/>
  <c r="E9357" i="1"/>
  <c r="A9358" i="1"/>
  <c r="B9358" i="1"/>
  <c r="C9358" i="1"/>
  <c r="D9358" i="1"/>
  <c r="E9358" i="1"/>
  <c r="A9359" i="1"/>
  <c r="B9359" i="1"/>
  <c r="C9359" i="1"/>
  <c r="D9359" i="1"/>
  <c r="E9359" i="1"/>
  <c r="A9360" i="1"/>
  <c r="B9360" i="1"/>
  <c r="C9360" i="1"/>
  <c r="D9360" i="1"/>
  <c r="E9360" i="1"/>
  <c r="A9361" i="1"/>
  <c r="B9361" i="1"/>
  <c r="C9361" i="1"/>
  <c r="D9361" i="1"/>
  <c r="E9361" i="1"/>
  <c r="A9362" i="1"/>
  <c r="B9362" i="1"/>
  <c r="C9362" i="1"/>
  <c r="D9362" i="1"/>
  <c r="E9362" i="1"/>
  <c r="A9363" i="1"/>
  <c r="B9363" i="1"/>
  <c r="C9363" i="1"/>
  <c r="D9363" i="1"/>
  <c r="E9363" i="1"/>
  <c r="A9364" i="1"/>
  <c r="B9364" i="1"/>
  <c r="C9364" i="1"/>
  <c r="D9364" i="1"/>
  <c r="E9364" i="1"/>
  <c r="A9365" i="1"/>
  <c r="B9365" i="1"/>
  <c r="C9365" i="1"/>
  <c r="D9365" i="1"/>
  <c r="E9365" i="1"/>
  <c r="A9366" i="1"/>
  <c r="B9366" i="1"/>
  <c r="C9366" i="1"/>
  <c r="D9366" i="1"/>
  <c r="E9366" i="1"/>
  <c r="A9367" i="1"/>
  <c r="B9367" i="1"/>
  <c r="C9367" i="1"/>
  <c r="D9367" i="1"/>
  <c r="E9367" i="1"/>
  <c r="A9368" i="1"/>
  <c r="B9368" i="1"/>
  <c r="C9368" i="1"/>
  <c r="D9368" i="1"/>
  <c r="E9368" i="1"/>
  <c r="A9369" i="1"/>
  <c r="B9369" i="1"/>
  <c r="C9369" i="1"/>
  <c r="D9369" i="1"/>
  <c r="E9369" i="1"/>
  <c r="A9370" i="1"/>
  <c r="B9370" i="1"/>
  <c r="C9370" i="1"/>
  <c r="D9370" i="1"/>
  <c r="E9370" i="1"/>
  <c r="A9371" i="1"/>
  <c r="B9371" i="1"/>
  <c r="C9371" i="1"/>
  <c r="D9371" i="1"/>
  <c r="E9371" i="1"/>
  <c r="A9372" i="1"/>
  <c r="B9372" i="1"/>
  <c r="C9372" i="1"/>
  <c r="D9372" i="1"/>
  <c r="E9372" i="1"/>
  <c r="A9373" i="1"/>
  <c r="B9373" i="1"/>
  <c r="C9373" i="1"/>
  <c r="D9373" i="1"/>
  <c r="E9373" i="1"/>
  <c r="A9374" i="1"/>
  <c r="B9374" i="1"/>
  <c r="C9374" i="1"/>
  <c r="D9374" i="1"/>
  <c r="E9374" i="1"/>
  <c r="A9375" i="1"/>
  <c r="B9375" i="1"/>
  <c r="C9375" i="1"/>
  <c r="D9375" i="1"/>
  <c r="E9375" i="1"/>
  <c r="A9376" i="1"/>
  <c r="B9376" i="1"/>
  <c r="C9376" i="1"/>
  <c r="D9376" i="1"/>
  <c r="E9376" i="1"/>
  <c r="A9377" i="1"/>
  <c r="B9377" i="1"/>
  <c r="C9377" i="1"/>
  <c r="D9377" i="1"/>
  <c r="E9377" i="1"/>
  <c r="A9378" i="1"/>
  <c r="B9378" i="1"/>
  <c r="C9378" i="1"/>
  <c r="D9378" i="1"/>
  <c r="E9378" i="1"/>
  <c r="A9379" i="1"/>
  <c r="B9379" i="1"/>
  <c r="C9379" i="1"/>
  <c r="D9379" i="1"/>
  <c r="E9379" i="1"/>
  <c r="A9380" i="1"/>
  <c r="B9380" i="1"/>
  <c r="C9380" i="1"/>
  <c r="D9380" i="1"/>
  <c r="E9380" i="1"/>
  <c r="A9381" i="1"/>
  <c r="B9381" i="1"/>
  <c r="C9381" i="1"/>
  <c r="D9381" i="1"/>
  <c r="E9381" i="1"/>
  <c r="A9382" i="1"/>
  <c r="B9382" i="1"/>
  <c r="C9382" i="1"/>
  <c r="D9382" i="1"/>
  <c r="E9382" i="1"/>
  <c r="A9383" i="1"/>
  <c r="B9383" i="1"/>
  <c r="C9383" i="1"/>
  <c r="D9383" i="1"/>
  <c r="E9383" i="1"/>
  <c r="A9384" i="1"/>
  <c r="B9384" i="1"/>
  <c r="C9384" i="1"/>
  <c r="D9384" i="1"/>
  <c r="E9384" i="1"/>
  <c r="A9385" i="1"/>
  <c r="B9385" i="1"/>
  <c r="C9385" i="1"/>
  <c r="D9385" i="1"/>
  <c r="E9385" i="1"/>
  <c r="A9386" i="1"/>
  <c r="B9386" i="1"/>
  <c r="C9386" i="1"/>
  <c r="D9386" i="1"/>
  <c r="E9386" i="1"/>
  <c r="A9387" i="1"/>
  <c r="B9387" i="1"/>
  <c r="C9387" i="1"/>
  <c r="D9387" i="1"/>
  <c r="E9387" i="1"/>
  <c r="A9388" i="1"/>
  <c r="B9388" i="1"/>
  <c r="C9388" i="1"/>
  <c r="D9388" i="1"/>
  <c r="E9388" i="1"/>
  <c r="A9389" i="1"/>
  <c r="B9389" i="1"/>
  <c r="C9389" i="1"/>
  <c r="D9389" i="1"/>
  <c r="E9389" i="1"/>
  <c r="A9390" i="1"/>
  <c r="B9390" i="1"/>
  <c r="C9390" i="1"/>
  <c r="D9390" i="1"/>
  <c r="E9390" i="1"/>
  <c r="A9391" i="1"/>
  <c r="B9391" i="1"/>
  <c r="C9391" i="1"/>
  <c r="D9391" i="1"/>
  <c r="E9391" i="1"/>
  <c r="A9392" i="1"/>
  <c r="B9392" i="1"/>
  <c r="C9392" i="1"/>
  <c r="D9392" i="1"/>
  <c r="E9392" i="1"/>
  <c r="A9393" i="1"/>
  <c r="B9393" i="1"/>
  <c r="C9393" i="1"/>
  <c r="D9393" i="1"/>
  <c r="E9393" i="1"/>
  <c r="A9394" i="1"/>
  <c r="B9394" i="1"/>
  <c r="C9394" i="1"/>
  <c r="D9394" i="1"/>
  <c r="E9394" i="1"/>
  <c r="A9395" i="1"/>
  <c r="B9395" i="1"/>
  <c r="C9395" i="1"/>
  <c r="D9395" i="1"/>
  <c r="E9395" i="1"/>
  <c r="A9396" i="1"/>
  <c r="B9396" i="1"/>
  <c r="C9396" i="1"/>
  <c r="D9396" i="1"/>
  <c r="E9396" i="1"/>
  <c r="A9397" i="1"/>
  <c r="B9397" i="1"/>
  <c r="C9397" i="1"/>
  <c r="D9397" i="1"/>
  <c r="E9397" i="1"/>
  <c r="A9398" i="1"/>
  <c r="B9398" i="1"/>
  <c r="C9398" i="1"/>
  <c r="D9398" i="1"/>
  <c r="E9398" i="1"/>
  <c r="A9399" i="1"/>
  <c r="B9399" i="1"/>
  <c r="C9399" i="1"/>
  <c r="D9399" i="1"/>
  <c r="E9399" i="1"/>
  <c r="A9400" i="1"/>
  <c r="B9400" i="1"/>
  <c r="C9400" i="1"/>
  <c r="D9400" i="1"/>
  <c r="E9400" i="1"/>
  <c r="A9401" i="1"/>
  <c r="B9401" i="1"/>
  <c r="C9401" i="1"/>
  <c r="D9401" i="1"/>
  <c r="E9401" i="1"/>
  <c r="A9402" i="1"/>
  <c r="B9402" i="1"/>
  <c r="C9402" i="1"/>
  <c r="D9402" i="1"/>
  <c r="E9402" i="1"/>
  <c r="A9403" i="1"/>
  <c r="B9403" i="1"/>
  <c r="C9403" i="1"/>
  <c r="D9403" i="1"/>
  <c r="E9403" i="1"/>
  <c r="A9404" i="1"/>
  <c r="B9404" i="1"/>
  <c r="C9404" i="1"/>
  <c r="D9404" i="1"/>
  <c r="E9404" i="1"/>
  <c r="A9405" i="1"/>
  <c r="B9405" i="1"/>
  <c r="C9405" i="1"/>
  <c r="D9405" i="1"/>
  <c r="E9405" i="1"/>
  <c r="A9406" i="1"/>
  <c r="B9406" i="1"/>
  <c r="C9406" i="1"/>
  <c r="D9406" i="1"/>
  <c r="E9406" i="1"/>
  <c r="A9407" i="1"/>
  <c r="B9407" i="1"/>
  <c r="C9407" i="1"/>
  <c r="D9407" i="1"/>
  <c r="E9407" i="1"/>
  <c r="A9408" i="1"/>
  <c r="B9408" i="1"/>
  <c r="C9408" i="1"/>
  <c r="D9408" i="1"/>
  <c r="E9408" i="1"/>
  <c r="A9409" i="1"/>
  <c r="B9409" i="1"/>
  <c r="C9409" i="1"/>
  <c r="D9409" i="1"/>
  <c r="E9409" i="1"/>
  <c r="A9410" i="1"/>
  <c r="B9410" i="1"/>
  <c r="C9410" i="1"/>
  <c r="D9410" i="1"/>
  <c r="E9410" i="1"/>
  <c r="A9411" i="1"/>
  <c r="B9411" i="1"/>
  <c r="C9411" i="1"/>
  <c r="D9411" i="1"/>
  <c r="E9411" i="1"/>
  <c r="A9412" i="1"/>
  <c r="B9412" i="1"/>
  <c r="C9412" i="1"/>
  <c r="D9412" i="1"/>
  <c r="E9412" i="1"/>
  <c r="A9413" i="1"/>
  <c r="B9413" i="1"/>
  <c r="C9413" i="1"/>
  <c r="D9413" i="1"/>
  <c r="E9413" i="1"/>
  <c r="A9414" i="1"/>
  <c r="B9414" i="1"/>
  <c r="C9414" i="1"/>
  <c r="D9414" i="1"/>
  <c r="E9414" i="1"/>
  <c r="A9415" i="1"/>
  <c r="B9415" i="1"/>
  <c r="C9415" i="1"/>
  <c r="D9415" i="1"/>
  <c r="E9415" i="1"/>
  <c r="A9416" i="1"/>
  <c r="B9416" i="1"/>
  <c r="C9416" i="1"/>
  <c r="D9416" i="1"/>
  <c r="E9416" i="1"/>
  <c r="A9417" i="1"/>
  <c r="B9417" i="1"/>
  <c r="C9417" i="1"/>
  <c r="D9417" i="1"/>
  <c r="E9417" i="1"/>
  <c r="A9418" i="1"/>
  <c r="B9418" i="1"/>
  <c r="C9418" i="1"/>
  <c r="D9418" i="1"/>
  <c r="E9418" i="1"/>
  <c r="A9419" i="1"/>
  <c r="B9419" i="1"/>
  <c r="C9419" i="1"/>
  <c r="D9419" i="1"/>
  <c r="E9419" i="1"/>
  <c r="A9420" i="1"/>
  <c r="B9420" i="1"/>
  <c r="C9420" i="1"/>
  <c r="D9420" i="1"/>
  <c r="E9420" i="1"/>
  <c r="A9421" i="1"/>
  <c r="B9421" i="1"/>
  <c r="C9421" i="1"/>
  <c r="D9421" i="1"/>
  <c r="E9421" i="1"/>
  <c r="A9422" i="1"/>
  <c r="B9422" i="1"/>
  <c r="C9422" i="1"/>
  <c r="D9422" i="1"/>
  <c r="E9422" i="1"/>
  <c r="A9423" i="1"/>
  <c r="B9423" i="1"/>
  <c r="C9423" i="1"/>
  <c r="D9423" i="1"/>
  <c r="E9423" i="1"/>
  <c r="A9424" i="1"/>
  <c r="B9424" i="1"/>
  <c r="C9424" i="1"/>
  <c r="D9424" i="1"/>
  <c r="E9424" i="1"/>
  <c r="A9425" i="1"/>
  <c r="B9425" i="1"/>
  <c r="C9425" i="1"/>
  <c r="D9425" i="1"/>
  <c r="E9425" i="1"/>
  <c r="A9426" i="1"/>
  <c r="B9426" i="1"/>
  <c r="C9426" i="1"/>
  <c r="D9426" i="1"/>
  <c r="E9426" i="1"/>
  <c r="A9427" i="1"/>
  <c r="B9427" i="1"/>
  <c r="C9427" i="1"/>
  <c r="D9427" i="1"/>
  <c r="E9427" i="1"/>
  <c r="A9428" i="1"/>
  <c r="B9428" i="1"/>
  <c r="C9428" i="1"/>
  <c r="D9428" i="1"/>
  <c r="E9428" i="1"/>
  <c r="A9429" i="1"/>
  <c r="B9429" i="1"/>
  <c r="C9429" i="1"/>
  <c r="D9429" i="1"/>
  <c r="E9429" i="1"/>
  <c r="A9430" i="1"/>
  <c r="B9430" i="1"/>
  <c r="C9430" i="1"/>
  <c r="D9430" i="1"/>
  <c r="E9430" i="1"/>
  <c r="A9431" i="1"/>
  <c r="B9431" i="1"/>
  <c r="C9431" i="1"/>
  <c r="D9431" i="1"/>
  <c r="E9431" i="1"/>
  <c r="A9432" i="1"/>
  <c r="B9432" i="1"/>
  <c r="C9432" i="1"/>
  <c r="D9432" i="1"/>
  <c r="E9432" i="1"/>
  <c r="A9433" i="1"/>
  <c r="B9433" i="1"/>
  <c r="C9433" i="1"/>
  <c r="D9433" i="1"/>
  <c r="E9433" i="1"/>
  <c r="A9434" i="1"/>
  <c r="B9434" i="1"/>
  <c r="C9434" i="1"/>
  <c r="D9434" i="1"/>
  <c r="E9434" i="1"/>
  <c r="A9435" i="1"/>
  <c r="B9435" i="1"/>
  <c r="C9435" i="1"/>
  <c r="D9435" i="1"/>
  <c r="E9435" i="1"/>
  <c r="A9436" i="1"/>
  <c r="B9436" i="1"/>
  <c r="C9436" i="1"/>
  <c r="D9436" i="1"/>
  <c r="E9436" i="1"/>
  <c r="A9437" i="1"/>
  <c r="B9437" i="1"/>
  <c r="C9437" i="1"/>
  <c r="D9437" i="1"/>
  <c r="E9437" i="1"/>
  <c r="A9438" i="1"/>
  <c r="B9438" i="1"/>
  <c r="C9438" i="1"/>
  <c r="D9438" i="1"/>
  <c r="E9438" i="1"/>
  <c r="A9439" i="1"/>
  <c r="B9439" i="1"/>
  <c r="C9439" i="1"/>
  <c r="D9439" i="1"/>
  <c r="E9439" i="1"/>
  <c r="A9440" i="1"/>
  <c r="B9440" i="1"/>
  <c r="C9440" i="1"/>
  <c r="D9440" i="1"/>
  <c r="E9440" i="1"/>
  <c r="A9441" i="1"/>
  <c r="B9441" i="1"/>
  <c r="C9441" i="1"/>
  <c r="D9441" i="1"/>
  <c r="E9441" i="1"/>
  <c r="A9442" i="1"/>
  <c r="B9442" i="1"/>
  <c r="C9442" i="1"/>
  <c r="D9442" i="1"/>
  <c r="E9442" i="1"/>
  <c r="A9443" i="1"/>
  <c r="B9443" i="1"/>
  <c r="C9443" i="1"/>
  <c r="D9443" i="1"/>
  <c r="E9443" i="1"/>
  <c r="A9444" i="1"/>
  <c r="B9444" i="1"/>
  <c r="C9444" i="1"/>
  <c r="D9444" i="1"/>
  <c r="E9444" i="1"/>
  <c r="A9445" i="1"/>
  <c r="B9445" i="1"/>
  <c r="C9445" i="1"/>
  <c r="D9445" i="1"/>
  <c r="E9445" i="1"/>
  <c r="A9446" i="1"/>
  <c r="B9446" i="1"/>
  <c r="C9446" i="1"/>
  <c r="D9446" i="1"/>
  <c r="E9446" i="1"/>
  <c r="A9447" i="1"/>
  <c r="B9447" i="1"/>
  <c r="C9447" i="1"/>
  <c r="D9447" i="1"/>
  <c r="E9447" i="1"/>
  <c r="A9448" i="1"/>
  <c r="B9448" i="1"/>
  <c r="C9448" i="1"/>
  <c r="D9448" i="1"/>
  <c r="E9448" i="1"/>
  <c r="A9449" i="1"/>
  <c r="B9449" i="1"/>
  <c r="C9449" i="1"/>
  <c r="D9449" i="1"/>
  <c r="E9449" i="1"/>
  <c r="A9450" i="1"/>
  <c r="B9450" i="1"/>
  <c r="C9450" i="1"/>
  <c r="D9450" i="1"/>
  <c r="E9450" i="1"/>
  <c r="A9451" i="1"/>
  <c r="B9451" i="1"/>
  <c r="C9451" i="1"/>
  <c r="D9451" i="1"/>
  <c r="E9451" i="1"/>
  <c r="A9452" i="1"/>
  <c r="B9452" i="1"/>
  <c r="C9452" i="1"/>
  <c r="D9452" i="1"/>
  <c r="E9452" i="1"/>
  <c r="A9453" i="1"/>
  <c r="B9453" i="1"/>
  <c r="C9453" i="1"/>
  <c r="D9453" i="1"/>
  <c r="E9453" i="1"/>
  <c r="A9454" i="1"/>
  <c r="B9454" i="1"/>
  <c r="C9454" i="1"/>
  <c r="D9454" i="1"/>
  <c r="E9454" i="1"/>
  <c r="A9455" i="1"/>
  <c r="B9455" i="1"/>
  <c r="C9455" i="1"/>
  <c r="D9455" i="1"/>
  <c r="E9455" i="1"/>
  <c r="A9456" i="1"/>
  <c r="B9456" i="1"/>
  <c r="C9456" i="1"/>
  <c r="D9456" i="1"/>
  <c r="E9456" i="1"/>
  <c r="A9457" i="1"/>
  <c r="B9457" i="1"/>
  <c r="C9457" i="1"/>
  <c r="D9457" i="1"/>
  <c r="E9457" i="1"/>
  <c r="A9458" i="1"/>
  <c r="B9458" i="1"/>
  <c r="C9458" i="1"/>
  <c r="D9458" i="1"/>
  <c r="E9458" i="1"/>
  <c r="A9459" i="1"/>
  <c r="B9459" i="1"/>
  <c r="C9459" i="1"/>
  <c r="D9459" i="1"/>
  <c r="E9459" i="1"/>
  <c r="A9460" i="1"/>
  <c r="B9460" i="1"/>
  <c r="C9460" i="1"/>
  <c r="D9460" i="1"/>
  <c r="E9460" i="1"/>
  <c r="A9461" i="1"/>
  <c r="B9461" i="1"/>
  <c r="C9461" i="1"/>
  <c r="D9461" i="1"/>
  <c r="E9461" i="1"/>
  <c r="A9462" i="1"/>
  <c r="B9462" i="1"/>
  <c r="C9462" i="1"/>
  <c r="D9462" i="1"/>
  <c r="E9462" i="1"/>
  <c r="A9463" i="1"/>
  <c r="B9463" i="1"/>
  <c r="C9463" i="1"/>
  <c r="D9463" i="1"/>
  <c r="E9463" i="1"/>
  <c r="A9464" i="1"/>
  <c r="B9464" i="1"/>
  <c r="C9464" i="1"/>
  <c r="D9464" i="1"/>
  <c r="E9464" i="1"/>
  <c r="A9465" i="1"/>
  <c r="B9465" i="1"/>
  <c r="C9465" i="1"/>
  <c r="D9465" i="1"/>
  <c r="E9465" i="1"/>
  <c r="A9466" i="1"/>
  <c r="B9466" i="1"/>
  <c r="C9466" i="1"/>
  <c r="D9466" i="1"/>
  <c r="E9466" i="1"/>
  <c r="A9467" i="1"/>
  <c r="B9467" i="1"/>
  <c r="C9467" i="1"/>
  <c r="D9467" i="1"/>
  <c r="E9467" i="1"/>
  <c r="A9468" i="1"/>
  <c r="B9468" i="1"/>
  <c r="C9468" i="1"/>
  <c r="D9468" i="1"/>
  <c r="E9468" i="1"/>
  <c r="A9469" i="1"/>
  <c r="B9469" i="1"/>
  <c r="C9469" i="1"/>
  <c r="D9469" i="1"/>
  <c r="E9469" i="1"/>
  <c r="A9470" i="1"/>
  <c r="B9470" i="1"/>
  <c r="C9470" i="1"/>
  <c r="D9470" i="1"/>
  <c r="E9470" i="1"/>
  <c r="A9471" i="1"/>
  <c r="B9471" i="1"/>
  <c r="C9471" i="1"/>
  <c r="D9471" i="1"/>
  <c r="E9471" i="1"/>
  <c r="A9472" i="1"/>
  <c r="B9472" i="1"/>
  <c r="C9472" i="1"/>
  <c r="D9472" i="1"/>
  <c r="E9472" i="1"/>
  <c r="A9473" i="1"/>
  <c r="B9473" i="1"/>
  <c r="C9473" i="1"/>
  <c r="D9473" i="1"/>
  <c r="E9473" i="1"/>
  <c r="A9474" i="1"/>
  <c r="B9474" i="1"/>
  <c r="C9474" i="1"/>
  <c r="D9474" i="1"/>
  <c r="E9474" i="1"/>
  <c r="A9475" i="1"/>
  <c r="B9475" i="1"/>
  <c r="C9475" i="1"/>
  <c r="D9475" i="1"/>
  <c r="E9475" i="1"/>
  <c r="A9476" i="1"/>
  <c r="B9476" i="1"/>
  <c r="C9476" i="1"/>
  <c r="D9476" i="1"/>
  <c r="E9476" i="1"/>
  <c r="A9477" i="1"/>
  <c r="B9477" i="1"/>
  <c r="C9477" i="1"/>
  <c r="D9477" i="1"/>
  <c r="E9477" i="1"/>
  <c r="A9478" i="1"/>
  <c r="B9478" i="1"/>
  <c r="C9478" i="1"/>
  <c r="D9478" i="1"/>
  <c r="E9478" i="1"/>
  <c r="A9479" i="1"/>
  <c r="B9479" i="1"/>
  <c r="C9479" i="1"/>
  <c r="D9479" i="1"/>
  <c r="E9479" i="1"/>
  <c r="A9480" i="1"/>
  <c r="B9480" i="1"/>
  <c r="C9480" i="1"/>
  <c r="D9480" i="1"/>
  <c r="E9480" i="1"/>
  <c r="A9481" i="1"/>
  <c r="B9481" i="1"/>
  <c r="C9481" i="1"/>
  <c r="D9481" i="1"/>
  <c r="E9481" i="1"/>
  <c r="A9482" i="1"/>
  <c r="B9482" i="1"/>
  <c r="C9482" i="1"/>
  <c r="D9482" i="1"/>
  <c r="E9482" i="1"/>
  <c r="A9483" i="1"/>
  <c r="B9483" i="1"/>
  <c r="C9483" i="1"/>
  <c r="D9483" i="1"/>
  <c r="E9483" i="1"/>
  <c r="A9484" i="1"/>
  <c r="B9484" i="1"/>
  <c r="C9484" i="1"/>
  <c r="D9484" i="1"/>
  <c r="E9484" i="1"/>
  <c r="A9485" i="1"/>
  <c r="B9485" i="1"/>
  <c r="C9485" i="1"/>
  <c r="D9485" i="1"/>
  <c r="E9485" i="1"/>
  <c r="A9486" i="1"/>
  <c r="B9486" i="1"/>
  <c r="C9486" i="1"/>
  <c r="D9486" i="1"/>
  <c r="E9486" i="1"/>
  <c r="A9487" i="1"/>
  <c r="B9487" i="1"/>
  <c r="C9487" i="1"/>
  <c r="D9487" i="1"/>
  <c r="E9487" i="1"/>
  <c r="A9488" i="1"/>
  <c r="B9488" i="1"/>
  <c r="C9488" i="1"/>
  <c r="D9488" i="1"/>
  <c r="E9488" i="1"/>
  <c r="A9489" i="1"/>
  <c r="B9489" i="1"/>
  <c r="C9489" i="1"/>
  <c r="D9489" i="1"/>
  <c r="E9489" i="1"/>
  <c r="A9490" i="1"/>
  <c r="B9490" i="1"/>
  <c r="C9490" i="1"/>
  <c r="D9490" i="1"/>
  <c r="E9490" i="1"/>
  <c r="A9491" i="1"/>
  <c r="B9491" i="1"/>
  <c r="C9491" i="1"/>
  <c r="D9491" i="1"/>
  <c r="E9491" i="1"/>
  <c r="A9492" i="1"/>
  <c r="B9492" i="1"/>
  <c r="C9492" i="1"/>
  <c r="D9492" i="1"/>
  <c r="E9492" i="1"/>
  <c r="A9493" i="1"/>
  <c r="B9493" i="1"/>
  <c r="C9493" i="1"/>
  <c r="D9493" i="1"/>
  <c r="E9493" i="1"/>
  <c r="A9494" i="1"/>
  <c r="B9494" i="1"/>
  <c r="C9494" i="1"/>
  <c r="D9494" i="1"/>
  <c r="E9494" i="1"/>
  <c r="A9495" i="1"/>
  <c r="B9495" i="1"/>
  <c r="C9495" i="1"/>
  <c r="D9495" i="1"/>
  <c r="E9495" i="1"/>
  <c r="A9496" i="1"/>
  <c r="B9496" i="1"/>
  <c r="C9496" i="1"/>
  <c r="D9496" i="1"/>
  <c r="E9496" i="1"/>
  <c r="A9497" i="1"/>
  <c r="B9497" i="1"/>
  <c r="C9497" i="1"/>
  <c r="D9497" i="1"/>
  <c r="E9497" i="1"/>
  <c r="A9498" i="1"/>
  <c r="B9498" i="1"/>
  <c r="C9498" i="1"/>
  <c r="D9498" i="1"/>
  <c r="E9498" i="1"/>
  <c r="A9499" i="1"/>
  <c r="B9499" i="1"/>
  <c r="C9499" i="1"/>
  <c r="D9499" i="1"/>
  <c r="E9499" i="1"/>
  <c r="A9500" i="1"/>
  <c r="B9500" i="1"/>
  <c r="C9500" i="1"/>
  <c r="D9500" i="1"/>
  <c r="E9500" i="1"/>
  <c r="A9501" i="1"/>
  <c r="B9501" i="1"/>
  <c r="C9501" i="1"/>
  <c r="D9501" i="1"/>
  <c r="E9501" i="1"/>
  <c r="A9502" i="1"/>
  <c r="B9502" i="1"/>
  <c r="C9502" i="1"/>
  <c r="D9502" i="1"/>
  <c r="E9502" i="1"/>
  <c r="A9503" i="1"/>
  <c r="B9503" i="1"/>
  <c r="C9503" i="1"/>
  <c r="D9503" i="1"/>
  <c r="E9503" i="1"/>
  <c r="A9504" i="1"/>
  <c r="B9504" i="1"/>
  <c r="C9504" i="1"/>
  <c r="D9504" i="1"/>
  <c r="E9504" i="1"/>
  <c r="A9505" i="1"/>
  <c r="B9505" i="1"/>
  <c r="C9505" i="1"/>
  <c r="D9505" i="1"/>
  <c r="E9505" i="1"/>
  <c r="A9506" i="1"/>
  <c r="B9506" i="1"/>
  <c r="C9506" i="1"/>
  <c r="D9506" i="1"/>
  <c r="E9506" i="1"/>
  <c r="A9507" i="1"/>
  <c r="B9507" i="1"/>
  <c r="C9507" i="1"/>
  <c r="D9507" i="1"/>
  <c r="E9507" i="1"/>
  <c r="A9508" i="1"/>
  <c r="B9508" i="1"/>
  <c r="C9508" i="1"/>
  <c r="D9508" i="1"/>
  <c r="E9508" i="1"/>
  <c r="A9509" i="1"/>
  <c r="B9509" i="1"/>
  <c r="C9509" i="1"/>
  <c r="D9509" i="1"/>
  <c r="E9509" i="1"/>
  <c r="A9510" i="1"/>
  <c r="B9510" i="1"/>
  <c r="C9510" i="1"/>
  <c r="D9510" i="1"/>
  <c r="E9510" i="1"/>
  <c r="A9511" i="1"/>
  <c r="B9511" i="1"/>
  <c r="C9511" i="1"/>
  <c r="D9511" i="1"/>
  <c r="E9511" i="1"/>
  <c r="A9512" i="1"/>
  <c r="B9512" i="1"/>
  <c r="C9512" i="1"/>
  <c r="D9512" i="1"/>
  <c r="E9512" i="1"/>
  <c r="A9513" i="1"/>
  <c r="B9513" i="1"/>
  <c r="C9513" i="1"/>
  <c r="D9513" i="1"/>
  <c r="E9513" i="1"/>
  <c r="A9514" i="1"/>
  <c r="B9514" i="1"/>
  <c r="C9514" i="1"/>
  <c r="D9514" i="1"/>
  <c r="E9514" i="1"/>
  <c r="A9515" i="1"/>
  <c r="B9515" i="1"/>
  <c r="C9515" i="1"/>
  <c r="D9515" i="1"/>
  <c r="E9515" i="1"/>
  <c r="A9516" i="1"/>
  <c r="B9516" i="1"/>
  <c r="C9516" i="1"/>
  <c r="D9516" i="1"/>
  <c r="E9516" i="1"/>
  <c r="A9517" i="1"/>
  <c r="B9517" i="1"/>
  <c r="C9517" i="1"/>
  <c r="D9517" i="1"/>
  <c r="E9517" i="1"/>
  <c r="A9518" i="1"/>
  <c r="B9518" i="1"/>
  <c r="C9518" i="1"/>
  <c r="D9518" i="1"/>
  <c r="E9518" i="1"/>
  <c r="A9519" i="1"/>
  <c r="B9519" i="1"/>
  <c r="C9519" i="1"/>
  <c r="D9519" i="1"/>
  <c r="E9519" i="1"/>
  <c r="A9520" i="1"/>
  <c r="B9520" i="1"/>
  <c r="C9520" i="1"/>
  <c r="D9520" i="1"/>
  <c r="E9520" i="1"/>
  <c r="A9521" i="1"/>
  <c r="B9521" i="1"/>
  <c r="C9521" i="1"/>
  <c r="D9521" i="1"/>
  <c r="E9521" i="1"/>
  <c r="A9522" i="1"/>
  <c r="B9522" i="1"/>
  <c r="C9522" i="1"/>
  <c r="D9522" i="1"/>
  <c r="E9522" i="1"/>
  <c r="A9523" i="1"/>
  <c r="B9523" i="1"/>
  <c r="C9523" i="1"/>
  <c r="D9523" i="1"/>
  <c r="E9523" i="1"/>
  <c r="A9524" i="1"/>
  <c r="B9524" i="1"/>
  <c r="C9524" i="1"/>
  <c r="D9524" i="1"/>
  <c r="E9524" i="1"/>
  <c r="A9525" i="1"/>
  <c r="B9525" i="1"/>
  <c r="C9525" i="1"/>
  <c r="D9525" i="1"/>
  <c r="E9525" i="1"/>
  <c r="A9526" i="1"/>
  <c r="B9526" i="1"/>
  <c r="C9526" i="1"/>
  <c r="D9526" i="1"/>
  <c r="E9526" i="1"/>
  <c r="A9527" i="1"/>
  <c r="B9527" i="1"/>
  <c r="C9527" i="1"/>
  <c r="D9527" i="1"/>
  <c r="E9527" i="1"/>
  <c r="A9528" i="1"/>
  <c r="B9528" i="1"/>
  <c r="C9528" i="1"/>
  <c r="D9528" i="1"/>
  <c r="E9528" i="1"/>
  <c r="A9529" i="1"/>
  <c r="B9529" i="1"/>
  <c r="C9529" i="1"/>
  <c r="D9529" i="1"/>
  <c r="E9529" i="1"/>
  <c r="A9530" i="1"/>
  <c r="B9530" i="1"/>
  <c r="C9530" i="1"/>
  <c r="D9530" i="1"/>
  <c r="E9530" i="1"/>
  <c r="A9531" i="1"/>
  <c r="B9531" i="1"/>
  <c r="C9531" i="1"/>
  <c r="D9531" i="1"/>
  <c r="E9531" i="1"/>
  <c r="A9532" i="1"/>
  <c r="B9532" i="1"/>
  <c r="C9532" i="1"/>
  <c r="D9532" i="1"/>
  <c r="E9532" i="1"/>
  <c r="A9533" i="1"/>
  <c r="B9533" i="1"/>
  <c r="C9533" i="1"/>
  <c r="D9533" i="1"/>
  <c r="E9533" i="1"/>
  <c r="A9534" i="1"/>
  <c r="B9534" i="1"/>
  <c r="C9534" i="1"/>
  <c r="D9534" i="1"/>
  <c r="E9534" i="1"/>
  <c r="A9535" i="1"/>
  <c r="B9535" i="1"/>
  <c r="C9535" i="1"/>
  <c r="D9535" i="1"/>
  <c r="E9535" i="1"/>
  <c r="A9536" i="1"/>
  <c r="B9536" i="1"/>
  <c r="C9536" i="1"/>
  <c r="D9536" i="1"/>
  <c r="E9536" i="1"/>
  <c r="A9537" i="1"/>
  <c r="B9537" i="1"/>
  <c r="C9537" i="1"/>
  <c r="D9537" i="1"/>
  <c r="E9537" i="1"/>
  <c r="A9538" i="1"/>
  <c r="B9538" i="1"/>
  <c r="C9538" i="1"/>
  <c r="D9538" i="1"/>
  <c r="E9538" i="1"/>
  <c r="A9539" i="1"/>
  <c r="B9539" i="1"/>
  <c r="C9539" i="1"/>
  <c r="D9539" i="1"/>
  <c r="E9539" i="1"/>
  <c r="A9540" i="1"/>
  <c r="B9540" i="1"/>
  <c r="C9540" i="1"/>
  <c r="D9540" i="1"/>
  <c r="E9540" i="1"/>
  <c r="A9541" i="1"/>
  <c r="B9541" i="1"/>
  <c r="C9541" i="1"/>
  <c r="D9541" i="1"/>
  <c r="E9541" i="1"/>
  <c r="A9542" i="1"/>
  <c r="B9542" i="1"/>
  <c r="C9542" i="1"/>
  <c r="D9542" i="1"/>
  <c r="E9542" i="1"/>
  <c r="A9543" i="1"/>
  <c r="B9543" i="1"/>
  <c r="C9543" i="1"/>
  <c r="D9543" i="1"/>
  <c r="E9543" i="1"/>
  <c r="A9544" i="1"/>
  <c r="B9544" i="1"/>
  <c r="C9544" i="1"/>
  <c r="D9544" i="1"/>
  <c r="E9544" i="1"/>
  <c r="A9545" i="1"/>
  <c r="B9545" i="1"/>
  <c r="C9545" i="1"/>
  <c r="D9545" i="1"/>
  <c r="E9545" i="1"/>
  <c r="A9546" i="1"/>
  <c r="B9546" i="1"/>
  <c r="C9546" i="1"/>
  <c r="D9546" i="1"/>
  <c r="E9546" i="1"/>
  <c r="A9547" i="1"/>
  <c r="B9547" i="1"/>
  <c r="C9547" i="1"/>
  <c r="D9547" i="1"/>
  <c r="E9547" i="1"/>
  <c r="A9548" i="1"/>
  <c r="B9548" i="1"/>
  <c r="C9548" i="1"/>
  <c r="D9548" i="1"/>
  <c r="E9548" i="1"/>
  <c r="A9549" i="1"/>
  <c r="B9549" i="1"/>
  <c r="C9549" i="1"/>
  <c r="D9549" i="1"/>
  <c r="E9549" i="1"/>
  <c r="A9550" i="1"/>
  <c r="B9550" i="1"/>
  <c r="C9550" i="1"/>
  <c r="D9550" i="1"/>
  <c r="E9550" i="1"/>
  <c r="A9551" i="1"/>
  <c r="B9551" i="1"/>
  <c r="C9551" i="1"/>
  <c r="D9551" i="1"/>
  <c r="E9551" i="1"/>
  <c r="A9552" i="1"/>
  <c r="B9552" i="1"/>
  <c r="C9552" i="1"/>
  <c r="D9552" i="1"/>
  <c r="E9552" i="1"/>
  <c r="A9553" i="1"/>
  <c r="B9553" i="1"/>
  <c r="C9553" i="1"/>
  <c r="D9553" i="1"/>
  <c r="E9553" i="1"/>
  <c r="A9554" i="1"/>
  <c r="B9554" i="1"/>
  <c r="C9554" i="1"/>
  <c r="D9554" i="1"/>
  <c r="E9554" i="1"/>
  <c r="A9555" i="1"/>
  <c r="B9555" i="1"/>
  <c r="C9555" i="1"/>
  <c r="D9555" i="1"/>
  <c r="E9555" i="1"/>
  <c r="A9556" i="1"/>
  <c r="B9556" i="1"/>
  <c r="C9556" i="1"/>
  <c r="D9556" i="1"/>
  <c r="E9556" i="1"/>
  <c r="A9557" i="1"/>
  <c r="B9557" i="1"/>
  <c r="C9557" i="1"/>
  <c r="D9557" i="1"/>
  <c r="E9557" i="1"/>
  <c r="A9558" i="1"/>
  <c r="B9558" i="1"/>
  <c r="C9558" i="1"/>
  <c r="D9558" i="1"/>
  <c r="E9558" i="1"/>
  <c r="A9559" i="1"/>
  <c r="B9559" i="1"/>
  <c r="C9559" i="1"/>
  <c r="D9559" i="1"/>
  <c r="E9559" i="1"/>
  <c r="A9560" i="1"/>
  <c r="B9560" i="1"/>
  <c r="C9560" i="1"/>
  <c r="D9560" i="1"/>
  <c r="E9560" i="1"/>
  <c r="A9561" i="1"/>
  <c r="B9561" i="1"/>
  <c r="C9561" i="1"/>
  <c r="D9561" i="1"/>
  <c r="E9561" i="1"/>
  <c r="A9562" i="1"/>
  <c r="B9562" i="1"/>
  <c r="C9562" i="1"/>
  <c r="D9562" i="1"/>
  <c r="E9562" i="1"/>
  <c r="A9563" i="1"/>
  <c r="B9563" i="1"/>
  <c r="C9563" i="1"/>
  <c r="D9563" i="1"/>
  <c r="E9563" i="1"/>
  <c r="A9564" i="1"/>
  <c r="B9564" i="1"/>
  <c r="C9564" i="1"/>
  <c r="D9564" i="1"/>
  <c r="E9564" i="1"/>
  <c r="A9565" i="1"/>
  <c r="B9565" i="1"/>
  <c r="C9565" i="1"/>
  <c r="D9565" i="1"/>
  <c r="E9565" i="1"/>
  <c r="A9566" i="1"/>
  <c r="B9566" i="1"/>
  <c r="C9566" i="1"/>
  <c r="D9566" i="1"/>
  <c r="E9566" i="1"/>
  <c r="A9567" i="1"/>
  <c r="B9567" i="1"/>
  <c r="C9567" i="1"/>
  <c r="D9567" i="1"/>
  <c r="E9567" i="1"/>
  <c r="A9568" i="1"/>
  <c r="B9568" i="1"/>
  <c r="C9568" i="1"/>
  <c r="D9568" i="1"/>
  <c r="E9568" i="1"/>
  <c r="A9569" i="1"/>
  <c r="B9569" i="1"/>
  <c r="C9569" i="1"/>
  <c r="D9569" i="1"/>
  <c r="E9569" i="1"/>
  <c r="A9570" i="1"/>
  <c r="B9570" i="1"/>
  <c r="C9570" i="1"/>
  <c r="D9570" i="1"/>
  <c r="E9570" i="1"/>
  <c r="A9571" i="1"/>
  <c r="B9571" i="1"/>
  <c r="C9571" i="1"/>
  <c r="D9571" i="1"/>
  <c r="E9571" i="1"/>
  <c r="A9572" i="1"/>
  <c r="B9572" i="1"/>
  <c r="C9572" i="1"/>
  <c r="D9572" i="1"/>
  <c r="E9572" i="1"/>
  <c r="A9573" i="1"/>
  <c r="B9573" i="1"/>
  <c r="C9573" i="1"/>
  <c r="D9573" i="1"/>
  <c r="E9573" i="1"/>
  <c r="A9574" i="1"/>
  <c r="B9574" i="1"/>
  <c r="C9574" i="1"/>
  <c r="D9574" i="1"/>
  <c r="E9574" i="1"/>
  <c r="A9575" i="1"/>
  <c r="B9575" i="1"/>
  <c r="C9575" i="1"/>
  <c r="D9575" i="1"/>
  <c r="E9575" i="1"/>
  <c r="A9576" i="1"/>
  <c r="B9576" i="1"/>
  <c r="C9576" i="1"/>
  <c r="D9576" i="1"/>
  <c r="E9576" i="1"/>
  <c r="A9577" i="1"/>
  <c r="B9577" i="1"/>
  <c r="C9577" i="1"/>
  <c r="D9577" i="1"/>
  <c r="E9577" i="1"/>
  <c r="A9578" i="1"/>
  <c r="B9578" i="1"/>
  <c r="C9578" i="1"/>
  <c r="D9578" i="1"/>
  <c r="E9578" i="1"/>
  <c r="A9579" i="1"/>
  <c r="B9579" i="1"/>
  <c r="C9579" i="1"/>
  <c r="D9579" i="1"/>
  <c r="E9579" i="1"/>
  <c r="A9580" i="1"/>
  <c r="B9580" i="1"/>
  <c r="C9580" i="1"/>
  <c r="D9580" i="1"/>
  <c r="E9580" i="1"/>
  <c r="A9581" i="1"/>
  <c r="B9581" i="1"/>
  <c r="C9581" i="1"/>
  <c r="D9581" i="1"/>
  <c r="E9581" i="1"/>
  <c r="A9582" i="1"/>
  <c r="B9582" i="1"/>
  <c r="C9582" i="1"/>
  <c r="D9582" i="1"/>
  <c r="E9582" i="1"/>
  <c r="A9583" i="1"/>
  <c r="B9583" i="1"/>
  <c r="C9583" i="1"/>
  <c r="D9583" i="1"/>
  <c r="E9583" i="1"/>
  <c r="A9584" i="1"/>
  <c r="B9584" i="1"/>
  <c r="C9584" i="1"/>
  <c r="D9584" i="1"/>
  <c r="E9584" i="1"/>
  <c r="A9585" i="1"/>
  <c r="B9585" i="1"/>
  <c r="C9585" i="1"/>
  <c r="D9585" i="1"/>
  <c r="E9585" i="1"/>
  <c r="A9586" i="1"/>
  <c r="B9586" i="1"/>
  <c r="C9586" i="1"/>
  <c r="D9586" i="1"/>
  <c r="E9586" i="1"/>
  <c r="A9587" i="1"/>
  <c r="B9587" i="1"/>
  <c r="C9587" i="1"/>
  <c r="D9587" i="1"/>
  <c r="E9587" i="1"/>
  <c r="A9588" i="1"/>
  <c r="B9588" i="1"/>
  <c r="C9588" i="1"/>
  <c r="D9588" i="1"/>
  <c r="E9588" i="1"/>
  <c r="A9589" i="1"/>
  <c r="B9589" i="1"/>
  <c r="C9589" i="1"/>
  <c r="D9589" i="1"/>
  <c r="E9589" i="1"/>
  <c r="A9590" i="1"/>
  <c r="B9590" i="1"/>
  <c r="C9590" i="1"/>
  <c r="D9590" i="1"/>
  <c r="E9590" i="1"/>
  <c r="A9591" i="1"/>
  <c r="B9591" i="1"/>
  <c r="C9591" i="1"/>
  <c r="D9591" i="1"/>
  <c r="E9591" i="1"/>
  <c r="A9592" i="1"/>
  <c r="B9592" i="1"/>
  <c r="C9592" i="1"/>
  <c r="D9592" i="1"/>
  <c r="E9592" i="1"/>
  <c r="A9593" i="1"/>
  <c r="B9593" i="1"/>
  <c r="C9593" i="1"/>
  <c r="D9593" i="1"/>
  <c r="E9593" i="1"/>
  <c r="A9594" i="1"/>
  <c r="B9594" i="1"/>
  <c r="C9594" i="1"/>
  <c r="D9594" i="1"/>
  <c r="E9594" i="1"/>
  <c r="A9595" i="1"/>
  <c r="B9595" i="1"/>
  <c r="C9595" i="1"/>
  <c r="D9595" i="1"/>
  <c r="E9595" i="1"/>
  <c r="A9596" i="1"/>
  <c r="B9596" i="1"/>
  <c r="C9596" i="1"/>
  <c r="D9596" i="1"/>
  <c r="E9596" i="1"/>
  <c r="A9597" i="1"/>
  <c r="B9597" i="1"/>
  <c r="C9597" i="1"/>
  <c r="D9597" i="1"/>
  <c r="E9597" i="1"/>
  <c r="A9598" i="1"/>
  <c r="B9598" i="1"/>
  <c r="C9598" i="1"/>
  <c r="D9598" i="1"/>
  <c r="E9598" i="1"/>
  <c r="A9599" i="1"/>
  <c r="B9599" i="1"/>
  <c r="C9599" i="1"/>
  <c r="D9599" i="1"/>
  <c r="E9599" i="1"/>
  <c r="A9600" i="1"/>
  <c r="B9600" i="1"/>
  <c r="C9600" i="1"/>
  <c r="D9600" i="1"/>
  <c r="E9600" i="1"/>
  <c r="A9601" i="1"/>
  <c r="B9601" i="1"/>
  <c r="C9601" i="1"/>
  <c r="D9601" i="1"/>
  <c r="E9601" i="1"/>
  <c r="A9602" i="1"/>
  <c r="B9602" i="1"/>
  <c r="C9602" i="1"/>
  <c r="D9602" i="1"/>
  <c r="E9602" i="1"/>
  <c r="A9603" i="1"/>
  <c r="B9603" i="1"/>
  <c r="C9603" i="1"/>
  <c r="D9603" i="1"/>
  <c r="E9603" i="1"/>
  <c r="A9604" i="1"/>
  <c r="B9604" i="1"/>
  <c r="C9604" i="1"/>
  <c r="D9604" i="1"/>
  <c r="E9604" i="1"/>
  <c r="A9605" i="1"/>
  <c r="B9605" i="1"/>
  <c r="C9605" i="1"/>
  <c r="D9605" i="1"/>
  <c r="E9605" i="1"/>
  <c r="A9606" i="1"/>
  <c r="B9606" i="1"/>
  <c r="C9606" i="1"/>
  <c r="D9606" i="1"/>
  <c r="E9606" i="1"/>
  <c r="A9607" i="1"/>
  <c r="B9607" i="1"/>
  <c r="C9607" i="1"/>
  <c r="D9607" i="1"/>
  <c r="E9607" i="1"/>
  <c r="A9608" i="1"/>
  <c r="B9608" i="1"/>
  <c r="C9608" i="1"/>
  <c r="D9608" i="1"/>
  <c r="E9608" i="1"/>
  <c r="A9609" i="1"/>
  <c r="B9609" i="1"/>
  <c r="C9609" i="1"/>
  <c r="D9609" i="1"/>
  <c r="E9609" i="1"/>
  <c r="A9610" i="1"/>
  <c r="B9610" i="1"/>
  <c r="C9610" i="1"/>
  <c r="D9610" i="1"/>
  <c r="E9610" i="1"/>
  <c r="A9611" i="1"/>
  <c r="B9611" i="1"/>
  <c r="C9611" i="1"/>
  <c r="D9611" i="1"/>
  <c r="E9611" i="1"/>
  <c r="A9612" i="1"/>
  <c r="B9612" i="1"/>
  <c r="C9612" i="1"/>
  <c r="D9612" i="1"/>
  <c r="E9612" i="1"/>
  <c r="A9613" i="1"/>
  <c r="B9613" i="1"/>
  <c r="C9613" i="1"/>
  <c r="D9613" i="1"/>
  <c r="E9613" i="1"/>
  <c r="A9614" i="1"/>
  <c r="B9614" i="1"/>
  <c r="C9614" i="1"/>
  <c r="D9614" i="1"/>
  <c r="E9614" i="1"/>
  <c r="A9615" i="1"/>
  <c r="B9615" i="1"/>
  <c r="C9615" i="1"/>
  <c r="D9615" i="1"/>
  <c r="E9615" i="1"/>
  <c r="A9616" i="1"/>
  <c r="B9616" i="1"/>
  <c r="C9616" i="1"/>
  <c r="D9616" i="1"/>
  <c r="E9616" i="1"/>
  <c r="A9617" i="1"/>
  <c r="B9617" i="1"/>
  <c r="C9617" i="1"/>
  <c r="D9617" i="1"/>
  <c r="E9617" i="1"/>
  <c r="A9618" i="1"/>
  <c r="B9618" i="1"/>
  <c r="C9618" i="1"/>
  <c r="D9618" i="1"/>
  <c r="E9618" i="1"/>
  <c r="A9619" i="1"/>
  <c r="B9619" i="1"/>
  <c r="C9619" i="1"/>
  <c r="D9619" i="1"/>
  <c r="E9619" i="1"/>
  <c r="A9620" i="1"/>
  <c r="B9620" i="1"/>
  <c r="C9620" i="1"/>
  <c r="D9620" i="1"/>
  <c r="E9620" i="1"/>
  <c r="A9621" i="1"/>
  <c r="B9621" i="1"/>
  <c r="C9621" i="1"/>
  <c r="D9621" i="1"/>
  <c r="E9621" i="1"/>
  <c r="A9622" i="1"/>
  <c r="B9622" i="1"/>
  <c r="C9622" i="1"/>
  <c r="D9622" i="1"/>
  <c r="E9622" i="1"/>
  <c r="A9623" i="1"/>
  <c r="B9623" i="1"/>
  <c r="C9623" i="1"/>
  <c r="D9623" i="1"/>
  <c r="E9623" i="1"/>
  <c r="A9624" i="1"/>
  <c r="B9624" i="1"/>
  <c r="C9624" i="1"/>
  <c r="D9624" i="1"/>
  <c r="E9624" i="1"/>
  <c r="A9625" i="1"/>
  <c r="B9625" i="1"/>
  <c r="C9625" i="1"/>
  <c r="D9625" i="1"/>
  <c r="E9625" i="1"/>
  <c r="A9626" i="1"/>
  <c r="B9626" i="1"/>
  <c r="C9626" i="1"/>
  <c r="D9626" i="1"/>
  <c r="E9626" i="1"/>
  <c r="A9627" i="1"/>
  <c r="B9627" i="1"/>
  <c r="C9627" i="1"/>
  <c r="D9627" i="1"/>
  <c r="E9627" i="1"/>
  <c r="A9628" i="1"/>
  <c r="B9628" i="1"/>
  <c r="C9628" i="1"/>
  <c r="D9628" i="1"/>
  <c r="E9628" i="1"/>
  <c r="A9629" i="1"/>
  <c r="B9629" i="1"/>
  <c r="C9629" i="1"/>
  <c r="D9629" i="1"/>
  <c r="E9629" i="1"/>
  <c r="A9630" i="1"/>
  <c r="B9630" i="1"/>
  <c r="C9630" i="1"/>
  <c r="D9630" i="1"/>
  <c r="E9630" i="1"/>
  <c r="A9631" i="1"/>
  <c r="B9631" i="1"/>
  <c r="C9631" i="1"/>
  <c r="D9631" i="1"/>
  <c r="E9631" i="1"/>
  <c r="A9632" i="1"/>
  <c r="B9632" i="1"/>
  <c r="C9632" i="1"/>
  <c r="D9632" i="1"/>
  <c r="E9632" i="1"/>
  <c r="A9633" i="1"/>
  <c r="B9633" i="1"/>
  <c r="C9633" i="1"/>
  <c r="D9633" i="1"/>
  <c r="E9633" i="1"/>
  <c r="A9634" i="1"/>
  <c r="B9634" i="1"/>
  <c r="C9634" i="1"/>
  <c r="D9634" i="1"/>
  <c r="E9634" i="1"/>
  <c r="A9635" i="1"/>
  <c r="B9635" i="1"/>
  <c r="C9635" i="1"/>
  <c r="D9635" i="1"/>
  <c r="E9635" i="1"/>
  <c r="A9636" i="1"/>
  <c r="B9636" i="1"/>
  <c r="C9636" i="1"/>
  <c r="D9636" i="1"/>
  <c r="E9636" i="1"/>
  <c r="A9637" i="1"/>
  <c r="B9637" i="1"/>
  <c r="C9637" i="1"/>
  <c r="D9637" i="1"/>
  <c r="E9637" i="1"/>
  <c r="A9638" i="1"/>
  <c r="B9638" i="1"/>
  <c r="C9638" i="1"/>
  <c r="D9638" i="1"/>
  <c r="E9638" i="1"/>
  <c r="A9639" i="1"/>
  <c r="B9639" i="1"/>
  <c r="C9639" i="1"/>
  <c r="D9639" i="1"/>
  <c r="E9639" i="1"/>
  <c r="A9640" i="1"/>
  <c r="B9640" i="1"/>
  <c r="C9640" i="1"/>
  <c r="D9640" i="1"/>
  <c r="E9640" i="1"/>
  <c r="A9641" i="1"/>
  <c r="B9641" i="1"/>
  <c r="C9641" i="1"/>
  <c r="D9641" i="1"/>
  <c r="E9641" i="1"/>
  <c r="A9642" i="1"/>
  <c r="B9642" i="1"/>
  <c r="C9642" i="1"/>
  <c r="D9642" i="1"/>
  <c r="E9642" i="1"/>
  <c r="A9643" i="1"/>
  <c r="B9643" i="1"/>
  <c r="C9643" i="1"/>
  <c r="D9643" i="1"/>
  <c r="E9643" i="1"/>
  <c r="A9644" i="1"/>
  <c r="B9644" i="1"/>
  <c r="C9644" i="1"/>
  <c r="D9644" i="1"/>
  <c r="E9644" i="1"/>
  <c r="A9645" i="1"/>
  <c r="B9645" i="1"/>
  <c r="C9645" i="1"/>
  <c r="D9645" i="1"/>
  <c r="E9645" i="1"/>
  <c r="A9646" i="1"/>
  <c r="B9646" i="1"/>
  <c r="C9646" i="1"/>
  <c r="D9646" i="1"/>
  <c r="E9646" i="1"/>
  <c r="A9647" i="1"/>
  <c r="B9647" i="1"/>
  <c r="C9647" i="1"/>
  <c r="D9647" i="1"/>
  <c r="E9647" i="1"/>
  <c r="A9648" i="1"/>
  <c r="B9648" i="1"/>
  <c r="C9648" i="1"/>
  <c r="D9648" i="1"/>
  <c r="E9648" i="1"/>
  <c r="A9649" i="1"/>
  <c r="B9649" i="1"/>
  <c r="C9649" i="1"/>
  <c r="D9649" i="1"/>
  <c r="E9649" i="1"/>
  <c r="A9650" i="1"/>
  <c r="B9650" i="1"/>
  <c r="C9650" i="1"/>
  <c r="D9650" i="1"/>
  <c r="E9650" i="1"/>
  <c r="A9651" i="1"/>
  <c r="B9651" i="1"/>
  <c r="C9651" i="1"/>
  <c r="D9651" i="1"/>
  <c r="E9651" i="1"/>
  <c r="A9652" i="1"/>
  <c r="B9652" i="1"/>
  <c r="C9652" i="1"/>
  <c r="D9652" i="1"/>
  <c r="E9652" i="1"/>
  <c r="A9653" i="1"/>
  <c r="B9653" i="1"/>
  <c r="C9653" i="1"/>
  <c r="D9653" i="1"/>
  <c r="E9653" i="1"/>
  <c r="A9654" i="1"/>
  <c r="B9654" i="1"/>
  <c r="C9654" i="1"/>
  <c r="D9654" i="1"/>
  <c r="E9654" i="1"/>
  <c r="A9655" i="1"/>
  <c r="B9655" i="1"/>
  <c r="C9655" i="1"/>
  <c r="D9655" i="1"/>
  <c r="E9655" i="1"/>
  <c r="A9656" i="1"/>
  <c r="B9656" i="1"/>
  <c r="C9656" i="1"/>
  <c r="D9656" i="1"/>
  <c r="E9656" i="1"/>
  <c r="A9657" i="1"/>
  <c r="B9657" i="1"/>
  <c r="C9657" i="1"/>
  <c r="D9657" i="1"/>
  <c r="E9657" i="1"/>
  <c r="A9658" i="1"/>
  <c r="B9658" i="1"/>
  <c r="C9658" i="1"/>
  <c r="D9658" i="1"/>
  <c r="E9658" i="1"/>
  <c r="A9659" i="1"/>
  <c r="B9659" i="1"/>
  <c r="C9659" i="1"/>
  <c r="D9659" i="1"/>
  <c r="E9659" i="1"/>
  <c r="A9660" i="1"/>
  <c r="B9660" i="1"/>
  <c r="C9660" i="1"/>
  <c r="D9660" i="1"/>
  <c r="E9660" i="1"/>
  <c r="A9661" i="1"/>
  <c r="B9661" i="1"/>
  <c r="C9661" i="1"/>
  <c r="D9661" i="1"/>
  <c r="E9661" i="1"/>
  <c r="A9662" i="1"/>
  <c r="B9662" i="1"/>
  <c r="C9662" i="1"/>
  <c r="D9662" i="1"/>
  <c r="E9662" i="1"/>
  <c r="A9663" i="1"/>
  <c r="B9663" i="1"/>
  <c r="C9663" i="1"/>
  <c r="D9663" i="1"/>
  <c r="E9663" i="1"/>
  <c r="A9664" i="1"/>
  <c r="B9664" i="1"/>
  <c r="C9664" i="1"/>
  <c r="D9664" i="1"/>
  <c r="E9664" i="1"/>
  <c r="A9665" i="1"/>
  <c r="B9665" i="1"/>
  <c r="C9665" i="1"/>
  <c r="D9665" i="1"/>
  <c r="E9665" i="1"/>
  <c r="A9666" i="1"/>
  <c r="B9666" i="1"/>
  <c r="C9666" i="1"/>
  <c r="D9666" i="1"/>
  <c r="E9666" i="1"/>
  <c r="A9667" i="1"/>
  <c r="B9667" i="1"/>
  <c r="C9667" i="1"/>
  <c r="D9667" i="1"/>
  <c r="E9667" i="1"/>
  <c r="A9668" i="1"/>
  <c r="B9668" i="1"/>
  <c r="C9668" i="1"/>
  <c r="D9668" i="1"/>
  <c r="E9668" i="1"/>
  <c r="A9669" i="1"/>
  <c r="B9669" i="1"/>
  <c r="C9669" i="1"/>
  <c r="D9669" i="1"/>
  <c r="E9669" i="1"/>
  <c r="A9670" i="1"/>
  <c r="B9670" i="1"/>
  <c r="C9670" i="1"/>
  <c r="D9670" i="1"/>
  <c r="E9670" i="1"/>
  <c r="A9671" i="1"/>
  <c r="B9671" i="1"/>
  <c r="C9671" i="1"/>
  <c r="D9671" i="1"/>
  <c r="E9671" i="1"/>
  <c r="A9672" i="1"/>
  <c r="B9672" i="1"/>
  <c r="C9672" i="1"/>
  <c r="D9672" i="1"/>
  <c r="E9672" i="1"/>
  <c r="A9673" i="1"/>
  <c r="B9673" i="1"/>
  <c r="C9673" i="1"/>
  <c r="D9673" i="1"/>
  <c r="E9673" i="1"/>
  <c r="A9674" i="1"/>
  <c r="B9674" i="1"/>
  <c r="C9674" i="1"/>
  <c r="D9674" i="1"/>
  <c r="E9674" i="1"/>
  <c r="A9675" i="1"/>
  <c r="B9675" i="1"/>
  <c r="C9675" i="1"/>
  <c r="D9675" i="1"/>
  <c r="E9675" i="1"/>
  <c r="A9676" i="1"/>
  <c r="B9676" i="1"/>
  <c r="C9676" i="1"/>
  <c r="D9676" i="1"/>
  <c r="E9676" i="1"/>
  <c r="A9677" i="1"/>
  <c r="B9677" i="1"/>
  <c r="C9677" i="1"/>
  <c r="D9677" i="1"/>
  <c r="E9677" i="1"/>
  <c r="A9678" i="1"/>
  <c r="B9678" i="1"/>
  <c r="C9678" i="1"/>
  <c r="D9678" i="1"/>
  <c r="E9678" i="1"/>
  <c r="A9679" i="1"/>
  <c r="B9679" i="1"/>
  <c r="C9679" i="1"/>
  <c r="D9679" i="1"/>
  <c r="E9679" i="1"/>
  <c r="A9680" i="1"/>
  <c r="B9680" i="1"/>
  <c r="C9680" i="1"/>
  <c r="D9680" i="1"/>
  <c r="E9680" i="1"/>
  <c r="A9681" i="1"/>
  <c r="B9681" i="1"/>
  <c r="C9681" i="1"/>
  <c r="D9681" i="1"/>
  <c r="E9681" i="1"/>
  <c r="A9682" i="1"/>
  <c r="B9682" i="1"/>
  <c r="C9682" i="1"/>
  <c r="D9682" i="1"/>
  <c r="E9682" i="1"/>
  <c r="A9683" i="1"/>
  <c r="B9683" i="1"/>
  <c r="C9683" i="1"/>
  <c r="D9683" i="1"/>
  <c r="E9683" i="1"/>
  <c r="A9684" i="1"/>
  <c r="B9684" i="1"/>
  <c r="C9684" i="1"/>
  <c r="D9684" i="1"/>
  <c r="E9684" i="1"/>
  <c r="A9685" i="1"/>
  <c r="B9685" i="1"/>
  <c r="C9685" i="1"/>
  <c r="D9685" i="1"/>
  <c r="E9685" i="1"/>
  <c r="A9686" i="1"/>
  <c r="B9686" i="1"/>
  <c r="C9686" i="1"/>
  <c r="D9686" i="1"/>
  <c r="E9686" i="1"/>
  <c r="A9687" i="1"/>
  <c r="B9687" i="1"/>
  <c r="C9687" i="1"/>
  <c r="D9687" i="1"/>
  <c r="E9687" i="1"/>
  <c r="A9688" i="1"/>
  <c r="B9688" i="1"/>
  <c r="C9688" i="1"/>
  <c r="D9688" i="1"/>
  <c r="E9688" i="1"/>
  <c r="A9689" i="1"/>
  <c r="B9689" i="1"/>
  <c r="C9689" i="1"/>
  <c r="D9689" i="1"/>
  <c r="E9689" i="1"/>
  <c r="A9690" i="1"/>
  <c r="B9690" i="1"/>
  <c r="C9690" i="1"/>
  <c r="D9690" i="1"/>
  <c r="E9690" i="1"/>
  <c r="A9691" i="1"/>
  <c r="B9691" i="1"/>
  <c r="C9691" i="1"/>
  <c r="D9691" i="1"/>
  <c r="E9691" i="1"/>
  <c r="A9692" i="1"/>
  <c r="B9692" i="1"/>
  <c r="C9692" i="1"/>
  <c r="D9692" i="1"/>
  <c r="E9692" i="1"/>
  <c r="A9693" i="1"/>
  <c r="B9693" i="1"/>
  <c r="C9693" i="1"/>
  <c r="D9693" i="1"/>
  <c r="E9693" i="1"/>
  <c r="A9694" i="1"/>
  <c r="B9694" i="1"/>
  <c r="C9694" i="1"/>
  <c r="D9694" i="1"/>
  <c r="E9694" i="1"/>
  <c r="A9695" i="1"/>
  <c r="B9695" i="1"/>
  <c r="C9695" i="1"/>
  <c r="D9695" i="1"/>
  <c r="E9695" i="1"/>
  <c r="A9696" i="1"/>
  <c r="B9696" i="1"/>
  <c r="C9696" i="1"/>
  <c r="D9696" i="1"/>
  <c r="E9696" i="1"/>
  <c r="A9697" i="1"/>
  <c r="B9697" i="1"/>
  <c r="C9697" i="1"/>
  <c r="D9697" i="1"/>
  <c r="E9697" i="1"/>
  <c r="A9698" i="1"/>
  <c r="B9698" i="1"/>
  <c r="C9698" i="1"/>
  <c r="D9698" i="1"/>
  <c r="E9698" i="1"/>
  <c r="A9699" i="1"/>
  <c r="B9699" i="1"/>
  <c r="C9699" i="1"/>
  <c r="D9699" i="1"/>
  <c r="E9699" i="1"/>
  <c r="A9700" i="1"/>
  <c r="B9700" i="1"/>
  <c r="C9700" i="1"/>
  <c r="D9700" i="1"/>
  <c r="E9700" i="1"/>
  <c r="A9701" i="1"/>
  <c r="B9701" i="1"/>
  <c r="C9701" i="1"/>
  <c r="D9701" i="1"/>
  <c r="E9701" i="1"/>
  <c r="A9702" i="1"/>
  <c r="B9702" i="1"/>
  <c r="C9702" i="1"/>
  <c r="D9702" i="1"/>
  <c r="E9702" i="1"/>
  <c r="A9703" i="1"/>
  <c r="B9703" i="1"/>
  <c r="C9703" i="1"/>
  <c r="D9703" i="1"/>
  <c r="E9703" i="1"/>
  <c r="A9704" i="1"/>
  <c r="B9704" i="1"/>
  <c r="C9704" i="1"/>
  <c r="D9704" i="1"/>
  <c r="E9704" i="1"/>
  <c r="A9705" i="1"/>
  <c r="B9705" i="1"/>
  <c r="C9705" i="1"/>
  <c r="D9705" i="1"/>
  <c r="E9705" i="1"/>
  <c r="A9706" i="1"/>
  <c r="B9706" i="1"/>
  <c r="C9706" i="1"/>
  <c r="D9706" i="1"/>
  <c r="E9706" i="1"/>
  <c r="A9707" i="1"/>
  <c r="B9707" i="1"/>
  <c r="C9707" i="1"/>
  <c r="D9707" i="1"/>
  <c r="E9707" i="1"/>
  <c r="A9708" i="1"/>
  <c r="B9708" i="1"/>
  <c r="C9708" i="1"/>
  <c r="D9708" i="1"/>
  <c r="E9708" i="1"/>
  <c r="A9709" i="1"/>
  <c r="B9709" i="1"/>
  <c r="C9709" i="1"/>
  <c r="D9709" i="1"/>
  <c r="E9709" i="1"/>
  <c r="A9710" i="1"/>
  <c r="B9710" i="1"/>
  <c r="C9710" i="1"/>
  <c r="D9710" i="1"/>
  <c r="E9710" i="1"/>
  <c r="A9711" i="1"/>
  <c r="B9711" i="1"/>
  <c r="C9711" i="1"/>
  <c r="D9711" i="1"/>
  <c r="E9711" i="1"/>
  <c r="A9712" i="1"/>
  <c r="B9712" i="1"/>
  <c r="C9712" i="1"/>
  <c r="D9712" i="1"/>
  <c r="E9712" i="1"/>
  <c r="A9713" i="1"/>
  <c r="B9713" i="1"/>
  <c r="C9713" i="1"/>
  <c r="D9713" i="1"/>
  <c r="E9713" i="1"/>
  <c r="A9714" i="1"/>
  <c r="B9714" i="1"/>
  <c r="C9714" i="1"/>
  <c r="D9714" i="1"/>
  <c r="E9714" i="1"/>
  <c r="A9715" i="1"/>
  <c r="B9715" i="1"/>
  <c r="C9715" i="1"/>
  <c r="D9715" i="1"/>
  <c r="E9715" i="1"/>
  <c r="A9716" i="1"/>
  <c r="B9716" i="1"/>
  <c r="C9716" i="1"/>
  <c r="D9716" i="1"/>
  <c r="E9716" i="1"/>
  <c r="A9717" i="1"/>
  <c r="B9717" i="1"/>
  <c r="C9717" i="1"/>
  <c r="D9717" i="1"/>
  <c r="E9717" i="1"/>
  <c r="A9718" i="1"/>
  <c r="B9718" i="1"/>
  <c r="C9718" i="1"/>
  <c r="D9718" i="1"/>
  <c r="E9718" i="1"/>
  <c r="A9719" i="1"/>
  <c r="B9719" i="1"/>
  <c r="C9719" i="1"/>
  <c r="D9719" i="1"/>
  <c r="E9719" i="1"/>
  <c r="A9720" i="1"/>
  <c r="B9720" i="1"/>
  <c r="C9720" i="1"/>
  <c r="D9720" i="1"/>
  <c r="E9720" i="1"/>
  <c r="A9721" i="1"/>
  <c r="B9721" i="1"/>
  <c r="C9721" i="1"/>
  <c r="D9721" i="1"/>
  <c r="E9721" i="1"/>
  <c r="A9722" i="1"/>
  <c r="B9722" i="1"/>
  <c r="C9722" i="1"/>
  <c r="D9722" i="1"/>
  <c r="E9722" i="1"/>
  <c r="A9723" i="1"/>
  <c r="B9723" i="1"/>
  <c r="C9723" i="1"/>
  <c r="D9723" i="1"/>
  <c r="E9723" i="1"/>
  <c r="A9724" i="1"/>
  <c r="B9724" i="1"/>
  <c r="C9724" i="1"/>
  <c r="D9724" i="1"/>
  <c r="E9724" i="1"/>
  <c r="A9725" i="1"/>
  <c r="B9725" i="1"/>
  <c r="C9725" i="1"/>
  <c r="D9725" i="1"/>
  <c r="E9725" i="1"/>
  <c r="A9726" i="1"/>
  <c r="B9726" i="1"/>
  <c r="C9726" i="1"/>
  <c r="D9726" i="1"/>
  <c r="E9726" i="1"/>
  <c r="A9727" i="1"/>
  <c r="B9727" i="1"/>
  <c r="C9727" i="1"/>
  <c r="D9727" i="1"/>
  <c r="E9727" i="1"/>
  <c r="A9728" i="1"/>
  <c r="B9728" i="1"/>
  <c r="C9728" i="1"/>
  <c r="D9728" i="1"/>
  <c r="E9728" i="1"/>
  <c r="A9729" i="1"/>
  <c r="B9729" i="1"/>
  <c r="C9729" i="1"/>
  <c r="D9729" i="1"/>
  <c r="E9729" i="1"/>
  <c r="A9730" i="1"/>
  <c r="B9730" i="1"/>
  <c r="C9730" i="1"/>
  <c r="D9730" i="1"/>
  <c r="E9730" i="1"/>
  <c r="A9731" i="1"/>
  <c r="B9731" i="1"/>
  <c r="C9731" i="1"/>
  <c r="D9731" i="1"/>
  <c r="E9731" i="1"/>
  <c r="A9732" i="1"/>
  <c r="B9732" i="1"/>
  <c r="C9732" i="1"/>
  <c r="D9732" i="1"/>
  <c r="E9732" i="1"/>
  <c r="A9733" i="1"/>
  <c r="B9733" i="1"/>
  <c r="C9733" i="1"/>
  <c r="D9733" i="1"/>
  <c r="E9733" i="1"/>
  <c r="A9734" i="1"/>
  <c r="B9734" i="1"/>
  <c r="C9734" i="1"/>
  <c r="D9734" i="1"/>
  <c r="E9734" i="1"/>
  <c r="A9735" i="1"/>
  <c r="B9735" i="1"/>
  <c r="C9735" i="1"/>
  <c r="D9735" i="1"/>
  <c r="E9735" i="1"/>
  <c r="A9736" i="1"/>
  <c r="B9736" i="1"/>
  <c r="C9736" i="1"/>
  <c r="D9736" i="1"/>
  <c r="E9736" i="1"/>
  <c r="A9737" i="1"/>
  <c r="B9737" i="1"/>
  <c r="C9737" i="1"/>
  <c r="D9737" i="1"/>
  <c r="E9737" i="1"/>
  <c r="A9738" i="1"/>
  <c r="B9738" i="1"/>
  <c r="C9738" i="1"/>
  <c r="D9738" i="1"/>
  <c r="E9738" i="1"/>
  <c r="A9739" i="1"/>
  <c r="B9739" i="1"/>
  <c r="C9739" i="1"/>
  <c r="D9739" i="1"/>
  <c r="E9739" i="1"/>
  <c r="A9740" i="1"/>
  <c r="B9740" i="1"/>
  <c r="C9740" i="1"/>
  <c r="D9740" i="1"/>
  <c r="E9740" i="1"/>
  <c r="A9741" i="1"/>
  <c r="B9741" i="1"/>
  <c r="C9741" i="1"/>
  <c r="D9741" i="1"/>
  <c r="E9741" i="1"/>
  <c r="A9742" i="1"/>
  <c r="B9742" i="1"/>
  <c r="C9742" i="1"/>
  <c r="D9742" i="1"/>
  <c r="E9742" i="1"/>
  <c r="A9743" i="1"/>
  <c r="B9743" i="1"/>
  <c r="C9743" i="1"/>
  <c r="D9743" i="1"/>
  <c r="E9743" i="1"/>
  <c r="A9744" i="1"/>
  <c r="B9744" i="1"/>
  <c r="C9744" i="1"/>
  <c r="D9744" i="1"/>
  <c r="E9744" i="1"/>
  <c r="A9745" i="1"/>
  <c r="B9745" i="1"/>
  <c r="C9745" i="1"/>
  <c r="D9745" i="1"/>
  <c r="E9745" i="1"/>
  <c r="A9746" i="1"/>
  <c r="B9746" i="1"/>
  <c r="C9746" i="1"/>
  <c r="D9746" i="1"/>
  <c r="E9746" i="1"/>
  <c r="A9747" i="1"/>
  <c r="B9747" i="1"/>
  <c r="C9747" i="1"/>
  <c r="D9747" i="1"/>
  <c r="E9747" i="1"/>
  <c r="A9748" i="1"/>
  <c r="B9748" i="1"/>
  <c r="C9748" i="1"/>
  <c r="D9748" i="1"/>
  <c r="E9748" i="1"/>
  <c r="A9749" i="1"/>
  <c r="B9749" i="1"/>
  <c r="C9749" i="1"/>
  <c r="D9749" i="1"/>
  <c r="E9749" i="1"/>
  <c r="A9750" i="1"/>
  <c r="B9750" i="1"/>
  <c r="C9750" i="1"/>
  <c r="D9750" i="1"/>
  <c r="E9750" i="1"/>
  <c r="A9751" i="1"/>
  <c r="B9751" i="1"/>
  <c r="C9751" i="1"/>
  <c r="D9751" i="1"/>
  <c r="E9751" i="1"/>
  <c r="A9752" i="1"/>
  <c r="B9752" i="1"/>
  <c r="C9752" i="1"/>
  <c r="D9752" i="1"/>
  <c r="E9752" i="1"/>
  <c r="A9753" i="1"/>
  <c r="B9753" i="1"/>
  <c r="C9753" i="1"/>
  <c r="D9753" i="1"/>
  <c r="E9753" i="1"/>
  <c r="A9754" i="1"/>
  <c r="B9754" i="1"/>
  <c r="C9754" i="1"/>
  <c r="D9754" i="1"/>
  <c r="E9754" i="1"/>
  <c r="A9755" i="1"/>
  <c r="B9755" i="1"/>
  <c r="C9755" i="1"/>
  <c r="D9755" i="1"/>
  <c r="E9755" i="1"/>
  <c r="A9756" i="1"/>
  <c r="B9756" i="1"/>
  <c r="C9756" i="1"/>
  <c r="D9756" i="1"/>
  <c r="E9756" i="1"/>
  <c r="A9757" i="1"/>
  <c r="B9757" i="1"/>
  <c r="C9757" i="1"/>
  <c r="D9757" i="1"/>
  <c r="E9757" i="1"/>
  <c r="A9758" i="1"/>
  <c r="B9758" i="1"/>
  <c r="C9758" i="1"/>
  <c r="D9758" i="1"/>
  <c r="E9758" i="1"/>
  <c r="A9759" i="1"/>
  <c r="B9759" i="1"/>
  <c r="C9759" i="1"/>
  <c r="D9759" i="1"/>
  <c r="E9759" i="1"/>
  <c r="A9760" i="1"/>
  <c r="B9760" i="1"/>
  <c r="C9760" i="1"/>
  <c r="D9760" i="1"/>
  <c r="E9760" i="1"/>
  <c r="A9761" i="1"/>
  <c r="B9761" i="1"/>
  <c r="C9761" i="1"/>
  <c r="D9761" i="1"/>
  <c r="E9761" i="1"/>
  <c r="A9762" i="1"/>
  <c r="B9762" i="1"/>
  <c r="C9762" i="1"/>
  <c r="D9762" i="1"/>
  <c r="E9762" i="1"/>
  <c r="A9763" i="1"/>
  <c r="B9763" i="1"/>
  <c r="C9763" i="1"/>
  <c r="D9763" i="1"/>
  <c r="E9763" i="1"/>
  <c r="A9764" i="1"/>
  <c r="B9764" i="1"/>
  <c r="C9764" i="1"/>
  <c r="D9764" i="1"/>
  <c r="E9764" i="1"/>
  <c r="A9765" i="1"/>
  <c r="B9765" i="1"/>
  <c r="C9765" i="1"/>
  <c r="D9765" i="1"/>
  <c r="E9765" i="1"/>
  <c r="A9766" i="1"/>
  <c r="B9766" i="1"/>
  <c r="C9766" i="1"/>
  <c r="D9766" i="1"/>
  <c r="E9766" i="1"/>
  <c r="A9767" i="1"/>
  <c r="B9767" i="1"/>
  <c r="C9767" i="1"/>
  <c r="D9767" i="1"/>
  <c r="E9767" i="1"/>
  <c r="A9768" i="1"/>
  <c r="B9768" i="1"/>
  <c r="C9768" i="1"/>
  <c r="D9768" i="1"/>
  <c r="E9768" i="1"/>
  <c r="A9769" i="1"/>
  <c r="B9769" i="1"/>
  <c r="C9769" i="1"/>
  <c r="D9769" i="1"/>
  <c r="E9769" i="1"/>
  <c r="A9770" i="1"/>
  <c r="B9770" i="1"/>
  <c r="C9770" i="1"/>
  <c r="D9770" i="1"/>
  <c r="E9770" i="1"/>
  <c r="A9771" i="1"/>
  <c r="B9771" i="1"/>
  <c r="C9771" i="1"/>
  <c r="D9771" i="1"/>
  <c r="E9771" i="1"/>
  <c r="A9772" i="1"/>
  <c r="B9772" i="1"/>
  <c r="C9772" i="1"/>
  <c r="D9772" i="1"/>
  <c r="E9772" i="1"/>
  <c r="A9773" i="1"/>
  <c r="B9773" i="1"/>
  <c r="C9773" i="1"/>
  <c r="D9773" i="1"/>
  <c r="E9773" i="1"/>
  <c r="A9774" i="1"/>
  <c r="B9774" i="1"/>
  <c r="C9774" i="1"/>
  <c r="D9774" i="1"/>
  <c r="E9774" i="1"/>
  <c r="A9775" i="1"/>
  <c r="B9775" i="1"/>
  <c r="C9775" i="1"/>
  <c r="D9775" i="1"/>
  <c r="E9775" i="1"/>
  <c r="A9776" i="1"/>
  <c r="B9776" i="1"/>
  <c r="C9776" i="1"/>
  <c r="D9776" i="1"/>
  <c r="E9776" i="1"/>
  <c r="A9777" i="1"/>
  <c r="B9777" i="1"/>
  <c r="C9777" i="1"/>
  <c r="D9777" i="1"/>
  <c r="E9777" i="1"/>
  <c r="A9778" i="1"/>
  <c r="B9778" i="1"/>
  <c r="C9778" i="1"/>
  <c r="D9778" i="1"/>
  <c r="E9778" i="1"/>
  <c r="A9779" i="1"/>
  <c r="B9779" i="1"/>
  <c r="C9779" i="1"/>
  <c r="D9779" i="1"/>
  <c r="E9779" i="1"/>
  <c r="A9780" i="1"/>
  <c r="B9780" i="1"/>
  <c r="C9780" i="1"/>
  <c r="D9780" i="1"/>
  <c r="E9780" i="1"/>
  <c r="A9781" i="1"/>
  <c r="B9781" i="1"/>
  <c r="C9781" i="1"/>
  <c r="D9781" i="1"/>
  <c r="E9781" i="1"/>
  <c r="A9782" i="1"/>
  <c r="B9782" i="1"/>
  <c r="C9782" i="1"/>
  <c r="D9782" i="1"/>
  <c r="E9782" i="1"/>
  <c r="A9783" i="1"/>
  <c r="B9783" i="1"/>
  <c r="C9783" i="1"/>
  <c r="D9783" i="1"/>
  <c r="E9783" i="1"/>
  <c r="A9784" i="1"/>
  <c r="B9784" i="1"/>
  <c r="C9784" i="1"/>
  <c r="D9784" i="1"/>
  <c r="E9784" i="1"/>
  <c r="A9785" i="1"/>
  <c r="B9785" i="1"/>
  <c r="C9785" i="1"/>
  <c r="D9785" i="1"/>
  <c r="E9785" i="1"/>
  <c r="A9786" i="1"/>
  <c r="B9786" i="1"/>
  <c r="C9786" i="1"/>
  <c r="D9786" i="1"/>
  <c r="E9786" i="1"/>
  <c r="A9787" i="1"/>
  <c r="B9787" i="1"/>
  <c r="C9787" i="1"/>
  <c r="D9787" i="1"/>
  <c r="E9787" i="1"/>
  <c r="A9788" i="1"/>
  <c r="B9788" i="1"/>
  <c r="C9788" i="1"/>
  <c r="D9788" i="1"/>
  <c r="E9788" i="1"/>
  <c r="A9789" i="1"/>
  <c r="B9789" i="1"/>
  <c r="C9789" i="1"/>
  <c r="D9789" i="1"/>
  <c r="E9789" i="1"/>
  <c r="A9790" i="1"/>
  <c r="B9790" i="1"/>
  <c r="C9790" i="1"/>
  <c r="D9790" i="1"/>
  <c r="E9790" i="1"/>
  <c r="A9791" i="1"/>
  <c r="B9791" i="1"/>
  <c r="C9791" i="1"/>
  <c r="D9791" i="1"/>
  <c r="E9791" i="1"/>
  <c r="A9792" i="1"/>
  <c r="B9792" i="1"/>
  <c r="C9792" i="1"/>
  <c r="D9792" i="1"/>
  <c r="E9792" i="1"/>
  <c r="A9793" i="1"/>
  <c r="B9793" i="1"/>
  <c r="C9793" i="1"/>
  <c r="D9793" i="1"/>
  <c r="E9793" i="1"/>
  <c r="A9794" i="1"/>
  <c r="B9794" i="1"/>
  <c r="C9794" i="1"/>
  <c r="D9794" i="1"/>
  <c r="E9794" i="1"/>
  <c r="A9795" i="1"/>
  <c r="B9795" i="1"/>
  <c r="C9795" i="1"/>
  <c r="D9795" i="1"/>
  <c r="E9795" i="1"/>
  <c r="A9796" i="1"/>
  <c r="B9796" i="1"/>
  <c r="C9796" i="1"/>
  <c r="D9796" i="1"/>
  <c r="E9796" i="1"/>
  <c r="A9797" i="1"/>
  <c r="B9797" i="1"/>
  <c r="C9797" i="1"/>
  <c r="D9797" i="1"/>
  <c r="E9797" i="1"/>
  <c r="A9798" i="1"/>
  <c r="B9798" i="1"/>
  <c r="C9798" i="1"/>
  <c r="D9798" i="1"/>
  <c r="E9798" i="1"/>
  <c r="A9799" i="1"/>
  <c r="B9799" i="1"/>
  <c r="C9799" i="1"/>
  <c r="D9799" i="1"/>
  <c r="E9799" i="1"/>
  <c r="A9800" i="1"/>
  <c r="B9800" i="1"/>
  <c r="C9800" i="1"/>
  <c r="D9800" i="1"/>
  <c r="E9800" i="1"/>
  <c r="A9801" i="1"/>
  <c r="B9801" i="1"/>
  <c r="C9801" i="1"/>
  <c r="D9801" i="1"/>
  <c r="E9801" i="1"/>
  <c r="A9802" i="1"/>
  <c r="B9802" i="1"/>
  <c r="C9802" i="1"/>
  <c r="D9802" i="1"/>
  <c r="E9802" i="1"/>
  <c r="A9803" i="1"/>
  <c r="B9803" i="1"/>
  <c r="C9803" i="1"/>
  <c r="D9803" i="1"/>
  <c r="E9803" i="1"/>
  <c r="A9804" i="1"/>
  <c r="B9804" i="1"/>
  <c r="C9804" i="1"/>
  <c r="D9804" i="1"/>
  <c r="E9804" i="1"/>
  <c r="A9805" i="1"/>
  <c r="B9805" i="1"/>
  <c r="C9805" i="1"/>
  <c r="D9805" i="1"/>
  <c r="E9805" i="1"/>
  <c r="A9806" i="1"/>
  <c r="B9806" i="1"/>
  <c r="C9806" i="1"/>
  <c r="D9806" i="1"/>
  <c r="E9806" i="1"/>
  <c r="A9807" i="1"/>
  <c r="B9807" i="1"/>
  <c r="C9807" i="1"/>
  <c r="D9807" i="1"/>
  <c r="E9807" i="1"/>
  <c r="A9808" i="1"/>
  <c r="B9808" i="1"/>
  <c r="C9808" i="1"/>
  <c r="D9808" i="1"/>
  <c r="E9808" i="1"/>
  <c r="A9809" i="1"/>
  <c r="B9809" i="1"/>
  <c r="C9809" i="1"/>
  <c r="D9809" i="1"/>
  <c r="E9809" i="1"/>
  <c r="A9810" i="1"/>
  <c r="B9810" i="1"/>
  <c r="C9810" i="1"/>
  <c r="D9810" i="1"/>
  <c r="E9810" i="1"/>
  <c r="A9811" i="1"/>
  <c r="B9811" i="1"/>
  <c r="C9811" i="1"/>
  <c r="D9811" i="1"/>
  <c r="E9811" i="1"/>
  <c r="A9812" i="1"/>
  <c r="B9812" i="1"/>
  <c r="C9812" i="1"/>
  <c r="D9812" i="1"/>
  <c r="E9812" i="1"/>
  <c r="A9813" i="1"/>
  <c r="B9813" i="1"/>
  <c r="C9813" i="1"/>
  <c r="D9813" i="1"/>
  <c r="E9813" i="1"/>
  <c r="A9814" i="1"/>
  <c r="B9814" i="1"/>
  <c r="C9814" i="1"/>
  <c r="D9814" i="1"/>
  <c r="E9814" i="1"/>
  <c r="A9815" i="1"/>
  <c r="B9815" i="1"/>
  <c r="C9815" i="1"/>
  <c r="D9815" i="1"/>
  <c r="E9815" i="1"/>
  <c r="A9816" i="1"/>
  <c r="B9816" i="1"/>
  <c r="C9816" i="1"/>
  <c r="D9816" i="1"/>
  <c r="E9816" i="1"/>
  <c r="A9817" i="1"/>
  <c r="B9817" i="1"/>
  <c r="C9817" i="1"/>
  <c r="D9817" i="1"/>
  <c r="E9817" i="1"/>
  <c r="A9818" i="1"/>
  <c r="B9818" i="1"/>
  <c r="C9818" i="1"/>
  <c r="D9818" i="1"/>
  <c r="E9818" i="1"/>
  <c r="A9819" i="1"/>
  <c r="B9819" i="1"/>
  <c r="C9819" i="1"/>
  <c r="D9819" i="1"/>
  <c r="E9819" i="1"/>
  <c r="A9820" i="1"/>
  <c r="B9820" i="1"/>
  <c r="C9820" i="1"/>
  <c r="D9820" i="1"/>
  <c r="E9820" i="1"/>
  <c r="A9821" i="1"/>
  <c r="B9821" i="1"/>
  <c r="C9821" i="1"/>
  <c r="D9821" i="1"/>
  <c r="E9821" i="1"/>
  <c r="A9822" i="1"/>
  <c r="B9822" i="1"/>
  <c r="C9822" i="1"/>
  <c r="D9822" i="1"/>
  <c r="E9822" i="1"/>
  <c r="A9823" i="1"/>
  <c r="B9823" i="1"/>
  <c r="C9823" i="1"/>
  <c r="D9823" i="1"/>
  <c r="E9823" i="1"/>
  <c r="A9824" i="1"/>
  <c r="B9824" i="1"/>
  <c r="C9824" i="1"/>
  <c r="D9824" i="1"/>
  <c r="E9824" i="1"/>
  <c r="A9825" i="1"/>
  <c r="B9825" i="1"/>
  <c r="C9825" i="1"/>
  <c r="D9825" i="1"/>
  <c r="E9825" i="1"/>
  <c r="A9826" i="1"/>
  <c r="B9826" i="1"/>
  <c r="C9826" i="1"/>
  <c r="D9826" i="1"/>
  <c r="E9826" i="1"/>
  <c r="A9827" i="1"/>
  <c r="B9827" i="1"/>
  <c r="C9827" i="1"/>
  <c r="D9827" i="1"/>
  <c r="E9827" i="1"/>
  <c r="A9828" i="1"/>
  <c r="B9828" i="1"/>
  <c r="C9828" i="1"/>
  <c r="D9828" i="1"/>
  <c r="E9828" i="1"/>
  <c r="A9829" i="1"/>
  <c r="B9829" i="1"/>
  <c r="C9829" i="1"/>
  <c r="D9829" i="1"/>
  <c r="E9829" i="1"/>
  <c r="A9830" i="1"/>
  <c r="B9830" i="1"/>
  <c r="C9830" i="1"/>
  <c r="D9830" i="1"/>
  <c r="E9830" i="1"/>
  <c r="A9831" i="1"/>
  <c r="B9831" i="1"/>
  <c r="C9831" i="1"/>
  <c r="D9831" i="1"/>
  <c r="E9831" i="1"/>
  <c r="A9832" i="1"/>
  <c r="B9832" i="1"/>
  <c r="C9832" i="1"/>
  <c r="D9832" i="1"/>
  <c r="E9832" i="1"/>
  <c r="A9833" i="1"/>
  <c r="B9833" i="1"/>
  <c r="C9833" i="1"/>
  <c r="D9833" i="1"/>
  <c r="E9833" i="1"/>
  <c r="A9834" i="1"/>
  <c r="B9834" i="1"/>
  <c r="C9834" i="1"/>
  <c r="D9834" i="1"/>
  <c r="E9834" i="1"/>
  <c r="A9835" i="1"/>
  <c r="B9835" i="1"/>
  <c r="C9835" i="1"/>
  <c r="D9835" i="1"/>
  <c r="E9835" i="1"/>
  <c r="A9836" i="1"/>
  <c r="B9836" i="1"/>
  <c r="C9836" i="1"/>
  <c r="D9836" i="1"/>
  <c r="E9836" i="1"/>
  <c r="A9837" i="1"/>
  <c r="B9837" i="1"/>
  <c r="C9837" i="1"/>
  <c r="D9837" i="1"/>
  <c r="E9837" i="1"/>
  <c r="A9838" i="1"/>
  <c r="B9838" i="1"/>
  <c r="C9838" i="1"/>
  <c r="D9838" i="1"/>
  <c r="E9838" i="1"/>
  <c r="A9839" i="1"/>
  <c r="B9839" i="1"/>
  <c r="C9839" i="1"/>
  <c r="D9839" i="1"/>
  <c r="E9839" i="1"/>
  <c r="A9840" i="1"/>
  <c r="B9840" i="1"/>
  <c r="C9840" i="1"/>
  <c r="D9840" i="1"/>
  <c r="E9840" i="1"/>
  <c r="A9841" i="1"/>
  <c r="B9841" i="1"/>
  <c r="C9841" i="1"/>
  <c r="D9841" i="1"/>
  <c r="E9841" i="1"/>
  <c r="A9842" i="1"/>
  <c r="B9842" i="1"/>
  <c r="C9842" i="1"/>
  <c r="D9842" i="1"/>
  <c r="E9842" i="1"/>
  <c r="A9843" i="1"/>
  <c r="B9843" i="1"/>
  <c r="C9843" i="1"/>
  <c r="D9843" i="1"/>
  <c r="E9843" i="1"/>
  <c r="A9844" i="1"/>
  <c r="B9844" i="1"/>
  <c r="C9844" i="1"/>
  <c r="D9844" i="1"/>
  <c r="E9844" i="1"/>
  <c r="A9845" i="1"/>
  <c r="B9845" i="1"/>
  <c r="C9845" i="1"/>
  <c r="D9845" i="1"/>
  <c r="E9845" i="1"/>
  <c r="A9846" i="1"/>
  <c r="B9846" i="1"/>
  <c r="C9846" i="1"/>
  <c r="D9846" i="1"/>
  <c r="E9846" i="1"/>
  <c r="A9847" i="1"/>
  <c r="B9847" i="1"/>
  <c r="C9847" i="1"/>
  <c r="D9847" i="1"/>
  <c r="E9847" i="1"/>
  <c r="A9848" i="1"/>
  <c r="B9848" i="1"/>
  <c r="C9848" i="1"/>
  <c r="D9848" i="1"/>
  <c r="E9848" i="1"/>
  <c r="A9849" i="1"/>
  <c r="B9849" i="1"/>
  <c r="C9849" i="1"/>
  <c r="D9849" i="1"/>
  <c r="E9849" i="1"/>
  <c r="A9850" i="1"/>
  <c r="B9850" i="1"/>
  <c r="C9850" i="1"/>
  <c r="D9850" i="1"/>
  <c r="E9850" i="1"/>
  <c r="A9851" i="1"/>
  <c r="B9851" i="1"/>
  <c r="C9851" i="1"/>
  <c r="D9851" i="1"/>
  <c r="E9851" i="1"/>
  <c r="A9852" i="1"/>
  <c r="B9852" i="1"/>
  <c r="C9852" i="1"/>
  <c r="D9852" i="1"/>
  <c r="E9852" i="1"/>
  <c r="A9853" i="1"/>
  <c r="B9853" i="1"/>
  <c r="C9853" i="1"/>
  <c r="D9853" i="1"/>
  <c r="E9853" i="1"/>
  <c r="A9854" i="1"/>
  <c r="B9854" i="1"/>
  <c r="C9854" i="1"/>
  <c r="D9854" i="1"/>
  <c r="E9854" i="1"/>
  <c r="A9855" i="1"/>
  <c r="B9855" i="1"/>
  <c r="C9855" i="1"/>
  <c r="D9855" i="1"/>
  <c r="E9855" i="1"/>
  <c r="A9856" i="1"/>
  <c r="B9856" i="1"/>
  <c r="C9856" i="1"/>
  <c r="D9856" i="1"/>
  <c r="E9856" i="1"/>
  <c r="A9857" i="1"/>
  <c r="B9857" i="1"/>
  <c r="C9857" i="1"/>
  <c r="D9857" i="1"/>
  <c r="E9857" i="1"/>
  <c r="A9858" i="1"/>
  <c r="B9858" i="1"/>
  <c r="C9858" i="1"/>
  <c r="D9858" i="1"/>
  <c r="E9858" i="1"/>
  <c r="A9859" i="1"/>
  <c r="B9859" i="1"/>
  <c r="C9859" i="1"/>
  <c r="D9859" i="1"/>
  <c r="E9859" i="1"/>
  <c r="A9860" i="1"/>
  <c r="B9860" i="1"/>
  <c r="C9860" i="1"/>
  <c r="D9860" i="1"/>
  <c r="E9860" i="1"/>
  <c r="A9861" i="1"/>
  <c r="B9861" i="1"/>
  <c r="C9861" i="1"/>
  <c r="D9861" i="1"/>
  <c r="E9861" i="1"/>
  <c r="A9862" i="1"/>
  <c r="B9862" i="1"/>
  <c r="C9862" i="1"/>
  <c r="D9862" i="1"/>
  <c r="E9862" i="1"/>
  <c r="A9863" i="1"/>
  <c r="B9863" i="1"/>
  <c r="C9863" i="1"/>
  <c r="D9863" i="1"/>
  <c r="E9863" i="1"/>
  <c r="A9864" i="1"/>
  <c r="B9864" i="1"/>
  <c r="C9864" i="1"/>
  <c r="D9864" i="1"/>
  <c r="E9864" i="1"/>
  <c r="A9865" i="1"/>
  <c r="B9865" i="1"/>
  <c r="C9865" i="1"/>
  <c r="D9865" i="1"/>
  <c r="E9865" i="1"/>
  <c r="A9866" i="1"/>
  <c r="B9866" i="1"/>
  <c r="C9866" i="1"/>
  <c r="D9866" i="1"/>
  <c r="E9866" i="1"/>
  <c r="A9867" i="1"/>
  <c r="B9867" i="1"/>
  <c r="C9867" i="1"/>
  <c r="D9867" i="1"/>
  <c r="E9867" i="1"/>
  <c r="A9868" i="1"/>
  <c r="B9868" i="1"/>
  <c r="C9868" i="1"/>
  <c r="D9868" i="1"/>
  <c r="E9868" i="1"/>
  <c r="A9869" i="1"/>
  <c r="B9869" i="1"/>
  <c r="C9869" i="1"/>
  <c r="D9869" i="1"/>
  <c r="E9869" i="1"/>
  <c r="A9870" i="1"/>
  <c r="B9870" i="1"/>
  <c r="C9870" i="1"/>
  <c r="D9870" i="1"/>
  <c r="E9870" i="1"/>
  <c r="A9871" i="1"/>
  <c r="B9871" i="1"/>
  <c r="C9871" i="1"/>
  <c r="D9871" i="1"/>
  <c r="E9871" i="1"/>
  <c r="A9872" i="1"/>
  <c r="B9872" i="1"/>
  <c r="C9872" i="1"/>
  <c r="D9872" i="1"/>
  <c r="E9872" i="1"/>
  <c r="A9873" i="1"/>
  <c r="B9873" i="1"/>
  <c r="C9873" i="1"/>
  <c r="D9873" i="1"/>
  <c r="E9873" i="1"/>
  <c r="A9874" i="1"/>
  <c r="B9874" i="1"/>
  <c r="C9874" i="1"/>
  <c r="D9874" i="1"/>
  <c r="E9874" i="1"/>
  <c r="A9875" i="1"/>
  <c r="B9875" i="1"/>
  <c r="C9875" i="1"/>
  <c r="D9875" i="1"/>
  <c r="E9875" i="1"/>
  <c r="A9876" i="1"/>
  <c r="B9876" i="1"/>
  <c r="C9876" i="1"/>
  <c r="D9876" i="1"/>
  <c r="E9876" i="1"/>
  <c r="A9877" i="1"/>
  <c r="B9877" i="1"/>
  <c r="C9877" i="1"/>
  <c r="D9877" i="1"/>
  <c r="E9877" i="1"/>
  <c r="A9878" i="1"/>
  <c r="B9878" i="1"/>
  <c r="C9878" i="1"/>
  <c r="D9878" i="1"/>
  <c r="E9878" i="1"/>
  <c r="A9879" i="1"/>
  <c r="B9879" i="1"/>
  <c r="C9879" i="1"/>
  <c r="D9879" i="1"/>
  <c r="E9879" i="1"/>
  <c r="A9880" i="1"/>
  <c r="B9880" i="1"/>
  <c r="C9880" i="1"/>
  <c r="D9880" i="1"/>
  <c r="E9880" i="1"/>
  <c r="A9881" i="1"/>
  <c r="B9881" i="1"/>
  <c r="C9881" i="1"/>
  <c r="D9881" i="1"/>
  <c r="E9881" i="1"/>
  <c r="A9882" i="1"/>
  <c r="B9882" i="1"/>
  <c r="C9882" i="1"/>
  <c r="D9882" i="1"/>
  <c r="E9882" i="1"/>
  <c r="A9883" i="1"/>
  <c r="B9883" i="1"/>
  <c r="C9883" i="1"/>
  <c r="D9883" i="1"/>
  <c r="E9883" i="1"/>
  <c r="A9884" i="1"/>
  <c r="B9884" i="1"/>
  <c r="C9884" i="1"/>
  <c r="D9884" i="1"/>
  <c r="E9884" i="1"/>
  <c r="A9885" i="1"/>
  <c r="B9885" i="1"/>
  <c r="C9885" i="1"/>
  <c r="D9885" i="1"/>
  <c r="E9885" i="1"/>
  <c r="A9886" i="1"/>
  <c r="B9886" i="1"/>
  <c r="C9886" i="1"/>
  <c r="D9886" i="1"/>
  <c r="E9886" i="1"/>
  <c r="A9887" i="1"/>
  <c r="B9887" i="1"/>
  <c r="C9887" i="1"/>
  <c r="D9887" i="1"/>
  <c r="E9887" i="1"/>
  <c r="A9888" i="1"/>
  <c r="B9888" i="1"/>
  <c r="C9888" i="1"/>
  <c r="D9888" i="1"/>
  <c r="E9888" i="1"/>
  <c r="A9889" i="1"/>
  <c r="B9889" i="1"/>
  <c r="C9889" i="1"/>
  <c r="D9889" i="1"/>
  <c r="E9889" i="1"/>
  <c r="A9890" i="1"/>
  <c r="B9890" i="1"/>
  <c r="C9890" i="1"/>
  <c r="D9890" i="1"/>
  <c r="E9890" i="1"/>
  <c r="A9891" i="1"/>
  <c r="B9891" i="1"/>
  <c r="C9891" i="1"/>
  <c r="D9891" i="1"/>
  <c r="E9891" i="1"/>
  <c r="A9892" i="1"/>
  <c r="B9892" i="1"/>
  <c r="C9892" i="1"/>
  <c r="D9892" i="1"/>
  <c r="E9892" i="1"/>
  <c r="A9893" i="1"/>
  <c r="B9893" i="1"/>
  <c r="C9893" i="1"/>
  <c r="D9893" i="1"/>
  <c r="E9893" i="1"/>
  <c r="A9894" i="1"/>
  <c r="B9894" i="1"/>
  <c r="C9894" i="1"/>
  <c r="D9894" i="1"/>
  <c r="E9894" i="1"/>
  <c r="A9895" i="1"/>
  <c r="B9895" i="1"/>
  <c r="C9895" i="1"/>
  <c r="D9895" i="1"/>
  <c r="E9895" i="1"/>
  <c r="A9896" i="1"/>
  <c r="B9896" i="1"/>
  <c r="C9896" i="1"/>
  <c r="D9896" i="1"/>
  <c r="E9896" i="1"/>
  <c r="A9897" i="1"/>
  <c r="B9897" i="1"/>
  <c r="C9897" i="1"/>
  <c r="D9897" i="1"/>
  <c r="E9897" i="1"/>
  <c r="A9898" i="1"/>
  <c r="B9898" i="1"/>
  <c r="C9898" i="1"/>
  <c r="D9898" i="1"/>
  <c r="E9898" i="1"/>
  <c r="A9899" i="1"/>
  <c r="B9899" i="1"/>
  <c r="C9899" i="1"/>
  <c r="D9899" i="1"/>
  <c r="E9899" i="1"/>
  <c r="A9900" i="1"/>
  <c r="B9900" i="1"/>
  <c r="C9900" i="1"/>
  <c r="D9900" i="1"/>
  <c r="E9900" i="1"/>
  <c r="A9901" i="1"/>
  <c r="B9901" i="1"/>
  <c r="C9901" i="1"/>
  <c r="D9901" i="1"/>
  <c r="E9901" i="1"/>
  <c r="A9902" i="1"/>
  <c r="B9902" i="1"/>
  <c r="C9902" i="1"/>
  <c r="D9902" i="1"/>
  <c r="E9902" i="1"/>
  <c r="A9903" i="1"/>
  <c r="B9903" i="1"/>
  <c r="C9903" i="1"/>
  <c r="D9903" i="1"/>
  <c r="E9903" i="1"/>
  <c r="A9904" i="1"/>
  <c r="B9904" i="1"/>
  <c r="C9904" i="1"/>
  <c r="D9904" i="1"/>
  <c r="E9904" i="1"/>
  <c r="A9905" i="1"/>
  <c r="B9905" i="1"/>
  <c r="C9905" i="1"/>
  <c r="D9905" i="1"/>
  <c r="E9905" i="1"/>
  <c r="A9906" i="1"/>
  <c r="B9906" i="1"/>
  <c r="C9906" i="1"/>
  <c r="D9906" i="1"/>
  <c r="E9906" i="1"/>
  <c r="A9907" i="1"/>
  <c r="B9907" i="1"/>
  <c r="C9907" i="1"/>
  <c r="D9907" i="1"/>
  <c r="E9907" i="1"/>
  <c r="A9908" i="1"/>
  <c r="B9908" i="1"/>
  <c r="C9908" i="1"/>
  <c r="D9908" i="1"/>
  <c r="E9908" i="1"/>
  <c r="A9909" i="1"/>
  <c r="B9909" i="1"/>
  <c r="C9909" i="1"/>
  <c r="D9909" i="1"/>
  <c r="E9909" i="1"/>
  <c r="A9910" i="1"/>
  <c r="B9910" i="1"/>
  <c r="C9910" i="1"/>
  <c r="D9910" i="1"/>
  <c r="E9910" i="1"/>
  <c r="A9911" i="1"/>
  <c r="B9911" i="1"/>
  <c r="C9911" i="1"/>
  <c r="D9911" i="1"/>
  <c r="E9911" i="1"/>
  <c r="A9912" i="1"/>
  <c r="B9912" i="1"/>
  <c r="C9912" i="1"/>
  <c r="D9912" i="1"/>
  <c r="E9912" i="1"/>
  <c r="A9913" i="1"/>
  <c r="B9913" i="1"/>
  <c r="C9913" i="1"/>
  <c r="D9913" i="1"/>
  <c r="E9913" i="1"/>
  <c r="A9914" i="1"/>
  <c r="B9914" i="1"/>
  <c r="C9914" i="1"/>
  <c r="D9914" i="1"/>
  <c r="E9914" i="1"/>
  <c r="A9915" i="1"/>
  <c r="B9915" i="1"/>
  <c r="C9915" i="1"/>
  <c r="D9915" i="1"/>
  <c r="E9915" i="1"/>
  <c r="A9916" i="1"/>
  <c r="B9916" i="1"/>
  <c r="C9916" i="1"/>
  <c r="D9916" i="1"/>
  <c r="E9916" i="1"/>
  <c r="A9917" i="1"/>
  <c r="B9917" i="1"/>
  <c r="C9917" i="1"/>
  <c r="D9917" i="1"/>
  <c r="E9917" i="1"/>
  <c r="A9918" i="1"/>
  <c r="B9918" i="1"/>
  <c r="C9918" i="1"/>
  <c r="D9918" i="1"/>
  <c r="E9918" i="1"/>
  <c r="A9919" i="1"/>
  <c r="B9919" i="1"/>
  <c r="C9919" i="1"/>
  <c r="D9919" i="1"/>
  <c r="E9919" i="1"/>
  <c r="A9920" i="1"/>
  <c r="B9920" i="1"/>
  <c r="C9920" i="1"/>
  <c r="D9920" i="1"/>
  <c r="E9920" i="1"/>
  <c r="A9921" i="1"/>
  <c r="B9921" i="1"/>
  <c r="C9921" i="1"/>
  <c r="D9921" i="1"/>
  <c r="E9921" i="1"/>
  <c r="A9922" i="1"/>
  <c r="B9922" i="1"/>
  <c r="C9922" i="1"/>
  <c r="D9922" i="1"/>
  <c r="E9922" i="1"/>
  <c r="A9923" i="1"/>
  <c r="B9923" i="1"/>
  <c r="C9923" i="1"/>
  <c r="D9923" i="1"/>
  <c r="E9923" i="1"/>
  <c r="A9924" i="1"/>
  <c r="B9924" i="1"/>
  <c r="C9924" i="1"/>
  <c r="D9924" i="1"/>
  <c r="E9924" i="1"/>
  <c r="A9925" i="1"/>
  <c r="B9925" i="1"/>
  <c r="C9925" i="1"/>
  <c r="D9925" i="1"/>
  <c r="E9925" i="1"/>
  <c r="A9926" i="1"/>
  <c r="B9926" i="1"/>
  <c r="C9926" i="1"/>
  <c r="D9926" i="1"/>
  <c r="E9926" i="1"/>
  <c r="A9927" i="1"/>
  <c r="B9927" i="1"/>
  <c r="C9927" i="1"/>
  <c r="D9927" i="1"/>
  <c r="E9927" i="1"/>
  <c r="A9928" i="1"/>
  <c r="B9928" i="1"/>
  <c r="C9928" i="1"/>
  <c r="D9928" i="1"/>
  <c r="E9928" i="1"/>
  <c r="A9929" i="1"/>
  <c r="B9929" i="1"/>
  <c r="C9929" i="1"/>
  <c r="D9929" i="1"/>
  <c r="E9929" i="1"/>
  <c r="A9930" i="1"/>
  <c r="B9930" i="1"/>
  <c r="C9930" i="1"/>
  <c r="D9930" i="1"/>
  <c r="E9930" i="1"/>
  <c r="A9931" i="1"/>
  <c r="B9931" i="1"/>
  <c r="C9931" i="1"/>
  <c r="D9931" i="1"/>
  <c r="E9931" i="1"/>
  <c r="A9932" i="1"/>
  <c r="B9932" i="1"/>
  <c r="C9932" i="1"/>
  <c r="D9932" i="1"/>
  <c r="E9932" i="1"/>
  <c r="A9933" i="1"/>
  <c r="B9933" i="1"/>
  <c r="C9933" i="1"/>
  <c r="D9933" i="1"/>
  <c r="E9933" i="1"/>
  <c r="A9934" i="1"/>
  <c r="B9934" i="1"/>
  <c r="C9934" i="1"/>
  <c r="D9934" i="1"/>
  <c r="E9934" i="1"/>
  <c r="A9935" i="1"/>
  <c r="B9935" i="1"/>
  <c r="C9935" i="1"/>
  <c r="D9935" i="1"/>
  <c r="E9935" i="1"/>
  <c r="A9936" i="1"/>
  <c r="B9936" i="1"/>
  <c r="C9936" i="1"/>
  <c r="D9936" i="1"/>
  <c r="E9936" i="1"/>
  <c r="A9937" i="1"/>
  <c r="B9937" i="1"/>
  <c r="C9937" i="1"/>
  <c r="D9937" i="1"/>
  <c r="E9937" i="1"/>
  <c r="A9938" i="1"/>
  <c r="B9938" i="1"/>
  <c r="C9938" i="1"/>
  <c r="D9938" i="1"/>
  <c r="E9938" i="1"/>
  <c r="A9939" i="1"/>
  <c r="B9939" i="1"/>
  <c r="C9939" i="1"/>
  <c r="D9939" i="1"/>
  <c r="E9939" i="1"/>
  <c r="A9940" i="1"/>
  <c r="B9940" i="1"/>
  <c r="C9940" i="1"/>
  <c r="D9940" i="1"/>
  <c r="E9940" i="1"/>
  <c r="A9941" i="1"/>
  <c r="B9941" i="1"/>
  <c r="C9941" i="1"/>
  <c r="D9941" i="1"/>
  <c r="E9941" i="1"/>
  <c r="A9942" i="1"/>
  <c r="B9942" i="1"/>
  <c r="C9942" i="1"/>
  <c r="D9942" i="1"/>
  <c r="E9942" i="1"/>
  <c r="A9943" i="1"/>
  <c r="B9943" i="1"/>
  <c r="C9943" i="1"/>
  <c r="D9943" i="1"/>
  <c r="E9943" i="1"/>
  <c r="A9944" i="1"/>
  <c r="B9944" i="1"/>
  <c r="C9944" i="1"/>
  <c r="D9944" i="1"/>
  <c r="E9944" i="1"/>
  <c r="A9945" i="1"/>
  <c r="B9945" i="1"/>
  <c r="C9945" i="1"/>
  <c r="D9945" i="1"/>
  <c r="E9945" i="1"/>
  <c r="A9946" i="1"/>
  <c r="B9946" i="1"/>
  <c r="C9946" i="1"/>
  <c r="D9946" i="1"/>
  <c r="E9946" i="1"/>
  <c r="A9947" i="1"/>
  <c r="B9947" i="1"/>
  <c r="C9947" i="1"/>
  <c r="D9947" i="1"/>
  <c r="E9947" i="1"/>
  <c r="A9948" i="1"/>
  <c r="B9948" i="1"/>
  <c r="C9948" i="1"/>
  <c r="D9948" i="1"/>
  <c r="E9948" i="1"/>
  <c r="A9949" i="1"/>
  <c r="B9949" i="1"/>
  <c r="C9949" i="1"/>
  <c r="D9949" i="1"/>
  <c r="E9949" i="1"/>
  <c r="A9950" i="1"/>
  <c r="B9950" i="1"/>
  <c r="C9950" i="1"/>
  <c r="D9950" i="1"/>
  <c r="E9950" i="1"/>
  <c r="A9951" i="1"/>
  <c r="B9951" i="1"/>
  <c r="C9951" i="1"/>
  <c r="D9951" i="1"/>
  <c r="E9951" i="1"/>
  <c r="A9952" i="1"/>
  <c r="B9952" i="1"/>
  <c r="C9952" i="1"/>
  <c r="D9952" i="1"/>
  <c r="E9952" i="1"/>
  <c r="A9953" i="1"/>
  <c r="B9953" i="1"/>
  <c r="C9953" i="1"/>
  <c r="D9953" i="1"/>
  <c r="E9953" i="1"/>
  <c r="A9954" i="1"/>
  <c r="B9954" i="1"/>
  <c r="C9954" i="1"/>
  <c r="D9954" i="1"/>
  <c r="E9954" i="1"/>
  <c r="A9955" i="1"/>
  <c r="B9955" i="1"/>
  <c r="C9955" i="1"/>
  <c r="D9955" i="1"/>
  <c r="E9955" i="1"/>
  <c r="A9956" i="1"/>
  <c r="B9956" i="1"/>
  <c r="C9956" i="1"/>
  <c r="D9956" i="1"/>
  <c r="E9956" i="1"/>
  <c r="A9957" i="1"/>
  <c r="B9957" i="1"/>
  <c r="C9957" i="1"/>
  <c r="D9957" i="1"/>
  <c r="E9957" i="1"/>
  <c r="A9958" i="1"/>
  <c r="B9958" i="1"/>
  <c r="C9958" i="1"/>
  <c r="D9958" i="1"/>
  <c r="E9958" i="1"/>
  <c r="A9959" i="1"/>
  <c r="B9959" i="1"/>
  <c r="C9959" i="1"/>
  <c r="D9959" i="1"/>
  <c r="E9959" i="1"/>
  <c r="A9960" i="1"/>
  <c r="B9960" i="1"/>
  <c r="C9960" i="1"/>
  <c r="D9960" i="1"/>
  <c r="E9960" i="1"/>
  <c r="A9961" i="1"/>
  <c r="B9961" i="1"/>
  <c r="C9961" i="1"/>
  <c r="D9961" i="1"/>
  <c r="E9961" i="1"/>
  <c r="A9962" i="1"/>
  <c r="B9962" i="1"/>
  <c r="C9962" i="1"/>
  <c r="D9962" i="1"/>
  <c r="E9962" i="1"/>
  <c r="A9963" i="1"/>
  <c r="B9963" i="1"/>
  <c r="C9963" i="1"/>
  <c r="D9963" i="1"/>
  <c r="E9963" i="1"/>
  <c r="A9964" i="1"/>
  <c r="B9964" i="1"/>
  <c r="C9964" i="1"/>
  <c r="D9964" i="1"/>
  <c r="E9964" i="1"/>
  <c r="A9965" i="1"/>
  <c r="B9965" i="1"/>
  <c r="C9965" i="1"/>
  <c r="D9965" i="1"/>
  <c r="E9965" i="1"/>
  <c r="A9966" i="1"/>
  <c r="B9966" i="1"/>
  <c r="C9966" i="1"/>
  <c r="D9966" i="1"/>
  <c r="E9966" i="1"/>
  <c r="A9967" i="1"/>
  <c r="B9967" i="1"/>
  <c r="C9967" i="1"/>
  <c r="D9967" i="1"/>
  <c r="E9967" i="1"/>
  <c r="A9968" i="1"/>
  <c r="B9968" i="1"/>
  <c r="C9968" i="1"/>
  <c r="D9968" i="1"/>
  <c r="E9968" i="1"/>
  <c r="A9969" i="1"/>
  <c r="B9969" i="1"/>
  <c r="C9969" i="1"/>
  <c r="D9969" i="1"/>
  <c r="E9969" i="1"/>
  <c r="A9970" i="1"/>
  <c r="B9970" i="1"/>
  <c r="C9970" i="1"/>
  <c r="D9970" i="1"/>
  <c r="E9970" i="1"/>
  <c r="A9971" i="1"/>
  <c r="B9971" i="1"/>
  <c r="C9971" i="1"/>
  <c r="D9971" i="1"/>
  <c r="E9971" i="1"/>
  <c r="A9972" i="1"/>
  <c r="B9972" i="1"/>
  <c r="C9972" i="1"/>
  <c r="D9972" i="1"/>
  <c r="E9972" i="1"/>
  <c r="A9973" i="1"/>
  <c r="B9973" i="1"/>
  <c r="C9973" i="1"/>
  <c r="D9973" i="1"/>
  <c r="E9973" i="1"/>
  <c r="A9974" i="1"/>
  <c r="B9974" i="1"/>
  <c r="C9974" i="1"/>
  <c r="D9974" i="1"/>
  <c r="E9974" i="1"/>
  <c r="A9975" i="1"/>
  <c r="B9975" i="1"/>
  <c r="C9975" i="1"/>
  <c r="D9975" i="1"/>
  <c r="E9975" i="1"/>
  <c r="A9976" i="1"/>
  <c r="B9976" i="1"/>
  <c r="C9976" i="1"/>
  <c r="D9976" i="1"/>
  <c r="E9976" i="1"/>
  <c r="A9977" i="1"/>
  <c r="B9977" i="1"/>
  <c r="C9977" i="1"/>
  <c r="D9977" i="1"/>
  <c r="E9977" i="1"/>
  <c r="A9978" i="1"/>
  <c r="B9978" i="1"/>
  <c r="C9978" i="1"/>
  <c r="D9978" i="1"/>
  <c r="E9978" i="1"/>
  <c r="A9979" i="1"/>
  <c r="B9979" i="1"/>
  <c r="C9979" i="1"/>
  <c r="D9979" i="1"/>
  <c r="E9979" i="1"/>
  <c r="A9980" i="1"/>
  <c r="B9980" i="1"/>
  <c r="C9980" i="1"/>
  <c r="D9980" i="1"/>
  <c r="E9980" i="1"/>
  <c r="A9981" i="1"/>
  <c r="B9981" i="1"/>
  <c r="C9981" i="1"/>
  <c r="D9981" i="1"/>
  <c r="E9981" i="1"/>
  <c r="A9982" i="1"/>
  <c r="B9982" i="1"/>
  <c r="C9982" i="1"/>
  <c r="D9982" i="1"/>
  <c r="E9982" i="1"/>
  <c r="A9983" i="1"/>
  <c r="B9983" i="1"/>
  <c r="C9983" i="1"/>
  <c r="D9983" i="1"/>
  <c r="E9983" i="1"/>
  <c r="A9984" i="1"/>
  <c r="B9984" i="1"/>
  <c r="C9984" i="1"/>
  <c r="D9984" i="1"/>
  <c r="E9984" i="1"/>
  <c r="A9985" i="1"/>
  <c r="B9985" i="1"/>
  <c r="C9985" i="1"/>
  <c r="D9985" i="1"/>
  <c r="E9985" i="1"/>
  <c r="A9986" i="1"/>
  <c r="B9986" i="1"/>
  <c r="C9986" i="1"/>
  <c r="D9986" i="1"/>
  <c r="E9986" i="1"/>
  <c r="A9987" i="1"/>
  <c r="B9987" i="1"/>
  <c r="C9987" i="1"/>
  <c r="D9987" i="1"/>
  <c r="E9987" i="1"/>
  <c r="A9988" i="1"/>
  <c r="B9988" i="1"/>
  <c r="C9988" i="1"/>
  <c r="D9988" i="1"/>
  <c r="E9988" i="1"/>
  <c r="A9989" i="1"/>
  <c r="B9989" i="1"/>
  <c r="C9989" i="1"/>
  <c r="D9989" i="1"/>
  <c r="E9989" i="1"/>
  <c r="A9990" i="1"/>
  <c r="B9990" i="1"/>
  <c r="C9990" i="1"/>
  <c r="D9990" i="1"/>
  <c r="E9990" i="1"/>
  <c r="A9991" i="1"/>
  <c r="B9991" i="1"/>
  <c r="C9991" i="1"/>
  <c r="D9991" i="1"/>
  <c r="E9991" i="1"/>
  <c r="A9992" i="1"/>
  <c r="B9992" i="1"/>
  <c r="C9992" i="1"/>
  <c r="D9992" i="1"/>
  <c r="E9992" i="1"/>
  <c r="A9993" i="1"/>
  <c r="B9993" i="1"/>
  <c r="C9993" i="1"/>
  <c r="D9993" i="1"/>
  <c r="E9993" i="1"/>
  <c r="A9994" i="1"/>
  <c r="B9994" i="1"/>
  <c r="C9994" i="1"/>
  <c r="D9994" i="1"/>
  <c r="E9994" i="1"/>
  <c r="A9995" i="1"/>
  <c r="B9995" i="1"/>
  <c r="C9995" i="1"/>
  <c r="D9995" i="1"/>
  <c r="E9995" i="1"/>
  <c r="A9996" i="1"/>
  <c r="B9996" i="1"/>
  <c r="C9996" i="1"/>
  <c r="D9996" i="1"/>
  <c r="E9996" i="1"/>
  <c r="A9997" i="1"/>
  <c r="B9997" i="1"/>
  <c r="C9997" i="1"/>
  <c r="D9997" i="1"/>
  <c r="E9997" i="1"/>
  <c r="A9998" i="1"/>
  <c r="B9998" i="1"/>
  <c r="C9998" i="1"/>
  <c r="D9998" i="1"/>
  <c r="E9998" i="1"/>
  <c r="A9999" i="1"/>
  <c r="B9999" i="1"/>
  <c r="C9999" i="1"/>
  <c r="D9999" i="1"/>
  <c r="E9999" i="1"/>
  <c r="A10000" i="1"/>
  <c r="B10000" i="1"/>
  <c r="C10000" i="1"/>
  <c r="D10000" i="1"/>
  <c r="E10000" i="1"/>
  <c r="A10001" i="1"/>
  <c r="B10001" i="1"/>
  <c r="C10001" i="1"/>
  <c r="D10001" i="1"/>
  <c r="E10001" i="1"/>
  <c r="A10002" i="1"/>
  <c r="B10002" i="1"/>
  <c r="C10002" i="1"/>
  <c r="D10002" i="1"/>
  <c r="E10002" i="1"/>
  <c r="A10003" i="1"/>
  <c r="B10003" i="1"/>
  <c r="C10003" i="1"/>
  <c r="D10003" i="1"/>
  <c r="E10003" i="1"/>
  <c r="A10004" i="1"/>
  <c r="B10004" i="1"/>
  <c r="C10004" i="1"/>
  <c r="D10004" i="1"/>
  <c r="E10004" i="1"/>
  <c r="A10005" i="1"/>
  <c r="B10005" i="1"/>
  <c r="C10005" i="1"/>
  <c r="D10005" i="1"/>
  <c r="E10005" i="1"/>
  <c r="A10006" i="1"/>
  <c r="B10006" i="1"/>
  <c r="C10006" i="1"/>
  <c r="D10006" i="1"/>
  <c r="E10006" i="1"/>
  <c r="A10007" i="1"/>
  <c r="B10007" i="1"/>
  <c r="C10007" i="1"/>
  <c r="D10007" i="1"/>
  <c r="E10007" i="1"/>
  <c r="A10008" i="1"/>
  <c r="B10008" i="1"/>
  <c r="C10008" i="1"/>
  <c r="D10008" i="1"/>
  <c r="E10008" i="1"/>
  <c r="A10009" i="1"/>
  <c r="B10009" i="1"/>
  <c r="C10009" i="1"/>
  <c r="D10009" i="1"/>
  <c r="E10009" i="1"/>
  <c r="A10010" i="1"/>
  <c r="B10010" i="1"/>
  <c r="C10010" i="1"/>
  <c r="D10010" i="1"/>
  <c r="E10010" i="1"/>
  <c r="A10011" i="1"/>
  <c r="B10011" i="1"/>
  <c r="C10011" i="1"/>
  <c r="D10011" i="1"/>
  <c r="E10011" i="1"/>
  <c r="A10012" i="1"/>
  <c r="B10012" i="1"/>
  <c r="C10012" i="1"/>
  <c r="D10012" i="1"/>
  <c r="E10012" i="1"/>
  <c r="A10013" i="1"/>
  <c r="B10013" i="1"/>
  <c r="C10013" i="1"/>
  <c r="D10013" i="1"/>
  <c r="E10013" i="1"/>
  <c r="A10014" i="1"/>
  <c r="B10014" i="1"/>
  <c r="C10014" i="1"/>
  <c r="D10014" i="1"/>
  <c r="E10014" i="1"/>
  <c r="A10015" i="1"/>
  <c r="B10015" i="1"/>
  <c r="C10015" i="1"/>
  <c r="D10015" i="1"/>
  <c r="E10015" i="1"/>
  <c r="A10016" i="1"/>
  <c r="B10016" i="1"/>
  <c r="C10016" i="1"/>
  <c r="D10016" i="1"/>
  <c r="E10016" i="1"/>
  <c r="A10017" i="1"/>
  <c r="B10017" i="1"/>
  <c r="C10017" i="1"/>
  <c r="D10017" i="1"/>
  <c r="E10017" i="1"/>
  <c r="A10018" i="1"/>
  <c r="B10018" i="1"/>
  <c r="C10018" i="1"/>
  <c r="D10018" i="1"/>
  <c r="E10018" i="1"/>
  <c r="A10019" i="1"/>
  <c r="B10019" i="1"/>
  <c r="C10019" i="1"/>
  <c r="D10019" i="1"/>
  <c r="E10019" i="1"/>
  <c r="A10020" i="1"/>
  <c r="B10020" i="1"/>
  <c r="C10020" i="1"/>
  <c r="D10020" i="1"/>
  <c r="E10020" i="1"/>
  <c r="A10021" i="1"/>
  <c r="B10021" i="1"/>
  <c r="C10021" i="1"/>
  <c r="D10021" i="1"/>
  <c r="E10021" i="1"/>
  <c r="A10022" i="1"/>
  <c r="B10022" i="1"/>
  <c r="C10022" i="1"/>
  <c r="D10022" i="1"/>
  <c r="E10022" i="1"/>
  <c r="A10023" i="1"/>
  <c r="B10023" i="1"/>
  <c r="C10023" i="1"/>
  <c r="D10023" i="1"/>
  <c r="E10023" i="1"/>
  <c r="A10024" i="1"/>
  <c r="B10024" i="1"/>
  <c r="C10024" i="1"/>
  <c r="D10024" i="1"/>
  <c r="E10024" i="1"/>
  <c r="A10025" i="1"/>
  <c r="B10025" i="1"/>
  <c r="C10025" i="1"/>
  <c r="D10025" i="1"/>
  <c r="E10025" i="1"/>
  <c r="A10026" i="1"/>
  <c r="B10026" i="1"/>
  <c r="C10026" i="1"/>
  <c r="D10026" i="1"/>
  <c r="E10026" i="1"/>
  <c r="A10027" i="1"/>
  <c r="B10027" i="1"/>
  <c r="C10027" i="1"/>
  <c r="D10027" i="1"/>
  <c r="E10027" i="1"/>
  <c r="A10028" i="1"/>
  <c r="B10028" i="1"/>
  <c r="C10028" i="1"/>
  <c r="D10028" i="1"/>
  <c r="E10028" i="1"/>
  <c r="A10029" i="1"/>
  <c r="B10029" i="1"/>
  <c r="C10029" i="1"/>
  <c r="D10029" i="1"/>
  <c r="E10029" i="1"/>
  <c r="A10030" i="1"/>
  <c r="B10030" i="1"/>
  <c r="C10030" i="1"/>
  <c r="D10030" i="1"/>
  <c r="E10030" i="1"/>
  <c r="A10031" i="1"/>
  <c r="B10031" i="1"/>
  <c r="C10031" i="1"/>
  <c r="D10031" i="1"/>
  <c r="E10031" i="1"/>
  <c r="A10032" i="1"/>
  <c r="B10032" i="1"/>
  <c r="C10032" i="1"/>
  <c r="D10032" i="1"/>
  <c r="E10032" i="1"/>
  <c r="A10033" i="1"/>
  <c r="B10033" i="1"/>
  <c r="C10033" i="1"/>
  <c r="D10033" i="1"/>
  <c r="E10033" i="1"/>
  <c r="A10034" i="1"/>
  <c r="B10034" i="1"/>
  <c r="C10034" i="1"/>
  <c r="D10034" i="1"/>
  <c r="E10034" i="1"/>
  <c r="A10035" i="1"/>
  <c r="B10035" i="1"/>
  <c r="C10035" i="1"/>
  <c r="D10035" i="1"/>
  <c r="E10035" i="1"/>
  <c r="A10036" i="1"/>
  <c r="B10036" i="1"/>
  <c r="C10036" i="1"/>
  <c r="D10036" i="1"/>
  <c r="E10036" i="1"/>
  <c r="A10037" i="1"/>
  <c r="B10037" i="1"/>
  <c r="C10037" i="1"/>
  <c r="D10037" i="1"/>
  <c r="E10037" i="1"/>
  <c r="A10038" i="1"/>
  <c r="B10038" i="1"/>
  <c r="C10038" i="1"/>
  <c r="D10038" i="1"/>
  <c r="E10038" i="1"/>
  <c r="A10039" i="1"/>
  <c r="B10039" i="1"/>
  <c r="C10039" i="1"/>
  <c r="D10039" i="1"/>
  <c r="E10039" i="1"/>
  <c r="A10040" i="1"/>
  <c r="B10040" i="1"/>
  <c r="C10040" i="1"/>
  <c r="D10040" i="1"/>
  <c r="E10040" i="1"/>
  <c r="A10041" i="1"/>
  <c r="B10041" i="1"/>
  <c r="C10041" i="1"/>
  <c r="D10041" i="1"/>
  <c r="E10041" i="1"/>
  <c r="A10042" i="1"/>
  <c r="B10042" i="1"/>
  <c r="C10042" i="1"/>
  <c r="D10042" i="1"/>
  <c r="E10042" i="1"/>
  <c r="A10043" i="1"/>
  <c r="B10043" i="1"/>
  <c r="C10043" i="1"/>
  <c r="D10043" i="1"/>
  <c r="E10043" i="1"/>
  <c r="A10044" i="1"/>
  <c r="B10044" i="1"/>
  <c r="C10044" i="1"/>
  <c r="D10044" i="1"/>
  <c r="E10044" i="1"/>
  <c r="A10045" i="1"/>
  <c r="B10045" i="1"/>
  <c r="C10045" i="1"/>
  <c r="D10045" i="1"/>
  <c r="E10045" i="1"/>
  <c r="A10046" i="1"/>
  <c r="B10046" i="1"/>
  <c r="C10046" i="1"/>
  <c r="D10046" i="1"/>
  <c r="E10046" i="1"/>
  <c r="A10047" i="1"/>
  <c r="B10047" i="1"/>
  <c r="C10047" i="1"/>
  <c r="D10047" i="1"/>
  <c r="E10047" i="1"/>
  <c r="A10048" i="1"/>
  <c r="B10048" i="1"/>
  <c r="C10048" i="1"/>
  <c r="D10048" i="1"/>
  <c r="E10048" i="1"/>
  <c r="A10049" i="1"/>
  <c r="B10049" i="1"/>
  <c r="C10049" i="1"/>
  <c r="D10049" i="1"/>
  <c r="E10049" i="1"/>
  <c r="A10050" i="1"/>
  <c r="B10050" i="1"/>
  <c r="C10050" i="1"/>
  <c r="D10050" i="1"/>
  <c r="E10050" i="1"/>
  <c r="A10051" i="1"/>
  <c r="B10051" i="1"/>
  <c r="C10051" i="1"/>
  <c r="D10051" i="1"/>
  <c r="E10051" i="1"/>
  <c r="A10052" i="1"/>
  <c r="B10052" i="1"/>
  <c r="C10052" i="1"/>
  <c r="D10052" i="1"/>
  <c r="E10052" i="1"/>
  <c r="A10053" i="1"/>
  <c r="B10053" i="1"/>
  <c r="C10053" i="1"/>
  <c r="D10053" i="1"/>
  <c r="E10053" i="1"/>
  <c r="A10054" i="1"/>
  <c r="B10054" i="1"/>
  <c r="C10054" i="1"/>
  <c r="D10054" i="1"/>
  <c r="E10054" i="1"/>
  <c r="A10055" i="1"/>
  <c r="B10055" i="1"/>
  <c r="C10055" i="1"/>
  <c r="D10055" i="1"/>
  <c r="E10055" i="1"/>
  <c r="A10056" i="1"/>
  <c r="B10056" i="1"/>
  <c r="C10056" i="1"/>
  <c r="D10056" i="1"/>
  <c r="E10056" i="1"/>
  <c r="A10057" i="1"/>
  <c r="B10057" i="1"/>
  <c r="C10057" i="1"/>
  <c r="D10057" i="1"/>
  <c r="E10057" i="1"/>
  <c r="A10058" i="1"/>
  <c r="B10058" i="1"/>
  <c r="C10058" i="1"/>
  <c r="D10058" i="1"/>
  <c r="E10058" i="1"/>
  <c r="A10059" i="1"/>
  <c r="B10059" i="1"/>
  <c r="C10059" i="1"/>
  <c r="D10059" i="1"/>
  <c r="E10059" i="1"/>
  <c r="A10060" i="1"/>
  <c r="B10060" i="1"/>
  <c r="C10060" i="1"/>
  <c r="D10060" i="1"/>
  <c r="E10060" i="1"/>
  <c r="A10061" i="1"/>
  <c r="B10061" i="1"/>
  <c r="C10061" i="1"/>
  <c r="D10061" i="1"/>
  <c r="E10061" i="1"/>
  <c r="A10062" i="1"/>
  <c r="B10062" i="1"/>
  <c r="C10062" i="1"/>
  <c r="D10062" i="1"/>
  <c r="E10062" i="1"/>
  <c r="A10063" i="1"/>
  <c r="B10063" i="1"/>
  <c r="C10063" i="1"/>
  <c r="D10063" i="1"/>
  <c r="E10063" i="1"/>
  <c r="A10064" i="1"/>
  <c r="B10064" i="1"/>
  <c r="C10064" i="1"/>
  <c r="D10064" i="1"/>
  <c r="E10064" i="1"/>
  <c r="A10065" i="1"/>
  <c r="B10065" i="1"/>
  <c r="C10065" i="1"/>
  <c r="D10065" i="1"/>
  <c r="E10065" i="1"/>
  <c r="A10066" i="1"/>
  <c r="B10066" i="1"/>
  <c r="C10066" i="1"/>
  <c r="D10066" i="1"/>
  <c r="E10066" i="1"/>
  <c r="A10067" i="1"/>
  <c r="B10067" i="1"/>
  <c r="C10067" i="1"/>
  <c r="D10067" i="1"/>
  <c r="E10067" i="1"/>
  <c r="A10068" i="1"/>
  <c r="B10068" i="1"/>
  <c r="C10068" i="1"/>
  <c r="D10068" i="1"/>
  <c r="E10068" i="1"/>
  <c r="A10069" i="1"/>
  <c r="B10069" i="1"/>
  <c r="C10069" i="1"/>
  <c r="D10069" i="1"/>
  <c r="E10069" i="1"/>
  <c r="A10070" i="1"/>
  <c r="B10070" i="1"/>
  <c r="C10070" i="1"/>
  <c r="D10070" i="1"/>
  <c r="E10070" i="1"/>
  <c r="A10071" i="1"/>
  <c r="B10071" i="1"/>
  <c r="C10071" i="1"/>
  <c r="D10071" i="1"/>
  <c r="E10071" i="1"/>
  <c r="A10072" i="1"/>
  <c r="B10072" i="1"/>
  <c r="C10072" i="1"/>
  <c r="D10072" i="1"/>
  <c r="E10072" i="1"/>
  <c r="A10073" i="1"/>
  <c r="B10073" i="1"/>
  <c r="C10073" i="1"/>
  <c r="D10073" i="1"/>
  <c r="E10073" i="1"/>
  <c r="A10074" i="1"/>
  <c r="B10074" i="1"/>
  <c r="C10074" i="1"/>
  <c r="D10074" i="1"/>
  <c r="E10074" i="1"/>
  <c r="A10075" i="1"/>
  <c r="B10075" i="1"/>
  <c r="C10075" i="1"/>
  <c r="D10075" i="1"/>
  <c r="E10075" i="1"/>
  <c r="A10076" i="1"/>
  <c r="B10076" i="1"/>
  <c r="C10076" i="1"/>
  <c r="D10076" i="1"/>
  <c r="E10076" i="1"/>
  <c r="A10077" i="1"/>
  <c r="B10077" i="1"/>
  <c r="C10077" i="1"/>
  <c r="D10077" i="1"/>
  <c r="E10077" i="1"/>
  <c r="A10078" i="1"/>
  <c r="B10078" i="1"/>
  <c r="C10078" i="1"/>
  <c r="D10078" i="1"/>
  <c r="E10078" i="1"/>
  <c r="A10079" i="1"/>
  <c r="B10079" i="1"/>
  <c r="C10079" i="1"/>
  <c r="D10079" i="1"/>
  <c r="E10079" i="1"/>
  <c r="A10080" i="1"/>
  <c r="B10080" i="1"/>
  <c r="C10080" i="1"/>
  <c r="D10080" i="1"/>
  <c r="E10080" i="1"/>
  <c r="A10081" i="1"/>
  <c r="B10081" i="1"/>
  <c r="C10081" i="1"/>
  <c r="D10081" i="1"/>
  <c r="E10081" i="1"/>
  <c r="A10082" i="1"/>
  <c r="B10082" i="1"/>
  <c r="C10082" i="1"/>
  <c r="D10082" i="1"/>
  <c r="E10082" i="1"/>
  <c r="A10083" i="1"/>
  <c r="B10083" i="1"/>
  <c r="C10083" i="1"/>
  <c r="D10083" i="1"/>
  <c r="E10083" i="1"/>
  <c r="A10084" i="1"/>
  <c r="B10084" i="1"/>
  <c r="C10084" i="1"/>
  <c r="D10084" i="1"/>
  <c r="E10084" i="1"/>
  <c r="A10085" i="1"/>
  <c r="B10085" i="1"/>
  <c r="C10085" i="1"/>
  <c r="D10085" i="1"/>
  <c r="E10085" i="1"/>
  <c r="A10086" i="1"/>
  <c r="B10086" i="1"/>
  <c r="C10086" i="1"/>
  <c r="D10086" i="1"/>
  <c r="E10086" i="1"/>
  <c r="A10087" i="1"/>
  <c r="B10087" i="1"/>
  <c r="C10087" i="1"/>
  <c r="D10087" i="1"/>
  <c r="E10087" i="1"/>
  <c r="A10088" i="1"/>
  <c r="B10088" i="1"/>
  <c r="C10088" i="1"/>
  <c r="D10088" i="1"/>
  <c r="E10088" i="1"/>
  <c r="A10089" i="1"/>
  <c r="B10089" i="1"/>
  <c r="C10089" i="1"/>
  <c r="D10089" i="1"/>
  <c r="E10089" i="1"/>
  <c r="A10090" i="1"/>
  <c r="B10090" i="1"/>
  <c r="C10090" i="1"/>
  <c r="D10090" i="1"/>
  <c r="E10090" i="1"/>
  <c r="A10091" i="1"/>
  <c r="B10091" i="1"/>
  <c r="C10091" i="1"/>
  <c r="D10091" i="1"/>
  <c r="E10091" i="1"/>
  <c r="A10092" i="1"/>
  <c r="B10092" i="1"/>
  <c r="C10092" i="1"/>
  <c r="D10092" i="1"/>
  <c r="E10092" i="1"/>
  <c r="A10093" i="1"/>
  <c r="B10093" i="1"/>
  <c r="C10093" i="1"/>
  <c r="D10093" i="1"/>
  <c r="E10093" i="1"/>
  <c r="A10094" i="1"/>
  <c r="B10094" i="1"/>
  <c r="C10094" i="1"/>
  <c r="D10094" i="1"/>
  <c r="E10094" i="1"/>
  <c r="A10095" i="1"/>
  <c r="B10095" i="1"/>
  <c r="C10095" i="1"/>
  <c r="D10095" i="1"/>
  <c r="E10095" i="1"/>
  <c r="A10096" i="1"/>
  <c r="B10096" i="1"/>
  <c r="C10096" i="1"/>
  <c r="D10096" i="1"/>
  <c r="E10096" i="1"/>
  <c r="A10097" i="1"/>
  <c r="B10097" i="1"/>
  <c r="C10097" i="1"/>
  <c r="D10097" i="1"/>
  <c r="E10097" i="1"/>
  <c r="A10098" i="1"/>
  <c r="B10098" i="1"/>
  <c r="C10098" i="1"/>
  <c r="D10098" i="1"/>
  <c r="E10098" i="1"/>
  <c r="A10099" i="1"/>
  <c r="B10099" i="1"/>
  <c r="C10099" i="1"/>
  <c r="D10099" i="1"/>
  <c r="E10099" i="1"/>
  <c r="A10100" i="1"/>
  <c r="B10100" i="1"/>
  <c r="C10100" i="1"/>
  <c r="D10100" i="1"/>
  <c r="E10100" i="1"/>
  <c r="A10101" i="1"/>
  <c r="B10101" i="1"/>
  <c r="C10101" i="1"/>
  <c r="D10101" i="1"/>
  <c r="E10101" i="1"/>
  <c r="A10102" i="1"/>
  <c r="B10102" i="1"/>
  <c r="C10102" i="1"/>
  <c r="D10102" i="1"/>
  <c r="E10102" i="1"/>
  <c r="A10103" i="1"/>
  <c r="B10103" i="1"/>
  <c r="C10103" i="1"/>
  <c r="D10103" i="1"/>
  <c r="E10103" i="1"/>
  <c r="A10104" i="1"/>
  <c r="B10104" i="1"/>
  <c r="C10104" i="1"/>
  <c r="D10104" i="1"/>
  <c r="E10104" i="1"/>
  <c r="A10105" i="1"/>
  <c r="B10105" i="1"/>
  <c r="C10105" i="1"/>
  <c r="D10105" i="1"/>
  <c r="E10105" i="1"/>
  <c r="A10106" i="1"/>
  <c r="B10106" i="1"/>
  <c r="C10106" i="1"/>
  <c r="D10106" i="1"/>
  <c r="E10106" i="1"/>
  <c r="A10107" i="1"/>
  <c r="B10107" i="1"/>
  <c r="C10107" i="1"/>
  <c r="D10107" i="1"/>
  <c r="E10107" i="1"/>
  <c r="A10108" i="1"/>
  <c r="B10108" i="1"/>
  <c r="C10108" i="1"/>
  <c r="D10108" i="1"/>
  <c r="E10108" i="1"/>
  <c r="A10109" i="1"/>
  <c r="B10109" i="1"/>
  <c r="C10109" i="1"/>
  <c r="D10109" i="1"/>
  <c r="E10109" i="1"/>
  <c r="A10110" i="1"/>
  <c r="B10110" i="1"/>
  <c r="C10110" i="1"/>
  <c r="D10110" i="1"/>
  <c r="E10110" i="1"/>
  <c r="A10111" i="1"/>
  <c r="B10111" i="1"/>
  <c r="C10111" i="1"/>
  <c r="D10111" i="1"/>
  <c r="E10111" i="1"/>
  <c r="A10112" i="1"/>
  <c r="B10112" i="1"/>
  <c r="C10112" i="1"/>
  <c r="D10112" i="1"/>
  <c r="E10112" i="1"/>
  <c r="A10113" i="1"/>
  <c r="B10113" i="1"/>
  <c r="C10113" i="1"/>
  <c r="D10113" i="1"/>
  <c r="E10113" i="1"/>
  <c r="A10114" i="1"/>
  <c r="B10114" i="1"/>
  <c r="C10114" i="1"/>
  <c r="D10114" i="1"/>
  <c r="E10114" i="1"/>
  <c r="A10115" i="1"/>
  <c r="B10115" i="1"/>
  <c r="C10115" i="1"/>
  <c r="D10115" i="1"/>
  <c r="E10115" i="1"/>
  <c r="A10116" i="1"/>
  <c r="B10116" i="1"/>
  <c r="C10116" i="1"/>
  <c r="D10116" i="1"/>
  <c r="E10116" i="1"/>
  <c r="A10117" i="1"/>
  <c r="B10117" i="1"/>
  <c r="C10117" i="1"/>
  <c r="D10117" i="1"/>
  <c r="E10117" i="1"/>
  <c r="A10118" i="1"/>
  <c r="B10118" i="1"/>
  <c r="C10118" i="1"/>
  <c r="D10118" i="1"/>
  <c r="E10118" i="1"/>
  <c r="A10119" i="1"/>
  <c r="B10119" i="1"/>
  <c r="C10119" i="1"/>
  <c r="D10119" i="1"/>
  <c r="E10119" i="1"/>
  <c r="A10120" i="1"/>
  <c r="B10120" i="1"/>
  <c r="C10120" i="1"/>
  <c r="D10120" i="1"/>
  <c r="E10120" i="1"/>
  <c r="A10121" i="1"/>
  <c r="B10121" i="1"/>
  <c r="C10121" i="1"/>
  <c r="D10121" i="1"/>
  <c r="E10121" i="1"/>
  <c r="A10122" i="1"/>
  <c r="B10122" i="1"/>
  <c r="C10122" i="1"/>
  <c r="D10122" i="1"/>
  <c r="E10122" i="1"/>
  <c r="A10123" i="1"/>
  <c r="B10123" i="1"/>
  <c r="C10123" i="1"/>
  <c r="D10123" i="1"/>
  <c r="E10123" i="1"/>
  <c r="A10124" i="1"/>
  <c r="B10124" i="1"/>
  <c r="C10124" i="1"/>
  <c r="D10124" i="1"/>
  <c r="E10124" i="1"/>
  <c r="A10125" i="1"/>
  <c r="B10125" i="1"/>
  <c r="C10125" i="1"/>
  <c r="D10125" i="1"/>
  <c r="E10125" i="1"/>
  <c r="A10126" i="1"/>
  <c r="B10126" i="1"/>
  <c r="C10126" i="1"/>
  <c r="D10126" i="1"/>
  <c r="E10126" i="1"/>
  <c r="A10127" i="1"/>
  <c r="B10127" i="1"/>
  <c r="C10127" i="1"/>
  <c r="D10127" i="1"/>
  <c r="E10127" i="1"/>
  <c r="A10128" i="1"/>
  <c r="B10128" i="1"/>
  <c r="C10128" i="1"/>
  <c r="D10128" i="1"/>
  <c r="E10128" i="1"/>
  <c r="A10129" i="1"/>
  <c r="B10129" i="1"/>
  <c r="C10129" i="1"/>
  <c r="D10129" i="1"/>
  <c r="E10129" i="1"/>
  <c r="A10130" i="1"/>
  <c r="B10130" i="1"/>
  <c r="C10130" i="1"/>
  <c r="D10130" i="1"/>
  <c r="E10130" i="1"/>
  <c r="A10131" i="1"/>
  <c r="B10131" i="1"/>
  <c r="C10131" i="1"/>
  <c r="D10131" i="1"/>
  <c r="E10131" i="1"/>
  <c r="A10132" i="1"/>
  <c r="B10132" i="1"/>
  <c r="C10132" i="1"/>
  <c r="D10132" i="1"/>
  <c r="E10132" i="1"/>
  <c r="A10133" i="1"/>
  <c r="B10133" i="1"/>
  <c r="C10133" i="1"/>
  <c r="D10133" i="1"/>
  <c r="E10133" i="1"/>
  <c r="A10134" i="1"/>
  <c r="B10134" i="1"/>
  <c r="C10134" i="1"/>
  <c r="D10134" i="1"/>
  <c r="E10134" i="1"/>
  <c r="A10135" i="1"/>
  <c r="B10135" i="1"/>
  <c r="C10135" i="1"/>
  <c r="D10135" i="1"/>
  <c r="E10135" i="1"/>
  <c r="A10136" i="1"/>
  <c r="B10136" i="1"/>
  <c r="C10136" i="1"/>
  <c r="D10136" i="1"/>
  <c r="E10136" i="1"/>
  <c r="A10137" i="1"/>
  <c r="B10137" i="1"/>
  <c r="C10137" i="1"/>
  <c r="D10137" i="1"/>
  <c r="E10137" i="1"/>
  <c r="A10138" i="1"/>
  <c r="B10138" i="1"/>
  <c r="C10138" i="1"/>
  <c r="D10138" i="1"/>
  <c r="E10138" i="1"/>
  <c r="A10139" i="1"/>
  <c r="B10139" i="1"/>
  <c r="C10139" i="1"/>
  <c r="D10139" i="1"/>
  <c r="E10139" i="1"/>
  <c r="A10140" i="1"/>
  <c r="B10140" i="1"/>
  <c r="C10140" i="1"/>
  <c r="D10140" i="1"/>
  <c r="E10140" i="1"/>
  <c r="A10141" i="1"/>
  <c r="B10141" i="1"/>
  <c r="C10141" i="1"/>
  <c r="D10141" i="1"/>
  <c r="E10141" i="1"/>
  <c r="A10142" i="1"/>
  <c r="B10142" i="1"/>
  <c r="C10142" i="1"/>
  <c r="D10142" i="1"/>
  <c r="E10142" i="1"/>
  <c r="A10143" i="1"/>
  <c r="B10143" i="1"/>
  <c r="C10143" i="1"/>
  <c r="D10143" i="1"/>
  <c r="E10143" i="1"/>
  <c r="A10144" i="1"/>
  <c r="B10144" i="1"/>
  <c r="C10144" i="1"/>
  <c r="D10144" i="1"/>
  <c r="E10144" i="1"/>
  <c r="A10145" i="1"/>
  <c r="B10145" i="1"/>
  <c r="C10145" i="1"/>
  <c r="D10145" i="1"/>
  <c r="E10145" i="1"/>
  <c r="A10146" i="1"/>
  <c r="B10146" i="1"/>
  <c r="C10146" i="1"/>
  <c r="D10146" i="1"/>
  <c r="E10146" i="1"/>
  <c r="A10147" i="1"/>
  <c r="B10147" i="1"/>
  <c r="C10147" i="1"/>
  <c r="D10147" i="1"/>
  <c r="E10147" i="1"/>
  <c r="A10148" i="1"/>
  <c r="B10148" i="1"/>
  <c r="C10148" i="1"/>
  <c r="D10148" i="1"/>
  <c r="E10148" i="1"/>
  <c r="A10149" i="1"/>
  <c r="B10149" i="1"/>
  <c r="C10149" i="1"/>
  <c r="D10149" i="1"/>
  <c r="E10149" i="1"/>
  <c r="A10150" i="1"/>
  <c r="B10150" i="1"/>
  <c r="C10150" i="1"/>
  <c r="D10150" i="1"/>
  <c r="E10150" i="1"/>
  <c r="A10151" i="1"/>
  <c r="B10151" i="1"/>
  <c r="C10151" i="1"/>
  <c r="D10151" i="1"/>
  <c r="E10151" i="1"/>
  <c r="A10152" i="1"/>
  <c r="B10152" i="1"/>
  <c r="C10152" i="1"/>
  <c r="D10152" i="1"/>
  <c r="E10152" i="1"/>
  <c r="A10153" i="1"/>
  <c r="B10153" i="1"/>
  <c r="C10153" i="1"/>
  <c r="D10153" i="1"/>
  <c r="E10153" i="1"/>
  <c r="A10154" i="1"/>
  <c r="B10154" i="1"/>
  <c r="C10154" i="1"/>
  <c r="D10154" i="1"/>
  <c r="E10154" i="1"/>
  <c r="A10155" i="1"/>
  <c r="B10155" i="1"/>
  <c r="C10155" i="1"/>
  <c r="D10155" i="1"/>
  <c r="E10155" i="1"/>
  <c r="A10156" i="1"/>
  <c r="B10156" i="1"/>
  <c r="C10156" i="1"/>
  <c r="D10156" i="1"/>
  <c r="E10156" i="1"/>
  <c r="A10157" i="1"/>
  <c r="B10157" i="1"/>
  <c r="C10157" i="1"/>
  <c r="D10157" i="1"/>
  <c r="E10157" i="1"/>
  <c r="A10158" i="1"/>
  <c r="B10158" i="1"/>
  <c r="C10158" i="1"/>
  <c r="D10158" i="1"/>
  <c r="E10158" i="1"/>
  <c r="A10159" i="1"/>
  <c r="B10159" i="1"/>
  <c r="C10159" i="1"/>
  <c r="D10159" i="1"/>
  <c r="E10159" i="1"/>
  <c r="A10160" i="1"/>
  <c r="B10160" i="1"/>
  <c r="C10160" i="1"/>
  <c r="D10160" i="1"/>
  <c r="E10160" i="1"/>
  <c r="A10161" i="1"/>
  <c r="B10161" i="1"/>
  <c r="C10161" i="1"/>
  <c r="D10161" i="1"/>
  <c r="E10161" i="1"/>
  <c r="A10162" i="1"/>
  <c r="B10162" i="1"/>
  <c r="C10162" i="1"/>
  <c r="D10162" i="1"/>
  <c r="E10162" i="1"/>
  <c r="A10163" i="1"/>
  <c r="B10163" i="1"/>
  <c r="C10163" i="1"/>
  <c r="D10163" i="1"/>
  <c r="E10163" i="1"/>
  <c r="A10164" i="1"/>
  <c r="B10164" i="1"/>
  <c r="C10164" i="1"/>
  <c r="D10164" i="1"/>
  <c r="E10164" i="1"/>
  <c r="A10165" i="1"/>
  <c r="B10165" i="1"/>
  <c r="C10165" i="1"/>
  <c r="D10165" i="1"/>
  <c r="E10165" i="1"/>
  <c r="A10166" i="1"/>
  <c r="B10166" i="1"/>
  <c r="C10166" i="1"/>
  <c r="D10166" i="1"/>
  <c r="E10166" i="1"/>
  <c r="A10167" i="1"/>
  <c r="B10167" i="1"/>
  <c r="C10167" i="1"/>
  <c r="D10167" i="1"/>
  <c r="E10167" i="1"/>
  <c r="A10168" i="1"/>
  <c r="B10168" i="1"/>
  <c r="C10168" i="1"/>
  <c r="D10168" i="1"/>
  <c r="E10168" i="1"/>
  <c r="A10169" i="1"/>
  <c r="B10169" i="1"/>
  <c r="C10169" i="1"/>
  <c r="D10169" i="1"/>
  <c r="E10169" i="1"/>
  <c r="A10170" i="1"/>
  <c r="B10170" i="1"/>
  <c r="C10170" i="1"/>
  <c r="D10170" i="1"/>
  <c r="E10170" i="1"/>
  <c r="A10171" i="1"/>
  <c r="B10171" i="1"/>
  <c r="C10171" i="1"/>
  <c r="D10171" i="1"/>
  <c r="E10171" i="1"/>
  <c r="A10172" i="1"/>
  <c r="B10172" i="1"/>
  <c r="C10172" i="1"/>
  <c r="D10172" i="1"/>
  <c r="E10172" i="1"/>
  <c r="A10173" i="1"/>
  <c r="B10173" i="1"/>
  <c r="C10173" i="1"/>
  <c r="D10173" i="1"/>
  <c r="E10173" i="1"/>
  <c r="A10174" i="1"/>
  <c r="B10174" i="1"/>
  <c r="C10174" i="1"/>
  <c r="D10174" i="1"/>
  <c r="E10174" i="1"/>
  <c r="A10175" i="1"/>
  <c r="B10175" i="1"/>
  <c r="C10175" i="1"/>
  <c r="D10175" i="1"/>
  <c r="E10175" i="1"/>
  <c r="A10176" i="1"/>
  <c r="B10176" i="1"/>
  <c r="C10176" i="1"/>
  <c r="D10176" i="1"/>
  <c r="E10176" i="1"/>
  <c r="A10177" i="1"/>
  <c r="B10177" i="1"/>
  <c r="C10177" i="1"/>
  <c r="D10177" i="1"/>
  <c r="E10177" i="1"/>
  <c r="A10178" i="1"/>
  <c r="B10178" i="1"/>
  <c r="C10178" i="1"/>
  <c r="D10178" i="1"/>
  <c r="E10178" i="1"/>
  <c r="A10179" i="1"/>
  <c r="B10179" i="1"/>
  <c r="C10179" i="1"/>
  <c r="D10179" i="1"/>
  <c r="E10179" i="1"/>
  <c r="A10180" i="1"/>
  <c r="B10180" i="1"/>
  <c r="C10180" i="1"/>
  <c r="D10180" i="1"/>
  <c r="E10180" i="1"/>
  <c r="A10181" i="1"/>
  <c r="B10181" i="1"/>
  <c r="C10181" i="1"/>
  <c r="D10181" i="1"/>
  <c r="E10181" i="1"/>
  <c r="A10182" i="1"/>
  <c r="B10182" i="1"/>
  <c r="C10182" i="1"/>
  <c r="D10182" i="1"/>
  <c r="E10182" i="1"/>
  <c r="A10183" i="1"/>
  <c r="B10183" i="1"/>
  <c r="C10183" i="1"/>
  <c r="D10183" i="1"/>
  <c r="E10183" i="1"/>
  <c r="A10184" i="1"/>
  <c r="B10184" i="1"/>
  <c r="C10184" i="1"/>
  <c r="D10184" i="1"/>
  <c r="E10184" i="1"/>
  <c r="A10185" i="1"/>
  <c r="B10185" i="1"/>
  <c r="C10185" i="1"/>
  <c r="D10185" i="1"/>
  <c r="E10185" i="1"/>
  <c r="A10186" i="1"/>
  <c r="B10186" i="1"/>
  <c r="C10186" i="1"/>
  <c r="D10186" i="1"/>
  <c r="E10186" i="1"/>
  <c r="A10187" i="1"/>
  <c r="B10187" i="1"/>
  <c r="C10187" i="1"/>
  <c r="D10187" i="1"/>
  <c r="E10187" i="1"/>
  <c r="A10188" i="1"/>
  <c r="B10188" i="1"/>
  <c r="C10188" i="1"/>
  <c r="D10188" i="1"/>
  <c r="E10188" i="1"/>
  <c r="A10189" i="1"/>
  <c r="B10189" i="1"/>
  <c r="C10189" i="1"/>
  <c r="D10189" i="1"/>
  <c r="E10189" i="1"/>
  <c r="A10190" i="1"/>
  <c r="B10190" i="1"/>
  <c r="C10190" i="1"/>
  <c r="D10190" i="1"/>
  <c r="E10190" i="1"/>
  <c r="A10191" i="1"/>
  <c r="B10191" i="1"/>
  <c r="C10191" i="1"/>
  <c r="D10191" i="1"/>
  <c r="E10191" i="1"/>
  <c r="A10192" i="1"/>
  <c r="B10192" i="1"/>
  <c r="C10192" i="1"/>
  <c r="D10192" i="1"/>
  <c r="E10192" i="1"/>
  <c r="A10193" i="1"/>
  <c r="B10193" i="1"/>
  <c r="C10193" i="1"/>
  <c r="D10193" i="1"/>
  <c r="E10193" i="1"/>
  <c r="A10194" i="1"/>
  <c r="B10194" i="1"/>
  <c r="C10194" i="1"/>
  <c r="D10194" i="1"/>
  <c r="E10194" i="1"/>
  <c r="A10195" i="1"/>
  <c r="B10195" i="1"/>
  <c r="C10195" i="1"/>
  <c r="D10195" i="1"/>
  <c r="E10195" i="1"/>
  <c r="A10196" i="1"/>
  <c r="B10196" i="1"/>
  <c r="C10196" i="1"/>
  <c r="D10196" i="1"/>
  <c r="E10196" i="1"/>
  <c r="A10197" i="1"/>
  <c r="B10197" i="1"/>
  <c r="C10197" i="1"/>
  <c r="D10197" i="1"/>
  <c r="E10197" i="1"/>
  <c r="A10198" i="1"/>
  <c r="B10198" i="1"/>
  <c r="C10198" i="1"/>
  <c r="D10198" i="1"/>
  <c r="E10198" i="1"/>
  <c r="A10199" i="1"/>
  <c r="B10199" i="1"/>
  <c r="C10199" i="1"/>
  <c r="D10199" i="1"/>
  <c r="E10199" i="1"/>
  <c r="A10200" i="1"/>
  <c r="B10200" i="1"/>
  <c r="C10200" i="1"/>
  <c r="D10200" i="1"/>
  <c r="E10200" i="1"/>
  <c r="A10201" i="1"/>
  <c r="B10201" i="1"/>
  <c r="C10201" i="1"/>
  <c r="D10201" i="1"/>
  <c r="E10201" i="1"/>
  <c r="A10202" i="1"/>
  <c r="B10202" i="1"/>
  <c r="C10202" i="1"/>
  <c r="D10202" i="1"/>
  <c r="E10202" i="1"/>
  <c r="A10203" i="1"/>
  <c r="B10203" i="1"/>
  <c r="C10203" i="1"/>
  <c r="D10203" i="1"/>
  <c r="E10203" i="1"/>
  <c r="A10204" i="1"/>
  <c r="B10204" i="1"/>
  <c r="C10204" i="1"/>
  <c r="D10204" i="1"/>
  <c r="E10204" i="1"/>
  <c r="A10205" i="1"/>
  <c r="B10205" i="1"/>
  <c r="C10205" i="1"/>
  <c r="D10205" i="1"/>
  <c r="E10205" i="1"/>
  <c r="A10206" i="1"/>
  <c r="B10206" i="1"/>
  <c r="C10206" i="1"/>
  <c r="D10206" i="1"/>
  <c r="E10206" i="1"/>
  <c r="A10207" i="1"/>
  <c r="B10207" i="1"/>
  <c r="C10207" i="1"/>
  <c r="D10207" i="1"/>
  <c r="E10207" i="1"/>
  <c r="A10208" i="1"/>
  <c r="B10208" i="1"/>
  <c r="C10208" i="1"/>
  <c r="D10208" i="1"/>
  <c r="E10208" i="1"/>
  <c r="A10209" i="1"/>
  <c r="B10209" i="1"/>
  <c r="C10209" i="1"/>
  <c r="D10209" i="1"/>
  <c r="E10209" i="1"/>
  <c r="A10210" i="1"/>
  <c r="B10210" i="1"/>
  <c r="C10210" i="1"/>
  <c r="D10210" i="1"/>
  <c r="E10210" i="1"/>
  <c r="A10211" i="1"/>
  <c r="B10211" i="1"/>
  <c r="C10211" i="1"/>
  <c r="D10211" i="1"/>
  <c r="E10211" i="1"/>
  <c r="A10212" i="1"/>
  <c r="B10212" i="1"/>
  <c r="C10212" i="1"/>
  <c r="D10212" i="1"/>
  <c r="E10212" i="1"/>
  <c r="A10213" i="1"/>
  <c r="B10213" i="1"/>
  <c r="C10213" i="1"/>
  <c r="D10213" i="1"/>
  <c r="E10213" i="1"/>
  <c r="A10214" i="1"/>
  <c r="B10214" i="1"/>
  <c r="C10214" i="1"/>
  <c r="D10214" i="1"/>
  <c r="E10214" i="1"/>
  <c r="A10215" i="1"/>
  <c r="B10215" i="1"/>
  <c r="C10215" i="1"/>
  <c r="D10215" i="1"/>
  <c r="E10215" i="1"/>
  <c r="A10216" i="1"/>
  <c r="B10216" i="1"/>
  <c r="C10216" i="1"/>
  <c r="D10216" i="1"/>
  <c r="E10216" i="1"/>
  <c r="A10217" i="1"/>
  <c r="B10217" i="1"/>
  <c r="C10217" i="1"/>
  <c r="D10217" i="1"/>
  <c r="E10217" i="1"/>
  <c r="A10218" i="1"/>
  <c r="B10218" i="1"/>
  <c r="C10218" i="1"/>
  <c r="D10218" i="1"/>
  <c r="E10218" i="1"/>
  <c r="A10219" i="1"/>
  <c r="B10219" i="1"/>
  <c r="C10219" i="1"/>
  <c r="D10219" i="1"/>
  <c r="E10219" i="1"/>
  <c r="A10220" i="1"/>
  <c r="B10220" i="1"/>
  <c r="C10220" i="1"/>
  <c r="D10220" i="1"/>
  <c r="E10220" i="1"/>
  <c r="A10221" i="1"/>
  <c r="B10221" i="1"/>
  <c r="C10221" i="1"/>
  <c r="D10221" i="1"/>
  <c r="E10221" i="1"/>
  <c r="A10222" i="1"/>
  <c r="B10222" i="1"/>
  <c r="C10222" i="1"/>
  <c r="D10222" i="1"/>
  <c r="E10222" i="1"/>
  <c r="A10223" i="1"/>
  <c r="B10223" i="1"/>
  <c r="C10223" i="1"/>
  <c r="D10223" i="1"/>
  <c r="E10223" i="1"/>
  <c r="A10224" i="1"/>
  <c r="B10224" i="1"/>
  <c r="C10224" i="1"/>
  <c r="D10224" i="1"/>
  <c r="E10224" i="1"/>
  <c r="A10225" i="1"/>
  <c r="B10225" i="1"/>
  <c r="C10225" i="1"/>
  <c r="D10225" i="1"/>
  <c r="E10225" i="1"/>
  <c r="A10226" i="1"/>
  <c r="B10226" i="1"/>
  <c r="C10226" i="1"/>
  <c r="D10226" i="1"/>
  <c r="E10226" i="1"/>
  <c r="A10227" i="1"/>
  <c r="B10227" i="1"/>
  <c r="C10227" i="1"/>
  <c r="D10227" i="1"/>
  <c r="E10227" i="1"/>
  <c r="A10228" i="1"/>
  <c r="B10228" i="1"/>
  <c r="C10228" i="1"/>
  <c r="D10228" i="1"/>
  <c r="E10228" i="1"/>
  <c r="A10229" i="1"/>
  <c r="B10229" i="1"/>
  <c r="C10229" i="1"/>
  <c r="D10229" i="1"/>
  <c r="E10229" i="1"/>
  <c r="A10230" i="1"/>
  <c r="B10230" i="1"/>
  <c r="C10230" i="1"/>
  <c r="D10230" i="1"/>
  <c r="E10230" i="1"/>
  <c r="A10231" i="1"/>
  <c r="B10231" i="1"/>
  <c r="C10231" i="1"/>
  <c r="D10231" i="1"/>
  <c r="E10231" i="1"/>
  <c r="A10232" i="1"/>
  <c r="B10232" i="1"/>
  <c r="C10232" i="1"/>
  <c r="D10232" i="1"/>
  <c r="E10232" i="1"/>
  <c r="A10233" i="1"/>
  <c r="B10233" i="1"/>
  <c r="C10233" i="1"/>
  <c r="D10233" i="1"/>
  <c r="E10233" i="1"/>
  <c r="A10234" i="1"/>
  <c r="B10234" i="1"/>
  <c r="C10234" i="1"/>
  <c r="D10234" i="1"/>
  <c r="E10234" i="1"/>
  <c r="A10235" i="1"/>
  <c r="B10235" i="1"/>
  <c r="C10235" i="1"/>
  <c r="D10235" i="1"/>
  <c r="E10235" i="1"/>
  <c r="A10236" i="1"/>
  <c r="B10236" i="1"/>
  <c r="C10236" i="1"/>
  <c r="D10236" i="1"/>
  <c r="E10236" i="1"/>
  <c r="A10237" i="1"/>
  <c r="B10237" i="1"/>
  <c r="C10237" i="1"/>
  <c r="D10237" i="1"/>
  <c r="E10237" i="1"/>
  <c r="A10238" i="1"/>
  <c r="B10238" i="1"/>
  <c r="C10238" i="1"/>
  <c r="D10238" i="1"/>
  <c r="E10238" i="1"/>
  <c r="A10239" i="1"/>
  <c r="B10239" i="1"/>
  <c r="C10239" i="1"/>
  <c r="D10239" i="1"/>
  <c r="E10239" i="1"/>
  <c r="A10240" i="1"/>
  <c r="B10240" i="1"/>
  <c r="C10240" i="1"/>
  <c r="D10240" i="1"/>
  <c r="E10240" i="1"/>
  <c r="A10241" i="1"/>
  <c r="B10241" i="1"/>
  <c r="C10241" i="1"/>
  <c r="D10241" i="1"/>
  <c r="E10241" i="1"/>
  <c r="A10242" i="1"/>
  <c r="B10242" i="1"/>
  <c r="C10242" i="1"/>
  <c r="D10242" i="1"/>
  <c r="E10242" i="1"/>
  <c r="A10243" i="1"/>
  <c r="B10243" i="1"/>
  <c r="C10243" i="1"/>
  <c r="D10243" i="1"/>
  <c r="E10243" i="1"/>
  <c r="A10244" i="1"/>
  <c r="B10244" i="1"/>
  <c r="C10244" i="1"/>
  <c r="D10244" i="1"/>
  <c r="E10244" i="1"/>
  <c r="A10245" i="1"/>
  <c r="B10245" i="1"/>
  <c r="C10245" i="1"/>
  <c r="D10245" i="1"/>
  <c r="E10245" i="1"/>
  <c r="A10246" i="1"/>
  <c r="B10246" i="1"/>
  <c r="C10246" i="1"/>
  <c r="D10246" i="1"/>
  <c r="E10246" i="1"/>
  <c r="A10247" i="1"/>
  <c r="B10247" i="1"/>
  <c r="C10247" i="1"/>
  <c r="D10247" i="1"/>
  <c r="E10247" i="1"/>
  <c r="A10248" i="1"/>
  <c r="B10248" i="1"/>
  <c r="C10248" i="1"/>
  <c r="D10248" i="1"/>
  <c r="E10248" i="1"/>
  <c r="A10249" i="1"/>
  <c r="B10249" i="1"/>
  <c r="C10249" i="1"/>
  <c r="D10249" i="1"/>
  <c r="E10249" i="1"/>
  <c r="A10250" i="1"/>
  <c r="B10250" i="1"/>
  <c r="C10250" i="1"/>
  <c r="D10250" i="1"/>
  <c r="E10250" i="1"/>
  <c r="A10251" i="1"/>
  <c r="B10251" i="1"/>
  <c r="C10251" i="1"/>
  <c r="D10251" i="1"/>
  <c r="E10251" i="1"/>
  <c r="A10252" i="1"/>
  <c r="B10252" i="1"/>
  <c r="C10252" i="1"/>
  <c r="D10252" i="1"/>
  <c r="E10252" i="1"/>
  <c r="A10253" i="1"/>
  <c r="B10253" i="1"/>
  <c r="C10253" i="1"/>
  <c r="D10253" i="1"/>
  <c r="E10253" i="1"/>
  <c r="A10254" i="1"/>
  <c r="B10254" i="1"/>
  <c r="C10254" i="1"/>
  <c r="D10254" i="1"/>
  <c r="E10254" i="1"/>
  <c r="A10255" i="1"/>
  <c r="B10255" i="1"/>
  <c r="C10255" i="1"/>
  <c r="D10255" i="1"/>
  <c r="E10255" i="1"/>
  <c r="A10256" i="1"/>
  <c r="B10256" i="1"/>
  <c r="C10256" i="1"/>
  <c r="D10256" i="1"/>
  <c r="E10256" i="1"/>
  <c r="A10257" i="1"/>
  <c r="B10257" i="1"/>
  <c r="C10257" i="1"/>
  <c r="D10257" i="1"/>
  <c r="E10257" i="1"/>
  <c r="A10258" i="1"/>
  <c r="B10258" i="1"/>
  <c r="C10258" i="1"/>
  <c r="D10258" i="1"/>
  <c r="E10258" i="1"/>
  <c r="A10259" i="1"/>
  <c r="B10259" i="1"/>
  <c r="C10259" i="1"/>
  <c r="D10259" i="1"/>
  <c r="E10259" i="1"/>
  <c r="A10260" i="1"/>
  <c r="B10260" i="1"/>
  <c r="C10260" i="1"/>
  <c r="D10260" i="1"/>
  <c r="E10260" i="1"/>
  <c r="A10261" i="1"/>
  <c r="B10261" i="1"/>
  <c r="C10261" i="1"/>
  <c r="D10261" i="1"/>
  <c r="E10261" i="1"/>
  <c r="A10262" i="1"/>
  <c r="B10262" i="1"/>
  <c r="C10262" i="1"/>
  <c r="D10262" i="1"/>
  <c r="E10262" i="1"/>
  <c r="A10263" i="1"/>
  <c r="B10263" i="1"/>
  <c r="C10263" i="1"/>
  <c r="D10263" i="1"/>
  <c r="E10263" i="1"/>
  <c r="A10264" i="1"/>
  <c r="B10264" i="1"/>
  <c r="C10264" i="1"/>
  <c r="D10264" i="1"/>
  <c r="E10264" i="1"/>
  <c r="A10265" i="1"/>
  <c r="B10265" i="1"/>
  <c r="C10265" i="1"/>
  <c r="D10265" i="1"/>
  <c r="E10265" i="1"/>
  <c r="A10266" i="1"/>
  <c r="B10266" i="1"/>
  <c r="C10266" i="1"/>
  <c r="D10266" i="1"/>
  <c r="E10266" i="1"/>
  <c r="A10267" i="1"/>
  <c r="B10267" i="1"/>
  <c r="C10267" i="1"/>
  <c r="D10267" i="1"/>
  <c r="E10267" i="1"/>
  <c r="A10268" i="1"/>
  <c r="B10268" i="1"/>
  <c r="C10268" i="1"/>
  <c r="D10268" i="1"/>
  <c r="E10268" i="1"/>
  <c r="A10269" i="1"/>
  <c r="B10269" i="1"/>
  <c r="C10269" i="1"/>
  <c r="D10269" i="1"/>
  <c r="E10269" i="1"/>
  <c r="A10270" i="1"/>
  <c r="B10270" i="1"/>
  <c r="C10270" i="1"/>
  <c r="D10270" i="1"/>
  <c r="E10270" i="1"/>
  <c r="A10271" i="1"/>
  <c r="B10271" i="1"/>
  <c r="C10271" i="1"/>
  <c r="D10271" i="1"/>
  <c r="E10271" i="1"/>
  <c r="A10272" i="1"/>
  <c r="B10272" i="1"/>
  <c r="C10272" i="1"/>
  <c r="D10272" i="1"/>
  <c r="E10272" i="1"/>
  <c r="A10273" i="1"/>
  <c r="B10273" i="1"/>
  <c r="C10273" i="1"/>
  <c r="D10273" i="1"/>
  <c r="E10273" i="1"/>
  <c r="A10274" i="1"/>
  <c r="B10274" i="1"/>
  <c r="C10274" i="1"/>
  <c r="D10274" i="1"/>
  <c r="E10274" i="1"/>
  <c r="A10275" i="1"/>
  <c r="B10275" i="1"/>
  <c r="C10275" i="1"/>
  <c r="D10275" i="1"/>
  <c r="E10275" i="1"/>
  <c r="A10276" i="1"/>
  <c r="B10276" i="1"/>
  <c r="C10276" i="1"/>
  <c r="D10276" i="1"/>
  <c r="E10276" i="1"/>
  <c r="A10277" i="1"/>
  <c r="B10277" i="1"/>
  <c r="C10277" i="1"/>
  <c r="D10277" i="1"/>
  <c r="E10277" i="1"/>
  <c r="A10278" i="1"/>
  <c r="B10278" i="1"/>
  <c r="C10278" i="1"/>
  <c r="D10278" i="1"/>
  <c r="E10278" i="1"/>
  <c r="A10279" i="1"/>
  <c r="B10279" i="1"/>
  <c r="C10279" i="1"/>
  <c r="D10279" i="1"/>
  <c r="E10279" i="1"/>
  <c r="A10280" i="1"/>
  <c r="B10280" i="1"/>
  <c r="C10280" i="1"/>
  <c r="D10280" i="1"/>
  <c r="E10280" i="1"/>
  <c r="A10281" i="1"/>
  <c r="B10281" i="1"/>
  <c r="C10281" i="1"/>
  <c r="D10281" i="1"/>
  <c r="E10281" i="1"/>
  <c r="A10282" i="1"/>
  <c r="B10282" i="1"/>
  <c r="C10282" i="1"/>
  <c r="D10282" i="1"/>
  <c r="E10282" i="1"/>
  <c r="A10283" i="1"/>
  <c r="B10283" i="1"/>
  <c r="C10283" i="1"/>
  <c r="D10283" i="1"/>
  <c r="E10283" i="1"/>
  <c r="A10284" i="1"/>
  <c r="B10284" i="1"/>
  <c r="C10284" i="1"/>
  <c r="D10284" i="1"/>
  <c r="E10284" i="1"/>
  <c r="A10285" i="1"/>
  <c r="B10285" i="1"/>
  <c r="C10285" i="1"/>
  <c r="D10285" i="1"/>
  <c r="E10285" i="1"/>
  <c r="A10286" i="1"/>
  <c r="B10286" i="1"/>
  <c r="C10286" i="1"/>
  <c r="D10286" i="1"/>
  <c r="E10286" i="1"/>
  <c r="A10287" i="1"/>
  <c r="B10287" i="1"/>
  <c r="C10287" i="1"/>
  <c r="D10287" i="1"/>
  <c r="E10287" i="1"/>
  <c r="A10288" i="1"/>
  <c r="B10288" i="1"/>
  <c r="C10288" i="1"/>
  <c r="D10288" i="1"/>
  <c r="E10288" i="1"/>
  <c r="A10289" i="1"/>
  <c r="B10289" i="1"/>
  <c r="C10289" i="1"/>
  <c r="D10289" i="1"/>
  <c r="E10289" i="1"/>
  <c r="A10290" i="1"/>
  <c r="B10290" i="1"/>
  <c r="C10290" i="1"/>
  <c r="D10290" i="1"/>
  <c r="E10290" i="1"/>
  <c r="A10291" i="1"/>
  <c r="B10291" i="1"/>
  <c r="C10291" i="1"/>
  <c r="D10291" i="1"/>
  <c r="E10291" i="1"/>
  <c r="A10292" i="1"/>
  <c r="B10292" i="1"/>
  <c r="C10292" i="1"/>
  <c r="D10292" i="1"/>
  <c r="E10292" i="1"/>
  <c r="A10293" i="1"/>
  <c r="B10293" i="1"/>
  <c r="C10293" i="1"/>
  <c r="D10293" i="1"/>
  <c r="E10293" i="1"/>
  <c r="A10294" i="1"/>
  <c r="B10294" i="1"/>
  <c r="C10294" i="1"/>
  <c r="D10294" i="1"/>
  <c r="E10294" i="1"/>
  <c r="A10295" i="1"/>
  <c r="B10295" i="1"/>
  <c r="C10295" i="1"/>
  <c r="D10295" i="1"/>
  <c r="E10295" i="1"/>
  <c r="A10296" i="1"/>
  <c r="B10296" i="1"/>
  <c r="C10296" i="1"/>
  <c r="D10296" i="1"/>
  <c r="E10296" i="1"/>
  <c r="A10297" i="1"/>
  <c r="B10297" i="1"/>
  <c r="C10297" i="1"/>
  <c r="D10297" i="1"/>
  <c r="E10297" i="1"/>
  <c r="A10298" i="1"/>
  <c r="B10298" i="1"/>
  <c r="C10298" i="1"/>
  <c r="D10298" i="1"/>
  <c r="E10298" i="1"/>
  <c r="A10299" i="1"/>
  <c r="B10299" i="1"/>
  <c r="C10299" i="1"/>
  <c r="D10299" i="1"/>
  <c r="E10299" i="1"/>
  <c r="A10300" i="1"/>
  <c r="B10300" i="1"/>
  <c r="C10300" i="1"/>
  <c r="D10300" i="1"/>
  <c r="E10300" i="1"/>
  <c r="A10301" i="1"/>
  <c r="B10301" i="1"/>
  <c r="C10301" i="1"/>
  <c r="D10301" i="1"/>
  <c r="E10301" i="1"/>
  <c r="A10302" i="1"/>
  <c r="B10302" i="1"/>
  <c r="C10302" i="1"/>
  <c r="D10302" i="1"/>
  <c r="E10302" i="1"/>
  <c r="A10303" i="1"/>
  <c r="B10303" i="1"/>
  <c r="C10303" i="1"/>
  <c r="D10303" i="1"/>
  <c r="E10303" i="1"/>
  <c r="A10304" i="1"/>
  <c r="B10304" i="1"/>
  <c r="C10304" i="1"/>
  <c r="D10304" i="1"/>
  <c r="E10304" i="1"/>
  <c r="A10305" i="1"/>
  <c r="B10305" i="1"/>
  <c r="C10305" i="1"/>
  <c r="D10305" i="1"/>
  <c r="E10305" i="1"/>
  <c r="A10306" i="1"/>
  <c r="B10306" i="1"/>
  <c r="C10306" i="1"/>
  <c r="D10306" i="1"/>
  <c r="E10306" i="1"/>
  <c r="A10307" i="1"/>
  <c r="B10307" i="1"/>
  <c r="C10307" i="1"/>
  <c r="D10307" i="1"/>
  <c r="E10307" i="1"/>
  <c r="A10308" i="1"/>
  <c r="B10308" i="1"/>
  <c r="C10308" i="1"/>
  <c r="D10308" i="1"/>
  <c r="E10308" i="1"/>
  <c r="A10309" i="1"/>
  <c r="B10309" i="1"/>
  <c r="C10309" i="1"/>
  <c r="D10309" i="1"/>
  <c r="E10309" i="1"/>
  <c r="A10310" i="1"/>
  <c r="B10310" i="1"/>
  <c r="C10310" i="1"/>
  <c r="D10310" i="1"/>
  <c r="E10310" i="1"/>
  <c r="A10311" i="1"/>
  <c r="B10311" i="1"/>
  <c r="C10311" i="1"/>
  <c r="D10311" i="1"/>
  <c r="E10311" i="1"/>
  <c r="A10312" i="1"/>
  <c r="B10312" i="1"/>
  <c r="C10312" i="1"/>
  <c r="D10312" i="1"/>
  <c r="E10312" i="1"/>
  <c r="A10313" i="1"/>
  <c r="B10313" i="1"/>
  <c r="C10313" i="1"/>
  <c r="D10313" i="1"/>
  <c r="E10313" i="1"/>
  <c r="A10314" i="1"/>
  <c r="B10314" i="1"/>
  <c r="C10314" i="1"/>
  <c r="D10314" i="1"/>
  <c r="E10314" i="1"/>
  <c r="A10315" i="1"/>
  <c r="B10315" i="1"/>
  <c r="C10315" i="1"/>
  <c r="D10315" i="1"/>
  <c r="E10315" i="1"/>
  <c r="A10316" i="1"/>
  <c r="B10316" i="1"/>
  <c r="C10316" i="1"/>
  <c r="D10316" i="1"/>
  <c r="E10316" i="1"/>
  <c r="A10317" i="1"/>
  <c r="B10317" i="1"/>
  <c r="C10317" i="1"/>
  <c r="D10317" i="1"/>
  <c r="E10317" i="1"/>
  <c r="A10318" i="1"/>
  <c r="B10318" i="1"/>
  <c r="C10318" i="1"/>
  <c r="D10318" i="1"/>
  <c r="E10318" i="1"/>
  <c r="A10319" i="1"/>
  <c r="B10319" i="1"/>
  <c r="C10319" i="1"/>
  <c r="D10319" i="1"/>
  <c r="E10319" i="1"/>
  <c r="A10320" i="1"/>
  <c r="B10320" i="1"/>
  <c r="C10320" i="1"/>
  <c r="D10320" i="1"/>
  <c r="E10320" i="1"/>
  <c r="A10321" i="1"/>
  <c r="B10321" i="1"/>
  <c r="C10321" i="1"/>
  <c r="D10321" i="1"/>
  <c r="E10321" i="1"/>
  <c r="A10322" i="1"/>
  <c r="B10322" i="1"/>
  <c r="C10322" i="1"/>
  <c r="D10322" i="1"/>
  <c r="E10322" i="1"/>
  <c r="A10323" i="1"/>
  <c r="B10323" i="1"/>
  <c r="C10323" i="1"/>
  <c r="D10323" i="1"/>
  <c r="E10323" i="1"/>
  <c r="A10324" i="1"/>
  <c r="B10324" i="1"/>
  <c r="C10324" i="1"/>
  <c r="D10324" i="1"/>
  <c r="E10324" i="1"/>
  <c r="A10325" i="1"/>
  <c r="B10325" i="1"/>
  <c r="C10325" i="1"/>
  <c r="D10325" i="1"/>
  <c r="E10325" i="1"/>
  <c r="A10326" i="1"/>
  <c r="B10326" i="1"/>
  <c r="C10326" i="1"/>
  <c r="D10326" i="1"/>
  <c r="E10326" i="1"/>
  <c r="A10327" i="1"/>
  <c r="B10327" i="1"/>
  <c r="C10327" i="1"/>
  <c r="D10327" i="1"/>
  <c r="E10327" i="1"/>
  <c r="A10328" i="1"/>
  <c r="B10328" i="1"/>
  <c r="C10328" i="1"/>
  <c r="D10328" i="1"/>
  <c r="E10328" i="1"/>
  <c r="A10329" i="1"/>
  <c r="B10329" i="1"/>
  <c r="C10329" i="1"/>
  <c r="D10329" i="1"/>
  <c r="E10329" i="1"/>
  <c r="A10330" i="1"/>
  <c r="B10330" i="1"/>
  <c r="C10330" i="1"/>
  <c r="D10330" i="1"/>
  <c r="E10330" i="1"/>
  <c r="A10331" i="1"/>
  <c r="B10331" i="1"/>
  <c r="C10331" i="1"/>
  <c r="D10331" i="1"/>
  <c r="E10331" i="1"/>
  <c r="A10332" i="1"/>
  <c r="B10332" i="1"/>
  <c r="C10332" i="1"/>
  <c r="D10332" i="1"/>
  <c r="E10332" i="1"/>
  <c r="A10333" i="1"/>
  <c r="B10333" i="1"/>
  <c r="C10333" i="1"/>
  <c r="D10333" i="1"/>
  <c r="E10333" i="1"/>
  <c r="A10334" i="1"/>
  <c r="B10334" i="1"/>
  <c r="C10334" i="1"/>
  <c r="D10334" i="1"/>
  <c r="E10334" i="1"/>
  <c r="A10335" i="1"/>
  <c r="B10335" i="1"/>
  <c r="C10335" i="1"/>
  <c r="D10335" i="1"/>
  <c r="E10335" i="1"/>
  <c r="A10336" i="1"/>
  <c r="B10336" i="1"/>
  <c r="C10336" i="1"/>
  <c r="D10336" i="1"/>
  <c r="E10336" i="1"/>
  <c r="A10337" i="1"/>
  <c r="B10337" i="1"/>
  <c r="C10337" i="1"/>
  <c r="D10337" i="1"/>
  <c r="E10337" i="1"/>
  <c r="A10338" i="1"/>
  <c r="B10338" i="1"/>
  <c r="C10338" i="1"/>
  <c r="D10338" i="1"/>
  <c r="E10338" i="1"/>
  <c r="A10339" i="1"/>
  <c r="B10339" i="1"/>
  <c r="C10339" i="1"/>
  <c r="D10339" i="1"/>
  <c r="E10339" i="1"/>
  <c r="A10340" i="1"/>
  <c r="B10340" i="1"/>
  <c r="C10340" i="1"/>
  <c r="D10340" i="1"/>
  <c r="E10340" i="1"/>
  <c r="A10341" i="1"/>
  <c r="B10341" i="1"/>
  <c r="C10341" i="1"/>
  <c r="D10341" i="1"/>
  <c r="E10341" i="1"/>
  <c r="A10342" i="1"/>
  <c r="B10342" i="1"/>
  <c r="C10342" i="1"/>
  <c r="D10342" i="1"/>
  <c r="E10342" i="1"/>
  <c r="A10343" i="1"/>
  <c r="B10343" i="1"/>
  <c r="C10343" i="1"/>
  <c r="D10343" i="1"/>
  <c r="E10343" i="1"/>
  <c r="A10344" i="1"/>
  <c r="B10344" i="1"/>
  <c r="C10344" i="1"/>
  <c r="D10344" i="1"/>
  <c r="E10344" i="1"/>
  <c r="A10345" i="1"/>
  <c r="B10345" i="1"/>
  <c r="C10345" i="1"/>
  <c r="D10345" i="1"/>
  <c r="E10345" i="1"/>
  <c r="A10346" i="1"/>
  <c r="B10346" i="1"/>
  <c r="C10346" i="1"/>
  <c r="D10346" i="1"/>
  <c r="E10346" i="1"/>
  <c r="A10347" i="1"/>
  <c r="B10347" i="1"/>
  <c r="C10347" i="1"/>
  <c r="D10347" i="1"/>
  <c r="E10347" i="1"/>
  <c r="A10348" i="1"/>
  <c r="B10348" i="1"/>
  <c r="C10348" i="1"/>
  <c r="D10348" i="1"/>
  <c r="E10348" i="1"/>
  <c r="A10349" i="1"/>
  <c r="B10349" i="1"/>
  <c r="C10349" i="1"/>
  <c r="D10349" i="1"/>
  <c r="E10349" i="1"/>
  <c r="A10350" i="1"/>
  <c r="B10350" i="1"/>
  <c r="C10350" i="1"/>
  <c r="D10350" i="1"/>
  <c r="E10350" i="1"/>
  <c r="A10351" i="1"/>
  <c r="B10351" i="1"/>
  <c r="C10351" i="1"/>
  <c r="D10351" i="1"/>
  <c r="E10351" i="1"/>
  <c r="A10352" i="1"/>
  <c r="B10352" i="1"/>
  <c r="C10352" i="1"/>
  <c r="D10352" i="1"/>
  <c r="E10352" i="1"/>
  <c r="A10353" i="1"/>
  <c r="B10353" i="1"/>
  <c r="C10353" i="1"/>
  <c r="D10353" i="1"/>
  <c r="E10353" i="1"/>
  <c r="A10354" i="1"/>
  <c r="B10354" i="1"/>
  <c r="C10354" i="1"/>
  <c r="D10354" i="1"/>
  <c r="E10354" i="1"/>
  <c r="A10355" i="1"/>
  <c r="B10355" i="1"/>
  <c r="C10355" i="1"/>
  <c r="D10355" i="1"/>
  <c r="E10355" i="1"/>
  <c r="A10356" i="1"/>
  <c r="B10356" i="1"/>
  <c r="C10356" i="1"/>
  <c r="D10356" i="1"/>
  <c r="E10356" i="1"/>
  <c r="A10357" i="1"/>
  <c r="B10357" i="1"/>
  <c r="C10357" i="1"/>
  <c r="D10357" i="1"/>
  <c r="E10357" i="1"/>
  <c r="A10358" i="1"/>
  <c r="B10358" i="1"/>
  <c r="C10358" i="1"/>
  <c r="D10358" i="1"/>
  <c r="E10358" i="1"/>
  <c r="A10359" i="1"/>
  <c r="B10359" i="1"/>
  <c r="C10359" i="1"/>
  <c r="D10359" i="1"/>
  <c r="E10359" i="1"/>
  <c r="A10360" i="1"/>
  <c r="B10360" i="1"/>
  <c r="C10360" i="1"/>
  <c r="D10360" i="1"/>
  <c r="E10360" i="1"/>
  <c r="A10361" i="1"/>
  <c r="B10361" i="1"/>
  <c r="C10361" i="1"/>
  <c r="D10361" i="1"/>
  <c r="E10361" i="1"/>
  <c r="A10362" i="1"/>
  <c r="B10362" i="1"/>
  <c r="C10362" i="1"/>
  <c r="D10362" i="1"/>
  <c r="E10362" i="1"/>
  <c r="A10363" i="1"/>
  <c r="B10363" i="1"/>
  <c r="C10363" i="1"/>
  <c r="D10363" i="1"/>
  <c r="E10363" i="1"/>
  <c r="A10364" i="1"/>
  <c r="B10364" i="1"/>
  <c r="C10364" i="1"/>
  <c r="D10364" i="1"/>
  <c r="E10364" i="1"/>
  <c r="A10365" i="1"/>
  <c r="B10365" i="1"/>
  <c r="C10365" i="1"/>
  <c r="D10365" i="1"/>
  <c r="E10365" i="1"/>
  <c r="A10366" i="1"/>
  <c r="B10366" i="1"/>
  <c r="C10366" i="1"/>
  <c r="D10366" i="1"/>
  <c r="E10366" i="1"/>
  <c r="A10367" i="1"/>
  <c r="B10367" i="1"/>
  <c r="C10367" i="1"/>
  <c r="D10367" i="1"/>
  <c r="E10367" i="1"/>
  <c r="A10368" i="1"/>
  <c r="B10368" i="1"/>
  <c r="C10368" i="1"/>
  <c r="D10368" i="1"/>
  <c r="E10368" i="1"/>
  <c r="A10369" i="1"/>
  <c r="B10369" i="1"/>
  <c r="C10369" i="1"/>
  <c r="D10369" i="1"/>
  <c r="E10369" i="1"/>
  <c r="A10370" i="1"/>
  <c r="B10370" i="1"/>
  <c r="C10370" i="1"/>
  <c r="D10370" i="1"/>
  <c r="E10370" i="1"/>
  <c r="A10371" i="1"/>
  <c r="B10371" i="1"/>
  <c r="C10371" i="1"/>
  <c r="D10371" i="1"/>
  <c r="E10371" i="1"/>
  <c r="A10372" i="1"/>
  <c r="B10372" i="1"/>
  <c r="C10372" i="1"/>
  <c r="D10372" i="1"/>
  <c r="E10372" i="1"/>
  <c r="A10373" i="1"/>
  <c r="B10373" i="1"/>
  <c r="C10373" i="1"/>
  <c r="D10373" i="1"/>
  <c r="E10373" i="1"/>
  <c r="A10374" i="1"/>
  <c r="B10374" i="1"/>
  <c r="C10374" i="1"/>
  <c r="D10374" i="1"/>
  <c r="E10374" i="1"/>
  <c r="A10375" i="1"/>
  <c r="B10375" i="1"/>
  <c r="C10375" i="1"/>
  <c r="D10375" i="1"/>
  <c r="E10375" i="1"/>
  <c r="A10376" i="1"/>
  <c r="B10376" i="1"/>
  <c r="C10376" i="1"/>
  <c r="D10376" i="1"/>
  <c r="E10376" i="1"/>
  <c r="A10377" i="1"/>
  <c r="B10377" i="1"/>
  <c r="C10377" i="1"/>
  <c r="D10377" i="1"/>
  <c r="E10377" i="1"/>
  <c r="A10378" i="1"/>
  <c r="B10378" i="1"/>
  <c r="C10378" i="1"/>
  <c r="D10378" i="1"/>
  <c r="E10378" i="1"/>
  <c r="A10379" i="1"/>
  <c r="B10379" i="1"/>
  <c r="C10379" i="1"/>
  <c r="D10379" i="1"/>
  <c r="E10379" i="1"/>
  <c r="A10380" i="1"/>
  <c r="B10380" i="1"/>
  <c r="C10380" i="1"/>
  <c r="D10380" i="1"/>
  <c r="E10380" i="1"/>
  <c r="A10381" i="1"/>
  <c r="B10381" i="1"/>
  <c r="C10381" i="1"/>
  <c r="D10381" i="1"/>
  <c r="E10381" i="1"/>
  <c r="A10382" i="1"/>
  <c r="B10382" i="1"/>
  <c r="C10382" i="1"/>
  <c r="D10382" i="1"/>
  <c r="E10382" i="1"/>
  <c r="A10383" i="1"/>
  <c r="B10383" i="1"/>
  <c r="C10383" i="1"/>
  <c r="D10383" i="1"/>
  <c r="E10383" i="1"/>
  <c r="A10384" i="1"/>
  <c r="B10384" i="1"/>
  <c r="C10384" i="1"/>
  <c r="D10384" i="1"/>
  <c r="E10384" i="1"/>
  <c r="A10385" i="1"/>
  <c r="B10385" i="1"/>
  <c r="C10385" i="1"/>
  <c r="D10385" i="1"/>
  <c r="E10385" i="1"/>
  <c r="A10386" i="1"/>
  <c r="B10386" i="1"/>
  <c r="C10386" i="1"/>
  <c r="D10386" i="1"/>
  <c r="E10386" i="1"/>
  <c r="A10387" i="1"/>
  <c r="B10387" i="1"/>
  <c r="C10387" i="1"/>
  <c r="D10387" i="1"/>
  <c r="E10387" i="1"/>
  <c r="A10388" i="1"/>
  <c r="B10388" i="1"/>
  <c r="C10388" i="1"/>
  <c r="D10388" i="1"/>
  <c r="E10388" i="1"/>
  <c r="A10389" i="1"/>
  <c r="B10389" i="1"/>
  <c r="C10389" i="1"/>
  <c r="D10389" i="1"/>
  <c r="E10389" i="1"/>
  <c r="A10390" i="1"/>
  <c r="B10390" i="1"/>
  <c r="C10390" i="1"/>
  <c r="D10390" i="1"/>
  <c r="E10390" i="1"/>
  <c r="A10391" i="1"/>
  <c r="B10391" i="1"/>
  <c r="C10391" i="1"/>
  <c r="D10391" i="1"/>
  <c r="E10391" i="1"/>
  <c r="A10392" i="1"/>
  <c r="B10392" i="1"/>
  <c r="C10392" i="1"/>
  <c r="D10392" i="1"/>
  <c r="E10392" i="1"/>
  <c r="A10393" i="1"/>
  <c r="B10393" i="1"/>
  <c r="C10393" i="1"/>
  <c r="D10393" i="1"/>
  <c r="E10393" i="1"/>
  <c r="A10394" i="1"/>
  <c r="B10394" i="1"/>
  <c r="C10394" i="1"/>
  <c r="D10394" i="1"/>
  <c r="E10394" i="1"/>
  <c r="A10395" i="1"/>
  <c r="B10395" i="1"/>
  <c r="C10395" i="1"/>
  <c r="D10395" i="1"/>
  <c r="E10395" i="1"/>
  <c r="A10396" i="1"/>
  <c r="B10396" i="1"/>
  <c r="C10396" i="1"/>
  <c r="D10396" i="1"/>
  <c r="E10396" i="1"/>
  <c r="A10397" i="1"/>
  <c r="B10397" i="1"/>
  <c r="C10397" i="1"/>
  <c r="D10397" i="1"/>
  <c r="E10397" i="1"/>
  <c r="A10398" i="1"/>
  <c r="B10398" i="1"/>
  <c r="C10398" i="1"/>
  <c r="D10398" i="1"/>
  <c r="E10398" i="1"/>
  <c r="A10399" i="1"/>
  <c r="B10399" i="1"/>
  <c r="C10399" i="1"/>
  <c r="D10399" i="1"/>
  <c r="E10399" i="1"/>
  <c r="A10400" i="1"/>
  <c r="B10400" i="1"/>
  <c r="C10400" i="1"/>
  <c r="D10400" i="1"/>
  <c r="E10400" i="1"/>
  <c r="A10401" i="1"/>
  <c r="B10401" i="1"/>
  <c r="C10401" i="1"/>
  <c r="D10401" i="1"/>
  <c r="E10401" i="1"/>
  <c r="A10402" i="1"/>
  <c r="B10402" i="1"/>
  <c r="C10402" i="1"/>
  <c r="D10402" i="1"/>
  <c r="E10402" i="1"/>
  <c r="A10403" i="1"/>
  <c r="B10403" i="1"/>
  <c r="C10403" i="1"/>
  <c r="D10403" i="1"/>
  <c r="E10403" i="1"/>
  <c r="A10404" i="1"/>
  <c r="B10404" i="1"/>
  <c r="C10404" i="1"/>
  <c r="D10404" i="1"/>
  <c r="E10404" i="1"/>
  <c r="A10405" i="1"/>
  <c r="B10405" i="1"/>
  <c r="C10405" i="1"/>
  <c r="D10405" i="1"/>
  <c r="E10405" i="1"/>
  <c r="A10406" i="1"/>
  <c r="B10406" i="1"/>
  <c r="C10406" i="1"/>
  <c r="D10406" i="1"/>
  <c r="E10406" i="1"/>
  <c r="A10407" i="1"/>
  <c r="B10407" i="1"/>
  <c r="C10407" i="1"/>
  <c r="D10407" i="1"/>
  <c r="E10407" i="1"/>
  <c r="A10408" i="1"/>
  <c r="B10408" i="1"/>
  <c r="C10408" i="1"/>
  <c r="D10408" i="1"/>
  <c r="E10408" i="1"/>
  <c r="A10409" i="1"/>
  <c r="B10409" i="1"/>
  <c r="C10409" i="1"/>
  <c r="D10409" i="1"/>
  <c r="E10409" i="1"/>
  <c r="A10410" i="1"/>
  <c r="B10410" i="1"/>
  <c r="C10410" i="1"/>
  <c r="D10410" i="1"/>
  <c r="E10410" i="1"/>
  <c r="A10411" i="1"/>
  <c r="B10411" i="1"/>
  <c r="C10411" i="1"/>
  <c r="D10411" i="1"/>
  <c r="E10411" i="1"/>
  <c r="A10412" i="1"/>
  <c r="B10412" i="1"/>
  <c r="C10412" i="1"/>
  <c r="D10412" i="1"/>
  <c r="E10412" i="1"/>
  <c r="A10413" i="1"/>
  <c r="B10413" i="1"/>
  <c r="C10413" i="1"/>
  <c r="D10413" i="1"/>
  <c r="E10413" i="1"/>
  <c r="A10414" i="1"/>
  <c r="B10414" i="1"/>
  <c r="C10414" i="1"/>
  <c r="D10414" i="1"/>
  <c r="E10414" i="1"/>
  <c r="A10415" i="1"/>
  <c r="B10415" i="1"/>
  <c r="C10415" i="1"/>
  <c r="D10415" i="1"/>
  <c r="E10415" i="1"/>
  <c r="A10416" i="1"/>
  <c r="B10416" i="1"/>
  <c r="C10416" i="1"/>
  <c r="D10416" i="1"/>
  <c r="E10416" i="1"/>
  <c r="A10417" i="1"/>
  <c r="B10417" i="1"/>
  <c r="C10417" i="1"/>
  <c r="D10417" i="1"/>
  <c r="E10417" i="1"/>
  <c r="A10418" i="1"/>
  <c r="B10418" i="1"/>
  <c r="C10418" i="1"/>
  <c r="D10418" i="1"/>
  <c r="E10418" i="1"/>
  <c r="A10419" i="1"/>
  <c r="B10419" i="1"/>
  <c r="C10419" i="1"/>
  <c r="D10419" i="1"/>
  <c r="E10419" i="1"/>
  <c r="A10420" i="1"/>
  <c r="B10420" i="1"/>
  <c r="C10420" i="1"/>
  <c r="D10420" i="1"/>
  <c r="E10420" i="1"/>
  <c r="A10421" i="1"/>
  <c r="B10421" i="1"/>
  <c r="C10421" i="1"/>
  <c r="D10421" i="1"/>
  <c r="E10421" i="1"/>
  <c r="A10422" i="1"/>
  <c r="B10422" i="1"/>
  <c r="C10422" i="1"/>
  <c r="D10422" i="1"/>
  <c r="E10422" i="1"/>
  <c r="A10423" i="1"/>
  <c r="B10423" i="1"/>
  <c r="C10423" i="1"/>
  <c r="D10423" i="1"/>
  <c r="E10423" i="1"/>
  <c r="A10424" i="1"/>
  <c r="B10424" i="1"/>
  <c r="C10424" i="1"/>
  <c r="D10424" i="1"/>
  <c r="E10424" i="1"/>
  <c r="A10425" i="1"/>
  <c r="B10425" i="1"/>
  <c r="C10425" i="1"/>
  <c r="D10425" i="1"/>
  <c r="E10425" i="1"/>
  <c r="A10426" i="1"/>
  <c r="B10426" i="1"/>
  <c r="C10426" i="1"/>
  <c r="D10426" i="1"/>
  <c r="E10426" i="1"/>
  <c r="A10427" i="1"/>
  <c r="B10427" i="1"/>
  <c r="C10427" i="1"/>
  <c r="D10427" i="1"/>
  <c r="E10427" i="1"/>
  <c r="A10428" i="1"/>
  <c r="B10428" i="1"/>
  <c r="C10428" i="1"/>
  <c r="D10428" i="1"/>
  <c r="E10428" i="1"/>
  <c r="A10429" i="1"/>
  <c r="B10429" i="1"/>
  <c r="C10429" i="1"/>
  <c r="D10429" i="1"/>
  <c r="E10429" i="1"/>
  <c r="A10430" i="1"/>
  <c r="B10430" i="1"/>
  <c r="C10430" i="1"/>
  <c r="D10430" i="1"/>
  <c r="E10430" i="1"/>
  <c r="A10431" i="1"/>
  <c r="B10431" i="1"/>
  <c r="C10431" i="1"/>
  <c r="D10431" i="1"/>
  <c r="E10431" i="1"/>
  <c r="A10432" i="1"/>
  <c r="B10432" i="1"/>
  <c r="C10432" i="1"/>
  <c r="D10432" i="1"/>
  <c r="E10432" i="1"/>
  <c r="A10433" i="1"/>
  <c r="B10433" i="1"/>
  <c r="C10433" i="1"/>
  <c r="D10433" i="1"/>
  <c r="E10433" i="1"/>
  <c r="A10434" i="1"/>
  <c r="B10434" i="1"/>
  <c r="C10434" i="1"/>
  <c r="D10434" i="1"/>
  <c r="E10434" i="1"/>
  <c r="A10435" i="1"/>
  <c r="B10435" i="1"/>
  <c r="C10435" i="1"/>
  <c r="D10435" i="1"/>
  <c r="E10435" i="1"/>
  <c r="A10436" i="1"/>
  <c r="B10436" i="1"/>
  <c r="C10436" i="1"/>
  <c r="D10436" i="1"/>
  <c r="E10436" i="1"/>
  <c r="A10437" i="1"/>
  <c r="B10437" i="1"/>
  <c r="C10437" i="1"/>
  <c r="D10437" i="1"/>
  <c r="E10437" i="1"/>
  <c r="A10438" i="1"/>
  <c r="B10438" i="1"/>
  <c r="C10438" i="1"/>
  <c r="D10438" i="1"/>
  <c r="E10438" i="1"/>
  <c r="A10439" i="1"/>
  <c r="B10439" i="1"/>
  <c r="C10439" i="1"/>
  <c r="D10439" i="1"/>
  <c r="E10439" i="1"/>
  <c r="A10440" i="1"/>
  <c r="B10440" i="1"/>
  <c r="C10440" i="1"/>
  <c r="D10440" i="1"/>
  <c r="E10440" i="1"/>
  <c r="A10441" i="1"/>
  <c r="B10441" i="1"/>
  <c r="C10441" i="1"/>
  <c r="D10441" i="1"/>
  <c r="E10441" i="1"/>
  <c r="A10442" i="1"/>
  <c r="B10442" i="1"/>
  <c r="C10442" i="1"/>
  <c r="D10442" i="1"/>
  <c r="E10442" i="1"/>
  <c r="A10443" i="1"/>
  <c r="B10443" i="1"/>
  <c r="C10443" i="1"/>
  <c r="D10443" i="1"/>
  <c r="E10443" i="1"/>
  <c r="A10444" i="1"/>
  <c r="B10444" i="1"/>
  <c r="C10444" i="1"/>
  <c r="D10444" i="1"/>
  <c r="E10444" i="1"/>
  <c r="A10445" i="1"/>
  <c r="B10445" i="1"/>
  <c r="C10445" i="1"/>
  <c r="D10445" i="1"/>
  <c r="E10445" i="1"/>
  <c r="A10446" i="1"/>
  <c r="B10446" i="1"/>
  <c r="C10446" i="1"/>
  <c r="D10446" i="1"/>
  <c r="E10446" i="1"/>
  <c r="A10447" i="1"/>
  <c r="B10447" i="1"/>
  <c r="C10447" i="1"/>
  <c r="D10447" i="1"/>
  <c r="E10447" i="1"/>
  <c r="A10448" i="1"/>
  <c r="B10448" i="1"/>
  <c r="C10448" i="1"/>
  <c r="D10448" i="1"/>
  <c r="E10448" i="1"/>
  <c r="A10449" i="1"/>
  <c r="B10449" i="1"/>
  <c r="C10449" i="1"/>
  <c r="D10449" i="1"/>
  <c r="E10449" i="1"/>
  <c r="A10450" i="1"/>
  <c r="B10450" i="1"/>
  <c r="C10450" i="1"/>
  <c r="D10450" i="1"/>
  <c r="E10450" i="1"/>
  <c r="A10451" i="1"/>
  <c r="B10451" i="1"/>
  <c r="C10451" i="1"/>
  <c r="D10451" i="1"/>
  <c r="E10451" i="1"/>
  <c r="A10452" i="1"/>
  <c r="B10452" i="1"/>
  <c r="C10452" i="1"/>
  <c r="D10452" i="1"/>
  <c r="E10452" i="1"/>
  <c r="A10453" i="1"/>
  <c r="B10453" i="1"/>
  <c r="C10453" i="1"/>
  <c r="D10453" i="1"/>
  <c r="E10453" i="1"/>
  <c r="A10454" i="1"/>
  <c r="B10454" i="1"/>
  <c r="C10454" i="1"/>
  <c r="D10454" i="1"/>
  <c r="E10454" i="1"/>
  <c r="A10455" i="1"/>
  <c r="B10455" i="1"/>
  <c r="C10455" i="1"/>
  <c r="D10455" i="1"/>
  <c r="E10455" i="1"/>
  <c r="A10456" i="1"/>
  <c r="B10456" i="1"/>
  <c r="C10456" i="1"/>
  <c r="D10456" i="1"/>
  <c r="E10456" i="1"/>
  <c r="A10457" i="1"/>
  <c r="B10457" i="1"/>
  <c r="C10457" i="1"/>
  <c r="D10457" i="1"/>
  <c r="E10457" i="1"/>
  <c r="A10458" i="1"/>
  <c r="B10458" i="1"/>
  <c r="C10458" i="1"/>
  <c r="D10458" i="1"/>
  <c r="E10458" i="1"/>
  <c r="A10459" i="1"/>
  <c r="B10459" i="1"/>
  <c r="C10459" i="1"/>
  <c r="D10459" i="1"/>
  <c r="E10459" i="1"/>
  <c r="A10460" i="1"/>
  <c r="B10460" i="1"/>
  <c r="C10460" i="1"/>
  <c r="D10460" i="1"/>
  <c r="E10460" i="1"/>
  <c r="A10461" i="1"/>
  <c r="B10461" i="1"/>
  <c r="C10461" i="1"/>
  <c r="D10461" i="1"/>
  <c r="E10461" i="1"/>
  <c r="A10462" i="1"/>
  <c r="B10462" i="1"/>
  <c r="C10462" i="1"/>
  <c r="D10462" i="1"/>
  <c r="E10462" i="1"/>
  <c r="A10463" i="1"/>
  <c r="B10463" i="1"/>
  <c r="C10463" i="1"/>
  <c r="D10463" i="1"/>
  <c r="E10463" i="1"/>
  <c r="A10464" i="1"/>
  <c r="B10464" i="1"/>
  <c r="C10464" i="1"/>
  <c r="D10464" i="1"/>
  <c r="E10464" i="1"/>
  <c r="A10465" i="1"/>
  <c r="B10465" i="1"/>
  <c r="C10465" i="1"/>
  <c r="D10465" i="1"/>
  <c r="E10465" i="1"/>
  <c r="A10466" i="1"/>
  <c r="B10466" i="1"/>
  <c r="C10466" i="1"/>
  <c r="D10466" i="1"/>
  <c r="E10466" i="1"/>
  <c r="A10467" i="1"/>
  <c r="B10467" i="1"/>
  <c r="C10467" i="1"/>
  <c r="D10467" i="1"/>
  <c r="E10467" i="1"/>
  <c r="A10468" i="1"/>
  <c r="B10468" i="1"/>
  <c r="C10468" i="1"/>
  <c r="D10468" i="1"/>
  <c r="E10468" i="1"/>
  <c r="A10469" i="1"/>
  <c r="B10469" i="1"/>
  <c r="C10469" i="1"/>
  <c r="D10469" i="1"/>
  <c r="E10469" i="1"/>
  <c r="A10470" i="1"/>
  <c r="B10470" i="1"/>
  <c r="C10470" i="1"/>
  <c r="D10470" i="1"/>
  <c r="E10470" i="1"/>
  <c r="A10471" i="1"/>
  <c r="B10471" i="1"/>
  <c r="C10471" i="1"/>
  <c r="D10471" i="1"/>
  <c r="E10471" i="1"/>
  <c r="A10472" i="1"/>
  <c r="B10472" i="1"/>
  <c r="C10472" i="1"/>
  <c r="D10472" i="1"/>
  <c r="E10472" i="1"/>
  <c r="A10473" i="1"/>
  <c r="B10473" i="1"/>
  <c r="C10473" i="1"/>
  <c r="D10473" i="1"/>
  <c r="E10473" i="1"/>
  <c r="A10474" i="1"/>
  <c r="B10474" i="1"/>
  <c r="C10474" i="1"/>
  <c r="D10474" i="1"/>
  <c r="E10474" i="1"/>
  <c r="A10475" i="1"/>
  <c r="B10475" i="1"/>
  <c r="C10475" i="1"/>
  <c r="D10475" i="1"/>
  <c r="E10475" i="1"/>
  <c r="A10476" i="1"/>
  <c r="B10476" i="1"/>
  <c r="C10476" i="1"/>
  <c r="D10476" i="1"/>
  <c r="E10476" i="1"/>
  <c r="A10477" i="1"/>
  <c r="B10477" i="1"/>
  <c r="C10477" i="1"/>
  <c r="D10477" i="1"/>
  <c r="E10477" i="1"/>
  <c r="A10478" i="1"/>
  <c r="B10478" i="1"/>
  <c r="C10478" i="1"/>
  <c r="D10478" i="1"/>
  <c r="E10478" i="1"/>
  <c r="A10479" i="1"/>
  <c r="B10479" i="1"/>
  <c r="C10479" i="1"/>
  <c r="D10479" i="1"/>
  <c r="E10479" i="1"/>
  <c r="A10480" i="1"/>
  <c r="B10480" i="1"/>
  <c r="C10480" i="1"/>
  <c r="D10480" i="1"/>
  <c r="E10480" i="1"/>
  <c r="A10481" i="1"/>
  <c r="B10481" i="1"/>
  <c r="C10481" i="1"/>
  <c r="D10481" i="1"/>
  <c r="E10481" i="1"/>
  <c r="A10482" i="1"/>
  <c r="B10482" i="1"/>
  <c r="C10482" i="1"/>
  <c r="D10482" i="1"/>
  <c r="E10482" i="1"/>
  <c r="A10483" i="1"/>
  <c r="B10483" i="1"/>
  <c r="C10483" i="1"/>
  <c r="D10483" i="1"/>
  <c r="E10483" i="1"/>
  <c r="A10484" i="1"/>
  <c r="B10484" i="1"/>
  <c r="C10484" i="1"/>
  <c r="D10484" i="1"/>
  <c r="E10484" i="1"/>
  <c r="A10485" i="1"/>
  <c r="B10485" i="1"/>
  <c r="C10485" i="1"/>
  <c r="D10485" i="1"/>
  <c r="E10485" i="1"/>
  <c r="A10486" i="1"/>
  <c r="B10486" i="1"/>
  <c r="C10486" i="1"/>
  <c r="D10486" i="1"/>
  <c r="E10486" i="1"/>
  <c r="A10487" i="1"/>
  <c r="B10487" i="1"/>
  <c r="C10487" i="1"/>
  <c r="D10487" i="1"/>
  <c r="E10487" i="1"/>
  <c r="A10488" i="1"/>
  <c r="B10488" i="1"/>
  <c r="C10488" i="1"/>
  <c r="D10488" i="1"/>
  <c r="E10488" i="1"/>
  <c r="A10489" i="1"/>
  <c r="B10489" i="1"/>
  <c r="C10489" i="1"/>
  <c r="D10489" i="1"/>
  <c r="E10489" i="1"/>
  <c r="A10490" i="1"/>
  <c r="B10490" i="1"/>
  <c r="C10490" i="1"/>
  <c r="D10490" i="1"/>
  <c r="E10490" i="1"/>
  <c r="A10491" i="1"/>
  <c r="B10491" i="1"/>
  <c r="C10491" i="1"/>
  <c r="D10491" i="1"/>
  <c r="E10491" i="1"/>
  <c r="A10492" i="1"/>
  <c r="B10492" i="1"/>
  <c r="C10492" i="1"/>
  <c r="D10492" i="1"/>
  <c r="E10492" i="1"/>
  <c r="A10493" i="1"/>
  <c r="B10493" i="1"/>
  <c r="C10493" i="1"/>
  <c r="D10493" i="1"/>
  <c r="E10493" i="1"/>
  <c r="A10494" i="1"/>
  <c r="B10494" i="1"/>
  <c r="C10494" i="1"/>
  <c r="D10494" i="1"/>
  <c r="E10494" i="1"/>
  <c r="A10495" i="1"/>
  <c r="B10495" i="1"/>
  <c r="C10495" i="1"/>
  <c r="D10495" i="1"/>
  <c r="E10495" i="1"/>
  <c r="A10496" i="1"/>
  <c r="B10496" i="1"/>
  <c r="C10496" i="1"/>
  <c r="D10496" i="1"/>
  <c r="E10496" i="1"/>
  <c r="A10497" i="1"/>
  <c r="B10497" i="1"/>
  <c r="C10497" i="1"/>
  <c r="D10497" i="1"/>
  <c r="E10497" i="1"/>
  <c r="A10498" i="1"/>
  <c r="B10498" i="1"/>
  <c r="C10498" i="1"/>
  <c r="D10498" i="1"/>
  <c r="E10498" i="1"/>
  <c r="A10499" i="1"/>
  <c r="B10499" i="1"/>
  <c r="C10499" i="1"/>
  <c r="D10499" i="1"/>
  <c r="E10499" i="1"/>
  <c r="A10500" i="1"/>
  <c r="B10500" i="1"/>
  <c r="C10500" i="1"/>
  <c r="D10500" i="1"/>
  <c r="E10500" i="1"/>
  <c r="A10501" i="1"/>
  <c r="B10501" i="1"/>
  <c r="C10501" i="1"/>
  <c r="D10501" i="1"/>
  <c r="E10501" i="1"/>
  <c r="A10502" i="1"/>
  <c r="B10502" i="1"/>
  <c r="C10502" i="1"/>
  <c r="D10502" i="1"/>
  <c r="E10502" i="1"/>
  <c r="A10503" i="1"/>
  <c r="B10503" i="1"/>
  <c r="C10503" i="1"/>
  <c r="D10503" i="1"/>
  <c r="E10503" i="1"/>
  <c r="A10504" i="1"/>
  <c r="B10504" i="1"/>
  <c r="C10504" i="1"/>
  <c r="D10504" i="1"/>
  <c r="E10504" i="1"/>
  <c r="A10505" i="1"/>
  <c r="B10505" i="1"/>
  <c r="C10505" i="1"/>
  <c r="D10505" i="1"/>
  <c r="E10505" i="1"/>
  <c r="A10506" i="1"/>
  <c r="B10506" i="1"/>
  <c r="C10506" i="1"/>
  <c r="D10506" i="1"/>
  <c r="E10506" i="1"/>
  <c r="A10507" i="1"/>
  <c r="B10507" i="1"/>
  <c r="C10507" i="1"/>
  <c r="D10507" i="1"/>
  <c r="E10507" i="1"/>
  <c r="A10508" i="1"/>
  <c r="B10508" i="1"/>
  <c r="C10508" i="1"/>
  <c r="D10508" i="1"/>
  <c r="E10508" i="1"/>
  <c r="A10509" i="1"/>
  <c r="B10509" i="1"/>
  <c r="C10509" i="1"/>
  <c r="D10509" i="1"/>
  <c r="E10509" i="1"/>
  <c r="A10510" i="1"/>
  <c r="B10510" i="1"/>
  <c r="C10510" i="1"/>
  <c r="D10510" i="1"/>
  <c r="E10510" i="1"/>
  <c r="A10511" i="1"/>
  <c r="B10511" i="1"/>
  <c r="C10511" i="1"/>
  <c r="D10511" i="1"/>
  <c r="E10511" i="1"/>
  <c r="A10512" i="1"/>
  <c r="B10512" i="1"/>
  <c r="C10512" i="1"/>
  <c r="D10512" i="1"/>
  <c r="E10512" i="1"/>
  <c r="A10513" i="1"/>
  <c r="B10513" i="1"/>
  <c r="C10513" i="1"/>
  <c r="D10513" i="1"/>
  <c r="E10513" i="1"/>
  <c r="A10514" i="1"/>
  <c r="B10514" i="1"/>
  <c r="C10514" i="1"/>
  <c r="D10514" i="1"/>
  <c r="E10514" i="1"/>
  <c r="A10515" i="1"/>
  <c r="B10515" i="1"/>
  <c r="C10515" i="1"/>
  <c r="D10515" i="1"/>
  <c r="E10515" i="1"/>
  <c r="A10516" i="1"/>
  <c r="B10516" i="1"/>
  <c r="C10516" i="1"/>
  <c r="D10516" i="1"/>
  <c r="E10516" i="1"/>
  <c r="A10517" i="1"/>
  <c r="B10517" i="1"/>
  <c r="C10517" i="1"/>
  <c r="D10517" i="1"/>
  <c r="E10517" i="1"/>
  <c r="A10518" i="1"/>
  <c r="B10518" i="1"/>
  <c r="C10518" i="1"/>
  <c r="D10518" i="1"/>
  <c r="E10518" i="1"/>
  <c r="A10519" i="1"/>
  <c r="B10519" i="1"/>
  <c r="C10519" i="1"/>
  <c r="D10519" i="1"/>
  <c r="E10519" i="1"/>
  <c r="A10520" i="1"/>
  <c r="B10520" i="1"/>
  <c r="C10520" i="1"/>
  <c r="D10520" i="1"/>
  <c r="E10520" i="1"/>
  <c r="A10521" i="1"/>
  <c r="B10521" i="1"/>
  <c r="C10521" i="1"/>
  <c r="D10521" i="1"/>
  <c r="E10521" i="1"/>
  <c r="A10522" i="1"/>
  <c r="B10522" i="1"/>
  <c r="C10522" i="1"/>
  <c r="D10522" i="1"/>
  <c r="E10522" i="1"/>
  <c r="A10523" i="1"/>
  <c r="B10523" i="1"/>
  <c r="C10523" i="1"/>
  <c r="D10523" i="1"/>
  <c r="E10523" i="1"/>
  <c r="A10524" i="1"/>
  <c r="B10524" i="1"/>
  <c r="C10524" i="1"/>
  <c r="D10524" i="1"/>
  <c r="E10524" i="1"/>
  <c r="A10525" i="1"/>
  <c r="B10525" i="1"/>
  <c r="C10525" i="1"/>
  <c r="D10525" i="1"/>
  <c r="E10525" i="1"/>
  <c r="A10526" i="1"/>
  <c r="B10526" i="1"/>
  <c r="C10526" i="1"/>
  <c r="D10526" i="1"/>
  <c r="E10526" i="1"/>
  <c r="A10527" i="1"/>
  <c r="B10527" i="1"/>
  <c r="C10527" i="1"/>
  <c r="D10527" i="1"/>
  <c r="E10527" i="1"/>
  <c r="A10528" i="1"/>
  <c r="B10528" i="1"/>
  <c r="C10528" i="1"/>
  <c r="D10528" i="1"/>
  <c r="E10528" i="1"/>
  <c r="A10529" i="1"/>
  <c r="B10529" i="1"/>
  <c r="C10529" i="1"/>
  <c r="D10529" i="1"/>
  <c r="E10529" i="1"/>
  <c r="A10530" i="1"/>
  <c r="B10530" i="1"/>
  <c r="C10530" i="1"/>
  <c r="D10530" i="1"/>
  <c r="E10530" i="1"/>
  <c r="A10531" i="1"/>
  <c r="B10531" i="1"/>
  <c r="C10531" i="1"/>
  <c r="D10531" i="1"/>
  <c r="E10531" i="1"/>
  <c r="A10532" i="1"/>
  <c r="B10532" i="1"/>
  <c r="C10532" i="1"/>
  <c r="D10532" i="1"/>
  <c r="E10532" i="1"/>
  <c r="A10533" i="1"/>
  <c r="B10533" i="1"/>
  <c r="C10533" i="1"/>
  <c r="D10533" i="1"/>
  <c r="E10533" i="1"/>
  <c r="A10534" i="1"/>
  <c r="B10534" i="1"/>
  <c r="C10534" i="1"/>
  <c r="D10534" i="1"/>
  <c r="E10534" i="1"/>
  <c r="A10535" i="1"/>
  <c r="B10535" i="1"/>
  <c r="C10535" i="1"/>
  <c r="D10535" i="1"/>
  <c r="E10535" i="1"/>
  <c r="A10536" i="1"/>
  <c r="B10536" i="1"/>
  <c r="C10536" i="1"/>
  <c r="D10536" i="1"/>
  <c r="E10536" i="1"/>
  <c r="A10537" i="1"/>
  <c r="B10537" i="1"/>
  <c r="C10537" i="1"/>
  <c r="D10537" i="1"/>
  <c r="E10537" i="1"/>
  <c r="A10538" i="1"/>
  <c r="B10538" i="1"/>
  <c r="C10538" i="1"/>
  <c r="D10538" i="1"/>
  <c r="E10538" i="1"/>
  <c r="A10539" i="1"/>
  <c r="B10539" i="1"/>
  <c r="C10539" i="1"/>
  <c r="D10539" i="1"/>
  <c r="E10539" i="1"/>
  <c r="A10540" i="1"/>
  <c r="B10540" i="1"/>
  <c r="C10540" i="1"/>
  <c r="D10540" i="1"/>
  <c r="E10540" i="1"/>
  <c r="A10541" i="1"/>
  <c r="B10541" i="1"/>
  <c r="C10541" i="1"/>
  <c r="D10541" i="1"/>
  <c r="E10541" i="1"/>
  <c r="A10542" i="1"/>
  <c r="B10542" i="1"/>
  <c r="C10542" i="1"/>
  <c r="D10542" i="1"/>
  <c r="E10542" i="1"/>
  <c r="A10543" i="1"/>
  <c r="B10543" i="1"/>
  <c r="C10543" i="1"/>
  <c r="D10543" i="1"/>
  <c r="E10543" i="1"/>
  <c r="A10544" i="1"/>
  <c r="B10544" i="1"/>
  <c r="C10544" i="1"/>
  <c r="D10544" i="1"/>
  <c r="E10544" i="1"/>
  <c r="A10545" i="1"/>
  <c r="B10545" i="1"/>
  <c r="C10545" i="1"/>
  <c r="D10545" i="1"/>
  <c r="E10545" i="1"/>
  <c r="A10546" i="1"/>
  <c r="B10546" i="1"/>
  <c r="C10546" i="1"/>
  <c r="D10546" i="1"/>
  <c r="E10546" i="1"/>
  <c r="A10547" i="1"/>
  <c r="B10547" i="1"/>
  <c r="C10547" i="1"/>
  <c r="D10547" i="1"/>
  <c r="E10547" i="1"/>
  <c r="A10548" i="1"/>
  <c r="B10548" i="1"/>
  <c r="C10548" i="1"/>
  <c r="D10548" i="1"/>
  <c r="E10548" i="1"/>
  <c r="A10549" i="1"/>
  <c r="B10549" i="1"/>
  <c r="C10549" i="1"/>
  <c r="D10549" i="1"/>
  <c r="E10549" i="1"/>
  <c r="A10550" i="1"/>
  <c r="B10550" i="1"/>
  <c r="C10550" i="1"/>
  <c r="D10550" i="1"/>
  <c r="E10550" i="1"/>
  <c r="A10551" i="1"/>
  <c r="B10551" i="1"/>
  <c r="C10551" i="1"/>
  <c r="D10551" i="1"/>
  <c r="E10551" i="1"/>
  <c r="A10552" i="1"/>
  <c r="B10552" i="1"/>
  <c r="C10552" i="1"/>
  <c r="D10552" i="1"/>
  <c r="E10552" i="1"/>
  <c r="A10553" i="1"/>
  <c r="B10553" i="1"/>
  <c r="C10553" i="1"/>
  <c r="D10553" i="1"/>
  <c r="E10553" i="1"/>
  <c r="A10554" i="1"/>
  <c r="B10554" i="1"/>
  <c r="C10554" i="1"/>
  <c r="D10554" i="1"/>
  <c r="E10554" i="1"/>
  <c r="A10555" i="1"/>
  <c r="B10555" i="1"/>
  <c r="C10555" i="1"/>
  <c r="D10555" i="1"/>
  <c r="E10555" i="1"/>
  <c r="A10556" i="1"/>
  <c r="B10556" i="1"/>
  <c r="C10556" i="1"/>
  <c r="D10556" i="1"/>
  <c r="E10556" i="1"/>
  <c r="A10557" i="1"/>
  <c r="B10557" i="1"/>
  <c r="C10557" i="1"/>
  <c r="D10557" i="1"/>
  <c r="E10557" i="1"/>
  <c r="A10558" i="1"/>
  <c r="B10558" i="1"/>
  <c r="C10558" i="1"/>
  <c r="D10558" i="1"/>
  <c r="E10558" i="1"/>
  <c r="A10559" i="1"/>
  <c r="B10559" i="1"/>
  <c r="C10559" i="1"/>
  <c r="D10559" i="1"/>
  <c r="E10559" i="1"/>
  <c r="A10560" i="1"/>
  <c r="B10560" i="1"/>
  <c r="C10560" i="1"/>
  <c r="D10560" i="1"/>
  <c r="E10560" i="1"/>
  <c r="A10561" i="1"/>
  <c r="B10561" i="1"/>
  <c r="C10561" i="1"/>
  <c r="D10561" i="1"/>
  <c r="E10561" i="1"/>
  <c r="A10562" i="1"/>
  <c r="B10562" i="1"/>
  <c r="C10562" i="1"/>
  <c r="D10562" i="1"/>
  <c r="E10562" i="1"/>
  <c r="A10563" i="1"/>
  <c r="B10563" i="1"/>
  <c r="C10563" i="1"/>
  <c r="D10563" i="1"/>
  <c r="E10563" i="1"/>
  <c r="A10564" i="1"/>
  <c r="B10564" i="1"/>
  <c r="C10564" i="1"/>
  <c r="D10564" i="1"/>
  <c r="E10564" i="1"/>
  <c r="A10565" i="1"/>
  <c r="B10565" i="1"/>
  <c r="C10565" i="1"/>
  <c r="D10565" i="1"/>
  <c r="E10565" i="1"/>
  <c r="A10566" i="1"/>
  <c r="B10566" i="1"/>
  <c r="C10566" i="1"/>
  <c r="D10566" i="1"/>
  <c r="E10566" i="1"/>
  <c r="A10567" i="1"/>
  <c r="B10567" i="1"/>
  <c r="C10567" i="1"/>
  <c r="D10567" i="1"/>
  <c r="E10567" i="1"/>
  <c r="A10568" i="1"/>
  <c r="B10568" i="1"/>
  <c r="C10568" i="1"/>
  <c r="D10568" i="1"/>
  <c r="E10568" i="1"/>
  <c r="A10569" i="1"/>
  <c r="B10569" i="1"/>
  <c r="C10569" i="1"/>
  <c r="D10569" i="1"/>
  <c r="E10569" i="1"/>
  <c r="A10570" i="1"/>
  <c r="B10570" i="1"/>
  <c r="C10570" i="1"/>
  <c r="D10570" i="1"/>
  <c r="E10570" i="1"/>
  <c r="A10571" i="1"/>
  <c r="B10571" i="1"/>
  <c r="C10571" i="1"/>
  <c r="D10571" i="1"/>
  <c r="E10571" i="1"/>
  <c r="A10572" i="1"/>
  <c r="B10572" i="1"/>
  <c r="C10572" i="1"/>
  <c r="D10572" i="1"/>
  <c r="E10572" i="1"/>
  <c r="A10573" i="1"/>
  <c r="B10573" i="1"/>
  <c r="C10573" i="1"/>
  <c r="D10573" i="1"/>
  <c r="E10573" i="1"/>
  <c r="A10574" i="1"/>
  <c r="B10574" i="1"/>
  <c r="C10574" i="1"/>
  <c r="D10574" i="1"/>
  <c r="E10574" i="1"/>
  <c r="A10575" i="1"/>
  <c r="B10575" i="1"/>
  <c r="C10575" i="1"/>
  <c r="D10575" i="1"/>
  <c r="E10575" i="1"/>
  <c r="A10576" i="1"/>
  <c r="B10576" i="1"/>
  <c r="C10576" i="1"/>
  <c r="D10576" i="1"/>
  <c r="E10576" i="1"/>
  <c r="A10577" i="1"/>
  <c r="B10577" i="1"/>
  <c r="C10577" i="1"/>
  <c r="D10577" i="1"/>
  <c r="E10577" i="1"/>
  <c r="A10578" i="1"/>
  <c r="B10578" i="1"/>
  <c r="C10578" i="1"/>
  <c r="D10578" i="1"/>
  <c r="E10578" i="1"/>
  <c r="A10579" i="1"/>
  <c r="B10579" i="1"/>
  <c r="C10579" i="1"/>
  <c r="D10579" i="1"/>
  <c r="E10579" i="1"/>
  <c r="A10580" i="1"/>
  <c r="B10580" i="1"/>
  <c r="C10580" i="1"/>
  <c r="D10580" i="1"/>
  <c r="E10580" i="1"/>
  <c r="A10581" i="1"/>
  <c r="B10581" i="1"/>
  <c r="C10581" i="1"/>
  <c r="D10581" i="1"/>
  <c r="E10581" i="1"/>
  <c r="A10582" i="1"/>
  <c r="B10582" i="1"/>
  <c r="C10582" i="1"/>
  <c r="D10582" i="1"/>
  <c r="E10582" i="1"/>
  <c r="A10583" i="1"/>
  <c r="B10583" i="1"/>
  <c r="C10583" i="1"/>
  <c r="D10583" i="1"/>
  <c r="E10583" i="1"/>
  <c r="A10584" i="1"/>
  <c r="B10584" i="1"/>
  <c r="C10584" i="1"/>
  <c r="D10584" i="1"/>
  <c r="E10584" i="1"/>
  <c r="A10585" i="1"/>
  <c r="B10585" i="1"/>
  <c r="C10585" i="1"/>
  <c r="D10585" i="1"/>
  <c r="E10585" i="1"/>
  <c r="A10586" i="1"/>
  <c r="B10586" i="1"/>
  <c r="C10586" i="1"/>
  <c r="D10586" i="1"/>
  <c r="E10586" i="1"/>
  <c r="A10587" i="1"/>
  <c r="B10587" i="1"/>
  <c r="C10587" i="1"/>
  <c r="D10587" i="1"/>
  <c r="E10587" i="1"/>
  <c r="A10588" i="1"/>
  <c r="B10588" i="1"/>
  <c r="C10588" i="1"/>
  <c r="D10588" i="1"/>
  <c r="E10588" i="1"/>
  <c r="A10589" i="1"/>
  <c r="B10589" i="1"/>
  <c r="C10589" i="1"/>
  <c r="D10589" i="1"/>
  <c r="E10589" i="1"/>
  <c r="A10590" i="1"/>
  <c r="B10590" i="1"/>
  <c r="C10590" i="1"/>
  <c r="D10590" i="1"/>
  <c r="E10590" i="1"/>
  <c r="A10591" i="1"/>
  <c r="B10591" i="1"/>
  <c r="C10591" i="1"/>
  <c r="D10591" i="1"/>
  <c r="E10591" i="1"/>
  <c r="A10592" i="1"/>
  <c r="B10592" i="1"/>
  <c r="C10592" i="1"/>
  <c r="D10592" i="1"/>
  <c r="E10592" i="1"/>
  <c r="A10593" i="1"/>
  <c r="B10593" i="1"/>
  <c r="C10593" i="1"/>
  <c r="D10593" i="1"/>
  <c r="E10593" i="1"/>
  <c r="A10594" i="1"/>
  <c r="B10594" i="1"/>
  <c r="C10594" i="1"/>
  <c r="D10594" i="1"/>
  <c r="E10594" i="1"/>
  <c r="A10595" i="1"/>
  <c r="B10595" i="1"/>
  <c r="C10595" i="1"/>
  <c r="D10595" i="1"/>
  <c r="E10595" i="1"/>
  <c r="A10596" i="1"/>
  <c r="B10596" i="1"/>
  <c r="C10596" i="1"/>
  <c r="D10596" i="1"/>
  <c r="E10596" i="1"/>
  <c r="A10597" i="1"/>
  <c r="B10597" i="1"/>
  <c r="C10597" i="1"/>
  <c r="D10597" i="1"/>
  <c r="E10597" i="1"/>
  <c r="A10598" i="1"/>
  <c r="B10598" i="1"/>
  <c r="C10598" i="1"/>
  <c r="D10598" i="1"/>
  <c r="E10598" i="1"/>
  <c r="A10599" i="1"/>
  <c r="B10599" i="1"/>
  <c r="C10599" i="1"/>
  <c r="D10599" i="1"/>
  <c r="E10599" i="1"/>
  <c r="A10600" i="1"/>
  <c r="B10600" i="1"/>
  <c r="C10600" i="1"/>
  <c r="D10600" i="1"/>
  <c r="E10600" i="1"/>
  <c r="A10601" i="1"/>
  <c r="B10601" i="1"/>
  <c r="C10601" i="1"/>
  <c r="D10601" i="1"/>
  <c r="E10601" i="1"/>
  <c r="A10602" i="1"/>
  <c r="B10602" i="1"/>
  <c r="C10602" i="1"/>
  <c r="D10602" i="1"/>
  <c r="E10602" i="1"/>
  <c r="A10603" i="1"/>
  <c r="B10603" i="1"/>
  <c r="C10603" i="1"/>
  <c r="D10603" i="1"/>
  <c r="E10603" i="1"/>
  <c r="A10604" i="1"/>
  <c r="B10604" i="1"/>
  <c r="C10604" i="1"/>
  <c r="D10604" i="1"/>
  <c r="E10604" i="1"/>
  <c r="A10605" i="1"/>
  <c r="B10605" i="1"/>
  <c r="C10605" i="1"/>
  <c r="D10605" i="1"/>
  <c r="E10605" i="1"/>
  <c r="A10606" i="1"/>
  <c r="B10606" i="1"/>
  <c r="C10606" i="1"/>
  <c r="D10606" i="1"/>
  <c r="E10606" i="1"/>
  <c r="A10607" i="1"/>
  <c r="B10607" i="1"/>
  <c r="C10607" i="1"/>
  <c r="D10607" i="1"/>
  <c r="E10607" i="1"/>
  <c r="A10608" i="1"/>
  <c r="B10608" i="1"/>
  <c r="C10608" i="1"/>
  <c r="D10608" i="1"/>
  <c r="E10608" i="1"/>
  <c r="A10609" i="1"/>
  <c r="B10609" i="1"/>
  <c r="C10609" i="1"/>
  <c r="D10609" i="1"/>
  <c r="E10609" i="1"/>
  <c r="A10610" i="1"/>
  <c r="B10610" i="1"/>
  <c r="C10610" i="1"/>
  <c r="D10610" i="1"/>
  <c r="E10610" i="1"/>
  <c r="A10611" i="1"/>
  <c r="B10611" i="1"/>
  <c r="C10611" i="1"/>
  <c r="D10611" i="1"/>
  <c r="E10611" i="1"/>
  <c r="A10612" i="1"/>
  <c r="B10612" i="1"/>
  <c r="C10612" i="1"/>
  <c r="D10612" i="1"/>
  <c r="E10612" i="1"/>
  <c r="A10613" i="1"/>
  <c r="B10613" i="1"/>
  <c r="C10613" i="1"/>
  <c r="D10613" i="1"/>
  <c r="E10613" i="1"/>
  <c r="A10614" i="1"/>
  <c r="B10614" i="1"/>
  <c r="C10614" i="1"/>
  <c r="D10614" i="1"/>
  <c r="E10614" i="1"/>
  <c r="A10615" i="1"/>
  <c r="B10615" i="1"/>
  <c r="C10615" i="1"/>
  <c r="D10615" i="1"/>
  <c r="E10615" i="1"/>
  <c r="A10616" i="1"/>
  <c r="B10616" i="1"/>
  <c r="C10616" i="1"/>
  <c r="D10616" i="1"/>
  <c r="E10616" i="1"/>
  <c r="A10617" i="1"/>
  <c r="B10617" i="1"/>
  <c r="C10617" i="1"/>
  <c r="D10617" i="1"/>
  <c r="E10617" i="1"/>
  <c r="A10618" i="1"/>
  <c r="B10618" i="1"/>
  <c r="C10618" i="1"/>
  <c r="D10618" i="1"/>
  <c r="E10618" i="1"/>
  <c r="A10619" i="1"/>
  <c r="B10619" i="1"/>
  <c r="C10619" i="1"/>
  <c r="D10619" i="1"/>
  <c r="E10619" i="1"/>
  <c r="A10620" i="1"/>
  <c r="B10620" i="1"/>
  <c r="C10620" i="1"/>
  <c r="D10620" i="1"/>
  <c r="E10620" i="1"/>
  <c r="A10621" i="1"/>
  <c r="B10621" i="1"/>
  <c r="C10621" i="1"/>
  <c r="D10621" i="1"/>
  <c r="E10621" i="1"/>
  <c r="A10622" i="1"/>
  <c r="B10622" i="1"/>
  <c r="C10622" i="1"/>
  <c r="D10622" i="1"/>
  <c r="E10622" i="1"/>
  <c r="A10623" i="1"/>
  <c r="B10623" i="1"/>
  <c r="C10623" i="1"/>
  <c r="D10623" i="1"/>
  <c r="E10623" i="1"/>
  <c r="A10624" i="1"/>
  <c r="B10624" i="1"/>
  <c r="C10624" i="1"/>
  <c r="D10624" i="1"/>
  <c r="E10624" i="1"/>
  <c r="A10625" i="1"/>
  <c r="B10625" i="1"/>
  <c r="C10625" i="1"/>
  <c r="D10625" i="1"/>
  <c r="E10625" i="1"/>
  <c r="A10626" i="1"/>
  <c r="B10626" i="1"/>
  <c r="C10626" i="1"/>
  <c r="D10626" i="1"/>
  <c r="E10626" i="1"/>
  <c r="A10627" i="1"/>
  <c r="B10627" i="1"/>
  <c r="C10627" i="1"/>
  <c r="D10627" i="1"/>
  <c r="E10627" i="1"/>
  <c r="A10628" i="1"/>
  <c r="B10628" i="1"/>
  <c r="C10628" i="1"/>
  <c r="D10628" i="1"/>
  <c r="E10628" i="1"/>
  <c r="A10629" i="1"/>
  <c r="B10629" i="1"/>
  <c r="C10629" i="1"/>
  <c r="D10629" i="1"/>
  <c r="E10629" i="1"/>
  <c r="A10630" i="1"/>
  <c r="B10630" i="1"/>
  <c r="C10630" i="1"/>
  <c r="D10630" i="1"/>
  <c r="E10630" i="1"/>
  <c r="A10631" i="1"/>
  <c r="B10631" i="1"/>
  <c r="C10631" i="1"/>
  <c r="D10631" i="1"/>
  <c r="E10631" i="1"/>
  <c r="A10632" i="1"/>
  <c r="B10632" i="1"/>
  <c r="C10632" i="1"/>
  <c r="D10632" i="1"/>
  <c r="E10632" i="1"/>
  <c r="A10633" i="1"/>
  <c r="B10633" i="1"/>
  <c r="C10633" i="1"/>
  <c r="D10633" i="1"/>
  <c r="E10633" i="1"/>
  <c r="A10634" i="1"/>
  <c r="B10634" i="1"/>
  <c r="C10634" i="1"/>
  <c r="D10634" i="1"/>
  <c r="E10634" i="1"/>
  <c r="A10635" i="1"/>
  <c r="B10635" i="1"/>
  <c r="C10635" i="1"/>
  <c r="D10635" i="1"/>
  <c r="E10635" i="1"/>
  <c r="A10636" i="1"/>
  <c r="B10636" i="1"/>
  <c r="C10636" i="1"/>
  <c r="D10636" i="1"/>
  <c r="E10636" i="1"/>
  <c r="A10637" i="1"/>
  <c r="B10637" i="1"/>
  <c r="C10637" i="1"/>
  <c r="D10637" i="1"/>
  <c r="E10637" i="1"/>
  <c r="A10638" i="1"/>
  <c r="B10638" i="1"/>
  <c r="C10638" i="1"/>
  <c r="D10638" i="1"/>
  <c r="E10638" i="1"/>
  <c r="A10639" i="1"/>
  <c r="B10639" i="1"/>
  <c r="C10639" i="1"/>
  <c r="D10639" i="1"/>
  <c r="E10639" i="1"/>
  <c r="A10640" i="1"/>
  <c r="B10640" i="1"/>
  <c r="C10640" i="1"/>
  <c r="D10640" i="1"/>
  <c r="E10640" i="1"/>
  <c r="A10641" i="1"/>
  <c r="B10641" i="1"/>
  <c r="C10641" i="1"/>
  <c r="D10641" i="1"/>
  <c r="E10641" i="1"/>
  <c r="A10642" i="1"/>
  <c r="B10642" i="1"/>
  <c r="C10642" i="1"/>
  <c r="D10642" i="1"/>
  <c r="E10642" i="1"/>
  <c r="A10643" i="1"/>
  <c r="B10643" i="1"/>
  <c r="C10643" i="1"/>
  <c r="D10643" i="1"/>
  <c r="E10643" i="1"/>
  <c r="A10644" i="1"/>
  <c r="B10644" i="1"/>
  <c r="C10644" i="1"/>
  <c r="D10644" i="1"/>
  <c r="E10644" i="1"/>
  <c r="A10645" i="1"/>
  <c r="B10645" i="1"/>
  <c r="C10645" i="1"/>
  <c r="D10645" i="1"/>
  <c r="E10645" i="1"/>
  <c r="A10646" i="1"/>
  <c r="B10646" i="1"/>
  <c r="C10646" i="1"/>
  <c r="D10646" i="1"/>
  <c r="E10646" i="1"/>
  <c r="A10647" i="1"/>
  <c r="B10647" i="1"/>
  <c r="C10647" i="1"/>
  <c r="D10647" i="1"/>
  <c r="E10647" i="1"/>
  <c r="A10648" i="1"/>
  <c r="B10648" i="1"/>
  <c r="C10648" i="1"/>
  <c r="D10648" i="1"/>
  <c r="E10648" i="1"/>
  <c r="A10649" i="1"/>
  <c r="B10649" i="1"/>
  <c r="C10649" i="1"/>
  <c r="D10649" i="1"/>
  <c r="E10649" i="1"/>
  <c r="A10650" i="1"/>
  <c r="B10650" i="1"/>
  <c r="C10650" i="1"/>
  <c r="D10650" i="1"/>
  <c r="E10650" i="1"/>
  <c r="A10651" i="1"/>
  <c r="B10651" i="1"/>
  <c r="C10651" i="1"/>
  <c r="D10651" i="1"/>
  <c r="E10651" i="1"/>
  <c r="A10652" i="1"/>
  <c r="B10652" i="1"/>
  <c r="C10652" i="1"/>
  <c r="D10652" i="1"/>
  <c r="E10652" i="1"/>
  <c r="A10653" i="1"/>
  <c r="B10653" i="1"/>
  <c r="C10653" i="1"/>
  <c r="D10653" i="1"/>
  <c r="E10653" i="1"/>
  <c r="A10654" i="1"/>
  <c r="B10654" i="1"/>
  <c r="C10654" i="1"/>
  <c r="D10654" i="1"/>
  <c r="E10654" i="1"/>
  <c r="A10655" i="1"/>
  <c r="B10655" i="1"/>
  <c r="C10655" i="1"/>
  <c r="D10655" i="1"/>
  <c r="E10655" i="1"/>
  <c r="A10656" i="1"/>
  <c r="B10656" i="1"/>
  <c r="C10656" i="1"/>
  <c r="D10656" i="1"/>
  <c r="E10656" i="1"/>
  <c r="A10657" i="1"/>
  <c r="B10657" i="1"/>
  <c r="C10657" i="1"/>
  <c r="D10657" i="1"/>
  <c r="E10657" i="1"/>
  <c r="A10658" i="1"/>
  <c r="B10658" i="1"/>
  <c r="C10658" i="1"/>
  <c r="D10658" i="1"/>
  <c r="E10658" i="1"/>
  <c r="A10659" i="1"/>
  <c r="B10659" i="1"/>
  <c r="C10659" i="1"/>
  <c r="D10659" i="1"/>
  <c r="E10659" i="1"/>
  <c r="A10660" i="1"/>
  <c r="B10660" i="1"/>
  <c r="C10660" i="1"/>
  <c r="D10660" i="1"/>
  <c r="E10660" i="1"/>
  <c r="A10661" i="1"/>
  <c r="B10661" i="1"/>
  <c r="C10661" i="1"/>
  <c r="D10661" i="1"/>
  <c r="E10661" i="1"/>
  <c r="A10662" i="1"/>
  <c r="B10662" i="1"/>
  <c r="C10662" i="1"/>
  <c r="D10662" i="1"/>
  <c r="E10662" i="1"/>
  <c r="A10663" i="1"/>
  <c r="B10663" i="1"/>
  <c r="C10663" i="1"/>
  <c r="D10663" i="1"/>
  <c r="E10663" i="1"/>
  <c r="A10664" i="1"/>
  <c r="B10664" i="1"/>
  <c r="C10664" i="1"/>
  <c r="D10664" i="1"/>
  <c r="E10664" i="1"/>
  <c r="A10665" i="1"/>
  <c r="B10665" i="1"/>
  <c r="C10665" i="1"/>
  <c r="D10665" i="1"/>
  <c r="E10665" i="1"/>
  <c r="A10666" i="1"/>
  <c r="B10666" i="1"/>
  <c r="C10666" i="1"/>
  <c r="D10666" i="1"/>
  <c r="E10666" i="1"/>
  <c r="A10667" i="1"/>
  <c r="B10667" i="1"/>
  <c r="C10667" i="1"/>
  <c r="D10667" i="1"/>
  <c r="E10667" i="1"/>
  <c r="A10668" i="1"/>
  <c r="B10668" i="1"/>
  <c r="C10668" i="1"/>
  <c r="D10668" i="1"/>
  <c r="E10668" i="1"/>
  <c r="A10669" i="1"/>
  <c r="B10669" i="1"/>
  <c r="C10669" i="1"/>
  <c r="D10669" i="1"/>
  <c r="E10669" i="1"/>
  <c r="A10670" i="1"/>
  <c r="B10670" i="1"/>
  <c r="C10670" i="1"/>
  <c r="D10670" i="1"/>
  <c r="E10670" i="1"/>
  <c r="A10671" i="1"/>
  <c r="B10671" i="1"/>
  <c r="C10671" i="1"/>
  <c r="D10671" i="1"/>
  <c r="E10671" i="1"/>
  <c r="A10672" i="1"/>
  <c r="B10672" i="1"/>
  <c r="C10672" i="1"/>
  <c r="D10672" i="1"/>
  <c r="E10672" i="1"/>
  <c r="A10673" i="1"/>
  <c r="B10673" i="1"/>
  <c r="C10673" i="1"/>
  <c r="D10673" i="1"/>
  <c r="E10673" i="1"/>
  <c r="A10674" i="1"/>
  <c r="B10674" i="1"/>
  <c r="C10674" i="1"/>
  <c r="D10674" i="1"/>
  <c r="E10674" i="1"/>
  <c r="A10675" i="1"/>
  <c r="B10675" i="1"/>
  <c r="C10675" i="1"/>
  <c r="D10675" i="1"/>
  <c r="E10675" i="1"/>
  <c r="A10676" i="1"/>
  <c r="B10676" i="1"/>
  <c r="C10676" i="1"/>
  <c r="D10676" i="1"/>
  <c r="E10676" i="1"/>
  <c r="A10677" i="1"/>
  <c r="B10677" i="1"/>
  <c r="C10677" i="1"/>
  <c r="D10677" i="1"/>
  <c r="E10677" i="1"/>
  <c r="A10678" i="1"/>
  <c r="B10678" i="1"/>
  <c r="C10678" i="1"/>
  <c r="D10678" i="1"/>
  <c r="E10678" i="1"/>
  <c r="A10679" i="1"/>
  <c r="B10679" i="1"/>
  <c r="C10679" i="1"/>
  <c r="D10679" i="1"/>
  <c r="E10679" i="1"/>
  <c r="A10680" i="1"/>
  <c r="B10680" i="1"/>
  <c r="C10680" i="1"/>
  <c r="D10680" i="1"/>
  <c r="E10680" i="1"/>
  <c r="A10681" i="1"/>
  <c r="B10681" i="1"/>
  <c r="C10681" i="1"/>
  <c r="D10681" i="1"/>
  <c r="E10681" i="1"/>
  <c r="A10682" i="1"/>
  <c r="B10682" i="1"/>
  <c r="C10682" i="1"/>
  <c r="D10682" i="1"/>
  <c r="E10682" i="1"/>
  <c r="A10683" i="1"/>
  <c r="B10683" i="1"/>
  <c r="C10683" i="1"/>
  <c r="D10683" i="1"/>
  <c r="E10683" i="1"/>
  <c r="A10684" i="1"/>
  <c r="B10684" i="1"/>
  <c r="C10684" i="1"/>
  <c r="D10684" i="1"/>
  <c r="E10684" i="1"/>
  <c r="A10685" i="1"/>
  <c r="B10685" i="1"/>
  <c r="C10685" i="1"/>
  <c r="D10685" i="1"/>
  <c r="E10685" i="1"/>
  <c r="A10686" i="1"/>
  <c r="B10686" i="1"/>
  <c r="C10686" i="1"/>
  <c r="D10686" i="1"/>
  <c r="E10686" i="1"/>
  <c r="A10687" i="1"/>
  <c r="B10687" i="1"/>
  <c r="C10687" i="1"/>
  <c r="D10687" i="1"/>
  <c r="E10687" i="1"/>
  <c r="A10688" i="1"/>
  <c r="B10688" i="1"/>
  <c r="C10688" i="1"/>
  <c r="D10688" i="1"/>
  <c r="E10688" i="1"/>
  <c r="A10689" i="1"/>
  <c r="B10689" i="1"/>
  <c r="C10689" i="1"/>
  <c r="D10689" i="1"/>
  <c r="E10689" i="1"/>
  <c r="A10690" i="1"/>
  <c r="B10690" i="1"/>
  <c r="C10690" i="1"/>
  <c r="D10690" i="1"/>
  <c r="E10690" i="1"/>
  <c r="A10691" i="1"/>
  <c r="B10691" i="1"/>
  <c r="C10691" i="1"/>
  <c r="D10691" i="1"/>
  <c r="E10691" i="1"/>
  <c r="A10692" i="1"/>
  <c r="B10692" i="1"/>
  <c r="C10692" i="1"/>
  <c r="D10692" i="1"/>
  <c r="E10692" i="1"/>
  <c r="A10693" i="1"/>
  <c r="B10693" i="1"/>
  <c r="C10693" i="1"/>
  <c r="D10693" i="1"/>
  <c r="E10693" i="1"/>
  <c r="A10694" i="1"/>
  <c r="B10694" i="1"/>
  <c r="C10694" i="1"/>
  <c r="D10694" i="1"/>
  <c r="E10694" i="1"/>
  <c r="A10695" i="1"/>
  <c r="B10695" i="1"/>
  <c r="C10695" i="1"/>
  <c r="D10695" i="1"/>
  <c r="E10695" i="1"/>
  <c r="A10696" i="1"/>
  <c r="B10696" i="1"/>
  <c r="C10696" i="1"/>
  <c r="D10696" i="1"/>
  <c r="E10696" i="1"/>
  <c r="A10697" i="1"/>
  <c r="B10697" i="1"/>
  <c r="C10697" i="1"/>
  <c r="D10697" i="1"/>
  <c r="E10697" i="1"/>
  <c r="A10698" i="1"/>
  <c r="B10698" i="1"/>
  <c r="C10698" i="1"/>
  <c r="D10698" i="1"/>
  <c r="E10698" i="1"/>
  <c r="A10699" i="1"/>
  <c r="B10699" i="1"/>
  <c r="C10699" i="1"/>
  <c r="D10699" i="1"/>
  <c r="E10699" i="1"/>
  <c r="A10700" i="1"/>
  <c r="B10700" i="1"/>
  <c r="C10700" i="1"/>
  <c r="D10700" i="1"/>
  <c r="E10700" i="1"/>
  <c r="A10701" i="1"/>
  <c r="B10701" i="1"/>
  <c r="C10701" i="1"/>
  <c r="D10701" i="1"/>
  <c r="E10701" i="1"/>
  <c r="A10702" i="1"/>
  <c r="B10702" i="1"/>
  <c r="C10702" i="1"/>
  <c r="D10702" i="1"/>
  <c r="E10702" i="1"/>
  <c r="A10703" i="1"/>
  <c r="B10703" i="1"/>
  <c r="C10703" i="1"/>
  <c r="D10703" i="1"/>
  <c r="E10703" i="1"/>
  <c r="A10704" i="1"/>
  <c r="B10704" i="1"/>
  <c r="C10704" i="1"/>
  <c r="D10704" i="1"/>
  <c r="E10704" i="1"/>
  <c r="A10705" i="1"/>
  <c r="B10705" i="1"/>
  <c r="C10705" i="1"/>
  <c r="D10705" i="1"/>
  <c r="E10705" i="1"/>
  <c r="A10706" i="1"/>
  <c r="B10706" i="1"/>
  <c r="C10706" i="1"/>
  <c r="D10706" i="1"/>
  <c r="E10706" i="1"/>
  <c r="A10707" i="1"/>
  <c r="B10707" i="1"/>
  <c r="C10707" i="1"/>
  <c r="D10707" i="1"/>
  <c r="E10707" i="1"/>
  <c r="A10708" i="1"/>
  <c r="B10708" i="1"/>
  <c r="C10708" i="1"/>
  <c r="D10708" i="1"/>
  <c r="E10708" i="1"/>
  <c r="A10709" i="1"/>
  <c r="B10709" i="1"/>
  <c r="C10709" i="1"/>
  <c r="D10709" i="1"/>
  <c r="E10709" i="1"/>
  <c r="A10710" i="1"/>
  <c r="B10710" i="1"/>
  <c r="C10710" i="1"/>
  <c r="D10710" i="1"/>
  <c r="E10710" i="1"/>
  <c r="A10711" i="1"/>
  <c r="B10711" i="1"/>
  <c r="C10711" i="1"/>
  <c r="D10711" i="1"/>
  <c r="E10711" i="1"/>
  <c r="A10712" i="1"/>
  <c r="B10712" i="1"/>
  <c r="C10712" i="1"/>
  <c r="D10712" i="1"/>
  <c r="E10712" i="1"/>
  <c r="A10713" i="1"/>
  <c r="B10713" i="1"/>
  <c r="C10713" i="1"/>
  <c r="D10713" i="1"/>
  <c r="E10713" i="1"/>
  <c r="A10714" i="1"/>
  <c r="B10714" i="1"/>
  <c r="C10714" i="1"/>
  <c r="D10714" i="1"/>
  <c r="E10714" i="1"/>
  <c r="A10715" i="1"/>
  <c r="B10715" i="1"/>
  <c r="C10715" i="1"/>
  <c r="D10715" i="1"/>
  <c r="E10715" i="1"/>
  <c r="A10716" i="1"/>
  <c r="B10716" i="1"/>
  <c r="C10716" i="1"/>
  <c r="D10716" i="1"/>
  <c r="E10716" i="1"/>
  <c r="A10717" i="1"/>
  <c r="B10717" i="1"/>
  <c r="C10717" i="1"/>
  <c r="D10717" i="1"/>
  <c r="E10717" i="1"/>
  <c r="A10718" i="1"/>
  <c r="B10718" i="1"/>
  <c r="C10718" i="1"/>
  <c r="D10718" i="1"/>
  <c r="E10718" i="1"/>
  <c r="A10719" i="1"/>
  <c r="B10719" i="1"/>
  <c r="C10719" i="1"/>
  <c r="D10719" i="1"/>
  <c r="E10719" i="1"/>
  <c r="A10720" i="1"/>
  <c r="B10720" i="1"/>
  <c r="C10720" i="1"/>
  <c r="D10720" i="1"/>
  <c r="E10720" i="1"/>
  <c r="A10721" i="1"/>
  <c r="B10721" i="1"/>
  <c r="C10721" i="1"/>
  <c r="D10721" i="1"/>
  <c r="E10721" i="1"/>
  <c r="A10722" i="1"/>
  <c r="B10722" i="1"/>
  <c r="C10722" i="1"/>
  <c r="D10722" i="1"/>
  <c r="E10722" i="1"/>
  <c r="A10723" i="1"/>
  <c r="B10723" i="1"/>
  <c r="C10723" i="1"/>
  <c r="D10723" i="1"/>
  <c r="E10723" i="1"/>
  <c r="A10724" i="1"/>
  <c r="B10724" i="1"/>
  <c r="C10724" i="1"/>
  <c r="D10724" i="1"/>
  <c r="E10724" i="1"/>
  <c r="A10725" i="1"/>
  <c r="B10725" i="1"/>
  <c r="C10725" i="1"/>
  <c r="D10725" i="1"/>
  <c r="E10725" i="1"/>
  <c r="A10726" i="1"/>
  <c r="B10726" i="1"/>
  <c r="C10726" i="1"/>
  <c r="D10726" i="1"/>
  <c r="E10726" i="1"/>
  <c r="A10727" i="1"/>
  <c r="B10727" i="1"/>
  <c r="C10727" i="1"/>
  <c r="D10727" i="1"/>
  <c r="E10727" i="1"/>
  <c r="A10728" i="1"/>
  <c r="B10728" i="1"/>
  <c r="C10728" i="1"/>
  <c r="D10728" i="1"/>
  <c r="E10728" i="1"/>
  <c r="A10729" i="1"/>
  <c r="B10729" i="1"/>
  <c r="C10729" i="1"/>
  <c r="D10729" i="1"/>
  <c r="E10729" i="1"/>
  <c r="A10730" i="1"/>
  <c r="B10730" i="1"/>
  <c r="C10730" i="1"/>
  <c r="D10730" i="1"/>
  <c r="E10730" i="1"/>
  <c r="A10731" i="1"/>
  <c r="B10731" i="1"/>
  <c r="C10731" i="1"/>
  <c r="D10731" i="1"/>
  <c r="E10731" i="1"/>
  <c r="A10732" i="1"/>
  <c r="B10732" i="1"/>
  <c r="C10732" i="1"/>
  <c r="D10732" i="1"/>
  <c r="E10732" i="1"/>
  <c r="A10733" i="1"/>
  <c r="B10733" i="1"/>
  <c r="C10733" i="1"/>
  <c r="D10733" i="1"/>
  <c r="E10733" i="1"/>
  <c r="A10734" i="1"/>
  <c r="B10734" i="1"/>
  <c r="C10734" i="1"/>
  <c r="D10734" i="1"/>
  <c r="E10734" i="1"/>
  <c r="A10735" i="1"/>
  <c r="B10735" i="1"/>
  <c r="C10735" i="1"/>
  <c r="D10735" i="1"/>
  <c r="E10735" i="1"/>
  <c r="A10736" i="1"/>
  <c r="B10736" i="1"/>
  <c r="C10736" i="1"/>
  <c r="D10736" i="1"/>
  <c r="E10736" i="1"/>
  <c r="A10737" i="1"/>
  <c r="B10737" i="1"/>
  <c r="C10737" i="1"/>
  <c r="D10737" i="1"/>
  <c r="E10737" i="1"/>
  <c r="A10738" i="1"/>
  <c r="B10738" i="1"/>
  <c r="C10738" i="1"/>
  <c r="D10738" i="1"/>
  <c r="E10738" i="1"/>
  <c r="A10739" i="1"/>
  <c r="B10739" i="1"/>
  <c r="C10739" i="1"/>
  <c r="D10739" i="1"/>
  <c r="E10739" i="1"/>
  <c r="A10740" i="1"/>
  <c r="B10740" i="1"/>
  <c r="C10740" i="1"/>
  <c r="D10740" i="1"/>
  <c r="E10740" i="1"/>
  <c r="A10741" i="1"/>
  <c r="B10741" i="1"/>
  <c r="C10741" i="1"/>
  <c r="D10741" i="1"/>
  <c r="E10741" i="1"/>
  <c r="A10742" i="1"/>
  <c r="B10742" i="1"/>
  <c r="C10742" i="1"/>
  <c r="D10742" i="1"/>
  <c r="E10742" i="1"/>
  <c r="A10743" i="1"/>
  <c r="B10743" i="1"/>
  <c r="C10743" i="1"/>
  <c r="D10743" i="1"/>
  <c r="E10743" i="1"/>
  <c r="A10744" i="1"/>
  <c r="B10744" i="1"/>
  <c r="C10744" i="1"/>
  <c r="D10744" i="1"/>
  <c r="E10744" i="1"/>
  <c r="A10745" i="1"/>
  <c r="B10745" i="1"/>
  <c r="C10745" i="1"/>
  <c r="D10745" i="1"/>
  <c r="E10745" i="1"/>
  <c r="A10746" i="1"/>
  <c r="B10746" i="1"/>
  <c r="C10746" i="1"/>
  <c r="D10746" i="1"/>
  <c r="E10746" i="1"/>
  <c r="A10747" i="1"/>
  <c r="B10747" i="1"/>
  <c r="C10747" i="1"/>
  <c r="D10747" i="1"/>
  <c r="E10747" i="1"/>
  <c r="A10748" i="1"/>
  <c r="B10748" i="1"/>
  <c r="C10748" i="1"/>
  <c r="D10748" i="1"/>
  <c r="E10748" i="1"/>
  <c r="A10749" i="1"/>
  <c r="B10749" i="1"/>
  <c r="C10749" i="1"/>
  <c r="D10749" i="1"/>
  <c r="E10749" i="1"/>
  <c r="A10750" i="1"/>
  <c r="B10750" i="1"/>
  <c r="C10750" i="1"/>
  <c r="D10750" i="1"/>
  <c r="E10750" i="1"/>
  <c r="A10751" i="1"/>
  <c r="B10751" i="1"/>
  <c r="C10751" i="1"/>
  <c r="D10751" i="1"/>
  <c r="E10751" i="1"/>
  <c r="A10752" i="1"/>
  <c r="B10752" i="1"/>
  <c r="C10752" i="1"/>
  <c r="D10752" i="1"/>
  <c r="E10752" i="1"/>
  <c r="A10753" i="1"/>
  <c r="B10753" i="1"/>
  <c r="C10753" i="1"/>
  <c r="D10753" i="1"/>
  <c r="E10753" i="1"/>
  <c r="A10754" i="1"/>
  <c r="B10754" i="1"/>
  <c r="C10754" i="1"/>
  <c r="D10754" i="1"/>
  <c r="E10754" i="1"/>
  <c r="A10755" i="1"/>
  <c r="B10755" i="1"/>
  <c r="C10755" i="1"/>
  <c r="D10755" i="1"/>
  <c r="E10755" i="1"/>
  <c r="A10756" i="1"/>
  <c r="B10756" i="1"/>
  <c r="C10756" i="1"/>
  <c r="D10756" i="1"/>
  <c r="E10756" i="1"/>
  <c r="A10757" i="1"/>
  <c r="B10757" i="1"/>
  <c r="C10757" i="1"/>
  <c r="D10757" i="1"/>
  <c r="E10757" i="1"/>
  <c r="A10758" i="1"/>
  <c r="B10758" i="1"/>
  <c r="C10758" i="1"/>
  <c r="D10758" i="1"/>
  <c r="E10758" i="1"/>
  <c r="A10759" i="1"/>
  <c r="B10759" i="1"/>
  <c r="C10759" i="1"/>
  <c r="D10759" i="1"/>
  <c r="E10759" i="1"/>
  <c r="A10760" i="1"/>
  <c r="B10760" i="1"/>
  <c r="C10760" i="1"/>
  <c r="D10760" i="1"/>
  <c r="E10760" i="1"/>
  <c r="A10761" i="1"/>
  <c r="B10761" i="1"/>
  <c r="C10761" i="1"/>
  <c r="D10761" i="1"/>
  <c r="E10761" i="1"/>
  <c r="A10762" i="1"/>
  <c r="B10762" i="1"/>
  <c r="C10762" i="1"/>
  <c r="D10762" i="1"/>
  <c r="E10762" i="1"/>
  <c r="A10763" i="1"/>
  <c r="B10763" i="1"/>
  <c r="C10763" i="1"/>
  <c r="D10763" i="1"/>
  <c r="E10763" i="1"/>
  <c r="A10764" i="1"/>
  <c r="B10764" i="1"/>
  <c r="C10764" i="1"/>
  <c r="D10764" i="1"/>
  <c r="E10764" i="1"/>
  <c r="A10765" i="1"/>
  <c r="B10765" i="1"/>
  <c r="C10765" i="1"/>
  <c r="D10765" i="1"/>
  <c r="E10765" i="1"/>
  <c r="A10766" i="1"/>
  <c r="B10766" i="1"/>
  <c r="C10766" i="1"/>
  <c r="D10766" i="1"/>
  <c r="E10766" i="1"/>
  <c r="A10767" i="1"/>
  <c r="B10767" i="1"/>
  <c r="C10767" i="1"/>
  <c r="D10767" i="1"/>
  <c r="E10767" i="1"/>
  <c r="A10768" i="1"/>
  <c r="B10768" i="1"/>
  <c r="C10768" i="1"/>
  <c r="D10768" i="1"/>
  <c r="E10768" i="1"/>
  <c r="A10769" i="1"/>
  <c r="B10769" i="1"/>
  <c r="C10769" i="1"/>
  <c r="D10769" i="1"/>
  <c r="E10769" i="1"/>
  <c r="A10770" i="1"/>
  <c r="B10770" i="1"/>
  <c r="C10770" i="1"/>
  <c r="D10770" i="1"/>
  <c r="E10770" i="1"/>
  <c r="A10771" i="1"/>
  <c r="B10771" i="1"/>
  <c r="C10771" i="1"/>
  <c r="D10771" i="1"/>
  <c r="E10771" i="1"/>
  <c r="A10772" i="1"/>
  <c r="B10772" i="1"/>
  <c r="C10772" i="1"/>
  <c r="D10772" i="1"/>
  <c r="E10772" i="1"/>
  <c r="A10773" i="1"/>
  <c r="B10773" i="1"/>
  <c r="C10773" i="1"/>
  <c r="D10773" i="1"/>
  <c r="E10773" i="1"/>
  <c r="A10774" i="1"/>
  <c r="B10774" i="1"/>
  <c r="C10774" i="1"/>
  <c r="D10774" i="1"/>
  <c r="E10774" i="1"/>
  <c r="A10775" i="1"/>
  <c r="B10775" i="1"/>
  <c r="C10775" i="1"/>
  <c r="D10775" i="1"/>
  <c r="E10775" i="1"/>
  <c r="A10776" i="1"/>
  <c r="B10776" i="1"/>
  <c r="C10776" i="1"/>
  <c r="D10776" i="1"/>
  <c r="E10776" i="1"/>
  <c r="A10777" i="1"/>
  <c r="B10777" i="1"/>
  <c r="C10777" i="1"/>
  <c r="D10777" i="1"/>
  <c r="E10777" i="1"/>
  <c r="A10778" i="1"/>
  <c r="B10778" i="1"/>
  <c r="C10778" i="1"/>
  <c r="D10778" i="1"/>
  <c r="E10778" i="1"/>
  <c r="A10779" i="1"/>
  <c r="B10779" i="1"/>
  <c r="C10779" i="1"/>
  <c r="D10779" i="1"/>
  <c r="E10779" i="1"/>
  <c r="A10780" i="1"/>
  <c r="B10780" i="1"/>
  <c r="C10780" i="1"/>
  <c r="D10780" i="1"/>
  <c r="E10780" i="1"/>
  <c r="A10781" i="1"/>
  <c r="B10781" i="1"/>
  <c r="C10781" i="1"/>
  <c r="D10781" i="1"/>
  <c r="E10781" i="1"/>
  <c r="A10782" i="1"/>
  <c r="B10782" i="1"/>
  <c r="C10782" i="1"/>
  <c r="D10782" i="1"/>
  <c r="E10782" i="1"/>
  <c r="A10783" i="1"/>
  <c r="B10783" i="1"/>
  <c r="C10783" i="1"/>
  <c r="D10783" i="1"/>
  <c r="E10783" i="1"/>
  <c r="A10784" i="1"/>
  <c r="B10784" i="1"/>
  <c r="C10784" i="1"/>
  <c r="D10784" i="1"/>
  <c r="E10784" i="1"/>
  <c r="A10785" i="1"/>
  <c r="B10785" i="1"/>
  <c r="C10785" i="1"/>
  <c r="D10785" i="1"/>
  <c r="E10785" i="1"/>
  <c r="A10786" i="1"/>
  <c r="B10786" i="1"/>
  <c r="C10786" i="1"/>
  <c r="D10786" i="1"/>
  <c r="E10786" i="1"/>
  <c r="A10787" i="1"/>
  <c r="B10787" i="1"/>
  <c r="C10787" i="1"/>
  <c r="D10787" i="1"/>
  <c r="E10787" i="1"/>
  <c r="A10788" i="1"/>
  <c r="B10788" i="1"/>
  <c r="C10788" i="1"/>
  <c r="D10788" i="1"/>
  <c r="E10788" i="1"/>
  <c r="A10789" i="1"/>
  <c r="B10789" i="1"/>
  <c r="C10789" i="1"/>
  <c r="D10789" i="1"/>
  <c r="E10789" i="1"/>
  <c r="A10790" i="1"/>
  <c r="B10790" i="1"/>
  <c r="C10790" i="1"/>
  <c r="D10790" i="1"/>
  <c r="E10790" i="1"/>
  <c r="A10791" i="1"/>
  <c r="B10791" i="1"/>
  <c r="C10791" i="1"/>
  <c r="D10791" i="1"/>
  <c r="E10791" i="1"/>
  <c r="A10792" i="1"/>
  <c r="B10792" i="1"/>
  <c r="C10792" i="1"/>
  <c r="D10792" i="1"/>
  <c r="E10792" i="1"/>
  <c r="A10793" i="1"/>
  <c r="B10793" i="1"/>
  <c r="C10793" i="1"/>
  <c r="D10793" i="1"/>
  <c r="E10793" i="1"/>
  <c r="A10794" i="1"/>
  <c r="B10794" i="1"/>
  <c r="C10794" i="1"/>
  <c r="D10794" i="1"/>
  <c r="E10794" i="1"/>
  <c r="A10795" i="1"/>
  <c r="B10795" i="1"/>
  <c r="C10795" i="1"/>
  <c r="D10795" i="1"/>
  <c r="E10795" i="1"/>
  <c r="A10796" i="1"/>
  <c r="B10796" i="1"/>
  <c r="C10796" i="1"/>
  <c r="D10796" i="1"/>
  <c r="E10796" i="1"/>
  <c r="A10797" i="1"/>
  <c r="B10797" i="1"/>
  <c r="C10797" i="1"/>
  <c r="D10797" i="1"/>
  <c r="E10797" i="1"/>
  <c r="A10798" i="1"/>
  <c r="B10798" i="1"/>
  <c r="C10798" i="1"/>
  <c r="D10798" i="1"/>
  <c r="E10798" i="1"/>
  <c r="A10799" i="1"/>
  <c r="B10799" i="1"/>
  <c r="C10799" i="1"/>
  <c r="D10799" i="1"/>
  <c r="E10799" i="1"/>
  <c r="A10800" i="1"/>
  <c r="B10800" i="1"/>
  <c r="C10800" i="1"/>
  <c r="D10800" i="1"/>
  <c r="E10800" i="1"/>
  <c r="A10801" i="1"/>
  <c r="B10801" i="1"/>
  <c r="C10801" i="1"/>
  <c r="D10801" i="1"/>
  <c r="E10801" i="1"/>
  <c r="A10802" i="1"/>
  <c r="B10802" i="1"/>
  <c r="C10802" i="1"/>
  <c r="D10802" i="1"/>
  <c r="E10802" i="1"/>
  <c r="A10803" i="1"/>
  <c r="B10803" i="1"/>
  <c r="C10803" i="1"/>
  <c r="D10803" i="1"/>
  <c r="E10803" i="1"/>
  <c r="A10804" i="1"/>
  <c r="B10804" i="1"/>
  <c r="C10804" i="1"/>
  <c r="D10804" i="1"/>
  <c r="E10804" i="1"/>
  <c r="A10805" i="1"/>
  <c r="B10805" i="1"/>
  <c r="C10805" i="1"/>
  <c r="D10805" i="1"/>
  <c r="E10805" i="1"/>
  <c r="A10806" i="1"/>
  <c r="B10806" i="1"/>
  <c r="C10806" i="1"/>
  <c r="D10806" i="1"/>
  <c r="E10806" i="1"/>
  <c r="A10807" i="1"/>
  <c r="B10807" i="1"/>
  <c r="C10807" i="1"/>
  <c r="D10807" i="1"/>
  <c r="E10807" i="1"/>
  <c r="A10808" i="1"/>
  <c r="B10808" i="1"/>
  <c r="C10808" i="1"/>
  <c r="D10808" i="1"/>
  <c r="E10808" i="1"/>
  <c r="A10809" i="1"/>
  <c r="B10809" i="1"/>
  <c r="C10809" i="1"/>
  <c r="D10809" i="1"/>
  <c r="E10809" i="1"/>
  <c r="A10810" i="1"/>
  <c r="B10810" i="1"/>
  <c r="C10810" i="1"/>
  <c r="D10810" i="1"/>
  <c r="E10810" i="1"/>
  <c r="A10811" i="1"/>
  <c r="B10811" i="1"/>
  <c r="C10811" i="1"/>
  <c r="D10811" i="1"/>
  <c r="E10811" i="1"/>
  <c r="A10812" i="1"/>
  <c r="B10812" i="1"/>
  <c r="C10812" i="1"/>
  <c r="D10812" i="1"/>
  <c r="E10812" i="1"/>
  <c r="A10813" i="1"/>
  <c r="B10813" i="1"/>
  <c r="C10813" i="1"/>
  <c r="D10813" i="1"/>
  <c r="E10813" i="1"/>
  <c r="A10814" i="1"/>
  <c r="B10814" i="1"/>
  <c r="C10814" i="1"/>
  <c r="D10814" i="1"/>
  <c r="E10814" i="1"/>
  <c r="A10815" i="1"/>
  <c r="B10815" i="1"/>
  <c r="C10815" i="1"/>
  <c r="D10815" i="1"/>
  <c r="E10815" i="1"/>
  <c r="A10816" i="1"/>
  <c r="B10816" i="1"/>
  <c r="C10816" i="1"/>
  <c r="D10816" i="1"/>
  <c r="E10816" i="1"/>
  <c r="A10817" i="1"/>
  <c r="B10817" i="1"/>
  <c r="C10817" i="1"/>
  <c r="D10817" i="1"/>
  <c r="E10817" i="1"/>
  <c r="A10818" i="1"/>
  <c r="B10818" i="1"/>
  <c r="C10818" i="1"/>
  <c r="D10818" i="1"/>
  <c r="E10818" i="1"/>
  <c r="A10819" i="1"/>
  <c r="B10819" i="1"/>
  <c r="C10819" i="1"/>
  <c r="D10819" i="1"/>
  <c r="E10819" i="1"/>
  <c r="A10820" i="1"/>
  <c r="B10820" i="1"/>
  <c r="C10820" i="1"/>
  <c r="D10820" i="1"/>
  <c r="E10820" i="1"/>
  <c r="A10821" i="1"/>
  <c r="B10821" i="1"/>
  <c r="C10821" i="1"/>
  <c r="D10821" i="1"/>
  <c r="E10821" i="1"/>
  <c r="A10822" i="1"/>
  <c r="B10822" i="1"/>
  <c r="C10822" i="1"/>
  <c r="D10822" i="1"/>
  <c r="E10822" i="1"/>
  <c r="A10823" i="1"/>
  <c r="B10823" i="1"/>
  <c r="C10823" i="1"/>
  <c r="D10823" i="1"/>
  <c r="E10823" i="1"/>
  <c r="A10824" i="1"/>
  <c r="B10824" i="1"/>
  <c r="C10824" i="1"/>
  <c r="D10824" i="1"/>
  <c r="E10824" i="1"/>
  <c r="A10825" i="1"/>
  <c r="B10825" i="1"/>
  <c r="C10825" i="1"/>
  <c r="D10825" i="1"/>
  <c r="E10825" i="1"/>
  <c r="A10826" i="1"/>
  <c r="B10826" i="1"/>
  <c r="C10826" i="1"/>
  <c r="D10826" i="1"/>
  <c r="E10826" i="1"/>
  <c r="A10827" i="1"/>
  <c r="B10827" i="1"/>
  <c r="C10827" i="1"/>
  <c r="D10827" i="1"/>
  <c r="E10827" i="1"/>
  <c r="A10828" i="1"/>
  <c r="B10828" i="1"/>
  <c r="C10828" i="1"/>
  <c r="D10828" i="1"/>
  <c r="E10828" i="1"/>
  <c r="A10829" i="1"/>
  <c r="B10829" i="1"/>
  <c r="C10829" i="1"/>
  <c r="D10829" i="1"/>
  <c r="E10829" i="1"/>
  <c r="A10830" i="1"/>
  <c r="B10830" i="1"/>
  <c r="C10830" i="1"/>
  <c r="D10830" i="1"/>
  <c r="E10830" i="1"/>
  <c r="A10831" i="1"/>
  <c r="B10831" i="1"/>
  <c r="C10831" i="1"/>
  <c r="D10831" i="1"/>
  <c r="E10831" i="1"/>
  <c r="A10832" i="1"/>
  <c r="B10832" i="1"/>
  <c r="C10832" i="1"/>
  <c r="D10832" i="1"/>
  <c r="E10832" i="1"/>
  <c r="A10833" i="1"/>
  <c r="B10833" i="1"/>
  <c r="C10833" i="1"/>
  <c r="D10833" i="1"/>
  <c r="E10833" i="1"/>
  <c r="A10834" i="1"/>
  <c r="B10834" i="1"/>
  <c r="C10834" i="1"/>
  <c r="D10834" i="1"/>
  <c r="E10834" i="1"/>
  <c r="A10835" i="1"/>
  <c r="B10835" i="1"/>
  <c r="C10835" i="1"/>
  <c r="D10835" i="1"/>
  <c r="E10835" i="1"/>
  <c r="A10836" i="1"/>
  <c r="B10836" i="1"/>
  <c r="C10836" i="1"/>
  <c r="D10836" i="1"/>
  <c r="E10836" i="1"/>
  <c r="A10837" i="1"/>
  <c r="B10837" i="1"/>
  <c r="C10837" i="1"/>
  <c r="D10837" i="1"/>
  <c r="E10837" i="1"/>
  <c r="A10838" i="1"/>
  <c r="B10838" i="1"/>
  <c r="C10838" i="1"/>
  <c r="D10838" i="1"/>
  <c r="E10838" i="1"/>
  <c r="A10839" i="1"/>
  <c r="B10839" i="1"/>
  <c r="C10839" i="1"/>
  <c r="D10839" i="1"/>
  <c r="E10839" i="1"/>
  <c r="A10840" i="1"/>
  <c r="B10840" i="1"/>
  <c r="C10840" i="1"/>
  <c r="D10840" i="1"/>
  <c r="E10840" i="1"/>
  <c r="A10841" i="1"/>
  <c r="B10841" i="1"/>
  <c r="C10841" i="1"/>
  <c r="D10841" i="1"/>
  <c r="E10841" i="1"/>
  <c r="A10842" i="1"/>
  <c r="B10842" i="1"/>
  <c r="C10842" i="1"/>
  <c r="D10842" i="1"/>
  <c r="E10842" i="1"/>
  <c r="A10843" i="1"/>
  <c r="B10843" i="1"/>
  <c r="C10843" i="1"/>
  <c r="D10843" i="1"/>
  <c r="E10843" i="1"/>
  <c r="A10844" i="1"/>
  <c r="B10844" i="1"/>
  <c r="C10844" i="1"/>
  <c r="D10844" i="1"/>
  <c r="E10844" i="1"/>
  <c r="A10845" i="1"/>
  <c r="B10845" i="1"/>
  <c r="C10845" i="1"/>
  <c r="D10845" i="1"/>
  <c r="E10845" i="1"/>
  <c r="A10846" i="1"/>
  <c r="B10846" i="1"/>
  <c r="C10846" i="1"/>
  <c r="D10846" i="1"/>
  <c r="E10846" i="1"/>
  <c r="A10847" i="1"/>
  <c r="B10847" i="1"/>
  <c r="C10847" i="1"/>
  <c r="D10847" i="1"/>
  <c r="E10847" i="1"/>
  <c r="A10848" i="1"/>
  <c r="B10848" i="1"/>
  <c r="C10848" i="1"/>
  <c r="D10848" i="1"/>
  <c r="E10848" i="1"/>
  <c r="A10849" i="1"/>
  <c r="B10849" i="1"/>
  <c r="C10849" i="1"/>
  <c r="D10849" i="1"/>
  <c r="E10849" i="1"/>
  <c r="A10850" i="1"/>
  <c r="B10850" i="1"/>
  <c r="C10850" i="1"/>
  <c r="D10850" i="1"/>
  <c r="E10850" i="1"/>
  <c r="A10851" i="1"/>
  <c r="B10851" i="1"/>
  <c r="C10851" i="1"/>
  <c r="D10851" i="1"/>
  <c r="E10851" i="1"/>
  <c r="A10852" i="1"/>
  <c r="B10852" i="1"/>
  <c r="C10852" i="1"/>
  <c r="D10852" i="1"/>
  <c r="E10852" i="1"/>
  <c r="A10853" i="1"/>
  <c r="B10853" i="1"/>
  <c r="C10853" i="1"/>
  <c r="D10853" i="1"/>
  <c r="E10853" i="1"/>
  <c r="A10854" i="1"/>
  <c r="B10854" i="1"/>
  <c r="C10854" i="1"/>
  <c r="D10854" i="1"/>
  <c r="E10854" i="1"/>
  <c r="A10855" i="1"/>
  <c r="B10855" i="1"/>
  <c r="C10855" i="1"/>
  <c r="D10855" i="1"/>
  <c r="E10855" i="1"/>
  <c r="A10856" i="1"/>
  <c r="B10856" i="1"/>
  <c r="C10856" i="1"/>
  <c r="D10856" i="1"/>
  <c r="E10856" i="1"/>
  <c r="A10857" i="1"/>
  <c r="B10857" i="1"/>
  <c r="C10857" i="1"/>
  <c r="D10857" i="1"/>
  <c r="E10857" i="1"/>
  <c r="A10858" i="1"/>
  <c r="B10858" i="1"/>
  <c r="C10858" i="1"/>
  <c r="D10858" i="1"/>
  <c r="E10858" i="1"/>
  <c r="A10859" i="1"/>
  <c r="B10859" i="1"/>
  <c r="C10859" i="1"/>
  <c r="D10859" i="1"/>
  <c r="E10859" i="1"/>
  <c r="A10860" i="1"/>
  <c r="B10860" i="1"/>
  <c r="C10860" i="1"/>
  <c r="D10860" i="1"/>
  <c r="E10860" i="1"/>
  <c r="A10861" i="1"/>
  <c r="B10861" i="1"/>
  <c r="C10861" i="1"/>
  <c r="D10861" i="1"/>
  <c r="E10861" i="1"/>
  <c r="A10862" i="1"/>
  <c r="B10862" i="1"/>
  <c r="C10862" i="1"/>
  <c r="D10862" i="1"/>
  <c r="E10862" i="1"/>
  <c r="A10863" i="1"/>
  <c r="B10863" i="1"/>
  <c r="C10863" i="1"/>
  <c r="D10863" i="1"/>
  <c r="E10863" i="1"/>
  <c r="A10864" i="1"/>
  <c r="B10864" i="1"/>
  <c r="C10864" i="1"/>
  <c r="D10864" i="1"/>
  <c r="E10864" i="1"/>
  <c r="A10865" i="1"/>
  <c r="B10865" i="1"/>
  <c r="C10865" i="1"/>
  <c r="D10865" i="1"/>
  <c r="E10865" i="1"/>
  <c r="A10866" i="1"/>
  <c r="B10866" i="1"/>
  <c r="C10866" i="1"/>
  <c r="D10866" i="1"/>
  <c r="E10866" i="1"/>
  <c r="A10867" i="1"/>
  <c r="B10867" i="1"/>
  <c r="C10867" i="1"/>
  <c r="D10867" i="1"/>
  <c r="E10867" i="1"/>
  <c r="A10868" i="1"/>
  <c r="B10868" i="1"/>
  <c r="C10868" i="1"/>
  <c r="D10868" i="1"/>
  <c r="E10868" i="1"/>
  <c r="A10869" i="1"/>
  <c r="B10869" i="1"/>
  <c r="C10869" i="1"/>
  <c r="D10869" i="1"/>
  <c r="E10869" i="1"/>
  <c r="A10870" i="1"/>
  <c r="B10870" i="1"/>
  <c r="C10870" i="1"/>
  <c r="D10870" i="1"/>
  <c r="E10870" i="1"/>
  <c r="A10871" i="1"/>
  <c r="B10871" i="1"/>
  <c r="C10871" i="1"/>
  <c r="D10871" i="1"/>
  <c r="E10871" i="1"/>
  <c r="A10872" i="1"/>
  <c r="B10872" i="1"/>
  <c r="C10872" i="1"/>
  <c r="D10872" i="1"/>
  <c r="E10872" i="1"/>
  <c r="A10873" i="1"/>
  <c r="B10873" i="1"/>
  <c r="C10873" i="1"/>
  <c r="D10873" i="1"/>
  <c r="E10873" i="1"/>
  <c r="A10874" i="1"/>
  <c r="B10874" i="1"/>
  <c r="C10874" i="1"/>
  <c r="D10874" i="1"/>
  <c r="E10874" i="1"/>
  <c r="A10875" i="1"/>
  <c r="B10875" i="1"/>
  <c r="C10875" i="1"/>
  <c r="D10875" i="1"/>
  <c r="E10875" i="1"/>
  <c r="A10876" i="1"/>
  <c r="B10876" i="1"/>
  <c r="C10876" i="1"/>
  <c r="D10876" i="1"/>
  <c r="E10876" i="1"/>
  <c r="A10877" i="1"/>
  <c r="B10877" i="1"/>
  <c r="C10877" i="1"/>
  <c r="D10877" i="1"/>
  <c r="E10877" i="1"/>
  <c r="A10878" i="1"/>
  <c r="B10878" i="1"/>
  <c r="C10878" i="1"/>
  <c r="D10878" i="1"/>
  <c r="E10878" i="1"/>
  <c r="A10879" i="1"/>
  <c r="B10879" i="1"/>
  <c r="C10879" i="1"/>
  <c r="D10879" i="1"/>
  <c r="E10879" i="1"/>
  <c r="A10880" i="1"/>
  <c r="B10880" i="1"/>
  <c r="C10880" i="1"/>
  <c r="D10880" i="1"/>
  <c r="E10880" i="1"/>
  <c r="A10881" i="1"/>
  <c r="B10881" i="1"/>
  <c r="C10881" i="1"/>
  <c r="D10881" i="1"/>
  <c r="E10881" i="1"/>
  <c r="A10882" i="1"/>
  <c r="B10882" i="1"/>
  <c r="C10882" i="1"/>
  <c r="D10882" i="1"/>
  <c r="E10882" i="1"/>
  <c r="A10883" i="1"/>
  <c r="B10883" i="1"/>
  <c r="C10883" i="1"/>
  <c r="D10883" i="1"/>
  <c r="E10883" i="1"/>
  <c r="A10884" i="1"/>
  <c r="B10884" i="1"/>
  <c r="C10884" i="1"/>
  <c r="D10884" i="1"/>
  <c r="E10884" i="1"/>
  <c r="A10885" i="1"/>
  <c r="B10885" i="1"/>
  <c r="C10885" i="1"/>
  <c r="D10885" i="1"/>
  <c r="E10885" i="1"/>
  <c r="A10886" i="1"/>
  <c r="B10886" i="1"/>
  <c r="C10886" i="1"/>
  <c r="D10886" i="1"/>
  <c r="E10886" i="1"/>
  <c r="A10887" i="1"/>
  <c r="B10887" i="1"/>
  <c r="C10887" i="1"/>
  <c r="D10887" i="1"/>
  <c r="E10887" i="1"/>
  <c r="A10888" i="1"/>
  <c r="B10888" i="1"/>
  <c r="C10888" i="1"/>
  <c r="D10888" i="1"/>
  <c r="E10888" i="1"/>
  <c r="A10889" i="1"/>
  <c r="B10889" i="1"/>
  <c r="C10889" i="1"/>
  <c r="D10889" i="1"/>
  <c r="E10889" i="1"/>
  <c r="A10890" i="1"/>
  <c r="B10890" i="1"/>
  <c r="C10890" i="1"/>
  <c r="D10890" i="1"/>
  <c r="E10890" i="1"/>
  <c r="A10891" i="1"/>
  <c r="B10891" i="1"/>
  <c r="C10891" i="1"/>
  <c r="D10891" i="1"/>
  <c r="E10891" i="1"/>
  <c r="A10892" i="1"/>
  <c r="B10892" i="1"/>
  <c r="C10892" i="1"/>
  <c r="D10892" i="1"/>
  <c r="E10892" i="1"/>
  <c r="A10893" i="1"/>
  <c r="B10893" i="1"/>
  <c r="C10893" i="1"/>
  <c r="D10893" i="1"/>
  <c r="E10893" i="1"/>
  <c r="A10894" i="1"/>
  <c r="B10894" i="1"/>
  <c r="C10894" i="1"/>
  <c r="D10894" i="1"/>
  <c r="E10894" i="1"/>
  <c r="A10895" i="1"/>
  <c r="B10895" i="1"/>
  <c r="C10895" i="1"/>
  <c r="D10895" i="1"/>
  <c r="E10895" i="1"/>
  <c r="A10896" i="1"/>
  <c r="B10896" i="1"/>
  <c r="C10896" i="1"/>
  <c r="D10896" i="1"/>
  <c r="E10896" i="1"/>
  <c r="A10897" i="1"/>
  <c r="B10897" i="1"/>
  <c r="C10897" i="1"/>
  <c r="D10897" i="1"/>
  <c r="E10897" i="1"/>
  <c r="A10898" i="1"/>
  <c r="B10898" i="1"/>
  <c r="C10898" i="1"/>
  <c r="D10898" i="1"/>
  <c r="E10898" i="1"/>
  <c r="A10899" i="1"/>
  <c r="B10899" i="1"/>
  <c r="C10899" i="1"/>
  <c r="D10899" i="1"/>
  <c r="E10899" i="1"/>
  <c r="A10900" i="1"/>
  <c r="B10900" i="1"/>
  <c r="C10900" i="1"/>
  <c r="D10900" i="1"/>
  <c r="E10900" i="1"/>
  <c r="A10901" i="1"/>
  <c r="B10901" i="1"/>
  <c r="C10901" i="1"/>
  <c r="D10901" i="1"/>
  <c r="E10901" i="1"/>
  <c r="A10902" i="1"/>
  <c r="B10902" i="1"/>
  <c r="C10902" i="1"/>
  <c r="D10902" i="1"/>
  <c r="E10902" i="1"/>
  <c r="A10903" i="1"/>
  <c r="B10903" i="1"/>
  <c r="C10903" i="1"/>
  <c r="D10903" i="1"/>
  <c r="E10903" i="1"/>
  <c r="A10904" i="1"/>
  <c r="B10904" i="1"/>
  <c r="C10904" i="1"/>
  <c r="D10904" i="1"/>
  <c r="E10904" i="1"/>
  <c r="A10905" i="1"/>
  <c r="B10905" i="1"/>
  <c r="C10905" i="1"/>
  <c r="D10905" i="1"/>
  <c r="E10905" i="1"/>
  <c r="A10906" i="1"/>
  <c r="B10906" i="1"/>
  <c r="C10906" i="1"/>
  <c r="D10906" i="1"/>
  <c r="E10906" i="1"/>
  <c r="A10907" i="1"/>
  <c r="B10907" i="1"/>
  <c r="C10907" i="1"/>
  <c r="D10907" i="1"/>
  <c r="E10907" i="1"/>
  <c r="A10908" i="1"/>
  <c r="B10908" i="1"/>
  <c r="C10908" i="1"/>
  <c r="D10908" i="1"/>
  <c r="E10908" i="1"/>
  <c r="A10909" i="1"/>
  <c r="B10909" i="1"/>
  <c r="C10909" i="1"/>
  <c r="D10909" i="1"/>
  <c r="E10909" i="1"/>
  <c r="A10910" i="1"/>
  <c r="B10910" i="1"/>
  <c r="C10910" i="1"/>
  <c r="D10910" i="1"/>
  <c r="E10910" i="1"/>
  <c r="A10911" i="1"/>
  <c r="B10911" i="1"/>
  <c r="C10911" i="1"/>
  <c r="D10911" i="1"/>
  <c r="E10911" i="1"/>
  <c r="A10912" i="1"/>
  <c r="B10912" i="1"/>
  <c r="C10912" i="1"/>
  <c r="D10912" i="1"/>
  <c r="E10912" i="1"/>
  <c r="A10913" i="1"/>
  <c r="B10913" i="1"/>
  <c r="C10913" i="1"/>
  <c r="D10913" i="1"/>
  <c r="E10913" i="1"/>
  <c r="A10914" i="1"/>
  <c r="B10914" i="1"/>
  <c r="C10914" i="1"/>
  <c r="D10914" i="1"/>
  <c r="E10914" i="1"/>
  <c r="A10915" i="1"/>
  <c r="B10915" i="1"/>
  <c r="C10915" i="1"/>
  <c r="D10915" i="1"/>
  <c r="E10915" i="1"/>
  <c r="A10916" i="1"/>
  <c r="B10916" i="1"/>
  <c r="C10916" i="1"/>
  <c r="D10916" i="1"/>
  <c r="E10916" i="1"/>
  <c r="A10917" i="1"/>
  <c r="B10917" i="1"/>
  <c r="C10917" i="1"/>
  <c r="D10917" i="1"/>
  <c r="E10917" i="1"/>
  <c r="A10918" i="1"/>
  <c r="B10918" i="1"/>
  <c r="C10918" i="1"/>
  <c r="D10918" i="1"/>
  <c r="E10918" i="1"/>
  <c r="A10919" i="1"/>
  <c r="B10919" i="1"/>
  <c r="C10919" i="1"/>
  <c r="D10919" i="1"/>
  <c r="E10919" i="1"/>
  <c r="A10920" i="1"/>
  <c r="B10920" i="1"/>
  <c r="C10920" i="1"/>
  <c r="D10920" i="1"/>
  <c r="E10920" i="1"/>
  <c r="A10921" i="1"/>
  <c r="B10921" i="1"/>
  <c r="C10921" i="1"/>
  <c r="D10921" i="1"/>
  <c r="E10921" i="1"/>
  <c r="A10922" i="1"/>
  <c r="B10922" i="1"/>
  <c r="C10922" i="1"/>
  <c r="D10922" i="1"/>
  <c r="E10922" i="1"/>
  <c r="A10923" i="1"/>
  <c r="B10923" i="1"/>
  <c r="C10923" i="1"/>
  <c r="D10923" i="1"/>
  <c r="E10923" i="1"/>
  <c r="A10924" i="1"/>
  <c r="B10924" i="1"/>
  <c r="C10924" i="1"/>
  <c r="D10924" i="1"/>
  <c r="E10924" i="1"/>
  <c r="A10925" i="1"/>
  <c r="B10925" i="1"/>
  <c r="C10925" i="1"/>
  <c r="D10925" i="1"/>
  <c r="E10925" i="1"/>
  <c r="A10926" i="1"/>
  <c r="B10926" i="1"/>
  <c r="C10926" i="1"/>
  <c r="D10926" i="1"/>
  <c r="E10926" i="1"/>
  <c r="A10927" i="1"/>
  <c r="B10927" i="1"/>
  <c r="C10927" i="1"/>
  <c r="D10927" i="1"/>
  <c r="E10927" i="1"/>
  <c r="A10928" i="1"/>
  <c r="B10928" i="1"/>
  <c r="C10928" i="1"/>
  <c r="D10928" i="1"/>
  <c r="E10928" i="1"/>
  <c r="A10929" i="1"/>
  <c r="B10929" i="1"/>
  <c r="C10929" i="1"/>
  <c r="D10929" i="1"/>
  <c r="E10929" i="1"/>
  <c r="A10930" i="1"/>
  <c r="B10930" i="1"/>
  <c r="C10930" i="1"/>
  <c r="D10930" i="1"/>
  <c r="E10930" i="1"/>
  <c r="A10931" i="1"/>
  <c r="B10931" i="1"/>
  <c r="C10931" i="1"/>
  <c r="D10931" i="1"/>
  <c r="E10931" i="1"/>
  <c r="A10932" i="1"/>
  <c r="B10932" i="1"/>
  <c r="C10932" i="1"/>
  <c r="D10932" i="1"/>
  <c r="E10932" i="1"/>
  <c r="A10933" i="1"/>
  <c r="B10933" i="1"/>
  <c r="C10933" i="1"/>
  <c r="D10933" i="1"/>
  <c r="E10933" i="1"/>
  <c r="A10934" i="1"/>
  <c r="B10934" i="1"/>
  <c r="C10934" i="1"/>
  <c r="D10934" i="1"/>
  <c r="E10934" i="1"/>
  <c r="A10935" i="1"/>
  <c r="B10935" i="1"/>
  <c r="C10935" i="1"/>
  <c r="D10935" i="1"/>
  <c r="E10935" i="1"/>
  <c r="A10936" i="1"/>
  <c r="B10936" i="1"/>
  <c r="C10936" i="1"/>
  <c r="D10936" i="1"/>
  <c r="E10936" i="1"/>
  <c r="A10937" i="1"/>
  <c r="B10937" i="1"/>
  <c r="C10937" i="1"/>
  <c r="D10937" i="1"/>
  <c r="E10937" i="1"/>
  <c r="A10938" i="1"/>
  <c r="B10938" i="1"/>
  <c r="C10938" i="1"/>
  <c r="D10938" i="1"/>
  <c r="E10938" i="1"/>
  <c r="A10939" i="1"/>
  <c r="B10939" i="1"/>
  <c r="C10939" i="1"/>
  <c r="D10939" i="1"/>
  <c r="E10939" i="1"/>
  <c r="A10940" i="1"/>
  <c r="B10940" i="1"/>
  <c r="C10940" i="1"/>
  <c r="D10940" i="1"/>
  <c r="E10940" i="1"/>
  <c r="A10941" i="1"/>
  <c r="B10941" i="1"/>
  <c r="C10941" i="1"/>
  <c r="D10941" i="1"/>
  <c r="E10941" i="1"/>
  <c r="A10942" i="1"/>
  <c r="B10942" i="1"/>
  <c r="C10942" i="1"/>
  <c r="D10942" i="1"/>
  <c r="E10942" i="1"/>
  <c r="A10943" i="1"/>
  <c r="B10943" i="1"/>
  <c r="C10943" i="1"/>
  <c r="D10943" i="1"/>
  <c r="E10943" i="1"/>
  <c r="A10944" i="1"/>
  <c r="B10944" i="1"/>
  <c r="C10944" i="1"/>
  <c r="D10944" i="1"/>
  <c r="E10944" i="1"/>
  <c r="A10945" i="1"/>
  <c r="B10945" i="1"/>
  <c r="C10945" i="1"/>
  <c r="D10945" i="1"/>
  <c r="E10945" i="1"/>
  <c r="A10946" i="1"/>
  <c r="B10946" i="1"/>
  <c r="C10946" i="1"/>
  <c r="D10946" i="1"/>
  <c r="E10946" i="1"/>
  <c r="A10947" i="1"/>
  <c r="B10947" i="1"/>
  <c r="C10947" i="1"/>
  <c r="D10947" i="1"/>
  <c r="E10947" i="1"/>
  <c r="A10948" i="1"/>
  <c r="B10948" i="1"/>
  <c r="C10948" i="1"/>
  <c r="D10948" i="1"/>
  <c r="E10948" i="1"/>
  <c r="A10949" i="1"/>
  <c r="B10949" i="1"/>
  <c r="C10949" i="1"/>
  <c r="D10949" i="1"/>
  <c r="E10949" i="1"/>
  <c r="A10950" i="1"/>
  <c r="B10950" i="1"/>
  <c r="C10950" i="1"/>
  <c r="D10950" i="1"/>
  <c r="E10950" i="1"/>
  <c r="A10951" i="1"/>
  <c r="B10951" i="1"/>
  <c r="C10951" i="1"/>
  <c r="D10951" i="1"/>
  <c r="E10951" i="1"/>
  <c r="A10952" i="1"/>
  <c r="B10952" i="1"/>
  <c r="C10952" i="1"/>
  <c r="D10952" i="1"/>
  <c r="E10952" i="1"/>
  <c r="A10953" i="1"/>
  <c r="B10953" i="1"/>
  <c r="C10953" i="1"/>
  <c r="D10953" i="1"/>
  <c r="E10953" i="1"/>
  <c r="A10954" i="1"/>
  <c r="B10954" i="1"/>
  <c r="C10954" i="1"/>
  <c r="D10954" i="1"/>
  <c r="E10954" i="1"/>
  <c r="A10955" i="1"/>
  <c r="B10955" i="1"/>
  <c r="C10955" i="1"/>
  <c r="D10955" i="1"/>
  <c r="E10955" i="1"/>
  <c r="A10956" i="1"/>
  <c r="B10956" i="1"/>
  <c r="C10956" i="1"/>
  <c r="D10956" i="1"/>
  <c r="E10956" i="1"/>
  <c r="A10957" i="1"/>
  <c r="B10957" i="1"/>
  <c r="C10957" i="1"/>
  <c r="D10957" i="1"/>
  <c r="E10957" i="1"/>
  <c r="A10958" i="1"/>
  <c r="B10958" i="1"/>
  <c r="C10958" i="1"/>
  <c r="D10958" i="1"/>
  <c r="E10958" i="1"/>
  <c r="A10959" i="1"/>
  <c r="B10959" i="1"/>
  <c r="C10959" i="1"/>
  <c r="D10959" i="1"/>
  <c r="E10959" i="1"/>
  <c r="A10960" i="1"/>
  <c r="B10960" i="1"/>
  <c r="C10960" i="1"/>
  <c r="D10960" i="1"/>
  <c r="E10960" i="1"/>
  <c r="A10961" i="1"/>
  <c r="B10961" i="1"/>
  <c r="C10961" i="1"/>
  <c r="D10961" i="1"/>
  <c r="E10961" i="1"/>
  <c r="A10962" i="1"/>
  <c r="B10962" i="1"/>
  <c r="C10962" i="1"/>
  <c r="D10962" i="1"/>
  <c r="E10962" i="1"/>
  <c r="A10963" i="1"/>
  <c r="B10963" i="1"/>
  <c r="C10963" i="1"/>
  <c r="D10963" i="1"/>
  <c r="E10963" i="1"/>
  <c r="A10964" i="1"/>
  <c r="B10964" i="1"/>
  <c r="C10964" i="1"/>
  <c r="D10964" i="1"/>
  <c r="E10964" i="1"/>
  <c r="A10965" i="1"/>
  <c r="B10965" i="1"/>
  <c r="C10965" i="1"/>
  <c r="D10965" i="1"/>
  <c r="E10965" i="1"/>
  <c r="A10966" i="1"/>
  <c r="B10966" i="1"/>
  <c r="C10966" i="1"/>
  <c r="D10966" i="1"/>
  <c r="E10966" i="1"/>
  <c r="A10967" i="1"/>
  <c r="B10967" i="1"/>
  <c r="C10967" i="1"/>
  <c r="D10967" i="1"/>
  <c r="E10967" i="1"/>
  <c r="A10968" i="1"/>
  <c r="B10968" i="1"/>
  <c r="C10968" i="1"/>
  <c r="D10968" i="1"/>
  <c r="E10968" i="1"/>
  <c r="A10969" i="1"/>
  <c r="B10969" i="1"/>
  <c r="C10969" i="1"/>
  <c r="D10969" i="1"/>
  <c r="E10969" i="1"/>
  <c r="A10970" i="1"/>
  <c r="B10970" i="1"/>
  <c r="C10970" i="1"/>
  <c r="D10970" i="1"/>
  <c r="E10970" i="1"/>
  <c r="A10971" i="1"/>
  <c r="B10971" i="1"/>
  <c r="C10971" i="1"/>
  <c r="D10971" i="1"/>
  <c r="E10971" i="1"/>
  <c r="A10972" i="1"/>
  <c r="B10972" i="1"/>
  <c r="C10972" i="1"/>
  <c r="D10972" i="1"/>
  <c r="E10972" i="1"/>
  <c r="A10973" i="1"/>
  <c r="B10973" i="1"/>
  <c r="C10973" i="1"/>
  <c r="D10973" i="1"/>
  <c r="E10973" i="1"/>
  <c r="A10974" i="1"/>
  <c r="B10974" i="1"/>
  <c r="C10974" i="1"/>
  <c r="D10974" i="1"/>
  <c r="E10974" i="1"/>
  <c r="A10975" i="1"/>
  <c r="B10975" i="1"/>
  <c r="C10975" i="1"/>
  <c r="D10975" i="1"/>
  <c r="E10975" i="1"/>
  <c r="A10976" i="1"/>
  <c r="B10976" i="1"/>
  <c r="C10976" i="1"/>
  <c r="D10976" i="1"/>
  <c r="E10976" i="1"/>
  <c r="A10977" i="1"/>
  <c r="B10977" i="1"/>
  <c r="C10977" i="1"/>
  <c r="D10977" i="1"/>
  <c r="E10977" i="1"/>
  <c r="A10978" i="1"/>
  <c r="B10978" i="1"/>
  <c r="C10978" i="1"/>
  <c r="D10978" i="1"/>
  <c r="E10978" i="1"/>
  <c r="A10979" i="1"/>
  <c r="B10979" i="1"/>
  <c r="C10979" i="1"/>
  <c r="D10979" i="1"/>
  <c r="E10979" i="1"/>
  <c r="A10980" i="1"/>
  <c r="B10980" i="1"/>
  <c r="C10980" i="1"/>
  <c r="D10980" i="1"/>
  <c r="E10980" i="1"/>
  <c r="A10981" i="1"/>
  <c r="B10981" i="1"/>
  <c r="C10981" i="1"/>
  <c r="D10981" i="1"/>
  <c r="E10981" i="1"/>
  <c r="A10982" i="1"/>
  <c r="B10982" i="1"/>
  <c r="C10982" i="1"/>
  <c r="D10982" i="1"/>
  <c r="E10982" i="1"/>
  <c r="A10983" i="1"/>
  <c r="B10983" i="1"/>
  <c r="C10983" i="1"/>
  <c r="D10983" i="1"/>
  <c r="E10983" i="1"/>
  <c r="A10984" i="1"/>
  <c r="B10984" i="1"/>
  <c r="C10984" i="1"/>
  <c r="D10984" i="1"/>
  <c r="E10984" i="1"/>
  <c r="A10985" i="1"/>
  <c r="B10985" i="1"/>
  <c r="C10985" i="1"/>
  <c r="D10985" i="1"/>
  <c r="E10985" i="1"/>
  <c r="A10986" i="1"/>
  <c r="B10986" i="1"/>
  <c r="C10986" i="1"/>
  <c r="D10986" i="1"/>
  <c r="E10986" i="1"/>
  <c r="A10987" i="1"/>
  <c r="B10987" i="1"/>
  <c r="C10987" i="1"/>
  <c r="D10987" i="1"/>
  <c r="E10987" i="1"/>
  <c r="A10988" i="1"/>
  <c r="B10988" i="1"/>
  <c r="C10988" i="1"/>
  <c r="D10988" i="1"/>
  <c r="E10988" i="1"/>
  <c r="A10989" i="1"/>
  <c r="B10989" i="1"/>
  <c r="C10989" i="1"/>
  <c r="D10989" i="1"/>
  <c r="E10989" i="1"/>
  <c r="A10990" i="1"/>
  <c r="B10990" i="1"/>
  <c r="C10990" i="1"/>
  <c r="D10990" i="1"/>
  <c r="E10990" i="1"/>
  <c r="A10991" i="1"/>
  <c r="B10991" i="1"/>
  <c r="C10991" i="1"/>
  <c r="D10991" i="1"/>
  <c r="E10991" i="1"/>
  <c r="A10992" i="1"/>
  <c r="B10992" i="1"/>
  <c r="C10992" i="1"/>
  <c r="D10992" i="1"/>
  <c r="E10992" i="1"/>
  <c r="A10993" i="1"/>
  <c r="B10993" i="1"/>
  <c r="C10993" i="1"/>
  <c r="D10993" i="1"/>
  <c r="E10993" i="1"/>
  <c r="A10994" i="1"/>
  <c r="B10994" i="1"/>
  <c r="C10994" i="1"/>
  <c r="D10994" i="1"/>
  <c r="E10994" i="1"/>
  <c r="A10995" i="1"/>
  <c r="B10995" i="1"/>
  <c r="C10995" i="1"/>
  <c r="D10995" i="1"/>
  <c r="E10995" i="1"/>
  <c r="A10996" i="1"/>
  <c r="B10996" i="1"/>
  <c r="C10996" i="1"/>
  <c r="D10996" i="1"/>
  <c r="E10996" i="1"/>
  <c r="A10997" i="1"/>
  <c r="B10997" i="1"/>
  <c r="C10997" i="1"/>
  <c r="D10997" i="1"/>
  <c r="E10997" i="1"/>
  <c r="A10998" i="1"/>
  <c r="B10998" i="1"/>
  <c r="C10998" i="1"/>
  <c r="D10998" i="1"/>
  <c r="E10998" i="1"/>
  <c r="A10999" i="1"/>
  <c r="B10999" i="1"/>
  <c r="C10999" i="1"/>
  <c r="D10999" i="1"/>
  <c r="E10999" i="1"/>
  <c r="A11000" i="1"/>
  <c r="B11000" i="1"/>
  <c r="C11000" i="1"/>
  <c r="D11000" i="1"/>
  <c r="E11000" i="1"/>
  <c r="A11001" i="1"/>
  <c r="B11001" i="1"/>
  <c r="C11001" i="1"/>
  <c r="D11001" i="1"/>
  <c r="E11001" i="1"/>
  <c r="A11002" i="1"/>
  <c r="B11002" i="1"/>
  <c r="C11002" i="1"/>
  <c r="D11002" i="1"/>
  <c r="E11002" i="1"/>
  <c r="A11003" i="1"/>
  <c r="B11003" i="1"/>
  <c r="C11003" i="1"/>
  <c r="D11003" i="1"/>
  <c r="E11003" i="1"/>
  <c r="A11004" i="1"/>
  <c r="B11004" i="1"/>
  <c r="C11004" i="1"/>
  <c r="D11004" i="1"/>
  <c r="E11004" i="1"/>
  <c r="A11005" i="1"/>
  <c r="B11005" i="1"/>
  <c r="C11005" i="1"/>
  <c r="D11005" i="1"/>
  <c r="E11005" i="1"/>
  <c r="A11006" i="1"/>
  <c r="B11006" i="1"/>
  <c r="C11006" i="1"/>
  <c r="D11006" i="1"/>
  <c r="E11006" i="1"/>
  <c r="A11007" i="1"/>
  <c r="B11007" i="1"/>
  <c r="C11007" i="1"/>
  <c r="D11007" i="1"/>
  <c r="E11007" i="1"/>
  <c r="A11008" i="1"/>
  <c r="B11008" i="1"/>
  <c r="C11008" i="1"/>
  <c r="D11008" i="1"/>
  <c r="E11008" i="1"/>
  <c r="A11009" i="1"/>
  <c r="B11009" i="1"/>
  <c r="C11009" i="1"/>
  <c r="D11009" i="1"/>
  <c r="E11009" i="1"/>
  <c r="A11010" i="1"/>
  <c r="B11010" i="1"/>
  <c r="C11010" i="1"/>
  <c r="D11010" i="1"/>
  <c r="E11010" i="1"/>
  <c r="A11011" i="1"/>
  <c r="B11011" i="1"/>
  <c r="C11011" i="1"/>
  <c r="D11011" i="1"/>
  <c r="E11011" i="1"/>
  <c r="A11012" i="1"/>
  <c r="B11012" i="1"/>
  <c r="C11012" i="1"/>
  <c r="D11012" i="1"/>
  <c r="E11012" i="1"/>
  <c r="A11013" i="1"/>
  <c r="B11013" i="1"/>
  <c r="C11013" i="1"/>
  <c r="D11013" i="1"/>
  <c r="E11013" i="1"/>
  <c r="A11014" i="1"/>
  <c r="B11014" i="1"/>
  <c r="C11014" i="1"/>
  <c r="D11014" i="1"/>
  <c r="E11014" i="1"/>
  <c r="A11015" i="1"/>
  <c r="B11015" i="1"/>
  <c r="C11015" i="1"/>
  <c r="D11015" i="1"/>
  <c r="E11015" i="1"/>
  <c r="A11016" i="1"/>
  <c r="B11016" i="1"/>
  <c r="C11016" i="1"/>
  <c r="D11016" i="1"/>
  <c r="E11016" i="1"/>
  <c r="A11017" i="1"/>
  <c r="B11017" i="1"/>
  <c r="C11017" i="1"/>
  <c r="D11017" i="1"/>
  <c r="E11017" i="1"/>
  <c r="A11018" i="1"/>
  <c r="B11018" i="1"/>
  <c r="C11018" i="1"/>
  <c r="D11018" i="1"/>
  <c r="E11018" i="1"/>
  <c r="A11019" i="1"/>
  <c r="B11019" i="1"/>
  <c r="C11019" i="1"/>
  <c r="D11019" i="1"/>
  <c r="E11019" i="1"/>
  <c r="A11020" i="1"/>
  <c r="B11020" i="1"/>
  <c r="C11020" i="1"/>
  <c r="D11020" i="1"/>
  <c r="E11020" i="1"/>
  <c r="A11021" i="1"/>
  <c r="B11021" i="1"/>
  <c r="C11021" i="1"/>
  <c r="D11021" i="1"/>
  <c r="E11021" i="1"/>
  <c r="A11022" i="1"/>
  <c r="B11022" i="1"/>
  <c r="C11022" i="1"/>
  <c r="D11022" i="1"/>
  <c r="E11022" i="1"/>
  <c r="A11023" i="1"/>
  <c r="B11023" i="1"/>
  <c r="C11023" i="1"/>
  <c r="D11023" i="1"/>
  <c r="E11023" i="1"/>
  <c r="A11024" i="1"/>
  <c r="B11024" i="1"/>
  <c r="C11024" i="1"/>
  <c r="D11024" i="1"/>
  <c r="E11024" i="1"/>
  <c r="A11025" i="1"/>
  <c r="B11025" i="1"/>
  <c r="C11025" i="1"/>
  <c r="D11025" i="1"/>
  <c r="E11025" i="1"/>
  <c r="A11026" i="1"/>
  <c r="B11026" i="1"/>
  <c r="C11026" i="1"/>
  <c r="D11026" i="1"/>
  <c r="E11026" i="1"/>
  <c r="A11027" i="1"/>
  <c r="B11027" i="1"/>
  <c r="C11027" i="1"/>
  <c r="D11027" i="1"/>
  <c r="E11027" i="1"/>
  <c r="A11028" i="1"/>
  <c r="B11028" i="1"/>
  <c r="C11028" i="1"/>
  <c r="D11028" i="1"/>
  <c r="E11028" i="1"/>
  <c r="A11029" i="1"/>
  <c r="B11029" i="1"/>
  <c r="C11029" i="1"/>
  <c r="D11029" i="1"/>
  <c r="E11029" i="1"/>
  <c r="A11030" i="1"/>
  <c r="B11030" i="1"/>
  <c r="C11030" i="1"/>
  <c r="D11030" i="1"/>
  <c r="E11030" i="1"/>
  <c r="A11031" i="1"/>
  <c r="B11031" i="1"/>
  <c r="C11031" i="1"/>
  <c r="D11031" i="1"/>
  <c r="E11031" i="1"/>
  <c r="A11032" i="1"/>
  <c r="B11032" i="1"/>
  <c r="C11032" i="1"/>
  <c r="D11032" i="1"/>
  <c r="E11032" i="1"/>
  <c r="A11033" i="1"/>
  <c r="B11033" i="1"/>
  <c r="C11033" i="1"/>
  <c r="D11033" i="1"/>
  <c r="E11033" i="1"/>
  <c r="A11034" i="1"/>
  <c r="B11034" i="1"/>
  <c r="C11034" i="1"/>
  <c r="D11034" i="1"/>
  <c r="E11034" i="1"/>
  <c r="A11035" i="1"/>
  <c r="B11035" i="1"/>
  <c r="C11035" i="1"/>
  <c r="D11035" i="1"/>
  <c r="E11035" i="1"/>
  <c r="A11036" i="1"/>
  <c r="B11036" i="1"/>
  <c r="C11036" i="1"/>
  <c r="D11036" i="1"/>
  <c r="E11036" i="1"/>
  <c r="A11037" i="1"/>
  <c r="B11037" i="1"/>
  <c r="C11037" i="1"/>
  <c r="D11037" i="1"/>
  <c r="E11037" i="1"/>
  <c r="A11038" i="1"/>
  <c r="B11038" i="1"/>
  <c r="C11038" i="1"/>
  <c r="D11038" i="1"/>
  <c r="E11038" i="1"/>
  <c r="A11039" i="1"/>
  <c r="B11039" i="1"/>
  <c r="C11039" i="1"/>
  <c r="D11039" i="1"/>
  <c r="E11039" i="1"/>
  <c r="A11040" i="1"/>
  <c r="B11040" i="1"/>
  <c r="C11040" i="1"/>
  <c r="D11040" i="1"/>
  <c r="E11040" i="1"/>
  <c r="A11041" i="1"/>
  <c r="B11041" i="1"/>
  <c r="C11041" i="1"/>
  <c r="D11041" i="1"/>
  <c r="E11041" i="1"/>
  <c r="A11042" i="1"/>
  <c r="B11042" i="1"/>
  <c r="C11042" i="1"/>
  <c r="D11042" i="1"/>
  <c r="E11042" i="1"/>
  <c r="A11043" i="1"/>
  <c r="B11043" i="1"/>
  <c r="C11043" i="1"/>
  <c r="D11043" i="1"/>
  <c r="E11043" i="1"/>
  <c r="A11044" i="1"/>
  <c r="B11044" i="1"/>
  <c r="C11044" i="1"/>
  <c r="D11044" i="1"/>
  <c r="E11044" i="1"/>
  <c r="A11045" i="1"/>
  <c r="B11045" i="1"/>
  <c r="C11045" i="1"/>
  <c r="D11045" i="1"/>
  <c r="E11045" i="1"/>
  <c r="A11046" i="1"/>
  <c r="B11046" i="1"/>
  <c r="C11046" i="1"/>
  <c r="D11046" i="1"/>
  <c r="E11046" i="1"/>
  <c r="A11047" i="1"/>
  <c r="B11047" i="1"/>
  <c r="C11047" i="1"/>
  <c r="D11047" i="1"/>
  <c r="E11047" i="1"/>
  <c r="A11048" i="1"/>
  <c r="B11048" i="1"/>
  <c r="C11048" i="1"/>
  <c r="D11048" i="1"/>
  <c r="E11048" i="1"/>
  <c r="A11049" i="1"/>
  <c r="B11049" i="1"/>
  <c r="C11049" i="1"/>
  <c r="D11049" i="1"/>
  <c r="E11049" i="1"/>
  <c r="A11050" i="1"/>
  <c r="B11050" i="1"/>
  <c r="C11050" i="1"/>
  <c r="D11050" i="1"/>
  <c r="E11050" i="1"/>
  <c r="A11051" i="1"/>
  <c r="B11051" i="1"/>
  <c r="C11051" i="1"/>
  <c r="D11051" i="1"/>
  <c r="E11051" i="1"/>
  <c r="A11052" i="1"/>
  <c r="B11052" i="1"/>
  <c r="C11052" i="1"/>
  <c r="D11052" i="1"/>
  <c r="E11052" i="1"/>
  <c r="A11053" i="1"/>
  <c r="B11053" i="1"/>
  <c r="C11053" i="1"/>
  <c r="D11053" i="1"/>
  <c r="E11053" i="1"/>
  <c r="A11054" i="1"/>
  <c r="B11054" i="1"/>
  <c r="C11054" i="1"/>
  <c r="D11054" i="1"/>
  <c r="E11054" i="1"/>
  <c r="A11055" i="1"/>
  <c r="B11055" i="1"/>
  <c r="C11055" i="1"/>
  <c r="D11055" i="1"/>
  <c r="E11055" i="1"/>
  <c r="A11056" i="1"/>
  <c r="B11056" i="1"/>
  <c r="C11056" i="1"/>
  <c r="D11056" i="1"/>
  <c r="E11056" i="1"/>
  <c r="A11057" i="1"/>
  <c r="B11057" i="1"/>
  <c r="C11057" i="1"/>
  <c r="D11057" i="1"/>
  <c r="E11057" i="1"/>
  <c r="A11058" i="1"/>
  <c r="B11058" i="1"/>
  <c r="C11058" i="1"/>
  <c r="D11058" i="1"/>
  <c r="E11058" i="1"/>
  <c r="A11059" i="1"/>
  <c r="B11059" i="1"/>
  <c r="C11059" i="1"/>
  <c r="D11059" i="1"/>
  <c r="E11059" i="1"/>
  <c r="A11060" i="1"/>
  <c r="B11060" i="1"/>
  <c r="C11060" i="1"/>
  <c r="D11060" i="1"/>
  <c r="E11060" i="1"/>
  <c r="A11061" i="1"/>
  <c r="B11061" i="1"/>
  <c r="C11061" i="1"/>
  <c r="D11061" i="1"/>
  <c r="E11061" i="1"/>
  <c r="A11062" i="1"/>
  <c r="B11062" i="1"/>
  <c r="C11062" i="1"/>
  <c r="D11062" i="1"/>
  <c r="E11062" i="1"/>
  <c r="A11063" i="1"/>
  <c r="B11063" i="1"/>
  <c r="C11063" i="1"/>
  <c r="D11063" i="1"/>
  <c r="E11063" i="1"/>
  <c r="A11064" i="1"/>
  <c r="B11064" i="1"/>
  <c r="C11064" i="1"/>
  <c r="D11064" i="1"/>
  <c r="E11064" i="1"/>
  <c r="A11065" i="1"/>
  <c r="B11065" i="1"/>
  <c r="C11065" i="1"/>
  <c r="D11065" i="1"/>
  <c r="E11065" i="1"/>
  <c r="A11066" i="1"/>
  <c r="B11066" i="1"/>
  <c r="C11066" i="1"/>
  <c r="D11066" i="1"/>
  <c r="E11066" i="1"/>
  <c r="A11067" i="1"/>
  <c r="B11067" i="1"/>
  <c r="C11067" i="1"/>
  <c r="D11067" i="1"/>
  <c r="E11067" i="1"/>
  <c r="A11068" i="1"/>
  <c r="B11068" i="1"/>
  <c r="C11068" i="1"/>
  <c r="D11068" i="1"/>
  <c r="E11068" i="1"/>
  <c r="A11069" i="1"/>
  <c r="B11069" i="1"/>
  <c r="C11069" i="1"/>
  <c r="D11069" i="1"/>
  <c r="E11069" i="1"/>
  <c r="A11070" i="1"/>
  <c r="B11070" i="1"/>
  <c r="C11070" i="1"/>
  <c r="D11070" i="1"/>
  <c r="E11070" i="1"/>
  <c r="A11071" i="1"/>
  <c r="B11071" i="1"/>
  <c r="C11071" i="1"/>
  <c r="D11071" i="1"/>
  <c r="E11071" i="1"/>
  <c r="A11072" i="1"/>
  <c r="B11072" i="1"/>
  <c r="C11072" i="1"/>
  <c r="D11072" i="1"/>
  <c r="E11072" i="1"/>
  <c r="A11073" i="1"/>
  <c r="B11073" i="1"/>
  <c r="C11073" i="1"/>
  <c r="D11073" i="1"/>
  <c r="E11073" i="1"/>
  <c r="A11074" i="1"/>
  <c r="B11074" i="1"/>
  <c r="C11074" i="1"/>
  <c r="D11074" i="1"/>
  <c r="E11074" i="1"/>
  <c r="A11075" i="1"/>
  <c r="B11075" i="1"/>
  <c r="C11075" i="1"/>
  <c r="D11075" i="1"/>
  <c r="E11075" i="1"/>
  <c r="A11076" i="1"/>
  <c r="B11076" i="1"/>
  <c r="C11076" i="1"/>
  <c r="D11076" i="1"/>
  <c r="E11076" i="1"/>
  <c r="A11077" i="1"/>
  <c r="B11077" i="1"/>
  <c r="C11077" i="1"/>
  <c r="D11077" i="1"/>
  <c r="E11077" i="1"/>
  <c r="A11078" i="1"/>
  <c r="B11078" i="1"/>
  <c r="C11078" i="1"/>
  <c r="D11078" i="1"/>
  <c r="E11078" i="1"/>
  <c r="A11079" i="1"/>
  <c r="B11079" i="1"/>
  <c r="C11079" i="1"/>
  <c r="D11079" i="1"/>
  <c r="E11079" i="1"/>
  <c r="A11080" i="1"/>
  <c r="B11080" i="1"/>
  <c r="C11080" i="1"/>
  <c r="D11080" i="1"/>
  <c r="E11080" i="1"/>
  <c r="A11081" i="1"/>
  <c r="B11081" i="1"/>
  <c r="C11081" i="1"/>
  <c r="D11081" i="1"/>
  <c r="E11081" i="1"/>
  <c r="A11082" i="1"/>
  <c r="B11082" i="1"/>
  <c r="C11082" i="1"/>
  <c r="D11082" i="1"/>
  <c r="E11082" i="1"/>
  <c r="A11083" i="1"/>
  <c r="B11083" i="1"/>
  <c r="C11083" i="1"/>
  <c r="D11083" i="1"/>
  <c r="E11083" i="1"/>
  <c r="A11084" i="1"/>
  <c r="B11084" i="1"/>
  <c r="C11084" i="1"/>
  <c r="D11084" i="1"/>
  <c r="E11084" i="1"/>
  <c r="A11085" i="1"/>
  <c r="B11085" i="1"/>
  <c r="C11085" i="1"/>
  <c r="D11085" i="1"/>
  <c r="E11085" i="1"/>
  <c r="A11086" i="1"/>
  <c r="B11086" i="1"/>
  <c r="C11086" i="1"/>
  <c r="D11086" i="1"/>
  <c r="E11086" i="1"/>
  <c r="A11087" i="1"/>
  <c r="B11087" i="1"/>
  <c r="C11087" i="1"/>
  <c r="D11087" i="1"/>
  <c r="E11087" i="1"/>
  <c r="A11088" i="1"/>
  <c r="B11088" i="1"/>
  <c r="C11088" i="1"/>
  <c r="D11088" i="1"/>
  <c r="E11088" i="1"/>
  <c r="A11089" i="1"/>
  <c r="B11089" i="1"/>
  <c r="C11089" i="1"/>
  <c r="D11089" i="1"/>
  <c r="E11089" i="1"/>
  <c r="A11090" i="1"/>
  <c r="B11090" i="1"/>
  <c r="C11090" i="1"/>
  <c r="D11090" i="1"/>
  <c r="E11090" i="1"/>
  <c r="A11091" i="1"/>
  <c r="B11091" i="1"/>
  <c r="C11091" i="1"/>
  <c r="D11091" i="1"/>
  <c r="E11091" i="1"/>
  <c r="A11092" i="1"/>
  <c r="B11092" i="1"/>
  <c r="C11092" i="1"/>
  <c r="D11092" i="1"/>
  <c r="E11092" i="1"/>
  <c r="A11093" i="1"/>
  <c r="B11093" i="1"/>
  <c r="C11093" i="1"/>
  <c r="D11093" i="1"/>
  <c r="E11093" i="1"/>
  <c r="A11094" i="1"/>
  <c r="B11094" i="1"/>
  <c r="C11094" i="1"/>
  <c r="D11094" i="1"/>
  <c r="E11094" i="1"/>
  <c r="A11095" i="1"/>
  <c r="B11095" i="1"/>
  <c r="C11095" i="1"/>
  <c r="D11095" i="1"/>
  <c r="E11095" i="1"/>
  <c r="A11096" i="1"/>
  <c r="B11096" i="1"/>
  <c r="C11096" i="1"/>
  <c r="D11096" i="1"/>
  <c r="E11096" i="1"/>
  <c r="A11097" i="1"/>
  <c r="B11097" i="1"/>
  <c r="C11097" i="1"/>
  <c r="D11097" i="1"/>
  <c r="E11097" i="1"/>
  <c r="A11098" i="1"/>
  <c r="B11098" i="1"/>
  <c r="C11098" i="1"/>
  <c r="D11098" i="1"/>
  <c r="E11098" i="1"/>
  <c r="A11099" i="1"/>
  <c r="B11099" i="1"/>
  <c r="C11099" i="1"/>
  <c r="D11099" i="1"/>
  <c r="E11099" i="1"/>
  <c r="A11100" i="1"/>
  <c r="B11100" i="1"/>
  <c r="C11100" i="1"/>
  <c r="D11100" i="1"/>
  <c r="E11100" i="1"/>
  <c r="A11101" i="1"/>
  <c r="B11101" i="1"/>
  <c r="C11101" i="1"/>
  <c r="D11101" i="1"/>
  <c r="E11101" i="1"/>
  <c r="A11102" i="1"/>
  <c r="B11102" i="1"/>
  <c r="C11102" i="1"/>
  <c r="D11102" i="1"/>
  <c r="E11102" i="1"/>
  <c r="A11103" i="1"/>
  <c r="B11103" i="1"/>
  <c r="C11103" i="1"/>
  <c r="D11103" i="1"/>
  <c r="E11103" i="1"/>
  <c r="A11104" i="1"/>
  <c r="B11104" i="1"/>
  <c r="C11104" i="1"/>
  <c r="D11104" i="1"/>
  <c r="E11104" i="1"/>
  <c r="A11105" i="1"/>
  <c r="B11105" i="1"/>
  <c r="C11105" i="1"/>
  <c r="D11105" i="1"/>
  <c r="E11105" i="1"/>
  <c r="A11106" i="1"/>
  <c r="B11106" i="1"/>
  <c r="C11106" i="1"/>
  <c r="D11106" i="1"/>
  <c r="E11106" i="1"/>
  <c r="A11107" i="1"/>
  <c r="B11107" i="1"/>
  <c r="C11107" i="1"/>
  <c r="D11107" i="1"/>
  <c r="E11107" i="1"/>
  <c r="A11108" i="1"/>
  <c r="B11108" i="1"/>
  <c r="C11108" i="1"/>
  <c r="D11108" i="1"/>
  <c r="E11108" i="1"/>
  <c r="A11109" i="1"/>
  <c r="B11109" i="1"/>
  <c r="C11109" i="1"/>
  <c r="D11109" i="1"/>
  <c r="E11109" i="1"/>
  <c r="A11110" i="1"/>
  <c r="B11110" i="1"/>
  <c r="C11110" i="1"/>
  <c r="D11110" i="1"/>
  <c r="E11110" i="1"/>
  <c r="A11111" i="1"/>
  <c r="B11111" i="1"/>
  <c r="C11111" i="1"/>
  <c r="D11111" i="1"/>
  <c r="E11111" i="1"/>
  <c r="A11112" i="1"/>
  <c r="B11112" i="1"/>
  <c r="C11112" i="1"/>
  <c r="D11112" i="1"/>
  <c r="E11112" i="1"/>
  <c r="A11113" i="1"/>
  <c r="B11113" i="1"/>
  <c r="C11113" i="1"/>
  <c r="D11113" i="1"/>
  <c r="E11113" i="1"/>
  <c r="A11114" i="1"/>
  <c r="B11114" i="1"/>
  <c r="C11114" i="1"/>
  <c r="D11114" i="1"/>
  <c r="E11114" i="1"/>
  <c r="A11115" i="1"/>
  <c r="B11115" i="1"/>
  <c r="C11115" i="1"/>
  <c r="D11115" i="1"/>
  <c r="E11115" i="1"/>
  <c r="A11116" i="1"/>
  <c r="B11116" i="1"/>
  <c r="C11116" i="1"/>
  <c r="D11116" i="1"/>
  <c r="E11116" i="1"/>
  <c r="A11117" i="1"/>
  <c r="B11117" i="1"/>
  <c r="C11117" i="1"/>
  <c r="D11117" i="1"/>
  <c r="E11117" i="1"/>
  <c r="A11118" i="1"/>
  <c r="B11118" i="1"/>
  <c r="C11118" i="1"/>
  <c r="D11118" i="1"/>
  <c r="E11118" i="1"/>
  <c r="A11119" i="1"/>
  <c r="B11119" i="1"/>
  <c r="C11119" i="1"/>
  <c r="D11119" i="1"/>
  <c r="E11119" i="1"/>
  <c r="A11120" i="1"/>
  <c r="B11120" i="1"/>
  <c r="C11120" i="1"/>
  <c r="D11120" i="1"/>
  <c r="E11120" i="1"/>
  <c r="A11121" i="1"/>
  <c r="B11121" i="1"/>
  <c r="C11121" i="1"/>
  <c r="D11121" i="1"/>
  <c r="E11121" i="1"/>
  <c r="A11122" i="1"/>
  <c r="B11122" i="1"/>
  <c r="C11122" i="1"/>
  <c r="D11122" i="1"/>
  <c r="E11122" i="1"/>
  <c r="A11123" i="1"/>
  <c r="B11123" i="1"/>
  <c r="C11123" i="1"/>
  <c r="D11123" i="1"/>
  <c r="E11123" i="1"/>
  <c r="A11124" i="1"/>
  <c r="B11124" i="1"/>
  <c r="C11124" i="1"/>
  <c r="D11124" i="1"/>
  <c r="E11124" i="1"/>
  <c r="A11125" i="1"/>
  <c r="B11125" i="1"/>
  <c r="C11125" i="1"/>
  <c r="D11125" i="1"/>
  <c r="E11125" i="1"/>
  <c r="A11126" i="1"/>
  <c r="B11126" i="1"/>
  <c r="C11126" i="1"/>
  <c r="D11126" i="1"/>
  <c r="E11126" i="1"/>
  <c r="A11127" i="1"/>
  <c r="B11127" i="1"/>
  <c r="C11127" i="1"/>
  <c r="D11127" i="1"/>
  <c r="E11127" i="1"/>
  <c r="A11128" i="1"/>
  <c r="B11128" i="1"/>
  <c r="C11128" i="1"/>
  <c r="D11128" i="1"/>
  <c r="E11128" i="1"/>
  <c r="A11129" i="1"/>
  <c r="B11129" i="1"/>
  <c r="C11129" i="1"/>
  <c r="D11129" i="1"/>
  <c r="E11129" i="1"/>
  <c r="A11130" i="1"/>
  <c r="B11130" i="1"/>
  <c r="C11130" i="1"/>
  <c r="D11130" i="1"/>
  <c r="E11130" i="1"/>
  <c r="A11131" i="1"/>
  <c r="B11131" i="1"/>
  <c r="C11131" i="1"/>
  <c r="D11131" i="1"/>
  <c r="E11131" i="1"/>
  <c r="A11132" i="1"/>
  <c r="B11132" i="1"/>
  <c r="C11132" i="1"/>
  <c r="D11132" i="1"/>
  <c r="E11132" i="1"/>
  <c r="A11133" i="1"/>
  <c r="B11133" i="1"/>
  <c r="C11133" i="1"/>
  <c r="D11133" i="1"/>
  <c r="E11133" i="1"/>
  <c r="A11134" i="1"/>
  <c r="B11134" i="1"/>
  <c r="C11134" i="1"/>
  <c r="D11134" i="1"/>
  <c r="E11134" i="1"/>
  <c r="A11135" i="1"/>
  <c r="B11135" i="1"/>
  <c r="C11135" i="1"/>
  <c r="D11135" i="1"/>
  <c r="E11135" i="1"/>
  <c r="A11136" i="1"/>
  <c r="B11136" i="1"/>
  <c r="C11136" i="1"/>
  <c r="D11136" i="1"/>
  <c r="E11136" i="1"/>
  <c r="A11137" i="1"/>
  <c r="B11137" i="1"/>
  <c r="C11137" i="1"/>
  <c r="D11137" i="1"/>
  <c r="E11137" i="1"/>
  <c r="A11138" i="1"/>
  <c r="B11138" i="1"/>
  <c r="C11138" i="1"/>
  <c r="D11138" i="1"/>
  <c r="E11138" i="1"/>
  <c r="A11139" i="1"/>
  <c r="B11139" i="1"/>
  <c r="C11139" i="1"/>
  <c r="D11139" i="1"/>
  <c r="E11139" i="1"/>
  <c r="A11140" i="1"/>
  <c r="B11140" i="1"/>
  <c r="C11140" i="1"/>
  <c r="D11140" i="1"/>
  <c r="E11140" i="1"/>
  <c r="A11141" i="1"/>
  <c r="B11141" i="1"/>
  <c r="C11141" i="1"/>
  <c r="D11141" i="1"/>
  <c r="E11141" i="1"/>
  <c r="A11142" i="1"/>
  <c r="B11142" i="1"/>
  <c r="C11142" i="1"/>
  <c r="D11142" i="1"/>
  <c r="E11142" i="1"/>
  <c r="A11143" i="1"/>
  <c r="B11143" i="1"/>
  <c r="C11143" i="1"/>
  <c r="D11143" i="1"/>
  <c r="E11143" i="1"/>
  <c r="A11144" i="1"/>
  <c r="B11144" i="1"/>
  <c r="C11144" i="1"/>
  <c r="D11144" i="1"/>
  <c r="E11144" i="1"/>
  <c r="A11145" i="1"/>
  <c r="B11145" i="1"/>
  <c r="C11145" i="1"/>
  <c r="D11145" i="1"/>
  <c r="E11145" i="1"/>
  <c r="A11146" i="1"/>
  <c r="B11146" i="1"/>
  <c r="C11146" i="1"/>
  <c r="D11146" i="1"/>
  <c r="E11146" i="1"/>
  <c r="A11147" i="1"/>
  <c r="B11147" i="1"/>
  <c r="C11147" i="1"/>
  <c r="D11147" i="1"/>
  <c r="E11147" i="1"/>
  <c r="A11148" i="1"/>
  <c r="B11148" i="1"/>
  <c r="C11148" i="1"/>
  <c r="D11148" i="1"/>
  <c r="E11148" i="1"/>
  <c r="A11149" i="1"/>
  <c r="B11149" i="1"/>
  <c r="C11149" i="1"/>
  <c r="D11149" i="1"/>
  <c r="E11149" i="1"/>
  <c r="A11150" i="1"/>
  <c r="B11150" i="1"/>
  <c r="C11150" i="1"/>
  <c r="D11150" i="1"/>
  <c r="E11150" i="1"/>
  <c r="A11151" i="1"/>
  <c r="B11151" i="1"/>
  <c r="C11151" i="1"/>
  <c r="D11151" i="1"/>
  <c r="E11151" i="1"/>
  <c r="A11152" i="1"/>
  <c r="B11152" i="1"/>
  <c r="C11152" i="1"/>
  <c r="D11152" i="1"/>
  <c r="E11152" i="1"/>
  <c r="A11153" i="1"/>
  <c r="B11153" i="1"/>
  <c r="C11153" i="1"/>
  <c r="D11153" i="1"/>
  <c r="E11153" i="1"/>
  <c r="A11154" i="1"/>
  <c r="B11154" i="1"/>
  <c r="C11154" i="1"/>
  <c r="D11154" i="1"/>
  <c r="E11154" i="1"/>
  <c r="A11155" i="1"/>
  <c r="B11155" i="1"/>
  <c r="C11155" i="1"/>
  <c r="D11155" i="1"/>
  <c r="E11155" i="1"/>
  <c r="A11156" i="1"/>
  <c r="B11156" i="1"/>
  <c r="C11156" i="1"/>
  <c r="D11156" i="1"/>
  <c r="E11156" i="1"/>
  <c r="A11157" i="1"/>
  <c r="B11157" i="1"/>
  <c r="C11157" i="1"/>
  <c r="D11157" i="1"/>
  <c r="E11157" i="1"/>
  <c r="A11158" i="1"/>
  <c r="B11158" i="1"/>
  <c r="C11158" i="1"/>
  <c r="D11158" i="1"/>
  <c r="E11158" i="1"/>
  <c r="A11159" i="1"/>
  <c r="B11159" i="1"/>
  <c r="C11159" i="1"/>
  <c r="D11159" i="1"/>
  <c r="E11159" i="1"/>
  <c r="A11160" i="1"/>
  <c r="B11160" i="1"/>
  <c r="C11160" i="1"/>
  <c r="D11160" i="1"/>
  <c r="E11160" i="1"/>
  <c r="A11161" i="1"/>
  <c r="B11161" i="1"/>
  <c r="C11161" i="1"/>
  <c r="D11161" i="1"/>
  <c r="E11161" i="1"/>
  <c r="A11162" i="1"/>
  <c r="B11162" i="1"/>
  <c r="C11162" i="1"/>
  <c r="D11162" i="1"/>
  <c r="E11162" i="1"/>
  <c r="A11163" i="1"/>
  <c r="B11163" i="1"/>
  <c r="C11163" i="1"/>
  <c r="D11163" i="1"/>
  <c r="E11163" i="1"/>
  <c r="A11164" i="1"/>
  <c r="B11164" i="1"/>
  <c r="C11164" i="1"/>
  <c r="D11164" i="1"/>
  <c r="E11164" i="1"/>
  <c r="A11165" i="1"/>
  <c r="B11165" i="1"/>
  <c r="C11165" i="1"/>
  <c r="D11165" i="1"/>
  <c r="E11165" i="1"/>
  <c r="A11166" i="1"/>
  <c r="B11166" i="1"/>
  <c r="C11166" i="1"/>
  <c r="D11166" i="1"/>
  <c r="E11166" i="1"/>
  <c r="A11167" i="1"/>
  <c r="B11167" i="1"/>
  <c r="C11167" i="1"/>
  <c r="D11167" i="1"/>
  <c r="E11167" i="1"/>
  <c r="A11168" i="1"/>
  <c r="B11168" i="1"/>
  <c r="C11168" i="1"/>
  <c r="D11168" i="1"/>
  <c r="E11168" i="1"/>
  <c r="A11169" i="1"/>
  <c r="B11169" i="1"/>
  <c r="C11169" i="1"/>
  <c r="D11169" i="1"/>
  <c r="E11169" i="1"/>
  <c r="A11170" i="1"/>
  <c r="B11170" i="1"/>
  <c r="C11170" i="1"/>
  <c r="D11170" i="1"/>
  <c r="E11170" i="1"/>
  <c r="A11171" i="1"/>
  <c r="B11171" i="1"/>
  <c r="C11171" i="1"/>
  <c r="D11171" i="1"/>
  <c r="E11171" i="1"/>
  <c r="A11172" i="1"/>
  <c r="B11172" i="1"/>
  <c r="C11172" i="1"/>
  <c r="D11172" i="1"/>
  <c r="E11172" i="1"/>
  <c r="A11173" i="1"/>
  <c r="B11173" i="1"/>
  <c r="C11173" i="1"/>
  <c r="D11173" i="1"/>
  <c r="E11173" i="1"/>
  <c r="A11174" i="1"/>
  <c r="B11174" i="1"/>
  <c r="C11174" i="1"/>
  <c r="D11174" i="1"/>
  <c r="E11174" i="1"/>
  <c r="A11175" i="1"/>
  <c r="B11175" i="1"/>
  <c r="C11175" i="1"/>
  <c r="D11175" i="1"/>
  <c r="E11175" i="1"/>
  <c r="A11176" i="1"/>
  <c r="B11176" i="1"/>
  <c r="C11176" i="1"/>
  <c r="D11176" i="1"/>
  <c r="E11176" i="1"/>
  <c r="A11177" i="1"/>
  <c r="B11177" i="1"/>
  <c r="C11177" i="1"/>
  <c r="D11177" i="1"/>
  <c r="E11177" i="1"/>
  <c r="A11178" i="1"/>
  <c r="B11178" i="1"/>
  <c r="C11178" i="1"/>
  <c r="D11178" i="1"/>
  <c r="E11178" i="1"/>
  <c r="A11179" i="1"/>
  <c r="B11179" i="1"/>
  <c r="C11179" i="1"/>
  <c r="D11179" i="1"/>
  <c r="E11179" i="1"/>
  <c r="A11180" i="1"/>
  <c r="B11180" i="1"/>
  <c r="C11180" i="1"/>
  <c r="D11180" i="1"/>
  <c r="E11180" i="1"/>
  <c r="A11181" i="1"/>
  <c r="B11181" i="1"/>
  <c r="C11181" i="1"/>
  <c r="D11181" i="1"/>
  <c r="E11181" i="1"/>
  <c r="A11182" i="1"/>
  <c r="B11182" i="1"/>
  <c r="C11182" i="1"/>
  <c r="D11182" i="1"/>
  <c r="E11182" i="1"/>
  <c r="A11183" i="1"/>
  <c r="B11183" i="1"/>
  <c r="C11183" i="1"/>
  <c r="D11183" i="1"/>
  <c r="E11183" i="1"/>
  <c r="A11184" i="1"/>
  <c r="B11184" i="1"/>
  <c r="C11184" i="1"/>
  <c r="D11184" i="1"/>
  <c r="E11184" i="1"/>
  <c r="A11185" i="1"/>
  <c r="B11185" i="1"/>
  <c r="C11185" i="1"/>
  <c r="D11185" i="1"/>
  <c r="E11185" i="1"/>
  <c r="A11186" i="1"/>
  <c r="B11186" i="1"/>
  <c r="C11186" i="1"/>
  <c r="D11186" i="1"/>
  <c r="E11186" i="1"/>
  <c r="A11187" i="1"/>
  <c r="B11187" i="1"/>
  <c r="C11187" i="1"/>
  <c r="D11187" i="1"/>
  <c r="E11187" i="1"/>
  <c r="A11188" i="1"/>
  <c r="B11188" i="1"/>
  <c r="C11188" i="1"/>
  <c r="D11188" i="1"/>
  <c r="E11188" i="1"/>
  <c r="A11189" i="1"/>
  <c r="B11189" i="1"/>
  <c r="C11189" i="1"/>
  <c r="D11189" i="1"/>
  <c r="E11189" i="1"/>
  <c r="A11190" i="1"/>
  <c r="B11190" i="1"/>
  <c r="C11190" i="1"/>
  <c r="D11190" i="1"/>
  <c r="E11190" i="1"/>
  <c r="A11191" i="1"/>
  <c r="B11191" i="1"/>
  <c r="C11191" i="1"/>
  <c r="D11191" i="1"/>
  <c r="E11191" i="1"/>
  <c r="A11192" i="1"/>
  <c r="B11192" i="1"/>
  <c r="C11192" i="1"/>
  <c r="D11192" i="1"/>
  <c r="E11192" i="1"/>
  <c r="A11193" i="1"/>
  <c r="B11193" i="1"/>
  <c r="C11193" i="1"/>
  <c r="D11193" i="1"/>
  <c r="E11193" i="1"/>
  <c r="A11194" i="1"/>
  <c r="B11194" i="1"/>
  <c r="C11194" i="1"/>
  <c r="D11194" i="1"/>
  <c r="E11194" i="1"/>
  <c r="A11195" i="1"/>
  <c r="B11195" i="1"/>
  <c r="C11195" i="1"/>
  <c r="D11195" i="1"/>
  <c r="E11195" i="1"/>
  <c r="A11196" i="1"/>
  <c r="B11196" i="1"/>
  <c r="C11196" i="1"/>
  <c r="D11196" i="1"/>
  <c r="E11196" i="1"/>
  <c r="A11197" i="1"/>
  <c r="B11197" i="1"/>
  <c r="C11197" i="1"/>
  <c r="D11197" i="1"/>
  <c r="E11197" i="1"/>
  <c r="A11198" i="1"/>
  <c r="B11198" i="1"/>
  <c r="C11198" i="1"/>
  <c r="D11198" i="1"/>
  <c r="E11198" i="1"/>
  <c r="A11199" i="1"/>
  <c r="B11199" i="1"/>
  <c r="C11199" i="1"/>
  <c r="D11199" i="1"/>
  <c r="E11199" i="1"/>
  <c r="A11200" i="1"/>
  <c r="B11200" i="1"/>
  <c r="C11200" i="1"/>
  <c r="D11200" i="1"/>
  <c r="E11200" i="1"/>
  <c r="A11201" i="1"/>
  <c r="B11201" i="1"/>
  <c r="C11201" i="1"/>
  <c r="D11201" i="1"/>
  <c r="E11201" i="1"/>
  <c r="A11202" i="1"/>
  <c r="B11202" i="1"/>
  <c r="C11202" i="1"/>
  <c r="D11202" i="1"/>
  <c r="E11202" i="1"/>
  <c r="A11203" i="1"/>
  <c r="B11203" i="1"/>
  <c r="C11203" i="1"/>
  <c r="D11203" i="1"/>
  <c r="E11203" i="1"/>
  <c r="A11204" i="1"/>
  <c r="B11204" i="1"/>
  <c r="C11204" i="1"/>
  <c r="D11204" i="1"/>
  <c r="E11204" i="1"/>
  <c r="A11205" i="1"/>
  <c r="B11205" i="1"/>
  <c r="C11205" i="1"/>
  <c r="D11205" i="1"/>
  <c r="E11205" i="1"/>
  <c r="A11206" i="1"/>
  <c r="B11206" i="1"/>
  <c r="C11206" i="1"/>
  <c r="D11206" i="1"/>
  <c r="E11206" i="1"/>
  <c r="A11207" i="1"/>
  <c r="B11207" i="1"/>
  <c r="C11207" i="1"/>
  <c r="D11207" i="1"/>
  <c r="E11207" i="1"/>
  <c r="A11208" i="1"/>
  <c r="B11208" i="1"/>
  <c r="C11208" i="1"/>
  <c r="D11208" i="1"/>
  <c r="E11208" i="1"/>
  <c r="A11209" i="1"/>
  <c r="B11209" i="1"/>
  <c r="C11209" i="1"/>
  <c r="D11209" i="1"/>
  <c r="E11209" i="1"/>
  <c r="A11210" i="1"/>
  <c r="B11210" i="1"/>
  <c r="C11210" i="1"/>
  <c r="D11210" i="1"/>
  <c r="E11210" i="1"/>
  <c r="A11211" i="1"/>
  <c r="B11211" i="1"/>
  <c r="C11211" i="1"/>
  <c r="D11211" i="1"/>
  <c r="E11211" i="1"/>
  <c r="A11212" i="1"/>
  <c r="B11212" i="1"/>
  <c r="C11212" i="1"/>
  <c r="D11212" i="1"/>
  <c r="E11212" i="1"/>
  <c r="A11213" i="1"/>
  <c r="B11213" i="1"/>
  <c r="C11213" i="1"/>
  <c r="D11213" i="1"/>
  <c r="E11213" i="1"/>
  <c r="A11214" i="1"/>
  <c r="B11214" i="1"/>
  <c r="C11214" i="1"/>
  <c r="D11214" i="1"/>
  <c r="E11214" i="1"/>
  <c r="A11215" i="1"/>
  <c r="B11215" i="1"/>
  <c r="C11215" i="1"/>
  <c r="D11215" i="1"/>
  <c r="E11215" i="1"/>
  <c r="A11216" i="1"/>
  <c r="B11216" i="1"/>
  <c r="C11216" i="1"/>
  <c r="D11216" i="1"/>
  <c r="E11216" i="1"/>
  <c r="A11217" i="1"/>
  <c r="B11217" i="1"/>
  <c r="C11217" i="1"/>
  <c r="D11217" i="1"/>
  <c r="E11217" i="1"/>
  <c r="A11218" i="1"/>
  <c r="B11218" i="1"/>
  <c r="C11218" i="1"/>
  <c r="D11218" i="1"/>
  <c r="E11218" i="1"/>
  <c r="A11219" i="1"/>
  <c r="B11219" i="1"/>
  <c r="C11219" i="1"/>
  <c r="D11219" i="1"/>
  <c r="E11219" i="1"/>
  <c r="A11220" i="1"/>
  <c r="B11220" i="1"/>
  <c r="C11220" i="1"/>
  <c r="D11220" i="1"/>
  <c r="E11220" i="1"/>
  <c r="A11221" i="1"/>
  <c r="B11221" i="1"/>
  <c r="C11221" i="1"/>
  <c r="D11221" i="1"/>
  <c r="E11221" i="1"/>
  <c r="A11222" i="1"/>
  <c r="B11222" i="1"/>
  <c r="C11222" i="1"/>
  <c r="D11222" i="1"/>
  <c r="E11222" i="1"/>
  <c r="A11223" i="1"/>
  <c r="B11223" i="1"/>
  <c r="C11223" i="1"/>
  <c r="D11223" i="1"/>
  <c r="E11223" i="1"/>
  <c r="A11224" i="1"/>
  <c r="B11224" i="1"/>
  <c r="C11224" i="1"/>
  <c r="D11224" i="1"/>
  <c r="E11224" i="1"/>
  <c r="A11225" i="1"/>
  <c r="B11225" i="1"/>
  <c r="C11225" i="1"/>
  <c r="D11225" i="1"/>
  <c r="E11225" i="1"/>
  <c r="A11226" i="1"/>
  <c r="B11226" i="1"/>
  <c r="C11226" i="1"/>
  <c r="D11226" i="1"/>
  <c r="E11226" i="1"/>
  <c r="A11227" i="1"/>
  <c r="B11227" i="1"/>
  <c r="C11227" i="1"/>
  <c r="D11227" i="1"/>
  <c r="E11227" i="1"/>
  <c r="A11228" i="1"/>
  <c r="B11228" i="1"/>
  <c r="C11228" i="1"/>
  <c r="D11228" i="1"/>
  <c r="E11228" i="1"/>
  <c r="A11229" i="1"/>
  <c r="B11229" i="1"/>
  <c r="C11229" i="1"/>
  <c r="D11229" i="1"/>
  <c r="E11229" i="1"/>
  <c r="A11230" i="1"/>
  <c r="B11230" i="1"/>
  <c r="C11230" i="1"/>
  <c r="D11230" i="1"/>
  <c r="E11230" i="1"/>
  <c r="A11231" i="1"/>
  <c r="B11231" i="1"/>
  <c r="C11231" i="1"/>
  <c r="D11231" i="1"/>
  <c r="E11231" i="1"/>
  <c r="A11232" i="1"/>
  <c r="B11232" i="1"/>
  <c r="C11232" i="1"/>
  <c r="D11232" i="1"/>
  <c r="E11232" i="1"/>
  <c r="A11233" i="1"/>
  <c r="B11233" i="1"/>
  <c r="C11233" i="1"/>
  <c r="D11233" i="1"/>
  <c r="E11233" i="1"/>
  <c r="A11234" i="1"/>
  <c r="B11234" i="1"/>
  <c r="C11234" i="1"/>
  <c r="D11234" i="1"/>
  <c r="E11234" i="1"/>
  <c r="A11235" i="1"/>
  <c r="B11235" i="1"/>
  <c r="C11235" i="1"/>
  <c r="D11235" i="1"/>
  <c r="E11235" i="1"/>
  <c r="A11236" i="1"/>
  <c r="B11236" i="1"/>
  <c r="C11236" i="1"/>
  <c r="D11236" i="1"/>
  <c r="E11236" i="1"/>
  <c r="A11237" i="1"/>
  <c r="B11237" i="1"/>
  <c r="C11237" i="1"/>
  <c r="D11237" i="1"/>
  <c r="E11237" i="1"/>
  <c r="A11238" i="1"/>
  <c r="B11238" i="1"/>
  <c r="C11238" i="1"/>
  <c r="D11238" i="1"/>
  <c r="E11238" i="1"/>
  <c r="A11239" i="1"/>
  <c r="B11239" i="1"/>
  <c r="C11239" i="1"/>
  <c r="D11239" i="1"/>
  <c r="E11239" i="1"/>
  <c r="A11240" i="1"/>
  <c r="B11240" i="1"/>
  <c r="C11240" i="1"/>
  <c r="D11240" i="1"/>
  <c r="E11240" i="1"/>
  <c r="A11241" i="1"/>
  <c r="B11241" i="1"/>
  <c r="C11241" i="1"/>
  <c r="D11241" i="1"/>
  <c r="E11241" i="1"/>
  <c r="A11242" i="1"/>
  <c r="B11242" i="1"/>
  <c r="C11242" i="1"/>
  <c r="D11242" i="1"/>
  <c r="E11242" i="1"/>
  <c r="A11243" i="1"/>
  <c r="B11243" i="1"/>
  <c r="C11243" i="1"/>
  <c r="D11243" i="1"/>
  <c r="E11243" i="1"/>
  <c r="A11244" i="1"/>
  <c r="B11244" i="1"/>
  <c r="C11244" i="1"/>
  <c r="D11244" i="1"/>
  <c r="E11244" i="1"/>
  <c r="A11245" i="1"/>
  <c r="B11245" i="1"/>
  <c r="C11245" i="1"/>
  <c r="D11245" i="1"/>
  <c r="E11245" i="1"/>
  <c r="A11246" i="1"/>
  <c r="B11246" i="1"/>
  <c r="C11246" i="1"/>
  <c r="D11246" i="1"/>
  <c r="E11246" i="1"/>
  <c r="A11247" i="1"/>
  <c r="B11247" i="1"/>
  <c r="C11247" i="1"/>
  <c r="D11247" i="1"/>
  <c r="E11247" i="1"/>
  <c r="A11248" i="1"/>
  <c r="B11248" i="1"/>
  <c r="C11248" i="1"/>
  <c r="D11248" i="1"/>
  <c r="E11248" i="1"/>
  <c r="A11249" i="1"/>
  <c r="B11249" i="1"/>
  <c r="C11249" i="1"/>
  <c r="D11249" i="1"/>
  <c r="E11249" i="1"/>
  <c r="A11250" i="1"/>
  <c r="B11250" i="1"/>
  <c r="C11250" i="1"/>
  <c r="D11250" i="1"/>
  <c r="E11250" i="1"/>
  <c r="A11251" i="1"/>
  <c r="B11251" i="1"/>
  <c r="C11251" i="1"/>
  <c r="D11251" i="1"/>
  <c r="E11251" i="1"/>
  <c r="A11252" i="1"/>
  <c r="B11252" i="1"/>
  <c r="C11252" i="1"/>
  <c r="D11252" i="1"/>
  <c r="E11252" i="1"/>
  <c r="A11253" i="1"/>
  <c r="B11253" i="1"/>
  <c r="C11253" i="1"/>
  <c r="D11253" i="1"/>
  <c r="E11253" i="1"/>
  <c r="A11254" i="1"/>
  <c r="B11254" i="1"/>
  <c r="C11254" i="1"/>
  <c r="D11254" i="1"/>
  <c r="E11254" i="1"/>
  <c r="A11255" i="1"/>
  <c r="B11255" i="1"/>
  <c r="C11255" i="1"/>
  <c r="D11255" i="1"/>
  <c r="E11255" i="1"/>
  <c r="A11256" i="1"/>
  <c r="B11256" i="1"/>
  <c r="C11256" i="1"/>
  <c r="D11256" i="1"/>
  <c r="E11256" i="1"/>
  <c r="A11257" i="1"/>
  <c r="B11257" i="1"/>
  <c r="C11257" i="1"/>
  <c r="D11257" i="1"/>
  <c r="E11257" i="1"/>
  <c r="A11258" i="1"/>
  <c r="B11258" i="1"/>
  <c r="C11258" i="1"/>
  <c r="D11258" i="1"/>
  <c r="E11258" i="1"/>
  <c r="A11259" i="1"/>
  <c r="B11259" i="1"/>
  <c r="C11259" i="1"/>
  <c r="D11259" i="1"/>
  <c r="E11259" i="1"/>
  <c r="A11260" i="1"/>
  <c r="B11260" i="1"/>
  <c r="C11260" i="1"/>
  <c r="D11260" i="1"/>
  <c r="E11260" i="1"/>
  <c r="A11261" i="1"/>
  <c r="B11261" i="1"/>
  <c r="C11261" i="1"/>
  <c r="D11261" i="1"/>
  <c r="E11261" i="1"/>
  <c r="A11262" i="1"/>
  <c r="B11262" i="1"/>
  <c r="C11262" i="1"/>
  <c r="D11262" i="1"/>
  <c r="E11262" i="1"/>
  <c r="A11263" i="1"/>
  <c r="B11263" i="1"/>
  <c r="C11263" i="1"/>
  <c r="D11263" i="1"/>
  <c r="E11263" i="1"/>
  <c r="A11264" i="1"/>
  <c r="B11264" i="1"/>
  <c r="C11264" i="1"/>
  <c r="D11264" i="1"/>
  <c r="E11264" i="1"/>
  <c r="A11265" i="1"/>
  <c r="B11265" i="1"/>
  <c r="C11265" i="1"/>
  <c r="D11265" i="1"/>
  <c r="E11265" i="1"/>
  <c r="A11266" i="1"/>
  <c r="B11266" i="1"/>
  <c r="C11266" i="1"/>
  <c r="D11266" i="1"/>
  <c r="E11266" i="1"/>
  <c r="A11267" i="1"/>
  <c r="B11267" i="1"/>
  <c r="C11267" i="1"/>
  <c r="D11267" i="1"/>
  <c r="E11267" i="1"/>
  <c r="A11268" i="1"/>
  <c r="B11268" i="1"/>
  <c r="C11268" i="1"/>
  <c r="D11268" i="1"/>
  <c r="E11268" i="1"/>
  <c r="A11269" i="1"/>
  <c r="B11269" i="1"/>
  <c r="C11269" i="1"/>
  <c r="D11269" i="1"/>
  <c r="E11269" i="1"/>
  <c r="A11270" i="1"/>
  <c r="B11270" i="1"/>
  <c r="C11270" i="1"/>
  <c r="D11270" i="1"/>
  <c r="E11270" i="1"/>
  <c r="A11271" i="1"/>
  <c r="B11271" i="1"/>
  <c r="C11271" i="1"/>
  <c r="D11271" i="1"/>
  <c r="E11271" i="1"/>
  <c r="A11272" i="1"/>
  <c r="B11272" i="1"/>
  <c r="C11272" i="1"/>
  <c r="D11272" i="1"/>
  <c r="E11272" i="1"/>
  <c r="A11273" i="1"/>
  <c r="B11273" i="1"/>
  <c r="C11273" i="1"/>
  <c r="D11273" i="1"/>
  <c r="E11273" i="1"/>
  <c r="A11274" i="1"/>
  <c r="B11274" i="1"/>
  <c r="C11274" i="1"/>
  <c r="D11274" i="1"/>
  <c r="E11274" i="1"/>
  <c r="A11275" i="1"/>
  <c r="B11275" i="1"/>
  <c r="C11275" i="1"/>
  <c r="D11275" i="1"/>
  <c r="E11275" i="1"/>
  <c r="A11276" i="1"/>
  <c r="B11276" i="1"/>
  <c r="C11276" i="1"/>
  <c r="D11276" i="1"/>
  <c r="E11276" i="1"/>
  <c r="A11277" i="1"/>
  <c r="B11277" i="1"/>
  <c r="C11277" i="1"/>
  <c r="D11277" i="1"/>
  <c r="E11277" i="1"/>
  <c r="A11278" i="1"/>
  <c r="B11278" i="1"/>
  <c r="C11278" i="1"/>
  <c r="D11278" i="1"/>
  <c r="E11278" i="1"/>
  <c r="A11279" i="1"/>
  <c r="B11279" i="1"/>
  <c r="C11279" i="1"/>
  <c r="D11279" i="1"/>
  <c r="E11279" i="1"/>
  <c r="A11280" i="1"/>
  <c r="B11280" i="1"/>
  <c r="C11280" i="1"/>
  <c r="D11280" i="1"/>
  <c r="E11280" i="1"/>
  <c r="A11281" i="1"/>
  <c r="B11281" i="1"/>
  <c r="C11281" i="1"/>
  <c r="D11281" i="1"/>
  <c r="E11281" i="1"/>
  <c r="A11282" i="1"/>
  <c r="B11282" i="1"/>
  <c r="C11282" i="1"/>
  <c r="D11282" i="1"/>
  <c r="E11282" i="1"/>
  <c r="A11283" i="1"/>
  <c r="B11283" i="1"/>
  <c r="C11283" i="1"/>
  <c r="D11283" i="1"/>
  <c r="E11283" i="1"/>
  <c r="A11284" i="1"/>
  <c r="B11284" i="1"/>
  <c r="C11284" i="1"/>
  <c r="D11284" i="1"/>
  <c r="E11284" i="1"/>
  <c r="A11285" i="1"/>
  <c r="B11285" i="1"/>
  <c r="C11285" i="1"/>
  <c r="D11285" i="1"/>
  <c r="E11285" i="1"/>
  <c r="A11286" i="1"/>
  <c r="B11286" i="1"/>
  <c r="C11286" i="1"/>
  <c r="D11286" i="1"/>
  <c r="E11286" i="1"/>
  <c r="A11287" i="1"/>
  <c r="B11287" i="1"/>
  <c r="C11287" i="1"/>
  <c r="D11287" i="1"/>
  <c r="E11287" i="1"/>
  <c r="A11288" i="1"/>
  <c r="B11288" i="1"/>
  <c r="C11288" i="1"/>
  <c r="D11288" i="1"/>
  <c r="E11288" i="1"/>
  <c r="A11289" i="1"/>
  <c r="B11289" i="1"/>
  <c r="C11289" i="1"/>
  <c r="D11289" i="1"/>
  <c r="E11289" i="1"/>
  <c r="A11290" i="1"/>
  <c r="B11290" i="1"/>
  <c r="C11290" i="1"/>
  <c r="D11290" i="1"/>
  <c r="E11290" i="1"/>
  <c r="A11291" i="1"/>
  <c r="B11291" i="1"/>
  <c r="C11291" i="1"/>
  <c r="D11291" i="1"/>
  <c r="E11291" i="1"/>
  <c r="A11292" i="1"/>
  <c r="B11292" i="1"/>
  <c r="C11292" i="1"/>
  <c r="D11292" i="1"/>
  <c r="E11292" i="1"/>
  <c r="A11293" i="1"/>
  <c r="B11293" i="1"/>
  <c r="C11293" i="1"/>
  <c r="D11293" i="1"/>
  <c r="E11293" i="1"/>
  <c r="A11294" i="1"/>
  <c r="B11294" i="1"/>
  <c r="C11294" i="1"/>
  <c r="D11294" i="1"/>
  <c r="E11294" i="1"/>
  <c r="A11295" i="1"/>
  <c r="B11295" i="1"/>
  <c r="C11295" i="1"/>
  <c r="D11295" i="1"/>
  <c r="E11295" i="1"/>
  <c r="A11296" i="1"/>
  <c r="B11296" i="1"/>
  <c r="C11296" i="1"/>
  <c r="D11296" i="1"/>
  <c r="E11296" i="1"/>
  <c r="A11297" i="1"/>
  <c r="B11297" i="1"/>
  <c r="C11297" i="1"/>
  <c r="D11297" i="1"/>
  <c r="E11297" i="1"/>
  <c r="A11298" i="1"/>
  <c r="B11298" i="1"/>
  <c r="C11298" i="1"/>
  <c r="D11298" i="1"/>
  <c r="E11298" i="1"/>
  <c r="A11299" i="1"/>
  <c r="B11299" i="1"/>
  <c r="C11299" i="1"/>
  <c r="D11299" i="1"/>
  <c r="E11299" i="1"/>
  <c r="A11300" i="1"/>
  <c r="B11300" i="1"/>
  <c r="C11300" i="1"/>
  <c r="D11300" i="1"/>
  <c r="E11300" i="1"/>
  <c r="A11301" i="1"/>
  <c r="B11301" i="1"/>
  <c r="C11301" i="1"/>
  <c r="D11301" i="1"/>
  <c r="E11301" i="1"/>
  <c r="A11302" i="1"/>
  <c r="B11302" i="1"/>
  <c r="C11302" i="1"/>
  <c r="D11302" i="1"/>
  <c r="E11302" i="1"/>
  <c r="A11303" i="1"/>
  <c r="B11303" i="1"/>
  <c r="C11303" i="1"/>
  <c r="D11303" i="1"/>
  <c r="E11303" i="1"/>
  <c r="A11304" i="1"/>
  <c r="B11304" i="1"/>
  <c r="C11304" i="1"/>
  <c r="D11304" i="1"/>
  <c r="E11304" i="1"/>
  <c r="A11305" i="1"/>
  <c r="B11305" i="1"/>
  <c r="C11305" i="1"/>
  <c r="D11305" i="1"/>
  <c r="E11305" i="1"/>
  <c r="A11306" i="1"/>
  <c r="B11306" i="1"/>
  <c r="C11306" i="1"/>
  <c r="D11306" i="1"/>
  <c r="E11306" i="1"/>
  <c r="A11307" i="1"/>
  <c r="B11307" i="1"/>
  <c r="C11307" i="1"/>
  <c r="D11307" i="1"/>
  <c r="E11307" i="1"/>
  <c r="A11308" i="1"/>
  <c r="B11308" i="1"/>
  <c r="C11308" i="1"/>
  <c r="D11308" i="1"/>
  <c r="E11308" i="1"/>
  <c r="A11309" i="1"/>
  <c r="B11309" i="1"/>
  <c r="C11309" i="1"/>
  <c r="D11309" i="1"/>
  <c r="E11309" i="1"/>
  <c r="A11310" i="1"/>
  <c r="B11310" i="1"/>
  <c r="C11310" i="1"/>
  <c r="D11310" i="1"/>
  <c r="E11310" i="1"/>
  <c r="A11311" i="1"/>
  <c r="B11311" i="1"/>
  <c r="C11311" i="1"/>
  <c r="D11311" i="1"/>
  <c r="E11311" i="1"/>
  <c r="A11312" i="1"/>
  <c r="B11312" i="1"/>
  <c r="C11312" i="1"/>
  <c r="D11312" i="1"/>
  <c r="E11312" i="1"/>
  <c r="A11313" i="1"/>
  <c r="B11313" i="1"/>
  <c r="C11313" i="1"/>
  <c r="D11313" i="1"/>
  <c r="E11313" i="1"/>
  <c r="A11314" i="1"/>
  <c r="B11314" i="1"/>
  <c r="C11314" i="1"/>
  <c r="D11314" i="1"/>
  <c r="E11314" i="1"/>
  <c r="A11315" i="1"/>
  <c r="B11315" i="1"/>
  <c r="C11315" i="1"/>
  <c r="D11315" i="1"/>
  <c r="E11315" i="1"/>
  <c r="A11316" i="1"/>
  <c r="B11316" i="1"/>
  <c r="C11316" i="1"/>
  <c r="D11316" i="1"/>
  <c r="E11316" i="1"/>
  <c r="A11317" i="1"/>
  <c r="B11317" i="1"/>
  <c r="C11317" i="1"/>
  <c r="D11317" i="1"/>
  <c r="E11317" i="1"/>
  <c r="A11318" i="1"/>
  <c r="B11318" i="1"/>
  <c r="C11318" i="1"/>
  <c r="D11318" i="1"/>
  <c r="E11318" i="1"/>
  <c r="A11319" i="1"/>
  <c r="B11319" i="1"/>
  <c r="C11319" i="1"/>
  <c r="D11319" i="1"/>
  <c r="E11319" i="1"/>
  <c r="A11320" i="1"/>
  <c r="B11320" i="1"/>
  <c r="C11320" i="1"/>
  <c r="D11320" i="1"/>
  <c r="E11320" i="1"/>
  <c r="A11321" i="1"/>
  <c r="B11321" i="1"/>
  <c r="C11321" i="1"/>
  <c r="D11321" i="1"/>
  <c r="E11321" i="1"/>
  <c r="A11322" i="1"/>
  <c r="B11322" i="1"/>
  <c r="C11322" i="1"/>
  <c r="D11322" i="1"/>
  <c r="E11322" i="1"/>
  <c r="A11323" i="1"/>
  <c r="B11323" i="1"/>
  <c r="C11323" i="1"/>
  <c r="D11323" i="1"/>
  <c r="E11323" i="1"/>
  <c r="A11324" i="1"/>
  <c r="B11324" i="1"/>
  <c r="C11324" i="1"/>
  <c r="D11324" i="1"/>
  <c r="E11324" i="1"/>
  <c r="A11325" i="1"/>
  <c r="B11325" i="1"/>
  <c r="C11325" i="1"/>
  <c r="D11325" i="1"/>
  <c r="E11325" i="1"/>
  <c r="A11326" i="1"/>
  <c r="B11326" i="1"/>
  <c r="C11326" i="1"/>
  <c r="D11326" i="1"/>
  <c r="E11326" i="1"/>
  <c r="A11327" i="1"/>
  <c r="B11327" i="1"/>
  <c r="C11327" i="1"/>
  <c r="D11327" i="1"/>
  <c r="E11327" i="1"/>
  <c r="A11328" i="1"/>
  <c r="B11328" i="1"/>
  <c r="C11328" i="1"/>
  <c r="D11328" i="1"/>
  <c r="E11328" i="1"/>
  <c r="A11329" i="1"/>
  <c r="B11329" i="1"/>
  <c r="C11329" i="1"/>
  <c r="D11329" i="1"/>
  <c r="E11329" i="1"/>
  <c r="A11330" i="1"/>
  <c r="B11330" i="1"/>
  <c r="C11330" i="1"/>
  <c r="D11330" i="1"/>
  <c r="E11330" i="1"/>
  <c r="A11331" i="1"/>
  <c r="B11331" i="1"/>
  <c r="C11331" i="1"/>
  <c r="D11331" i="1"/>
  <c r="E11331" i="1"/>
  <c r="A11332" i="1"/>
  <c r="B11332" i="1"/>
  <c r="C11332" i="1"/>
  <c r="D11332" i="1"/>
  <c r="E11332" i="1"/>
  <c r="A11333" i="1"/>
  <c r="B11333" i="1"/>
  <c r="C11333" i="1"/>
  <c r="D11333" i="1"/>
  <c r="E11333" i="1"/>
  <c r="A11334" i="1"/>
  <c r="B11334" i="1"/>
  <c r="C11334" i="1"/>
  <c r="D11334" i="1"/>
  <c r="E11334" i="1"/>
  <c r="A11335" i="1"/>
  <c r="B11335" i="1"/>
  <c r="C11335" i="1"/>
  <c r="D11335" i="1"/>
  <c r="E11335" i="1"/>
  <c r="A11336" i="1"/>
  <c r="B11336" i="1"/>
  <c r="C11336" i="1"/>
  <c r="D11336" i="1"/>
  <c r="E11336" i="1"/>
  <c r="A11337" i="1"/>
  <c r="B11337" i="1"/>
  <c r="C11337" i="1"/>
  <c r="D11337" i="1"/>
  <c r="E11337" i="1"/>
  <c r="A11338" i="1"/>
  <c r="B11338" i="1"/>
  <c r="C11338" i="1"/>
  <c r="D11338" i="1"/>
  <c r="E11338" i="1"/>
  <c r="A11339" i="1"/>
  <c r="B11339" i="1"/>
  <c r="C11339" i="1"/>
  <c r="D11339" i="1"/>
  <c r="E11339" i="1"/>
  <c r="A11340" i="1"/>
  <c r="B11340" i="1"/>
  <c r="C11340" i="1"/>
  <c r="D11340" i="1"/>
  <c r="E11340" i="1"/>
  <c r="A11341" i="1"/>
  <c r="B11341" i="1"/>
  <c r="C11341" i="1"/>
  <c r="D11341" i="1"/>
  <c r="E11341" i="1"/>
  <c r="A11342" i="1"/>
  <c r="B11342" i="1"/>
  <c r="C11342" i="1"/>
  <c r="D11342" i="1"/>
  <c r="E11342" i="1"/>
  <c r="A11343" i="1"/>
  <c r="B11343" i="1"/>
  <c r="C11343" i="1"/>
  <c r="D11343" i="1"/>
  <c r="E11343" i="1"/>
  <c r="A11344" i="1"/>
  <c r="B11344" i="1"/>
  <c r="C11344" i="1"/>
  <c r="D11344" i="1"/>
  <c r="E11344" i="1"/>
  <c r="A11345" i="1"/>
  <c r="B11345" i="1"/>
  <c r="C11345" i="1"/>
  <c r="D11345" i="1"/>
  <c r="E11345" i="1"/>
  <c r="A11346" i="1"/>
  <c r="B11346" i="1"/>
  <c r="C11346" i="1"/>
  <c r="D11346" i="1"/>
  <c r="E11346" i="1"/>
  <c r="A11347" i="1"/>
  <c r="B11347" i="1"/>
  <c r="C11347" i="1"/>
  <c r="D11347" i="1"/>
  <c r="E11347" i="1"/>
  <c r="A11348" i="1"/>
  <c r="B11348" i="1"/>
  <c r="C11348" i="1"/>
  <c r="D11348" i="1"/>
  <c r="E11348" i="1"/>
  <c r="A11349" i="1"/>
  <c r="B11349" i="1"/>
  <c r="C11349" i="1"/>
  <c r="D11349" i="1"/>
  <c r="E11349" i="1"/>
  <c r="A11350" i="1"/>
  <c r="B11350" i="1"/>
  <c r="C11350" i="1"/>
  <c r="D11350" i="1"/>
  <c r="E11350" i="1"/>
  <c r="A11351" i="1"/>
  <c r="B11351" i="1"/>
  <c r="C11351" i="1"/>
  <c r="D11351" i="1"/>
  <c r="E11351" i="1"/>
  <c r="A11352" i="1"/>
  <c r="B11352" i="1"/>
  <c r="C11352" i="1"/>
  <c r="D11352" i="1"/>
  <c r="E11352" i="1"/>
  <c r="A11353" i="1"/>
  <c r="B11353" i="1"/>
  <c r="C11353" i="1"/>
  <c r="D11353" i="1"/>
  <c r="E11353" i="1"/>
  <c r="A11354" i="1"/>
  <c r="B11354" i="1"/>
  <c r="C11354" i="1"/>
  <c r="D11354" i="1"/>
  <c r="E11354" i="1"/>
  <c r="A11355" i="1"/>
  <c r="B11355" i="1"/>
  <c r="C11355" i="1"/>
  <c r="D11355" i="1"/>
  <c r="E11355" i="1"/>
  <c r="A11356" i="1"/>
  <c r="B11356" i="1"/>
  <c r="C11356" i="1"/>
  <c r="D11356" i="1"/>
  <c r="E11356" i="1"/>
  <c r="A11357" i="1"/>
  <c r="B11357" i="1"/>
  <c r="C11357" i="1"/>
  <c r="D11357" i="1"/>
  <c r="E11357" i="1"/>
  <c r="A11358" i="1"/>
  <c r="B11358" i="1"/>
  <c r="C11358" i="1"/>
  <c r="D11358" i="1"/>
  <c r="E11358" i="1"/>
  <c r="A11359" i="1"/>
  <c r="B11359" i="1"/>
  <c r="C11359" i="1"/>
  <c r="D11359" i="1"/>
  <c r="E11359" i="1"/>
  <c r="A11360" i="1"/>
  <c r="B11360" i="1"/>
  <c r="C11360" i="1"/>
  <c r="D11360" i="1"/>
  <c r="E11360" i="1"/>
  <c r="A11361" i="1"/>
  <c r="B11361" i="1"/>
  <c r="C11361" i="1"/>
  <c r="D11361" i="1"/>
  <c r="E11361" i="1"/>
  <c r="A11362" i="1"/>
  <c r="B11362" i="1"/>
  <c r="C11362" i="1"/>
  <c r="D11362" i="1"/>
  <c r="E11362" i="1"/>
  <c r="A11363" i="1"/>
  <c r="B11363" i="1"/>
  <c r="C11363" i="1"/>
  <c r="D11363" i="1"/>
  <c r="E11363" i="1"/>
  <c r="A11364" i="1"/>
  <c r="B11364" i="1"/>
  <c r="C11364" i="1"/>
  <c r="D11364" i="1"/>
  <c r="E11364" i="1"/>
  <c r="A11365" i="1"/>
  <c r="B11365" i="1"/>
  <c r="C11365" i="1"/>
  <c r="D11365" i="1"/>
  <c r="E11365" i="1"/>
  <c r="A11366" i="1"/>
  <c r="B11366" i="1"/>
  <c r="C11366" i="1"/>
  <c r="D11366" i="1"/>
  <c r="E11366" i="1"/>
  <c r="A11367" i="1"/>
  <c r="B11367" i="1"/>
  <c r="C11367" i="1"/>
  <c r="D11367" i="1"/>
  <c r="E11367" i="1"/>
  <c r="A11368" i="1"/>
  <c r="B11368" i="1"/>
  <c r="C11368" i="1"/>
  <c r="D11368" i="1"/>
  <c r="E11368" i="1"/>
  <c r="A11369" i="1"/>
  <c r="B11369" i="1"/>
  <c r="C11369" i="1"/>
  <c r="D11369" i="1"/>
  <c r="E11369" i="1"/>
  <c r="A11370" i="1"/>
  <c r="B11370" i="1"/>
  <c r="C11370" i="1"/>
  <c r="D11370" i="1"/>
  <c r="E11370" i="1"/>
  <c r="A11371" i="1"/>
  <c r="B11371" i="1"/>
  <c r="C11371" i="1"/>
  <c r="D11371" i="1"/>
  <c r="E11371" i="1"/>
  <c r="A11372" i="1"/>
  <c r="B11372" i="1"/>
  <c r="C11372" i="1"/>
  <c r="D11372" i="1"/>
  <c r="E11372" i="1"/>
  <c r="A11373" i="1"/>
  <c r="B11373" i="1"/>
  <c r="C11373" i="1"/>
  <c r="D11373" i="1"/>
  <c r="E11373" i="1"/>
  <c r="A11374" i="1"/>
  <c r="B11374" i="1"/>
  <c r="C11374" i="1"/>
  <c r="D11374" i="1"/>
  <c r="E11374" i="1"/>
  <c r="A11375" i="1"/>
  <c r="B11375" i="1"/>
  <c r="C11375" i="1"/>
  <c r="D11375" i="1"/>
  <c r="E11375" i="1"/>
  <c r="A11376" i="1"/>
  <c r="B11376" i="1"/>
  <c r="C11376" i="1"/>
  <c r="D11376" i="1"/>
  <c r="E11376" i="1"/>
  <c r="A11377" i="1"/>
  <c r="B11377" i="1"/>
  <c r="C11377" i="1"/>
  <c r="D11377" i="1"/>
  <c r="E11377" i="1"/>
  <c r="A11378" i="1"/>
  <c r="B11378" i="1"/>
  <c r="C11378" i="1"/>
  <c r="D11378" i="1"/>
  <c r="E11378" i="1"/>
  <c r="A11379" i="1"/>
  <c r="B11379" i="1"/>
  <c r="C11379" i="1"/>
  <c r="D11379" i="1"/>
  <c r="E11379" i="1"/>
  <c r="A11380" i="1"/>
  <c r="B11380" i="1"/>
  <c r="C11380" i="1"/>
  <c r="D11380" i="1"/>
  <c r="E11380" i="1"/>
  <c r="A11381" i="1"/>
  <c r="B11381" i="1"/>
  <c r="C11381" i="1"/>
  <c r="D11381" i="1"/>
  <c r="E11381" i="1"/>
  <c r="A11382" i="1"/>
  <c r="B11382" i="1"/>
  <c r="C11382" i="1"/>
  <c r="D11382" i="1"/>
  <c r="E11382" i="1"/>
  <c r="A11383" i="1"/>
  <c r="B11383" i="1"/>
  <c r="C11383" i="1"/>
  <c r="D11383" i="1"/>
  <c r="E11383" i="1"/>
  <c r="A11384" i="1"/>
  <c r="B11384" i="1"/>
  <c r="C11384" i="1"/>
  <c r="D11384" i="1"/>
  <c r="E11384" i="1"/>
  <c r="A11385" i="1"/>
  <c r="B11385" i="1"/>
  <c r="C11385" i="1"/>
  <c r="D11385" i="1"/>
  <c r="E11385" i="1"/>
  <c r="A11386" i="1"/>
  <c r="B11386" i="1"/>
  <c r="C11386" i="1"/>
  <c r="D11386" i="1"/>
  <c r="E11386" i="1"/>
  <c r="A11387" i="1"/>
  <c r="B11387" i="1"/>
  <c r="C11387" i="1"/>
  <c r="D11387" i="1"/>
  <c r="E11387" i="1"/>
  <c r="A11388" i="1"/>
  <c r="B11388" i="1"/>
  <c r="C11388" i="1"/>
  <c r="D11388" i="1"/>
  <c r="E11388" i="1"/>
  <c r="A11389" i="1"/>
  <c r="B11389" i="1"/>
  <c r="C11389" i="1"/>
  <c r="D11389" i="1"/>
  <c r="E11389" i="1"/>
  <c r="A11390" i="1"/>
  <c r="B11390" i="1"/>
  <c r="C11390" i="1"/>
  <c r="D11390" i="1"/>
  <c r="E11390" i="1"/>
  <c r="A11391" i="1"/>
  <c r="B11391" i="1"/>
  <c r="C11391" i="1"/>
  <c r="D11391" i="1"/>
  <c r="E11391" i="1"/>
  <c r="A11392" i="1"/>
  <c r="B11392" i="1"/>
  <c r="C11392" i="1"/>
  <c r="D11392" i="1"/>
  <c r="E11392" i="1"/>
  <c r="A11393" i="1"/>
  <c r="B11393" i="1"/>
  <c r="C11393" i="1"/>
  <c r="D11393" i="1"/>
  <c r="E11393" i="1"/>
  <c r="A11394" i="1"/>
  <c r="B11394" i="1"/>
  <c r="C11394" i="1"/>
  <c r="D11394" i="1"/>
  <c r="E11394" i="1"/>
  <c r="A11395" i="1"/>
  <c r="B11395" i="1"/>
  <c r="C11395" i="1"/>
  <c r="D11395" i="1"/>
  <c r="E11395" i="1"/>
  <c r="A11396" i="1"/>
  <c r="B11396" i="1"/>
  <c r="C11396" i="1"/>
  <c r="D11396" i="1"/>
  <c r="E11396" i="1"/>
  <c r="A11397" i="1"/>
  <c r="B11397" i="1"/>
  <c r="C11397" i="1"/>
  <c r="D11397" i="1"/>
  <c r="E11397" i="1"/>
  <c r="A11398" i="1"/>
  <c r="B11398" i="1"/>
  <c r="C11398" i="1"/>
  <c r="D11398" i="1"/>
  <c r="E11398" i="1"/>
  <c r="A11399" i="1"/>
  <c r="B11399" i="1"/>
  <c r="C11399" i="1"/>
  <c r="D11399" i="1"/>
  <c r="E11399" i="1"/>
  <c r="A11400" i="1"/>
  <c r="B11400" i="1"/>
  <c r="C11400" i="1"/>
  <c r="D11400" i="1"/>
  <c r="E11400" i="1"/>
  <c r="A11401" i="1"/>
  <c r="B11401" i="1"/>
  <c r="C11401" i="1"/>
  <c r="D11401" i="1"/>
  <c r="E11401" i="1"/>
  <c r="A11402" i="1"/>
  <c r="B11402" i="1"/>
  <c r="C11402" i="1"/>
  <c r="D11402" i="1"/>
  <c r="E11402" i="1"/>
  <c r="A11403" i="1"/>
  <c r="B11403" i="1"/>
  <c r="C11403" i="1"/>
  <c r="D11403" i="1"/>
  <c r="E11403" i="1"/>
  <c r="A11404" i="1"/>
  <c r="B11404" i="1"/>
  <c r="C11404" i="1"/>
  <c r="D11404" i="1"/>
  <c r="E11404" i="1"/>
  <c r="A11405" i="1"/>
  <c r="B11405" i="1"/>
  <c r="C11405" i="1"/>
  <c r="D11405" i="1"/>
  <c r="E11405" i="1"/>
  <c r="A11406" i="1"/>
  <c r="B11406" i="1"/>
  <c r="C11406" i="1"/>
  <c r="D11406" i="1"/>
  <c r="E11406" i="1"/>
  <c r="A11407" i="1"/>
  <c r="B11407" i="1"/>
  <c r="C11407" i="1"/>
  <c r="D11407" i="1"/>
  <c r="E11407" i="1"/>
  <c r="A11408" i="1"/>
  <c r="B11408" i="1"/>
  <c r="C11408" i="1"/>
  <c r="D11408" i="1"/>
  <c r="E11408" i="1"/>
  <c r="A11409" i="1"/>
  <c r="B11409" i="1"/>
  <c r="C11409" i="1"/>
  <c r="D11409" i="1"/>
  <c r="E11409" i="1"/>
  <c r="A11410" i="1"/>
  <c r="B11410" i="1"/>
  <c r="C11410" i="1"/>
  <c r="D11410" i="1"/>
  <c r="E11410" i="1"/>
  <c r="A11411" i="1"/>
  <c r="B11411" i="1"/>
  <c r="C11411" i="1"/>
  <c r="D11411" i="1"/>
  <c r="E11411" i="1"/>
  <c r="A11412" i="1"/>
  <c r="B11412" i="1"/>
  <c r="C11412" i="1"/>
  <c r="D11412" i="1"/>
  <c r="E11412" i="1"/>
  <c r="A11413" i="1"/>
  <c r="B11413" i="1"/>
  <c r="C11413" i="1"/>
  <c r="D11413" i="1"/>
  <c r="E11413" i="1"/>
  <c r="A11414" i="1"/>
  <c r="B11414" i="1"/>
  <c r="C11414" i="1"/>
  <c r="D11414" i="1"/>
  <c r="E11414" i="1"/>
  <c r="A11415" i="1"/>
  <c r="B11415" i="1"/>
  <c r="C11415" i="1"/>
  <c r="D11415" i="1"/>
  <c r="E11415" i="1"/>
  <c r="A11416" i="1"/>
  <c r="B11416" i="1"/>
  <c r="C11416" i="1"/>
  <c r="D11416" i="1"/>
  <c r="E11416" i="1"/>
  <c r="A11417" i="1"/>
  <c r="B11417" i="1"/>
  <c r="C11417" i="1"/>
  <c r="D11417" i="1"/>
  <c r="E11417" i="1"/>
  <c r="A11418" i="1"/>
  <c r="B11418" i="1"/>
  <c r="C11418" i="1"/>
  <c r="D11418" i="1"/>
  <c r="E11418" i="1"/>
  <c r="A11419" i="1"/>
  <c r="B11419" i="1"/>
  <c r="C11419" i="1"/>
  <c r="D11419" i="1"/>
  <c r="E11419" i="1"/>
  <c r="A11420" i="1"/>
  <c r="B11420" i="1"/>
  <c r="C11420" i="1"/>
  <c r="D11420" i="1"/>
  <c r="E11420" i="1"/>
  <c r="A11421" i="1"/>
  <c r="B11421" i="1"/>
  <c r="C11421" i="1"/>
  <c r="D11421" i="1"/>
  <c r="E11421" i="1"/>
  <c r="A11422" i="1"/>
  <c r="B11422" i="1"/>
  <c r="C11422" i="1"/>
  <c r="D11422" i="1"/>
  <c r="E11422" i="1"/>
  <c r="A11423" i="1"/>
  <c r="B11423" i="1"/>
  <c r="C11423" i="1"/>
  <c r="D11423" i="1"/>
  <c r="E11423" i="1"/>
  <c r="A11424" i="1"/>
  <c r="B11424" i="1"/>
  <c r="C11424" i="1"/>
  <c r="D11424" i="1"/>
  <c r="E11424" i="1"/>
  <c r="A11425" i="1"/>
  <c r="B11425" i="1"/>
  <c r="C11425" i="1"/>
  <c r="D11425" i="1"/>
  <c r="E11425" i="1"/>
  <c r="A11426" i="1"/>
  <c r="B11426" i="1"/>
  <c r="C11426" i="1"/>
  <c r="D11426" i="1"/>
  <c r="E11426" i="1"/>
  <c r="A11427" i="1"/>
  <c r="B11427" i="1"/>
  <c r="C11427" i="1"/>
  <c r="D11427" i="1"/>
  <c r="E11427" i="1"/>
  <c r="A11428" i="1"/>
  <c r="B11428" i="1"/>
  <c r="C11428" i="1"/>
  <c r="D11428" i="1"/>
  <c r="E11428" i="1"/>
  <c r="A11429" i="1"/>
  <c r="B11429" i="1"/>
  <c r="C11429" i="1"/>
  <c r="D11429" i="1"/>
  <c r="E11429" i="1"/>
  <c r="A11430" i="1"/>
  <c r="B11430" i="1"/>
  <c r="C11430" i="1"/>
  <c r="D11430" i="1"/>
  <c r="E11430" i="1"/>
  <c r="A11431" i="1"/>
  <c r="B11431" i="1"/>
  <c r="C11431" i="1"/>
  <c r="D11431" i="1"/>
  <c r="E11431" i="1"/>
  <c r="A11432" i="1"/>
  <c r="B11432" i="1"/>
  <c r="C11432" i="1"/>
  <c r="D11432" i="1"/>
  <c r="E11432" i="1"/>
  <c r="A11433" i="1"/>
  <c r="B11433" i="1"/>
  <c r="C11433" i="1"/>
  <c r="D11433" i="1"/>
  <c r="E11433" i="1"/>
  <c r="A11434" i="1"/>
  <c r="B11434" i="1"/>
  <c r="C11434" i="1"/>
  <c r="D11434" i="1"/>
  <c r="E11434" i="1"/>
  <c r="A11435" i="1"/>
  <c r="B11435" i="1"/>
  <c r="C11435" i="1"/>
  <c r="D11435" i="1"/>
  <c r="E11435" i="1"/>
  <c r="A11436" i="1"/>
  <c r="B11436" i="1"/>
  <c r="C11436" i="1"/>
  <c r="D11436" i="1"/>
  <c r="E11436" i="1"/>
  <c r="A11437" i="1"/>
  <c r="B11437" i="1"/>
  <c r="C11437" i="1"/>
  <c r="D11437" i="1"/>
  <c r="E11437" i="1"/>
  <c r="A11438" i="1"/>
  <c r="B11438" i="1"/>
  <c r="C11438" i="1"/>
  <c r="D11438" i="1"/>
  <c r="E11438" i="1"/>
  <c r="A11439" i="1"/>
  <c r="B11439" i="1"/>
  <c r="C11439" i="1"/>
  <c r="D11439" i="1"/>
  <c r="E11439" i="1"/>
  <c r="A11440" i="1"/>
  <c r="B11440" i="1"/>
  <c r="C11440" i="1"/>
  <c r="D11440" i="1"/>
  <c r="E11440" i="1"/>
  <c r="A11441" i="1"/>
  <c r="B11441" i="1"/>
  <c r="C11441" i="1"/>
  <c r="D11441" i="1"/>
  <c r="E11441" i="1"/>
  <c r="A11442" i="1"/>
  <c r="B11442" i="1"/>
  <c r="C11442" i="1"/>
  <c r="D11442" i="1"/>
  <c r="E11442" i="1"/>
  <c r="A11443" i="1"/>
  <c r="B11443" i="1"/>
  <c r="C11443" i="1"/>
  <c r="D11443" i="1"/>
  <c r="E11443" i="1"/>
  <c r="A11444" i="1"/>
  <c r="B11444" i="1"/>
  <c r="C11444" i="1"/>
  <c r="D11444" i="1"/>
  <c r="E11444" i="1"/>
  <c r="A11445" i="1"/>
  <c r="B11445" i="1"/>
  <c r="C11445" i="1"/>
  <c r="D11445" i="1"/>
  <c r="E11445" i="1"/>
  <c r="A11446" i="1"/>
  <c r="B11446" i="1"/>
  <c r="C11446" i="1"/>
  <c r="D11446" i="1"/>
  <c r="E11446" i="1"/>
  <c r="A11447" i="1"/>
  <c r="B11447" i="1"/>
  <c r="C11447" i="1"/>
  <c r="D11447" i="1"/>
  <c r="E11447" i="1"/>
  <c r="A11448" i="1"/>
  <c r="B11448" i="1"/>
  <c r="C11448" i="1"/>
  <c r="D11448" i="1"/>
  <c r="E11448" i="1"/>
  <c r="A11449" i="1"/>
  <c r="B11449" i="1"/>
  <c r="C11449" i="1"/>
  <c r="D11449" i="1"/>
  <c r="E11449" i="1"/>
  <c r="A11450" i="1"/>
  <c r="B11450" i="1"/>
  <c r="C11450" i="1"/>
  <c r="D11450" i="1"/>
  <c r="E11450" i="1"/>
  <c r="A11451" i="1"/>
  <c r="B11451" i="1"/>
  <c r="C11451" i="1"/>
  <c r="D11451" i="1"/>
  <c r="E11451" i="1"/>
  <c r="A11452" i="1"/>
  <c r="B11452" i="1"/>
  <c r="C11452" i="1"/>
  <c r="D11452" i="1"/>
  <c r="E11452" i="1"/>
  <c r="A11453" i="1"/>
  <c r="B11453" i="1"/>
  <c r="C11453" i="1"/>
  <c r="D11453" i="1"/>
  <c r="E11453" i="1"/>
  <c r="A11454" i="1"/>
  <c r="B11454" i="1"/>
  <c r="C11454" i="1"/>
  <c r="D11454" i="1"/>
  <c r="E11454" i="1"/>
  <c r="A11455" i="1"/>
  <c r="B11455" i="1"/>
  <c r="C11455" i="1"/>
  <c r="D11455" i="1"/>
  <c r="E11455" i="1"/>
  <c r="A11456" i="1"/>
  <c r="B11456" i="1"/>
  <c r="C11456" i="1"/>
  <c r="D11456" i="1"/>
  <c r="E11456" i="1"/>
  <c r="A11457" i="1"/>
  <c r="B11457" i="1"/>
  <c r="C11457" i="1"/>
  <c r="D11457" i="1"/>
  <c r="E11457" i="1"/>
  <c r="A11458" i="1"/>
  <c r="B11458" i="1"/>
  <c r="C11458" i="1"/>
  <c r="D11458" i="1"/>
  <c r="E11458" i="1"/>
  <c r="A11459" i="1"/>
  <c r="B11459" i="1"/>
  <c r="C11459" i="1"/>
  <c r="D11459" i="1"/>
  <c r="E11459" i="1"/>
  <c r="A11460" i="1"/>
  <c r="B11460" i="1"/>
  <c r="C11460" i="1"/>
  <c r="D11460" i="1"/>
  <c r="E11460" i="1"/>
  <c r="A11461" i="1"/>
  <c r="B11461" i="1"/>
  <c r="C11461" i="1"/>
  <c r="D11461" i="1"/>
  <c r="E11461" i="1"/>
  <c r="A11462" i="1"/>
  <c r="B11462" i="1"/>
  <c r="C11462" i="1"/>
  <c r="D11462" i="1"/>
  <c r="E11462" i="1"/>
  <c r="A11463" i="1"/>
  <c r="B11463" i="1"/>
  <c r="C11463" i="1"/>
  <c r="D11463" i="1"/>
  <c r="E11463" i="1"/>
  <c r="A11464" i="1"/>
  <c r="B11464" i="1"/>
  <c r="C11464" i="1"/>
  <c r="D11464" i="1"/>
  <c r="E11464" i="1"/>
  <c r="A11465" i="1"/>
  <c r="B11465" i="1"/>
  <c r="C11465" i="1"/>
  <c r="D11465" i="1"/>
  <c r="E11465" i="1"/>
  <c r="A11466" i="1"/>
  <c r="B11466" i="1"/>
  <c r="C11466" i="1"/>
  <c r="D11466" i="1"/>
  <c r="E11466" i="1"/>
  <c r="A11467" i="1"/>
  <c r="B11467" i="1"/>
  <c r="C11467" i="1"/>
  <c r="D11467" i="1"/>
  <c r="E11467" i="1"/>
  <c r="A11468" i="1"/>
  <c r="B11468" i="1"/>
  <c r="C11468" i="1"/>
  <c r="D11468" i="1"/>
  <c r="E11468" i="1"/>
  <c r="A11469" i="1"/>
  <c r="B11469" i="1"/>
  <c r="C11469" i="1"/>
  <c r="D11469" i="1"/>
  <c r="E11469" i="1"/>
  <c r="A11470" i="1"/>
  <c r="B11470" i="1"/>
  <c r="C11470" i="1"/>
  <c r="D11470" i="1"/>
  <c r="E11470" i="1"/>
  <c r="A11471" i="1"/>
  <c r="B11471" i="1"/>
  <c r="C11471" i="1"/>
  <c r="D11471" i="1"/>
  <c r="E11471" i="1"/>
  <c r="A11472" i="1"/>
  <c r="B11472" i="1"/>
  <c r="C11472" i="1"/>
  <c r="D11472" i="1"/>
  <c r="E11472" i="1"/>
  <c r="A11473" i="1"/>
  <c r="B11473" i="1"/>
  <c r="C11473" i="1"/>
  <c r="D11473" i="1"/>
  <c r="E11473" i="1"/>
  <c r="A11474" i="1"/>
  <c r="B11474" i="1"/>
  <c r="C11474" i="1"/>
  <c r="D11474" i="1"/>
  <c r="E11474" i="1"/>
  <c r="A11475" i="1"/>
  <c r="B11475" i="1"/>
  <c r="C11475" i="1"/>
  <c r="D11475" i="1"/>
  <c r="E11475" i="1"/>
  <c r="A11476" i="1"/>
  <c r="B11476" i="1"/>
  <c r="C11476" i="1"/>
  <c r="D11476" i="1"/>
  <c r="E11476" i="1"/>
  <c r="A11477" i="1"/>
  <c r="B11477" i="1"/>
  <c r="C11477" i="1"/>
  <c r="D11477" i="1"/>
  <c r="E11477" i="1"/>
  <c r="A11478" i="1"/>
  <c r="B11478" i="1"/>
  <c r="C11478" i="1"/>
  <c r="D11478" i="1"/>
  <c r="E11478" i="1"/>
  <c r="A11479" i="1"/>
  <c r="B11479" i="1"/>
  <c r="C11479" i="1"/>
  <c r="D11479" i="1"/>
  <c r="E11479" i="1"/>
  <c r="A11480" i="1"/>
  <c r="B11480" i="1"/>
  <c r="C11480" i="1"/>
  <c r="D11480" i="1"/>
  <c r="E11480" i="1"/>
  <c r="A11481" i="1"/>
  <c r="B11481" i="1"/>
  <c r="C11481" i="1"/>
  <c r="D11481" i="1"/>
  <c r="E11481" i="1"/>
  <c r="A11482" i="1"/>
  <c r="B11482" i="1"/>
  <c r="C11482" i="1"/>
  <c r="D11482" i="1"/>
  <c r="E11482" i="1"/>
  <c r="A11483" i="1"/>
  <c r="B11483" i="1"/>
  <c r="C11483" i="1"/>
  <c r="D11483" i="1"/>
  <c r="E11483" i="1"/>
  <c r="A11484" i="1"/>
  <c r="B11484" i="1"/>
  <c r="C11484" i="1"/>
  <c r="D11484" i="1"/>
  <c r="E11484" i="1"/>
  <c r="A11485" i="1"/>
  <c r="B11485" i="1"/>
  <c r="C11485" i="1"/>
  <c r="D11485" i="1"/>
  <c r="E11485" i="1"/>
  <c r="A11486" i="1"/>
  <c r="B11486" i="1"/>
  <c r="C11486" i="1"/>
  <c r="D11486" i="1"/>
  <c r="E11486" i="1"/>
  <c r="A11487" i="1"/>
  <c r="B11487" i="1"/>
  <c r="C11487" i="1"/>
  <c r="D11487" i="1"/>
  <c r="E11487" i="1"/>
  <c r="A11488" i="1"/>
  <c r="B11488" i="1"/>
  <c r="C11488" i="1"/>
  <c r="D11488" i="1"/>
  <c r="E11488" i="1"/>
  <c r="A11489" i="1"/>
  <c r="B11489" i="1"/>
  <c r="C11489" i="1"/>
  <c r="D11489" i="1"/>
  <c r="E11489" i="1"/>
  <c r="A11490" i="1"/>
  <c r="B11490" i="1"/>
  <c r="C11490" i="1"/>
  <c r="D11490" i="1"/>
  <c r="E11490" i="1"/>
  <c r="A11491" i="1"/>
  <c r="B11491" i="1"/>
  <c r="C11491" i="1"/>
  <c r="D11491" i="1"/>
  <c r="E11491" i="1"/>
  <c r="A11492" i="1"/>
  <c r="B11492" i="1"/>
  <c r="C11492" i="1"/>
  <c r="D11492" i="1"/>
  <c r="E11492" i="1"/>
  <c r="A11493" i="1"/>
  <c r="B11493" i="1"/>
  <c r="C11493" i="1"/>
  <c r="D11493" i="1"/>
  <c r="E11493" i="1"/>
  <c r="A11494" i="1"/>
  <c r="B11494" i="1"/>
  <c r="C11494" i="1"/>
  <c r="D11494" i="1"/>
  <c r="E11494" i="1"/>
  <c r="A11495" i="1"/>
  <c r="B11495" i="1"/>
  <c r="C11495" i="1"/>
  <c r="D11495" i="1"/>
  <c r="E11495" i="1"/>
  <c r="A11496" i="1"/>
  <c r="B11496" i="1"/>
  <c r="C11496" i="1"/>
  <c r="D11496" i="1"/>
  <c r="E11496" i="1"/>
  <c r="A11497" i="1"/>
  <c r="B11497" i="1"/>
  <c r="C11497" i="1"/>
  <c r="D11497" i="1"/>
  <c r="E11497" i="1"/>
  <c r="A11498" i="1"/>
  <c r="B11498" i="1"/>
  <c r="C11498" i="1"/>
  <c r="D11498" i="1"/>
  <c r="E11498" i="1"/>
  <c r="A11499" i="1"/>
  <c r="B11499" i="1"/>
  <c r="C11499" i="1"/>
  <c r="D11499" i="1"/>
  <c r="E11499" i="1"/>
  <c r="A11500" i="1"/>
  <c r="B11500" i="1"/>
  <c r="C11500" i="1"/>
  <c r="D11500" i="1"/>
  <c r="E11500" i="1"/>
  <c r="A11501" i="1"/>
  <c r="B11501" i="1"/>
  <c r="C11501" i="1"/>
  <c r="D11501" i="1"/>
  <c r="E11501" i="1"/>
  <c r="A11502" i="1"/>
  <c r="B11502" i="1"/>
  <c r="C11502" i="1"/>
  <c r="D11502" i="1"/>
  <c r="E11502" i="1"/>
  <c r="A11503" i="1"/>
  <c r="B11503" i="1"/>
  <c r="C11503" i="1"/>
  <c r="D11503" i="1"/>
  <c r="E11503" i="1"/>
  <c r="A11504" i="1"/>
  <c r="B11504" i="1"/>
  <c r="C11504" i="1"/>
  <c r="D11504" i="1"/>
  <c r="E11504" i="1"/>
  <c r="A11505" i="1"/>
  <c r="B11505" i="1"/>
  <c r="C11505" i="1"/>
  <c r="D11505" i="1"/>
  <c r="E11505" i="1"/>
  <c r="A11506" i="1"/>
  <c r="B11506" i="1"/>
  <c r="C11506" i="1"/>
  <c r="D11506" i="1"/>
  <c r="E11506" i="1"/>
  <c r="A11507" i="1"/>
  <c r="B11507" i="1"/>
  <c r="C11507" i="1"/>
  <c r="D11507" i="1"/>
  <c r="E11507" i="1"/>
  <c r="A11508" i="1"/>
  <c r="B11508" i="1"/>
  <c r="C11508" i="1"/>
  <c r="D11508" i="1"/>
  <c r="E11508" i="1"/>
  <c r="A11509" i="1"/>
  <c r="B11509" i="1"/>
  <c r="C11509" i="1"/>
  <c r="D11509" i="1"/>
  <c r="E11509" i="1"/>
  <c r="A11510" i="1"/>
  <c r="B11510" i="1"/>
  <c r="C11510" i="1"/>
  <c r="D11510" i="1"/>
  <c r="E11510" i="1"/>
  <c r="A11511" i="1"/>
  <c r="B11511" i="1"/>
  <c r="C11511" i="1"/>
  <c r="D11511" i="1"/>
  <c r="E11511" i="1"/>
  <c r="A11512" i="1"/>
  <c r="B11512" i="1"/>
  <c r="C11512" i="1"/>
  <c r="D11512" i="1"/>
  <c r="E11512" i="1"/>
  <c r="A11513" i="1"/>
  <c r="B11513" i="1"/>
  <c r="C11513" i="1"/>
  <c r="D11513" i="1"/>
  <c r="E11513" i="1"/>
  <c r="A11514" i="1"/>
  <c r="B11514" i="1"/>
  <c r="C11514" i="1"/>
  <c r="D11514" i="1"/>
  <c r="E11514" i="1"/>
  <c r="A11515" i="1"/>
  <c r="B11515" i="1"/>
  <c r="C11515" i="1"/>
  <c r="D11515" i="1"/>
  <c r="E11515" i="1"/>
  <c r="A11516" i="1"/>
  <c r="B11516" i="1"/>
  <c r="C11516" i="1"/>
  <c r="D11516" i="1"/>
  <c r="E11516" i="1"/>
  <c r="A11517" i="1"/>
  <c r="B11517" i="1"/>
  <c r="C11517" i="1"/>
  <c r="D11517" i="1"/>
  <c r="E11517" i="1"/>
  <c r="A11518" i="1"/>
  <c r="B11518" i="1"/>
  <c r="C11518" i="1"/>
  <c r="D11518" i="1"/>
  <c r="E11518" i="1"/>
  <c r="A11519" i="1"/>
  <c r="B11519" i="1"/>
  <c r="C11519" i="1"/>
  <c r="D11519" i="1"/>
  <c r="E11519" i="1"/>
  <c r="A11520" i="1"/>
  <c r="B11520" i="1"/>
  <c r="C11520" i="1"/>
  <c r="D11520" i="1"/>
  <c r="E11520" i="1"/>
  <c r="A11521" i="1"/>
  <c r="B11521" i="1"/>
  <c r="C11521" i="1"/>
  <c r="D11521" i="1"/>
  <c r="E11521" i="1"/>
  <c r="A11522" i="1"/>
  <c r="B11522" i="1"/>
  <c r="C11522" i="1"/>
  <c r="D11522" i="1"/>
  <c r="E11522" i="1"/>
  <c r="A11523" i="1"/>
  <c r="B11523" i="1"/>
  <c r="C11523" i="1"/>
  <c r="D11523" i="1"/>
  <c r="E11523" i="1"/>
  <c r="A11524" i="1"/>
  <c r="B11524" i="1"/>
  <c r="C11524" i="1"/>
  <c r="D11524" i="1"/>
  <c r="E11524" i="1"/>
  <c r="A11525" i="1"/>
  <c r="B11525" i="1"/>
  <c r="C11525" i="1"/>
  <c r="D11525" i="1"/>
  <c r="E11525" i="1"/>
  <c r="A11526" i="1"/>
  <c r="B11526" i="1"/>
  <c r="C11526" i="1"/>
  <c r="D11526" i="1"/>
  <c r="E11526" i="1"/>
  <c r="A11527" i="1"/>
  <c r="B11527" i="1"/>
  <c r="C11527" i="1"/>
  <c r="D11527" i="1"/>
  <c r="E11527" i="1"/>
  <c r="A11528" i="1"/>
  <c r="B11528" i="1"/>
  <c r="C11528" i="1"/>
  <c r="D11528" i="1"/>
  <c r="E11528" i="1"/>
  <c r="A11529" i="1"/>
  <c r="B11529" i="1"/>
  <c r="C11529" i="1"/>
  <c r="D11529" i="1"/>
  <c r="E11529" i="1"/>
  <c r="A11530" i="1"/>
  <c r="B11530" i="1"/>
  <c r="C11530" i="1"/>
  <c r="D11530" i="1"/>
  <c r="E11530" i="1"/>
  <c r="A11531" i="1"/>
  <c r="B11531" i="1"/>
  <c r="C11531" i="1"/>
  <c r="D11531" i="1"/>
  <c r="E11531" i="1"/>
  <c r="A11532" i="1"/>
  <c r="B11532" i="1"/>
  <c r="C11532" i="1"/>
  <c r="D11532" i="1"/>
  <c r="E11532" i="1"/>
  <c r="A11533" i="1"/>
  <c r="B11533" i="1"/>
  <c r="C11533" i="1"/>
  <c r="D11533" i="1"/>
  <c r="E11533" i="1"/>
  <c r="A11534" i="1"/>
  <c r="B11534" i="1"/>
  <c r="C11534" i="1"/>
  <c r="D11534" i="1"/>
  <c r="E11534" i="1"/>
  <c r="A11535" i="1"/>
  <c r="B11535" i="1"/>
  <c r="C11535" i="1"/>
  <c r="D11535" i="1"/>
  <c r="E11535" i="1"/>
  <c r="A11536" i="1"/>
  <c r="B11536" i="1"/>
  <c r="C11536" i="1"/>
  <c r="D11536" i="1"/>
  <c r="E11536" i="1"/>
  <c r="A11537" i="1"/>
  <c r="B11537" i="1"/>
  <c r="C11537" i="1"/>
  <c r="D11537" i="1"/>
  <c r="E11537" i="1"/>
  <c r="A11538" i="1"/>
  <c r="B11538" i="1"/>
  <c r="C11538" i="1"/>
  <c r="D11538" i="1"/>
  <c r="E11538" i="1"/>
  <c r="A11539" i="1"/>
  <c r="B11539" i="1"/>
  <c r="C11539" i="1"/>
  <c r="D11539" i="1"/>
  <c r="E11539" i="1"/>
  <c r="A11540" i="1"/>
  <c r="B11540" i="1"/>
  <c r="C11540" i="1"/>
  <c r="D11540" i="1"/>
  <c r="E11540" i="1"/>
  <c r="A11541" i="1"/>
  <c r="B11541" i="1"/>
  <c r="C11541" i="1"/>
  <c r="D11541" i="1"/>
  <c r="E11541" i="1"/>
  <c r="A11542" i="1"/>
  <c r="B11542" i="1"/>
  <c r="C11542" i="1"/>
  <c r="D11542" i="1"/>
  <c r="E11542" i="1"/>
  <c r="A11543" i="1"/>
  <c r="B11543" i="1"/>
  <c r="C11543" i="1"/>
  <c r="D11543" i="1"/>
  <c r="E11543" i="1"/>
  <c r="A11544" i="1"/>
  <c r="B11544" i="1"/>
  <c r="C11544" i="1"/>
  <c r="D11544" i="1"/>
  <c r="E11544" i="1"/>
  <c r="A11545" i="1"/>
  <c r="B11545" i="1"/>
  <c r="C11545" i="1"/>
  <c r="D11545" i="1"/>
  <c r="E11545" i="1"/>
  <c r="A11546" i="1"/>
  <c r="B11546" i="1"/>
  <c r="C11546" i="1"/>
  <c r="D11546" i="1"/>
  <c r="E11546" i="1"/>
  <c r="A11547" i="1"/>
  <c r="B11547" i="1"/>
  <c r="C11547" i="1"/>
  <c r="D11547" i="1"/>
  <c r="E11547" i="1"/>
  <c r="A11548" i="1"/>
  <c r="B11548" i="1"/>
  <c r="C11548" i="1"/>
  <c r="D11548" i="1"/>
  <c r="E11548" i="1"/>
  <c r="A11549" i="1"/>
  <c r="B11549" i="1"/>
  <c r="C11549" i="1"/>
  <c r="D11549" i="1"/>
  <c r="E11549" i="1"/>
  <c r="A11550" i="1"/>
  <c r="B11550" i="1"/>
  <c r="C11550" i="1"/>
  <c r="D11550" i="1"/>
  <c r="E11550" i="1"/>
  <c r="A11551" i="1"/>
  <c r="B11551" i="1"/>
  <c r="C11551" i="1"/>
  <c r="D11551" i="1"/>
  <c r="E11551" i="1"/>
  <c r="A11552" i="1"/>
  <c r="B11552" i="1"/>
  <c r="C11552" i="1"/>
  <c r="D11552" i="1"/>
  <c r="E11552" i="1"/>
  <c r="A11553" i="1"/>
  <c r="B11553" i="1"/>
  <c r="C11553" i="1"/>
  <c r="D11553" i="1"/>
  <c r="E11553" i="1"/>
  <c r="A11554" i="1"/>
  <c r="B11554" i="1"/>
  <c r="C11554" i="1"/>
  <c r="D11554" i="1"/>
  <c r="E11554" i="1"/>
  <c r="A11555" i="1"/>
  <c r="B11555" i="1"/>
  <c r="C11555" i="1"/>
  <c r="D11555" i="1"/>
  <c r="E11555" i="1"/>
  <c r="A11556" i="1"/>
  <c r="B11556" i="1"/>
  <c r="C11556" i="1"/>
  <c r="D11556" i="1"/>
  <c r="E11556" i="1"/>
  <c r="A11557" i="1"/>
  <c r="B11557" i="1"/>
  <c r="C11557" i="1"/>
  <c r="D11557" i="1"/>
  <c r="E11557" i="1"/>
  <c r="A11558" i="1"/>
  <c r="B11558" i="1"/>
  <c r="C11558" i="1"/>
  <c r="D11558" i="1"/>
  <c r="E11558" i="1"/>
  <c r="A11559" i="1"/>
  <c r="B11559" i="1"/>
  <c r="C11559" i="1"/>
  <c r="D11559" i="1"/>
  <c r="E11559" i="1"/>
  <c r="A11560" i="1"/>
  <c r="B11560" i="1"/>
  <c r="C11560" i="1"/>
  <c r="D11560" i="1"/>
  <c r="E11560" i="1"/>
  <c r="A11561" i="1"/>
  <c r="B11561" i="1"/>
  <c r="C11561" i="1"/>
  <c r="D11561" i="1"/>
  <c r="E11561" i="1"/>
  <c r="A11562" i="1"/>
  <c r="B11562" i="1"/>
  <c r="C11562" i="1"/>
  <c r="D11562" i="1"/>
  <c r="E11562" i="1"/>
  <c r="A11563" i="1"/>
  <c r="B11563" i="1"/>
  <c r="C11563" i="1"/>
  <c r="D11563" i="1"/>
  <c r="E11563" i="1"/>
  <c r="A11564" i="1"/>
  <c r="B11564" i="1"/>
  <c r="C11564" i="1"/>
  <c r="D11564" i="1"/>
  <c r="E11564" i="1"/>
  <c r="A11565" i="1"/>
  <c r="B11565" i="1"/>
  <c r="C11565" i="1"/>
  <c r="D11565" i="1"/>
  <c r="E11565" i="1"/>
  <c r="A11566" i="1"/>
  <c r="B11566" i="1"/>
  <c r="C11566" i="1"/>
  <c r="D11566" i="1"/>
  <c r="E11566" i="1"/>
  <c r="A11567" i="1"/>
  <c r="B11567" i="1"/>
  <c r="C11567" i="1"/>
  <c r="D11567" i="1"/>
  <c r="E11567" i="1"/>
  <c r="A11568" i="1"/>
  <c r="B11568" i="1"/>
  <c r="C11568" i="1"/>
  <c r="D11568" i="1"/>
  <c r="E11568" i="1"/>
  <c r="A11569" i="1"/>
  <c r="B11569" i="1"/>
  <c r="C11569" i="1"/>
  <c r="D11569" i="1"/>
  <c r="E11569" i="1"/>
  <c r="A11570" i="1"/>
  <c r="B11570" i="1"/>
  <c r="C11570" i="1"/>
  <c r="D11570" i="1"/>
  <c r="E11570" i="1"/>
  <c r="A11571" i="1"/>
  <c r="B11571" i="1"/>
  <c r="C11571" i="1"/>
  <c r="D11571" i="1"/>
  <c r="E11571" i="1"/>
  <c r="A11572" i="1"/>
  <c r="B11572" i="1"/>
  <c r="C11572" i="1"/>
  <c r="D11572" i="1"/>
  <c r="E11572" i="1"/>
  <c r="A11573" i="1"/>
  <c r="B11573" i="1"/>
  <c r="C11573" i="1"/>
  <c r="D11573" i="1"/>
  <c r="E11573" i="1"/>
  <c r="A11574" i="1"/>
  <c r="B11574" i="1"/>
  <c r="C11574" i="1"/>
  <c r="D11574" i="1"/>
  <c r="E11574" i="1"/>
  <c r="A11575" i="1"/>
  <c r="B11575" i="1"/>
  <c r="C11575" i="1"/>
  <c r="D11575" i="1"/>
  <c r="E11575" i="1"/>
  <c r="A11576" i="1"/>
  <c r="B11576" i="1"/>
  <c r="C11576" i="1"/>
  <c r="D11576" i="1"/>
  <c r="E11576" i="1"/>
  <c r="A11577" i="1"/>
  <c r="B11577" i="1"/>
  <c r="C11577" i="1"/>
  <c r="D11577" i="1"/>
  <c r="E11577" i="1"/>
  <c r="A11578" i="1"/>
  <c r="B11578" i="1"/>
  <c r="C11578" i="1"/>
  <c r="D11578" i="1"/>
  <c r="E11578" i="1"/>
  <c r="A11579" i="1"/>
  <c r="B11579" i="1"/>
  <c r="C11579" i="1"/>
  <c r="D11579" i="1"/>
  <c r="E11579" i="1"/>
  <c r="A11580" i="1"/>
  <c r="B11580" i="1"/>
  <c r="C11580" i="1"/>
  <c r="D11580" i="1"/>
  <c r="E11580" i="1"/>
  <c r="A11581" i="1"/>
  <c r="B11581" i="1"/>
  <c r="C11581" i="1"/>
  <c r="D11581" i="1"/>
  <c r="E11581" i="1"/>
  <c r="A11582" i="1"/>
  <c r="B11582" i="1"/>
  <c r="C11582" i="1"/>
  <c r="D11582" i="1"/>
  <c r="E11582" i="1"/>
  <c r="A11583" i="1"/>
  <c r="B11583" i="1"/>
  <c r="C11583" i="1"/>
  <c r="D11583" i="1"/>
  <c r="E11583" i="1"/>
  <c r="A11584" i="1"/>
  <c r="B11584" i="1"/>
  <c r="C11584" i="1"/>
  <c r="D11584" i="1"/>
  <c r="E11584" i="1"/>
  <c r="A11585" i="1"/>
  <c r="B11585" i="1"/>
  <c r="C11585" i="1"/>
  <c r="D11585" i="1"/>
  <c r="E11585" i="1"/>
  <c r="A11586" i="1"/>
  <c r="B11586" i="1"/>
  <c r="C11586" i="1"/>
  <c r="D11586" i="1"/>
  <c r="E11586" i="1"/>
  <c r="A11587" i="1"/>
  <c r="B11587" i="1"/>
  <c r="C11587" i="1"/>
  <c r="D11587" i="1"/>
  <c r="E11587" i="1"/>
  <c r="A11588" i="1"/>
  <c r="B11588" i="1"/>
  <c r="C11588" i="1"/>
  <c r="D11588" i="1"/>
  <c r="E11588" i="1"/>
  <c r="A11589" i="1"/>
  <c r="B11589" i="1"/>
  <c r="C11589" i="1"/>
  <c r="D11589" i="1"/>
  <c r="E11589" i="1"/>
  <c r="A11590" i="1"/>
  <c r="B11590" i="1"/>
  <c r="C11590" i="1"/>
  <c r="D11590" i="1"/>
  <c r="E11590" i="1"/>
  <c r="A11591" i="1"/>
  <c r="B11591" i="1"/>
  <c r="C11591" i="1"/>
  <c r="D11591" i="1"/>
  <c r="E11591" i="1"/>
  <c r="A11592" i="1"/>
  <c r="B11592" i="1"/>
  <c r="C11592" i="1"/>
  <c r="D11592" i="1"/>
  <c r="E11592" i="1"/>
  <c r="A11593" i="1"/>
  <c r="B11593" i="1"/>
  <c r="C11593" i="1"/>
  <c r="D11593" i="1"/>
  <c r="E11593" i="1"/>
  <c r="A11594" i="1"/>
  <c r="B11594" i="1"/>
  <c r="C11594" i="1"/>
  <c r="D11594" i="1"/>
  <c r="E11594" i="1"/>
  <c r="A11595" i="1"/>
  <c r="B11595" i="1"/>
  <c r="C11595" i="1"/>
  <c r="D11595" i="1"/>
  <c r="E11595" i="1"/>
  <c r="A11596" i="1"/>
  <c r="B11596" i="1"/>
  <c r="C11596" i="1"/>
  <c r="D11596" i="1"/>
  <c r="E11596" i="1"/>
  <c r="A11597" i="1"/>
  <c r="B11597" i="1"/>
  <c r="C11597" i="1"/>
  <c r="D11597" i="1"/>
  <c r="E11597" i="1"/>
  <c r="A11598" i="1"/>
  <c r="B11598" i="1"/>
  <c r="C11598" i="1"/>
  <c r="D11598" i="1"/>
  <c r="E11598" i="1"/>
  <c r="A11599" i="1"/>
  <c r="B11599" i="1"/>
  <c r="C11599" i="1"/>
  <c r="D11599" i="1"/>
  <c r="E11599" i="1"/>
  <c r="A11600" i="1"/>
  <c r="B11600" i="1"/>
  <c r="C11600" i="1"/>
  <c r="D11600" i="1"/>
  <c r="E11600" i="1"/>
  <c r="A11601" i="1"/>
  <c r="B11601" i="1"/>
  <c r="C11601" i="1"/>
  <c r="D11601" i="1"/>
  <c r="E11601" i="1"/>
  <c r="A11602" i="1"/>
  <c r="B11602" i="1"/>
  <c r="C11602" i="1"/>
  <c r="D11602" i="1"/>
  <c r="E11602" i="1"/>
  <c r="A11603" i="1"/>
  <c r="B11603" i="1"/>
  <c r="C11603" i="1"/>
  <c r="D11603" i="1"/>
  <c r="E11603" i="1"/>
  <c r="A11604" i="1"/>
  <c r="B11604" i="1"/>
  <c r="C11604" i="1"/>
  <c r="D11604" i="1"/>
  <c r="E11604" i="1"/>
  <c r="A11605" i="1"/>
  <c r="B11605" i="1"/>
  <c r="C11605" i="1"/>
  <c r="D11605" i="1"/>
  <c r="E11605" i="1"/>
  <c r="A11606" i="1"/>
  <c r="B11606" i="1"/>
  <c r="C11606" i="1"/>
  <c r="D11606" i="1"/>
  <c r="E11606" i="1"/>
  <c r="A11607" i="1"/>
  <c r="B11607" i="1"/>
  <c r="C11607" i="1"/>
  <c r="D11607" i="1"/>
  <c r="E11607" i="1"/>
  <c r="A11608" i="1"/>
  <c r="B11608" i="1"/>
  <c r="C11608" i="1"/>
  <c r="D11608" i="1"/>
  <c r="E11608" i="1"/>
  <c r="A11609" i="1"/>
  <c r="B11609" i="1"/>
  <c r="C11609" i="1"/>
  <c r="D11609" i="1"/>
  <c r="E11609" i="1"/>
  <c r="A11610" i="1"/>
  <c r="B11610" i="1"/>
  <c r="C11610" i="1"/>
  <c r="D11610" i="1"/>
  <c r="E11610" i="1"/>
  <c r="A11611" i="1"/>
  <c r="B11611" i="1"/>
  <c r="C11611" i="1"/>
  <c r="D11611" i="1"/>
  <c r="E11611" i="1"/>
  <c r="A11612" i="1"/>
  <c r="B11612" i="1"/>
  <c r="C11612" i="1"/>
  <c r="D11612" i="1"/>
  <c r="E11612" i="1"/>
  <c r="A11613" i="1"/>
  <c r="B11613" i="1"/>
  <c r="C11613" i="1"/>
  <c r="D11613" i="1"/>
  <c r="E11613" i="1"/>
  <c r="A11614" i="1"/>
  <c r="B11614" i="1"/>
  <c r="C11614" i="1"/>
  <c r="D11614" i="1"/>
  <c r="E11614" i="1"/>
  <c r="A11615" i="1"/>
  <c r="B11615" i="1"/>
  <c r="C11615" i="1"/>
  <c r="D11615" i="1"/>
  <c r="E11615" i="1"/>
  <c r="A11616" i="1"/>
  <c r="B11616" i="1"/>
  <c r="C11616" i="1"/>
  <c r="D11616" i="1"/>
  <c r="E11616" i="1"/>
  <c r="A11617" i="1"/>
  <c r="B11617" i="1"/>
  <c r="C11617" i="1"/>
  <c r="D11617" i="1"/>
  <c r="E11617" i="1"/>
  <c r="A11618" i="1"/>
  <c r="B11618" i="1"/>
  <c r="C11618" i="1"/>
  <c r="D11618" i="1"/>
  <c r="E11618" i="1"/>
  <c r="A11619" i="1"/>
  <c r="B11619" i="1"/>
  <c r="C11619" i="1"/>
  <c r="D11619" i="1"/>
  <c r="E11619" i="1"/>
  <c r="A11620" i="1"/>
  <c r="B11620" i="1"/>
  <c r="C11620" i="1"/>
  <c r="D11620" i="1"/>
  <c r="E11620" i="1"/>
  <c r="A11621" i="1"/>
  <c r="B11621" i="1"/>
  <c r="C11621" i="1"/>
  <c r="D11621" i="1"/>
  <c r="E11621" i="1"/>
  <c r="A11622" i="1"/>
  <c r="B11622" i="1"/>
  <c r="C11622" i="1"/>
  <c r="D11622" i="1"/>
  <c r="E11622" i="1"/>
  <c r="A11623" i="1"/>
  <c r="B11623" i="1"/>
  <c r="C11623" i="1"/>
  <c r="D11623" i="1"/>
  <c r="E11623" i="1"/>
  <c r="A11624" i="1"/>
  <c r="B11624" i="1"/>
  <c r="C11624" i="1"/>
  <c r="D11624" i="1"/>
  <c r="E11624" i="1"/>
  <c r="A11625" i="1"/>
  <c r="B11625" i="1"/>
  <c r="C11625" i="1"/>
  <c r="D11625" i="1"/>
  <c r="E11625" i="1"/>
  <c r="A11626" i="1"/>
  <c r="B11626" i="1"/>
  <c r="C11626" i="1"/>
  <c r="D11626" i="1"/>
  <c r="E11626" i="1"/>
  <c r="A11627" i="1"/>
  <c r="B11627" i="1"/>
  <c r="C11627" i="1"/>
  <c r="D11627" i="1"/>
  <c r="E11627" i="1"/>
  <c r="A11628" i="1"/>
  <c r="B11628" i="1"/>
  <c r="C11628" i="1"/>
  <c r="D11628" i="1"/>
  <c r="E11628" i="1"/>
  <c r="A11629" i="1"/>
  <c r="B11629" i="1"/>
  <c r="C11629" i="1"/>
  <c r="D11629" i="1"/>
  <c r="E11629" i="1"/>
  <c r="A11630" i="1"/>
  <c r="B11630" i="1"/>
  <c r="C11630" i="1"/>
  <c r="D11630" i="1"/>
  <c r="E11630" i="1"/>
  <c r="A11631" i="1"/>
  <c r="B11631" i="1"/>
  <c r="C11631" i="1"/>
  <c r="D11631" i="1"/>
  <c r="E11631" i="1"/>
  <c r="A11632" i="1"/>
  <c r="B11632" i="1"/>
  <c r="C11632" i="1"/>
  <c r="D11632" i="1"/>
  <c r="E11632" i="1"/>
  <c r="A11633" i="1"/>
  <c r="B11633" i="1"/>
  <c r="C11633" i="1"/>
  <c r="D11633" i="1"/>
  <c r="E11633" i="1"/>
  <c r="A11634" i="1"/>
  <c r="B11634" i="1"/>
  <c r="C11634" i="1"/>
  <c r="D11634" i="1"/>
  <c r="E11634" i="1"/>
  <c r="A11635" i="1"/>
  <c r="B11635" i="1"/>
  <c r="C11635" i="1"/>
  <c r="D11635" i="1"/>
  <c r="E11635" i="1"/>
  <c r="A11636" i="1"/>
  <c r="B11636" i="1"/>
  <c r="C11636" i="1"/>
  <c r="D11636" i="1"/>
  <c r="E11636" i="1"/>
  <c r="A11637" i="1"/>
  <c r="B11637" i="1"/>
  <c r="C11637" i="1"/>
  <c r="D11637" i="1"/>
  <c r="E11637" i="1"/>
  <c r="A11638" i="1"/>
  <c r="B11638" i="1"/>
  <c r="C11638" i="1"/>
  <c r="D11638" i="1"/>
  <c r="E11638" i="1"/>
  <c r="A11639" i="1"/>
  <c r="B11639" i="1"/>
  <c r="C11639" i="1"/>
  <c r="D11639" i="1"/>
  <c r="E11639" i="1"/>
  <c r="A11640" i="1"/>
  <c r="B11640" i="1"/>
  <c r="C11640" i="1"/>
  <c r="D11640" i="1"/>
  <c r="E11640" i="1"/>
  <c r="A11641" i="1"/>
  <c r="B11641" i="1"/>
  <c r="C11641" i="1"/>
  <c r="D11641" i="1"/>
  <c r="E11641" i="1"/>
  <c r="A11642" i="1"/>
  <c r="B11642" i="1"/>
  <c r="C11642" i="1"/>
  <c r="D11642" i="1"/>
  <c r="E11642" i="1"/>
  <c r="A11643" i="1"/>
  <c r="B11643" i="1"/>
  <c r="C11643" i="1"/>
  <c r="D11643" i="1"/>
  <c r="E11643" i="1"/>
  <c r="A11644" i="1"/>
  <c r="B11644" i="1"/>
  <c r="C11644" i="1"/>
  <c r="D11644" i="1"/>
  <c r="E11644" i="1"/>
  <c r="A11645" i="1"/>
  <c r="B11645" i="1"/>
  <c r="C11645" i="1"/>
  <c r="D11645" i="1"/>
  <c r="E11645" i="1"/>
  <c r="A11646" i="1"/>
  <c r="B11646" i="1"/>
  <c r="C11646" i="1"/>
  <c r="D11646" i="1"/>
  <c r="E11646" i="1"/>
  <c r="A11647" i="1"/>
  <c r="B11647" i="1"/>
  <c r="C11647" i="1"/>
  <c r="D11647" i="1"/>
  <c r="E11647" i="1"/>
  <c r="A11648" i="1"/>
  <c r="B11648" i="1"/>
  <c r="C11648" i="1"/>
  <c r="D11648" i="1"/>
  <c r="E11648" i="1"/>
  <c r="A11649" i="1"/>
  <c r="B11649" i="1"/>
  <c r="C11649" i="1"/>
  <c r="D11649" i="1"/>
  <c r="E11649" i="1"/>
  <c r="A11650" i="1"/>
  <c r="B11650" i="1"/>
  <c r="C11650" i="1"/>
  <c r="D11650" i="1"/>
  <c r="E11650" i="1"/>
  <c r="A11651" i="1"/>
  <c r="B11651" i="1"/>
  <c r="C11651" i="1"/>
  <c r="D11651" i="1"/>
  <c r="E11651" i="1"/>
  <c r="A11652" i="1"/>
  <c r="B11652" i="1"/>
  <c r="C11652" i="1"/>
  <c r="D11652" i="1"/>
  <c r="E11652" i="1"/>
  <c r="A11653" i="1"/>
  <c r="B11653" i="1"/>
  <c r="C11653" i="1"/>
  <c r="D11653" i="1"/>
  <c r="E11653" i="1"/>
  <c r="A11654" i="1"/>
  <c r="B11654" i="1"/>
  <c r="C11654" i="1"/>
  <c r="D11654" i="1"/>
  <c r="E11654" i="1"/>
  <c r="A11655" i="1"/>
  <c r="B11655" i="1"/>
  <c r="C11655" i="1"/>
  <c r="D11655" i="1"/>
  <c r="E11655" i="1"/>
  <c r="A11656" i="1"/>
  <c r="B11656" i="1"/>
  <c r="C11656" i="1"/>
  <c r="D11656" i="1"/>
  <c r="E11656" i="1"/>
  <c r="A11657" i="1"/>
  <c r="B11657" i="1"/>
  <c r="C11657" i="1"/>
  <c r="D11657" i="1"/>
  <c r="E11657" i="1"/>
  <c r="A11658" i="1"/>
  <c r="B11658" i="1"/>
  <c r="C11658" i="1"/>
  <c r="D11658" i="1"/>
  <c r="E11658" i="1"/>
  <c r="A11659" i="1"/>
  <c r="B11659" i="1"/>
  <c r="C11659" i="1"/>
  <c r="D11659" i="1"/>
  <c r="E11659" i="1"/>
  <c r="A11660" i="1"/>
  <c r="B11660" i="1"/>
  <c r="C11660" i="1"/>
  <c r="D11660" i="1"/>
  <c r="E11660" i="1"/>
  <c r="A11661" i="1"/>
  <c r="B11661" i="1"/>
  <c r="C11661" i="1"/>
  <c r="D11661" i="1"/>
  <c r="E11661" i="1"/>
  <c r="A11662" i="1"/>
  <c r="B11662" i="1"/>
  <c r="C11662" i="1"/>
  <c r="D11662" i="1"/>
  <c r="E11662" i="1"/>
  <c r="A11663" i="1"/>
  <c r="B11663" i="1"/>
  <c r="C11663" i="1"/>
  <c r="D11663" i="1"/>
  <c r="E11663" i="1"/>
  <c r="A11664" i="1"/>
  <c r="B11664" i="1"/>
  <c r="C11664" i="1"/>
  <c r="D11664" i="1"/>
  <c r="E11664" i="1"/>
  <c r="A11665" i="1"/>
  <c r="B11665" i="1"/>
  <c r="C11665" i="1"/>
  <c r="D11665" i="1"/>
  <c r="E11665" i="1"/>
  <c r="A11666" i="1"/>
  <c r="B11666" i="1"/>
  <c r="C11666" i="1"/>
  <c r="D11666" i="1"/>
  <c r="E11666" i="1"/>
  <c r="A11667" i="1"/>
  <c r="B11667" i="1"/>
  <c r="C11667" i="1"/>
  <c r="D11667" i="1"/>
  <c r="E11667" i="1"/>
  <c r="A11668" i="1"/>
  <c r="B11668" i="1"/>
  <c r="C11668" i="1"/>
  <c r="D11668" i="1"/>
  <c r="E11668" i="1"/>
  <c r="A11669" i="1"/>
  <c r="B11669" i="1"/>
  <c r="C11669" i="1"/>
  <c r="D11669" i="1"/>
  <c r="E11669" i="1"/>
  <c r="A11670" i="1"/>
  <c r="B11670" i="1"/>
  <c r="C11670" i="1"/>
  <c r="D11670" i="1"/>
  <c r="E11670" i="1"/>
  <c r="A11671" i="1"/>
  <c r="B11671" i="1"/>
  <c r="C11671" i="1"/>
  <c r="D11671" i="1"/>
  <c r="E11671" i="1"/>
  <c r="A11672" i="1"/>
  <c r="B11672" i="1"/>
  <c r="C11672" i="1"/>
  <c r="D11672" i="1"/>
  <c r="E11672" i="1"/>
  <c r="A11673" i="1"/>
  <c r="B11673" i="1"/>
  <c r="C11673" i="1"/>
  <c r="D11673" i="1"/>
  <c r="E11673" i="1"/>
  <c r="A11674" i="1"/>
  <c r="B11674" i="1"/>
  <c r="C11674" i="1"/>
  <c r="D11674" i="1"/>
  <c r="E11674" i="1"/>
  <c r="A11675" i="1"/>
  <c r="B11675" i="1"/>
  <c r="C11675" i="1"/>
  <c r="D11675" i="1"/>
  <c r="E11675" i="1"/>
  <c r="A11676" i="1"/>
  <c r="B11676" i="1"/>
  <c r="C11676" i="1"/>
  <c r="D11676" i="1"/>
  <c r="E11676" i="1"/>
  <c r="A11677" i="1"/>
  <c r="B11677" i="1"/>
  <c r="C11677" i="1"/>
  <c r="D11677" i="1"/>
  <c r="E11677" i="1"/>
  <c r="A11678" i="1"/>
  <c r="B11678" i="1"/>
  <c r="C11678" i="1"/>
  <c r="D11678" i="1"/>
  <c r="E11678" i="1"/>
  <c r="A11679" i="1"/>
  <c r="B11679" i="1"/>
  <c r="C11679" i="1"/>
  <c r="D11679" i="1"/>
  <c r="E11679" i="1"/>
  <c r="A11680" i="1"/>
  <c r="B11680" i="1"/>
  <c r="C11680" i="1"/>
  <c r="D11680" i="1"/>
  <c r="E11680" i="1"/>
  <c r="A11681" i="1"/>
  <c r="B11681" i="1"/>
  <c r="C11681" i="1"/>
  <c r="D11681" i="1"/>
  <c r="E11681" i="1"/>
  <c r="A11682" i="1"/>
  <c r="B11682" i="1"/>
  <c r="C11682" i="1"/>
  <c r="D11682" i="1"/>
  <c r="E11682" i="1"/>
  <c r="A11683" i="1"/>
  <c r="B11683" i="1"/>
  <c r="C11683" i="1"/>
  <c r="D11683" i="1"/>
  <c r="E11683" i="1"/>
  <c r="A11684" i="1"/>
  <c r="B11684" i="1"/>
  <c r="C11684" i="1"/>
  <c r="D11684" i="1"/>
  <c r="E11684" i="1"/>
  <c r="A11685" i="1"/>
  <c r="B11685" i="1"/>
  <c r="C11685" i="1"/>
  <c r="D11685" i="1"/>
  <c r="E11685" i="1"/>
  <c r="A11686" i="1"/>
  <c r="B11686" i="1"/>
  <c r="C11686" i="1"/>
  <c r="D11686" i="1"/>
  <c r="E11686" i="1"/>
  <c r="A11687" i="1"/>
  <c r="B11687" i="1"/>
  <c r="C11687" i="1"/>
  <c r="D11687" i="1"/>
  <c r="E11687" i="1"/>
  <c r="A11688" i="1"/>
  <c r="B11688" i="1"/>
  <c r="C11688" i="1"/>
  <c r="D11688" i="1"/>
  <c r="E11688" i="1"/>
  <c r="A11689" i="1"/>
  <c r="B11689" i="1"/>
  <c r="C11689" i="1"/>
  <c r="D11689" i="1"/>
  <c r="E11689" i="1"/>
  <c r="A11690" i="1"/>
  <c r="B11690" i="1"/>
  <c r="C11690" i="1"/>
  <c r="D11690" i="1"/>
  <c r="E11690" i="1"/>
  <c r="A11691" i="1"/>
  <c r="B11691" i="1"/>
  <c r="C11691" i="1"/>
  <c r="D11691" i="1"/>
  <c r="E11691" i="1"/>
  <c r="A11692" i="1"/>
  <c r="B11692" i="1"/>
  <c r="C11692" i="1"/>
  <c r="D11692" i="1"/>
  <c r="E11692" i="1"/>
  <c r="A11693" i="1"/>
  <c r="B11693" i="1"/>
  <c r="C11693" i="1"/>
  <c r="D11693" i="1"/>
  <c r="E11693" i="1"/>
  <c r="A11694" i="1"/>
  <c r="B11694" i="1"/>
  <c r="C11694" i="1"/>
  <c r="D11694" i="1"/>
  <c r="E11694" i="1"/>
  <c r="A11695" i="1"/>
  <c r="B11695" i="1"/>
  <c r="C11695" i="1"/>
  <c r="D11695" i="1"/>
  <c r="E11695" i="1"/>
  <c r="A11696" i="1"/>
  <c r="B11696" i="1"/>
  <c r="C11696" i="1"/>
  <c r="D11696" i="1"/>
  <c r="E11696" i="1"/>
  <c r="A11697" i="1"/>
  <c r="B11697" i="1"/>
  <c r="C11697" i="1"/>
  <c r="D11697" i="1"/>
  <c r="E11697" i="1"/>
  <c r="A11698" i="1"/>
  <c r="B11698" i="1"/>
  <c r="C11698" i="1"/>
  <c r="D11698" i="1"/>
  <c r="E11698" i="1"/>
  <c r="A11699" i="1"/>
  <c r="B11699" i="1"/>
  <c r="C11699" i="1"/>
  <c r="D11699" i="1"/>
  <c r="E11699" i="1"/>
  <c r="A11700" i="1"/>
  <c r="B11700" i="1"/>
  <c r="C11700" i="1"/>
  <c r="D11700" i="1"/>
  <c r="E11700" i="1"/>
  <c r="A11701" i="1"/>
  <c r="B11701" i="1"/>
  <c r="C11701" i="1"/>
  <c r="D11701" i="1"/>
  <c r="E11701" i="1"/>
  <c r="A11702" i="1"/>
  <c r="B11702" i="1"/>
  <c r="C11702" i="1"/>
  <c r="D11702" i="1"/>
  <c r="E11702" i="1"/>
  <c r="A11703" i="1"/>
  <c r="B11703" i="1"/>
  <c r="C11703" i="1"/>
  <c r="D11703" i="1"/>
  <c r="E11703" i="1"/>
  <c r="A11704" i="1"/>
  <c r="B11704" i="1"/>
  <c r="C11704" i="1"/>
  <c r="D11704" i="1"/>
  <c r="E11704" i="1"/>
  <c r="A11705" i="1"/>
  <c r="B11705" i="1"/>
  <c r="C11705" i="1"/>
  <c r="D11705" i="1"/>
  <c r="E11705" i="1"/>
  <c r="A11706" i="1"/>
  <c r="B11706" i="1"/>
  <c r="C11706" i="1"/>
  <c r="D11706" i="1"/>
  <c r="E11706" i="1"/>
  <c r="A11707" i="1"/>
  <c r="B11707" i="1"/>
  <c r="C11707" i="1"/>
  <c r="D11707" i="1"/>
  <c r="E11707" i="1"/>
  <c r="A11708" i="1"/>
  <c r="B11708" i="1"/>
  <c r="C11708" i="1"/>
  <c r="D11708" i="1"/>
  <c r="E11708" i="1"/>
  <c r="A11709" i="1"/>
  <c r="B11709" i="1"/>
  <c r="C11709" i="1"/>
  <c r="D11709" i="1"/>
  <c r="E11709" i="1"/>
  <c r="A11710" i="1"/>
  <c r="B11710" i="1"/>
  <c r="C11710" i="1"/>
  <c r="D11710" i="1"/>
  <c r="E11710" i="1"/>
  <c r="A11711" i="1"/>
  <c r="B11711" i="1"/>
  <c r="C11711" i="1"/>
  <c r="D11711" i="1"/>
  <c r="E11711" i="1"/>
  <c r="A11712" i="1"/>
  <c r="B11712" i="1"/>
  <c r="C11712" i="1"/>
  <c r="D11712" i="1"/>
  <c r="E11712" i="1"/>
  <c r="A11713" i="1"/>
  <c r="B11713" i="1"/>
  <c r="C11713" i="1"/>
  <c r="D11713" i="1"/>
  <c r="E11713" i="1"/>
  <c r="A11714" i="1"/>
  <c r="B11714" i="1"/>
  <c r="C11714" i="1"/>
  <c r="D11714" i="1"/>
  <c r="E11714" i="1"/>
  <c r="A11715" i="1"/>
  <c r="B11715" i="1"/>
  <c r="C11715" i="1"/>
  <c r="D11715" i="1"/>
  <c r="E11715" i="1"/>
  <c r="A11716" i="1"/>
  <c r="B11716" i="1"/>
  <c r="C11716" i="1"/>
  <c r="D11716" i="1"/>
  <c r="E11716" i="1"/>
  <c r="A11717" i="1"/>
  <c r="B11717" i="1"/>
  <c r="C11717" i="1"/>
  <c r="D11717" i="1"/>
  <c r="E11717" i="1"/>
  <c r="A11718" i="1"/>
  <c r="B11718" i="1"/>
  <c r="C11718" i="1"/>
  <c r="D11718" i="1"/>
  <c r="E11718" i="1"/>
  <c r="A11719" i="1"/>
  <c r="B11719" i="1"/>
  <c r="C11719" i="1"/>
  <c r="D11719" i="1"/>
  <c r="E11719" i="1"/>
  <c r="A11720" i="1"/>
  <c r="B11720" i="1"/>
  <c r="C11720" i="1"/>
  <c r="D11720" i="1"/>
  <c r="E11720" i="1"/>
  <c r="A11721" i="1"/>
  <c r="B11721" i="1"/>
  <c r="C11721" i="1"/>
  <c r="D11721" i="1"/>
  <c r="E11721" i="1"/>
  <c r="A11722" i="1"/>
  <c r="B11722" i="1"/>
  <c r="C11722" i="1"/>
  <c r="D11722" i="1"/>
  <c r="E11722" i="1"/>
  <c r="A11723" i="1"/>
  <c r="B11723" i="1"/>
  <c r="C11723" i="1"/>
  <c r="D11723" i="1"/>
  <c r="E11723" i="1"/>
  <c r="A11724" i="1"/>
  <c r="B11724" i="1"/>
  <c r="C11724" i="1"/>
  <c r="D11724" i="1"/>
  <c r="E11724" i="1"/>
  <c r="A11725" i="1"/>
  <c r="B11725" i="1"/>
  <c r="C11725" i="1"/>
  <c r="D11725" i="1"/>
  <c r="E11725" i="1"/>
  <c r="A11726" i="1"/>
  <c r="B11726" i="1"/>
  <c r="C11726" i="1"/>
  <c r="D11726" i="1"/>
  <c r="E11726" i="1"/>
  <c r="A11727" i="1"/>
  <c r="B11727" i="1"/>
  <c r="C11727" i="1"/>
  <c r="D11727" i="1"/>
  <c r="E11727" i="1"/>
  <c r="A11728" i="1"/>
  <c r="B11728" i="1"/>
  <c r="C11728" i="1"/>
  <c r="D11728" i="1"/>
  <c r="E11728" i="1"/>
  <c r="A11729" i="1"/>
  <c r="B11729" i="1"/>
  <c r="C11729" i="1"/>
  <c r="D11729" i="1"/>
  <c r="E11729" i="1"/>
  <c r="A11730" i="1"/>
  <c r="B11730" i="1"/>
  <c r="C11730" i="1"/>
  <c r="D11730" i="1"/>
  <c r="E11730" i="1"/>
  <c r="A11731" i="1"/>
  <c r="B11731" i="1"/>
  <c r="C11731" i="1"/>
  <c r="D11731" i="1"/>
  <c r="E11731" i="1"/>
  <c r="A11732" i="1"/>
  <c r="B11732" i="1"/>
  <c r="C11732" i="1"/>
  <c r="D11732" i="1"/>
  <c r="E11732" i="1"/>
  <c r="A11733" i="1"/>
  <c r="B11733" i="1"/>
  <c r="C11733" i="1"/>
  <c r="D11733" i="1"/>
  <c r="E11733" i="1"/>
  <c r="A11734" i="1"/>
  <c r="B11734" i="1"/>
  <c r="C11734" i="1"/>
  <c r="D11734" i="1"/>
  <c r="E11734" i="1"/>
  <c r="A11735" i="1"/>
  <c r="B11735" i="1"/>
  <c r="C11735" i="1"/>
  <c r="D11735" i="1"/>
  <c r="E11735" i="1"/>
  <c r="A11736" i="1"/>
  <c r="B11736" i="1"/>
  <c r="C11736" i="1"/>
  <c r="D11736" i="1"/>
  <c r="E11736" i="1"/>
  <c r="A11737" i="1"/>
  <c r="B11737" i="1"/>
  <c r="C11737" i="1"/>
  <c r="D11737" i="1"/>
  <c r="E11737" i="1"/>
  <c r="A11738" i="1"/>
  <c r="B11738" i="1"/>
  <c r="C11738" i="1"/>
  <c r="D11738" i="1"/>
  <c r="E11738" i="1"/>
  <c r="A11739" i="1"/>
  <c r="B11739" i="1"/>
  <c r="C11739" i="1"/>
  <c r="D11739" i="1"/>
  <c r="E11739" i="1"/>
  <c r="A11740" i="1"/>
  <c r="B11740" i="1"/>
  <c r="C11740" i="1"/>
  <c r="D11740" i="1"/>
  <c r="E11740" i="1"/>
  <c r="A11741" i="1"/>
  <c r="B11741" i="1"/>
  <c r="C11741" i="1"/>
  <c r="D11741" i="1"/>
  <c r="E11741" i="1"/>
  <c r="A11742" i="1"/>
  <c r="B11742" i="1"/>
  <c r="C11742" i="1"/>
  <c r="D11742" i="1"/>
  <c r="E11742" i="1"/>
  <c r="A11743" i="1"/>
  <c r="B11743" i="1"/>
  <c r="C11743" i="1"/>
  <c r="D11743" i="1"/>
  <c r="E11743" i="1"/>
  <c r="A11744" i="1"/>
  <c r="B11744" i="1"/>
  <c r="C11744" i="1"/>
  <c r="D11744" i="1"/>
  <c r="E11744" i="1"/>
  <c r="A11745" i="1"/>
  <c r="B11745" i="1"/>
  <c r="C11745" i="1"/>
  <c r="D11745" i="1"/>
  <c r="E11745" i="1"/>
  <c r="A11746" i="1"/>
  <c r="B11746" i="1"/>
  <c r="C11746" i="1"/>
  <c r="D11746" i="1"/>
  <c r="E11746" i="1"/>
  <c r="A11747" i="1"/>
  <c r="B11747" i="1"/>
  <c r="C11747" i="1"/>
  <c r="D11747" i="1"/>
  <c r="E11747" i="1"/>
  <c r="A11748" i="1"/>
  <c r="B11748" i="1"/>
  <c r="C11748" i="1"/>
  <c r="D11748" i="1"/>
  <c r="E11748" i="1"/>
  <c r="A11749" i="1"/>
  <c r="B11749" i="1"/>
  <c r="C11749" i="1"/>
  <c r="D11749" i="1"/>
  <c r="E11749" i="1"/>
  <c r="A11750" i="1"/>
  <c r="B11750" i="1"/>
  <c r="C11750" i="1"/>
  <c r="D11750" i="1"/>
  <c r="E11750" i="1"/>
  <c r="A11751" i="1"/>
  <c r="B11751" i="1"/>
  <c r="C11751" i="1"/>
  <c r="D11751" i="1"/>
  <c r="E11751" i="1"/>
  <c r="A11752" i="1"/>
  <c r="B11752" i="1"/>
  <c r="C11752" i="1"/>
  <c r="D11752" i="1"/>
  <c r="E11752" i="1"/>
  <c r="A11753" i="1"/>
  <c r="B11753" i="1"/>
  <c r="C11753" i="1"/>
  <c r="D11753" i="1"/>
  <c r="E11753" i="1"/>
  <c r="A11754" i="1"/>
  <c r="B11754" i="1"/>
  <c r="C11754" i="1"/>
  <c r="D11754" i="1"/>
  <c r="E11754" i="1"/>
  <c r="A11755" i="1"/>
  <c r="B11755" i="1"/>
  <c r="C11755" i="1"/>
  <c r="D11755" i="1"/>
  <c r="E11755" i="1"/>
  <c r="A11756" i="1"/>
  <c r="B11756" i="1"/>
  <c r="C11756" i="1"/>
  <c r="D11756" i="1"/>
  <c r="E11756" i="1"/>
  <c r="A11757" i="1"/>
  <c r="B11757" i="1"/>
  <c r="C11757" i="1"/>
  <c r="D11757" i="1"/>
  <c r="E11757" i="1"/>
  <c r="A11758" i="1"/>
  <c r="B11758" i="1"/>
  <c r="C11758" i="1"/>
  <c r="D11758" i="1"/>
  <c r="E11758" i="1"/>
  <c r="A11759" i="1"/>
  <c r="B11759" i="1"/>
  <c r="C11759" i="1"/>
  <c r="D11759" i="1"/>
  <c r="E11759" i="1"/>
  <c r="A11760" i="1"/>
  <c r="B11760" i="1"/>
  <c r="C11760" i="1"/>
  <c r="D11760" i="1"/>
  <c r="E11760" i="1"/>
  <c r="A11761" i="1"/>
  <c r="B11761" i="1"/>
  <c r="C11761" i="1"/>
  <c r="D11761" i="1"/>
  <c r="E11761" i="1"/>
  <c r="A11762" i="1"/>
  <c r="B11762" i="1"/>
  <c r="C11762" i="1"/>
  <c r="D11762" i="1"/>
  <c r="E11762" i="1"/>
  <c r="A11763" i="1"/>
  <c r="B11763" i="1"/>
  <c r="C11763" i="1"/>
  <c r="D11763" i="1"/>
  <c r="E11763" i="1"/>
  <c r="A11764" i="1"/>
  <c r="B11764" i="1"/>
  <c r="C11764" i="1"/>
  <c r="D11764" i="1"/>
  <c r="E11764" i="1"/>
  <c r="A11765" i="1"/>
  <c r="B11765" i="1"/>
  <c r="C11765" i="1"/>
  <c r="D11765" i="1"/>
  <c r="E11765" i="1"/>
  <c r="A11766" i="1"/>
  <c r="B11766" i="1"/>
  <c r="C11766" i="1"/>
  <c r="D11766" i="1"/>
  <c r="E11766" i="1"/>
  <c r="A11767" i="1"/>
  <c r="B11767" i="1"/>
  <c r="C11767" i="1"/>
  <c r="D11767" i="1"/>
  <c r="E11767" i="1"/>
  <c r="A11768" i="1"/>
  <c r="B11768" i="1"/>
  <c r="C11768" i="1"/>
  <c r="D11768" i="1"/>
  <c r="E11768" i="1"/>
  <c r="A11769" i="1"/>
  <c r="B11769" i="1"/>
  <c r="C11769" i="1"/>
  <c r="D11769" i="1"/>
  <c r="E11769" i="1"/>
  <c r="A11770" i="1"/>
  <c r="B11770" i="1"/>
  <c r="C11770" i="1"/>
  <c r="D11770" i="1"/>
  <c r="E11770" i="1"/>
  <c r="A11771" i="1"/>
  <c r="B11771" i="1"/>
  <c r="C11771" i="1"/>
  <c r="D11771" i="1"/>
  <c r="E11771" i="1"/>
  <c r="A11772" i="1"/>
  <c r="B11772" i="1"/>
  <c r="C11772" i="1"/>
  <c r="D11772" i="1"/>
  <c r="E11772" i="1"/>
  <c r="A11773" i="1"/>
  <c r="B11773" i="1"/>
  <c r="C11773" i="1"/>
  <c r="D11773" i="1"/>
  <c r="E11773" i="1"/>
  <c r="A11774" i="1"/>
  <c r="B11774" i="1"/>
  <c r="C11774" i="1"/>
  <c r="D11774" i="1"/>
  <c r="E11774" i="1"/>
  <c r="A11775" i="1"/>
  <c r="B11775" i="1"/>
  <c r="C11775" i="1"/>
  <c r="D11775" i="1"/>
  <c r="E11775" i="1"/>
  <c r="A11776" i="1"/>
  <c r="B11776" i="1"/>
  <c r="C11776" i="1"/>
  <c r="D11776" i="1"/>
  <c r="E11776" i="1"/>
  <c r="A11777" i="1"/>
  <c r="B11777" i="1"/>
  <c r="C11777" i="1"/>
  <c r="D11777" i="1"/>
  <c r="E11777" i="1"/>
  <c r="A11778" i="1"/>
  <c r="B11778" i="1"/>
  <c r="C11778" i="1"/>
  <c r="D11778" i="1"/>
  <c r="E11778" i="1"/>
  <c r="A11779" i="1"/>
  <c r="B11779" i="1"/>
  <c r="C11779" i="1"/>
  <c r="D11779" i="1"/>
  <c r="E11779" i="1"/>
  <c r="A11780" i="1"/>
  <c r="B11780" i="1"/>
  <c r="C11780" i="1"/>
  <c r="D11780" i="1"/>
  <c r="E11780" i="1"/>
  <c r="A11781" i="1"/>
  <c r="B11781" i="1"/>
  <c r="C11781" i="1"/>
  <c r="D11781" i="1"/>
  <c r="E11781" i="1"/>
  <c r="A11782" i="1"/>
  <c r="B11782" i="1"/>
  <c r="C11782" i="1"/>
  <c r="D11782" i="1"/>
  <c r="E11782" i="1"/>
  <c r="A11783" i="1"/>
  <c r="B11783" i="1"/>
  <c r="C11783" i="1"/>
  <c r="D11783" i="1"/>
  <c r="E11783" i="1"/>
  <c r="A11784" i="1"/>
  <c r="B11784" i="1"/>
  <c r="C11784" i="1"/>
  <c r="D11784" i="1"/>
  <c r="E11784" i="1"/>
  <c r="A11785" i="1"/>
  <c r="B11785" i="1"/>
  <c r="C11785" i="1"/>
  <c r="D11785" i="1"/>
  <c r="E11785" i="1"/>
  <c r="A11786" i="1"/>
  <c r="B11786" i="1"/>
  <c r="C11786" i="1"/>
  <c r="D11786" i="1"/>
  <c r="E11786" i="1"/>
  <c r="A11787" i="1"/>
  <c r="B11787" i="1"/>
  <c r="C11787" i="1"/>
  <c r="D11787" i="1"/>
  <c r="E11787" i="1"/>
  <c r="A11788" i="1"/>
  <c r="B11788" i="1"/>
  <c r="C11788" i="1"/>
  <c r="D11788" i="1"/>
  <c r="E11788" i="1"/>
  <c r="A11789" i="1"/>
  <c r="B11789" i="1"/>
  <c r="C11789" i="1"/>
  <c r="D11789" i="1"/>
  <c r="E11789" i="1"/>
  <c r="A11790" i="1"/>
  <c r="B11790" i="1"/>
  <c r="C11790" i="1"/>
  <c r="D11790" i="1"/>
  <c r="E11790" i="1"/>
  <c r="A11791" i="1"/>
  <c r="B11791" i="1"/>
  <c r="C11791" i="1"/>
  <c r="D11791" i="1"/>
  <c r="E11791" i="1"/>
  <c r="A11792" i="1"/>
  <c r="B11792" i="1"/>
  <c r="C11792" i="1"/>
  <c r="D11792" i="1"/>
  <c r="E11792" i="1"/>
  <c r="A11793" i="1"/>
  <c r="B11793" i="1"/>
  <c r="C11793" i="1"/>
  <c r="D11793" i="1"/>
  <c r="E11793" i="1"/>
  <c r="A11794" i="1"/>
  <c r="B11794" i="1"/>
  <c r="C11794" i="1"/>
  <c r="D11794" i="1"/>
  <c r="E11794" i="1"/>
  <c r="A11795" i="1"/>
  <c r="B11795" i="1"/>
  <c r="C11795" i="1"/>
  <c r="D11795" i="1"/>
  <c r="E11795" i="1"/>
  <c r="A11796" i="1"/>
  <c r="B11796" i="1"/>
  <c r="C11796" i="1"/>
  <c r="D11796" i="1"/>
  <c r="E11796" i="1"/>
  <c r="A11797" i="1"/>
  <c r="B11797" i="1"/>
  <c r="C11797" i="1"/>
  <c r="D11797" i="1"/>
  <c r="E11797" i="1"/>
  <c r="A11798" i="1"/>
  <c r="B11798" i="1"/>
  <c r="C11798" i="1"/>
  <c r="D11798" i="1"/>
  <c r="E11798" i="1"/>
  <c r="A11799" i="1"/>
  <c r="B11799" i="1"/>
  <c r="C11799" i="1"/>
  <c r="D11799" i="1"/>
  <c r="E11799" i="1"/>
  <c r="A11800" i="1"/>
  <c r="B11800" i="1"/>
  <c r="C11800" i="1"/>
  <c r="D11800" i="1"/>
  <c r="E11800" i="1"/>
  <c r="A11801" i="1"/>
  <c r="B11801" i="1"/>
  <c r="C11801" i="1"/>
  <c r="D11801" i="1"/>
  <c r="E11801" i="1"/>
  <c r="A11802" i="1"/>
  <c r="B11802" i="1"/>
  <c r="C11802" i="1"/>
  <c r="D11802" i="1"/>
  <c r="E11802" i="1"/>
  <c r="A11803" i="1"/>
  <c r="B11803" i="1"/>
  <c r="C11803" i="1"/>
  <c r="D11803" i="1"/>
  <c r="E11803" i="1"/>
  <c r="A11804" i="1"/>
  <c r="B11804" i="1"/>
  <c r="C11804" i="1"/>
  <c r="D11804" i="1"/>
  <c r="E11804" i="1"/>
  <c r="A11805" i="1"/>
  <c r="B11805" i="1"/>
  <c r="C11805" i="1"/>
  <c r="D11805" i="1"/>
  <c r="E11805" i="1"/>
  <c r="A11806" i="1"/>
  <c r="B11806" i="1"/>
  <c r="C11806" i="1"/>
  <c r="D11806" i="1"/>
  <c r="E11806" i="1"/>
  <c r="A11807" i="1"/>
  <c r="B11807" i="1"/>
  <c r="C11807" i="1"/>
  <c r="D11807" i="1"/>
  <c r="E11807" i="1"/>
  <c r="A11808" i="1"/>
  <c r="B11808" i="1"/>
  <c r="C11808" i="1"/>
  <c r="D11808" i="1"/>
  <c r="E11808" i="1"/>
  <c r="A11809" i="1"/>
  <c r="B11809" i="1"/>
  <c r="C11809" i="1"/>
  <c r="D11809" i="1"/>
  <c r="E11809" i="1"/>
  <c r="A11810" i="1"/>
  <c r="B11810" i="1"/>
  <c r="C11810" i="1"/>
  <c r="D11810" i="1"/>
  <c r="E11810" i="1"/>
  <c r="A11811" i="1"/>
  <c r="B11811" i="1"/>
  <c r="C11811" i="1"/>
  <c r="D11811" i="1"/>
  <c r="E11811" i="1"/>
  <c r="A11812" i="1"/>
  <c r="B11812" i="1"/>
  <c r="C11812" i="1"/>
  <c r="D11812" i="1"/>
  <c r="E11812" i="1"/>
  <c r="A11813" i="1"/>
  <c r="B11813" i="1"/>
  <c r="C11813" i="1"/>
  <c r="D11813" i="1"/>
  <c r="E11813" i="1"/>
  <c r="A11814" i="1"/>
  <c r="B11814" i="1"/>
  <c r="C11814" i="1"/>
  <c r="D11814" i="1"/>
  <c r="E11814" i="1"/>
  <c r="A11815" i="1"/>
  <c r="B11815" i="1"/>
  <c r="C11815" i="1"/>
  <c r="D11815" i="1"/>
  <c r="E11815" i="1"/>
  <c r="A11816" i="1"/>
  <c r="B11816" i="1"/>
  <c r="C11816" i="1"/>
  <c r="D11816" i="1"/>
  <c r="E11816" i="1"/>
  <c r="A11817" i="1"/>
  <c r="B11817" i="1"/>
  <c r="C11817" i="1"/>
  <c r="D11817" i="1"/>
  <c r="E11817" i="1"/>
  <c r="A11818" i="1"/>
  <c r="B11818" i="1"/>
  <c r="C11818" i="1"/>
  <c r="D11818" i="1"/>
  <c r="E11818" i="1"/>
  <c r="A11819" i="1"/>
  <c r="B11819" i="1"/>
  <c r="C11819" i="1"/>
  <c r="D11819" i="1"/>
  <c r="E11819" i="1"/>
  <c r="A11820" i="1"/>
  <c r="B11820" i="1"/>
  <c r="C11820" i="1"/>
  <c r="D11820" i="1"/>
  <c r="E11820" i="1"/>
  <c r="A11821" i="1"/>
  <c r="B11821" i="1"/>
  <c r="C11821" i="1"/>
  <c r="D11821" i="1"/>
  <c r="E11821" i="1"/>
  <c r="A11822" i="1"/>
  <c r="B11822" i="1"/>
  <c r="C11822" i="1"/>
  <c r="D11822" i="1"/>
  <c r="E11822" i="1"/>
  <c r="A11823" i="1"/>
  <c r="B11823" i="1"/>
  <c r="C11823" i="1"/>
  <c r="D11823" i="1"/>
  <c r="E11823" i="1"/>
  <c r="A11824" i="1"/>
  <c r="B11824" i="1"/>
  <c r="C11824" i="1"/>
  <c r="D11824" i="1"/>
  <c r="E11824" i="1"/>
  <c r="A11825" i="1"/>
  <c r="B11825" i="1"/>
  <c r="C11825" i="1"/>
  <c r="D11825" i="1"/>
  <c r="E11825" i="1"/>
  <c r="A11826" i="1"/>
  <c r="B11826" i="1"/>
  <c r="C11826" i="1"/>
  <c r="D11826" i="1"/>
  <c r="E11826" i="1"/>
  <c r="A11827" i="1"/>
  <c r="B11827" i="1"/>
  <c r="C11827" i="1"/>
  <c r="D11827" i="1"/>
  <c r="E11827" i="1"/>
  <c r="A11828" i="1"/>
  <c r="B11828" i="1"/>
  <c r="C11828" i="1"/>
  <c r="D11828" i="1"/>
  <c r="E11828" i="1"/>
  <c r="A11829" i="1"/>
  <c r="B11829" i="1"/>
  <c r="C11829" i="1"/>
  <c r="D11829" i="1"/>
  <c r="E11829" i="1"/>
  <c r="A11830" i="1"/>
  <c r="B11830" i="1"/>
  <c r="C11830" i="1"/>
  <c r="D11830" i="1"/>
  <c r="E11830" i="1"/>
  <c r="A11831" i="1"/>
  <c r="B11831" i="1"/>
  <c r="C11831" i="1"/>
  <c r="D11831" i="1"/>
  <c r="E11831" i="1"/>
  <c r="A11832" i="1"/>
  <c r="B11832" i="1"/>
  <c r="C11832" i="1"/>
  <c r="D11832" i="1"/>
  <c r="E11832" i="1"/>
  <c r="A11833" i="1"/>
  <c r="B11833" i="1"/>
  <c r="C11833" i="1"/>
  <c r="D11833" i="1"/>
  <c r="E11833" i="1"/>
  <c r="A11834" i="1"/>
  <c r="B11834" i="1"/>
  <c r="C11834" i="1"/>
  <c r="D11834" i="1"/>
  <c r="E11834" i="1"/>
  <c r="A11835" i="1"/>
  <c r="B11835" i="1"/>
  <c r="C11835" i="1"/>
  <c r="D11835" i="1"/>
  <c r="E11835" i="1"/>
  <c r="A11836" i="1"/>
  <c r="B11836" i="1"/>
  <c r="C11836" i="1"/>
  <c r="D11836" i="1"/>
  <c r="E11836" i="1"/>
  <c r="A11837" i="1"/>
  <c r="B11837" i="1"/>
  <c r="C11837" i="1"/>
  <c r="D11837" i="1"/>
  <c r="E11837" i="1"/>
  <c r="A11838" i="1"/>
  <c r="B11838" i="1"/>
  <c r="C11838" i="1"/>
  <c r="D11838" i="1"/>
  <c r="E11838" i="1"/>
  <c r="A11839" i="1"/>
  <c r="B11839" i="1"/>
  <c r="C11839" i="1"/>
  <c r="D11839" i="1"/>
  <c r="E11839" i="1"/>
  <c r="A11840" i="1"/>
  <c r="B11840" i="1"/>
  <c r="C11840" i="1"/>
  <c r="D11840" i="1"/>
  <c r="E11840" i="1"/>
  <c r="A11841" i="1"/>
  <c r="B11841" i="1"/>
  <c r="C11841" i="1"/>
  <c r="D11841" i="1"/>
  <c r="E11841" i="1"/>
  <c r="A11842" i="1"/>
  <c r="B11842" i="1"/>
  <c r="C11842" i="1"/>
  <c r="D11842" i="1"/>
  <c r="E11842" i="1"/>
  <c r="A11843" i="1"/>
  <c r="B11843" i="1"/>
  <c r="C11843" i="1"/>
  <c r="D11843" i="1"/>
  <c r="E11843" i="1"/>
  <c r="A11844" i="1"/>
  <c r="B11844" i="1"/>
  <c r="C11844" i="1"/>
  <c r="D11844" i="1"/>
  <c r="E11844" i="1"/>
  <c r="A11845" i="1"/>
  <c r="B11845" i="1"/>
  <c r="C11845" i="1"/>
  <c r="D11845" i="1"/>
  <c r="E11845" i="1"/>
  <c r="A11846" i="1"/>
  <c r="B11846" i="1"/>
  <c r="C11846" i="1"/>
  <c r="D11846" i="1"/>
  <c r="E11846" i="1"/>
  <c r="A11847" i="1"/>
  <c r="B11847" i="1"/>
  <c r="C11847" i="1"/>
  <c r="D11847" i="1"/>
  <c r="E11847" i="1"/>
  <c r="A11848" i="1"/>
  <c r="B11848" i="1"/>
  <c r="C11848" i="1"/>
  <c r="D11848" i="1"/>
  <c r="E11848" i="1"/>
  <c r="A11849" i="1"/>
  <c r="B11849" i="1"/>
  <c r="C11849" i="1"/>
  <c r="D11849" i="1"/>
  <c r="E11849" i="1"/>
  <c r="A11850" i="1"/>
  <c r="B11850" i="1"/>
  <c r="C11850" i="1"/>
  <c r="D11850" i="1"/>
  <c r="E11850" i="1"/>
  <c r="A11851" i="1"/>
  <c r="B11851" i="1"/>
  <c r="C11851" i="1"/>
  <c r="D11851" i="1"/>
  <c r="E11851" i="1"/>
  <c r="A11852" i="1"/>
  <c r="B11852" i="1"/>
  <c r="C11852" i="1"/>
  <c r="D11852" i="1"/>
  <c r="E11852" i="1"/>
  <c r="A11853" i="1"/>
  <c r="B11853" i="1"/>
  <c r="C11853" i="1"/>
  <c r="D11853" i="1"/>
  <c r="E11853" i="1"/>
  <c r="A11854" i="1"/>
  <c r="B11854" i="1"/>
  <c r="C11854" i="1"/>
  <c r="D11854" i="1"/>
  <c r="E11854" i="1"/>
  <c r="A11855" i="1"/>
  <c r="B11855" i="1"/>
  <c r="C11855" i="1"/>
  <c r="D11855" i="1"/>
  <c r="E11855" i="1"/>
  <c r="A11856" i="1"/>
  <c r="B11856" i="1"/>
  <c r="C11856" i="1"/>
  <c r="D11856" i="1"/>
  <c r="E11856" i="1"/>
  <c r="A11857" i="1"/>
  <c r="B11857" i="1"/>
  <c r="C11857" i="1"/>
  <c r="D11857" i="1"/>
  <c r="E11857" i="1"/>
  <c r="A11858" i="1"/>
  <c r="B11858" i="1"/>
  <c r="C11858" i="1"/>
  <c r="D11858" i="1"/>
  <c r="E11858" i="1"/>
  <c r="A11859" i="1"/>
  <c r="B11859" i="1"/>
  <c r="C11859" i="1"/>
  <c r="D11859" i="1"/>
  <c r="E11859" i="1"/>
  <c r="A11860" i="1"/>
  <c r="B11860" i="1"/>
  <c r="C11860" i="1"/>
  <c r="D11860" i="1"/>
  <c r="E11860" i="1"/>
  <c r="A11861" i="1"/>
  <c r="B11861" i="1"/>
  <c r="C11861" i="1"/>
  <c r="D11861" i="1"/>
  <c r="E11861" i="1"/>
  <c r="A11862" i="1"/>
  <c r="B11862" i="1"/>
  <c r="C11862" i="1"/>
  <c r="D11862" i="1"/>
  <c r="E11862" i="1"/>
  <c r="A11863" i="1"/>
  <c r="B11863" i="1"/>
  <c r="C11863" i="1"/>
  <c r="D11863" i="1"/>
  <c r="E11863" i="1"/>
  <c r="A11864" i="1"/>
  <c r="B11864" i="1"/>
  <c r="C11864" i="1"/>
  <c r="D11864" i="1"/>
  <c r="E11864" i="1"/>
  <c r="A11865" i="1"/>
  <c r="B11865" i="1"/>
  <c r="C11865" i="1"/>
  <c r="D11865" i="1"/>
  <c r="E11865" i="1"/>
  <c r="A11866" i="1"/>
  <c r="B11866" i="1"/>
  <c r="C11866" i="1"/>
  <c r="D11866" i="1"/>
  <c r="E11866" i="1"/>
  <c r="A11867" i="1"/>
  <c r="B11867" i="1"/>
  <c r="C11867" i="1"/>
  <c r="D11867" i="1"/>
  <c r="E11867" i="1"/>
  <c r="A11868" i="1"/>
  <c r="B11868" i="1"/>
  <c r="C11868" i="1"/>
  <c r="D11868" i="1"/>
  <c r="E11868" i="1"/>
  <c r="A11869" i="1"/>
  <c r="B11869" i="1"/>
  <c r="C11869" i="1"/>
  <c r="D11869" i="1"/>
  <c r="E11869" i="1"/>
  <c r="A11870" i="1"/>
  <c r="B11870" i="1"/>
  <c r="C11870" i="1"/>
  <c r="D11870" i="1"/>
  <c r="E11870" i="1"/>
  <c r="A11871" i="1"/>
  <c r="B11871" i="1"/>
  <c r="C11871" i="1"/>
  <c r="D11871" i="1"/>
  <c r="E11871" i="1"/>
  <c r="A11872" i="1"/>
  <c r="B11872" i="1"/>
  <c r="C11872" i="1"/>
  <c r="D11872" i="1"/>
  <c r="E11872" i="1"/>
  <c r="A11873" i="1"/>
  <c r="B11873" i="1"/>
  <c r="C11873" i="1"/>
  <c r="D11873" i="1"/>
  <c r="E11873" i="1"/>
  <c r="A11874" i="1"/>
  <c r="B11874" i="1"/>
  <c r="C11874" i="1"/>
  <c r="D11874" i="1"/>
  <c r="E11874" i="1"/>
  <c r="A11875" i="1"/>
  <c r="B11875" i="1"/>
  <c r="C11875" i="1"/>
  <c r="D11875" i="1"/>
  <c r="E11875" i="1"/>
  <c r="A11876" i="1"/>
  <c r="B11876" i="1"/>
  <c r="C11876" i="1"/>
  <c r="D11876" i="1"/>
  <c r="E11876" i="1"/>
  <c r="A11877" i="1"/>
  <c r="B11877" i="1"/>
  <c r="C11877" i="1"/>
  <c r="D11877" i="1"/>
  <c r="E11877" i="1"/>
  <c r="A11878" i="1"/>
  <c r="B11878" i="1"/>
  <c r="C11878" i="1"/>
  <c r="D11878" i="1"/>
  <c r="E11878" i="1"/>
  <c r="A11879" i="1"/>
  <c r="B11879" i="1"/>
  <c r="C11879" i="1"/>
  <c r="D11879" i="1"/>
  <c r="E11879" i="1"/>
  <c r="A11880" i="1"/>
  <c r="B11880" i="1"/>
  <c r="C11880" i="1"/>
  <c r="D11880" i="1"/>
  <c r="E11880" i="1"/>
  <c r="A11881" i="1"/>
  <c r="B11881" i="1"/>
  <c r="C11881" i="1"/>
  <c r="D11881" i="1"/>
  <c r="E11881" i="1"/>
  <c r="A11882" i="1"/>
  <c r="B11882" i="1"/>
  <c r="C11882" i="1"/>
  <c r="D11882" i="1"/>
  <c r="E11882" i="1"/>
  <c r="A11883" i="1"/>
  <c r="B11883" i="1"/>
  <c r="C11883" i="1"/>
  <c r="D11883" i="1"/>
  <c r="E11883" i="1"/>
  <c r="A11884" i="1"/>
  <c r="B11884" i="1"/>
  <c r="C11884" i="1"/>
  <c r="D11884" i="1"/>
  <c r="E11884" i="1"/>
  <c r="A11885" i="1"/>
  <c r="B11885" i="1"/>
  <c r="C11885" i="1"/>
  <c r="D11885" i="1"/>
  <c r="E11885" i="1"/>
  <c r="A11886" i="1"/>
  <c r="B11886" i="1"/>
  <c r="C11886" i="1"/>
  <c r="D11886" i="1"/>
  <c r="E11886" i="1"/>
  <c r="A11887" i="1"/>
  <c r="B11887" i="1"/>
  <c r="C11887" i="1"/>
  <c r="D11887" i="1"/>
  <c r="E11887" i="1"/>
  <c r="A11888" i="1"/>
  <c r="B11888" i="1"/>
  <c r="C11888" i="1"/>
  <c r="D11888" i="1"/>
  <c r="E11888" i="1"/>
  <c r="A11889" i="1"/>
  <c r="B11889" i="1"/>
  <c r="C11889" i="1"/>
  <c r="D11889" i="1"/>
  <c r="E11889" i="1"/>
  <c r="A11890" i="1"/>
  <c r="B11890" i="1"/>
  <c r="C11890" i="1"/>
  <c r="D11890" i="1"/>
  <c r="E11890" i="1"/>
  <c r="A11891" i="1"/>
  <c r="B11891" i="1"/>
  <c r="C11891" i="1"/>
  <c r="D11891" i="1"/>
  <c r="E11891" i="1"/>
  <c r="A11892" i="1"/>
  <c r="B11892" i="1"/>
  <c r="C11892" i="1"/>
  <c r="D11892" i="1"/>
  <c r="E11892" i="1"/>
  <c r="A11893" i="1"/>
  <c r="B11893" i="1"/>
  <c r="C11893" i="1"/>
  <c r="D11893" i="1"/>
  <c r="E11893" i="1"/>
  <c r="A11894" i="1"/>
  <c r="B11894" i="1"/>
  <c r="C11894" i="1"/>
  <c r="D11894" i="1"/>
  <c r="E11894" i="1"/>
  <c r="A11895" i="1"/>
  <c r="B11895" i="1"/>
  <c r="C11895" i="1"/>
  <c r="D11895" i="1"/>
  <c r="E11895" i="1"/>
  <c r="A11896" i="1"/>
  <c r="B11896" i="1"/>
  <c r="C11896" i="1"/>
  <c r="D11896" i="1"/>
  <c r="E11896" i="1"/>
  <c r="A11897" i="1"/>
  <c r="B11897" i="1"/>
  <c r="C11897" i="1"/>
  <c r="D11897" i="1"/>
  <c r="E11897" i="1"/>
  <c r="A11898" i="1"/>
  <c r="B11898" i="1"/>
  <c r="C11898" i="1"/>
  <c r="D11898" i="1"/>
  <c r="E11898" i="1"/>
  <c r="A11899" i="1"/>
  <c r="B11899" i="1"/>
  <c r="C11899" i="1"/>
  <c r="D11899" i="1"/>
  <c r="E11899" i="1"/>
  <c r="A11900" i="1"/>
  <c r="B11900" i="1"/>
  <c r="C11900" i="1"/>
  <c r="D11900" i="1"/>
  <c r="E11900" i="1"/>
  <c r="A11901" i="1"/>
  <c r="B11901" i="1"/>
  <c r="C11901" i="1"/>
  <c r="D11901" i="1"/>
  <c r="E11901" i="1"/>
  <c r="A11902" i="1"/>
  <c r="B11902" i="1"/>
  <c r="C11902" i="1"/>
  <c r="D11902" i="1"/>
  <c r="E11902" i="1"/>
  <c r="A11903" i="1"/>
  <c r="B11903" i="1"/>
  <c r="C11903" i="1"/>
  <c r="D11903" i="1"/>
  <c r="E11903" i="1"/>
  <c r="A11904" i="1"/>
  <c r="B11904" i="1"/>
  <c r="C11904" i="1"/>
  <c r="D11904" i="1"/>
  <c r="E11904" i="1"/>
  <c r="A11905" i="1"/>
  <c r="B11905" i="1"/>
  <c r="C11905" i="1"/>
  <c r="D11905" i="1"/>
  <c r="E11905" i="1"/>
  <c r="A11906" i="1"/>
  <c r="B11906" i="1"/>
  <c r="C11906" i="1"/>
  <c r="D11906" i="1"/>
  <c r="E11906" i="1"/>
  <c r="A11907" i="1"/>
  <c r="B11907" i="1"/>
  <c r="C11907" i="1"/>
  <c r="D11907" i="1"/>
  <c r="E11907" i="1"/>
  <c r="A11908" i="1"/>
  <c r="B11908" i="1"/>
  <c r="C11908" i="1"/>
  <c r="D11908" i="1"/>
  <c r="E11908" i="1"/>
  <c r="A11909" i="1"/>
  <c r="B11909" i="1"/>
  <c r="C11909" i="1"/>
  <c r="D11909" i="1"/>
  <c r="E11909" i="1"/>
  <c r="A11910" i="1"/>
  <c r="B11910" i="1"/>
  <c r="C11910" i="1"/>
  <c r="D11910" i="1"/>
  <c r="E11910" i="1"/>
  <c r="A11911" i="1"/>
  <c r="B11911" i="1"/>
  <c r="C11911" i="1"/>
  <c r="D11911" i="1"/>
  <c r="E11911" i="1"/>
  <c r="A11912" i="1"/>
  <c r="B11912" i="1"/>
  <c r="C11912" i="1"/>
  <c r="D11912" i="1"/>
  <c r="E11912" i="1"/>
  <c r="A11913" i="1"/>
  <c r="B11913" i="1"/>
  <c r="C11913" i="1"/>
  <c r="D11913" i="1"/>
  <c r="E11913" i="1"/>
  <c r="A11914" i="1"/>
  <c r="B11914" i="1"/>
  <c r="C11914" i="1"/>
  <c r="D11914" i="1"/>
  <c r="E11914" i="1"/>
  <c r="A11915" i="1"/>
  <c r="B11915" i="1"/>
  <c r="C11915" i="1"/>
  <c r="D11915" i="1"/>
  <c r="E11915" i="1"/>
  <c r="A11916" i="1"/>
  <c r="B11916" i="1"/>
  <c r="C11916" i="1"/>
  <c r="D11916" i="1"/>
  <c r="E11916" i="1"/>
  <c r="A11917" i="1"/>
  <c r="B11917" i="1"/>
  <c r="C11917" i="1"/>
  <c r="D11917" i="1"/>
  <c r="E11917" i="1"/>
  <c r="A11918" i="1"/>
  <c r="B11918" i="1"/>
  <c r="C11918" i="1"/>
  <c r="D11918" i="1"/>
  <c r="E11918" i="1"/>
  <c r="A11919" i="1"/>
  <c r="B11919" i="1"/>
  <c r="C11919" i="1"/>
  <c r="D11919" i="1"/>
  <c r="E11919" i="1"/>
  <c r="A11920" i="1"/>
  <c r="B11920" i="1"/>
  <c r="C11920" i="1"/>
  <c r="D11920" i="1"/>
  <c r="E11920" i="1"/>
  <c r="A11921" i="1"/>
  <c r="B11921" i="1"/>
  <c r="C11921" i="1"/>
  <c r="D11921" i="1"/>
  <c r="E11921" i="1"/>
  <c r="A11922" i="1"/>
  <c r="B11922" i="1"/>
  <c r="C11922" i="1"/>
  <c r="D11922" i="1"/>
  <c r="E11922" i="1"/>
  <c r="A11923" i="1"/>
  <c r="B11923" i="1"/>
  <c r="C11923" i="1"/>
  <c r="D11923" i="1"/>
  <c r="E11923" i="1"/>
  <c r="A11924" i="1"/>
  <c r="B11924" i="1"/>
  <c r="C11924" i="1"/>
  <c r="D11924" i="1"/>
  <c r="E11924" i="1"/>
  <c r="A11925" i="1"/>
  <c r="B11925" i="1"/>
  <c r="C11925" i="1"/>
  <c r="D11925" i="1"/>
  <c r="E11925" i="1"/>
  <c r="A11926" i="1"/>
  <c r="B11926" i="1"/>
  <c r="C11926" i="1"/>
  <c r="D11926" i="1"/>
  <c r="E11926" i="1"/>
  <c r="A11927" i="1"/>
  <c r="B11927" i="1"/>
  <c r="C11927" i="1"/>
  <c r="D11927" i="1"/>
  <c r="E11927" i="1"/>
  <c r="A11928" i="1"/>
  <c r="B11928" i="1"/>
  <c r="C11928" i="1"/>
  <c r="D11928" i="1"/>
  <c r="E11928" i="1"/>
  <c r="A11929" i="1"/>
  <c r="B11929" i="1"/>
  <c r="C11929" i="1"/>
  <c r="D11929" i="1"/>
  <c r="E11929" i="1"/>
  <c r="A11930" i="1"/>
  <c r="B11930" i="1"/>
  <c r="C11930" i="1"/>
  <c r="D11930" i="1"/>
  <c r="E11930" i="1"/>
  <c r="A11931" i="1"/>
  <c r="B11931" i="1"/>
  <c r="C11931" i="1"/>
  <c r="D11931" i="1"/>
  <c r="E11931" i="1"/>
  <c r="A11932" i="1"/>
  <c r="B11932" i="1"/>
  <c r="C11932" i="1"/>
  <c r="D11932" i="1"/>
  <c r="E11932" i="1"/>
  <c r="A11933" i="1"/>
  <c r="B11933" i="1"/>
  <c r="C11933" i="1"/>
  <c r="D11933" i="1"/>
  <c r="E11933" i="1"/>
  <c r="A11934" i="1"/>
  <c r="B11934" i="1"/>
  <c r="C11934" i="1"/>
  <c r="D11934" i="1"/>
  <c r="E11934" i="1"/>
  <c r="A11935" i="1"/>
  <c r="B11935" i="1"/>
  <c r="C11935" i="1"/>
  <c r="D11935" i="1"/>
  <c r="E11935" i="1"/>
  <c r="A11936" i="1"/>
  <c r="B11936" i="1"/>
  <c r="C11936" i="1"/>
  <c r="D11936" i="1"/>
  <c r="E11936" i="1"/>
  <c r="A11937" i="1"/>
  <c r="B11937" i="1"/>
  <c r="C11937" i="1"/>
  <c r="D11937" i="1"/>
  <c r="E11937" i="1"/>
  <c r="A11938" i="1"/>
  <c r="B11938" i="1"/>
  <c r="C11938" i="1"/>
  <c r="D11938" i="1"/>
  <c r="E11938" i="1"/>
  <c r="A11939" i="1"/>
  <c r="B11939" i="1"/>
  <c r="C11939" i="1"/>
  <c r="D11939" i="1"/>
  <c r="E11939" i="1"/>
  <c r="A11940" i="1"/>
  <c r="B11940" i="1"/>
  <c r="C11940" i="1"/>
  <c r="D11940" i="1"/>
  <c r="E11940" i="1"/>
  <c r="A11941" i="1"/>
  <c r="B11941" i="1"/>
  <c r="C11941" i="1"/>
  <c r="D11941" i="1"/>
  <c r="E11941" i="1"/>
  <c r="A11942" i="1"/>
  <c r="B11942" i="1"/>
  <c r="C11942" i="1"/>
  <c r="D11942" i="1"/>
  <c r="E11942" i="1"/>
  <c r="A11943" i="1"/>
  <c r="B11943" i="1"/>
  <c r="C11943" i="1"/>
  <c r="D11943" i="1"/>
  <c r="E11943" i="1"/>
  <c r="A11944" i="1"/>
  <c r="B11944" i="1"/>
  <c r="C11944" i="1"/>
  <c r="D11944" i="1"/>
  <c r="E11944" i="1"/>
  <c r="A11945" i="1"/>
  <c r="B11945" i="1"/>
  <c r="C11945" i="1"/>
  <c r="D11945" i="1"/>
  <c r="E11945" i="1"/>
  <c r="A11946" i="1"/>
  <c r="B11946" i="1"/>
  <c r="C11946" i="1"/>
  <c r="D11946" i="1"/>
  <c r="E11946" i="1"/>
  <c r="A11947" i="1"/>
  <c r="B11947" i="1"/>
  <c r="C11947" i="1"/>
  <c r="D11947" i="1"/>
  <c r="E11947" i="1"/>
  <c r="A11948" i="1"/>
  <c r="B11948" i="1"/>
  <c r="C11948" i="1"/>
  <c r="D11948" i="1"/>
  <c r="E11948" i="1"/>
  <c r="A11949" i="1"/>
  <c r="B11949" i="1"/>
  <c r="C11949" i="1"/>
  <c r="D11949" i="1"/>
  <c r="E11949" i="1"/>
  <c r="A11950" i="1"/>
  <c r="B11950" i="1"/>
  <c r="C11950" i="1"/>
  <c r="D11950" i="1"/>
  <c r="E11950" i="1"/>
  <c r="A11951" i="1"/>
  <c r="B11951" i="1"/>
  <c r="C11951" i="1"/>
  <c r="D11951" i="1"/>
  <c r="E11951" i="1"/>
  <c r="A11952" i="1"/>
  <c r="B11952" i="1"/>
  <c r="C11952" i="1"/>
  <c r="D11952" i="1"/>
  <c r="E11952" i="1"/>
  <c r="A11953" i="1"/>
  <c r="B11953" i="1"/>
  <c r="C11953" i="1"/>
  <c r="D11953" i="1"/>
  <c r="E11953" i="1"/>
  <c r="A11954" i="1"/>
  <c r="B11954" i="1"/>
  <c r="C11954" i="1"/>
  <c r="D11954" i="1"/>
  <c r="E11954" i="1"/>
  <c r="A11955" i="1"/>
  <c r="B11955" i="1"/>
  <c r="C11955" i="1"/>
  <c r="D11955" i="1"/>
  <c r="E11955" i="1"/>
  <c r="A11956" i="1"/>
  <c r="B11956" i="1"/>
  <c r="C11956" i="1"/>
  <c r="D11956" i="1"/>
  <c r="E11956" i="1"/>
  <c r="A11957" i="1"/>
  <c r="B11957" i="1"/>
  <c r="C11957" i="1"/>
  <c r="D11957" i="1"/>
  <c r="E11957" i="1"/>
  <c r="A11958" i="1"/>
  <c r="B11958" i="1"/>
  <c r="C11958" i="1"/>
  <c r="D11958" i="1"/>
  <c r="E11958" i="1"/>
  <c r="A11959" i="1"/>
  <c r="B11959" i="1"/>
  <c r="C11959" i="1"/>
  <c r="D11959" i="1"/>
  <c r="E11959" i="1"/>
  <c r="A11960" i="1"/>
  <c r="B11960" i="1"/>
  <c r="C11960" i="1"/>
  <c r="D11960" i="1"/>
  <c r="E11960" i="1"/>
  <c r="A11961" i="1"/>
  <c r="B11961" i="1"/>
  <c r="C11961" i="1"/>
  <c r="D11961" i="1"/>
  <c r="E11961" i="1"/>
  <c r="A11962" i="1"/>
  <c r="B11962" i="1"/>
  <c r="C11962" i="1"/>
  <c r="D11962" i="1"/>
  <c r="E11962" i="1"/>
  <c r="A11963" i="1"/>
  <c r="B11963" i="1"/>
  <c r="C11963" i="1"/>
  <c r="D11963" i="1"/>
  <c r="E11963" i="1"/>
  <c r="A11964" i="1"/>
  <c r="B11964" i="1"/>
  <c r="C11964" i="1"/>
  <c r="D11964" i="1"/>
  <c r="E11964" i="1"/>
  <c r="A11965" i="1"/>
  <c r="B11965" i="1"/>
  <c r="C11965" i="1"/>
  <c r="D11965" i="1"/>
  <c r="E11965" i="1"/>
  <c r="A11966" i="1"/>
  <c r="B11966" i="1"/>
  <c r="C11966" i="1"/>
  <c r="D11966" i="1"/>
  <c r="E11966" i="1"/>
  <c r="A11967" i="1"/>
  <c r="B11967" i="1"/>
  <c r="C11967" i="1"/>
  <c r="D11967" i="1"/>
  <c r="E11967" i="1"/>
  <c r="A11968" i="1"/>
  <c r="B11968" i="1"/>
  <c r="C11968" i="1"/>
  <c r="D11968" i="1"/>
  <c r="E11968" i="1"/>
  <c r="A11969" i="1"/>
  <c r="B11969" i="1"/>
  <c r="C11969" i="1"/>
  <c r="D11969" i="1"/>
  <c r="E11969" i="1"/>
  <c r="A11970" i="1"/>
  <c r="B11970" i="1"/>
  <c r="C11970" i="1"/>
  <c r="D11970" i="1"/>
  <c r="E11970" i="1"/>
  <c r="A11971" i="1"/>
  <c r="B11971" i="1"/>
  <c r="C11971" i="1"/>
  <c r="D11971" i="1"/>
  <c r="E11971" i="1"/>
  <c r="A11972" i="1"/>
  <c r="B11972" i="1"/>
  <c r="C11972" i="1"/>
  <c r="D11972" i="1"/>
  <c r="E11972" i="1"/>
  <c r="A11973" i="1"/>
  <c r="B11973" i="1"/>
  <c r="C11973" i="1"/>
  <c r="D11973" i="1"/>
  <c r="E11973" i="1"/>
  <c r="A11974" i="1"/>
  <c r="B11974" i="1"/>
  <c r="C11974" i="1"/>
  <c r="D11974" i="1"/>
  <c r="E11974" i="1"/>
  <c r="A11975" i="1"/>
  <c r="B11975" i="1"/>
  <c r="C11975" i="1"/>
  <c r="D11975" i="1"/>
  <c r="E11975" i="1"/>
  <c r="A11976" i="1"/>
  <c r="B11976" i="1"/>
  <c r="C11976" i="1"/>
  <c r="D11976" i="1"/>
  <c r="E11976" i="1"/>
  <c r="A11977" i="1"/>
  <c r="B11977" i="1"/>
  <c r="C11977" i="1"/>
  <c r="D11977" i="1"/>
  <c r="E11977" i="1"/>
  <c r="A11978" i="1"/>
  <c r="B11978" i="1"/>
  <c r="C11978" i="1"/>
  <c r="D11978" i="1"/>
  <c r="E11978" i="1"/>
  <c r="A11979" i="1"/>
  <c r="B11979" i="1"/>
  <c r="C11979" i="1"/>
  <c r="D11979" i="1"/>
  <c r="E11979" i="1"/>
  <c r="A11980" i="1"/>
  <c r="B11980" i="1"/>
  <c r="C11980" i="1"/>
  <c r="D11980" i="1"/>
  <c r="E11980" i="1"/>
  <c r="A11981" i="1"/>
  <c r="B11981" i="1"/>
  <c r="C11981" i="1"/>
  <c r="D11981" i="1"/>
  <c r="E11981" i="1"/>
  <c r="A11982" i="1"/>
  <c r="B11982" i="1"/>
  <c r="C11982" i="1"/>
  <c r="D11982" i="1"/>
  <c r="E11982" i="1"/>
  <c r="A11983" i="1"/>
  <c r="B11983" i="1"/>
  <c r="C11983" i="1"/>
  <c r="D11983" i="1"/>
  <c r="E11983" i="1"/>
  <c r="A11984" i="1"/>
  <c r="B11984" i="1"/>
  <c r="C11984" i="1"/>
  <c r="D11984" i="1"/>
  <c r="E11984" i="1"/>
  <c r="A11985" i="1"/>
  <c r="B11985" i="1"/>
  <c r="C11985" i="1"/>
  <c r="D11985" i="1"/>
  <c r="E11985" i="1"/>
  <c r="A11986" i="1"/>
  <c r="B11986" i="1"/>
  <c r="C11986" i="1"/>
  <c r="D11986" i="1"/>
  <c r="E11986" i="1"/>
  <c r="A11987" i="1"/>
  <c r="B11987" i="1"/>
  <c r="C11987" i="1"/>
  <c r="D11987" i="1"/>
  <c r="E11987" i="1"/>
  <c r="A11988" i="1"/>
  <c r="B11988" i="1"/>
  <c r="C11988" i="1"/>
  <c r="D11988" i="1"/>
  <c r="E11988" i="1"/>
  <c r="A11989" i="1"/>
  <c r="B11989" i="1"/>
  <c r="C11989" i="1"/>
  <c r="D11989" i="1"/>
  <c r="E11989" i="1"/>
  <c r="A11990" i="1"/>
  <c r="B11990" i="1"/>
  <c r="C11990" i="1"/>
  <c r="D11990" i="1"/>
  <c r="E11990" i="1"/>
  <c r="A11991" i="1"/>
  <c r="B11991" i="1"/>
  <c r="C11991" i="1"/>
  <c r="D11991" i="1"/>
  <c r="E11991" i="1"/>
  <c r="A11992" i="1"/>
  <c r="B11992" i="1"/>
  <c r="C11992" i="1"/>
  <c r="D11992" i="1"/>
  <c r="E11992" i="1"/>
  <c r="A11993" i="1"/>
  <c r="B11993" i="1"/>
  <c r="C11993" i="1"/>
  <c r="D11993" i="1"/>
  <c r="E11993" i="1"/>
  <c r="A11994" i="1"/>
  <c r="B11994" i="1"/>
  <c r="C11994" i="1"/>
  <c r="D11994" i="1"/>
  <c r="E11994" i="1"/>
  <c r="A11995" i="1"/>
  <c r="B11995" i="1"/>
  <c r="C11995" i="1"/>
  <c r="D11995" i="1"/>
  <c r="E11995" i="1"/>
  <c r="A11996" i="1"/>
  <c r="B11996" i="1"/>
  <c r="C11996" i="1"/>
  <c r="D11996" i="1"/>
  <c r="E11996" i="1"/>
  <c r="A11997" i="1"/>
  <c r="B11997" i="1"/>
  <c r="C11997" i="1"/>
  <c r="D11997" i="1"/>
  <c r="E11997" i="1"/>
  <c r="A11998" i="1"/>
  <c r="B11998" i="1"/>
  <c r="C11998" i="1"/>
  <c r="D11998" i="1"/>
  <c r="E11998" i="1"/>
  <c r="A11999" i="1"/>
  <c r="B11999" i="1"/>
  <c r="C11999" i="1"/>
  <c r="D11999" i="1"/>
  <c r="E11999" i="1"/>
  <c r="A12000" i="1"/>
  <c r="B12000" i="1"/>
  <c r="C12000" i="1"/>
  <c r="D12000" i="1"/>
  <c r="E12000" i="1"/>
  <c r="A12001" i="1"/>
  <c r="B12001" i="1"/>
  <c r="C12001" i="1"/>
  <c r="D12001" i="1"/>
  <c r="E12001" i="1"/>
  <c r="A12002" i="1"/>
  <c r="B12002" i="1"/>
  <c r="C12002" i="1"/>
  <c r="D12002" i="1"/>
  <c r="E12002" i="1"/>
  <c r="A12003" i="1"/>
  <c r="B12003" i="1"/>
  <c r="C12003" i="1"/>
  <c r="D12003" i="1"/>
  <c r="E12003" i="1"/>
  <c r="A12004" i="1"/>
  <c r="B12004" i="1"/>
  <c r="C12004" i="1"/>
  <c r="D12004" i="1"/>
  <c r="E12004" i="1"/>
  <c r="A12005" i="1"/>
  <c r="B12005" i="1"/>
  <c r="C12005" i="1"/>
  <c r="D12005" i="1"/>
  <c r="E12005" i="1"/>
  <c r="A12006" i="1"/>
  <c r="B12006" i="1"/>
  <c r="C12006" i="1"/>
  <c r="D12006" i="1"/>
  <c r="E12006" i="1"/>
  <c r="A12007" i="1"/>
  <c r="B12007" i="1"/>
  <c r="C12007" i="1"/>
  <c r="D12007" i="1"/>
  <c r="E12007" i="1"/>
  <c r="A12008" i="1"/>
  <c r="B12008" i="1"/>
  <c r="C12008" i="1"/>
  <c r="D12008" i="1"/>
  <c r="E12008" i="1"/>
  <c r="A12009" i="1"/>
  <c r="B12009" i="1"/>
  <c r="C12009" i="1"/>
  <c r="D12009" i="1"/>
  <c r="E12009" i="1"/>
  <c r="A12010" i="1"/>
  <c r="B12010" i="1"/>
  <c r="C12010" i="1"/>
  <c r="D12010" i="1"/>
  <c r="E12010" i="1"/>
  <c r="A12011" i="1"/>
  <c r="B12011" i="1"/>
  <c r="C12011" i="1"/>
  <c r="D12011" i="1"/>
  <c r="E12011" i="1"/>
  <c r="A12012" i="1"/>
  <c r="B12012" i="1"/>
  <c r="C12012" i="1"/>
  <c r="D12012" i="1"/>
  <c r="E12012" i="1"/>
  <c r="A12013" i="1"/>
  <c r="B12013" i="1"/>
  <c r="C12013" i="1"/>
  <c r="D12013" i="1"/>
  <c r="E12013" i="1"/>
  <c r="A12014" i="1"/>
  <c r="B12014" i="1"/>
  <c r="C12014" i="1"/>
  <c r="D12014" i="1"/>
  <c r="E12014" i="1"/>
  <c r="A12015" i="1"/>
  <c r="B12015" i="1"/>
  <c r="C12015" i="1"/>
  <c r="D12015" i="1"/>
  <c r="E12015" i="1"/>
  <c r="A12016" i="1"/>
  <c r="B12016" i="1"/>
  <c r="C12016" i="1"/>
  <c r="D12016" i="1"/>
  <c r="E12016" i="1"/>
  <c r="A12017" i="1"/>
  <c r="B12017" i="1"/>
  <c r="C12017" i="1"/>
  <c r="D12017" i="1"/>
  <c r="E12017" i="1"/>
  <c r="A12018" i="1"/>
  <c r="B12018" i="1"/>
  <c r="C12018" i="1"/>
  <c r="D12018" i="1"/>
  <c r="E12018" i="1"/>
  <c r="A12019" i="1"/>
  <c r="B12019" i="1"/>
  <c r="C12019" i="1"/>
  <c r="D12019" i="1"/>
  <c r="E12019" i="1"/>
  <c r="A12020" i="1"/>
  <c r="B12020" i="1"/>
  <c r="C12020" i="1"/>
  <c r="D12020" i="1"/>
  <c r="E12020" i="1"/>
  <c r="A12021" i="1"/>
  <c r="B12021" i="1"/>
  <c r="C12021" i="1"/>
  <c r="D12021" i="1"/>
  <c r="E12021" i="1"/>
  <c r="A12022" i="1"/>
  <c r="B12022" i="1"/>
  <c r="C12022" i="1"/>
  <c r="D12022" i="1"/>
  <c r="E12022" i="1"/>
  <c r="A12023" i="1"/>
  <c r="B12023" i="1"/>
  <c r="C12023" i="1"/>
  <c r="D12023" i="1"/>
  <c r="E12023" i="1"/>
  <c r="A12024" i="1"/>
  <c r="B12024" i="1"/>
  <c r="C12024" i="1"/>
  <c r="D12024" i="1"/>
  <c r="E12024" i="1"/>
  <c r="A12025" i="1"/>
  <c r="B12025" i="1"/>
  <c r="C12025" i="1"/>
  <c r="D12025" i="1"/>
  <c r="E12025" i="1"/>
  <c r="A12026" i="1"/>
  <c r="B12026" i="1"/>
  <c r="C12026" i="1"/>
  <c r="D12026" i="1"/>
  <c r="E12026" i="1"/>
  <c r="A12027" i="1"/>
  <c r="B12027" i="1"/>
  <c r="C12027" i="1"/>
  <c r="D12027" i="1"/>
  <c r="E12027" i="1"/>
  <c r="A12028" i="1"/>
  <c r="B12028" i="1"/>
  <c r="C12028" i="1"/>
  <c r="D12028" i="1"/>
  <c r="E12028" i="1"/>
  <c r="A12029" i="1"/>
  <c r="B12029" i="1"/>
  <c r="C12029" i="1"/>
  <c r="D12029" i="1"/>
  <c r="E12029" i="1"/>
  <c r="A12030" i="1"/>
  <c r="B12030" i="1"/>
  <c r="C12030" i="1"/>
  <c r="D12030" i="1"/>
  <c r="E12030" i="1"/>
  <c r="A12031" i="1"/>
  <c r="B12031" i="1"/>
  <c r="C12031" i="1"/>
  <c r="D12031" i="1"/>
  <c r="E12031" i="1"/>
  <c r="A12032" i="1"/>
  <c r="B12032" i="1"/>
  <c r="C12032" i="1"/>
  <c r="D12032" i="1"/>
  <c r="E12032" i="1"/>
  <c r="A12033" i="1"/>
  <c r="B12033" i="1"/>
  <c r="C12033" i="1"/>
  <c r="D12033" i="1"/>
  <c r="E12033" i="1"/>
  <c r="A12034" i="1"/>
  <c r="B12034" i="1"/>
  <c r="C12034" i="1"/>
  <c r="D12034" i="1"/>
  <c r="E12034" i="1"/>
  <c r="A12035" i="1"/>
  <c r="B12035" i="1"/>
  <c r="C12035" i="1"/>
  <c r="D12035" i="1"/>
  <c r="E12035" i="1"/>
  <c r="A12036" i="1"/>
  <c r="B12036" i="1"/>
  <c r="C12036" i="1"/>
  <c r="D12036" i="1"/>
  <c r="E12036" i="1"/>
  <c r="A12037" i="1"/>
  <c r="B12037" i="1"/>
  <c r="C12037" i="1"/>
  <c r="D12037" i="1"/>
  <c r="E12037" i="1"/>
  <c r="A12038" i="1"/>
  <c r="B12038" i="1"/>
  <c r="C12038" i="1"/>
  <c r="D12038" i="1"/>
  <c r="E12038" i="1"/>
  <c r="A12039" i="1"/>
  <c r="B12039" i="1"/>
  <c r="C12039" i="1"/>
  <c r="D12039" i="1"/>
  <c r="E12039" i="1"/>
  <c r="A12040" i="1"/>
  <c r="B12040" i="1"/>
  <c r="C12040" i="1"/>
  <c r="D12040" i="1"/>
  <c r="E12040" i="1"/>
  <c r="A12041" i="1"/>
  <c r="B12041" i="1"/>
  <c r="C12041" i="1"/>
  <c r="D12041" i="1"/>
  <c r="E12041" i="1"/>
  <c r="A12042" i="1"/>
  <c r="B12042" i="1"/>
  <c r="C12042" i="1"/>
  <c r="D12042" i="1"/>
  <c r="E12042" i="1"/>
  <c r="A12043" i="1"/>
  <c r="B12043" i="1"/>
  <c r="C12043" i="1"/>
  <c r="D12043" i="1"/>
  <c r="E12043" i="1"/>
  <c r="A12044" i="1"/>
  <c r="B12044" i="1"/>
  <c r="C12044" i="1"/>
  <c r="D12044" i="1"/>
  <c r="E12044" i="1"/>
  <c r="A12045" i="1"/>
  <c r="B12045" i="1"/>
  <c r="C12045" i="1"/>
  <c r="D12045" i="1"/>
  <c r="E12045" i="1"/>
  <c r="A12046" i="1"/>
  <c r="B12046" i="1"/>
  <c r="C12046" i="1"/>
  <c r="D12046" i="1"/>
  <c r="E12046" i="1"/>
  <c r="A12047" i="1"/>
  <c r="B12047" i="1"/>
  <c r="C12047" i="1"/>
  <c r="D12047" i="1"/>
  <c r="E12047" i="1"/>
  <c r="A12048" i="1"/>
  <c r="B12048" i="1"/>
  <c r="C12048" i="1"/>
  <c r="D12048" i="1"/>
  <c r="E12048" i="1"/>
  <c r="A12049" i="1"/>
  <c r="B12049" i="1"/>
  <c r="C12049" i="1"/>
  <c r="D12049" i="1"/>
  <c r="E12049" i="1"/>
  <c r="A12050" i="1"/>
  <c r="B12050" i="1"/>
  <c r="C12050" i="1"/>
  <c r="D12050" i="1"/>
  <c r="E12050" i="1"/>
  <c r="A12051" i="1"/>
  <c r="B12051" i="1"/>
  <c r="C12051" i="1"/>
  <c r="D12051" i="1"/>
  <c r="E12051" i="1"/>
  <c r="A12052" i="1"/>
  <c r="B12052" i="1"/>
  <c r="C12052" i="1"/>
  <c r="D12052" i="1"/>
  <c r="E12052" i="1"/>
  <c r="A12053" i="1"/>
  <c r="B12053" i="1"/>
  <c r="C12053" i="1"/>
  <c r="D12053" i="1"/>
  <c r="E12053" i="1"/>
  <c r="A12054" i="1"/>
  <c r="B12054" i="1"/>
  <c r="C12054" i="1"/>
  <c r="D12054" i="1"/>
  <c r="E12054" i="1"/>
  <c r="A12055" i="1"/>
  <c r="B12055" i="1"/>
  <c r="C12055" i="1"/>
  <c r="D12055" i="1"/>
  <c r="E12055" i="1"/>
  <c r="A12056" i="1"/>
  <c r="B12056" i="1"/>
  <c r="C12056" i="1"/>
  <c r="D12056" i="1"/>
  <c r="E12056" i="1"/>
  <c r="A12057" i="1"/>
  <c r="B12057" i="1"/>
  <c r="C12057" i="1"/>
  <c r="D12057" i="1"/>
  <c r="E12057" i="1"/>
  <c r="A12058" i="1"/>
  <c r="B12058" i="1"/>
  <c r="C12058" i="1"/>
  <c r="D12058" i="1"/>
  <c r="E12058" i="1"/>
  <c r="A12059" i="1"/>
  <c r="B12059" i="1"/>
  <c r="C12059" i="1"/>
  <c r="D12059" i="1"/>
  <c r="E12059" i="1"/>
  <c r="A12060" i="1"/>
  <c r="B12060" i="1"/>
  <c r="C12060" i="1"/>
  <c r="D12060" i="1"/>
  <c r="E12060" i="1"/>
  <c r="A12061" i="1"/>
  <c r="B12061" i="1"/>
  <c r="C12061" i="1"/>
  <c r="D12061" i="1"/>
  <c r="E12061" i="1"/>
  <c r="A12062" i="1"/>
  <c r="B12062" i="1"/>
  <c r="C12062" i="1"/>
  <c r="D12062" i="1"/>
  <c r="E12062" i="1"/>
  <c r="A12063" i="1"/>
  <c r="B12063" i="1"/>
  <c r="C12063" i="1"/>
  <c r="D12063" i="1"/>
  <c r="E12063" i="1"/>
  <c r="A12064" i="1"/>
  <c r="B12064" i="1"/>
  <c r="C12064" i="1"/>
  <c r="D12064" i="1"/>
  <c r="E12064" i="1"/>
  <c r="A12065" i="1"/>
  <c r="B12065" i="1"/>
  <c r="C12065" i="1"/>
  <c r="D12065" i="1"/>
  <c r="E12065" i="1"/>
  <c r="A12066" i="1"/>
  <c r="B12066" i="1"/>
  <c r="C12066" i="1"/>
  <c r="D12066" i="1"/>
  <c r="E12066" i="1"/>
  <c r="A12067" i="1"/>
  <c r="B12067" i="1"/>
  <c r="C12067" i="1"/>
  <c r="D12067" i="1"/>
  <c r="E12067" i="1"/>
  <c r="A12068" i="1"/>
  <c r="B12068" i="1"/>
  <c r="C12068" i="1"/>
  <c r="D12068" i="1"/>
  <c r="E12068" i="1"/>
  <c r="A12069" i="1"/>
  <c r="B12069" i="1"/>
  <c r="C12069" i="1"/>
  <c r="D12069" i="1"/>
  <c r="E12069" i="1"/>
  <c r="A12070" i="1"/>
  <c r="B12070" i="1"/>
  <c r="C12070" i="1"/>
  <c r="D12070" i="1"/>
  <c r="E12070" i="1"/>
  <c r="A12071" i="1"/>
  <c r="B12071" i="1"/>
  <c r="C12071" i="1"/>
  <c r="D12071" i="1"/>
  <c r="E12071" i="1"/>
  <c r="A12072" i="1"/>
  <c r="B12072" i="1"/>
  <c r="C12072" i="1"/>
  <c r="D12072" i="1"/>
  <c r="E12072" i="1"/>
  <c r="A12073" i="1"/>
  <c r="B12073" i="1"/>
  <c r="C12073" i="1"/>
  <c r="D12073" i="1"/>
  <c r="E12073" i="1"/>
  <c r="A12074" i="1"/>
  <c r="B12074" i="1"/>
  <c r="C12074" i="1"/>
  <c r="D12074" i="1"/>
  <c r="E12074" i="1"/>
  <c r="A12075" i="1"/>
  <c r="B12075" i="1"/>
  <c r="C12075" i="1"/>
  <c r="D12075" i="1"/>
  <c r="E12075" i="1"/>
  <c r="A12076" i="1"/>
  <c r="B12076" i="1"/>
  <c r="C12076" i="1"/>
  <c r="D12076" i="1"/>
  <c r="E12076" i="1"/>
  <c r="A12077" i="1"/>
  <c r="B12077" i="1"/>
  <c r="C12077" i="1"/>
  <c r="D12077" i="1"/>
  <c r="E12077" i="1"/>
  <c r="A12078" i="1"/>
  <c r="B12078" i="1"/>
  <c r="C12078" i="1"/>
  <c r="D12078" i="1"/>
  <c r="E12078" i="1"/>
  <c r="A12079" i="1"/>
  <c r="B12079" i="1"/>
  <c r="C12079" i="1"/>
  <c r="D12079" i="1"/>
  <c r="E12079" i="1"/>
  <c r="A12080" i="1"/>
  <c r="B12080" i="1"/>
  <c r="C12080" i="1"/>
  <c r="D12080" i="1"/>
  <c r="E12080" i="1"/>
  <c r="A12081" i="1"/>
  <c r="B12081" i="1"/>
  <c r="C12081" i="1"/>
  <c r="D12081" i="1"/>
  <c r="E12081" i="1"/>
  <c r="A12082" i="1"/>
  <c r="B12082" i="1"/>
  <c r="C12082" i="1"/>
  <c r="D12082" i="1"/>
  <c r="E12082" i="1"/>
  <c r="A12083" i="1"/>
  <c r="B12083" i="1"/>
  <c r="C12083" i="1"/>
  <c r="D12083" i="1"/>
  <c r="E12083" i="1"/>
  <c r="A12084" i="1"/>
  <c r="B12084" i="1"/>
  <c r="C12084" i="1"/>
  <c r="D12084" i="1"/>
  <c r="E12084" i="1"/>
  <c r="A12085" i="1"/>
  <c r="B12085" i="1"/>
  <c r="C12085" i="1"/>
  <c r="D12085" i="1"/>
  <c r="E12085" i="1"/>
  <c r="A12086" i="1"/>
  <c r="B12086" i="1"/>
  <c r="C12086" i="1"/>
  <c r="D12086" i="1"/>
  <c r="E12086" i="1"/>
  <c r="A12087" i="1"/>
  <c r="B12087" i="1"/>
  <c r="C12087" i="1"/>
  <c r="D12087" i="1"/>
  <c r="E12087" i="1"/>
  <c r="A12088" i="1"/>
  <c r="B12088" i="1"/>
  <c r="C12088" i="1"/>
  <c r="D12088" i="1"/>
  <c r="E12088" i="1"/>
  <c r="A12089" i="1"/>
  <c r="B12089" i="1"/>
  <c r="C12089" i="1"/>
  <c r="D12089" i="1"/>
  <c r="E12089" i="1"/>
  <c r="A12090" i="1"/>
  <c r="B12090" i="1"/>
  <c r="C12090" i="1"/>
  <c r="D12090" i="1"/>
  <c r="E12090" i="1"/>
  <c r="A12091" i="1"/>
  <c r="B12091" i="1"/>
  <c r="C12091" i="1"/>
  <c r="D12091" i="1"/>
  <c r="E12091" i="1"/>
  <c r="A12092" i="1"/>
  <c r="B12092" i="1"/>
  <c r="C12092" i="1"/>
  <c r="D12092" i="1"/>
  <c r="E12092" i="1"/>
  <c r="A12093" i="1"/>
  <c r="B12093" i="1"/>
  <c r="C12093" i="1"/>
  <c r="D12093" i="1"/>
  <c r="E12093" i="1"/>
  <c r="A12094" i="1"/>
  <c r="B12094" i="1"/>
  <c r="C12094" i="1"/>
  <c r="D12094" i="1"/>
  <c r="E12094" i="1"/>
  <c r="A12095" i="1"/>
  <c r="B12095" i="1"/>
  <c r="C12095" i="1"/>
  <c r="D12095" i="1"/>
  <c r="E12095" i="1"/>
  <c r="A12096" i="1"/>
  <c r="B12096" i="1"/>
  <c r="C12096" i="1"/>
  <c r="D12096" i="1"/>
  <c r="E12096" i="1"/>
  <c r="A12097" i="1"/>
  <c r="B12097" i="1"/>
  <c r="C12097" i="1"/>
  <c r="D12097" i="1"/>
  <c r="E12097" i="1"/>
  <c r="A12098" i="1"/>
  <c r="B12098" i="1"/>
  <c r="C12098" i="1"/>
  <c r="D12098" i="1"/>
  <c r="E12098" i="1"/>
  <c r="A12099" i="1"/>
  <c r="B12099" i="1"/>
  <c r="C12099" i="1"/>
  <c r="D12099" i="1"/>
  <c r="E12099" i="1"/>
  <c r="A12100" i="1"/>
  <c r="B12100" i="1"/>
  <c r="C12100" i="1"/>
  <c r="D12100" i="1"/>
  <c r="E12100" i="1"/>
  <c r="A12101" i="1"/>
  <c r="B12101" i="1"/>
  <c r="C12101" i="1"/>
  <c r="D12101" i="1"/>
  <c r="E12101" i="1"/>
  <c r="A12102" i="1"/>
  <c r="B12102" i="1"/>
  <c r="C12102" i="1"/>
  <c r="D12102" i="1"/>
  <c r="E12102" i="1"/>
  <c r="A12103" i="1"/>
  <c r="B12103" i="1"/>
  <c r="C12103" i="1"/>
  <c r="D12103" i="1"/>
  <c r="E12103" i="1"/>
  <c r="A12104" i="1"/>
  <c r="B12104" i="1"/>
  <c r="C12104" i="1"/>
  <c r="D12104" i="1"/>
  <c r="E12104" i="1"/>
  <c r="A12105" i="1"/>
  <c r="B12105" i="1"/>
  <c r="C12105" i="1"/>
  <c r="D12105" i="1"/>
  <c r="E12105" i="1"/>
  <c r="A12106" i="1"/>
  <c r="B12106" i="1"/>
  <c r="C12106" i="1"/>
  <c r="D12106" i="1"/>
  <c r="E12106" i="1"/>
  <c r="A12107" i="1"/>
  <c r="B12107" i="1"/>
  <c r="C12107" i="1"/>
  <c r="D12107" i="1"/>
  <c r="E12107" i="1"/>
  <c r="A12108" i="1"/>
  <c r="B12108" i="1"/>
  <c r="C12108" i="1"/>
  <c r="D12108" i="1"/>
  <c r="E12108" i="1"/>
  <c r="A12109" i="1"/>
  <c r="B12109" i="1"/>
  <c r="C12109" i="1"/>
  <c r="D12109" i="1"/>
  <c r="E12109" i="1"/>
  <c r="A12110" i="1"/>
  <c r="B12110" i="1"/>
  <c r="C12110" i="1"/>
  <c r="D12110" i="1"/>
  <c r="E12110" i="1"/>
  <c r="A12111" i="1"/>
  <c r="B12111" i="1"/>
  <c r="C12111" i="1"/>
  <c r="D12111" i="1"/>
  <c r="E12111" i="1"/>
  <c r="A12112" i="1"/>
  <c r="B12112" i="1"/>
  <c r="C12112" i="1"/>
  <c r="D12112" i="1"/>
  <c r="E12112" i="1"/>
  <c r="A12113" i="1"/>
  <c r="B12113" i="1"/>
  <c r="C12113" i="1"/>
  <c r="D12113" i="1"/>
  <c r="E12113" i="1"/>
  <c r="A12114" i="1"/>
  <c r="B12114" i="1"/>
  <c r="C12114" i="1"/>
  <c r="D12114" i="1"/>
  <c r="E12114" i="1"/>
  <c r="A12115" i="1"/>
  <c r="B12115" i="1"/>
  <c r="C12115" i="1"/>
  <c r="D12115" i="1"/>
  <c r="E12115" i="1"/>
  <c r="A12116" i="1"/>
  <c r="B12116" i="1"/>
  <c r="C12116" i="1"/>
  <c r="D12116" i="1"/>
  <c r="E12116" i="1"/>
  <c r="A12117" i="1"/>
  <c r="B12117" i="1"/>
  <c r="C12117" i="1"/>
  <c r="D12117" i="1"/>
  <c r="E12117" i="1"/>
  <c r="A12118" i="1"/>
  <c r="B12118" i="1"/>
  <c r="C12118" i="1"/>
  <c r="D12118" i="1"/>
  <c r="E12118" i="1"/>
  <c r="A12119" i="1"/>
  <c r="B12119" i="1"/>
  <c r="C12119" i="1"/>
  <c r="D12119" i="1"/>
  <c r="E12119" i="1"/>
  <c r="A12120" i="1"/>
  <c r="B12120" i="1"/>
  <c r="C12120" i="1"/>
  <c r="D12120" i="1"/>
  <c r="E12120" i="1"/>
  <c r="A12121" i="1"/>
  <c r="B12121" i="1"/>
  <c r="C12121" i="1"/>
  <c r="D12121" i="1"/>
  <c r="E12121" i="1"/>
  <c r="A12122" i="1"/>
  <c r="B12122" i="1"/>
  <c r="C12122" i="1"/>
  <c r="D12122" i="1"/>
  <c r="E12122" i="1"/>
  <c r="A12123" i="1"/>
  <c r="B12123" i="1"/>
  <c r="C12123" i="1"/>
  <c r="D12123" i="1"/>
  <c r="E12123" i="1"/>
  <c r="A12124" i="1"/>
  <c r="B12124" i="1"/>
  <c r="C12124" i="1"/>
  <c r="D12124" i="1"/>
  <c r="E12124" i="1"/>
  <c r="A12125" i="1"/>
  <c r="B12125" i="1"/>
  <c r="C12125" i="1"/>
  <c r="D12125" i="1"/>
  <c r="E12125" i="1"/>
  <c r="A12126" i="1"/>
  <c r="B12126" i="1"/>
  <c r="C12126" i="1"/>
  <c r="D12126" i="1"/>
  <c r="E12126" i="1"/>
  <c r="A12127" i="1"/>
  <c r="B12127" i="1"/>
  <c r="C12127" i="1"/>
  <c r="D12127" i="1"/>
  <c r="E12127" i="1"/>
  <c r="A12128" i="1"/>
  <c r="B12128" i="1"/>
  <c r="C12128" i="1"/>
  <c r="D12128" i="1"/>
  <c r="E12128" i="1"/>
  <c r="A12129" i="1"/>
  <c r="B12129" i="1"/>
  <c r="C12129" i="1"/>
  <c r="D12129" i="1"/>
  <c r="E12129" i="1"/>
  <c r="A12130" i="1"/>
  <c r="B12130" i="1"/>
  <c r="C12130" i="1"/>
  <c r="D12130" i="1"/>
  <c r="E12130" i="1"/>
  <c r="A12131" i="1"/>
  <c r="B12131" i="1"/>
  <c r="C12131" i="1"/>
  <c r="D12131" i="1"/>
  <c r="E12131" i="1"/>
  <c r="A12132" i="1"/>
  <c r="B12132" i="1"/>
  <c r="C12132" i="1"/>
  <c r="D12132" i="1"/>
  <c r="E12132" i="1"/>
  <c r="A12133" i="1"/>
  <c r="B12133" i="1"/>
  <c r="C12133" i="1"/>
  <c r="D12133" i="1"/>
  <c r="E12133" i="1"/>
  <c r="A12134" i="1"/>
  <c r="B12134" i="1"/>
  <c r="C12134" i="1"/>
  <c r="D12134" i="1"/>
  <c r="E12134" i="1"/>
  <c r="A12135" i="1"/>
  <c r="B12135" i="1"/>
  <c r="C12135" i="1"/>
  <c r="D12135" i="1"/>
  <c r="E12135" i="1"/>
  <c r="A12136" i="1"/>
  <c r="B12136" i="1"/>
  <c r="C12136" i="1"/>
  <c r="D12136" i="1"/>
  <c r="E12136" i="1"/>
  <c r="A12137" i="1"/>
  <c r="B12137" i="1"/>
  <c r="C12137" i="1"/>
  <c r="D12137" i="1"/>
  <c r="E12137" i="1"/>
  <c r="A12138" i="1"/>
  <c r="B12138" i="1"/>
  <c r="C12138" i="1"/>
  <c r="D12138" i="1"/>
  <c r="E12138" i="1"/>
  <c r="A12139" i="1"/>
  <c r="B12139" i="1"/>
  <c r="C12139" i="1"/>
  <c r="D12139" i="1"/>
  <c r="E12139" i="1"/>
  <c r="A12140" i="1"/>
  <c r="B12140" i="1"/>
  <c r="C12140" i="1"/>
  <c r="D12140" i="1"/>
  <c r="E12140" i="1"/>
  <c r="A12141" i="1"/>
  <c r="B12141" i="1"/>
  <c r="C12141" i="1"/>
  <c r="D12141" i="1"/>
  <c r="E12141" i="1"/>
  <c r="A12142" i="1"/>
  <c r="B12142" i="1"/>
  <c r="C12142" i="1"/>
  <c r="D12142" i="1"/>
  <c r="E12142" i="1"/>
  <c r="A12143" i="1"/>
  <c r="B12143" i="1"/>
  <c r="C12143" i="1"/>
  <c r="D12143" i="1"/>
  <c r="E12143" i="1"/>
  <c r="A12144" i="1"/>
  <c r="B12144" i="1"/>
  <c r="C12144" i="1"/>
  <c r="D12144" i="1"/>
  <c r="E12144" i="1"/>
  <c r="A12145" i="1"/>
  <c r="B12145" i="1"/>
  <c r="C12145" i="1"/>
  <c r="D12145" i="1"/>
  <c r="E12145" i="1"/>
  <c r="A12146" i="1"/>
  <c r="B12146" i="1"/>
  <c r="C12146" i="1"/>
  <c r="D12146" i="1"/>
  <c r="E12146" i="1"/>
  <c r="A12147" i="1"/>
  <c r="B12147" i="1"/>
  <c r="C12147" i="1"/>
  <c r="D12147" i="1"/>
  <c r="E12147" i="1"/>
  <c r="A12148" i="1"/>
  <c r="B12148" i="1"/>
  <c r="C12148" i="1"/>
  <c r="D12148" i="1"/>
  <c r="E12148" i="1"/>
  <c r="A12149" i="1"/>
  <c r="B12149" i="1"/>
  <c r="C12149" i="1"/>
  <c r="D12149" i="1"/>
  <c r="E12149" i="1"/>
  <c r="A12150" i="1"/>
  <c r="B12150" i="1"/>
  <c r="C12150" i="1"/>
  <c r="D12150" i="1"/>
  <c r="E12150" i="1"/>
  <c r="A12151" i="1"/>
  <c r="B12151" i="1"/>
  <c r="C12151" i="1"/>
  <c r="D12151" i="1"/>
  <c r="E12151" i="1"/>
  <c r="A12152" i="1"/>
  <c r="B12152" i="1"/>
  <c r="C12152" i="1"/>
  <c r="D12152" i="1"/>
  <c r="E12152" i="1"/>
  <c r="A12153" i="1"/>
  <c r="B12153" i="1"/>
  <c r="C12153" i="1"/>
  <c r="D12153" i="1"/>
  <c r="E12153" i="1"/>
  <c r="A12154" i="1"/>
  <c r="B12154" i="1"/>
  <c r="C12154" i="1"/>
  <c r="D12154" i="1"/>
  <c r="E12154" i="1"/>
  <c r="A12155" i="1"/>
  <c r="B12155" i="1"/>
  <c r="C12155" i="1"/>
  <c r="D12155" i="1"/>
  <c r="E12155" i="1"/>
  <c r="A12156" i="1"/>
  <c r="B12156" i="1"/>
  <c r="C12156" i="1"/>
  <c r="D12156" i="1"/>
  <c r="E12156" i="1"/>
  <c r="A12157" i="1"/>
  <c r="B12157" i="1"/>
  <c r="C12157" i="1"/>
  <c r="D12157" i="1"/>
  <c r="E12157" i="1"/>
  <c r="A12158" i="1"/>
  <c r="B12158" i="1"/>
  <c r="C12158" i="1"/>
  <c r="D12158" i="1"/>
  <c r="E12158" i="1"/>
  <c r="A12159" i="1"/>
  <c r="B12159" i="1"/>
  <c r="C12159" i="1"/>
  <c r="D12159" i="1"/>
  <c r="E12159" i="1"/>
  <c r="A12160" i="1"/>
  <c r="B12160" i="1"/>
  <c r="C12160" i="1"/>
  <c r="D12160" i="1"/>
  <c r="E12160" i="1"/>
  <c r="A12161" i="1"/>
  <c r="B12161" i="1"/>
  <c r="C12161" i="1"/>
  <c r="D12161" i="1"/>
  <c r="E12161" i="1"/>
  <c r="A12162" i="1"/>
  <c r="B12162" i="1"/>
  <c r="C12162" i="1"/>
  <c r="D12162" i="1"/>
  <c r="E12162" i="1"/>
  <c r="A12163" i="1"/>
  <c r="B12163" i="1"/>
  <c r="C12163" i="1"/>
  <c r="D12163" i="1"/>
  <c r="E12163" i="1"/>
  <c r="A12164" i="1"/>
  <c r="B12164" i="1"/>
  <c r="C12164" i="1"/>
  <c r="D12164" i="1"/>
  <c r="E12164" i="1"/>
  <c r="A12165" i="1"/>
  <c r="B12165" i="1"/>
  <c r="C12165" i="1"/>
  <c r="D12165" i="1"/>
  <c r="E12165" i="1"/>
  <c r="A12166" i="1"/>
  <c r="B12166" i="1"/>
  <c r="C12166" i="1"/>
  <c r="D12166" i="1"/>
  <c r="E12166" i="1"/>
  <c r="A12167" i="1"/>
  <c r="B12167" i="1"/>
  <c r="C12167" i="1"/>
  <c r="D12167" i="1"/>
  <c r="E12167" i="1"/>
  <c r="A12168" i="1"/>
  <c r="B12168" i="1"/>
  <c r="C12168" i="1"/>
  <c r="D12168" i="1"/>
  <c r="E12168" i="1"/>
  <c r="A12169" i="1"/>
  <c r="B12169" i="1"/>
  <c r="C12169" i="1"/>
  <c r="D12169" i="1"/>
  <c r="E12169" i="1"/>
  <c r="A12170" i="1"/>
  <c r="B12170" i="1"/>
  <c r="C12170" i="1"/>
  <c r="D12170" i="1"/>
  <c r="E12170" i="1"/>
  <c r="A12171" i="1"/>
  <c r="B12171" i="1"/>
  <c r="C12171" i="1"/>
  <c r="D12171" i="1"/>
  <c r="E12171" i="1"/>
  <c r="A12172" i="1"/>
  <c r="B12172" i="1"/>
  <c r="C12172" i="1"/>
  <c r="D12172" i="1"/>
  <c r="E12172" i="1"/>
  <c r="A12173" i="1"/>
  <c r="B12173" i="1"/>
  <c r="C12173" i="1"/>
  <c r="D12173" i="1"/>
  <c r="E12173" i="1"/>
  <c r="A12174" i="1"/>
  <c r="B12174" i="1"/>
  <c r="C12174" i="1"/>
  <c r="D12174" i="1"/>
  <c r="E12174" i="1"/>
  <c r="A12175" i="1"/>
  <c r="B12175" i="1"/>
  <c r="C12175" i="1"/>
  <c r="D12175" i="1"/>
  <c r="E12175" i="1"/>
  <c r="A12176" i="1"/>
  <c r="B12176" i="1"/>
  <c r="C12176" i="1"/>
  <c r="D12176" i="1"/>
  <c r="E12176" i="1"/>
  <c r="A12177" i="1"/>
  <c r="B12177" i="1"/>
  <c r="C12177" i="1"/>
  <c r="D12177" i="1"/>
  <c r="E12177" i="1"/>
  <c r="A12178" i="1"/>
  <c r="B12178" i="1"/>
  <c r="C12178" i="1"/>
  <c r="D12178" i="1"/>
  <c r="E12178" i="1"/>
  <c r="A12179" i="1"/>
  <c r="B12179" i="1"/>
  <c r="C12179" i="1"/>
  <c r="D12179" i="1"/>
  <c r="E12179" i="1"/>
  <c r="A12180" i="1"/>
  <c r="B12180" i="1"/>
  <c r="C12180" i="1"/>
  <c r="D12180" i="1"/>
  <c r="E12180" i="1"/>
  <c r="A12181" i="1"/>
  <c r="B12181" i="1"/>
  <c r="C12181" i="1"/>
  <c r="D12181" i="1"/>
  <c r="E12181" i="1"/>
  <c r="A12182" i="1"/>
  <c r="B12182" i="1"/>
  <c r="C12182" i="1"/>
  <c r="D12182" i="1"/>
  <c r="E12182" i="1"/>
  <c r="A12183" i="1"/>
  <c r="B12183" i="1"/>
  <c r="C12183" i="1"/>
  <c r="D12183" i="1"/>
  <c r="E12183" i="1"/>
  <c r="A12184" i="1"/>
  <c r="B12184" i="1"/>
  <c r="C12184" i="1"/>
  <c r="D12184" i="1"/>
  <c r="E12184" i="1"/>
  <c r="A12185" i="1"/>
  <c r="B12185" i="1"/>
  <c r="C12185" i="1"/>
  <c r="D12185" i="1"/>
  <c r="E12185" i="1"/>
  <c r="A12186" i="1"/>
  <c r="B12186" i="1"/>
  <c r="C12186" i="1"/>
  <c r="D12186" i="1"/>
  <c r="E12186" i="1"/>
  <c r="A12187" i="1"/>
  <c r="B12187" i="1"/>
  <c r="C12187" i="1"/>
  <c r="D12187" i="1"/>
  <c r="E12187" i="1"/>
  <c r="A12188" i="1"/>
  <c r="B12188" i="1"/>
  <c r="C12188" i="1"/>
  <c r="D12188" i="1"/>
  <c r="E12188" i="1"/>
  <c r="A12189" i="1"/>
  <c r="B12189" i="1"/>
  <c r="C12189" i="1"/>
  <c r="D12189" i="1"/>
  <c r="E12189" i="1"/>
  <c r="A12190" i="1"/>
  <c r="B12190" i="1"/>
  <c r="C12190" i="1"/>
  <c r="D12190" i="1"/>
  <c r="E12190" i="1"/>
  <c r="A12191" i="1"/>
  <c r="B12191" i="1"/>
  <c r="C12191" i="1"/>
  <c r="D12191" i="1"/>
  <c r="E12191" i="1"/>
  <c r="A12192" i="1"/>
  <c r="B12192" i="1"/>
  <c r="C12192" i="1"/>
  <c r="D12192" i="1"/>
  <c r="E12192" i="1"/>
  <c r="A12193" i="1"/>
  <c r="B12193" i="1"/>
  <c r="C12193" i="1"/>
  <c r="D12193" i="1"/>
  <c r="E12193" i="1"/>
  <c r="A12194" i="1"/>
  <c r="B12194" i="1"/>
  <c r="C12194" i="1"/>
  <c r="D12194" i="1"/>
  <c r="E12194" i="1"/>
  <c r="A12195" i="1"/>
  <c r="B12195" i="1"/>
  <c r="C12195" i="1"/>
  <c r="D12195" i="1"/>
  <c r="E12195" i="1"/>
  <c r="A12196" i="1"/>
  <c r="B12196" i="1"/>
  <c r="C12196" i="1"/>
  <c r="D12196" i="1"/>
  <c r="E12196" i="1"/>
  <c r="A12197" i="1"/>
  <c r="B12197" i="1"/>
  <c r="C12197" i="1"/>
  <c r="D12197" i="1"/>
  <c r="E12197" i="1"/>
  <c r="A12198" i="1"/>
  <c r="B12198" i="1"/>
  <c r="C12198" i="1"/>
  <c r="D12198" i="1"/>
  <c r="E12198" i="1"/>
  <c r="A12199" i="1"/>
  <c r="B12199" i="1"/>
  <c r="C12199" i="1"/>
  <c r="D12199" i="1"/>
  <c r="E12199" i="1"/>
  <c r="A12200" i="1"/>
  <c r="B12200" i="1"/>
  <c r="C12200" i="1"/>
  <c r="D12200" i="1"/>
  <c r="E12200" i="1"/>
  <c r="A12201" i="1"/>
  <c r="B12201" i="1"/>
  <c r="C12201" i="1"/>
  <c r="D12201" i="1"/>
  <c r="E12201" i="1"/>
  <c r="A12202" i="1"/>
  <c r="B12202" i="1"/>
  <c r="C12202" i="1"/>
  <c r="D12202" i="1"/>
  <c r="E12202" i="1"/>
  <c r="A12203" i="1"/>
  <c r="B12203" i="1"/>
  <c r="C12203" i="1"/>
  <c r="D12203" i="1"/>
  <c r="E12203" i="1"/>
  <c r="A12204" i="1"/>
  <c r="B12204" i="1"/>
  <c r="C12204" i="1"/>
  <c r="D12204" i="1"/>
  <c r="E12204" i="1"/>
  <c r="A12205" i="1"/>
  <c r="B12205" i="1"/>
  <c r="C12205" i="1"/>
  <c r="D12205" i="1"/>
  <c r="E12205" i="1"/>
  <c r="A12206" i="1"/>
  <c r="B12206" i="1"/>
  <c r="C12206" i="1"/>
  <c r="D12206" i="1"/>
  <c r="E12206" i="1"/>
  <c r="A12207" i="1"/>
  <c r="B12207" i="1"/>
  <c r="C12207" i="1"/>
  <c r="D12207" i="1"/>
  <c r="E12207" i="1"/>
  <c r="A12208" i="1"/>
  <c r="B12208" i="1"/>
  <c r="C12208" i="1"/>
  <c r="D12208" i="1"/>
  <c r="E12208" i="1"/>
  <c r="A12209" i="1"/>
  <c r="B12209" i="1"/>
  <c r="C12209" i="1"/>
  <c r="D12209" i="1"/>
  <c r="E12209" i="1"/>
  <c r="A12210" i="1"/>
  <c r="B12210" i="1"/>
  <c r="C12210" i="1"/>
  <c r="D12210" i="1"/>
  <c r="E12210" i="1"/>
  <c r="A12211" i="1"/>
  <c r="B12211" i="1"/>
  <c r="C12211" i="1"/>
  <c r="D12211" i="1"/>
  <c r="E12211" i="1"/>
  <c r="A12212" i="1"/>
  <c r="B12212" i="1"/>
  <c r="C12212" i="1"/>
  <c r="D12212" i="1"/>
  <c r="E12212" i="1"/>
  <c r="A12213" i="1"/>
  <c r="B12213" i="1"/>
  <c r="C12213" i="1"/>
  <c r="D12213" i="1"/>
  <c r="E12213" i="1"/>
  <c r="A12214" i="1"/>
  <c r="B12214" i="1"/>
  <c r="C12214" i="1"/>
  <c r="D12214" i="1"/>
  <c r="E12214" i="1"/>
  <c r="A12215" i="1"/>
  <c r="B12215" i="1"/>
  <c r="C12215" i="1"/>
  <c r="D12215" i="1"/>
  <c r="E12215" i="1"/>
  <c r="A12216" i="1"/>
  <c r="B12216" i="1"/>
  <c r="C12216" i="1"/>
  <c r="D12216" i="1"/>
  <c r="E12216" i="1"/>
  <c r="A12217" i="1"/>
  <c r="B12217" i="1"/>
  <c r="C12217" i="1"/>
  <c r="D12217" i="1"/>
  <c r="E12217" i="1"/>
  <c r="A12218" i="1"/>
  <c r="B12218" i="1"/>
  <c r="C12218" i="1"/>
  <c r="D12218" i="1"/>
  <c r="E12218" i="1"/>
  <c r="A12219" i="1"/>
  <c r="B12219" i="1"/>
  <c r="C12219" i="1"/>
  <c r="D12219" i="1"/>
  <c r="E12219" i="1"/>
  <c r="A12220" i="1"/>
  <c r="B12220" i="1"/>
  <c r="C12220" i="1"/>
  <c r="D12220" i="1"/>
  <c r="E12220" i="1"/>
  <c r="A12221" i="1"/>
  <c r="B12221" i="1"/>
  <c r="C12221" i="1"/>
  <c r="D12221" i="1"/>
  <c r="E12221" i="1"/>
  <c r="A12222" i="1"/>
  <c r="B12222" i="1"/>
  <c r="C12222" i="1"/>
  <c r="D12222" i="1"/>
  <c r="E12222" i="1"/>
  <c r="A12223" i="1"/>
  <c r="B12223" i="1"/>
  <c r="C12223" i="1"/>
  <c r="D12223" i="1"/>
  <c r="E12223" i="1"/>
  <c r="A12224" i="1"/>
  <c r="B12224" i="1"/>
  <c r="C12224" i="1"/>
  <c r="D12224" i="1"/>
  <c r="E12224" i="1"/>
  <c r="A12225" i="1"/>
  <c r="B12225" i="1"/>
  <c r="C12225" i="1"/>
  <c r="D12225" i="1"/>
  <c r="E12225" i="1"/>
  <c r="A12226" i="1"/>
  <c r="B12226" i="1"/>
  <c r="C12226" i="1"/>
  <c r="D12226" i="1"/>
  <c r="E12226" i="1"/>
  <c r="A12227" i="1"/>
  <c r="B12227" i="1"/>
  <c r="C12227" i="1"/>
  <c r="D12227" i="1"/>
  <c r="E12227" i="1"/>
  <c r="A12228" i="1"/>
  <c r="B12228" i="1"/>
  <c r="C12228" i="1"/>
  <c r="D12228" i="1"/>
  <c r="E12228" i="1"/>
  <c r="A12229" i="1"/>
  <c r="B12229" i="1"/>
  <c r="C12229" i="1"/>
  <c r="D12229" i="1"/>
  <c r="E12229" i="1"/>
  <c r="A12230" i="1"/>
  <c r="B12230" i="1"/>
  <c r="C12230" i="1"/>
  <c r="D12230" i="1"/>
  <c r="E12230" i="1"/>
  <c r="A12231" i="1"/>
  <c r="B12231" i="1"/>
  <c r="C12231" i="1"/>
  <c r="D12231" i="1"/>
  <c r="E12231" i="1"/>
  <c r="A12232" i="1"/>
  <c r="B12232" i="1"/>
  <c r="C12232" i="1"/>
  <c r="D12232" i="1"/>
  <c r="E12232" i="1"/>
  <c r="A12233" i="1"/>
  <c r="B12233" i="1"/>
  <c r="C12233" i="1"/>
  <c r="D12233" i="1"/>
  <c r="E12233" i="1"/>
  <c r="A12234" i="1"/>
  <c r="B12234" i="1"/>
  <c r="C12234" i="1"/>
  <c r="D12234" i="1"/>
  <c r="E12234" i="1"/>
  <c r="A12235" i="1"/>
  <c r="B12235" i="1"/>
  <c r="C12235" i="1"/>
  <c r="D12235" i="1"/>
  <c r="E12235" i="1"/>
  <c r="A12236" i="1"/>
  <c r="B12236" i="1"/>
  <c r="C12236" i="1"/>
  <c r="D12236" i="1"/>
  <c r="E12236" i="1"/>
  <c r="A12237" i="1"/>
  <c r="B12237" i="1"/>
  <c r="C12237" i="1"/>
  <c r="D12237" i="1"/>
  <c r="E12237" i="1"/>
  <c r="A12238" i="1"/>
  <c r="B12238" i="1"/>
  <c r="C12238" i="1"/>
  <c r="D12238" i="1"/>
  <c r="E12238" i="1"/>
  <c r="A12239" i="1"/>
  <c r="B12239" i="1"/>
  <c r="C12239" i="1"/>
  <c r="D12239" i="1"/>
  <c r="E12239" i="1"/>
  <c r="A12240" i="1"/>
  <c r="B12240" i="1"/>
  <c r="C12240" i="1"/>
  <c r="D12240" i="1"/>
  <c r="E12240" i="1"/>
  <c r="A12241" i="1"/>
  <c r="B12241" i="1"/>
  <c r="C12241" i="1"/>
  <c r="D12241" i="1"/>
  <c r="E12241" i="1"/>
  <c r="A12242" i="1"/>
  <c r="B12242" i="1"/>
  <c r="C12242" i="1"/>
  <c r="D12242" i="1"/>
  <c r="E12242" i="1"/>
  <c r="A12243" i="1"/>
  <c r="B12243" i="1"/>
  <c r="C12243" i="1"/>
  <c r="D12243" i="1"/>
  <c r="E12243" i="1"/>
  <c r="A12244" i="1"/>
  <c r="B12244" i="1"/>
  <c r="C12244" i="1"/>
  <c r="D12244" i="1"/>
  <c r="E12244" i="1"/>
  <c r="A12245" i="1"/>
  <c r="B12245" i="1"/>
  <c r="C12245" i="1"/>
  <c r="D12245" i="1"/>
  <c r="E12245" i="1"/>
  <c r="A12246" i="1"/>
  <c r="B12246" i="1"/>
  <c r="C12246" i="1"/>
  <c r="D12246" i="1"/>
  <c r="E12246" i="1"/>
  <c r="A12247" i="1"/>
  <c r="B12247" i="1"/>
  <c r="C12247" i="1"/>
  <c r="D12247" i="1"/>
  <c r="E12247" i="1"/>
  <c r="A12248" i="1"/>
  <c r="B12248" i="1"/>
  <c r="C12248" i="1"/>
  <c r="D12248" i="1"/>
  <c r="E12248" i="1"/>
  <c r="A12249" i="1"/>
  <c r="B12249" i="1"/>
  <c r="C12249" i="1"/>
  <c r="D12249" i="1"/>
  <c r="E12249" i="1"/>
  <c r="A12250" i="1"/>
  <c r="B12250" i="1"/>
  <c r="C12250" i="1"/>
  <c r="D12250" i="1"/>
  <c r="E12250" i="1"/>
  <c r="A12251" i="1"/>
  <c r="B12251" i="1"/>
  <c r="C12251" i="1"/>
  <c r="D12251" i="1"/>
  <c r="E12251" i="1"/>
  <c r="A12252" i="1"/>
  <c r="B12252" i="1"/>
  <c r="C12252" i="1"/>
  <c r="D12252" i="1"/>
  <c r="E12252" i="1"/>
  <c r="A12253" i="1"/>
  <c r="B12253" i="1"/>
  <c r="C12253" i="1"/>
  <c r="D12253" i="1"/>
  <c r="E12253" i="1"/>
  <c r="A12254" i="1"/>
  <c r="B12254" i="1"/>
  <c r="C12254" i="1"/>
  <c r="D12254" i="1"/>
  <c r="E12254" i="1"/>
  <c r="A12255" i="1"/>
  <c r="B12255" i="1"/>
  <c r="C12255" i="1"/>
  <c r="D12255" i="1"/>
  <c r="E12255" i="1"/>
  <c r="A12256" i="1"/>
  <c r="B12256" i="1"/>
  <c r="C12256" i="1"/>
  <c r="D12256" i="1"/>
  <c r="E12256" i="1"/>
  <c r="A12257" i="1"/>
  <c r="B12257" i="1"/>
  <c r="C12257" i="1"/>
  <c r="D12257" i="1"/>
  <c r="E12257" i="1"/>
  <c r="A12258" i="1"/>
  <c r="B12258" i="1"/>
  <c r="C12258" i="1"/>
  <c r="D12258" i="1"/>
  <c r="E12258" i="1"/>
  <c r="A12259" i="1"/>
  <c r="B12259" i="1"/>
  <c r="C12259" i="1"/>
  <c r="D12259" i="1"/>
  <c r="E12259" i="1"/>
  <c r="A12260" i="1"/>
  <c r="B12260" i="1"/>
  <c r="C12260" i="1"/>
  <c r="D12260" i="1"/>
  <c r="E12260" i="1"/>
  <c r="A12261" i="1"/>
  <c r="B12261" i="1"/>
  <c r="C12261" i="1"/>
  <c r="D12261" i="1"/>
  <c r="E12261" i="1"/>
  <c r="A12262" i="1"/>
  <c r="B12262" i="1"/>
  <c r="C12262" i="1"/>
  <c r="D12262" i="1"/>
  <c r="E12262" i="1"/>
  <c r="A12263" i="1"/>
  <c r="B12263" i="1"/>
  <c r="C12263" i="1"/>
  <c r="D12263" i="1"/>
  <c r="E12263" i="1"/>
  <c r="A12264" i="1"/>
  <c r="B12264" i="1"/>
  <c r="C12264" i="1"/>
  <c r="D12264" i="1"/>
  <c r="E12264" i="1"/>
  <c r="A12265" i="1"/>
  <c r="B12265" i="1"/>
  <c r="C12265" i="1"/>
  <c r="D12265" i="1"/>
  <c r="E12265" i="1"/>
  <c r="A12266" i="1"/>
  <c r="B12266" i="1"/>
  <c r="C12266" i="1"/>
  <c r="D12266" i="1"/>
  <c r="E12266" i="1"/>
  <c r="A12267" i="1"/>
  <c r="B12267" i="1"/>
  <c r="C12267" i="1"/>
  <c r="D12267" i="1"/>
  <c r="E12267" i="1"/>
  <c r="A12268" i="1"/>
  <c r="B12268" i="1"/>
  <c r="C12268" i="1"/>
  <c r="D12268" i="1"/>
  <c r="E12268" i="1"/>
  <c r="A12269" i="1"/>
  <c r="B12269" i="1"/>
  <c r="C12269" i="1"/>
  <c r="D12269" i="1"/>
  <c r="E12269" i="1"/>
  <c r="A12270" i="1"/>
  <c r="B12270" i="1"/>
  <c r="C12270" i="1"/>
  <c r="D12270" i="1"/>
  <c r="E12270" i="1"/>
  <c r="A12271" i="1"/>
  <c r="B12271" i="1"/>
  <c r="C12271" i="1"/>
  <c r="D12271" i="1"/>
  <c r="E12271" i="1"/>
  <c r="A12272" i="1"/>
  <c r="B12272" i="1"/>
  <c r="C12272" i="1"/>
  <c r="D12272" i="1"/>
  <c r="E12272" i="1"/>
  <c r="A12273" i="1"/>
  <c r="B12273" i="1"/>
  <c r="C12273" i="1"/>
  <c r="D12273" i="1"/>
  <c r="E12273" i="1"/>
  <c r="A12274" i="1"/>
  <c r="B12274" i="1"/>
  <c r="C12274" i="1"/>
  <c r="D12274" i="1"/>
  <c r="E12274" i="1"/>
  <c r="A12275" i="1"/>
  <c r="B12275" i="1"/>
  <c r="C12275" i="1"/>
  <c r="D12275" i="1"/>
  <c r="E12275" i="1"/>
  <c r="A12276" i="1"/>
  <c r="B12276" i="1"/>
  <c r="C12276" i="1"/>
  <c r="D12276" i="1"/>
  <c r="E12276" i="1"/>
  <c r="A12277" i="1"/>
  <c r="B12277" i="1"/>
  <c r="C12277" i="1"/>
  <c r="D12277" i="1"/>
  <c r="E12277" i="1"/>
  <c r="A12278" i="1"/>
  <c r="B12278" i="1"/>
  <c r="C12278" i="1"/>
  <c r="D12278" i="1"/>
  <c r="E12278" i="1"/>
  <c r="A12279" i="1"/>
  <c r="B12279" i="1"/>
  <c r="C12279" i="1"/>
  <c r="D12279" i="1"/>
  <c r="E12279" i="1"/>
  <c r="A12280" i="1"/>
  <c r="B12280" i="1"/>
  <c r="C12280" i="1"/>
  <c r="D12280" i="1"/>
  <c r="E12280" i="1"/>
  <c r="A12281" i="1"/>
  <c r="B12281" i="1"/>
  <c r="C12281" i="1"/>
  <c r="D12281" i="1"/>
  <c r="E12281" i="1"/>
  <c r="A12282" i="1"/>
  <c r="B12282" i="1"/>
  <c r="C12282" i="1"/>
  <c r="D12282" i="1"/>
  <c r="E12282" i="1"/>
  <c r="A12283" i="1"/>
  <c r="B12283" i="1"/>
  <c r="C12283" i="1"/>
  <c r="D12283" i="1"/>
  <c r="E12283" i="1"/>
  <c r="A12284" i="1"/>
  <c r="B12284" i="1"/>
  <c r="C12284" i="1"/>
  <c r="D12284" i="1"/>
  <c r="E12284" i="1"/>
  <c r="A12285" i="1"/>
  <c r="B12285" i="1"/>
  <c r="C12285" i="1"/>
  <c r="D12285" i="1"/>
  <c r="E12285" i="1"/>
  <c r="A12286" i="1"/>
  <c r="B12286" i="1"/>
  <c r="C12286" i="1"/>
  <c r="D12286" i="1"/>
  <c r="E12286" i="1"/>
  <c r="A12287" i="1"/>
  <c r="B12287" i="1"/>
  <c r="C12287" i="1"/>
  <c r="D12287" i="1"/>
  <c r="E12287" i="1"/>
  <c r="A12288" i="1"/>
  <c r="B12288" i="1"/>
  <c r="C12288" i="1"/>
  <c r="D12288" i="1"/>
  <c r="E12288" i="1"/>
  <c r="A12289" i="1"/>
  <c r="B12289" i="1"/>
  <c r="C12289" i="1"/>
  <c r="D12289" i="1"/>
  <c r="E12289" i="1"/>
  <c r="A12290" i="1"/>
  <c r="B12290" i="1"/>
  <c r="C12290" i="1"/>
  <c r="D12290" i="1"/>
  <c r="E12290" i="1"/>
  <c r="A12291" i="1"/>
  <c r="B12291" i="1"/>
  <c r="C12291" i="1"/>
  <c r="D12291" i="1"/>
  <c r="E12291" i="1"/>
  <c r="A12292" i="1"/>
  <c r="B12292" i="1"/>
  <c r="C12292" i="1"/>
  <c r="D12292" i="1"/>
  <c r="E12292" i="1"/>
  <c r="A12293" i="1"/>
  <c r="B12293" i="1"/>
  <c r="C12293" i="1"/>
  <c r="D12293" i="1"/>
  <c r="E12293" i="1"/>
  <c r="A12294" i="1"/>
  <c r="B12294" i="1"/>
  <c r="C12294" i="1"/>
  <c r="D12294" i="1"/>
  <c r="E12294" i="1"/>
  <c r="A12295" i="1"/>
  <c r="B12295" i="1"/>
  <c r="C12295" i="1"/>
  <c r="D12295" i="1"/>
  <c r="E12295" i="1"/>
  <c r="A12296" i="1"/>
  <c r="B12296" i="1"/>
  <c r="C12296" i="1"/>
  <c r="D12296" i="1"/>
  <c r="E12296" i="1"/>
  <c r="A12297" i="1"/>
  <c r="B12297" i="1"/>
  <c r="C12297" i="1"/>
  <c r="D12297" i="1"/>
  <c r="E12297" i="1"/>
  <c r="A12298" i="1"/>
  <c r="B12298" i="1"/>
  <c r="C12298" i="1"/>
  <c r="D12298" i="1"/>
  <c r="E12298" i="1"/>
  <c r="A12299" i="1"/>
  <c r="B12299" i="1"/>
  <c r="C12299" i="1"/>
  <c r="D12299" i="1"/>
  <c r="E12299" i="1"/>
  <c r="A12300" i="1"/>
  <c r="B12300" i="1"/>
  <c r="C12300" i="1"/>
  <c r="D12300" i="1"/>
  <c r="E12300" i="1"/>
  <c r="A12301" i="1"/>
  <c r="B12301" i="1"/>
  <c r="C12301" i="1"/>
  <c r="D12301" i="1"/>
  <c r="E12301" i="1"/>
  <c r="A12302" i="1"/>
  <c r="B12302" i="1"/>
  <c r="C12302" i="1"/>
  <c r="D12302" i="1"/>
  <c r="E12302" i="1"/>
  <c r="A12303" i="1"/>
  <c r="B12303" i="1"/>
  <c r="C12303" i="1"/>
  <c r="D12303" i="1"/>
  <c r="E12303" i="1"/>
  <c r="A12304" i="1"/>
  <c r="B12304" i="1"/>
  <c r="C12304" i="1"/>
  <c r="D12304" i="1"/>
  <c r="E12304" i="1"/>
  <c r="A12305" i="1"/>
  <c r="B12305" i="1"/>
  <c r="C12305" i="1"/>
  <c r="D12305" i="1"/>
  <c r="E12305" i="1"/>
  <c r="A12306" i="1"/>
  <c r="B12306" i="1"/>
  <c r="C12306" i="1"/>
  <c r="D12306" i="1"/>
  <c r="E12306" i="1"/>
  <c r="A12307" i="1"/>
  <c r="B12307" i="1"/>
  <c r="C12307" i="1"/>
  <c r="D12307" i="1"/>
  <c r="E12307" i="1"/>
  <c r="A12308" i="1"/>
  <c r="B12308" i="1"/>
  <c r="C12308" i="1"/>
  <c r="D12308" i="1"/>
  <c r="E12308" i="1"/>
  <c r="A12309" i="1"/>
  <c r="B12309" i="1"/>
  <c r="C12309" i="1"/>
  <c r="D12309" i="1"/>
  <c r="E12309" i="1"/>
  <c r="A12310" i="1"/>
  <c r="B12310" i="1"/>
  <c r="C12310" i="1"/>
  <c r="D12310" i="1"/>
  <c r="E12310" i="1"/>
  <c r="A12311" i="1"/>
  <c r="B12311" i="1"/>
  <c r="C12311" i="1"/>
  <c r="D12311" i="1"/>
  <c r="E12311" i="1"/>
  <c r="A12312" i="1"/>
  <c r="B12312" i="1"/>
  <c r="C12312" i="1"/>
  <c r="D12312" i="1"/>
  <c r="E12312" i="1"/>
  <c r="A12313" i="1"/>
  <c r="B12313" i="1"/>
  <c r="C12313" i="1"/>
  <c r="D12313" i="1"/>
  <c r="E12313" i="1"/>
  <c r="A12314" i="1"/>
  <c r="B12314" i="1"/>
  <c r="C12314" i="1"/>
  <c r="D12314" i="1"/>
  <c r="E12314" i="1"/>
  <c r="A12315" i="1"/>
  <c r="B12315" i="1"/>
  <c r="C12315" i="1"/>
  <c r="D12315" i="1"/>
  <c r="E12315" i="1"/>
  <c r="A12316" i="1"/>
  <c r="B12316" i="1"/>
  <c r="C12316" i="1"/>
  <c r="D12316" i="1"/>
  <c r="E12316" i="1"/>
  <c r="A12317" i="1"/>
  <c r="B12317" i="1"/>
  <c r="C12317" i="1"/>
  <c r="D12317" i="1"/>
  <c r="E12317" i="1"/>
  <c r="A12318" i="1"/>
  <c r="B12318" i="1"/>
  <c r="C12318" i="1"/>
  <c r="D12318" i="1"/>
  <c r="E12318" i="1"/>
  <c r="A12319" i="1"/>
  <c r="B12319" i="1"/>
  <c r="C12319" i="1"/>
  <c r="D12319" i="1"/>
  <c r="E12319" i="1"/>
  <c r="A12320" i="1"/>
  <c r="B12320" i="1"/>
  <c r="C12320" i="1"/>
  <c r="D12320" i="1"/>
  <c r="E12320" i="1"/>
  <c r="A12321" i="1"/>
  <c r="B12321" i="1"/>
  <c r="C12321" i="1"/>
  <c r="D12321" i="1"/>
  <c r="E12321" i="1"/>
  <c r="A12322" i="1"/>
  <c r="B12322" i="1"/>
  <c r="C12322" i="1"/>
  <c r="D12322" i="1"/>
  <c r="E12322" i="1"/>
  <c r="A12323" i="1"/>
  <c r="B12323" i="1"/>
  <c r="C12323" i="1"/>
  <c r="D12323" i="1"/>
  <c r="E12323" i="1"/>
  <c r="A12324" i="1"/>
  <c r="B12324" i="1"/>
  <c r="C12324" i="1"/>
  <c r="D12324" i="1"/>
  <c r="E12324" i="1"/>
  <c r="A12325" i="1"/>
  <c r="B12325" i="1"/>
  <c r="C12325" i="1"/>
  <c r="D12325" i="1"/>
  <c r="E12325" i="1"/>
  <c r="A12326" i="1"/>
  <c r="B12326" i="1"/>
  <c r="C12326" i="1"/>
  <c r="D12326" i="1"/>
  <c r="E12326" i="1"/>
  <c r="A12327" i="1"/>
  <c r="B12327" i="1"/>
  <c r="C12327" i="1"/>
  <c r="D12327" i="1"/>
  <c r="E12327" i="1"/>
  <c r="A12328" i="1"/>
  <c r="B12328" i="1"/>
  <c r="C12328" i="1"/>
  <c r="D12328" i="1"/>
  <c r="E12328" i="1"/>
  <c r="A12329" i="1"/>
  <c r="B12329" i="1"/>
  <c r="C12329" i="1"/>
  <c r="D12329" i="1"/>
  <c r="E12329" i="1"/>
  <c r="A12330" i="1"/>
  <c r="B12330" i="1"/>
  <c r="C12330" i="1"/>
  <c r="D12330" i="1"/>
  <c r="E12330" i="1"/>
  <c r="A12331" i="1"/>
  <c r="B12331" i="1"/>
  <c r="C12331" i="1"/>
  <c r="D12331" i="1"/>
  <c r="E12331" i="1"/>
  <c r="A12332" i="1"/>
  <c r="B12332" i="1"/>
  <c r="C12332" i="1"/>
  <c r="D12332" i="1"/>
  <c r="E12332" i="1"/>
  <c r="A12333" i="1"/>
  <c r="B12333" i="1"/>
  <c r="C12333" i="1"/>
  <c r="D12333" i="1"/>
  <c r="E12333" i="1"/>
  <c r="A12334" i="1"/>
  <c r="B12334" i="1"/>
  <c r="C12334" i="1"/>
  <c r="D12334" i="1"/>
  <c r="E12334" i="1"/>
  <c r="A12335" i="1"/>
  <c r="B12335" i="1"/>
  <c r="C12335" i="1"/>
  <c r="D12335" i="1"/>
  <c r="E12335" i="1"/>
  <c r="A12336" i="1"/>
  <c r="B12336" i="1"/>
  <c r="C12336" i="1"/>
  <c r="D12336" i="1"/>
  <c r="E12336" i="1"/>
  <c r="A12337" i="1"/>
  <c r="B12337" i="1"/>
  <c r="C12337" i="1"/>
  <c r="D12337" i="1"/>
  <c r="E12337" i="1"/>
  <c r="A12338" i="1"/>
  <c r="B12338" i="1"/>
  <c r="C12338" i="1"/>
  <c r="D12338" i="1"/>
  <c r="E12338" i="1"/>
  <c r="A12339" i="1"/>
  <c r="B12339" i="1"/>
  <c r="C12339" i="1"/>
  <c r="D12339" i="1"/>
  <c r="E12339" i="1"/>
  <c r="A12340" i="1"/>
  <c r="B12340" i="1"/>
  <c r="C12340" i="1"/>
  <c r="D12340" i="1"/>
  <c r="E12340" i="1"/>
  <c r="A12341" i="1"/>
  <c r="B12341" i="1"/>
  <c r="C12341" i="1"/>
  <c r="D12341" i="1"/>
  <c r="E12341" i="1"/>
  <c r="A12342" i="1"/>
  <c r="B12342" i="1"/>
  <c r="C12342" i="1"/>
  <c r="D12342" i="1"/>
  <c r="E12342" i="1"/>
  <c r="A12343" i="1"/>
  <c r="B12343" i="1"/>
  <c r="C12343" i="1"/>
  <c r="D12343" i="1"/>
  <c r="E12343" i="1"/>
  <c r="A12344" i="1"/>
  <c r="B12344" i="1"/>
  <c r="C12344" i="1"/>
  <c r="D12344" i="1"/>
  <c r="E12344" i="1"/>
  <c r="A12345" i="1"/>
  <c r="B12345" i="1"/>
  <c r="C12345" i="1"/>
  <c r="D12345" i="1"/>
  <c r="E12345" i="1"/>
  <c r="A12346" i="1"/>
  <c r="B12346" i="1"/>
  <c r="C12346" i="1"/>
  <c r="D12346" i="1"/>
  <c r="E12346" i="1"/>
  <c r="A12347" i="1"/>
  <c r="B12347" i="1"/>
  <c r="C12347" i="1"/>
  <c r="D12347" i="1"/>
  <c r="E12347" i="1"/>
  <c r="A12348" i="1"/>
  <c r="B12348" i="1"/>
  <c r="C12348" i="1"/>
  <c r="D12348" i="1"/>
  <c r="E12348" i="1"/>
  <c r="A12349" i="1"/>
  <c r="B12349" i="1"/>
  <c r="C12349" i="1"/>
  <c r="D12349" i="1"/>
  <c r="E12349" i="1"/>
  <c r="A12350" i="1"/>
  <c r="B12350" i="1"/>
  <c r="C12350" i="1"/>
  <c r="D12350" i="1"/>
  <c r="E12350" i="1"/>
  <c r="A12351" i="1"/>
  <c r="B12351" i="1"/>
  <c r="C12351" i="1"/>
  <c r="D12351" i="1"/>
  <c r="E12351" i="1"/>
  <c r="A12352" i="1"/>
  <c r="B12352" i="1"/>
  <c r="C12352" i="1"/>
  <c r="D12352" i="1"/>
  <c r="E12352" i="1"/>
  <c r="A12353" i="1"/>
  <c r="B12353" i="1"/>
  <c r="C12353" i="1"/>
  <c r="D12353" i="1"/>
  <c r="E12353" i="1"/>
  <c r="A12354" i="1"/>
  <c r="B12354" i="1"/>
  <c r="C12354" i="1"/>
  <c r="D12354" i="1"/>
  <c r="E12354" i="1"/>
  <c r="A12355" i="1"/>
  <c r="B12355" i="1"/>
  <c r="C12355" i="1"/>
  <c r="D12355" i="1"/>
  <c r="E12355" i="1"/>
  <c r="A12356" i="1"/>
  <c r="B12356" i="1"/>
  <c r="C12356" i="1"/>
  <c r="D12356" i="1"/>
  <c r="E12356" i="1"/>
  <c r="A12357" i="1"/>
  <c r="B12357" i="1"/>
  <c r="C12357" i="1"/>
  <c r="D12357" i="1"/>
  <c r="E12357" i="1"/>
  <c r="A12358" i="1"/>
  <c r="B12358" i="1"/>
  <c r="C12358" i="1"/>
  <c r="D12358" i="1"/>
  <c r="E12358" i="1"/>
  <c r="A12359" i="1"/>
  <c r="B12359" i="1"/>
  <c r="C12359" i="1"/>
  <c r="D12359" i="1"/>
  <c r="E12359" i="1"/>
  <c r="A12360" i="1"/>
  <c r="B12360" i="1"/>
  <c r="C12360" i="1"/>
  <c r="D12360" i="1"/>
  <c r="E12360" i="1"/>
  <c r="A12361" i="1"/>
  <c r="B12361" i="1"/>
  <c r="C12361" i="1"/>
  <c r="D12361" i="1"/>
  <c r="E12361" i="1"/>
  <c r="A12362" i="1"/>
  <c r="B12362" i="1"/>
  <c r="C12362" i="1"/>
  <c r="D12362" i="1"/>
  <c r="E12362" i="1"/>
  <c r="A12363" i="1"/>
  <c r="B12363" i="1"/>
  <c r="C12363" i="1"/>
  <c r="D12363" i="1"/>
  <c r="E12363" i="1"/>
  <c r="A12364" i="1"/>
  <c r="B12364" i="1"/>
  <c r="C12364" i="1"/>
  <c r="D12364" i="1"/>
  <c r="E12364" i="1"/>
  <c r="A12365" i="1"/>
  <c r="B12365" i="1"/>
  <c r="C12365" i="1"/>
  <c r="D12365" i="1"/>
  <c r="E12365" i="1"/>
  <c r="A12366" i="1"/>
  <c r="B12366" i="1"/>
  <c r="C12366" i="1"/>
  <c r="D12366" i="1"/>
  <c r="E12366" i="1"/>
  <c r="A12367" i="1"/>
  <c r="B12367" i="1"/>
  <c r="C12367" i="1"/>
  <c r="D12367" i="1"/>
  <c r="E12367" i="1"/>
  <c r="A12368" i="1"/>
  <c r="B12368" i="1"/>
  <c r="C12368" i="1"/>
  <c r="D12368" i="1"/>
  <c r="E12368" i="1"/>
  <c r="A12369" i="1"/>
  <c r="B12369" i="1"/>
  <c r="C12369" i="1"/>
  <c r="D12369" i="1"/>
  <c r="E12369" i="1"/>
  <c r="A12370" i="1"/>
  <c r="B12370" i="1"/>
  <c r="C12370" i="1"/>
  <c r="D12370" i="1"/>
  <c r="E12370" i="1"/>
  <c r="A12371" i="1"/>
  <c r="B12371" i="1"/>
  <c r="C12371" i="1"/>
  <c r="D12371" i="1"/>
  <c r="E12371" i="1"/>
  <c r="A12372" i="1"/>
  <c r="B12372" i="1"/>
  <c r="C12372" i="1"/>
  <c r="D12372" i="1"/>
  <c r="E12372" i="1"/>
  <c r="A12373" i="1"/>
  <c r="B12373" i="1"/>
  <c r="C12373" i="1"/>
  <c r="D12373" i="1"/>
  <c r="E12373" i="1"/>
  <c r="A12374" i="1"/>
  <c r="B12374" i="1"/>
  <c r="C12374" i="1"/>
  <c r="D12374" i="1"/>
  <c r="E12374" i="1"/>
  <c r="A12375" i="1"/>
  <c r="B12375" i="1"/>
  <c r="C12375" i="1"/>
  <c r="D12375" i="1"/>
  <c r="E12375" i="1"/>
  <c r="A12376" i="1"/>
  <c r="B12376" i="1"/>
  <c r="C12376" i="1"/>
  <c r="D12376" i="1"/>
  <c r="E12376" i="1"/>
  <c r="A12377" i="1"/>
  <c r="B12377" i="1"/>
  <c r="C12377" i="1"/>
  <c r="D12377" i="1"/>
  <c r="E12377" i="1"/>
  <c r="A12378" i="1"/>
  <c r="B12378" i="1"/>
  <c r="C12378" i="1"/>
  <c r="D12378" i="1"/>
  <c r="E12378" i="1"/>
  <c r="A12379" i="1"/>
  <c r="B12379" i="1"/>
  <c r="C12379" i="1"/>
  <c r="D12379" i="1"/>
  <c r="E12379" i="1"/>
  <c r="A12380" i="1"/>
  <c r="B12380" i="1"/>
  <c r="C12380" i="1"/>
  <c r="D12380" i="1"/>
  <c r="E12380" i="1"/>
  <c r="A12381" i="1"/>
  <c r="B12381" i="1"/>
  <c r="C12381" i="1"/>
  <c r="D12381" i="1"/>
  <c r="E12381" i="1"/>
  <c r="A12382" i="1"/>
  <c r="B12382" i="1"/>
  <c r="C12382" i="1"/>
  <c r="D12382" i="1"/>
  <c r="E12382" i="1"/>
  <c r="A12383" i="1"/>
  <c r="B12383" i="1"/>
  <c r="C12383" i="1"/>
  <c r="D12383" i="1"/>
  <c r="E12383" i="1"/>
  <c r="A12384" i="1"/>
  <c r="B12384" i="1"/>
  <c r="C12384" i="1"/>
  <c r="D12384" i="1"/>
  <c r="E12384" i="1"/>
  <c r="A12385" i="1"/>
  <c r="B12385" i="1"/>
  <c r="C12385" i="1"/>
  <c r="D12385" i="1"/>
  <c r="E12385" i="1"/>
  <c r="A12386" i="1"/>
  <c r="B12386" i="1"/>
  <c r="C12386" i="1"/>
  <c r="D12386" i="1"/>
  <c r="E12386" i="1"/>
  <c r="A12387" i="1"/>
  <c r="B12387" i="1"/>
  <c r="C12387" i="1"/>
  <c r="D12387" i="1"/>
  <c r="E12387" i="1"/>
  <c r="A12388" i="1"/>
  <c r="B12388" i="1"/>
  <c r="C12388" i="1"/>
  <c r="D12388" i="1"/>
  <c r="E12388" i="1"/>
  <c r="A12389" i="1"/>
  <c r="B12389" i="1"/>
  <c r="C12389" i="1"/>
  <c r="D12389" i="1"/>
  <c r="E12389" i="1"/>
  <c r="A12390" i="1"/>
  <c r="B12390" i="1"/>
  <c r="C12390" i="1"/>
  <c r="D12390" i="1"/>
  <c r="E12390" i="1"/>
  <c r="A12391" i="1"/>
  <c r="B12391" i="1"/>
  <c r="C12391" i="1"/>
  <c r="D12391" i="1"/>
  <c r="E12391" i="1"/>
  <c r="A12392" i="1"/>
  <c r="B12392" i="1"/>
  <c r="C12392" i="1"/>
  <c r="D12392" i="1"/>
  <c r="E12392" i="1"/>
  <c r="A12393" i="1"/>
  <c r="B12393" i="1"/>
  <c r="C12393" i="1"/>
  <c r="D12393" i="1"/>
  <c r="E12393" i="1"/>
  <c r="A12394" i="1"/>
  <c r="B12394" i="1"/>
  <c r="C12394" i="1"/>
  <c r="D12394" i="1"/>
  <c r="E12394" i="1"/>
  <c r="A12395" i="1"/>
  <c r="B12395" i="1"/>
  <c r="C12395" i="1"/>
  <c r="D12395" i="1"/>
  <c r="E12395" i="1"/>
  <c r="A12396" i="1"/>
  <c r="B12396" i="1"/>
  <c r="C12396" i="1"/>
  <c r="D12396" i="1"/>
  <c r="E12396" i="1"/>
  <c r="A12397" i="1"/>
  <c r="B12397" i="1"/>
  <c r="C12397" i="1"/>
  <c r="D12397" i="1"/>
  <c r="E12397" i="1"/>
  <c r="A12398" i="1"/>
  <c r="B12398" i="1"/>
  <c r="C12398" i="1"/>
  <c r="D12398" i="1"/>
  <c r="E12398" i="1"/>
  <c r="A12399" i="1"/>
  <c r="B12399" i="1"/>
  <c r="C12399" i="1"/>
  <c r="D12399" i="1"/>
  <c r="E12399" i="1"/>
  <c r="A12400" i="1"/>
  <c r="B12400" i="1"/>
  <c r="C12400" i="1"/>
  <c r="D12400" i="1"/>
  <c r="E12400" i="1"/>
  <c r="A12401" i="1"/>
  <c r="B12401" i="1"/>
  <c r="C12401" i="1"/>
  <c r="D12401" i="1"/>
  <c r="E12401" i="1"/>
  <c r="A12402" i="1"/>
  <c r="B12402" i="1"/>
  <c r="C12402" i="1"/>
  <c r="D12402" i="1"/>
  <c r="E12402" i="1"/>
  <c r="A12403" i="1"/>
  <c r="B12403" i="1"/>
  <c r="C12403" i="1"/>
  <c r="D12403" i="1"/>
  <c r="E12403" i="1"/>
  <c r="A12404" i="1"/>
  <c r="B12404" i="1"/>
  <c r="C12404" i="1"/>
  <c r="D12404" i="1"/>
  <c r="E12404" i="1"/>
  <c r="A12405" i="1"/>
  <c r="B12405" i="1"/>
  <c r="C12405" i="1"/>
  <c r="D12405" i="1"/>
  <c r="E12405" i="1"/>
  <c r="A12406" i="1"/>
  <c r="B12406" i="1"/>
  <c r="C12406" i="1"/>
  <c r="D12406" i="1"/>
  <c r="E12406" i="1"/>
  <c r="A12407" i="1"/>
  <c r="B12407" i="1"/>
  <c r="C12407" i="1"/>
  <c r="D12407" i="1"/>
  <c r="E12407" i="1"/>
  <c r="A12408" i="1"/>
  <c r="B12408" i="1"/>
  <c r="C12408" i="1"/>
  <c r="D12408" i="1"/>
  <c r="E12408" i="1"/>
  <c r="A12409" i="1"/>
  <c r="B12409" i="1"/>
  <c r="C12409" i="1"/>
  <c r="D12409" i="1"/>
  <c r="E12409" i="1"/>
  <c r="A12410" i="1"/>
  <c r="B12410" i="1"/>
  <c r="C12410" i="1"/>
  <c r="D12410" i="1"/>
  <c r="E12410" i="1"/>
  <c r="A12411" i="1"/>
  <c r="B12411" i="1"/>
  <c r="C12411" i="1"/>
  <c r="D12411" i="1"/>
  <c r="E12411" i="1"/>
  <c r="A12412" i="1"/>
  <c r="B12412" i="1"/>
  <c r="C12412" i="1"/>
  <c r="D12412" i="1"/>
  <c r="E12412" i="1"/>
  <c r="A12413" i="1"/>
  <c r="B12413" i="1"/>
  <c r="C12413" i="1"/>
  <c r="D12413" i="1"/>
  <c r="E12413" i="1"/>
  <c r="A12414" i="1"/>
  <c r="B12414" i="1"/>
  <c r="C12414" i="1"/>
  <c r="D12414" i="1"/>
  <c r="E12414" i="1"/>
  <c r="A12415" i="1"/>
  <c r="B12415" i="1"/>
  <c r="C12415" i="1"/>
  <c r="D12415" i="1"/>
  <c r="E12415" i="1"/>
  <c r="A12416" i="1"/>
  <c r="B12416" i="1"/>
  <c r="C12416" i="1"/>
  <c r="D12416" i="1"/>
  <c r="E12416" i="1"/>
  <c r="A12417" i="1"/>
  <c r="B12417" i="1"/>
  <c r="C12417" i="1"/>
  <c r="D12417" i="1"/>
  <c r="E12417" i="1"/>
  <c r="A12418" i="1"/>
  <c r="B12418" i="1"/>
  <c r="C12418" i="1"/>
  <c r="D12418" i="1"/>
  <c r="E12418" i="1"/>
  <c r="A12419" i="1"/>
  <c r="B12419" i="1"/>
  <c r="C12419" i="1"/>
  <c r="D12419" i="1"/>
  <c r="E12419" i="1"/>
  <c r="A12420" i="1"/>
  <c r="B12420" i="1"/>
  <c r="C12420" i="1"/>
  <c r="D12420" i="1"/>
  <c r="E12420" i="1"/>
  <c r="A12421" i="1"/>
  <c r="B12421" i="1"/>
  <c r="C12421" i="1"/>
  <c r="D12421" i="1"/>
  <c r="E12421" i="1"/>
  <c r="A12422" i="1"/>
  <c r="B12422" i="1"/>
  <c r="C12422" i="1"/>
  <c r="D12422" i="1"/>
  <c r="E12422" i="1"/>
  <c r="A12423" i="1"/>
  <c r="B12423" i="1"/>
  <c r="C12423" i="1"/>
  <c r="D12423" i="1"/>
  <c r="E12423" i="1"/>
  <c r="A12424" i="1"/>
  <c r="B12424" i="1"/>
  <c r="C12424" i="1"/>
  <c r="D12424" i="1"/>
  <c r="E12424" i="1"/>
  <c r="A12425" i="1"/>
  <c r="B12425" i="1"/>
  <c r="C12425" i="1"/>
  <c r="D12425" i="1"/>
  <c r="E12425" i="1"/>
  <c r="A12426" i="1"/>
  <c r="B12426" i="1"/>
  <c r="C12426" i="1"/>
  <c r="D12426" i="1"/>
  <c r="E12426" i="1"/>
  <c r="A12427" i="1"/>
  <c r="B12427" i="1"/>
  <c r="C12427" i="1"/>
  <c r="D12427" i="1"/>
  <c r="E12427" i="1"/>
  <c r="A12428" i="1"/>
  <c r="B12428" i="1"/>
  <c r="C12428" i="1"/>
  <c r="D12428" i="1"/>
  <c r="E12428" i="1"/>
  <c r="A12429" i="1"/>
  <c r="B12429" i="1"/>
  <c r="C12429" i="1"/>
  <c r="D12429" i="1"/>
  <c r="E12429" i="1"/>
  <c r="A12430" i="1"/>
  <c r="B12430" i="1"/>
  <c r="C12430" i="1"/>
  <c r="D12430" i="1"/>
  <c r="E12430" i="1"/>
  <c r="A12431" i="1"/>
  <c r="B12431" i="1"/>
  <c r="C12431" i="1"/>
  <c r="D12431" i="1"/>
  <c r="E12431" i="1"/>
  <c r="A12432" i="1"/>
  <c r="B12432" i="1"/>
  <c r="C12432" i="1"/>
  <c r="D12432" i="1"/>
  <c r="E12432" i="1"/>
  <c r="A12433" i="1"/>
  <c r="B12433" i="1"/>
  <c r="C12433" i="1"/>
  <c r="D12433" i="1"/>
  <c r="E12433" i="1"/>
  <c r="A12434" i="1"/>
  <c r="B12434" i="1"/>
  <c r="C12434" i="1"/>
  <c r="D12434" i="1"/>
  <c r="E12434" i="1"/>
  <c r="A12435" i="1"/>
  <c r="B12435" i="1"/>
  <c r="C12435" i="1"/>
  <c r="D12435" i="1"/>
  <c r="E12435" i="1"/>
  <c r="A12436" i="1"/>
  <c r="B12436" i="1"/>
  <c r="C12436" i="1"/>
  <c r="D12436" i="1"/>
  <c r="E12436" i="1"/>
  <c r="A12437" i="1"/>
  <c r="B12437" i="1"/>
  <c r="C12437" i="1"/>
  <c r="D12437" i="1"/>
  <c r="E12437" i="1"/>
  <c r="A12438" i="1"/>
  <c r="B12438" i="1"/>
  <c r="C12438" i="1"/>
  <c r="D12438" i="1"/>
  <c r="E12438" i="1"/>
  <c r="A12439" i="1"/>
  <c r="B12439" i="1"/>
  <c r="C12439" i="1"/>
  <c r="D12439" i="1"/>
  <c r="E12439" i="1"/>
  <c r="A12440" i="1"/>
  <c r="B12440" i="1"/>
  <c r="C12440" i="1"/>
  <c r="D12440" i="1"/>
  <c r="E12440" i="1"/>
  <c r="A12441" i="1"/>
  <c r="B12441" i="1"/>
  <c r="C12441" i="1"/>
  <c r="D12441" i="1"/>
  <c r="E12441" i="1"/>
  <c r="A12442" i="1"/>
  <c r="B12442" i="1"/>
  <c r="C12442" i="1"/>
  <c r="D12442" i="1"/>
  <c r="E12442" i="1"/>
  <c r="A12443" i="1"/>
  <c r="B12443" i="1"/>
  <c r="C12443" i="1"/>
  <c r="D12443" i="1"/>
  <c r="E12443" i="1"/>
  <c r="A12444" i="1"/>
  <c r="B12444" i="1"/>
  <c r="C12444" i="1"/>
  <c r="D12444" i="1"/>
  <c r="E12444" i="1"/>
  <c r="A12445" i="1"/>
  <c r="B12445" i="1"/>
  <c r="C12445" i="1"/>
  <c r="D12445" i="1"/>
  <c r="E12445" i="1"/>
  <c r="A12446" i="1"/>
  <c r="B12446" i="1"/>
  <c r="C12446" i="1"/>
  <c r="D12446" i="1"/>
  <c r="E12446" i="1"/>
  <c r="A12447" i="1"/>
  <c r="B12447" i="1"/>
  <c r="C12447" i="1"/>
  <c r="D12447" i="1"/>
  <c r="E12447" i="1"/>
  <c r="A12448" i="1"/>
  <c r="B12448" i="1"/>
  <c r="C12448" i="1"/>
  <c r="D12448" i="1"/>
  <c r="E12448" i="1"/>
  <c r="A12449" i="1"/>
  <c r="B12449" i="1"/>
  <c r="C12449" i="1"/>
  <c r="D12449" i="1"/>
  <c r="E12449" i="1"/>
  <c r="A12450" i="1"/>
  <c r="B12450" i="1"/>
  <c r="C12450" i="1"/>
  <c r="D12450" i="1"/>
  <c r="E12450" i="1"/>
  <c r="A12451" i="1"/>
  <c r="B12451" i="1"/>
  <c r="C12451" i="1"/>
  <c r="D12451" i="1"/>
  <c r="E12451" i="1"/>
  <c r="A12452" i="1"/>
  <c r="B12452" i="1"/>
  <c r="C12452" i="1"/>
  <c r="D12452" i="1"/>
  <c r="E12452" i="1"/>
  <c r="A12453" i="1"/>
  <c r="B12453" i="1"/>
  <c r="C12453" i="1"/>
  <c r="D12453" i="1"/>
  <c r="E12453" i="1"/>
  <c r="A12454" i="1"/>
  <c r="B12454" i="1"/>
  <c r="C12454" i="1"/>
  <c r="D12454" i="1"/>
  <c r="E12454" i="1"/>
  <c r="A12455" i="1"/>
  <c r="B12455" i="1"/>
  <c r="C12455" i="1"/>
  <c r="D12455" i="1"/>
  <c r="E12455" i="1"/>
  <c r="A12456" i="1"/>
  <c r="B12456" i="1"/>
  <c r="C12456" i="1"/>
  <c r="D12456" i="1"/>
  <c r="E12456" i="1"/>
  <c r="A12457" i="1"/>
  <c r="B12457" i="1"/>
  <c r="C12457" i="1"/>
  <c r="D12457" i="1"/>
  <c r="E12457" i="1"/>
  <c r="A12458" i="1"/>
  <c r="B12458" i="1"/>
  <c r="C12458" i="1"/>
  <c r="D12458" i="1"/>
  <c r="E12458" i="1"/>
  <c r="A12459" i="1"/>
  <c r="B12459" i="1"/>
  <c r="C12459" i="1"/>
  <c r="D12459" i="1"/>
  <c r="E12459" i="1"/>
  <c r="A12460" i="1"/>
  <c r="B12460" i="1"/>
  <c r="C12460" i="1"/>
  <c r="D12460" i="1"/>
  <c r="E12460" i="1"/>
  <c r="A12461" i="1"/>
  <c r="B12461" i="1"/>
  <c r="C12461" i="1"/>
  <c r="D12461" i="1"/>
  <c r="E12461" i="1"/>
  <c r="A12462" i="1"/>
  <c r="B12462" i="1"/>
  <c r="C12462" i="1"/>
  <c r="D12462" i="1"/>
  <c r="E12462" i="1"/>
  <c r="A12463" i="1"/>
  <c r="B12463" i="1"/>
  <c r="C12463" i="1"/>
  <c r="D12463" i="1"/>
  <c r="E12463" i="1"/>
  <c r="A12464" i="1"/>
  <c r="B12464" i="1"/>
  <c r="C12464" i="1"/>
  <c r="D12464" i="1"/>
  <c r="E12464" i="1"/>
  <c r="A12465" i="1"/>
  <c r="B12465" i="1"/>
  <c r="C12465" i="1"/>
  <c r="D12465" i="1"/>
  <c r="E12465" i="1"/>
  <c r="A12466" i="1"/>
  <c r="B12466" i="1"/>
  <c r="C12466" i="1"/>
  <c r="D12466" i="1"/>
  <c r="E12466" i="1"/>
  <c r="A12467" i="1"/>
  <c r="B12467" i="1"/>
  <c r="C12467" i="1"/>
  <c r="D12467" i="1"/>
  <c r="E12467" i="1"/>
  <c r="A12468" i="1"/>
  <c r="B12468" i="1"/>
  <c r="C12468" i="1"/>
  <c r="D12468" i="1"/>
  <c r="E12468" i="1"/>
  <c r="A12469" i="1"/>
  <c r="B12469" i="1"/>
  <c r="C12469" i="1"/>
  <c r="D12469" i="1"/>
  <c r="E12469" i="1"/>
  <c r="A12470" i="1"/>
  <c r="B12470" i="1"/>
  <c r="C12470" i="1"/>
  <c r="D12470" i="1"/>
  <c r="E12470" i="1"/>
  <c r="A12471" i="1"/>
  <c r="B12471" i="1"/>
  <c r="C12471" i="1"/>
  <c r="D12471" i="1"/>
  <c r="E12471" i="1"/>
  <c r="A12472" i="1"/>
  <c r="B12472" i="1"/>
  <c r="C12472" i="1"/>
  <c r="D12472" i="1"/>
  <c r="E12472" i="1"/>
  <c r="A12473" i="1"/>
  <c r="B12473" i="1"/>
  <c r="C12473" i="1"/>
  <c r="D12473" i="1"/>
  <c r="E12473" i="1"/>
  <c r="A12474" i="1"/>
  <c r="B12474" i="1"/>
  <c r="C12474" i="1"/>
  <c r="D12474" i="1"/>
  <c r="E12474" i="1"/>
  <c r="A12475" i="1"/>
  <c r="B12475" i="1"/>
  <c r="C12475" i="1"/>
  <c r="D12475" i="1"/>
  <c r="E12475" i="1"/>
  <c r="A12476" i="1"/>
  <c r="B12476" i="1"/>
  <c r="C12476" i="1"/>
  <c r="D12476" i="1"/>
  <c r="E12476" i="1"/>
  <c r="A12477" i="1"/>
  <c r="B12477" i="1"/>
  <c r="C12477" i="1"/>
  <c r="D12477" i="1"/>
  <c r="E12477" i="1"/>
  <c r="A12478" i="1"/>
  <c r="B12478" i="1"/>
  <c r="C12478" i="1"/>
  <c r="D12478" i="1"/>
  <c r="E12478" i="1"/>
  <c r="A12479" i="1"/>
  <c r="B12479" i="1"/>
  <c r="C12479" i="1"/>
  <c r="D12479" i="1"/>
  <c r="E12479" i="1"/>
  <c r="A12480" i="1"/>
  <c r="B12480" i="1"/>
  <c r="C12480" i="1"/>
  <c r="D12480" i="1"/>
  <c r="E12480" i="1"/>
  <c r="A12481" i="1"/>
  <c r="B12481" i="1"/>
  <c r="C12481" i="1"/>
  <c r="D12481" i="1"/>
  <c r="E12481" i="1"/>
  <c r="A12482" i="1"/>
  <c r="B12482" i="1"/>
  <c r="C12482" i="1"/>
  <c r="D12482" i="1"/>
  <c r="E12482" i="1"/>
  <c r="A12483" i="1"/>
  <c r="B12483" i="1"/>
  <c r="C12483" i="1"/>
  <c r="D12483" i="1"/>
  <c r="E12483" i="1"/>
  <c r="A12484" i="1"/>
  <c r="B12484" i="1"/>
  <c r="C12484" i="1"/>
  <c r="D12484" i="1"/>
  <c r="E12484" i="1"/>
  <c r="A12485" i="1"/>
  <c r="B12485" i="1"/>
  <c r="C12485" i="1"/>
  <c r="D12485" i="1"/>
  <c r="E12485" i="1"/>
  <c r="A12486" i="1"/>
  <c r="B12486" i="1"/>
  <c r="C12486" i="1"/>
  <c r="D12486" i="1"/>
  <c r="E12486" i="1"/>
  <c r="A12487" i="1"/>
  <c r="B12487" i="1"/>
  <c r="C12487" i="1"/>
  <c r="D12487" i="1"/>
  <c r="E12487" i="1"/>
  <c r="A12488" i="1"/>
  <c r="B12488" i="1"/>
  <c r="C12488" i="1"/>
  <c r="D12488" i="1"/>
  <c r="E12488" i="1"/>
  <c r="A12489" i="1"/>
  <c r="B12489" i="1"/>
  <c r="C12489" i="1"/>
  <c r="D12489" i="1"/>
  <c r="E12489" i="1"/>
  <c r="A12490" i="1"/>
  <c r="B12490" i="1"/>
  <c r="C12490" i="1"/>
  <c r="D12490" i="1"/>
  <c r="E12490" i="1"/>
  <c r="A12491" i="1"/>
  <c r="B12491" i="1"/>
  <c r="C12491" i="1"/>
  <c r="D12491" i="1"/>
  <c r="E12491" i="1"/>
  <c r="A12492" i="1"/>
  <c r="B12492" i="1"/>
  <c r="C12492" i="1"/>
  <c r="D12492" i="1"/>
  <c r="E12492" i="1"/>
  <c r="A12493" i="1"/>
  <c r="B12493" i="1"/>
  <c r="C12493" i="1"/>
  <c r="D12493" i="1"/>
  <c r="E12493" i="1"/>
  <c r="A12494" i="1"/>
  <c r="B12494" i="1"/>
  <c r="C12494" i="1"/>
  <c r="D12494" i="1"/>
  <c r="E12494" i="1"/>
  <c r="A12495" i="1"/>
  <c r="B12495" i="1"/>
  <c r="C12495" i="1"/>
  <c r="D12495" i="1"/>
  <c r="E12495" i="1"/>
  <c r="A12496" i="1"/>
  <c r="B12496" i="1"/>
  <c r="C12496" i="1"/>
  <c r="D12496" i="1"/>
  <c r="E12496" i="1"/>
  <c r="A12497" i="1"/>
  <c r="B12497" i="1"/>
  <c r="C12497" i="1"/>
  <c r="D12497" i="1"/>
  <c r="E12497" i="1"/>
  <c r="A12498" i="1"/>
  <c r="B12498" i="1"/>
  <c r="C12498" i="1"/>
  <c r="D12498" i="1"/>
  <c r="E12498" i="1"/>
  <c r="A12499" i="1"/>
  <c r="B12499" i="1"/>
  <c r="C12499" i="1"/>
  <c r="D12499" i="1"/>
  <c r="E12499" i="1"/>
  <c r="A12500" i="1"/>
  <c r="B12500" i="1"/>
  <c r="C12500" i="1"/>
  <c r="D12500" i="1"/>
  <c r="E12500" i="1"/>
  <c r="A12501" i="1"/>
  <c r="B12501" i="1"/>
  <c r="C12501" i="1"/>
  <c r="D12501" i="1"/>
  <c r="E12501" i="1"/>
  <c r="A12502" i="1"/>
  <c r="B12502" i="1"/>
  <c r="C12502" i="1"/>
  <c r="D12502" i="1"/>
  <c r="E12502" i="1"/>
  <c r="A12503" i="1"/>
  <c r="B12503" i="1"/>
  <c r="C12503" i="1"/>
  <c r="D12503" i="1"/>
  <c r="E12503" i="1"/>
  <c r="A12504" i="1"/>
  <c r="B12504" i="1"/>
  <c r="C12504" i="1"/>
  <c r="D12504" i="1"/>
  <c r="E12504" i="1"/>
  <c r="A12505" i="1"/>
  <c r="B12505" i="1"/>
  <c r="C12505" i="1"/>
  <c r="D12505" i="1"/>
  <c r="E12505" i="1"/>
  <c r="A12506" i="1"/>
  <c r="B12506" i="1"/>
  <c r="C12506" i="1"/>
  <c r="D12506" i="1"/>
  <c r="E12506" i="1"/>
  <c r="A12507" i="1"/>
  <c r="B12507" i="1"/>
  <c r="C12507" i="1"/>
  <c r="D12507" i="1"/>
  <c r="E12507" i="1"/>
  <c r="A12508" i="1"/>
  <c r="B12508" i="1"/>
  <c r="C12508" i="1"/>
  <c r="D12508" i="1"/>
  <c r="E12508" i="1"/>
  <c r="A12509" i="1"/>
  <c r="B12509" i="1"/>
  <c r="C12509" i="1"/>
  <c r="D12509" i="1"/>
  <c r="E12509" i="1"/>
  <c r="A12510" i="1"/>
  <c r="B12510" i="1"/>
  <c r="C12510" i="1"/>
  <c r="D12510" i="1"/>
  <c r="E12510" i="1"/>
  <c r="A12511" i="1"/>
  <c r="B12511" i="1"/>
  <c r="C12511" i="1"/>
  <c r="D12511" i="1"/>
  <c r="E12511" i="1"/>
  <c r="A12512" i="1"/>
  <c r="B12512" i="1"/>
  <c r="C12512" i="1"/>
  <c r="D12512" i="1"/>
  <c r="E12512" i="1"/>
  <c r="A12513" i="1"/>
  <c r="B12513" i="1"/>
  <c r="C12513" i="1"/>
  <c r="D12513" i="1"/>
  <c r="E12513" i="1"/>
  <c r="A12514" i="1"/>
  <c r="B12514" i="1"/>
  <c r="C12514" i="1"/>
  <c r="D12514" i="1"/>
  <c r="E12514" i="1"/>
  <c r="A12515" i="1"/>
  <c r="B12515" i="1"/>
  <c r="C12515" i="1"/>
  <c r="D12515" i="1"/>
  <c r="E12515" i="1"/>
  <c r="A12516" i="1"/>
  <c r="B12516" i="1"/>
  <c r="C12516" i="1"/>
  <c r="D12516" i="1"/>
  <c r="E12516" i="1"/>
  <c r="A12517" i="1"/>
  <c r="B12517" i="1"/>
  <c r="C12517" i="1"/>
  <c r="D12517" i="1"/>
  <c r="E12517" i="1"/>
  <c r="A12518" i="1"/>
  <c r="B12518" i="1"/>
  <c r="C12518" i="1"/>
  <c r="D12518" i="1"/>
  <c r="E12518" i="1"/>
  <c r="A12519" i="1"/>
  <c r="B12519" i="1"/>
  <c r="C12519" i="1"/>
  <c r="D12519" i="1"/>
  <c r="E12519" i="1"/>
  <c r="A12520" i="1"/>
  <c r="B12520" i="1"/>
  <c r="C12520" i="1"/>
  <c r="D12520" i="1"/>
  <c r="E12520" i="1"/>
  <c r="A12521" i="1"/>
  <c r="B12521" i="1"/>
  <c r="C12521" i="1"/>
  <c r="D12521" i="1"/>
  <c r="E12521" i="1"/>
  <c r="A12522" i="1"/>
  <c r="B12522" i="1"/>
  <c r="C12522" i="1"/>
  <c r="D12522" i="1"/>
  <c r="E12522" i="1"/>
  <c r="A12523" i="1"/>
  <c r="B12523" i="1"/>
  <c r="C12523" i="1"/>
  <c r="D12523" i="1"/>
  <c r="E12523" i="1"/>
  <c r="A12524" i="1"/>
  <c r="B12524" i="1"/>
  <c r="C12524" i="1"/>
  <c r="D12524" i="1"/>
  <c r="E12524" i="1"/>
  <c r="A12525" i="1"/>
  <c r="B12525" i="1"/>
  <c r="C12525" i="1"/>
  <c r="D12525" i="1"/>
  <c r="E12525" i="1"/>
  <c r="A12526" i="1"/>
  <c r="B12526" i="1"/>
  <c r="C12526" i="1"/>
  <c r="D12526" i="1"/>
  <c r="E12526" i="1"/>
  <c r="A12527" i="1"/>
  <c r="B12527" i="1"/>
  <c r="C12527" i="1"/>
  <c r="D12527" i="1"/>
  <c r="E12527" i="1"/>
  <c r="A12528" i="1"/>
  <c r="B12528" i="1"/>
  <c r="C12528" i="1"/>
  <c r="D12528" i="1"/>
  <c r="E12528" i="1"/>
  <c r="A12529" i="1"/>
  <c r="B12529" i="1"/>
  <c r="C12529" i="1"/>
  <c r="D12529" i="1"/>
  <c r="E12529" i="1"/>
  <c r="A12530" i="1"/>
  <c r="B12530" i="1"/>
  <c r="C12530" i="1"/>
  <c r="D12530" i="1"/>
  <c r="E12530" i="1"/>
  <c r="A12531" i="1"/>
  <c r="B12531" i="1"/>
  <c r="C12531" i="1"/>
  <c r="D12531" i="1"/>
  <c r="E12531" i="1"/>
  <c r="A12532" i="1"/>
  <c r="B12532" i="1"/>
  <c r="C12532" i="1"/>
  <c r="D12532" i="1"/>
  <c r="E12532" i="1"/>
  <c r="A12533" i="1"/>
  <c r="B12533" i="1"/>
  <c r="C12533" i="1"/>
  <c r="D12533" i="1"/>
  <c r="E12533" i="1"/>
  <c r="A12534" i="1"/>
  <c r="B12534" i="1"/>
  <c r="C12534" i="1"/>
  <c r="D12534" i="1"/>
  <c r="E12534" i="1"/>
  <c r="A12535" i="1"/>
  <c r="B12535" i="1"/>
  <c r="C12535" i="1"/>
  <c r="D12535" i="1"/>
  <c r="E12535" i="1"/>
  <c r="A12536" i="1"/>
  <c r="B12536" i="1"/>
  <c r="C12536" i="1"/>
  <c r="D12536" i="1"/>
  <c r="E12536" i="1"/>
  <c r="A12537" i="1"/>
  <c r="B12537" i="1"/>
  <c r="C12537" i="1"/>
  <c r="D12537" i="1"/>
  <c r="E12537" i="1"/>
  <c r="A12538" i="1"/>
  <c r="B12538" i="1"/>
  <c r="C12538" i="1"/>
  <c r="D12538" i="1"/>
  <c r="E12538" i="1"/>
  <c r="A12539" i="1"/>
  <c r="B12539" i="1"/>
  <c r="C12539" i="1"/>
  <c r="D12539" i="1"/>
  <c r="E12539" i="1"/>
  <c r="A12540" i="1"/>
  <c r="B12540" i="1"/>
  <c r="C12540" i="1"/>
  <c r="D12540" i="1"/>
  <c r="E12540" i="1"/>
  <c r="A12541" i="1"/>
  <c r="B12541" i="1"/>
  <c r="C12541" i="1"/>
  <c r="D12541" i="1"/>
  <c r="E12541" i="1"/>
  <c r="A12542" i="1"/>
  <c r="B12542" i="1"/>
  <c r="C12542" i="1"/>
  <c r="D12542" i="1"/>
  <c r="E12542" i="1"/>
  <c r="A12543" i="1"/>
  <c r="B12543" i="1"/>
  <c r="C12543" i="1"/>
  <c r="D12543" i="1"/>
  <c r="E12543" i="1"/>
  <c r="A12544" i="1"/>
  <c r="B12544" i="1"/>
  <c r="C12544" i="1"/>
  <c r="D12544" i="1"/>
  <c r="E12544" i="1"/>
  <c r="A12545" i="1"/>
  <c r="B12545" i="1"/>
  <c r="C12545" i="1"/>
  <c r="D12545" i="1"/>
  <c r="E12545" i="1"/>
  <c r="A12546" i="1"/>
  <c r="B12546" i="1"/>
  <c r="C12546" i="1"/>
  <c r="D12546" i="1"/>
  <c r="E12546" i="1"/>
  <c r="A12547" i="1"/>
  <c r="B12547" i="1"/>
  <c r="C12547" i="1"/>
  <c r="D12547" i="1"/>
  <c r="E12547" i="1"/>
  <c r="A12548" i="1"/>
  <c r="B12548" i="1"/>
  <c r="C12548" i="1"/>
  <c r="D12548" i="1"/>
  <c r="E12548" i="1"/>
  <c r="A12549" i="1"/>
  <c r="B12549" i="1"/>
  <c r="C12549" i="1"/>
  <c r="D12549" i="1"/>
  <c r="E12549" i="1"/>
  <c r="A12550" i="1"/>
  <c r="B12550" i="1"/>
  <c r="C12550" i="1"/>
  <c r="D12550" i="1"/>
  <c r="E12550" i="1"/>
  <c r="A12551" i="1"/>
  <c r="B12551" i="1"/>
  <c r="C12551" i="1"/>
  <c r="D12551" i="1"/>
  <c r="E12551" i="1"/>
  <c r="A12552" i="1"/>
  <c r="B12552" i="1"/>
  <c r="C12552" i="1"/>
  <c r="D12552" i="1"/>
  <c r="E12552" i="1"/>
  <c r="A12553" i="1"/>
  <c r="B12553" i="1"/>
  <c r="C12553" i="1"/>
  <c r="D12553" i="1"/>
  <c r="E12553" i="1"/>
  <c r="A12554" i="1"/>
  <c r="B12554" i="1"/>
  <c r="C12554" i="1"/>
  <c r="D12554" i="1"/>
  <c r="E12554" i="1"/>
  <c r="A12555" i="1"/>
  <c r="B12555" i="1"/>
  <c r="C12555" i="1"/>
  <c r="D12555" i="1"/>
  <c r="E12555" i="1"/>
  <c r="A12556" i="1"/>
  <c r="B12556" i="1"/>
  <c r="C12556" i="1"/>
  <c r="D12556" i="1"/>
  <c r="E12556" i="1"/>
  <c r="A12557" i="1"/>
  <c r="B12557" i="1"/>
  <c r="C12557" i="1"/>
  <c r="D12557" i="1"/>
  <c r="E12557" i="1"/>
  <c r="A12558" i="1"/>
  <c r="B12558" i="1"/>
  <c r="C12558" i="1"/>
  <c r="D12558" i="1"/>
  <c r="E12558" i="1"/>
  <c r="A12559" i="1"/>
  <c r="B12559" i="1"/>
  <c r="C12559" i="1"/>
  <c r="D12559" i="1"/>
  <c r="E12559" i="1"/>
  <c r="A12560" i="1"/>
  <c r="B12560" i="1"/>
  <c r="C12560" i="1"/>
  <c r="D12560" i="1"/>
  <c r="E12560" i="1"/>
  <c r="A12561" i="1"/>
  <c r="B12561" i="1"/>
  <c r="C12561" i="1"/>
  <c r="D12561" i="1"/>
  <c r="E12561" i="1"/>
  <c r="A12562" i="1"/>
  <c r="B12562" i="1"/>
  <c r="C12562" i="1"/>
  <c r="D12562" i="1"/>
  <c r="E12562" i="1"/>
  <c r="A12563" i="1"/>
  <c r="B12563" i="1"/>
  <c r="C12563" i="1"/>
  <c r="D12563" i="1"/>
  <c r="E12563" i="1"/>
  <c r="A12564" i="1"/>
  <c r="B12564" i="1"/>
  <c r="C12564" i="1"/>
  <c r="D12564" i="1"/>
  <c r="E12564" i="1"/>
  <c r="A12565" i="1"/>
  <c r="B12565" i="1"/>
  <c r="C12565" i="1"/>
  <c r="D12565" i="1"/>
  <c r="E12565" i="1"/>
  <c r="A12566" i="1"/>
  <c r="B12566" i="1"/>
  <c r="C12566" i="1"/>
  <c r="D12566" i="1"/>
  <c r="E12566" i="1"/>
  <c r="A12567" i="1"/>
  <c r="B12567" i="1"/>
  <c r="C12567" i="1"/>
  <c r="D12567" i="1"/>
  <c r="E12567" i="1"/>
  <c r="A12568" i="1"/>
  <c r="B12568" i="1"/>
  <c r="C12568" i="1"/>
  <c r="D12568" i="1"/>
  <c r="E12568" i="1"/>
  <c r="A12569" i="1"/>
  <c r="B12569" i="1"/>
  <c r="C12569" i="1"/>
  <c r="D12569" i="1"/>
  <c r="E12569" i="1"/>
  <c r="A12570" i="1"/>
  <c r="B12570" i="1"/>
  <c r="C12570" i="1"/>
  <c r="D12570" i="1"/>
  <c r="E12570" i="1"/>
  <c r="A12571" i="1"/>
  <c r="B12571" i="1"/>
  <c r="C12571" i="1"/>
  <c r="D12571" i="1"/>
  <c r="E12571" i="1"/>
  <c r="A12572" i="1"/>
  <c r="B12572" i="1"/>
  <c r="C12572" i="1"/>
  <c r="D12572" i="1"/>
  <c r="E12572" i="1"/>
  <c r="A12573" i="1"/>
  <c r="B12573" i="1"/>
  <c r="C12573" i="1"/>
  <c r="D12573" i="1"/>
  <c r="E12573" i="1"/>
  <c r="A12574" i="1"/>
  <c r="B12574" i="1"/>
  <c r="C12574" i="1"/>
  <c r="D12574" i="1"/>
  <c r="E12574" i="1"/>
  <c r="A12575" i="1"/>
  <c r="B12575" i="1"/>
  <c r="C12575" i="1"/>
  <c r="D12575" i="1"/>
  <c r="E12575" i="1"/>
  <c r="A12576" i="1"/>
  <c r="B12576" i="1"/>
  <c r="C12576" i="1"/>
  <c r="D12576" i="1"/>
  <c r="E12576" i="1"/>
  <c r="A12577" i="1"/>
  <c r="B12577" i="1"/>
  <c r="C12577" i="1"/>
  <c r="D12577" i="1"/>
  <c r="E12577" i="1"/>
  <c r="A12578" i="1"/>
  <c r="B12578" i="1"/>
  <c r="C12578" i="1"/>
  <c r="D12578" i="1"/>
  <c r="E12578" i="1"/>
  <c r="A12579" i="1"/>
  <c r="B12579" i="1"/>
  <c r="C12579" i="1"/>
  <c r="D12579" i="1"/>
  <c r="E12579" i="1"/>
  <c r="A12580" i="1"/>
  <c r="B12580" i="1"/>
  <c r="C12580" i="1"/>
  <c r="D12580" i="1"/>
  <c r="E12580" i="1"/>
  <c r="A12581" i="1"/>
  <c r="B12581" i="1"/>
  <c r="C12581" i="1"/>
  <c r="D12581" i="1"/>
  <c r="E12581" i="1"/>
  <c r="A12582" i="1"/>
  <c r="B12582" i="1"/>
  <c r="C12582" i="1"/>
  <c r="D12582" i="1"/>
  <c r="E12582" i="1"/>
  <c r="A12583" i="1"/>
  <c r="B12583" i="1"/>
  <c r="C12583" i="1"/>
  <c r="D12583" i="1"/>
  <c r="E12583" i="1"/>
  <c r="A12584" i="1"/>
  <c r="B12584" i="1"/>
  <c r="C12584" i="1"/>
  <c r="D12584" i="1"/>
  <c r="E12584" i="1"/>
  <c r="A12585" i="1"/>
  <c r="B12585" i="1"/>
  <c r="C12585" i="1"/>
  <c r="D12585" i="1"/>
  <c r="E12585" i="1"/>
  <c r="A12586" i="1"/>
  <c r="B12586" i="1"/>
  <c r="C12586" i="1"/>
  <c r="D12586" i="1"/>
  <c r="E12586" i="1"/>
  <c r="A12587" i="1"/>
  <c r="B12587" i="1"/>
  <c r="C12587" i="1"/>
  <c r="D12587" i="1"/>
  <c r="E12587" i="1"/>
  <c r="A12588" i="1"/>
  <c r="B12588" i="1"/>
  <c r="C12588" i="1"/>
  <c r="D12588" i="1"/>
  <c r="E12588" i="1"/>
  <c r="A12589" i="1"/>
  <c r="B12589" i="1"/>
  <c r="C12589" i="1"/>
  <c r="D12589" i="1"/>
  <c r="E12589" i="1"/>
  <c r="A12590" i="1"/>
  <c r="B12590" i="1"/>
  <c r="C12590" i="1"/>
  <c r="D12590" i="1"/>
  <c r="E12590" i="1"/>
  <c r="A12591" i="1"/>
  <c r="B12591" i="1"/>
  <c r="C12591" i="1"/>
  <c r="D12591" i="1"/>
  <c r="E12591" i="1"/>
  <c r="A12592" i="1"/>
  <c r="B12592" i="1"/>
  <c r="C12592" i="1"/>
  <c r="D12592" i="1"/>
  <c r="E12592" i="1"/>
  <c r="A12593" i="1"/>
  <c r="B12593" i="1"/>
  <c r="C12593" i="1"/>
  <c r="D12593" i="1"/>
  <c r="E12593" i="1"/>
  <c r="A12594" i="1"/>
  <c r="B12594" i="1"/>
  <c r="C12594" i="1"/>
  <c r="D12594" i="1"/>
  <c r="E12594" i="1"/>
  <c r="A12595" i="1"/>
  <c r="B12595" i="1"/>
  <c r="C12595" i="1"/>
  <c r="D12595" i="1"/>
  <c r="E12595" i="1"/>
  <c r="A12596" i="1"/>
  <c r="B12596" i="1"/>
  <c r="C12596" i="1"/>
  <c r="D12596" i="1"/>
  <c r="E12596" i="1"/>
  <c r="A12597" i="1"/>
  <c r="B12597" i="1"/>
  <c r="C12597" i="1"/>
  <c r="D12597" i="1"/>
  <c r="E12597" i="1"/>
  <c r="A12598" i="1"/>
  <c r="B12598" i="1"/>
  <c r="C12598" i="1"/>
  <c r="D12598" i="1"/>
  <c r="E12598" i="1"/>
  <c r="A12599" i="1"/>
  <c r="B12599" i="1"/>
  <c r="C12599" i="1"/>
  <c r="D12599" i="1"/>
  <c r="E12599" i="1"/>
  <c r="A12600" i="1"/>
  <c r="B12600" i="1"/>
  <c r="C12600" i="1"/>
  <c r="D12600" i="1"/>
  <c r="E12600" i="1"/>
  <c r="A12601" i="1"/>
  <c r="B12601" i="1"/>
  <c r="C12601" i="1"/>
  <c r="D12601" i="1"/>
  <c r="E12601" i="1"/>
  <c r="A12602" i="1"/>
  <c r="B12602" i="1"/>
  <c r="C12602" i="1"/>
  <c r="D12602" i="1"/>
  <c r="E12602" i="1"/>
  <c r="A12603" i="1"/>
  <c r="B12603" i="1"/>
  <c r="C12603" i="1"/>
  <c r="D12603" i="1"/>
  <c r="E12603" i="1"/>
  <c r="A12604" i="1"/>
  <c r="B12604" i="1"/>
  <c r="C12604" i="1"/>
  <c r="D12604" i="1"/>
  <c r="E12604" i="1"/>
  <c r="A12605" i="1"/>
  <c r="B12605" i="1"/>
  <c r="C12605" i="1"/>
  <c r="D12605" i="1"/>
  <c r="E12605" i="1"/>
  <c r="A12606" i="1"/>
  <c r="B12606" i="1"/>
  <c r="C12606" i="1"/>
  <c r="D12606" i="1"/>
  <c r="E12606" i="1"/>
  <c r="A12607" i="1"/>
  <c r="B12607" i="1"/>
  <c r="C12607" i="1"/>
  <c r="D12607" i="1"/>
  <c r="E12607" i="1"/>
  <c r="A12608" i="1"/>
  <c r="B12608" i="1"/>
  <c r="C12608" i="1"/>
  <c r="D12608" i="1"/>
  <c r="E12608" i="1"/>
  <c r="A12609" i="1"/>
  <c r="B12609" i="1"/>
  <c r="C12609" i="1"/>
  <c r="D12609" i="1"/>
  <c r="E12609" i="1"/>
  <c r="A12610" i="1"/>
  <c r="B12610" i="1"/>
  <c r="C12610" i="1"/>
  <c r="D12610" i="1"/>
  <c r="E12610" i="1"/>
  <c r="A12611" i="1"/>
  <c r="B12611" i="1"/>
  <c r="C12611" i="1"/>
  <c r="D12611" i="1"/>
  <c r="E12611" i="1"/>
  <c r="A12612" i="1"/>
  <c r="B12612" i="1"/>
  <c r="C12612" i="1"/>
  <c r="D12612" i="1"/>
  <c r="E12612" i="1"/>
  <c r="A12613" i="1"/>
  <c r="B12613" i="1"/>
  <c r="C12613" i="1"/>
  <c r="D12613" i="1"/>
  <c r="E12613" i="1"/>
  <c r="A12614" i="1"/>
  <c r="B12614" i="1"/>
  <c r="C12614" i="1"/>
  <c r="D12614" i="1"/>
  <c r="E12614" i="1"/>
  <c r="A12615" i="1"/>
  <c r="B12615" i="1"/>
  <c r="C12615" i="1"/>
  <c r="D12615" i="1"/>
  <c r="E12615" i="1"/>
  <c r="A12616" i="1"/>
  <c r="B12616" i="1"/>
  <c r="C12616" i="1"/>
  <c r="D12616" i="1"/>
  <c r="E12616" i="1"/>
  <c r="A12617" i="1"/>
  <c r="B12617" i="1"/>
  <c r="C12617" i="1"/>
  <c r="D12617" i="1"/>
  <c r="E12617" i="1"/>
  <c r="A12618" i="1"/>
  <c r="B12618" i="1"/>
  <c r="C12618" i="1"/>
  <c r="D12618" i="1"/>
  <c r="E12618" i="1"/>
  <c r="A12619" i="1"/>
  <c r="B12619" i="1"/>
  <c r="C12619" i="1"/>
  <c r="D12619" i="1"/>
  <c r="E12619" i="1"/>
  <c r="A12620" i="1"/>
  <c r="B12620" i="1"/>
  <c r="C12620" i="1"/>
  <c r="D12620" i="1"/>
  <c r="E12620" i="1"/>
  <c r="A12621" i="1"/>
  <c r="B12621" i="1"/>
  <c r="C12621" i="1"/>
  <c r="D12621" i="1"/>
  <c r="E12621" i="1"/>
  <c r="A12622" i="1"/>
  <c r="B12622" i="1"/>
  <c r="C12622" i="1"/>
  <c r="D12622" i="1"/>
  <c r="E12622" i="1"/>
  <c r="A12623" i="1"/>
  <c r="B12623" i="1"/>
  <c r="C12623" i="1"/>
  <c r="D12623" i="1"/>
  <c r="E12623" i="1"/>
  <c r="A12624" i="1"/>
  <c r="B12624" i="1"/>
  <c r="C12624" i="1"/>
  <c r="D12624" i="1"/>
  <c r="E12624" i="1"/>
  <c r="A12625" i="1"/>
  <c r="B12625" i="1"/>
  <c r="C12625" i="1"/>
  <c r="D12625" i="1"/>
  <c r="E12625" i="1"/>
  <c r="A12626" i="1"/>
  <c r="B12626" i="1"/>
  <c r="C12626" i="1"/>
  <c r="D12626" i="1"/>
  <c r="E12626" i="1"/>
  <c r="A12627" i="1"/>
  <c r="B12627" i="1"/>
  <c r="C12627" i="1"/>
  <c r="D12627" i="1"/>
  <c r="E12627" i="1"/>
  <c r="A12628" i="1"/>
  <c r="B12628" i="1"/>
  <c r="C12628" i="1"/>
  <c r="D12628" i="1"/>
  <c r="E12628" i="1"/>
  <c r="A12629" i="1"/>
  <c r="B12629" i="1"/>
  <c r="C12629" i="1"/>
  <c r="D12629" i="1"/>
  <c r="E12629" i="1"/>
  <c r="A12630" i="1"/>
  <c r="B12630" i="1"/>
  <c r="C12630" i="1"/>
  <c r="D12630" i="1"/>
  <c r="E12630" i="1"/>
  <c r="A12631" i="1"/>
  <c r="B12631" i="1"/>
  <c r="C12631" i="1"/>
  <c r="D12631" i="1"/>
  <c r="E12631" i="1"/>
  <c r="A12632" i="1"/>
  <c r="B12632" i="1"/>
  <c r="C12632" i="1"/>
  <c r="D12632" i="1"/>
  <c r="E12632" i="1"/>
  <c r="A12633" i="1"/>
  <c r="B12633" i="1"/>
  <c r="C12633" i="1"/>
  <c r="D12633" i="1"/>
  <c r="E12633" i="1"/>
  <c r="A12634" i="1"/>
  <c r="B12634" i="1"/>
  <c r="C12634" i="1"/>
  <c r="D12634" i="1"/>
  <c r="E12634" i="1"/>
  <c r="A12635" i="1"/>
  <c r="B12635" i="1"/>
  <c r="C12635" i="1"/>
  <c r="D12635" i="1"/>
  <c r="E12635" i="1"/>
  <c r="A12636" i="1"/>
  <c r="B12636" i="1"/>
  <c r="C12636" i="1"/>
  <c r="D12636" i="1"/>
  <c r="E12636" i="1"/>
  <c r="A12637" i="1"/>
  <c r="B12637" i="1"/>
  <c r="C12637" i="1"/>
  <c r="D12637" i="1"/>
  <c r="E12637" i="1"/>
  <c r="A12638" i="1"/>
  <c r="B12638" i="1"/>
  <c r="C12638" i="1"/>
  <c r="D12638" i="1"/>
  <c r="E12638" i="1"/>
  <c r="A12639" i="1"/>
  <c r="B12639" i="1"/>
  <c r="C12639" i="1"/>
  <c r="D12639" i="1"/>
  <c r="E12639" i="1"/>
  <c r="A12640" i="1"/>
  <c r="B12640" i="1"/>
  <c r="C12640" i="1"/>
  <c r="D12640" i="1"/>
  <c r="E12640" i="1"/>
  <c r="A12641" i="1"/>
  <c r="B12641" i="1"/>
  <c r="C12641" i="1"/>
  <c r="D12641" i="1"/>
  <c r="E12641" i="1"/>
  <c r="A12642" i="1"/>
  <c r="B12642" i="1"/>
  <c r="C12642" i="1"/>
  <c r="D12642" i="1"/>
  <c r="E12642" i="1"/>
  <c r="A12643" i="1"/>
  <c r="B12643" i="1"/>
  <c r="C12643" i="1"/>
  <c r="D12643" i="1"/>
  <c r="E12643" i="1"/>
  <c r="A12644" i="1"/>
  <c r="B12644" i="1"/>
  <c r="C12644" i="1"/>
  <c r="D12644" i="1"/>
  <c r="E12644" i="1"/>
  <c r="A12645" i="1"/>
  <c r="B12645" i="1"/>
  <c r="C12645" i="1"/>
  <c r="D12645" i="1"/>
  <c r="E12645" i="1"/>
  <c r="A12646" i="1"/>
  <c r="B12646" i="1"/>
  <c r="C12646" i="1"/>
  <c r="D12646" i="1"/>
  <c r="E12646" i="1"/>
  <c r="A12647" i="1"/>
  <c r="B12647" i="1"/>
  <c r="C12647" i="1"/>
  <c r="D12647" i="1"/>
  <c r="E12647" i="1"/>
  <c r="A12648" i="1"/>
  <c r="B12648" i="1"/>
  <c r="C12648" i="1"/>
  <c r="D12648" i="1"/>
  <c r="E12648" i="1"/>
  <c r="A12649" i="1"/>
  <c r="B12649" i="1"/>
  <c r="C12649" i="1"/>
  <c r="D12649" i="1"/>
  <c r="E12649" i="1"/>
  <c r="A12650" i="1"/>
  <c r="B12650" i="1"/>
  <c r="C12650" i="1"/>
  <c r="D12650" i="1"/>
  <c r="E12650" i="1"/>
  <c r="A12651" i="1"/>
  <c r="B12651" i="1"/>
  <c r="C12651" i="1"/>
  <c r="D12651" i="1"/>
  <c r="E12651" i="1"/>
  <c r="A12652" i="1"/>
  <c r="B12652" i="1"/>
  <c r="C12652" i="1"/>
  <c r="D12652" i="1"/>
  <c r="E12652" i="1"/>
  <c r="A12653" i="1"/>
  <c r="B12653" i="1"/>
  <c r="C12653" i="1"/>
  <c r="D12653" i="1"/>
  <c r="E12653" i="1"/>
  <c r="A12654" i="1"/>
  <c r="B12654" i="1"/>
  <c r="C12654" i="1"/>
  <c r="D12654" i="1"/>
  <c r="E12654" i="1"/>
  <c r="A12655" i="1"/>
  <c r="B12655" i="1"/>
  <c r="C12655" i="1"/>
  <c r="D12655" i="1"/>
  <c r="E12655" i="1"/>
  <c r="A12656" i="1"/>
  <c r="B12656" i="1"/>
  <c r="C12656" i="1"/>
  <c r="D12656" i="1"/>
  <c r="E12656" i="1"/>
  <c r="A12657" i="1"/>
  <c r="B12657" i="1"/>
  <c r="C12657" i="1"/>
  <c r="D12657" i="1"/>
  <c r="E12657" i="1"/>
  <c r="A12658" i="1"/>
  <c r="B12658" i="1"/>
  <c r="C12658" i="1"/>
  <c r="D12658" i="1"/>
  <c r="E12658" i="1"/>
  <c r="A12659" i="1"/>
  <c r="B12659" i="1"/>
  <c r="C12659" i="1"/>
  <c r="D12659" i="1"/>
  <c r="E12659" i="1"/>
  <c r="A12660" i="1"/>
  <c r="B12660" i="1"/>
  <c r="C12660" i="1"/>
  <c r="D12660" i="1"/>
  <c r="E12660" i="1"/>
  <c r="A12661" i="1"/>
  <c r="B12661" i="1"/>
  <c r="C12661" i="1"/>
  <c r="D12661" i="1"/>
  <c r="E12661" i="1"/>
  <c r="A12662" i="1"/>
  <c r="B12662" i="1"/>
  <c r="C12662" i="1"/>
  <c r="D12662" i="1"/>
  <c r="E12662" i="1"/>
  <c r="A12663" i="1"/>
  <c r="B12663" i="1"/>
  <c r="C12663" i="1"/>
  <c r="D12663" i="1"/>
  <c r="E12663" i="1"/>
  <c r="A12664" i="1"/>
  <c r="B12664" i="1"/>
  <c r="C12664" i="1"/>
  <c r="D12664" i="1"/>
  <c r="E12664" i="1"/>
  <c r="A12665" i="1"/>
  <c r="B12665" i="1"/>
  <c r="C12665" i="1"/>
  <c r="D12665" i="1"/>
  <c r="E12665" i="1"/>
  <c r="A12666" i="1"/>
  <c r="B12666" i="1"/>
  <c r="C12666" i="1"/>
  <c r="D12666" i="1"/>
  <c r="E12666" i="1"/>
  <c r="A12667" i="1"/>
  <c r="B12667" i="1"/>
  <c r="C12667" i="1"/>
  <c r="D12667" i="1"/>
  <c r="E12667" i="1"/>
  <c r="A12668" i="1"/>
  <c r="B12668" i="1"/>
  <c r="C12668" i="1"/>
  <c r="D12668" i="1"/>
  <c r="E12668" i="1"/>
  <c r="A12669" i="1"/>
  <c r="B12669" i="1"/>
  <c r="C12669" i="1"/>
  <c r="D12669" i="1"/>
  <c r="E12669" i="1"/>
  <c r="A12670" i="1"/>
  <c r="B12670" i="1"/>
  <c r="C12670" i="1"/>
  <c r="D12670" i="1"/>
  <c r="E12670" i="1"/>
  <c r="A12671" i="1"/>
  <c r="B12671" i="1"/>
  <c r="C12671" i="1"/>
  <c r="D12671" i="1"/>
  <c r="E12671" i="1"/>
  <c r="A12672" i="1"/>
  <c r="B12672" i="1"/>
  <c r="C12672" i="1"/>
  <c r="D12672" i="1"/>
  <c r="E12672" i="1"/>
  <c r="A12673" i="1"/>
  <c r="B12673" i="1"/>
  <c r="C12673" i="1"/>
  <c r="D12673" i="1"/>
  <c r="E12673" i="1"/>
  <c r="A12674" i="1"/>
  <c r="B12674" i="1"/>
  <c r="C12674" i="1"/>
  <c r="D12674" i="1"/>
  <c r="E12674" i="1"/>
  <c r="A12675" i="1"/>
  <c r="B12675" i="1"/>
  <c r="C12675" i="1"/>
  <c r="D12675" i="1"/>
  <c r="E12675" i="1"/>
  <c r="A12676" i="1"/>
  <c r="B12676" i="1"/>
  <c r="C12676" i="1"/>
  <c r="D12676" i="1"/>
  <c r="E12676" i="1"/>
  <c r="A12677" i="1"/>
  <c r="B12677" i="1"/>
  <c r="C12677" i="1"/>
  <c r="D12677" i="1"/>
  <c r="E12677" i="1"/>
  <c r="A12678" i="1"/>
  <c r="B12678" i="1"/>
  <c r="C12678" i="1"/>
  <c r="D12678" i="1"/>
  <c r="E12678" i="1"/>
  <c r="A12679" i="1"/>
  <c r="B12679" i="1"/>
  <c r="C12679" i="1"/>
  <c r="D12679" i="1"/>
  <c r="E12679" i="1"/>
  <c r="A12680" i="1"/>
  <c r="B12680" i="1"/>
  <c r="C12680" i="1"/>
  <c r="D12680" i="1"/>
  <c r="E12680" i="1"/>
  <c r="A12681" i="1"/>
  <c r="B12681" i="1"/>
  <c r="C12681" i="1"/>
  <c r="D12681" i="1"/>
  <c r="E12681" i="1"/>
  <c r="A12682" i="1"/>
  <c r="B12682" i="1"/>
  <c r="C12682" i="1"/>
  <c r="D12682" i="1"/>
  <c r="E12682" i="1"/>
  <c r="A12683" i="1"/>
  <c r="B12683" i="1"/>
  <c r="C12683" i="1"/>
  <c r="D12683" i="1"/>
  <c r="E12683" i="1"/>
  <c r="A12684" i="1"/>
  <c r="B12684" i="1"/>
  <c r="C12684" i="1"/>
  <c r="D12684" i="1"/>
  <c r="E12684" i="1"/>
  <c r="A12685" i="1"/>
  <c r="B12685" i="1"/>
  <c r="C12685" i="1"/>
  <c r="D12685" i="1"/>
  <c r="E12685" i="1"/>
  <c r="A12686" i="1"/>
  <c r="B12686" i="1"/>
  <c r="C12686" i="1"/>
  <c r="D12686" i="1"/>
  <c r="E12686" i="1"/>
  <c r="A12687" i="1"/>
  <c r="B12687" i="1"/>
  <c r="C12687" i="1"/>
  <c r="D12687" i="1"/>
  <c r="E12687" i="1"/>
  <c r="A12688" i="1"/>
  <c r="B12688" i="1"/>
  <c r="C12688" i="1"/>
  <c r="D12688" i="1"/>
  <c r="E12688" i="1"/>
  <c r="A12689" i="1"/>
  <c r="B12689" i="1"/>
  <c r="C12689" i="1"/>
  <c r="D12689" i="1"/>
  <c r="E12689" i="1"/>
  <c r="A12690" i="1"/>
  <c r="B12690" i="1"/>
  <c r="C12690" i="1"/>
  <c r="D12690" i="1"/>
  <c r="E12690" i="1"/>
  <c r="A12691" i="1"/>
  <c r="B12691" i="1"/>
  <c r="C12691" i="1"/>
  <c r="D12691" i="1"/>
  <c r="E12691" i="1"/>
  <c r="A12692" i="1"/>
  <c r="B12692" i="1"/>
  <c r="C12692" i="1"/>
  <c r="D12692" i="1"/>
  <c r="E12692" i="1"/>
  <c r="A12693" i="1"/>
  <c r="B12693" i="1"/>
  <c r="C12693" i="1"/>
  <c r="D12693" i="1"/>
  <c r="E12693" i="1"/>
  <c r="A12694" i="1"/>
  <c r="B12694" i="1"/>
  <c r="C12694" i="1"/>
  <c r="D12694" i="1"/>
  <c r="E12694" i="1"/>
  <c r="A12695" i="1"/>
  <c r="B12695" i="1"/>
  <c r="C12695" i="1"/>
  <c r="D12695" i="1"/>
  <c r="E12695" i="1"/>
  <c r="A12696" i="1"/>
  <c r="B12696" i="1"/>
  <c r="C12696" i="1"/>
  <c r="D12696" i="1"/>
  <c r="E12696" i="1"/>
  <c r="A12697" i="1"/>
  <c r="B12697" i="1"/>
  <c r="C12697" i="1"/>
  <c r="D12697" i="1"/>
  <c r="E12697" i="1"/>
  <c r="A12698" i="1"/>
  <c r="B12698" i="1"/>
  <c r="C12698" i="1"/>
  <c r="D12698" i="1"/>
  <c r="E12698" i="1"/>
  <c r="A12699" i="1"/>
  <c r="B12699" i="1"/>
  <c r="C12699" i="1"/>
  <c r="D12699" i="1"/>
  <c r="E12699" i="1"/>
  <c r="A12700" i="1"/>
  <c r="B12700" i="1"/>
  <c r="C12700" i="1"/>
  <c r="D12700" i="1"/>
  <c r="E12700" i="1"/>
  <c r="A12701" i="1"/>
  <c r="B12701" i="1"/>
  <c r="C12701" i="1"/>
  <c r="D12701" i="1"/>
  <c r="E12701" i="1"/>
  <c r="A12702" i="1"/>
  <c r="B12702" i="1"/>
  <c r="C12702" i="1"/>
  <c r="D12702" i="1"/>
  <c r="E12702" i="1"/>
  <c r="A12703" i="1"/>
  <c r="B12703" i="1"/>
  <c r="C12703" i="1"/>
  <c r="D12703" i="1"/>
  <c r="E12703" i="1"/>
  <c r="A12704" i="1"/>
  <c r="B12704" i="1"/>
  <c r="C12704" i="1"/>
  <c r="D12704" i="1"/>
  <c r="E12704" i="1"/>
  <c r="A12705" i="1"/>
  <c r="B12705" i="1"/>
  <c r="C12705" i="1"/>
  <c r="D12705" i="1"/>
  <c r="E12705" i="1"/>
  <c r="A12706" i="1"/>
  <c r="B12706" i="1"/>
  <c r="C12706" i="1"/>
  <c r="D12706" i="1"/>
  <c r="E12706" i="1"/>
  <c r="A12707" i="1"/>
  <c r="B12707" i="1"/>
  <c r="C12707" i="1"/>
  <c r="D12707" i="1"/>
  <c r="E12707" i="1"/>
  <c r="A12708" i="1"/>
  <c r="B12708" i="1"/>
  <c r="C12708" i="1"/>
  <c r="D12708" i="1"/>
  <c r="E12708" i="1"/>
  <c r="A12709" i="1"/>
  <c r="B12709" i="1"/>
  <c r="C12709" i="1"/>
  <c r="D12709" i="1"/>
  <c r="E12709" i="1"/>
  <c r="A12710" i="1"/>
  <c r="B12710" i="1"/>
  <c r="C12710" i="1"/>
  <c r="D12710" i="1"/>
  <c r="E12710" i="1"/>
  <c r="A12711" i="1"/>
  <c r="B12711" i="1"/>
  <c r="C12711" i="1"/>
  <c r="D12711" i="1"/>
  <c r="E12711" i="1"/>
  <c r="A12712" i="1"/>
  <c r="B12712" i="1"/>
  <c r="C12712" i="1"/>
  <c r="D12712" i="1"/>
  <c r="E12712" i="1"/>
  <c r="A12713" i="1"/>
  <c r="B12713" i="1"/>
  <c r="C12713" i="1"/>
  <c r="D12713" i="1"/>
  <c r="E12713" i="1"/>
  <c r="A12714" i="1"/>
  <c r="B12714" i="1"/>
  <c r="C12714" i="1"/>
  <c r="D12714" i="1"/>
  <c r="E12714" i="1"/>
  <c r="A12715" i="1"/>
  <c r="B12715" i="1"/>
  <c r="C12715" i="1"/>
  <c r="D12715" i="1"/>
  <c r="E12715" i="1"/>
  <c r="A12716" i="1"/>
  <c r="B12716" i="1"/>
  <c r="C12716" i="1"/>
  <c r="D12716" i="1"/>
  <c r="E12716" i="1"/>
  <c r="A12717" i="1"/>
  <c r="B12717" i="1"/>
  <c r="C12717" i="1"/>
  <c r="D12717" i="1"/>
  <c r="E12717" i="1"/>
  <c r="A12718" i="1"/>
  <c r="B12718" i="1"/>
  <c r="C12718" i="1"/>
  <c r="D12718" i="1"/>
  <c r="E12718" i="1"/>
  <c r="A12719" i="1"/>
  <c r="B12719" i="1"/>
  <c r="C12719" i="1"/>
  <c r="D12719" i="1"/>
  <c r="E12719" i="1"/>
  <c r="A12720" i="1"/>
  <c r="B12720" i="1"/>
  <c r="C12720" i="1"/>
  <c r="D12720" i="1"/>
  <c r="E12720" i="1"/>
  <c r="A12721" i="1"/>
  <c r="B12721" i="1"/>
  <c r="C12721" i="1"/>
  <c r="D12721" i="1"/>
  <c r="E12721" i="1"/>
  <c r="A12722" i="1"/>
  <c r="B12722" i="1"/>
  <c r="C12722" i="1"/>
  <c r="D12722" i="1"/>
  <c r="E12722" i="1"/>
  <c r="A12723" i="1"/>
  <c r="B12723" i="1"/>
  <c r="C12723" i="1"/>
  <c r="D12723" i="1"/>
  <c r="E12723" i="1"/>
  <c r="A12724" i="1"/>
  <c r="B12724" i="1"/>
  <c r="C12724" i="1"/>
  <c r="D12724" i="1"/>
  <c r="E12724" i="1"/>
  <c r="A12725" i="1"/>
  <c r="B12725" i="1"/>
  <c r="C12725" i="1"/>
  <c r="D12725" i="1"/>
  <c r="E12725" i="1"/>
  <c r="A12726" i="1"/>
  <c r="B12726" i="1"/>
  <c r="C12726" i="1"/>
  <c r="D12726" i="1"/>
  <c r="E12726" i="1"/>
  <c r="A12727" i="1"/>
  <c r="B12727" i="1"/>
  <c r="C12727" i="1"/>
  <c r="D12727" i="1"/>
  <c r="E12727" i="1"/>
  <c r="A12728" i="1"/>
  <c r="B12728" i="1"/>
  <c r="C12728" i="1"/>
  <c r="D12728" i="1"/>
  <c r="E12728" i="1"/>
  <c r="A12729" i="1"/>
  <c r="B12729" i="1"/>
  <c r="C12729" i="1"/>
  <c r="D12729" i="1"/>
  <c r="E12729" i="1"/>
  <c r="A12730" i="1"/>
  <c r="B12730" i="1"/>
  <c r="C12730" i="1"/>
  <c r="D12730" i="1"/>
  <c r="E12730" i="1"/>
  <c r="A12731" i="1"/>
  <c r="B12731" i="1"/>
  <c r="C12731" i="1"/>
  <c r="D12731" i="1"/>
  <c r="E12731" i="1"/>
  <c r="A12732" i="1"/>
  <c r="B12732" i="1"/>
  <c r="C12732" i="1"/>
  <c r="D12732" i="1"/>
  <c r="E12732" i="1"/>
  <c r="A12733" i="1"/>
  <c r="B12733" i="1"/>
  <c r="C12733" i="1"/>
  <c r="D12733" i="1"/>
  <c r="E12733" i="1"/>
  <c r="A12734" i="1"/>
  <c r="B12734" i="1"/>
  <c r="C12734" i="1"/>
  <c r="D12734" i="1"/>
  <c r="E12734" i="1"/>
  <c r="A12735" i="1"/>
  <c r="B12735" i="1"/>
  <c r="C12735" i="1"/>
  <c r="D12735" i="1"/>
  <c r="E12735" i="1"/>
  <c r="A12736" i="1"/>
  <c r="B12736" i="1"/>
  <c r="C12736" i="1"/>
  <c r="D12736" i="1"/>
  <c r="E12736" i="1"/>
  <c r="A12737" i="1"/>
  <c r="B12737" i="1"/>
  <c r="C12737" i="1"/>
  <c r="D12737" i="1"/>
  <c r="E12737" i="1"/>
  <c r="A12738" i="1"/>
  <c r="B12738" i="1"/>
  <c r="C12738" i="1"/>
  <c r="D12738" i="1"/>
  <c r="E12738" i="1"/>
  <c r="A12739" i="1"/>
  <c r="B12739" i="1"/>
  <c r="C12739" i="1"/>
  <c r="D12739" i="1"/>
  <c r="E12739" i="1"/>
  <c r="A12740" i="1"/>
  <c r="B12740" i="1"/>
  <c r="C12740" i="1"/>
  <c r="D12740" i="1"/>
  <c r="E12740" i="1"/>
  <c r="A12741" i="1"/>
  <c r="B12741" i="1"/>
  <c r="C12741" i="1"/>
  <c r="D12741" i="1"/>
  <c r="E12741" i="1"/>
  <c r="A12742" i="1"/>
  <c r="B12742" i="1"/>
  <c r="C12742" i="1"/>
  <c r="D12742" i="1"/>
  <c r="E12742" i="1"/>
  <c r="A12743" i="1"/>
  <c r="B12743" i="1"/>
  <c r="C12743" i="1"/>
  <c r="D12743" i="1"/>
  <c r="E12743" i="1"/>
  <c r="A12744" i="1"/>
  <c r="B12744" i="1"/>
  <c r="C12744" i="1"/>
  <c r="D12744" i="1"/>
  <c r="E12744" i="1"/>
  <c r="A12745" i="1"/>
  <c r="B12745" i="1"/>
  <c r="C12745" i="1"/>
  <c r="D12745" i="1"/>
  <c r="E12745" i="1"/>
  <c r="A12746" i="1"/>
  <c r="B12746" i="1"/>
  <c r="C12746" i="1"/>
  <c r="D12746" i="1"/>
  <c r="E12746" i="1"/>
  <c r="A12747" i="1"/>
  <c r="B12747" i="1"/>
  <c r="C12747" i="1"/>
  <c r="D12747" i="1"/>
  <c r="E12747" i="1"/>
  <c r="A12748" i="1"/>
  <c r="B12748" i="1"/>
  <c r="C12748" i="1"/>
  <c r="D12748" i="1"/>
  <c r="E12748" i="1"/>
  <c r="A12749" i="1"/>
  <c r="B12749" i="1"/>
  <c r="C12749" i="1"/>
  <c r="D12749" i="1"/>
  <c r="E12749" i="1"/>
  <c r="A12750" i="1"/>
  <c r="B12750" i="1"/>
  <c r="C12750" i="1"/>
  <c r="D12750" i="1"/>
  <c r="E12750" i="1"/>
  <c r="A12751" i="1"/>
  <c r="B12751" i="1"/>
  <c r="C12751" i="1"/>
  <c r="D12751" i="1"/>
  <c r="E12751" i="1"/>
  <c r="A12752" i="1"/>
  <c r="B12752" i="1"/>
  <c r="C12752" i="1"/>
  <c r="D12752" i="1"/>
  <c r="E12752" i="1"/>
  <c r="A12753" i="1"/>
  <c r="B12753" i="1"/>
  <c r="C12753" i="1"/>
  <c r="D12753" i="1"/>
  <c r="E12753" i="1"/>
  <c r="A12754" i="1"/>
  <c r="B12754" i="1"/>
  <c r="C12754" i="1"/>
  <c r="D12754" i="1"/>
  <c r="E12754" i="1"/>
  <c r="A12755" i="1"/>
  <c r="B12755" i="1"/>
  <c r="C12755" i="1"/>
  <c r="D12755" i="1"/>
  <c r="E12755" i="1"/>
  <c r="A12756" i="1"/>
  <c r="B12756" i="1"/>
  <c r="C12756" i="1"/>
  <c r="D12756" i="1"/>
  <c r="E12756" i="1"/>
  <c r="A12757" i="1"/>
  <c r="B12757" i="1"/>
  <c r="C12757" i="1"/>
  <c r="D12757" i="1"/>
  <c r="E12757" i="1"/>
  <c r="A12758" i="1"/>
  <c r="B12758" i="1"/>
  <c r="C12758" i="1"/>
  <c r="D12758" i="1"/>
  <c r="E12758" i="1"/>
  <c r="A12759" i="1"/>
  <c r="B12759" i="1"/>
  <c r="C12759" i="1"/>
  <c r="D12759" i="1"/>
  <c r="E12759" i="1"/>
  <c r="A12760" i="1"/>
  <c r="B12760" i="1"/>
  <c r="C12760" i="1"/>
  <c r="D12760" i="1"/>
  <c r="E12760" i="1"/>
  <c r="A12761" i="1"/>
  <c r="B12761" i="1"/>
  <c r="C12761" i="1"/>
  <c r="D12761" i="1"/>
  <c r="E12761" i="1"/>
  <c r="A12762" i="1"/>
  <c r="B12762" i="1"/>
  <c r="C12762" i="1"/>
  <c r="D12762" i="1"/>
  <c r="E12762" i="1"/>
  <c r="A12763" i="1"/>
  <c r="B12763" i="1"/>
  <c r="C12763" i="1"/>
  <c r="D12763" i="1"/>
  <c r="E12763" i="1"/>
  <c r="A12764" i="1"/>
  <c r="B12764" i="1"/>
  <c r="C12764" i="1"/>
  <c r="D12764" i="1"/>
  <c r="E12764" i="1"/>
  <c r="A12765" i="1"/>
  <c r="B12765" i="1"/>
  <c r="C12765" i="1"/>
  <c r="D12765" i="1"/>
  <c r="E12765" i="1"/>
  <c r="A12766" i="1"/>
  <c r="B12766" i="1"/>
  <c r="C12766" i="1"/>
  <c r="D12766" i="1"/>
  <c r="E12766" i="1"/>
  <c r="A12767" i="1"/>
  <c r="B12767" i="1"/>
  <c r="C12767" i="1"/>
  <c r="D12767" i="1"/>
  <c r="E12767" i="1"/>
  <c r="A12768" i="1"/>
  <c r="B12768" i="1"/>
  <c r="C12768" i="1"/>
  <c r="D12768" i="1"/>
  <c r="E12768" i="1"/>
  <c r="A12769" i="1"/>
  <c r="B12769" i="1"/>
  <c r="C12769" i="1"/>
  <c r="D12769" i="1"/>
  <c r="E12769" i="1"/>
  <c r="A12770" i="1"/>
  <c r="B12770" i="1"/>
  <c r="C12770" i="1"/>
  <c r="D12770" i="1"/>
  <c r="E12770" i="1"/>
  <c r="A12771" i="1"/>
  <c r="B12771" i="1"/>
  <c r="C12771" i="1"/>
  <c r="D12771" i="1"/>
  <c r="E12771" i="1"/>
  <c r="A12772" i="1"/>
  <c r="B12772" i="1"/>
  <c r="C12772" i="1"/>
  <c r="D12772" i="1"/>
  <c r="E12772" i="1"/>
  <c r="A12773" i="1"/>
  <c r="B12773" i="1"/>
  <c r="C12773" i="1"/>
  <c r="D12773" i="1"/>
  <c r="E12773" i="1"/>
  <c r="A12774" i="1"/>
  <c r="B12774" i="1"/>
  <c r="C12774" i="1"/>
  <c r="D12774" i="1"/>
  <c r="E12774" i="1"/>
  <c r="A12775" i="1"/>
  <c r="B12775" i="1"/>
  <c r="C12775" i="1"/>
  <c r="D12775" i="1"/>
  <c r="E12775" i="1"/>
  <c r="A12776" i="1"/>
  <c r="B12776" i="1"/>
  <c r="C12776" i="1"/>
  <c r="D12776" i="1"/>
  <c r="E12776" i="1"/>
  <c r="A12777" i="1"/>
  <c r="B12777" i="1"/>
  <c r="C12777" i="1"/>
  <c r="D12777" i="1"/>
  <c r="E12777" i="1"/>
  <c r="A12778" i="1"/>
  <c r="B12778" i="1"/>
  <c r="C12778" i="1"/>
  <c r="D12778" i="1"/>
  <c r="E12778" i="1"/>
  <c r="A12779" i="1"/>
  <c r="B12779" i="1"/>
  <c r="C12779" i="1"/>
  <c r="D12779" i="1"/>
  <c r="E12779" i="1"/>
  <c r="A12780" i="1"/>
  <c r="B12780" i="1"/>
  <c r="C12780" i="1"/>
  <c r="D12780" i="1"/>
  <c r="E12780" i="1"/>
  <c r="A12781" i="1"/>
  <c r="B12781" i="1"/>
  <c r="C12781" i="1"/>
  <c r="D12781" i="1"/>
  <c r="E12781" i="1"/>
  <c r="A12782" i="1"/>
  <c r="B12782" i="1"/>
  <c r="C12782" i="1"/>
  <c r="D12782" i="1"/>
  <c r="E12782" i="1"/>
  <c r="A12783" i="1"/>
  <c r="B12783" i="1"/>
  <c r="C12783" i="1"/>
  <c r="D12783" i="1"/>
  <c r="E12783" i="1"/>
  <c r="A12784" i="1"/>
  <c r="B12784" i="1"/>
  <c r="C12784" i="1"/>
  <c r="D12784" i="1"/>
  <c r="E12784" i="1"/>
  <c r="A12785" i="1"/>
  <c r="B12785" i="1"/>
  <c r="C12785" i="1"/>
  <c r="D12785" i="1"/>
  <c r="E12785" i="1"/>
  <c r="A12786" i="1"/>
  <c r="B12786" i="1"/>
  <c r="C12786" i="1"/>
  <c r="D12786" i="1"/>
  <c r="E12786" i="1"/>
  <c r="A12787" i="1"/>
  <c r="B12787" i="1"/>
  <c r="C12787" i="1"/>
  <c r="D12787" i="1"/>
  <c r="E12787" i="1"/>
  <c r="A12788" i="1"/>
  <c r="B12788" i="1"/>
  <c r="C12788" i="1"/>
  <c r="D12788" i="1"/>
  <c r="E12788" i="1"/>
  <c r="A12789" i="1"/>
  <c r="B12789" i="1"/>
  <c r="C12789" i="1"/>
  <c r="D12789" i="1"/>
  <c r="E12789" i="1"/>
  <c r="A12790" i="1"/>
  <c r="B12790" i="1"/>
  <c r="C12790" i="1"/>
  <c r="D12790" i="1"/>
  <c r="E12790" i="1"/>
  <c r="A12791" i="1"/>
  <c r="B12791" i="1"/>
  <c r="C12791" i="1"/>
  <c r="D12791" i="1"/>
  <c r="E12791" i="1"/>
  <c r="A12792" i="1"/>
  <c r="B12792" i="1"/>
  <c r="C12792" i="1"/>
  <c r="D12792" i="1"/>
  <c r="E12792" i="1"/>
  <c r="A12793" i="1"/>
  <c r="B12793" i="1"/>
  <c r="C12793" i="1"/>
  <c r="D12793" i="1"/>
  <c r="E12793" i="1"/>
  <c r="A12794" i="1"/>
  <c r="B12794" i="1"/>
  <c r="C12794" i="1"/>
  <c r="D12794" i="1"/>
  <c r="E12794" i="1"/>
  <c r="A12795" i="1"/>
  <c r="B12795" i="1"/>
  <c r="C12795" i="1"/>
  <c r="D12795" i="1"/>
  <c r="E12795" i="1"/>
  <c r="A12796" i="1"/>
  <c r="B12796" i="1"/>
  <c r="C12796" i="1"/>
  <c r="D12796" i="1"/>
  <c r="E12796" i="1"/>
  <c r="A12797" i="1"/>
  <c r="B12797" i="1"/>
  <c r="C12797" i="1"/>
  <c r="D12797" i="1"/>
  <c r="E12797" i="1"/>
  <c r="A12798" i="1"/>
  <c r="B12798" i="1"/>
  <c r="C12798" i="1"/>
  <c r="D12798" i="1"/>
  <c r="E12798" i="1"/>
  <c r="A12799" i="1"/>
  <c r="B12799" i="1"/>
  <c r="C12799" i="1"/>
  <c r="D12799" i="1"/>
  <c r="E12799" i="1"/>
  <c r="A12800" i="1"/>
  <c r="B12800" i="1"/>
  <c r="C12800" i="1"/>
  <c r="D12800" i="1"/>
  <c r="E12800" i="1"/>
  <c r="A12801" i="1"/>
  <c r="B12801" i="1"/>
  <c r="C12801" i="1"/>
  <c r="D12801" i="1"/>
  <c r="E12801" i="1"/>
  <c r="A12802" i="1"/>
  <c r="B12802" i="1"/>
  <c r="C12802" i="1"/>
  <c r="D12802" i="1"/>
  <c r="E12802" i="1"/>
  <c r="A12803" i="1"/>
  <c r="B12803" i="1"/>
  <c r="C12803" i="1"/>
  <c r="D12803" i="1"/>
  <c r="E12803" i="1"/>
  <c r="A12804" i="1"/>
  <c r="B12804" i="1"/>
  <c r="C12804" i="1"/>
  <c r="D12804" i="1"/>
  <c r="E12804" i="1"/>
  <c r="A12805" i="1"/>
  <c r="B12805" i="1"/>
  <c r="C12805" i="1"/>
  <c r="D12805" i="1"/>
  <c r="E12805" i="1"/>
  <c r="A12806" i="1"/>
  <c r="B12806" i="1"/>
  <c r="C12806" i="1"/>
  <c r="D12806" i="1"/>
  <c r="E12806" i="1"/>
  <c r="A12807" i="1"/>
  <c r="B12807" i="1"/>
  <c r="C12807" i="1"/>
  <c r="D12807" i="1"/>
  <c r="E12807" i="1"/>
  <c r="A12808" i="1"/>
  <c r="B12808" i="1"/>
  <c r="C12808" i="1"/>
  <c r="D12808" i="1"/>
  <c r="E12808" i="1"/>
  <c r="A12809" i="1"/>
  <c r="B12809" i="1"/>
  <c r="C12809" i="1"/>
  <c r="D12809" i="1"/>
  <c r="E12809" i="1"/>
  <c r="A12810" i="1"/>
  <c r="B12810" i="1"/>
  <c r="C12810" i="1"/>
  <c r="D12810" i="1"/>
  <c r="E12810" i="1"/>
  <c r="A12811" i="1"/>
  <c r="B12811" i="1"/>
  <c r="C12811" i="1"/>
  <c r="D12811" i="1"/>
  <c r="E12811" i="1"/>
  <c r="A12812" i="1"/>
  <c r="B12812" i="1"/>
  <c r="C12812" i="1"/>
  <c r="D12812" i="1"/>
  <c r="E12812" i="1"/>
  <c r="A12813" i="1"/>
  <c r="B12813" i="1"/>
  <c r="C12813" i="1"/>
  <c r="D12813" i="1"/>
  <c r="E12813" i="1"/>
  <c r="A12814" i="1"/>
  <c r="B12814" i="1"/>
  <c r="C12814" i="1"/>
  <c r="D12814" i="1"/>
  <c r="E12814" i="1"/>
  <c r="A12815" i="1"/>
  <c r="B12815" i="1"/>
  <c r="C12815" i="1"/>
  <c r="D12815" i="1"/>
  <c r="E12815" i="1"/>
  <c r="A12816" i="1"/>
  <c r="B12816" i="1"/>
  <c r="C12816" i="1"/>
  <c r="D12816" i="1"/>
  <c r="E12816" i="1"/>
  <c r="A12817" i="1"/>
  <c r="B12817" i="1"/>
  <c r="C12817" i="1"/>
  <c r="D12817" i="1"/>
  <c r="E12817" i="1"/>
  <c r="A12818" i="1"/>
  <c r="B12818" i="1"/>
  <c r="C12818" i="1"/>
  <c r="D12818" i="1"/>
  <c r="E12818" i="1"/>
  <c r="A12819" i="1"/>
  <c r="B12819" i="1"/>
  <c r="C12819" i="1"/>
  <c r="D12819" i="1"/>
  <c r="E12819" i="1"/>
  <c r="A12820" i="1"/>
  <c r="B12820" i="1"/>
  <c r="C12820" i="1"/>
  <c r="D12820" i="1"/>
  <c r="E12820" i="1"/>
  <c r="A12821" i="1"/>
  <c r="B12821" i="1"/>
  <c r="C12821" i="1"/>
  <c r="D12821" i="1"/>
  <c r="E12821" i="1"/>
  <c r="A12822" i="1"/>
  <c r="B12822" i="1"/>
  <c r="C12822" i="1"/>
  <c r="D12822" i="1"/>
  <c r="E12822" i="1"/>
  <c r="A12823" i="1"/>
  <c r="B12823" i="1"/>
  <c r="C12823" i="1"/>
  <c r="D12823" i="1"/>
  <c r="E12823" i="1"/>
  <c r="A12824" i="1"/>
  <c r="B12824" i="1"/>
  <c r="C12824" i="1"/>
  <c r="D12824" i="1"/>
  <c r="E12824" i="1"/>
  <c r="A12825" i="1"/>
  <c r="B12825" i="1"/>
  <c r="C12825" i="1"/>
  <c r="D12825" i="1"/>
  <c r="E12825" i="1"/>
  <c r="A12826" i="1"/>
  <c r="B12826" i="1"/>
  <c r="C12826" i="1"/>
  <c r="D12826" i="1"/>
  <c r="E12826" i="1"/>
  <c r="A12827" i="1"/>
  <c r="B12827" i="1"/>
  <c r="C12827" i="1"/>
  <c r="D12827" i="1"/>
  <c r="E12827" i="1"/>
  <c r="A12828" i="1"/>
  <c r="B12828" i="1"/>
  <c r="C12828" i="1"/>
  <c r="D12828" i="1"/>
  <c r="E12828" i="1"/>
  <c r="A12829" i="1"/>
  <c r="B12829" i="1"/>
  <c r="C12829" i="1"/>
  <c r="D12829" i="1"/>
  <c r="E12829" i="1"/>
  <c r="A12830" i="1"/>
  <c r="B12830" i="1"/>
  <c r="C12830" i="1"/>
  <c r="D12830" i="1"/>
  <c r="E12830" i="1"/>
  <c r="A12831" i="1"/>
  <c r="B12831" i="1"/>
  <c r="C12831" i="1"/>
  <c r="D12831" i="1"/>
  <c r="E12831" i="1"/>
  <c r="A12832" i="1"/>
  <c r="B12832" i="1"/>
  <c r="C12832" i="1"/>
  <c r="D12832" i="1"/>
  <c r="E12832" i="1"/>
  <c r="A12833" i="1"/>
  <c r="B12833" i="1"/>
  <c r="C12833" i="1"/>
  <c r="D12833" i="1"/>
  <c r="E12833" i="1"/>
  <c r="A12834" i="1"/>
  <c r="B12834" i="1"/>
  <c r="C12834" i="1"/>
  <c r="D12834" i="1"/>
  <c r="E12834" i="1"/>
  <c r="A12835" i="1"/>
  <c r="B12835" i="1"/>
  <c r="C12835" i="1"/>
  <c r="D12835" i="1"/>
  <c r="E12835" i="1"/>
  <c r="A12836" i="1"/>
  <c r="B12836" i="1"/>
  <c r="C12836" i="1"/>
  <c r="D12836" i="1"/>
  <c r="E12836" i="1"/>
  <c r="A12837" i="1"/>
  <c r="B12837" i="1"/>
  <c r="C12837" i="1"/>
  <c r="D12837" i="1"/>
  <c r="E12837" i="1"/>
  <c r="A12838" i="1"/>
  <c r="B12838" i="1"/>
  <c r="C12838" i="1"/>
  <c r="D12838" i="1"/>
  <c r="E12838" i="1"/>
  <c r="A12839" i="1"/>
  <c r="B12839" i="1"/>
  <c r="C12839" i="1"/>
  <c r="D12839" i="1"/>
  <c r="E12839" i="1"/>
  <c r="A12840" i="1"/>
  <c r="B12840" i="1"/>
  <c r="C12840" i="1"/>
  <c r="D12840" i="1"/>
  <c r="E12840" i="1"/>
  <c r="A12841" i="1"/>
  <c r="B12841" i="1"/>
  <c r="C12841" i="1"/>
  <c r="D12841" i="1"/>
  <c r="E12841" i="1"/>
  <c r="A12842" i="1"/>
  <c r="B12842" i="1"/>
  <c r="C12842" i="1"/>
  <c r="D12842" i="1"/>
  <c r="E12842" i="1"/>
  <c r="A12843" i="1"/>
  <c r="B12843" i="1"/>
  <c r="C12843" i="1"/>
  <c r="D12843" i="1"/>
  <c r="E12843" i="1"/>
  <c r="A12844" i="1"/>
  <c r="B12844" i="1"/>
  <c r="C12844" i="1"/>
  <c r="D12844" i="1"/>
  <c r="E12844" i="1"/>
  <c r="A12845" i="1"/>
  <c r="B12845" i="1"/>
  <c r="C12845" i="1"/>
  <c r="D12845" i="1"/>
  <c r="E12845" i="1"/>
  <c r="A12846" i="1"/>
  <c r="B12846" i="1"/>
  <c r="C12846" i="1"/>
  <c r="D12846" i="1"/>
  <c r="E12846" i="1"/>
  <c r="A12847" i="1"/>
  <c r="B12847" i="1"/>
  <c r="C12847" i="1"/>
  <c r="D12847" i="1"/>
  <c r="E12847" i="1"/>
  <c r="A12848" i="1"/>
  <c r="B12848" i="1"/>
  <c r="C12848" i="1"/>
  <c r="D12848" i="1"/>
  <c r="E12848" i="1"/>
  <c r="A12849" i="1"/>
  <c r="B12849" i="1"/>
  <c r="C12849" i="1"/>
  <c r="D12849" i="1"/>
  <c r="E12849" i="1"/>
  <c r="A12850" i="1"/>
  <c r="B12850" i="1"/>
  <c r="C12850" i="1"/>
  <c r="D12850" i="1"/>
  <c r="E12850" i="1"/>
  <c r="A12851" i="1"/>
  <c r="B12851" i="1"/>
  <c r="C12851" i="1"/>
  <c r="D12851" i="1"/>
  <c r="E12851" i="1"/>
  <c r="A12852" i="1"/>
  <c r="B12852" i="1"/>
  <c r="C12852" i="1"/>
  <c r="D12852" i="1"/>
  <c r="E12852" i="1"/>
  <c r="A12853" i="1"/>
  <c r="B12853" i="1"/>
  <c r="C12853" i="1"/>
  <c r="D12853" i="1"/>
  <c r="E12853" i="1"/>
  <c r="A12854" i="1"/>
  <c r="B12854" i="1"/>
  <c r="C12854" i="1"/>
  <c r="D12854" i="1"/>
  <c r="E12854" i="1"/>
  <c r="A12855" i="1"/>
  <c r="B12855" i="1"/>
  <c r="C12855" i="1"/>
  <c r="D12855" i="1"/>
  <c r="E12855" i="1"/>
  <c r="A12856" i="1"/>
  <c r="B12856" i="1"/>
  <c r="C12856" i="1"/>
  <c r="D12856" i="1"/>
  <c r="E12856" i="1"/>
  <c r="A12857" i="1"/>
  <c r="B12857" i="1"/>
  <c r="C12857" i="1"/>
  <c r="D12857" i="1"/>
  <c r="E12857" i="1"/>
  <c r="A12858" i="1"/>
  <c r="B12858" i="1"/>
  <c r="C12858" i="1"/>
  <c r="D12858" i="1"/>
  <c r="E12858" i="1"/>
  <c r="A12859" i="1"/>
  <c r="B12859" i="1"/>
  <c r="C12859" i="1"/>
  <c r="D12859" i="1"/>
  <c r="E12859" i="1"/>
  <c r="A12860" i="1"/>
  <c r="B12860" i="1"/>
  <c r="C12860" i="1"/>
  <c r="D12860" i="1"/>
  <c r="E12860" i="1"/>
  <c r="A12861" i="1"/>
  <c r="B12861" i="1"/>
  <c r="C12861" i="1"/>
  <c r="D12861" i="1"/>
  <c r="E12861" i="1"/>
  <c r="A12862" i="1"/>
  <c r="B12862" i="1"/>
  <c r="C12862" i="1"/>
  <c r="D12862" i="1"/>
  <c r="E12862" i="1"/>
  <c r="A12863" i="1"/>
  <c r="B12863" i="1"/>
  <c r="C12863" i="1"/>
  <c r="D12863" i="1"/>
  <c r="E12863" i="1"/>
  <c r="A12864" i="1"/>
  <c r="B12864" i="1"/>
  <c r="C12864" i="1"/>
  <c r="D12864" i="1"/>
  <c r="E12864" i="1"/>
  <c r="A12865" i="1"/>
  <c r="B12865" i="1"/>
  <c r="C12865" i="1"/>
  <c r="D12865" i="1"/>
  <c r="E12865" i="1"/>
  <c r="A12866" i="1"/>
  <c r="B12866" i="1"/>
  <c r="C12866" i="1"/>
  <c r="D12866" i="1"/>
  <c r="E12866" i="1"/>
  <c r="A12867" i="1"/>
  <c r="B12867" i="1"/>
  <c r="C12867" i="1"/>
  <c r="D12867" i="1"/>
  <c r="E12867" i="1"/>
  <c r="A12868" i="1"/>
  <c r="B12868" i="1"/>
  <c r="C12868" i="1"/>
  <c r="D12868" i="1"/>
  <c r="E12868" i="1"/>
  <c r="A12869" i="1"/>
  <c r="B12869" i="1"/>
  <c r="C12869" i="1"/>
  <c r="D12869" i="1"/>
  <c r="E12869" i="1"/>
  <c r="A12870" i="1"/>
  <c r="B12870" i="1"/>
  <c r="C12870" i="1"/>
  <c r="D12870" i="1"/>
  <c r="E12870" i="1"/>
  <c r="A12871" i="1"/>
  <c r="B12871" i="1"/>
  <c r="C12871" i="1"/>
  <c r="D12871" i="1"/>
  <c r="E12871" i="1"/>
  <c r="A12872" i="1"/>
  <c r="B12872" i="1"/>
  <c r="C12872" i="1"/>
  <c r="D12872" i="1"/>
  <c r="E12872" i="1"/>
  <c r="A12873" i="1"/>
  <c r="B12873" i="1"/>
  <c r="C12873" i="1"/>
  <c r="D12873" i="1"/>
  <c r="E12873" i="1"/>
  <c r="A12874" i="1"/>
  <c r="B12874" i="1"/>
  <c r="C12874" i="1"/>
  <c r="D12874" i="1"/>
  <c r="E12874" i="1"/>
  <c r="A12875" i="1"/>
  <c r="B12875" i="1"/>
  <c r="C12875" i="1"/>
  <c r="D12875" i="1"/>
  <c r="E12875" i="1"/>
  <c r="A12876" i="1"/>
  <c r="B12876" i="1"/>
  <c r="C12876" i="1"/>
  <c r="D12876" i="1"/>
  <c r="E12876" i="1"/>
  <c r="A12877" i="1"/>
  <c r="B12877" i="1"/>
  <c r="C12877" i="1"/>
  <c r="D12877" i="1"/>
  <c r="E12877" i="1"/>
  <c r="A12878" i="1"/>
  <c r="B12878" i="1"/>
  <c r="C12878" i="1"/>
  <c r="D12878" i="1"/>
  <c r="E12878" i="1"/>
  <c r="A12879" i="1"/>
  <c r="B12879" i="1"/>
  <c r="C12879" i="1"/>
  <c r="D12879" i="1"/>
  <c r="E12879" i="1"/>
  <c r="A12880" i="1"/>
  <c r="B12880" i="1"/>
  <c r="C12880" i="1"/>
  <c r="D12880" i="1"/>
  <c r="E12880" i="1"/>
  <c r="A12881" i="1"/>
  <c r="B12881" i="1"/>
  <c r="C12881" i="1"/>
  <c r="D12881" i="1"/>
  <c r="E12881" i="1"/>
  <c r="A12882" i="1"/>
  <c r="B12882" i="1"/>
  <c r="C12882" i="1"/>
  <c r="D12882" i="1"/>
  <c r="E12882" i="1"/>
  <c r="A12883" i="1"/>
  <c r="B12883" i="1"/>
  <c r="C12883" i="1"/>
  <c r="D12883" i="1"/>
  <c r="E12883" i="1"/>
  <c r="A12884" i="1"/>
  <c r="B12884" i="1"/>
  <c r="C12884" i="1"/>
  <c r="D12884" i="1"/>
  <c r="E12884" i="1"/>
  <c r="A12885" i="1"/>
  <c r="B12885" i="1"/>
  <c r="C12885" i="1"/>
  <c r="D12885" i="1"/>
  <c r="E12885" i="1"/>
  <c r="A12886" i="1"/>
  <c r="B12886" i="1"/>
  <c r="C12886" i="1"/>
  <c r="D12886" i="1"/>
  <c r="E12886" i="1"/>
  <c r="A12887" i="1"/>
  <c r="B12887" i="1"/>
  <c r="C12887" i="1"/>
  <c r="D12887" i="1"/>
  <c r="E12887" i="1"/>
  <c r="A12888" i="1"/>
  <c r="B12888" i="1"/>
  <c r="C12888" i="1"/>
  <c r="D12888" i="1"/>
  <c r="E12888" i="1"/>
  <c r="A12889" i="1"/>
  <c r="B12889" i="1"/>
  <c r="C12889" i="1"/>
  <c r="D12889" i="1"/>
  <c r="E12889" i="1"/>
  <c r="A12890" i="1"/>
  <c r="B12890" i="1"/>
  <c r="C12890" i="1"/>
  <c r="D12890" i="1"/>
  <c r="E12890" i="1"/>
  <c r="A12891" i="1"/>
  <c r="B12891" i="1"/>
  <c r="C12891" i="1"/>
  <c r="D12891" i="1"/>
  <c r="E12891" i="1"/>
  <c r="A12892" i="1"/>
  <c r="B12892" i="1"/>
  <c r="C12892" i="1"/>
  <c r="D12892" i="1"/>
  <c r="E12892" i="1"/>
  <c r="A12893" i="1"/>
  <c r="B12893" i="1"/>
  <c r="C12893" i="1"/>
  <c r="D12893" i="1"/>
  <c r="E12893" i="1"/>
  <c r="A12894" i="1"/>
  <c r="B12894" i="1"/>
  <c r="C12894" i="1"/>
  <c r="D12894" i="1"/>
  <c r="E12894" i="1"/>
  <c r="A12895" i="1"/>
  <c r="B12895" i="1"/>
  <c r="C12895" i="1"/>
  <c r="D12895" i="1"/>
  <c r="E12895" i="1"/>
  <c r="A12896" i="1"/>
  <c r="B12896" i="1"/>
  <c r="C12896" i="1"/>
  <c r="D12896" i="1"/>
  <c r="E12896" i="1"/>
  <c r="A12897" i="1"/>
  <c r="B12897" i="1"/>
  <c r="C12897" i="1"/>
  <c r="D12897" i="1"/>
  <c r="E12897" i="1"/>
  <c r="A12898" i="1"/>
  <c r="B12898" i="1"/>
  <c r="C12898" i="1"/>
  <c r="D12898" i="1"/>
  <c r="E12898" i="1"/>
  <c r="A12899" i="1"/>
  <c r="B12899" i="1"/>
  <c r="C12899" i="1"/>
  <c r="D12899" i="1"/>
  <c r="E12899" i="1"/>
  <c r="A12900" i="1"/>
  <c r="B12900" i="1"/>
  <c r="C12900" i="1"/>
  <c r="D12900" i="1"/>
  <c r="E12900" i="1"/>
  <c r="A12901" i="1"/>
  <c r="B12901" i="1"/>
  <c r="C12901" i="1"/>
  <c r="D12901" i="1"/>
  <c r="E12901" i="1"/>
  <c r="A12902" i="1"/>
  <c r="B12902" i="1"/>
  <c r="C12902" i="1"/>
  <c r="D12902" i="1"/>
  <c r="E12902" i="1"/>
  <c r="A12903" i="1"/>
  <c r="B12903" i="1"/>
  <c r="C12903" i="1"/>
  <c r="D12903" i="1"/>
  <c r="E12903" i="1"/>
  <c r="A12904" i="1"/>
  <c r="B12904" i="1"/>
  <c r="C12904" i="1"/>
  <c r="D12904" i="1"/>
  <c r="E12904" i="1"/>
  <c r="A12905" i="1"/>
  <c r="B12905" i="1"/>
  <c r="C12905" i="1"/>
  <c r="D12905" i="1"/>
  <c r="E12905" i="1"/>
  <c r="A12906" i="1"/>
  <c r="B12906" i="1"/>
  <c r="C12906" i="1"/>
  <c r="D12906" i="1"/>
  <c r="E12906" i="1"/>
  <c r="A12907" i="1"/>
  <c r="B12907" i="1"/>
  <c r="C12907" i="1"/>
  <c r="D12907" i="1"/>
  <c r="E12907" i="1"/>
  <c r="A12908" i="1"/>
  <c r="B12908" i="1"/>
  <c r="C12908" i="1"/>
  <c r="D12908" i="1"/>
  <c r="E12908" i="1"/>
  <c r="A12909" i="1"/>
  <c r="B12909" i="1"/>
  <c r="C12909" i="1"/>
  <c r="D12909" i="1"/>
  <c r="E12909" i="1"/>
  <c r="A12910" i="1"/>
  <c r="B12910" i="1"/>
  <c r="C12910" i="1"/>
  <c r="D12910" i="1"/>
  <c r="E12910" i="1"/>
  <c r="A12911" i="1"/>
  <c r="B12911" i="1"/>
  <c r="C12911" i="1"/>
  <c r="D12911" i="1"/>
  <c r="E12911" i="1"/>
  <c r="A12912" i="1"/>
  <c r="B12912" i="1"/>
  <c r="C12912" i="1"/>
  <c r="D12912" i="1"/>
  <c r="E12912" i="1"/>
  <c r="A12913" i="1"/>
  <c r="B12913" i="1"/>
  <c r="C12913" i="1"/>
  <c r="D12913" i="1"/>
  <c r="E12913" i="1"/>
  <c r="A12914" i="1"/>
  <c r="B12914" i="1"/>
  <c r="C12914" i="1"/>
  <c r="D12914" i="1"/>
  <c r="E12914" i="1"/>
  <c r="A12915" i="1"/>
  <c r="B12915" i="1"/>
  <c r="C12915" i="1"/>
  <c r="D12915" i="1"/>
  <c r="E12915" i="1"/>
  <c r="A12916" i="1"/>
  <c r="B12916" i="1"/>
  <c r="C12916" i="1"/>
  <c r="D12916" i="1"/>
  <c r="E12916" i="1"/>
  <c r="A12917" i="1"/>
  <c r="B12917" i="1"/>
  <c r="C12917" i="1"/>
  <c r="D12917" i="1"/>
  <c r="E12917" i="1"/>
  <c r="A12918" i="1"/>
  <c r="B12918" i="1"/>
  <c r="C12918" i="1"/>
  <c r="D12918" i="1"/>
  <c r="E12918" i="1"/>
  <c r="A12919" i="1"/>
  <c r="B12919" i="1"/>
  <c r="C12919" i="1"/>
  <c r="D12919" i="1"/>
  <c r="E12919" i="1"/>
  <c r="A12920" i="1"/>
  <c r="B12920" i="1"/>
  <c r="C12920" i="1"/>
  <c r="D12920" i="1"/>
  <c r="E12920" i="1"/>
  <c r="A12921" i="1"/>
  <c r="B12921" i="1"/>
  <c r="C12921" i="1"/>
  <c r="D12921" i="1"/>
  <c r="E12921" i="1"/>
  <c r="A12922" i="1"/>
  <c r="B12922" i="1"/>
  <c r="C12922" i="1"/>
  <c r="D12922" i="1"/>
  <c r="E12922" i="1"/>
  <c r="A12923" i="1"/>
  <c r="B12923" i="1"/>
  <c r="C12923" i="1"/>
  <c r="D12923" i="1"/>
  <c r="E12923" i="1"/>
  <c r="A12924" i="1"/>
  <c r="B12924" i="1"/>
  <c r="C12924" i="1"/>
  <c r="D12924" i="1"/>
  <c r="E12924" i="1"/>
  <c r="A12925" i="1"/>
  <c r="B12925" i="1"/>
  <c r="C12925" i="1"/>
  <c r="D12925" i="1"/>
  <c r="E12925" i="1"/>
  <c r="A12926" i="1"/>
  <c r="B12926" i="1"/>
  <c r="C12926" i="1"/>
  <c r="D12926" i="1"/>
  <c r="E12926" i="1"/>
  <c r="A12927" i="1"/>
  <c r="B12927" i="1"/>
  <c r="C12927" i="1"/>
  <c r="D12927" i="1"/>
  <c r="E12927" i="1"/>
  <c r="A12928" i="1"/>
  <c r="B12928" i="1"/>
  <c r="C12928" i="1"/>
  <c r="D12928" i="1"/>
  <c r="E12928" i="1"/>
  <c r="A12929" i="1"/>
  <c r="B12929" i="1"/>
  <c r="C12929" i="1"/>
  <c r="D12929" i="1"/>
  <c r="E12929" i="1"/>
  <c r="A12930" i="1"/>
  <c r="B12930" i="1"/>
  <c r="C12930" i="1"/>
  <c r="D12930" i="1"/>
  <c r="E12930" i="1"/>
  <c r="A12931" i="1"/>
  <c r="B12931" i="1"/>
  <c r="C12931" i="1"/>
  <c r="D12931" i="1"/>
  <c r="E12931" i="1"/>
  <c r="A12932" i="1"/>
  <c r="B12932" i="1"/>
  <c r="C12932" i="1"/>
  <c r="D12932" i="1"/>
  <c r="E12932" i="1"/>
  <c r="A12933" i="1"/>
  <c r="B12933" i="1"/>
  <c r="C12933" i="1"/>
  <c r="D12933" i="1"/>
  <c r="E12933" i="1"/>
  <c r="A12934" i="1"/>
  <c r="B12934" i="1"/>
  <c r="C12934" i="1"/>
  <c r="D12934" i="1"/>
  <c r="E12934" i="1"/>
  <c r="A12935" i="1"/>
  <c r="B12935" i="1"/>
  <c r="C12935" i="1"/>
  <c r="D12935" i="1"/>
  <c r="E12935" i="1"/>
  <c r="A12936" i="1"/>
  <c r="B12936" i="1"/>
  <c r="C12936" i="1"/>
  <c r="D12936" i="1"/>
  <c r="E12936" i="1"/>
  <c r="A12937" i="1"/>
  <c r="B12937" i="1"/>
  <c r="C12937" i="1"/>
  <c r="D12937" i="1"/>
  <c r="E12937" i="1"/>
  <c r="A12938" i="1"/>
  <c r="B12938" i="1"/>
  <c r="C12938" i="1"/>
  <c r="D12938" i="1"/>
  <c r="E12938" i="1"/>
  <c r="A12939" i="1"/>
  <c r="B12939" i="1"/>
  <c r="C12939" i="1"/>
  <c r="D12939" i="1"/>
  <c r="E12939" i="1"/>
  <c r="A12940" i="1"/>
  <c r="B12940" i="1"/>
  <c r="C12940" i="1"/>
  <c r="D12940" i="1"/>
  <c r="E12940" i="1"/>
  <c r="A12941" i="1"/>
  <c r="B12941" i="1"/>
  <c r="C12941" i="1"/>
  <c r="D12941" i="1"/>
  <c r="E12941" i="1"/>
  <c r="A12942" i="1"/>
  <c r="B12942" i="1"/>
  <c r="C12942" i="1"/>
  <c r="D12942" i="1"/>
  <c r="E12942" i="1"/>
  <c r="A12943" i="1"/>
  <c r="B12943" i="1"/>
  <c r="C12943" i="1"/>
  <c r="D12943" i="1"/>
  <c r="E12943" i="1"/>
  <c r="A12944" i="1"/>
  <c r="B12944" i="1"/>
  <c r="C12944" i="1"/>
  <c r="D12944" i="1"/>
  <c r="E12944" i="1"/>
  <c r="A12945" i="1"/>
  <c r="B12945" i="1"/>
  <c r="C12945" i="1"/>
  <c r="D12945" i="1"/>
  <c r="E12945" i="1"/>
  <c r="A12946" i="1"/>
  <c r="B12946" i="1"/>
  <c r="C12946" i="1"/>
  <c r="D12946" i="1"/>
  <c r="E12946" i="1"/>
  <c r="A12947" i="1"/>
  <c r="B12947" i="1"/>
  <c r="C12947" i="1"/>
  <c r="D12947" i="1"/>
  <c r="E12947" i="1"/>
  <c r="A12948" i="1"/>
  <c r="B12948" i="1"/>
  <c r="C12948" i="1"/>
  <c r="D12948" i="1"/>
  <c r="E12948" i="1"/>
  <c r="A12949" i="1"/>
  <c r="B12949" i="1"/>
  <c r="C12949" i="1"/>
  <c r="D12949" i="1"/>
  <c r="E12949" i="1"/>
  <c r="A12950" i="1"/>
  <c r="B12950" i="1"/>
  <c r="C12950" i="1"/>
  <c r="D12950" i="1"/>
  <c r="E12950" i="1"/>
  <c r="A12951" i="1"/>
  <c r="B12951" i="1"/>
  <c r="C12951" i="1"/>
  <c r="D12951" i="1"/>
  <c r="E12951" i="1"/>
  <c r="A12952" i="1"/>
  <c r="B12952" i="1"/>
  <c r="C12952" i="1"/>
  <c r="D12952" i="1"/>
  <c r="E12952" i="1"/>
  <c r="A12953" i="1"/>
  <c r="B12953" i="1"/>
  <c r="C12953" i="1"/>
  <c r="D12953" i="1"/>
  <c r="E12953" i="1"/>
  <c r="A12954" i="1"/>
  <c r="B12954" i="1"/>
  <c r="C12954" i="1"/>
  <c r="D12954" i="1"/>
  <c r="E12954" i="1"/>
  <c r="A12955" i="1"/>
  <c r="B12955" i="1"/>
  <c r="C12955" i="1"/>
  <c r="D12955" i="1"/>
  <c r="E12955" i="1"/>
  <c r="A12956" i="1"/>
  <c r="B12956" i="1"/>
  <c r="C12956" i="1"/>
  <c r="D12956" i="1"/>
  <c r="E12956" i="1"/>
  <c r="A12957" i="1"/>
  <c r="B12957" i="1"/>
  <c r="C12957" i="1"/>
  <c r="D12957" i="1"/>
  <c r="E12957" i="1"/>
  <c r="A12958" i="1"/>
  <c r="B12958" i="1"/>
  <c r="C12958" i="1"/>
  <c r="D12958" i="1"/>
  <c r="E12958" i="1"/>
  <c r="A12959" i="1"/>
  <c r="B12959" i="1"/>
  <c r="C12959" i="1"/>
  <c r="D12959" i="1"/>
  <c r="E12959" i="1"/>
  <c r="A12960" i="1"/>
  <c r="B12960" i="1"/>
  <c r="C12960" i="1"/>
  <c r="D12960" i="1"/>
  <c r="E12960" i="1"/>
  <c r="A12961" i="1"/>
  <c r="B12961" i="1"/>
  <c r="C12961" i="1"/>
  <c r="D12961" i="1"/>
  <c r="E12961" i="1"/>
  <c r="A12962" i="1"/>
  <c r="B12962" i="1"/>
  <c r="C12962" i="1"/>
  <c r="D12962" i="1"/>
  <c r="E12962" i="1"/>
  <c r="A12963" i="1"/>
  <c r="B12963" i="1"/>
  <c r="C12963" i="1"/>
  <c r="D12963" i="1"/>
  <c r="E12963" i="1"/>
  <c r="A12964" i="1"/>
  <c r="B12964" i="1"/>
  <c r="C12964" i="1"/>
  <c r="D12964" i="1"/>
  <c r="E12964" i="1"/>
  <c r="A12965" i="1"/>
  <c r="B12965" i="1"/>
  <c r="C12965" i="1"/>
  <c r="D12965" i="1"/>
  <c r="E12965" i="1"/>
  <c r="A12966" i="1"/>
  <c r="B12966" i="1"/>
  <c r="C12966" i="1"/>
  <c r="D12966" i="1"/>
  <c r="E12966" i="1"/>
  <c r="A12967" i="1"/>
  <c r="B12967" i="1"/>
  <c r="C12967" i="1"/>
  <c r="D12967" i="1"/>
  <c r="E12967" i="1"/>
  <c r="A12968" i="1"/>
  <c r="B12968" i="1"/>
  <c r="C12968" i="1"/>
  <c r="D12968" i="1"/>
  <c r="E12968" i="1"/>
  <c r="A12969" i="1"/>
  <c r="B12969" i="1"/>
  <c r="C12969" i="1"/>
  <c r="D12969" i="1"/>
  <c r="E12969" i="1"/>
  <c r="A12970" i="1"/>
  <c r="B12970" i="1"/>
  <c r="C12970" i="1"/>
  <c r="D12970" i="1"/>
  <c r="E12970" i="1"/>
  <c r="A12971" i="1"/>
  <c r="B12971" i="1"/>
  <c r="C12971" i="1"/>
  <c r="D12971" i="1"/>
  <c r="E12971" i="1"/>
  <c r="A12972" i="1"/>
  <c r="B12972" i="1"/>
  <c r="C12972" i="1"/>
  <c r="D12972" i="1"/>
  <c r="E12972" i="1"/>
  <c r="A12973" i="1"/>
  <c r="B12973" i="1"/>
  <c r="C12973" i="1"/>
  <c r="D12973" i="1"/>
  <c r="E12973" i="1"/>
  <c r="A12974" i="1"/>
  <c r="B12974" i="1"/>
  <c r="C12974" i="1"/>
  <c r="D12974" i="1"/>
  <c r="E12974" i="1"/>
  <c r="A12975" i="1"/>
  <c r="B12975" i="1"/>
  <c r="C12975" i="1"/>
  <c r="D12975" i="1"/>
  <c r="E12975" i="1"/>
  <c r="A12976" i="1"/>
  <c r="B12976" i="1"/>
  <c r="C12976" i="1"/>
  <c r="D12976" i="1"/>
  <c r="E12976" i="1"/>
  <c r="A12977" i="1"/>
  <c r="B12977" i="1"/>
  <c r="C12977" i="1"/>
  <c r="D12977" i="1"/>
  <c r="E12977" i="1"/>
  <c r="A12978" i="1"/>
  <c r="B12978" i="1"/>
  <c r="C12978" i="1"/>
  <c r="D12978" i="1"/>
  <c r="E12978" i="1"/>
  <c r="A12979" i="1"/>
  <c r="B12979" i="1"/>
  <c r="C12979" i="1"/>
  <c r="D12979" i="1"/>
  <c r="E12979" i="1"/>
  <c r="A12980" i="1"/>
  <c r="B12980" i="1"/>
  <c r="C12980" i="1"/>
  <c r="D12980" i="1"/>
  <c r="E12980" i="1"/>
  <c r="A12981" i="1"/>
  <c r="B12981" i="1"/>
  <c r="C12981" i="1"/>
  <c r="D12981" i="1"/>
  <c r="E12981" i="1"/>
  <c r="A12982" i="1"/>
  <c r="B12982" i="1"/>
  <c r="C12982" i="1"/>
  <c r="D12982" i="1"/>
  <c r="E12982" i="1"/>
  <c r="A12983" i="1"/>
  <c r="B12983" i="1"/>
  <c r="C12983" i="1"/>
  <c r="D12983" i="1"/>
  <c r="E12983" i="1"/>
  <c r="A12984" i="1"/>
  <c r="B12984" i="1"/>
  <c r="C12984" i="1"/>
  <c r="D12984" i="1"/>
  <c r="E12984" i="1"/>
  <c r="A12985" i="1"/>
  <c r="B12985" i="1"/>
  <c r="C12985" i="1"/>
  <c r="D12985" i="1"/>
  <c r="E12985" i="1"/>
  <c r="A12986" i="1"/>
  <c r="B12986" i="1"/>
  <c r="C12986" i="1"/>
  <c r="D12986" i="1"/>
  <c r="E12986" i="1"/>
  <c r="A12987" i="1"/>
  <c r="B12987" i="1"/>
  <c r="C12987" i="1"/>
  <c r="D12987" i="1"/>
  <c r="E12987" i="1"/>
  <c r="A12988" i="1"/>
  <c r="B12988" i="1"/>
  <c r="C12988" i="1"/>
  <c r="D12988" i="1"/>
  <c r="E12988" i="1"/>
  <c r="A12989" i="1"/>
  <c r="B12989" i="1"/>
  <c r="C12989" i="1"/>
  <c r="D12989" i="1"/>
  <c r="E12989" i="1"/>
  <c r="A12990" i="1"/>
  <c r="B12990" i="1"/>
  <c r="C12990" i="1"/>
  <c r="D12990" i="1"/>
  <c r="E12990" i="1"/>
  <c r="A12991" i="1"/>
  <c r="B12991" i="1"/>
  <c r="C12991" i="1"/>
  <c r="D12991" i="1"/>
  <c r="E12991" i="1"/>
  <c r="A12992" i="1"/>
  <c r="B12992" i="1"/>
  <c r="C12992" i="1"/>
  <c r="D12992" i="1"/>
  <c r="E12992" i="1"/>
  <c r="A12993" i="1"/>
  <c r="B12993" i="1"/>
  <c r="C12993" i="1"/>
  <c r="D12993" i="1"/>
  <c r="E12993" i="1"/>
  <c r="A12994" i="1"/>
  <c r="B12994" i="1"/>
  <c r="C12994" i="1"/>
  <c r="D12994" i="1"/>
  <c r="E12994" i="1"/>
  <c r="A12995" i="1"/>
  <c r="B12995" i="1"/>
  <c r="C12995" i="1"/>
  <c r="D12995" i="1"/>
  <c r="E12995" i="1"/>
  <c r="A12996" i="1"/>
  <c r="B12996" i="1"/>
  <c r="C12996" i="1"/>
  <c r="D12996" i="1"/>
  <c r="E12996" i="1"/>
  <c r="A12997" i="1"/>
  <c r="B12997" i="1"/>
  <c r="C12997" i="1"/>
  <c r="D12997" i="1"/>
  <c r="E12997" i="1"/>
  <c r="A12998" i="1"/>
  <c r="B12998" i="1"/>
  <c r="C12998" i="1"/>
  <c r="D12998" i="1"/>
  <c r="E12998" i="1"/>
  <c r="A12999" i="1"/>
  <c r="B12999" i="1"/>
  <c r="C12999" i="1"/>
  <c r="D12999" i="1"/>
  <c r="E12999" i="1"/>
  <c r="A13000" i="1"/>
  <c r="B13000" i="1"/>
  <c r="C13000" i="1"/>
  <c r="D13000" i="1"/>
  <c r="E13000" i="1"/>
  <c r="A13001" i="1"/>
  <c r="B13001" i="1"/>
  <c r="C13001" i="1"/>
  <c r="D13001" i="1"/>
  <c r="E13001" i="1"/>
  <c r="A13002" i="1"/>
  <c r="B13002" i="1"/>
  <c r="C13002" i="1"/>
  <c r="D13002" i="1"/>
  <c r="E13002" i="1"/>
  <c r="A13003" i="1"/>
  <c r="B13003" i="1"/>
  <c r="C13003" i="1"/>
  <c r="D13003" i="1"/>
  <c r="E13003" i="1"/>
  <c r="A13004" i="1"/>
  <c r="B13004" i="1"/>
  <c r="C13004" i="1"/>
  <c r="D13004" i="1"/>
  <c r="E13004" i="1"/>
  <c r="A13005" i="1"/>
  <c r="B13005" i="1"/>
  <c r="C13005" i="1"/>
  <c r="D13005" i="1"/>
  <c r="E13005" i="1"/>
  <c r="A13006" i="1"/>
  <c r="B13006" i="1"/>
  <c r="C13006" i="1"/>
  <c r="D13006" i="1"/>
  <c r="E13006" i="1"/>
  <c r="A13007" i="1"/>
  <c r="B13007" i="1"/>
  <c r="C13007" i="1"/>
  <c r="D13007" i="1"/>
  <c r="E13007" i="1"/>
  <c r="A13008" i="1"/>
  <c r="B13008" i="1"/>
  <c r="C13008" i="1"/>
  <c r="D13008" i="1"/>
  <c r="E13008" i="1"/>
  <c r="A13009" i="1"/>
  <c r="B13009" i="1"/>
  <c r="C13009" i="1"/>
  <c r="D13009" i="1"/>
  <c r="E13009" i="1"/>
  <c r="A13010" i="1"/>
  <c r="B13010" i="1"/>
  <c r="C13010" i="1"/>
  <c r="D13010" i="1"/>
  <c r="E13010" i="1"/>
  <c r="A13011" i="1"/>
  <c r="B13011" i="1"/>
  <c r="C13011" i="1"/>
  <c r="D13011" i="1"/>
  <c r="E13011" i="1"/>
  <c r="A13012" i="1"/>
  <c r="B13012" i="1"/>
  <c r="C13012" i="1"/>
  <c r="D13012" i="1"/>
  <c r="E13012" i="1"/>
  <c r="A13013" i="1"/>
  <c r="B13013" i="1"/>
  <c r="C13013" i="1"/>
  <c r="D13013" i="1"/>
  <c r="E13013" i="1"/>
  <c r="A13014" i="1"/>
  <c r="B13014" i="1"/>
  <c r="C13014" i="1"/>
  <c r="D13014" i="1"/>
  <c r="E13014" i="1"/>
  <c r="A13015" i="1"/>
  <c r="B13015" i="1"/>
  <c r="C13015" i="1"/>
  <c r="D13015" i="1"/>
  <c r="E13015" i="1"/>
  <c r="A13016" i="1"/>
  <c r="B13016" i="1"/>
  <c r="C13016" i="1"/>
  <c r="D13016" i="1"/>
  <c r="E13016" i="1"/>
  <c r="A13017" i="1"/>
  <c r="B13017" i="1"/>
  <c r="C13017" i="1"/>
  <c r="D13017" i="1"/>
  <c r="E13017" i="1"/>
  <c r="A13018" i="1"/>
  <c r="B13018" i="1"/>
  <c r="C13018" i="1"/>
  <c r="D13018" i="1"/>
  <c r="E13018" i="1"/>
  <c r="A13019" i="1"/>
  <c r="B13019" i="1"/>
  <c r="C13019" i="1"/>
  <c r="D13019" i="1"/>
  <c r="E13019" i="1"/>
  <c r="A13020" i="1"/>
  <c r="B13020" i="1"/>
  <c r="C13020" i="1"/>
  <c r="D13020" i="1"/>
  <c r="E13020" i="1"/>
  <c r="A13021" i="1"/>
  <c r="B13021" i="1"/>
  <c r="C13021" i="1"/>
  <c r="D13021" i="1"/>
  <c r="E13021" i="1"/>
  <c r="A13022" i="1"/>
  <c r="B13022" i="1"/>
  <c r="C13022" i="1"/>
  <c r="D13022" i="1"/>
  <c r="E13022" i="1"/>
  <c r="A13023" i="1"/>
  <c r="B13023" i="1"/>
  <c r="C13023" i="1"/>
  <c r="D13023" i="1"/>
  <c r="E13023" i="1"/>
  <c r="A13024" i="1"/>
  <c r="B13024" i="1"/>
  <c r="C13024" i="1"/>
  <c r="D13024" i="1"/>
  <c r="E13024" i="1"/>
  <c r="A13025" i="1"/>
  <c r="B13025" i="1"/>
  <c r="C13025" i="1"/>
  <c r="D13025" i="1"/>
  <c r="E13025" i="1"/>
  <c r="A13026" i="1"/>
  <c r="B13026" i="1"/>
  <c r="C13026" i="1"/>
  <c r="D13026" i="1"/>
  <c r="E13026" i="1"/>
  <c r="A13027" i="1"/>
  <c r="B13027" i="1"/>
  <c r="C13027" i="1"/>
  <c r="D13027" i="1"/>
  <c r="E13027" i="1"/>
  <c r="A13028" i="1"/>
  <c r="B13028" i="1"/>
  <c r="C13028" i="1"/>
  <c r="D13028" i="1"/>
  <c r="E13028" i="1"/>
  <c r="A13029" i="1"/>
  <c r="B13029" i="1"/>
  <c r="C13029" i="1"/>
  <c r="D13029" i="1"/>
  <c r="E13029" i="1"/>
  <c r="A13030" i="1"/>
  <c r="B13030" i="1"/>
  <c r="C13030" i="1"/>
  <c r="D13030" i="1"/>
  <c r="E13030" i="1"/>
  <c r="A13031" i="1"/>
  <c r="B13031" i="1"/>
  <c r="C13031" i="1"/>
  <c r="D13031" i="1"/>
  <c r="E13031" i="1"/>
  <c r="A13032" i="1"/>
  <c r="B13032" i="1"/>
  <c r="C13032" i="1"/>
  <c r="D13032" i="1"/>
  <c r="E13032" i="1"/>
  <c r="A13033" i="1"/>
  <c r="B13033" i="1"/>
  <c r="C13033" i="1"/>
  <c r="D13033" i="1"/>
  <c r="E13033" i="1"/>
  <c r="A13034" i="1"/>
  <c r="B13034" i="1"/>
  <c r="C13034" i="1"/>
  <c r="D13034" i="1"/>
  <c r="E13034" i="1"/>
  <c r="A13035" i="1"/>
  <c r="B13035" i="1"/>
  <c r="C13035" i="1"/>
  <c r="D13035" i="1"/>
  <c r="E13035" i="1"/>
  <c r="A13036" i="1"/>
  <c r="B13036" i="1"/>
  <c r="C13036" i="1"/>
  <c r="D13036" i="1"/>
  <c r="E13036" i="1"/>
  <c r="A13037" i="1"/>
  <c r="B13037" i="1"/>
  <c r="C13037" i="1"/>
  <c r="D13037" i="1"/>
  <c r="E13037" i="1"/>
  <c r="A13038" i="1"/>
  <c r="B13038" i="1"/>
  <c r="C13038" i="1"/>
  <c r="D13038" i="1"/>
  <c r="E13038" i="1"/>
  <c r="A13039" i="1"/>
  <c r="B13039" i="1"/>
  <c r="C13039" i="1"/>
  <c r="D13039" i="1"/>
  <c r="E13039" i="1"/>
  <c r="A13040" i="1"/>
  <c r="B13040" i="1"/>
  <c r="C13040" i="1"/>
  <c r="D13040" i="1"/>
  <c r="E13040" i="1"/>
  <c r="A13041" i="1"/>
  <c r="B13041" i="1"/>
  <c r="C13041" i="1"/>
  <c r="D13041" i="1"/>
  <c r="E13041" i="1"/>
  <c r="A13042" i="1"/>
  <c r="B13042" i="1"/>
  <c r="C13042" i="1"/>
  <c r="D13042" i="1"/>
  <c r="E13042" i="1"/>
  <c r="A13043" i="1"/>
  <c r="B13043" i="1"/>
  <c r="C13043" i="1"/>
  <c r="D13043" i="1"/>
  <c r="E13043" i="1"/>
  <c r="A13044" i="1"/>
  <c r="B13044" i="1"/>
  <c r="C13044" i="1"/>
  <c r="D13044" i="1"/>
  <c r="E13044" i="1"/>
  <c r="A13045" i="1"/>
  <c r="B13045" i="1"/>
  <c r="C13045" i="1"/>
  <c r="D13045" i="1"/>
  <c r="E13045" i="1"/>
  <c r="A13046" i="1"/>
  <c r="B13046" i="1"/>
  <c r="C13046" i="1"/>
  <c r="D13046" i="1"/>
  <c r="E13046" i="1"/>
  <c r="A13047" i="1"/>
  <c r="B13047" i="1"/>
  <c r="C13047" i="1"/>
  <c r="D13047" i="1"/>
  <c r="E13047" i="1"/>
  <c r="A13048" i="1"/>
  <c r="B13048" i="1"/>
  <c r="C13048" i="1"/>
  <c r="D13048" i="1"/>
  <c r="E13048" i="1"/>
  <c r="A13049" i="1"/>
  <c r="B13049" i="1"/>
  <c r="C13049" i="1"/>
  <c r="D13049" i="1"/>
  <c r="E13049" i="1"/>
  <c r="A13050" i="1"/>
  <c r="B13050" i="1"/>
  <c r="C13050" i="1"/>
  <c r="D13050" i="1"/>
  <c r="E13050" i="1"/>
  <c r="A13051" i="1"/>
  <c r="B13051" i="1"/>
  <c r="C13051" i="1"/>
  <c r="D13051" i="1"/>
  <c r="E13051" i="1"/>
  <c r="A13052" i="1"/>
  <c r="B13052" i="1"/>
  <c r="C13052" i="1"/>
  <c r="D13052" i="1"/>
  <c r="E13052" i="1"/>
  <c r="A13053" i="1"/>
  <c r="B13053" i="1"/>
  <c r="C13053" i="1"/>
  <c r="D13053" i="1"/>
  <c r="E13053" i="1"/>
  <c r="A13054" i="1"/>
  <c r="B13054" i="1"/>
  <c r="C13054" i="1"/>
  <c r="D13054" i="1"/>
  <c r="E13054" i="1"/>
  <c r="A13055" i="1"/>
  <c r="B13055" i="1"/>
  <c r="C13055" i="1"/>
  <c r="D13055" i="1"/>
  <c r="E13055" i="1"/>
  <c r="A13056" i="1"/>
  <c r="B13056" i="1"/>
  <c r="C13056" i="1"/>
  <c r="D13056" i="1"/>
  <c r="E13056" i="1"/>
  <c r="A13057" i="1"/>
  <c r="B13057" i="1"/>
  <c r="C13057" i="1"/>
  <c r="D13057" i="1"/>
  <c r="E13057" i="1"/>
  <c r="A13058" i="1"/>
  <c r="B13058" i="1"/>
  <c r="C13058" i="1"/>
  <c r="D13058" i="1"/>
  <c r="E13058" i="1"/>
  <c r="A13059" i="1"/>
  <c r="B13059" i="1"/>
  <c r="C13059" i="1"/>
  <c r="D13059" i="1"/>
  <c r="E13059" i="1"/>
  <c r="A13060" i="1"/>
  <c r="B13060" i="1"/>
  <c r="C13060" i="1"/>
  <c r="D13060" i="1"/>
  <c r="E13060" i="1"/>
  <c r="A13061" i="1"/>
  <c r="B13061" i="1"/>
  <c r="C13061" i="1"/>
  <c r="D13061" i="1"/>
  <c r="E13061" i="1"/>
  <c r="A13062" i="1"/>
  <c r="B13062" i="1"/>
  <c r="C13062" i="1"/>
  <c r="D13062" i="1"/>
  <c r="E13062" i="1"/>
  <c r="A13063" i="1"/>
  <c r="B13063" i="1"/>
  <c r="C13063" i="1"/>
  <c r="D13063" i="1"/>
  <c r="E13063" i="1"/>
  <c r="A13064" i="1"/>
  <c r="B13064" i="1"/>
  <c r="C13064" i="1"/>
  <c r="D13064" i="1"/>
  <c r="E13064" i="1"/>
  <c r="A13065" i="1"/>
  <c r="B13065" i="1"/>
  <c r="C13065" i="1"/>
  <c r="D13065" i="1"/>
  <c r="E13065" i="1"/>
  <c r="A13066" i="1"/>
  <c r="B13066" i="1"/>
  <c r="C13066" i="1"/>
  <c r="D13066" i="1"/>
  <c r="E13066" i="1"/>
  <c r="A13067" i="1"/>
  <c r="B13067" i="1"/>
  <c r="C13067" i="1"/>
  <c r="D13067" i="1"/>
  <c r="E13067" i="1"/>
  <c r="A13068" i="1"/>
  <c r="B13068" i="1"/>
  <c r="C13068" i="1"/>
  <c r="D13068" i="1"/>
  <c r="E13068" i="1"/>
  <c r="A13069" i="1"/>
  <c r="B13069" i="1"/>
  <c r="C13069" i="1"/>
  <c r="D13069" i="1"/>
  <c r="E13069" i="1"/>
  <c r="A13070" i="1"/>
  <c r="B13070" i="1"/>
  <c r="C13070" i="1"/>
  <c r="D13070" i="1"/>
  <c r="E13070" i="1"/>
  <c r="A13071" i="1"/>
  <c r="B13071" i="1"/>
  <c r="C13071" i="1"/>
  <c r="D13071" i="1"/>
  <c r="E13071" i="1"/>
  <c r="A13072" i="1"/>
  <c r="B13072" i="1"/>
  <c r="C13072" i="1"/>
  <c r="D13072" i="1"/>
  <c r="E13072" i="1"/>
  <c r="A13073" i="1"/>
  <c r="B13073" i="1"/>
  <c r="C13073" i="1"/>
  <c r="D13073" i="1"/>
  <c r="E13073" i="1"/>
  <c r="A13074" i="1"/>
  <c r="B13074" i="1"/>
  <c r="C13074" i="1"/>
  <c r="D13074" i="1"/>
  <c r="E13074" i="1"/>
  <c r="A13075" i="1"/>
  <c r="B13075" i="1"/>
  <c r="C13075" i="1"/>
  <c r="D13075" i="1"/>
  <c r="E13075" i="1"/>
  <c r="A13076" i="1"/>
  <c r="B13076" i="1"/>
  <c r="C13076" i="1"/>
  <c r="D13076" i="1"/>
  <c r="E13076" i="1"/>
  <c r="A13077" i="1"/>
  <c r="B13077" i="1"/>
  <c r="C13077" i="1"/>
  <c r="D13077" i="1"/>
  <c r="E13077" i="1"/>
  <c r="A13078" i="1"/>
  <c r="B13078" i="1"/>
  <c r="C13078" i="1"/>
  <c r="D13078" i="1"/>
  <c r="E13078" i="1"/>
  <c r="A13079" i="1"/>
  <c r="B13079" i="1"/>
  <c r="C13079" i="1"/>
  <c r="D13079" i="1"/>
  <c r="E13079" i="1"/>
  <c r="A13080" i="1"/>
  <c r="B13080" i="1"/>
  <c r="C13080" i="1"/>
  <c r="D13080" i="1"/>
  <c r="E13080" i="1"/>
  <c r="A13081" i="1"/>
  <c r="B13081" i="1"/>
  <c r="C13081" i="1"/>
  <c r="D13081" i="1"/>
  <c r="E13081" i="1"/>
  <c r="A13082" i="1"/>
  <c r="B13082" i="1"/>
  <c r="C13082" i="1"/>
  <c r="D13082" i="1"/>
  <c r="E13082" i="1"/>
  <c r="A13083" i="1"/>
  <c r="B13083" i="1"/>
  <c r="C13083" i="1"/>
  <c r="D13083" i="1"/>
  <c r="E13083" i="1"/>
  <c r="A13084" i="1"/>
  <c r="B13084" i="1"/>
  <c r="C13084" i="1"/>
  <c r="D13084" i="1"/>
  <c r="E13084" i="1"/>
  <c r="A13085" i="1"/>
  <c r="B13085" i="1"/>
  <c r="C13085" i="1"/>
  <c r="D13085" i="1"/>
  <c r="E13085" i="1"/>
  <c r="A13086" i="1"/>
  <c r="B13086" i="1"/>
  <c r="C13086" i="1"/>
  <c r="D13086" i="1"/>
  <c r="E13086" i="1"/>
  <c r="A13087" i="1"/>
  <c r="B13087" i="1"/>
  <c r="C13087" i="1"/>
  <c r="D13087" i="1"/>
  <c r="E13087" i="1"/>
  <c r="A13088" i="1"/>
  <c r="B13088" i="1"/>
  <c r="C13088" i="1"/>
  <c r="D13088" i="1"/>
  <c r="E13088" i="1"/>
  <c r="A13089" i="1"/>
  <c r="B13089" i="1"/>
  <c r="C13089" i="1"/>
  <c r="D13089" i="1"/>
  <c r="E13089" i="1"/>
  <c r="A13090" i="1"/>
  <c r="B13090" i="1"/>
  <c r="C13090" i="1"/>
  <c r="D13090" i="1"/>
  <c r="E13090" i="1"/>
  <c r="A13091" i="1"/>
  <c r="B13091" i="1"/>
  <c r="C13091" i="1"/>
  <c r="D13091" i="1"/>
  <c r="E13091" i="1"/>
  <c r="A13092" i="1"/>
  <c r="B13092" i="1"/>
  <c r="C13092" i="1"/>
  <c r="D13092" i="1"/>
  <c r="E13092" i="1"/>
  <c r="A13093" i="1"/>
  <c r="B13093" i="1"/>
  <c r="C13093" i="1"/>
  <c r="D13093" i="1"/>
  <c r="E13093" i="1"/>
  <c r="A13094" i="1"/>
  <c r="B13094" i="1"/>
  <c r="C13094" i="1"/>
  <c r="D13094" i="1"/>
  <c r="E13094" i="1"/>
  <c r="A13095" i="1"/>
  <c r="B13095" i="1"/>
  <c r="C13095" i="1"/>
  <c r="D13095" i="1"/>
  <c r="E13095" i="1"/>
  <c r="A13096" i="1"/>
  <c r="B13096" i="1"/>
  <c r="C13096" i="1"/>
  <c r="D13096" i="1"/>
  <c r="E13096" i="1"/>
  <c r="A13097" i="1"/>
  <c r="B13097" i="1"/>
  <c r="C13097" i="1"/>
  <c r="D13097" i="1"/>
  <c r="E13097" i="1"/>
  <c r="A13098" i="1"/>
  <c r="B13098" i="1"/>
  <c r="C13098" i="1"/>
  <c r="D13098" i="1"/>
  <c r="E13098" i="1"/>
  <c r="A13099" i="1"/>
  <c r="B13099" i="1"/>
  <c r="C13099" i="1"/>
  <c r="D13099" i="1"/>
  <c r="E13099" i="1"/>
  <c r="A13100" i="1"/>
  <c r="B13100" i="1"/>
  <c r="C13100" i="1"/>
  <c r="D13100" i="1"/>
  <c r="E13100" i="1"/>
  <c r="A13101" i="1"/>
  <c r="B13101" i="1"/>
  <c r="C13101" i="1"/>
  <c r="D13101" i="1"/>
  <c r="E13101" i="1"/>
  <c r="A13102" i="1"/>
  <c r="B13102" i="1"/>
  <c r="C13102" i="1"/>
  <c r="D13102" i="1"/>
  <c r="E13102" i="1"/>
  <c r="A13103" i="1"/>
  <c r="B13103" i="1"/>
  <c r="C13103" i="1"/>
  <c r="D13103" i="1"/>
  <c r="E13103" i="1"/>
  <c r="A13104" i="1"/>
  <c r="B13104" i="1"/>
  <c r="C13104" i="1"/>
  <c r="D13104" i="1"/>
  <c r="E13104" i="1"/>
  <c r="A13105" i="1"/>
  <c r="B13105" i="1"/>
  <c r="C13105" i="1"/>
  <c r="D13105" i="1"/>
  <c r="E13105" i="1"/>
  <c r="A13106" i="1"/>
  <c r="B13106" i="1"/>
  <c r="C13106" i="1"/>
  <c r="D13106" i="1"/>
  <c r="E13106" i="1"/>
  <c r="A13107" i="1"/>
  <c r="B13107" i="1"/>
  <c r="C13107" i="1"/>
  <c r="D13107" i="1"/>
  <c r="E13107" i="1"/>
  <c r="A13108" i="1"/>
  <c r="B13108" i="1"/>
  <c r="C13108" i="1"/>
  <c r="D13108" i="1"/>
  <c r="E13108" i="1"/>
  <c r="A13109" i="1"/>
  <c r="B13109" i="1"/>
  <c r="C13109" i="1"/>
  <c r="D13109" i="1"/>
  <c r="E13109" i="1"/>
  <c r="A13110" i="1"/>
  <c r="B13110" i="1"/>
  <c r="C13110" i="1"/>
  <c r="D13110" i="1"/>
  <c r="E13110" i="1"/>
  <c r="A13111" i="1"/>
  <c r="B13111" i="1"/>
  <c r="C13111" i="1"/>
  <c r="D13111" i="1"/>
  <c r="E13111" i="1"/>
  <c r="A13112" i="1"/>
  <c r="B13112" i="1"/>
  <c r="C13112" i="1"/>
  <c r="D13112" i="1"/>
  <c r="E13112" i="1"/>
  <c r="A13113" i="1"/>
  <c r="B13113" i="1"/>
  <c r="C13113" i="1"/>
  <c r="D13113" i="1"/>
  <c r="E13113" i="1"/>
  <c r="A13114" i="1"/>
  <c r="B13114" i="1"/>
  <c r="C13114" i="1"/>
  <c r="D13114" i="1"/>
  <c r="E13114" i="1"/>
  <c r="A13115" i="1"/>
  <c r="B13115" i="1"/>
  <c r="C13115" i="1"/>
  <c r="D13115" i="1"/>
  <c r="E13115" i="1"/>
  <c r="A13116" i="1"/>
  <c r="B13116" i="1"/>
  <c r="C13116" i="1"/>
  <c r="D13116" i="1"/>
  <c r="E13116" i="1"/>
  <c r="A13117" i="1"/>
  <c r="B13117" i="1"/>
  <c r="C13117" i="1"/>
  <c r="D13117" i="1"/>
  <c r="E13117" i="1"/>
  <c r="A13118" i="1"/>
  <c r="B13118" i="1"/>
  <c r="C13118" i="1"/>
  <c r="D13118" i="1"/>
  <c r="E13118" i="1"/>
  <c r="A13119" i="1"/>
  <c r="B13119" i="1"/>
  <c r="C13119" i="1"/>
  <c r="D13119" i="1"/>
  <c r="E13119" i="1"/>
  <c r="A13120" i="1"/>
  <c r="B13120" i="1"/>
  <c r="C13120" i="1"/>
  <c r="D13120" i="1"/>
  <c r="E13120" i="1"/>
  <c r="A13121" i="1"/>
  <c r="B13121" i="1"/>
  <c r="C13121" i="1"/>
  <c r="D13121" i="1"/>
  <c r="E13121" i="1"/>
  <c r="A13122" i="1"/>
  <c r="B13122" i="1"/>
  <c r="C13122" i="1"/>
  <c r="D13122" i="1"/>
  <c r="E13122" i="1"/>
  <c r="A13123" i="1"/>
  <c r="B13123" i="1"/>
  <c r="C13123" i="1"/>
  <c r="D13123" i="1"/>
  <c r="E13123" i="1"/>
  <c r="A13124" i="1"/>
  <c r="B13124" i="1"/>
  <c r="C13124" i="1"/>
  <c r="D13124" i="1"/>
  <c r="E13124" i="1"/>
  <c r="A13125" i="1"/>
  <c r="B13125" i="1"/>
  <c r="C13125" i="1"/>
  <c r="D13125" i="1"/>
  <c r="E13125" i="1"/>
  <c r="A13126" i="1"/>
  <c r="B13126" i="1"/>
  <c r="C13126" i="1"/>
  <c r="D13126" i="1"/>
  <c r="E13126" i="1"/>
  <c r="A13127" i="1"/>
  <c r="B13127" i="1"/>
  <c r="C13127" i="1"/>
  <c r="D13127" i="1"/>
  <c r="E13127" i="1"/>
  <c r="A13128" i="1"/>
  <c r="B13128" i="1"/>
  <c r="C13128" i="1"/>
  <c r="D13128" i="1"/>
  <c r="E13128" i="1"/>
  <c r="A13129" i="1"/>
  <c r="B13129" i="1"/>
  <c r="C13129" i="1"/>
  <c r="D13129" i="1"/>
  <c r="E13129" i="1"/>
  <c r="A13130" i="1"/>
  <c r="B13130" i="1"/>
  <c r="C13130" i="1"/>
  <c r="D13130" i="1"/>
  <c r="E13130" i="1"/>
  <c r="A13131" i="1"/>
  <c r="B13131" i="1"/>
  <c r="C13131" i="1"/>
  <c r="D13131" i="1"/>
  <c r="E13131" i="1"/>
  <c r="A13132" i="1"/>
  <c r="B13132" i="1"/>
  <c r="C13132" i="1"/>
  <c r="D13132" i="1"/>
  <c r="E13132" i="1"/>
  <c r="A13133" i="1"/>
  <c r="B13133" i="1"/>
  <c r="C13133" i="1"/>
  <c r="D13133" i="1"/>
  <c r="E13133" i="1"/>
  <c r="A13134" i="1"/>
  <c r="B13134" i="1"/>
  <c r="C13134" i="1"/>
  <c r="D13134" i="1"/>
  <c r="E13134" i="1"/>
  <c r="A13135" i="1"/>
  <c r="B13135" i="1"/>
  <c r="C13135" i="1"/>
  <c r="D13135" i="1"/>
  <c r="E13135" i="1"/>
  <c r="A13136" i="1"/>
  <c r="B13136" i="1"/>
  <c r="C13136" i="1"/>
  <c r="D13136" i="1"/>
  <c r="E13136" i="1"/>
  <c r="A13137" i="1"/>
  <c r="B13137" i="1"/>
  <c r="C13137" i="1"/>
  <c r="D13137" i="1"/>
  <c r="E13137" i="1"/>
  <c r="A13138" i="1"/>
  <c r="B13138" i="1"/>
  <c r="C13138" i="1"/>
  <c r="D13138" i="1"/>
  <c r="E13138" i="1"/>
  <c r="A13139" i="1"/>
  <c r="B13139" i="1"/>
  <c r="C13139" i="1"/>
  <c r="D13139" i="1"/>
  <c r="E13139" i="1"/>
  <c r="A13140" i="1"/>
  <c r="B13140" i="1"/>
  <c r="C13140" i="1"/>
  <c r="D13140" i="1"/>
  <c r="E13140" i="1"/>
  <c r="A13141" i="1"/>
  <c r="B13141" i="1"/>
  <c r="C13141" i="1"/>
  <c r="D13141" i="1"/>
  <c r="E13141" i="1"/>
  <c r="A13142" i="1"/>
  <c r="B13142" i="1"/>
  <c r="C13142" i="1"/>
  <c r="D13142" i="1"/>
  <c r="E13142" i="1"/>
  <c r="A13143" i="1"/>
  <c r="B13143" i="1"/>
  <c r="C13143" i="1"/>
  <c r="D13143" i="1"/>
  <c r="E13143" i="1"/>
  <c r="A13144" i="1"/>
  <c r="B13144" i="1"/>
  <c r="C13144" i="1"/>
  <c r="D13144" i="1"/>
  <c r="E13144" i="1"/>
  <c r="A13145" i="1"/>
  <c r="B13145" i="1"/>
  <c r="C13145" i="1"/>
  <c r="D13145" i="1"/>
  <c r="E13145" i="1"/>
  <c r="A13146" i="1"/>
  <c r="B13146" i="1"/>
  <c r="C13146" i="1"/>
  <c r="D13146" i="1"/>
  <c r="E13146" i="1"/>
  <c r="A13147" i="1"/>
  <c r="B13147" i="1"/>
  <c r="C13147" i="1"/>
  <c r="D13147" i="1"/>
  <c r="E13147" i="1"/>
  <c r="A13148" i="1"/>
  <c r="B13148" i="1"/>
  <c r="C13148" i="1"/>
  <c r="D13148" i="1"/>
  <c r="E13148" i="1"/>
  <c r="A13149" i="1"/>
  <c r="B13149" i="1"/>
  <c r="C13149" i="1"/>
  <c r="D13149" i="1"/>
  <c r="E13149" i="1"/>
  <c r="A13150" i="1"/>
  <c r="B13150" i="1"/>
  <c r="C13150" i="1"/>
  <c r="D13150" i="1"/>
  <c r="E13150" i="1"/>
  <c r="A13151" i="1"/>
  <c r="B13151" i="1"/>
  <c r="C13151" i="1"/>
  <c r="D13151" i="1"/>
  <c r="E13151" i="1"/>
  <c r="A13152" i="1"/>
  <c r="B13152" i="1"/>
  <c r="C13152" i="1"/>
  <c r="D13152" i="1"/>
  <c r="E13152" i="1"/>
  <c r="A13153" i="1"/>
  <c r="B13153" i="1"/>
  <c r="C13153" i="1"/>
  <c r="D13153" i="1"/>
  <c r="E13153" i="1"/>
  <c r="A13154" i="1"/>
  <c r="B13154" i="1"/>
  <c r="C13154" i="1"/>
  <c r="D13154" i="1"/>
  <c r="E13154" i="1"/>
  <c r="A13155" i="1"/>
  <c r="B13155" i="1"/>
  <c r="C13155" i="1"/>
  <c r="D13155" i="1"/>
  <c r="E13155" i="1"/>
  <c r="A13156" i="1"/>
  <c r="B13156" i="1"/>
  <c r="C13156" i="1"/>
  <c r="D13156" i="1"/>
  <c r="E13156" i="1"/>
  <c r="A13157" i="1"/>
  <c r="B13157" i="1"/>
  <c r="C13157" i="1"/>
  <c r="D13157" i="1"/>
  <c r="E13157" i="1"/>
  <c r="A13158" i="1"/>
  <c r="B13158" i="1"/>
  <c r="C13158" i="1"/>
  <c r="D13158" i="1"/>
  <c r="E13158" i="1"/>
  <c r="A13159" i="1"/>
  <c r="B13159" i="1"/>
  <c r="C13159" i="1"/>
  <c r="D13159" i="1"/>
  <c r="E13159" i="1"/>
  <c r="A13160" i="1"/>
  <c r="B13160" i="1"/>
  <c r="C13160" i="1"/>
  <c r="D13160" i="1"/>
  <c r="E13160" i="1"/>
  <c r="A13161" i="1"/>
  <c r="B13161" i="1"/>
  <c r="C13161" i="1"/>
  <c r="D13161" i="1"/>
  <c r="E13161" i="1"/>
  <c r="A13162" i="1"/>
  <c r="B13162" i="1"/>
  <c r="C13162" i="1"/>
  <c r="D13162" i="1"/>
  <c r="E13162" i="1"/>
  <c r="A13163" i="1"/>
  <c r="B13163" i="1"/>
  <c r="C13163" i="1"/>
  <c r="D13163" i="1"/>
  <c r="E13163" i="1"/>
  <c r="A13164" i="1"/>
  <c r="B13164" i="1"/>
  <c r="C13164" i="1"/>
  <c r="D13164" i="1"/>
  <c r="E13164" i="1"/>
  <c r="A13165" i="1"/>
  <c r="B13165" i="1"/>
  <c r="C13165" i="1"/>
  <c r="D13165" i="1"/>
  <c r="E13165" i="1"/>
  <c r="A13166" i="1"/>
  <c r="B13166" i="1"/>
  <c r="C13166" i="1"/>
  <c r="D13166" i="1"/>
  <c r="E13166" i="1"/>
  <c r="A13167" i="1"/>
  <c r="B13167" i="1"/>
  <c r="C13167" i="1"/>
  <c r="D13167" i="1"/>
  <c r="E13167" i="1"/>
  <c r="A13168" i="1"/>
  <c r="B13168" i="1"/>
  <c r="C13168" i="1"/>
  <c r="D13168" i="1"/>
  <c r="E13168" i="1"/>
  <c r="A13169" i="1"/>
  <c r="B13169" i="1"/>
  <c r="C13169" i="1"/>
  <c r="D13169" i="1"/>
  <c r="E13169" i="1"/>
  <c r="A13170" i="1"/>
  <c r="B13170" i="1"/>
  <c r="C13170" i="1"/>
  <c r="D13170" i="1"/>
  <c r="E13170" i="1"/>
  <c r="A13171" i="1"/>
  <c r="B13171" i="1"/>
  <c r="C13171" i="1"/>
  <c r="D13171" i="1"/>
  <c r="E13171" i="1"/>
  <c r="A13172" i="1"/>
  <c r="B13172" i="1"/>
  <c r="C13172" i="1"/>
  <c r="D13172" i="1"/>
  <c r="E13172" i="1"/>
  <c r="A13173" i="1"/>
  <c r="B13173" i="1"/>
  <c r="C13173" i="1"/>
  <c r="D13173" i="1"/>
  <c r="E13173" i="1"/>
  <c r="A13174" i="1"/>
  <c r="B13174" i="1"/>
  <c r="C13174" i="1"/>
  <c r="D13174" i="1"/>
  <c r="E13174" i="1"/>
  <c r="A13175" i="1"/>
  <c r="B13175" i="1"/>
  <c r="C13175" i="1"/>
  <c r="D13175" i="1"/>
  <c r="E13175" i="1"/>
  <c r="A13176" i="1"/>
  <c r="B13176" i="1"/>
  <c r="C13176" i="1"/>
  <c r="D13176" i="1"/>
  <c r="E13176" i="1"/>
  <c r="A13177" i="1"/>
  <c r="B13177" i="1"/>
  <c r="C13177" i="1"/>
  <c r="D13177" i="1"/>
  <c r="E13177" i="1"/>
  <c r="A13178" i="1"/>
  <c r="B13178" i="1"/>
  <c r="C13178" i="1"/>
  <c r="D13178" i="1"/>
  <c r="E13178" i="1"/>
  <c r="A13179" i="1"/>
  <c r="B13179" i="1"/>
  <c r="C13179" i="1"/>
  <c r="D13179" i="1"/>
  <c r="E13179" i="1"/>
  <c r="A13180" i="1"/>
  <c r="B13180" i="1"/>
  <c r="C13180" i="1"/>
  <c r="D13180" i="1"/>
  <c r="E13180" i="1"/>
  <c r="A13181" i="1"/>
  <c r="B13181" i="1"/>
  <c r="C13181" i="1"/>
  <c r="D13181" i="1"/>
  <c r="E13181" i="1"/>
  <c r="A13182" i="1"/>
  <c r="B13182" i="1"/>
  <c r="C13182" i="1"/>
  <c r="D13182" i="1"/>
  <c r="E13182" i="1"/>
  <c r="A13183" i="1"/>
  <c r="B13183" i="1"/>
  <c r="C13183" i="1"/>
  <c r="D13183" i="1"/>
  <c r="E13183" i="1"/>
  <c r="A13184" i="1"/>
  <c r="B13184" i="1"/>
  <c r="C13184" i="1"/>
  <c r="D13184" i="1"/>
  <c r="E13184" i="1"/>
  <c r="A13185" i="1"/>
  <c r="B13185" i="1"/>
  <c r="C13185" i="1"/>
  <c r="D13185" i="1"/>
  <c r="E13185" i="1"/>
  <c r="A13186" i="1"/>
  <c r="B13186" i="1"/>
  <c r="C13186" i="1"/>
  <c r="D13186" i="1"/>
  <c r="E13186" i="1"/>
  <c r="A13187" i="1"/>
  <c r="B13187" i="1"/>
  <c r="C13187" i="1"/>
  <c r="D13187" i="1"/>
  <c r="E13187" i="1"/>
  <c r="A13188" i="1"/>
  <c r="B13188" i="1"/>
  <c r="C13188" i="1"/>
  <c r="D13188" i="1"/>
  <c r="E13188" i="1"/>
  <c r="A13189" i="1"/>
  <c r="B13189" i="1"/>
  <c r="C13189" i="1"/>
  <c r="D13189" i="1"/>
  <c r="E13189" i="1"/>
  <c r="A13190" i="1"/>
  <c r="B13190" i="1"/>
  <c r="C13190" i="1"/>
  <c r="D13190" i="1"/>
  <c r="E13190" i="1"/>
  <c r="A13191" i="1"/>
  <c r="B13191" i="1"/>
  <c r="C13191" i="1"/>
  <c r="D13191" i="1"/>
  <c r="E13191" i="1"/>
  <c r="A13192" i="1"/>
  <c r="B13192" i="1"/>
  <c r="C13192" i="1"/>
  <c r="D13192" i="1"/>
  <c r="E13192" i="1"/>
  <c r="A13193" i="1"/>
  <c r="B13193" i="1"/>
  <c r="C13193" i="1"/>
  <c r="D13193" i="1"/>
  <c r="E13193" i="1"/>
  <c r="A13194" i="1"/>
  <c r="B13194" i="1"/>
  <c r="C13194" i="1"/>
  <c r="D13194" i="1"/>
  <c r="E13194" i="1"/>
  <c r="A13195" i="1"/>
  <c r="B13195" i="1"/>
  <c r="C13195" i="1"/>
  <c r="D13195" i="1"/>
  <c r="E13195" i="1"/>
  <c r="A13196" i="1"/>
  <c r="B13196" i="1"/>
  <c r="C13196" i="1"/>
  <c r="D13196" i="1"/>
  <c r="E13196" i="1"/>
  <c r="A13197" i="1"/>
  <c r="B13197" i="1"/>
  <c r="C13197" i="1"/>
  <c r="D13197" i="1"/>
  <c r="E13197" i="1"/>
  <c r="A13198" i="1"/>
  <c r="B13198" i="1"/>
  <c r="C13198" i="1"/>
  <c r="D13198" i="1"/>
  <c r="E13198" i="1"/>
  <c r="A13199" i="1"/>
  <c r="B13199" i="1"/>
  <c r="C13199" i="1"/>
  <c r="D13199" i="1"/>
  <c r="E13199" i="1"/>
  <c r="A13200" i="1"/>
  <c r="B13200" i="1"/>
  <c r="C13200" i="1"/>
  <c r="D13200" i="1"/>
  <c r="E13200" i="1"/>
  <c r="A13201" i="1"/>
  <c r="B13201" i="1"/>
  <c r="C13201" i="1"/>
  <c r="D13201" i="1"/>
  <c r="E13201" i="1"/>
  <c r="A13202" i="1"/>
  <c r="B13202" i="1"/>
  <c r="C13202" i="1"/>
  <c r="D13202" i="1"/>
  <c r="E13202" i="1"/>
  <c r="A13203" i="1"/>
  <c r="B13203" i="1"/>
  <c r="C13203" i="1"/>
  <c r="D13203" i="1"/>
  <c r="E13203" i="1"/>
  <c r="A13204" i="1"/>
  <c r="B13204" i="1"/>
  <c r="C13204" i="1"/>
  <c r="D13204" i="1"/>
  <c r="E13204" i="1"/>
  <c r="A13205" i="1"/>
  <c r="B13205" i="1"/>
  <c r="C13205" i="1"/>
  <c r="D13205" i="1"/>
  <c r="E13205" i="1"/>
  <c r="A13206" i="1"/>
  <c r="B13206" i="1"/>
  <c r="C13206" i="1"/>
  <c r="D13206" i="1"/>
  <c r="E13206" i="1"/>
  <c r="A13207" i="1"/>
  <c r="B13207" i="1"/>
  <c r="C13207" i="1"/>
  <c r="D13207" i="1"/>
  <c r="E13207" i="1"/>
  <c r="A13208" i="1"/>
  <c r="B13208" i="1"/>
  <c r="C13208" i="1"/>
  <c r="D13208" i="1"/>
  <c r="E13208" i="1"/>
  <c r="A13209" i="1"/>
  <c r="B13209" i="1"/>
  <c r="C13209" i="1"/>
  <c r="D13209" i="1"/>
  <c r="E13209" i="1"/>
  <c r="A13210" i="1"/>
  <c r="B13210" i="1"/>
  <c r="C13210" i="1"/>
  <c r="D13210" i="1"/>
  <c r="E13210" i="1"/>
  <c r="A13211" i="1"/>
  <c r="B13211" i="1"/>
  <c r="C13211" i="1"/>
  <c r="D13211" i="1"/>
  <c r="E13211" i="1"/>
  <c r="A13212" i="1"/>
  <c r="B13212" i="1"/>
  <c r="C13212" i="1"/>
  <c r="D13212" i="1"/>
  <c r="E13212" i="1"/>
  <c r="A13213" i="1"/>
  <c r="B13213" i="1"/>
  <c r="C13213" i="1"/>
  <c r="D13213" i="1"/>
  <c r="E13213" i="1"/>
  <c r="A13214" i="1"/>
  <c r="B13214" i="1"/>
  <c r="C13214" i="1"/>
  <c r="D13214" i="1"/>
  <c r="E13214" i="1"/>
  <c r="A13215" i="1"/>
  <c r="B13215" i="1"/>
  <c r="C13215" i="1"/>
  <c r="D13215" i="1"/>
  <c r="E13215" i="1"/>
  <c r="A13216" i="1"/>
  <c r="B13216" i="1"/>
  <c r="C13216" i="1"/>
  <c r="D13216" i="1"/>
  <c r="E13216" i="1"/>
  <c r="A13217" i="1"/>
  <c r="B13217" i="1"/>
  <c r="C13217" i="1"/>
  <c r="D13217" i="1"/>
  <c r="E13217" i="1"/>
  <c r="A13218" i="1"/>
  <c r="B13218" i="1"/>
  <c r="C13218" i="1"/>
  <c r="D13218" i="1"/>
  <c r="E13218" i="1"/>
  <c r="A13219" i="1"/>
  <c r="B13219" i="1"/>
  <c r="C13219" i="1"/>
  <c r="D13219" i="1"/>
  <c r="E13219" i="1"/>
  <c r="A13220" i="1"/>
  <c r="B13220" i="1"/>
  <c r="C13220" i="1"/>
  <c r="D13220" i="1"/>
  <c r="E13220" i="1"/>
  <c r="A13221" i="1"/>
  <c r="B13221" i="1"/>
  <c r="C13221" i="1"/>
  <c r="D13221" i="1"/>
  <c r="E13221" i="1"/>
  <c r="A13222" i="1"/>
  <c r="B13222" i="1"/>
  <c r="C13222" i="1"/>
  <c r="D13222" i="1"/>
  <c r="E13222" i="1"/>
  <c r="A13223" i="1"/>
  <c r="B13223" i="1"/>
  <c r="C13223" i="1"/>
  <c r="D13223" i="1"/>
  <c r="E13223" i="1"/>
  <c r="A13224" i="1"/>
  <c r="B13224" i="1"/>
  <c r="C13224" i="1"/>
  <c r="D13224" i="1"/>
  <c r="E13224" i="1"/>
  <c r="A13225" i="1"/>
  <c r="B13225" i="1"/>
  <c r="C13225" i="1"/>
  <c r="D13225" i="1"/>
  <c r="E13225" i="1"/>
  <c r="A13226" i="1"/>
  <c r="B13226" i="1"/>
  <c r="C13226" i="1"/>
  <c r="D13226" i="1"/>
  <c r="E13226" i="1"/>
  <c r="A13227" i="1"/>
  <c r="B13227" i="1"/>
  <c r="C13227" i="1"/>
  <c r="D13227" i="1"/>
  <c r="E13227" i="1"/>
  <c r="A13228" i="1"/>
  <c r="B13228" i="1"/>
  <c r="C13228" i="1"/>
  <c r="D13228" i="1"/>
  <c r="E13228" i="1"/>
  <c r="A13229" i="1"/>
  <c r="B13229" i="1"/>
  <c r="C13229" i="1"/>
  <c r="D13229" i="1"/>
  <c r="E13229" i="1"/>
  <c r="A13230" i="1"/>
  <c r="B13230" i="1"/>
  <c r="C13230" i="1"/>
  <c r="D13230" i="1"/>
  <c r="E13230" i="1"/>
  <c r="A13231" i="1"/>
  <c r="B13231" i="1"/>
  <c r="C13231" i="1"/>
  <c r="D13231" i="1"/>
  <c r="E13231" i="1"/>
  <c r="A13232" i="1"/>
  <c r="B13232" i="1"/>
  <c r="C13232" i="1"/>
  <c r="D13232" i="1"/>
  <c r="E13232" i="1"/>
  <c r="A13233" i="1"/>
  <c r="B13233" i="1"/>
  <c r="C13233" i="1"/>
  <c r="D13233" i="1"/>
  <c r="E13233" i="1"/>
  <c r="A13234" i="1"/>
  <c r="B13234" i="1"/>
  <c r="C13234" i="1"/>
  <c r="D13234" i="1"/>
  <c r="E13234" i="1"/>
  <c r="A13235" i="1"/>
  <c r="B13235" i="1"/>
  <c r="C13235" i="1"/>
  <c r="D13235" i="1"/>
  <c r="E13235" i="1"/>
  <c r="A13236" i="1"/>
  <c r="B13236" i="1"/>
  <c r="C13236" i="1"/>
  <c r="D13236" i="1"/>
  <c r="E13236" i="1"/>
  <c r="A13237" i="1"/>
  <c r="B13237" i="1"/>
  <c r="C13237" i="1"/>
  <c r="D13237" i="1"/>
  <c r="E13237" i="1"/>
  <c r="A13238" i="1"/>
  <c r="B13238" i="1"/>
  <c r="C13238" i="1"/>
  <c r="D13238" i="1"/>
  <c r="E13238" i="1"/>
  <c r="A13239" i="1"/>
  <c r="B13239" i="1"/>
  <c r="C13239" i="1"/>
  <c r="D13239" i="1"/>
  <c r="E13239" i="1"/>
  <c r="A13240" i="1"/>
  <c r="B13240" i="1"/>
  <c r="C13240" i="1"/>
  <c r="D13240" i="1"/>
  <c r="E13240" i="1"/>
  <c r="A13241" i="1"/>
  <c r="B13241" i="1"/>
  <c r="C13241" i="1"/>
  <c r="D13241" i="1"/>
  <c r="E13241" i="1"/>
  <c r="A13242" i="1"/>
  <c r="B13242" i="1"/>
  <c r="C13242" i="1"/>
  <c r="D13242" i="1"/>
  <c r="E13242" i="1"/>
  <c r="A13243" i="1"/>
  <c r="B13243" i="1"/>
  <c r="C13243" i="1"/>
  <c r="D13243" i="1"/>
  <c r="E13243" i="1"/>
  <c r="A13244" i="1"/>
  <c r="B13244" i="1"/>
  <c r="C13244" i="1"/>
  <c r="D13244" i="1"/>
  <c r="E13244" i="1"/>
  <c r="A13245" i="1"/>
  <c r="B13245" i="1"/>
  <c r="C13245" i="1"/>
  <c r="D13245" i="1"/>
  <c r="E13245" i="1"/>
  <c r="A13246" i="1"/>
  <c r="B13246" i="1"/>
  <c r="C13246" i="1"/>
  <c r="D13246" i="1"/>
  <c r="E13246" i="1"/>
  <c r="A13247" i="1"/>
  <c r="B13247" i="1"/>
  <c r="C13247" i="1"/>
  <c r="D13247" i="1"/>
  <c r="E13247" i="1"/>
  <c r="A13248" i="1"/>
  <c r="B13248" i="1"/>
  <c r="C13248" i="1"/>
  <c r="D13248" i="1"/>
  <c r="E13248" i="1"/>
  <c r="A13249" i="1"/>
  <c r="B13249" i="1"/>
  <c r="C13249" i="1"/>
  <c r="D13249" i="1"/>
  <c r="E13249" i="1"/>
  <c r="A13250" i="1"/>
  <c r="B13250" i="1"/>
  <c r="C13250" i="1"/>
  <c r="D13250" i="1"/>
  <c r="E13250" i="1"/>
  <c r="A13251" i="1"/>
  <c r="B13251" i="1"/>
  <c r="C13251" i="1"/>
  <c r="D13251" i="1"/>
  <c r="E13251" i="1"/>
  <c r="A13252" i="1"/>
  <c r="B13252" i="1"/>
  <c r="C13252" i="1"/>
  <c r="D13252" i="1"/>
  <c r="E13252" i="1"/>
  <c r="A13253" i="1"/>
  <c r="B13253" i="1"/>
  <c r="C13253" i="1"/>
  <c r="D13253" i="1"/>
  <c r="E13253" i="1"/>
  <c r="A13254" i="1"/>
  <c r="B13254" i="1"/>
  <c r="C13254" i="1"/>
  <c r="D13254" i="1"/>
  <c r="E13254" i="1"/>
  <c r="A13255" i="1"/>
  <c r="B13255" i="1"/>
  <c r="C13255" i="1"/>
  <c r="D13255" i="1"/>
  <c r="E13255" i="1"/>
  <c r="A13256" i="1"/>
  <c r="B13256" i="1"/>
  <c r="C13256" i="1"/>
  <c r="D13256" i="1"/>
  <c r="E13256" i="1"/>
  <c r="A13257" i="1"/>
  <c r="B13257" i="1"/>
  <c r="C13257" i="1"/>
  <c r="D13257" i="1"/>
  <c r="E13257" i="1"/>
  <c r="A13258" i="1"/>
  <c r="B13258" i="1"/>
  <c r="C13258" i="1"/>
  <c r="D13258" i="1"/>
  <c r="E13258" i="1"/>
  <c r="A13259" i="1"/>
  <c r="B13259" i="1"/>
  <c r="C13259" i="1"/>
  <c r="D13259" i="1"/>
  <c r="E13259" i="1"/>
  <c r="A13260" i="1"/>
  <c r="B13260" i="1"/>
  <c r="C13260" i="1"/>
  <c r="D13260" i="1"/>
  <c r="E13260" i="1"/>
  <c r="A13261" i="1"/>
  <c r="B13261" i="1"/>
  <c r="C13261" i="1"/>
  <c r="D13261" i="1"/>
  <c r="E13261" i="1"/>
  <c r="A13262" i="1"/>
  <c r="B13262" i="1"/>
  <c r="C13262" i="1"/>
  <c r="D13262" i="1"/>
  <c r="E13262" i="1"/>
  <c r="A13263" i="1"/>
  <c r="B13263" i="1"/>
  <c r="C13263" i="1"/>
  <c r="D13263" i="1"/>
  <c r="E13263" i="1"/>
  <c r="A13264" i="1"/>
  <c r="B13264" i="1"/>
  <c r="C13264" i="1"/>
  <c r="D13264" i="1"/>
  <c r="E13264" i="1"/>
  <c r="A13265" i="1"/>
  <c r="B13265" i="1"/>
  <c r="C13265" i="1"/>
  <c r="D13265" i="1"/>
  <c r="E13265" i="1"/>
  <c r="A13266" i="1"/>
  <c r="B13266" i="1"/>
  <c r="C13266" i="1"/>
  <c r="D13266" i="1"/>
  <c r="E13266" i="1"/>
  <c r="A13267" i="1"/>
  <c r="B13267" i="1"/>
  <c r="C13267" i="1"/>
  <c r="D13267" i="1"/>
  <c r="E13267" i="1"/>
  <c r="A13268" i="1"/>
  <c r="B13268" i="1"/>
  <c r="C13268" i="1"/>
  <c r="D13268" i="1"/>
  <c r="E13268" i="1"/>
  <c r="A13269" i="1"/>
  <c r="B13269" i="1"/>
  <c r="C13269" i="1"/>
  <c r="D13269" i="1"/>
  <c r="E13269" i="1"/>
  <c r="A13270" i="1"/>
  <c r="B13270" i="1"/>
  <c r="C13270" i="1"/>
  <c r="D13270" i="1"/>
  <c r="E13270" i="1"/>
  <c r="A13271" i="1"/>
  <c r="B13271" i="1"/>
  <c r="C13271" i="1"/>
  <c r="D13271" i="1"/>
  <c r="E13271" i="1"/>
  <c r="A13272" i="1"/>
  <c r="B13272" i="1"/>
  <c r="C13272" i="1"/>
  <c r="D13272" i="1"/>
  <c r="E13272" i="1"/>
  <c r="A13273" i="1"/>
  <c r="B13273" i="1"/>
  <c r="C13273" i="1"/>
  <c r="D13273" i="1"/>
  <c r="E13273" i="1"/>
  <c r="A13274" i="1"/>
  <c r="B13274" i="1"/>
  <c r="C13274" i="1"/>
  <c r="D13274" i="1"/>
  <c r="E13274" i="1"/>
  <c r="A13275" i="1"/>
  <c r="B13275" i="1"/>
  <c r="C13275" i="1"/>
  <c r="D13275" i="1"/>
  <c r="E13275" i="1"/>
  <c r="A13276" i="1"/>
  <c r="B13276" i="1"/>
  <c r="C13276" i="1"/>
  <c r="D13276" i="1"/>
  <c r="E13276" i="1"/>
  <c r="A13277" i="1"/>
  <c r="B13277" i="1"/>
  <c r="C13277" i="1"/>
  <c r="D13277" i="1"/>
  <c r="E13277" i="1"/>
  <c r="A13278" i="1"/>
  <c r="B13278" i="1"/>
  <c r="C13278" i="1"/>
  <c r="D13278" i="1"/>
  <c r="E13278" i="1"/>
  <c r="A13279" i="1"/>
  <c r="B13279" i="1"/>
  <c r="C13279" i="1"/>
  <c r="D13279" i="1"/>
  <c r="E13279" i="1"/>
  <c r="A13280" i="1"/>
  <c r="B13280" i="1"/>
  <c r="C13280" i="1"/>
  <c r="D13280" i="1"/>
  <c r="E13280" i="1"/>
  <c r="A13281" i="1"/>
  <c r="B13281" i="1"/>
  <c r="C13281" i="1"/>
  <c r="D13281" i="1"/>
  <c r="E13281" i="1"/>
  <c r="A13282" i="1"/>
  <c r="B13282" i="1"/>
  <c r="C13282" i="1"/>
  <c r="D13282" i="1"/>
  <c r="E13282" i="1"/>
  <c r="A13283" i="1"/>
  <c r="B13283" i="1"/>
  <c r="C13283" i="1"/>
  <c r="D13283" i="1"/>
  <c r="E13283" i="1"/>
  <c r="A13284" i="1"/>
  <c r="B13284" i="1"/>
  <c r="C13284" i="1"/>
  <c r="D13284" i="1"/>
  <c r="E13284" i="1"/>
  <c r="A13285" i="1"/>
  <c r="B13285" i="1"/>
  <c r="C13285" i="1"/>
  <c r="D13285" i="1"/>
  <c r="E13285" i="1"/>
  <c r="A13286" i="1"/>
  <c r="B13286" i="1"/>
  <c r="C13286" i="1"/>
  <c r="D13286" i="1"/>
  <c r="E13286" i="1"/>
  <c r="A13287" i="1"/>
  <c r="B13287" i="1"/>
  <c r="C13287" i="1"/>
  <c r="D13287" i="1"/>
  <c r="E13287" i="1"/>
  <c r="A13288" i="1"/>
  <c r="B13288" i="1"/>
  <c r="C13288" i="1"/>
  <c r="D13288" i="1"/>
  <c r="E13288" i="1"/>
  <c r="A13289" i="1"/>
  <c r="B13289" i="1"/>
  <c r="C13289" i="1"/>
  <c r="D13289" i="1"/>
  <c r="E13289" i="1"/>
  <c r="A13290" i="1"/>
  <c r="B13290" i="1"/>
  <c r="C13290" i="1"/>
  <c r="D13290" i="1"/>
  <c r="E13290" i="1"/>
  <c r="A13291" i="1"/>
  <c r="B13291" i="1"/>
  <c r="C13291" i="1"/>
  <c r="D13291" i="1"/>
  <c r="E13291" i="1"/>
  <c r="A13292" i="1"/>
  <c r="B13292" i="1"/>
  <c r="C13292" i="1"/>
  <c r="D13292" i="1"/>
  <c r="E13292" i="1"/>
  <c r="A13293" i="1"/>
  <c r="B13293" i="1"/>
  <c r="C13293" i="1"/>
  <c r="D13293" i="1"/>
  <c r="E13293" i="1"/>
  <c r="A13294" i="1"/>
  <c r="B13294" i="1"/>
  <c r="C13294" i="1"/>
  <c r="D13294" i="1"/>
  <c r="E13294" i="1"/>
  <c r="A13295" i="1"/>
  <c r="B13295" i="1"/>
  <c r="C13295" i="1"/>
  <c r="D13295" i="1"/>
  <c r="E13295" i="1"/>
  <c r="A13296" i="1"/>
  <c r="B13296" i="1"/>
  <c r="C13296" i="1"/>
  <c r="D13296" i="1"/>
  <c r="E13296" i="1"/>
  <c r="A13297" i="1"/>
  <c r="B13297" i="1"/>
  <c r="C13297" i="1"/>
  <c r="D13297" i="1"/>
  <c r="E13297" i="1"/>
  <c r="A13298" i="1"/>
  <c r="B13298" i="1"/>
  <c r="C13298" i="1"/>
  <c r="D13298" i="1"/>
  <c r="E13298" i="1"/>
  <c r="A13299" i="1"/>
  <c r="B13299" i="1"/>
  <c r="C13299" i="1"/>
  <c r="D13299" i="1"/>
  <c r="E13299" i="1"/>
  <c r="A13300" i="1"/>
  <c r="B13300" i="1"/>
  <c r="C13300" i="1"/>
  <c r="D13300" i="1"/>
  <c r="E13300" i="1"/>
  <c r="A13301" i="1"/>
  <c r="B13301" i="1"/>
  <c r="C13301" i="1"/>
  <c r="D13301" i="1"/>
  <c r="E13301" i="1"/>
  <c r="A13302" i="1"/>
  <c r="B13302" i="1"/>
  <c r="C13302" i="1"/>
  <c r="D13302" i="1"/>
  <c r="E13302" i="1"/>
  <c r="A13303" i="1"/>
  <c r="B13303" i="1"/>
  <c r="C13303" i="1"/>
  <c r="D13303" i="1"/>
  <c r="E13303" i="1"/>
  <c r="A13304" i="1"/>
  <c r="B13304" i="1"/>
  <c r="C13304" i="1"/>
  <c r="D13304" i="1"/>
  <c r="E13304" i="1"/>
  <c r="A13305" i="1"/>
  <c r="B13305" i="1"/>
  <c r="C13305" i="1"/>
  <c r="D13305" i="1"/>
  <c r="E13305" i="1"/>
  <c r="A13306" i="1"/>
  <c r="B13306" i="1"/>
  <c r="C13306" i="1"/>
  <c r="D13306" i="1"/>
  <c r="E13306" i="1"/>
  <c r="A13307" i="1"/>
  <c r="B13307" i="1"/>
  <c r="C13307" i="1"/>
  <c r="D13307" i="1"/>
  <c r="E13307" i="1"/>
  <c r="A13308" i="1"/>
  <c r="B13308" i="1"/>
  <c r="C13308" i="1"/>
  <c r="D13308" i="1"/>
  <c r="E13308" i="1"/>
  <c r="A13309" i="1"/>
  <c r="B13309" i="1"/>
  <c r="C13309" i="1"/>
  <c r="D13309" i="1"/>
  <c r="E13309" i="1"/>
  <c r="A13310" i="1"/>
  <c r="B13310" i="1"/>
  <c r="C13310" i="1"/>
  <c r="D13310" i="1"/>
  <c r="E13310" i="1"/>
  <c r="A13311" i="1"/>
  <c r="B13311" i="1"/>
  <c r="C13311" i="1"/>
  <c r="D13311" i="1"/>
  <c r="E13311" i="1"/>
  <c r="A13312" i="1"/>
  <c r="B13312" i="1"/>
  <c r="C13312" i="1"/>
  <c r="D13312" i="1"/>
  <c r="E13312" i="1"/>
  <c r="A13313" i="1"/>
  <c r="B13313" i="1"/>
  <c r="C13313" i="1"/>
  <c r="D13313" i="1"/>
  <c r="E13313" i="1"/>
  <c r="A13314" i="1"/>
  <c r="B13314" i="1"/>
  <c r="C13314" i="1"/>
  <c r="D13314" i="1"/>
  <c r="E13314" i="1"/>
  <c r="A13315" i="1"/>
  <c r="B13315" i="1"/>
  <c r="C13315" i="1"/>
  <c r="D13315" i="1"/>
  <c r="E13315" i="1"/>
  <c r="A13316" i="1"/>
  <c r="B13316" i="1"/>
  <c r="C13316" i="1"/>
  <c r="D13316" i="1"/>
  <c r="E13316" i="1"/>
  <c r="A13317" i="1"/>
  <c r="B13317" i="1"/>
  <c r="C13317" i="1"/>
  <c r="D13317" i="1"/>
  <c r="E13317" i="1"/>
  <c r="A13318" i="1"/>
  <c r="B13318" i="1"/>
  <c r="C13318" i="1"/>
  <c r="D13318" i="1"/>
  <c r="E13318" i="1"/>
  <c r="A13319" i="1"/>
  <c r="B13319" i="1"/>
  <c r="C13319" i="1"/>
  <c r="D13319" i="1"/>
  <c r="E13319" i="1"/>
  <c r="A13320" i="1"/>
  <c r="B13320" i="1"/>
  <c r="C13320" i="1"/>
  <c r="D13320" i="1"/>
  <c r="E13320" i="1"/>
  <c r="A13321" i="1"/>
  <c r="B13321" i="1"/>
  <c r="C13321" i="1"/>
  <c r="D13321" i="1"/>
  <c r="E13321" i="1"/>
  <c r="A13322" i="1"/>
  <c r="B13322" i="1"/>
  <c r="C13322" i="1"/>
  <c r="D13322" i="1"/>
  <c r="E13322" i="1"/>
  <c r="A13323" i="1"/>
  <c r="B13323" i="1"/>
  <c r="C13323" i="1"/>
  <c r="D13323" i="1"/>
  <c r="E13323" i="1"/>
  <c r="A13324" i="1"/>
  <c r="B13324" i="1"/>
  <c r="C13324" i="1"/>
  <c r="D13324" i="1"/>
  <c r="E13324" i="1"/>
  <c r="A13325" i="1"/>
  <c r="B13325" i="1"/>
  <c r="C13325" i="1"/>
  <c r="D13325" i="1"/>
  <c r="E13325" i="1"/>
  <c r="A13326" i="1"/>
  <c r="B13326" i="1"/>
  <c r="C13326" i="1"/>
  <c r="D13326" i="1"/>
  <c r="E13326" i="1"/>
  <c r="A13327" i="1"/>
  <c r="B13327" i="1"/>
  <c r="C13327" i="1"/>
  <c r="D13327" i="1"/>
  <c r="E13327" i="1"/>
  <c r="A13328" i="1"/>
  <c r="B13328" i="1"/>
  <c r="C13328" i="1"/>
  <c r="D13328" i="1"/>
  <c r="E13328" i="1"/>
  <c r="A13329" i="1"/>
  <c r="B13329" i="1"/>
  <c r="C13329" i="1"/>
  <c r="D13329" i="1"/>
  <c r="E13329" i="1"/>
  <c r="A13330" i="1"/>
  <c r="B13330" i="1"/>
  <c r="C13330" i="1"/>
  <c r="D13330" i="1"/>
  <c r="E13330" i="1"/>
  <c r="A13331" i="1"/>
  <c r="B13331" i="1"/>
  <c r="C13331" i="1"/>
  <c r="D13331" i="1"/>
  <c r="E13331" i="1"/>
  <c r="A13332" i="1"/>
  <c r="B13332" i="1"/>
  <c r="C13332" i="1"/>
  <c r="D13332" i="1"/>
  <c r="E13332" i="1"/>
  <c r="A13333" i="1"/>
  <c r="B13333" i="1"/>
  <c r="C13333" i="1"/>
  <c r="D13333" i="1"/>
  <c r="E13333" i="1"/>
  <c r="A13334" i="1"/>
  <c r="B13334" i="1"/>
  <c r="C13334" i="1"/>
  <c r="D13334" i="1"/>
  <c r="E13334" i="1"/>
  <c r="A13335" i="1"/>
  <c r="B13335" i="1"/>
  <c r="C13335" i="1"/>
  <c r="D13335" i="1"/>
  <c r="E13335" i="1"/>
  <c r="A13336" i="1"/>
  <c r="B13336" i="1"/>
  <c r="C13336" i="1"/>
  <c r="D13336" i="1"/>
  <c r="E13336" i="1"/>
  <c r="A13337" i="1"/>
  <c r="B13337" i="1"/>
  <c r="C13337" i="1"/>
  <c r="D13337" i="1"/>
  <c r="E13337" i="1"/>
  <c r="A13338" i="1"/>
  <c r="B13338" i="1"/>
  <c r="C13338" i="1"/>
  <c r="D13338" i="1"/>
  <c r="E13338" i="1"/>
  <c r="A13339" i="1"/>
  <c r="B13339" i="1"/>
  <c r="C13339" i="1"/>
  <c r="D13339" i="1"/>
  <c r="E13339" i="1"/>
  <c r="A13340" i="1"/>
  <c r="B13340" i="1"/>
  <c r="C13340" i="1"/>
  <c r="D13340" i="1"/>
  <c r="E13340" i="1"/>
  <c r="A13341" i="1"/>
  <c r="B13341" i="1"/>
  <c r="C13341" i="1"/>
  <c r="D13341" i="1"/>
  <c r="E13341" i="1"/>
  <c r="A13342" i="1"/>
  <c r="B13342" i="1"/>
  <c r="C13342" i="1"/>
  <c r="D13342" i="1"/>
  <c r="E13342" i="1"/>
  <c r="A13343" i="1"/>
  <c r="B13343" i="1"/>
  <c r="C13343" i="1"/>
  <c r="D13343" i="1"/>
  <c r="E13343" i="1"/>
  <c r="A13344" i="1"/>
  <c r="B13344" i="1"/>
  <c r="C13344" i="1"/>
  <c r="D13344" i="1"/>
  <c r="E13344" i="1"/>
  <c r="A13345" i="1"/>
  <c r="B13345" i="1"/>
  <c r="C13345" i="1"/>
  <c r="D13345" i="1"/>
  <c r="E13345" i="1"/>
  <c r="A13346" i="1"/>
  <c r="B13346" i="1"/>
  <c r="C13346" i="1"/>
  <c r="D13346" i="1"/>
  <c r="E13346" i="1"/>
  <c r="A13347" i="1"/>
  <c r="B13347" i="1"/>
  <c r="C13347" i="1"/>
  <c r="D13347" i="1"/>
  <c r="E13347" i="1"/>
  <c r="A13348" i="1"/>
  <c r="B13348" i="1"/>
  <c r="C13348" i="1"/>
  <c r="D13348" i="1"/>
  <c r="E13348" i="1"/>
  <c r="A13349" i="1"/>
  <c r="B13349" i="1"/>
  <c r="C13349" i="1"/>
  <c r="D13349" i="1"/>
  <c r="E13349" i="1"/>
  <c r="A13350" i="1"/>
  <c r="B13350" i="1"/>
  <c r="C13350" i="1"/>
  <c r="D13350" i="1"/>
  <c r="E13350" i="1"/>
  <c r="A13351" i="1"/>
  <c r="B13351" i="1"/>
  <c r="C13351" i="1"/>
  <c r="D13351" i="1"/>
  <c r="E13351" i="1"/>
  <c r="A13352" i="1"/>
  <c r="B13352" i="1"/>
  <c r="C13352" i="1"/>
  <c r="D13352" i="1"/>
  <c r="E13352" i="1"/>
  <c r="A13353" i="1"/>
  <c r="B13353" i="1"/>
  <c r="C13353" i="1"/>
  <c r="D13353" i="1"/>
  <c r="E13353" i="1"/>
  <c r="A13354" i="1"/>
  <c r="B13354" i="1"/>
  <c r="C13354" i="1"/>
  <c r="D13354" i="1"/>
  <c r="E13354" i="1"/>
  <c r="A13355" i="1"/>
  <c r="B13355" i="1"/>
  <c r="C13355" i="1"/>
  <c r="D13355" i="1"/>
  <c r="E13355" i="1"/>
  <c r="A13356" i="1"/>
  <c r="B13356" i="1"/>
  <c r="C13356" i="1"/>
  <c r="D13356" i="1"/>
  <c r="E13356" i="1"/>
  <c r="A13357" i="1"/>
  <c r="B13357" i="1"/>
  <c r="C13357" i="1"/>
  <c r="D13357" i="1"/>
  <c r="E13357" i="1"/>
  <c r="A13358" i="1"/>
  <c r="B13358" i="1"/>
  <c r="C13358" i="1"/>
  <c r="D13358" i="1"/>
  <c r="E13358" i="1"/>
  <c r="A13359" i="1"/>
  <c r="B13359" i="1"/>
  <c r="C13359" i="1"/>
  <c r="D13359" i="1"/>
  <c r="E13359" i="1"/>
  <c r="A13360" i="1"/>
  <c r="B13360" i="1"/>
  <c r="C13360" i="1"/>
  <c r="D13360" i="1"/>
  <c r="E13360" i="1"/>
  <c r="A13361" i="1"/>
  <c r="B13361" i="1"/>
  <c r="C13361" i="1"/>
  <c r="D13361" i="1"/>
  <c r="E13361" i="1"/>
  <c r="A13362" i="1"/>
  <c r="B13362" i="1"/>
  <c r="C13362" i="1"/>
  <c r="D13362" i="1"/>
  <c r="E13362" i="1"/>
  <c r="A13363" i="1"/>
  <c r="B13363" i="1"/>
  <c r="C13363" i="1"/>
  <c r="D13363" i="1"/>
  <c r="E13363" i="1"/>
  <c r="A13364" i="1"/>
  <c r="B13364" i="1"/>
  <c r="C13364" i="1"/>
  <c r="D13364" i="1"/>
  <c r="E13364" i="1"/>
  <c r="A13365" i="1"/>
  <c r="B13365" i="1"/>
  <c r="C13365" i="1"/>
  <c r="D13365" i="1"/>
  <c r="E13365" i="1"/>
  <c r="A13366" i="1"/>
  <c r="B13366" i="1"/>
  <c r="C13366" i="1"/>
  <c r="D13366" i="1"/>
  <c r="E13366" i="1"/>
  <c r="A13367" i="1"/>
  <c r="B13367" i="1"/>
  <c r="C13367" i="1"/>
  <c r="D13367" i="1"/>
  <c r="E13367" i="1"/>
  <c r="A13368" i="1"/>
  <c r="B13368" i="1"/>
  <c r="C13368" i="1"/>
  <c r="D13368" i="1"/>
  <c r="E13368" i="1"/>
  <c r="A13369" i="1"/>
  <c r="B13369" i="1"/>
  <c r="C13369" i="1"/>
  <c r="D13369" i="1"/>
  <c r="E13369" i="1"/>
  <c r="A13370" i="1"/>
  <c r="B13370" i="1"/>
  <c r="C13370" i="1"/>
  <c r="D13370" i="1"/>
  <c r="E13370" i="1"/>
  <c r="A13371" i="1"/>
  <c r="B13371" i="1"/>
  <c r="C13371" i="1"/>
  <c r="D13371" i="1"/>
  <c r="E13371" i="1"/>
  <c r="A13372" i="1"/>
  <c r="B13372" i="1"/>
  <c r="C13372" i="1"/>
  <c r="D13372" i="1"/>
  <c r="E13372" i="1"/>
  <c r="A13373" i="1"/>
  <c r="B13373" i="1"/>
  <c r="C13373" i="1"/>
  <c r="D13373" i="1"/>
  <c r="E13373" i="1"/>
  <c r="A13374" i="1"/>
  <c r="B13374" i="1"/>
  <c r="C13374" i="1"/>
  <c r="D13374" i="1"/>
  <c r="E13374" i="1"/>
  <c r="A13375" i="1"/>
  <c r="B13375" i="1"/>
  <c r="C13375" i="1"/>
  <c r="D13375" i="1"/>
  <c r="E13375" i="1"/>
  <c r="A13376" i="1"/>
  <c r="B13376" i="1"/>
  <c r="C13376" i="1"/>
  <c r="D13376" i="1"/>
  <c r="E13376" i="1"/>
  <c r="A13377" i="1"/>
  <c r="B13377" i="1"/>
  <c r="C13377" i="1"/>
  <c r="D13377" i="1"/>
  <c r="E13377" i="1"/>
  <c r="A13378" i="1"/>
  <c r="B13378" i="1"/>
  <c r="C13378" i="1"/>
  <c r="D13378" i="1"/>
  <c r="E13378" i="1"/>
  <c r="A13379" i="1"/>
  <c r="B13379" i="1"/>
  <c r="C13379" i="1"/>
  <c r="D13379" i="1"/>
  <c r="E13379" i="1"/>
  <c r="A13380" i="1"/>
  <c r="B13380" i="1"/>
  <c r="C13380" i="1"/>
  <c r="D13380" i="1"/>
  <c r="E13380" i="1"/>
  <c r="A13381" i="1"/>
  <c r="B13381" i="1"/>
  <c r="C13381" i="1"/>
  <c r="D13381" i="1"/>
  <c r="E13381" i="1"/>
  <c r="A13382" i="1"/>
  <c r="B13382" i="1"/>
  <c r="C13382" i="1"/>
  <c r="D13382" i="1"/>
  <c r="E13382" i="1"/>
  <c r="A13383" i="1"/>
  <c r="B13383" i="1"/>
  <c r="C13383" i="1"/>
  <c r="D13383" i="1"/>
  <c r="E13383" i="1"/>
  <c r="A13384" i="1"/>
  <c r="B13384" i="1"/>
  <c r="C13384" i="1"/>
  <c r="D13384" i="1"/>
  <c r="E13384" i="1"/>
  <c r="A13385" i="1"/>
  <c r="B13385" i="1"/>
  <c r="C13385" i="1"/>
  <c r="D13385" i="1"/>
  <c r="E13385" i="1"/>
  <c r="A13386" i="1"/>
  <c r="B13386" i="1"/>
  <c r="C13386" i="1"/>
  <c r="D13386" i="1"/>
  <c r="E13386" i="1"/>
  <c r="A13387" i="1"/>
  <c r="B13387" i="1"/>
  <c r="C13387" i="1"/>
  <c r="D13387" i="1"/>
  <c r="E13387" i="1"/>
  <c r="A13388" i="1"/>
  <c r="B13388" i="1"/>
  <c r="C13388" i="1"/>
  <c r="D13388" i="1"/>
  <c r="E13388" i="1"/>
  <c r="A13389" i="1"/>
  <c r="B13389" i="1"/>
  <c r="C13389" i="1"/>
  <c r="D13389" i="1"/>
  <c r="E13389" i="1"/>
  <c r="A13390" i="1"/>
  <c r="B13390" i="1"/>
  <c r="C13390" i="1"/>
  <c r="D13390" i="1"/>
  <c r="E13390" i="1"/>
  <c r="A13391" i="1"/>
  <c r="B13391" i="1"/>
  <c r="C13391" i="1"/>
  <c r="D13391" i="1"/>
  <c r="E13391" i="1"/>
  <c r="A13392" i="1"/>
  <c r="B13392" i="1"/>
  <c r="C13392" i="1"/>
  <c r="D13392" i="1"/>
  <c r="E13392" i="1"/>
  <c r="A13393" i="1"/>
  <c r="B13393" i="1"/>
  <c r="C13393" i="1"/>
  <c r="D13393" i="1"/>
  <c r="E13393" i="1"/>
  <c r="A13394" i="1"/>
  <c r="B13394" i="1"/>
  <c r="C13394" i="1"/>
  <c r="D13394" i="1"/>
  <c r="E13394" i="1"/>
  <c r="A13395" i="1"/>
  <c r="B13395" i="1"/>
  <c r="C13395" i="1"/>
  <c r="D13395" i="1"/>
  <c r="E13395" i="1"/>
  <c r="A13396" i="1"/>
  <c r="B13396" i="1"/>
  <c r="C13396" i="1"/>
  <c r="D13396" i="1"/>
  <c r="E13396" i="1"/>
  <c r="A13397" i="1"/>
  <c r="B13397" i="1"/>
  <c r="C13397" i="1"/>
  <c r="D13397" i="1"/>
  <c r="E13397" i="1"/>
  <c r="A13398" i="1"/>
  <c r="B13398" i="1"/>
  <c r="C13398" i="1"/>
  <c r="D13398" i="1"/>
  <c r="E13398" i="1"/>
  <c r="A13399" i="1"/>
  <c r="B13399" i="1"/>
  <c r="C13399" i="1"/>
  <c r="D13399" i="1"/>
  <c r="E13399" i="1"/>
  <c r="A13400" i="1"/>
  <c r="B13400" i="1"/>
  <c r="C13400" i="1"/>
  <c r="D13400" i="1"/>
  <c r="E13400" i="1"/>
  <c r="A13401" i="1"/>
  <c r="B13401" i="1"/>
  <c r="C13401" i="1"/>
  <c r="D13401" i="1"/>
  <c r="E13401" i="1"/>
  <c r="A13402" i="1"/>
  <c r="B13402" i="1"/>
  <c r="C13402" i="1"/>
  <c r="D13402" i="1"/>
  <c r="E13402" i="1"/>
  <c r="A13403" i="1"/>
  <c r="B13403" i="1"/>
  <c r="C13403" i="1"/>
  <c r="D13403" i="1"/>
  <c r="E13403" i="1"/>
  <c r="A13404" i="1"/>
  <c r="B13404" i="1"/>
  <c r="C13404" i="1"/>
  <c r="D13404" i="1"/>
  <c r="E13404" i="1"/>
  <c r="A13405" i="1"/>
  <c r="B13405" i="1"/>
  <c r="C13405" i="1"/>
  <c r="D13405" i="1"/>
  <c r="E13405" i="1"/>
  <c r="A13406" i="1"/>
  <c r="B13406" i="1"/>
  <c r="C13406" i="1"/>
  <c r="D13406" i="1"/>
  <c r="E13406" i="1"/>
  <c r="A13407" i="1"/>
  <c r="B13407" i="1"/>
  <c r="C13407" i="1"/>
  <c r="D13407" i="1"/>
  <c r="E13407" i="1"/>
  <c r="A13408" i="1"/>
  <c r="B13408" i="1"/>
  <c r="C13408" i="1"/>
  <c r="D13408" i="1"/>
  <c r="E13408" i="1"/>
  <c r="A13409" i="1"/>
  <c r="B13409" i="1"/>
  <c r="C13409" i="1"/>
  <c r="D13409" i="1"/>
  <c r="E13409" i="1"/>
  <c r="A13410" i="1"/>
  <c r="B13410" i="1"/>
  <c r="C13410" i="1"/>
  <c r="D13410" i="1"/>
  <c r="E13410" i="1"/>
  <c r="A13411" i="1"/>
  <c r="B13411" i="1"/>
  <c r="C13411" i="1"/>
  <c r="D13411" i="1"/>
  <c r="E13411" i="1"/>
  <c r="A13412" i="1"/>
  <c r="B13412" i="1"/>
  <c r="C13412" i="1"/>
  <c r="D13412" i="1"/>
  <c r="E13412" i="1"/>
  <c r="A13413" i="1"/>
  <c r="B13413" i="1"/>
  <c r="C13413" i="1"/>
  <c r="D13413" i="1"/>
  <c r="E13413" i="1"/>
  <c r="A13414" i="1"/>
  <c r="B13414" i="1"/>
  <c r="C13414" i="1"/>
  <c r="D13414" i="1"/>
  <c r="E13414" i="1"/>
  <c r="A13415" i="1"/>
  <c r="B13415" i="1"/>
  <c r="C13415" i="1"/>
  <c r="D13415" i="1"/>
  <c r="E13415" i="1"/>
  <c r="A13416" i="1"/>
  <c r="B13416" i="1"/>
  <c r="C13416" i="1"/>
  <c r="D13416" i="1"/>
  <c r="E13416" i="1"/>
  <c r="A13417" i="1"/>
  <c r="B13417" i="1"/>
  <c r="C13417" i="1"/>
  <c r="D13417" i="1"/>
  <c r="E13417" i="1"/>
  <c r="A13418" i="1"/>
  <c r="B13418" i="1"/>
  <c r="C13418" i="1"/>
  <c r="D13418" i="1"/>
  <c r="E13418" i="1"/>
  <c r="A13419" i="1"/>
  <c r="B13419" i="1"/>
  <c r="C13419" i="1"/>
  <c r="D13419" i="1"/>
  <c r="E13419" i="1"/>
  <c r="A13420" i="1"/>
  <c r="B13420" i="1"/>
  <c r="C13420" i="1"/>
  <c r="D13420" i="1"/>
  <c r="E13420" i="1"/>
  <c r="A13421" i="1"/>
  <c r="B13421" i="1"/>
  <c r="C13421" i="1"/>
  <c r="D13421" i="1"/>
  <c r="E13421" i="1"/>
  <c r="A13422" i="1"/>
  <c r="B13422" i="1"/>
  <c r="C13422" i="1"/>
  <c r="D13422" i="1"/>
  <c r="E13422" i="1"/>
  <c r="A13423" i="1"/>
  <c r="B13423" i="1"/>
  <c r="C13423" i="1"/>
  <c r="D13423" i="1"/>
  <c r="E13423" i="1"/>
  <c r="A13424" i="1"/>
  <c r="B13424" i="1"/>
  <c r="C13424" i="1"/>
  <c r="D13424" i="1"/>
  <c r="E13424" i="1"/>
  <c r="A13425" i="1"/>
  <c r="B13425" i="1"/>
  <c r="C13425" i="1"/>
  <c r="D13425" i="1"/>
  <c r="E13425" i="1"/>
  <c r="A13426" i="1"/>
  <c r="B13426" i="1"/>
  <c r="C13426" i="1"/>
  <c r="D13426" i="1"/>
  <c r="E13426" i="1"/>
  <c r="A13427" i="1"/>
  <c r="B13427" i="1"/>
  <c r="C13427" i="1"/>
  <c r="D13427" i="1"/>
  <c r="E13427" i="1"/>
  <c r="A13428" i="1"/>
  <c r="B13428" i="1"/>
  <c r="C13428" i="1"/>
  <c r="D13428" i="1"/>
  <c r="E13428" i="1"/>
  <c r="A13429" i="1"/>
  <c r="B13429" i="1"/>
  <c r="C13429" i="1"/>
  <c r="D13429" i="1"/>
  <c r="E13429" i="1"/>
  <c r="A13430" i="1"/>
  <c r="B13430" i="1"/>
  <c r="C13430" i="1"/>
  <c r="D13430" i="1"/>
  <c r="E13430" i="1"/>
  <c r="A13431" i="1"/>
  <c r="B13431" i="1"/>
  <c r="C13431" i="1"/>
  <c r="D13431" i="1"/>
  <c r="E13431" i="1"/>
  <c r="A13432" i="1"/>
  <c r="B13432" i="1"/>
  <c r="C13432" i="1"/>
  <c r="D13432" i="1"/>
  <c r="E13432" i="1"/>
  <c r="A13433" i="1"/>
  <c r="B13433" i="1"/>
  <c r="C13433" i="1"/>
  <c r="D13433" i="1"/>
  <c r="E13433" i="1"/>
  <c r="A13434" i="1"/>
  <c r="B13434" i="1"/>
  <c r="C13434" i="1"/>
  <c r="D13434" i="1"/>
  <c r="E13434" i="1"/>
  <c r="A13435" i="1"/>
  <c r="B13435" i="1"/>
  <c r="C13435" i="1"/>
  <c r="D13435" i="1"/>
  <c r="E13435" i="1"/>
  <c r="A13436" i="1"/>
  <c r="B13436" i="1"/>
  <c r="C13436" i="1"/>
  <c r="D13436" i="1"/>
  <c r="E13436" i="1"/>
  <c r="A13437" i="1"/>
  <c r="B13437" i="1"/>
  <c r="C13437" i="1"/>
  <c r="D13437" i="1"/>
  <c r="E13437" i="1"/>
  <c r="A13438" i="1"/>
  <c r="B13438" i="1"/>
  <c r="C13438" i="1"/>
  <c r="D13438" i="1"/>
  <c r="E13438" i="1"/>
  <c r="A13439" i="1"/>
  <c r="B13439" i="1"/>
  <c r="C13439" i="1"/>
  <c r="D13439" i="1"/>
  <c r="E13439" i="1"/>
  <c r="A13440" i="1"/>
  <c r="B13440" i="1"/>
  <c r="C13440" i="1"/>
  <c r="D13440" i="1"/>
  <c r="E13440" i="1"/>
  <c r="A13441" i="1"/>
  <c r="B13441" i="1"/>
  <c r="C13441" i="1"/>
  <c r="D13441" i="1"/>
  <c r="E13441" i="1"/>
  <c r="A13442" i="1"/>
  <c r="B13442" i="1"/>
  <c r="C13442" i="1"/>
  <c r="D13442" i="1"/>
  <c r="E13442" i="1"/>
  <c r="A13443" i="1"/>
  <c r="B13443" i="1"/>
  <c r="C13443" i="1"/>
  <c r="D13443" i="1"/>
  <c r="E13443" i="1"/>
  <c r="A13444" i="1"/>
  <c r="B13444" i="1"/>
  <c r="C13444" i="1"/>
  <c r="D13444" i="1"/>
  <c r="E13444" i="1"/>
  <c r="A13445" i="1"/>
  <c r="B13445" i="1"/>
  <c r="C13445" i="1"/>
  <c r="D13445" i="1"/>
  <c r="E13445" i="1"/>
  <c r="A13446" i="1"/>
  <c r="B13446" i="1"/>
  <c r="C13446" i="1"/>
  <c r="D13446" i="1"/>
  <c r="E13446" i="1"/>
  <c r="A13447" i="1"/>
  <c r="B13447" i="1"/>
  <c r="C13447" i="1"/>
  <c r="D13447" i="1"/>
  <c r="E13447" i="1"/>
  <c r="A13448" i="1"/>
  <c r="B13448" i="1"/>
  <c r="C13448" i="1"/>
  <c r="D13448" i="1"/>
  <c r="E13448" i="1"/>
  <c r="A13449" i="1"/>
  <c r="B13449" i="1"/>
  <c r="C13449" i="1"/>
  <c r="D13449" i="1"/>
  <c r="E13449" i="1"/>
  <c r="A13450" i="1"/>
  <c r="B13450" i="1"/>
  <c r="C13450" i="1"/>
  <c r="D13450" i="1"/>
  <c r="E13450" i="1"/>
  <c r="A13451" i="1"/>
  <c r="B13451" i="1"/>
  <c r="C13451" i="1"/>
  <c r="D13451" i="1"/>
  <c r="E13451" i="1"/>
  <c r="A13452" i="1"/>
  <c r="B13452" i="1"/>
  <c r="C13452" i="1"/>
  <c r="D13452" i="1"/>
  <c r="E13452" i="1"/>
  <c r="A13453" i="1"/>
  <c r="B13453" i="1"/>
  <c r="C13453" i="1"/>
  <c r="D13453" i="1"/>
  <c r="E13453" i="1"/>
  <c r="A13454" i="1"/>
  <c r="B13454" i="1"/>
  <c r="C13454" i="1"/>
  <c r="D13454" i="1"/>
  <c r="E13454" i="1"/>
  <c r="A13455" i="1"/>
  <c r="B13455" i="1"/>
  <c r="C13455" i="1"/>
  <c r="D13455" i="1"/>
  <c r="E13455" i="1"/>
  <c r="A13456" i="1"/>
  <c r="B13456" i="1"/>
  <c r="C13456" i="1"/>
  <c r="D13456" i="1"/>
  <c r="E13456" i="1"/>
  <c r="A13457" i="1"/>
  <c r="B13457" i="1"/>
  <c r="C13457" i="1"/>
  <c r="D13457" i="1"/>
  <c r="E13457" i="1"/>
  <c r="A13458" i="1"/>
  <c r="B13458" i="1"/>
  <c r="C13458" i="1"/>
  <c r="D13458" i="1"/>
  <c r="E13458" i="1"/>
  <c r="A13459" i="1"/>
  <c r="B13459" i="1"/>
  <c r="C13459" i="1"/>
  <c r="D13459" i="1"/>
  <c r="E13459" i="1"/>
  <c r="A13460" i="1"/>
  <c r="B13460" i="1"/>
  <c r="C13460" i="1"/>
  <c r="D13460" i="1"/>
  <c r="E13460" i="1"/>
  <c r="A13461" i="1"/>
  <c r="B13461" i="1"/>
  <c r="C13461" i="1"/>
  <c r="D13461" i="1"/>
  <c r="E13461" i="1"/>
  <c r="A13462" i="1"/>
  <c r="B13462" i="1"/>
  <c r="C13462" i="1"/>
  <c r="D13462" i="1"/>
  <c r="E13462" i="1"/>
  <c r="A13463" i="1"/>
  <c r="B13463" i="1"/>
  <c r="C13463" i="1"/>
  <c r="D13463" i="1"/>
  <c r="E13463" i="1"/>
  <c r="A13464" i="1"/>
  <c r="B13464" i="1"/>
  <c r="C13464" i="1"/>
  <c r="D13464" i="1"/>
  <c r="E13464" i="1"/>
  <c r="A13465" i="1"/>
  <c r="B13465" i="1"/>
  <c r="C13465" i="1"/>
  <c r="D13465" i="1"/>
  <c r="E13465" i="1"/>
  <c r="A13466" i="1"/>
  <c r="B13466" i="1"/>
  <c r="C13466" i="1"/>
  <c r="D13466" i="1"/>
  <c r="E13466" i="1"/>
  <c r="A13467" i="1"/>
  <c r="B13467" i="1"/>
  <c r="C13467" i="1"/>
  <c r="D13467" i="1"/>
  <c r="E13467" i="1"/>
  <c r="A13468" i="1"/>
  <c r="B13468" i="1"/>
  <c r="C13468" i="1"/>
  <c r="D13468" i="1"/>
  <c r="E13468" i="1"/>
  <c r="A13469" i="1"/>
  <c r="B13469" i="1"/>
  <c r="C13469" i="1"/>
  <c r="D13469" i="1"/>
  <c r="E13469" i="1"/>
  <c r="A13470" i="1"/>
  <c r="B13470" i="1"/>
  <c r="C13470" i="1"/>
  <c r="D13470" i="1"/>
  <c r="E13470" i="1"/>
  <c r="A13471" i="1"/>
  <c r="B13471" i="1"/>
  <c r="C13471" i="1"/>
  <c r="D13471" i="1"/>
  <c r="E13471" i="1"/>
  <c r="A13472" i="1"/>
  <c r="B13472" i="1"/>
  <c r="C13472" i="1"/>
  <c r="D13472" i="1"/>
  <c r="E13472" i="1"/>
  <c r="A13473" i="1"/>
  <c r="B13473" i="1"/>
  <c r="C13473" i="1"/>
  <c r="D13473" i="1"/>
  <c r="E13473" i="1"/>
  <c r="A13474" i="1"/>
  <c r="B13474" i="1"/>
  <c r="C13474" i="1"/>
  <c r="D13474" i="1"/>
  <c r="E13474" i="1"/>
  <c r="A13475" i="1"/>
  <c r="B13475" i="1"/>
  <c r="C13475" i="1"/>
  <c r="D13475" i="1"/>
  <c r="E13475" i="1"/>
  <c r="A13476" i="1"/>
  <c r="B13476" i="1"/>
  <c r="C13476" i="1"/>
  <c r="D13476" i="1"/>
  <c r="E13476" i="1"/>
  <c r="A13477" i="1"/>
  <c r="B13477" i="1"/>
  <c r="C13477" i="1"/>
  <c r="D13477" i="1"/>
  <c r="E13477" i="1"/>
  <c r="A13478" i="1"/>
  <c r="B13478" i="1"/>
  <c r="C13478" i="1"/>
  <c r="D13478" i="1"/>
  <c r="E13478" i="1"/>
  <c r="A13479" i="1"/>
  <c r="B13479" i="1"/>
  <c r="C13479" i="1"/>
  <c r="D13479" i="1"/>
  <c r="E13479" i="1"/>
  <c r="A13480" i="1"/>
  <c r="B13480" i="1"/>
  <c r="C13480" i="1"/>
  <c r="D13480" i="1"/>
  <c r="E13480" i="1"/>
  <c r="A13481" i="1"/>
  <c r="B13481" i="1"/>
  <c r="C13481" i="1"/>
  <c r="D13481" i="1"/>
  <c r="E13481" i="1"/>
  <c r="A13482" i="1"/>
  <c r="B13482" i="1"/>
  <c r="C13482" i="1"/>
  <c r="D13482" i="1"/>
  <c r="E13482" i="1"/>
  <c r="A13483" i="1"/>
  <c r="B13483" i="1"/>
  <c r="C13483" i="1"/>
  <c r="D13483" i="1"/>
  <c r="E13483" i="1"/>
  <c r="A13484" i="1"/>
  <c r="B13484" i="1"/>
  <c r="C13484" i="1"/>
  <c r="D13484" i="1"/>
  <c r="E13484" i="1"/>
  <c r="A13485" i="1"/>
  <c r="B13485" i="1"/>
  <c r="C13485" i="1"/>
  <c r="D13485" i="1"/>
  <c r="E13485" i="1"/>
  <c r="A13486" i="1"/>
  <c r="B13486" i="1"/>
  <c r="C13486" i="1"/>
  <c r="D13486" i="1"/>
  <c r="E13486" i="1"/>
  <c r="A13487" i="1"/>
  <c r="B13487" i="1"/>
  <c r="C13487" i="1"/>
  <c r="D13487" i="1"/>
  <c r="E13487" i="1"/>
  <c r="A13488" i="1"/>
  <c r="B13488" i="1"/>
  <c r="C13488" i="1"/>
  <c r="D13488" i="1"/>
  <c r="E13488" i="1"/>
  <c r="A13489" i="1"/>
  <c r="B13489" i="1"/>
  <c r="C13489" i="1"/>
  <c r="D13489" i="1"/>
  <c r="E13489" i="1"/>
  <c r="A13490" i="1"/>
  <c r="B13490" i="1"/>
  <c r="C13490" i="1"/>
  <c r="D13490" i="1"/>
  <c r="E13490" i="1"/>
  <c r="A13491" i="1"/>
  <c r="B13491" i="1"/>
  <c r="C13491" i="1"/>
  <c r="D13491" i="1"/>
  <c r="E13491" i="1"/>
  <c r="A13492" i="1"/>
  <c r="B13492" i="1"/>
  <c r="C13492" i="1"/>
  <c r="D13492" i="1"/>
  <c r="E13492" i="1"/>
  <c r="A13493" i="1"/>
  <c r="B13493" i="1"/>
  <c r="C13493" i="1"/>
  <c r="D13493" i="1"/>
  <c r="E13493" i="1"/>
  <c r="A13494" i="1"/>
  <c r="B13494" i="1"/>
  <c r="C13494" i="1"/>
  <c r="D13494" i="1"/>
  <c r="E13494" i="1"/>
  <c r="A13495" i="1"/>
  <c r="B13495" i="1"/>
  <c r="C13495" i="1"/>
  <c r="D13495" i="1"/>
  <c r="E13495" i="1"/>
  <c r="A13496" i="1"/>
  <c r="B13496" i="1"/>
  <c r="C13496" i="1"/>
  <c r="D13496" i="1"/>
  <c r="E13496" i="1"/>
  <c r="A13497" i="1"/>
  <c r="B13497" i="1"/>
  <c r="C13497" i="1"/>
  <c r="D13497" i="1"/>
  <c r="E13497" i="1"/>
  <c r="A13498" i="1"/>
  <c r="B13498" i="1"/>
  <c r="C13498" i="1"/>
  <c r="D13498" i="1"/>
  <c r="E13498" i="1"/>
  <c r="A13499" i="1"/>
  <c r="B13499" i="1"/>
  <c r="C13499" i="1"/>
  <c r="D13499" i="1"/>
  <c r="E13499" i="1"/>
  <c r="A13500" i="1"/>
  <c r="B13500" i="1"/>
  <c r="C13500" i="1"/>
  <c r="D13500" i="1"/>
  <c r="E13500" i="1"/>
  <c r="A13501" i="1"/>
  <c r="B13501" i="1"/>
  <c r="C13501" i="1"/>
  <c r="D13501" i="1"/>
  <c r="E13501" i="1"/>
  <c r="A13502" i="1"/>
  <c r="B13502" i="1"/>
  <c r="C13502" i="1"/>
  <c r="D13502" i="1"/>
  <c r="E13502" i="1"/>
  <c r="A13503" i="1"/>
  <c r="B13503" i="1"/>
  <c r="C13503" i="1"/>
  <c r="D13503" i="1"/>
  <c r="E13503" i="1"/>
  <c r="A13504" i="1"/>
  <c r="B13504" i="1"/>
  <c r="C13504" i="1"/>
  <c r="D13504" i="1"/>
  <c r="E13504" i="1"/>
  <c r="A13505" i="1"/>
  <c r="B13505" i="1"/>
  <c r="C13505" i="1"/>
  <c r="D13505" i="1"/>
  <c r="E13505" i="1"/>
  <c r="A13506" i="1"/>
  <c r="B13506" i="1"/>
  <c r="C13506" i="1"/>
  <c r="D13506" i="1"/>
  <c r="E13506" i="1"/>
  <c r="A13507" i="1"/>
  <c r="B13507" i="1"/>
  <c r="C13507" i="1"/>
  <c r="D13507" i="1"/>
  <c r="E13507" i="1"/>
  <c r="A13508" i="1"/>
  <c r="B13508" i="1"/>
  <c r="C13508" i="1"/>
  <c r="D13508" i="1"/>
  <c r="E13508" i="1"/>
  <c r="A13509" i="1"/>
  <c r="B13509" i="1"/>
  <c r="C13509" i="1"/>
  <c r="D13509" i="1"/>
  <c r="E13509" i="1"/>
  <c r="A13510" i="1"/>
  <c r="B13510" i="1"/>
  <c r="C13510" i="1"/>
  <c r="D13510" i="1"/>
  <c r="E13510" i="1"/>
  <c r="A13511" i="1"/>
  <c r="B13511" i="1"/>
  <c r="C13511" i="1"/>
  <c r="D13511" i="1"/>
  <c r="E13511" i="1"/>
  <c r="A13512" i="1"/>
  <c r="B13512" i="1"/>
  <c r="C13512" i="1"/>
  <c r="D13512" i="1"/>
  <c r="E13512" i="1"/>
  <c r="A13513" i="1"/>
  <c r="B13513" i="1"/>
  <c r="C13513" i="1"/>
  <c r="D13513" i="1"/>
  <c r="E13513" i="1"/>
  <c r="A13514" i="1"/>
  <c r="B13514" i="1"/>
  <c r="C13514" i="1"/>
  <c r="D13514" i="1"/>
  <c r="E13514" i="1"/>
  <c r="A13515" i="1"/>
  <c r="B13515" i="1"/>
  <c r="C13515" i="1"/>
  <c r="D13515" i="1"/>
  <c r="E13515" i="1"/>
  <c r="A13516" i="1"/>
  <c r="B13516" i="1"/>
  <c r="C13516" i="1"/>
  <c r="D13516" i="1"/>
  <c r="E13516" i="1"/>
  <c r="A13517" i="1"/>
  <c r="B13517" i="1"/>
  <c r="C13517" i="1"/>
  <c r="D13517" i="1"/>
  <c r="E13517" i="1"/>
  <c r="A13518" i="1"/>
  <c r="B13518" i="1"/>
  <c r="C13518" i="1"/>
  <c r="D13518" i="1"/>
  <c r="E13518" i="1"/>
  <c r="A13519" i="1"/>
  <c r="B13519" i="1"/>
  <c r="C13519" i="1"/>
  <c r="D13519" i="1"/>
  <c r="E13519" i="1"/>
  <c r="A13520" i="1"/>
  <c r="B13520" i="1"/>
  <c r="C13520" i="1"/>
  <c r="D13520" i="1"/>
  <c r="E13520" i="1"/>
  <c r="A13521" i="1"/>
  <c r="B13521" i="1"/>
  <c r="C13521" i="1"/>
  <c r="D13521" i="1"/>
  <c r="E13521" i="1"/>
  <c r="A13522" i="1"/>
  <c r="B13522" i="1"/>
  <c r="C13522" i="1"/>
  <c r="D13522" i="1"/>
  <c r="E13522" i="1"/>
  <c r="A13523" i="1"/>
  <c r="B13523" i="1"/>
  <c r="C13523" i="1"/>
  <c r="D13523" i="1"/>
  <c r="E13523" i="1"/>
  <c r="A13524" i="1"/>
  <c r="B13524" i="1"/>
  <c r="C13524" i="1"/>
  <c r="D13524" i="1"/>
  <c r="E13524" i="1"/>
  <c r="A13525" i="1"/>
  <c r="B13525" i="1"/>
  <c r="C13525" i="1"/>
  <c r="D13525" i="1"/>
  <c r="E13525" i="1"/>
  <c r="A13526" i="1"/>
  <c r="B13526" i="1"/>
  <c r="C13526" i="1"/>
  <c r="D13526" i="1"/>
  <c r="E13526" i="1"/>
  <c r="A13527" i="1"/>
  <c r="B13527" i="1"/>
  <c r="C13527" i="1"/>
  <c r="D13527" i="1"/>
  <c r="E13527" i="1"/>
  <c r="A13528" i="1"/>
  <c r="B13528" i="1"/>
  <c r="C13528" i="1"/>
  <c r="D13528" i="1"/>
  <c r="E13528" i="1"/>
  <c r="A13529" i="1"/>
  <c r="B13529" i="1"/>
  <c r="C13529" i="1"/>
  <c r="D13529" i="1"/>
  <c r="E13529" i="1"/>
  <c r="A13530" i="1"/>
  <c r="B13530" i="1"/>
  <c r="C13530" i="1"/>
  <c r="D13530" i="1"/>
  <c r="E13530" i="1"/>
  <c r="A13531" i="1"/>
  <c r="B13531" i="1"/>
  <c r="C13531" i="1"/>
  <c r="D13531" i="1"/>
  <c r="E13531" i="1"/>
  <c r="A13532" i="1"/>
  <c r="B13532" i="1"/>
  <c r="C13532" i="1"/>
  <c r="D13532" i="1"/>
  <c r="E13532" i="1"/>
  <c r="A13533" i="1"/>
  <c r="B13533" i="1"/>
  <c r="C13533" i="1"/>
  <c r="D13533" i="1"/>
  <c r="E13533" i="1"/>
  <c r="A13534" i="1"/>
  <c r="B13534" i="1"/>
  <c r="C13534" i="1"/>
  <c r="D13534" i="1"/>
  <c r="E13534" i="1"/>
  <c r="A13535" i="1"/>
  <c r="B13535" i="1"/>
  <c r="C13535" i="1"/>
  <c r="D13535" i="1"/>
  <c r="E13535" i="1"/>
  <c r="A13536" i="1"/>
  <c r="B13536" i="1"/>
  <c r="C13536" i="1"/>
  <c r="D13536" i="1"/>
  <c r="E13536" i="1"/>
  <c r="A13537" i="1"/>
  <c r="B13537" i="1"/>
  <c r="C13537" i="1"/>
  <c r="D13537" i="1"/>
  <c r="E13537" i="1"/>
  <c r="A13538" i="1"/>
  <c r="B13538" i="1"/>
  <c r="C13538" i="1"/>
  <c r="D13538" i="1"/>
  <c r="E13538" i="1"/>
  <c r="A13539" i="1"/>
  <c r="B13539" i="1"/>
  <c r="C13539" i="1"/>
  <c r="D13539" i="1"/>
  <c r="E13539" i="1"/>
  <c r="A13540" i="1"/>
  <c r="B13540" i="1"/>
  <c r="C13540" i="1"/>
  <c r="D13540" i="1"/>
  <c r="E13540" i="1"/>
  <c r="A13541" i="1"/>
  <c r="B13541" i="1"/>
  <c r="C13541" i="1"/>
  <c r="D13541" i="1"/>
  <c r="E13541" i="1"/>
  <c r="A13542" i="1"/>
  <c r="B13542" i="1"/>
  <c r="C13542" i="1"/>
  <c r="D13542" i="1"/>
  <c r="E13542" i="1"/>
  <c r="A13543" i="1"/>
  <c r="B13543" i="1"/>
  <c r="C13543" i="1"/>
  <c r="D13543" i="1"/>
  <c r="E13543" i="1"/>
  <c r="A13544" i="1"/>
  <c r="B13544" i="1"/>
  <c r="C13544" i="1"/>
  <c r="D13544" i="1"/>
  <c r="E13544" i="1"/>
  <c r="A13545" i="1"/>
  <c r="B13545" i="1"/>
  <c r="C13545" i="1"/>
  <c r="D13545" i="1"/>
  <c r="E13545" i="1"/>
  <c r="A13546" i="1"/>
  <c r="B13546" i="1"/>
  <c r="C13546" i="1"/>
  <c r="D13546" i="1"/>
  <c r="E13546" i="1"/>
  <c r="A13547" i="1"/>
  <c r="B13547" i="1"/>
  <c r="C13547" i="1"/>
  <c r="D13547" i="1"/>
  <c r="E13547" i="1"/>
  <c r="A13548" i="1"/>
  <c r="B13548" i="1"/>
  <c r="C13548" i="1"/>
  <c r="D13548" i="1"/>
  <c r="E13548" i="1"/>
  <c r="A13549" i="1"/>
  <c r="B13549" i="1"/>
  <c r="C13549" i="1"/>
  <c r="D13549" i="1"/>
  <c r="E13549" i="1"/>
  <c r="A13550" i="1"/>
  <c r="B13550" i="1"/>
  <c r="C13550" i="1"/>
  <c r="D13550" i="1"/>
  <c r="E13550" i="1"/>
  <c r="A13551" i="1"/>
  <c r="B13551" i="1"/>
  <c r="C13551" i="1"/>
  <c r="D13551" i="1"/>
  <c r="E13551" i="1"/>
  <c r="A13552" i="1"/>
  <c r="B13552" i="1"/>
  <c r="C13552" i="1"/>
  <c r="D13552" i="1"/>
  <c r="E13552" i="1"/>
  <c r="A13553" i="1"/>
  <c r="B13553" i="1"/>
  <c r="C13553" i="1"/>
  <c r="D13553" i="1"/>
  <c r="E13553" i="1"/>
  <c r="A13554" i="1"/>
  <c r="B13554" i="1"/>
  <c r="C13554" i="1"/>
  <c r="D13554" i="1"/>
  <c r="E13554" i="1"/>
  <c r="A13555" i="1"/>
  <c r="B13555" i="1"/>
  <c r="C13555" i="1"/>
  <c r="D13555" i="1"/>
  <c r="E13555" i="1"/>
  <c r="A13556" i="1"/>
  <c r="B13556" i="1"/>
  <c r="C13556" i="1"/>
  <c r="D13556" i="1"/>
  <c r="E13556" i="1"/>
  <c r="A13557" i="1"/>
  <c r="B13557" i="1"/>
  <c r="C13557" i="1"/>
  <c r="D13557" i="1"/>
  <c r="E13557" i="1"/>
  <c r="A13558" i="1"/>
  <c r="B13558" i="1"/>
  <c r="C13558" i="1"/>
  <c r="D13558" i="1"/>
  <c r="E13558" i="1"/>
  <c r="A13559" i="1"/>
  <c r="B13559" i="1"/>
  <c r="C13559" i="1"/>
  <c r="D13559" i="1"/>
  <c r="E13559" i="1"/>
  <c r="A13560" i="1"/>
  <c r="B13560" i="1"/>
  <c r="C13560" i="1"/>
  <c r="D13560" i="1"/>
  <c r="E13560" i="1"/>
  <c r="A13561" i="1"/>
  <c r="B13561" i="1"/>
  <c r="C13561" i="1"/>
  <c r="D13561" i="1"/>
  <c r="E13561" i="1"/>
  <c r="A13562" i="1"/>
  <c r="B13562" i="1"/>
  <c r="C13562" i="1"/>
  <c r="D13562" i="1"/>
  <c r="E13562" i="1"/>
  <c r="A13563" i="1"/>
  <c r="B13563" i="1"/>
  <c r="C13563" i="1"/>
  <c r="D13563" i="1"/>
  <c r="E13563" i="1"/>
  <c r="A13564" i="1"/>
  <c r="B13564" i="1"/>
  <c r="C13564" i="1"/>
  <c r="D13564" i="1"/>
  <c r="E13564" i="1"/>
  <c r="A13565" i="1"/>
  <c r="B13565" i="1"/>
  <c r="C13565" i="1"/>
  <c r="D13565" i="1"/>
  <c r="E13565" i="1"/>
  <c r="A13566" i="1"/>
  <c r="B13566" i="1"/>
  <c r="C13566" i="1"/>
  <c r="D13566" i="1"/>
  <c r="E13566" i="1"/>
  <c r="A13567" i="1"/>
  <c r="B13567" i="1"/>
  <c r="C13567" i="1"/>
  <c r="D13567" i="1"/>
  <c r="E13567" i="1"/>
  <c r="A13568" i="1"/>
  <c r="B13568" i="1"/>
  <c r="C13568" i="1"/>
  <c r="D13568" i="1"/>
  <c r="E13568" i="1"/>
  <c r="A13569" i="1"/>
  <c r="B13569" i="1"/>
  <c r="C13569" i="1"/>
  <c r="D13569" i="1"/>
  <c r="E13569" i="1"/>
  <c r="A13570" i="1"/>
  <c r="B13570" i="1"/>
  <c r="C13570" i="1"/>
  <c r="D13570" i="1"/>
  <c r="E13570" i="1"/>
  <c r="A13571" i="1"/>
  <c r="B13571" i="1"/>
  <c r="C13571" i="1"/>
  <c r="D13571" i="1"/>
  <c r="E13571" i="1"/>
  <c r="A13572" i="1"/>
  <c r="B13572" i="1"/>
  <c r="C13572" i="1"/>
  <c r="D13572" i="1"/>
  <c r="E13572" i="1"/>
  <c r="A13573" i="1"/>
  <c r="B13573" i="1"/>
  <c r="C13573" i="1"/>
  <c r="D13573" i="1"/>
  <c r="E13573" i="1"/>
  <c r="A13574" i="1"/>
  <c r="B13574" i="1"/>
  <c r="C13574" i="1"/>
  <c r="D13574" i="1"/>
  <c r="E13574" i="1"/>
  <c r="A13575" i="1"/>
  <c r="B13575" i="1"/>
  <c r="C13575" i="1"/>
  <c r="D13575" i="1"/>
  <c r="E13575" i="1"/>
  <c r="A13576" i="1"/>
  <c r="B13576" i="1"/>
  <c r="C13576" i="1"/>
  <c r="D13576" i="1"/>
  <c r="E13576" i="1"/>
  <c r="A13577" i="1"/>
  <c r="B13577" i="1"/>
  <c r="C13577" i="1"/>
  <c r="D13577" i="1"/>
  <c r="E13577" i="1"/>
  <c r="A13578" i="1"/>
  <c r="B13578" i="1"/>
  <c r="C13578" i="1"/>
  <c r="D13578" i="1"/>
  <c r="E13578" i="1"/>
  <c r="A13579" i="1"/>
  <c r="B13579" i="1"/>
  <c r="C13579" i="1"/>
  <c r="D13579" i="1"/>
  <c r="E13579" i="1"/>
  <c r="A13580" i="1"/>
  <c r="B13580" i="1"/>
  <c r="C13580" i="1"/>
  <c r="D13580" i="1"/>
  <c r="E13580" i="1"/>
  <c r="A13581" i="1"/>
  <c r="B13581" i="1"/>
  <c r="C13581" i="1"/>
  <c r="D13581" i="1"/>
  <c r="E13581" i="1"/>
  <c r="A13582" i="1"/>
  <c r="B13582" i="1"/>
  <c r="C13582" i="1"/>
  <c r="D13582" i="1"/>
  <c r="E13582" i="1"/>
  <c r="A13583" i="1"/>
  <c r="B13583" i="1"/>
  <c r="C13583" i="1"/>
  <c r="D13583" i="1"/>
  <c r="E13583" i="1"/>
  <c r="A13584" i="1"/>
  <c r="B13584" i="1"/>
  <c r="C13584" i="1"/>
  <c r="D13584" i="1"/>
  <c r="E13584" i="1"/>
  <c r="A13585" i="1"/>
  <c r="B13585" i="1"/>
  <c r="C13585" i="1"/>
  <c r="D13585" i="1"/>
  <c r="E13585" i="1"/>
  <c r="A13586" i="1"/>
  <c r="B13586" i="1"/>
  <c r="C13586" i="1"/>
  <c r="D13586" i="1"/>
  <c r="E13586" i="1"/>
  <c r="A13587" i="1"/>
  <c r="B13587" i="1"/>
  <c r="C13587" i="1"/>
  <c r="D13587" i="1"/>
  <c r="E13587" i="1"/>
  <c r="A13588" i="1"/>
  <c r="B13588" i="1"/>
  <c r="C13588" i="1"/>
  <c r="D13588" i="1"/>
  <c r="E13588" i="1"/>
  <c r="A13589" i="1"/>
  <c r="B13589" i="1"/>
  <c r="C13589" i="1"/>
  <c r="D13589" i="1"/>
  <c r="E13589" i="1"/>
  <c r="A13590" i="1"/>
  <c r="B13590" i="1"/>
  <c r="C13590" i="1"/>
  <c r="D13590" i="1"/>
  <c r="E13590" i="1"/>
  <c r="A13591" i="1"/>
  <c r="B13591" i="1"/>
  <c r="C13591" i="1"/>
  <c r="D13591" i="1"/>
  <c r="E13591" i="1"/>
  <c r="A13592" i="1"/>
  <c r="B13592" i="1"/>
  <c r="C13592" i="1"/>
  <c r="D13592" i="1"/>
  <c r="E13592" i="1"/>
  <c r="A13593" i="1"/>
  <c r="B13593" i="1"/>
  <c r="C13593" i="1"/>
  <c r="D13593" i="1"/>
  <c r="E13593" i="1"/>
  <c r="A13594" i="1"/>
  <c r="B13594" i="1"/>
  <c r="C13594" i="1"/>
  <c r="D13594" i="1"/>
  <c r="E13594" i="1"/>
  <c r="A13595" i="1"/>
  <c r="B13595" i="1"/>
  <c r="C13595" i="1"/>
  <c r="D13595" i="1"/>
  <c r="E13595" i="1"/>
  <c r="A13596" i="1"/>
  <c r="B13596" i="1"/>
  <c r="C13596" i="1"/>
  <c r="D13596" i="1"/>
  <c r="E13596" i="1"/>
  <c r="A13597" i="1"/>
  <c r="B13597" i="1"/>
  <c r="C13597" i="1"/>
  <c r="D13597" i="1"/>
  <c r="E13597" i="1"/>
  <c r="A13598" i="1"/>
  <c r="B13598" i="1"/>
  <c r="C13598" i="1"/>
  <c r="D13598" i="1"/>
  <c r="E13598" i="1"/>
  <c r="A13599" i="1"/>
  <c r="B13599" i="1"/>
  <c r="C13599" i="1"/>
  <c r="D13599" i="1"/>
  <c r="E13599" i="1"/>
  <c r="A13600" i="1"/>
  <c r="B13600" i="1"/>
  <c r="C13600" i="1"/>
  <c r="D13600" i="1"/>
  <c r="E13600" i="1"/>
  <c r="A13601" i="1"/>
  <c r="B13601" i="1"/>
  <c r="C13601" i="1"/>
  <c r="D13601" i="1"/>
  <c r="E13601" i="1"/>
  <c r="A13602" i="1"/>
  <c r="B13602" i="1"/>
  <c r="C13602" i="1"/>
  <c r="D13602" i="1"/>
  <c r="E13602" i="1"/>
  <c r="A13603" i="1"/>
  <c r="B13603" i="1"/>
  <c r="C13603" i="1"/>
  <c r="D13603" i="1"/>
  <c r="E13603" i="1"/>
  <c r="A13604" i="1"/>
  <c r="B13604" i="1"/>
  <c r="C13604" i="1"/>
  <c r="D13604" i="1"/>
  <c r="E13604" i="1"/>
  <c r="A13605" i="1"/>
  <c r="B13605" i="1"/>
  <c r="C13605" i="1"/>
  <c r="D13605" i="1"/>
  <c r="E13605" i="1"/>
  <c r="A13606" i="1"/>
  <c r="B13606" i="1"/>
  <c r="C13606" i="1"/>
  <c r="D13606" i="1"/>
  <c r="E13606" i="1"/>
  <c r="A13607" i="1"/>
  <c r="B13607" i="1"/>
  <c r="C13607" i="1"/>
  <c r="D13607" i="1"/>
  <c r="E13607" i="1"/>
  <c r="A13608" i="1"/>
  <c r="B13608" i="1"/>
  <c r="C13608" i="1"/>
  <c r="D13608" i="1"/>
  <c r="E13608" i="1"/>
  <c r="A13609" i="1"/>
  <c r="B13609" i="1"/>
  <c r="C13609" i="1"/>
  <c r="D13609" i="1"/>
  <c r="E13609" i="1"/>
  <c r="A13610" i="1"/>
  <c r="B13610" i="1"/>
  <c r="C13610" i="1"/>
  <c r="D13610" i="1"/>
  <c r="E13610" i="1"/>
  <c r="A13611" i="1"/>
  <c r="B13611" i="1"/>
  <c r="C13611" i="1"/>
  <c r="D13611" i="1"/>
  <c r="E13611" i="1"/>
  <c r="A13612" i="1"/>
  <c r="B13612" i="1"/>
  <c r="C13612" i="1"/>
  <c r="D13612" i="1"/>
  <c r="E13612" i="1"/>
  <c r="A13613" i="1"/>
  <c r="B13613" i="1"/>
  <c r="C13613" i="1"/>
  <c r="D13613" i="1"/>
  <c r="E13613" i="1"/>
  <c r="A13614" i="1"/>
  <c r="B13614" i="1"/>
  <c r="C13614" i="1"/>
  <c r="D13614" i="1"/>
  <c r="E13614" i="1"/>
  <c r="A13615" i="1"/>
  <c r="B13615" i="1"/>
  <c r="C13615" i="1"/>
  <c r="D13615" i="1"/>
  <c r="E13615" i="1"/>
  <c r="A13616" i="1"/>
  <c r="B13616" i="1"/>
  <c r="C13616" i="1"/>
  <c r="D13616" i="1"/>
  <c r="E13616" i="1"/>
  <c r="A13617" i="1"/>
  <c r="B13617" i="1"/>
  <c r="C13617" i="1"/>
  <c r="D13617" i="1"/>
  <c r="E13617" i="1"/>
  <c r="A13618" i="1"/>
  <c r="B13618" i="1"/>
  <c r="C13618" i="1"/>
  <c r="D13618" i="1"/>
  <c r="E13618" i="1"/>
  <c r="A13619" i="1"/>
  <c r="B13619" i="1"/>
  <c r="C13619" i="1"/>
  <c r="D13619" i="1"/>
  <c r="E13619" i="1"/>
  <c r="A13620" i="1"/>
  <c r="B13620" i="1"/>
  <c r="C13620" i="1"/>
  <c r="D13620" i="1"/>
  <c r="E13620" i="1"/>
  <c r="A13621" i="1"/>
  <c r="B13621" i="1"/>
  <c r="C13621" i="1"/>
  <c r="D13621" i="1"/>
  <c r="E13621" i="1"/>
  <c r="A13622" i="1"/>
  <c r="B13622" i="1"/>
  <c r="C13622" i="1"/>
  <c r="D13622" i="1"/>
  <c r="E13622" i="1"/>
  <c r="A13623" i="1"/>
  <c r="B13623" i="1"/>
  <c r="C13623" i="1"/>
  <c r="D13623" i="1"/>
  <c r="E13623" i="1"/>
  <c r="A13624" i="1"/>
  <c r="B13624" i="1"/>
  <c r="C13624" i="1"/>
  <c r="D13624" i="1"/>
  <c r="E13624" i="1"/>
  <c r="A13625" i="1"/>
  <c r="B13625" i="1"/>
  <c r="C13625" i="1"/>
  <c r="D13625" i="1"/>
  <c r="E13625" i="1"/>
  <c r="A13626" i="1"/>
  <c r="B13626" i="1"/>
  <c r="C13626" i="1"/>
  <c r="D13626" i="1"/>
  <c r="E13626" i="1"/>
  <c r="A13627" i="1"/>
  <c r="B13627" i="1"/>
  <c r="C13627" i="1"/>
  <c r="D13627" i="1"/>
  <c r="E13627" i="1"/>
  <c r="A13628" i="1"/>
  <c r="B13628" i="1"/>
  <c r="C13628" i="1"/>
  <c r="D13628" i="1"/>
  <c r="E13628" i="1"/>
  <c r="A13629" i="1"/>
  <c r="B13629" i="1"/>
  <c r="C13629" i="1"/>
  <c r="D13629" i="1"/>
  <c r="E13629" i="1"/>
  <c r="A13630" i="1"/>
  <c r="B13630" i="1"/>
  <c r="C13630" i="1"/>
  <c r="D13630" i="1"/>
  <c r="E13630" i="1"/>
  <c r="A13631" i="1"/>
  <c r="B13631" i="1"/>
  <c r="C13631" i="1"/>
  <c r="D13631" i="1"/>
  <c r="E13631" i="1"/>
  <c r="A13632" i="1"/>
  <c r="B13632" i="1"/>
  <c r="C13632" i="1"/>
  <c r="D13632" i="1"/>
  <c r="E13632" i="1"/>
  <c r="A13633" i="1"/>
  <c r="B13633" i="1"/>
  <c r="C13633" i="1"/>
  <c r="D13633" i="1"/>
  <c r="E13633" i="1"/>
  <c r="A13634" i="1"/>
  <c r="B13634" i="1"/>
  <c r="C13634" i="1"/>
  <c r="D13634" i="1"/>
  <c r="E13634" i="1"/>
  <c r="A13635" i="1"/>
  <c r="B13635" i="1"/>
  <c r="C13635" i="1"/>
  <c r="D13635" i="1"/>
  <c r="E13635" i="1"/>
  <c r="A13636" i="1"/>
  <c r="B13636" i="1"/>
  <c r="C13636" i="1"/>
  <c r="D13636" i="1"/>
  <c r="E13636" i="1"/>
  <c r="A13637" i="1"/>
  <c r="B13637" i="1"/>
  <c r="C13637" i="1"/>
  <c r="D13637" i="1"/>
  <c r="E13637" i="1"/>
  <c r="A13638" i="1"/>
  <c r="B13638" i="1"/>
  <c r="C13638" i="1"/>
  <c r="D13638" i="1"/>
  <c r="E13638" i="1"/>
  <c r="A13639" i="1"/>
  <c r="B13639" i="1"/>
  <c r="C13639" i="1"/>
  <c r="D13639" i="1"/>
  <c r="E13639" i="1"/>
  <c r="A13640" i="1"/>
  <c r="B13640" i="1"/>
  <c r="C13640" i="1"/>
  <c r="D13640" i="1"/>
  <c r="E13640" i="1"/>
  <c r="A13641" i="1"/>
  <c r="B13641" i="1"/>
  <c r="C13641" i="1"/>
  <c r="D13641" i="1"/>
  <c r="E13641" i="1"/>
  <c r="A13642" i="1"/>
  <c r="B13642" i="1"/>
  <c r="C13642" i="1"/>
  <c r="D13642" i="1"/>
  <c r="E13642" i="1"/>
  <c r="A13643" i="1"/>
  <c r="B13643" i="1"/>
  <c r="C13643" i="1"/>
  <c r="D13643" i="1"/>
  <c r="E13643" i="1"/>
  <c r="A13644" i="1"/>
  <c r="B13644" i="1"/>
  <c r="C13644" i="1"/>
  <c r="D13644" i="1"/>
  <c r="E13644" i="1"/>
  <c r="A13645" i="1"/>
  <c r="B13645" i="1"/>
  <c r="C13645" i="1"/>
  <c r="D13645" i="1"/>
  <c r="E13645" i="1"/>
  <c r="A13646" i="1"/>
  <c r="B13646" i="1"/>
  <c r="C13646" i="1"/>
  <c r="D13646" i="1"/>
  <c r="E13646" i="1"/>
  <c r="A13647" i="1"/>
  <c r="B13647" i="1"/>
  <c r="C13647" i="1"/>
  <c r="D13647" i="1"/>
  <c r="E13647" i="1"/>
  <c r="A13648" i="1"/>
  <c r="B13648" i="1"/>
  <c r="C13648" i="1"/>
  <c r="D13648" i="1"/>
  <c r="E13648" i="1"/>
  <c r="A13649" i="1"/>
  <c r="B13649" i="1"/>
  <c r="C13649" i="1"/>
  <c r="D13649" i="1"/>
  <c r="E13649" i="1"/>
  <c r="A13650" i="1"/>
  <c r="B13650" i="1"/>
  <c r="C13650" i="1"/>
  <c r="D13650" i="1"/>
  <c r="E13650" i="1"/>
  <c r="A13651" i="1"/>
  <c r="B13651" i="1"/>
  <c r="C13651" i="1"/>
  <c r="D13651" i="1"/>
  <c r="E13651" i="1"/>
  <c r="A13652" i="1"/>
  <c r="B13652" i="1"/>
  <c r="C13652" i="1"/>
  <c r="D13652" i="1"/>
  <c r="E13652" i="1"/>
  <c r="A13653" i="1"/>
  <c r="B13653" i="1"/>
  <c r="C13653" i="1"/>
  <c r="D13653" i="1"/>
  <c r="E13653" i="1"/>
  <c r="A13654" i="1"/>
  <c r="B13654" i="1"/>
  <c r="C13654" i="1"/>
  <c r="D13654" i="1"/>
  <c r="E13654" i="1"/>
  <c r="A13655" i="1"/>
  <c r="B13655" i="1"/>
  <c r="C13655" i="1"/>
  <c r="D13655" i="1"/>
  <c r="E13655" i="1"/>
  <c r="A13656" i="1"/>
  <c r="B13656" i="1"/>
  <c r="C13656" i="1"/>
  <c r="D13656" i="1"/>
  <c r="E13656" i="1"/>
  <c r="A13657" i="1"/>
  <c r="B13657" i="1"/>
  <c r="C13657" i="1"/>
  <c r="D13657" i="1"/>
  <c r="E13657" i="1"/>
  <c r="A13658" i="1"/>
  <c r="B13658" i="1"/>
  <c r="C13658" i="1"/>
  <c r="D13658" i="1"/>
  <c r="E13658" i="1"/>
  <c r="A13659" i="1"/>
  <c r="B13659" i="1"/>
  <c r="C13659" i="1"/>
  <c r="D13659" i="1"/>
  <c r="E13659" i="1"/>
  <c r="A13660" i="1"/>
  <c r="B13660" i="1"/>
  <c r="C13660" i="1"/>
  <c r="D13660" i="1"/>
  <c r="E13660" i="1"/>
  <c r="A13661" i="1"/>
  <c r="B13661" i="1"/>
  <c r="C13661" i="1"/>
  <c r="D13661" i="1"/>
  <c r="E13661" i="1"/>
  <c r="A13662" i="1"/>
  <c r="B13662" i="1"/>
  <c r="C13662" i="1"/>
  <c r="D13662" i="1"/>
  <c r="E13662" i="1"/>
  <c r="A13663" i="1"/>
  <c r="B13663" i="1"/>
  <c r="C13663" i="1"/>
  <c r="D13663" i="1"/>
  <c r="E13663" i="1"/>
  <c r="A13664" i="1"/>
  <c r="B13664" i="1"/>
  <c r="C13664" i="1"/>
  <c r="D13664" i="1"/>
  <c r="E13664" i="1"/>
  <c r="A13665" i="1"/>
  <c r="B13665" i="1"/>
  <c r="C13665" i="1"/>
  <c r="D13665" i="1"/>
  <c r="E13665" i="1"/>
  <c r="A13666" i="1"/>
  <c r="B13666" i="1"/>
  <c r="C13666" i="1"/>
  <c r="D13666" i="1"/>
  <c r="E13666" i="1"/>
  <c r="A13667" i="1"/>
  <c r="B13667" i="1"/>
  <c r="C13667" i="1"/>
  <c r="D13667" i="1"/>
  <c r="E13667" i="1"/>
  <c r="A13668" i="1"/>
  <c r="B13668" i="1"/>
  <c r="C13668" i="1"/>
  <c r="D13668" i="1"/>
  <c r="E13668" i="1"/>
  <c r="A13669" i="1"/>
  <c r="B13669" i="1"/>
  <c r="C13669" i="1"/>
  <c r="D13669" i="1"/>
  <c r="E13669" i="1"/>
  <c r="A13670" i="1"/>
  <c r="B13670" i="1"/>
  <c r="C13670" i="1"/>
  <c r="D13670" i="1"/>
  <c r="E13670" i="1"/>
  <c r="A13671" i="1"/>
  <c r="B13671" i="1"/>
  <c r="C13671" i="1"/>
  <c r="D13671" i="1"/>
  <c r="E13671" i="1"/>
  <c r="A13672" i="1"/>
  <c r="B13672" i="1"/>
  <c r="C13672" i="1"/>
  <c r="D13672" i="1"/>
  <c r="E13672" i="1"/>
  <c r="A13673" i="1"/>
  <c r="B13673" i="1"/>
  <c r="C13673" i="1"/>
  <c r="D13673" i="1"/>
  <c r="E13673" i="1"/>
  <c r="A13674" i="1"/>
  <c r="B13674" i="1"/>
  <c r="C13674" i="1"/>
  <c r="D13674" i="1"/>
  <c r="E13674" i="1"/>
  <c r="A13675" i="1"/>
  <c r="B13675" i="1"/>
  <c r="C13675" i="1"/>
  <c r="D13675" i="1"/>
  <c r="E13675" i="1"/>
  <c r="A13676" i="1"/>
  <c r="B13676" i="1"/>
  <c r="C13676" i="1"/>
  <c r="D13676" i="1"/>
  <c r="E13676" i="1"/>
  <c r="A13677" i="1"/>
  <c r="B13677" i="1"/>
  <c r="C13677" i="1"/>
  <c r="D13677" i="1"/>
  <c r="E13677" i="1"/>
  <c r="A13678" i="1"/>
  <c r="B13678" i="1"/>
  <c r="C13678" i="1"/>
  <c r="D13678" i="1"/>
  <c r="E13678" i="1"/>
  <c r="A13679" i="1"/>
  <c r="B13679" i="1"/>
  <c r="C13679" i="1"/>
  <c r="D13679" i="1"/>
  <c r="E13679" i="1"/>
  <c r="A13680" i="1"/>
  <c r="B13680" i="1"/>
  <c r="C13680" i="1"/>
  <c r="D13680" i="1"/>
  <c r="E13680" i="1"/>
  <c r="A13681" i="1"/>
  <c r="B13681" i="1"/>
  <c r="C13681" i="1"/>
  <c r="D13681" i="1"/>
  <c r="E13681" i="1"/>
  <c r="A13682" i="1"/>
  <c r="B13682" i="1"/>
  <c r="C13682" i="1"/>
  <c r="D13682" i="1"/>
  <c r="E13682" i="1"/>
  <c r="A13683" i="1"/>
  <c r="B13683" i="1"/>
  <c r="C13683" i="1"/>
  <c r="D13683" i="1"/>
  <c r="E13683" i="1"/>
  <c r="A13684" i="1"/>
  <c r="B13684" i="1"/>
  <c r="C13684" i="1"/>
  <c r="D13684" i="1"/>
  <c r="E13684" i="1"/>
  <c r="A13685" i="1"/>
  <c r="B13685" i="1"/>
  <c r="C13685" i="1"/>
  <c r="D13685" i="1"/>
  <c r="E13685" i="1"/>
  <c r="A13686" i="1"/>
  <c r="B13686" i="1"/>
  <c r="C13686" i="1"/>
  <c r="D13686" i="1"/>
  <c r="E13686" i="1"/>
  <c r="A13687" i="1"/>
  <c r="B13687" i="1"/>
  <c r="C13687" i="1"/>
  <c r="D13687" i="1"/>
  <c r="E13687" i="1"/>
  <c r="A13688" i="1"/>
  <c r="B13688" i="1"/>
  <c r="C13688" i="1"/>
  <c r="D13688" i="1"/>
  <c r="E13688" i="1"/>
  <c r="A13689" i="1"/>
  <c r="B13689" i="1"/>
  <c r="C13689" i="1"/>
  <c r="D13689" i="1"/>
  <c r="E13689" i="1"/>
  <c r="A13690" i="1"/>
  <c r="B13690" i="1"/>
  <c r="C13690" i="1"/>
  <c r="D13690" i="1"/>
  <c r="E13690" i="1"/>
  <c r="A13691" i="1"/>
  <c r="B13691" i="1"/>
  <c r="C13691" i="1"/>
  <c r="D13691" i="1"/>
  <c r="E13691" i="1"/>
  <c r="A13692" i="1"/>
  <c r="B13692" i="1"/>
  <c r="C13692" i="1"/>
  <c r="D13692" i="1"/>
  <c r="E13692" i="1"/>
  <c r="A13693" i="1"/>
  <c r="B13693" i="1"/>
  <c r="C13693" i="1"/>
  <c r="D13693" i="1"/>
  <c r="E13693" i="1"/>
  <c r="A13694" i="1"/>
  <c r="B13694" i="1"/>
  <c r="C13694" i="1"/>
  <c r="D13694" i="1"/>
  <c r="E13694" i="1"/>
  <c r="A13695" i="1"/>
  <c r="B13695" i="1"/>
  <c r="C13695" i="1"/>
  <c r="D13695" i="1"/>
  <c r="E13695" i="1"/>
  <c r="A13696" i="1"/>
  <c r="B13696" i="1"/>
  <c r="C13696" i="1"/>
  <c r="D13696" i="1"/>
  <c r="E13696" i="1"/>
  <c r="A13697" i="1"/>
  <c r="B13697" i="1"/>
  <c r="C13697" i="1"/>
  <c r="D13697" i="1"/>
  <c r="E13697" i="1"/>
  <c r="A13698" i="1"/>
  <c r="B13698" i="1"/>
  <c r="C13698" i="1"/>
  <c r="D13698" i="1"/>
  <c r="E13698" i="1"/>
  <c r="A13699" i="1"/>
  <c r="B13699" i="1"/>
  <c r="C13699" i="1"/>
  <c r="D13699" i="1"/>
  <c r="E13699" i="1"/>
  <c r="A13700" i="1"/>
  <c r="B13700" i="1"/>
  <c r="C13700" i="1"/>
  <c r="D13700" i="1"/>
  <c r="E13700" i="1"/>
  <c r="A13701" i="1"/>
  <c r="B13701" i="1"/>
  <c r="C13701" i="1"/>
  <c r="D13701" i="1"/>
  <c r="E13701" i="1"/>
  <c r="A13702" i="1"/>
  <c r="B13702" i="1"/>
  <c r="C13702" i="1"/>
  <c r="D13702" i="1"/>
  <c r="E13702" i="1"/>
  <c r="A13703" i="1"/>
  <c r="B13703" i="1"/>
  <c r="C13703" i="1"/>
  <c r="D13703" i="1"/>
  <c r="E13703" i="1"/>
  <c r="A13704" i="1"/>
  <c r="B13704" i="1"/>
  <c r="C13704" i="1"/>
  <c r="D13704" i="1"/>
  <c r="E13704" i="1"/>
  <c r="A13705" i="1"/>
  <c r="B13705" i="1"/>
  <c r="C13705" i="1"/>
  <c r="D13705" i="1"/>
  <c r="E13705" i="1"/>
  <c r="A13706" i="1"/>
  <c r="B13706" i="1"/>
  <c r="C13706" i="1"/>
  <c r="D13706" i="1"/>
  <c r="E13706" i="1"/>
  <c r="A13707" i="1"/>
  <c r="B13707" i="1"/>
  <c r="C13707" i="1"/>
  <c r="D13707" i="1"/>
  <c r="E13707" i="1"/>
  <c r="A13708" i="1"/>
  <c r="B13708" i="1"/>
  <c r="C13708" i="1"/>
  <c r="D13708" i="1"/>
  <c r="E13708" i="1"/>
  <c r="A13709" i="1"/>
  <c r="B13709" i="1"/>
  <c r="C13709" i="1"/>
  <c r="D13709" i="1"/>
  <c r="E13709" i="1"/>
  <c r="A13710" i="1"/>
  <c r="B13710" i="1"/>
  <c r="C13710" i="1"/>
  <c r="D13710" i="1"/>
  <c r="E13710" i="1"/>
  <c r="A13711" i="1"/>
  <c r="B13711" i="1"/>
  <c r="C13711" i="1"/>
  <c r="D13711" i="1"/>
  <c r="E13711" i="1"/>
  <c r="A13712" i="1"/>
  <c r="B13712" i="1"/>
  <c r="C13712" i="1"/>
  <c r="D13712" i="1"/>
  <c r="E13712" i="1"/>
  <c r="A13713" i="1"/>
  <c r="B13713" i="1"/>
  <c r="C13713" i="1"/>
  <c r="D13713" i="1"/>
  <c r="E13713" i="1"/>
  <c r="A13714" i="1"/>
  <c r="B13714" i="1"/>
  <c r="C13714" i="1"/>
  <c r="D13714" i="1"/>
  <c r="E13714" i="1"/>
  <c r="A13715" i="1"/>
  <c r="B13715" i="1"/>
  <c r="C13715" i="1"/>
  <c r="D13715" i="1"/>
  <c r="E13715" i="1"/>
  <c r="A13716" i="1"/>
  <c r="B13716" i="1"/>
  <c r="C13716" i="1"/>
  <c r="D13716" i="1"/>
  <c r="E13716" i="1"/>
  <c r="A13717" i="1"/>
  <c r="B13717" i="1"/>
  <c r="C13717" i="1"/>
  <c r="D13717" i="1"/>
  <c r="E13717" i="1"/>
  <c r="A13718" i="1"/>
  <c r="B13718" i="1"/>
  <c r="C13718" i="1"/>
  <c r="D13718" i="1"/>
  <c r="E13718" i="1"/>
  <c r="A13719" i="1"/>
  <c r="B13719" i="1"/>
  <c r="C13719" i="1"/>
  <c r="D13719" i="1"/>
  <c r="E13719" i="1"/>
  <c r="A13720" i="1"/>
  <c r="B13720" i="1"/>
  <c r="C13720" i="1"/>
  <c r="D13720" i="1"/>
  <c r="E13720" i="1"/>
  <c r="A13721" i="1"/>
  <c r="B13721" i="1"/>
  <c r="C13721" i="1"/>
  <c r="D13721" i="1"/>
  <c r="E13721" i="1"/>
  <c r="A13722" i="1"/>
  <c r="B13722" i="1"/>
  <c r="C13722" i="1"/>
  <c r="D13722" i="1"/>
  <c r="E13722" i="1"/>
  <c r="A13723" i="1"/>
  <c r="B13723" i="1"/>
  <c r="C13723" i="1"/>
  <c r="D13723" i="1"/>
  <c r="E13723" i="1"/>
  <c r="A13724" i="1"/>
  <c r="B13724" i="1"/>
  <c r="C13724" i="1"/>
  <c r="D13724" i="1"/>
  <c r="E13724" i="1"/>
  <c r="A13725" i="1"/>
  <c r="B13725" i="1"/>
  <c r="C13725" i="1"/>
  <c r="D13725" i="1"/>
  <c r="E13725" i="1"/>
  <c r="A13726" i="1"/>
  <c r="B13726" i="1"/>
  <c r="C13726" i="1"/>
  <c r="D13726" i="1"/>
  <c r="E13726" i="1"/>
  <c r="A13727" i="1"/>
  <c r="B13727" i="1"/>
  <c r="C13727" i="1"/>
  <c r="D13727" i="1"/>
  <c r="E13727" i="1"/>
  <c r="A13728" i="1"/>
  <c r="B13728" i="1"/>
  <c r="C13728" i="1"/>
  <c r="D13728" i="1"/>
  <c r="E13728" i="1"/>
  <c r="A13729" i="1"/>
  <c r="B13729" i="1"/>
  <c r="C13729" i="1"/>
  <c r="D13729" i="1"/>
  <c r="E13729" i="1"/>
  <c r="A13730" i="1"/>
  <c r="B13730" i="1"/>
  <c r="C13730" i="1"/>
  <c r="D13730" i="1"/>
  <c r="E13730" i="1"/>
  <c r="A13731" i="1"/>
  <c r="B13731" i="1"/>
  <c r="C13731" i="1"/>
  <c r="D13731" i="1"/>
  <c r="E13731" i="1"/>
  <c r="A13732" i="1"/>
  <c r="B13732" i="1"/>
  <c r="C13732" i="1"/>
  <c r="D13732" i="1"/>
  <c r="E13732" i="1"/>
  <c r="A13733" i="1"/>
  <c r="B13733" i="1"/>
  <c r="C13733" i="1"/>
  <c r="D13733" i="1"/>
  <c r="E13733" i="1"/>
  <c r="A13734" i="1"/>
  <c r="B13734" i="1"/>
  <c r="C13734" i="1"/>
  <c r="D13734" i="1"/>
  <c r="E13734" i="1"/>
  <c r="A13735" i="1"/>
  <c r="B13735" i="1"/>
  <c r="C13735" i="1"/>
  <c r="D13735" i="1"/>
  <c r="E13735" i="1"/>
  <c r="A13736" i="1"/>
  <c r="B13736" i="1"/>
  <c r="C13736" i="1"/>
  <c r="D13736" i="1"/>
  <c r="E13736" i="1"/>
  <c r="A13737" i="1"/>
  <c r="B13737" i="1"/>
  <c r="C13737" i="1"/>
  <c r="D13737" i="1"/>
  <c r="E13737" i="1"/>
  <c r="A13738" i="1"/>
  <c r="B13738" i="1"/>
  <c r="C13738" i="1"/>
  <c r="D13738" i="1"/>
  <c r="E13738" i="1"/>
  <c r="A13739" i="1"/>
  <c r="B13739" i="1"/>
  <c r="C13739" i="1"/>
  <c r="D13739" i="1"/>
  <c r="E13739" i="1"/>
  <c r="A13740" i="1"/>
  <c r="B13740" i="1"/>
  <c r="C13740" i="1"/>
  <c r="D13740" i="1"/>
  <c r="E13740" i="1"/>
  <c r="A13741" i="1"/>
  <c r="B13741" i="1"/>
  <c r="C13741" i="1"/>
  <c r="D13741" i="1"/>
  <c r="E13741" i="1"/>
  <c r="A13742" i="1"/>
  <c r="B13742" i="1"/>
  <c r="C13742" i="1"/>
  <c r="D13742" i="1"/>
  <c r="E13742" i="1"/>
  <c r="A13743" i="1"/>
  <c r="B13743" i="1"/>
  <c r="C13743" i="1"/>
  <c r="D13743" i="1"/>
  <c r="E13743" i="1"/>
  <c r="A13744" i="1"/>
  <c r="B13744" i="1"/>
  <c r="C13744" i="1"/>
  <c r="D13744" i="1"/>
  <c r="E13744" i="1"/>
  <c r="A13745" i="1"/>
  <c r="B13745" i="1"/>
  <c r="C13745" i="1"/>
  <c r="D13745" i="1"/>
  <c r="E13745" i="1"/>
  <c r="A13746" i="1"/>
  <c r="B13746" i="1"/>
  <c r="C13746" i="1"/>
  <c r="D13746" i="1"/>
  <c r="E13746" i="1"/>
  <c r="A13747" i="1"/>
  <c r="B13747" i="1"/>
  <c r="C13747" i="1"/>
  <c r="D13747" i="1"/>
  <c r="E13747" i="1"/>
  <c r="A13748" i="1"/>
  <c r="B13748" i="1"/>
  <c r="C13748" i="1"/>
  <c r="D13748" i="1"/>
  <c r="E13748" i="1"/>
  <c r="A13749" i="1"/>
  <c r="B13749" i="1"/>
  <c r="C13749" i="1"/>
  <c r="D13749" i="1"/>
  <c r="E13749" i="1"/>
  <c r="A13750" i="1"/>
  <c r="B13750" i="1"/>
  <c r="C13750" i="1"/>
  <c r="D13750" i="1"/>
  <c r="E13750" i="1"/>
  <c r="A13751" i="1"/>
  <c r="B13751" i="1"/>
  <c r="C13751" i="1"/>
  <c r="D13751" i="1"/>
  <c r="E13751" i="1"/>
  <c r="A13752" i="1"/>
  <c r="B13752" i="1"/>
  <c r="C13752" i="1"/>
  <c r="D13752" i="1"/>
  <c r="E13752" i="1"/>
  <c r="A13753" i="1"/>
  <c r="B13753" i="1"/>
  <c r="C13753" i="1"/>
  <c r="D13753" i="1"/>
  <c r="E13753" i="1"/>
  <c r="A13754" i="1"/>
  <c r="B13754" i="1"/>
  <c r="C13754" i="1"/>
  <c r="D13754" i="1"/>
  <c r="E13754" i="1"/>
  <c r="A13755" i="1"/>
  <c r="B13755" i="1"/>
  <c r="C13755" i="1"/>
  <c r="D13755" i="1"/>
  <c r="E13755" i="1"/>
  <c r="A13756" i="1"/>
  <c r="B13756" i="1"/>
  <c r="C13756" i="1"/>
  <c r="D13756" i="1"/>
  <c r="E13756" i="1"/>
  <c r="A13757" i="1"/>
  <c r="B13757" i="1"/>
  <c r="C13757" i="1"/>
  <c r="D13757" i="1"/>
  <c r="E13757" i="1"/>
  <c r="A13758" i="1"/>
  <c r="B13758" i="1"/>
  <c r="C13758" i="1"/>
  <c r="D13758" i="1"/>
  <c r="E13758" i="1"/>
  <c r="A13759" i="1"/>
  <c r="B13759" i="1"/>
  <c r="C13759" i="1"/>
  <c r="D13759" i="1"/>
  <c r="E13759" i="1"/>
  <c r="A13760" i="1"/>
  <c r="B13760" i="1"/>
  <c r="C13760" i="1"/>
  <c r="D13760" i="1"/>
  <c r="E13760" i="1"/>
  <c r="A13761" i="1"/>
  <c r="B13761" i="1"/>
  <c r="C13761" i="1"/>
  <c r="D13761" i="1"/>
  <c r="E13761" i="1"/>
  <c r="A13762" i="1"/>
  <c r="B13762" i="1"/>
  <c r="C13762" i="1"/>
  <c r="D13762" i="1"/>
  <c r="E13762" i="1"/>
  <c r="A13763" i="1"/>
  <c r="B13763" i="1"/>
  <c r="C13763" i="1"/>
  <c r="D13763" i="1"/>
  <c r="E13763" i="1"/>
  <c r="A13764" i="1"/>
  <c r="B13764" i="1"/>
  <c r="C13764" i="1"/>
  <c r="D13764" i="1"/>
  <c r="E13764" i="1"/>
  <c r="A13765" i="1"/>
  <c r="B13765" i="1"/>
  <c r="C13765" i="1"/>
  <c r="D13765" i="1"/>
  <c r="E13765" i="1"/>
  <c r="A13766" i="1"/>
  <c r="B13766" i="1"/>
  <c r="C13766" i="1"/>
  <c r="D13766" i="1"/>
  <c r="E13766" i="1"/>
  <c r="A13767" i="1"/>
  <c r="B13767" i="1"/>
  <c r="C13767" i="1"/>
  <c r="D13767" i="1"/>
  <c r="E13767" i="1"/>
  <c r="A13768" i="1"/>
  <c r="B13768" i="1"/>
  <c r="C13768" i="1"/>
  <c r="D13768" i="1"/>
  <c r="E13768" i="1"/>
  <c r="A13769" i="1"/>
  <c r="B13769" i="1"/>
  <c r="C13769" i="1"/>
  <c r="D13769" i="1"/>
  <c r="E13769" i="1"/>
  <c r="A13770" i="1"/>
  <c r="B13770" i="1"/>
  <c r="C13770" i="1"/>
  <c r="D13770" i="1"/>
  <c r="E13770" i="1"/>
  <c r="A13771" i="1"/>
  <c r="B13771" i="1"/>
  <c r="C13771" i="1"/>
  <c r="D13771" i="1"/>
  <c r="E13771" i="1"/>
  <c r="A13772" i="1"/>
  <c r="B13772" i="1"/>
  <c r="C13772" i="1"/>
  <c r="D13772" i="1"/>
  <c r="E13772" i="1"/>
  <c r="A13773" i="1"/>
  <c r="B13773" i="1"/>
  <c r="C13773" i="1"/>
  <c r="D13773" i="1"/>
  <c r="E13773" i="1"/>
  <c r="A13774" i="1"/>
  <c r="B13774" i="1"/>
  <c r="C13774" i="1"/>
  <c r="D13774" i="1"/>
  <c r="E13774" i="1"/>
  <c r="A13775" i="1"/>
  <c r="B13775" i="1"/>
  <c r="C13775" i="1"/>
  <c r="D13775" i="1"/>
  <c r="E13775" i="1"/>
  <c r="A13776" i="1"/>
  <c r="B13776" i="1"/>
  <c r="C13776" i="1"/>
  <c r="D13776" i="1"/>
  <c r="E13776" i="1"/>
  <c r="A13777" i="1"/>
  <c r="B13777" i="1"/>
  <c r="C13777" i="1"/>
  <c r="D13777" i="1"/>
  <c r="E13777" i="1"/>
  <c r="A13778" i="1"/>
  <c r="B13778" i="1"/>
  <c r="C13778" i="1"/>
  <c r="D13778" i="1"/>
  <c r="E13778" i="1"/>
  <c r="A13779" i="1"/>
  <c r="B13779" i="1"/>
  <c r="C13779" i="1"/>
  <c r="D13779" i="1"/>
  <c r="E13779" i="1"/>
  <c r="A13780" i="1"/>
  <c r="B13780" i="1"/>
  <c r="C13780" i="1"/>
  <c r="D13780" i="1"/>
  <c r="E13780" i="1"/>
  <c r="A13781" i="1"/>
  <c r="B13781" i="1"/>
  <c r="C13781" i="1"/>
  <c r="D13781" i="1"/>
  <c r="E13781" i="1"/>
  <c r="A13782" i="1"/>
  <c r="B13782" i="1"/>
  <c r="C13782" i="1"/>
  <c r="D13782" i="1"/>
  <c r="E13782" i="1"/>
  <c r="A13783" i="1"/>
  <c r="B13783" i="1"/>
  <c r="C13783" i="1"/>
  <c r="D13783" i="1"/>
  <c r="E13783" i="1"/>
  <c r="A13784" i="1"/>
  <c r="B13784" i="1"/>
  <c r="C13784" i="1"/>
  <c r="D13784" i="1"/>
  <c r="E13784" i="1"/>
  <c r="A13785" i="1"/>
  <c r="B13785" i="1"/>
  <c r="C13785" i="1"/>
  <c r="D13785" i="1"/>
  <c r="E13785" i="1"/>
  <c r="A13786" i="1"/>
  <c r="B13786" i="1"/>
  <c r="C13786" i="1"/>
  <c r="D13786" i="1"/>
  <c r="E13786" i="1"/>
  <c r="A13787" i="1"/>
  <c r="B13787" i="1"/>
  <c r="C13787" i="1"/>
  <c r="D13787" i="1"/>
  <c r="E13787" i="1"/>
  <c r="A13788" i="1"/>
  <c r="B13788" i="1"/>
  <c r="C13788" i="1"/>
  <c r="D13788" i="1"/>
  <c r="E13788" i="1"/>
  <c r="A13789" i="1"/>
  <c r="B13789" i="1"/>
  <c r="C13789" i="1"/>
  <c r="D13789" i="1"/>
  <c r="E13789" i="1"/>
  <c r="A13790" i="1"/>
  <c r="B13790" i="1"/>
  <c r="C13790" i="1"/>
  <c r="D13790" i="1"/>
  <c r="E13790" i="1"/>
  <c r="A13791" i="1"/>
  <c r="B13791" i="1"/>
  <c r="C13791" i="1"/>
  <c r="D13791" i="1"/>
  <c r="E13791" i="1"/>
  <c r="A13792" i="1"/>
  <c r="B13792" i="1"/>
  <c r="C13792" i="1"/>
  <c r="D13792" i="1"/>
  <c r="E13792" i="1"/>
  <c r="A13793" i="1"/>
  <c r="B13793" i="1"/>
  <c r="C13793" i="1"/>
  <c r="D13793" i="1"/>
  <c r="E13793" i="1"/>
  <c r="A13794" i="1"/>
  <c r="B13794" i="1"/>
  <c r="C13794" i="1"/>
  <c r="D13794" i="1"/>
  <c r="E13794" i="1"/>
  <c r="A13795" i="1"/>
  <c r="B13795" i="1"/>
  <c r="C13795" i="1"/>
  <c r="D13795" i="1"/>
  <c r="E13795" i="1"/>
  <c r="A13796" i="1"/>
  <c r="B13796" i="1"/>
  <c r="C13796" i="1"/>
  <c r="D13796" i="1"/>
  <c r="E13796" i="1"/>
  <c r="A13797" i="1"/>
  <c r="B13797" i="1"/>
  <c r="C13797" i="1"/>
  <c r="D13797" i="1"/>
  <c r="E13797" i="1"/>
  <c r="A13798" i="1"/>
  <c r="B13798" i="1"/>
  <c r="C13798" i="1"/>
  <c r="D13798" i="1"/>
  <c r="E13798" i="1"/>
  <c r="A13799" i="1"/>
  <c r="B13799" i="1"/>
  <c r="C13799" i="1"/>
  <c r="D13799" i="1"/>
  <c r="E13799" i="1"/>
  <c r="A13800" i="1"/>
  <c r="B13800" i="1"/>
  <c r="C13800" i="1"/>
  <c r="D13800" i="1"/>
  <c r="E13800" i="1"/>
  <c r="A13801" i="1"/>
  <c r="B13801" i="1"/>
  <c r="C13801" i="1"/>
  <c r="D13801" i="1"/>
  <c r="E13801" i="1"/>
  <c r="A13802" i="1"/>
  <c r="B13802" i="1"/>
  <c r="C13802" i="1"/>
  <c r="D13802" i="1"/>
  <c r="E13802" i="1"/>
  <c r="A13803" i="1"/>
  <c r="B13803" i="1"/>
  <c r="C13803" i="1"/>
  <c r="D13803" i="1"/>
  <c r="E13803" i="1"/>
  <c r="A13804" i="1"/>
  <c r="B13804" i="1"/>
  <c r="C13804" i="1"/>
  <c r="D13804" i="1"/>
  <c r="E13804" i="1"/>
  <c r="A13805" i="1"/>
  <c r="B13805" i="1"/>
  <c r="C13805" i="1"/>
  <c r="D13805" i="1"/>
  <c r="E13805" i="1"/>
  <c r="A13806" i="1"/>
  <c r="B13806" i="1"/>
  <c r="C13806" i="1"/>
  <c r="D13806" i="1"/>
  <c r="E13806" i="1"/>
  <c r="A13807" i="1"/>
  <c r="B13807" i="1"/>
  <c r="C13807" i="1"/>
  <c r="D13807" i="1"/>
  <c r="E13807" i="1"/>
  <c r="A13808" i="1"/>
  <c r="B13808" i="1"/>
  <c r="C13808" i="1"/>
  <c r="D13808" i="1"/>
  <c r="E13808" i="1"/>
  <c r="A13809" i="1"/>
  <c r="B13809" i="1"/>
  <c r="C13809" i="1"/>
  <c r="D13809" i="1"/>
  <c r="E13809" i="1"/>
  <c r="A13810" i="1"/>
  <c r="B13810" i="1"/>
  <c r="C13810" i="1"/>
  <c r="D13810" i="1"/>
  <c r="E13810" i="1"/>
  <c r="A13811" i="1"/>
  <c r="B13811" i="1"/>
  <c r="C13811" i="1"/>
  <c r="D13811" i="1"/>
  <c r="E13811" i="1"/>
  <c r="A13812" i="1"/>
  <c r="B13812" i="1"/>
  <c r="C13812" i="1"/>
  <c r="D13812" i="1"/>
  <c r="E13812" i="1"/>
  <c r="A13813" i="1"/>
  <c r="B13813" i="1"/>
  <c r="C13813" i="1"/>
  <c r="D13813" i="1"/>
  <c r="E13813" i="1"/>
  <c r="A13814" i="1"/>
  <c r="B13814" i="1"/>
  <c r="C13814" i="1"/>
  <c r="D13814" i="1"/>
  <c r="E13814" i="1"/>
  <c r="A13815" i="1"/>
  <c r="B13815" i="1"/>
  <c r="C13815" i="1"/>
  <c r="D13815" i="1"/>
  <c r="E13815" i="1"/>
  <c r="A13816" i="1"/>
  <c r="B13816" i="1"/>
  <c r="C13816" i="1"/>
  <c r="D13816" i="1"/>
  <c r="E13816" i="1"/>
  <c r="A13817" i="1"/>
  <c r="B13817" i="1"/>
  <c r="C13817" i="1"/>
  <c r="D13817" i="1"/>
  <c r="E13817" i="1"/>
  <c r="A13818" i="1"/>
  <c r="B13818" i="1"/>
  <c r="C13818" i="1"/>
  <c r="D13818" i="1"/>
  <c r="E13818" i="1"/>
  <c r="A13819" i="1"/>
  <c r="B13819" i="1"/>
  <c r="C13819" i="1"/>
  <c r="D13819" i="1"/>
  <c r="E13819" i="1"/>
  <c r="A13820" i="1"/>
  <c r="B13820" i="1"/>
  <c r="C13820" i="1"/>
  <c r="D13820" i="1"/>
  <c r="E13820" i="1"/>
  <c r="A13821" i="1"/>
  <c r="B13821" i="1"/>
  <c r="C13821" i="1"/>
  <c r="D13821" i="1"/>
  <c r="E13821" i="1"/>
  <c r="A13822" i="1"/>
  <c r="B13822" i="1"/>
  <c r="C13822" i="1"/>
  <c r="D13822" i="1"/>
  <c r="E13822" i="1"/>
  <c r="A13823" i="1"/>
  <c r="B13823" i="1"/>
  <c r="C13823" i="1"/>
  <c r="D13823" i="1"/>
  <c r="E13823" i="1"/>
  <c r="A13824" i="1"/>
  <c r="B13824" i="1"/>
  <c r="C13824" i="1"/>
  <c r="D13824" i="1"/>
  <c r="E13824" i="1"/>
  <c r="A13825" i="1"/>
  <c r="B13825" i="1"/>
  <c r="C13825" i="1"/>
  <c r="D13825" i="1"/>
  <c r="E13825" i="1"/>
  <c r="A13826" i="1"/>
  <c r="B13826" i="1"/>
  <c r="C13826" i="1"/>
  <c r="D13826" i="1"/>
  <c r="E13826" i="1"/>
  <c r="A13827" i="1"/>
  <c r="B13827" i="1"/>
  <c r="C13827" i="1"/>
  <c r="D13827" i="1"/>
  <c r="E13827" i="1"/>
  <c r="A13828" i="1"/>
  <c r="B13828" i="1"/>
  <c r="C13828" i="1"/>
  <c r="D13828" i="1"/>
  <c r="E13828" i="1"/>
  <c r="A13829" i="1"/>
  <c r="B13829" i="1"/>
  <c r="C13829" i="1"/>
  <c r="D13829" i="1"/>
  <c r="E13829" i="1"/>
  <c r="A13830" i="1"/>
  <c r="B13830" i="1"/>
  <c r="C13830" i="1"/>
  <c r="D13830" i="1"/>
  <c r="E13830" i="1"/>
  <c r="A13831" i="1"/>
  <c r="B13831" i="1"/>
  <c r="C13831" i="1"/>
  <c r="D13831" i="1"/>
  <c r="E13831" i="1"/>
  <c r="A13832" i="1"/>
  <c r="B13832" i="1"/>
  <c r="C13832" i="1"/>
  <c r="D13832" i="1"/>
  <c r="E13832" i="1"/>
  <c r="A13833" i="1"/>
  <c r="B13833" i="1"/>
  <c r="C13833" i="1"/>
  <c r="D13833" i="1"/>
  <c r="E13833" i="1"/>
  <c r="A13834" i="1"/>
  <c r="B13834" i="1"/>
  <c r="C13834" i="1"/>
  <c r="D13834" i="1"/>
  <c r="E13834" i="1"/>
  <c r="A13835" i="1"/>
  <c r="B13835" i="1"/>
  <c r="C13835" i="1"/>
  <c r="D13835" i="1"/>
  <c r="E13835" i="1"/>
  <c r="A13836" i="1"/>
  <c r="B13836" i="1"/>
  <c r="C13836" i="1"/>
  <c r="D13836" i="1"/>
  <c r="E13836" i="1"/>
  <c r="A13837" i="1"/>
  <c r="B13837" i="1"/>
  <c r="C13837" i="1"/>
  <c r="D13837" i="1"/>
  <c r="E13837" i="1"/>
  <c r="A13838" i="1"/>
  <c r="B13838" i="1"/>
  <c r="C13838" i="1"/>
  <c r="D13838" i="1"/>
  <c r="E13838" i="1"/>
  <c r="A13839" i="1"/>
  <c r="B13839" i="1"/>
  <c r="C13839" i="1"/>
  <c r="D13839" i="1"/>
  <c r="E13839" i="1"/>
  <c r="A13840" i="1"/>
  <c r="B13840" i="1"/>
  <c r="C13840" i="1"/>
  <c r="D13840" i="1"/>
  <c r="E13840" i="1"/>
  <c r="A13841" i="1"/>
  <c r="B13841" i="1"/>
  <c r="C13841" i="1"/>
  <c r="D13841" i="1"/>
  <c r="E13841" i="1"/>
  <c r="A13842" i="1"/>
  <c r="B13842" i="1"/>
  <c r="C13842" i="1"/>
  <c r="D13842" i="1"/>
  <c r="E13842" i="1"/>
  <c r="A13843" i="1"/>
  <c r="B13843" i="1"/>
  <c r="C13843" i="1"/>
  <c r="D13843" i="1"/>
  <c r="E13843" i="1"/>
  <c r="A13844" i="1"/>
  <c r="B13844" i="1"/>
  <c r="C13844" i="1"/>
  <c r="D13844" i="1"/>
  <c r="E13844" i="1"/>
  <c r="A13845" i="1"/>
  <c r="B13845" i="1"/>
  <c r="C13845" i="1"/>
  <c r="D13845" i="1"/>
  <c r="E13845" i="1"/>
  <c r="A13846" i="1"/>
  <c r="B13846" i="1"/>
  <c r="C13846" i="1"/>
  <c r="D13846" i="1"/>
  <c r="E13846" i="1"/>
  <c r="A13847" i="1"/>
  <c r="B13847" i="1"/>
  <c r="C13847" i="1"/>
  <c r="D13847" i="1"/>
  <c r="E13847" i="1"/>
  <c r="A13848" i="1"/>
  <c r="B13848" i="1"/>
  <c r="C13848" i="1"/>
  <c r="D13848" i="1"/>
  <c r="E13848" i="1"/>
  <c r="A13849" i="1"/>
  <c r="B13849" i="1"/>
  <c r="C13849" i="1"/>
  <c r="D13849" i="1"/>
  <c r="E13849" i="1"/>
  <c r="A13850" i="1"/>
  <c r="B13850" i="1"/>
  <c r="C13850" i="1"/>
  <c r="D13850" i="1"/>
  <c r="E13850" i="1"/>
  <c r="A13851" i="1"/>
  <c r="B13851" i="1"/>
  <c r="C13851" i="1"/>
  <c r="D13851" i="1"/>
  <c r="E13851" i="1"/>
  <c r="A13852" i="1"/>
  <c r="B13852" i="1"/>
  <c r="C13852" i="1"/>
  <c r="D13852" i="1"/>
  <c r="E13852" i="1"/>
  <c r="A13853" i="1"/>
  <c r="B13853" i="1"/>
  <c r="C13853" i="1"/>
  <c r="D13853" i="1"/>
  <c r="E13853" i="1"/>
  <c r="A13854" i="1"/>
  <c r="B13854" i="1"/>
  <c r="C13854" i="1"/>
  <c r="D13854" i="1"/>
  <c r="E13854" i="1"/>
  <c r="A13855" i="1"/>
  <c r="B13855" i="1"/>
  <c r="C13855" i="1"/>
  <c r="D13855" i="1"/>
  <c r="E13855" i="1"/>
  <c r="A13856" i="1"/>
  <c r="B13856" i="1"/>
  <c r="C13856" i="1"/>
  <c r="D13856" i="1"/>
  <c r="E13856" i="1"/>
  <c r="A13857" i="1"/>
  <c r="B13857" i="1"/>
  <c r="C13857" i="1"/>
  <c r="D13857" i="1"/>
  <c r="E13857" i="1"/>
  <c r="A13858" i="1"/>
  <c r="B13858" i="1"/>
  <c r="C13858" i="1"/>
  <c r="D13858" i="1"/>
  <c r="E13858" i="1"/>
  <c r="A13859" i="1"/>
  <c r="B13859" i="1"/>
  <c r="C13859" i="1"/>
  <c r="D13859" i="1"/>
  <c r="E13859" i="1"/>
  <c r="A13860" i="1"/>
  <c r="B13860" i="1"/>
  <c r="C13860" i="1"/>
  <c r="D13860" i="1"/>
  <c r="E13860" i="1"/>
  <c r="A13861" i="1"/>
  <c r="B13861" i="1"/>
  <c r="C13861" i="1"/>
  <c r="D13861" i="1"/>
  <c r="E13861" i="1"/>
  <c r="A13862" i="1"/>
  <c r="B13862" i="1"/>
  <c r="C13862" i="1"/>
  <c r="D13862" i="1"/>
  <c r="E13862" i="1"/>
  <c r="A13863" i="1"/>
  <c r="B13863" i="1"/>
  <c r="C13863" i="1"/>
  <c r="D13863" i="1"/>
  <c r="E13863" i="1"/>
  <c r="A13864" i="1"/>
  <c r="B13864" i="1"/>
  <c r="C13864" i="1"/>
  <c r="D13864" i="1"/>
  <c r="E13864" i="1"/>
  <c r="A13865" i="1"/>
  <c r="B13865" i="1"/>
  <c r="C13865" i="1"/>
  <c r="D13865" i="1"/>
  <c r="E13865" i="1"/>
  <c r="A13866" i="1"/>
  <c r="B13866" i="1"/>
  <c r="C13866" i="1"/>
  <c r="D13866" i="1"/>
  <c r="E13866" i="1"/>
  <c r="A13867" i="1"/>
  <c r="B13867" i="1"/>
  <c r="C13867" i="1"/>
  <c r="D13867" i="1"/>
  <c r="E13867" i="1"/>
  <c r="A13868" i="1"/>
  <c r="B13868" i="1"/>
  <c r="C13868" i="1"/>
  <c r="D13868" i="1"/>
  <c r="E13868" i="1"/>
  <c r="A13869" i="1"/>
  <c r="B13869" i="1"/>
  <c r="C13869" i="1"/>
  <c r="D13869" i="1"/>
  <c r="E13869" i="1"/>
  <c r="A13870" i="1"/>
  <c r="B13870" i="1"/>
  <c r="C13870" i="1"/>
  <c r="D13870" i="1"/>
  <c r="E13870" i="1"/>
  <c r="A13871" i="1"/>
  <c r="B13871" i="1"/>
  <c r="C13871" i="1"/>
  <c r="D13871" i="1"/>
  <c r="E13871" i="1"/>
  <c r="A13872" i="1"/>
  <c r="B13872" i="1"/>
  <c r="C13872" i="1"/>
  <c r="D13872" i="1"/>
  <c r="E13872" i="1"/>
  <c r="A13873" i="1"/>
  <c r="B13873" i="1"/>
  <c r="C13873" i="1"/>
  <c r="D13873" i="1"/>
  <c r="E13873" i="1"/>
  <c r="A13874" i="1"/>
  <c r="B13874" i="1"/>
  <c r="C13874" i="1"/>
  <c r="D13874" i="1"/>
  <c r="E13874" i="1"/>
  <c r="A13875" i="1"/>
  <c r="B13875" i="1"/>
  <c r="C13875" i="1"/>
  <c r="D13875" i="1"/>
  <c r="E13875" i="1"/>
  <c r="A13876" i="1"/>
  <c r="B13876" i="1"/>
  <c r="C13876" i="1"/>
  <c r="D13876" i="1"/>
  <c r="E13876" i="1"/>
  <c r="A13877" i="1"/>
  <c r="B13877" i="1"/>
  <c r="C13877" i="1"/>
  <c r="D13877" i="1"/>
  <c r="E13877" i="1"/>
  <c r="A13878" i="1"/>
  <c r="B13878" i="1"/>
  <c r="C13878" i="1"/>
  <c r="D13878" i="1"/>
  <c r="E13878" i="1"/>
  <c r="A13879" i="1"/>
  <c r="B13879" i="1"/>
  <c r="C13879" i="1"/>
  <c r="D13879" i="1"/>
  <c r="E13879" i="1"/>
  <c r="A13880" i="1"/>
  <c r="B13880" i="1"/>
  <c r="C13880" i="1"/>
  <c r="D13880" i="1"/>
  <c r="E13880" i="1"/>
  <c r="A13881" i="1"/>
  <c r="B13881" i="1"/>
  <c r="C13881" i="1"/>
  <c r="D13881" i="1"/>
  <c r="E13881" i="1"/>
  <c r="A13882" i="1"/>
  <c r="B13882" i="1"/>
  <c r="C13882" i="1"/>
  <c r="D13882" i="1"/>
  <c r="E13882" i="1"/>
  <c r="A13883" i="1"/>
  <c r="B13883" i="1"/>
  <c r="C13883" i="1"/>
  <c r="D13883" i="1"/>
  <c r="E13883" i="1"/>
  <c r="A13884" i="1"/>
  <c r="B13884" i="1"/>
  <c r="C13884" i="1"/>
  <c r="D13884" i="1"/>
  <c r="E13884" i="1"/>
  <c r="A13885" i="1"/>
  <c r="B13885" i="1"/>
  <c r="C13885" i="1"/>
  <c r="D13885" i="1"/>
  <c r="E13885" i="1"/>
  <c r="A13886" i="1"/>
  <c r="B13886" i="1"/>
  <c r="C13886" i="1"/>
  <c r="D13886" i="1"/>
  <c r="E13886" i="1"/>
  <c r="A13887" i="1"/>
  <c r="B13887" i="1"/>
  <c r="C13887" i="1"/>
  <c r="D13887" i="1"/>
  <c r="E13887" i="1"/>
  <c r="A13888" i="1"/>
  <c r="B13888" i="1"/>
  <c r="C13888" i="1"/>
  <c r="D13888" i="1"/>
  <c r="E13888" i="1"/>
  <c r="A13889" i="1"/>
  <c r="B13889" i="1"/>
  <c r="C13889" i="1"/>
  <c r="D13889" i="1"/>
  <c r="E13889" i="1"/>
  <c r="A13890" i="1"/>
  <c r="B13890" i="1"/>
  <c r="C13890" i="1"/>
  <c r="D13890" i="1"/>
  <c r="E13890" i="1"/>
  <c r="A13891" i="1"/>
  <c r="B13891" i="1"/>
  <c r="C13891" i="1"/>
  <c r="D13891" i="1"/>
  <c r="E13891" i="1"/>
  <c r="A13892" i="1"/>
  <c r="B13892" i="1"/>
  <c r="C13892" i="1"/>
  <c r="D13892" i="1"/>
  <c r="E13892" i="1"/>
  <c r="A13893" i="1"/>
  <c r="B13893" i="1"/>
  <c r="C13893" i="1"/>
  <c r="D13893" i="1"/>
  <c r="E13893" i="1"/>
  <c r="A13894" i="1"/>
  <c r="B13894" i="1"/>
  <c r="C13894" i="1"/>
  <c r="D13894" i="1"/>
  <c r="E13894" i="1"/>
  <c r="A13895" i="1"/>
  <c r="B13895" i="1"/>
  <c r="C13895" i="1"/>
  <c r="D13895" i="1"/>
  <c r="E13895" i="1"/>
  <c r="A13896" i="1"/>
  <c r="B13896" i="1"/>
  <c r="C13896" i="1"/>
  <c r="D13896" i="1"/>
  <c r="E13896" i="1"/>
  <c r="A13897" i="1"/>
  <c r="B13897" i="1"/>
  <c r="C13897" i="1"/>
  <c r="D13897" i="1"/>
  <c r="E13897" i="1"/>
  <c r="A13898" i="1"/>
  <c r="B13898" i="1"/>
  <c r="C13898" i="1"/>
  <c r="D13898" i="1"/>
  <c r="E13898" i="1"/>
  <c r="A13899" i="1"/>
  <c r="B13899" i="1"/>
  <c r="C13899" i="1"/>
  <c r="D13899" i="1"/>
  <c r="E13899" i="1"/>
  <c r="A13900" i="1"/>
  <c r="B13900" i="1"/>
  <c r="C13900" i="1"/>
  <c r="D13900" i="1"/>
  <c r="E13900" i="1"/>
  <c r="A13901" i="1"/>
  <c r="B13901" i="1"/>
  <c r="C13901" i="1"/>
  <c r="D13901" i="1"/>
  <c r="E13901" i="1"/>
  <c r="A13902" i="1"/>
  <c r="B13902" i="1"/>
  <c r="C13902" i="1"/>
  <c r="D13902" i="1"/>
  <c r="E13902" i="1"/>
  <c r="A13903" i="1"/>
  <c r="B13903" i="1"/>
  <c r="C13903" i="1"/>
  <c r="D13903" i="1"/>
  <c r="E13903" i="1"/>
  <c r="A13904" i="1"/>
  <c r="B13904" i="1"/>
  <c r="C13904" i="1"/>
  <c r="D13904" i="1"/>
  <c r="E13904" i="1"/>
  <c r="A13905" i="1"/>
  <c r="B13905" i="1"/>
  <c r="C13905" i="1"/>
  <c r="D13905" i="1"/>
  <c r="E13905" i="1"/>
  <c r="A13906" i="1"/>
  <c r="B13906" i="1"/>
  <c r="C13906" i="1"/>
  <c r="D13906" i="1"/>
  <c r="E13906" i="1"/>
  <c r="A13907" i="1"/>
  <c r="B13907" i="1"/>
  <c r="C13907" i="1"/>
  <c r="D13907" i="1"/>
  <c r="E13907" i="1"/>
  <c r="A13908" i="1"/>
  <c r="B13908" i="1"/>
  <c r="C13908" i="1"/>
  <c r="D13908" i="1"/>
  <c r="E13908" i="1"/>
  <c r="A13909" i="1"/>
  <c r="B13909" i="1"/>
  <c r="C13909" i="1"/>
  <c r="D13909" i="1"/>
  <c r="E13909" i="1"/>
  <c r="A13910" i="1"/>
  <c r="B13910" i="1"/>
  <c r="C13910" i="1"/>
  <c r="D13910" i="1"/>
  <c r="E13910" i="1"/>
  <c r="A13911" i="1"/>
  <c r="B13911" i="1"/>
  <c r="C13911" i="1"/>
  <c r="D13911" i="1"/>
  <c r="E13911" i="1"/>
  <c r="A13912" i="1"/>
  <c r="B13912" i="1"/>
  <c r="C13912" i="1"/>
  <c r="D13912" i="1"/>
  <c r="E13912" i="1"/>
  <c r="A13913" i="1"/>
  <c r="B13913" i="1"/>
  <c r="C13913" i="1"/>
  <c r="D13913" i="1"/>
  <c r="E13913" i="1"/>
  <c r="A13914" i="1"/>
  <c r="B13914" i="1"/>
  <c r="C13914" i="1"/>
  <c r="D13914" i="1"/>
  <c r="E13914" i="1"/>
  <c r="A13915" i="1"/>
  <c r="B13915" i="1"/>
  <c r="C13915" i="1"/>
  <c r="D13915" i="1"/>
  <c r="E13915" i="1"/>
  <c r="A13916" i="1"/>
  <c r="B13916" i="1"/>
  <c r="C13916" i="1"/>
  <c r="D13916" i="1"/>
  <c r="E13916" i="1"/>
  <c r="A13917" i="1"/>
  <c r="B13917" i="1"/>
  <c r="C13917" i="1"/>
  <c r="D13917" i="1"/>
  <c r="E13917" i="1"/>
  <c r="A13918" i="1"/>
  <c r="B13918" i="1"/>
  <c r="C13918" i="1"/>
  <c r="D13918" i="1"/>
  <c r="E13918" i="1"/>
  <c r="A13919" i="1"/>
  <c r="B13919" i="1"/>
  <c r="C13919" i="1"/>
  <c r="D13919" i="1"/>
  <c r="E13919" i="1"/>
  <c r="A13920" i="1"/>
  <c r="B13920" i="1"/>
  <c r="C13920" i="1"/>
  <c r="D13920" i="1"/>
  <c r="E13920" i="1"/>
  <c r="A13921" i="1"/>
  <c r="B13921" i="1"/>
  <c r="C13921" i="1"/>
  <c r="D13921" i="1"/>
  <c r="E13921" i="1"/>
  <c r="A13922" i="1"/>
  <c r="B13922" i="1"/>
  <c r="C13922" i="1"/>
  <c r="D13922" i="1"/>
  <c r="E13922" i="1"/>
  <c r="A13923" i="1"/>
  <c r="B13923" i="1"/>
  <c r="C13923" i="1"/>
  <c r="D13923" i="1"/>
  <c r="E13923" i="1"/>
  <c r="A13924" i="1"/>
  <c r="B13924" i="1"/>
  <c r="C13924" i="1"/>
  <c r="D13924" i="1"/>
  <c r="E13924" i="1"/>
  <c r="A13925" i="1"/>
  <c r="B13925" i="1"/>
  <c r="C13925" i="1"/>
  <c r="D13925" i="1"/>
  <c r="E13925" i="1"/>
  <c r="A13926" i="1"/>
  <c r="B13926" i="1"/>
  <c r="C13926" i="1"/>
  <c r="D13926" i="1"/>
  <c r="E13926" i="1"/>
  <c r="A13927" i="1"/>
  <c r="B13927" i="1"/>
  <c r="C13927" i="1"/>
  <c r="D13927" i="1"/>
  <c r="E13927" i="1"/>
  <c r="A13928" i="1"/>
  <c r="B13928" i="1"/>
  <c r="C13928" i="1"/>
  <c r="D13928" i="1"/>
  <c r="E13928" i="1"/>
  <c r="A13929" i="1"/>
  <c r="B13929" i="1"/>
  <c r="C13929" i="1"/>
  <c r="D13929" i="1"/>
  <c r="E13929" i="1"/>
  <c r="A13930" i="1"/>
  <c r="B13930" i="1"/>
  <c r="C13930" i="1"/>
  <c r="D13930" i="1"/>
  <c r="E13930" i="1"/>
  <c r="A13931" i="1"/>
  <c r="B13931" i="1"/>
  <c r="C13931" i="1"/>
  <c r="D13931" i="1"/>
  <c r="E13931" i="1"/>
  <c r="A13932" i="1"/>
  <c r="B13932" i="1"/>
  <c r="C13932" i="1"/>
  <c r="D13932" i="1"/>
  <c r="E13932" i="1"/>
  <c r="A13933" i="1"/>
  <c r="B13933" i="1"/>
  <c r="C13933" i="1"/>
  <c r="D13933" i="1"/>
  <c r="E13933" i="1"/>
  <c r="A13934" i="1"/>
  <c r="B13934" i="1"/>
  <c r="C13934" i="1"/>
  <c r="D13934" i="1"/>
  <c r="E13934" i="1"/>
  <c r="A13935" i="1"/>
  <c r="B13935" i="1"/>
  <c r="C13935" i="1"/>
  <c r="D13935" i="1"/>
  <c r="E13935" i="1"/>
  <c r="A13936" i="1"/>
  <c r="B13936" i="1"/>
  <c r="C13936" i="1"/>
  <c r="D13936" i="1"/>
  <c r="E13936" i="1"/>
  <c r="A13937" i="1"/>
  <c r="B13937" i="1"/>
  <c r="C13937" i="1"/>
  <c r="D13937" i="1"/>
  <c r="E13937" i="1"/>
  <c r="A13938" i="1"/>
  <c r="B13938" i="1"/>
  <c r="C13938" i="1"/>
  <c r="D13938" i="1"/>
  <c r="E13938" i="1"/>
  <c r="A13939" i="1"/>
  <c r="B13939" i="1"/>
  <c r="C13939" i="1"/>
  <c r="D13939" i="1"/>
  <c r="E13939" i="1"/>
  <c r="A13940" i="1"/>
  <c r="B13940" i="1"/>
  <c r="C13940" i="1"/>
  <c r="D13940" i="1"/>
  <c r="E13940" i="1"/>
  <c r="A13941" i="1"/>
  <c r="B13941" i="1"/>
  <c r="C13941" i="1"/>
  <c r="D13941" i="1"/>
  <c r="E13941" i="1"/>
  <c r="A13942" i="1"/>
  <c r="B13942" i="1"/>
  <c r="C13942" i="1"/>
  <c r="D13942" i="1"/>
  <c r="E13942" i="1"/>
  <c r="A13943" i="1"/>
  <c r="B13943" i="1"/>
  <c r="C13943" i="1"/>
  <c r="D13943" i="1"/>
  <c r="E13943" i="1"/>
  <c r="A13944" i="1"/>
  <c r="B13944" i="1"/>
  <c r="C13944" i="1"/>
  <c r="D13944" i="1"/>
  <c r="E13944" i="1"/>
  <c r="A13945" i="1"/>
  <c r="B13945" i="1"/>
  <c r="C13945" i="1"/>
  <c r="D13945" i="1"/>
  <c r="E13945" i="1"/>
  <c r="A13946" i="1"/>
  <c r="B13946" i="1"/>
  <c r="C13946" i="1"/>
  <c r="D13946" i="1"/>
  <c r="E13946" i="1"/>
  <c r="A13947" i="1"/>
  <c r="B13947" i="1"/>
  <c r="C13947" i="1"/>
  <c r="D13947" i="1"/>
  <c r="E13947" i="1"/>
  <c r="A13948" i="1"/>
  <c r="B13948" i="1"/>
  <c r="C13948" i="1"/>
  <c r="D13948" i="1"/>
  <c r="E13948" i="1"/>
  <c r="A13949" i="1"/>
  <c r="B13949" i="1"/>
  <c r="C13949" i="1"/>
  <c r="D13949" i="1"/>
  <c r="E13949" i="1"/>
  <c r="A13950" i="1"/>
  <c r="B13950" i="1"/>
  <c r="C13950" i="1"/>
  <c r="D13950" i="1"/>
  <c r="E13950" i="1"/>
  <c r="A13951" i="1"/>
  <c r="B13951" i="1"/>
  <c r="C13951" i="1"/>
  <c r="D13951" i="1"/>
  <c r="E13951" i="1"/>
  <c r="A13952" i="1"/>
  <c r="B13952" i="1"/>
  <c r="C13952" i="1"/>
  <c r="D13952" i="1"/>
  <c r="E13952" i="1"/>
  <c r="A13953" i="1"/>
  <c r="B13953" i="1"/>
  <c r="C13953" i="1"/>
  <c r="D13953" i="1"/>
  <c r="E13953" i="1"/>
  <c r="A13954" i="1"/>
  <c r="B13954" i="1"/>
  <c r="C13954" i="1"/>
  <c r="D13954" i="1"/>
  <c r="E13954" i="1"/>
  <c r="A13955" i="1"/>
  <c r="B13955" i="1"/>
  <c r="C13955" i="1"/>
  <c r="D13955" i="1"/>
  <c r="E13955" i="1"/>
  <c r="A13956" i="1"/>
  <c r="B13956" i="1"/>
  <c r="C13956" i="1"/>
  <c r="D13956" i="1"/>
  <c r="E13956" i="1"/>
  <c r="A13957" i="1"/>
  <c r="B13957" i="1"/>
  <c r="C13957" i="1"/>
  <c r="D13957" i="1"/>
  <c r="E13957" i="1"/>
  <c r="A13958" i="1"/>
  <c r="B13958" i="1"/>
  <c r="C13958" i="1"/>
  <c r="D13958" i="1"/>
  <c r="E13958" i="1"/>
  <c r="A13959" i="1"/>
  <c r="B13959" i="1"/>
  <c r="C13959" i="1"/>
  <c r="D13959" i="1"/>
  <c r="E13959" i="1"/>
  <c r="A13960" i="1"/>
  <c r="B13960" i="1"/>
  <c r="C13960" i="1"/>
  <c r="D13960" i="1"/>
  <c r="E13960" i="1"/>
  <c r="A13961" i="1"/>
  <c r="B13961" i="1"/>
  <c r="C13961" i="1"/>
  <c r="D13961" i="1"/>
  <c r="E13961" i="1"/>
  <c r="A13962" i="1"/>
  <c r="B13962" i="1"/>
  <c r="C13962" i="1"/>
  <c r="D13962" i="1"/>
  <c r="E13962" i="1"/>
  <c r="A13963" i="1"/>
  <c r="B13963" i="1"/>
  <c r="C13963" i="1"/>
  <c r="D13963" i="1"/>
  <c r="E13963" i="1"/>
  <c r="A13964" i="1"/>
  <c r="B13964" i="1"/>
  <c r="C13964" i="1"/>
  <c r="D13964" i="1"/>
  <c r="E13964" i="1"/>
  <c r="A13965" i="1"/>
  <c r="B13965" i="1"/>
  <c r="C13965" i="1"/>
  <c r="D13965" i="1"/>
  <c r="E13965" i="1"/>
  <c r="A13966" i="1"/>
  <c r="B13966" i="1"/>
  <c r="C13966" i="1"/>
  <c r="D13966" i="1"/>
  <c r="E13966" i="1"/>
  <c r="A13967" i="1"/>
  <c r="B13967" i="1"/>
  <c r="C13967" i="1"/>
  <c r="D13967" i="1"/>
  <c r="E13967" i="1"/>
  <c r="A13968" i="1"/>
  <c r="B13968" i="1"/>
  <c r="C13968" i="1"/>
  <c r="D13968" i="1"/>
  <c r="E13968" i="1"/>
  <c r="A13969" i="1"/>
  <c r="B13969" i="1"/>
  <c r="C13969" i="1"/>
  <c r="D13969" i="1"/>
  <c r="E13969" i="1"/>
  <c r="A13970" i="1"/>
  <c r="B13970" i="1"/>
  <c r="C13970" i="1"/>
  <c r="D13970" i="1"/>
  <c r="E13970" i="1"/>
  <c r="A13971" i="1"/>
  <c r="B13971" i="1"/>
  <c r="C13971" i="1"/>
  <c r="D13971" i="1"/>
  <c r="E13971" i="1"/>
  <c r="A13972" i="1"/>
  <c r="B13972" i="1"/>
  <c r="C13972" i="1"/>
  <c r="D13972" i="1"/>
  <c r="E13972" i="1"/>
  <c r="A13973" i="1"/>
  <c r="B13973" i="1"/>
  <c r="C13973" i="1"/>
  <c r="D13973" i="1"/>
  <c r="E13973" i="1"/>
  <c r="A13974" i="1"/>
  <c r="B13974" i="1"/>
  <c r="C13974" i="1"/>
  <c r="D13974" i="1"/>
  <c r="E13974" i="1"/>
  <c r="A13975" i="1"/>
  <c r="B13975" i="1"/>
  <c r="C13975" i="1"/>
  <c r="D13975" i="1"/>
  <c r="E13975" i="1"/>
  <c r="A13976" i="1"/>
  <c r="B13976" i="1"/>
  <c r="C13976" i="1"/>
  <c r="D13976" i="1"/>
  <c r="E13976" i="1"/>
  <c r="A13977" i="1"/>
  <c r="B13977" i="1"/>
  <c r="C13977" i="1"/>
  <c r="D13977" i="1"/>
  <c r="E13977" i="1"/>
  <c r="A13978" i="1"/>
  <c r="B13978" i="1"/>
  <c r="C13978" i="1"/>
  <c r="D13978" i="1"/>
  <c r="E13978" i="1"/>
  <c r="A13979" i="1"/>
  <c r="B13979" i="1"/>
  <c r="C13979" i="1"/>
  <c r="D13979" i="1"/>
  <c r="E13979" i="1"/>
  <c r="A13980" i="1"/>
  <c r="B13980" i="1"/>
  <c r="C13980" i="1"/>
  <c r="D13980" i="1"/>
  <c r="E13980" i="1"/>
  <c r="A13981" i="1"/>
  <c r="B13981" i="1"/>
  <c r="C13981" i="1"/>
  <c r="D13981" i="1"/>
  <c r="E13981" i="1"/>
  <c r="A13982" i="1"/>
  <c r="B13982" i="1"/>
  <c r="C13982" i="1"/>
  <c r="D13982" i="1"/>
  <c r="E13982" i="1"/>
  <c r="A13983" i="1"/>
  <c r="B13983" i="1"/>
  <c r="C13983" i="1"/>
  <c r="D13983" i="1"/>
  <c r="E13983" i="1"/>
  <c r="A13984" i="1"/>
  <c r="B13984" i="1"/>
  <c r="C13984" i="1"/>
  <c r="D13984" i="1"/>
  <c r="E13984" i="1"/>
  <c r="A13985" i="1"/>
  <c r="B13985" i="1"/>
  <c r="C13985" i="1"/>
  <c r="D13985" i="1"/>
  <c r="E13985" i="1"/>
  <c r="A13986" i="1"/>
  <c r="B13986" i="1"/>
  <c r="C13986" i="1"/>
  <c r="D13986" i="1"/>
  <c r="E13986" i="1"/>
  <c r="A13987" i="1"/>
  <c r="B13987" i="1"/>
  <c r="C13987" i="1"/>
  <c r="D13987" i="1"/>
  <c r="E13987" i="1"/>
  <c r="A13988" i="1"/>
  <c r="B13988" i="1"/>
  <c r="C13988" i="1"/>
  <c r="D13988" i="1"/>
  <c r="E13988" i="1"/>
  <c r="A13989" i="1"/>
  <c r="B13989" i="1"/>
  <c r="C13989" i="1"/>
  <c r="D13989" i="1"/>
  <c r="E13989" i="1"/>
  <c r="A13990" i="1"/>
  <c r="B13990" i="1"/>
  <c r="C13990" i="1"/>
  <c r="D13990" i="1"/>
  <c r="E13990" i="1"/>
  <c r="A13991" i="1"/>
  <c r="B13991" i="1"/>
  <c r="C13991" i="1"/>
  <c r="D13991" i="1"/>
  <c r="E13991" i="1"/>
  <c r="A13992" i="1"/>
  <c r="B13992" i="1"/>
  <c r="C13992" i="1"/>
  <c r="D13992" i="1"/>
  <c r="E13992" i="1"/>
  <c r="A13993" i="1"/>
  <c r="B13993" i="1"/>
  <c r="C13993" i="1"/>
  <c r="D13993" i="1"/>
  <c r="E13993" i="1"/>
  <c r="A13994" i="1"/>
  <c r="B13994" i="1"/>
  <c r="C13994" i="1"/>
  <c r="D13994" i="1"/>
  <c r="E13994" i="1"/>
  <c r="A13995" i="1"/>
  <c r="B13995" i="1"/>
  <c r="C13995" i="1"/>
  <c r="D13995" i="1"/>
  <c r="E13995" i="1"/>
  <c r="A13996" i="1"/>
  <c r="B13996" i="1"/>
  <c r="C13996" i="1"/>
  <c r="D13996" i="1"/>
  <c r="E13996" i="1"/>
  <c r="A13997" i="1"/>
  <c r="B13997" i="1"/>
  <c r="C13997" i="1"/>
  <c r="D13997" i="1"/>
  <c r="E13997" i="1"/>
  <c r="A13998" i="1"/>
  <c r="B13998" i="1"/>
  <c r="C13998" i="1"/>
  <c r="D13998" i="1"/>
  <c r="E13998" i="1"/>
  <c r="A13999" i="1"/>
  <c r="B13999" i="1"/>
  <c r="C13999" i="1"/>
  <c r="D13999" i="1"/>
  <c r="E13999" i="1"/>
  <c r="A14000" i="1"/>
  <c r="B14000" i="1"/>
  <c r="C14000" i="1"/>
  <c r="D14000" i="1"/>
  <c r="E14000" i="1"/>
  <c r="A14001" i="1"/>
  <c r="B14001" i="1"/>
  <c r="C14001" i="1"/>
  <c r="D14001" i="1"/>
  <c r="E14001" i="1"/>
  <c r="A14002" i="1"/>
  <c r="B14002" i="1"/>
  <c r="C14002" i="1"/>
  <c r="D14002" i="1"/>
  <c r="E14002" i="1"/>
  <c r="A14003" i="1"/>
  <c r="B14003" i="1"/>
  <c r="C14003" i="1"/>
  <c r="D14003" i="1"/>
  <c r="E14003" i="1"/>
  <c r="A14004" i="1"/>
  <c r="B14004" i="1"/>
  <c r="C14004" i="1"/>
  <c r="D14004" i="1"/>
  <c r="E14004" i="1"/>
  <c r="A14005" i="1"/>
  <c r="B14005" i="1"/>
  <c r="C14005" i="1"/>
  <c r="D14005" i="1"/>
  <c r="E14005" i="1"/>
  <c r="A14006" i="1"/>
  <c r="B14006" i="1"/>
  <c r="C14006" i="1"/>
  <c r="D14006" i="1"/>
  <c r="E14006" i="1"/>
  <c r="A14007" i="1"/>
  <c r="B14007" i="1"/>
  <c r="C14007" i="1"/>
  <c r="D14007" i="1"/>
  <c r="E14007" i="1"/>
  <c r="A14008" i="1"/>
  <c r="B14008" i="1"/>
  <c r="C14008" i="1"/>
  <c r="D14008" i="1"/>
  <c r="E14008" i="1"/>
  <c r="A14009" i="1"/>
  <c r="B14009" i="1"/>
  <c r="C14009" i="1"/>
  <c r="D14009" i="1"/>
  <c r="E14009" i="1"/>
  <c r="A14010" i="1"/>
  <c r="B14010" i="1"/>
  <c r="C14010" i="1"/>
  <c r="D14010" i="1"/>
  <c r="E14010" i="1"/>
  <c r="A14011" i="1"/>
  <c r="B14011" i="1"/>
  <c r="C14011" i="1"/>
  <c r="D14011" i="1"/>
  <c r="E14011" i="1"/>
  <c r="A14012" i="1"/>
  <c r="B14012" i="1"/>
  <c r="C14012" i="1"/>
  <c r="D14012" i="1"/>
  <c r="E14012" i="1"/>
  <c r="A14013" i="1"/>
  <c r="B14013" i="1"/>
  <c r="C14013" i="1"/>
  <c r="D14013" i="1"/>
  <c r="E14013" i="1"/>
  <c r="A14014" i="1"/>
  <c r="B14014" i="1"/>
  <c r="C14014" i="1"/>
  <c r="D14014" i="1"/>
  <c r="E14014" i="1"/>
  <c r="A14015" i="1"/>
  <c r="B14015" i="1"/>
  <c r="C14015" i="1"/>
  <c r="D14015" i="1"/>
  <c r="E14015" i="1"/>
  <c r="A14016" i="1"/>
  <c r="B14016" i="1"/>
  <c r="C14016" i="1"/>
  <c r="D14016" i="1"/>
  <c r="E14016" i="1"/>
  <c r="A14017" i="1"/>
  <c r="B14017" i="1"/>
  <c r="C14017" i="1"/>
  <c r="D14017" i="1"/>
  <c r="E14017" i="1"/>
  <c r="A14018" i="1"/>
  <c r="B14018" i="1"/>
  <c r="C14018" i="1"/>
  <c r="D14018" i="1"/>
  <c r="E14018" i="1"/>
  <c r="A14019" i="1"/>
  <c r="B14019" i="1"/>
  <c r="C14019" i="1"/>
  <c r="D14019" i="1"/>
  <c r="E14019" i="1"/>
  <c r="A14020" i="1"/>
  <c r="B14020" i="1"/>
  <c r="C14020" i="1"/>
  <c r="D14020" i="1"/>
  <c r="E14020" i="1"/>
  <c r="A14021" i="1"/>
  <c r="B14021" i="1"/>
  <c r="C14021" i="1"/>
  <c r="D14021" i="1"/>
  <c r="E14021" i="1"/>
  <c r="A14022" i="1"/>
  <c r="B14022" i="1"/>
  <c r="C14022" i="1"/>
  <c r="D14022" i="1"/>
  <c r="E14022" i="1"/>
  <c r="A14023" i="1"/>
  <c r="B14023" i="1"/>
  <c r="C14023" i="1"/>
  <c r="D14023" i="1"/>
  <c r="E14023" i="1"/>
  <c r="A14024" i="1"/>
  <c r="B14024" i="1"/>
  <c r="C14024" i="1"/>
  <c r="D14024" i="1"/>
  <c r="E14024" i="1"/>
  <c r="A14025" i="1"/>
  <c r="B14025" i="1"/>
  <c r="C14025" i="1"/>
  <c r="D14025" i="1"/>
  <c r="E14025" i="1"/>
  <c r="A14026" i="1"/>
  <c r="B14026" i="1"/>
  <c r="C14026" i="1"/>
  <c r="D14026" i="1"/>
  <c r="E14026" i="1"/>
  <c r="A14027" i="1"/>
  <c r="B14027" i="1"/>
  <c r="C14027" i="1"/>
  <c r="D14027" i="1"/>
  <c r="E14027" i="1"/>
  <c r="A14028" i="1"/>
  <c r="B14028" i="1"/>
  <c r="C14028" i="1"/>
  <c r="D14028" i="1"/>
  <c r="E14028" i="1"/>
  <c r="A14029" i="1"/>
  <c r="B14029" i="1"/>
  <c r="C14029" i="1"/>
  <c r="D14029" i="1"/>
  <c r="E14029" i="1"/>
  <c r="A14030" i="1"/>
  <c r="B14030" i="1"/>
  <c r="C14030" i="1"/>
  <c r="D14030" i="1"/>
  <c r="E14030" i="1"/>
  <c r="A14031" i="1"/>
  <c r="B14031" i="1"/>
  <c r="C14031" i="1"/>
  <c r="D14031" i="1"/>
  <c r="E14031" i="1"/>
  <c r="A14032" i="1"/>
  <c r="B14032" i="1"/>
  <c r="C14032" i="1"/>
  <c r="D14032" i="1"/>
  <c r="E14032" i="1"/>
  <c r="A14033" i="1"/>
  <c r="B14033" i="1"/>
  <c r="C14033" i="1"/>
  <c r="D14033" i="1"/>
  <c r="E14033" i="1"/>
  <c r="A14034" i="1"/>
  <c r="B14034" i="1"/>
  <c r="C14034" i="1"/>
  <c r="D14034" i="1"/>
  <c r="E14034" i="1"/>
  <c r="A14035" i="1"/>
  <c r="B14035" i="1"/>
  <c r="C14035" i="1"/>
  <c r="D14035" i="1"/>
  <c r="E14035" i="1"/>
  <c r="A14036" i="1"/>
  <c r="B14036" i="1"/>
  <c r="C14036" i="1"/>
  <c r="D14036" i="1"/>
  <c r="E14036" i="1"/>
  <c r="A14037" i="1"/>
  <c r="B14037" i="1"/>
  <c r="C14037" i="1"/>
  <c r="D14037" i="1"/>
  <c r="E14037" i="1"/>
  <c r="A14038" i="1"/>
  <c r="B14038" i="1"/>
  <c r="C14038" i="1"/>
  <c r="D14038" i="1"/>
  <c r="E14038" i="1"/>
  <c r="A14039" i="1"/>
  <c r="B14039" i="1"/>
  <c r="C14039" i="1"/>
  <c r="D14039" i="1"/>
  <c r="E14039" i="1"/>
  <c r="A14040" i="1"/>
  <c r="B14040" i="1"/>
  <c r="C14040" i="1"/>
  <c r="D14040" i="1"/>
  <c r="E14040" i="1"/>
  <c r="A14041" i="1"/>
  <c r="B14041" i="1"/>
  <c r="C14041" i="1"/>
  <c r="D14041" i="1"/>
  <c r="E14041" i="1"/>
  <c r="A14042" i="1"/>
  <c r="B14042" i="1"/>
  <c r="C14042" i="1"/>
  <c r="D14042" i="1"/>
  <c r="E14042" i="1"/>
  <c r="A14043" i="1"/>
  <c r="B14043" i="1"/>
  <c r="C14043" i="1"/>
  <c r="D14043" i="1"/>
  <c r="E14043" i="1"/>
  <c r="A14044" i="1"/>
  <c r="B14044" i="1"/>
  <c r="C14044" i="1"/>
  <c r="D14044" i="1"/>
  <c r="E14044" i="1"/>
  <c r="A14045" i="1"/>
  <c r="B14045" i="1"/>
  <c r="C14045" i="1"/>
  <c r="D14045" i="1"/>
  <c r="E14045" i="1"/>
  <c r="A14046" i="1"/>
  <c r="B14046" i="1"/>
  <c r="C14046" i="1"/>
  <c r="D14046" i="1"/>
  <c r="E14046" i="1"/>
</calcChain>
</file>

<file path=xl/sharedStrings.xml><?xml version="1.0" encoding="utf-8"?>
<sst xmlns="http://schemas.openxmlformats.org/spreadsheetml/2006/main" count="42227" uniqueCount="69">
  <si>
    <t>2022 Montrose County Primary</t>
  </si>
  <si>
    <t>5.13.14.1</t>
  </si>
  <si>
    <t>United States Senator - DEM (Vote For=1)</t>
  </si>
  <si>
    <t>Representative to the 118th United States Congress - District 3 - DEM (Vote For=1)</t>
  </si>
  <si>
    <t>Governor - DEM (Vote For=1)</t>
  </si>
  <si>
    <t>Secretary of State - DEM (Vote For=1)</t>
  </si>
  <si>
    <t>State Treasurer - DEM (Vote For=1)</t>
  </si>
  <si>
    <t>Attorney General - DEM (Vote For=1)</t>
  </si>
  <si>
    <t>State Board of Education Member - At Large - DEM (Vote For=1)</t>
  </si>
  <si>
    <t>State Representative - District 58 - DEM (Vote For=1)</t>
  </si>
  <si>
    <t>United States Senator - REP (Vote For=1)</t>
  </si>
  <si>
    <t>Representative to the 118th United States Congress - District 3 - REP (Vote For=1)</t>
  </si>
  <si>
    <t>Governor - REP (Vote For=1)</t>
  </si>
  <si>
    <t>Secretary of State - REP (Vote For=1)</t>
  </si>
  <si>
    <t>State Treasurer - REP (Vote For=1)</t>
  </si>
  <si>
    <t>Attorney General - REP (Vote For=1)</t>
  </si>
  <si>
    <t>State Board of Education Member - At Large - REP (Vote For=1)</t>
  </si>
  <si>
    <t>State Representative - District 58 - REP (Vote For=1)</t>
  </si>
  <si>
    <t>Montrose County Commissioner - District 2 - REP (Vote For=1)</t>
  </si>
  <si>
    <t>Montrose County Clerk and Recorder - REP (Vote For=1)</t>
  </si>
  <si>
    <t>Montrose County Treasurer - REP (Vote For=1)</t>
  </si>
  <si>
    <t>Montrose County Assessor - REP (Vote For=1)</t>
  </si>
  <si>
    <t>Montrose County Sheriff - REP (Vote For=1)</t>
  </si>
  <si>
    <t>Montrose County Coroner - REP (Vote For=1)</t>
  </si>
  <si>
    <t>Michael Bennet</t>
  </si>
  <si>
    <t>Soledad Sandoval Tafoya</t>
  </si>
  <si>
    <t>Alex Walker</t>
  </si>
  <si>
    <t>Adam Frisch</t>
  </si>
  <si>
    <t>Jared Polis</t>
  </si>
  <si>
    <t>Jena Griswold</t>
  </si>
  <si>
    <t>Dave Young</t>
  </si>
  <si>
    <t>Phil Weiser</t>
  </si>
  <si>
    <t>Kathy Plomer</t>
  </si>
  <si>
    <t>Kevin Stanley Kuns</t>
  </si>
  <si>
    <t>Ron Hanks</t>
  </si>
  <si>
    <t>Joe O'Dea</t>
  </si>
  <si>
    <t>Write-in</t>
  </si>
  <si>
    <t>Daniel Hendricks</t>
  </si>
  <si>
    <t>Lauren Boebert</t>
  </si>
  <si>
    <t>Don Coram</t>
  </si>
  <si>
    <t>Greg Lopez</t>
  </si>
  <si>
    <t>Heidi Ganahl</t>
  </si>
  <si>
    <t>Tina Peters</t>
  </si>
  <si>
    <t>Mike O'Donnell</t>
  </si>
  <si>
    <t>Pam Anderson</t>
  </si>
  <si>
    <t>Lang Sias</t>
  </si>
  <si>
    <t>John Kellner</t>
  </si>
  <si>
    <t>Dan Maloit</t>
  </si>
  <si>
    <t>Marc Catlin</t>
  </si>
  <si>
    <t>Sue Hansen</t>
  </si>
  <si>
    <t>Tressa Guynes</t>
  </si>
  <si>
    <t>Rosemary Murphy</t>
  </si>
  <si>
    <t>Brad Hughes</t>
  </si>
  <si>
    <t xml:space="preserve">Gene R. Lillard </t>
  </si>
  <si>
    <t>Richard "Rick" Fellabaum</t>
  </si>
  <si>
    <t>CvrNumber</t>
  </si>
  <si>
    <t>TabulatorNum</t>
  </si>
  <si>
    <t>BatchId</t>
  </si>
  <si>
    <t>RecordId</t>
  </si>
  <si>
    <t>ImprintedId</t>
  </si>
  <si>
    <t>CountingGroup</t>
  </si>
  <si>
    <t>PrecinctPortion</t>
  </si>
  <si>
    <t>BallotType</t>
  </si>
  <si>
    <t>DEM</t>
  </si>
  <si>
    <t>REP</t>
  </si>
  <si>
    <t>Regular</t>
  </si>
  <si>
    <t>Montrose (Montrose)</t>
  </si>
  <si>
    <t>Republican</t>
  </si>
  <si>
    <t>Democratic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</si>
</sst>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4046"/>
  <sheetViews>
    <sheetView tabSelected="1" workbookViewId="0"/>
  </sheetViews>
  <sheetFormatPr baseColWidth="10" defaultColWidth="8.83203125" defaultRowHeight="15" x14ac:dyDescent="0.2"/>
  <sheetData>
    <row r="1" spans="1:39" x14ac:dyDescent="0.2">
      <c r="A1" t="s">
        <v>0</v>
      </c>
      <c r="B1" t="s">
        <v>1</v>
      </c>
    </row>
    <row r="2" spans="1:39" x14ac:dyDescent="0.2">
      <c r="I2" t="s">
        <v>2</v>
      </c>
      <c r="J2" t="s">
        <v>3</v>
      </c>
      <c r="K2" t="s">
        <v>3</v>
      </c>
      <c r="L2" t="s">
        <v>3</v>
      </c>
      <c r="M2" t="s">
        <v>4</v>
      </c>
      <c r="N2" t="s">
        <v>5</v>
      </c>
      <c r="O2" t="s">
        <v>6</v>
      </c>
      <c r="P2" t="s">
        <v>7</v>
      </c>
      <c r="Q2" t="s">
        <v>8</v>
      </c>
      <c r="R2" t="s">
        <v>9</v>
      </c>
      <c r="S2" t="s">
        <v>10</v>
      </c>
      <c r="T2" t="s">
        <v>10</v>
      </c>
      <c r="U2" t="s">
        <v>10</v>
      </c>
      <c r="V2" t="s">
        <v>10</v>
      </c>
      <c r="W2" t="s">
        <v>11</v>
      </c>
      <c r="X2" t="s">
        <v>11</v>
      </c>
      <c r="Y2" t="s">
        <v>12</v>
      </c>
      <c r="Z2" t="s">
        <v>12</v>
      </c>
      <c r="AA2" t="s">
        <v>13</v>
      </c>
      <c r="AB2" t="s">
        <v>13</v>
      </c>
      <c r="AC2" t="s">
        <v>13</v>
      </c>
      <c r="AD2" t="s">
        <v>14</v>
      </c>
      <c r="AE2" t="s">
        <v>15</v>
      </c>
      <c r="AF2" t="s">
        <v>16</v>
      </c>
      <c r="AG2" t="s">
        <v>17</v>
      </c>
      <c r="AH2" t="s">
        <v>18</v>
      </c>
      <c r="AI2" t="s">
        <v>19</v>
      </c>
      <c r="AJ2" t="s">
        <v>20</v>
      </c>
      <c r="AK2" t="s">
        <v>21</v>
      </c>
      <c r="AL2" t="s">
        <v>22</v>
      </c>
      <c r="AM2" t="s">
        <v>23</v>
      </c>
    </row>
    <row r="3" spans="1:39" x14ac:dyDescent="0.2">
      <c r="I3" t="s">
        <v>24</v>
      </c>
      <c r="J3" t="s">
        <v>25</v>
      </c>
      <c r="K3" t="s">
        <v>26</v>
      </c>
      <c r="L3" t="s">
        <v>27</v>
      </c>
      <c r="M3" t="s">
        <v>28</v>
      </c>
      <c r="N3" t="s">
        <v>29</v>
      </c>
      <c r="O3" t="s">
        <v>30</v>
      </c>
      <c r="P3" t="s">
        <v>31</v>
      </c>
      <c r="Q3" t="s">
        <v>32</v>
      </c>
      <c r="R3" t="s">
        <v>33</v>
      </c>
      <c r="S3" t="s">
        <v>34</v>
      </c>
      <c r="T3" t="s">
        <v>35</v>
      </c>
      <c r="U3" t="s">
        <v>36</v>
      </c>
      <c r="V3" t="s">
        <v>37</v>
      </c>
      <c r="W3" t="s">
        <v>38</v>
      </c>
      <c r="X3" t="s">
        <v>39</v>
      </c>
      <c r="Y3" t="s">
        <v>40</v>
      </c>
      <c r="Z3" t="s">
        <v>41</v>
      </c>
      <c r="AA3" t="s">
        <v>42</v>
      </c>
      <c r="AB3" t="s">
        <v>43</v>
      </c>
      <c r="AC3" t="s">
        <v>44</v>
      </c>
      <c r="AD3" t="s">
        <v>45</v>
      </c>
      <c r="AE3" t="s">
        <v>46</v>
      </c>
      <c r="AF3" t="s">
        <v>47</v>
      </c>
      <c r="AG3" t="s">
        <v>48</v>
      </c>
      <c r="AH3" t="s">
        <v>49</v>
      </c>
      <c r="AI3" t="s">
        <v>50</v>
      </c>
      <c r="AJ3" t="s">
        <v>51</v>
      </c>
      <c r="AK3" t="s">
        <v>52</v>
      </c>
      <c r="AL3" t="s">
        <v>53</v>
      </c>
      <c r="AM3" t="s">
        <v>54</v>
      </c>
    </row>
    <row r="4" spans="1:39" x14ac:dyDescent="0.2">
      <c r="A4" t="s">
        <v>55</v>
      </c>
      <c r="B4" t="s">
        <v>56</v>
      </c>
      <c r="C4" t="s">
        <v>57</v>
      </c>
      <c r="D4" t="s">
        <v>58</v>
      </c>
      <c r="E4" t="s">
        <v>59</v>
      </c>
      <c r="F4" t="s">
        <v>60</v>
      </c>
      <c r="G4" t="s">
        <v>61</v>
      </c>
      <c r="H4" t="s">
        <v>62</v>
      </c>
      <c r="I4" t="s">
        <v>63</v>
      </c>
      <c r="J4" t="s">
        <v>63</v>
      </c>
      <c r="K4" t="s">
        <v>63</v>
      </c>
      <c r="L4" t="s">
        <v>63</v>
      </c>
      <c r="M4" t="s">
        <v>63</v>
      </c>
      <c r="N4" t="s">
        <v>63</v>
      </c>
      <c r="O4" t="s">
        <v>63</v>
      </c>
      <c r="P4" t="s">
        <v>63</v>
      </c>
      <c r="Q4" t="s">
        <v>63</v>
      </c>
      <c r="R4" t="s">
        <v>63</v>
      </c>
      <c r="S4" t="s">
        <v>64</v>
      </c>
      <c r="T4" t="s">
        <v>64</v>
      </c>
      <c r="W4" t="s">
        <v>64</v>
      </c>
      <c r="X4" t="s">
        <v>64</v>
      </c>
      <c r="Y4" t="s">
        <v>64</v>
      </c>
      <c r="Z4" t="s">
        <v>64</v>
      </c>
      <c r="AA4" t="s">
        <v>64</v>
      </c>
      <c r="AB4" t="s">
        <v>64</v>
      </c>
      <c r="AC4" t="s">
        <v>64</v>
      </c>
      <c r="AD4" t="s">
        <v>64</v>
      </c>
      <c r="AE4" t="s">
        <v>64</v>
      </c>
      <c r="AF4" t="s">
        <v>64</v>
      </c>
      <c r="AG4" t="s">
        <v>64</v>
      </c>
      <c r="AH4" t="s">
        <v>64</v>
      </c>
      <c r="AI4" t="s">
        <v>64</v>
      </c>
      <c r="AJ4" t="s">
        <v>64</v>
      </c>
      <c r="AK4" t="s">
        <v>64</v>
      </c>
      <c r="AL4" t="s">
        <v>64</v>
      </c>
      <c r="AM4" t="s">
        <v>64</v>
      </c>
    </row>
    <row r="5" spans="1:39" x14ac:dyDescent="0.2">
      <c r="A5" t="str">
        <f>"1"</f>
        <v>1</v>
      </c>
      <c r="B5" t="str">
        <f>"1"</f>
        <v>1</v>
      </c>
      <c r="C5" t="str">
        <f>"1"</f>
        <v>1</v>
      </c>
      <c r="D5" t="str">
        <f>"48"</f>
        <v>48</v>
      </c>
      <c r="E5" t="str">
        <f>"1-1-48"</f>
        <v>1-1-48</v>
      </c>
      <c r="F5" t="s">
        <v>65</v>
      </c>
      <c r="G5" t="s">
        <v>66</v>
      </c>
      <c r="H5" t="s">
        <v>67</v>
      </c>
      <c r="S5">
        <v>0</v>
      </c>
      <c r="T5">
        <v>0</v>
      </c>
      <c r="U5">
        <v>0</v>
      </c>
      <c r="V5">
        <v>0</v>
      </c>
      <c r="W5">
        <v>1</v>
      </c>
      <c r="X5">
        <v>0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1</v>
      </c>
    </row>
    <row r="6" spans="1:39" x14ac:dyDescent="0.2">
      <c r="A6" t="str">
        <f>"2"</f>
        <v>2</v>
      </c>
      <c r="B6" t="str">
        <f t="shared" ref="B6:C25" si="0">"1"</f>
        <v>1</v>
      </c>
      <c r="C6" t="str">
        <f t="shared" si="0"/>
        <v>1</v>
      </c>
      <c r="D6" t="str">
        <f>"47"</f>
        <v>47</v>
      </c>
      <c r="E6" t="str">
        <f>"1-1-47"</f>
        <v>1-1-47</v>
      </c>
      <c r="F6" t="s">
        <v>65</v>
      </c>
      <c r="G6" t="s">
        <v>66</v>
      </c>
      <c r="H6" t="s">
        <v>67</v>
      </c>
      <c r="S6">
        <v>1</v>
      </c>
      <c r="T6">
        <v>0</v>
      </c>
      <c r="U6">
        <v>0</v>
      </c>
      <c r="V6">
        <v>0</v>
      </c>
      <c r="W6">
        <v>1</v>
      </c>
      <c r="X6">
        <v>0</v>
      </c>
      <c r="Y6">
        <v>0</v>
      </c>
      <c r="Z6">
        <v>1</v>
      </c>
      <c r="AA6">
        <v>0</v>
      </c>
      <c r="AB6">
        <v>0</v>
      </c>
      <c r="AC6">
        <v>1</v>
      </c>
      <c r="AD6">
        <v>1</v>
      </c>
      <c r="AE6">
        <v>1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1</v>
      </c>
    </row>
    <row r="7" spans="1:39" x14ac:dyDescent="0.2">
      <c r="A7" t="str">
        <f>"3"</f>
        <v>3</v>
      </c>
      <c r="B7" t="str">
        <f t="shared" si="0"/>
        <v>1</v>
      </c>
      <c r="C7" t="str">
        <f t="shared" si="0"/>
        <v>1</v>
      </c>
      <c r="D7" t="str">
        <f>"31"</f>
        <v>31</v>
      </c>
      <c r="E7" t="str">
        <f>"1-1-31"</f>
        <v>1-1-31</v>
      </c>
      <c r="F7" t="s">
        <v>65</v>
      </c>
      <c r="G7" t="s">
        <v>66</v>
      </c>
      <c r="H7" t="s">
        <v>67</v>
      </c>
      <c r="S7">
        <v>0</v>
      </c>
      <c r="T7">
        <v>1</v>
      </c>
      <c r="U7">
        <v>0</v>
      </c>
      <c r="V7">
        <v>0</v>
      </c>
      <c r="W7">
        <v>1</v>
      </c>
      <c r="X7">
        <v>0</v>
      </c>
      <c r="Y7">
        <v>0</v>
      </c>
      <c r="Z7">
        <v>1</v>
      </c>
      <c r="AA7">
        <v>0</v>
      </c>
      <c r="AB7">
        <v>0</v>
      </c>
      <c r="AC7">
        <v>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</row>
    <row r="8" spans="1:39" x14ac:dyDescent="0.2">
      <c r="A8" t="str">
        <f>"4"</f>
        <v>4</v>
      </c>
      <c r="B8" t="str">
        <f t="shared" si="0"/>
        <v>1</v>
      </c>
      <c r="C8" t="str">
        <f t="shared" si="0"/>
        <v>1</v>
      </c>
      <c r="D8" t="str">
        <f>"15"</f>
        <v>15</v>
      </c>
      <c r="E8" t="str">
        <f>"1-1-15"</f>
        <v>1-1-15</v>
      </c>
      <c r="F8" t="s">
        <v>65</v>
      </c>
      <c r="G8" t="s">
        <v>66</v>
      </c>
      <c r="H8" t="s">
        <v>67</v>
      </c>
      <c r="S8">
        <v>0</v>
      </c>
      <c r="T8">
        <v>1</v>
      </c>
      <c r="U8">
        <v>0</v>
      </c>
      <c r="V8">
        <v>0</v>
      </c>
      <c r="W8">
        <v>0</v>
      </c>
      <c r="X8">
        <v>1</v>
      </c>
      <c r="Y8">
        <v>0</v>
      </c>
      <c r="Z8">
        <v>1</v>
      </c>
      <c r="AA8">
        <v>0</v>
      </c>
      <c r="AB8">
        <v>0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</row>
    <row r="9" spans="1:39" x14ac:dyDescent="0.2">
      <c r="A9" t="str">
        <f>"5"</f>
        <v>5</v>
      </c>
      <c r="B9" t="str">
        <f t="shared" si="0"/>
        <v>1</v>
      </c>
      <c r="C9" t="str">
        <f t="shared" si="0"/>
        <v>1</v>
      </c>
      <c r="D9" t="str">
        <f>"10"</f>
        <v>10</v>
      </c>
      <c r="E9" t="str">
        <f>"1-1-10"</f>
        <v>1-1-10</v>
      </c>
      <c r="F9" t="s">
        <v>65</v>
      </c>
      <c r="G9" t="s">
        <v>66</v>
      </c>
      <c r="H9" t="s">
        <v>67</v>
      </c>
      <c r="S9">
        <v>0</v>
      </c>
      <c r="T9">
        <v>1</v>
      </c>
      <c r="U9">
        <v>0</v>
      </c>
      <c r="V9">
        <v>0</v>
      </c>
      <c r="W9">
        <v>1</v>
      </c>
      <c r="X9">
        <v>0</v>
      </c>
      <c r="Y9">
        <v>0</v>
      </c>
      <c r="Z9">
        <v>1</v>
      </c>
      <c r="AA9">
        <v>1</v>
      </c>
      <c r="AB9">
        <v>0</v>
      </c>
      <c r="AC9">
        <v>0</v>
      </c>
      <c r="AD9">
        <v>1</v>
      </c>
      <c r="AE9">
        <v>1</v>
      </c>
      <c r="AF9">
        <v>1</v>
      </c>
      <c r="AG9">
        <v>1</v>
      </c>
      <c r="AH9">
        <v>1</v>
      </c>
      <c r="AI9">
        <v>1</v>
      </c>
      <c r="AJ9">
        <v>1</v>
      </c>
      <c r="AK9">
        <v>1</v>
      </c>
      <c r="AL9">
        <v>1</v>
      </c>
      <c r="AM9">
        <v>1</v>
      </c>
    </row>
    <row r="10" spans="1:39" x14ac:dyDescent="0.2">
      <c r="A10" t="str">
        <f>"6"</f>
        <v>6</v>
      </c>
      <c r="B10" t="str">
        <f t="shared" si="0"/>
        <v>1</v>
      </c>
      <c r="C10" t="str">
        <f t="shared" si="0"/>
        <v>1</v>
      </c>
      <c r="D10" t="str">
        <f>"50"</f>
        <v>50</v>
      </c>
      <c r="E10" t="str">
        <f>"1-1-50"</f>
        <v>1-1-50</v>
      </c>
      <c r="F10" t="s">
        <v>65</v>
      </c>
      <c r="G10" t="s">
        <v>66</v>
      </c>
      <c r="H10" t="s">
        <v>67</v>
      </c>
      <c r="S10">
        <v>0</v>
      </c>
      <c r="T10">
        <v>1</v>
      </c>
      <c r="U10">
        <v>0</v>
      </c>
      <c r="V10">
        <v>0</v>
      </c>
      <c r="W10">
        <v>1</v>
      </c>
      <c r="X10">
        <v>0</v>
      </c>
      <c r="Y10">
        <v>1</v>
      </c>
      <c r="Z10">
        <v>0</v>
      </c>
      <c r="AA10">
        <v>0</v>
      </c>
      <c r="AB10">
        <v>0</v>
      </c>
      <c r="AC10">
        <v>1</v>
      </c>
      <c r="AD10">
        <v>1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1</v>
      </c>
      <c r="AK10">
        <v>1</v>
      </c>
      <c r="AL10">
        <v>1</v>
      </c>
      <c r="AM10">
        <v>1</v>
      </c>
    </row>
    <row r="11" spans="1:39" x14ac:dyDescent="0.2">
      <c r="A11" t="str">
        <f>"7"</f>
        <v>7</v>
      </c>
      <c r="B11" t="str">
        <f t="shared" si="0"/>
        <v>1</v>
      </c>
      <c r="C11" t="str">
        <f t="shared" si="0"/>
        <v>1</v>
      </c>
      <c r="D11" t="str">
        <f>"49"</f>
        <v>49</v>
      </c>
      <c r="E11" t="str">
        <f>"1-1-49"</f>
        <v>1-1-49</v>
      </c>
      <c r="F11" t="s">
        <v>65</v>
      </c>
      <c r="G11" t="s">
        <v>66</v>
      </c>
      <c r="H11" t="s">
        <v>67</v>
      </c>
      <c r="S11">
        <v>0</v>
      </c>
      <c r="T11">
        <v>1</v>
      </c>
      <c r="U11">
        <v>0</v>
      </c>
      <c r="V11">
        <v>0</v>
      </c>
      <c r="W11">
        <v>0</v>
      </c>
      <c r="X11">
        <v>1</v>
      </c>
      <c r="Y11">
        <v>0</v>
      </c>
      <c r="Z11">
        <v>1</v>
      </c>
      <c r="AA11">
        <v>0</v>
      </c>
      <c r="AB11">
        <v>1</v>
      </c>
      <c r="AC11">
        <v>0</v>
      </c>
      <c r="AD11">
        <v>1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</v>
      </c>
      <c r="AK11">
        <v>1</v>
      </c>
      <c r="AL11">
        <v>1</v>
      </c>
      <c r="AM11">
        <v>1</v>
      </c>
    </row>
    <row r="12" spans="1:39" x14ac:dyDescent="0.2">
      <c r="A12" t="str">
        <f>"8"</f>
        <v>8</v>
      </c>
      <c r="B12" t="str">
        <f t="shared" si="0"/>
        <v>1</v>
      </c>
      <c r="C12" t="str">
        <f t="shared" si="0"/>
        <v>1</v>
      </c>
      <c r="D12" t="str">
        <f>"32"</f>
        <v>32</v>
      </c>
      <c r="E12" t="str">
        <f>"1-1-32"</f>
        <v>1-1-32</v>
      </c>
      <c r="F12" t="s">
        <v>65</v>
      </c>
      <c r="G12" t="s">
        <v>66</v>
      </c>
      <c r="H12" t="s">
        <v>67</v>
      </c>
      <c r="S12">
        <v>0</v>
      </c>
      <c r="T12">
        <v>1</v>
      </c>
      <c r="U12">
        <v>0</v>
      </c>
      <c r="V12">
        <v>0</v>
      </c>
      <c r="W12">
        <v>1</v>
      </c>
      <c r="X12">
        <v>0</v>
      </c>
      <c r="Y12">
        <v>0</v>
      </c>
      <c r="Z12">
        <v>1</v>
      </c>
      <c r="AA12">
        <v>0</v>
      </c>
      <c r="AB12">
        <v>0</v>
      </c>
      <c r="AC12">
        <v>1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</row>
    <row r="13" spans="1:39" x14ac:dyDescent="0.2">
      <c r="A13" t="str">
        <f>"9"</f>
        <v>9</v>
      </c>
      <c r="B13" t="str">
        <f t="shared" si="0"/>
        <v>1</v>
      </c>
      <c r="C13" t="str">
        <f t="shared" si="0"/>
        <v>1</v>
      </c>
      <c r="D13" t="str">
        <f>"18"</f>
        <v>18</v>
      </c>
      <c r="E13" t="str">
        <f>"1-1-18"</f>
        <v>1-1-18</v>
      </c>
      <c r="F13" t="s">
        <v>65</v>
      </c>
      <c r="G13" t="s">
        <v>66</v>
      </c>
      <c r="H13" t="s">
        <v>67</v>
      </c>
      <c r="S13">
        <v>1</v>
      </c>
      <c r="T13">
        <v>0</v>
      </c>
      <c r="U13">
        <v>0</v>
      </c>
      <c r="V13">
        <v>0</v>
      </c>
      <c r="W13">
        <v>1</v>
      </c>
      <c r="X13">
        <v>0</v>
      </c>
      <c r="Y13">
        <v>0</v>
      </c>
      <c r="Z13">
        <v>1</v>
      </c>
      <c r="AA13">
        <v>0</v>
      </c>
      <c r="AB13">
        <v>1</v>
      </c>
      <c r="AC13">
        <v>0</v>
      </c>
      <c r="AD13">
        <v>0</v>
      </c>
      <c r="AE13">
        <v>0</v>
      </c>
      <c r="AF13">
        <v>0</v>
      </c>
      <c r="AG13">
        <v>1</v>
      </c>
      <c r="AH13">
        <v>1</v>
      </c>
      <c r="AI13">
        <v>0</v>
      </c>
      <c r="AJ13">
        <v>1</v>
      </c>
      <c r="AK13">
        <v>1</v>
      </c>
      <c r="AL13">
        <v>1</v>
      </c>
      <c r="AM13">
        <v>0</v>
      </c>
    </row>
    <row r="14" spans="1:39" x14ac:dyDescent="0.2">
      <c r="A14" t="str">
        <f>"10"</f>
        <v>10</v>
      </c>
      <c r="B14" t="str">
        <f t="shared" si="0"/>
        <v>1</v>
      </c>
      <c r="C14" t="str">
        <f t="shared" si="0"/>
        <v>1</v>
      </c>
      <c r="D14" t="str">
        <f>"7"</f>
        <v>7</v>
      </c>
      <c r="E14" t="str">
        <f>"1-1-7"</f>
        <v>1-1-7</v>
      </c>
      <c r="F14" t="s">
        <v>65</v>
      </c>
      <c r="G14" t="s">
        <v>66</v>
      </c>
      <c r="H14" t="s">
        <v>67</v>
      </c>
      <c r="S14">
        <v>1</v>
      </c>
      <c r="T14">
        <v>0</v>
      </c>
      <c r="U14">
        <v>0</v>
      </c>
      <c r="V14">
        <v>0</v>
      </c>
      <c r="W14">
        <v>1</v>
      </c>
      <c r="X14">
        <v>0</v>
      </c>
      <c r="Y14">
        <v>0</v>
      </c>
      <c r="Z14">
        <v>1</v>
      </c>
      <c r="AA14">
        <v>0</v>
      </c>
      <c r="AB14">
        <v>1</v>
      </c>
      <c r="AC14">
        <v>0</v>
      </c>
      <c r="AD14">
        <v>1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</v>
      </c>
      <c r="AM14">
        <v>1</v>
      </c>
    </row>
    <row r="15" spans="1:39" x14ac:dyDescent="0.2">
      <c r="A15" t="str">
        <f>"11"</f>
        <v>11</v>
      </c>
      <c r="B15" t="str">
        <f t="shared" si="0"/>
        <v>1</v>
      </c>
      <c r="C15" t="str">
        <f t="shared" si="0"/>
        <v>1</v>
      </c>
      <c r="D15" t="str">
        <f>"39"</f>
        <v>39</v>
      </c>
      <c r="E15" t="str">
        <f>"1-1-39"</f>
        <v>1-1-39</v>
      </c>
      <c r="F15" t="s">
        <v>65</v>
      </c>
      <c r="G15" t="s">
        <v>66</v>
      </c>
      <c r="H15" t="s">
        <v>67</v>
      </c>
      <c r="S15">
        <v>1</v>
      </c>
      <c r="T15">
        <v>0</v>
      </c>
      <c r="U15">
        <v>0</v>
      </c>
      <c r="V15">
        <v>0</v>
      </c>
      <c r="W15">
        <v>1</v>
      </c>
      <c r="X15">
        <v>0</v>
      </c>
      <c r="Y15">
        <v>1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1</v>
      </c>
      <c r="AJ15">
        <v>1</v>
      </c>
      <c r="AK15">
        <v>1</v>
      </c>
      <c r="AL15">
        <v>1</v>
      </c>
      <c r="AM15">
        <v>1</v>
      </c>
    </row>
    <row r="16" spans="1:39" x14ac:dyDescent="0.2">
      <c r="A16" t="str">
        <f>"12"</f>
        <v>12</v>
      </c>
      <c r="B16" t="str">
        <f t="shared" si="0"/>
        <v>1</v>
      </c>
      <c r="C16" t="str">
        <f t="shared" si="0"/>
        <v>1</v>
      </c>
      <c r="D16" t="str">
        <f>"38"</f>
        <v>38</v>
      </c>
      <c r="E16" t="str">
        <f>"1-1-38"</f>
        <v>1-1-38</v>
      </c>
      <c r="F16" t="s">
        <v>65</v>
      </c>
      <c r="G16" t="s">
        <v>66</v>
      </c>
      <c r="H16" t="s">
        <v>67</v>
      </c>
      <c r="S16">
        <v>0</v>
      </c>
      <c r="T16">
        <v>0</v>
      </c>
      <c r="U16">
        <v>0</v>
      </c>
      <c r="V16">
        <v>0</v>
      </c>
      <c r="W16">
        <v>0</v>
      </c>
      <c r="X16">
        <v>1</v>
      </c>
      <c r="Y16">
        <v>0</v>
      </c>
      <c r="Z16">
        <v>1</v>
      </c>
      <c r="AA16">
        <v>0</v>
      </c>
      <c r="AB16">
        <v>0</v>
      </c>
      <c r="AC16">
        <v>1</v>
      </c>
      <c r="AD16">
        <v>0</v>
      </c>
      <c r="AE16">
        <v>0</v>
      </c>
      <c r="AF16">
        <v>0</v>
      </c>
      <c r="AG16">
        <v>1</v>
      </c>
      <c r="AH16">
        <v>1</v>
      </c>
      <c r="AI16">
        <v>0</v>
      </c>
      <c r="AJ16">
        <v>0</v>
      </c>
      <c r="AK16">
        <v>0</v>
      </c>
      <c r="AL16">
        <v>1</v>
      </c>
      <c r="AM16">
        <v>0</v>
      </c>
    </row>
    <row r="17" spans="1:39" x14ac:dyDescent="0.2">
      <c r="A17" t="str">
        <f>"13"</f>
        <v>13</v>
      </c>
      <c r="B17" t="str">
        <f t="shared" si="0"/>
        <v>1</v>
      </c>
      <c r="C17" t="str">
        <f t="shared" si="0"/>
        <v>1</v>
      </c>
      <c r="D17" t="str">
        <f>"29"</f>
        <v>29</v>
      </c>
      <c r="E17" t="str">
        <f>"1-1-29"</f>
        <v>1-1-29</v>
      </c>
      <c r="F17" t="s">
        <v>65</v>
      </c>
      <c r="G17" t="s">
        <v>66</v>
      </c>
      <c r="H17" t="s">
        <v>67</v>
      </c>
      <c r="S17">
        <v>1</v>
      </c>
      <c r="T17">
        <v>0</v>
      </c>
      <c r="U17">
        <v>0</v>
      </c>
      <c r="V17">
        <v>0</v>
      </c>
      <c r="W17">
        <v>1</v>
      </c>
      <c r="X17">
        <v>0</v>
      </c>
      <c r="Y17">
        <v>1</v>
      </c>
      <c r="Z17">
        <v>0</v>
      </c>
      <c r="AA17">
        <v>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</row>
    <row r="18" spans="1:39" x14ac:dyDescent="0.2">
      <c r="A18" t="str">
        <f>"14"</f>
        <v>14</v>
      </c>
      <c r="B18" t="str">
        <f t="shared" si="0"/>
        <v>1</v>
      </c>
      <c r="C18" t="str">
        <f t="shared" si="0"/>
        <v>1</v>
      </c>
      <c r="D18" t="str">
        <f>"16"</f>
        <v>16</v>
      </c>
      <c r="E18" t="str">
        <f>"1-1-16"</f>
        <v>1-1-16</v>
      </c>
      <c r="F18" t="s">
        <v>65</v>
      </c>
      <c r="G18" t="s">
        <v>66</v>
      </c>
      <c r="H18" t="s">
        <v>67</v>
      </c>
      <c r="S18">
        <v>0</v>
      </c>
      <c r="T18">
        <v>1</v>
      </c>
      <c r="U18">
        <v>0</v>
      </c>
      <c r="V18">
        <v>0</v>
      </c>
      <c r="W18">
        <v>1</v>
      </c>
      <c r="X18">
        <v>0</v>
      </c>
      <c r="Y18">
        <v>1</v>
      </c>
      <c r="Z18">
        <v>0</v>
      </c>
      <c r="AA18">
        <v>1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</row>
    <row r="19" spans="1:39" x14ac:dyDescent="0.2">
      <c r="A19" t="str">
        <f>"15"</f>
        <v>15</v>
      </c>
      <c r="B19" t="str">
        <f t="shared" si="0"/>
        <v>1</v>
      </c>
      <c r="C19" t="str">
        <f t="shared" si="0"/>
        <v>1</v>
      </c>
      <c r="D19" t="str">
        <f>"14"</f>
        <v>14</v>
      </c>
      <c r="E19" t="str">
        <f>"1-1-14"</f>
        <v>1-1-14</v>
      </c>
      <c r="F19" t="s">
        <v>65</v>
      </c>
      <c r="G19" t="s">
        <v>66</v>
      </c>
      <c r="H19" t="s">
        <v>67</v>
      </c>
      <c r="S19">
        <v>0</v>
      </c>
      <c r="T19">
        <v>1</v>
      </c>
      <c r="U19">
        <v>0</v>
      </c>
      <c r="V19">
        <v>0</v>
      </c>
      <c r="W19">
        <v>0</v>
      </c>
      <c r="X19">
        <v>1</v>
      </c>
      <c r="Y19">
        <v>0</v>
      </c>
      <c r="Z19">
        <v>1</v>
      </c>
      <c r="AA19">
        <v>0</v>
      </c>
      <c r="AB19">
        <v>0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0</v>
      </c>
      <c r="AI19">
        <v>1</v>
      </c>
      <c r="AJ19">
        <v>1</v>
      </c>
      <c r="AK19">
        <v>1</v>
      </c>
      <c r="AL19">
        <v>1</v>
      </c>
      <c r="AM19">
        <v>1</v>
      </c>
    </row>
    <row r="20" spans="1:39" x14ac:dyDescent="0.2">
      <c r="A20" t="str">
        <f>"16"</f>
        <v>16</v>
      </c>
      <c r="B20" t="str">
        <f t="shared" si="0"/>
        <v>1</v>
      </c>
      <c r="C20" t="str">
        <f t="shared" si="0"/>
        <v>1</v>
      </c>
      <c r="D20" t="str">
        <f>"42"</f>
        <v>42</v>
      </c>
      <c r="E20" t="str">
        <f>"1-1-42"</f>
        <v>1-1-42</v>
      </c>
      <c r="F20" t="s">
        <v>65</v>
      </c>
      <c r="G20" t="s">
        <v>66</v>
      </c>
      <c r="H20" t="s">
        <v>67</v>
      </c>
      <c r="S20">
        <v>0</v>
      </c>
      <c r="T20">
        <v>0</v>
      </c>
      <c r="U20">
        <v>0</v>
      </c>
      <c r="V20">
        <v>0</v>
      </c>
      <c r="W20">
        <v>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  <c r="AL20">
        <v>1</v>
      </c>
      <c r="AM20">
        <v>1</v>
      </c>
    </row>
    <row r="21" spans="1:39" x14ac:dyDescent="0.2">
      <c r="A21" t="str">
        <f>"17"</f>
        <v>17</v>
      </c>
      <c r="B21" t="str">
        <f t="shared" si="0"/>
        <v>1</v>
      </c>
      <c r="C21" t="str">
        <f t="shared" si="0"/>
        <v>1</v>
      </c>
      <c r="D21" t="str">
        <f>"41"</f>
        <v>41</v>
      </c>
      <c r="E21" t="str">
        <f>"1-1-41"</f>
        <v>1-1-41</v>
      </c>
      <c r="F21" t="s">
        <v>65</v>
      </c>
      <c r="G21" t="s">
        <v>66</v>
      </c>
      <c r="H21" t="s">
        <v>67</v>
      </c>
      <c r="S21">
        <v>0</v>
      </c>
      <c r="T21">
        <v>1</v>
      </c>
      <c r="U21">
        <v>0</v>
      </c>
      <c r="V21">
        <v>0</v>
      </c>
      <c r="W21">
        <v>1</v>
      </c>
      <c r="X21">
        <v>0</v>
      </c>
      <c r="Y21">
        <v>1</v>
      </c>
      <c r="Z21">
        <v>0</v>
      </c>
      <c r="AA21">
        <v>0</v>
      </c>
      <c r="AB21">
        <v>1</v>
      </c>
      <c r="AC21">
        <v>0</v>
      </c>
      <c r="AD21">
        <v>1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  <c r="AL21">
        <v>1</v>
      </c>
      <c r="AM21">
        <v>1</v>
      </c>
    </row>
    <row r="22" spans="1:39" x14ac:dyDescent="0.2">
      <c r="A22" t="str">
        <f>"18"</f>
        <v>18</v>
      </c>
      <c r="B22" t="str">
        <f t="shared" si="0"/>
        <v>1</v>
      </c>
      <c r="C22" t="str">
        <f t="shared" si="0"/>
        <v>1</v>
      </c>
      <c r="D22" t="str">
        <f>"30"</f>
        <v>30</v>
      </c>
      <c r="E22" t="str">
        <f>"1-1-30"</f>
        <v>1-1-30</v>
      </c>
      <c r="F22" t="s">
        <v>65</v>
      </c>
      <c r="G22" t="s">
        <v>66</v>
      </c>
      <c r="H22" t="s">
        <v>67</v>
      </c>
      <c r="S22">
        <v>1</v>
      </c>
      <c r="T22">
        <v>0</v>
      </c>
      <c r="U22">
        <v>0</v>
      </c>
      <c r="V22">
        <v>0</v>
      </c>
      <c r="W22">
        <v>1</v>
      </c>
      <c r="X22">
        <v>0</v>
      </c>
      <c r="Y22">
        <v>1</v>
      </c>
      <c r="Z22">
        <v>0</v>
      </c>
      <c r="AA22">
        <v>1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</row>
    <row r="23" spans="1:39" x14ac:dyDescent="0.2">
      <c r="A23" t="str">
        <f>"19"</f>
        <v>19</v>
      </c>
      <c r="B23" t="str">
        <f t="shared" si="0"/>
        <v>1</v>
      </c>
      <c r="C23" t="str">
        <f t="shared" si="0"/>
        <v>1</v>
      </c>
      <c r="D23" t="str">
        <f>"19"</f>
        <v>19</v>
      </c>
      <c r="E23" t="str">
        <f>"1-1-19"</f>
        <v>1-1-19</v>
      </c>
      <c r="F23" t="s">
        <v>65</v>
      </c>
      <c r="G23" t="s">
        <v>66</v>
      </c>
      <c r="H23" t="s">
        <v>67</v>
      </c>
      <c r="S23">
        <v>0</v>
      </c>
      <c r="T23">
        <v>1</v>
      </c>
      <c r="U23">
        <v>0</v>
      </c>
      <c r="V23">
        <v>0</v>
      </c>
      <c r="W23">
        <v>1</v>
      </c>
      <c r="X23">
        <v>0</v>
      </c>
      <c r="Y23">
        <v>0</v>
      </c>
      <c r="Z23">
        <v>1</v>
      </c>
      <c r="AA23">
        <v>0</v>
      </c>
      <c r="AB23">
        <v>1</v>
      </c>
      <c r="AC23">
        <v>0</v>
      </c>
      <c r="AD23">
        <v>1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1</v>
      </c>
      <c r="AK23">
        <v>1</v>
      </c>
      <c r="AL23">
        <v>1</v>
      </c>
      <c r="AM23">
        <v>1</v>
      </c>
    </row>
    <row r="24" spans="1:39" x14ac:dyDescent="0.2">
      <c r="A24" t="str">
        <f>"20"</f>
        <v>20</v>
      </c>
      <c r="B24" t="str">
        <f t="shared" si="0"/>
        <v>1</v>
      </c>
      <c r="C24" t="str">
        <f t="shared" si="0"/>
        <v>1</v>
      </c>
      <c r="D24" t="str">
        <f>"12"</f>
        <v>12</v>
      </c>
      <c r="E24" t="str">
        <f>"1-1-12"</f>
        <v>1-1-12</v>
      </c>
      <c r="F24" t="s">
        <v>65</v>
      </c>
      <c r="G24" t="s">
        <v>66</v>
      </c>
      <c r="H24" t="s">
        <v>67</v>
      </c>
      <c r="S24">
        <v>0</v>
      </c>
      <c r="T24">
        <v>1</v>
      </c>
      <c r="U24">
        <v>0</v>
      </c>
      <c r="V24">
        <v>0</v>
      </c>
      <c r="W24">
        <v>1</v>
      </c>
      <c r="X24">
        <v>0</v>
      </c>
      <c r="Y24">
        <v>0</v>
      </c>
      <c r="Z24">
        <v>1</v>
      </c>
      <c r="AA24">
        <v>1</v>
      </c>
      <c r="AB24">
        <v>0</v>
      </c>
      <c r="AC24">
        <v>0</v>
      </c>
      <c r="AD24">
        <v>1</v>
      </c>
      <c r="AE24">
        <v>1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1</v>
      </c>
    </row>
    <row r="25" spans="1:39" x14ac:dyDescent="0.2">
      <c r="A25" t="str">
        <f>"21"</f>
        <v>21</v>
      </c>
      <c r="B25" t="str">
        <f t="shared" si="0"/>
        <v>1</v>
      </c>
      <c r="C25" t="str">
        <f t="shared" si="0"/>
        <v>1</v>
      </c>
      <c r="D25" t="str">
        <f>"34"</f>
        <v>34</v>
      </c>
      <c r="E25" t="str">
        <f>"1-1-34"</f>
        <v>1-1-34</v>
      </c>
      <c r="F25" t="s">
        <v>65</v>
      </c>
      <c r="G25" t="s">
        <v>66</v>
      </c>
      <c r="H25" t="s">
        <v>67</v>
      </c>
      <c r="S25">
        <v>0</v>
      </c>
      <c r="T25">
        <v>1</v>
      </c>
      <c r="U25">
        <v>0</v>
      </c>
      <c r="V25">
        <v>0</v>
      </c>
      <c r="W25">
        <v>1</v>
      </c>
      <c r="X25">
        <v>0</v>
      </c>
      <c r="Y25">
        <v>1</v>
      </c>
      <c r="Z25">
        <v>0</v>
      </c>
      <c r="AA25">
        <v>0</v>
      </c>
      <c r="AB25">
        <v>1</v>
      </c>
      <c r="AC25">
        <v>0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</row>
    <row r="26" spans="1:39" x14ac:dyDescent="0.2">
      <c r="A26" t="str">
        <f>"22"</f>
        <v>22</v>
      </c>
      <c r="B26" t="str">
        <f t="shared" ref="B26:C45" si="1">"1"</f>
        <v>1</v>
      </c>
      <c r="C26" t="str">
        <f t="shared" si="1"/>
        <v>1</v>
      </c>
      <c r="D26" t="str">
        <f>"20"</f>
        <v>20</v>
      </c>
      <c r="E26" t="str">
        <f>"1-1-20"</f>
        <v>1-1-20</v>
      </c>
      <c r="F26" t="s">
        <v>65</v>
      </c>
      <c r="G26" t="s">
        <v>66</v>
      </c>
      <c r="H26" t="s">
        <v>67</v>
      </c>
      <c r="S26">
        <v>0</v>
      </c>
      <c r="T26">
        <v>1</v>
      </c>
      <c r="U26">
        <v>0</v>
      </c>
      <c r="V26">
        <v>0</v>
      </c>
      <c r="W26">
        <v>1</v>
      </c>
      <c r="X26">
        <v>0</v>
      </c>
      <c r="Y26">
        <v>0</v>
      </c>
      <c r="Z26">
        <v>1</v>
      </c>
      <c r="AA26">
        <v>0</v>
      </c>
      <c r="AB26">
        <v>1</v>
      </c>
      <c r="AC26">
        <v>0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1</v>
      </c>
      <c r="AK26">
        <v>1</v>
      </c>
      <c r="AL26">
        <v>1</v>
      </c>
      <c r="AM26">
        <v>1</v>
      </c>
    </row>
    <row r="27" spans="1:39" x14ac:dyDescent="0.2">
      <c r="A27" t="str">
        <f>"23"</f>
        <v>23</v>
      </c>
      <c r="B27" t="str">
        <f t="shared" si="1"/>
        <v>1</v>
      </c>
      <c r="C27" t="str">
        <f t="shared" si="1"/>
        <v>1</v>
      </c>
      <c r="D27" t="str">
        <f>"9"</f>
        <v>9</v>
      </c>
      <c r="E27" t="str">
        <f>"1-1-9"</f>
        <v>1-1-9</v>
      </c>
      <c r="F27" t="s">
        <v>65</v>
      </c>
      <c r="G27" t="s">
        <v>66</v>
      </c>
      <c r="H27" t="s">
        <v>67</v>
      </c>
      <c r="S27">
        <v>1</v>
      </c>
      <c r="T27">
        <v>0</v>
      </c>
      <c r="U27">
        <v>0</v>
      </c>
      <c r="V27">
        <v>0</v>
      </c>
      <c r="W27">
        <v>0</v>
      </c>
      <c r="X27">
        <v>1</v>
      </c>
      <c r="Y27">
        <v>0</v>
      </c>
      <c r="Z27">
        <v>1</v>
      </c>
      <c r="AA27">
        <v>0</v>
      </c>
      <c r="AB27">
        <v>0</v>
      </c>
      <c r="AC27">
        <v>1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1</v>
      </c>
      <c r="AJ27">
        <v>1</v>
      </c>
      <c r="AK27">
        <v>1</v>
      </c>
      <c r="AL27">
        <v>1</v>
      </c>
      <c r="AM27">
        <v>1</v>
      </c>
    </row>
    <row r="28" spans="1:39" x14ac:dyDescent="0.2">
      <c r="A28" t="str">
        <f>"24"</f>
        <v>24</v>
      </c>
      <c r="B28" t="str">
        <f t="shared" si="1"/>
        <v>1</v>
      </c>
      <c r="C28" t="str">
        <f t="shared" si="1"/>
        <v>1</v>
      </c>
      <c r="D28" t="str">
        <f>"35"</f>
        <v>35</v>
      </c>
      <c r="E28" t="str">
        <f>"1-1-35"</f>
        <v>1-1-35</v>
      </c>
      <c r="F28" t="s">
        <v>65</v>
      </c>
      <c r="G28" t="s">
        <v>66</v>
      </c>
      <c r="H28" t="s">
        <v>67</v>
      </c>
      <c r="S28">
        <v>1</v>
      </c>
      <c r="T28">
        <v>0</v>
      </c>
      <c r="U28">
        <v>0</v>
      </c>
      <c r="V28">
        <v>0</v>
      </c>
      <c r="W28">
        <v>1</v>
      </c>
      <c r="X28">
        <v>0</v>
      </c>
      <c r="Y28">
        <v>1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0</v>
      </c>
      <c r="AJ28">
        <v>1</v>
      </c>
      <c r="AK28">
        <v>1</v>
      </c>
      <c r="AL28">
        <v>1</v>
      </c>
      <c r="AM28">
        <v>1</v>
      </c>
    </row>
    <row r="29" spans="1:39" x14ac:dyDescent="0.2">
      <c r="A29" t="str">
        <f>"25"</f>
        <v>25</v>
      </c>
      <c r="B29" t="str">
        <f t="shared" si="1"/>
        <v>1</v>
      </c>
      <c r="C29" t="str">
        <f t="shared" si="1"/>
        <v>1</v>
      </c>
      <c r="D29" t="str">
        <f>"22"</f>
        <v>22</v>
      </c>
      <c r="E29" t="str">
        <f>"1-1-22"</f>
        <v>1-1-22</v>
      </c>
      <c r="F29" t="s">
        <v>65</v>
      </c>
      <c r="G29" t="s">
        <v>66</v>
      </c>
      <c r="H29" t="s">
        <v>67</v>
      </c>
      <c r="S29">
        <v>1</v>
      </c>
      <c r="T29">
        <v>0</v>
      </c>
      <c r="U29">
        <v>0</v>
      </c>
      <c r="V29">
        <v>0</v>
      </c>
      <c r="W29">
        <v>1</v>
      </c>
      <c r="X29">
        <v>0</v>
      </c>
      <c r="Y29">
        <v>1</v>
      </c>
      <c r="Z29">
        <v>0</v>
      </c>
      <c r="AA29">
        <v>0</v>
      </c>
      <c r="AB29">
        <v>1</v>
      </c>
      <c r="AC29">
        <v>0</v>
      </c>
      <c r="AD29">
        <v>1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1</v>
      </c>
      <c r="AK29">
        <v>1</v>
      </c>
      <c r="AL29">
        <v>1</v>
      </c>
      <c r="AM29">
        <v>1</v>
      </c>
    </row>
    <row r="30" spans="1:39" x14ac:dyDescent="0.2">
      <c r="A30" t="str">
        <f>"26"</f>
        <v>26</v>
      </c>
      <c r="B30" t="str">
        <f t="shared" si="1"/>
        <v>1</v>
      </c>
      <c r="C30" t="str">
        <f t="shared" si="1"/>
        <v>1</v>
      </c>
      <c r="D30" t="str">
        <f>"11"</f>
        <v>11</v>
      </c>
      <c r="E30" t="str">
        <f>"1-1-11"</f>
        <v>1-1-11</v>
      </c>
      <c r="F30" t="s">
        <v>65</v>
      </c>
      <c r="G30" t="s">
        <v>66</v>
      </c>
      <c r="H30" t="s">
        <v>67</v>
      </c>
      <c r="S30">
        <v>1</v>
      </c>
      <c r="T30">
        <v>0</v>
      </c>
      <c r="U30">
        <v>0</v>
      </c>
      <c r="V30">
        <v>0</v>
      </c>
      <c r="W30">
        <v>1</v>
      </c>
      <c r="X30">
        <v>0</v>
      </c>
      <c r="Y30">
        <v>0</v>
      </c>
      <c r="Z30">
        <v>1</v>
      </c>
      <c r="AA30">
        <v>0</v>
      </c>
      <c r="AB30">
        <v>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</row>
    <row r="31" spans="1:39" x14ac:dyDescent="0.2">
      <c r="A31" t="str">
        <f>"27"</f>
        <v>27</v>
      </c>
      <c r="B31" t="str">
        <f t="shared" si="1"/>
        <v>1</v>
      </c>
      <c r="C31" t="str">
        <f t="shared" si="1"/>
        <v>1</v>
      </c>
      <c r="D31" t="str">
        <f>"37"</f>
        <v>37</v>
      </c>
      <c r="E31" t="str">
        <f>"1-1-37"</f>
        <v>1-1-37</v>
      </c>
      <c r="F31" t="s">
        <v>65</v>
      </c>
      <c r="G31" t="s">
        <v>66</v>
      </c>
      <c r="H31" t="s">
        <v>67</v>
      </c>
      <c r="S31">
        <v>0</v>
      </c>
      <c r="T31">
        <v>1</v>
      </c>
      <c r="U31">
        <v>0</v>
      </c>
      <c r="V31">
        <v>0</v>
      </c>
      <c r="W31">
        <v>1</v>
      </c>
      <c r="X31">
        <v>0</v>
      </c>
      <c r="Y31">
        <v>1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</row>
    <row r="32" spans="1:39" x14ac:dyDescent="0.2">
      <c r="A32" t="str">
        <f>"28"</f>
        <v>28</v>
      </c>
      <c r="B32" t="str">
        <f t="shared" si="1"/>
        <v>1</v>
      </c>
      <c r="C32" t="str">
        <f t="shared" si="1"/>
        <v>1</v>
      </c>
      <c r="D32" t="str">
        <f>"23"</f>
        <v>23</v>
      </c>
      <c r="E32" t="str">
        <f>"1-1-23"</f>
        <v>1-1-23</v>
      </c>
      <c r="F32" t="s">
        <v>65</v>
      </c>
      <c r="G32" t="s">
        <v>66</v>
      </c>
      <c r="H32" t="s">
        <v>67</v>
      </c>
      <c r="S32">
        <v>1</v>
      </c>
      <c r="T32">
        <v>0</v>
      </c>
      <c r="U32">
        <v>0</v>
      </c>
      <c r="V32">
        <v>0</v>
      </c>
      <c r="W32">
        <v>1</v>
      </c>
      <c r="X32">
        <v>0</v>
      </c>
      <c r="Y32">
        <v>1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1</v>
      </c>
      <c r="AM32">
        <v>1</v>
      </c>
    </row>
    <row r="33" spans="1:39" x14ac:dyDescent="0.2">
      <c r="A33" t="str">
        <f>"29"</f>
        <v>29</v>
      </c>
      <c r="B33" t="str">
        <f t="shared" si="1"/>
        <v>1</v>
      </c>
      <c r="C33" t="str">
        <f t="shared" si="1"/>
        <v>1</v>
      </c>
      <c r="D33" t="str">
        <f>"13"</f>
        <v>13</v>
      </c>
      <c r="E33" t="str">
        <f>"1-1-13"</f>
        <v>1-1-13</v>
      </c>
      <c r="F33" t="s">
        <v>65</v>
      </c>
      <c r="G33" t="s">
        <v>66</v>
      </c>
      <c r="H33" t="s">
        <v>67</v>
      </c>
      <c r="S33">
        <v>0</v>
      </c>
      <c r="T33">
        <v>1</v>
      </c>
      <c r="U33">
        <v>0</v>
      </c>
      <c r="V33">
        <v>0</v>
      </c>
      <c r="W33">
        <v>0</v>
      </c>
      <c r="X33">
        <v>1</v>
      </c>
      <c r="Y33">
        <v>1</v>
      </c>
      <c r="Z33">
        <v>0</v>
      </c>
      <c r="AA33">
        <v>0</v>
      </c>
      <c r="AB33">
        <v>1</v>
      </c>
      <c r="AC33">
        <v>0</v>
      </c>
      <c r="AD33">
        <v>1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1</v>
      </c>
      <c r="AK33">
        <v>1</v>
      </c>
      <c r="AL33">
        <v>1</v>
      </c>
      <c r="AM33">
        <v>1</v>
      </c>
    </row>
    <row r="34" spans="1:39" x14ac:dyDescent="0.2">
      <c r="A34" t="str">
        <f>"30"</f>
        <v>30</v>
      </c>
      <c r="B34" t="str">
        <f t="shared" si="1"/>
        <v>1</v>
      </c>
      <c r="C34" t="str">
        <f t="shared" si="1"/>
        <v>1</v>
      </c>
      <c r="D34" t="str">
        <f>"40"</f>
        <v>40</v>
      </c>
      <c r="E34" t="str">
        <f>"1-1-40"</f>
        <v>1-1-40</v>
      </c>
      <c r="F34" t="s">
        <v>65</v>
      </c>
      <c r="G34" t="s">
        <v>66</v>
      </c>
      <c r="H34" t="s">
        <v>67</v>
      </c>
      <c r="S34">
        <v>1</v>
      </c>
      <c r="T34">
        <v>0</v>
      </c>
      <c r="U34">
        <v>0</v>
      </c>
      <c r="V34">
        <v>0</v>
      </c>
      <c r="W34">
        <v>1</v>
      </c>
      <c r="X34">
        <v>0</v>
      </c>
      <c r="Y34">
        <v>1</v>
      </c>
      <c r="Z34">
        <v>0</v>
      </c>
      <c r="AA34">
        <v>0</v>
      </c>
      <c r="AB34">
        <v>0</v>
      </c>
      <c r="AC34">
        <v>1</v>
      </c>
      <c r="AD34">
        <v>1</v>
      </c>
      <c r="AE34">
        <v>1</v>
      </c>
      <c r="AF34">
        <v>1</v>
      </c>
      <c r="AG34">
        <v>1</v>
      </c>
      <c r="AH34">
        <v>1</v>
      </c>
      <c r="AI34">
        <v>1</v>
      </c>
      <c r="AJ34">
        <v>1</v>
      </c>
      <c r="AK34">
        <v>1</v>
      </c>
      <c r="AL34">
        <v>1</v>
      </c>
      <c r="AM34">
        <v>1</v>
      </c>
    </row>
    <row r="35" spans="1:39" x14ac:dyDescent="0.2">
      <c r="A35" t="str">
        <f>"31"</f>
        <v>31</v>
      </c>
      <c r="B35" t="str">
        <f t="shared" si="1"/>
        <v>1</v>
      </c>
      <c r="C35" t="str">
        <f t="shared" si="1"/>
        <v>1</v>
      </c>
      <c r="D35" t="str">
        <f>"25"</f>
        <v>25</v>
      </c>
      <c r="E35" t="str">
        <f>"1-1-25"</f>
        <v>1-1-25</v>
      </c>
      <c r="F35" t="s">
        <v>65</v>
      </c>
      <c r="G35" t="s">
        <v>66</v>
      </c>
      <c r="H35" t="s">
        <v>67</v>
      </c>
      <c r="S35">
        <v>1</v>
      </c>
      <c r="T35">
        <v>0</v>
      </c>
      <c r="U35">
        <v>0</v>
      </c>
      <c r="V35">
        <v>0</v>
      </c>
      <c r="W35">
        <v>0</v>
      </c>
      <c r="X35">
        <v>1</v>
      </c>
      <c r="Y35">
        <v>1</v>
      </c>
      <c r="Z35">
        <v>0</v>
      </c>
      <c r="AA35">
        <v>0</v>
      </c>
      <c r="AB35">
        <v>1</v>
      </c>
      <c r="AC35">
        <v>0</v>
      </c>
      <c r="AD35">
        <v>1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  <c r="AL35">
        <v>1</v>
      </c>
      <c r="AM35">
        <v>1</v>
      </c>
    </row>
    <row r="36" spans="1:39" x14ac:dyDescent="0.2">
      <c r="A36" t="str">
        <f>"32"</f>
        <v>32</v>
      </c>
      <c r="B36" t="str">
        <f t="shared" si="1"/>
        <v>1</v>
      </c>
      <c r="C36" t="str">
        <f t="shared" si="1"/>
        <v>1</v>
      </c>
      <c r="D36" t="str">
        <f>"8"</f>
        <v>8</v>
      </c>
      <c r="E36" t="str">
        <f>"1-1-8"</f>
        <v>1-1-8</v>
      </c>
      <c r="F36" t="s">
        <v>65</v>
      </c>
      <c r="G36" t="s">
        <v>66</v>
      </c>
      <c r="H36" t="s">
        <v>67</v>
      </c>
      <c r="S36">
        <v>1</v>
      </c>
      <c r="T36">
        <v>0</v>
      </c>
      <c r="U36">
        <v>0</v>
      </c>
      <c r="V36">
        <v>0</v>
      </c>
      <c r="W36">
        <v>0</v>
      </c>
      <c r="X36">
        <v>1</v>
      </c>
      <c r="Y36">
        <v>0</v>
      </c>
      <c r="Z36">
        <v>1</v>
      </c>
      <c r="AA36">
        <v>0</v>
      </c>
      <c r="AB36">
        <v>0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1</v>
      </c>
      <c r="AK36">
        <v>1</v>
      </c>
      <c r="AL36">
        <v>1</v>
      </c>
      <c r="AM36">
        <v>1</v>
      </c>
    </row>
    <row r="37" spans="1:39" x14ac:dyDescent="0.2">
      <c r="A37" t="str">
        <f>"33"</f>
        <v>33</v>
      </c>
      <c r="B37" t="str">
        <f t="shared" si="1"/>
        <v>1</v>
      </c>
      <c r="C37" t="str">
        <f t="shared" si="1"/>
        <v>1</v>
      </c>
      <c r="D37" t="str">
        <f>"46"</f>
        <v>46</v>
      </c>
      <c r="E37" t="str">
        <f>"1-1-46"</f>
        <v>1-1-46</v>
      </c>
      <c r="F37" t="s">
        <v>65</v>
      </c>
      <c r="G37" t="s">
        <v>66</v>
      </c>
      <c r="H37" t="s">
        <v>67</v>
      </c>
      <c r="S37">
        <v>0</v>
      </c>
      <c r="T37">
        <v>0</v>
      </c>
      <c r="U37">
        <v>0</v>
      </c>
      <c r="V37">
        <v>0</v>
      </c>
      <c r="W37">
        <v>1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</row>
    <row r="38" spans="1:39" x14ac:dyDescent="0.2">
      <c r="A38" t="str">
        <f>"34"</f>
        <v>34</v>
      </c>
      <c r="B38" t="str">
        <f t="shared" si="1"/>
        <v>1</v>
      </c>
      <c r="C38" t="str">
        <f t="shared" si="1"/>
        <v>1</v>
      </c>
      <c r="D38" t="str">
        <f>"27"</f>
        <v>27</v>
      </c>
      <c r="E38" t="str">
        <f>"1-1-27"</f>
        <v>1-1-27</v>
      </c>
      <c r="F38" t="s">
        <v>65</v>
      </c>
      <c r="G38" t="s">
        <v>66</v>
      </c>
      <c r="H38" t="s">
        <v>67</v>
      </c>
      <c r="S38">
        <v>1</v>
      </c>
      <c r="T38">
        <v>0</v>
      </c>
      <c r="U38">
        <v>0</v>
      </c>
      <c r="V38">
        <v>0</v>
      </c>
      <c r="W38">
        <v>1</v>
      </c>
      <c r="X38">
        <v>0</v>
      </c>
      <c r="Y38">
        <v>1</v>
      </c>
      <c r="Z38">
        <v>0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</row>
    <row r="39" spans="1:39" x14ac:dyDescent="0.2">
      <c r="A39" t="str">
        <f>"35"</f>
        <v>35</v>
      </c>
      <c r="B39" t="str">
        <f t="shared" si="1"/>
        <v>1</v>
      </c>
      <c r="C39" t="str">
        <f t="shared" si="1"/>
        <v>1</v>
      </c>
      <c r="D39" t="str">
        <f>"1"</f>
        <v>1</v>
      </c>
      <c r="E39" t="str">
        <f>"1-1-1"</f>
        <v>1-1-1</v>
      </c>
      <c r="F39" t="s">
        <v>65</v>
      </c>
      <c r="G39" t="s">
        <v>66</v>
      </c>
      <c r="H39" t="s">
        <v>67</v>
      </c>
      <c r="S39">
        <v>0</v>
      </c>
      <c r="T39">
        <v>1</v>
      </c>
      <c r="U39">
        <v>0</v>
      </c>
      <c r="V39">
        <v>0</v>
      </c>
      <c r="W39">
        <v>0</v>
      </c>
      <c r="X39">
        <v>1</v>
      </c>
      <c r="Y39">
        <v>0</v>
      </c>
      <c r="Z39">
        <v>1</v>
      </c>
      <c r="AA39">
        <v>0</v>
      </c>
      <c r="AB39">
        <v>0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1</v>
      </c>
      <c r="AI39">
        <v>1</v>
      </c>
      <c r="AJ39">
        <v>1</v>
      </c>
      <c r="AK39">
        <v>1</v>
      </c>
      <c r="AL39">
        <v>1</v>
      </c>
      <c r="AM39">
        <v>1</v>
      </c>
    </row>
    <row r="40" spans="1:39" x14ac:dyDescent="0.2">
      <c r="A40" t="str">
        <f>"36"</f>
        <v>36</v>
      </c>
      <c r="B40" t="str">
        <f t="shared" si="1"/>
        <v>1</v>
      </c>
      <c r="C40" t="str">
        <f t="shared" si="1"/>
        <v>1</v>
      </c>
      <c r="D40" t="str">
        <f>"45"</f>
        <v>45</v>
      </c>
      <c r="E40" t="str">
        <f>"1-1-45"</f>
        <v>1-1-45</v>
      </c>
      <c r="F40" t="s">
        <v>65</v>
      </c>
      <c r="G40" t="s">
        <v>66</v>
      </c>
      <c r="H40" t="s">
        <v>67</v>
      </c>
      <c r="S40">
        <v>0</v>
      </c>
      <c r="T40">
        <v>0</v>
      </c>
      <c r="U40">
        <v>0</v>
      </c>
      <c r="V40">
        <v>0</v>
      </c>
      <c r="W40">
        <v>1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</row>
    <row r="41" spans="1:39" x14ac:dyDescent="0.2">
      <c r="A41" t="str">
        <f>"37"</f>
        <v>37</v>
      </c>
      <c r="B41" t="str">
        <f t="shared" si="1"/>
        <v>1</v>
      </c>
      <c r="C41" t="str">
        <f t="shared" si="1"/>
        <v>1</v>
      </c>
      <c r="D41" t="str">
        <f>"28"</f>
        <v>28</v>
      </c>
      <c r="E41" t="str">
        <f>"1-1-28"</f>
        <v>1-1-28</v>
      </c>
      <c r="F41" t="s">
        <v>65</v>
      </c>
      <c r="G41" t="s">
        <v>66</v>
      </c>
      <c r="H41" t="s">
        <v>67</v>
      </c>
      <c r="S41">
        <v>0</v>
      </c>
      <c r="T41">
        <v>0</v>
      </c>
      <c r="U41">
        <v>0</v>
      </c>
      <c r="V41">
        <v>0</v>
      </c>
      <c r="W41">
        <v>0</v>
      </c>
      <c r="X41">
        <v>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</row>
    <row r="42" spans="1:39" x14ac:dyDescent="0.2">
      <c r="A42" t="str">
        <f>"38"</f>
        <v>38</v>
      </c>
      <c r="B42" t="str">
        <f t="shared" si="1"/>
        <v>1</v>
      </c>
      <c r="C42" t="str">
        <f t="shared" si="1"/>
        <v>1</v>
      </c>
      <c r="D42" t="str">
        <f>"33"</f>
        <v>33</v>
      </c>
      <c r="E42" t="str">
        <f>"1-1-33"</f>
        <v>1-1-33</v>
      </c>
      <c r="F42" t="s">
        <v>65</v>
      </c>
      <c r="G42" t="s">
        <v>66</v>
      </c>
      <c r="H42" t="s">
        <v>67</v>
      </c>
      <c r="S42">
        <v>1</v>
      </c>
      <c r="T42">
        <v>0</v>
      </c>
      <c r="U42">
        <v>0</v>
      </c>
      <c r="V42">
        <v>0</v>
      </c>
      <c r="W42">
        <v>1</v>
      </c>
      <c r="X42">
        <v>0</v>
      </c>
      <c r="Y42">
        <v>1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1</v>
      </c>
      <c r="AK42">
        <v>1</v>
      </c>
      <c r="AL42">
        <v>1</v>
      </c>
      <c r="AM42">
        <v>1</v>
      </c>
    </row>
    <row r="43" spans="1:39" x14ac:dyDescent="0.2">
      <c r="A43" t="str">
        <f>"39"</f>
        <v>39</v>
      </c>
      <c r="B43" t="str">
        <f t="shared" si="1"/>
        <v>1</v>
      </c>
      <c r="C43" t="str">
        <f t="shared" si="1"/>
        <v>1</v>
      </c>
      <c r="D43" t="str">
        <f>"17"</f>
        <v>17</v>
      </c>
      <c r="E43" t="str">
        <f>"1-1-17"</f>
        <v>1-1-17</v>
      </c>
      <c r="F43" t="s">
        <v>65</v>
      </c>
      <c r="G43" t="s">
        <v>66</v>
      </c>
      <c r="H43" t="s">
        <v>67</v>
      </c>
      <c r="S43">
        <v>0</v>
      </c>
      <c r="T43">
        <v>1</v>
      </c>
      <c r="U43">
        <v>0</v>
      </c>
      <c r="V43">
        <v>0</v>
      </c>
      <c r="W43">
        <v>1</v>
      </c>
      <c r="X43">
        <v>0</v>
      </c>
      <c r="Y43">
        <v>1</v>
      </c>
      <c r="Z43">
        <v>0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</row>
    <row r="44" spans="1:39" x14ac:dyDescent="0.2">
      <c r="A44" t="str">
        <f>"40"</f>
        <v>40</v>
      </c>
      <c r="B44" t="str">
        <f t="shared" si="1"/>
        <v>1</v>
      </c>
      <c r="C44" t="str">
        <f t="shared" si="1"/>
        <v>1</v>
      </c>
      <c r="D44" t="str">
        <f>"36"</f>
        <v>36</v>
      </c>
      <c r="E44" t="str">
        <f>"1-1-36"</f>
        <v>1-1-36</v>
      </c>
      <c r="F44" t="s">
        <v>65</v>
      </c>
      <c r="G44" t="s">
        <v>66</v>
      </c>
      <c r="H44" t="s">
        <v>67</v>
      </c>
      <c r="S44">
        <v>1</v>
      </c>
      <c r="T44">
        <v>0</v>
      </c>
      <c r="U44">
        <v>0</v>
      </c>
      <c r="V44">
        <v>0</v>
      </c>
      <c r="W44">
        <v>1</v>
      </c>
      <c r="X44">
        <v>0</v>
      </c>
      <c r="Y44">
        <v>1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1</v>
      </c>
      <c r="AL44">
        <v>1</v>
      </c>
      <c r="AM44">
        <v>1</v>
      </c>
    </row>
    <row r="45" spans="1:39" x14ac:dyDescent="0.2">
      <c r="A45" t="str">
        <f>"41"</f>
        <v>41</v>
      </c>
      <c r="B45" t="str">
        <f t="shared" si="1"/>
        <v>1</v>
      </c>
      <c r="C45" t="str">
        <f t="shared" si="1"/>
        <v>1</v>
      </c>
      <c r="D45" t="str">
        <f>"21"</f>
        <v>21</v>
      </c>
      <c r="E45" t="str">
        <f>"1-1-21"</f>
        <v>1-1-21</v>
      </c>
      <c r="F45" t="s">
        <v>65</v>
      </c>
      <c r="G45" t="s">
        <v>66</v>
      </c>
      <c r="H45" t="s">
        <v>67</v>
      </c>
      <c r="S45">
        <v>1</v>
      </c>
      <c r="T45">
        <v>0</v>
      </c>
      <c r="U45">
        <v>0</v>
      </c>
      <c r="V45">
        <v>0</v>
      </c>
      <c r="W45">
        <v>1</v>
      </c>
      <c r="X45">
        <v>0</v>
      </c>
      <c r="Y45">
        <v>1</v>
      </c>
      <c r="Z45">
        <v>0</v>
      </c>
      <c r="AA45">
        <v>0</v>
      </c>
      <c r="AB45">
        <v>1</v>
      </c>
      <c r="AC45">
        <v>0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1</v>
      </c>
      <c r="AM45">
        <v>1</v>
      </c>
    </row>
    <row r="46" spans="1:39" x14ac:dyDescent="0.2">
      <c r="A46" t="str">
        <f>"42"</f>
        <v>42</v>
      </c>
      <c r="B46" t="str">
        <f t="shared" ref="B46:C54" si="2">"1"</f>
        <v>1</v>
      </c>
      <c r="C46" t="str">
        <f t="shared" si="2"/>
        <v>1</v>
      </c>
      <c r="D46" t="str">
        <f>"43"</f>
        <v>43</v>
      </c>
      <c r="E46" t="str">
        <f>"1-1-43"</f>
        <v>1-1-43</v>
      </c>
      <c r="F46" t="s">
        <v>65</v>
      </c>
      <c r="G46" t="s">
        <v>66</v>
      </c>
      <c r="H46" t="s">
        <v>67</v>
      </c>
      <c r="S46">
        <v>0</v>
      </c>
      <c r="T46">
        <v>0</v>
      </c>
      <c r="U46">
        <v>0</v>
      </c>
      <c r="V46">
        <v>0</v>
      </c>
      <c r="W46">
        <v>1</v>
      </c>
      <c r="X46">
        <v>0</v>
      </c>
      <c r="Y46">
        <v>0</v>
      </c>
      <c r="Z46">
        <v>1</v>
      </c>
      <c r="AA46">
        <v>1</v>
      </c>
      <c r="AB46">
        <v>0</v>
      </c>
      <c r="AC46">
        <v>0</v>
      </c>
      <c r="AD46">
        <v>1</v>
      </c>
      <c r="AE46">
        <v>1</v>
      </c>
      <c r="AF46">
        <v>1</v>
      </c>
      <c r="AG46">
        <v>1</v>
      </c>
      <c r="AH46">
        <v>1</v>
      </c>
      <c r="AI46">
        <v>1</v>
      </c>
      <c r="AJ46">
        <v>1</v>
      </c>
      <c r="AK46">
        <v>0</v>
      </c>
      <c r="AL46">
        <v>1</v>
      </c>
      <c r="AM46">
        <v>1</v>
      </c>
    </row>
    <row r="47" spans="1:39" x14ac:dyDescent="0.2">
      <c r="A47" t="str">
        <f>"43"</f>
        <v>43</v>
      </c>
      <c r="B47" t="str">
        <f t="shared" si="2"/>
        <v>1</v>
      </c>
      <c r="C47" t="str">
        <f t="shared" si="2"/>
        <v>1</v>
      </c>
      <c r="D47" t="str">
        <f>"26"</f>
        <v>26</v>
      </c>
      <c r="E47" t="str">
        <f>"1-1-26"</f>
        <v>1-1-26</v>
      </c>
      <c r="F47" t="s">
        <v>65</v>
      </c>
      <c r="G47" t="s">
        <v>66</v>
      </c>
      <c r="H47" t="s">
        <v>67</v>
      </c>
      <c r="S47">
        <v>1</v>
      </c>
      <c r="T47">
        <v>0</v>
      </c>
      <c r="U47">
        <v>0</v>
      </c>
      <c r="V47">
        <v>0</v>
      </c>
      <c r="W47">
        <v>1</v>
      </c>
      <c r="X47">
        <v>0</v>
      </c>
      <c r="Y47">
        <v>0</v>
      </c>
      <c r="Z47">
        <v>1</v>
      </c>
      <c r="AA47">
        <v>0</v>
      </c>
      <c r="AB47">
        <v>1</v>
      </c>
      <c r="AC47">
        <v>0</v>
      </c>
      <c r="AD47">
        <v>1</v>
      </c>
      <c r="AE47">
        <v>1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1</v>
      </c>
      <c r="AL47">
        <v>1</v>
      </c>
      <c r="AM47">
        <v>1</v>
      </c>
    </row>
    <row r="48" spans="1:39" x14ac:dyDescent="0.2">
      <c r="A48" t="str">
        <f>"44"</f>
        <v>44</v>
      </c>
      <c r="B48" t="str">
        <f t="shared" si="2"/>
        <v>1</v>
      </c>
      <c r="C48" t="str">
        <f t="shared" si="2"/>
        <v>1</v>
      </c>
      <c r="D48" t="str">
        <f>"44"</f>
        <v>44</v>
      </c>
      <c r="E48" t="str">
        <f>"1-1-44"</f>
        <v>1-1-44</v>
      </c>
      <c r="F48" t="s">
        <v>65</v>
      </c>
      <c r="G48" t="s">
        <v>66</v>
      </c>
      <c r="H48" t="s">
        <v>67</v>
      </c>
      <c r="S48">
        <v>0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1</v>
      </c>
      <c r="AA48">
        <v>1</v>
      </c>
      <c r="AB48">
        <v>0</v>
      </c>
      <c r="AC48">
        <v>0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1</v>
      </c>
      <c r="AL48">
        <v>1</v>
      </c>
      <c r="AM48">
        <v>1</v>
      </c>
    </row>
    <row r="49" spans="1:39" x14ac:dyDescent="0.2">
      <c r="A49" t="str">
        <f>"45"</f>
        <v>45</v>
      </c>
      <c r="B49" t="str">
        <f t="shared" si="2"/>
        <v>1</v>
      </c>
      <c r="C49" t="str">
        <f t="shared" si="2"/>
        <v>1</v>
      </c>
      <c r="D49" t="str">
        <f>"24"</f>
        <v>24</v>
      </c>
      <c r="E49" t="str">
        <f>"1-1-24"</f>
        <v>1-1-24</v>
      </c>
      <c r="F49" t="s">
        <v>65</v>
      </c>
      <c r="G49" t="s">
        <v>66</v>
      </c>
      <c r="H49" t="s">
        <v>67</v>
      </c>
      <c r="S49">
        <v>0</v>
      </c>
      <c r="T49">
        <v>1</v>
      </c>
      <c r="U49">
        <v>0</v>
      </c>
      <c r="V49">
        <v>0</v>
      </c>
      <c r="W49">
        <v>1</v>
      </c>
      <c r="X49">
        <v>0</v>
      </c>
      <c r="Y49">
        <v>0</v>
      </c>
      <c r="Z49">
        <v>1</v>
      </c>
      <c r="AA49">
        <v>0</v>
      </c>
      <c r="AB49">
        <v>0</v>
      </c>
      <c r="AC49">
        <v>1</v>
      </c>
      <c r="AD49">
        <v>0</v>
      </c>
      <c r="AE49">
        <v>0</v>
      </c>
      <c r="AF49">
        <v>0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</row>
    <row r="50" spans="1:39" x14ac:dyDescent="0.2">
      <c r="A50" t="str">
        <f>"46"</f>
        <v>46</v>
      </c>
      <c r="B50" t="str">
        <f t="shared" si="2"/>
        <v>1</v>
      </c>
      <c r="C50" t="str">
        <f t="shared" si="2"/>
        <v>1</v>
      </c>
      <c r="D50" t="str">
        <f>"3"</f>
        <v>3</v>
      </c>
      <c r="E50" t="str">
        <f>"1-1-3"</f>
        <v>1-1-3</v>
      </c>
      <c r="F50" t="s">
        <v>65</v>
      </c>
      <c r="G50" t="s">
        <v>66</v>
      </c>
      <c r="H50" t="s">
        <v>67</v>
      </c>
      <c r="S50">
        <v>1</v>
      </c>
      <c r="T50">
        <v>0</v>
      </c>
      <c r="U50">
        <v>0</v>
      </c>
      <c r="V50">
        <v>0</v>
      </c>
      <c r="W50">
        <v>1</v>
      </c>
      <c r="X50">
        <v>0</v>
      </c>
      <c r="Y50">
        <v>0</v>
      </c>
      <c r="Z50">
        <v>1</v>
      </c>
      <c r="AA50">
        <v>0</v>
      </c>
      <c r="AB50">
        <v>0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1</v>
      </c>
      <c r="AK50">
        <v>1</v>
      </c>
      <c r="AL50">
        <v>1</v>
      </c>
      <c r="AM50">
        <v>1</v>
      </c>
    </row>
    <row r="51" spans="1:39" x14ac:dyDescent="0.2">
      <c r="A51" t="str">
        <f>"47"</f>
        <v>47</v>
      </c>
      <c r="B51" t="str">
        <f t="shared" si="2"/>
        <v>1</v>
      </c>
      <c r="C51" t="str">
        <f t="shared" si="2"/>
        <v>1</v>
      </c>
      <c r="D51" t="str">
        <f>"6"</f>
        <v>6</v>
      </c>
      <c r="E51" t="str">
        <f>"1-1-6"</f>
        <v>1-1-6</v>
      </c>
      <c r="F51" t="s">
        <v>65</v>
      </c>
      <c r="G51" t="s">
        <v>66</v>
      </c>
      <c r="H51" t="s">
        <v>67</v>
      </c>
      <c r="S51">
        <v>1</v>
      </c>
      <c r="T51">
        <v>0</v>
      </c>
      <c r="U51">
        <v>0</v>
      </c>
      <c r="V51">
        <v>0</v>
      </c>
      <c r="W51">
        <v>1</v>
      </c>
      <c r="X51">
        <v>0</v>
      </c>
      <c r="Y51">
        <v>1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1</v>
      </c>
      <c r="AJ51">
        <v>1</v>
      </c>
      <c r="AK51">
        <v>1</v>
      </c>
      <c r="AL51">
        <v>1</v>
      </c>
      <c r="AM51">
        <v>1</v>
      </c>
    </row>
    <row r="52" spans="1:39" x14ac:dyDescent="0.2">
      <c r="A52" t="str">
        <f>"48"</f>
        <v>48</v>
      </c>
      <c r="B52" t="str">
        <f t="shared" si="2"/>
        <v>1</v>
      </c>
      <c r="C52" t="str">
        <f t="shared" si="2"/>
        <v>1</v>
      </c>
      <c r="D52" t="str">
        <f>"5"</f>
        <v>5</v>
      </c>
      <c r="E52" t="str">
        <f>"1-1-5"</f>
        <v>1-1-5</v>
      </c>
      <c r="F52" t="s">
        <v>65</v>
      </c>
      <c r="G52" t="s">
        <v>66</v>
      </c>
      <c r="H52" t="s">
        <v>67</v>
      </c>
      <c r="S52">
        <v>0</v>
      </c>
      <c r="T52">
        <v>1</v>
      </c>
      <c r="U52">
        <v>0</v>
      </c>
      <c r="V52">
        <v>0</v>
      </c>
      <c r="W52">
        <v>0</v>
      </c>
      <c r="X52">
        <v>1</v>
      </c>
      <c r="Y52">
        <v>1</v>
      </c>
      <c r="Z52">
        <v>0</v>
      </c>
      <c r="AA52">
        <v>0</v>
      </c>
      <c r="AB52">
        <v>0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1</v>
      </c>
    </row>
    <row r="53" spans="1:39" x14ac:dyDescent="0.2">
      <c r="A53" t="str">
        <f>"49"</f>
        <v>49</v>
      </c>
      <c r="B53" t="str">
        <f t="shared" si="2"/>
        <v>1</v>
      </c>
      <c r="C53" t="str">
        <f t="shared" si="2"/>
        <v>1</v>
      </c>
      <c r="D53" t="str">
        <f>"4"</f>
        <v>4</v>
      </c>
      <c r="E53" t="str">
        <f>"1-1-4"</f>
        <v>1-1-4</v>
      </c>
      <c r="F53" t="s">
        <v>65</v>
      </c>
      <c r="G53" t="s">
        <v>66</v>
      </c>
      <c r="H53" t="s">
        <v>67</v>
      </c>
      <c r="S53">
        <v>1</v>
      </c>
      <c r="T53">
        <v>0</v>
      </c>
      <c r="U53">
        <v>0</v>
      </c>
      <c r="V53">
        <v>0</v>
      </c>
      <c r="W53">
        <v>1</v>
      </c>
      <c r="X53">
        <v>0</v>
      </c>
      <c r="Y53">
        <v>1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1</v>
      </c>
    </row>
    <row r="54" spans="1:39" x14ac:dyDescent="0.2">
      <c r="A54" t="str">
        <f>"50"</f>
        <v>50</v>
      </c>
      <c r="B54" t="str">
        <f t="shared" si="2"/>
        <v>1</v>
      </c>
      <c r="C54" t="str">
        <f t="shared" si="2"/>
        <v>1</v>
      </c>
      <c r="D54" t="str">
        <f>"2"</f>
        <v>2</v>
      </c>
      <c r="E54" t="str">
        <f>"1-1-2"</f>
        <v>1-1-2</v>
      </c>
      <c r="F54" t="s">
        <v>65</v>
      </c>
      <c r="G54" t="s">
        <v>66</v>
      </c>
      <c r="H54" t="s">
        <v>67</v>
      </c>
      <c r="S54">
        <v>1</v>
      </c>
      <c r="T54">
        <v>0</v>
      </c>
      <c r="U54">
        <v>0</v>
      </c>
      <c r="V54">
        <v>0</v>
      </c>
      <c r="W54">
        <v>1</v>
      </c>
      <c r="X54">
        <v>0</v>
      </c>
      <c r="Y54">
        <v>0</v>
      </c>
      <c r="Z54">
        <v>1</v>
      </c>
      <c r="AA54">
        <v>0</v>
      </c>
      <c r="AB54">
        <v>0</v>
      </c>
      <c r="AC54">
        <v>1</v>
      </c>
      <c r="AD54">
        <v>1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  <c r="AL54">
        <v>1</v>
      </c>
      <c r="AM54">
        <v>1</v>
      </c>
    </row>
    <row r="55" spans="1:39" x14ac:dyDescent="0.2">
      <c r="A55" t="str">
        <f>"51"</f>
        <v>51</v>
      </c>
      <c r="B55" t="str">
        <f t="shared" ref="B55:B118" si="3">"1"</f>
        <v>1</v>
      </c>
      <c r="C55" t="str">
        <f t="shared" ref="C55:C86" si="4">"2"</f>
        <v>2</v>
      </c>
      <c r="D55" t="str">
        <f>"40"</f>
        <v>40</v>
      </c>
      <c r="E55" t="str">
        <f>"1-2-40"</f>
        <v>1-2-40</v>
      </c>
      <c r="F55" t="s">
        <v>65</v>
      </c>
      <c r="G55" t="s">
        <v>66</v>
      </c>
      <c r="H55" t="s">
        <v>67</v>
      </c>
      <c r="S55">
        <v>0</v>
      </c>
      <c r="T55">
        <v>1</v>
      </c>
      <c r="U55">
        <v>0</v>
      </c>
      <c r="V55">
        <v>0</v>
      </c>
      <c r="W55">
        <v>1</v>
      </c>
      <c r="X55">
        <v>0</v>
      </c>
      <c r="Y55">
        <v>0</v>
      </c>
      <c r="Z55">
        <v>1</v>
      </c>
      <c r="AA55">
        <v>0</v>
      </c>
      <c r="AB55">
        <v>1</v>
      </c>
      <c r="AC55">
        <v>0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0</v>
      </c>
      <c r="AK55">
        <v>1</v>
      </c>
      <c r="AL55">
        <v>1</v>
      </c>
      <c r="AM55">
        <v>1</v>
      </c>
    </row>
    <row r="56" spans="1:39" x14ac:dyDescent="0.2">
      <c r="A56" t="str">
        <f>"52"</f>
        <v>52</v>
      </c>
      <c r="B56" t="str">
        <f t="shared" si="3"/>
        <v>1</v>
      </c>
      <c r="C56" t="str">
        <f t="shared" si="4"/>
        <v>2</v>
      </c>
      <c r="D56" t="str">
        <f>"39"</f>
        <v>39</v>
      </c>
      <c r="E56" t="str">
        <f>"1-2-39"</f>
        <v>1-2-39</v>
      </c>
      <c r="F56" t="s">
        <v>65</v>
      </c>
      <c r="G56" t="s">
        <v>66</v>
      </c>
      <c r="H56" t="s">
        <v>67</v>
      </c>
      <c r="S56">
        <v>0</v>
      </c>
      <c r="T56">
        <v>1</v>
      </c>
      <c r="U56">
        <v>0</v>
      </c>
      <c r="V56">
        <v>0</v>
      </c>
      <c r="W56">
        <v>1</v>
      </c>
      <c r="X56">
        <v>0</v>
      </c>
      <c r="Y56">
        <v>0</v>
      </c>
      <c r="Z56">
        <v>1</v>
      </c>
      <c r="AA56">
        <v>0</v>
      </c>
      <c r="AB56">
        <v>0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</row>
    <row r="57" spans="1:39" x14ac:dyDescent="0.2">
      <c r="A57" t="str">
        <f>"53"</f>
        <v>53</v>
      </c>
      <c r="B57" t="str">
        <f t="shared" si="3"/>
        <v>1</v>
      </c>
      <c r="C57" t="str">
        <f t="shared" si="4"/>
        <v>2</v>
      </c>
      <c r="D57" t="str">
        <f>"23"</f>
        <v>23</v>
      </c>
      <c r="E57" t="str">
        <f>"1-2-23"</f>
        <v>1-2-23</v>
      </c>
      <c r="F57" t="s">
        <v>65</v>
      </c>
      <c r="G57" t="s">
        <v>66</v>
      </c>
      <c r="H57" t="s">
        <v>67</v>
      </c>
      <c r="S57">
        <v>1</v>
      </c>
      <c r="T57">
        <v>0</v>
      </c>
      <c r="U57">
        <v>0</v>
      </c>
      <c r="V57">
        <v>0</v>
      </c>
      <c r="W57">
        <v>1</v>
      </c>
      <c r="X57">
        <v>0</v>
      </c>
      <c r="Y57">
        <v>1</v>
      </c>
      <c r="Z57">
        <v>0</v>
      </c>
      <c r="AA57">
        <v>0</v>
      </c>
      <c r="AB57">
        <v>1</v>
      </c>
      <c r="AC57">
        <v>0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M57">
        <v>1</v>
      </c>
    </row>
    <row r="58" spans="1:39" x14ac:dyDescent="0.2">
      <c r="A58" t="str">
        <f>"54"</f>
        <v>54</v>
      </c>
      <c r="B58" t="str">
        <f t="shared" si="3"/>
        <v>1</v>
      </c>
      <c r="C58" t="str">
        <f t="shared" si="4"/>
        <v>2</v>
      </c>
      <c r="D58" t="str">
        <f>"15"</f>
        <v>15</v>
      </c>
      <c r="E58" t="str">
        <f>"1-2-15"</f>
        <v>1-2-15</v>
      </c>
      <c r="F58" t="s">
        <v>65</v>
      </c>
      <c r="G58" t="s">
        <v>66</v>
      </c>
      <c r="H58" t="s">
        <v>67</v>
      </c>
      <c r="S58">
        <v>1</v>
      </c>
      <c r="T58">
        <v>0</v>
      </c>
      <c r="U58">
        <v>0</v>
      </c>
      <c r="V58">
        <v>0</v>
      </c>
      <c r="W58">
        <v>1</v>
      </c>
      <c r="X58">
        <v>0</v>
      </c>
      <c r="Y58">
        <v>1</v>
      </c>
      <c r="Z58">
        <v>0</v>
      </c>
      <c r="AA58">
        <v>1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</row>
    <row r="59" spans="1:39" x14ac:dyDescent="0.2">
      <c r="A59" t="str">
        <f>"55"</f>
        <v>55</v>
      </c>
      <c r="B59" t="str">
        <f t="shared" si="3"/>
        <v>1</v>
      </c>
      <c r="C59" t="str">
        <f t="shared" si="4"/>
        <v>2</v>
      </c>
      <c r="D59" t="str">
        <f>"2"</f>
        <v>2</v>
      </c>
      <c r="E59" t="str">
        <f>"1-2-2"</f>
        <v>1-2-2</v>
      </c>
      <c r="F59" t="s">
        <v>65</v>
      </c>
      <c r="G59" t="s">
        <v>66</v>
      </c>
      <c r="H59" t="s">
        <v>67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1</v>
      </c>
      <c r="AA59">
        <v>0</v>
      </c>
      <c r="AB59">
        <v>0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M59">
        <v>1</v>
      </c>
    </row>
    <row r="60" spans="1:39" x14ac:dyDescent="0.2">
      <c r="A60" t="str">
        <f>"56"</f>
        <v>56</v>
      </c>
      <c r="B60" t="str">
        <f t="shared" si="3"/>
        <v>1</v>
      </c>
      <c r="C60" t="str">
        <f t="shared" si="4"/>
        <v>2</v>
      </c>
      <c r="D60" t="str">
        <f>"43"</f>
        <v>43</v>
      </c>
      <c r="E60" t="str">
        <f>"1-2-43"</f>
        <v>1-2-43</v>
      </c>
      <c r="F60" t="s">
        <v>65</v>
      </c>
      <c r="G60" t="s">
        <v>66</v>
      </c>
      <c r="H60" t="s">
        <v>67</v>
      </c>
      <c r="S60">
        <v>1</v>
      </c>
      <c r="T60">
        <v>0</v>
      </c>
      <c r="U60">
        <v>0</v>
      </c>
      <c r="V60">
        <v>0</v>
      </c>
      <c r="W60">
        <v>0</v>
      </c>
      <c r="X60">
        <v>1</v>
      </c>
      <c r="Y60">
        <v>1</v>
      </c>
      <c r="Z60">
        <v>0</v>
      </c>
      <c r="AA60">
        <v>0</v>
      </c>
      <c r="AB60">
        <v>1</v>
      </c>
      <c r="AC60">
        <v>0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</row>
    <row r="61" spans="1:39" x14ac:dyDescent="0.2">
      <c r="A61" t="str">
        <f>"57"</f>
        <v>57</v>
      </c>
      <c r="B61" t="str">
        <f t="shared" si="3"/>
        <v>1</v>
      </c>
      <c r="C61" t="str">
        <f t="shared" si="4"/>
        <v>2</v>
      </c>
      <c r="D61" t="str">
        <f>"42"</f>
        <v>42</v>
      </c>
      <c r="E61" t="str">
        <f>"1-2-42"</f>
        <v>1-2-42</v>
      </c>
      <c r="F61" t="s">
        <v>65</v>
      </c>
      <c r="G61" t="s">
        <v>66</v>
      </c>
      <c r="H61" t="s">
        <v>67</v>
      </c>
      <c r="S61">
        <v>1</v>
      </c>
      <c r="T61">
        <v>0</v>
      </c>
      <c r="U61">
        <v>0</v>
      </c>
      <c r="V61">
        <v>0</v>
      </c>
      <c r="W61">
        <v>1</v>
      </c>
      <c r="X61">
        <v>0</v>
      </c>
      <c r="Y61">
        <v>0</v>
      </c>
      <c r="Z61">
        <v>1</v>
      </c>
      <c r="AA61">
        <v>0</v>
      </c>
      <c r="AB61">
        <v>1</v>
      </c>
      <c r="AC61">
        <v>0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</row>
    <row r="62" spans="1:39" x14ac:dyDescent="0.2">
      <c r="A62" t="str">
        <f>"58"</f>
        <v>58</v>
      </c>
      <c r="B62" t="str">
        <f t="shared" si="3"/>
        <v>1</v>
      </c>
      <c r="C62" t="str">
        <f t="shared" si="4"/>
        <v>2</v>
      </c>
      <c r="D62" t="str">
        <f>"32"</f>
        <v>32</v>
      </c>
      <c r="E62" t="str">
        <f>"1-2-32"</f>
        <v>1-2-32</v>
      </c>
      <c r="F62" t="s">
        <v>65</v>
      </c>
      <c r="G62" t="s">
        <v>66</v>
      </c>
      <c r="H62" t="s">
        <v>67</v>
      </c>
      <c r="S62">
        <v>1</v>
      </c>
      <c r="T62">
        <v>0</v>
      </c>
      <c r="U62">
        <v>0</v>
      </c>
      <c r="V62">
        <v>0</v>
      </c>
      <c r="W62">
        <v>1</v>
      </c>
      <c r="X62">
        <v>0</v>
      </c>
      <c r="Y62">
        <v>0</v>
      </c>
      <c r="Z62">
        <v>0</v>
      </c>
      <c r="AA62">
        <v>0</v>
      </c>
      <c r="AB62">
        <v>1</v>
      </c>
      <c r="AC62">
        <v>0</v>
      </c>
      <c r="AD62">
        <v>0</v>
      </c>
      <c r="AE62">
        <v>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</row>
    <row r="63" spans="1:39" x14ac:dyDescent="0.2">
      <c r="A63" t="str">
        <f>"59"</f>
        <v>59</v>
      </c>
      <c r="B63" t="str">
        <f t="shared" si="3"/>
        <v>1</v>
      </c>
      <c r="C63" t="str">
        <f t="shared" si="4"/>
        <v>2</v>
      </c>
      <c r="D63" t="str">
        <f>"31"</f>
        <v>31</v>
      </c>
      <c r="E63" t="str">
        <f>"1-2-31"</f>
        <v>1-2-31</v>
      </c>
      <c r="F63" t="s">
        <v>65</v>
      </c>
      <c r="G63" t="s">
        <v>66</v>
      </c>
      <c r="H63" t="s">
        <v>67</v>
      </c>
      <c r="S63">
        <v>0</v>
      </c>
      <c r="T63">
        <v>0</v>
      </c>
      <c r="U63">
        <v>0</v>
      </c>
      <c r="V63">
        <v>0</v>
      </c>
      <c r="W63">
        <v>0</v>
      </c>
      <c r="X63">
        <v>1</v>
      </c>
      <c r="Y63">
        <v>0</v>
      </c>
      <c r="Z63">
        <v>0</v>
      </c>
      <c r="AA63">
        <v>0</v>
      </c>
      <c r="AB63">
        <v>0</v>
      </c>
      <c r="AC63">
        <v>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</row>
    <row r="64" spans="1:39" x14ac:dyDescent="0.2">
      <c r="A64" t="str">
        <f>"60"</f>
        <v>60</v>
      </c>
      <c r="B64" t="str">
        <f t="shared" si="3"/>
        <v>1</v>
      </c>
      <c r="C64" t="str">
        <f t="shared" si="4"/>
        <v>2</v>
      </c>
      <c r="D64" t="str">
        <f>"19"</f>
        <v>19</v>
      </c>
      <c r="E64" t="str">
        <f>"1-2-19"</f>
        <v>1-2-19</v>
      </c>
      <c r="F64" t="s">
        <v>65</v>
      </c>
      <c r="G64" t="s">
        <v>66</v>
      </c>
      <c r="H64" t="s">
        <v>67</v>
      </c>
      <c r="S64">
        <v>0</v>
      </c>
      <c r="T64">
        <v>1</v>
      </c>
      <c r="U64">
        <v>0</v>
      </c>
      <c r="V64">
        <v>0</v>
      </c>
      <c r="W64">
        <v>0</v>
      </c>
      <c r="X64">
        <v>1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</row>
    <row r="65" spans="1:39" x14ac:dyDescent="0.2">
      <c r="A65" t="str">
        <f>"61"</f>
        <v>61</v>
      </c>
      <c r="B65" t="str">
        <f t="shared" si="3"/>
        <v>1</v>
      </c>
      <c r="C65" t="str">
        <f t="shared" si="4"/>
        <v>2</v>
      </c>
      <c r="D65" t="str">
        <f>"16"</f>
        <v>16</v>
      </c>
      <c r="E65" t="str">
        <f>"1-2-16"</f>
        <v>1-2-16</v>
      </c>
      <c r="F65" t="s">
        <v>65</v>
      </c>
      <c r="G65" t="s">
        <v>66</v>
      </c>
      <c r="H65" t="s">
        <v>67</v>
      </c>
      <c r="S65">
        <v>0</v>
      </c>
      <c r="T65">
        <v>1</v>
      </c>
      <c r="U65">
        <v>0</v>
      </c>
      <c r="V65">
        <v>0</v>
      </c>
      <c r="W65">
        <v>0</v>
      </c>
      <c r="X65">
        <v>1</v>
      </c>
      <c r="Y65">
        <v>0</v>
      </c>
      <c r="Z65">
        <v>1</v>
      </c>
      <c r="AA65">
        <v>1</v>
      </c>
      <c r="AB65">
        <v>0</v>
      </c>
      <c r="AC65">
        <v>0</v>
      </c>
      <c r="AD65">
        <v>1</v>
      </c>
      <c r="AE65">
        <v>1</v>
      </c>
      <c r="AF65">
        <v>1</v>
      </c>
      <c r="AG65">
        <v>1</v>
      </c>
      <c r="AH65">
        <v>0</v>
      </c>
      <c r="AI65">
        <v>1</v>
      </c>
      <c r="AJ65">
        <v>1</v>
      </c>
      <c r="AK65">
        <v>1</v>
      </c>
      <c r="AL65">
        <v>1</v>
      </c>
      <c r="AM65">
        <v>1</v>
      </c>
    </row>
    <row r="66" spans="1:39" x14ac:dyDescent="0.2">
      <c r="A66" t="str">
        <f>"62"</f>
        <v>62</v>
      </c>
      <c r="B66" t="str">
        <f t="shared" si="3"/>
        <v>1</v>
      </c>
      <c r="C66" t="str">
        <f t="shared" si="4"/>
        <v>2</v>
      </c>
      <c r="D66" t="str">
        <f>"6"</f>
        <v>6</v>
      </c>
      <c r="E66" t="str">
        <f>"1-2-6"</f>
        <v>1-2-6</v>
      </c>
      <c r="F66" t="s">
        <v>65</v>
      </c>
      <c r="G66" t="s">
        <v>66</v>
      </c>
      <c r="H66" t="s">
        <v>67</v>
      </c>
      <c r="S66">
        <v>0</v>
      </c>
      <c r="T66">
        <v>1</v>
      </c>
      <c r="U66">
        <v>0</v>
      </c>
      <c r="V66">
        <v>0</v>
      </c>
      <c r="W66">
        <v>1</v>
      </c>
      <c r="X66">
        <v>0</v>
      </c>
      <c r="Y66">
        <v>1</v>
      </c>
      <c r="Z66">
        <v>0</v>
      </c>
      <c r="AA66">
        <v>0</v>
      </c>
      <c r="AB66">
        <v>1</v>
      </c>
      <c r="AC66">
        <v>0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M66">
        <v>1</v>
      </c>
    </row>
    <row r="67" spans="1:39" x14ac:dyDescent="0.2">
      <c r="A67" t="str">
        <f>"63"</f>
        <v>63</v>
      </c>
      <c r="B67" t="str">
        <f t="shared" si="3"/>
        <v>1</v>
      </c>
      <c r="C67" t="str">
        <f t="shared" si="4"/>
        <v>2</v>
      </c>
      <c r="D67" t="str">
        <f>"35"</f>
        <v>35</v>
      </c>
      <c r="E67" t="str">
        <f>"1-2-35"</f>
        <v>1-2-35</v>
      </c>
      <c r="F67" t="s">
        <v>65</v>
      </c>
      <c r="G67" t="s">
        <v>66</v>
      </c>
      <c r="H67" t="s">
        <v>67</v>
      </c>
      <c r="S67">
        <v>1</v>
      </c>
      <c r="T67">
        <v>0</v>
      </c>
      <c r="U67">
        <v>0</v>
      </c>
      <c r="V67">
        <v>0</v>
      </c>
      <c r="W67">
        <v>0</v>
      </c>
      <c r="X67">
        <v>1</v>
      </c>
      <c r="Y67">
        <v>1</v>
      </c>
      <c r="Z67">
        <v>0</v>
      </c>
      <c r="AA67">
        <v>0</v>
      </c>
      <c r="AB67">
        <v>0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</row>
    <row r="68" spans="1:39" x14ac:dyDescent="0.2">
      <c r="A68" t="str">
        <f>"64"</f>
        <v>64</v>
      </c>
      <c r="B68" t="str">
        <f t="shared" si="3"/>
        <v>1</v>
      </c>
      <c r="C68" t="str">
        <f t="shared" si="4"/>
        <v>2</v>
      </c>
      <c r="D68" t="str">
        <f>"17"</f>
        <v>17</v>
      </c>
      <c r="E68" t="str">
        <f>"1-2-17"</f>
        <v>1-2-17</v>
      </c>
      <c r="F68" t="s">
        <v>65</v>
      </c>
      <c r="G68" t="s">
        <v>66</v>
      </c>
      <c r="H68" t="s">
        <v>67</v>
      </c>
      <c r="S68">
        <v>1</v>
      </c>
      <c r="T68">
        <v>0</v>
      </c>
      <c r="U68">
        <v>0</v>
      </c>
      <c r="V68">
        <v>0</v>
      </c>
      <c r="W68">
        <v>1</v>
      </c>
      <c r="X68">
        <v>0</v>
      </c>
      <c r="Y68">
        <v>1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1</v>
      </c>
    </row>
    <row r="69" spans="1:39" x14ac:dyDescent="0.2">
      <c r="A69" t="str">
        <f>"65"</f>
        <v>65</v>
      </c>
      <c r="B69" t="str">
        <f t="shared" si="3"/>
        <v>1</v>
      </c>
      <c r="C69" t="str">
        <f t="shared" si="4"/>
        <v>2</v>
      </c>
      <c r="D69" t="str">
        <f>"5"</f>
        <v>5</v>
      </c>
      <c r="E69" t="str">
        <f>"1-2-5"</f>
        <v>1-2-5</v>
      </c>
      <c r="F69" t="s">
        <v>65</v>
      </c>
      <c r="G69" t="s">
        <v>66</v>
      </c>
      <c r="H69" t="s">
        <v>67</v>
      </c>
      <c r="S69">
        <v>0</v>
      </c>
      <c r="T69">
        <v>1</v>
      </c>
      <c r="U69">
        <v>0</v>
      </c>
      <c r="V69">
        <v>0</v>
      </c>
      <c r="W69">
        <v>1</v>
      </c>
      <c r="X69">
        <v>0</v>
      </c>
      <c r="Y69">
        <v>0</v>
      </c>
      <c r="Z69">
        <v>1</v>
      </c>
      <c r="AA69">
        <v>0</v>
      </c>
      <c r="AB69">
        <v>1</v>
      </c>
      <c r="AC69">
        <v>0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</row>
    <row r="70" spans="1:39" x14ac:dyDescent="0.2">
      <c r="A70" t="str">
        <f>"66"</f>
        <v>66</v>
      </c>
      <c r="B70" t="str">
        <f t="shared" si="3"/>
        <v>1</v>
      </c>
      <c r="C70" t="str">
        <f t="shared" si="4"/>
        <v>2</v>
      </c>
      <c r="D70" t="str">
        <f>"50"</f>
        <v>50</v>
      </c>
      <c r="E70" t="str">
        <f>"1-2-50"</f>
        <v>1-2-50</v>
      </c>
      <c r="F70" t="s">
        <v>65</v>
      </c>
      <c r="G70" t="s">
        <v>66</v>
      </c>
      <c r="H70" t="s">
        <v>67</v>
      </c>
      <c r="S70">
        <v>1</v>
      </c>
      <c r="T70">
        <v>0</v>
      </c>
      <c r="U70">
        <v>0</v>
      </c>
      <c r="V70">
        <v>0</v>
      </c>
      <c r="W70">
        <v>1</v>
      </c>
      <c r="X70">
        <v>0</v>
      </c>
      <c r="Y70">
        <v>0</v>
      </c>
      <c r="Z70">
        <v>0</v>
      </c>
      <c r="AA70">
        <v>0</v>
      </c>
      <c r="AB70">
        <v>0</v>
      </c>
      <c r="AC70">
        <v>1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1</v>
      </c>
    </row>
    <row r="71" spans="1:39" x14ac:dyDescent="0.2">
      <c r="A71" t="str">
        <f>"67"</f>
        <v>67</v>
      </c>
      <c r="B71" t="str">
        <f t="shared" si="3"/>
        <v>1</v>
      </c>
      <c r="C71" t="str">
        <f t="shared" si="4"/>
        <v>2</v>
      </c>
      <c r="D71" t="str">
        <f>"49"</f>
        <v>49</v>
      </c>
      <c r="E71" t="str">
        <f>"1-2-49"</f>
        <v>1-2-49</v>
      </c>
      <c r="F71" t="s">
        <v>65</v>
      </c>
      <c r="G71" t="s">
        <v>66</v>
      </c>
      <c r="H71" t="s">
        <v>67</v>
      </c>
      <c r="S71">
        <v>0</v>
      </c>
      <c r="T71">
        <v>1</v>
      </c>
      <c r="U71">
        <v>0</v>
      </c>
      <c r="V71">
        <v>0</v>
      </c>
      <c r="W71">
        <v>0</v>
      </c>
      <c r="X71">
        <v>1</v>
      </c>
      <c r="Y71">
        <v>0</v>
      </c>
      <c r="Z71">
        <v>1</v>
      </c>
      <c r="AA71">
        <v>1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</row>
    <row r="72" spans="1:39" x14ac:dyDescent="0.2">
      <c r="A72" t="str">
        <f>"68"</f>
        <v>68</v>
      </c>
      <c r="B72" t="str">
        <f t="shared" si="3"/>
        <v>1</v>
      </c>
      <c r="C72" t="str">
        <f t="shared" si="4"/>
        <v>2</v>
      </c>
      <c r="D72" t="str">
        <f>"33"</f>
        <v>33</v>
      </c>
      <c r="E72" t="str">
        <f>"1-2-33"</f>
        <v>1-2-33</v>
      </c>
      <c r="F72" t="s">
        <v>65</v>
      </c>
      <c r="G72" t="s">
        <v>66</v>
      </c>
      <c r="H72" t="s">
        <v>67</v>
      </c>
      <c r="S72">
        <v>0</v>
      </c>
      <c r="T72">
        <v>1</v>
      </c>
      <c r="U72">
        <v>0</v>
      </c>
      <c r="V72">
        <v>0</v>
      </c>
      <c r="W72">
        <v>0</v>
      </c>
      <c r="X72">
        <v>1</v>
      </c>
      <c r="Y72">
        <v>0</v>
      </c>
      <c r="Z72">
        <v>1</v>
      </c>
      <c r="AA72">
        <v>0</v>
      </c>
      <c r="AB72">
        <v>1</v>
      </c>
      <c r="AC72">
        <v>0</v>
      </c>
      <c r="AD72">
        <v>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1</v>
      </c>
    </row>
    <row r="73" spans="1:39" x14ac:dyDescent="0.2">
      <c r="A73" t="str">
        <f>"69"</f>
        <v>69</v>
      </c>
      <c r="B73" t="str">
        <f t="shared" si="3"/>
        <v>1</v>
      </c>
      <c r="C73" t="str">
        <f t="shared" si="4"/>
        <v>2</v>
      </c>
      <c r="D73" t="str">
        <f>"18"</f>
        <v>18</v>
      </c>
      <c r="E73" t="str">
        <f>"1-2-18"</f>
        <v>1-2-18</v>
      </c>
      <c r="F73" t="s">
        <v>65</v>
      </c>
      <c r="G73" t="s">
        <v>66</v>
      </c>
      <c r="H73" t="s">
        <v>67</v>
      </c>
      <c r="S73">
        <v>0</v>
      </c>
      <c r="T73">
        <v>1</v>
      </c>
      <c r="U73">
        <v>0</v>
      </c>
      <c r="V73">
        <v>0</v>
      </c>
      <c r="W73">
        <v>0</v>
      </c>
      <c r="X73">
        <v>1</v>
      </c>
      <c r="Y73">
        <v>0</v>
      </c>
      <c r="Z73">
        <v>0</v>
      </c>
      <c r="AA73">
        <v>0</v>
      </c>
      <c r="AB73">
        <v>0</v>
      </c>
      <c r="AC73">
        <v>1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</row>
    <row r="74" spans="1:39" x14ac:dyDescent="0.2">
      <c r="A74" t="str">
        <f>"70"</f>
        <v>70</v>
      </c>
      <c r="B74" t="str">
        <f t="shared" si="3"/>
        <v>1</v>
      </c>
      <c r="C74" t="str">
        <f t="shared" si="4"/>
        <v>2</v>
      </c>
      <c r="D74" t="str">
        <f>"8"</f>
        <v>8</v>
      </c>
      <c r="E74" t="str">
        <f>"1-2-8"</f>
        <v>1-2-8</v>
      </c>
      <c r="F74" t="s">
        <v>65</v>
      </c>
      <c r="G74" t="s">
        <v>66</v>
      </c>
      <c r="H74" t="s">
        <v>67</v>
      </c>
      <c r="S74">
        <v>1</v>
      </c>
      <c r="T74">
        <v>0</v>
      </c>
      <c r="U74">
        <v>0</v>
      </c>
      <c r="V74">
        <v>0</v>
      </c>
      <c r="W74">
        <v>1</v>
      </c>
      <c r="X74">
        <v>0</v>
      </c>
      <c r="Y74">
        <v>1</v>
      </c>
      <c r="Z74">
        <v>0</v>
      </c>
      <c r="AA74">
        <v>0</v>
      </c>
      <c r="AB74">
        <v>1</v>
      </c>
      <c r="AC74">
        <v>0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</row>
    <row r="75" spans="1:39" x14ac:dyDescent="0.2">
      <c r="A75" t="str">
        <f>"71"</f>
        <v>71</v>
      </c>
      <c r="B75" t="str">
        <f t="shared" si="3"/>
        <v>1</v>
      </c>
      <c r="C75" t="str">
        <f t="shared" si="4"/>
        <v>2</v>
      </c>
      <c r="D75" t="str">
        <f>"34"</f>
        <v>34</v>
      </c>
      <c r="E75" t="str">
        <f>"1-2-34"</f>
        <v>1-2-34</v>
      </c>
      <c r="F75" t="s">
        <v>65</v>
      </c>
      <c r="G75" t="s">
        <v>66</v>
      </c>
      <c r="H75" t="s">
        <v>67</v>
      </c>
      <c r="S75">
        <v>1</v>
      </c>
      <c r="T75">
        <v>0</v>
      </c>
      <c r="U75">
        <v>0</v>
      </c>
      <c r="V75">
        <v>0</v>
      </c>
      <c r="W75">
        <v>1</v>
      </c>
      <c r="X75">
        <v>0</v>
      </c>
      <c r="Y75">
        <v>0</v>
      </c>
      <c r="Z75">
        <v>1</v>
      </c>
      <c r="AA75">
        <v>0</v>
      </c>
      <c r="AB75">
        <v>1</v>
      </c>
      <c r="AC75">
        <v>0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</row>
    <row r="76" spans="1:39" x14ac:dyDescent="0.2">
      <c r="A76" t="str">
        <f>"72"</f>
        <v>72</v>
      </c>
      <c r="B76" t="str">
        <f t="shared" si="3"/>
        <v>1</v>
      </c>
      <c r="C76" t="str">
        <f t="shared" si="4"/>
        <v>2</v>
      </c>
      <c r="D76" t="str">
        <f>"20"</f>
        <v>20</v>
      </c>
      <c r="E76" t="str">
        <f>"1-2-20"</f>
        <v>1-2-20</v>
      </c>
      <c r="F76" t="s">
        <v>65</v>
      </c>
      <c r="G76" t="s">
        <v>66</v>
      </c>
      <c r="H76" t="s">
        <v>67</v>
      </c>
      <c r="S76">
        <v>0</v>
      </c>
      <c r="T76">
        <v>1</v>
      </c>
      <c r="U76">
        <v>0</v>
      </c>
      <c r="V76">
        <v>0</v>
      </c>
      <c r="W76">
        <v>1</v>
      </c>
      <c r="X76">
        <v>0</v>
      </c>
      <c r="Y76">
        <v>0</v>
      </c>
      <c r="Z76">
        <v>1</v>
      </c>
      <c r="AA76">
        <v>0</v>
      </c>
      <c r="AB76">
        <v>0</v>
      </c>
      <c r="AC76">
        <v>0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</row>
    <row r="77" spans="1:39" x14ac:dyDescent="0.2">
      <c r="A77" t="str">
        <f>"73"</f>
        <v>73</v>
      </c>
      <c r="B77" t="str">
        <f t="shared" si="3"/>
        <v>1</v>
      </c>
      <c r="C77" t="str">
        <f t="shared" si="4"/>
        <v>2</v>
      </c>
      <c r="D77" t="str">
        <f>"12"</f>
        <v>12</v>
      </c>
      <c r="E77" t="str">
        <f>"1-2-12"</f>
        <v>1-2-12</v>
      </c>
      <c r="F77" t="s">
        <v>65</v>
      </c>
      <c r="G77" t="s">
        <v>66</v>
      </c>
      <c r="H77" t="s">
        <v>67</v>
      </c>
      <c r="S77">
        <v>1</v>
      </c>
      <c r="T77">
        <v>0</v>
      </c>
      <c r="U77">
        <v>0</v>
      </c>
      <c r="V77">
        <v>0</v>
      </c>
      <c r="W77">
        <v>0</v>
      </c>
      <c r="X77">
        <v>1</v>
      </c>
      <c r="Y77">
        <v>1</v>
      </c>
      <c r="Z77">
        <v>0</v>
      </c>
      <c r="AA77">
        <v>0</v>
      </c>
      <c r="AB77">
        <v>0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</row>
    <row r="78" spans="1:39" x14ac:dyDescent="0.2">
      <c r="A78" t="str">
        <f>"74"</f>
        <v>74</v>
      </c>
      <c r="B78" t="str">
        <f t="shared" si="3"/>
        <v>1</v>
      </c>
      <c r="C78" t="str">
        <f t="shared" si="4"/>
        <v>2</v>
      </c>
      <c r="D78" t="str">
        <f>"36"</f>
        <v>36</v>
      </c>
      <c r="E78" t="str">
        <f>"1-2-36"</f>
        <v>1-2-36</v>
      </c>
      <c r="F78" t="s">
        <v>65</v>
      </c>
      <c r="G78" t="s">
        <v>66</v>
      </c>
      <c r="H78" t="s">
        <v>67</v>
      </c>
      <c r="S78">
        <v>0</v>
      </c>
      <c r="T78">
        <v>1</v>
      </c>
      <c r="U78">
        <v>0</v>
      </c>
      <c r="V78">
        <v>0</v>
      </c>
      <c r="W78">
        <v>0</v>
      </c>
      <c r="X78">
        <v>1</v>
      </c>
      <c r="Y78">
        <v>0</v>
      </c>
      <c r="Z78">
        <v>1</v>
      </c>
      <c r="AA78">
        <v>0</v>
      </c>
      <c r="AB78">
        <v>0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</row>
    <row r="79" spans="1:39" x14ac:dyDescent="0.2">
      <c r="A79" t="str">
        <f>"75"</f>
        <v>75</v>
      </c>
      <c r="B79" t="str">
        <f t="shared" si="3"/>
        <v>1</v>
      </c>
      <c r="C79" t="str">
        <f t="shared" si="4"/>
        <v>2</v>
      </c>
      <c r="D79" t="str">
        <f>"21"</f>
        <v>21</v>
      </c>
      <c r="E79" t="str">
        <f>"1-2-21"</f>
        <v>1-2-21</v>
      </c>
      <c r="F79" t="s">
        <v>65</v>
      </c>
      <c r="G79" t="s">
        <v>66</v>
      </c>
      <c r="H79" t="s">
        <v>67</v>
      </c>
      <c r="S79">
        <v>1</v>
      </c>
      <c r="T79">
        <v>0</v>
      </c>
      <c r="U79">
        <v>0</v>
      </c>
      <c r="V79">
        <v>0</v>
      </c>
      <c r="W79">
        <v>0</v>
      </c>
      <c r="X79">
        <v>1</v>
      </c>
      <c r="Y79">
        <v>1</v>
      </c>
      <c r="Z79">
        <v>0</v>
      </c>
      <c r="AA79">
        <v>0</v>
      </c>
      <c r="AB79">
        <v>1</v>
      </c>
      <c r="AC79">
        <v>0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</row>
    <row r="80" spans="1:39" x14ac:dyDescent="0.2">
      <c r="A80" t="str">
        <f>"76"</f>
        <v>76</v>
      </c>
      <c r="B80" t="str">
        <f t="shared" si="3"/>
        <v>1</v>
      </c>
      <c r="C80" t="str">
        <f t="shared" si="4"/>
        <v>2</v>
      </c>
      <c r="D80" t="str">
        <f>"14"</f>
        <v>14</v>
      </c>
      <c r="E80" t="str">
        <f>"1-2-14"</f>
        <v>1-2-14</v>
      </c>
      <c r="F80" t="s">
        <v>65</v>
      </c>
      <c r="G80" t="s">
        <v>66</v>
      </c>
      <c r="H80" t="s">
        <v>67</v>
      </c>
      <c r="S80">
        <v>0</v>
      </c>
      <c r="T80">
        <v>0</v>
      </c>
      <c r="U80">
        <v>0</v>
      </c>
      <c r="V80">
        <v>0</v>
      </c>
      <c r="W80">
        <v>0</v>
      </c>
      <c r="X80">
        <v>1</v>
      </c>
      <c r="Y80">
        <v>1</v>
      </c>
      <c r="Z80">
        <v>0</v>
      </c>
      <c r="AA80">
        <v>0</v>
      </c>
      <c r="AB80">
        <v>0</v>
      </c>
      <c r="AC80">
        <v>1</v>
      </c>
      <c r="AD80">
        <v>1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</row>
    <row r="81" spans="1:39" x14ac:dyDescent="0.2">
      <c r="A81" t="str">
        <f>"77"</f>
        <v>77</v>
      </c>
      <c r="B81" t="str">
        <f t="shared" si="3"/>
        <v>1</v>
      </c>
      <c r="C81" t="str">
        <f t="shared" si="4"/>
        <v>2</v>
      </c>
      <c r="D81" t="str">
        <f>"41"</f>
        <v>41</v>
      </c>
      <c r="E81" t="str">
        <f>"1-2-41"</f>
        <v>1-2-41</v>
      </c>
      <c r="F81" t="s">
        <v>65</v>
      </c>
      <c r="G81" t="s">
        <v>66</v>
      </c>
      <c r="H81" t="s">
        <v>67</v>
      </c>
      <c r="S81">
        <v>0</v>
      </c>
      <c r="T81">
        <v>1</v>
      </c>
      <c r="U81">
        <v>0</v>
      </c>
      <c r="V81">
        <v>0</v>
      </c>
      <c r="W81">
        <v>1</v>
      </c>
      <c r="X81">
        <v>0</v>
      </c>
      <c r="Y81">
        <v>1</v>
      </c>
      <c r="Z81">
        <v>0</v>
      </c>
      <c r="AA81">
        <v>0</v>
      </c>
      <c r="AB81">
        <v>1</v>
      </c>
      <c r="AC81">
        <v>0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</row>
    <row r="82" spans="1:39" x14ac:dyDescent="0.2">
      <c r="A82" t="str">
        <f>"78"</f>
        <v>78</v>
      </c>
      <c r="B82" t="str">
        <f t="shared" si="3"/>
        <v>1</v>
      </c>
      <c r="C82" t="str">
        <f t="shared" si="4"/>
        <v>2</v>
      </c>
      <c r="D82" t="str">
        <f>"22"</f>
        <v>22</v>
      </c>
      <c r="E82" t="str">
        <f>"1-2-22"</f>
        <v>1-2-22</v>
      </c>
      <c r="F82" t="s">
        <v>65</v>
      </c>
      <c r="G82" t="s">
        <v>66</v>
      </c>
      <c r="H82" t="s">
        <v>67</v>
      </c>
      <c r="S82">
        <v>0</v>
      </c>
      <c r="T82">
        <v>1</v>
      </c>
      <c r="U82">
        <v>0</v>
      </c>
      <c r="V82">
        <v>0</v>
      </c>
      <c r="W82">
        <v>0</v>
      </c>
      <c r="X82">
        <v>1</v>
      </c>
      <c r="Y82">
        <v>0</v>
      </c>
      <c r="Z82">
        <v>1</v>
      </c>
      <c r="AA82">
        <v>0</v>
      </c>
      <c r="AB82">
        <v>0</v>
      </c>
      <c r="AC82">
        <v>1</v>
      </c>
      <c r="AD82">
        <v>0</v>
      </c>
      <c r="AE82">
        <v>0</v>
      </c>
      <c r="AF82">
        <v>0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0</v>
      </c>
      <c r="AM82">
        <v>1</v>
      </c>
    </row>
    <row r="83" spans="1:39" x14ac:dyDescent="0.2">
      <c r="A83" t="str">
        <f>"79"</f>
        <v>79</v>
      </c>
      <c r="B83" t="str">
        <f t="shared" si="3"/>
        <v>1</v>
      </c>
      <c r="C83" t="str">
        <f t="shared" si="4"/>
        <v>2</v>
      </c>
      <c r="D83" t="str">
        <f>"13"</f>
        <v>13</v>
      </c>
      <c r="E83" t="str">
        <f>"1-2-13"</f>
        <v>1-2-13</v>
      </c>
      <c r="F83" t="s">
        <v>65</v>
      </c>
      <c r="G83" t="s">
        <v>66</v>
      </c>
      <c r="H83" t="s">
        <v>67</v>
      </c>
      <c r="S83">
        <v>0</v>
      </c>
      <c r="T83">
        <v>0</v>
      </c>
      <c r="U83">
        <v>0</v>
      </c>
      <c r="V83">
        <v>0</v>
      </c>
      <c r="W83">
        <v>1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</row>
    <row r="84" spans="1:39" x14ac:dyDescent="0.2">
      <c r="A84" t="str">
        <f>"80"</f>
        <v>80</v>
      </c>
      <c r="B84" t="str">
        <f t="shared" si="3"/>
        <v>1</v>
      </c>
      <c r="C84" t="str">
        <f t="shared" si="4"/>
        <v>2</v>
      </c>
      <c r="D84" t="str">
        <f>"37"</f>
        <v>37</v>
      </c>
      <c r="E84" t="str">
        <f>"1-2-37"</f>
        <v>1-2-37</v>
      </c>
      <c r="F84" t="s">
        <v>65</v>
      </c>
      <c r="G84" t="s">
        <v>66</v>
      </c>
      <c r="H84" t="s">
        <v>67</v>
      </c>
      <c r="S84">
        <v>0</v>
      </c>
      <c r="T84">
        <v>0</v>
      </c>
      <c r="U84">
        <v>0</v>
      </c>
      <c r="V84">
        <v>0</v>
      </c>
      <c r="W84">
        <v>0</v>
      </c>
      <c r="X84">
        <v>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</row>
    <row r="85" spans="1:39" x14ac:dyDescent="0.2">
      <c r="A85" t="str">
        <f>"81"</f>
        <v>81</v>
      </c>
      <c r="B85" t="str">
        <f t="shared" si="3"/>
        <v>1</v>
      </c>
      <c r="C85" t="str">
        <f t="shared" si="4"/>
        <v>2</v>
      </c>
      <c r="D85" t="str">
        <f>"24"</f>
        <v>24</v>
      </c>
      <c r="E85" t="str">
        <f>"1-2-24"</f>
        <v>1-2-24</v>
      </c>
      <c r="F85" t="s">
        <v>65</v>
      </c>
      <c r="G85" t="s">
        <v>66</v>
      </c>
      <c r="H85" t="s">
        <v>67</v>
      </c>
      <c r="S85">
        <v>0</v>
      </c>
      <c r="T85">
        <v>1</v>
      </c>
      <c r="U85">
        <v>0</v>
      </c>
      <c r="V85">
        <v>0</v>
      </c>
      <c r="W85">
        <v>1</v>
      </c>
      <c r="X85">
        <v>0</v>
      </c>
      <c r="Y85">
        <v>1</v>
      </c>
      <c r="Z85">
        <v>0</v>
      </c>
      <c r="AA85">
        <v>0</v>
      </c>
      <c r="AB85">
        <v>1</v>
      </c>
      <c r="AC85">
        <v>0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</row>
    <row r="86" spans="1:39" x14ac:dyDescent="0.2">
      <c r="A86" t="str">
        <f>"82"</f>
        <v>82</v>
      </c>
      <c r="B86" t="str">
        <f t="shared" si="3"/>
        <v>1</v>
      </c>
      <c r="C86" t="str">
        <f t="shared" si="4"/>
        <v>2</v>
      </c>
      <c r="D86" t="str">
        <f>"9"</f>
        <v>9</v>
      </c>
      <c r="E86" t="str">
        <f>"1-2-9"</f>
        <v>1-2-9</v>
      </c>
      <c r="F86" t="s">
        <v>65</v>
      </c>
      <c r="G86" t="s">
        <v>66</v>
      </c>
      <c r="H86" t="s">
        <v>67</v>
      </c>
      <c r="S86">
        <v>1</v>
      </c>
      <c r="T86">
        <v>0</v>
      </c>
      <c r="U86">
        <v>0</v>
      </c>
      <c r="V86">
        <v>0</v>
      </c>
      <c r="W86">
        <v>1</v>
      </c>
      <c r="X86">
        <v>0</v>
      </c>
      <c r="Y86">
        <v>1</v>
      </c>
      <c r="Z86">
        <v>0</v>
      </c>
      <c r="AA86">
        <v>0</v>
      </c>
      <c r="AB86">
        <v>1</v>
      </c>
      <c r="AC86">
        <v>0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</row>
    <row r="87" spans="1:39" x14ac:dyDescent="0.2">
      <c r="A87" t="str">
        <f>"83"</f>
        <v>83</v>
      </c>
      <c r="B87" t="str">
        <f t="shared" si="3"/>
        <v>1</v>
      </c>
      <c r="C87" t="str">
        <f t="shared" ref="C87:C104" si="5">"2"</f>
        <v>2</v>
      </c>
      <c r="D87" t="str">
        <f>"38"</f>
        <v>38</v>
      </c>
      <c r="E87" t="str">
        <f>"1-2-38"</f>
        <v>1-2-38</v>
      </c>
      <c r="F87" t="s">
        <v>65</v>
      </c>
      <c r="G87" t="s">
        <v>66</v>
      </c>
      <c r="H87" t="s">
        <v>67</v>
      </c>
      <c r="S87">
        <v>0</v>
      </c>
      <c r="T87">
        <v>0</v>
      </c>
      <c r="U87">
        <v>0</v>
      </c>
      <c r="V87">
        <v>0</v>
      </c>
      <c r="W87">
        <v>0</v>
      </c>
      <c r="X87">
        <v>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</v>
      </c>
      <c r="AH87">
        <v>0</v>
      </c>
      <c r="AI87">
        <v>1</v>
      </c>
      <c r="AJ87">
        <v>1</v>
      </c>
      <c r="AK87">
        <v>1</v>
      </c>
      <c r="AL87">
        <v>0</v>
      </c>
      <c r="AM87">
        <v>0</v>
      </c>
    </row>
    <row r="88" spans="1:39" x14ac:dyDescent="0.2">
      <c r="A88" t="str">
        <f>"84"</f>
        <v>84</v>
      </c>
      <c r="B88" t="str">
        <f t="shared" si="3"/>
        <v>1</v>
      </c>
      <c r="C88" t="str">
        <f t="shared" si="5"/>
        <v>2</v>
      </c>
      <c r="D88" t="str">
        <f>"25"</f>
        <v>25</v>
      </c>
      <c r="E88" t="str">
        <f>"1-2-25"</f>
        <v>1-2-25</v>
      </c>
      <c r="F88" t="s">
        <v>65</v>
      </c>
      <c r="G88" t="s">
        <v>66</v>
      </c>
      <c r="H88" t="s">
        <v>67</v>
      </c>
      <c r="S88">
        <v>0</v>
      </c>
      <c r="T88">
        <v>0</v>
      </c>
      <c r="U88">
        <v>0</v>
      </c>
      <c r="V88">
        <v>0</v>
      </c>
      <c r="W88">
        <v>1</v>
      </c>
      <c r="X88">
        <v>0</v>
      </c>
      <c r="Y88">
        <v>1</v>
      </c>
      <c r="Z88">
        <v>0</v>
      </c>
      <c r="AA88">
        <v>0</v>
      </c>
      <c r="AB88">
        <v>0</v>
      </c>
      <c r="AC88">
        <v>1</v>
      </c>
      <c r="AD88">
        <v>1</v>
      </c>
      <c r="AE88">
        <v>1</v>
      </c>
      <c r="AF88">
        <v>1</v>
      </c>
      <c r="AG88">
        <v>1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1</v>
      </c>
    </row>
    <row r="89" spans="1:39" x14ac:dyDescent="0.2">
      <c r="A89" t="str">
        <f>"85"</f>
        <v>85</v>
      </c>
      <c r="B89" t="str">
        <f t="shared" si="3"/>
        <v>1</v>
      </c>
      <c r="C89" t="str">
        <f t="shared" si="5"/>
        <v>2</v>
      </c>
      <c r="D89" t="str">
        <f>"3"</f>
        <v>3</v>
      </c>
      <c r="E89" t="str">
        <f>"1-2-3"</f>
        <v>1-2-3</v>
      </c>
      <c r="F89" t="s">
        <v>65</v>
      </c>
      <c r="G89" t="s">
        <v>66</v>
      </c>
      <c r="H89" t="s">
        <v>67</v>
      </c>
      <c r="S89">
        <v>0</v>
      </c>
      <c r="T89">
        <v>1</v>
      </c>
      <c r="U89">
        <v>0</v>
      </c>
      <c r="V89">
        <v>0</v>
      </c>
      <c r="W89">
        <v>0</v>
      </c>
      <c r="X89">
        <v>1</v>
      </c>
      <c r="Y89">
        <v>0</v>
      </c>
      <c r="Z89">
        <v>1</v>
      </c>
      <c r="AA89">
        <v>0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  <c r="AJ89">
        <v>1</v>
      </c>
      <c r="AK89">
        <v>0</v>
      </c>
      <c r="AL89">
        <v>1</v>
      </c>
      <c r="AM89">
        <v>0</v>
      </c>
    </row>
    <row r="90" spans="1:39" x14ac:dyDescent="0.2">
      <c r="A90" t="str">
        <f>"86"</f>
        <v>86</v>
      </c>
      <c r="B90" t="str">
        <f t="shared" si="3"/>
        <v>1</v>
      </c>
      <c r="C90" t="str">
        <f t="shared" si="5"/>
        <v>2</v>
      </c>
      <c r="D90" t="str">
        <f>"45"</f>
        <v>45</v>
      </c>
      <c r="E90" t="str">
        <f>"1-2-45"</f>
        <v>1-2-45</v>
      </c>
      <c r="F90" t="s">
        <v>65</v>
      </c>
      <c r="G90" t="s">
        <v>66</v>
      </c>
      <c r="H90" t="s">
        <v>67</v>
      </c>
      <c r="S90">
        <v>0</v>
      </c>
      <c r="T90">
        <v>1</v>
      </c>
      <c r="U90">
        <v>0</v>
      </c>
      <c r="V90">
        <v>0</v>
      </c>
      <c r="W90">
        <v>1</v>
      </c>
      <c r="X90">
        <v>0</v>
      </c>
      <c r="Y90">
        <v>0</v>
      </c>
      <c r="Z90">
        <v>1</v>
      </c>
      <c r="AA90">
        <v>0</v>
      </c>
      <c r="AB90">
        <v>0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1</v>
      </c>
      <c r="AK90">
        <v>1</v>
      </c>
      <c r="AL90">
        <v>1</v>
      </c>
      <c r="AM90">
        <v>0</v>
      </c>
    </row>
    <row r="91" spans="1:39" x14ac:dyDescent="0.2">
      <c r="A91" t="str">
        <f>"87"</f>
        <v>87</v>
      </c>
      <c r="B91" t="str">
        <f t="shared" si="3"/>
        <v>1</v>
      </c>
      <c r="C91" t="str">
        <f t="shared" si="5"/>
        <v>2</v>
      </c>
      <c r="D91" t="str">
        <f>"26"</f>
        <v>26</v>
      </c>
      <c r="E91" t="str">
        <f>"1-2-26"</f>
        <v>1-2-26</v>
      </c>
      <c r="F91" t="s">
        <v>65</v>
      </c>
      <c r="G91" t="s">
        <v>66</v>
      </c>
      <c r="H91" t="s">
        <v>67</v>
      </c>
      <c r="S91">
        <v>0</v>
      </c>
      <c r="T91">
        <v>1</v>
      </c>
      <c r="U91">
        <v>0</v>
      </c>
      <c r="V91">
        <v>0</v>
      </c>
      <c r="W91">
        <v>1</v>
      </c>
      <c r="X91">
        <v>0</v>
      </c>
      <c r="Y91">
        <v>1</v>
      </c>
      <c r="Z91">
        <v>0</v>
      </c>
      <c r="AA91">
        <v>0</v>
      </c>
      <c r="AB91">
        <v>1</v>
      </c>
      <c r="AC91">
        <v>0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</row>
    <row r="92" spans="1:39" x14ac:dyDescent="0.2">
      <c r="A92" t="str">
        <f>"88"</f>
        <v>88</v>
      </c>
      <c r="B92" t="str">
        <f t="shared" si="3"/>
        <v>1</v>
      </c>
      <c r="C92" t="str">
        <f t="shared" si="5"/>
        <v>2</v>
      </c>
      <c r="D92" t="str">
        <f>"7"</f>
        <v>7</v>
      </c>
      <c r="E92" t="str">
        <f>"1-2-7"</f>
        <v>1-2-7</v>
      </c>
      <c r="F92" t="s">
        <v>65</v>
      </c>
      <c r="G92" t="s">
        <v>66</v>
      </c>
      <c r="H92" t="s">
        <v>67</v>
      </c>
      <c r="S92">
        <v>1</v>
      </c>
      <c r="T92">
        <v>0</v>
      </c>
      <c r="U92">
        <v>0</v>
      </c>
      <c r="V92">
        <v>0</v>
      </c>
      <c r="W92">
        <v>1</v>
      </c>
      <c r="X92">
        <v>0</v>
      </c>
      <c r="Y92">
        <v>0</v>
      </c>
      <c r="Z92">
        <v>1</v>
      </c>
      <c r="AA92">
        <v>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</row>
    <row r="93" spans="1:39" x14ac:dyDescent="0.2">
      <c r="A93" t="str">
        <f>"89"</f>
        <v>89</v>
      </c>
      <c r="B93" t="str">
        <f t="shared" si="3"/>
        <v>1</v>
      </c>
      <c r="C93" t="str">
        <f t="shared" si="5"/>
        <v>2</v>
      </c>
      <c r="D93" t="str">
        <f>"46"</f>
        <v>46</v>
      </c>
      <c r="E93" t="str">
        <f>"1-2-46"</f>
        <v>1-2-46</v>
      </c>
      <c r="F93" t="s">
        <v>65</v>
      </c>
      <c r="G93" t="s">
        <v>66</v>
      </c>
      <c r="H93" t="s">
        <v>67</v>
      </c>
      <c r="S93">
        <v>1</v>
      </c>
      <c r="T93">
        <v>0</v>
      </c>
      <c r="U93">
        <v>0</v>
      </c>
      <c r="V93">
        <v>0</v>
      </c>
      <c r="W93">
        <v>1</v>
      </c>
      <c r="X93">
        <v>0</v>
      </c>
      <c r="Y93">
        <v>1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</row>
    <row r="94" spans="1:39" x14ac:dyDescent="0.2">
      <c r="A94" t="str">
        <f>"90"</f>
        <v>90</v>
      </c>
      <c r="B94" t="str">
        <f t="shared" si="3"/>
        <v>1</v>
      </c>
      <c r="C94" t="str">
        <f t="shared" si="5"/>
        <v>2</v>
      </c>
      <c r="D94" t="str">
        <f>"27"</f>
        <v>27</v>
      </c>
      <c r="E94" t="str">
        <f>"1-2-27"</f>
        <v>1-2-27</v>
      </c>
      <c r="F94" t="s">
        <v>65</v>
      </c>
      <c r="G94" t="s">
        <v>66</v>
      </c>
      <c r="H94" t="s">
        <v>67</v>
      </c>
      <c r="S94">
        <v>0</v>
      </c>
      <c r="T94">
        <v>0</v>
      </c>
      <c r="U94">
        <v>0</v>
      </c>
      <c r="V94">
        <v>0</v>
      </c>
      <c r="W94">
        <v>1</v>
      </c>
      <c r="X94">
        <v>0</v>
      </c>
      <c r="Y94">
        <v>1</v>
      </c>
      <c r="Z94">
        <v>0</v>
      </c>
      <c r="AA94">
        <v>0</v>
      </c>
      <c r="AB94">
        <v>0</v>
      </c>
      <c r="AC94">
        <v>1</v>
      </c>
      <c r="AD94">
        <v>1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1</v>
      </c>
      <c r="AK94">
        <v>1</v>
      </c>
      <c r="AL94">
        <v>1</v>
      </c>
      <c r="AM94">
        <v>1</v>
      </c>
    </row>
    <row r="95" spans="1:39" x14ac:dyDescent="0.2">
      <c r="A95" t="str">
        <f>"91"</f>
        <v>91</v>
      </c>
      <c r="B95" t="str">
        <f t="shared" si="3"/>
        <v>1</v>
      </c>
      <c r="C95" t="str">
        <f t="shared" si="5"/>
        <v>2</v>
      </c>
      <c r="D95" t="str">
        <f>"1"</f>
        <v>1</v>
      </c>
      <c r="E95" t="str">
        <f>"1-2-1"</f>
        <v>1-2-1</v>
      </c>
      <c r="F95" t="s">
        <v>65</v>
      </c>
      <c r="G95" t="s">
        <v>66</v>
      </c>
      <c r="H95" t="s">
        <v>67</v>
      </c>
      <c r="S95">
        <v>1</v>
      </c>
      <c r="T95">
        <v>0</v>
      </c>
      <c r="U95">
        <v>0</v>
      </c>
      <c r="V95">
        <v>0</v>
      </c>
      <c r="W95">
        <v>1</v>
      </c>
      <c r="X95">
        <v>0</v>
      </c>
      <c r="Y95">
        <v>0</v>
      </c>
      <c r="Z95">
        <v>1</v>
      </c>
      <c r="AA95">
        <v>1</v>
      </c>
      <c r="AB95">
        <v>0</v>
      </c>
      <c r="AC95">
        <v>0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</row>
    <row r="96" spans="1:39" x14ac:dyDescent="0.2">
      <c r="A96" t="str">
        <f>"92"</f>
        <v>92</v>
      </c>
      <c r="B96" t="str">
        <f t="shared" si="3"/>
        <v>1</v>
      </c>
      <c r="C96" t="str">
        <f t="shared" si="5"/>
        <v>2</v>
      </c>
      <c r="D96" t="str">
        <f>"44"</f>
        <v>44</v>
      </c>
      <c r="E96" t="str">
        <f>"1-2-44"</f>
        <v>1-2-44</v>
      </c>
      <c r="F96" t="s">
        <v>65</v>
      </c>
      <c r="G96" t="s">
        <v>66</v>
      </c>
      <c r="H96" t="s">
        <v>67</v>
      </c>
      <c r="S96">
        <v>1</v>
      </c>
      <c r="T96">
        <v>0</v>
      </c>
      <c r="U96">
        <v>0</v>
      </c>
      <c r="V96">
        <v>0</v>
      </c>
      <c r="W96">
        <v>1</v>
      </c>
      <c r="X96">
        <v>0</v>
      </c>
      <c r="Y96">
        <v>0</v>
      </c>
      <c r="Z96">
        <v>1</v>
      </c>
      <c r="AA96">
        <v>0</v>
      </c>
      <c r="AB96">
        <v>0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1</v>
      </c>
    </row>
    <row r="97" spans="1:39" x14ac:dyDescent="0.2">
      <c r="A97" t="str">
        <f>"93"</f>
        <v>93</v>
      </c>
      <c r="B97" t="str">
        <f t="shared" si="3"/>
        <v>1</v>
      </c>
      <c r="C97" t="str">
        <f t="shared" si="5"/>
        <v>2</v>
      </c>
      <c r="D97" t="str">
        <f>"28"</f>
        <v>28</v>
      </c>
      <c r="E97" t="str">
        <f>"1-2-28"</f>
        <v>1-2-28</v>
      </c>
      <c r="F97" t="s">
        <v>65</v>
      </c>
      <c r="G97" t="s">
        <v>66</v>
      </c>
      <c r="H97" t="s">
        <v>67</v>
      </c>
      <c r="S97">
        <v>0</v>
      </c>
      <c r="T97">
        <v>1</v>
      </c>
      <c r="U97">
        <v>0</v>
      </c>
      <c r="V97">
        <v>0</v>
      </c>
      <c r="W97">
        <v>1</v>
      </c>
      <c r="X97">
        <v>0</v>
      </c>
      <c r="Y97">
        <v>0</v>
      </c>
      <c r="Z97">
        <v>1</v>
      </c>
      <c r="AA97">
        <v>0</v>
      </c>
      <c r="AB97">
        <v>0</v>
      </c>
      <c r="AC97">
        <v>1</v>
      </c>
      <c r="AD97">
        <v>0</v>
      </c>
      <c r="AE97">
        <v>1</v>
      </c>
      <c r="AF97">
        <v>0</v>
      </c>
      <c r="AG97">
        <v>0</v>
      </c>
      <c r="AH97">
        <v>1</v>
      </c>
      <c r="AI97">
        <v>1</v>
      </c>
      <c r="AJ97">
        <v>1</v>
      </c>
      <c r="AK97">
        <v>1</v>
      </c>
      <c r="AL97">
        <v>0</v>
      </c>
      <c r="AM97">
        <v>1</v>
      </c>
    </row>
    <row r="98" spans="1:39" x14ac:dyDescent="0.2">
      <c r="A98" t="str">
        <f>"94"</f>
        <v>94</v>
      </c>
      <c r="B98" t="str">
        <f t="shared" si="3"/>
        <v>1</v>
      </c>
      <c r="C98" t="str">
        <f t="shared" si="5"/>
        <v>2</v>
      </c>
      <c r="D98" t="str">
        <f>"10"</f>
        <v>10</v>
      </c>
      <c r="E98" t="str">
        <f>"1-2-10"</f>
        <v>1-2-10</v>
      </c>
      <c r="F98" t="s">
        <v>65</v>
      </c>
      <c r="G98" t="s">
        <v>66</v>
      </c>
      <c r="H98" t="s">
        <v>67</v>
      </c>
      <c r="S98">
        <v>0</v>
      </c>
      <c r="T98">
        <v>1</v>
      </c>
      <c r="U98">
        <v>0</v>
      </c>
      <c r="V98">
        <v>0</v>
      </c>
      <c r="W98">
        <v>1</v>
      </c>
      <c r="X98">
        <v>0</v>
      </c>
      <c r="Y98">
        <v>1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1</v>
      </c>
      <c r="AF98">
        <v>1</v>
      </c>
      <c r="AG98">
        <v>1</v>
      </c>
      <c r="AH98">
        <v>0</v>
      </c>
      <c r="AI98">
        <v>1</v>
      </c>
      <c r="AJ98">
        <v>0</v>
      </c>
      <c r="AK98">
        <v>1</v>
      </c>
      <c r="AL98">
        <v>1</v>
      </c>
      <c r="AM98">
        <v>1</v>
      </c>
    </row>
    <row r="99" spans="1:39" x14ac:dyDescent="0.2">
      <c r="A99" t="str">
        <f>"95"</f>
        <v>95</v>
      </c>
      <c r="B99" t="str">
        <f t="shared" si="3"/>
        <v>1</v>
      </c>
      <c r="C99" t="str">
        <f t="shared" si="5"/>
        <v>2</v>
      </c>
      <c r="D99" t="str">
        <f>"47"</f>
        <v>47</v>
      </c>
      <c r="E99" t="str">
        <f>"1-2-47"</f>
        <v>1-2-47</v>
      </c>
      <c r="F99" t="s">
        <v>65</v>
      </c>
      <c r="G99" t="s">
        <v>66</v>
      </c>
      <c r="H99" t="s">
        <v>67</v>
      </c>
      <c r="S99">
        <v>1</v>
      </c>
      <c r="T99">
        <v>0</v>
      </c>
      <c r="U99">
        <v>0</v>
      </c>
      <c r="V99">
        <v>0</v>
      </c>
      <c r="W99">
        <v>1</v>
      </c>
      <c r="X99">
        <v>0</v>
      </c>
      <c r="Y99">
        <v>0</v>
      </c>
      <c r="Z99">
        <v>1</v>
      </c>
      <c r="AA99">
        <v>0</v>
      </c>
      <c r="AB99">
        <v>0</v>
      </c>
      <c r="AC99">
        <v>1</v>
      </c>
      <c r="AD99">
        <v>1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1</v>
      </c>
      <c r="AL99">
        <v>1</v>
      </c>
      <c r="AM99">
        <v>1</v>
      </c>
    </row>
    <row r="100" spans="1:39" x14ac:dyDescent="0.2">
      <c r="A100" t="str">
        <f>"96"</f>
        <v>96</v>
      </c>
      <c r="B100" t="str">
        <f t="shared" si="3"/>
        <v>1</v>
      </c>
      <c r="C100" t="str">
        <f t="shared" si="5"/>
        <v>2</v>
      </c>
      <c r="D100" t="str">
        <f>"29"</f>
        <v>29</v>
      </c>
      <c r="E100" t="str">
        <f>"1-2-29"</f>
        <v>1-2-29</v>
      </c>
      <c r="F100" t="s">
        <v>65</v>
      </c>
      <c r="G100" t="s">
        <v>66</v>
      </c>
      <c r="H100" t="s">
        <v>67</v>
      </c>
      <c r="S100">
        <v>1</v>
      </c>
      <c r="T100">
        <v>0</v>
      </c>
      <c r="U100">
        <v>0</v>
      </c>
      <c r="V100">
        <v>0</v>
      </c>
      <c r="W100">
        <v>1</v>
      </c>
      <c r="X100">
        <v>0</v>
      </c>
      <c r="Y100">
        <v>1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1</v>
      </c>
      <c r="AM100">
        <v>1</v>
      </c>
    </row>
    <row r="101" spans="1:39" x14ac:dyDescent="0.2">
      <c r="A101" t="str">
        <f>"97"</f>
        <v>97</v>
      </c>
      <c r="B101" t="str">
        <f t="shared" si="3"/>
        <v>1</v>
      </c>
      <c r="C101" t="str">
        <f t="shared" si="5"/>
        <v>2</v>
      </c>
      <c r="D101" t="str">
        <f>"11"</f>
        <v>11</v>
      </c>
      <c r="E101" t="str">
        <f>"1-2-11"</f>
        <v>1-2-11</v>
      </c>
      <c r="F101" t="s">
        <v>65</v>
      </c>
      <c r="G101" t="s">
        <v>66</v>
      </c>
      <c r="H101" t="s">
        <v>67</v>
      </c>
      <c r="S101">
        <v>1</v>
      </c>
      <c r="T101">
        <v>0</v>
      </c>
      <c r="U101">
        <v>0</v>
      </c>
      <c r="V101">
        <v>0</v>
      </c>
      <c r="W101">
        <v>1</v>
      </c>
      <c r="X101">
        <v>0</v>
      </c>
      <c r="Y101">
        <v>1</v>
      </c>
      <c r="Z101">
        <v>0</v>
      </c>
      <c r="AA101">
        <v>0</v>
      </c>
      <c r="AB101">
        <v>1</v>
      </c>
      <c r="AC101">
        <v>0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M101">
        <v>1</v>
      </c>
    </row>
    <row r="102" spans="1:39" x14ac:dyDescent="0.2">
      <c r="A102" t="str">
        <f>"98"</f>
        <v>98</v>
      </c>
      <c r="B102" t="str">
        <f t="shared" si="3"/>
        <v>1</v>
      </c>
      <c r="C102" t="str">
        <f t="shared" si="5"/>
        <v>2</v>
      </c>
      <c r="D102" t="str">
        <f>"48"</f>
        <v>48</v>
      </c>
      <c r="E102" t="str">
        <f>"1-2-48"</f>
        <v>1-2-48</v>
      </c>
      <c r="F102" t="s">
        <v>65</v>
      </c>
      <c r="G102" t="s">
        <v>66</v>
      </c>
      <c r="H102" t="s">
        <v>67</v>
      </c>
      <c r="S102">
        <v>0</v>
      </c>
      <c r="T102">
        <v>1</v>
      </c>
      <c r="U102">
        <v>0</v>
      </c>
      <c r="V102">
        <v>0</v>
      </c>
      <c r="W102">
        <v>1</v>
      </c>
      <c r="X102">
        <v>0</v>
      </c>
      <c r="Y102">
        <v>1</v>
      </c>
      <c r="Z102">
        <v>0</v>
      </c>
      <c r="AA102">
        <v>0</v>
      </c>
      <c r="AB102">
        <v>1</v>
      </c>
      <c r="AC102">
        <v>0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</row>
    <row r="103" spans="1:39" x14ac:dyDescent="0.2">
      <c r="A103" t="str">
        <f>"99"</f>
        <v>99</v>
      </c>
      <c r="B103" t="str">
        <f t="shared" si="3"/>
        <v>1</v>
      </c>
      <c r="C103" t="str">
        <f t="shared" si="5"/>
        <v>2</v>
      </c>
      <c r="D103" t="str">
        <f>"30"</f>
        <v>30</v>
      </c>
      <c r="E103" t="str">
        <f>"1-2-30"</f>
        <v>1-2-30</v>
      </c>
      <c r="F103" t="s">
        <v>65</v>
      </c>
      <c r="G103" t="s">
        <v>66</v>
      </c>
      <c r="H103" t="s">
        <v>67</v>
      </c>
      <c r="S103">
        <v>1</v>
      </c>
      <c r="T103">
        <v>0</v>
      </c>
      <c r="U103">
        <v>0</v>
      </c>
      <c r="V103">
        <v>0</v>
      </c>
      <c r="W103">
        <v>1</v>
      </c>
      <c r="X103">
        <v>0</v>
      </c>
      <c r="Y103">
        <v>1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</row>
    <row r="104" spans="1:39" x14ac:dyDescent="0.2">
      <c r="A104" t="str">
        <f>"100"</f>
        <v>100</v>
      </c>
      <c r="B104" t="str">
        <f t="shared" si="3"/>
        <v>1</v>
      </c>
      <c r="C104" t="str">
        <f t="shared" si="5"/>
        <v>2</v>
      </c>
      <c r="D104" t="str">
        <f>"4"</f>
        <v>4</v>
      </c>
      <c r="E104" t="str">
        <f>"1-2-4"</f>
        <v>1-2-4</v>
      </c>
      <c r="F104" t="s">
        <v>65</v>
      </c>
      <c r="G104" t="s">
        <v>66</v>
      </c>
      <c r="H104" t="s">
        <v>67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1</v>
      </c>
      <c r="Y104">
        <v>0</v>
      </c>
      <c r="Z104">
        <v>1</v>
      </c>
      <c r="AA104">
        <v>0</v>
      </c>
      <c r="AB104">
        <v>1</v>
      </c>
      <c r="AC104">
        <v>0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</row>
    <row r="105" spans="1:39" x14ac:dyDescent="0.2">
      <c r="A105" t="str">
        <f>"101"</f>
        <v>101</v>
      </c>
      <c r="B105" t="str">
        <f t="shared" si="3"/>
        <v>1</v>
      </c>
      <c r="C105" t="str">
        <f t="shared" ref="C105:C136" si="6">"3"</f>
        <v>3</v>
      </c>
      <c r="D105" t="str">
        <f>"46"</f>
        <v>46</v>
      </c>
      <c r="E105" t="str">
        <f>"1-3-46"</f>
        <v>1-3-46</v>
      </c>
      <c r="F105" t="s">
        <v>65</v>
      </c>
      <c r="G105" t="s">
        <v>66</v>
      </c>
      <c r="H105" t="s">
        <v>67</v>
      </c>
      <c r="S105">
        <v>1</v>
      </c>
      <c r="T105">
        <v>0</v>
      </c>
      <c r="U105">
        <v>0</v>
      </c>
      <c r="V105">
        <v>0</v>
      </c>
      <c r="W105">
        <v>0</v>
      </c>
      <c r="X105">
        <v>1</v>
      </c>
      <c r="Y105">
        <v>1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</row>
    <row r="106" spans="1:39" x14ac:dyDescent="0.2">
      <c r="A106" t="str">
        <f>"102"</f>
        <v>102</v>
      </c>
      <c r="B106" t="str">
        <f t="shared" si="3"/>
        <v>1</v>
      </c>
      <c r="C106" t="str">
        <f t="shared" si="6"/>
        <v>3</v>
      </c>
      <c r="D106" t="str">
        <f>"45"</f>
        <v>45</v>
      </c>
      <c r="E106" t="str">
        <f>"1-3-45"</f>
        <v>1-3-45</v>
      </c>
      <c r="F106" t="s">
        <v>65</v>
      </c>
      <c r="G106" t="s">
        <v>66</v>
      </c>
      <c r="H106" t="s">
        <v>67</v>
      </c>
      <c r="S106">
        <v>0</v>
      </c>
      <c r="T106">
        <v>1</v>
      </c>
      <c r="U106">
        <v>0</v>
      </c>
      <c r="V106">
        <v>0</v>
      </c>
      <c r="W106">
        <v>0</v>
      </c>
      <c r="X106">
        <v>1</v>
      </c>
      <c r="Y106">
        <v>0</v>
      </c>
      <c r="Z106">
        <v>1</v>
      </c>
      <c r="AA106">
        <v>0</v>
      </c>
      <c r="AB106">
        <v>1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</row>
    <row r="107" spans="1:39" x14ac:dyDescent="0.2">
      <c r="A107" t="str">
        <f>"103"</f>
        <v>103</v>
      </c>
      <c r="B107" t="str">
        <f t="shared" si="3"/>
        <v>1</v>
      </c>
      <c r="C107" t="str">
        <f t="shared" si="6"/>
        <v>3</v>
      </c>
      <c r="D107" t="str">
        <f>"32"</f>
        <v>32</v>
      </c>
      <c r="E107" t="str">
        <f>"1-3-32"</f>
        <v>1-3-32</v>
      </c>
      <c r="F107" t="s">
        <v>65</v>
      </c>
      <c r="G107" t="s">
        <v>66</v>
      </c>
      <c r="H107" t="s">
        <v>67</v>
      </c>
      <c r="S107">
        <v>0</v>
      </c>
      <c r="T107">
        <v>1</v>
      </c>
      <c r="U107">
        <v>0</v>
      </c>
      <c r="V107">
        <v>0</v>
      </c>
      <c r="W107">
        <v>1</v>
      </c>
      <c r="X107">
        <v>0</v>
      </c>
      <c r="Y107">
        <v>1</v>
      </c>
      <c r="Z107">
        <v>0</v>
      </c>
      <c r="AA107">
        <v>0</v>
      </c>
      <c r="AB107">
        <v>0</v>
      </c>
      <c r="AC107">
        <v>1</v>
      </c>
      <c r="AD107">
        <v>1</v>
      </c>
      <c r="AE107">
        <v>1</v>
      </c>
      <c r="AF107">
        <v>1</v>
      </c>
      <c r="AG107">
        <v>1</v>
      </c>
      <c r="AH107">
        <v>1</v>
      </c>
      <c r="AI107">
        <v>1</v>
      </c>
      <c r="AJ107">
        <v>1</v>
      </c>
      <c r="AK107">
        <v>1</v>
      </c>
      <c r="AL107">
        <v>1</v>
      </c>
      <c r="AM107">
        <v>1</v>
      </c>
    </row>
    <row r="108" spans="1:39" x14ac:dyDescent="0.2">
      <c r="A108" t="str">
        <f>"104"</f>
        <v>104</v>
      </c>
      <c r="B108" t="str">
        <f t="shared" si="3"/>
        <v>1</v>
      </c>
      <c r="C108" t="str">
        <f t="shared" si="6"/>
        <v>3</v>
      </c>
      <c r="D108" t="str">
        <f>"31"</f>
        <v>31</v>
      </c>
      <c r="E108" t="str">
        <f>"1-3-31"</f>
        <v>1-3-31</v>
      </c>
      <c r="F108" t="s">
        <v>65</v>
      </c>
      <c r="G108" t="s">
        <v>66</v>
      </c>
      <c r="H108" t="s">
        <v>67</v>
      </c>
      <c r="S108">
        <v>1</v>
      </c>
      <c r="T108">
        <v>0</v>
      </c>
      <c r="U108">
        <v>0</v>
      </c>
      <c r="V108">
        <v>0</v>
      </c>
      <c r="W108">
        <v>1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1</v>
      </c>
      <c r="AD108">
        <v>1</v>
      </c>
      <c r="AE108">
        <v>1</v>
      </c>
      <c r="AF108">
        <v>1</v>
      </c>
      <c r="AG108">
        <v>1</v>
      </c>
      <c r="AH108">
        <v>1</v>
      </c>
      <c r="AI108">
        <v>1</v>
      </c>
      <c r="AJ108">
        <v>1</v>
      </c>
      <c r="AK108">
        <v>1</v>
      </c>
      <c r="AL108">
        <v>1</v>
      </c>
      <c r="AM108">
        <v>1</v>
      </c>
    </row>
    <row r="109" spans="1:39" x14ac:dyDescent="0.2">
      <c r="A109" t="str">
        <f>"105"</f>
        <v>105</v>
      </c>
      <c r="B109" t="str">
        <f t="shared" si="3"/>
        <v>1</v>
      </c>
      <c r="C109" t="str">
        <f t="shared" si="6"/>
        <v>3</v>
      </c>
      <c r="D109" t="str">
        <f>"23"</f>
        <v>23</v>
      </c>
      <c r="E109" t="str">
        <f>"1-3-23"</f>
        <v>1-3-23</v>
      </c>
      <c r="F109" t="s">
        <v>65</v>
      </c>
      <c r="G109" t="s">
        <v>66</v>
      </c>
      <c r="H109" t="s">
        <v>67</v>
      </c>
      <c r="S109">
        <v>1</v>
      </c>
      <c r="T109">
        <v>0</v>
      </c>
      <c r="U109">
        <v>0</v>
      </c>
      <c r="V109">
        <v>0</v>
      </c>
      <c r="W109">
        <v>1</v>
      </c>
      <c r="X109">
        <v>0</v>
      </c>
      <c r="Y109">
        <v>1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</row>
    <row r="110" spans="1:39" x14ac:dyDescent="0.2">
      <c r="A110" t="str">
        <f>"106"</f>
        <v>106</v>
      </c>
      <c r="B110" t="str">
        <f t="shared" si="3"/>
        <v>1</v>
      </c>
      <c r="C110" t="str">
        <f t="shared" si="6"/>
        <v>3</v>
      </c>
      <c r="D110" t="str">
        <f>"15"</f>
        <v>15</v>
      </c>
      <c r="E110" t="str">
        <f>"1-3-15"</f>
        <v>1-3-15</v>
      </c>
      <c r="F110" t="s">
        <v>65</v>
      </c>
      <c r="G110" t="s">
        <v>66</v>
      </c>
      <c r="H110" t="s">
        <v>67</v>
      </c>
      <c r="S110">
        <v>1</v>
      </c>
      <c r="T110">
        <v>0</v>
      </c>
      <c r="U110">
        <v>0</v>
      </c>
      <c r="V110">
        <v>0</v>
      </c>
      <c r="W110">
        <v>1</v>
      </c>
      <c r="X110">
        <v>0</v>
      </c>
      <c r="Y110">
        <v>1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1</v>
      </c>
    </row>
    <row r="111" spans="1:39" x14ac:dyDescent="0.2">
      <c r="A111" t="str">
        <f>"107"</f>
        <v>107</v>
      </c>
      <c r="B111" t="str">
        <f t="shared" si="3"/>
        <v>1</v>
      </c>
      <c r="C111" t="str">
        <f t="shared" si="6"/>
        <v>3</v>
      </c>
      <c r="D111" t="str">
        <f>"42"</f>
        <v>42</v>
      </c>
      <c r="E111" t="str">
        <f>"1-3-42"</f>
        <v>1-3-42</v>
      </c>
      <c r="F111" t="s">
        <v>65</v>
      </c>
      <c r="G111" t="s">
        <v>66</v>
      </c>
      <c r="H111" t="s">
        <v>67</v>
      </c>
      <c r="S111">
        <v>1</v>
      </c>
      <c r="T111">
        <v>0</v>
      </c>
      <c r="U111">
        <v>0</v>
      </c>
      <c r="V111">
        <v>0</v>
      </c>
      <c r="W111">
        <v>1</v>
      </c>
      <c r="X111">
        <v>0</v>
      </c>
      <c r="Y111">
        <v>1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1</v>
      </c>
      <c r="AM111">
        <v>1</v>
      </c>
    </row>
    <row r="112" spans="1:39" x14ac:dyDescent="0.2">
      <c r="A112" t="str">
        <f>"108"</f>
        <v>108</v>
      </c>
      <c r="B112" t="str">
        <f t="shared" si="3"/>
        <v>1</v>
      </c>
      <c r="C112" t="str">
        <f t="shared" si="6"/>
        <v>3</v>
      </c>
      <c r="D112" t="str">
        <f>"41"</f>
        <v>41</v>
      </c>
      <c r="E112" t="str">
        <f>"1-3-41"</f>
        <v>1-3-41</v>
      </c>
      <c r="F112" t="s">
        <v>65</v>
      </c>
      <c r="G112" t="s">
        <v>66</v>
      </c>
      <c r="H112" t="s">
        <v>67</v>
      </c>
      <c r="S112">
        <v>1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1</v>
      </c>
      <c r="Z112">
        <v>0</v>
      </c>
      <c r="AA112">
        <v>0</v>
      </c>
      <c r="AB112">
        <v>1</v>
      </c>
      <c r="AC112">
        <v>0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1</v>
      </c>
      <c r="AL112">
        <v>1</v>
      </c>
      <c r="AM112">
        <v>1</v>
      </c>
    </row>
    <row r="113" spans="1:39" x14ac:dyDescent="0.2">
      <c r="A113" t="str">
        <f>"109"</f>
        <v>109</v>
      </c>
      <c r="B113" t="str">
        <f t="shared" si="3"/>
        <v>1</v>
      </c>
      <c r="C113" t="str">
        <f t="shared" si="6"/>
        <v>3</v>
      </c>
      <c r="D113" t="str">
        <f>"30"</f>
        <v>30</v>
      </c>
      <c r="E113" t="str">
        <f>"1-3-30"</f>
        <v>1-3-30</v>
      </c>
      <c r="F113" t="s">
        <v>65</v>
      </c>
      <c r="G113" t="s">
        <v>66</v>
      </c>
      <c r="H113" t="s">
        <v>67</v>
      </c>
      <c r="S113">
        <v>0</v>
      </c>
      <c r="T113">
        <v>0</v>
      </c>
      <c r="U113">
        <v>0</v>
      </c>
      <c r="V113">
        <v>0</v>
      </c>
      <c r="W113">
        <v>1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  <c r="AL113">
        <v>1</v>
      </c>
      <c r="AM113">
        <v>1</v>
      </c>
    </row>
    <row r="114" spans="1:39" x14ac:dyDescent="0.2">
      <c r="A114" t="str">
        <f>"110"</f>
        <v>110</v>
      </c>
      <c r="B114" t="str">
        <f t="shared" si="3"/>
        <v>1</v>
      </c>
      <c r="C114" t="str">
        <f t="shared" si="6"/>
        <v>3</v>
      </c>
      <c r="D114" t="str">
        <f>"16"</f>
        <v>16</v>
      </c>
      <c r="E114" t="str">
        <f>"1-3-16"</f>
        <v>1-3-16</v>
      </c>
      <c r="F114" t="s">
        <v>65</v>
      </c>
      <c r="G114" t="s">
        <v>66</v>
      </c>
      <c r="H114" t="s">
        <v>67</v>
      </c>
      <c r="S114">
        <v>1</v>
      </c>
      <c r="T114">
        <v>0</v>
      </c>
      <c r="U114">
        <v>0</v>
      </c>
      <c r="V114">
        <v>0</v>
      </c>
      <c r="W114">
        <v>1</v>
      </c>
      <c r="X114">
        <v>0</v>
      </c>
      <c r="Y114">
        <v>1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1</v>
      </c>
      <c r="AF114">
        <v>1</v>
      </c>
      <c r="AG114">
        <v>1</v>
      </c>
      <c r="AH114">
        <v>1</v>
      </c>
      <c r="AI114">
        <v>1</v>
      </c>
      <c r="AJ114">
        <v>1</v>
      </c>
      <c r="AK114">
        <v>1</v>
      </c>
      <c r="AL114">
        <v>1</v>
      </c>
      <c r="AM114">
        <v>1</v>
      </c>
    </row>
    <row r="115" spans="1:39" x14ac:dyDescent="0.2">
      <c r="A115" t="str">
        <f>"111"</f>
        <v>111</v>
      </c>
      <c r="B115" t="str">
        <f t="shared" si="3"/>
        <v>1</v>
      </c>
      <c r="C115" t="str">
        <f t="shared" si="6"/>
        <v>3</v>
      </c>
      <c r="D115" t="str">
        <f>"50"</f>
        <v>50</v>
      </c>
      <c r="E115" t="str">
        <f>"1-3-50"</f>
        <v>1-3-50</v>
      </c>
      <c r="F115" t="s">
        <v>65</v>
      </c>
      <c r="G115" t="s">
        <v>66</v>
      </c>
      <c r="H115" t="s">
        <v>67</v>
      </c>
      <c r="S115">
        <v>0</v>
      </c>
      <c r="T115">
        <v>0</v>
      </c>
      <c r="U115">
        <v>0</v>
      </c>
      <c r="V115">
        <v>0</v>
      </c>
      <c r="W115">
        <v>1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</row>
    <row r="116" spans="1:39" x14ac:dyDescent="0.2">
      <c r="A116" t="str">
        <f>"112"</f>
        <v>112</v>
      </c>
      <c r="B116" t="str">
        <f t="shared" si="3"/>
        <v>1</v>
      </c>
      <c r="C116" t="str">
        <f t="shared" si="6"/>
        <v>3</v>
      </c>
      <c r="D116" t="str">
        <f>"49"</f>
        <v>49</v>
      </c>
      <c r="E116" t="str">
        <f>"1-3-49"</f>
        <v>1-3-49</v>
      </c>
      <c r="F116" t="s">
        <v>65</v>
      </c>
      <c r="G116" t="s">
        <v>66</v>
      </c>
      <c r="H116" t="s">
        <v>67</v>
      </c>
      <c r="S116">
        <v>1</v>
      </c>
      <c r="T116">
        <v>0</v>
      </c>
      <c r="U116">
        <v>0</v>
      </c>
      <c r="V116">
        <v>0</v>
      </c>
      <c r="W116">
        <v>1</v>
      </c>
      <c r="X116">
        <v>0</v>
      </c>
      <c r="Y116">
        <v>0</v>
      </c>
      <c r="Z116">
        <v>1</v>
      </c>
      <c r="AA116">
        <v>0</v>
      </c>
      <c r="AB116">
        <v>1</v>
      </c>
      <c r="AC116">
        <v>0</v>
      </c>
      <c r="AD116">
        <v>1</v>
      </c>
      <c r="AE116">
        <v>1</v>
      </c>
      <c r="AF116">
        <v>1</v>
      </c>
      <c r="AG116">
        <v>1</v>
      </c>
      <c r="AH116">
        <v>1</v>
      </c>
      <c r="AI116">
        <v>1</v>
      </c>
      <c r="AJ116">
        <v>1</v>
      </c>
      <c r="AK116">
        <v>1</v>
      </c>
      <c r="AL116">
        <v>1</v>
      </c>
      <c r="AM116">
        <v>1</v>
      </c>
    </row>
    <row r="117" spans="1:39" x14ac:dyDescent="0.2">
      <c r="A117" t="str">
        <f>"113"</f>
        <v>113</v>
      </c>
      <c r="B117" t="str">
        <f t="shared" si="3"/>
        <v>1</v>
      </c>
      <c r="C117" t="str">
        <f t="shared" si="6"/>
        <v>3</v>
      </c>
      <c r="D117" t="str">
        <f>"33"</f>
        <v>33</v>
      </c>
      <c r="E117" t="str">
        <f>"1-3-33"</f>
        <v>1-3-33</v>
      </c>
      <c r="F117" t="s">
        <v>65</v>
      </c>
      <c r="G117" t="s">
        <v>66</v>
      </c>
      <c r="H117" t="s">
        <v>67</v>
      </c>
      <c r="S117">
        <v>1</v>
      </c>
      <c r="T117">
        <v>0</v>
      </c>
      <c r="U117">
        <v>0</v>
      </c>
      <c r="V117">
        <v>0</v>
      </c>
      <c r="W117">
        <v>1</v>
      </c>
      <c r="X117">
        <v>0</v>
      </c>
      <c r="Y117">
        <v>0</v>
      </c>
      <c r="Z117">
        <v>1</v>
      </c>
      <c r="AA117">
        <v>1</v>
      </c>
      <c r="AB117">
        <v>0</v>
      </c>
      <c r="AC117">
        <v>0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</row>
    <row r="118" spans="1:39" x14ac:dyDescent="0.2">
      <c r="A118" t="str">
        <f>"114"</f>
        <v>114</v>
      </c>
      <c r="B118" t="str">
        <f t="shared" si="3"/>
        <v>1</v>
      </c>
      <c r="C118" t="str">
        <f t="shared" si="6"/>
        <v>3</v>
      </c>
      <c r="D118" t="str">
        <f>"17"</f>
        <v>17</v>
      </c>
      <c r="E118" t="str">
        <f>"1-3-17"</f>
        <v>1-3-17</v>
      </c>
      <c r="F118" t="s">
        <v>65</v>
      </c>
      <c r="G118" t="s">
        <v>66</v>
      </c>
      <c r="H118" t="s">
        <v>67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0</v>
      </c>
      <c r="AB118">
        <v>0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1</v>
      </c>
    </row>
    <row r="119" spans="1:39" x14ac:dyDescent="0.2">
      <c r="A119" t="str">
        <f>"115"</f>
        <v>115</v>
      </c>
      <c r="B119" t="str">
        <f t="shared" ref="B119:B182" si="7">"1"</f>
        <v>1</v>
      </c>
      <c r="C119" t="str">
        <f t="shared" si="6"/>
        <v>3</v>
      </c>
      <c r="D119" t="str">
        <f>"9"</f>
        <v>9</v>
      </c>
      <c r="E119" t="str">
        <f>"1-3-9"</f>
        <v>1-3-9</v>
      </c>
      <c r="F119" t="s">
        <v>65</v>
      </c>
      <c r="G119" t="s">
        <v>66</v>
      </c>
      <c r="H119" t="s">
        <v>67</v>
      </c>
      <c r="S119">
        <v>1</v>
      </c>
      <c r="T119">
        <v>0</v>
      </c>
      <c r="U119">
        <v>0</v>
      </c>
      <c r="V119">
        <v>0</v>
      </c>
      <c r="W119">
        <v>1</v>
      </c>
      <c r="X119">
        <v>0</v>
      </c>
      <c r="Y119">
        <v>1</v>
      </c>
      <c r="Z119">
        <v>0</v>
      </c>
      <c r="AA119">
        <v>0</v>
      </c>
      <c r="AB119">
        <v>1</v>
      </c>
      <c r="AC119">
        <v>0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1</v>
      </c>
    </row>
    <row r="120" spans="1:39" x14ac:dyDescent="0.2">
      <c r="A120" t="str">
        <f>"116"</f>
        <v>116</v>
      </c>
      <c r="B120" t="str">
        <f t="shared" si="7"/>
        <v>1</v>
      </c>
      <c r="C120" t="str">
        <f t="shared" si="6"/>
        <v>3</v>
      </c>
      <c r="D120" t="str">
        <f>"34"</f>
        <v>34</v>
      </c>
      <c r="E120" t="str">
        <f>"1-3-34"</f>
        <v>1-3-34</v>
      </c>
      <c r="F120" t="s">
        <v>65</v>
      </c>
      <c r="G120" t="s">
        <v>66</v>
      </c>
      <c r="H120" t="s">
        <v>67</v>
      </c>
      <c r="S120">
        <v>0</v>
      </c>
      <c r="T120">
        <v>1</v>
      </c>
      <c r="U120">
        <v>0</v>
      </c>
      <c r="V120">
        <v>0</v>
      </c>
      <c r="W120">
        <v>1</v>
      </c>
      <c r="X120">
        <v>0</v>
      </c>
      <c r="Y120">
        <v>0</v>
      </c>
      <c r="Z120">
        <v>1</v>
      </c>
      <c r="AA120">
        <v>0</v>
      </c>
      <c r="AB120">
        <v>1</v>
      </c>
      <c r="AC120">
        <v>0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1</v>
      </c>
      <c r="AL120">
        <v>1</v>
      </c>
      <c r="AM120">
        <v>1</v>
      </c>
    </row>
    <row r="121" spans="1:39" x14ac:dyDescent="0.2">
      <c r="A121" t="str">
        <f>"117"</f>
        <v>117</v>
      </c>
      <c r="B121" t="str">
        <f t="shared" si="7"/>
        <v>1</v>
      </c>
      <c r="C121" t="str">
        <f t="shared" si="6"/>
        <v>3</v>
      </c>
      <c r="D121" t="str">
        <f>"18"</f>
        <v>18</v>
      </c>
      <c r="E121" t="str">
        <f>"1-3-18"</f>
        <v>1-3-18</v>
      </c>
      <c r="F121" t="s">
        <v>65</v>
      </c>
      <c r="G121" t="s">
        <v>66</v>
      </c>
      <c r="H121" t="s">
        <v>67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0</v>
      </c>
      <c r="AB121">
        <v>1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0</v>
      </c>
    </row>
    <row r="122" spans="1:39" x14ac:dyDescent="0.2">
      <c r="A122" t="str">
        <f>"118"</f>
        <v>118</v>
      </c>
      <c r="B122" t="str">
        <f t="shared" si="7"/>
        <v>1</v>
      </c>
      <c r="C122" t="str">
        <f t="shared" si="6"/>
        <v>3</v>
      </c>
      <c r="D122" t="str">
        <f>"4"</f>
        <v>4</v>
      </c>
      <c r="E122" t="str">
        <f>"1-3-4"</f>
        <v>1-3-4</v>
      </c>
      <c r="F122" t="s">
        <v>65</v>
      </c>
      <c r="G122" t="s">
        <v>66</v>
      </c>
      <c r="H122" t="s">
        <v>67</v>
      </c>
      <c r="S122">
        <v>0</v>
      </c>
      <c r="T122">
        <v>1</v>
      </c>
      <c r="U122">
        <v>0</v>
      </c>
      <c r="V122">
        <v>0</v>
      </c>
      <c r="W122">
        <v>1</v>
      </c>
      <c r="X122">
        <v>0</v>
      </c>
      <c r="Y122">
        <v>0</v>
      </c>
      <c r="Z122">
        <v>1</v>
      </c>
      <c r="AA122">
        <v>1</v>
      </c>
      <c r="AB122">
        <v>0</v>
      </c>
      <c r="AC122">
        <v>0</v>
      </c>
      <c r="AD122">
        <v>1</v>
      </c>
      <c r="AE122">
        <v>1</v>
      </c>
      <c r="AF122">
        <v>1</v>
      </c>
      <c r="AG122">
        <v>1</v>
      </c>
      <c r="AH122">
        <v>1</v>
      </c>
      <c r="AI122">
        <v>1</v>
      </c>
      <c r="AJ122">
        <v>1</v>
      </c>
      <c r="AK122">
        <v>1</v>
      </c>
      <c r="AL122">
        <v>1</v>
      </c>
      <c r="AM122">
        <v>1</v>
      </c>
    </row>
    <row r="123" spans="1:39" x14ac:dyDescent="0.2">
      <c r="A123" t="str">
        <f>"119"</f>
        <v>119</v>
      </c>
      <c r="B123" t="str">
        <f t="shared" si="7"/>
        <v>1</v>
      </c>
      <c r="C123" t="str">
        <f t="shared" si="6"/>
        <v>3</v>
      </c>
      <c r="D123" t="str">
        <f>"36"</f>
        <v>36</v>
      </c>
      <c r="E123" t="str">
        <f>"1-3-36"</f>
        <v>1-3-36</v>
      </c>
      <c r="F123" t="s">
        <v>65</v>
      </c>
      <c r="G123" t="s">
        <v>66</v>
      </c>
      <c r="H123" t="s">
        <v>67</v>
      </c>
      <c r="S123">
        <v>0</v>
      </c>
      <c r="T123">
        <v>1</v>
      </c>
      <c r="U123">
        <v>0</v>
      </c>
      <c r="V123">
        <v>0</v>
      </c>
      <c r="W123">
        <v>1</v>
      </c>
      <c r="X123">
        <v>0</v>
      </c>
      <c r="Y123">
        <v>0</v>
      </c>
      <c r="Z123">
        <v>1</v>
      </c>
      <c r="AA123">
        <v>1</v>
      </c>
      <c r="AB123">
        <v>0</v>
      </c>
      <c r="AC123">
        <v>0</v>
      </c>
      <c r="AD123">
        <v>1</v>
      </c>
      <c r="AE123">
        <v>1</v>
      </c>
      <c r="AF123">
        <v>1</v>
      </c>
      <c r="AG123">
        <v>1</v>
      </c>
      <c r="AH123">
        <v>1</v>
      </c>
      <c r="AI123">
        <v>1</v>
      </c>
      <c r="AJ123">
        <v>1</v>
      </c>
      <c r="AK123">
        <v>1</v>
      </c>
      <c r="AL123">
        <v>1</v>
      </c>
      <c r="AM123">
        <v>1</v>
      </c>
    </row>
    <row r="124" spans="1:39" x14ac:dyDescent="0.2">
      <c r="A124" t="str">
        <f>"120"</f>
        <v>120</v>
      </c>
      <c r="B124" t="str">
        <f t="shared" si="7"/>
        <v>1</v>
      </c>
      <c r="C124" t="str">
        <f t="shared" si="6"/>
        <v>3</v>
      </c>
      <c r="D124" t="str">
        <f>"19"</f>
        <v>19</v>
      </c>
      <c r="E124" t="str">
        <f>"1-3-19"</f>
        <v>1-3-19</v>
      </c>
      <c r="F124" t="s">
        <v>65</v>
      </c>
      <c r="G124" t="s">
        <v>66</v>
      </c>
      <c r="H124" t="s">
        <v>67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1</v>
      </c>
      <c r="Y124">
        <v>1</v>
      </c>
      <c r="Z124">
        <v>0</v>
      </c>
      <c r="AA124">
        <v>0</v>
      </c>
      <c r="AB124">
        <v>1</v>
      </c>
      <c r="AC124">
        <v>0</v>
      </c>
      <c r="AD124">
        <v>1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1</v>
      </c>
      <c r="AK124">
        <v>1</v>
      </c>
      <c r="AL124">
        <v>1</v>
      </c>
      <c r="AM124">
        <v>1</v>
      </c>
    </row>
    <row r="125" spans="1:39" x14ac:dyDescent="0.2">
      <c r="A125" t="str">
        <f>"121"</f>
        <v>121</v>
      </c>
      <c r="B125" t="str">
        <f t="shared" si="7"/>
        <v>1</v>
      </c>
      <c r="C125" t="str">
        <f t="shared" si="6"/>
        <v>3</v>
      </c>
      <c r="D125" t="str">
        <f>"13"</f>
        <v>13</v>
      </c>
      <c r="E125" t="str">
        <f>"1-3-13"</f>
        <v>1-3-13</v>
      </c>
      <c r="F125" t="s">
        <v>65</v>
      </c>
      <c r="G125" t="s">
        <v>66</v>
      </c>
      <c r="H125" t="s">
        <v>67</v>
      </c>
      <c r="S125">
        <v>1</v>
      </c>
      <c r="T125">
        <v>0</v>
      </c>
      <c r="U125">
        <v>0</v>
      </c>
      <c r="V125">
        <v>0</v>
      </c>
      <c r="W125">
        <v>1</v>
      </c>
      <c r="X125">
        <v>0</v>
      </c>
      <c r="Y125">
        <v>1</v>
      </c>
      <c r="Z125">
        <v>0</v>
      </c>
      <c r="AA125">
        <v>0</v>
      </c>
      <c r="AB125">
        <v>1</v>
      </c>
      <c r="AC125">
        <v>0</v>
      </c>
      <c r="AD125">
        <v>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1</v>
      </c>
      <c r="AK125">
        <v>1</v>
      </c>
      <c r="AL125">
        <v>1</v>
      </c>
      <c r="AM125">
        <v>1</v>
      </c>
    </row>
    <row r="126" spans="1:39" x14ac:dyDescent="0.2">
      <c r="A126" t="str">
        <f>"122"</f>
        <v>122</v>
      </c>
      <c r="B126" t="str">
        <f t="shared" si="7"/>
        <v>1</v>
      </c>
      <c r="C126" t="str">
        <f t="shared" si="6"/>
        <v>3</v>
      </c>
      <c r="D126" t="str">
        <f>"35"</f>
        <v>35</v>
      </c>
      <c r="E126" t="str">
        <f>"1-3-35"</f>
        <v>1-3-35</v>
      </c>
      <c r="F126" t="s">
        <v>65</v>
      </c>
      <c r="G126" t="s">
        <v>66</v>
      </c>
      <c r="H126" t="s">
        <v>67</v>
      </c>
      <c r="S126">
        <v>1</v>
      </c>
      <c r="T126">
        <v>0</v>
      </c>
      <c r="U126">
        <v>0</v>
      </c>
      <c r="V126">
        <v>0</v>
      </c>
      <c r="W126">
        <v>1</v>
      </c>
      <c r="X126">
        <v>0</v>
      </c>
      <c r="Y126">
        <v>1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</row>
    <row r="127" spans="1:39" x14ac:dyDescent="0.2">
      <c r="A127" t="str">
        <f>"123"</f>
        <v>123</v>
      </c>
      <c r="B127" t="str">
        <f t="shared" si="7"/>
        <v>1</v>
      </c>
      <c r="C127" t="str">
        <f t="shared" si="6"/>
        <v>3</v>
      </c>
      <c r="D127" t="str">
        <f>"20"</f>
        <v>20</v>
      </c>
      <c r="E127" t="str">
        <f>"1-3-20"</f>
        <v>1-3-20</v>
      </c>
      <c r="F127" t="s">
        <v>65</v>
      </c>
      <c r="G127" t="s">
        <v>66</v>
      </c>
      <c r="H127" t="s">
        <v>67</v>
      </c>
      <c r="S127">
        <v>0</v>
      </c>
      <c r="T127">
        <v>1</v>
      </c>
      <c r="U127">
        <v>0</v>
      </c>
      <c r="V127">
        <v>0</v>
      </c>
      <c r="W127">
        <v>1</v>
      </c>
      <c r="X127">
        <v>0</v>
      </c>
      <c r="Y127">
        <v>0</v>
      </c>
      <c r="Z127">
        <v>1</v>
      </c>
      <c r="AA127">
        <v>1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</v>
      </c>
      <c r="AH127">
        <v>0</v>
      </c>
      <c r="AI127">
        <v>0</v>
      </c>
      <c r="AJ127">
        <v>0</v>
      </c>
      <c r="AK127">
        <v>0</v>
      </c>
      <c r="AL127">
        <v>1</v>
      </c>
      <c r="AM127">
        <v>0</v>
      </c>
    </row>
    <row r="128" spans="1:39" x14ac:dyDescent="0.2">
      <c r="A128" t="str">
        <f>"124"</f>
        <v>124</v>
      </c>
      <c r="B128" t="str">
        <f t="shared" si="7"/>
        <v>1</v>
      </c>
      <c r="C128" t="str">
        <f t="shared" si="6"/>
        <v>3</v>
      </c>
      <c r="D128" t="str">
        <f>"10"</f>
        <v>10</v>
      </c>
      <c r="E128" t="str">
        <f>"1-3-10"</f>
        <v>1-3-10</v>
      </c>
      <c r="F128" t="s">
        <v>65</v>
      </c>
      <c r="G128" t="s">
        <v>66</v>
      </c>
      <c r="H128" t="s">
        <v>67</v>
      </c>
      <c r="S128">
        <v>1</v>
      </c>
      <c r="T128">
        <v>0</v>
      </c>
      <c r="U128">
        <v>0</v>
      </c>
      <c r="V128">
        <v>0</v>
      </c>
      <c r="W128">
        <v>1</v>
      </c>
      <c r="X128">
        <v>0</v>
      </c>
      <c r="Y128">
        <v>1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1</v>
      </c>
      <c r="AK128">
        <v>1</v>
      </c>
      <c r="AL128">
        <v>1</v>
      </c>
      <c r="AM128">
        <v>1</v>
      </c>
    </row>
    <row r="129" spans="1:39" x14ac:dyDescent="0.2">
      <c r="A129" t="str">
        <f>"125"</f>
        <v>125</v>
      </c>
      <c r="B129" t="str">
        <f t="shared" si="7"/>
        <v>1</v>
      </c>
      <c r="C129" t="str">
        <f t="shared" si="6"/>
        <v>3</v>
      </c>
      <c r="D129" t="str">
        <f>"37"</f>
        <v>37</v>
      </c>
      <c r="E129" t="str">
        <f>"1-3-37"</f>
        <v>1-3-37</v>
      </c>
      <c r="F129" t="s">
        <v>65</v>
      </c>
      <c r="G129" t="s">
        <v>66</v>
      </c>
      <c r="H129" t="s">
        <v>67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1</v>
      </c>
      <c r="AA129">
        <v>0</v>
      </c>
      <c r="AB129">
        <v>0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1</v>
      </c>
      <c r="AM129">
        <v>1</v>
      </c>
    </row>
    <row r="130" spans="1:39" x14ac:dyDescent="0.2">
      <c r="A130" t="str">
        <f>"126"</f>
        <v>126</v>
      </c>
      <c r="B130" t="str">
        <f t="shared" si="7"/>
        <v>1</v>
      </c>
      <c r="C130" t="str">
        <f t="shared" si="6"/>
        <v>3</v>
      </c>
      <c r="D130" t="str">
        <f>"21"</f>
        <v>21</v>
      </c>
      <c r="E130" t="str">
        <f>"1-3-21"</f>
        <v>1-3-21</v>
      </c>
      <c r="F130" t="s">
        <v>65</v>
      </c>
      <c r="G130" t="s">
        <v>66</v>
      </c>
      <c r="H130" t="s">
        <v>67</v>
      </c>
      <c r="S130">
        <v>1</v>
      </c>
      <c r="T130">
        <v>0</v>
      </c>
      <c r="U130">
        <v>0</v>
      </c>
      <c r="V130">
        <v>0</v>
      </c>
      <c r="W130">
        <v>1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</row>
    <row r="131" spans="1:39" x14ac:dyDescent="0.2">
      <c r="A131" t="str">
        <f>"127"</f>
        <v>127</v>
      </c>
      <c r="B131" t="str">
        <f t="shared" si="7"/>
        <v>1</v>
      </c>
      <c r="C131" t="str">
        <f t="shared" si="6"/>
        <v>3</v>
      </c>
      <c r="D131" t="str">
        <f>"11"</f>
        <v>11</v>
      </c>
      <c r="E131" t="str">
        <f>"1-3-11"</f>
        <v>1-3-11</v>
      </c>
      <c r="F131" t="s">
        <v>65</v>
      </c>
      <c r="G131" t="s">
        <v>66</v>
      </c>
      <c r="H131" t="s">
        <v>67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1</v>
      </c>
      <c r="Y131">
        <v>1</v>
      </c>
      <c r="Z131">
        <v>0</v>
      </c>
      <c r="AA131">
        <v>0</v>
      </c>
      <c r="AB131">
        <v>0</v>
      </c>
      <c r="AC131">
        <v>1</v>
      </c>
      <c r="AD131">
        <v>1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  <c r="AL131">
        <v>1</v>
      </c>
      <c r="AM131">
        <v>1</v>
      </c>
    </row>
    <row r="132" spans="1:39" x14ac:dyDescent="0.2">
      <c r="A132" t="str">
        <f>"128"</f>
        <v>128</v>
      </c>
      <c r="B132" t="str">
        <f t="shared" si="7"/>
        <v>1</v>
      </c>
      <c r="C132" t="str">
        <f t="shared" si="6"/>
        <v>3</v>
      </c>
      <c r="D132" t="str">
        <f>"38"</f>
        <v>38</v>
      </c>
      <c r="E132" t="str">
        <f>"1-3-38"</f>
        <v>1-3-38</v>
      </c>
      <c r="F132" t="s">
        <v>65</v>
      </c>
      <c r="G132" t="s">
        <v>66</v>
      </c>
      <c r="H132" t="s">
        <v>67</v>
      </c>
      <c r="S132">
        <v>1</v>
      </c>
      <c r="T132">
        <v>0</v>
      </c>
      <c r="U132">
        <v>0</v>
      </c>
      <c r="V132">
        <v>0</v>
      </c>
      <c r="W132">
        <v>1</v>
      </c>
      <c r="X132">
        <v>0</v>
      </c>
      <c r="Y132">
        <v>0</v>
      </c>
      <c r="Z132">
        <v>1</v>
      </c>
      <c r="AA132">
        <v>1</v>
      </c>
      <c r="AB132">
        <v>0</v>
      </c>
      <c r="AC132">
        <v>0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1</v>
      </c>
      <c r="AM132">
        <v>1</v>
      </c>
    </row>
    <row r="133" spans="1:39" x14ac:dyDescent="0.2">
      <c r="A133" t="str">
        <f>"129"</f>
        <v>129</v>
      </c>
      <c r="B133" t="str">
        <f t="shared" si="7"/>
        <v>1</v>
      </c>
      <c r="C133" t="str">
        <f t="shared" si="6"/>
        <v>3</v>
      </c>
      <c r="D133" t="str">
        <f>"22"</f>
        <v>22</v>
      </c>
      <c r="E133" t="str">
        <f>"1-3-22"</f>
        <v>1-3-22</v>
      </c>
      <c r="F133" t="s">
        <v>65</v>
      </c>
      <c r="G133" t="s">
        <v>66</v>
      </c>
      <c r="H133" t="s">
        <v>67</v>
      </c>
      <c r="S133">
        <v>1</v>
      </c>
      <c r="T133">
        <v>0</v>
      </c>
      <c r="U133">
        <v>0</v>
      </c>
      <c r="V133">
        <v>0</v>
      </c>
      <c r="W133">
        <v>1</v>
      </c>
      <c r="X133">
        <v>0</v>
      </c>
      <c r="Y133">
        <v>0</v>
      </c>
      <c r="Z133">
        <v>1</v>
      </c>
      <c r="AA133">
        <v>0</v>
      </c>
      <c r="AB133">
        <v>1</v>
      </c>
      <c r="AC133">
        <v>0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</row>
    <row r="134" spans="1:39" x14ac:dyDescent="0.2">
      <c r="A134" t="str">
        <f>"130"</f>
        <v>130</v>
      </c>
      <c r="B134" t="str">
        <f t="shared" si="7"/>
        <v>1</v>
      </c>
      <c r="C134" t="str">
        <f t="shared" si="6"/>
        <v>3</v>
      </c>
      <c r="D134" t="str">
        <f>"3"</f>
        <v>3</v>
      </c>
      <c r="E134" t="str">
        <f>"1-3-3"</f>
        <v>1-3-3</v>
      </c>
      <c r="F134" t="s">
        <v>65</v>
      </c>
      <c r="G134" t="s">
        <v>66</v>
      </c>
      <c r="H134" t="s">
        <v>67</v>
      </c>
      <c r="S134">
        <v>1</v>
      </c>
      <c r="T134">
        <v>0</v>
      </c>
      <c r="U134">
        <v>0</v>
      </c>
      <c r="V134">
        <v>0</v>
      </c>
      <c r="W134">
        <v>1</v>
      </c>
      <c r="X134">
        <v>0</v>
      </c>
      <c r="Y134">
        <v>1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1</v>
      </c>
      <c r="AF134">
        <v>1</v>
      </c>
      <c r="AG134">
        <v>1</v>
      </c>
      <c r="AH134">
        <v>1</v>
      </c>
      <c r="AI134">
        <v>1</v>
      </c>
      <c r="AJ134">
        <v>1</v>
      </c>
      <c r="AK134">
        <v>1</v>
      </c>
      <c r="AL134">
        <v>1</v>
      </c>
      <c r="AM134">
        <v>1</v>
      </c>
    </row>
    <row r="135" spans="1:39" x14ac:dyDescent="0.2">
      <c r="A135" t="str">
        <f>"131"</f>
        <v>131</v>
      </c>
      <c r="B135" t="str">
        <f t="shared" si="7"/>
        <v>1</v>
      </c>
      <c r="C135" t="str">
        <f t="shared" si="6"/>
        <v>3</v>
      </c>
      <c r="D135" t="str">
        <f>"39"</f>
        <v>39</v>
      </c>
      <c r="E135" t="str">
        <f>"1-3-39"</f>
        <v>1-3-39</v>
      </c>
      <c r="F135" t="s">
        <v>65</v>
      </c>
      <c r="G135" t="s">
        <v>66</v>
      </c>
      <c r="H135" t="s">
        <v>67</v>
      </c>
      <c r="S135">
        <v>0</v>
      </c>
      <c r="T135">
        <v>1</v>
      </c>
      <c r="U135">
        <v>0</v>
      </c>
      <c r="V135">
        <v>0</v>
      </c>
      <c r="W135">
        <v>1</v>
      </c>
      <c r="X135">
        <v>0</v>
      </c>
      <c r="Y135">
        <v>1</v>
      </c>
      <c r="Z135">
        <v>0</v>
      </c>
      <c r="AA135">
        <v>0</v>
      </c>
      <c r="AB135">
        <v>0</v>
      </c>
      <c r="AC135">
        <v>1</v>
      </c>
      <c r="AD135">
        <v>1</v>
      </c>
      <c r="AE135">
        <v>0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1</v>
      </c>
      <c r="AL135">
        <v>1</v>
      </c>
      <c r="AM135">
        <v>1</v>
      </c>
    </row>
    <row r="136" spans="1:39" x14ac:dyDescent="0.2">
      <c r="A136" t="str">
        <f>"132"</f>
        <v>132</v>
      </c>
      <c r="B136" t="str">
        <f t="shared" si="7"/>
        <v>1</v>
      </c>
      <c r="C136" t="str">
        <f t="shared" si="6"/>
        <v>3</v>
      </c>
      <c r="D136" t="str">
        <f>"24"</f>
        <v>24</v>
      </c>
      <c r="E136" t="str">
        <f>"1-3-24"</f>
        <v>1-3-24</v>
      </c>
      <c r="F136" t="s">
        <v>65</v>
      </c>
      <c r="G136" t="s">
        <v>66</v>
      </c>
      <c r="H136" t="s">
        <v>67</v>
      </c>
      <c r="S136">
        <v>0</v>
      </c>
      <c r="T136">
        <v>1</v>
      </c>
      <c r="U136">
        <v>0</v>
      </c>
      <c r="V136">
        <v>0</v>
      </c>
      <c r="W136">
        <v>1</v>
      </c>
      <c r="X136">
        <v>0</v>
      </c>
      <c r="Y136">
        <v>0</v>
      </c>
      <c r="Z136">
        <v>1</v>
      </c>
      <c r="AA136">
        <v>0</v>
      </c>
      <c r="AB136">
        <v>0</v>
      </c>
      <c r="AC136">
        <v>1</v>
      </c>
      <c r="AD136">
        <v>1</v>
      </c>
      <c r="AE136">
        <v>1</v>
      </c>
      <c r="AF136">
        <v>1</v>
      </c>
      <c r="AG136">
        <v>1</v>
      </c>
      <c r="AH136">
        <v>1</v>
      </c>
      <c r="AI136">
        <v>1</v>
      </c>
      <c r="AJ136">
        <v>1</v>
      </c>
      <c r="AK136">
        <v>1</v>
      </c>
      <c r="AL136">
        <v>1</v>
      </c>
      <c r="AM136">
        <v>1</v>
      </c>
    </row>
    <row r="137" spans="1:39" x14ac:dyDescent="0.2">
      <c r="A137" t="str">
        <f>"133"</f>
        <v>133</v>
      </c>
      <c r="B137" t="str">
        <f t="shared" si="7"/>
        <v>1</v>
      </c>
      <c r="C137" t="str">
        <f t="shared" ref="C137:C154" si="8">"3"</f>
        <v>3</v>
      </c>
      <c r="D137" t="str">
        <f>"6"</f>
        <v>6</v>
      </c>
      <c r="E137" t="str">
        <f>"1-3-6"</f>
        <v>1-3-6</v>
      </c>
      <c r="F137" t="s">
        <v>65</v>
      </c>
      <c r="G137" t="s">
        <v>66</v>
      </c>
      <c r="H137" t="s">
        <v>67</v>
      </c>
      <c r="S137">
        <v>1</v>
      </c>
      <c r="T137">
        <v>0</v>
      </c>
      <c r="U137">
        <v>0</v>
      </c>
      <c r="V137">
        <v>0</v>
      </c>
      <c r="W137">
        <v>1</v>
      </c>
      <c r="X137">
        <v>0</v>
      </c>
      <c r="Y137">
        <v>1</v>
      </c>
      <c r="Z137">
        <v>0</v>
      </c>
      <c r="AA137">
        <v>0</v>
      </c>
      <c r="AB137">
        <v>0</v>
      </c>
      <c r="AC137">
        <v>1</v>
      </c>
      <c r="AD137">
        <v>1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  <c r="AL137">
        <v>1</v>
      </c>
      <c r="AM137">
        <v>1</v>
      </c>
    </row>
    <row r="138" spans="1:39" x14ac:dyDescent="0.2">
      <c r="A138" t="str">
        <f>"134"</f>
        <v>134</v>
      </c>
      <c r="B138" t="str">
        <f t="shared" si="7"/>
        <v>1</v>
      </c>
      <c r="C138" t="str">
        <f t="shared" si="8"/>
        <v>3</v>
      </c>
      <c r="D138" t="str">
        <f>"40"</f>
        <v>40</v>
      </c>
      <c r="E138" t="str">
        <f>"1-3-40"</f>
        <v>1-3-40</v>
      </c>
      <c r="F138" t="s">
        <v>65</v>
      </c>
      <c r="G138" t="s">
        <v>66</v>
      </c>
      <c r="H138" t="s">
        <v>67</v>
      </c>
      <c r="S138">
        <v>1</v>
      </c>
      <c r="T138">
        <v>0</v>
      </c>
      <c r="U138">
        <v>0</v>
      </c>
      <c r="V138">
        <v>0</v>
      </c>
      <c r="W138">
        <v>1</v>
      </c>
      <c r="X138">
        <v>0</v>
      </c>
      <c r="Y138">
        <v>1</v>
      </c>
      <c r="Z138">
        <v>0</v>
      </c>
      <c r="AA138">
        <v>0</v>
      </c>
      <c r="AB138">
        <v>0</v>
      </c>
      <c r="AC138">
        <v>1</v>
      </c>
      <c r="AD138">
        <v>1</v>
      </c>
      <c r="AE138">
        <v>1</v>
      </c>
      <c r="AF138">
        <v>1</v>
      </c>
      <c r="AG138">
        <v>1</v>
      </c>
      <c r="AH138">
        <v>1</v>
      </c>
      <c r="AI138">
        <v>1</v>
      </c>
      <c r="AJ138">
        <v>1</v>
      </c>
      <c r="AK138">
        <v>1</v>
      </c>
      <c r="AL138">
        <v>1</v>
      </c>
      <c r="AM138">
        <v>1</v>
      </c>
    </row>
    <row r="139" spans="1:39" x14ac:dyDescent="0.2">
      <c r="A139" t="str">
        <f>"135"</f>
        <v>135</v>
      </c>
      <c r="B139" t="str">
        <f t="shared" si="7"/>
        <v>1</v>
      </c>
      <c r="C139" t="str">
        <f t="shared" si="8"/>
        <v>3</v>
      </c>
      <c r="D139" t="str">
        <f>"25"</f>
        <v>25</v>
      </c>
      <c r="E139" t="str">
        <f>"1-3-25"</f>
        <v>1-3-25</v>
      </c>
      <c r="F139" t="s">
        <v>65</v>
      </c>
      <c r="G139" t="s">
        <v>66</v>
      </c>
      <c r="H139" t="s">
        <v>67</v>
      </c>
      <c r="S139">
        <v>1</v>
      </c>
      <c r="T139">
        <v>0</v>
      </c>
      <c r="U139">
        <v>0</v>
      </c>
      <c r="V139">
        <v>0</v>
      </c>
      <c r="W139">
        <v>1</v>
      </c>
      <c r="X139">
        <v>0</v>
      </c>
      <c r="Y139">
        <v>1</v>
      </c>
      <c r="Z139">
        <v>0</v>
      </c>
      <c r="AA139">
        <v>0</v>
      </c>
      <c r="AB139">
        <v>0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</row>
    <row r="140" spans="1:39" x14ac:dyDescent="0.2">
      <c r="A140" t="str">
        <f>"136"</f>
        <v>136</v>
      </c>
      <c r="B140" t="str">
        <f t="shared" si="7"/>
        <v>1</v>
      </c>
      <c r="C140" t="str">
        <f t="shared" si="8"/>
        <v>3</v>
      </c>
      <c r="D140" t="str">
        <f>"8"</f>
        <v>8</v>
      </c>
      <c r="E140" t="str">
        <f>"1-3-8"</f>
        <v>1-3-8</v>
      </c>
      <c r="F140" t="s">
        <v>65</v>
      </c>
      <c r="G140" t="s">
        <v>66</v>
      </c>
      <c r="H140" t="s">
        <v>67</v>
      </c>
      <c r="S140">
        <v>1</v>
      </c>
      <c r="T140">
        <v>0</v>
      </c>
      <c r="U140">
        <v>0</v>
      </c>
      <c r="V140">
        <v>0</v>
      </c>
      <c r="W140">
        <v>0</v>
      </c>
      <c r="X140">
        <v>1</v>
      </c>
      <c r="Y140">
        <v>0</v>
      </c>
      <c r="Z140">
        <v>1</v>
      </c>
      <c r="AA140">
        <v>0</v>
      </c>
      <c r="AB140">
        <v>0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1</v>
      </c>
      <c r="AL140">
        <v>1</v>
      </c>
      <c r="AM140">
        <v>1</v>
      </c>
    </row>
    <row r="141" spans="1:39" x14ac:dyDescent="0.2">
      <c r="A141" t="str">
        <f>"137"</f>
        <v>137</v>
      </c>
      <c r="B141" t="str">
        <f t="shared" si="7"/>
        <v>1</v>
      </c>
      <c r="C141" t="str">
        <f t="shared" si="8"/>
        <v>3</v>
      </c>
      <c r="D141" t="str">
        <f>"43"</f>
        <v>43</v>
      </c>
      <c r="E141" t="str">
        <f>"1-3-43"</f>
        <v>1-3-43</v>
      </c>
      <c r="F141" t="s">
        <v>65</v>
      </c>
      <c r="G141" t="s">
        <v>66</v>
      </c>
      <c r="H141" t="s">
        <v>67</v>
      </c>
      <c r="S141">
        <v>1</v>
      </c>
      <c r="T141">
        <v>0</v>
      </c>
      <c r="U141">
        <v>0</v>
      </c>
      <c r="V141">
        <v>0</v>
      </c>
      <c r="W141">
        <v>0</v>
      </c>
      <c r="X141">
        <v>1</v>
      </c>
      <c r="Y141">
        <v>0</v>
      </c>
      <c r="Z141">
        <v>1</v>
      </c>
      <c r="AA141">
        <v>0</v>
      </c>
      <c r="AB141">
        <v>0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1</v>
      </c>
      <c r="AM141">
        <v>0</v>
      </c>
    </row>
    <row r="142" spans="1:39" x14ac:dyDescent="0.2">
      <c r="A142" t="str">
        <f>"138"</f>
        <v>138</v>
      </c>
      <c r="B142" t="str">
        <f t="shared" si="7"/>
        <v>1</v>
      </c>
      <c r="C142" t="str">
        <f t="shared" si="8"/>
        <v>3</v>
      </c>
      <c r="D142" t="str">
        <f>"26"</f>
        <v>26</v>
      </c>
      <c r="E142" t="str">
        <f>"1-3-26"</f>
        <v>1-3-26</v>
      </c>
      <c r="F142" t="s">
        <v>65</v>
      </c>
      <c r="G142" t="s">
        <v>66</v>
      </c>
      <c r="H142" t="s">
        <v>67</v>
      </c>
      <c r="S142">
        <v>0</v>
      </c>
      <c r="T142">
        <v>1</v>
      </c>
      <c r="U142">
        <v>0</v>
      </c>
      <c r="V142">
        <v>0</v>
      </c>
      <c r="W142">
        <v>1</v>
      </c>
      <c r="X142">
        <v>0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1</v>
      </c>
      <c r="AF142">
        <v>1</v>
      </c>
      <c r="AG142">
        <v>1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1</v>
      </c>
    </row>
    <row r="143" spans="1:39" x14ac:dyDescent="0.2">
      <c r="A143" t="str">
        <f>"139"</f>
        <v>139</v>
      </c>
      <c r="B143" t="str">
        <f t="shared" si="7"/>
        <v>1</v>
      </c>
      <c r="C143" t="str">
        <f t="shared" si="8"/>
        <v>3</v>
      </c>
      <c r="D143" t="str">
        <f>"5"</f>
        <v>5</v>
      </c>
      <c r="E143" t="str">
        <f>"1-3-5"</f>
        <v>1-3-5</v>
      </c>
      <c r="F143" t="s">
        <v>65</v>
      </c>
      <c r="G143" t="s">
        <v>66</v>
      </c>
      <c r="H143" t="s">
        <v>67</v>
      </c>
      <c r="S143">
        <v>1</v>
      </c>
      <c r="T143">
        <v>0</v>
      </c>
      <c r="U143">
        <v>0</v>
      </c>
      <c r="V143">
        <v>0</v>
      </c>
      <c r="W143">
        <v>1</v>
      </c>
      <c r="X143">
        <v>0</v>
      </c>
      <c r="Y143">
        <v>1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</row>
    <row r="144" spans="1:39" x14ac:dyDescent="0.2">
      <c r="A144" t="str">
        <f>"140"</f>
        <v>140</v>
      </c>
      <c r="B144" t="str">
        <f t="shared" si="7"/>
        <v>1</v>
      </c>
      <c r="C144" t="str">
        <f t="shared" si="8"/>
        <v>3</v>
      </c>
      <c r="D144" t="str">
        <f>"44"</f>
        <v>44</v>
      </c>
      <c r="E144" t="str">
        <f>"1-3-44"</f>
        <v>1-3-44</v>
      </c>
      <c r="F144" t="s">
        <v>65</v>
      </c>
      <c r="G144" t="s">
        <v>66</v>
      </c>
      <c r="H144" t="s">
        <v>67</v>
      </c>
      <c r="S144">
        <v>0</v>
      </c>
      <c r="T144">
        <v>1</v>
      </c>
      <c r="U144">
        <v>0</v>
      </c>
      <c r="V144">
        <v>0</v>
      </c>
      <c r="W144">
        <v>1</v>
      </c>
      <c r="X144">
        <v>0</v>
      </c>
      <c r="Y144">
        <v>0</v>
      </c>
      <c r="Z144">
        <v>1</v>
      </c>
      <c r="AA144">
        <v>0</v>
      </c>
      <c r="AB144">
        <v>0</v>
      </c>
      <c r="AC144">
        <v>1</v>
      </c>
      <c r="AD144">
        <v>1</v>
      </c>
      <c r="AE144">
        <v>1</v>
      </c>
      <c r="AF144">
        <v>1</v>
      </c>
      <c r="AG144">
        <v>1</v>
      </c>
      <c r="AH144">
        <v>1</v>
      </c>
      <c r="AI144">
        <v>0</v>
      </c>
      <c r="AJ144">
        <v>1</v>
      </c>
      <c r="AK144">
        <v>1</v>
      </c>
      <c r="AL144">
        <v>1</v>
      </c>
      <c r="AM144">
        <v>1</v>
      </c>
    </row>
    <row r="145" spans="1:39" x14ac:dyDescent="0.2">
      <c r="A145" t="str">
        <f>"141"</f>
        <v>141</v>
      </c>
      <c r="B145" t="str">
        <f t="shared" si="7"/>
        <v>1</v>
      </c>
      <c r="C145" t="str">
        <f t="shared" si="8"/>
        <v>3</v>
      </c>
      <c r="D145" t="str">
        <f>"27"</f>
        <v>27</v>
      </c>
      <c r="E145" t="str">
        <f>"1-3-27"</f>
        <v>1-3-27</v>
      </c>
      <c r="F145" t="s">
        <v>65</v>
      </c>
      <c r="G145" t="s">
        <v>66</v>
      </c>
      <c r="H145" t="s">
        <v>67</v>
      </c>
      <c r="S145">
        <v>1</v>
      </c>
      <c r="T145">
        <v>0</v>
      </c>
      <c r="U145">
        <v>0</v>
      </c>
      <c r="V145">
        <v>0</v>
      </c>
      <c r="W145">
        <v>1</v>
      </c>
      <c r="X145">
        <v>0</v>
      </c>
      <c r="Y145">
        <v>0</v>
      </c>
      <c r="Z145">
        <v>1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1</v>
      </c>
      <c r="AH145">
        <v>1</v>
      </c>
      <c r="AI145">
        <v>1</v>
      </c>
      <c r="AJ145">
        <v>0</v>
      </c>
      <c r="AK145">
        <v>0</v>
      </c>
      <c r="AL145">
        <v>0</v>
      </c>
      <c r="AM145">
        <v>0</v>
      </c>
    </row>
    <row r="146" spans="1:39" x14ac:dyDescent="0.2">
      <c r="A146" t="str">
        <f>"142"</f>
        <v>142</v>
      </c>
      <c r="B146" t="str">
        <f t="shared" si="7"/>
        <v>1</v>
      </c>
      <c r="C146" t="str">
        <f t="shared" si="8"/>
        <v>3</v>
      </c>
      <c r="D146" t="str">
        <f>"7"</f>
        <v>7</v>
      </c>
      <c r="E146" t="str">
        <f>"1-3-7"</f>
        <v>1-3-7</v>
      </c>
      <c r="F146" t="s">
        <v>65</v>
      </c>
      <c r="G146" t="s">
        <v>66</v>
      </c>
      <c r="H146" t="s">
        <v>67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1</v>
      </c>
      <c r="Y146">
        <v>0</v>
      </c>
      <c r="Z146">
        <v>1</v>
      </c>
      <c r="AA146">
        <v>0</v>
      </c>
      <c r="AB146">
        <v>0</v>
      </c>
      <c r="AC146">
        <v>1</v>
      </c>
      <c r="AD146">
        <v>1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1</v>
      </c>
      <c r="AL146">
        <v>1</v>
      </c>
      <c r="AM146">
        <v>1</v>
      </c>
    </row>
    <row r="147" spans="1:39" x14ac:dyDescent="0.2">
      <c r="A147" t="str">
        <f>"143"</f>
        <v>143</v>
      </c>
      <c r="B147" t="str">
        <f t="shared" si="7"/>
        <v>1</v>
      </c>
      <c r="C147" t="str">
        <f t="shared" si="8"/>
        <v>3</v>
      </c>
      <c r="D147" t="str">
        <f>"47"</f>
        <v>47</v>
      </c>
      <c r="E147" t="str">
        <f>"1-3-47"</f>
        <v>1-3-47</v>
      </c>
      <c r="F147" t="s">
        <v>65</v>
      </c>
      <c r="G147" t="s">
        <v>66</v>
      </c>
      <c r="H147" t="s">
        <v>67</v>
      </c>
      <c r="S147">
        <v>0</v>
      </c>
      <c r="T147">
        <v>1</v>
      </c>
      <c r="U147">
        <v>0</v>
      </c>
      <c r="V147">
        <v>0</v>
      </c>
      <c r="W147">
        <v>1</v>
      </c>
      <c r="X147">
        <v>0</v>
      </c>
      <c r="Y147">
        <v>0</v>
      </c>
      <c r="Z147">
        <v>1</v>
      </c>
      <c r="AA147">
        <v>0</v>
      </c>
      <c r="AB147">
        <v>0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M147">
        <v>1</v>
      </c>
    </row>
    <row r="148" spans="1:39" x14ac:dyDescent="0.2">
      <c r="A148" t="str">
        <f>"144"</f>
        <v>144</v>
      </c>
      <c r="B148" t="str">
        <f t="shared" si="7"/>
        <v>1</v>
      </c>
      <c r="C148" t="str">
        <f t="shared" si="8"/>
        <v>3</v>
      </c>
      <c r="D148" t="str">
        <f>"28"</f>
        <v>28</v>
      </c>
      <c r="E148" t="str">
        <f>"1-3-28"</f>
        <v>1-3-28</v>
      </c>
      <c r="F148" t="s">
        <v>65</v>
      </c>
      <c r="G148" t="s">
        <v>66</v>
      </c>
      <c r="H148" t="s">
        <v>67</v>
      </c>
      <c r="S148">
        <v>1</v>
      </c>
      <c r="T148">
        <v>0</v>
      </c>
      <c r="U148">
        <v>0</v>
      </c>
      <c r="V148">
        <v>0</v>
      </c>
      <c r="W148">
        <v>1</v>
      </c>
      <c r="X148">
        <v>0</v>
      </c>
      <c r="Y148">
        <v>0</v>
      </c>
      <c r="Z148">
        <v>1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1</v>
      </c>
      <c r="AG148">
        <v>1</v>
      </c>
      <c r="AH148">
        <v>1</v>
      </c>
      <c r="AI148">
        <v>1</v>
      </c>
      <c r="AJ148">
        <v>0</v>
      </c>
      <c r="AK148">
        <v>1</v>
      </c>
      <c r="AL148">
        <v>1</v>
      </c>
      <c r="AM148">
        <v>0</v>
      </c>
    </row>
    <row r="149" spans="1:39" x14ac:dyDescent="0.2">
      <c r="A149" t="str">
        <f>"145"</f>
        <v>145</v>
      </c>
      <c r="B149" t="str">
        <f t="shared" si="7"/>
        <v>1</v>
      </c>
      <c r="C149" t="str">
        <f t="shared" si="8"/>
        <v>3</v>
      </c>
      <c r="D149" t="str">
        <f>"14"</f>
        <v>14</v>
      </c>
      <c r="E149" t="str">
        <f>"1-3-14"</f>
        <v>1-3-14</v>
      </c>
      <c r="F149" t="s">
        <v>65</v>
      </c>
      <c r="G149" t="s">
        <v>66</v>
      </c>
      <c r="H149" t="s">
        <v>67</v>
      </c>
      <c r="S149">
        <v>1</v>
      </c>
      <c r="T149">
        <v>0</v>
      </c>
      <c r="U149">
        <v>0</v>
      </c>
      <c r="V149">
        <v>0</v>
      </c>
      <c r="W149">
        <v>1</v>
      </c>
      <c r="X149">
        <v>0</v>
      </c>
      <c r="Y149">
        <v>1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1</v>
      </c>
      <c r="AF149">
        <v>1</v>
      </c>
      <c r="AG149">
        <v>1</v>
      </c>
      <c r="AH149">
        <v>1</v>
      </c>
      <c r="AI149">
        <v>1</v>
      </c>
      <c r="AJ149">
        <v>1</v>
      </c>
      <c r="AK149">
        <v>1</v>
      </c>
      <c r="AL149">
        <v>1</v>
      </c>
      <c r="AM149">
        <v>1</v>
      </c>
    </row>
    <row r="150" spans="1:39" x14ac:dyDescent="0.2">
      <c r="A150" t="str">
        <f>"146"</f>
        <v>146</v>
      </c>
      <c r="B150" t="str">
        <f t="shared" si="7"/>
        <v>1</v>
      </c>
      <c r="C150" t="str">
        <f t="shared" si="8"/>
        <v>3</v>
      </c>
      <c r="D150" t="str">
        <f>"48"</f>
        <v>48</v>
      </c>
      <c r="E150" t="str">
        <f>"1-3-48"</f>
        <v>1-3-48</v>
      </c>
      <c r="F150" t="s">
        <v>65</v>
      </c>
      <c r="G150" t="s">
        <v>66</v>
      </c>
      <c r="H150" t="s">
        <v>67</v>
      </c>
      <c r="S150">
        <v>1</v>
      </c>
      <c r="T150">
        <v>0</v>
      </c>
      <c r="U150">
        <v>0</v>
      </c>
      <c r="V150">
        <v>0</v>
      </c>
      <c r="W150">
        <v>1</v>
      </c>
      <c r="X150">
        <v>0</v>
      </c>
      <c r="Y150">
        <v>1</v>
      </c>
      <c r="Z150">
        <v>0</v>
      </c>
      <c r="AA150">
        <v>0</v>
      </c>
      <c r="AB150">
        <v>0</v>
      </c>
      <c r="AC150">
        <v>1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1</v>
      </c>
      <c r="AJ150">
        <v>1</v>
      </c>
      <c r="AK150">
        <v>1</v>
      </c>
      <c r="AL150">
        <v>1</v>
      </c>
      <c r="AM150">
        <v>1</v>
      </c>
    </row>
    <row r="151" spans="1:39" x14ac:dyDescent="0.2">
      <c r="A151" t="str">
        <f>"147"</f>
        <v>147</v>
      </c>
      <c r="B151" t="str">
        <f t="shared" si="7"/>
        <v>1</v>
      </c>
      <c r="C151" t="str">
        <f t="shared" si="8"/>
        <v>3</v>
      </c>
      <c r="D151" t="str">
        <f>"29"</f>
        <v>29</v>
      </c>
      <c r="E151" t="str">
        <f>"1-3-29"</f>
        <v>1-3-29</v>
      </c>
      <c r="F151" t="s">
        <v>65</v>
      </c>
      <c r="G151" t="s">
        <v>66</v>
      </c>
      <c r="H151" t="s">
        <v>67</v>
      </c>
      <c r="S151">
        <v>0</v>
      </c>
      <c r="T151">
        <v>1</v>
      </c>
      <c r="U151">
        <v>0</v>
      </c>
      <c r="V151">
        <v>0</v>
      </c>
      <c r="W151">
        <v>1</v>
      </c>
      <c r="X151">
        <v>0</v>
      </c>
      <c r="Y151">
        <v>1</v>
      </c>
      <c r="Z151">
        <v>0</v>
      </c>
      <c r="AA151">
        <v>0</v>
      </c>
      <c r="AB151">
        <v>1</v>
      </c>
      <c r="AC151">
        <v>0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</row>
    <row r="152" spans="1:39" x14ac:dyDescent="0.2">
      <c r="A152" t="str">
        <f>"148"</f>
        <v>148</v>
      </c>
      <c r="B152" t="str">
        <f t="shared" si="7"/>
        <v>1</v>
      </c>
      <c r="C152" t="str">
        <f t="shared" si="8"/>
        <v>3</v>
      </c>
      <c r="D152" t="str">
        <f>"12"</f>
        <v>12</v>
      </c>
      <c r="E152" t="str">
        <f>"1-3-12"</f>
        <v>1-3-12</v>
      </c>
      <c r="F152" t="s">
        <v>65</v>
      </c>
      <c r="G152" t="s">
        <v>66</v>
      </c>
      <c r="H152" t="s">
        <v>67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1</v>
      </c>
      <c r="Y152">
        <v>0</v>
      </c>
      <c r="Z152">
        <v>1</v>
      </c>
      <c r="AA152">
        <v>0</v>
      </c>
      <c r="AB152">
        <v>0</v>
      </c>
      <c r="AC152">
        <v>1</v>
      </c>
      <c r="AD152">
        <v>1</v>
      </c>
      <c r="AE152">
        <v>1</v>
      </c>
      <c r="AF152">
        <v>0</v>
      </c>
      <c r="AG152">
        <v>1</v>
      </c>
      <c r="AH152">
        <v>1</v>
      </c>
      <c r="AI152">
        <v>1</v>
      </c>
      <c r="AJ152">
        <v>1</v>
      </c>
      <c r="AK152">
        <v>1</v>
      </c>
      <c r="AL152">
        <v>1</v>
      </c>
      <c r="AM152">
        <v>1</v>
      </c>
    </row>
    <row r="153" spans="1:39" x14ac:dyDescent="0.2">
      <c r="A153" t="str">
        <f>"149"</f>
        <v>149</v>
      </c>
      <c r="B153" t="str">
        <f t="shared" si="7"/>
        <v>1</v>
      </c>
      <c r="C153" t="str">
        <f t="shared" si="8"/>
        <v>3</v>
      </c>
      <c r="D153" t="str">
        <f>"1"</f>
        <v>1</v>
      </c>
      <c r="E153" t="str">
        <f>"1-3-1"</f>
        <v>1-3-1</v>
      </c>
      <c r="F153" t="s">
        <v>65</v>
      </c>
      <c r="G153" t="s">
        <v>66</v>
      </c>
      <c r="H153" t="s">
        <v>67</v>
      </c>
      <c r="S153">
        <v>0</v>
      </c>
      <c r="T153">
        <v>1</v>
      </c>
      <c r="U153">
        <v>0</v>
      </c>
      <c r="V153">
        <v>0</v>
      </c>
      <c r="W153">
        <v>1</v>
      </c>
      <c r="X153">
        <v>0</v>
      </c>
      <c r="Y153">
        <v>1</v>
      </c>
      <c r="Z153">
        <v>0</v>
      </c>
      <c r="AA153">
        <v>0</v>
      </c>
      <c r="AB153">
        <v>1</v>
      </c>
      <c r="AC153">
        <v>0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0</v>
      </c>
      <c r="AL153">
        <v>1</v>
      </c>
      <c r="AM153">
        <v>1</v>
      </c>
    </row>
    <row r="154" spans="1:39" x14ac:dyDescent="0.2">
      <c r="A154" t="str">
        <f>"150"</f>
        <v>150</v>
      </c>
      <c r="B154" t="str">
        <f t="shared" si="7"/>
        <v>1</v>
      </c>
      <c r="C154" t="str">
        <f t="shared" si="8"/>
        <v>3</v>
      </c>
      <c r="D154" t="str">
        <f>"2"</f>
        <v>2</v>
      </c>
      <c r="E154" t="str">
        <f>"1-3-2"</f>
        <v>1-3-2</v>
      </c>
      <c r="F154" t="s">
        <v>65</v>
      </c>
      <c r="G154" t="s">
        <v>66</v>
      </c>
      <c r="H154" t="s">
        <v>67</v>
      </c>
      <c r="S154">
        <v>0</v>
      </c>
      <c r="T154">
        <v>0</v>
      </c>
      <c r="U154">
        <v>0</v>
      </c>
      <c r="V154">
        <v>0</v>
      </c>
      <c r="W154">
        <v>1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1</v>
      </c>
      <c r="AI154">
        <v>1</v>
      </c>
      <c r="AJ154">
        <v>1</v>
      </c>
      <c r="AK154">
        <v>1</v>
      </c>
      <c r="AL154">
        <v>0</v>
      </c>
      <c r="AM154">
        <v>0</v>
      </c>
    </row>
    <row r="155" spans="1:39" x14ac:dyDescent="0.2">
      <c r="A155" t="str">
        <f>"151"</f>
        <v>151</v>
      </c>
      <c r="B155" t="str">
        <f t="shared" si="7"/>
        <v>1</v>
      </c>
      <c r="C155" t="str">
        <f t="shared" ref="C155:C186" si="9">"4"</f>
        <v>4</v>
      </c>
      <c r="D155" t="str">
        <f>"48"</f>
        <v>48</v>
      </c>
      <c r="E155" t="str">
        <f>"1-4-48"</f>
        <v>1-4-48</v>
      </c>
      <c r="F155" t="s">
        <v>65</v>
      </c>
      <c r="G155" t="s">
        <v>66</v>
      </c>
      <c r="H155" t="s">
        <v>67</v>
      </c>
      <c r="S155">
        <v>1</v>
      </c>
      <c r="T155">
        <v>0</v>
      </c>
      <c r="U155">
        <v>0</v>
      </c>
      <c r="V155">
        <v>0</v>
      </c>
      <c r="W155">
        <v>1</v>
      </c>
      <c r="X155">
        <v>0</v>
      </c>
      <c r="Y155">
        <v>0</v>
      </c>
      <c r="Z155">
        <v>1</v>
      </c>
      <c r="AA155">
        <v>0</v>
      </c>
      <c r="AB155">
        <v>0</v>
      </c>
      <c r="AC155">
        <v>1</v>
      </c>
      <c r="AD155">
        <v>1</v>
      </c>
      <c r="AE155">
        <v>1</v>
      </c>
      <c r="AF155">
        <v>1</v>
      </c>
      <c r="AG155">
        <v>1</v>
      </c>
      <c r="AH155">
        <v>1</v>
      </c>
      <c r="AI155">
        <v>1</v>
      </c>
      <c r="AJ155">
        <v>1</v>
      </c>
      <c r="AK155">
        <v>1</v>
      </c>
      <c r="AL155">
        <v>1</v>
      </c>
      <c r="AM155">
        <v>1</v>
      </c>
    </row>
    <row r="156" spans="1:39" x14ac:dyDescent="0.2">
      <c r="A156" t="str">
        <f>"152"</f>
        <v>152</v>
      </c>
      <c r="B156" t="str">
        <f t="shared" si="7"/>
        <v>1</v>
      </c>
      <c r="C156" t="str">
        <f t="shared" si="9"/>
        <v>4</v>
      </c>
      <c r="D156" t="str">
        <f>"47"</f>
        <v>47</v>
      </c>
      <c r="E156" t="str">
        <f>"1-4-47"</f>
        <v>1-4-47</v>
      </c>
      <c r="F156" t="s">
        <v>65</v>
      </c>
      <c r="G156" t="s">
        <v>66</v>
      </c>
      <c r="H156" t="s">
        <v>67</v>
      </c>
      <c r="S156">
        <v>1</v>
      </c>
      <c r="T156">
        <v>0</v>
      </c>
      <c r="U156">
        <v>0</v>
      </c>
      <c r="V156">
        <v>0</v>
      </c>
      <c r="W156">
        <v>1</v>
      </c>
      <c r="X156">
        <v>0</v>
      </c>
      <c r="Y156">
        <v>0</v>
      </c>
      <c r="Z156">
        <v>1</v>
      </c>
      <c r="AA156">
        <v>0</v>
      </c>
      <c r="AB156">
        <v>0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  <c r="AL156">
        <v>1</v>
      </c>
      <c r="AM156">
        <v>1</v>
      </c>
    </row>
    <row r="157" spans="1:39" x14ac:dyDescent="0.2">
      <c r="A157" t="str">
        <f>"153"</f>
        <v>153</v>
      </c>
      <c r="B157" t="str">
        <f t="shared" si="7"/>
        <v>1</v>
      </c>
      <c r="C157" t="str">
        <f t="shared" si="9"/>
        <v>4</v>
      </c>
      <c r="D157" t="str">
        <f>"32"</f>
        <v>32</v>
      </c>
      <c r="E157" t="str">
        <f>"1-4-32"</f>
        <v>1-4-32</v>
      </c>
      <c r="F157" t="s">
        <v>65</v>
      </c>
      <c r="G157" t="s">
        <v>66</v>
      </c>
      <c r="H157" t="s">
        <v>67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1</v>
      </c>
      <c r="AH157">
        <v>1</v>
      </c>
      <c r="AI157">
        <v>0</v>
      </c>
      <c r="AJ157">
        <v>0</v>
      </c>
      <c r="AK157">
        <v>0</v>
      </c>
      <c r="AL157">
        <v>1</v>
      </c>
      <c r="AM157">
        <v>0</v>
      </c>
    </row>
    <row r="158" spans="1:39" x14ac:dyDescent="0.2">
      <c r="A158" t="str">
        <f>"154"</f>
        <v>154</v>
      </c>
      <c r="B158" t="str">
        <f t="shared" si="7"/>
        <v>1</v>
      </c>
      <c r="C158" t="str">
        <f t="shared" si="9"/>
        <v>4</v>
      </c>
      <c r="D158" t="str">
        <f>"31"</f>
        <v>31</v>
      </c>
      <c r="E158" t="str">
        <f>"1-4-31"</f>
        <v>1-4-31</v>
      </c>
      <c r="F158" t="s">
        <v>65</v>
      </c>
      <c r="G158" t="s">
        <v>66</v>
      </c>
      <c r="H158" t="s">
        <v>67</v>
      </c>
      <c r="S158">
        <v>0</v>
      </c>
      <c r="T158">
        <v>1</v>
      </c>
      <c r="U158">
        <v>0</v>
      </c>
      <c r="V158">
        <v>0</v>
      </c>
      <c r="W158">
        <v>1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1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</row>
    <row r="159" spans="1:39" x14ac:dyDescent="0.2">
      <c r="A159" t="str">
        <f>"155"</f>
        <v>155</v>
      </c>
      <c r="B159" t="str">
        <f t="shared" si="7"/>
        <v>1</v>
      </c>
      <c r="C159" t="str">
        <f t="shared" si="9"/>
        <v>4</v>
      </c>
      <c r="D159" t="str">
        <f>"23"</f>
        <v>23</v>
      </c>
      <c r="E159" t="str">
        <f>"1-4-23"</f>
        <v>1-4-23</v>
      </c>
      <c r="F159" t="s">
        <v>65</v>
      </c>
      <c r="G159" t="s">
        <v>66</v>
      </c>
      <c r="H159" t="s">
        <v>67</v>
      </c>
      <c r="S159">
        <v>1</v>
      </c>
      <c r="T159">
        <v>0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1</v>
      </c>
      <c r="AA159">
        <v>0</v>
      </c>
      <c r="AB159">
        <v>0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</row>
    <row r="160" spans="1:39" x14ac:dyDescent="0.2">
      <c r="A160" t="str">
        <f>"156"</f>
        <v>156</v>
      </c>
      <c r="B160" t="str">
        <f t="shared" si="7"/>
        <v>1</v>
      </c>
      <c r="C160" t="str">
        <f t="shared" si="9"/>
        <v>4</v>
      </c>
      <c r="D160" t="str">
        <f>"15"</f>
        <v>15</v>
      </c>
      <c r="E160" t="str">
        <f>"1-4-15"</f>
        <v>1-4-15</v>
      </c>
      <c r="F160" t="s">
        <v>65</v>
      </c>
      <c r="G160" t="s">
        <v>66</v>
      </c>
      <c r="H160" t="s">
        <v>67</v>
      </c>
      <c r="S160">
        <v>1</v>
      </c>
      <c r="T160">
        <v>0</v>
      </c>
      <c r="U160">
        <v>0</v>
      </c>
      <c r="V160">
        <v>0</v>
      </c>
      <c r="W160">
        <v>1</v>
      </c>
      <c r="X160">
        <v>0</v>
      </c>
      <c r="Y160">
        <v>1</v>
      </c>
      <c r="Z160">
        <v>0</v>
      </c>
      <c r="AA160">
        <v>0</v>
      </c>
      <c r="AB160">
        <v>0</v>
      </c>
      <c r="AC160">
        <v>1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</row>
    <row r="161" spans="1:39" x14ac:dyDescent="0.2">
      <c r="A161" t="str">
        <f>"157"</f>
        <v>157</v>
      </c>
      <c r="B161" t="str">
        <f t="shared" si="7"/>
        <v>1</v>
      </c>
      <c r="C161" t="str">
        <f t="shared" si="9"/>
        <v>4</v>
      </c>
      <c r="D161" t="str">
        <f>"8"</f>
        <v>8</v>
      </c>
      <c r="E161" t="str">
        <f>"1-4-8"</f>
        <v>1-4-8</v>
      </c>
      <c r="F161" t="s">
        <v>65</v>
      </c>
      <c r="G161" t="s">
        <v>66</v>
      </c>
      <c r="H161" t="s">
        <v>67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1</v>
      </c>
      <c r="Y161">
        <v>0</v>
      </c>
      <c r="Z161">
        <v>1</v>
      </c>
      <c r="AA161">
        <v>0</v>
      </c>
      <c r="AB161">
        <v>0</v>
      </c>
      <c r="AC161">
        <v>1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1</v>
      </c>
      <c r="AJ161">
        <v>1</v>
      </c>
      <c r="AK161">
        <v>0</v>
      </c>
      <c r="AL161">
        <v>0</v>
      </c>
      <c r="AM161">
        <v>0</v>
      </c>
    </row>
    <row r="162" spans="1:39" x14ac:dyDescent="0.2">
      <c r="A162" t="str">
        <f>"158"</f>
        <v>158</v>
      </c>
      <c r="B162" t="str">
        <f t="shared" si="7"/>
        <v>1</v>
      </c>
      <c r="C162" t="str">
        <f t="shared" si="9"/>
        <v>4</v>
      </c>
      <c r="D162" t="str">
        <f>"50"</f>
        <v>50</v>
      </c>
      <c r="E162" t="str">
        <f>"1-4-50"</f>
        <v>1-4-50</v>
      </c>
      <c r="F162" t="s">
        <v>65</v>
      </c>
      <c r="G162" t="s">
        <v>66</v>
      </c>
      <c r="H162" t="s">
        <v>67</v>
      </c>
      <c r="S162">
        <v>1</v>
      </c>
      <c r="T162">
        <v>0</v>
      </c>
      <c r="U162">
        <v>0</v>
      </c>
      <c r="V162">
        <v>0</v>
      </c>
      <c r="W162">
        <v>1</v>
      </c>
      <c r="X162">
        <v>0</v>
      </c>
      <c r="Y162">
        <v>1</v>
      </c>
      <c r="Z162">
        <v>0</v>
      </c>
      <c r="AA162">
        <v>1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1</v>
      </c>
      <c r="AI162">
        <v>0</v>
      </c>
      <c r="AJ162">
        <v>1</v>
      </c>
      <c r="AK162">
        <v>0</v>
      </c>
      <c r="AL162">
        <v>0</v>
      </c>
      <c r="AM162">
        <v>0</v>
      </c>
    </row>
    <row r="163" spans="1:39" x14ac:dyDescent="0.2">
      <c r="A163" t="str">
        <f>"159"</f>
        <v>159</v>
      </c>
      <c r="B163" t="str">
        <f t="shared" si="7"/>
        <v>1</v>
      </c>
      <c r="C163" t="str">
        <f t="shared" si="9"/>
        <v>4</v>
      </c>
      <c r="D163" t="str">
        <f>"49"</f>
        <v>49</v>
      </c>
      <c r="E163" t="str">
        <f>"1-4-49"</f>
        <v>1-4-49</v>
      </c>
      <c r="F163" t="s">
        <v>65</v>
      </c>
      <c r="G163" t="s">
        <v>66</v>
      </c>
      <c r="H163" t="s">
        <v>67</v>
      </c>
      <c r="S163">
        <v>0</v>
      </c>
      <c r="T163">
        <v>1</v>
      </c>
      <c r="U163">
        <v>0</v>
      </c>
      <c r="V163">
        <v>0</v>
      </c>
      <c r="W163">
        <v>1</v>
      </c>
      <c r="X163">
        <v>0</v>
      </c>
      <c r="Y163">
        <v>0</v>
      </c>
      <c r="Z163">
        <v>1</v>
      </c>
      <c r="AA163">
        <v>0</v>
      </c>
      <c r="AB163">
        <v>0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</row>
    <row r="164" spans="1:39" x14ac:dyDescent="0.2">
      <c r="A164" t="str">
        <f>"160"</f>
        <v>160</v>
      </c>
      <c r="B164" t="str">
        <f t="shared" si="7"/>
        <v>1</v>
      </c>
      <c r="C164" t="str">
        <f t="shared" si="9"/>
        <v>4</v>
      </c>
      <c r="D164" t="str">
        <f>"34"</f>
        <v>34</v>
      </c>
      <c r="E164" t="str">
        <f>"1-4-34"</f>
        <v>1-4-34</v>
      </c>
      <c r="F164" t="s">
        <v>65</v>
      </c>
      <c r="G164" t="s">
        <v>66</v>
      </c>
      <c r="H164" t="s">
        <v>67</v>
      </c>
      <c r="S164">
        <v>1</v>
      </c>
      <c r="T164">
        <v>0</v>
      </c>
      <c r="U164">
        <v>0</v>
      </c>
      <c r="V164">
        <v>0</v>
      </c>
      <c r="W164">
        <v>1</v>
      </c>
      <c r="X164">
        <v>0</v>
      </c>
      <c r="Y164">
        <v>1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1</v>
      </c>
      <c r="AF164">
        <v>1</v>
      </c>
      <c r="AG164">
        <v>1</v>
      </c>
      <c r="AH164">
        <v>1</v>
      </c>
      <c r="AI164">
        <v>1</v>
      </c>
      <c r="AJ164">
        <v>1</v>
      </c>
      <c r="AK164">
        <v>1</v>
      </c>
      <c r="AL164">
        <v>1</v>
      </c>
      <c r="AM164">
        <v>1</v>
      </c>
    </row>
    <row r="165" spans="1:39" x14ac:dyDescent="0.2">
      <c r="A165" t="str">
        <f>"161"</f>
        <v>161</v>
      </c>
      <c r="B165" t="str">
        <f t="shared" si="7"/>
        <v>1</v>
      </c>
      <c r="C165" t="str">
        <f t="shared" si="9"/>
        <v>4</v>
      </c>
      <c r="D165" t="str">
        <f>"33"</f>
        <v>33</v>
      </c>
      <c r="E165" t="str">
        <f>"1-4-33"</f>
        <v>1-4-33</v>
      </c>
      <c r="F165" t="s">
        <v>65</v>
      </c>
      <c r="G165" t="s">
        <v>66</v>
      </c>
      <c r="H165" t="s">
        <v>67</v>
      </c>
      <c r="S165">
        <v>0</v>
      </c>
      <c r="T165">
        <v>1</v>
      </c>
      <c r="U165">
        <v>0</v>
      </c>
      <c r="V165">
        <v>0</v>
      </c>
      <c r="W165">
        <v>1</v>
      </c>
      <c r="X165">
        <v>0</v>
      </c>
      <c r="Y165">
        <v>1</v>
      </c>
      <c r="Z165">
        <v>0</v>
      </c>
      <c r="AA165">
        <v>0</v>
      </c>
      <c r="AB165">
        <v>0</v>
      </c>
      <c r="AC165">
        <v>1</v>
      </c>
      <c r="AD165">
        <v>1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  <c r="AL165">
        <v>1</v>
      </c>
      <c r="AM165">
        <v>1</v>
      </c>
    </row>
    <row r="166" spans="1:39" x14ac:dyDescent="0.2">
      <c r="A166" t="str">
        <f>"162"</f>
        <v>162</v>
      </c>
      <c r="B166" t="str">
        <f t="shared" si="7"/>
        <v>1</v>
      </c>
      <c r="C166" t="str">
        <f t="shared" si="9"/>
        <v>4</v>
      </c>
      <c r="D166" t="str">
        <f>"21"</f>
        <v>21</v>
      </c>
      <c r="E166" t="str">
        <f>"1-4-21"</f>
        <v>1-4-21</v>
      </c>
      <c r="F166" t="s">
        <v>65</v>
      </c>
      <c r="G166" t="s">
        <v>66</v>
      </c>
      <c r="H166" t="s">
        <v>67</v>
      </c>
      <c r="S166">
        <v>0</v>
      </c>
      <c r="T166">
        <v>1</v>
      </c>
      <c r="U166">
        <v>0</v>
      </c>
      <c r="V166">
        <v>0</v>
      </c>
      <c r="W166">
        <v>1</v>
      </c>
      <c r="X166">
        <v>0</v>
      </c>
      <c r="Y166">
        <v>1</v>
      </c>
      <c r="Z166">
        <v>0</v>
      </c>
      <c r="AA166">
        <v>1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1</v>
      </c>
      <c r="AH166">
        <v>0</v>
      </c>
      <c r="AI166">
        <v>1</v>
      </c>
      <c r="AJ166">
        <v>0</v>
      </c>
      <c r="AK166">
        <v>0</v>
      </c>
      <c r="AL166">
        <v>1</v>
      </c>
      <c r="AM166">
        <v>0</v>
      </c>
    </row>
    <row r="167" spans="1:39" x14ac:dyDescent="0.2">
      <c r="A167" t="str">
        <f>"163"</f>
        <v>163</v>
      </c>
      <c r="B167" t="str">
        <f t="shared" si="7"/>
        <v>1</v>
      </c>
      <c r="C167" t="str">
        <f t="shared" si="9"/>
        <v>4</v>
      </c>
      <c r="D167" t="str">
        <f>"16"</f>
        <v>16</v>
      </c>
      <c r="E167" t="str">
        <f>"1-4-16"</f>
        <v>1-4-16</v>
      </c>
      <c r="F167" t="s">
        <v>65</v>
      </c>
      <c r="G167" t="s">
        <v>66</v>
      </c>
      <c r="H167" t="s">
        <v>67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1</v>
      </c>
      <c r="Y167">
        <v>0</v>
      </c>
      <c r="Z167">
        <v>1</v>
      </c>
      <c r="AA167">
        <v>0</v>
      </c>
      <c r="AB167">
        <v>0</v>
      </c>
      <c r="AC167">
        <v>1</v>
      </c>
      <c r="AD167">
        <v>1</v>
      </c>
      <c r="AE167">
        <v>1</v>
      </c>
      <c r="AF167">
        <v>1</v>
      </c>
      <c r="AG167">
        <v>1</v>
      </c>
      <c r="AH167">
        <v>1</v>
      </c>
      <c r="AI167">
        <v>1</v>
      </c>
      <c r="AJ167">
        <v>1</v>
      </c>
      <c r="AK167">
        <v>1</v>
      </c>
      <c r="AL167">
        <v>1</v>
      </c>
      <c r="AM167">
        <v>1</v>
      </c>
    </row>
    <row r="168" spans="1:39" x14ac:dyDescent="0.2">
      <c r="A168" t="str">
        <f>"164"</f>
        <v>164</v>
      </c>
      <c r="B168" t="str">
        <f t="shared" si="7"/>
        <v>1</v>
      </c>
      <c r="C168" t="str">
        <f t="shared" si="9"/>
        <v>4</v>
      </c>
      <c r="D168" t="str">
        <f>"9"</f>
        <v>9</v>
      </c>
      <c r="E168" t="str">
        <f>"1-4-9"</f>
        <v>1-4-9</v>
      </c>
      <c r="F168" t="s">
        <v>65</v>
      </c>
      <c r="G168" t="s">
        <v>66</v>
      </c>
      <c r="H168" t="s">
        <v>67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1</v>
      </c>
      <c r="AM168">
        <v>0</v>
      </c>
    </row>
    <row r="169" spans="1:39" x14ac:dyDescent="0.2">
      <c r="A169" t="str">
        <f>"165"</f>
        <v>165</v>
      </c>
      <c r="B169" t="str">
        <f t="shared" si="7"/>
        <v>1</v>
      </c>
      <c r="C169" t="str">
        <f t="shared" si="9"/>
        <v>4</v>
      </c>
      <c r="D169" t="str">
        <f>"35"</f>
        <v>35</v>
      </c>
      <c r="E169" t="str">
        <f>"1-4-35"</f>
        <v>1-4-35</v>
      </c>
      <c r="F169" t="s">
        <v>65</v>
      </c>
      <c r="G169" t="s">
        <v>66</v>
      </c>
      <c r="H169" t="s">
        <v>67</v>
      </c>
      <c r="S169">
        <v>1</v>
      </c>
      <c r="T169">
        <v>0</v>
      </c>
      <c r="U169">
        <v>0</v>
      </c>
      <c r="V169">
        <v>0</v>
      </c>
      <c r="W169">
        <v>1</v>
      </c>
      <c r="X169">
        <v>0</v>
      </c>
      <c r="Y169">
        <v>1</v>
      </c>
      <c r="Z169">
        <v>0</v>
      </c>
      <c r="AA169">
        <v>1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1</v>
      </c>
      <c r="AM169">
        <v>0</v>
      </c>
    </row>
    <row r="170" spans="1:39" x14ac:dyDescent="0.2">
      <c r="A170" t="str">
        <f>"166"</f>
        <v>166</v>
      </c>
      <c r="B170" t="str">
        <f t="shared" si="7"/>
        <v>1</v>
      </c>
      <c r="C170" t="str">
        <f t="shared" si="9"/>
        <v>4</v>
      </c>
      <c r="D170" t="str">
        <f>"17"</f>
        <v>17</v>
      </c>
      <c r="E170" t="str">
        <f>"1-4-17"</f>
        <v>1-4-17</v>
      </c>
      <c r="F170" t="s">
        <v>65</v>
      </c>
      <c r="G170" t="s">
        <v>66</v>
      </c>
      <c r="H170" t="s">
        <v>67</v>
      </c>
      <c r="S170">
        <v>1</v>
      </c>
      <c r="T170">
        <v>0</v>
      </c>
      <c r="U170">
        <v>0</v>
      </c>
      <c r="V170">
        <v>0</v>
      </c>
      <c r="W170">
        <v>1</v>
      </c>
      <c r="X170">
        <v>0</v>
      </c>
      <c r="Y170">
        <v>0</v>
      </c>
      <c r="Z170">
        <v>1</v>
      </c>
      <c r="AA170">
        <v>0</v>
      </c>
      <c r="AB170">
        <v>1</v>
      </c>
      <c r="AC170">
        <v>0</v>
      </c>
      <c r="AD170">
        <v>1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1</v>
      </c>
      <c r="AL170">
        <v>1</v>
      </c>
      <c r="AM170">
        <v>1</v>
      </c>
    </row>
    <row r="171" spans="1:39" x14ac:dyDescent="0.2">
      <c r="A171" t="str">
        <f>"167"</f>
        <v>167</v>
      </c>
      <c r="B171" t="str">
        <f t="shared" si="7"/>
        <v>1</v>
      </c>
      <c r="C171" t="str">
        <f t="shared" si="9"/>
        <v>4</v>
      </c>
      <c r="D171" t="str">
        <f>"37"</f>
        <v>37</v>
      </c>
      <c r="E171" t="str">
        <f>"1-4-37"</f>
        <v>1-4-37</v>
      </c>
      <c r="F171" t="s">
        <v>65</v>
      </c>
      <c r="G171" t="s">
        <v>66</v>
      </c>
      <c r="H171" t="s">
        <v>67</v>
      </c>
      <c r="S171">
        <v>0</v>
      </c>
      <c r="T171">
        <v>1</v>
      </c>
      <c r="U171">
        <v>0</v>
      </c>
      <c r="V171">
        <v>0</v>
      </c>
      <c r="W171">
        <v>1</v>
      </c>
      <c r="X171">
        <v>0</v>
      </c>
      <c r="Y171">
        <v>1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1</v>
      </c>
    </row>
    <row r="172" spans="1:39" x14ac:dyDescent="0.2">
      <c r="A172" t="str">
        <f>"168"</f>
        <v>168</v>
      </c>
      <c r="B172" t="str">
        <f t="shared" si="7"/>
        <v>1</v>
      </c>
      <c r="C172" t="str">
        <f t="shared" si="9"/>
        <v>4</v>
      </c>
      <c r="D172" t="str">
        <f>"18"</f>
        <v>18</v>
      </c>
      <c r="E172" t="str">
        <f>"1-4-18"</f>
        <v>1-4-18</v>
      </c>
      <c r="F172" t="s">
        <v>65</v>
      </c>
      <c r="G172" t="s">
        <v>66</v>
      </c>
      <c r="H172" t="s">
        <v>67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</row>
    <row r="173" spans="1:39" x14ac:dyDescent="0.2">
      <c r="A173" t="str">
        <f>"169"</f>
        <v>169</v>
      </c>
      <c r="B173" t="str">
        <f t="shared" si="7"/>
        <v>1</v>
      </c>
      <c r="C173" t="str">
        <f t="shared" si="9"/>
        <v>4</v>
      </c>
      <c r="D173" t="str">
        <f>"11"</f>
        <v>11</v>
      </c>
      <c r="E173" t="str">
        <f>"1-4-11"</f>
        <v>1-4-11</v>
      </c>
      <c r="F173" t="s">
        <v>65</v>
      </c>
      <c r="G173" t="s">
        <v>66</v>
      </c>
      <c r="H173" t="s">
        <v>67</v>
      </c>
      <c r="S173">
        <v>1</v>
      </c>
      <c r="T173">
        <v>0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1</v>
      </c>
      <c r="AA173">
        <v>1</v>
      </c>
      <c r="AB173">
        <v>0</v>
      </c>
      <c r="AC173">
        <v>0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1</v>
      </c>
      <c r="AM173">
        <v>1</v>
      </c>
    </row>
    <row r="174" spans="1:39" x14ac:dyDescent="0.2">
      <c r="A174" t="str">
        <f>"170"</f>
        <v>170</v>
      </c>
      <c r="B174" t="str">
        <f t="shared" si="7"/>
        <v>1</v>
      </c>
      <c r="C174" t="str">
        <f t="shared" si="9"/>
        <v>4</v>
      </c>
      <c r="D174" t="str">
        <f>"38"</f>
        <v>38</v>
      </c>
      <c r="E174" t="str">
        <f>"1-4-38"</f>
        <v>1-4-38</v>
      </c>
      <c r="F174" t="s">
        <v>65</v>
      </c>
      <c r="G174" t="s">
        <v>66</v>
      </c>
      <c r="H174" t="s">
        <v>67</v>
      </c>
      <c r="S174">
        <v>1</v>
      </c>
      <c r="T174">
        <v>0</v>
      </c>
      <c r="U174">
        <v>0</v>
      </c>
      <c r="V174">
        <v>0</v>
      </c>
      <c r="W174">
        <v>1</v>
      </c>
      <c r="X174">
        <v>0</v>
      </c>
      <c r="Y174">
        <v>0</v>
      </c>
      <c r="Z174">
        <v>1</v>
      </c>
      <c r="AA174">
        <v>1</v>
      </c>
      <c r="AB174">
        <v>0</v>
      </c>
      <c r="AC174">
        <v>0</v>
      </c>
      <c r="AD174">
        <v>1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1</v>
      </c>
      <c r="AK174">
        <v>1</v>
      </c>
      <c r="AL174">
        <v>1</v>
      </c>
      <c r="AM174">
        <v>1</v>
      </c>
    </row>
    <row r="175" spans="1:39" x14ac:dyDescent="0.2">
      <c r="A175" t="str">
        <f>"171"</f>
        <v>171</v>
      </c>
      <c r="B175" t="str">
        <f t="shared" si="7"/>
        <v>1</v>
      </c>
      <c r="C175" t="str">
        <f t="shared" si="9"/>
        <v>4</v>
      </c>
      <c r="D175" t="str">
        <f>"19"</f>
        <v>19</v>
      </c>
      <c r="E175" t="str">
        <f>"1-4-19"</f>
        <v>1-4-19</v>
      </c>
      <c r="F175" t="s">
        <v>65</v>
      </c>
      <c r="G175" t="s">
        <v>66</v>
      </c>
      <c r="H175" t="s">
        <v>67</v>
      </c>
      <c r="S175">
        <v>1</v>
      </c>
      <c r="T175">
        <v>0</v>
      </c>
      <c r="U175">
        <v>0</v>
      </c>
      <c r="V175">
        <v>0</v>
      </c>
      <c r="W175">
        <v>0</v>
      </c>
      <c r="X175">
        <v>1</v>
      </c>
      <c r="Y175">
        <v>0</v>
      </c>
      <c r="Z175">
        <v>1</v>
      </c>
      <c r="AA175">
        <v>0</v>
      </c>
      <c r="AB175">
        <v>1</v>
      </c>
      <c r="AC175">
        <v>0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</row>
    <row r="176" spans="1:39" x14ac:dyDescent="0.2">
      <c r="A176" t="str">
        <f>"172"</f>
        <v>172</v>
      </c>
      <c r="B176" t="str">
        <f t="shared" si="7"/>
        <v>1</v>
      </c>
      <c r="C176" t="str">
        <f t="shared" si="9"/>
        <v>4</v>
      </c>
      <c r="D176" t="str">
        <f>"6"</f>
        <v>6</v>
      </c>
      <c r="E176" t="str">
        <f>"1-4-6"</f>
        <v>1-4-6</v>
      </c>
      <c r="F176" t="s">
        <v>65</v>
      </c>
      <c r="G176" t="s">
        <v>66</v>
      </c>
      <c r="H176" t="s">
        <v>67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1</v>
      </c>
      <c r="Y176">
        <v>1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1</v>
      </c>
      <c r="AK176">
        <v>1</v>
      </c>
      <c r="AL176">
        <v>1</v>
      </c>
      <c r="AM176">
        <v>1</v>
      </c>
    </row>
    <row r="177" spans="1:39" x14ac:dyDescent="0.2">
      <c r="A177" t="str">
        <f>"173"</f>
        <v>173</v>
      </c>
      <c r="B177" t="str">
        <f t="shared" si="7"/>
        <v>1</v>
      </c>
      <c r="C177" t="str">
        <f t="shared" si="9"/>
        <v>4</v>
      </c>
      <c r="D177" t="str">
        <f>"36"</f>
        <v>36</v>
      </c>
      <c r="E177" t="str">
        <f>"1-4-36"</f>
        <v>1-4-36</v>
      </c>
      <c r="F177" t="s">
        <v>65</v>
      </c>
      <c r="G177" t="s">
        <v>66</v>
      </c>
      <c r="H177" t="s">
        <v>67</v>
      </c>
      <c r="S177">
        <v>0</v>
      </c>
      <c r="T177">
        <v>1</v>
      </c>
      <c r="U177">
        <v>0</v>
      </c>
      <c r="V177">
        <v>0</v>
      </c>
      <c r="W177">
        <v>1</v>
      </c>
      <c r="X177">
        <v>0</v>
      </c>
      <c r="Y177">
        <v>1</v>
      </c>
      <c r="Z177">
        <v>0</v>
      </c>
      <c r="AA177">
        <v>0</v>
      </c>
      <c r="AB177">
        <v>1</v>
      </c>
      <c r="AC177">
        <v>0</v>
      </c>
      <c r="AD177">
        <v>1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</v>
      </c>
      <c r="AK177">
        <v>1</v>
      </c>
      <c r="AL177">
        <v>1</v>
      </c>
      <c r="AM177">
        <v>1</v>
      </c>
    </row>
    <row r="178" spans="1:39" x14ac:dyDescent="0.2">
      <c r="A178" t="str">
        <f>"174"</f>
        <v>174</v>
      </c>
      <c r="B178" t="str">
        <f t="shared" si="7"/>
        <v>1</v>
      </c>
      <c r="C178" t="str">
        <f t="shared" si="9"/>
        <v>4</v>
      </c>
      <c r="D178" t="str">
        <f>"20"</f>
        <v>20</v>
      </c>
      <c r="E178" t="str">
        <f>"1-4-20"</f>
        <v>1-4-20</v>
      </c>
      <c r="F178" t="s">
        <v>65</v>
      </c>
      <c r="G178" t="s">
        <v>66</v>
      </c>
      <c r="H178" t="s">
        <v>67</v>
      </c>
      <c r="S178">
        <v>1</v>
      </c>
      <c r="T178">
        <v>0</v>
      </c>
      <c r="U178">
        <v>0</v>
      </c>
      <c r="V178">
        <v>0</v>
      </c>
      <c r="W178">
        <v>1</v>
      </c>
      <c r="X178">
        <v>0</v>
      </c>
      <c r="Y178">
        <v>1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1</v>
      </c>
      <c r="AF178">
        <v>1</v>
      </c>
      <c r="AG178">
        <v>1</v>
      </c>
      <c r="AH178">
        <v>0</v>
      </c>
      <c r="AI178">
        <v>1</v>
      </c>
      <c r="AJ178">
        <v>0</v>
      </c>
      <c r="AK178">
        <v>0</v>
      </c>
      <c r="AL178">
        <v>1</v>
      </c>
      <c r="AM178">
        <v>0</v>
      </c>
    </row>
    <row r="179" spans="1:39" x14ac:dyDescent="0.2">
      <c r="A179" t="str">
        <f>"175"</f>
        <v>175</v>
      </c>
      <c r="B179" t="str">
        <f t="shared" si="7"/>
        <v>1</v>
      </c>
      <c r="C179" t="str">
        <f t="shared" si="9"/>
        <v>4</v>
      </c>
      <c r="D179" t="str">
        <f>"5"</f>
        <v>5</v>
      </c>
      <c r="E179" t="str">
        <f>"1-4-5"</f>
        <v>1-4-5</v>
      </c>
      <c r="F179" t="s">
        <v>65</v>
      </c>
      <c r="G179" t="s">
        <v>66</v>
      </c>
      <c r="H179" t="s">
        <v>67</v>
      </c>
      <c r="S179">
        <v>0</v>
      </c>
      <c r="T179">
        <v>1</v>
      </c>
      <c r="U179">
        <v>0</v>
      </c>
      <c r="V179">
        <v>0</v>
      </c>
      <c r="W179">
        <v>1</v>
      </c>
      <c r="X179">
        <v>0</v>
      </c>
      <c r="Y179">
        <v>1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1</v>
      </c>
      <c r="AK179">
        <v>1</v>
      </c>
      <c r="AL179">
        <v>1</v>
      </c>
      <c r="AM179">
        <v>1</v>
      </c>
    </row>
    <row r="180" spans="1:39" x14ac:dyDescent="0.2">
      <c r="A180" t="str">
        <f>"176"</f>
        <v>176</v>
      </c>
      <c r="B180" t="str">
        <f t="shared" si="7"/>
        <v>1</v>
      </c>
      <c r="C180" t="str">
        <f t="shared" si="9"/>
        <v>4</v>
      </c>
      <c r="D180" t="str">
        <f>"44"</f>
        <v>44</v>
      </c>
      <c r="E180" t="str">
        <f>"1-4-44"</f>
        <v>1-4-44</v>
      </c>
      <c r="F180" t="s">
        <v>65</v>
      </c>
      <c r="G180" t="s">
        <v>66</v>
      </c>
      <c r="H180" t="s">
        <v>67</v>
      </c>
      <c r="S180">
        <v>0</v>
      </c>
      <c r="T180">
        <v>1</v>
      </c>
      <c r="U180">
        <v>0</v>
      </c>
      <c r="V180">
        <v>0</v>
      </c>
      <c r="W180">
        <v>1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</row>
    <row r="181" spans="1:39" x14ac:dyDescent="0.2">
      <c r="A181" t="str">
        <f>"177"</f>
        <v>177</v>
      </c>
      <c r="B181" t="str">
        <f t="shared" si="7"/>
        <v>1</v>
      </c>
      <c r="C181" t="str">
        <f t="shared" si="9"/>
        <v>4</v>
      </c>
      <c r="D181" t="str">
        <f>"22"</f>
        <v>22</v>
      </c>
      <c r="E181" t="str">
        <f>"1-4-22"</f>
        <v>1-4-22</v>
      </c>
      <c r="F181" t="s">
        <v>65</v>
      </c>
      <c r="G181" t="s">
        <v>66</v>
      </c>
      <c r="H181" t="s">
        <v>67</v>
      </c>
      <c r="S181">
        <v>0</v>
      </c>
      <c r="T181">
        <v>1</v>
      </c>
      <c r="U181">
        <v>0</v>
      </c>
      <c r="V181">
        <v>0</v>
      </c>
      <c r="W181">
        <v>1</v>
      </c>
      <c r="X181">
        <v>0</v>
      </c>
      <c r="Y181">
        <v>1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</row>
    <row r="182" spans="1:39" x14ac:dyDescent="0.2">
      <c r="A182" t="str">
        <f>"178"</f>
        <v>178</v>
      </c>
      <c r="B182" t="str">
        <f t="shared" si="7"/>
        <v>1</v>
      </c>
      <c r="C182" t="str">
        <f t="shared" si="9"/>
        <v>4</v>
      </c>
      <c r="D182" t="str">
        <f>"13"</f>
        <v>13</v>
      </c>
      <c r="E182" t="str">
        <f>"1-4-13"</f>
        <v>1-4-13</v>
      </c>
      <c r="F182" t="s">
        <v>65</v>
      </c>
      <c r="G182" t="s">
        <v>66</v>
      </c>
      <c r="H182" t="s">
        <v>67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1</v>
      </c>
      <c r="Y182">
        <v>0</v>
      </c>
      <c r="Z182">
        <v>1</v>
      </c>
      <c r="AA182">
        <v>0</v>
      </c>
      <c r="AB182">
        <v>1</v>
      </c>
      <c r="AC182">
        <v>0</v>
      </c>
      <c r="AD182">
        <v>1</v>
      </c>
      <c r="AE182">
        <v>1</v>
      </c>
      <c r="AF182">
        <v>1</v>
      </c>
      <c r="AG182">
        <v>1</v>
      </c>
      <c r="AH182">
        <v>1</v>
      </c>
      <c r="AI182">
        <v>1</v>
      </c>
      <c r="AJ182">
        <v>1</v>
      </c>
      <c r="AK182">
        <v>1</v>
      </c>
      <c r="AL182">
        <v>1</v>
      </c>
      <c r="AM182">
        <v>1</v>
      </c>
    </row>
    <row r="183" spans="1:39" x14ac:dyDescent="0.2">
      <c r="A183" t="str">
        <f>"179"</f>
        <v>179</v>
      </c>
      <c r="B183" t="str">
        <f t="shared" ref="B183:B246" si="10">"1"</f>
        <v>1</v>
      </c>
      <c r="C183" t="str">
        <f t="shared" si="9"/>
        <v>4</v>
      </c>
      <c r="D183" t="str">
        <f>"40"</f>
        <v>40</v>
      </c>
      <c r="E183" t="str">
        <f>"1-4-40"</f>
        <v>1-4-40</v>
      </c>
      <c r="F183" t="s">
        <v>65</v>
      </c>
      <c r="G183" t="s">
        <v>66</v>
      </c>
      <c r="H183" t="s">
        <v>67</v>
      </c>
      <c r="S183">
        <v>0</v>
      </c>
      <c r="T183">
        <v>1</v>
      </c>
      <c r="U183">
        <v>0</v>
      </c>
      <c r="V183">
        <v>0</v>
      </c>
      <c r="W183">
        <v>1</v>
      </c>
      <c r="X183">
        <v>0</v>
      </c>
      <c r="Y183">
        <v>1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1</v>
      </c>
      <c r="AF183">
        <v>1</v>
      </c>
      <c r="AG183">
        <v>1</v>
      </c>
      <c r="AH183">
        <v>1</v>
      </c>
      <c r="AI183">
        <v>1</v>
      </c>
      <c r="AJ183">
        <v>1</v>
      </c>
      <c r="AK183">
        <v>1</v>
      </c>
      <c r="AL183">
        <v>1</v>
      </c>
      <c r="AM183">
        <v>1</v>
      </c>
    </row>
    <row r="184" spans="1:39" x14ac:dyDescent="0.2">
      <c r="A184" t="str">
        <f>"180"</f>
        <v>180</v>
      </c>
      <c r="B184" t="str">
        <f t="shared" si="10"/>
        <v>1</v>
      </c>
      <c r="C184" t="str">
        <f t="shared" si="9"/>
        <v>4</v>
      </c>
      <c r="D184" t="str">
        <f>"24"</f>
        <v>24</v>
      </c>
      <c r="E184" t="str">
        <f>"1-4-24"</f>
        <v>1-4-24</v>
      </c>
      <c r="F184" t="s">
        <v>65</v>
      </c>
      <c r="G184" t="s">
        <v>66</v>
      </c>
      <c r="H184" t="s">
        <v>67</v>
      </c>
      <c r="S184">
        <v>1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1</v>
      </c>
      <c r="AA184">
        <v>0</v>
      </c>
      <c r="AB184">
        <v>0</v>
      </c>
      <c r="AC184">
        <v>1</v>
      </c>
      <c r="AD184">
        <v>1</v>
      </c>
      <c r="AE184">
        <v>1</v>
      </c>
      <c r="AF184">
        <v>1</v>
      </c>
      <c r="AG184">
        <v>1</v>
      </c>
      <c r="AH184">
        <v>1</v>
      </c>
      <c r="AI184">
        <v>1</v>
      </c>
      <c r="AJ184">
        <v>1</v>
      </c>
      <c r="AK184">
        <v>1</v>
      </c>
      <c r="AL184">
        <v>1</v>
      </c>
      <c r="AM184">
        <v>1</v>
      </c>
    </row>
    <row r="185" spans="1:39" x14ac:dyDescent="0.2">
      <c r="A185" t="str">
        <f>"181"</f>
        <v>181</v>
      </c>
      <c r="B185" t="str">
        <f t="shared" si="10"/>
        <v>1</v>
      </c>
      <c r="C185" t="str">
        <f t="shared" si="9"/>
        <v>4</v>
      </c>
      <c r="D185" t="str">
        <f>"2"</f>
        <v>2</v>
      </c>
      <c r="E185" t="str">
        <f>"1-4-2"</f>
        <v>1-4-2</v>
      </c>
      <c r="F185" t="s">
        <v>65</v>
      </c>
      <c r="G185" t="s">
        <v>66</v>
      </c>
      <c r="H185" t="s">
        <v>67</v>
      </c>
      <c r="S185">
        <v>0</v>
      </c>
      <c r="T185">
        <v>1</v>
      </c>
      <c r="U185">
        <v>0</v>
      </c>
      <c r="V185">
        <v>0</v>
      </c>
      <c r="W185">
        <v>1</v>
      </c>
      <c r="X185">
        <v>0</v>
      </c>
      <c r="Y185">
        <v>1</v>
      </c>
      <c r="Z185">
        <v>0</v>
      </c>
      <c r="AA185">
        <v>0</v>
      </c>
      <c r="AB185">
        <v>0</v>
      </c>
      <c r="AC185">
        <v>1</v>
      </c>
      <c r="AD185">
        <v>1</v>
      </c>
      <c r="AE185">
        <v>1</v>
      </c>
      <c r="AF185">
        <v>1</v>
      </c>
      <c r="AG185">
        <v>1</v>
      </c>
      <c r="AH185">
        <v>1</v>
      </c>
      <c r="AI185">
        <v>1</v>
      </c>
      <c r="AJ185">
        <v>1</v>
      </c>
      <c r="AK185">
        <v>1</v>
      </c>
      <c r="AL185">
        <v>1</v>
      </c>
      <c r="AM185">
        <v>1</v>
      </c>
    </row>
    <row r="186" spans="1:39" x14ac:dyDescent="0.2">
      <c r="A186" t="str">
        <f>"182"</f>
        <v>182</v>
      </c>
      <c r="B186" t="str">
        <f t="shared" si="10"/>
        <v>1</v>
      </c>
      <c r="C186" t="str">
        <f t="shared" si="9"/>
        <v>4</v>
      </c>
      <c r="D186" t="str">
        <f>"39"</f>
        <v>39</v>
      </c>
      <c r="E186" t="str">
        <f>"1-4-39"</f>
        <v>1-4-39</v>
      </c>
      <c r="F186" t="s">
        <v>65</v>
      </c>
      <c r="G186" t="s">
        <v>66</v>
      </c>
      <c r="H186" t="s">
        <v>67</v>
      </c>
      <c r="S186">
        <v>1</v>
      </c>
      <c r="T186">
        <v>0</v>
      </c>
      <c r="U186">
        <v>0</v>
      </c>
      <c r="V186">
        <v>0</v>
      </c>
      <c r="W186">
        <v>1</v>
      </c>
      <c r="X186">
        <v>0</v>
      </c>
      <c r="Y186">
        <v>1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1</v>
      </c>
      <c r="AF186">
        <v>1</v>
      </c>
      <c r="AG186">
        <v>1</v>
      </c>
      <c r="AH186">
        <v>1</v>
      </c>
      <c r="AI186">
        <v>1</v>
      </c>
      <c r="AJ186">
        <v>1</v>
      </c>
      <c r="AK186">
        <v>1</v>
      </c>
      <c r="AL186">
        <v>1</v>
      </c>
      <c r="AM186">
        <v>1</v>
      </c>
    </row>
    <row r="187" spans="1:39" x14ac:dyDescent="0.2">
      <c r="A187" t="str">
        <f>"183"</f>
        <v>183</v>
      </c>
      <c r="B187" t="str">
        <f t="shared" si="10"/>
        <v>1</v>
      </c>
      <c r="C187" t="str">
        <f t="shared" ref="C187:C204" si="11">"4"</f>
        <v>4</v>
      </c>
      <c r="D187" t="str">
        <f>"25"</f>
        <v>25</v>
      </c>
      <c r="E187" t="str">
        <f>"1-4-25"</f>
        <v>1-4-25</v>
      </c>
      <c r="F187" t="s">
        <v>65</v>
      </c>
      <c r="G187" t="s">
        <v>66</v>
      </c>
      <c r="H187" t="s">
        <v>67</v>
      </c>
      <c r="S187">
        <v>1</v>
      </c>
      <c r="T187">
        <v>0</v>
      </c>
      <c r="U187">
        <v>0</v>
      </c>
      <c r="V187">
        <v>0</v>
      </c>
      <c r="W187">
        <v>1</v>
      </c>
      <c r="X187">
        <v>0</v>
      </c>
      <c r="Y187">
        <v>1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</row>
    <row r="188" spans="1:39" x14ac:dyDescent="0.2">
      <c r="A188" t="str">
        <f>"184"</f>
        <v>184</v>
      </c>
      <c r="B188" t="str">
        <f t="shared" si="10"/>
        <v>1</v>
      </c>
      <c r="C188" t="str">
        <f t="shared" si="11"/>
        <v>4</v>
      </c>
      <c r="D188" t="str">
        <f>"12"</f>
        <v>12</v>
      </c>
      <c r="E188" t="str">
        <f>"1-4-12"</f>
        <v>1-4-12</v>
      </c>
      <c r="F188" t="s">
        <v>65</v>
      </c>
      <c r="G188" t="s">
        <v>66</v>
      </c>
      <c r="H188" t="s">
        <v>67</v>
      </c>
      <c r="S188">
        <v>0</v>
      </c>
      <c r="T188">
        <v>1</v>
      </c>
      <c r="U188">
        <v>0</v>
      </c>
      <c r="V188">
        <v>0</v>
      </c>
      <c r="W188">
        <v>1</v>
      </c>
      <c r="X188">
        <v>0</v>
      </c>
      <c r="Y188">
        <v>1</v>
      </c>
      <c r="Z188">
        <v>0</v>
      </c>
      <c r="AA188">
        <v>0</v>
      </c>
      <c r="AB188">
        <v>0</v>
      </c>
      <c r="AC188">
        <v>1</v>
      </c>
      <c r="AD188">
        <v>1</v>
      </c>
      <c r="AE188">
        <v>1</v>
      </c>
      <c r="AF188">
        <v>1</v>
      </c>
      <c r="AG188">
        <v>1</v>
      </c>
      <c r="AH188">
        <v>1</v>
      </c>
      <c r="AI188">
        <v>1</v>
      </c>
      <c r="AJ188">
        <v>1</v>
      </c>
      <c r="AK188">
        <v>1</v>
      </c>
      <c r="AL188">
        <v>1</v>
      </c>
      <c r="AM188">
        <v>1</v>
      </c>
    </row>
    <row r="189" spans="1:39" x14ac:dyDescent="0.2">
      <c r="A189" t="str">
        <f>"185"</f>
        <v>185</v>
      </c>
      <c r="B189" t="str">
        <f t="shared" si="10"/>
        <v>1</v>
      </c>
      <c r="C189" t="str">
        <f t="shared" si="11"/>
        <v>4</v>
      </c>
      <c r="D189" t="str">
        <f>"41"</f>
        <v>41</v>
      </c>
      <c r="E189" t="str">
        <f>"1-4-41"</f>
        <v>1-4-41</v>
      </c>
      <c r="F189" t="s">
        <v>65</v>
      </c>
      <c r="G189" t="s">
        <v>66</v>
      </c>
      <c r="H189" t="s">
        <v>67</v>
      </c>
      <c r="S189">
        <v>0</v>
      </c>
      <c r="T189">
        <v>1</v>
      </c>
      <c r="U189">
        <v>0</v>
      </c>
      <c r="V189">
        <v>0</v>
      </c>
      <c r="W189">
        <v>1</v>
      </c>
      <c r="X189">
        <v>0</v>
      </c>
      <c r="Y189">
        <v>0</v>
      </c>
      <c r="Z189">
        <v>1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</row>
    <row r="190" spans="1:39" x14ac:dyDescent="0.2">
      <c r="A190" t="str">
        <f>"186"</f>
        <v>186</v>
      </c>
      <c r="B190" t="str">
        <f t="shared" si="10"/>
        <v>1</v>
      </c>
      <c r="C190" t="str">
        <f t="shared" si="11"/>
        <v>4</v>
      </c>
      <c r="D190" t="str">
        <f>"26"</f>
        <v>26</v>
      </c>
      <c r="E190" t="str">
        <f>"1-4-26"</f>
        <v>1-4-26</v>
      </c>
      <c r="F190" t="s">
        <v>65</v>
      </c>
      <c r="G190" t="s">
        <v>66</v>
      </c>
      <c r="H190" t="s">
        <v>67</v>
      </c>
      <c r="S190">
        <v>1</v>
      </c>
      <c r="T190">
        <v>0</v>
      </c>
      <c r="U190">
        <v>0</v>
      </c>
      <c r="V190">
        <v>0</v>
      </c>
      <c r="W190">
        <v>1</v>
      </c>
      <c r="X190">
        <v>0</v>
      </c>
      <c r="Y190">
        <v>1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1</v>
      </c>
      <c r="AK190">
        <v>1</v>
      </c>
      <c r="AL190">
        <v>1</v>
      </c>
      <c r="AM190">
        <v>1</v>
      </c>
    </row>
    <row r="191" spans="1:39" x14ac:dyDescent="0.2">
      <c r="A191" t="str">
        <f>"187"</f>
        <v>187</v>
      </c>
      <c r="B191" t="str">
        <f t="shared" si="10"/>
        <v>1</v>
      </c>
      <c r="C191" t="str">
        <f t="shared" si="11"/>
        <v>4</v>
      </c>
      <c r="D191" t="str">
        <f>"43"</f>
        <v>43</v>
      </c>
      <c r="E191" t="str">
        <f>"1-4-43"</f>
        <v>1-4-43</v>
      </c>
      <c r="F191" t="s">
        <v>65</v>
      </c>
      <c r="G191" t="s">
        <v>66</v>
      </c>
      <c r="H191" t="s">
        <v>67</v>
      </c>
      <c r="S191">
        <v>0</v>
      </c>
      <c r="T191">
        <v>1</v>
      </c>
      <c r="U191">
        <v>0</v>
      </c>
      <c r="V191">
        <v>0</v>
      </c>
      <c r="W191">
        <v>1</v>
      </c>
      <c r="X191">
        <v>0</v>
      </c>
      <c r="Y191">
        <v>1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M191">
        <v>1</v>
      </c>
    </row>
    <row r="192" spans="1:39" x14ac:dyDescent="0.2">
      <c r="A192" t="str">
        <f>"188"</f>
        <v>188</v>
      </c>
      <c r="B192" t="str">
        <f t="shared" si="10"/>
        <v>1</v>
      </c>
      <c r="C192" t="str">
        <f t="shared" si="11"/>
        <v>4</v>
      </c>
      <c r="D192" t="str">
        <f>"27"</f>
        <v>27</v>
      </c>
      <c r="E192" t="str">
        <f>"1-4-27"</f>
        <v>1-4-27</v>
      </c>
      <c r="F192" t="s">
        <v>65</v>
      </c>
      <c r="G192" t="s">
        <v>66</v>
      </c>
      <c r="H192" t="s">
        <v>67</v>
      </c>
      <c r="S192">
        <v>1</v>
      </c>
      <c r="T192">
        <v>0</v>
      </c>
      <c r="U192">
        <v>0</v>
      </c>
      <c r="V192">
        <v>0</v>
      </c>
      <c r="W192">
        <v>1</v>
      </c>
      <c r="X192">
        <v>0</v>
      </c>
      <c r="Y192">
        <v>0</v>
      </c>
      <c r="Z192">
        <v>1</v>
      </c>
      <c r="AA192">
        <v>1</v>
      </c>
      <c r="AB192">
        <v>0</v>
      </c>
      <c r="AC192">
        <v>0</v>
      </c>
      <c r="AD192">
        <v>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1</v>
      </c>
      <c r="AK192">
        <v>1</v>
      </c>
      <c r="AL192">
        <v>1</v>
      </c>
      <c r="AM192">
        <v>1</v>
      </c>
    </row>
    <row r="193" spans="1:39" x14ac:dyDescent="0.2">
      <c r="A193" t="str">
        <f>"189"</f>
        <v>189</v>
      </c>
      <c r="B193" t="str">
        <f t="shared" si="10"/>
        <v>1</v>
      </c>
      <c r="C193" t="str">
        <f t="shared" si="11"/>
        <v>4</v>
      </c>
      <c r="D193" t="str">
        <f>"10"</f>
        <v>10</v>
      </c>
      <c r="E193" t="str">
        <f>"1-4-10"</f>
        <v>1-4-10</v>
      </c>
      <c r="F193" t="s">
        <v>65</v>
      </c>
      <c r="G193" t="s">
        <v>66</v>
      </c>
      <c r="H193" t="s">
        <v>67</v>
      </c>
      <c r="S193">
        <v>1</v>
      </c>
      <c r="T193">
        <v>0</v>
      </c>
      <c r="U193">
        <v>0</v>
      </c>
      <c r="V193">
        <v>0</v>
      </c>
      <c r="W193">
        <v>1</v>
      </c>
      <c r="X193">
        <v>0</v>
      </c>
      <c r="Y193">
        <v>0</v>
      </c>
      <c r="Z193">
        <v>1</v>
      </c>
      <c r="AA193">
        <v>1</v>
      </c>
      <c r="AB193">
        <v>0</v>
      </c>
      <c r="AC193">
        <v>0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</row>
    <row r="194" spans="1:39" x14ac:dyDescent="0.2">
      <c r="A194" t="str">
        <f>"190"</f>
        <v>190</v>
      </c>
      <c r="B194" t="str">
        <f t="shared" si="10"/>
        <v>1</v>
      </c>
      <c r="C194" t="str">
        <f t="shared" si="11"/>
        <v>4</v>
      </c>
      <c r="D194" t="str">
        <f>"46"</f>
        <v>46</v>
      </c>
      <c r="E194" t="str">
        <f>"1-4-46"</f>
        <v>1-4-46</v>
      </c>
      <c r="F194" t="s">
        <v>65</v>
      </c>
      <c r="G194" t="s">
        <v>66</v>
      </c>
      <c r="H194" t="s">
        <v>67</v>
      </c>
      <c r="S194">
        <v>0</v>
      </c>
      <c r="T194">
        <v>1</v>
      </c>
      <c r="U194">
        <v>0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1</v>
      </c>
      <c r="AH194">
        <v>1</v>
      </c>
      <c r="AI194">
        <v>1</v>
      </c>
      <c r="AJ194">
        <v>1</v>
      </c>
      <c r="AK194">
        <v>1</v>
      </c>
      <c r="AL194">
        <v>1</v>
      </c>
      <c r="AM194">
        <v>1</v>
      </c>
    </row>
    <row r="195" spans="1:39" x14ac:dyDescent="0.2">
      <c r="A195" t="str">
        <f>"191"</f>
        <v>191</v>
      </c>
      <c r="B195" t="str">
        <f t="shared" si="10"/>
        <v>1</v>
      </c>
      <c r="C195" t="str">
        <f t="shared" si="11"/>
        <v>4</v>
      </c>
      <c r="D195" t="str">
        <f>"28"</f>
        <v>28</v>
      </c>
      <c r="E195" t="str">
        <f>"1-4-28"</f>
        <v>1-4-28</v>
      </c>
      <c r="F195" t="s">
        <v>65</v>
      </c>
      <c r="G195" t="s">
        <v>66</v>
      </c>
      <c r="H195" t="s">
        <v>67</v>
      </c>
      <c r="S195">
        <v>1</v>
      </c>
      <c r="T195">
        <v>0</v>
      </c>
      <c r="U195">
        <v>0</v>
      </c>
      <c r="V195">
        <v>0</v>
      </c>
      <c r="W195">
        <v>1</v>
      </c>
      <c r="X195">
        <v>0</v>
      </c>
      <c r="Y195">
        <v>1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1</v>
      </c>
      <c r="AF195">
        <v>1</v>
      </c>
      <c r="AG195">
        <v>1</v>
      </c>
      <c r="AH195">
        <v>1</v>
      </c>
      <c r="AI195">
        <v>1</v>
      </c>
      <c r="AJ195">
        <v>1</v>
      </c>
      <c r="AK195">
        <v>1</v>
      </c>
      <c r="AL195">
        <v>1</v>
      </c>
      <c r="AM195">
        <v>1</v>
      </c>
    </row>
    <row r="196" spans="1:39" x14ac:dyDescent="0.2">
      <c r="A196" t="str">
        <f>"192"</f>
        <v>192</v>
      </c>
      <c r="B196" t="str">
        <f t="shared" si="10"/>
        <v>1</v>
      </c>
      <c r="C196" t="str">
        <f t="shared" si="11"/>
        <v>4</v>
      </c>
      <c r="D196" t="str">
        <f>"4"</f>
        <v>4</v>
      </c>
      <c r="E196" t="str">
        <f>"1-4-4"</f>
        <v>1-4-4</v>
      </c>
      <c r="F196" t="s">
        <v>65</v>
      </c>
      <c r="G196" t="s">
        <v>66</v>
      </c>
      <c r="H196" t="s">
        <v>67</v>
      </c>
      <c r="S196">
        <v>0</v>
      </c>
      <c r="T196">
        <v>1</v>
      </c>
      <c r="U196">
        <v>0</v>
      </c>
      <c r="V196">
        <v>0</v>
      </c>
      <c r="W196">
        <v>1</v>
      </c>
      <c r="X196">
        <v>0</v>
      </c>
      <c r="Y196">
        <v>0</v>
      </c>
      <c r="Z196">
        <v>0</v>
      </c>
      <c r="AA196">
        <v>0</v>
      </c>
      <c r="AB196">
        <v>1</v>
      </c>
      <c r="AC196">
        <v>0</v>
      </c>
      <c r="AD196">
        <v>0</v>
      </c>
      <c r="AE196">
        <v>1</v>
      </c>
      <c r="AF196">
        <v>0</v>
      </c>
      <c r="AG196">
        <v>1</v>
      </c>
      <c r="AH196">
        <v>1</v>
      </c>
      <c r="AI196">
        <v>1</v>
      </c>
      <c r="AJ196">
        <v>1</v>
      </c>
      <c r="AK196">
        <v>1</v>
      </c>
      <c r="AL196">
        <v>1</v>
      </c>
      <c r="AM196">
        <v>1</v>
      </c>
    </row>
    <row r="197" spans="1:39" x14ac:dyDescent="0.2">
      <c r="A197" t="str">
        <f>"193"</f>
        <v>193</v>
      </c>
      <c r="B197" t="str">
        <f t="shared" si="10"/>
        <v>1</v>
      </c>
      <c r="C197" t="str">
        <f t="shared" si="11"/>
        <v>4</v>
      </c>
      <c r="D197" t="str">
        <f>"45"</f>
        <v>45</v>
      </c>
      <c r="E197" t="str">
        <f>"1-4-45"</f>
        <v>1-4-45</v>
      </c>
      <c r="F197" t="s">
        <v>65</v>
      </c>
      <c r="G197" t="s">
        <v>66</v>
      </c>
      <c r="H197" t="s">
        <v>67</v>
      </c>
      <c r="S197">
        <v>1</v>
      </c>
      <c r="T197">
        <v>0</v>
      </c>
      <c r="U197">
        <v>0</v>
      </c>
      <c r="V197">
        <v>0</v>
      </c>
      <c r="W197">
        <v>1</v>
      </c>
      <c r="X197">
        <v>0</v>
      </c>
      <c r="Y197">
        <v>0</v>
      </c>
      <c r="Z197">
        <v>1</v>
      </c>
      <c r="AA197">
        <v>0</v>
      </c>
      <c r="AB197">
        <v>1</v>
      </c>
      <c r="AC197">
        <v>0</v>
      </c>
      <c r="AD197">
        <v>1</v>
      </c>
      <c r="AE197">
        <v>1</v>
      </c>
      <c r="AF197">
        <v>1</v>
      </c>
      <c r="AG197">
        <v>1</v>
      </c>
      <c r="AH197">
        <v>1</v>
      </c>
      <c r="AI197">
        <v>1</v>
      </c>
      <c r="AJ197">
        <v>1</v>
      </c>
      <c r="AK197">
        <v>1</v>
      </c>
      <c r="AL197">
        <v>1</v>
      </c>
      <c r="AM197">
        <v>1</v>
      </c>
    </row>
    <row r="198" spans="1:39" x14ac:dyDescent="0.2">
      <c r="A198" t="str">
        <f>"194"</f>
        <v>194</v>
      </c>
      <c r="B198" t="str">
        <f t="shared" si="10"/>
        <v>1</v>
      </c>
      <c r="C198" t="str">
        <f t="shared" si="11"/>
        <v>4</v>
      </c>
      <c r="D198" t="str">
        <f>"29"</f>
        <v>29</v>
      </c>
      <c r="E198" t="str">
        <f>"1-4-29"</f>
        <v>1-4-29</v>
      </c>
      <c r="F198" t="s">
        <v>65</v>
      </c>
      <c r="G198" t="s">
        <v>66</v>
      </c>
      <c r="H198" t="s">
        <v>67</v>
      </c>
      <c r="S198">
        <v>0</v>
      </c>
      <c r="T198">
        <v>1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1</v>
      </c>
      <c r="AA198">
        <v>0</v>
      </c>
      <c r="AB198">
        <v>0</v>
      </c>
      <c r="AC198">
        <v>1</v>
      </c>
      <c r="AD198">
        <v>1</v>
      </c>
      <c r="AE198">
        <v>1</v>
      </c>
      <c r="AF198">
        <v>1</v>
      </c>
      <c r="AG198">
        <v>1</v>
      </c>
      <c r="AH198">
        <v>1</v>
      </c>
      <c r="AI198">
        <v>1</v>
      </c>
      <c r="AJ198">
        <v>1</v>
      </c>
      <c r="AK198">
        <v>1</v>
      </c>
      <c r="AL198">
        <v>1</v>
      </c>
      <c r="AM198">
        <v>1</v>
      </c>
    </row>
    <row r="199" spans="1:39" x14ac:dyDescent="0.2">
      <c r="A199" t="str">
        <f>"195"</f>
        <v>195</v>
      </c>
      <c r="B199" t="str">
        <f t="shared" si="10"/>
        <v>1</v>
      </c>
      <c r="C199" t="str">
        <f t="shared" si="11"/>
        <v>4</v>
      </c>
      <c r="D199" t="str">
        <f>"7"</f>
        <v>7</v>
      </c>
      <c r="E199" t="str">
        <f>"1-4-7"</f>
        <v>1-4-7</v>
      </c>
      <c r="F199" t="s">
        <v>65</v>
      </c>
      <c r="G199" t="s">
        <v>66</v>
      </c>
      <c r="H199" t="s">
        <v>67</v>
      </c>
      <c r="S199">
        <v>1</v>
      </c>
      <c r="T199">
        <v>0</v>
      </c>
      <c r="U199">
        <v>0</v>
      </c>
      <c r="V199">
        <v>0</v>
      </c>
      <c r="W199">
        <v>1</v>
      </c>
      <c r="X199">
        <v>0</v>
      </c>
      <c r="Y199">
        <v>0</v>
      </c>
      <c r="Z199">
        <v>1</v>
      </c>
      <c r="AA199">
        <v>0</v>
      </c>
      <c r="AB199">
        <v>0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</row>
    <row r="200" spans="1:39" x14ac:dyDescent="0.2">
      <c r="A200" t="str">
        <f>"196"</f>
        <v>196</v>
      </c>
      <c r="B200" t="str">
        <f t="shared" si="10"/>
        <v>1</v>
      </c>
      <c r="C200" t="str">
        <f t="shared" si="11"/>
        <v>4</v>
      </c>
      <c r="D200" t="str">
        <f>"42"</f>
        <v>42</v>
      </c>
      <c r="E200" t="str">
        <f>"1-4-42"</f>
        <v>1-4-42</v>
      </c>
      <c r="F200" t="s">
        <v>65</v>
      </c>
      <c r="G200" t="s">
        <v>66</v>
      </c>
      <c r="H200" t="s">
        <v>67</v>
      </c>
      <c r="S200">
        <v>1</v>
      </c>
      <c r="T200">
        <v>0</v>
      </c>
      <c r="U200">
        <v>0</v>
      </c>
      <c r="V200">
        <v>0</v>
      </c>
      <c r="W200">
        <v>1</v>
      </c>
      <c r="X200">
        <v>0</v>
      </c>
      <c r="Y200">
        <v>0</v>
      </c>
      <c r="Z200">
        <v>1</v>
      </c>
      <c r="AA200">
        <v>0</v>
      </c>
      <c r="AB200">
        <v>1</v>
      </c>
      <c r="AC200">
        <v>0</v>
      </c>
      <c r="AD200">
        <v>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1</v>
      </c>
      <c r="AL200">
        <v>1</v>
      </c>
      <c r="AM200">
        <v>1</v>
      </c>
    </row>
    <row r="201" spans="1:39" x14ac:dyDescent="0.2">
      <c r="A201" t="str">
        <f>"197"</f>
        <v>197</v>
      </c>
      <c r="B201" t="str">
        <f t="shared" si="10"/>
        <v>1</v>
      </c>
      <c r="C201" t="str">
        <f t="shared" si="11"/>
        <v>4</v>
      </c>
      <c r="D201" t="str">
        <f>"30"</f>
        <v>30</v>
      </c>
      <c r="E201" t="str">
        <f>"1-4-30"</f>
        <v>1-4-30</v>
      </c>
      <c r="F201" t="s">
        <v>65</v>
      </c>
      <c r="G201" t="s">
        <v>66</v>
      </c>
      <c r="H201" t="s">
        <v>67</v>
      </c>
      <c r="S201">
        <v>1</v>
      </c>
      <c r="T201">
        <v>0</v>
      </c>
      <c r="U201">
        <v>0</v>
      </c>
      <c r="V201">
        <v>0</v>
      </c>
      <c r="W201">
        <v>1</v>
      </c>
      <c r="X201">
        <v>0</v>
      </c>
      <c r="Y201">
        <v>1</v>
      </c>
      <c r="Z201">
        <v>0</v>
      </c>
      <c r="AA201">
        <v>0</v>
      </c>
      <c r="AB201">
        <v>0</v>
      </c>
      <c r="AC201">
        <v>1</v>
      </c>
      <c r="AD201">
        <v>0</v>
      </c>
      <c r="AE201">
        <v>0</v>
      </c>
      <c r="AF201">
        <v>0</v>
      </c>
      <c r="AG201">
        <v>1</v>
      </c>
      <c r="AH201">
        <v>1</v>
      </c>
      <c r="AI201">
        <v>0</v>
      </c>
      <c r="AJ201">
        <v>0</v>
      </c>
      <c r="AK201">
        <v>0</v>
      </c>
      <c r="AL201">
        <v>0</v>
      </c>
      <c r="AM201">
        <v>0</v>
      </c>
    </row>
    <row r="202" spans="1:39" x14ac:dyDescent="0.2">
      <c r="A202" t="str">
        <f>"198"</f>
        <v>198</v>
      </c>
      <c r="B202" t="str">
        <f t="shared" si="10"/>
        <v>1</v>
      </c>
      <c r="C202" t="str">
        <f t="shared" si="11"/>
        <v>4</v>
      </c>
      <c r="D202" t="str">
        <f>"14"</f>
        <v>14</v>
      </c>
      <c r="E202" t="str">
        <f>"1-4-14"</f>
        <v>1-4-14</v>
      </c>
      <c r="F202" t="s">
        <v>65</v>
      </c>
      <c r="G202" t="s">
        <v>66</v>
      </c>
      <c r="H202" t="s">
        <v>67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1</v>
      </c>
      <c r="Y202">
        <v>1</v>
      </c>
      <c r="Z202">
        <v>0</v>
      </c>
      <c r="AA202">
        <v>0</v>
      </c>
      <c r="AB202">
        <v>1</v>
      </c>
      <c r="AC202">
        <v>0</v>
      </c>
      <c r="AD202">
        <v>1</v>
      </c>
      <c r="AE202">
        <v>1</v>
      </c>
      <c r="AF202">
        <v>1</v>
      </c>
      <c r="AG202">
        <v>1</v>
      </c>
      <c r="AH202">
        <v>1</v>
      </c>
      <c r="AI202">
        <v>1</v>
      </c>
      <c r="AJ202">
        <v>1</v>
      </c>
      <c r="AK202">
        <v>1</v>
      </c>
      <c r="AL202">
        <v>1</v>
      </c>
      <c r="AM202">
        <v>1</v>
      </c>
    </row>
    <row r="203" spans="1:39" x14ac:dyDescent="0.2">
      <c r="A203" t="str">
        <f>"199"</f>
        <v>199</v>
      </c>
      <c r="B203" t="str">
        <f t="shared" si="10"/>
        <v>1</v>
      </c>
      <c r="C203" t="str">
        <f t="shared" si="11"/>
        <v>4</v>
      </c>
      <c r="D203" t="str">
        <f>"1"</f>
        <v>1</v>
      </c>
      <c r="E203" t="str">
        <f>"1-4-1"</f>
        <v>1-4-1</v>
      </c>
      <c r="F203" t="s">
        <v>65</v>
      </c>
      <c r="G203" t="s">
        <v>66</v>
      </c>
      <c r="H203" t="s">
        <v>67</v>
      </c>
      <c r="S203">
        <v>0</v>
      </c>
      <c r="T203">
        <v>1</v>
      </c>
      <c r="U203">
        <v>0</v>
      </c>
      <c r="V203">
        <v>0</v>
      </c>
      <c r="W203">
        <v>1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1</v>
      </c>
      <c r="AD203">
        <v>1</v>
      </c>
      <c r="AE203">
        <v>1</v>
      </c>
      <c r="AF203">
        <v>1</v>
      </c>
      <c r="AG203">
        <v>1</v>
      </c>
      <c r="AH203">
        <v>1</v>
      </c>
      <c r="AI203">
        <v>1</v>
      </c>
      <c r="AJ203">
        <v>1</v>
      </c>
      <c r="AK203">
        <v>1</v>
      </c>
      <c r="AL203">
        <v>1</v>
      </c>
      <c r="AM203">
        <v>1</v>
      </c>
    </row>
    <row r="204" spans="1:39" x14ac:dyDescent="0.2">
      <c r="A204" t="str">
        <f>"200"</f>
        <v>200</v>
      </c>
      <c r="B204" t="str">
        <f t="shared" si="10"/>
        <v>1</v>
      </c>
      <c r="C204" t="str">
        <f t="shared" si="11"/>
        <v>4</v>
      </c>
      <c r="D204" t="str">
        <f>"3"</f>
        <v>3</v>
      </c>
      <c r="E204" t="str">
        <f>"1-4-3"</f>
        <v>1-4-3</v>
      </c>
      <c r="F204" t="s">
        <v>65</v>
      </c>
      <c r="G204" t="s">
        <v>66</v>
      </c>
      <c r="H204" t="s">
        <v>67</v>
      </c>
      <c r="S204">
        <v>0</v>
      </c>
      <c r="T204">
        <v>1</v>
      </c>
      <c r="U204">
        <v>0</v>
      </c>
      <c r="V204">
        <v>0</v>
      </c>
      <c r="W204">
        <v>1</v>
      </c>
      <c r="X204">
        <v>0</v>
      </c>
      <c r="Y204">
        <v>1</v>
      </c>
      <c r="Z204">
        <v>0</v>
      </c>
      <c r="AA204">
        <v>0</v>
      </c>
      <c r="AB204">
        <v>0</v>
      </c>
      <c r="AC204">
        <v>1</v>
      </c>
      <c r="AD204">
        <v>1</v>
      </c>
      <c r="AE204">
        <v>1</v>
      </c>
      <c r="AF204">
        <v>1</v>
      </c>
      <c r="AG204">
        <v>1</v>
      </c>
      <c r="AH204">
        <v>1</v>
      </c>
      <c r="AI204">
        <v>1</v>
      </c>
      <c r="AJ204">
        <v>1</v>
      </c>
      <c r="AK204">
        <v>1</v>
      </c>
      <c r="AL204">
        <v>1</v>
      </c>
      <c r="AM204">
        <v>1</v>
      </c>
    </row>
    <row r="205" spans="1:39" x14ac:dyDescent="0.2">
      <c r="A205" t="str">
        <f>"201"</f>
        <v>201</v>
      </c>
      <c r="B205" t="str">
        <f t="shared" si="10"/>
        <v>1</v>
      </c>
      <c r="C205" t="str">
        <f t="shared" ref="C205:C236" si="12">"5"</f>
        <v>5</v>
      </c>
      <c r="D205" t="str">
        <f>"48"</f>
        <v>48</v>
      </c>
      <c r="E205" t="str">
        <f>"1-5-48"</f>
        <v>1-5-48</v>
      </c>
      <c r="F205" t="s">
        <v>65</v>
      </c>
      <c r="G205" t="s">
        <v>66</v>
      </c>
      <c r="H205" t="s">
        <v>67</v>
      </c>
      <c r="S205">
        <v>0</v>
      </c>
      <c r="T205">
        <v>1</v>
      </c>
      <c r="U205">
        <v>0</v>
      </c>
      <c r="V205">
        <v>0</v>
      </c>
      <c r="W205">
        <v>1</v>
      </c>
      <c r="X205">
        <v>0</v>
      </c>
      <c r="Y205">
        <v>1</v>
      </c>
      <c r="Z205">
        <v>0</v>
      </c>
      <c r="AA205">
        <v>1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1</v>
      </c>
      <c r="AI205">
        <v>1</v>
      </c>
      <c r="AJ205">
        <v>0</v>
      </c>
      <c r="AK205">
        <v>0</v>
      </c>
      <c r="AL205">
        <v>0</v>
      </c>
      <c r="AM205">
        <v>0</v>
      </c>
    </row>
    <row r="206" spans="1:39" x14ac:dyDescent="0.2">
      <c r="A206" t="str">
        <f>"202"</f>
        <v>202</v>
      </c>
      <c r="B206" t="str">
        <f t="shared" si="10"/>
        <v>1</v>
      </c>
      <c r="C206" t="str">
        <f t="shared" si="12"/>
        <v>5</v>
      </c>
      <c r="D206" t="str">
        <f>"47"</f>
        <v>47</v>
      </c>
      <c r="E206" t="str">
        <f>"1-5-47"</f>
        <v>1-5-47</v>
      </c>
      <c r="F206" t="s">
        <v>65</v>
      </c>
      <c r="G206" t="s">
        <v>66</v>
      </c>
      <c r="H206" t="s">
        <v>67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0</v>
      </c>
      <c r="AB206">
        <v>0</v>
      </c>
      <c r="AC206">
        <v>1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</row>
    <row r="207" spans="1:39" x14ac:dyDescent="0.2">
      <c r="A207" t="str">
        <f>"203"</f>
        <v>203</v>
      </c>
      <c r="B207" t="str">
        <f t="shared" si="10"/>
        <v>1</v>
      </c>
      <c r="C207" t="str">
        <f t="shared" si="12"/>
        <v>5</v>
      </c>
      <c r="D207" t="str">
        <f>"32"</f>
        <v>32</v>
      </c>
      <c r="E207" t="str">
        <f>"1-5-32"</f>
        <v>1-5-32</v>
      </c>
      <c r="F207" t="s">
        <v>65</v>
      </c>
      <c r="G207" t="s">
        <v>66</v>
      </c>
      <c r="H207" t="s">
        <v>67</v>
      </c>
      <c r="S207">
        <v>1</v>
      </c>
      <c r="T207">
        <v>0</v>
      </c>
      <c r="U207">
        <v>0</v>
      </c>
      <c r="V207">
        <v>0</v>
      </c>
      <c r="W207">
        <v>1</v>
      </c>
      <c r="X207">
        <v>0</v>
      </c>
      <c r="Y207">
        <v>1</v>
      </c>
      <c r="Z207">
        <v>0</v>
      </c>
      <c r="AA207">
        <v>0</v>
      </c>
      <c r="AB207">
        <v>0</v>
      </c>
      <c r="AC207">
        <v>1</v>
      </c>
      <c r="AD207">
        <v>1</v>
      </c>
      <c r="AE207">
        <v>1</v>
      </c>
      <c r="AF207">
        <v>1</v>
      </c>
      <c r="AG207">
        <v>1</v>
      </c>
      <c r="AH207">
        <v>1</v>
      </c>
      <c r="AI207">
        <v>1</v>
      </c>
      <c r="AJ207">
        <v>1</v>
      </c>
      <c r="AK207">
        <v>1</v>
      </c>
      <c r="AL207">
        <v>1</v>
      </c>
      <c r="AM207">
        <v>1</v>
      </c>
    </row>
    <row r="208" spans="1:39" x14ac:dyDescent="0.2">
      <c r="A208" t="str">
        <f>"204"</f>
        <v>204</v>
      </c>
      <c r="B208" t="str">
        <f t="shared" si="10"/>
        <v>1</v>
      </c>
      <c r="C208" t="str">
        <f t="shared" si="12"/>
        <v>5</v>
      </c>
      <c r="D208" t="str">
        <f>"31"</f>
        <v>31</v>
      </c>
      <c r="E208" t="str">
        <f>"1-5-31"</f>
        <v>1-5-31</v>
      </c>
      <c r="F208" t="s">
        <v>65</v>
      </c>
      <c r="G208" t="s">
        <v>66</v>
      </c>
      <c r="H208" t="s">
        <v>67</v>
      </c>
      <c r="S208">
        <v>0</v>
      </c>
      <c r="T208">
        <v>1</v>
      </c>
      <c r="U208">
        <v>0</v>
      </c>
      <c r="V208">
        <v>0</v>
      </c>
      <c r="W208">
        <v>1</v>
      </c>
      <c r="X208">
        <v>0</v>
      </c>
      <c r="Y208">
        <v>0</v>
      </c>
      <c r="Z208">
        <v>1</v>
      </c>
      <c r="AA208">
        <v>1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</row>
    <row r="209" spans="1:39" x14ac:dyDescent="0.2">
      <c r="A209" t="str">
        <f>"205"</f>
        <v>205</v>
      </c>
      <c r="B209" t="str">
        <f t="shared" si="10"/>
        <v>1</v>
      </c>
      <c r="C209" t="str">
        <f t="shared" si="12"/>
        <v>5</v>
      </c>
      <c r="D209" t="str">
        <f>"24"</f>
        <v>24</v>
      </c>
      <c r="E209" t="str">
        <f>"1-5-24"</f>
        <v>1-5-24</v>
      </c>
      <c r="F209" t="s">
        <v>65</v>
      </c>
      <c r="G209" t="s">
        <v>66</v>
      </c>
      <c r="H209" t="s">
        <v>67</v>
      </c>
      <c r="S209">
        <v>0</v>
      </c>
      <c r="T209">
        <v>1</v>
      </c>
      <c r="U209">
        <v>0</v>
      </c>
      <c r="V209">
        <v>0</v>
      </c>
      <c r="W209">
        <v>1</v>
      </c>
      <c r="X209">
        <v>0</v>
      </c>
      <c r="Y209">
        <v>1</v>
      </c>
      <c r="Z209">
        <v>0</v>
      </c>
      <c r="AA209">
        <v>0</v>
      </c>
      <c r="AB209">
        <v>1</v>
      </c>
      <c r="AC209">
        <v>0</v>
      </c>
      <c r="AD209">
        <v>1</v>
      </c>
      <c r="AE209">
        <v>1</v>
      </c>
      <c r="AF209">
        <v>1</v>
      </c>
      <c r="AG209">
        <v>1</v>
      </c>
      <c r="AH209">
        <v>0</v>
      </c>
      <c r="AI209">
        <v>1</v>
      </c>
      <c r="AJ209">
        <v>1</v>
      </c>
      <c r="AK209">
        <v>1</v>
      </c>
      <c r="AL209">
        <v>1</v>
      </c>
      <c r="AM209">
        <v>1</v>
      </c>
    </row>
    <row r="210" spans="1:39" x14ac:dyDescent="0.2">
      <c r="A210" t="str">
        <f>"206"</f>
        <v>206</v>
      </c>
      <c r="B210" t="str">
        <f t="shared" si="10"/>
        <v>1</v>
      </c>
      <c r="C210" t="str">
        <f t="shared" si="12"/>
        <v>5</v>
      </c>
      <c r="D210" t="str">
        <f>"15"</f>
        <v>15</v>
      </c>
      <c r="E210" t="str">
        <f>"1-5-15"</f>
        <v>1-5-15</v>
      </c>
      <c r="F210" t="s">
        <v>65</v>
      </c>
      <c r="G210" t="s">
        <v>66</v>
      </c>
      <c r="H210" t="s">
        <v>67</v>
      </c>
      <c r="S210">
        <v>0</v>
      </c>
      <c r="T210">
        <v>1</v>
      </c>
      <c r="U210">
        <v>0</v>
      </c>
      <c r="V210">
        <v>0</v>
      </c>
      <c r="W210">
        <v>1</v>
      </c>
      <c r="X210">
        <v>0</v>
      </c>
      <c r="Y210">
        <v>1</v>
      </c>
      <c r="Z210">
        <v>0</v>
      </c>
      <c r="AA210">
        <v>0</v>
      </c>
      <c r="AB210">
        <v>1</v>
      </c>
      <c r="AC210">
        <v>0</v>
      </c>
      <c r="AD210">
        <v>1</v>
      </c>
      <c r="AE210">
        <v>1</v>
      </c>
      <c r="AF210">
        <v>1</v>
      </c>
      <c r="AG210">
        <v>1</v>
      </c>
      <c r="AH210">
        <v>1</v>
      </c>
      <c r="AI210">
        <v>1</v>
      </c>
      <c r="AJ210">
        <v>1</v>
      </c>
      <c r="AK210">
        <v>1</v>
      </c>
      <c r="AL210">
        <v>1</v>
      </c>
      <c r="AM210">
        <v>1</v>
      </c>
    </row>
    <row r="211" spans="1:39" x14ac:dyDescent="0.2">
      <c r="A211" t="str">
        <f>"207"</f>
        <v>207</v>
      </c>
      <c r="B211" t="str">
        <f t="shared" si="10"/>
        <v>1</v>
      </c>
      <c r="C211" t="str">
        <f t="shared" si="12"/>
        <v>5</v>
      </c>
      <c r="D211" t="str">
        <f>"6"</f>
        <v>6</v>
      </c>
      <c r="E211" t="str">
        <f>"1-5-6"</f>
        <v>1-5-6</v>
      </c>
      <c r="F211" t="s">
        <v>65</v>
      </c>
      <c r="G211" t="s">
        <v>66</v>
      </c>
      <c r="H211" t="s">
        <v>67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1</v>
      </c>
      <c r="Y211">
        <v>0</v>
      </c>
      <c r="Z211">
        <v>1</v>
      </c>
      <c r="AA211">
        <v>0</v>
      </c>
      <c r="AB211">
        <v>0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</row>
    <row r="212" spans="1:39" x14ac:dyDescent="0.2">
      <c r="A212" t="str">
        <f>"208"</f>
        <v>208</v>
      </c>
      <c r="B212" t="str">
        <f t="shared" si="10"/>
        <v>1</v>
      </c>
      <c r="C212" t="str">
        <f t="shared" si="12"/>
        <v>5</v>
      </c>
      <c r="D212" t="str">
        <f>"50"</f>
        <v>50</v>
      </c>
      <c r="E212" t="str">
        <f>"1-5-50"</f>
        <v>1-5-50</v>
      </c>
      <c r="F212" t="s">
        <v>65</v>
      </c>
      <c r="G212" t="s">
        <v>66</v>
      </c>
      <c r="H212" t="s">
        <v>67</v>
      </c>
      <c r="S212">
        <v>1</v>
      </c>
      <c r="T212">
        <v>0</v>
      </c>
      <c r="U212">
        <v>0</v>
      </c>
      <c r="V212">
        <v>0</v>
      </c>
      <c r="W212">
        <v>1</v>
      </c>
      <c r="X212">
        <v>0</v>
      </c>
      <c r="Y212">
        <v>0</v>
      </c>
      <c r="Z212">
        <v>1</v>
      </c>
      <c r="AA212">
        <v>0</v>
      </c>
      <c r="AB212">
        <v>0</v>
      </c>
      <c r="AC212">
        <v>1</v>
      </c>
      <c r="AD212">
        <v>1</v>
      </c>
      <c r="AE212">
        <v>1</v>
      </c>
      <c r="AF212">
        <v>1</v>
      </c>
      <c r="AG212">
        <v>1</v>
      </c>
      <c r="AH212">
        <v>1</v>
      </c>
      <c r="AI212">
        <v>1</v>
      </c>
      <c r="AJ212">
        <v>0</v>
      </c>
      <c r="AK212">
        <v>0</v>
      </c>
      <c r="AL212">
        <v>1</v>
      </c>
      <c r="AM212">
        <v>0</v>
      </c>
    </row>
    <row r="213" spans="1:39" x14ac:dyDescent="0.2">
      <c r="A213" t="str">
        <f>"209"</f>
        <v>209</v>
      </c>
      <c r="B213" t="str">
        <f t="shared" si="10"/>
        <v>1</v>
      </c>
      <c r="C213" t="str">
        <f t="shared" si="12"/>
        <v>5</v>
      </c>
      <c r="D213" t="str">
        <f>"49"</f>
        <v>49</v>
      </c>
      <c r="E213" t="str">
        <f>"1-5-49"</f>
        <v>1-5-49</v>
      </c>
      <c r="F213" t="s">
        <v>65</v>
      </c>
      <c r="G213" t="s">
        <v>66</v>
      </c>
      <c r="H213" t="s">
        <v>67</v>
      </c>
      <c r="S213">
        <v>1</v>
      </c>
      <c r="T213">
        <v>0</v>
      </c>
      <c r="U213">
        <v>0</v>
      </c>
      <c r="V213">
        <v>0</v>
      </c>
      <c r="W213">
        <v>1</v>
      </c>
      <c r="X213">
        <v>0</v>
      </c>
      <c r="Y213">
        <v>0</v>
      </c>
      <c r="Z213">
        <v>1</v>
      </c>
      <c r="AA213">
        <v>0</v>
      </c>
      <c r="AB213">
        <v>1</v>
      </c>
      <c r="AC213">
        <v>0</v>
      </c>
      <c r="AD213">
        <v>1</v>
      </c>
      <c r="AE213">
        <v>1</v>
      </c>
      <c r="AF213">
        <v>1</v>
      </c>
      <c r="AG213">
        <v>1</v>
      </c>
      <c r="AH213">
        <v>1</v>
      </c>
      <c r="AI213">
        <v>1</v>
      </c>
      <c r="AJ213">
        <v>1</v>
      </c>
      <c r="AK213">
        <v>1</v>
      </c>
      <c r="AL213">
        <v>1</v>
      </c>
      <c r="AM213">
        <v>1</v>
      </c>
    </row>
    <row r="214" spans="1:39" x14ac:dyDescent="0.2">
      <c r="A214" t="str">
        <f>"210"</f>
        <v>210</v>
      </c>
      <c r="B214" t="str">
        <f t="shared" si="10"/>
        <v>1</v>
      </c>
      <c r="C214" t="str">
        <f t="shared" si="12"/>
        <v>5</v>
      </c>
      <c r="D214" t="str">
        <f>"34"</f>
        <v>34</v>
      </c>
      <c r="E214" t="str">
        <f>"1-5-34"</f>
        <v>1-5-34</v>
      </c>
      <c r="F214" t="s">
        <v>65</v>
      </c>
      <c r="G214" t="s">
        <v>66</v>
      </c>
      <c r="H214" t="s">
        <v>67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0</v>
      </c>
      <c r="AB214">
        <v>0</v>
      </c>
      <c r="AC214">
        <v>1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</row>
    <row r="215" spans="1:39" x14ac:dyDescent="0.2">
      <c r="A215" t="str">
        <f>"211"</f>
        <v>211</v>
      </c>
      <c r="B215" t="str">
        <f t="shared" si="10"/>
        <v>1</v>
      </c>
      <c r="C215" t="str">
        <f t="shared" si="12"/>
        <v>5</v>
      </c>
      <c r="D215" t="str">
        <f>"33"</f>
        <v>33</v>
      </c>
      <c r="E215" t="str">
        <f>"1-5-33"</f>
        <v>1-5-33</v>
      </c>
      <c r="F215" t="s">
        <v>65</v>
      </c>
      <c r="G215" t="s">
        <v>66</v>
      </c>
      <c r="H215" t="s">
        <v>67</v>
      </c>
      <c r="S215">
        <v>1</v>
      </c>
      <c r="T215">
        <v>0</v>
      </c>
      <c r="U215">
        <v>0</v>
      </c>
      <c r="V215">
        <v>0</v>
      </c>
      <c r="W215">
        <v>1</v>
      </c>
      <c r="X215">
        <v>0</v>
      </c>
      <c r="Y215">
        <v>0</v>
      </c>
      <c r="Z215">
        <v>1</v>
      </c>
      <c r="AA215">
        <v>0</v>
      </c>
      <c r="AB215">
        <v>0</v>
      </c>
      <c r="AC215">
        <v>1</v>
      </c>
      <c r="AD215">
        <v>1</v>
      </c>
      <c r="AE215">
        <v>1</v>
      </c>
      <c r="AF215">
        <v>1</v>
      </c>
      <c r="AG215">
        <v>1</v>
      </c>
      <c r="AH215">
        <v>1</v>
      </c>
      <c r="AI215">
        <v>1</v>
      </c>
      <c r="AJ215">
        <v>1</v>
      </c>
      <c r="AK215">
        <v>1</v>
      </c>
      <c r="AL215">
        <v>1</v>
      </c>
      <c r="AM215">
        <v>1</v>
      </c>
    </row>
    <row r="216" spans="1:39" x14ac:dyDescent="0.2">
      <c r="A216" t="str">
        <f>"212"</f>
        <v>212</v>
      </c>
      <c r="B216" t="str">
        <f t="shared" si="10"/>
        <v>1</v>
      </c>
      <c r="C216" t="str">
        <f t="shared" si="12"/>
        <v>5</v>
      </c>
      <c r="D216" t="str">
        <f>"30"</f>
        <v>30</v>
      </c>
      <c r="E216" t="str">
        <f>"1-5-30"</f>
        <v>1-5-30</v>
      </c>
      <c r="F216" t="s">
        <v>65</v>
      </c>
      <c r="G216" t="s">
        <v>66</v>
      </c>
      <c r="H216" t="s">
        <v>67</v>
      </c>
      <c r="S216">
        <v>1</v>
      </c>
      <c r="T216">
        <v>0</v>
      </c>
      <c r="U216">
        <v>0</v>
      </c>
      <c r="V216">
        <v>0</v>
      </c>
      <c r="W216">
        <v>1</v>
      </c>
      <c r="X216">
        <v>0</v>
      </c>
      <c r="Y216">
        <v>1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1</v>
      </c>
      <c r="AF216">
        <v>1</v>
      </c>
      <c r="AG216">
        <v>1</v>
      </c>
      <c r="AH216">
        <v>1</v>
      </c>
      <c r="AI216">
        <v>1</v>
      </c>
      <c r="AJ216">
        <v>1</v>
      </c>
      <c r="AK216">
        <v>1</v>
      </c>
      <c r="AL216">
        <v>1</v>
      </c>
      <c r="AM216">
        <v>1</v>
      </c>
    </row>
    <row r="217" spans="1:39" x14ac:dyDescent="0.2">
      <c r="A217" t="str">
        <f>"213"</f>
        <v>213</v>
      </c>
      <c r="B217" t="str">
        <f t="shared" si="10"/>
        <v>1</v>
      </c>
      <c r="C217" t="str">
        <f t="shared" si="12"/>
        <v>5</v>
      </c>
      <c r="D217" t="str">
        <f>"16"</f>
        <v>16</v>
      </c>
      <c r="E217" t="str">
        <f>"1-5-16"</f>
        <v>1-5-16</v>
      </c>
      <c r="F217" t="s">
        <v>65</v>
      </c>
      <c r="G217" t="s">
        <v>66</v>
      </c>
      <c r="H217" t="s">
        <v>67</v>
      </c>
      <c r="S217">
        <v>0</v>
      </c>
      <c r="T217">
        <v>1</v>
      </c>
      <c r="U217">
        <v>0</v>
      </c>
      <c r="V217">
        <v>0</v>
      </c>
      <c r="W217">
        <v>1</v>
      </c>
      <c r="X217">
        <v>0</v>
      </c>
      <c r="Y217">
        <v>1</v>
      </c>
      <c r="Z217">
        <v>0</v>
      </c>
      <c r="AA217">
        <v>0</v>
      </c>
      <c r="AB217">
        <v>1</v>
      </c>
      <c r="AC217">
        <v>0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</row>
    <row r="218" spans="1:39" x14ac:dyDescent="0.2">
      <c r="A218" t="str">
        <f>"214"</f>
        <v>214</v>
      </c>
      <c r="B218" t="str">
        <f t="shared" si="10"/>
        <v>1</v>
      </c>
      <c r="C218" t="str">
        <f t="shared" si="12"/>
        <v>5</v>
      </c>
      <c r="D218" t="str">
        <f>"4"</f>
        <v>4</v>
      </c>
      <c r="E218" t="str">
        <f>"1-5-4"</f>
        <v>1-5-4</v>
      </c>
      <c r="F218" t="s">
        <v>65</v>
      </c>
      <c r="G218" t="s">
        <v>66</v>
      </c>
      <c r="H218" t="s">
        <v>67</v>
      </c>
      <c r="S218">
        <v>1</v>
      </c>
      <c r="T218">
        <v>0</v>
      </c>
      <c r="U218">
        <v>0</v>
      </c>
      <c r="V218">
        <v>0</v>
      </c>
      <c r="W218">
        <v>1</v>
      </c>
      <c r="X218">
        <v>0</v>
      </c>
      <c r="Y218">
        <v>0</v>
      </c>
      <c r="Z218">
        <v>1</v>
      </c>
      <c r="AA218">
        <v>1</v>
      </c>
      <c r="AB218">
        <v>0</v>
      </c>
      <c r="AC218">
        <v>0</v>
      </c>
      <c r="AD218">
        <v>1</v>
      </c>
      <c r="AE218">
        <v>1</v>
      </c>
      <c r="AF218">
        <v>1</v>
      </c>
      <c r="AG218">
        <v>1</v>
      </c>
      <c r="AH218">
        <v>1</v>
      </c>
      <c r="AI218">
        <v>1</v>
      </c>
      <c r="AJ218">
        <v>1</v>
      </c>
      <c r="AK218">
        <v>1</v>
      </c>
      <c r="AL218">
        <v>1</v>
      </c>
      <c r="AM218">
        <v>1</v>
      </c>
    </row>
    <row r="219" spans="1:39" x14ac:dyDescent="0.2">
      <c r="A219" t="str">
        <f>"215"</f>
        <v>215</v>
      </c>
      <c r="B219" t="str">
        <f t="shared" si="10"/>
        <v>1</v>
      </c>
      <c r="C219" t="str">
        <f t="shared" si="12"/>
        <v>5</v>
      </c>
      <c r="D219" t="str">
        <f>"35"</f>
        <v>35</v>
      </c>
      <c r="E219" t="str">
        <f>"1-5-35"</f>
        <v>1-5-35</v>
      </c>
      <c r="F219" t="s">
        <v>65</v>
      </c>
      <c r="G219" t="s">
        <v>66</v>
      </c>
      <c r="H219" t="s">
        <v>67</v>
      </c>
      <c r="S219">
        <v>0</v>
      </c>
      <c r="T219">
        <v>1</v>
      </c>
      <c r="U219">
        <v>0</v>
      </c>
      <c r="V219">
        <v>0</v>
      </c>
      <c r="W219">
        <v>0</v>
      </c>
      <c r="X219">
        <v>1</v>
      </c>
      <c r="Y219">
        <v>1</v>
      </c>
      <c r="Z219">
        <v>0</v>
      </c>
      <c r="AA219">
        <v>0</v>
      </c>
      <c r="AB219">
        <v>1</v>
      </c>
      <c r="AC219">
        <v>0</v>
      </c>
      <c r="AD219">
        <v>1</v>
      </c>
      <c r="AE219">
        <v>1</v>
      </c>
      <c r="AF219">
        <v>0</v>
      </c>
      <c r="AG219">
        <v>1</v>
      </c>
      <c r="AH219">
        <v>0</v>
      </c>
      <c r="AI219">
        <v>1</v>
      </c>
      <c r="AJ219">
        <v>1</v>
      </c>
      <c r="AK219">
        <v>1</v>
      </c>
      <c r="AL219">
        <v>1</v>
      </c>
      <c r="AM219">
        <v>1</v>
      </c>
    </row>
    <row r="220" spans="1:39" x14ac:dyDescent="0.2">
      <c r="A220" t="str">
        <f>"216"</f>
        <v>216</v>
      </c>
      <c r="B220" t="str">
        <f t="shared" si="10"/>
        <v>1</v>
      </c>
      <c r="C220" t="str">
        <f t="shared" si="12"/>
        <v>5</v>
      </c>
      <c r="D220" t="str">
        <f>"17"</f>
        <v>17</v>
      </c>
      <c r="E220" t="str">
        <f>"1-5-17"</f>
        <v>1-5-17</v>
      </c>
      <c r="F220" t="s">
        <v>65</v>
      </c>
      <c r="G220" t="s">
        <v>66</v>
      </c>
      <c r="H220" t="s">
        <v>67</v>
      </c>
      <c r="S220">
        <v>0</v>
      </c>
      <c r="T220">
        <v>1</v>
      </c>
      <c r="U220">
        <v>0</v>
      </c>
      <c r="V220">
        <v>0</v>
      </c>
      <c r="W220">
        <v>1</v>
      </c>
      <c r="X220">
        <v>0</v>
      </c>
      <c r="Y220">
        <v>1</v>
      </c>
      <c r="Z220">
        <v>0</v>
      </c>
      <c r="AA220">
        <v>0</v>
      </c>
      <c r="AB220">
        <v>1</v>
      </c>
      <c r="AC220">
        <v>0</v>
      </c>
      <c r="AD220">
        <v>1</v>
      </c>
      <c r="AE220">
        <v>1</v>
      </c>
      <c r="AF220">
        <v>1</v>
      </c>
      <c r="AG220">
        <v>1</v>
      </c>
      <c r="AH220">
        <v>1</v>
      </c>
      <c r="AI220">
        <v>1</v>
      </c>
      <c r="AJ220">
        <v>1</v>
      </c>
      <c r="AK220">
        <v>1</v>
      </c>
      <c r="AL220">
        <v>1</v>
      </c>
      <c r="AM220">
        <v>1</v>
      </c>
    </row>
    <row r="221" spans="1:39" x14ac:dyDescent="0.2">
      <c r="A221" t="str">
        <f>"217"</f>
        <v>217</v>
      </c>
      <c r="B221" t="str">
        <f t="shared" si="10"/>
        <v>1</v>
      </c>
      <c r="C221" t="str">
        <f t="shared" si="12"/>
        <v>5</v>
      </c>
      <c r="D221" t="str">
        <f>"39"</f>
        <v>39</v>
      </c>
      <c r="E221" t="str">
        <f>"1-5-39"</f>
        <v>1-5-39</v>
      </c>
      <c r="F221" t="s">
        <v>65</v>
      </c>
      <c r="G221" t="s">
        <v>66</v>
      </c>
      <c r="H221" t="s">
        <v>67</v>
      </c>
      <c r="S221">
        <v>1</v>
      </c>
      <c r="T221">
        <v>0</v>
      </c>
      <c r="U221">
        <v>0</v>
      </c>
      <c r="V221">
        <v>0</v>
      </c>
      <c r="W221">
        <v>1</v>
      </c>
      <c r="X221">
        <v>0</v>
      </c>
      <c r="Y221">
        <v>0</v>
      </c>
      <c r="Z221">
        <v>1</v>
      </c>
      <c r="AA221">
        <v>1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1</v>
      </c>
      <c r="AI221">
        <v>1</v>
      </c>
      <c r="AJ221">
        <v>1</v>
      </c>
      <c r="AK221">
        <v>0</v>
      </c>
      <c r="AL221">
        <v>1</v>
      </c>
      <c r="AM221">
        <v>1</v>
      </c>
    </row>
    <row r="222" spans="1:39" x14ac:dyDescent="0.2">
      <c r="A222" t="str">
        <f>"218"</f>
        <v>218</v>
      </c>
      <c r="B222" t="str">
        <f t="shared" si="10"/>
        <v>1</v>
      </c>
      <c r="C222" t="str">
        <f t="shared" si="12"/>
        <v>5</v>
      </c>
      <c r="D222" t="str">
        <f>"18"</f>
        <v>18</v>
      </c>
      <c r="E222" t="str">
        <f>"1-5-18"</f>
        <v>1-5-18</v>
      </c>
      <c r="F222" t="s">
        <v>65</v>
      </c>
      <c r="G222" t="s">
        <v>66</v>
      </c>
      <c r="H222" t="s">
        <v>67</v>
      </c>
      <c r="S222">
        <v>1</v>
      </c>
      <c r="T222">
        <v>0</v>
      </c>
      <c r="U222">
        <v>0</v>
      </c>
      <c r="V222">
        <v>0</v>
      </c>
      <c r="W222">
        <v>1</v>
      </c>
      <c r="X222">
        <v>0</v>
      </c>
      <c r="Y222">
        <v>1</v>
      </c>
      <c r="Z222">
        <v>0</v>
      </c>
      <c r="AA222">
        <v>0</v>
      </c>
      <c r="AB222">
        <v>1</v>
      </c>
      <c r="AC222">
        <v>0</v>
      </c>
      <c r="AD222">
        <v>1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1</v>
      </c>
      <c r="AL222">
        <v>1</v>
      </c>
      <c r="AM222">
        <v>1</v>
      </c>
    </row>
    <row r="223" spans="1:39" x14ac:dyDescent="0.2">
      <c r="A223" t="str">
        <f>"219"</f>
        <v>219</v>
      </c>
      <c r="B223" t="str">
        <f t="shared" si="10"/>
        <v>1</v>
      </c>
      <c r="C223" t="str">
        <f t="shared" si="12"/>
        <v>5</v>
      </c>
      <c r="D223" t="str">
        <f>"2"</f>
        <v>2</v>
      </c>
      <c r="E223" t="str">
        <f>"1-5-2"</f>
        <v>1-5-2</v>
      </c>
      <c r="F223" t="s">
        <v>65</v>
      </c>
      <c r="G223" t="s">
        <v>66</v>
      </c>
      <c r="H223" t="s">
        <v>67</v>
      </c>
      <c r="S223">
        <v>0</v>
      </c>
      <c r="T223">
        <v>1</v>
      </c>
      <c r="U223">
        <v>0</v>
      </c>
      <c r="V223">
        <v>0</v>
      </c>
      <c r="W223">
        <v>1</v>
      </c>
      <c r="X223">
        <v>0</v>
      </c>
      <c r="Y223">
        <v>1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0</v>
      </c>
    </row>
    <row r="224" spans="1:39" x14ac:dyDescent="0.2">
      <c r="A224" t="str">
        <f>"220"</f>
        <v>220</v>
      </c>
      <c r="B224" t="str">
        <f t="shared" si="10"/>
        <v>1</v>
      </c>
      <c r="C224" t="str">
        <f t="shared" si="12"/>
        <v>5</v>
      </c>
      <c r="D224" t="str">
        <f>"41"</f>
        <v>41</v>
      </c>
      <c r="E224" t="str">
        <f>"1-5-41"</f>
        <v>1-5-41</v>
      </c>
      <c r="F224" t="s">
        <v>65</v>
      </c>
      <c r="G224" t="s">
        <v>66</v>
      </c>
      <c r="H224" t="s">
        <v>67</v>
      </c>
      <c r="S224">
        <v>0</v>
      </c>
      <c r="T224">
        <v>1</v>
      </c>
      <c r="U224">
        <v>0</v>
      </c>
      <c r="V224">
        <v>0</v>
      </c>
      <c r="W224">
        <v>1</v>
      </c>
      <c r="X224">
        <v>0</v>
      </c>
      <c r="Y224">
        <v>1</v>
      </c>
      <c r="Z224">
        <v>0</v>
      </c>
      <c r="AA224">
        <v>0</v>
      </c>
      <c r="AB224">
        <v>1</v>
      </c>
      <c r="AC224">
        <v>0</v>
      </c>
      <c r="AD224">
        <v>1</v>
      </c>
      <c r="AE224">
        <v>1</v>
      </c>
      <c r="AF224">
        <v>1</v>
      </c>
      <c r="AG224">
        <v>1</v>
      </c>
      <c r="AH224">
        <v>1</v>
      </c>
      <c r="AI224">
        <v>1</v>
      </c>
      <c r="AJ224">
        <v>1</v>
      </c>
      <c r="AK224">
        <v>1</v>
      </c>
      <c r="AL224">
        <v>1</v>
      </c>
      <c r="AM224">
        <v>1</v>
      </c>
    </row>
    <row r="225" spans="1:39" x14ac:dyDescent="0.2">
      <c r="A225" t="str">
        <f>"221"</f>
        <v>221</v>
      </c>
      <c r="B225" t="str">
        <f t="shared" si="10"/>
        <v>1</v>
      </c>
      <c r="C225" t="str">
        <f t="shared" si="12"/>
        <v>5</v>
      </c>
      <c r="D225" t="str">
        <f>"19"</f>
        <v>19</v>
      </c>
      <c r="E225" t="str">
        <f>"1-5-19"</f>
        <v>1-5-19</v>
      </c>
      <c r="F225" t="s">
        <v>65</v>
      </c>
      <c r="G225" t="s">
        <v>66</v>
      </c>
      <c r="H225" t="s">
        <v>67</v>
      </c>
      <c r="S225">
        <v>1</v>
      </c>
      <c r="T225">
        <v>0</v>
      </c>
      <c r="U225">
        <v>0</v>
      </c>
      <c r="V225">
        <v>0</v>
      </c>
      <c r="W225">
        <v>1</v>
      </c>
      <c r="X225">
        <v>0</v>
      </c>
      <c r="Y225">
        <v>1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1</v>
      </c>
      <c r="AL225">
        <v>1</v>
      </c>
      <c r="AM225">
        <v>1</v>
      </c>
    </row>
    <row r="226" spans="1:39" x14ac:dyDescent="0.2">
      <c r="A226" t="str">
        <f>"222"</f>
        <v>222</v>
      </c>
      <c r="B226" t="str">
        <f t="shared" si="10"/>
        <v>1</v>
      </c>
      <c r="C226" t="str">
        <f t="shared" si="12"/>
        <v>5</v>
      </c>
      <c r="D226" t="str">
        <f>"9"</f>
        <v>9</v>
      </c>
      <c r="E226" t="str">
        <f>"1-5-9"</f>
        <v>1-5-9</v>
      </c>
      <c r="F226" t="s">
        <v>65</v>
      </c>
      <c r="G226" t="s">
        <v>66</v>
      </c>
      <c r="H226" t="s">
        <v>67</v>
      </c>
      <c r="S226">
        <v>1</v>
      </c>
      <c r="T226">
        <v>0</v>
      </c>
      <c r="U226">
        <v>0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</row>
    <row r="227" spans="1:39" x14ac:dyDescent="0.2">
      <c r="A227" t="str">
        <f>"223"</f>
        <v>223</v>
      </c>
      <c r="B227" t="str">
        <f t="shared" si="10"/>
        <v>1</v>
      </c>
      <c r="C227" t="str">
        <f t="shared" si="12"/>
        <v>5</v>
      </c>
      <c r="D227" t="str">
        <f>"38"</f>
        <v>38</v>
      </c>
      <c r="E227" t="str">
        <f>"1-5-38"</f>
        <v>1-5-38</v>
      </c>
      <c r="F227" t="s">
        <v>65</v>
      </c>
      <c r="G227" t="s">
        <v>66</v>
      </c>
      <c r="H227" t="s">
        <v>67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1</v>
      </c>
      <c r="Y227">
        <v>1</v>
      </c>
      <c r="Z227">
        <v>0</v>
      </c>
      <c r="AA227">
        <v>0</v>
      </c>
      <c r="AB227">
        <v>0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1</v>
      </c>
      <c r="AL227">
        <v>1</v>
      </c>
      <c r="AM227">
        <v>1</v>
      </c>
    </row>
    <row r="228" spans="1:39" x14ac:dyDescent="0.2">
      <c r="A228" t="str">
        <f>"224"</f>
        <v>224</v>
      </c>
      <c r="B228" t="str">
        <f t="shared" si="10"/>
        <v>1</v>
      </c>
      <c r="C228" t="str">
        <f t="shared" si="12"/>
        <v>5</v>
      </c>
      <c r="D228" t="str">
        <f>"20"</f>
        <v>20</v>
      </c>
      <c r="E228" t="str">
        <f>"1-5-20"</f>
        <v>1-5-20</v>
      </c>
      <c r="F228" t="s">
        <v>65</v>
      </c>
      <c r="G228" t="s">
        <v>66</v>
      </c>
      <c r="H228" t="s">
        <v>67</v>
      </c>
      <c r="S228">
        <v>0</v>
      </c>
      <c r="T228">
        <v>1</v>
      </c>
      <c r="U228">
        <v>0</v>
      </c>
      <c r="V228">
        <v>0</v>
      </c>
      <c r="W228">
        <v>1</v>
      </c>
      <c r="X228">
        <v>0</v>
      </c>
      <c r="Y228">
        <v>0</v>
      </c>
      <c r="Z228">
        <v>1</v>
      </c>
      <c r="AA228">
        <v>1</v>
      </c>
      <c r="AB228">
        <v>0</v>
      </c>
      <c r="AC228">
        <v>0</v>
      </c>
      <c r="AD228">
        <v>1</v>
      </c>
      <c r="AE228">
        <v>1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  <c r="AL228">
        <v>1</v>
      </c>
      <c r="AM228">
        <v>1</v>
      </c>
    </row>
    <row r="229" spans="1:39" x14ac:dyDescent="0.2">
      <c r="A229" t="str">
        <f>"225"</f>
        <v>225</v>
      </c>
      <c r="B229" t="str">
        <f t="shared" si="10"/>
        <v>1</v>
      </c>
      <c r="C229" t="str">
        <f t="shared" si="12"/>
        <v>5</v>
      </c>
      <c r="D229" t="str">
        <f>"5"</f>
        <v>5</v>
      </c>
      <c r="E229" t="str">
        <f>"1-5-5"</f>
        <v>1-5-5</v>
      </c>
      <c r="F229" t="s">
        <v>65</v>
      </c>
      <c r="G229" t="s">
        <v>66</v>
      </c>
      <c r="H229" t="s">
        <v>67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1</v>
      </c>
      <c r="Y229">
        <v>1</v>
      </c>
      <c r="Z229">
        <v>0</v>
      </c>
      <c r="AA229">
        <v>0</v>
      </c>
      <c r="AB229">
        <v>1</v>
      </c>
      <c r="AC229">
        <v>0</v>
      </c>
      <c r="AD229">
        <v>1</v>
      </c>
      <c r="AE229">
        <v>1</v>
      </c>
      <c r="AF229">
        <v>0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</row>
    <row r="230" spans="1:39" x14ac:dyDescent="0.2">
      <c r="A230" t="str">
        <f>"226"</f>
        <v>226</v>
      </c>
      <c r="B230" t="str">
        <f t="shared" si="10"/>
        <v>1</v>
      </c>
      <c r="C230" t="str">
        <f t="shared" si="12"/>
        <v>5</v>
      </c>
      <c r="D230" t="str">
        <f>"36"</f>
        <v>36</v>
      </c>
      <c r="E230" t="str">
        <f>"1-5-36"</f>
        <v>1-5-36</v>
      </c>
      <c r="F230" t="s">
        <v>65</v>
      </c>
      <c r="G230" t="s">
        <v>66</v>
      </c>
      <c r="H230" t="s">
        <v>67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0</v>
      </c>
      <c r="AB230">
        <v>0</v>
      </c>
      <c r="AC230">
        <v>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</row>
    <row r="231" spans="1:39" x14ac:dyDescent="0.2">
      <c r="A231" t="str">
        <f>"227"</f>
        <v>227</v>
      </c>
      <c r="B231" t="str">
        <f t="shared" si="10"/>
        <v>1</v>
      </c>
      <c r="C231" t="str">
        <f t="shared" si="12"/>
        <v>5</v>
      </c>
      <c r="D231" t="str">
        <f>"21"</f>
        <v>21</v>
      </c>
      <c r="E231" t="str">
        <f>"1-5-21"</f>
        <v>1-5-21</v>
      </c>
      <c r="F231" t="s">
        <v>65</v>
      </c>
      <c r="G231" t="s">
        <v>66</v>
      </c>
      <c r="H231" t="s">
        <v>67</v>
      </c>
      <c r="S231">
        <v>1</v>
      </c>
      <c r="T231">
        <v>0</v>
      </c>
      <c r="U231">
        <v>0</v>
      </c>
      <c r="V231">
        <v>0</v>
      </c>
      <c r="W231">
        <v>1</v>
      </c>
      <c r="X231">
        <v>0</v>
      </c>
      <c r="Y231">
        <v>1</v>
      </c>
      <c r="Z231">
        <v>0</v>
      </c>
      <c r="AA231">
        <v>0</v>
      </c>
      <c r="AB231">
        <v>1</v>
      </c>
      <c r="AC231">
        <v>0</v>
      </c>
      <c r="AD231">
        <v>1</v>
      </c>
      <c r="AE231">
        <v>1</v>
      </c>
      <c r="AF231">
        <v>1</v>
      </c>
      <c r="AG231">
        <v>1</v>
      </c>
      <c r="AH231">
        <v>1</v>
      </c>
      <c r="AI231">
        <v>1</v>
      </c>
      <c r="AJ231">
        <v>1</v>
      </c>
      <c r="AK231">
        <v>1</v>
      </c>
      <c r="AL231">
        <v>1</v>
      </c>
      <c r="AM231">
        <v>1</v>
      </c>
    </row>
    <row r="232" spans="1:39" x14ac:dyDescent="0.2">
      <c r="A232" t="str">
        <f>"228"</f>
        <v>228</v>
      </c>
      <c r="B232" t="str">
        <f t="shared" si="10"/>
        <v>1</v>
      </c>
      <c r="C232" t="str">
        <f t="shared" si="12"/>
        <v>5</v>
      </c>
      <c r="D232" t="str">
        <f>"8"</f>
        <v>8</v>
      </c>
      <c r="E232" t="str">
        <f>"1-5-8"</f>
        <v>1-5-8</v>
      </c>
      <c r="F232" t="s">
        <v>65</v>
      </c>
      <c r="G232" t="s">
        <v>66</v>
      </c>
      <c r="H232" t="s">
        <v>67</v>
      </c>
      <c r="S232">
        <v>0</v>
      </c>
      <c r="T232">
        <v>1</v>
      </c>
      <c r="U232">
        <v>0</v>
      </c>
      <c r="V232">
        <v>0</v>
      </c>
      <c r="W232">
        <v>0</v>
      </c>
      <c r="X232">
        <v>1</v>
      </c>
      <c r="Y232">
        <v>0</v>
      </c>
      <c r="Z232">
        <v>1</v>
      </c>
      <c r="AA232">
        <v>0</v>
      </c>
      <c r="AB232">
        <v>0</v>
      </c>
      <c r="AC232">
        <v>1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</row>
    <row r="233" spans="1:39" x14ac:dyDescent="0.2">
      <c r="A233" t="str">
        <f>"229"</f>
        <v>229</v>
      </c>
      <c r="B233" t="str">
        <f t="shared" si="10"/>
        <v>1</v>
      </c>
      <c r="C233" t="str">
        <f t="shared" si="12"/>
        <v>5</v>
      </c>
      <c r="D233" t="str">
        <f>"37"</f>
        <v>37</v>
      </c>
      <c r="E233" t="str">
        <f>"1-5-37"</f>
        <v>1-5-37</v>
      </c>
      <c r="F233" t="s">
        <v>65</v>
      </c>
      <c r="G233" t="s">
        <v>66</v>
      </c>
      <c r="H233" t="s">
        <v>67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1</v>
      </c>
      <c r="Y233">
        <v>0</v>
      </c>
      <c r="Z233">
        <v>1</v>
      </c>
      <c r="AA233">
        <v>0</v>
      </c>
      <c r="AB233">
        <v>0</v>
      </c>
      <c r="AC233">
        <v>1</v>
      </c>
      <c r="AD233">
        <v>1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  <c r="AL233">
        <v>1</v>
      </c>
      <c r="AM233">
        <v>1</v>
      </c>
    </row>
    <row r="234" spans="1:39" x14ac:dyDescent="0.2">
      <c r="A234" t="str">
        <f>"230"</f>
        <v>230</v>
      </c>
      <c r="B234" t="str">
        <f t="shared" si="10"/>
        <v>1</v>
      </c>
      <c r="C234" t="str">
        <f t="shared" si="12"/>
        <v>5</v>
      </c>
      <c r="D234" t="str">
        <f>"22"</f>
        <v>22</v>
      </c>
      <c r="E234" t="str">
        <f>"1-5-22"</f>
        <v>1-5-22</v>
      </c>
      <c r="F234" t="s">
        <v>65</v>
      </c>
      <c r="G234" t="s">
        <v>66</v>
      </c>
      <c r="H234" t="s">
        <v>67</v>
      </c>
      <c r="S234">
        <v>1</v>
      </c>
      <c r="T234">
        <v>0</v>
      </c>
      <c r="U234">
        <v>0</v>
      </c>
      <c r="V234">
        <v>0</v>
      </c>
      <c r="W234">
        <v>0</v>
      </c>
      <c r="X234">
        <v>1</v>
      </c>
      <c r="Y234">
        <v>1</v>
      </c>
      <c r="Z234">
        <v>0</v>
      </c>
      <c r="AA234">
        <v>0</v>
      </c>
      <c r="AB234">
        <v>1</v>
      </c>
      <c r="AC234">
        <v>0</v>
      </c>
      <c r="AD234">
        <v>1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  <c r="AL234">
        <v>1</v>
      </c>
      <c r="AM234">
        <v>1</v>
      </c>
    </row>
    <row r="235" spans="1:39" x14ac:dyDescent="0.2">
      <c r="A235" t="str">
        <f>"231"</f>
        <v>231</v>
      </c>
      <c r="B235" t="str">
        <f t="shared" si="10"/>
        <v>1</v>
      </c>
      <c r="C235" t="str">
        <f t="shared" si="12"/>
        <v>5</v>
      </c>
      <c r="D235" t="str">
        <f>"7"</f>
        <v>7</v>
      </c>
      <c r="E235" t="str">
        <f>"1-5-7"</f>
        <v>1-5-7</v>
      </c>
      <c r="F235" t="s">
        <v>65</v>
      </c>
      <c r="G235" t="s">
        <v>66</v>
      </c>
      <c r="H235" t="s">
        <v>67</v>
      </c>
      <c r="S235">
        <v>0</v>
      </c>
      <c r="T235">
        <v>1</v>
      </c>
      <c r="U235">
        <v>0</v>
      </c>
      <c r="V235">
        <v>0</v>
      </c>
      <c r="W235">
        <v>1</v>
      </c>
      <c r="X235">
        <v>0</v>
      </c>
      <c r="Y235">
        <v>0</v>
      </c>
      <c r="Z235">
        <v>1</v>
      </c>
      <c r="AA235">
        <v>0</v>
      </c>
      <c r="AB235">
        <v>0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</row>
    <row r="236" spans="1:39" x14ac:dyDescent="0.2">
      <c r="A236" t="str">
        <f>"232"</f>
        <v>232</v>
      </c>
      <c r="B236" t="str">
        <f t="shared" si="10"/>
        <v>1</v>
      </c>
      <c r="C236" t="str">
        <f t="shared" si="12"/>
        <v>5</v>
      </c>
      <c r="D236" t="str">
        <f>"40"</f>
        <v>40</v>
      </c>
      <c r="E236" t="str">
        <f>"1-5-40"</f>
        <v>1-5-40</v>
      </c>
      <c r="F236" t="s">
        <v>65</v>
      </c>
      <c r="G236" t="s">
        <v>66</v>
      </c>
      <c r="H236" t="s">
        <v>67</v>
      </c>
      <c r="S236">
        <v>1</v>
      </c>
      <c r="T236">
        <v>0</v>
      </c>
      <c r="U236">
        <v>0</v>
      </c>
      <c r="V236">
        <v>0</v>
      </c>
      <c r="W236">
        <v>1</v>
      </c>
      <c r="X236">
        <v>0</v>
      </c>
      <c r="Y236">
        <v>1</v>
      </c>
      <c r="Z236">
        <v>0</v>
      </c>
      <c r="AA236">
        <v>0</v>
      </c>
      <c r="AB236">
        <v>1</v>
      </c>
      <c r="AC236">
        <v>0</v>
      </c>
      <c r="AD236">
        <v>1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  <c r="AL236">
        <v>1</v>
      </c>
      <c r="AM236">
        <v>1</v>
      </c>
    </row>
    <row r="237" spans="1:39" x14ac:dyDescent="0.2">
      <c r="A237" t="str">
        <f>"233"</f>
        <v>233</v>
      </c>
      <c r="B237" t="str">
        <f t="shared" si="10"/>
        <v>1</v>
      </c>
      <c r="C237" t="str">
        <f t="shared" ref="C237:C254" si="13">"5"</f>
        <v>5</v>
      </c>
      <c r="D237" t="str">
        <f>"23"</f>
        <v>23</v>
      </c>
      <c r="E237" t="str">
        <f>"1-5-23"</f>
        <v>1-5-23</v>
      </c>
      <c r="F237" t="s">
        <v>65</v>
      </c>
      <c r="G237" t="s">
        <v>66</v>
      </c>
      <c r="H237" t="s">
        <v>67</v>
      </c>
      <c r="S237">
        <v>0</v>
      </c>
      <c r="T237">
        <v>1</v>
      </c>
      <c r="U237">
        <v>0</v>
      </c>
      <c r="V237">
        <v>0</v>
      </c>
      <c r="W237">
        <v>0</v>
      </c>
      <c r="X237">
        <v>1</v>
      </c>
      <c r="Y237">
        <v>1</v>
      </c>
      <c r="Z237">
        <v>0</v>
      </c>
      <c r="AA237">
        <v>0</v>
      </c>
      <c r="AB237">
        <v>1</v>
      </c>
      <c r="AC237">
        <v>0</v>
      </c>
      <c r="AD237">
        <v>1</v>
      </c>
      <c r="AE237">
        <v>1</v>
      </c>
      <c r="AF237">
        <v>1</v>
      </c>
      <c r="AG237">
        <v>1</v>
      </c>
      <c r="AH237">
        <v>1</v>
      </c>
      <c r="AI237">
        <v>1</v>
      </c>
      <c r="AJ237">
        <v>1</v>
      </c>
      <c r="AK237">
        <v>1</v>
      </c>
      <c r="AL237">
        <v>1</v>
      </c>
      <c r="AM237">
        <v>1</v>
      </c>
    </row>
    <row r="238" spans="1:39" x14ac:dyDescent="0.2">
      <c r="A238" t="str">
        <f>"234"</f>
        <v>234</v>
      </c>
      <c r="B238" t="str">
        <f t="shared" si="10"/>
        <v>1</v>
      </c>
      <c r="C238" t="str">
        <f t="shared" si="13"/>
        <v>5</v>
      </c>
      <c r="D238" t="str">
        <f>"11"</f>
        <v>11</v>
      </c>
      <c r="E238" t="str">
        <f>"1-5-11"</f>
        <v>1-5-11</v>
      </c>
      <c r="F238" t="s">
        <v>65</v>
      </c>
      <c r="G238" t="s">
        <v>66</v>
      </c>
      <c r="H238" t="s">
        <v>67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1</v>
      </c>
      <c r="Y238">
        <v>1</v>
      </c>
      <c r="Z238">
        <v>0</v>
      </c>
      <c r="AA238">
        <v>0</v>
      </c>
      <c r="AB238">
        <v>1</v>
      </c>
      <c r="AC238">
        <v>0</v>
      </c>
      <c r="AD238">
        <v>1</v>
      </c>
      <c r="AE238">
        <v>1</v>
      </c>
      <c r="AF238">
        <v>1</v>
      </c>
      <c r="AG238">
        <v>1</v>
      </c>
      <c r="AH238">
        <v>1</v>
      </c>
      <c r="AI238">
        <v>1</v>
      </c>
      <c r="AJ238">
        <v>1</v>
      </c>
      <c r="AK238">
        <v>1</v>
      </c>
      <c r="AL238">
        <v>1</v>
      </c>
      <c r="AM238">
        <v>1</v>
      </c>
    </row>
    <row r="239" spans="1:39" x14ac:dyDescent="0.2">
      <c r="A239" t="str">
        <f>"235"</f>
        <v>235</v>
      </c>
      <c r="B239" t="str">
        <f t="shared" si="10"/>
        <v>1</v>
      </c>
      <c r="C239" t="str">
        <f t="shared" si="13"/>
        <v>5</v>
      </c>
      <c r="D239" t="str">
        <f>"46"</f>
        <v>46</v>
      </c>
      <c r="E239" t="str">
        <f>"1-5-46"</f>
        <v>1-5-46</v>
      </c>
      <c r="F239" t="s">
        <v>65</v>
      </c>
      <c r="G239" t="s">
        <v>66</v>
      </c>
      <c r="H239" t="s">
        <v>67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1</v>
      </c>
      <c r="Y239">
        <v>0</v>
      </c>
      <c r="Z239">
        <v>1</v>
      </c>
      <c r="AA239">
        <v>0</v>
      </c>
      <c r="AB239">
        <v>1</v>
      </c>
      <c r="AC239">
        <v>0</v>
      </c>
      <c r="AD239">
        <v>1</v>
      </c>
      <c r="AE239">
        <v>1</v>
      </c>
      <c r="AF239">
        <v>1</v>
      </c>
      <c r="AG239">
        <v>1</v>
      </c>
      <c r="AH239">
        <v>1</v>
      </c>
      <c r="AI239">
        <v>1</v>
      </c>
      <c r="AJ239">
        <v>0</v>
      </c>
      <c r="AK239">
        <v>1</v>
      </c>
      <c r="AL239">
        <v>1</v>
      </c>
      <c r="AM239">
        <v>1</v>
      </c>
    </row>
    <row r="240" spans="1:39" x14ac:dyDescent="0.2">
      <c r="A240" t="str">
        <f>"236"</f>
        <v>236</v>
      </c>
      <c r="B240" t="str">
        <f t="shared" si="10"/>
        <v>1</v>
      </c>
      <c r="C240" t="str">
        <f t="shared" si="13"/>
        <v>5</v>
      </c>
      <c r="D240" t="str">
        <f>"25"</f>
        <v>25</v>
      </c>
      <c r="E240" t="str">
        <f>"1-5-25"</f>
        <v>1-5-25</v>
      </c>
      <c r="F240" t="s">
        <v>65</v>
      </c>
      <c r="G240" t="s">
        <v>66</v>
      </c>
      <c r="H240" t="s">
        <v>67</v>
      </c>
      <c r="S240">
        <v>1</v>
      </c>
      <c r="T240">
        <v>0</v>
      </c>
      <c r="U240">
        <v>0</v>
      </c>
      <c r="V240">
        <v>0</v>
      </c>
      <c r="W240">
        <v>1</v>
      </c>
      <c r="X240">
        <v>0</v>
      </c>
      <c r="Y240">
        <v>0</v>
      </c>
      <c r="Z240">
        <v>1</v>
      </c>
      <c r="AA240">
        <v>1</v>
      </c>
      <c r="AB240">
        <v>0</v>
      </c>
      <c r="AC240">
        <v>0</v>
      </c>
      <c r="AD240">
        <v>1</v>
      </c>
      <c r="AE240">
        <v>1</v>
      </c>
      <c r="AF240">
        <v>1</v>
      </c>
      <c r="AG240">
        <v>1</v>
      </c>
      <c r="AH240">
        <v>1</v>
      </c>
      <c r="AI240">
        <v>1</v>
      </c>
      <c r="AJ240">
        <v>1</v>
      </c>
      <c r="AK240">
        <v>1</v>
      </c>
      <c r="AL240">
        <v>1</v>
      </c>
      <c r="AM240">
        <v>1</v>
      </c>
    </row>
    <row r="241" spans="1:39" x14ac:dyDescent="0.2">
      <c r="A241" t="str">
        <f>"237"</f>
        <v>237</v>
      </c>
      <c r="B241" t="str">
        <f t="shared" si="10"/>
        <v>1</v>
      </c>
      <c r="C241" t="str">
        <f t="shared" si="13"/>
        <v>5</v>
      </c>
      <c r="D241" t="str">
        <f>"13"</f>
        <v>13</v>
      </c>
      <c r="E241" t="str">
        <f>"1-5-13"</f>
        <v>1-5-13</v>
      </c>
      <c r="F241" t="s">
        <v>65</v>
      </c>
      <c r="G241" t="s">
        <v>66</v>
      </c>
      <c r="H241" t="s">
        <v>67</v>
      </c>
      <c r="S241">
        <v>0</v>
      </c>
      <c r="T241">
        <v>1</v>
      </c>
      <c r="U241">
        <v>0</v>
      </c>
      <c r="V241">
        <v>0</v>
      </c>
      <c r="W241">
        <v>1</v>
      </c>
      <c r="X241">
        <v>0</v>
      </c>
      <c r="Y241">
        <v>1</v>
      </c>
      <c r="Z241">
        <v>0</v>
      </c>
      <c r="AA241">
        <v>0</v>
      </c>
      <c r="AB241">
        <v>1</v>
      </c>
      <c r="AC241">
        <v>0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</row>
    <row r="242" spans="1:39" x14ac:dyDescent="0.2">
      <c r="A242" t="str">
        <f>"238"</f>
        <v>238</v>
      </c>
      <c r="B242" t="str">
        <f t="shared" si="10"/>
        <v>1</v>
      </c>
      <c r="C242" t="str">
        <f t="shared" si="13"/>
        <v>5</v>
      </c>
      <c r="D242" t="str">
        <f>"44"</f>
        <v>44</v>
      </c>
      <c r="E242" t="str">
        <f>"1-5-44"</f>
        <v>1-5-44</v>
      </c>
      <c r="F242" t="s">
        <v>65</v>
      </c>
      <c r="G242" t="s">
        <v>66</v>
      </c>
      <c r="H242" t="s">
        <v>67</v>
      </c>
      <c r="S242">
        <v>0</v>
      </c>
      <c r="T242">
        <v>1</v>
      </c>
      <c r="U242">
        <v>0</v>
      </c>
      <c r="V242">
        <v>0</v>
      </c>
      <c r="W242">
        <v>1</v>
      </c>
      <c r="X242">
        <v>0</v>
      </c>
      <c r="Y242">
        <v>0</v>
      </c>
      <c r="Z242">
        <v>1</v>
      </c>
      <c r="AA242">
        <v>0</v>
      </c>
      <c r="AB242">
        <v>1</v>
      </c>
      <c r="AC242">
        <v>0</v>
      </c>
      <c r="AD242">
        <v>1</v>
      </c>
      <c r="AE242">
        <v>1</v>
      </c>
      <c r="AF242">
        <v>1</v>
      </c>
      <c r="AG242">
        <v>1</v>
      </c>
      <c r="AH242">
        <v>1</v>
      </c>
      <c r="AI242">
        <v>1</v>
      </c>
      <c r="AJ242">
        <v>1</v>
      </c>
      <c r="AK242">
        <v>1</v>
      </c>
      <c r="AL242">
        <v>1</v>
      </c>
      <c r="AM242">
        <v>1</v>
      </c>
    </row>
    <row r="243" spans="1:39" x14ac:dyDescent="0.2">
      <c r="A243" t="str">
        <f>"239"</f>
        <v>239</v>
      </c>
      <c r="B243" t="str">
        <f t="shared" si="10"/>
        <v>1</v>
      </c>
      <c r="C243" t="str">
        <f t="shared" si="13"/>
        <v>5</v>
      </c>
      <c r="D243" t="str">
        <f>"26"</f>
        <v>26</v>
      </c>
      <c r="E243" t="str">
        <f>"1-5-26"</f>
        <v>1-5-26</v>
      </c>
      <c r="F243" t="s">
        <v>65</v>
      </c>
      <c r="G243" t="s">
        <v>66</v>
      </c>
      <c r="H243" t="s">
        <v>67</v>
      </c>
      <c r="S243">
        <v>1</v>
      </c>
      <c r="T243">
        <v>0</v>
      </c>
      <c r="U243">
        <v>0</v>
      </c>
      <c r="V243">
        <v>0</v>
      </c>
      <c r="W243">
        <v>1</v>
      </c>
      <c r="X243">
        <v>0</v>
      </c>
      <c r="Y243">
        <v>1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1</v>
      </c>
      <c r="AF243">
        <v>1</v>
      </c>
      <c r="AG243">
        <v>1</v>
      </c>
      <c r="AH243">
        <v>1</v>
      </c>
      <c r="AI243">
        <v>1</v>
      </c>
      <c r="AJ243">
        <v>1</v>
      </c>
      <c r="AK243">
        <v>1</v>
      </c>
      <c r="AL243">
        <v>1</v>
      </c>
      <c r="AM243">
        <v>1</v>
      </c>
    </row>
    <row r="244" spans="1:39" x14ac:dyDescent="0.2">
      <c r="A244" t="str">
        <f>"240"</f>
        <v>240</v>
      </c>
      <c r="B244" t="str">
        <f t="shared" si="10"/>
        <v>1</v>
      </c>
      <c r="C244" t="str">
        <f t="shared" si="13"/>
        <v>5</v>
      </c>
      <c r="D244" t="str">
        <f>"10"</f>
        <v>10</v>
      </c>
      <c r="E244" t="str">
        <f>"1-5-10"</f>
        <v>1-5-10</v>
      </c>
      <c r="F244" t="s">
        <v>65</v>
      </c>
      <c r="G244" t="s">
        <v>66</v>
      </c>
      <c r="H244" t="s">
        <v>67</v>
      </c>
      <c r="S244">
        <v>0</v>
      </c>
      <c r="T244">
        <v>1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1</v>
      </c>
      <c r="AA244">
        <v>0</v>
      </c>
      <c r="AB244">
        <v>1</v>
      </c>
      <c r="AC244">
        <v>0</v>
      </c>
      <c r="AD244">
        <v>1</v>
      </c>
      <c r="AE244">
        <v>1</v>
      </c>
      <c r="AF244">
        <v>1</v>
      </c>
      <c r="AG244">
        <v>1</v>
      </c>
      <c r="AH244">
        <v>1</v>
      </c>
      <c r="AI244">
        <v>1</v>
      </c>
      <c r="AJ244">
        <v>1</v>
      </c>
      <c r="AK244">
        <v>1</v>
      </c>
      <c r="AL244">
        <v>1</v>
      </c>
      <c r="AM244">
        <v>1</v>
      </c>
    </row>
    <row r="245" spans="1:39" x14ac:dyDescent="0.2">
      <c r="A245" t="str">
        <f>"241"</f>
        <v>241</v>
      </c>
      <c r="B245" t="str">
        <f t="shared" si="10"/>
        <v>1</v>
      </c>
      <c r="C245" t="str">
        <f t="shared" si="13"/>
        <v>5</v>
      </c>
      <c r="D245" t="str">
        <f>"43"</f>
        <v>43</v>
      </c>
      <c r="E245" t="str">
        <f>"1-5-43"</f>
        <v>1-5-43</v>
      </c>
      <c r="F245" t="s">
        <v>65</v>
      </c>
      <c r="G245" t="s">
        <v>66</v>
      </c>
      <c r="H245" t="s">
        <v>67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1</v>
      </c>
      <c r="Y245">
        <v>0</v>
      </c>
      <c r="Z245">
        <v>1</v>
      </c>
      <c r="AA245">
        <v>1</v>
      </c>
      <c r="AB245">
        <v>0</v>
      </c>
      <c r="AC245">
        <v>0</v>
      </c>
      <c r="AD245">
        <v>1</v>
      </c>
      <c r="AE245">
        <v>1</v>
      </c>
      <c r="AF245">
        <v>1</v>
      </c>
      <c r="AG245">
        <v>1</v>
      </c>
      <c r="AH245">
        <v>1</v>
      </c>
      <c r="AI245">
        <v>1</v>
      </c>
      <c r="AJ245">
        <v>1</v>
      </c>
      <c r="AK245">
        <v>1</v>
      </c>
      <c r="AL245">
        <v>1</v>
      </c>
      <c r="AM245">
        <v>1</v>
      </c>
    </row>
    <row r="246" spans="1:39" x14ac:dyDescent="0.2">
      <c r="A246" t="str">
        <f>"242"</f>
        <v>242</v>
      </c>
      <c r="B246" t="str">
        <f t="shared" si="10"/>
        <v>1</v>
      </c>
      <c r="C246" t="str">
        <f t="shared" si="13"/>
        <v>5</v>
      </c>
      <c r="D246" t="str">
        <f>"27"</f>
        <v>27</v>
      </c>
      <c r="E246" t="str">
        <f>"1-5-27"</f>
        <v>1-5-27</v>
      </c>
      <c r="F246" t="s">
        <v>65</v>
      </c>
      <c r="G246" t="s">
        <v>66</v>
      </c>
      <c r="H246" t="s">
        <v>67</v>
      </c>
      <c r="S246">
        <v>1</v>
      </c>
      <c r="T246">
        <v>0</v>
      </c>
      <c r="U246">
        <v>0</v>
      </c>
      <c r="V246">
        <v>0</v>
      </c>
      <c r="W246">
        <v>1</v>
      </c>
      <c r="X246">
        <v>0</v>
      </c>
      <c r="Y246">
        <v>0</v>
      </c>
      <c r="Z246">
        <v>1</v>
      </c>
      <c r="AA246">
        <v>1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1</v>
      </c>
      <c r="AM246">
        <v>0</v>
      </c>
    </row>
    <row r="247" spans="1:39" x14ac:dyDescent="0.2">
      <c r="A247" t="str">
        <f>"243"</f>
        <v>243</v>
      </c>
      <c r="B247" t="str">
        <f t="shared" ref="B247:B310" si="14">"1"</f>
        <v>1</v>
      </c>
      <c r="C247" t="str">
        <f t="shared" si="13"/>
        <v>5</v>
      </c>
      <c r="D247" t="str">
        <f>"12"</f>
        <v>12</v>
      </c>
      <c r="E247" t="str">
        <f>"1-5-12"</f>
        <v>1-5-12</v>
      </c>
      <c r="F247" t="s">
        <v>65</v>
      </c>
      <c r="G247" t="s">
        <v>66</v>
      </c>
      <c r="H247" t="s">
        <v>67</v>
      </c>
      <c r="S247">
        <v>1</v>
      </c>
      <c r="T247">
        <v>0</v>
      </c>
      <c r="U247">
        <v>0</v>
      </c>
      <c r="V247">
        <v>0</v>
      </c>
      <c r="W247">
        <v>1</v>
      </c>
      <c r="X247">
        <v>0</v>
      </c>
      <c r="Y247">
        <v>1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</row>
    <row r="248" spans="1:39" x14ac:dyDescent="0.2">
      <c r="A248" t="str">
        <f>"244"</f>
        <v>244</v>
      </c>
      <c r="B248" t="str">
        <f t="shared" si="14"/>
        <v>1</v>
      </c>
      <c r="C248" t="str">
        <f t="shared" si="13"/>
        <v>5</v>
      </c>
      <c r="D248" t="str">
        <f>"45"</f>
        <v>45</v>
      </c>
      <c r="E248" t="str">
        <f>"1-5-45"</f>
        <v>1-5-45</v>
      </c>
      <c r="F248" t="s">
        <v>65</v>
      </c>
      <c r="G248" t="s">
        <v>66</v>
      </c>
      <c r="H248" t="s">
        <v>67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0</v>
      </c>
      <c r="AB248">
        <v>1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</row>
    <row r="249" spans="1:39" x14ac:dyDescent="0.2">
      <c r="A249" t="str">
        <f>"245"</f>
        <v>245</v>
      </c>
      <c r="B249" t="str">
        <f t="shared" si="14"/>
        <v>1</v>
      </c>
      <c r="C249" t="str">
        <f t="shared" si="13"/>
        <v>5</v>
      </c>
      <c r="D249" t="str">
        <f>"28"</f>
        <v>28</v>
      </c>
      <c r="E249" t="str">
        <f>"1-5-28"</f>
        <v>1-5-28</v>
      </c>
      <c r="F249" t="s">
        <v>65</v>
      </c>
      <c r="G249" t="s">
        <v>66</v>
      </c>
      <c r="H249" t="s">
        <v>67</v>
      </c>
      <c r="S249">
        <v>1</v>
      </c>
      <c r="T249">
        <v>0</v>
      </c>
      <c r="U249">
        <v>0</v>
      </c>
      <c r="V249">
        <v>0</v>
      </c>
      <c r="W249">
        <v>1</v>
      </c>
      <c r="X249">
        <v>0</v>
      </c>
      <c r="Y249">
        <v>0</v>
      </c>
      <c r="Z249">
        <v>1</v>
      </c>
      <c r="AA249">
        <v>1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</row>
    <row r="250" spans="1:39" x14ac:dyDescent="0.2">
      <c r="A250" t="str">
        <f>"246"</f>
        <v>246</v>
      </c>
      <c r="B250" t="str">
        <f t="shared" si="14"/>
        <v>1</v>
      </c>
      <c r="C250" t="str">
        <f t="shared" si="13"/>
        <v>5</v>
      </c>
      <c r="D250" t="str">
        <f>"14"</f>
        <v>14</v>
      </c>
      <c r="E250" t="str">
        <f>"1-5-14"</f>
        <v>1-5-14</v>
      </c>
      <c r="F250" t="s">
        <v>65</v>
      </c>
      <c r="G250" t="s">
        <v>66</v>
      </c>
      <c r="H250" t="s">
        <v>67</v>
      </c>
      <c r="S250">
        <v>1</v>
      </c>
      <c r="T250">
        <v>0</v>
      </c>
      <c r="U250">
        <v>0</v>
      </c>
      <c r="V250">
        <v>0</v>
      </c>
      <c r="W250">
        <v>1</v>
      </c>
      <c r="X250">
        <v>0</v>
      </c>
      <c r="Y250">
        <v>1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1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  <c r="AL250">
        <v>1</v>
      </c>
      <c r="AM250">
        <v>1</v>
      </c>
    </row>
    <row r="251" spans="1:39" x14ac:dyDescent="0.2">
      <c r="A251" t="str">
        <f>"247"</f>
        <v>247</v>
      </c>
      <c r="B251" t="str">
        <f t="shared" si="14"/>
        <v>1</v>
      </c>
      <c r="C251" t="str">
        <f t="shared" si="13"/>
        <v>5</v>
      </c>
      <c r="D251" t="str">
        <f>"42"</f>
        <v>42</v>
      </c>
      <c r="E251" t="str">
        <f>"1-5-42"</f>
        <v>1-5-42</v>
      </c>
      <c r="F251" t="s">
        <v>65</v>
      </c>
      <c r="G251" t="s">
        <v>66</v>
      </c>
      <c r="H251" t="s">
        <v>67</v>
      </c>
      <c r="S251">
        <v>0</v>
      </c>
      <c r="T251">
        <v>1</v>
      </c>
      <c r="U251">
        <v>0</v>
      </c>
      <c r="V251">
        <v>0</v>
      </c>
      <c r="W251">
        <v>0</v>
      </c>
      <c r="X251">
        <v>1</v>
      </c>
      <c r="Y251">
        <v>0</v>
      </c>
      <c r="Z251">
        <v>1</v>
      </c>
      <c r="AA251">
        <v>0</v>
      </c>
      <c r="AB251">
        <v>1</v>
      </c>
      <c r="AC251">
        <v>0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</row>
    <row r="252" spans="1:39" x14ac:dyDescent="0.2">
      <c r="A252" t="str">
        <f>"248"</f>
        <v>248</v>
      </c>
      <c r="B252" t="str">
        <f t="shared" si="14"/>
        <v>1</v>
      </c>
      <c r="C252" t="str">
        <f t="shared" si="13"/>
        <v>5</v>
      </c>
      <c r="D252" t="str">
        <f>"29"</f>
        <v>29</v>
      </c>
      <c r="E252" t="str">
        <f>"1-5-29"</f>
        <v>1-5-29</v>
      </c>
      <c r="F252" t="s">
        <v>65</v>
      </c>
      <c r="G252" t="s">
        <v>66</v>
      </c>
      <c r="H252" t="s">
        <v>67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</v>
      </c>
      <c r="Y252">
        <v>0</v>
      </c>
      <c r="Z252">
        <v>1</v>
      </c>
      <c r="AA252">
        <v>0</v>
      </c>
      <c r="AB252">
        <v>1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1</v>
      </c>
      <c r="AL252">
        <v>1</v>
      </c>
      <c r="AM252">
        <v>0</v>
      </c>
    </row>
    <row r="253" spans="1:39" x14ac:dyDescent="0.2">
      <c r="A253" t="str">
        <f>"249"</f>
        <v>249</v>
      </c>
      <c r="B253" t="str">
        <f t="shared" si="14"/>
        <v>1</v>
      </c>
      <c r="C253" t="str">
        <f t="shared" si="13"/>
        <v>5</v>
      </c>
      <c r="D253" t="str">
        <f>"3"</f>
        <v>3</v>
      </c>
      <c r="E253" t="str">
        <f>"1-5-3"</f>
        <v>1-5-3</v>
      </c>
      <c r="F253" t="s">
        <v>65</v>
      </c>
      <c r="G253" t="s">
        <v>66</v>
      </c>
      <c r="H253" t="s">
        <v>67</v>
      </c>
      <c r="S253">
        <v>1</v>
      </c>
      <c r="T253">
        <v>0</v>
      </c>
      <c r="U253">
        <v>0</v>
      </c>
      <c r="V253">
        <v>0</v>
      </c>
      <c r="W253">
        <v>1</v>
      </c>
      <c r="X253">
        <v>0</v>
      </c>
      <c r="Y253">
        <v>0</v>
      </c>
      <c r="Z253">
        <v>1</v>
      </c>
      <c r="AA253">
        <v>1</v>
      </c>
      <c r="AB253">
        <v>0</v>
      </c>
      <c r="AC253">
        <v>0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</row>
    <row r="254" spans="1:39" x14ac:dyDescent="0.2">
      <c r="A254" t="str">
        <f>"250"</f>
        <v>250</v>
      </c>
      <c r="B254" t="str">
        <f t="shared" si="14"/>
        <v>1</v>
      </c>
      <c r="C254" t="str">
        <f t="shared" si="13"/>
        <v>5</v>
      </c>
      <c r="D254" t="str">
        <f>"1"</f>
        <v>1</v>
      </c>
      <c r="E254" t="str">
        <f>"1-5-1"</f>
        <v>1-5-1</v>
      </c>
      <c r="F254" t="s">
        <v>65</v>
      </c>
      <c r="G254" t="s">
        <v>66</v>
      </c>
      <c r="H254" t="s">
        <v>67</v>
      </c>
      <c r="S254">
        <v>0</v>
      </c>
      <c r="T254">
        <v>1</v>
      </c>
      <c r="U254">
        <v>0</v>
      </c>
      <c r="V254">
        <v>0</v>
      </c>
      <c r="W254">
        <v>1</v>
      </c>
      <c r="X254">
        <v>0</v>
      </c>
      <c r="Y254">
        <v>1</v>
      </c>
      <c r="Z254">
        <v>0</v>
      </c>
      <c r="AA254">
        <v>0</v>
      </c>
      <c r="AB254">
        <v>1</v>
      </c>
      <c r="AC254">
        <v>0</v>
      </c>
      <c r="AD254">
        <v>1</v>
      </c>
      <c r="AE254">
        <v>1</v>
      </c>
      <c r="AF254">
        <v>1</v>
      </c>
      <c r="AG254">
        <v>1</v>
      </c>
      <c r="AH254">
        <v>1</v>
      </c>
      <c r="AI254">
        <v>1</v>
      </c>
      <c r="AJ254">
        <v>1</v>
      </c>
      <c r="AK254">
        <v>1</v>
      </c>
      <c r="AL254">
        <v>1</v>
      </c>
      <c r="AM254">
        <v>1</v>
      </c>
    </row>
    <row r="255" spans="1:39" x14ac:dyDescent="0.2">
      <c r="A255" t="str">
        <f>"251"</f>
        <v>251</v>
      </c>
      <c r="B255" t="str">
        <f t="shared" si="14"/>
        <v>1</v>
      </c>
      <c r="C255" t="str">
        <f t="shared" ref="C255:C286" si="15">"6"</f>
        <v>6</v>
      </c>
      <c r="D255" t="str">
        <f>"44"</f>
        <v>44</v>
      </c>
      <c r="E255" t="str">
        <f>"1-6-44"</f>
        <v>1-6-44</v>
      </c>
      <c r="F255" t="s">
        <v>65</v>
      </c>
      <c r="G255" t="s">
        <v>66</v>
      </c>
      <c r="H255" t="s">
        <v>67</v>
      </c>
      <c r="S255">
        <v>0</v>
      </c>
      <c r="T255">
        <v>1</v>
      </c>
      <c r="U255">
        <v>0</v>
      </c>
      <c r="V255">
        <v>0</v>
      </c>
      <c r="W255">
        <v>1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1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1</v>
      </c>
      <c r="AJ255">
        <v>0</v>
      </c>
      <c r="AK255">
        <v>0</v>
      </c>
      <c r="AL255">
        <v>1</v>
      </c>
      <c r="AM255">
        <v>0</v>
      </c>
    </row>
    <row r="256" spans="1:39" x14ac:dyDescent="0.2">
      <c r="A256" t="str">
        <f>"252"</f>
        <v>252</v>
      </c>
      <c r="B256" t="str">
        <f t="shared" si="14"/>
        <v>1</v>
      </c>
      <c r="C256" t="str">
        <f t="shared" si="15"/>
        <v>6</v>
      </c>
      <c r="D256" t="str">
        <f>"43"</f>
        <v>43</v>
      </c>
      <c r="E256" t="str">
        <f>"1-6-43"</f>
        <v>1-6-43</v>
      </c>
      <c r="F256" t="s">
        <v>65</v>
      </c>
      <c r="G256" t="s">
        <v>66</v>
      </c>
      <c r="H256" t="s">
        <v>67</v>
      </c>
      <c r="S256">
        <v>1</v>
      </c>
      <c r="T256">
        <v>0</v>
      </c>
      <c r="U256">
        <v>0</v>
      </c>
      <c r="V256">
        <v>0</v>
      </c>
      <c r="W256">
        <v>0</v>
      </c>
      <c r="X256">
        <v>1</v>
      </c>
      <c r="Y256">
        <v>1</v>
      </c>
      <c r="Z256">
        <v>0</v>
      </c>
      <c r="AA256">
        <v>0</v>
      </c>
      <c r="AB256">
        <v>1</v>
      </c>
      <c r="AC256">
        <v>0</v>
      </c>
      <c r="AD256">
        <v>0</v>
      </c>
      <c r="AE256">
        <v>0</v>
      </c>
      <c r="AF256">
        <v>0</v>
      </c>
      <c r="AG256">
        <v>1</v>
      </c>
      <c r="AH256">
        <v>1</v>
      </c>
      <c r="AI256">
        <v>0</v>
      </c>
      <c r="AJ256">
        <v>0</v>
      </c>
      <c r="AK256">
        <v>0</v>
      </c>
      <c r="AL256">
        <v>0</v>
      </c>
      <c r="AM256">
        <v>1</v>
      </c>
    </row>
    <row r="257" spans="1:39" x14ac:dyDescent="0.2">
      <c r="A257" t="str">
        <f>"253"</f>
        <v>253</v>
      </c>
      <c r="B257" t="str">
        <f t="shared" si="14"/>
        <v>1</v>
      </c>
      <c r="C257" t="str">
        <f t="shared" si="15"/>
        <v>6</v>
      </c>
      <c r="D257" t="str">
        <f>"32"</f>
        <v>32</v>
      </c>
      <c r="E257" t="str">
        <f>"1-6-32"</f>
        <v>1-6-32</v>
      </c>
      <c r="F257" t="s">
        <v>65</v>
      </c>
      <c r="G257" t="s">
        <v>66</v>
      </c>
      <c r="H257" t="s">
        <v>67</v>
      </c>
      <c r="S257">
        <v>0</v>
      </c>
      <c r="T257">
        <v>1</v>
      </c>
      <c r="U257">
        <v>0</v>
      </c>
      <c r="V257">
        <v>0</v>
      </c>
      <c r="W257">
        <v>0</v>
      </c>
      <c r="X257">
        <v>1</v>
      </c>
      <c r="Y257">
        <v>1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</row>
    <row r="258" spans="1:39" x14ac:dyDescent="0.2">
      <c r="A258" t="str">
        <f>"254"</f>
        <v>254</v>
      </c>
      <c r="B258" t="str">
        <f t="shared" si="14"/>
        <v>1</v>
      </c>
      <c r="C258" t="str">
        <f t="shared" si="15"/>
        <v>6</v>
      </c>
      <c r="D258" t="str">
        <f>"31"</f>
        <v>31</v>
      </c>
      <c r="E258" t="str">
        <f>"1-6-31"</f>
        <v>1-6-31</v>
      </c>
      <c r="F258" t="s">
        <v>65</v>
      </c>
      <c r="G258" t="s">
        <v>66</v>
      </c>
      <c r="H258" t="s">
        <v>67</v>
      </c>
      <c r="S258">
        <v>1</v>
      </c>
      <c r="T258">
        <v>0</v>
      </c>
      <c r="U258">
        <v>0</v>
      </c>
      <c r="V258">
        <v>0</v>
      </c>
      <c r="W258">
        <v>1</v>
      </c>
      <c r="X258">
        <v>0</v>
      </c>
      <c r="Y258">
        <v>1</v>
      </c>
      <c r="Z258">
        <v>0</v>
      </c>
      <c r="AA258">
        <v>0</v>
      </c>
      <c r="AB258">
        <v>1</v>
      </c>
      <c r="AC258">
        <v>0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1</v>
      </c>
    </row>
    <row r="259" spans="1:39" x14ac:dyDescent="0.2">
      <c r="A259" t="str">
        <f>"255"</f>
        <v>255</v>
      </c>
      <c r="B259" t="str">
        <f t="shared" si="14"/>
        <v>1</v>
      </c>
      <c r="C259" t="str">
        <f t="shared" si="15"/>
        <v>6</v>
      </c>
      <c r="D259" t="str">
        <f>"18"</f>
        <v>18</v>
      </c>
      <c r="E259" t="str">
        <f>"1-6-18"</f>
        <v>1-6-18</v>
      </c>
      <c r="F259" t="s">
        <v>65</v>
      </c>
      <c r="G259" t="s">
        <v>66</v>
      </c>
      <c r="H259" t="s">
        <v>67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</row>
    <row r="260" spans="1:39" x14ac:dyDescent="0.2">
      <c r="A260" t="str">
        <f>"256"</f>
        <v>256</v>
      </c>
      <c r="B260" t="str">
        <f t="shared" si="14"/>
        <v>1</v>
      </c>
      <c r="C260" t="str">
        <f t="shared" si="15"/>
        <v>6</v>
      </c>
      <c r="D260" t="str">
        <f>"15"</f>
        <v>15</v>
      </c>
      <c r="E260" t="str">
        <f>"1-6-15"</f>
        <v>1-6-15</v>
      </c>
      <c r="F260" t="s">
        <v>65</v>
      </c>
      <c r="G260" t="s">
        <v>66</v>
      </c>
      <c r="H260" t="s">
        <v>67</v>
      </c>
      <c r="S260">
        <v>1</v>
      </c>
      <c r="T260">
        <v>0</v>
      </c>
      <c r="U260">
        <v>0</v>
      </c>
      <c r="V260">
        <v>0</v>
      </c>
      <c r="W260">
        <v>1</v>
      </c>
      <c r="X260">
        <v>0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1</v>
      </c>
      <c r="AF260">
        <v>1</v>
      </c>
      <c r="AG260">
        <v>1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</row>
    <row r="261" spans="1:39" x14ac:dyDescent="0.2">
      <c r="A261" t="str">
        <f>"257"</f>
        <v>257</v>
      </c>
      <c r="B261" t="str">
        <f t="shared" si="14"/>
        <v>1</v>
      </c>
      <c r="C261" t="str">
        <f t="shared" si="15"/>
        <v>6</v>
      </c>
      <c r="D261" t="str">
        <f>"5"</f>
        <v>5</v>
      </c>
      <c r="E261" t="str">
        <f>"1-6-5"</f>
        <v>1-6-5</v>
      </c>
      <c r="F261" t="s">
        <v>65</v>
      </c>
      <c r="G261" t="s">
        <v>66</v>
      </c>
      <c r="H261" t="s">
        <v>67</v>
      </c>
      <c r="S261">
        <v>1</v>
      </c>
      <c r="T261">
        <v>0</v>
      </c>
      <c r="U261">
        <v>0</v>
      </c>
      <c r="V261">
        <v>0</v>
      </c>
      <c r="W261">
        <v>1</v>
      </c>
      <c r="X261">
        <v>0</v>
      </c>
      <c r="Y261">
        <v>0</v>
      </c>
      <c r="Z261">
        <v>1</v>
      </c>
      <c r="AA261">
        <v>1</v>
      </c>
      <c r="AB261">
        <v>0</v>
      </c>
      <c r="AC261">
        <v>0</v>
      </c>
      <c r="AD261">
        <v>1</v>
      </c>
      <c r="AE261">
        <v>1</v>
      </c>
      <c r="AF261">
        <v>1</v>
      </c>
      <c r="AG261">
        <v>1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</row>
    <row r="262" spans="1:39" x14ac:dyDescent="0.2">
      <c r="A262" t="str">
        <f>"258"</f>
        <v>258</v>
      </c>
      <c r="B262" t="str">
        <f t="shared" si="14"/>
        <v>1</v>
      </c>
      <c r="C262" t="str">
        <f t="shared" si="15"/>
        <v>6</v>
      </c>
      <c r="D262" t="str">
        <f>"50"</f>
        <v>50</v>
      </c>
      <c r="E262" t="str">
        <f>"1-6-50"</f>
        <v>1-6-50</v>
      </c>
      <c r="F262" t="s">
        <v>65</v>
      </c>
      <c r="G262" t="s">
        <v>66</v>
      </c>
      <c r="H262" t="s">
        <v>67</v>
      </c>
      <c r="S262">
        <v>1</v>
      </c>
      <c r="T262">
        <v>0</v>
      </c>
      <c r="U262">
        <v>0</v>
      </c>
      <c r="V262">
        <v>0</v>
      </c>
      <c r="W262">
        <v>1</v>
      </c>
      <c r="X262">
        <v>0</v>
      </c>
      <c r="Y262">
        <v>1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  <c r="AL262">
        <v>1</v>
      </c>
      <c r="AM262">
        <v>1</v>
      </c>
    </row>
    <row r="263" spans="1:39" x14ac:dyDescent="0.2">
      <c r="A263" t="str">
        <f>"259"</f>
        <v>259</v>
      </c>
      <c r="B263" t="str">
        <f t="shared" si="14"/>
        <v>1</v>
      </c>
      <c r="C263" t="str">
        <f t="shared" si="15"/>
        <v>6</v>
      </c>
      <c r="D263" t="str">
        <f>"49"</f>
        <v>49</v>
      </c>
      <c r="E263" t="str">
        <f>"1-6-49"</f>
        <v>1-6-49</v>
      </c>
      <c r="F263" t="s">
        <v>65</v>
      </c>
      <c r="G263" t="s">
        <v>66</v>
      </c>
      <c r="H263" t="s">
        <v>67</v>
      </c>
      <c r="S263">
        <v>1</v>
      </c>
      <c r="T263">
        <v>0</v>
      </c>
      <c r="U263">
        <v>0</v>
      </c>
      <c r="V263">
        <v>0</v>
      </c>
      <c r="W263">
        <v>1</v>
      </c>
      <c r="X263">
        <v>0</v>
      </c>
      <c r="Y263">
        <v>1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1</v>
      </c>
      <c r="AF263">
        <v>1</v>
      </c>
      <c r="AG263">
        <v>1</v>
      </c>
      <c r="AH263">
        <v>1</v>
      </c>
      <c r="AI263">
        <v>1</v>
      </c>
      <c r="AJ263">
        <v>1</v>
      </c>
      <c r="AK263">
        <v>1</v>
      </c>
      <c r="AL263">
        <v>1</v>
      </c>
      <c r="AM263">
        <v>1</v>
      </c>
    </row>
    <row r="264" spans="1:39" x14ac:dyDescent="0.2">
      <c r="A264" t="str">
        <f>"260"</f>
        <v>260</v>
      </c>
      <c r="B264" t="str">
        <f t="shared" si="14"/>
        <v>1</v>
      </c>
      <c r="C264" t="str">
        <f t="shared" si="15"/>
        <v>6</v>
      </c>
      <c r="D264" t="str">
        <f>"34"</f>
        <v>34</v>
      </c>
      <c r="E264" t="str">
        <f>"1-6-34"</f>
        <v>1-6-34</v>
      </c>
      <c r="F264" t="s">
        <v>65</v>
      </c>
      <c r="G264" t="s">
        <v>66</v>
      </c>
      <c r="H264" t="s">
        <v>67</v>
      </c>
      <c r="S264">
        <v>1</v>
      </c>
      <c r="T264">
        <v>0</v>
      </c>
      <c r="U264">
        <v>0</v>
      </c>
      <c r="V264">
        <v>0</v>
      </c>
      <c r="W264">
        <v>1</v>
      </c>
      <c r="X264">
        <v>0</v>
      </c>
      <c r="Y264">
        <v>1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1</v>
      </c>
      <c r="AF264">
        <v>1</v>
      </c>
      <c r="AG264">
        <v>1</v>
      </c>
      <c r="AH264">
        <v>1</v>
      </c>
      <c r="AI264">
        <v>1</v>
      </c>
      <c r="AJ264">
        <v>1</v>
      </c>
      <c r="AK264">
        <v>1</v>
      </c>
      <c r="AL264">
        <v>1</v>
      </c>
      <c r="AM264">
        <v>1</v>
      </c>
    </row>
    <row r="265" spans="1:39" x14ac:dyDescent="0.2">
      <c r="A265" t="str">
        <f>"261"</f>
        <v>261</v>
      </c>
      <c r="B265" t="str">
        <f t="shared" si="14"/>
        <v>1</v>
      </c>
      <c r="C265" t="str">
        <f t="shared" si="15"/>
        <v>6</v>
      </c>
      <c r="D265" t="str">
        <f>"33"</f>
        <v>33</v>
      </c>
      <c r="E265" t="str">
        <f>"1-6-33"</f>
        <v>1-6-33</v>
      </c>
      <c r="F265" t="s">
        <v>65</v>
      </c>
      <c r="G265" t="s">
        <v>66</v>
      </c>
      <c r="H265" t="s">
        <v>67</v>
      </c>
      <c r="S265">
        <v>1</v>
      </c>
      <c r="T265">
        <v>0</v>
      </c>
      <c r="U265">
        <v>0</v>
      </c>
      <c r="V265">
        <v>0</v>
      </c>
      <c r="W265">
        <v>1</v>
      </c>
      <c r="X265">
        <v>0</v>
      </c>
      <c r="Y265">
        <v>1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</row>
    <row r="266" spans="1:39" x14ac:dyDescent="0.2">
      <c r="A266" t="str">
        <f>"262"</f>
        <v>262</v>
      </c>
      <c r="B266" t="str">
        <f t="shared" si="14"/>
        <v>1</v>
      </c>
      <c r="C266" t="str">
        <f t="shared" si="15"/>
        <v>6</v>
      </c>
      <c r="D266" t="str">
        <f>"20"</f>
        <v>20</v>
      </c>
      <c r="E266" t="str">
        <f>"1-6-20"</f>
        <v>1-6-20</v>
      </c>
      <c r="F266" t="s">
        <v>65</v>
      </c>
      <c r="G266" t="s">
        <v>66</v>
      </c>
      <c r="H266" t="s">
        <v>67</v>
      </c>
      <c r="S266">
        <v>0</v>
      </c>
      <c r="T266">
        <v>1</v>
      </c>
      <c r="U266">
        <v>0</v>
      </c>
      <c r="V266">
        <v>0</v>
      </c>
      <c r="W266">
        <v>1</v>
      </c>
      <c r="X266">
        <v>0</v>
      </c>
      <c r="Y266">
        <v>1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1</v>
      </c>
      <c r="AF266">
        <v>1</v>
      </c>
      <c r="AG266">
        <v>1</v>
      </c>
      <c r="AH266">
        <v>1</v>
      </c>
      <c r="AI266">
        <v>1</v>
      </c>
      <c r="AJ266">
        <v>1</v>
      </c>
      <c r="AK266">
        <v>1</v>
      </c>
      <c r="AL266">
        <v>1</v>
      </c>
      <c r="AM266">
        <v>1</v>
      </c>
    </row>
    <row r="267" spans="1:39" x14ac:dyDescent="0.2">
      <c r="A267" t="str">
        <f>"263"</f>
        <v>263</v>
      </c>
      <c r="B267" t="str">
        <f t="shared" si="14"/>
        <v>1</v>
      </c>
      <c r="C267" t="str">
        <f t="shared" si="15"/>
        <v>6</v>
      </c>
      <c r="D267" t="str">
        <f>"16"</f>
        <v>16</v>
      </c>
      <c r="E267" t="str">
        <f>"1-6-16"</f>
        <v>1-6-16</v>
      </c>
      <c r="F267" t="s">
        <v>65</v>
      </c>
      <c r="G267" t="s">
        <v>66</v>
      </c>
      <c r="H267" t="s">
        <v>67</v>
      </c>
      <c r="S267">
        <v>0</v>
      </c>
      <c r="T267">
        <v>1</v>
      </c>
      <c r="U267">
        <v>0</v>
      </c>
      <c r="V267">
        <v>0</v>
      </c>
      <c r="W267">
        <v>1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</row>
    <row r="268" spans="1:39" x14ac:dyDescent="0.2">
      <c r="A268" t="str">
        <f>"264"</f>
        <v>264</v>
      </c>
      <c r="B268" t="str">
        <f t="shared" si="14"/>
        <v>1</v>
      </c>
      <c r="C268" t="str">
        <f t="shared" si="15"/>
        <v>6</v>
      </c>
      <c r="D268" t="str">
        <f>"3"</f>
        <v>3</v>
      </c>
      <c r="E268" t="str">
        <f>"1-6-3"</f>
        <v>1-6-3</v>
      </c>
      <c r="F268" t="s">
        <v>65</v>
      </c>
      <c r="G268" t="s">
        <v>66</v>
      </c>
      <c r="H268" t="s">
        <v>67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1</v>
      </c>
      <c r="Y268">
        <v>1</v>
      </c>
      <c r="Z268">
        <v>0</v>
      </c>
      <c r="AA268">
        <v>0</v>
      </c>
      <c r="AB268">
        <v>1</v>
      </c>
      <c r="AC268">
        <v>0</v>
      </c>
      <c r="AD268">
        <v>1</v>
      </c>
      <c r="AE268">
        <v>1</v>
      </c>
      <c r="AF268">
        <v>1</v>
      </c>
      <c r="AG268">
        <v>1</v>
      </c>
      <c r="AH268">
        <v>1</v>
      </c>
      <c r="AI268">
        <v>1</v>
      </c>
      <c r="AJ268">
        <v>1</v>
      </c>
      <c r="AK268">
        <v>1</v>
      </c>
      <c r="AL268">
        <v>1</v>
      </c>
      <c r="AM268">
        <v>1</v>
      </c>
    </row>
    <row r="269" spans="1:39" x14ac:dyDescent="0.2">
      <c r="A269" t="str">
        <f>"265"</f>
        <v>265</v>
      </c>
      <c r="B269" t="str">
        <f t="shared" si="14"/>
        <v>1</v>
      </c>
      <c r="C269" t="str">
        <f t="shared" si="15"/>
        <v>6</v>
      </c>
      <c r="D269" t="str">
        <f>"35"</f>
        <v>35</v>
      </c>
      <c r="E269" t="str">
        <f>"1-6-35"</f>
        <v>1-6-35</v>
      </c>
      <c r="F269" t="s">
        <v>65</v>
      </c>
      <c r="G269" t="s">
        <v>66</v>
      </c>
      <c r="H269" t="s">
        <v>67</v>
      </c>
      <c r="S269">
        <v>0</v>
      </c>
      <c r="T269">
        <v>1</v>
      </c>
      <c r="U269">
        <v>0</v>
      </c>
      <c r="V269">
        <v>0</v>
      </c>
      <c r="W269">
        <v>1</v>
      </c>
      <c r="X269">
        <v>0</v>
      </c>
      <c r="Y269">
        <v>1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  <c r="AL269">
        <v>1</v>
      </c>
      <c r="AM269">
        <v>1</v>
      </c>
    </row>
    <row r="270" spans="1:39" x14ac:dyDescent="0.2">
      <c r="A270" t="str">
        <f>"266"</f>
        <v>266</v>
      </c>
      <c r="B270" t="str">
        <f t="shared" si="14"/>
        <v>1</v>
      </c>
      <c r="C270" t="str">
        <f t="shared" si="15"/>
        <v>6</v>
      </c>
      <c r="D270" t="str">
        <f>"17"</f>
        <v>17</v>
      </c>
      <c r="E270" t="str">
        <f>"1-6-17"</f>
        <v>1-6-17</v>
      </c>
      <c r="F270" t="s">
        <v>65</v>
      </c>
      <c r="G270" t="s">
        <v>66</v>
      </c>
      <c r="H270" t="s">
        <v>67</v>
      </c>
      <c r="S270">
        <v>1</v>
      </c>
      <c r="T270">
        <v>0</v>
      </c>
      <c r="U270">
        <v>0</v>
      </c>
      <c r="V270">
        <v>0</v>
      </c>
      <c r="W270">
        <v>0</v>
      </c>
      <c r="X270">
        <v>1</v>
      </c>
      <c r="Y270">
        <v>1</v>
      </c>
      <c r="Z270">
        <v>0</v>
      </c>
      <c r="AA270">
        <v>0</v>
      </c>
      <c r="AB270">
        <v>1</v>
      </c>
      <c r="AC270">
        <v>0</v>
      </c>
      <c r="AD270">
        <v>0</v>
      </c>
      <c r="AE270">
        <v>1</v>
      </c>
      <c r="AF270">
        <v>1</v>
      </c>
      <c r="AG270">
        <v>1</v>
      </c>
      <c r="AH270">
        <v>1</v>
      </c>
      <c r="AI270">
        <v>1</v>
      </c>
      <c r="AJ270">
        <v>1</v>
      </c>
      <c r="AK270">
        <v>1</v>
      </c>
      <c r="AL270">
        <v>1</v>
      </c>
      <c r="AM270">
        <v>1</v>
      </c>
    </row>
    <row r="271" spans="1:39" x14ac:dyDescent="0.2">
      <c r="A271" t="str">
        <f>"267"</f>
        <v>267</v>
      </c>
      <c r="B271" t="str">
        <f t="shared" si="14"/>
        <v>1</v>
      </c>
      <c r="C271" t="str">
        <f t="shared" si="15"/>
        <v>6</v>
      </c>
      <c r="D271" t="str">
        <f>"1"</f>
        <v>1</v>
      </c>
      <c r="E271" t="str">
        <f>"1-6-1"</f>
        <v>1-6-1</v>
      </c>
      <c r="F271" t="s">
        <v>65</v>
      </c>
      <c r="G271" t="s">
        <v>66</v>
      </c>
      <c r="H271" t="s">
        <v>67</v>
      </c>
      <c r="S271">
        <v>1</v>
      </c>
      <c r="T271">
        <v>0</v>
      </c>
      <c r="U271">
        <v>0</v>
      </c>
      <c r="V271">
        <v>0</v>
      </c>
      <c r="W271">
        <v>1</v>
      </c>
      <c r="X271">
        <v>0</v>
      </c>
      <c r="Y271">
        <v>1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</row>
    <row r="272" spans="1:39" x14ac:dyDescent="0.2">
      <c r="A272" t="str">
        <f>"268"</f>
        <v>268</v>
      </c>
      <c r="B272" t="str">
        <f t="shared" si="14"/>
        <v>1</v>
      </c>
      <c r="C272" t="str">
        <f t="shared" si="15"/>
        <v>6</v>
      </c>
      <c r="D272" t="str">
        <f>"36"</f>
        <v>36</v>
      </c>
      <c r="E272" t="str">
        <f>"1-6-36"</f>
        <v>1-6-36</v>
      </c>
      <c r="F272" t="s">
        <v>65</v>
      </c>
      <c r="G272" t="s">
        <v>66</v>
      </c>
      <c r="H272" t="s">
        <v>67</v>
      </c>
      <c r="S272">
        <v>0</v>
      </c>
      <c r="T272">
        <v>1</v>
      </c>
      <c r="U272">
        <v>0</v>
      </c>
      <c r="V272">
        <v>0</v>
      </c>
      <c r="W272">
        <v>1</v>
      </c>
      <c r="X272">
        <v>0</v>
      </c>
      <c r="Y272">
        <v>0</v>
      </c>
      <c r="Z272">
        <v>1</v>
      </c>
      <c r="AA272">
        <v>0</v>
      </c>
      <c r="AB272">
        <v>1</v>
      </c>
      <c r="AC272">
        <v>0</v>
      </c>
      <c r="AD272">
        <v>1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1</v>
      </c>
    </row>
    <row r="273" spans="1:39" x14ac:dyDescent="0.2">
      <c r="A273" t="str">
        <f>"269"</f>
        <v>269</v>
      </c>
      <c r="B273" t="str">
        <f t="shared" si="14"/>
        <v>1</v>
      </c>
      <c r="C273" t="str">
        <f t="shared" si="15"/>
        <v>6</v>
      </c>
      <c r="D273" t="str">
        <f>"19"</f>
        <v>19</v>
      </c>
      <c r="E273" t="str">
        <f>"1-6-19"</f>
        <v>1-6-19</v>
      </c>
      <c r="F273" t="s">
        <v>65</v>
      </c>
      <c r="G273" t="s">
        <v>66</v>
      </c>
      <c r="H273" t="s">
        <v>67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1</v>
      </c>
      <c r="AI273">
        <v>1</v>
      </c>
      <c r="AJ273">
        <v>1</v>
      </c>
      <c r="AK273">
        <v>1</v>
      </c>
      <c r="AL273">
        <v>1</v>
      </c>
      <c r="AM273">
        <v>0</v>
      </c>
    </row>
    <row r="274" spans="1:39" x14ac:dyDescent="0.2">
      <c r="A274" t="str">
        <f>"270"</f>
        <v>270</v>
      </c>
      <c r="B274" t="str">
        <f t="shared" si="14"/>
        <v>1</v>
      </c>
      <c r="C274" t="str">
        <f t="shared" si="15"/>
        <v>6</v>
      </c>
      <c r="D274" t="str">
        <f>"2"</f>
        <v>2</v>
      </c>
      <c r="E274" t="str">
        <f>"1-6-2"</f>
        <v>1-6-2</v>
      </c>
      <c r="F274" t="s">
        <v>65</v>
      </c>
      <c r="G274" t="s">
        <v>66</v>
      </c>
      <c r="H274" t="s">
        <v>67</v>
      </c>
      <c r="S274">
        <v>0</v>
      </c>
      <c r="T274">
        <v>1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1</v>
      </c>
      <c r="AA274">
        <v>0</v>
      </c>
      <c r="AB274">
        <v>1</v>
      </c>
      <c r="AC274">
        <v>0</v>
      </c>
      <c r="AD274">
        <v>1</v>
      </c>
      <c r="AE274">
        <v>1</v>
      </c>
      <c r="AF274">
        <v>1</v>
      </c>
      <c r="AG274">
        <v>1</v>
      </c>
      <c r="AH274">
        <v>1</v>
      </c>
      <c r="AI274">
        <v>1</v>
      </c>
      <c r="AJ274">
        <v>1</v>
      </c>
      <c r="AK274">
        <v>1</v>
      </c>
      <c r="AL274">
        <v>1</v>
      </c>
      <c r="AM274">
        <v>1</v>
      </c>
    </row>
    <row r="275" spans="1:39" x14ac:dyDescent="0.2">
      <c r="A275" t="str">
        <f>"271"</f>
        <v>271</v>
      </c>
      <c r="B275" t="str">
        <f t="shared" si="14"/>
        <v>1</v>
      </c>
      <c r="C275" t="str">
        <f t="shared" si="15"/>
        <v>6</v>
      </c>
      <c r="D275" t="str">
        <f>"37"</f>
        <v>37</v>
      </c>
      <c r="E275" t="str">
        <f>"1-6-37"</f>
        <v>1-6-37</v>
      </c>
      <c r="F275" t="s">
        <v>65</v>
      </c>
      <c r="G275" t="s">
        <v>66</v>
      </c>
      <c r="H275" t="s">
        <v>67</v>
      </c>
      <c r="S275">
        <v>1</v>
      </c>
      <c r="T275">
        <v>0</v>
      </c>
      <c r="U275">
        <v>0</v>
      </c>
      <c r="V275">
        <v>0</v>
      </c>
      <c r="W275">
        <v>0</v>
      </c>
      <c r="X275">
        <v>1</v>
      </c>
      <c r="Y275">
        <v>0</v>
      </c>
      <c r="Z275">
        <v>1</v>
      </c>
      <c r="AA275">
        <v>0</v>
      </c>
      <c r="AB275">
        <v>0</v>
      </c>
      <c r="AC275">
        <v>1</v>
      </c>
      <c r="AD275">
        <v>0</v>
      </c>
      <c r="AE275">
        <v>1</v>
      </c>
      <c r="AF275">
        <v>0</v>
      </c>
      <c r="AG275">
        <v>1</v>
      </c>
      <c r="AH275">
        <v>1</v>
      </c>
      <c r="AI275">
        <v>0</v>
      </c>
      <c r="AJ275">
        <v>1</v>
      </c>
      <c r="AK275">
        <v>0</v>
      </c>
      <c r="AL275">
        <v>1</v>
      </c>
      <c r="AM275">
        <v>0</v>
      </c>
    </row>
    <row r="276" spans="1:39" x14ac:dyDescent="0.2">
      <c r="A276" t="str">
        <f>"272"</f>
        <v>272</v>
      </c>
      <c r="B276" t="str">
        <f t="shared" si="14"/>
        <v>1</v>
      </c>
      <c r="C276" t="str">
        <f t="shared" si="15"/>
        <v>6</v>
      </c>
      <c r="D276" t="str">
        <f>"21"</f>
        <v>21</v>
      </c>
      <c r="E276" t="str">
        <f>"1-6-21"</f>
        <v>1-6-21</v>
      </c>
      <c r="F276" t="s">
        <v>65</v>
      </c>
      <c r="G276" t="s">
        <v>66</v>
      </c>
      <c r="H276" t="s">
        <v>67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1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0</v>
      </c>
      <c r="AL276">
        <v>0</v>
      </c>
      <c r="AM276">
        <v>0</v>
      </c>
    </row>
    <row r="277" spans="1:39" x14ac:dyDescent="0.2">
      <c r="A277" t="str">
        <f>"273"</f>
        <v>273</v>
      </c>
      <c r="B277" t="str">
        <f t="shared" si="14"/>
        <v>1</v>
      </c>
      <c r="C277" t="str">
        <f t="shared" si="15"/>
        <v>6</v>
      </c>
      <c r="D277" t="str">
        <f>"6"</f>
        <v>6</v>
      </c>
      <c r="E277" t="str">
        <f>"1-6-6"</f>
        <v>1-6-6</v>
      </c>
      <c r="F277" t="s">
        <v>65</v>
      </c>
      <c r="G277" t="s">
        <v>66</v>
      </c>
      <c r="H277" t="s">
        <v>67</v>
      </c>
      <c r="S277">
        <v>1</v>
      </c>
      <c r="T277">
        <v>0</v>
      </c>
      <c r="U277">
        <v>0</v>
      </c>
      <c r="V277">
        <v>0</v>
      </c>
      <c r="W277">
        <v>1</v>
      </c>
      <c r="X277">
        <v>0</v>
      </c>
      <c r="Y277">
        <v>0</v>
      </c>
      <c r="Z277">
        <v>1</v>
      </c>
      <c r="AA277">
        <v>0</v>
      </c>
      <c r="AB277">
        <v>1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</row>
    <row r="278" spans="1:39" x14ac:dyDescent="0.2">
      <c r="A278" t="str">
        <f>"274"</f>
        <v>274</v>
      </c>
      <c r="B278" t="str">
        <f t="shared" si="14"/>
        <v>1</v>
      </c>
      <c r="C278" t="str">
        <f t="shared" si="15"/>
        <v>6</v>
      </c>
      <c r="D278" t="str">
        <f>"38"</f>
        <v>38</v>
      </c>
      <c r="E278" t="str">
        <f>"1-6-38"</f>
        <v>1-6-38</v>
      </c>
      <c r="F278" t="s">
        <v>65</v>
      </c>
      <c r="G278" t="s">
        <v>66</v>
      </c>
      <c r="H278" t="s">
        <v>67</v>
      </c>
      <c r="S278">
        <v>1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1</v>
      </c>
      <c r="AA278">
        <v>0</v>
      </c>
      <c r="AB278">
        <v>0</v>
      </c>
      <c r="AC278">
        <v>1</v>
      </c>
      <c r="AD278">
        <v>1</v>
      </c>
      <c r="AE278">
        <v>1</v>
      </c>
      <c r="AF278">
        <v>1</v>
      </c>
      <c r="AG278">
        <v>1</v>
      </c>
      <c r="AH278">
        <v>0</v>
      </c>
      <c r="AI278">
        <v>1</v>
      </c>
      <c r="AJ278">
        <v>1</v>
      </c>
      <c r="AK278">
        <v>1</v>
      </c>
      <c r="AL278">
        <v>1</v>
      </c>
      <c r="AM278">
        <v>1</v>
      </c>
    </row>
    <row r="279" spans="1:39" x14ac:dyDescent="0.2">
      <c r="A279" t="str">
        <f>"275"</f>
        <v>275</v>
      </c>
      <c r="B279" t="str">
        <f t="shared" si="14"/>
        <v>1</v>
      </c>
      <c r="C279" t="str">
        <f t="shared" si="15"/>
        <v>6</v>
      </c>
      <c r="D279" t="str">
        <f>"22"</f>
        <v>22</v>
      </c>
      <c r="E279" t="str">
        <f>"1-6-22"</f>
        <v>1-6-22</v>
      </c>
      <c r="F279" t="s">
        <v>65</v>
      </c>
      <c r="G279" t="s">
        <v>66</v>
      </c>
      <c r="H279" t="s">
        <v>67</v>
      </c>
      <c r="S279">
        <v>1</v>
      </c>
      <c r="T279">
        <v>0</v>
      </c>
      <c r="U279">
        <v>0</v>
      </c>
      <c r="V279">
        <v>0</v>
      </c>
      <c r="W279">
        <v>1</v>
      </c>
      <c r="X279">
        <v>0</v>
      </c>
      <c r="Y279">
        <v>1</v>
      </c>
      <c r="Z279">
        <v>0</v>
      </c>
      <c r="AA279">
        <v>0</v>
      </c>
      <c r="AB279">
        <v>1</v>
      </c>
      <c r="AC279">
        <v>0</v>
      </c>
      <c r="AD279">
        <v>1</v>
      </c>
      <c r="AE279">
        <v>1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1</v>
      </c>
      <c r="AL279">
        <v>1</v>
      </c>
      <c r="AM279">
        <v>1</v>
      </c>
    </row>
    <row r="280" spans="1:39" x14ac:dyDescent="0.2">
      <c r="A280" t="str">
        <f>"276"</f>
        <v>276</v>
      </c>
      <c r="B280" t="str">
        <f t="shared" si="14"/>
        <v>1</v>
      </c>
      <c r="C280" t="str">
        <f t="shared" si="15"/>
        <v>6</v>
      </c>
      <c r="D280" t="str">
        <f>"12"</f>
        <v>12</v>
      </c>
      <c r="E280" t="str">
        <f>"1-6-12"</f>
        <v>1-6-12</v>
      </c>
      <c r="F280" t="s">
        <v>65</v>
      </c>
      <c r="G280" t="s">
        <v>66</v>
      </c>
      <c r="H280" t="s">
        <v>67</v>
      </c>
      <c r="S280">
        <v>0</v>
      </c>
      <c r="T280">
        <v>1</v>
      </c>
      <c r="U280">
        <v>0</v>
      </c>
      <c r="V280">
        <v>0</v>
      </c>
      <c r="W280">
        <v>1</v>
      </c>
      <c r="X280">
        <v>0</v>
      </c>
      <c r="Y280">
        <v>1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</row>
    <row r="281" spans="1:39" x14ac:dyDescent="0.2">
      <c r="A281" t="str">
        <f>"277"</f>
        <v>277</v>
      </c>
      <c r="B281" t="str">
        <f t="shared" si="14"/>
        <v>1</v>
      </c>
      <c r="C281" t="str">
        <f t="shared" si="15"/>
        <v>6</v>
      </c>
      <c r="D281" t="str">
        <f>"42"</f>
        <v>42</v>
      </c>
      <c r="E281" t="str">
        <f>"1-6-42"</f>
        <v>1-6-42</v>
      </c>
      <c r="F281" t="s">
        <v>65</v>
      </c>
      <c r="G281" t="s">
        <v>66</v>
      </c>
      <c r="H281" t="s">
        <v>67</v>
      </c>
      <c r="S281">
        <v>1</v>
      </c>
      <c r="T281">
        <v>0</v>
      </c>
      <c r="U281">
        <v>0</v>
      </c>
      <c r="V281">
        <v>0</v>
      </c>
      <c r="W281">
        <v>1</v>
      </c>
      <c r="X281">
        <v>0</v>
      </c>
      <c r="Y281">
        <v>0</v>
      </c>
      <c r="Z281">
        <v>1</v>
      </c>
      <c r="AA281">
        <v>1</v>
      </c>
      <c r="AB281">
        <v>0</v>
      </c>
      <c r="AC281">
        <v>0</v>
      </c>
      <c r="AD281">
        <v>1</v>
      </c>
      <c r="AE281">
        <v>1</v>
      </c>
      <c r="AF281">
        <v>1</v>
      </c>
      <c r="AG281">
        <v>1</v>
      </c>
      <c r="AH281">
        <v>1</v>
      </c>
      <c r="AI281">
        <v>0</v>
      </c>
      <c r="AJ281">
        <v>1</v>
      </c>
      <c r="AK281">
        <v>1</v>
      </c>
      <c r="AL281">
        <v>1</v>
      </c>
      <c r="AM281">
        <v>1</v>
      </c>
    </row>
    <row r="282" spans="1:39" x14ac:dyDescent="0.2">
      <c r="A282" t="str">
        <f>"278"</f>
        <v>278</v>
      </c>
      <c r="B282" t="str">
        <f t="shared" si="14"/>
        <v>1</v>
      </c>
      <c r="C282" t="str">
        <f t="shared" si="15"/>
        <v>6</v>
      </c>
      <c r="D282" t="str">
        <f>"23"</f>
        <v>23</v>
      </c>
      <c r="E282" t="str">
        <f>"1-6-23"</f>
        <v>1-6-23</v>
      </c>
      <c r="F282" t="s">
        <v>65</v>
      </c>
      <c r="G282" t="s">
        <v>66</v>
      </c>
      <c r="H282" t="s">
        <v>67</v>
      </c>
      <c r="S282">
        <v>1</v>
      </c>
      <c r="T282">
        <v>0</v>
      </c>
      <c r="U282">
        <v>0</v>
      </c>
      <c r="V282">
        <v>0</v>
      </c>
      <c r="W282">
        <v>1</v>
      </c>
      <c r="X282">
        <v>0</v>
      </c>
      <c r="Y282">
        <v>1</v>
      </c>
      <c r="Z282">
        <v>0</v>
      </c>
      <c r="AA282">
        <v>0</v>
      </c>
      <c r="AB282">
        <v>1</v>
      </c>
      <c r="AC282">
        <v>0</v>
      </c>
      <c r="AD282">
        <v>1</v>
      </c>
      <c r="AE282">
        <v>1</v>
      </c>
      <c r="AF282">
        <v>1</v>
      </c>
      <c r="AG282">
        <v>1</v>
      </c>
      <c r="AH282">
        <v>1</v>
      </c>
      <c r="AI282">
        <v>1</v>
      </c>
      <c r="AJ282">
        <v>1</v>
      </c>
      <c r="AK282">
        <v>1</v>
      </c>
      <c r="AL282">
        <v>1</v>
      </c>
      <c r="AM282">
        <v>1</v>
      </c>
    </row>
    <row r="283" spans="1:39" x14ac:dyDescent="0.2">
      <c r="A283" t="str">
        <f>"279"</f>
        <v>279</v>
      </c>
      <c r="B283" t="str">
        <f t="shared" si="14"/>
        <v>1</v>
      </c>
      <c r="C283" t="str">
        <f t="shared" si="15"/>
        <v>6</v>
      </c>
      <c r="D283" t="str">
        <f>"4"</f>
        <v>4</v>
      </c>
      <c r="E283" t="str">
        <f>"1-6-4"</f>
        <v>1-6-4</v>
      </c>
      <c r="F283" t="s">
        <v>65</v>
      </c>
      <c r="G283" t="s">
        <v>66</v>
      </c>
      <c r="H283" t="s">
        <v>67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</row>
    <row r="284" spans="1:39" x14ac:dyDescent="0.2">
      <c r="A284" t="str">
        <f>"280"</f>
        <v>280</v>
      </c>
      <c r="B284" t="str">
        <f t="shared" si="14"/>
        <v>1</v>
      </c>
      <c r="C284" t="str">
        <f t="shared" si="15"/>
        <v>6</v>
      </c>
      <c r="D284" t="str">
        <f>"40"</f>
        <v>40</v>
      </c>
      <c r="E284" t="str">
        <f>"1-6-40"</f>
        <v>1-6-40</v>
      </c>
      <c r="F284" t="s">
        <v>65</v>
      </c>
      <c r="G284" t="s">
        <v>66</v>
      </c>
      <c r="H284" t="s">
        <v>67</v>
      </c>
      <c r="S284">
        <v>0</v>
      </c>
      <c r="T284">
        <v>1</v>
      </c>
      <c r="U284">
        <v>0</v>
      </c>
      <c r="V284">
        <v>0</v>
      </c>
      <c r="W284">
        <v>1</v>
      </c>
      <c r="X284">
        <v>0</v>
      </c>
      <c r="Y284">
        <v>0</v>
      </c>
      <c r="Z284">
        <v>1</v>
      </c>
      <c r="AA284">
        <v>0</v>
      </c>
      <c r="AB284">
        <v>0</v>
      </c>
      <c r="AC284">
        <v>1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</row>
    <row r="285" spans="1:39" x14ac:dyDescent="0.2">
      <c r="A285" t="str">
        <f>"281"</f>
        <v>281</v>
      </c>
      <c r="B285" t="str">
        <f t="shared" si="14"/>
        <v>1</v>
      </c>
      <c r="C285" t="str">
        <f t="shared" si="15"/>
        <v>6</v>
      </c>
      <c r="D285" t="str">
        <f>"24"</f>
        <v>24</v>
      </c>
      <c r="E285" t="str">
        <f>"1-6-24"</f>
        <v>1-6-24</v>
      </c>
      <c r="F285" t="s">
        <v>65</v>
      </c>
      <c r="G285" t="s">
        <v>66</v>
      </c>
      <c r="H285" t="s">
        <v>67</v>
      </c>
      <c r="S285">
        <v>0</v>
      </c>
      <c r="T285">
        <v>1</v>
      </c>
      <c r="U285">
        <v>0</v>
      </c>
      <c r="V285">
        <v>0</v>
      </c>
      <c r="W285">
        <v>0</v>
      </c>
      <c r="X285">
        <v>1</v>
      </c>
      <c r="Y285">
        <v>1</v>
      </c>
      <c r="Z285">
        <v>0</v>
      </c>
      <c r="AA285">
        <v>0</v>
      </c>
      <c r="AB285">
        <v>0</v>
      </c>
      <c r="AC285">
        <v>1</v>
      </c>
      <c r="AD285">
        <v>1</v>
      </c>
      <c r="AE285">
        <v>1</v>
      </c>
      <c r="AF285">
        <v>1</v>
      </c>
      <c r="AG285">
        <v>1</v>
      </c>
      <c r="AH285">
        <v>1</v>
      </c>
      <c r="AI285">
        <v>1</v>
      </c>
      <c r="AJ285">
        <v>1</v>
      </c>
      <c r="AK285">
        <v>1</v>
      </c>
      <c r="AL285">
        <v>1</v>
      </c>
      <c r="AM285">
        <v>1</v>
      </c>
    </row>
    <row r="286" spans="1:39" x14ac:dyDescent="0.2">
      <c r="A286" t="str">
        <f>"282"</f>
        <v>282</v>
      </c>
      <c r="B286" t="str">
        <f t="shared" si="14"/>
        <v>1</v>
      </c>
      <c r="C286" t="str">
        <f t="shared" si="15"/>
        <v>6</v>
      </c>
      <c r="D286" t="str">
        <f>"9"</f>
        <v>9</v>
      </c>
      <c r="E286" t="str">
        <f>"1-6-9"</f>
        <v>1-6-9</v>
      </c>
      <c r="F286" t="s">
        <v>65</v>
      </c>
      <c r="G286" t="s">
        <v>66</v>
      </c>
      <c r="H286" t="s">
        <v>67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</row>
    <row r="287" spans="1:39" x14ac:dyDescent="0.2">
      <c r="A287" t="str">
        <f>"283"</f>
        <v>283</v>
      </c>
      <c r="B287" t="str">
        <f t="shared" si="14"/>
        <v>1</v>
      </c>
      <c r="C287" t="str">
        <f t="shared" ref="C287:C304" si="16">"6"</f>
        <v>6</v>
      </c>
      <c r="D287" t="str">
        <f>"41"</f>
        <v>41</v>
      </c>
      <c r="E287" t="str">
        <f>"1-6-41"</f>
        <v>1-6-41</v>
      </c>
      <c r="F287" t="s">
        <v>65</v>
      </c>
      <c r="G287" t="s">
        <v>66</v>
      </c>
      <c r="H287" t="s">
        <v>67</v>
      </c>
      <c r="S287">
        <v>1</v>
      </c>
      <c r="T287">
        <v>0</v>
      </c>
      <c r="U287">
        <v>0</v>
      </c>
      <c r="V287">
        <v>0</v>
      </c>
      <c r="W287">
        <v>1</v>
      </c>
      <c r="X287">
        <v>0</v>
      </c>
      <c r="Y287">
        <v>1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1</v>
      </c>
      <c r="AF287">
        <v>1</v>
      </c>
      <c r="AG287">
        <v>0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</row>
    <row r="288" spans="1:39" x14ac:dyDescent="0.2">
      <c r="A288" t="str">
        <f>"284"</f>
        <v>284</v>
      </c>
      <c r="B288" t="str">
        <f t="shared" si="14"/>
        <v>1</v>
      </c>
      <c r="C288" t="str">
        <f t="shared" si="16"/>
        <v>6</v>
      </c>
      <c r="D288" t="str">
        <f>"25"</f>
        <v>25</v>
      </c>
      <c r="E288" t="str">
        <f>"1-6-25"</f>
        <v>1-6-25</v>
      </c>
      <c r="F288" t="s">
        <v>65</v>
      </c>
      <c r="G288" t="s">
        <v>66</v>
      </c>
      <c r="H288" t="s">
        <v>67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1</v>
      </c>
      <c r="Y288">
        <v>0</v>
      </c>
      <c r="Z288">
        <v>1</v>
      </c>
      <c r="AA288">
        <v>0</v>
      </c>
      <c r="AB288">
        <v>0</v>
      </c>
      <c r="AC288">
        <v>1</v>
      </c>
      <c r="AD288">
        <v>0</v>
      </c>
      <c r="AE288">
        <v>0</v>
      </c>
      <c r="AF288">
        <v>0</v>
      </c>
      <c r="AG288">
        <v>0</v>
      </c>
      <c r="AH288">
        <v>1</v>
      </c>
      <c r="AI288">
        <v>1</v>
      </c>
      <c r="AJ288">
        <v>1</v>
      </c>
      <c r="AK288">
        <v>0</v>
      </c>
      <c r="AL288">
        <v>1</v>
      </c>
      <c r="AM288">
        <v>1</v>
      </c>
    </row>
    <row r="289" spans="1:39" x14ac:dyDescent="0.2">
      <c r="A289" t="str">
        <f>"285"</f>
        <v>285</v>
      </c>
      <c r="B289" t="str">
        <f t="shared" si="14"/>
        <v>1</v>
      </c>
      <c r="C289" t="str">
        <f t="shared" si="16"/>
        <v>6</v>
      </c>
      <c r="D289" t="str">
        <f>"10"</f>
        <v>10</v>
      </c>
      <c r="E289" t="str">
        <f>"1-6-10"</f>
        <v>1-6-10</v>
      </c>
      <c r="F289" t="s">
        <v>65</v>
      </c>
      <c r="G289" t="s">
        <v>66</v>
      </c>
      <c r="H289" t="s">
        <v>67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</row>
    <row r="290" spans="1:39" x14ac:dyDescent="0.2">
      <c r="A290" t="str">
        <f>"286"</f>
        <v>286</v>
      </c>
      <c r="B290" t="str">
        <f t="shared" si="14"/>
        <v>1</v>
      </c>
      <c r="C290" t="str">
        <f t="shared" si="16"/>
        <v>6</v>
      </c>
      <c r="D290" t="str">
        <f>"39"</f>
        <v>39</v>
      </c>
      <c r="E290" t="str">
        <f>"1-6-39"</f>
        <v>1-6-39</v>
      </c>
      <c r="F290" t="s">
        <v>65</v>
      </c>
      <c r="G290" t="s">
        <v>66</v>
      </c>
      <c r="H290" t="s">
        <v>67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0</v>
      </c>
      <c r="AB290">
        <v>0</v>
      </c>
      <c r="AC290">
        <v>1</v>
      </c>
      <c r="AD290">
        <v>0</v>
      </c>
      <c r="AE290">
        <v>0</v>
      </c>
      <c r="AF290">
        <v>0</v>
      </c>
      <c r="AG290">
        <v>1</v>
      </c>
      <c r="AH290">
        <v>1</v>
      </c>
      <c r="AI290">
        <v>1</v>
      </c>
      <c r="AJ290">
        <v>1</v>
      </c>
      <c r="AK290">
        <v>1</v>
      </c>
      <c r="AL290">
        <v>1</v>
      </c>
      <c r="AM290">
        <v>1</v>
      </c>
    </row>
    <row r="291" spans="1:39" x14ac:dyDescent="0.2">
      <c r="A291" t="str">
        <f>"287"</f>
        <v>287</v>
      </c>
      <c r="B291" t="str">
        <f t="shared" si="14"/>
        <v>1</v>
      </c>
      <c r="C291" t="str">
        <f t="shared" si="16"/>
        <v>6</v>
      </c>
      <c r="D291" t="str">
        <f>"26"</f>
        <v>26</v>
      </c>
      <c r="E291" t="str">
        <f>"1-6-26"</f>
        <v>1-6-26</v>
      </c>
      <c r="F291" t="s">
        <v>65</v>
      </c>
      <c r="G291" t="s">
        <v>66</v>
      </c>
      <c r="H291" t="s">
        <v>67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1</v>
      </c>
      <c r="Y291">
        <v>1</v>
      </c>
      <c r="Z291">
        <v>0</v>
      </c>
      <c r="AA291">
        <v>0</v>
      </c>
      <c r="AB291">
        <v>1</v>
      </c>
      <c r="AC291">
        <v>0</v>
      </c>
      <c r="AD291">
        <v>1</v>
      </c>
      <c r="AE291">
        <v>1</v>
      </c>
      <c r="AF291">
        <v>1</v>
      </c>
      <c r="AG291">
        <v>1</v>
      </c>
      <c r="AH291">
        <v>1</v>
      </c>
      <c r="AI291">
        <v>1</v>
      </c>
      <c r="AJ291">
        <v>1</v>
      </c>
      <c r="AK291">
        <v>1</v>
      </c>
      <c r="AL291">
        <v>1</v>
      </c>
      <c r="AM291">
        <v>1</v>
      </c>
    </row>
    <row r="292" spans="1:39" x14ac:dyDescent="0.2">
      <c r="A292" t="str">
        <f>"288"</f>
        <v>288</v>
      </c>
      <c r="B292" t="str">
        <f t="shared" si="14"/>
        <v>1</v>
      </c>
      <c r="C292" t="str">
        <f t="shared" si="16"/>
        <v>6</v>
      </c>
      <c r="D292" t="str">
        <f>"11"</f>
        <v>11</v>
      </c>
      <c r="E292" t="str">
        <f>"1-6-11"</f>
        <v>1-6-11</v>
      </c>
      <c r="F292" t="s">
        <v>65</v>
      </c>
      <c r="G292" t="s">
        <v>66</v>
      </c>
      <c r="H292" t="s">
        <v>67</v>
      </c>
      <c r="S292">
        <v>1</v>
      </c>
      <c r="T292">
        <v>0</v>
      </c>
      <c r="U292">
        <v>0</v>
      </c>
      <c r="V292">
        <v>0</v>
      </c>
      <c r="W292">
        <v>1</v>
      </c>
      <c r="X292">
        <v>0</v>
      </c>
      <c r="Y292">
        <v>1</v>
      </c>
      <c r="Z292">
        <v>0</v>
      </c>
      <c r="AA292">
        <v>0</v>
      </c>
      <c r="AB292">
        <v>1</v>
      </c>
      <c r="AC292">
        <v>0</v>
      </c>
      <c r="AD292">
        <v>1</v>
      </c>
      <c r="AE292">
        <v>1</v>
      </c>
      <c r="AF292">
        <v>1</v>
      </c>
      <c r="AG292">
        <v>1</v>
      </c>
      <c r="AH292">
        <v>1</v>
      </c>
      <c r="AI292">
        <v>1</v>
      </c>
      <c r="AJ292">
        <v>1</v>
      </c>
      <c r="AK292">
        <v>1</v>
      </c>
      <c r="AL292">
        <v>1</v>
      </c>
      <c r="AM292">
        <v>1</v>
      </c>
    </row>
    <row r="293" spans="1:39" x14ac:dyDescent="0.2">
      <c r="A293" t="str">
        <f>"289"</f>
        <v>289</v>
      </c>
      <c r="B293" t="str">
        <f t="shared" si="14"/>
        <v>1</v>
      </c>
      <c r="C293" t="str">
        <f t="shared" si="16"/>
        <v>6</v>
      </c>
      <c r="D293" t="str">
        <f>"48"</f>
        <v>48</v>
      </c>
      <c r="E293" t="str">
        <f>"1-6-48"</f>
        <v>1-6-48</v>
      </c>
      <c r="F293" t="s">
        <v>65</v>
      </c>
      <c r="G293" t="s">
        <v>66</v>
      </c>
      <c r="H293" t="s">
        <v>67</v>
      </c>
      <c r="S293">
        <v>1</v>
      </c>
      <c r="T293">
        <v>0</v>
      </c>
      <c r="U293">
        <v>0</v>
      </c>
      <c r="V293">
        <v>0</v>
      </c>
      <c r="W293">
        <v>0</v>
      </c>
      <c r="X293">
        <v>1</v>
      </c>
      <c r="Y293">
        <v>1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1</v>
      </c>
      <c r="AF293">
        <v>1</v>
      </c>
      <c r="AG293">
        <v>1</v>
      </c>
      <c r="AH293">
        <v>0</v>
      </c>
      <c r="AI293">
        <v>1</v>
      </c>
      <c r="AJ293">
        <v>1</v>
      </c>
      <c r="AK293">
        <v>1</v>
      </c>
      <c r="AL293">
        <v>1</v>
      </c>
      <c r="AM293">
        <v>1</v>
      </c>
    </row>
    <row r="294" spans="1:39" x14ac:dyDescent="0.2">
      <c r="A294" t="str">
        <f>"290"</f>
        <v>290</v>
      </c>
      <c r="B294" t="str">
        <f t="shared" si="14"/>
        <v>1</v>
      </c>
      <c r="C294" t="str">
        <f t="shared" si="16"/>
        <v>6</v>
      </c>
      <c r="D294" t="str">
        <f>"27"</f>
        <v>27</v>
      </c>
      <c r="E294" t="str">
        <f>"1-6-27"</f>
        <v>1-6-27</v>
      </c>
      <c r="F294" t="s">
        <v>65</v>
      </c>
      <c r="G294" t="s">
        <v>66</v>
      </c>
      <c r="H294" t="s">
        <v>67</v>
      </c>
      <c r="S294">
        <v>0</v>
      </c>
      <c r="T294">
        <v>1</v>
      </c>
      <c r="U294">
        <v>0</v>
      </c>
      <c r="V294">
        <v>0</v>
      </c>
      <c r="W294">
        <v>1</v>
      </c>
      <c r="X294">
        <v>0</v>
      </c>
      <c r="Y294">
        <v>0</v>
      </c>
      <c r="Z294">
        <v>1</v>
      </c>
      <c r="AA294">
        <v>0</v>
      </c>
      <c r="AB294">
        <v>1</v>
      </c>
      <c r="AC294">
        <v>0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</row>
    <row r="295" spans="1:39" x14ac:dyDescent="0.2">
      <c r="A295" t="str">
        <f>"291"</f>
        <v>291</v>
      </c>
      <c r="B295" t="str">
        <f t="shared" si="14"/>
        <v>1</v>
      </c>
      <c r="C295" t="str">
        <f t="shared" si="16"/>
        <v>6</v>
      </c>
      <c r="D295" t="str">
        <f>"14"</f>
        <v>14</v>
      </c>
      <c r="E295" t="str">
        <f>"1-6-14"</f>
        <v>1-6-14</v>
      </c>
      <c r="F295" t="s">
        <v>65</v>
      </c>
      <c r="G295" t="s">
        <v>66</v>
      </c>
      <c r="H295" t="s">
        <v>67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1</v>
      </c>
      <c r="Y295">
        <v>0</v>
      </c>
      <c r="Z295">
        <v>1</v>
      </c>
      <c r="AA295">
        <v>0</v>
      </c>
      <c r="AB295">
        <v>0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</row>
    <row r="296" spans="1:39" x14ac:dyDescent="0.2">
      <c r="A296" t="str">
        <f>"292"</f>
        <v>292</v>
      </c>
      <c r="B296" t="str">
        <f t="shared" si="14"/>
        <v>1</v>
      </c>
      <c r="C296" t="str">
        <f t="shared" si="16"/>
        <v>6</v>
      </c>
      <c r="D296" t="str">
        <f>"47"</f>
        <v>47</v>
      </c>
      <c r="E296" t="str">
        <f>"1-6-47"</f>
        <v>1-6-47</v>
      </c>
      <c r="F296" t="s">
        <v>65</v>
      </c>
      <c r="G296" t="s">
        <v>66</v>
      </c>
      <c r="H296" t="s">
        <v>67</v>
      </c>
      <c r="S296">
        <v>1</v>
      </c>
      <c r="T296">
        <v>0</v>
      </c>
      <c r="U296">
        <v>0</v>
      </c>
      <c r="V296">
        <v>0</v>
      </c>
      <c r="W296">
        <v>0</v>
      </c>
      <c r="X296">
        <v>1</v>
      </c>
      <c r="Y296">
        <v>1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1</v>
      </c>
      <c r="AF296">
        <v>1</v>
      </c>
      <c r="AG296">
        <v>1</v>
      </c>
      <c r="AH296">
        <v>0</v>
      </c>
      <c r="AI296">
        <v>1</v>
      </c>
      <c r="AJ296">
        <v>1</v>
      </c>
      <c r="AK296">
        <v>1</v>
      </c>
      <c r="AL296">
        <v>1</v>
      </c>
      <c r="AM296">
        <v>1</v>
      </c>
    </row>
    <row r="297" spans="1:39" x14ac:dyDescent="0.2">
      <c r="A297" t="str">
        <f>"293"</f>
        <v>293</v>
      </c>
      <c r="B297" t="str">
        <f t="shared" si="14"/>
        <v>1</v>
      </c>
      <c r="C297" t="str">
        <f t="shared" si="16"/>
        <v>6</v>
      </c>
      <c r="D297" t="str">
        <f>"28"</f>
        <v>28</v>
      </c>
      <c r="E297" t="str">
        <f>"1-6-28"</f>
        <v>1-6-28</v>
      </c>
      <c r="F297" t="s">
        <v>65</v>
      </c>
      <c r="G297" t="s">
        <v>66</v>
      </c>
      <c r="H297" t="s">
        <v>67</v>
      </c>
      <c r="S297">
        <v>0</v>
      </c>
      <c r="T297">
        <v>0</v>
      </c>
      <c r="U297">
        <v>0</v>
      </c>
      <c r="V297">
        <v>0</v>
      </c>
      <c r="W297">
        <v>1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1</v>
      </c>
    </row>
    <row r="298" spans="1:39" x14ac:dyDescent="0.2">
      <c r="A298" t="str">
        <f>"294"</f>
        <v>294</v>
      </c>
      <c r="B298" t="str">
        <f t="shared" si="14"/>
        <v>1</v>
      </c>
      <c r="C298" t="str">
        <f t="shared" si="16"/>
        <v>6</v>
      </c>
      <c r="D298" t="str">
        <f>"7"</f>
        <v>7</v>
      </c>
      <c r="E298" t="str">
        <f>"1-6-7"</f>
        <v>1-6-7</v>
      </c>
      <c r="F298" t="s">
        <v>65</v>
      </c>
      <c r="G298" t="s">
        <v>66</v>
      </c>
      <c r="H298" t="s">
        <v>67</v>
      </c>
      <c r="S298">
        <v>1</v>
      </c>
      <c r="T298">
        <v>0</v>
      </c>
      <c r="U298">
        <v>0</v>
      </c>
      <c r="V298">
        <v>0</v>
      </c>
      <c r="W298">
        <v>1</v>
      </c>
      <c r="X298">
        <v>0</v>
      </c>
      <c r="Y298">
        <v>0</v>
      </c>
      <c r="Z298">
        <v>1</v>
      </c>
      <c r="AA298">
        <v>1</v>
      </c>
      <c r="AB298">
        <v>0</v>
      </c>
      <c r="AC298">
        <v>0</v>
      </c>
      <c r="AD298">
        <v>1</v>
      </c>
      <c r="AE298">
        <v>1</v>
      </c>
      <c r="AF298">
        <v>1</v>
      </c>
      <c r="AG298">
        <v>1</v>
      </c>
      <c r="AH298">
        <v>1</v>
      </c>
      <c r="AI298">
        <v>1</v>
      </c>
      <c r="AJ298">
        <v>1</v>
      </c>
      <c r="AK298">
        <v>1</v>
      </c>
      <c r="AL298">
        <v>1</v>
      </c>
      <c r="AM298">
        <v>1</v>
      </c>
    </row>
    <row r="299" spans="1:39" x14ac:dyDescent="0.2">
      <c r="A299" t="str">
        <f>"295"</f>
        <v>295</v>
      </c>
      <c r="B299" t="str">
        <f t="shared" si="14"/>
        <v>1</v>
      </c>
      <c r="C299" t="str">
        <f t="shared" si="16"/>
        <v>6</v>
      </c>
      <c r="D299" t="str">
        <f>"45"</f>
        <v>45</v>
      </c>
      <c r="E299" t="str">
        <f>"1-6-45"</f>
        <v>1-6-45</v>
      </c>
      <c r="F299" t="s">
        <v>65</v>
      </c>
      <c r="G299" t="s">
        <v>66</v>
      </c>
      <c r="H299" t="s">
        <v>67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1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</row>
    <row r="300" spans="1:39" x14ac:dyDescent="0.2">
      <c r="A300" t="str">
        <f>"296"</f>
        <v>296</v>
      </c>
      <c r="B300" t="str">
        <f t="shared" si="14"/>
        <v>1</v>
      </c>
      <c r="C300" t="str">
        <f t="shared" si="16"/>
        <v>6</v>
      </c>
      <c r="D300" t="str">
        <f>"29"</f>
        <v>29</v>
      </c>
      <c r="E300" t="str">
        <f>"1-6-29"</f>
        <v>1-6-29</v>
      </c>
      <c r="F300" t="s">
        <v>65</v>
      </c>
      <c r="G300" t="s">
        <v>66</v>
      </c>
      <c r="H300" t="s">
        <v>67</v>
      </c>
      <c r="S300">
        <v>0</v>
      </c>
      <c r="T300">
        <v>1</v>
      </c>
      <c r="U300">
        <v>0</v>
      </c>
      <c r="V300">
        <v>0</v>
      </c>
      <c r="W300">
        <v>1</v>
      </c>
      <c r="X300">
        <v>0</v>
      </c>
      <c r="Y300">
        <v>0</v>
      </c>
      <c r="Z300">
        <v>1</v>
      </c>
      <c r="AA300">
        <v>1</v>
      </c>
      <c r="AB300">
        <v>0</v>
      </c>
      <c r="AC300">
        <v>0</v>
      </c>
      <c r="AD300">
        <v>1</v>
      </c>
      <c r="AE300">
        <v>1</v>
      </c>
      <c r="AF300">
        <v>1</v>
      </c>
      <c r="AG300">
        <v>1</v>
      </c>
      <c r="AH300">
        <v>1</v>
      </c>
      <c r="AI300">
        <v>1</v>
      </c>
      <c r="AJ300">
        <v>1</v>
      </c>
      <c r="AK300">
        <v>1</v>
      </c>
      <c r="AL300">
        <v>1</v>
      </c>
      <c r="AM300">
        <v>1</v>
      </c>
    </row>
    <row r="301" spans="1:39" x14ac:dyDescent="0.2">
      <c r="A301" t="str">
        <f>"297"</f>
        <v>297</v>
      </c>
      <c r="B301" t="str">
        <f t="shared" si="14"/>
        <v>1</v>
      </c>
      <c r="C301" t="str">
        <f t="shared" si="16"/>
        <v>6</v>
      </c>
      <c r="D301" t="str">
        <f>"8"</f>
        <v>8</v>
      </c>
      <c r="E301" t="str">
        <f>"1-6-8"</f>
        <v>1-6-8</v>
      </c>
      <c r="F301" t="s">
        <v>65</v>
      </c>
      <c r="G301" t="s">
        <v>66</v>
      </c>
      <c r="H301" t="s">
        <v>67</v>
      </c>
      <c r="S301">
        <v>0</v>
      </c>
      <c r="T301">
        <v>1</v>
      </c>
      <c r="U301">
        <v>0</v>
      </c>
      <c r="V301">
        <v>0</v>
      </c>
      <c r="W301">
        <v>1</v>
      </c>
      <c r="X301">
        <v>0</v>
      </c>
      <c r="Y301">
        <v>0</v>
      </c>
      <c r="Z301">
        <v>1</v>
      </c>
      <c r="AA301">
        <v>0</v>
      </c>
      <c r="AB301">
        <v>0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</row>
    <row r="302" spans="1:39" x14ac:dyDescent="0.2">
      <c r="A302" t="str">
        <f>"298"</f>
        <v>298</v>
      </c>
      <c r="B302" t="str">
        <f t="shared" si="14"/>
        <v>1</v>
      </c>
      <c r="C302" t="str">
        <f t="shared" si="16"/>
        <v>6</v>
      </c>
      <c r="D302" t="str">
        <f>"46"</f>
        <v>46</v>
      </c>
      <c r="E302" t="str">
        <f>"1-6-46"</f>
        <v>1-6-46</v>
      </c>
      <c r="F302" t="s">
        <v>65</v>
      </c>
      <c r="G302" t="s">
        <v>66</v>
      </c>
      <c r="H302" t="s">
        <v>67</v>
      </c>
      <c r="S302">
        <v>1</v>
      </c>
      <c r="T302">
        <v>0</v>
      </c>
      <c r="U302">
        <v>0</v>
      </c>
      <c r="V302">
        <v>0</v>
      </c>
      <c r="W302">
        <v>1</v>
      </c>
      <c r="X302">
        <v>0</v>
      </c>
      <c r="Y302">
        <v>1</v>
      </c>
      <c r="Z302">
        <v>0</v>
      </c>
      <c r="AA302">
        <v>0</v>
      </c>
      <c r="AB302">
        <v>0</v>
      </c>
      <c r="AC302">
        <v>1</v>
      </c>
      <c r="AD302">
        <v>1</v>
      </c>
      <c r="AE302">
        <v>1</v>
      </c>
      <c r="AF302">
        <v>1</v>
      </c>
      <c r="AG302">
        <v>1</v>
      </c>
      <c r="AH302">
        <v>0</v>
      </c>
      <c r="AI302">
        <v>1</v>
      </c>
      <c r="AJ302">
        <v>1</v>
      </c>
      <c r="AK302">
        <v>1</v>
      </c>
      <c r="AL302">
        <v>1</v>
      </c>
      <c r="AM302">
        <v>1</v>
      </c>
    </row>
    <row r="303" spans="1:39" x14ac:dyDescent="0.2">
      <c r="A303" t="str">
        <f>"299"</f>
        <v>299</v>
      </c>
      <c r="B303" t="str">
        <f t="shared" si="14"/>
        <v>1</v>
      </c>
      <c r="C303" t="str">
        <f t="shared" si="16"/>
        <v>6</v>
      </c>
      <c r="D303" t="str">
        <f>"30"</f>
        <v>30</v>
      </c>
      <c r="E303" t="str">
        <f>"1-6-30"</f>
        <v>1-6-30</v>
      </c>
      <c r="F303" t="s">
        <v>65</v>
      </c>
      <c r="G303" t="s">
        <v>66</v>
      </c>
      <c r="H303" t="s">
        <v>67</v>
      </c>
      <c r="S303">
        <v>0</v>
      </c>
      <c r="T303">
        <v>1</v>
      </c>
      <c r="U303">
        <v>0</v>
      </c>
      <c r="V303">
        <v>0</v>
      </c>
      <c r="W303">
        <v>1</v>
      </c>
      <c r="X303">
        <v>0</v>
      </c>
      <c r="Y303">
        <v>0</v>
      </c>
      <c r="Z303">
        <v>1</v>
      </c>
      <c r="AA303">
        <v>1</v>
      </c>
      <c r="AB303">
        <v>0</v>
      </c>
      <c r="AC303">
        <v>0</v>
      </c>
      <c r="AD303">
        <v>1</v>
      </c>
      <c r="AE303">
        <v>1</v>
      </c>
      <c r="AF303">
        <v>1</v>
      </c>
      <c r="AG303">
        <v>1</v>
      </c>
      <c r="AH303">
        <v>1</v>
      </c>
      <c r="AI303">
        <v>1</v>
      </c>
      <c r="AJ303">
        <v>1</v>
      </c>
      <c r="AK303">
        <v>1</v>
      </c>
      <c r="AL303">
        <v>1</v>
      </c>
      <c r="AM303">
        <v>1</v>
      </c>
    </row>
    <row r="304" spans="1:39" x14ac:dyDescent="0.2">
      <c r="A304" t="str">
        <f>"300"</f>
        <v>300</v>
      </c>
      <c r="B304" t="str">
        <f t="shared" si="14"/>
        <v>1</v>
      </c>
      <c r="C304" t="str">
        <f t="shared" si="16"/>
        <v>6</v>
      </c>
      <c r="D304" t="str">
        <f>"13"</f>
        <v>13</v>
      </c>
      <c r="E304" t="str">
        <f>"1-6-13"</f>
        <v>1-6-13</v>
      </c>
      <c r="F304" t="s">
        <v>65</v>
      </c>
      <c r="G304" t="s">
        <v>66</v>
      </c>
      <c r="H304" t="s">
        <v>67</v>
      </c>
      <c r="S304">
        <v>0</v>
      </c>
      <c r="T304">
        <v>1</v>
      </c>
      <c r="U304">
        <v>0</v>
      </c>
      <c r="V304">
        <v>0</v>
      </c>
      <c r="W304">
        <v>1</v>
      </c>
      <c r="X304">
        <v>0</v>
      </c>
      <c r="Y304">
        <v>1</v>
      </c>
      <c r="Z304">
        <v>0</v>
      </c>
      <c r="AA304">
        <v>0</v>
      </c>
      <c r="AB304">
        <v>0</v>
      </c>
      <c r="AC304">
        <v>1</v>
      </c>
      <c r="AD304">
        <v>1</v>
      </c>
      <c r="AE304">
        <v>1</v>
      </c>
      <c r="AF304">
        <v>0</v>
      </c>
      <c r="AG304">
        <v>1</v>
      </c>
      <c r="AH304">
        <v>1</v>
      </c>
      <c r="AI304">
        <v>1</v>
      </c>
      <c r="AJ304">
        <v>1</v>
      </c>
      <c r="AK304">
        <v>1</v>
      </c>
      <c r="AL304">
        <v>1</v>
      </c>
      <c r="AM304">
        <v>1</v>
      </c>
    </row>
    <row r="305" spans="1:39" x14ac:dyDescent="0.2">
      <c r="A305" t="str">
        <f>"301"</f>
        <v>301</v>
      </c>
      <c r="B305" t="str">
        <f t="shared" si="14"/>
        <v>1</v>
      </c>
      <c r="C305" t="str">
        <f t="shared" ref="C305:C336" si="17">"7"</f>
        <v>7</v>
      </c>
      <c r="D305" t="str">
        <f>"48"</f>
        <v>48</v>
      </c>
      <c r="E305" t="str">
        <f>"1-7-48"</f>
        <v>1-7-48</v>
      </c>
      <c r="F305" t="s">
        <v>65</v>
      </c>
      <c r="G305" t="s">
        <v>66</v>
      </c>
      <c r="H305" t="s">
        <v>67</v>
      </c>
      <c r="S305">
        <v>0</v>
      </c>
      <c r="T305">
        <v>1</v>
      </c>
      <c r="U305">
        <v>0</v>
      </c>
      <c r="V305">
        <v>0</v>
      </c>
      <c r="W305">
        <v>0</v>
      </c>
      <c r="X305">
        <v>1</v>
      </c>
      <c r="Y305">
        <v>0</v>
      </c>
      <c r="Z305">
        <v>1</v>
      </c>
      <c r="AA305">
        <v>0</v>
      </c>
      <c r="AB305">
        <v>1</v>
      </c>
      <c r="AC305">
        <v>0</v>
      </c>
      <c r="AD305">
        <v>1</v>
      </c>
      <c r="AE305">
        <v>1</v>
      </c>
      <c r="AF305">
        <v>1</v>
      </c>
      <c r="AG305">
        <v>1</v>
      </c>
      <c r="AH305">
        <v>1</v>
      </c>
      <c r="AI305">
        <v>1</v>
      </c>
      <c r="AJ305">
        <v>1</v>
      </c>
      <c r="AK305">
        <v>1</v>
      </c>
      <c r="AL305">
        <v>1</v>
      </c>
      <c r="AM305">
        <v>1</v>
      </c>
    </row>
    <row r="306" spans="1:39" x14ac:dyDescent="0.2">
      <c r="A306" t="str">
        <f>"302"</f>
        <v>302</v>
      </c>
      <c r="B306" t="str">
        <f t="shared" si="14"/>
        <v>1</v>
      </c>
      <c r="C306" t="str">
        <f t="shared" si="17"/>
        <v>7</v>
      </c>
      <c r="D306" t="str">
        <f>"47"</f>
        <v>47</v>
      </c>
      <c r="E306" t="str">
        <f>"1-7-47"</f>
        <v>1-7-47</v>
      </c>
      <c r="F306" t="s">
        <v>65</v>
      </c>
      <c r="G306" t="s">
        <v>66</v>
      </c>
      <c r="H306" t="s">
        <v>67</v>
      </c>
      <c r="S306">
        <v>0</v>
      </c>
      <c r="T306">
        <v>1</v>
      </c>
      <c r="U306">
        <v>0</v>
      </c>
      <c r="V306">
        <v>0</v>
      </c>
      <c r="W306">
        <v>1</v>
      </c>
      <c r="X306">
        <v>0</v>
      </c>
      <c r="Y306">
        <v>1</v>
      </c>
      <c r="Z306">
        <v>0</v>
      </c>
      <c r="AA306">
        <v>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</v>
      </c>
      <c r="AH306">
        <v>0</v>
      </c>
      <c r="AI306">
        <v>1</v>
      </c>
      <c r="AJ306">
        <v>1</v>
      </c>
      <c r="AK306">
        <v>1</v>
      </c>
      <c r="AL306">
        <v>1</v>
      </c>
      <c r="AM306">
        <v>1</v>
      </c>
    </row>
    <row r="307" spans="1:39" x14ac:dyDescent="0.2">
      <c r="A307" t="str">
        <f>"303"</f>
        <v>303</v>
      </c>
      <c r="B307" t="str">
        <f t="shared" si="14"/>
        <v>1</v>
      </c>
      <c r="C307" t="str">
        <f t="shared" si="17"/>
        <v>7</v>
      </c>
      <c r="D307" t="str">
        <f>"32"</f>
        <v>32</v>
      </c>
      <c r="E307" t="str">
        <f>"1-7-32"</f>
        <v>1-7-32</v>
      </c>
      <c r="F307" t="s">
        <v>65</v>
      </c>
      <c r="G307" t="s">
        <v>66</v>
      </c>
      <c r="H307" t="s">
        <v>67</v>
      </c>
      <c r="S307">
        <v>1</v>
      </c>
      <c r="T307">
        <v>0</v>
      </c>
      <c r="U307">
        <v>0</v>
      </c>
      <c r="V307">
        <v>0</v>
      </c>
      <c r="W307">
        <v>1</v>
      </c>
      <c r="X307">
        <v>0</v>
      </c>
      <c r="Y307">
        <v>0</v>
      </c>
      <c r="Z307">
        <v>1</v>
      </c>
      <c r="AA307">
        <v>0</v>
      </c>
      <c r="AB307">
        <v>0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</row>
    <row r="308" spans="1:39" x14ac:dyDescent="0.2">
      <c r="A308" t="str">
        <f>"304"</f>
        <v>304</v>
      </c>
      <c r="B308" t="str">
        <f t="shared" si="14"/>
        <v>1</v>
      </c>
      <c r="C308" t="str">
        <f t="shared" si="17"/>
        <v>7</v>
      </c>
      <c r="D308" t="str">
        <f>"31"</f>
        <v>31</v>
      </c>
      <c r="E308" t="str">
        <f>"1-7-31"</f>
        <v>1-7-31</v>
      </c>
      <c r="F308" t="s">
        <v>65</v>
      </c>
      <c r="G308" t="s">
        <v>66</v>
      </c>
      <c r="H308" t="s">
        <v>67</v>
      </c>
      <c r="S308">
        <v>0</v>
      </c>
      <c r="T308">
        <v>1</v>
      </c>
      <c r="U308">
        <v>0</v>
      </c>
      <c r="V308">
        <v>0</v>
      </c>
      <c r="W308">
        <v>1</v>
      </c>
      <c r="X308">
        <v>0</v>
      </c>
      <c r="Y308">
        <v>1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1</v>
      </c>
      <c r="AF308">
        <v>1</v>
      </c>
      <c r="AG308">
        <v>1</v>
      </c>
      <c r="AH308">
        <v>1</v>
      </c>
      <c r="AI308">
        <v>1</v>
      </c>
      <c r="AJ308">
        <v>1</v>
      </c>
      <c r="AK308">
        <v>1</v>
      </c>
      <c r="AL308">
        <v>1</v>
      </c>
      <c r="AM308">
        <v>1</v>
      </c>
    </row>
    <row r="309" spans="1:39" x14ac:dyDescent="0.2">
      <c r="A309" t="str">
        <f>"305"</f>
        <v>305</v>
      </c>
      <c r="B309" t="str">
        <f t="shared" si="14"/>
        <v>1</v>
      </c>
      <c r="C309" t="str">
        <f t="shared" si="17"/>
        <v>7</v>
      </c>
      <c r="D309" t="str">
        <f>"21"</f>
        <v>21</v>
      </c>
      <c r="E309" t="str">
        <f>"1-7-21"</f>
        <v>1-7-21</v>
      </c>
      <c r="F309" t="s">
        <v>65</v>
      </c>
      <c r="G309" t="s">
        <v>66</v>
      </c>
      <c r="H309" t="s">
        <v>67</v>
      </c>
      <c r="S309">
        <v>1</v>
      </c>
      <c r="T309">
        <v>0</v>
      </c>
      <c r="U309">
        <v>0</v>
      </c>
      <c r="V309">
        <v>0</v>
      </c>
      <c r="W309">
        <v>1</v>
      </c>
      <c r="X309">
        <v>0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0</v>
      </c>
      <c r="AE309">
        <v>1</v>
      </c>
      <c r="AF309">
        <v>1</v>
      </c>
      <c r="AG309">
        <v>1</v>
      </c>
      <c r="AH309">
        <v>1</v>
      </c>
      <c r="AI309">
        <v>0</v>
      </c>
      <c r="AJ309">
        <v>1</v>
      </c>
      <c r="AK309">
        <v>1</v>
      </c>
      <c r="AL309">
        <v>1</v>
      </c>
      <c r="AM309">
        <v>1</v>
      </c>
    </row>
    <row r="310" spans="1:39" x14ac:dyDescent="0.2">
      <c r="A310" t="str">
        <f>"306"</f>
        <v>306</v>
      </c>
      <c r="B310" t="str">
        <f t="shared" si="14"/>
        <v>1</v>
      </c>
      <c r="C310" t="str">
        <f t="shared" si="17"/>
        <v>7</v>
      </c>
      <c r="D310" t="str">
        <f>"15"</f>
        <v>15</v>
      </c>
      <c r="E310" t="str">
        <f>"1-7-15"</f>
        <v>1-7-15</v>
      </c>
      <c r="F310" t="s">
        <v>65</v>
      </c>
      <c r="G310" t="s">
        <v>66</v>
      </c>
      <c r="H310" t="s">
        <v>67</v>
      </c>
      <c r="S310">
        <v>1</v>
      </c>
      <c r="T310">
        <v>0</v>
      </c>
      <c r="U310">
        <v>0</v>
      </c>
      <c r="V310">
        <v>0</v>
      </c>
      <c r="W310">
        <v>1</v>
      </c>
      <c r="X310">
        <v>0</v>
      </c>
      <c r="Y310">
        <v>1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1</v>
      </c>
      <c r="AF310">
        <v>1</v>
      </c>
      <c r="AG310">
        <v>1</v>
      </c>
      <c r="AH310">
        <v>1</v>
      </c>
      <c r="AI310">
        <v>1</v>
      </c>
      <c r="AJ310">
        <v>1</v>
      </c>
      <c r="AK310">
        <v>1</v>
      </c>
      <c r="AL310">
        <v>0</v>
      </c>
      <c r="AM310">
        <v>1</v>
      </c>
    </row>
    <row r="311" spans="1:39" x14ac:dyDescent="0.2">
      <c r="A311" t="str">
        <f>"307"</f>
        <v>307</v>
      </c>
      <c r="B311" t="str">
        <f t="shared" ref="B311:B374" si="18">"1"</f>
        <v>1</v>
      </c>
      <c r="C311" t="str">
        <f t="shared" si="17"/>
        <v>7</v>
      </c>
      <c r="D311" t="str">
        <f>"3"</f>
        <v>3</v>
      </c>
      <c r="E311" t="str">
        <f>"1-7-3"</f>
        <v>1-7-3</v>
      </c>
      <c r="F311" t="s">
        <v>65</v>
      </c>
      <c r="G311" t="s">
        <v>66</v>
      </c>
      <c r="H311" t="s">
        <v>67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1</v>
      </c>
      <c r="Y311">
        <v>0</v>
      </c>
      <c r="Z311">
        <v>1</v>
      </c>
      <c r="AA311">
        <v>0</v>
      </c>
      <c r="AB311">
        <v>0</v>
      </c>
      <c r="AC311">
        <v>1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</row>
    <row r="312" spans="1:39" x14ac:dyDescent="0.2">
      <c r="A312" t="str">
        <f>"308"</f>
        <v>308</v>
      </c>
      <c r="B312" t="str">
        <f t="shared" si="18"/>
        <v>1</v>
      </c>
      <c r="C312" t="str">
        <f t="shared" si="17"/>
        <v>7</v>
      </c>
      <c r="D312" t="str">
        <f>"34"</f>
        <v>34</v>
      </c>
      <c r="E312" t="str">
        <f>"1-7-34"</f>
        <v>1-7-34</v>
      </c>
      <c r="F312" t="s">
        <v>65</v>
      </c>
      <c r="G312" t="s">
        <v>66</v>
      </c>
      <c r="H312" t="s">
        <v>67</v>
      </c>
      <c r="S312">
        <v>1</v>
      </c>
      <c r="T312">
        <v>0</v>
      </c>
      <c r="U312">
        <v>0</v>
      </c>
      <c r="V312">
        <v>0</v>
      </c>
      <c r="W312">
        <v>1</v>
      </c>
      <c r="X312">
        <v>0</v>
      </c>
      <c r="Y312">
        <v>0</v>
      </c>
      <c r="Z312">
        <v>1</v>
      </c>
      <c r="AA312">
        <v>0</v>
      </c>
      <c r="AB312">
        <v>0</v>
      </c>
      <c r="AC312">
        <v>1</v>
      </c>
      <c r="AD312">
        <v>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1</v>
      </c>
      <c r="AM312">
        <v>1</v>
      </c>
    </row>
    <row r="313" spans="1:39" x14ac:dyDescent="0.2">
      <c r="A313" t="str">
        <f>"309"</f>
        <v>309</v>
      </c>
      <c r="B313" t="str">
        <f t="shared" si="18"/>
        <v>1</v>
      </c>
      <c r="C313" t="str">
        <f t="shared" si="17"/>
        <v>7</v>
      </c>
      <c r="D313" t="str">
        <f>"33"</f>
        <v>33</v>
      </c>
      <c r="E313" t="str">
        <f>"1-7-33"</f>
        <v>1-7-33</v>
      </c>
      <c r="F313" t="s">
        <v>65</v>
      </c>
      <c r="G313" t="s">
        <v>66</v>
      </c>
      <c r="H313" t="s">
        <v>67</v>
      </c>
      <c r="S313">
        <v>1</v>
      </c>
      <c r="T313">
        <v>0</v>
      </c>
      <c r="U313">
        <v>0</v>
      </c>
      <c r="V313">
        <v>0</v>
      </c>
      <c r="W313">
        <v>1</v>
      </c>
      <c r="X313">
        <v>0</v>
      </c>
      <c r="Y313">
        <v>0</v>
      </c>
      <c r="Z313">
        <v>1</v>
      </c>
      <c r="AA313">
        <v>0</v>
      </c>
      <c r="AB313">
        <v>0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AM313">
        <v>1</v>
      </c>
    </row>
    <row r="314" spans="1:39" x14ac:dyDescent="0.2">
      <c r="A314" t="str">
        <f>"310"</f>
        <v>310</v>
      </c>
      <c r="B314" t="str">
        <f t="shared" si="18"/>
        <v>1</v>
      </c>
      <c r="C314" t="str">
        <f t="shared" si="17"/>
        <v>7</v>
      </c>
      <c r="D314" t="str">
        <f>"24"</f>
        <v>24</v>
      </c>
      <c r="E314" t="str">
        <f>"1-7-24"</f>
        <v>1-7-24</v>
      </c>
      <c r="F314" t="s">
        <v>65</v>
      </c>
      <c r="G314" t="s">
        <v>66</v>
      </c>
      <c r="H314" t="s">
        <v>67</v>
      </c>
      <c r="S314">
        <v>1</v>
      </c>
      <c r="T314">
        <v>0</v>
      </c>
      <c r="U314">
        <v>0</v>
      </c>
      <c r="V314">
        <v>0</v>
      </c>
      <c r="W314">
        <v>1</v>
      </c>
      <c r="X314">
        <v>0</v>
      </c>
      <c r="Y314">
        <v>1</v>
      </c>
      <c r="Z314">
        <v>0</v>
      </c>
      <c r="AA314">
        <v>0</v>
      </c>
      <c r="AB314">
        <v>1</v>
      </c>
      <c r="AC314">
        <v>0</v>
      </c>
      <c r="AD314">
        <v>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  <c r="AL314">
        <v>1</v>
      </c>
      <c r="AM314">
        <v>1</v>
      </c>
    </row>
    <row r="315" spans="1:39" x14ac:dyDescent="0.2">
      <c r="A315" t="str">
        <f>"311"</f>
        <v>311</v>
      </c>
      <c r="B315" t="str">
        <f t="shared" si="18"/>
        <v>1</v>
      </c>
      <c r="C315" t="str">
        <f t="shared" si="17"/>
        <v>7</v>
      </c>
      <c r="D315" t="str">
        <f>"16"</f>
        <v>16</v>
      </c>
      <c r="E315" t="str">
        <f>"1-7-16"</f>
        <v>1-7-16</v>
      </c>
      <c r="F315" t="s">
        <v>65</v>
      </c>
      <c r="G315" t="s">
        <v>66</v>
      </c>
      <c r="H315" t="s">
        <v>67</v>
      </c>
      <c r="S315">
        <v>1</v>
      </c>
      <c r="T315">
        <v>0</v>
      </c>
      <c r="U315">
        <v>0</v>
      </c>
      <c r="V315">
        <v>0</v>
      </c>
      <c r="W315">
        <v>0</v>
      </c>
      <c r="X315">
        <v>1</v>
      </c>
      <c r="Y315">
        <v>1</v>
      </c>
      <c r="Z315">
        <v>0</v>
      </c>
      <c r="AA315">
        <v>0</v>
      </c>
      <c r="AB315">
        <v>1</v>
      </c>
      <c r="AC315">
        <v>0</v>
      </c>
      <c r="AD315">
        <v>1</v>
      </c>
      <c r="AE315">
        <v>1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1</v>
      </c>
      <c r="AL315">
        <v>1</v>
      </c>
      <c r="AM315">
        <v>1</v>
      </c>
    </row>
    <row r="316" spans="1:39" x14ac:dyDescent="0.2">
      <c r="A316" t="str">
        <f>"312"</f>
        <v>312</v>
      </c>
      <c r="B316" t="str">
        <f t="shared" si="18"/>
        <v>1</v>
      </c>
      <c r="C316" t="str">
        <f t="shared" si="17"/>
        <v>7</v>
      </c>
      <c r="D316" t="str">
        <f>"2"</f>
        <v>2</v>
      </c>
      <c r="E316" t="str">
        <f>"1-7-2"</f>
        <v>1-7-2</v>
      </c>
      <c r="F316" t="s">
        <v>65</v>
      </c>
      <c r="G316" t="s">
        <v>66</v>
      </c>
      <c r="H316" t="s">
        <v>67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1</v>
      </c>
      <c r="Y316">
        <v>1</v>
      </c>
      <c r="Z316">
        <v>0</v>
      </c>
      <c r="AA316">
        <v>0</v>
      </c>
      <c r="AB316">
        <v>1</v>
      </c>
      <c r="AC316">
        <v>0</v>
      </c>
      <c r="AD316">
        <v>1</v>
      </c>
      <c r="AE316">
        <v>1</v>
      </c>
      <c r="AF316">
        <v>1</v>
      </c>
      <c r="AG316">
        <v>1</v>
      </c>
      <c r="AH316">
        <v>1</v>
      </c>
      <c r="AI316">
        <v>1</v>
      </c>
      <c r="AJ316">
        <v>1</v>
      </c>
      <c r="AK316">
        <v>1</v>
      </c>
      <c r="AL316">
        <v>1</v>
      </c>
      <c r="AM316">
        <v>1</v>
      </c>
    </row>
    <row r="317" spans="1:39" x14ac:dyDescent="0.2">
      <c r="A317" t="str">
        <f>"313"</f>
        <v>313</v>
      </c>
      <c r="B317" t="str">
        <f t="shared" si="18"/>
        <v>1</v>
      </c>
      <c r="C317" t="str">
        <f t="shared" si="17"/>
        <v>7</v>
      </c>
      <c r="D317" t="str">
        <f>"50"</f>
        <v>50</v>
      </c>
      <c r="E317" t="str">
        <f>"1-7-50"</f>
        <v>1-7-50</v>
      </c>
      <c r="F317" t="s">
        <v>65</v>
      </c>
      <c r="G317" t="s">
        <v>66</v>
      </c>
      <c r="H317" t="s">
        <v>67</v>
      </c>
      <c r="S317">
        <v>1</v>
      </c>
      <c r="T317">
        <v>0</v>
      </c>
      <c r="U317">
        <v>0</v>
      </c>
      <c r="V317">
        <v>0</v>
      </c>
      <c r="W317">
        <v>1</v>
      </c>
      <c r="X317">
        <v>0</v>
      </c>
      <c r="Y317">
        <v>0</v>
      </c>
      <c r="Z317">
        <v>1</v>
      </c>
      <c r="AA317">
        <v>1</v>
      </c>
      <c r="AB317">
        <v>0</v>
      </c>
      <c r="AC317">
        <v>0</v>
      </c>
      <c r="AD317">
        <v>1</v>
      </c>
      <c r="AE317">
        <v>1</v>
      </c>
      <c r="AF317">
        <v>1</v>
      </c>
      <c r="AG317">
        <v>1</v>
      </c>
      <c r="AH317">
        <v>1</v>
      </c>
      <c r="AI317">
        <v>1</v>
      </c>
      <c r="AJ317">
        <v>1</v>
      </c>
      <c r="AK317">
        <v>1</v>
      </c>
      <c r="AL317">
        <v>1</v>
      </c>
      <c r="AM317">
        <v>1</v>
      </c>
    </row>
    <row r="318" spans="1:39" x14ac:dyDescent="0.2">
      <c r="A318" t="str">
        <f>"314"</f>
        <v>314</v>
      </c>
      <c r="B318" t="str">
        <f t="shared" si="18"/>
        <v>1</v>
      </c>
      <c r="C318" t="str">
        <f t="shared" si="17"/>
        <v>7</v>
      </c>
      <c r="D318" t="str">
        <f>"49"</f>
        <v>49</v>
      </c>
      <c r="E318" t="str">
        <f>"1-7-49"</f>
        <v>1-7-49</v>
      </c>
      <c r="F318" t="s">
        <v>65</v>
      </c>
      <c r="G318" t="s">
        <v>66</v>
      </c>
      <c r="H318" t="s">
        <v>67</v>
      </c>
      <c r="S318">
        <v>1</v>
      </c>
      <c r="T318">
        <v>0</v>
      </c>
      <c r="U318">
        <v>0</v>
      </c>
      <c r="V318">
        <v>0</v>
      </c>
      <c r="W318">
        <v>1</v>
      </c>
      <c r="X318">
        <v>0</v>
      </c>
      <c r="Y318">
        <v>1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1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1</v>
      </c>
      <c r="AL318">
        <v>1</v>
      </c>
      <c r="AM318">
        <v>1</v>
      </c>
    </row>
    <row r="319" spans="1:39" x14ac:dyDescent="0.2">
      <c r="A319" t="str">
        <f>"315"</f>
        <v>315</v>
      </c>
      <c r="B319" t="str">
        <f t="shared" si="18"/>
        <v>1</v>
      </c>
      <c r="C319" t="str">
        <f t="shared" si="17"/>
        <v>7</v>
      </c>
      <c r="D319" t="str">
        <f>"36"</f>
        <v>36</v>
      </c>
      <c r="E319" t="str">
        <f>"1-7-36"</f>
        <v>1-7-36</v>
      </c>
      <c r="F319" t="s">
        <v>65</v>
      </c>
      <c r="G319" t="s">
        <v>66</v>
      </c>
      <c r="H319" t="s">
        <v>67</v>
      </c>
      <c r="S319">
        <v>1</v>
      </c>
      <c r="T319">
        <v>0</v>
      </c>
      <c r="U319">
        <v>0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</row>
    <row r="320" spans="1:39" x14ac:dyDescent="0.2">
      <c r="A320" t="str">
        <f>"316"</f>
        <v>316</v>
      </c>
      <c r="B320" t="str">
        <f t="shared" si="18"/>
        <v>1</v>
      </c>
      <c r="C320" t="str">
        <f t="shared" si="17"/>
        <v>7</v>
      </c>
      <c r="D320" t="str">
        <f>"17"</f>
        <v>17</v>
      </c>
      <c r="E320" t="str">
        <f>"1-7-17"</f>
        <v>1-7-17</v>
      </c>
      <c r="F320" t="s">
        <v>65</v>
      </c>
      <c r="G320" t="s">
        <v>66</v>
      </c>
      <c r="H320" t="s">
        <v>67</v>
      </c>
      <c r="S320">
        <v>0</v>
      </c>
      <c r="T320">
        <v>1</v>
      </c>
      <c r="U320">
        <v>0</v>
      </c>
      <c r="V320">
        <v>0</v>
      </c>
      <c r="W320">
        <v>0</v>
      </c>
      <c r="X320">
        <v>1</v>
      </c>
      <c r="Y320">
        <v>0</v>
      </c>
      <c r="Z320">
        <v>1</v>
      </c>
      <c r="AA320">
        <v>1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</row>
    <row r="321" spans="1:39" x14ac:dyDescent="0.2">
      <c r="A321" t="str">
        <f>"317"</f>
        <v>317</v>
      </c>
      <c r="B321" t="str">
        <f t="shared" si="18"/>
        <v>1</v>
      </c>
      <c r="C321" t="str">
        <f t="shared" si="17"/>
        <v>7</v>
      </c>
      <c r="D321" t="str">
        <f>"4"</f>
        <v>4</v>
      </c>
      <c r="E321" t="str">
        <f>"1-7-4"</f>
        <v>1-7-4</v>
      </c>
      <c r="F321" t="s">
        <v>65</v>
      </c>
      <c r="G321" t="s">
        <v>66</v>
      </c>
      <c r="H321" t="s">
        <v>67</v>
      </c>
      <c r="S321">
        <v>1</v>
      </c>
      <c r="T321">
        <v>0</v>
      </c>
      <c r="U321">
        <v>0</v>
      </c>
      <c r="V321">
        <v>0</v>
      </c>
      <c r="W321">
        <v>1</v>
      </c>
      <c r="X321">
        <v>0</v>
      </c>
      <c r="Y321">
        <v>0</v>
      </c>
      <c r="Z321">
        <v>1</v>
      </c>
      <c r="AA321">
        <v>0</v>
      </c>
      <c r="AB321">
        <v>0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</row>
    <row r="322" spans="1:39" x14ac:dyDescent="0.2">
      <c r="A322" t="str">
        <f>"318"</f>
        <v>318</v>
      </c>
      <c r="B322" t="str">
        <f t="shared" si="18"/>
        <v>1</v>
      </c>
      <c r="C322" t="str">
        <f t="shared" si="17"/>
        <v>7</v>
      </c>
      <c r="D322" t="str">
        <f>"35"</f>
        <v>35</v>
      </c>
      <c r="E322" t="str">
        <f>"1-7-35"</f>
        <v>1-7-35</v>
      </c>
      <c r="F322" t="s">
        <v>65</v>
      </c>
      <c r="G322" t="s">
        <v>66</v>
      </c>
      <c r="H322" t="s">
        <v>67</v>
      </c>
      <c r="S322">
        <v>1</v>
      </c>
      <c r="T322">
        <v>0</v>
      </c>
      <c r="U322">
        <v>0</v>
      </c>
      <c r="V322">
        <v>0</v>
      </c>
      <c r="W322">
        <v>1</v>
      </c>
      <c r="X322">
        <v>0</v>
      </c>
      <c r="Y322">
        <v>0</v>
      </c>
      <c r="Z322">
        <v>1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</row>
    <row r="323" spans="1:39" x14ac:dyDescent="0.2">
      <c r="A323" t="str">
        <f>"319"</f>
        <v>319</v>
      </c>
      <c r="B323" t="str">
        <f t="shared" si="18"/>
        <v>1</v>
      </c>
      <c r="C323" t="str">
        <f t="shared" si="17"/>
        <v>7</v>
      </c>
      <c r="D323" t="str">
        <f>"18"</f>
        <v>18</v>
      </c>
      <c r="E323" t="str">
        <f>"1-7-18"</f>
        <v>1-7-18</v>
      </c>
      <c r="F323" t="s">
        <v>65</v>
      </c>
      <c r="G323" t="s">
        <v>66</v>
      </c>
      <c r="H323" t="s">
        <v>67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1</v>
      </c>
      <c r="AI323">
        <v>1</v>
      </c>
      <c r="AJ323">
        <v>0</v>
      </c>
      <c r="AK323">
        <v>0</v>
      </c>
      <c r="AL323">
        <v>0</v>
      </c>
      <c r="AM323">
        <v>0</v>
      </c>
    </row>
    <row r="324" spans="1:39" x14ac:dyDescent="0.2">
      <c r="A324" t="str">
        <f>"320"</f>
        <v>320</v>
      </c>
      <c r="B324" t="str">
        <f t="shared" si="18"/>
        <v>1</v>
      </c>
      <c r="C324" t="str">
        <f t="shared" si="17"/>
        <v>7</v>
      </c>
      <c r="D324" t="str">
        <f>"13"</f>
        <v>13</v>
      </c>
      <c r="E324" t="str">
        <f>"1-7-13"</f>
        <v>1-7-13</v>
      </c>
      <c r="F324" t="s">
        <v>65</v>
      </c>
      <c r="G324" t="s">
        <v>66</v>
      </c>
      <c r="H324" t="s">
        <v>67</v>
      </c>
      <c r="S324">
        <v>1</v>
      </c>
      <c r="T324">
        <v>0</v>
      </c>
      <c r="U324">
        <v>0</v>
      </c>
      <c r="V324">
        <v>0</v>
      </c>
      <c r="W324">
        <v>1</v>
      </c>
      <c r="X324">
        <v>0</v>
      </c>
      <c r="Y324">
        <v>1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1</v>
      </c>
      <c r="AF324">
        <v>1</v>
      </c>
      <c r="AG324">
        <v>1</v>
      </c>
      <c r="AH324">
        <v>0</v>
      </c>
      <c r="AI324">
        <v>0</v>
      </c>
      <c r="AJ324">
        <v>0</v>
      </c>
      <c r="AK324">
        <v>1</v>
      </c>
      <c r="AL324">
        <v>1</v>
      </c>
      <c r="AM324">
        <v>0</v>
      </c>
    </row>
    <row r="325" spans="1:39" x14ac:dyDescent="0.2">
      <c r="A325" t="str">
        <f>"321"</f>
        <v>321</v>
      </c>
      <c r="B325" t="str">
        <f t="shared" si="18"/>
        <v>1</v>
      </c>
      <c r="C325" t="str">
        <f t="shared" si="17"/>
        <v>7</v>
      </c>
      <c r="D325" t="str">
        <f>"37"</f>
        <v>37</v>
      </c>
      <c r="E325" t="str">
        <f>"1-7-37"</f>
        <v>1-7-37</v>
      </c>
      <c r="F325" t="s">
        <v>65</v>
      </c>
      <c r="G325" t="s">
        <v>66</v>
      </c>
      <c r="H325" t="s">
        <v>67</v>
      </c>
      <c r="S325">
        <v>0</v>
      </c>
      <c r="T325">
        <v>1</v>
      </c>
      <c r="U325">
        <v>0</v>
      </c>
      <c r="V325">
        <v>0</v>
      </c>
      <c r="W325">
        <v>1</v>
      </c>
      <c r="X325">
        <v>0</v>
      </c>
      <c r="Y325">
        <v>1</v>
      </c>
      <c r="Z325">
        <v>0</v>
      </c>
      <c r="AA325">
        <v>0</v>
      </c>
      <c r="AB325">
        <v>1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</row>
    <row r="326" spans="1:39" x14ac:dyDescent="0.2">
      <c r="A326" t="str">
        <f>"322"</f>
        <v>322</v>
      </c>
      <c r="B326" t="str">
        <f t="shared" si="18"/>
        <v>1</v>
      </c>
      <c r="C326" t="str">
        <f t="shared" si="17"/>
        <v>7</v>
      </c>
      <c r="D326" t="str">
        <f>"19"</f>
        <v>19</v>
      </c>
      <c r="E326" t="str">
        <f>"1-7-19"</f>
        <v>1-7-19</v>
      </c>
      <c r="F326" t="s">
        <v>65</v>
      </c>
      <c r="G326" t="s">
        <v>66</v>
      </c>
      <c r="H326" t="s">
        <v>67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0</v>
      </c>
      <c r="AB326">
        <v>0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1</v>
      </c>
      <c r="AI326">
        <v>1</v>
      </c>
      <c r="AJ326">
        <v>1</v>
      </c>
      <c r="AK326">
        <v>1</v>
      </c>
      <c r="AL326">
        <v>1</v>
      </c>
      <c r="AM326">
        <v>1</v>
      </c>
    </row>
    <row r="327" spans="1:39" x14ac:dyDescent="0.2">
      <c r="A327" t="str">
        <f>"323"</f>
        <v>323</v>
      </c>
      <c r="B327" t="str">
        <f t="shared" si="18"/>
        <v>1</v>
      </c>
      <c r="C327" t="str">
        <f t="shared" si="17"/>
        <v>7</v>
      </c>
      <c r="D327" t="str">
        <f>"1"</f>
        <v>1</v>
      </c>
      <c r="E327" t="str">
        <f>"1-7-1"</f>
        <v>1-7-1</v>
      </c>
      <c r="F327" t="s">
        <v>65</v>
      </c>
      <c r="G327" t="s">
        <v>66</v>
      </c>
      <c r="H327" t="s">
        <v>67</v>
      </c>
      <c r="S327">
        <v>0</v>
      </c>
      <c r="T327">
        <v>1</v>
      </c>
      <c r="U327">
        <v>0</v>
      </c>
      <c r="V327">
        <v>0</v>
      </c>
      <c r="W327">
        <v>0</v>
      </c>
      <c r="X327">
        <v>1</v>
      </c>
      <c r="Y327">
        <v>0</v>
      </c>
      <c r="Z327">
        <v>1</v>
      </c>
      <c r="AA327">
        <v>0</v>
      </c>
      <c r="AB327">
        <v>0</v>
      </c>
      <c r="AC327">
        <v>1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M327">
        <v>1</v>
      </c>
    </row>
    <row r="328" spans="1:39" x14ac:dyDescent="0.2">
      <c r="A328" t="str">
        <f>"324"</f>
        <v>324</v>
      </c>
      <c r="B328" t="str">
        <f t="shared" si="18"/>
        <v>1</v>
      </c>
      <c r="C328" t="str">
        <f t="shared" si="17"/>
        <v>7</v>
      </c>
      <c r="D328" t="str">
        <f>"38"</f>
        <v>38</v>
      </c>
      <c r="E328" t="str">
        <f>"1-7-38"</f>
        <v>1-7-38</v>
      </c>
      <c r="F328" t="s">
        <v>65</v>
      </c>
      <c r="G328" t="s">
        <v>66</v>
      </c>
      <c r="H328" t="s">
        <v>67</v>
      </c>
      <c r="S328">
        <v>1</v>
      </c>
      <c r="T328">
        <v>0</v>
      </c>
      <c r="U328">
        <v>0</v>
      </c>
      <c r="V328">
        <v>0</v>
      </c>
      <c r="W328">
        <v>1</v>
      </c>
      <c r="X328">
        <v>0</v>
      </c>
      <c r="Y328">
        <v>1</v>
      </c>
      <c r="Z328">
        <v>0</v>
      </c>
      <c r="AA328">
        <v>0</v>
      </c>
      <c r="AB328">
        <v>0</v>
      </c>
      <c r="AC328">
        <v>1</v>
      </c>
      <c r="AD328">
        <v>1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1</v>
      </c>
      <c r="AM328">
        <v>1</v>
      </c>
    </row>
    <row r="329" spans="1:39" x14ac:dyDescent="0.2">
      <c r="A329" t="str">
        <f>"325"</f>
        <v>325</v>
      </c>
      <c r="B329" t="str">
        <f t="shared" si="18"/>
        <v>1</v>
      </c>
      <c r="C329" t="str">
        <f t="shared" si="17"/>
        <v>7</v>
      </c>
      <c r="D329" t="str">
        <f>"20"</f>
        <v>20</v>
      </c>
      <c r="E329" t="str">
        <f>"1-7-20"</f>
        <v>1-7-20</v>
      </c>
      <c r="F329" t="s">
        <v>65</v>
      </c>
      <c r="G329" t="s">
        <v>66</v>
      </c>
      <c r="H329" t="s">
        <v>67</v>
      </c>
      <c r="S329">
        <v>0</v>
      </c>
      <c r="T329">
        <v>1</v>
      </c>
      <c r="U329">
        <v>0</v>
      </c>
      <c r="V329">
        <v>0</v>
      </c>
      <c r="W329">
        <v>1</v>
      </c>
      <c r="X329">
        <v>0</v>
      </c>
      <c r="Y329">
        <v>1</v>
      </c>
      <c r="Z329">
        <v>0</v>
      </c>
      <c r="AA329">
        <v>1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</row>
    <row r="330" spans="1:39" x14ac:dyDescent="0.2">
      <c r="A330" t="str">
        <f>"326"</f>
        <v>326</v>
      </c>
      <c r="B330" t="str">
        <f t="shared" si="18"/>
        <v>1</v>
      </c>
      <c r="C330" t="str">
        <f t="shared" si="17"/>
        <v>7</v>
      </c>
      <c r="D330" t="str">
        <f>"6"</f>
        <v>6</v>
      </c>
      <c r="E330" t="str">
        <f>"1-7-6"</f>
        <v>1-7-6</v>
      </c>
      <c r="F330" t="s">
        <v>65</v>
      </c>
      <c r="G330" t="s">
        <v>66</v>
      </c>
      <c r="H330" t="s">
        <v>67</v>
      </c>
      <c r="S330">
        <v>0</v>
      </c>
      <c r="T330">
        <v>1</v>
      </c>
      <c r="U330">
        <v>0</v>
      </c>
      <c r="V330">
        <v>0</v>
      </c>
      <c r="W330">
        <v>1</v>
      </c>
      <c r="X330">
        <v>0</v>
      </c>
      <c r="Y330">
        <v>1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1</v>
      </c>
      <c r="AL330">
        <v>1</v>
      </c>
      <c r="AM330">
        <v>1</v>
      </c>
    </row>
    <row r="331" spans="1:39" x14ac:dyDescent="0.2">
      <c r="A331" t="str">
        <f>"327"</f>
        <v>327</v>
      </c>
      <c r="B331" t="str">
        <f t="shared" si="18"/>
        <v>1</v>
      </c>
      <c r="C331" t="str">
        <f t="shared" si="17"/>
        <v>7</v>
      </c>
      <c r="D331" t="str">
        <f>"40"</f>
        <v>40</v>
      </c>
      <c r="E331" t="str">
        <f>"1-7-40"</f>
        <v>1-7-40</v>
      </c>
      <c r="F331" t="s">
        <v>65</v>
      </c>
      <c r="G331" t="s">
        <v>66</v>
      </c>
      <c r="H331" t="s">
        <v>67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1</v>
      </c>
      <c r="Y331">
        <v>0</v>
      </c>
      <c r="Z331">
        <v>1</v>
      </c>
      <c r="AA331">
        <v>0</v>
      </c>
      <c r="AB331">
        <v>0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</row>
    <row r="332" spans="1:39" x14ac:dyDescent="0.2">
      <c r="A332" t="str">
        <f>"328"</f>
        <v>328</v>
      </c>
      <c r="B332" t="str">
        <f t="shared" si="18"/>
        <v>1</v>
      </c>
      <c r="C332" t="str">
        <f t="shared" si="17"/>
        <v>7</v>
      </c>
      <c r="D332" t="str">
        <f>"22"</f>
        <v>22</v>
      </c>
      <c r="E332" t="str">
        <f>"1-7-22"</f>
        <v>1-7-22</v>
      </c>
      <c r="F332" t="s">
        <v>65</v>
      </c>
      <c r="G332" t="s">
        <v>66</v>
      </c>
      <c r="H332" t="s">
        <v>67</v>
      </c>
      <c r="S332">
        <v>0</v>
      </c>
      <c r="T332">
        <v>1</v>
      </c>
      <c r="U332">
        <v>0</v>
      </c>
      <c r="V332">
        <v>0</v>
      </c>
      <c r="W332">
        <v>1</v>
      </c>
      <c r="X332">
        <v>0</v>
      </c>
      <c r="Y332">
        <v>1</v>
      </c>
      <c r="Z332">
        <v>0</v>
      </c>
      <c r="AA332">
        <v>0</v>
      </c>
      <c r="AB332">
        <v>1</v>
      </c>
      <c r="AC332">
        <v>0</v>
      </c>
      <c r="AD332">
        <v>1</v>
      </c>
      <c r="AE332">
        <v>1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1</v>
      </c>
      <c r="AL332">
        <v>1</v>
      </c>
      <c r="AM332">
        <v>0</v>
      </c>
    </row>
    <row r="333" spans="1:39" x14ac:dyDescent="0.2">
      <c r="A333" t="str">
        <f>"329"</f>
        <v>329</v>
      </c>
      <c r="B333" t="str">
        <f t="shared" si="18"/>
        <v>1</v>
      </c>
      <c r="C333" t="str">
        <f t="shared" si="17"/>
        <v>7</v>
      </c>
      <c r="D333" t="str">
        <f>"11"</f>
        <v>11</v>
      </c>
      <c r="E333" t="str">
        <f>"1-7-11"</f>
        <v>1-7-11</v>
      </c>
      <c r="F333" t="s">
        <v>65</v>
      </c>
      <c r="G333" t="s">
        <v>66</v>
      </c>
      <c r="H333" t="s">
        <v>67</v>
      </c>
      <c r="S333">
        <v>0</v>
      </c>
      <c r="T333">
        <v>1</v>
      </c>
      <c r="U333">
        <v>0</v>
      </c>
      <c r="V333">
        <v>0</v>
      </c>
      <c r="W333">
        <v>0</v>
      </c>
      <c r="X333">
        <v>1</v>
      </c>
      <c r="Y333">
        <v>1</v>
      </c>
      <c r="Z333">
        <v>0</v>
      </c>
      <c r="AA333">
        <v>0</v>
      </c>
      <c r="AB333">
        <v>1</v>
      </c>
      <c r="AC333">
        <v>0</v>
      </c>
      <c r="AD333">
        <v>1</v>
      </c>
      <c r="AE333">
        <v>1</v>
      </c>
      <c r="AF333">
        <v>1</v>
      </c>
      <c r="AG333">
        <v>1</v>
      </c>
      <c r="AH333">
        <v>0</v>
      </c>
      <c r="AI333">
        <v>1</v>
      </c>
      <c r="AJ333">
        <v>1</v>
      </c>
      <c r="AK333">
        <v>1</v>
      </c>
      <c r="AL333">
        <v>1</v>
      </c>
      <c r="AM333">
        <v>1</v>
      </c>
    </row>
    <row r="334" spans="1:39" x14ac:dyDescent="0.2">
      <c r="A334" t="str">
        <f>"330"</f>
        <v>330</v>
      </c>
      <c r="B334" t="str">
        <f t="shared" si="18"/>
        <v>1</v>
      </c>
      <c r="C334" t="str">
        <f t="shared" si="17"/>
        <v>7</v>
      </c>
      <c r="D334" t="str">
        <f>"39"</f>
        <v>39</v>
      </c>
      <c r="E334" t="str">
        <f>"1-7-39"</f>
        <v>1-7-39</v>
      </c>
      <c r="F334" t="s">
        <v>65</v>
      </c>
      <c r="G334" t="s">
        <v>66</v>
      </c>
      <c r="H334" t="s">
        <v>67</v>
      </c>
      <c r="S334">
        <v>1</v>
      </c>
      <c r="T334">
        <v>0</v>
      </c>
      <c r="U334">
        <v>0</v>
      </c>
      <c r="V334">
        <v>0</v>
      </c>
      <c r="W334">
        <v>1</v>
      </c>
      <c r="X334">
        <v>0</v>
      </c>
      <c r="Y334">
        <v>0</v>
      </c>
      <c r="Z334">
        <v>1</v>
      </c>
      <c r="AA334">
        <v>1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1</v>
      </c>
      <c r="AI334">
        <v>1</v>
      </c>
      <c r="AJ334">
        <v>1</v>
      </c>
      <c r="AK334">
        <v>0</v>
      </c>
      <c r="AL334">
        <v>1</v>
      </c>
      <c r="AM334">
        <v>1</v>
      </c>
    </row>
    <row r="335" spans="1:39" x14ac:dyDescent="0.2">
      <c r="A335" t="str">
        <f>"331"</f>
        <v>331</v>
      </c>
      <c r="B335" t="str">
        <f t="shared" si="18"/>
        <v>1</v>
      </c>
      <c r="C335" t="str">
        <f t="shared" si="17"/>
        <v>7</v>
      </c>
      <c r="D335" t="str">
        <f>"23"</f>
        <v>23</v>
      </c>
      <c r="E335" t="str">
        <f>"1-7-23"</f>
        <v>1-7-23</v>
      </c>
      <c r="F335" t="s">
        <v>65</v>
      </c>
      <c r="G335" t="s">
        <v>66</v>
      </c>
      <c r="H335" t="s">
        <v>67</v>
      </c>
      <c r="S335">
        <v>1</v>
      </c>
      <c r="T335">
        <v>0</v>
      </c>
      <c r="U335">
        <v>0</v>
      </c>
      <c r="V335">
        <v>0</v>
      </c>
      <c r="W335">
        <v>1</v>
      </c>
      <c r="X335">
        <v>0</v>
      </c>
      <c r="Y335">
        <v>1</v>
      </c>
      <c r="Z335">
        <v>0</v>
      </c>
      <c r="AA335">
        <v>1</v>
      </c>
      <c r="AB335">
        <v>0</v>
      </c>
      <c r="AC335">
        <v>0</v>
      </c>
      <c r="AD335">
        <v>0</v>
      </c>
      <c r="AE335">
        <v>1</v>
      </c>
      <c r="AF335">
        <v>1</v>
      </c>
      <c r="AG335">
        <v>1</v>
      </c>
      <c r="AH335">
        <v>0</v>
      </c>
      <c r="AI335">
        <v>1</v>
      </c>
      <c r="AJ335">
        <v>1</v>
      </c>
      <c r="AK335">
        <v>1</v>
      </c>
      <c r="AL335">
        <v>1</v>
      </c>
      <c r="AM335">
        <v>1</v>
      </c>
    </row>
    <row r="336" spans="1:39" x14ac:dyDescent="0.2">
      <c r="A336" t="str">
        <f>"332"</f>
        <v>332</v>
      </c>
      <c r="B336" t="str">
        <f t="shared" si="18"/>
        <v>1</v>
      </c>
      <c r="C336" t="str">
        <f t="shared" si="17"/>
        <v>7</v>
      </c>
      <c r="D336" t="str">
        <f>"10"</f>
        <v>10</v>
      </c>
      <c r="E336" t="str">
        <f>"1-7-10"</f>
        <v>1-7-10</v>
      </c>
      <c r="F336" t="s">
        <v>65</v>
      </c>
      <c r="G336" t="s">
        <v>66</v>
      </c>
      <c r="H336" t="s">
        <v>67</v>
      </c>
      <c r="S336">
        <v>0</v>
      </c>
      <c r="T336">
        <v>1</v>
      </c>
      <c r="U336">
        <v>0</v>
      </c>
      <c r="V336">
        <v>0</v>
      </c>
      <c r="W336">
        <v>1</v>
      </c>
      <c r="X336">
        <v>0</v>
      </c>
      <c r="Y336">
        <v>1</v>
      </c>
      <c r="Z336">
        <v>0</v>
      </c>
      <c r="AA336">
        <v>0</v>
      </c>
      <c r="AB336">
        <v>1</v>
      </c>
      <c r="AC336">
        <v>0</v>
      </c>
      <c r="AD336">
        <v>1</v>
      </c>
      <c r="AE336">
        <v>1</v>
      </c>
      <c r="AF336">
        <v>1</v>
      </c>
      <c r="AG336">
        <v>1</v>
      </c>
      <c r="AH336">
        <v>1</v>
      </c>
      <c r="AI336">
        <v>1</v>
      </c>
      <c r="AJ336">
        <v>1</v>
      </c>
      <c r="AK336">
        <v>1</v>
      </c>
      <c r="AL336">
        <v>1</v>
      </c>
      <c r="AM336">
        <v>1</v>
      </c>
    </row>
    <row r="337" spans="1:39" x14ac:dyDescent="0.2">
      <c r="A337" t="str">
        <f>"333"</f>
        <v>333</v>
      </c>
      <c r="B337" t="str">
        <f t="shared" si="18"/>
        <v>1</v>
      </c>
      <c r="C337" t="str">
        <f t="shared" ref="C337:C354" si="19">"7"</f>
        <v>7</v>
      </c>
      <c r="D337" t="str">
        <f>"42"</f>
        <v>42</v>
      </c>
      <c r="E337" t="str">
        <f>"1-7-42"</f>
        <v>1-7-42</v>
      </c>
      <c r="F337" t="s">
        <v>65</v>
      </c>
      <c r="G337" t="s">
        <v>66</v>
      </c>
      <c r="H337" t="s">
        <v>67</v>
      </c>
      <c r="S337">
        <v>0</v>
      </c>
      <c r="T337">
        <v>1</v>
      </c>
      <c r="U337">
        <v>0</v>
      </c>
      <c r="V337">
        <v>0</v>
      </c>
      <c r="W337">
        <v>1</v>
      </c>
      <c r="X337">
        <v>0</v>
      </c>
      <c r="Y337">
        <v>1</v>
      </c>
      <c r="Z337">
        <v>0</v>
      </c>
      <c r="AA337">
        <v>0</v>
      </c>
      <c r="AB337">
        <v>0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</row>
    <row r="338" spans="1:39" x14ac:dyDescent="0.2">
      <c r="A338" t="str">
        <f>"334"</f>
        <v>334</v>
      </c>
      <c r="B338" t="str">
        <f t="shared" si="18"/>
        <v>1</v>
      </c>
      <c r="C338" t="str">
        <f t="shared" si="19"/>
        <v>7</v>
      </c>
      <c r="D338" t="str">
        <f>"25"</f>
        <v>25</v>
      </c>
      <c r="E338" t="str">
        <f>"1-7-25"</f>
        <v>1-7-25</v>
      </c>
      <c r="F338" t="s">
        <v>65</v>
      </c>
      <c r="G338" t="s">
        <v>66</v>
      </c>
      <c r="H338" t="s">
        <v>67</v>
      </c>
      <c r="S338">
        <v>0</v>
      </c>
      <c r="T338">
        <v>1</v>
      </c>
      <c r="U338">
        <v>0</v>
      </c>
      <c r="V338">
        <v>0</v>
      </c>
      <c r="W338">
        <v>1</v>
      </c>
      <c r="X338">
        <v>0</v>
      </c>
      <c r="Y338">
        <v>0</v>
      </c>
      <c r="Z338">
        <v>1</v>
      </c>
      <c r="AA338">
        <v>0</v>
      </c>
      <c r="AB338">
        <v>0</v>
      </c>
      <c r="AC338">
        <v>1</v>
      </c>
      <c r="AD338">
        <v>1</v>
      </c>
      <c r="AE338">
        <v>1</v>
      </c>
      <c r="AF338">
        <v>1</v>
      </c>
      <c r="AG338">
        <v>1</v>
      </c>
      <c r="AH338">
        <v>1</v>
      </c>
      <c r="AI338">
        <v>1</v>
      </c>
      <c r="AJ338">
        <v>1</v>
      </c>
      <c r="AK338">
        <v>1</v>
      </c>
      <c r="AL338">
        <v>1</v>
      </c>
      <c r="AM338">
        <v>1</v>
      </c>
    </row>
    <row r="339" spans="1:39" x14ac:dyDescent="0.2">
      <c r="A339" t="str">
        <f>"335"</f>
        <v>335</v>
      </c>
      <c r="B339" t="str">
        <f t="shared" si="18"/>
        <v>1</v>
      </c>
      <c r="C339" t="str">
        <f t="shared" si="19"/>
        <v>7</v>
      </c>
      <c r="D339" t="str">
        <f>"8"</f>
        <v>8</v>
      </c>
      <c r="E339" t="str">
        <f>"1-7-8"</f>
        <v>1-7-8</v>
      </c>
      <c r="F339" t="s">
        <v>65</v>
      </c>
      <c r="G339" t="s">
        <v>66</v>
      </c>
      <c r="H339" t="s">
        <v>67</v>
      </c>
      <c r="S339">
        <v>0</v>
      </c>
      <c r="T339">
        <v>1</v>
      </c>
      <c r="U339">
        <v>0</v>
      </c>
      <c r="V339">
        <v>0</v>
      </c>
      <c r="W339">
        <v>1</v>
      </c>
      <c r="X339">
        <v>0</v>
      </c>
      <c r="Y339">
        <v>1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</v>
      </c>
      <c r="AJ339">
        <v>1</v>
      </c>
      <c r="AK339">
        <v>1</v>
      </c>
      <c r="AL339">
        <v>1</v>
      </c>
      <c r="AM339">
        <v>1</v>
      </c>
    </row>
    <row r="340" spans="1:39" x14ac:dyDescent="0.2">
      <c r="A340" t="str">
        <f>"336"</f>
        <v>336</v>
      </c>
      <c r="B340" t="str">
        <f t="shared" si="18"/>
        <v>1</v>
      </c>
      <c r="C340" t="str">
        <f t="shared" si="19"/>
        <v>7</v>
      </c>
      <c r="D340" t="str">
        <f>"46"</f>
        <v>46</v>
      </c>
      <c r="E340" t="str">
        <f>"1-7-46"</f>
        <v>1-7-46</v>
      </c>
      <c r="F340" t="s">
        <v>65</v>
      </c>
      <c r="G340" t="s">
        <v>66</v>
      </c>
      <c r="H340" t="s">
        <v>67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1</v>
      </c>
      <c r="Y340">
        <v>1</v>
      </c>
      <c r="Z340">
        <v>0</v>
      </c>
      <c r="AA340">
        <v>1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1</v>
      </c>
      <c r="AH340">
        <v>0</v>
      </c>
      <c r="AI340">
        <v>1</v>
      </c>
      <c r="AJ340">
        <v>1</v>
      </c>
      <c r="AK340">
        <v>1</v>
      </c>
      <c r="AL340">
        <v>0</v>
      </c>
      <c r="AM340">
        <v>0</v>
      </c>
    </row>
    <row r="341" spans="1:39" x14ac:dyDescent="0.2">
      <c r="A341" t="str">
        <f>"337"</f>
        <v>337</v>
      </c>
      <c r="B341" t="str">
        <f t="shared" si="18"/>
        <v>1</v>
      </c>
      <c r="C341" t="str">
        <f t="shared" si="19"/>
        <v>7</v>
      </c>
      <c r="D341" t="str">
        <f>"26"</f>
        <v>26</v>
      </c>
      <c r="E341" t="str">
        <f>"1-7-26"</f>
        <v>1-7-26</v>
      </c>
      <c r="F341" t="s">
        <v>65</v>
      </c>
      <c r="G341" t="s">
        <v>66</v>
      </c>
      <c r="H341" t="s">
        <v>67</v>
      </c>
      <c r="S341">
        <v>0</v>
      </c>
      <c r="T341">
        <v>1</v>
      </c>
      <c r="U341">
        <v>0</v>
      </c>
      <c r="V341">
        <v>0</v>
      </c>
      <c r="W341">
        <v>0</v>
      </c>
      <c r="X341">
        <v>1</v>
      </c>
      <c r="Y341">
        <v>0</v>
      </c>
      <c r="Z341">
        <v>1</v>
      </c>
      <c r="AA341">
        <v>0</v>
      </c>
      <c r="AB341">
        <v>0</v>
      </c>
      <c r="AC341">
        <v>1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</row>
    <row r="342" spans="1:39" x14ac:dyDescent="0.2">
      <c r="A342" t="str">
        <f>"338"</f>
        <v>338</v>
      </c>
      <c r="B342" t="str">
        <f t="shared" si="18"/>
        <v>1</v>
      </c>
      <c r="C342" t="str">
        <f t="shared" si="19"/>
        <v>7</v>
      </c>
      <c r="D342" t="str">
        <f>"5"</f>
        <v>5</v>
      </c>
      <c r="E342" t="str">
        <f>"1-7-5"</f>
        <v>1-7-5</v>
      </c>
      <c r="F342" t="s">
        <v>65</v>
      </c>
      <c r="G342" t="s">
        <v>66</v>
      </c>
      <c r="H342" t="s">
        <v>67</v>
      </c>
      <c r="S342">
        <v>0</v>
      </c>
      <c r="T342">
        <v>1</v>
      </c>
      <c r="U342">
        <v>0</v>
      </c>
      <c r="V342">
        <v>0</v>
      </c>
      <c r="W342">
        <v>0</v>
      </c>
      <c r="X342">
        <v>1</v>
      </c>
      <c r="Y342">
        <v>0</v>
      </c>
      <c r="Z342">
        <v>1</v>
      </c>
      <c r="AA342">
        <v>0</v>
      </c>
      <c r="AB342">
        <v>0</v>
      </c>
      <c r="AC342">
        <v>1</v>
      </c>
      <c r="AD342">
        <v>1</v>
      </c>
      <c r="AE342">
        <v>1</v>
      </c>
      <c r="AF342">
        <v>0</v>
      </c>
      <c r="AG342">
        <v>1</v>
      </c>
      <c r="AH342">
        <v>0</v>
      </c>
      <c r="AI342">
        <v>1</v>
      </c>
      <c r="AJ342">
        <v>1</v>
      </c>
      <c r="AK342">
        <v>1</v>
      </c>
      <c r="AL342">
        <v>1</v>
      </c>
      <c r="AM342">
        <v>1</v>
      </c>
    </row>
    <row r="343" spans="1:39" x14ac:dyDescent="0.2">
      <c r="A343" t="str">
        <f>"339"</f>
        <v>339</v>
      </c>
      <c r="B343" t="str">
        <f t="shared" si="18"/>
        <v>1</v>
      </c>
      <c r="C343" t="str">
        <f t="shared" si="19"/>
        <v>7</v>
      </c>
      <c r="D343" t="str">
        <f>"45"</f>
        <v>45</v>
      </c>
      <c r="E343" t="str">
        <f>"1-7-45"</f>
        <v>1-7-45</v>
      </c>
      <c r="F343" t="s">
        <v>65</v>
      </c>
      <c r="G343" t="s">
        <v>66</v>
      </c>
      <c r="H343" t="s">
        <v>67</v>
      </c>
      <c r="S343">
        <v>0</v>
      </c>
      <c r="T343">
        <v>1</v>
      </c>
      <c r="U343">
        <v>0</v>
      </c>
      <c r="V343">
        <v>0</v>
      </c>
      <c r="W343">
        <v>0</v>
      </c>
      <c r="X343">
        <v>1</v>
      </c>
      <c r="Y343">
        <v>1</v>
      </c>
      <c r="Z343">
        <v>0</v>
      </c>
      <c r="AA343">
        <v>0</v>
      </c>
      <c r="AB343">
        <v>1</v>
      </c>
      <c r="AC343">
        <v>0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</row>
    <row r="344" spans="1:39" x14ac:dyDescent="0.2">
      <c r="A344" t="str">
        <f>"340"</f>
        <v>340</v>
      </c>
      <c r="B344" t="str">
        <f t="shared" si="18"/>
        <v>1</v>
      </c>
      <c r="C344" t="str">
        <f t="shared" si="19"/>
        <v>7</v>
      </c>
      <c r="D344" t="str">
        <f>"27"</f>
        <v>27</v>
      </c>
      <c r="E344" t="str">
        <f>"1-7-27"</f>
        <v>1-7-27</v>
      </c>
      <c r="F344" t="s">
        <v>65</v>
      </c>
      <c r="G344" t="s">
        <v>66</v>
      </c>
      <c r="H344" t="s">
        <v>67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0</v>
      </c>
      <c r="AB344">
        <v>1</v>
      </c>
      <c r="AC344">
        <v>0</v>
      </c>
      <c r="AD344">
        <v>0</v>
      </c>
      <c r="AE344">
        <v>0</v>
      </c>
      <c r="AF344">
        <v>0</v>
      </c>
      <c r="AG344">
        <v>1</v>
      </c>
      <c r="AH344">
        <v>1</v>
      </c>
      <c r="AI344">
        <v>1</v>
      </c>
      <c r="AJ344">
        <v>1</v>
      </c>
      <c r="AK344">
        <v>1</v>
      </c>
      <c r="AL344">
        <v>1</v>
      </c>
      <c r="AM344">
        <v>0</v>
      </c>
    </row>
    <row r="345" spans="1:39" x14ac:dyDescent="0.2">
      <c r="A345" t="str">
        <f>"341"</f>
        <v>341</v>
      </c>
      <c r="B345" t="str">
        <f t="shared" si="18"/>
        <v>1</v>
      </c>
      <c r="C345" t="str">
        <f t="shared" si="19"/>
        <v>7</v>
      </c>
      <c r="D345" t="str">
        <f>"14"</f>
        <v>14</v>
      </c>
      <c r="E345" t="str">
        <f>"1-7-14"</f>
        <v>1-7-14</v>
      </c>
      <c r="F345" t="s">
        <v>65</v>
      </c>
      <c r="G345" t="s">
        <v>66</v>
      </c>
      <c r="H345" t="s">
        <v>67</v>
      </c>
      <c r="S345">
        <v>1</v>
      </c>
      <c r="T345">
        <v>0</v>
      </c>
      <c r="U345">
        <v>0</v>
      </c>
      <c r="V345">
        <v>0</v>
      </c>
      <c r="W345">
        <v>1</v>
      </c>
      <c r="X345">
        <v>0</v>
      </c>
      <c r="Y345">
        <v>1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1</v>
      </c>
      <c r="AF345">
        <v>1</v>
      </c>
      <c r="AG345">
        <v>1</v>
      </c>
      <c r="AH345">
        <v>1</v>
      </c>
      <c r="AI345">
        <v>1</v>
      </c>
      <c r="AJ345">
        <v>1</v>
      </c>
      <c r="AK345">
        <v>1</v>
      </c>
      <c r="AL345">
        <v>0</v>
      </c>
      <c r="AM345">
        <v>1</v>
      </c>
    </row>
    <row r="346" spans="1:39" x14ac:dyDescent="0.2">
      <c r="A346" t="str">
        <f>"342"</f>
        <v>342</v>
      </c>
      <c r="B346" t="str">
        <f t="shared" si="18"/>
        <v>1</v>
      </c>
      <c r="C346" t="str">
        <f t="shared" si="19"/>
        <v>7</v>
      </c>
      <c r="D346" t="str">
        <f>"43"</f>
        <v>43</v>
      </c>
      <c r="E346" t="str">
        <f>"1-7-43"</f>
        <v>1-7-43</v>
      </c>
      <c r="F346" t="s">
        <v>65</v>
      </c>
      <c r="G346" t="s">
        <v>66</v>
      </c>
      <c r="H346" t="s">
        <v>67</v>
      </c>
      <c r="S346">
        <v>0</v>
      </c>
      <c r="T346">
        <v>1</v>
      </c>
      <c r="U346">
        <v>0</v>
      </c>
      <c r="V346">
        <v>0</v>
      </c>
      <c r="W346">
        <v>0</v>
      </c>
      <c r="X346">
        <v>1</v>
      </c>
      <c r="Y346">
        <v>1</v>
      </c>
      <c r="Z346">
        <v>0</v>
      </c>
      <c r="AA346">
        <v>0</v>
      </c>
      <c r="AB346">
        <v>1</v>
      </c>
      <c r="AC346">
        <v>0</v>
      </c>
      <c r="AD346">
        <v>1</v>
      </c>
      <c r="AE346">
        <v>1</v>
      </c>
      <c r="AF346">
        <v>1</v>
      </c>
      <c r="AG346">
        <v>1</v>
      </c>
      <c r="AH346">
        <v>1</v>
      </c>
      <c r="AI346">
        <v>1</v>
      </c>
      <c r="AJ346">
        <v>1</v>
      </c>
      <c r="AK346">
        <v>1</v>
      </c>
      <c r="AL346">
        <v>1</v>
      </c>
      <c r="AM346">
        <v>1</v>
      </c>
    </row>
    <row r="347" spans="1:39" x14ac:dyDescent="0.2">
      <c r="A347" t="str">
        <f>"343"</f>
        <v>343</v>
      </c>
      <c r="B347" t="str">
        <f t="shared" si="18"/>
        <v>1</v>
      </c>
      <c r="C347" t="str">
        <f t="shared" si="19"/>
        <v>7</v>
      </c>
      <c r="D347" t="str">
        <f>"28"</f>
        <v>28</v>
      </c>
      <c r="E347" t="str">
        <f>"1-7-28"</f>
        <v>1-7-28</v>
      </c>
      <c r="F347" t="s">
        <v>65</v>
      </c>
      <c r="G347" t="s">
        <v>66</v>
      </c>
      <c r="H347" t="s">
        <v>67</v>
      </c>
      <c r="S347">
        <v>0</v>
      </c>
      <c r="T347">
        <v>1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1</v>
      </c>
      <c r="AA347">
        <v>0</v>
      </c>
      <c r="AB347">
        <v>1</v>
      </c>
      <c r="AC347">
        <v>0</v>
      </c>
      <c r="AD347">
        <v>1</v>
      </c>
      <c r="AE347">
        <v>1</v>
      </c>
      <c r="AF347">
        <v>1</v>
      </c>
      <c r="AG347">
        <v>1</v>
      </c>
      <c r="AH347">
        <v>1</v>
      </c>
      <c r="AI347">
        <v>1</v>
      </c>
      <c r="AJ347">
        <v>1</v>
      </c>
      <c r="AK347">
        <v>1</v>
      </c>
      <c r="AL347">
        <v>1</v>
      </c>
      <c r="AM347">
        <v>1</v>
      </c>
    </row>
    <row r="348" spans="1:39" x14ac:dyDescent="0.2">
      <c r="A348" t="str">
        <f>"344"</f>
        <v>344</v>
      </c>
      <c r="B348" t="str">
        <f t="shared" si="18"/>
        <v>1</v>
      </c>
      <c r="C348" t="str">
        <f t="shared" si="19"/>
        <v>7</v>
      </c>
      <c r="D348" t="str">
        <f>"7"</f>
        <v>7</v>
      </c>
      <c r="E348" t="str">
        <f>"1-7-7"</f>
        <v>1-7-7</v>
      </c>
      <c r="F348" t="s">
        <v>65</v>
      </c>
      <c r="G348" t="s">
        <v>66</v>
      </c>
      <c r="H348" t="s">
        <v>67</v>
      </c>
      <c r="S348">
        <v>0</v>
      </c>
      <c r="T348">
        <v>1</v>
      </c>
      <c r="U348">
        <v>0</v>
      </c>
      <c r="V348">
        <v>0</v>
      </c>
      <c r="W348">
        <v>1</v>
      </c>
      <c r="X348">
        <v>0</v>
      </c>
      <c r="Y348">
        <v>0</v>
      </c>
      <c r="Z348">
        <v>1</v>
      </c>
      <c r="AA348">
        <v>1</v>
      </c>
      <c r="AB348">
        <v>0</v>
      </c>
      <c r="AC348">
        <v>0</v>
      </c>
      <c r="AD348">
        <v>1</v>
      </c>
      <c r="AE348">
        <v>1</v>
      </c>
      <c r="AF348">
        <v>1</v>
      </c>
      <c r="AG348">
        <v>1</v>
      </c>
      <c r="AH348">
        <v>1</v>
      </c>
      <c r="AI348">
        <v>1</v>
      </c>
      <c r="AJ348">
        <v>1</v>
      </c>
      <c r="AK348">
        <v>1</v>
      </c>
      <c r="AL348">
        <v>1</v>
      </c>
      <c r="AM348">
        <v>1</v>
      </c>
    </row>
    <row r="349" spans="1:39" x14ac:dyDescent="0.2">
      <c r="A349" t="str">
        <f>"345"</f>
        <v>345</v>
      </c>
      <c r="B349" t="str">
        <f t="shared" si="18"/>
        <v>1</v>
      </c>
      <c r="C349" t="str">
        <f t="shared" si="19"/>
        <v>7</v>
      </c>
      <c r="D349" t="str">
        <f>"41"</f>
        <v>41</v>
      </c>
      <c r="E349" t="str">
        <f>"1-7-41"</f>
        <v>1-7-41</v>
      </c>
      <c r="F349" t="s">
        <v>65</v>
      </c>
      <c r="G349" t="s">
        <v>66</v>
      </c>
      <c r="H349" t="s">
        <v>67</v>
      </c>
      <c r="S349">
        <v>0</v>
      </c>
      <c r="T349">
        <v>1</v>
      </c>
      <c r="U349">
        <v>0</v>
      </c>
      <c r="V349">
        <v>0</v>
      </c>
      <c r="W349">
        <v>1</v>
      </c>
      <c r="X349">
        <v>0</v>
      </c>
      <c r="Y349">
        <v>0</v>
      </c>
      <c r="Z349">
        <v>1</v>
      </c>
      <c r="AA349">
        <v>0</v>
      </c>
      <c r="AB349">
        <v>0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</row>
    <row r="350" spans="1:39" x14ac:dyDescent="0.2">
      <c r="A350" t="str">
        <f>"346"</f>
        <v>346</v>
      </c>
      <c r="B350" t="str">
        <f t="shared" si="18"/>
        <v>1</v>
      </c>
      <c r="C350" t="str">
        <f t="shared" si="19"/>
        <v>7</v>
      </c>
      <c r="D350" t="str">
        <f>"29"</f>
        <v>29</v>
      </c>
      <c r="E350" t="str">
        <f>"1-7-29"</f>
        <v>1-7-29</v>
      </c>
      <c r="F350" t="s">
        <v>65</v>
      </c>
      <c r="G350" t="s">
        <v>66</v>
      </c>
      <c r="H350" t="s">
        <v>67</v>
      </c>
      <c r="S350">
        <v>1</v>
      </c>
      <c r="T350">
        <v>0</v>
      </c>
      <c r="U350">
        <v>0</v>
      </c>
      <c r="V350">
        <v>0</v>
      </c>
      <c r="W350">
        <v>1</v>
      </c>
      <c r="X350">
        <v>0</v>
      </c>
      <c r="Y350">
        <v>1</v>
      </c>
      <c r="Z350">
        <v>0</v>
      </c>
      <c r="AA350">
        <v>0</v>
      </c>
      <c r="AB350">
        <v>1</v>
      </c>
      <c r="AC350">
        <v>0</v>
      </c>
      <c r="AD350">
        <v>1</v>
      </c>
      <c r="AE350">
        <v>1</v>
      </c>
      <c r="AF350">
        <v>1</v>
      </c>
      <c r="AG350">
        <v>1</v>
      </c>
      <c r="AH350">
        <v>1</v>
      </c>
      <c r="AI350">
        <v>1</v>
      </c>
      <c r="AJ350">
        <v>1</v>
      </c>
      <c r="AK350">
        <v>1</v>
      </c>
      <c r="AL350">
        <v>1</v>
      </c>
      <c r="AM350">
        <v>1</v>
      </c>
    </row>
    <row r="351" spans="1:39" x14ac:dyDescent="0.2">
      <c r="A351" t="str">
        <f>"347"</f>
        <v>347</v>
      </c>
      <c r="B351" t="str">
        <f t="shared" si="18"/>
        <v>1</v>
      </c>
      <c r="C351" t="str">
        <f t="shared" si="19"/>
        <v>7</v>
      </c>
      <c r="D351" t="str">
        <f>"12"</f>
        <v>12</v>
      </c>
      <c r="E351" t="str">
        <f>"1-7-12"</f>
        <v>1-7-12</v>
      </c>
      <c r="F351" t="s">
        <v>65</v>
      </c>
      <c r="G351" t="s">
        <v>66</v>
      </c>
      <c r="H351" t="s">
        <v>67</v>
      </c>
      <c r="S351">
        <v>1</v>
      </c>
      <c r="T351">
        <v>0</v>
      </c>
      <c r="U351">
        <v>0</v>
      </c>
      <c r="V351">
        <v>0</v>
      </c>
      <c r="W351">
        <v>1</v>
      </c>
      <c r="X351">
        <v>0</v>
      </c>
      <c r="Y351">
        <v>1</v>
      </c>
      <c r="Z351">
        <v>0</v>
      </c>
      <c r="AA351">
        <v>0</v>
      </c>
      <c r="AB351">
        <v>1</v>
      </c>
      <c r="AC351">
        <v>0</v>
      </c>
      <c r="AD351">
        <v>1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1</v>
      </c>
      <c r="AK351">
        <v>1</v>
      </c>
      <c r="AL351">
        <v>1</v>
      </c>
      <c r="AM351">
        <v>0</v>
      </c>
    </row>
    <row r="352" spans="1:39" x14ac:dyDescent="0.2">
      <c r="A352" t="str">
        <f>"348"</f>
        <v>348</v>
      </c>
      <c r="B352" t="str">
        <f t="shared" si="18"/>
        <v>1</v>
      </c>
      <c r="C352" t="str">
        <f t="shared" si="19"/>
        <v>7</v>
      </c>
      <c r="D352" t="str">
        <f>"44"</f>
        <v>44</v>
      </c>
      <c r="E352" t="str">
        <f>"1-7-44"</f>
        <v>1-7-44</v>
      </c>
      <c r="F352" t="s">
        <v>65</v>
      </c>
      <c r="G352" t="s">
        <v>66</v>
      </c>
      <c r="H352" t="s">
        <v>67</v>
      </c>
      <c r="S352">
        <v>0</v>
      </c>
      <c r="T352">
        <v>0</v>
      </c>
      <c r="U352">
        <v>0</v>
      </c>
      <c r="V352">
        <v>0</v>
      </c>
      <c r="W352">
        <v>1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1</v>
      </c>
      <c r="AH352">
        <v>1</v>
      </c>
      <c r="AI352">
        <v>0</v>
      </c>
      <c r="AJ352">
        <v>0</v>
      </c>
      <c r="AK352">
        <v>1</v>
      </c>
      <c r="AL352">
        <v>1</v>
      </c>
      <c r="AM352">
        <v>1</v>
      </c>
    </row>
    <row r="353" spans="1:39" x14ac:dyDescent="0.2">
      <c r="A353" t="str">
        <f>"349"</f>
        <v>349</v>
      </c>
      <c r="B353" t="str">
        <f t="shared" si="18"/>
        <v>1</v>
      </c>
      <c r="C353" t="str">
        <f t="shared" si="19"/>
        <v>7</v>
      </c>
      <c r="D353" t="str">
        <f>"30"</f>
        <v>30</v>
      </c>
      <c r="E353" t="str">
        <f>"1-7-30"</f>
        <v>1-7-30</v>
      </c>
      <c r="F353" t="s">
        <v>65</v>
      </c>
      <c r="G353" t="s">
        <v>66</v>
      </c>
      <c r="H353" t="s">
        <v>67</v>
      </c>
      <c r="S353">
        <v>0</v>
      </c>
      <c r="T353">
        <v>1</v>
      </c>
      <c r="U353">
        <v>0</v>
      </c>
      <c r="V353">
        <v>0</v>
      </c>
      <c r="W353">
        <v>0</v>
      </c>
      <c r="X353">
        <v>1</v>
      </c>
      <c r="Y353">
        <v>0</v>
      </c>
      <c r="Z353">
        <v>1</v>
      </c>
      <c r="AA353">
        <v>0</v>
      </c>
      <c r="AB353">
        <v>0</v>
      </c>
      <c r="AC353">
        <v>1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</row>
    <row r="354" spans="1:39" x14ac:dyDescent="0.2">
      <c r="A354" t="str">
        <f>"350"</f>
        <v>350</v>
      </c>
      <c r="B354" t="str">
        <f t="shared" si="18"/>
        <v>1</v>
      </c>
      <c r="C354" t="str">
        <f t="shared" si="19"/>
        <v>7</v>
      </c>
      <c r="D354" t="str">
        <f>"9"</f>
        <v>9</v>
      </c>
      <c r="E354" t="str">
        <f>"1-7-9"</f>
        <v>1-7-9</v>
      </c>
      <c r="F354" t="s">
        <v>65</v>
      </c>
      <c r="G354" t="s">
        <v>66</v>
      </c>
      <c r="H354" t="s">
        <v>67</v>
      </c>
      <c r="S354">
        <v>1</v>
      </c>
      <c r="T354">
        <v>0</v>
      </c>
      <c r="U354">
        <v>0</v>
      </c>
      <c r="V354">
        <v>0</v>
      </c>
      <c r="W354">
        <v>0</v>
      </c>
      <c r="X354">
        <v>1</v>
      </c>
      <c r="Y354">
        <v>1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1</v>
      </c>
      <c r="AF354">
        <v>1</v>
      </c>
      <c r="AG354">
        <v>1</v>
      </c>
      <c r="AH354">
        <v>1</v>
      </c>
      <c r="AI354">
        <v>1</v>
      </c>
      <c r="AJ354">
        <v>1</v>
      </c>
      <c r="AK354">
        <v>1</v>
      </c>
      <c r="AL354">
        <v>1</v>
      </c>
      <c r="AM354">
        <v>1</v>
      </c>
    </row>
    <row r="355" spans="1:39" x14ac:dyDescent="0.2">
      <c r="A355" t="str">
        <f>"351"</f>
        <v>351</v>
      </c>
      <c r="B355" t="str">
        <f t="shared" si="18"/>
        <v>1</v>
      </c>
      <c r="C355" t="str">
        <f t="shared" ref="C355:C386" si="20">"8"</f>
        <v>8</v>
      </c>
      <c r="D355" t="str">
        <f>"42"</f>
        <v>42</v>
      </c>
      <c r="E355" t="str">
        <f>"1-8-42"</f>
        <v>1-8-42</v>
      </c>
      <c r="F355" t="s">
        <v>65</v>
      </c>
      <c r="G355" t="s">
        <v>66</v>
      </c>
      <c r="H355" t="s">
        <v>67</v>
      </c>
      <c r="S355">
        <v>0</v>
      </c>
      <c r="T355">
        <v>1</v>
      </c>
      <c r="U355">
        <v>0</v>
      </c>
      <c r="V355">
        <v>0</v>
      </c>
      <c r="W355">
        <v>0</v>
      </c>
      <c r="X355">
        <v>1</v>
      </c>
      <c r="Y355">
        <v>1</v>
      </c>
      <c r="Z355">
        <v>0</v>
      </c>
      <c r="AA355">
        <v>0</v>
      </c>
      <c r="AB355">
        <v>0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0</v>
      </c>
      <c r="AI355">
        <v>1</v>
      </c>
      <c r="AJ355">
        <v>1</v>
      </c>
      <c r="AK355">
        <v>1</v>
      </c>
      <c r="AL355">
        <v>1</v>
      </c>
      <c r="AM355">
        <v>1</v>
      </c>
    </row>
    <row r="356" spans="1:39" x14ac:dyDescent="0.2">
      <c r="A356" t="str">
        <f>"352"</f>
        <v>352</v>
      </c>
      <c r="B356" t="str">
        <f t="shared" si="18"/>
        <v>1</v>
      </c>
      <c r="C356" t="str">
        <f t="shared" si="20"/>
        <v>8</v>
      </c>
      <c r="D356" t="str">
        <f>"41"</f>
        <v>41</v>
      </c>
      <c r="E356" t="str">
        <f>"1-8-41"</f>
        <v>1-8-41</v>
      </c>
      <c r="F356" t="s">
        <v>65</v>
      </c>
      <c r="G356" t="s">
        <v>66</v>
      </c>
      <c r="H356" t="s">
        <v>67</v>
      </c>
      <c r="S356">
        <v>0</v>
      </c>
      <c r="T356">
        <v>1</v>
      </c>
      <c r="U356">
        <v>0</v>
      </c>
      <c r="V356">
        <v>0</v>
      </c>
      <c r="W356">
        <v>1</v>
      </c>
      <c r="X356">
        <v>0</v>
      </c>
      <c r="Y356">
        <v>0</v>
      </c>
      <c r="Z356">
        <v>1</v>
      </c>
      <c r="AA356">
        <v>0</v>
      </c>
      <c r="AB356">
        <v>0</v>
      </c>
      <c r="AC356">
        <v>1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0</v>
      </c>
      <c r="AK356">
        <v>0</v>
      </c>
      <c r="AL356">
        <v>0</v>
      </c>
      <c r="AM356">
        <v>0</v>
      </c>
    </row>
    <row r="357" spans="1:39" x14ac:dyDescent="0.2">
      <c r="A357" t="str">
        <f>"353"</f>
        <v>353</v>
      </c>
      <c r="B357" t="str">
        <f t="shared" si="18"/>
        <v>1</v>
      </c>
      <c r="C357" t="str">
        <f t="shared" si="20"/>
        <v>8</v>
      </c>
      <c r="D357" t="str">
        <f>"32"</f>
        <v>32</v>
      </c>
      <c r="E357" t="str">
        <f>"1-8-32"</f>
        <v>1-8-32</v>
      </c>
      <c r="F357" t="s">
        <v>65</v>
      </c>
      <c r="G357" t="s">
        <v>66</v>
      </c>
      <c r="H357" t="s">
        <v>67</v>
      </c>
      <c r="S357">
        <v>0</v>
      </c>
      <c r="T357">
        <v>1</v>
      </c>
      <c r="U357">
        <v>0</v>
      </c>
      <c r="V357">
        <v>0</v>
      </c>
      <c r="W357">
        <v>0</v>
      </c>
      <c r="X357">
        <v>1</v>
      </c>
      <c r="Y357">
        <v>0</v>
      </c>
      <c r="Z357">
        <v>1</v>
      </c>
      <c r="AA357">
        <v>0</v>
      </c>
      <c r="AB357">
        <v>0</v>
      </c>
      <c r="AC357">
        <v>1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1</v>
      </c>
      <c r="AL357">
        <v>1</v>
      </c>
      <c r="AM357">
        <v>1</v>
      </c>
    </row>
    <row r="358" spans="1:39" x14ac:dyDescent="0.2">
      <c r="A358" t="str">
        <f>"354"</f>
        <v>354</v>
      </c>
      <c r="B358" t="str">
        <f t="shared" si="18"/>
        <v>1</v>
      </c>
      <c r="C358" t="str">
        <f t="shared" si="20"/>
        <v>8</v>
      </c>
      <c r="D358" t="str">
        <f>"31"</f>
        <v>31</v>
      </c>
      <c r="E358" t="str">
        <f>"1-8-31"</f>
        <v>1-8-31</v>
      </c>
      <c r="F358" t="s">
        <v>65</v>
      </c>
      <c r="G358" t="s">
        <v>66</v>
      </c>
      <c r="H358" t="s">
        <v>67</v>
      </c>
      <c r="S358">
        <v>0</v>
      </c>
      <c r="T358">
        <v>1</v>
      </c>
      <c r="U358">
        <v>0</v>
      </c>
      <c r="V358">
        <v>0</v>
      </c>
      <c r="W358">
        <v>1</v>
      </c>
      <c r="X358">
        <v>0</v>
      </c>
      <c r="Y358">
        <v>1</v>
      </c>
      <c r="Z358">
        <v>0</v>
      </c>
      <c r="AA358">
        <v>0</v>
      </c>
      <c r="AB358">
        <v>1</v>
      </c>
      <c r="AC358">
        <v>0</v>
      </c>
      <c r="AD358">
        <v>1</v>
      </c>
      <c r="AE358">
        <v>1</v>
      </c>
      <c r="AF358">
        <v>1</v>
      </c>
      <c r="AG358">
        <v>1</v>
      </c>
      <c r="AH358">
        <v>1</v>
      </c>
      <c r="AI358">
        <v>1</v>
      </c>
      <c r="AJ358">
        <v>1</v>
      </c>
      <c r="AK358">
        <v>1</v>
      </c>
      <c r="AL358">
        <v>1</v>
      </c>
      <c r="AM358">
        <v>1</v>
      </c>
    </row>
    <row r="359" spans="1:39" x14ac:dyDescent="0.2">
      <c r="A359" t="str">
        <f>"355"</f>
        <v>355</v>
      </c>
      <c r="B359" t="str">
        <f t="shared" si="18"/>
        <v>1</v>
      </c>
      <c r="C359" t="str">
        <f t="shared" si="20"/>
        <v>8</v>
      </c>
      <c r="D359" t="str">
        <f>"17"</f>
        <v>17</v>
      </c>
      <c r="E359" t="str">
        <f>"1-8-17"</f>
        <v>1-8-17</v>
      </c>
      <c r="F359" t="s">
        <v>65</v>
      </c>
      <c r="G359" t="s">
        <v>66</v>
      </c>
      <c r="H359" t="s">
        <v>67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1</v>
      </c>
      <c r="AH359">
        <v>0</v>
      </c>
      <c r="AI359">
        <v>1</v>
      </c>
      <c r="AJ359">
        <v>1</v>
      </c>
      <c r="AK359">
        <v>1</v>
      </c>
      <c r="AL359">
        <v>1</v>
      </c>
      <c r="AM359">
        <v>1</v>
      </c>
    </row>
    <row r="360" spans="1:39" x14ac:dyDescent="0.2">
      <c r="A360" t="str">
        <f>"356"</f>
        <v>356</v>
      </c>
      <c r="B360" t="str">
        <f t="shared" si="18"/>
        <v>1</v>
      </c>
      <c r="C360" t="str">
        <f t="shared" si="20"/>
        <v>8</v>
      </c>
      <c r="D360" t="str">
        <f>"15"</f>
        <v>15</v>
      </c>
      <c r="E360" t="str">
        <f>"1-8-15"</f>
        <v>1-8-15</v>
      </c>
      <c r="F360" t="s">
        <v>65</v>
      </c>
      <c r="G360" t="s">
        <v>66</v>
      </c>
      <c r="H360" t="s">
        <v>67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1</v>
      </c>
      <c r="Y360">
        <v>1</v>
      </c>
      <c r="Z360">
        <v>0</v>
      </c>
      <c r="AA360">
        <v>0</v>
      </c>
      <c r="AB360">
        <v>1</v>
      </c>
      <c r="AC360">
        <v>0</v>
      </c>
      <c r="AD360">
        <v>1</v>
      </c>
      <c r="AE360">
        <v>1</v>
      </c>
      <c r="AF360">
        <v>1</v>
      </c>
      <c r="AG360">
        <v>1</v>
      </c>
      <c r="AH360">
        <v>1</v>
      </c>
      <c r="AI360">
        <v>1</v>
      </c>
      <c r="AJ360">
        <v>1</v>
      </c>
      <c r="AK360">
        <v>1</v>
      </c>
      <c r="AL360">
        <v>1</v>
      </c>
      <c r="AM360">
        <v>1</v>
      </c>
    </row>
    <row r="361" spans="1:39" x14ac:dyDescent="0.2">
      <c r="A361" t="str">
        <f>"357"</f>
        <v>357</v>
      </c>
      <c r="B361" t="str">
        <f t="shared" si="18"/>
        <v>1</v>
      </c>
      <c r="C361" t="str">
        <f t="shared" si="20"/>
        <v>8</v>
      </c>
      <c r="D361" t="str">
        <f>"2"</f>
        <v>2</v>
      </c>
      <c r="E361" t="str">
        <f>"1-8-2"</f>
        <v>1-8-2</v>
      </c>
      <c r="F361" t="s">
        <v>65</v>
      </c>
      <c r="G361" t="s">
        <v>66</v>
      </c>
      <c r="H361" t="s">
        <v>67</v>
      </c>
      <c r="S361">
        <v>1</v>
      </c>
      <c r="T361">
        <v>0</v>
      </c>
      <c r="U361">
        <v>0</v>
      </c>
      <c r="V361">
        <v>0</v>
      </c>
      <c r="W361">
        <v>1</v>
      </c>
      <c r="X361">
        <v>0</v>
      </c>
      <c r="Y361">
        <v>1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</row>
    <row r="362" spans="1:39" x14ac:dyDescent="0.2">
      <c r="A362" t="str">
        <f>"358"</f>
        <v>358</v>
      </c>
      <c r="B362" t="str">
        <f t="shared" si="18"/>
        <v>1</v>
      </c>
      <c r="C362" t="str">
        <f t="shared" si="20"/>
        <v>8</v>
      </c>
      <c r="D362" t="str">
        <f>"50"</f>
        <v>50</v>
      </c>
      <c r="E362" t="str">
        <f>"1-8-50"</f>
        <v>1-8-50</v>
      </c>
      <c r="F362" t="s">
        <v>65</v>
      </c>
      <c r="G362" t="s">
        <v>66</v>
      </c>
      <c r="H362" t="s">
        <v>67</v>
      </c>
      <c r="S362">
        <v>1</v>
      </c>
      <c r="T362">
        <v>0</v>
      </c>
      <c r="U362">
        <v>0</v>
      </c>
      <c r="V362">
        <v>0</v>
      </c>
      <c r="W362">
        <v>1</v>
      </c>
      <c r="X362">
        <v>0</v>
      </c>
      <c r="Y362">
        <v>1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1</v>
      </c>
      <c r="AF362">
        <v>1</v>
      </c>
      <c r="AG362">
        <v>1</v>
      </c>
      <c r="AH362">
        <v>1</v>
      </c>
      <c r="AI362">
        <v>1</v>
      </c>
      <c r="AJ362">
        <v>1</v>
      </c>
      <c r="AK362">
        <v>1</v>
      </c>
      <c r="AL362">
        <v>1</v>
      </c>
      <c r="AM362">
        <v>1</v>
      </c>
    </row>
    <row r="363" spans="1:39" x14ac:dyDescent="0.2">
      <c r="A363" t="str">
        <f>"359"</f>
        <v>359</v>
      </c>
      <c r="B363" t="str">
        <f t="shared" si="18"/>
        <v>1</v>
      </c>
      <c r="C363" t="str">
        <f t="shared" si="20"/>
        <v>8</v>
      </c>
      <c r="D363" t="str">
        <f>"49"</f>
        <v>49</v>
      </c>
      <c r="E363" t="str">
        <f>"1-8-49"</f>
        <v>1-8-49</v>
      </c>
      <c r="F363" t="s">
        <v>65</v>
      </c>
      <c r="G363" t="s">
        <v>66</v>
      </c>
      <c r="H363" t="s">
        <v>67</v>
      </c>
      <c r="S363">
        <v>1</v>
      </c>
      <c r="T363">
        <v>0</v>
      </c>
      <c r="U363">
        <v>0</v>
      </c>
      <c r="V363">
        <v>0</v>
      </c>
      <c r="W363">
        <v>1</v>
      </c>
      <c r="X363">
        <v>0</v>
      </c>
      <c r="Y363">
        <v>1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1</v>
      </c>
      <c r="AF363">
        <v>1</v>
      </c>
      <c r="AG363">
        <v>1</v>
      </c>
      <c r="AH363">
        <v>1</v>
      </c>
      <c r="AI363">
        <v>1</v>
      </c>
      <c r="AJ363">
        <v>1</v>
      </c>
      <c r="AK363">
        <v>1</v>
      </c>
      <c r="AL363">
        <v>1</v>
      </c>
      <c r="AM363">
        <v>1</v>
      </c>
    </row>
    <row r="364" spans="1:39" x14ac:dyDescent="0.2">
      <c r="A364" t="str">
        <f>"360"</f>
        <v>360</v>
      </c>
      <c r="B364" t="str">
        <f t="shared" si="18"/>
        <v>1</v>
      </c>
      <c r="C364" t="str">
        <f t="shared" si="20"/>
        <v>8</v>
      </c>
      <c r="D364" t="str">
        <f>"34"</f>
        <v>34</v>
      </c>
      <c r="E364" t="str">
        <f>"1-8-34"</f>
        <v>1-8-34</v>
      </c>
      <c r="F364" t="s">
        <v>65</v>
      </c>
      <c r="G364" t="s">
        <v>66</v>
      </c>
      <c r="H364" t="s">
        <v>67</v>
      </c>
      <c r="S364">
        <v>1</v>
      </c>
      <c r="T364">
        <v>0</v>
      </c>
      <c r="U364">
        <v>0</v>
      </c>
      <c r="V364">
        <v>0</v>
      </c>
      <c r="W364">
        <v>0</v>
      </c>
      <c r="X364">
        <v>1</v>
      </c>
      <c r="Y364">
        <v>1</v>
      </c>
      <c r="Z364">
        <v>0</v>
      </c>
      <c r="AA364">
        <v>0</v>
      </c>
      <c r="AB364">
        <v>1</v>
      </c>
      <c r="AC364">
        <v>0</v>
      </c>
      <c r="AD364">
        <v>1</v>
      </c>
      <c r="AE364">
        <v>1</v>
      </c>
      <c r="AF364">
        <v>1</v>
      </c>
      <c r="AG364">
        <v>1</v>
      </c>
      <c r="AH364">
        <v>1</v>
      </c>
      <c r="AI364">
        <v>1</v>
      </c>
      <c r="AJ364">
        <v>1</v>
      </c>
      <c r="AK364">
        <v>1</v>
      </c>
      <c r="AL364">
        <v>1</v>
      </c>
      <c r="AM364">
        <v>1</v>
      </c>
    </row>
    <row r="365" spans="1:39" x14ac:dyDescent="0.2">
      <c r="A365" t="str">
        <f>"361"</f>
        <v>361</v>
      </c>
      <c r="B365" t="str">
        <f t="shared" si="18"/>
        <v>1</v>
      </c>
      <c r="C365" t="str">
        <f t="shared" si="20"/>
        <v>8</v>
      </c>
      <c r="D365" t="str">
        <f>"33"</f>
        <v>33</v>
      </c>
      <c r="E365" t="str">
        <f>"1-8-33"</f>
        <v>1-8-33</v>
      </c>
      <c r="F365" t="s">
        <v>65</v>
      </c>
      <c r="G365" t="s">
        <v>66</v>
      </c>
      <c r="H365" t="s">
        <v>67</v>
      </c>
      <c r="S365">
        <v>1</v>
      </c>
      <c r="T365">
        <v>0</v>
      </c>
      <c r="U365">
        <v>0</v>
      </c>
      <c r="V365">
        <v>0</v>
      </c>
      <c r="W365">
        <v>1</v>
      </c>
      <c r="X365">
        <v>0</v>
      </c>
      <c r="Y365">
        <v>1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1</v>
      </c>
      <c r="AF365">
        <v>1</v>
      </c>
      <c r="AG365">
        <v>1</v>
      </c>
      <c r="AH365">
        <v>1</v>
      </c>
      <c r="AI365">
        <v>1</v>
      </c>
      <c r="AJ365">
        <v>1</v>
      </c>
      <c r="AK365">
        <v>1</v>
      </c>
      <c r="AL365">
        <v>1</v>
      </c>
      <c r="AM365">
        <v>1</v>
      </c>
    </row>
    <row r="366" spans="1:39" x14ac:dyDescent="0.2">
      <c r="A366" t="str">
        <f>"362"</f>
        <v>362</v>
      </c>
      <c r="B366" t="str">
        <f t="shared" si="18"/>
        <v>1</v>
      </c>
      <c r="C366" t="str">
        <f t="shared" si="20"/>
        <v>8</v>
      </c>
      <c r="D366" t="str">
        <f>"24"</f>
        <v>24</v>
      </c>
      <c r="E366" t="str">
        <f>"1-8-24"</f>
        <v>1-8-24</v>
      </c>
      <c r="F366" t="s">
        <v>65</v>
      </c>
      <c r="G366" t="s">
        <v>66</v>
      </c>
      <c r="H366" t="s">
        <v>67</v>
      </c>
      <c r="S366">
        <v>1</v>
      </c>
      <c r="T366">
        <v>0</v>
      </c>
      <c r="U366">
        <v>0</v>
      </c>
      <c r="V366">
        <v>0</v>
      </c>
      <c r="W366">
        <v>1</v>
      </c>
      <c r="X366">
        <v>0</v>
      </c>
      <c r="Y366">
        <v>1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1</v>
      </c>
      <c r="AF366">
        <v>1</v>
      </c>
      <c r="AG366">
        <v>1</v>
      </c>
      <c r="AH366">
        <v>1</v>
      </c>
      <c r="AI366">
        <v>1</v>
      </c>
      <c r="AJ366">
        <v>1</v>
      </c>
      <c r="AK366">
        <v>1</v>
      </c>
      <c r="AL366">
        <v>1</v>
      </c>
      <c r="AM366">
        <v>1</v>
      </c>
    </row>
    <row r="367" spans="1:39" x14ac:dyDescent="0.2">
      <c r="A367" t="str">
        <f>"363"</f>
        <v>363</v>
      </c>
      <c r="B367" t="str">
        <f t="shared" si="18"/>
        <v>1</v>
      </c>
      <c r="C367" t="str">
        <f t="shared" si="20"/>
        <v>8</v>
      </c>
      <c r="D367" t="str">
        <f>"16"</f>
        <v>16</v>
      </c>
      <c r="E367" t="str">
        <f>"1-8-16"</f>
        <v>1-8-16</v>
      </c>
      <c r="F367" t="s">
        <v>65</v>
      </c>
      <c r="G367" t="s">
        <v>66</v>
      </c>
      <c r="H367" t="s">
        <v>67</v>
      </c>
      <c r="S367">
        <v>1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1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</row>
    <row r="368" spans="1:39" x14ac:dyDescent="0.2">
      <c r="A368" t="str">
        <f>"364"</f>
        <v>364</v>
      </c>
      <c r="B368" t="str">
        <f t="shared" si="18"/>
        <v>1</v>
      </c>
      <c r="C368" t="str">
        <f t="shared" si="20"/>
        <v>8</v>
      </c>
      <c r="D368" t="str">
        <f>"3"</f>
        <v>3</v>
      </c>
      <c r="E368" t="str">
        <f>"1-8-3"</f>
        <v>1-8-3</v>
      </c>
      <c r="F368" t="s">
        <v>65</v>
      </c>
      <c r="G368" t="s">
        <v>66</v>
      </c>
      <c r="H368" t="s">
        <v>67</v>
      </c>
      <c r="S368">
        <v>1</v>
      </c>
      <c r="T368">
        <v>0</v>
      </c>
      <c r="U368">
        <v>0</v>
      </c>
      <c r="V368">
        <v>0</v>
      </c>
      <c r="W368">
        <v>1</v>
      </c>
      <c r="X368">
        <v>0</v>
      </c>
      <c r="Y368">
        <v>0</v>
      </c>
      <c r="Z368">
        <v>1</v>
      </c>
      <c r="AA368">
        <v>0</v>
      </c>
      <c r="AB368">
        <v>1</v>
      </c>
      <c r="AC368">
        <v>0</v>
      </c>
      <c r="AD368">
        <v>0</v>
      </c>
      <c r="AE368">
        <v>0</v>
      </c>
      <c r="AF368">
        <v>0</v>
      </c>
      <c r="AG368">
        <v>1</v>
      </c>
      <c r="AH368">
        <v>1</v>
      </c>
      <c r="AI368">
        <v>0</v>
      </c>
      <c r="AJ368">
        <v>1</v>
      </c>
      <c r="AK368">
        <v>1</v>
      </c>
      <c r="AL368">
        <v>0</v>
      </c>
      <c r="AM368">
        <v>0</v>
      </c>
    </row>
    <row r="369" spans="1:39" x14ac:dyDescent="0.2">
      <c r="A369" t="str">
        <f>"365"</f>
        <v>365</v>
      </c>
      <c r="B369" t="str">
        <f t="shared" si="18"/>
        <v>1</v>
      </c>
      <c r="C369" t="str">
        <f t="shared" si="20"/>
        <v>8</v>
      </c>
      <c r="D369" t="str">
        <f>"35"</f>
        <v>35</v>
      </c>
      <c r="E369" t="str">
        <f>"1-8-35"</f>
        <v>1-8-35</v>
      </c>
      <c r="F369" t="s">
        <v>65</v>
      </c>
      <c r="G369" t="s">
        <v>66</v>
      </c>
      <c r="H369" t="s">
        <v>67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0</v>
      </c>
      <c r="AB369">
        <v>1</v>
      </c>
      <c r="AC369">
        <v>0</v>
      </c>
      <c r="AD369">
        <v>1</v>
      </c>
      <c r="AE369">
        <v>1</v>
      </c>
      <c r="AF369">
        <v>1</v>
      </c>
      <c r="AG369">
        <v>1</v>
      </c>
      <c r="AH369">
        <v>1</v>
      </c>
      <c r="AI369">
        <v>1</v>
      </c>
      <c r="AJ369">
        <v>1</v>
      </c>
      <c r="AK369">
        <v>1</v>
      </c>
      <c r="AL369">
        <v>1</v>
      </c>
      <c r="AM369">
        <v>1</v>
      </c>
    </row>
    <row r="370" spans="1:39" x14ac:dyDescent="0.2">
      <c r="A370" t="str">
        <f>"366"</f>
        <v>366</v>
      </c>
      <c r="B370" t="str">
        <f t="shared" si="18"/>
        <v>1</v>
      </c>
      <c r="C370" t="str">
        <f t="shared" si="20"/>
        <v>8</v>
      </c>
      <c r="D370" t="str">
        <f>"18"</f>
        <v>18</v>
      </c>
      <c r="E370" t="str">
        <f>"1-8-18"</f>
        <v>1-8-18</v>
      </c>
      <c r="F370" t="s">
        <v>65</v>
      </c>
      <c r="G370" t="s">
        <v>66</v>
      </c>
      <c r="H370" t="s">
        <v>67</v>
      </c>
      <c r="S370">
        <v>0</v>
      </c>
      <c r="T370">
        <v>1</v>
      </c>
      <c r="U370">
        <v>0</v>
      </c>
      <c r="V370">
        <v>0</v>
      </c>
      <c r="W370">
        <v>1</v>
      </c>
      <c r="X370">
        <v>0</v>
      </c>
      <c r="Y370">
        <v>0</v>
      </c>
      <c r="Z370">
        <v>1</v>
      </c>
      <c r="AA370">
        <v>0</v>
      </c>
      <c r="AB370">
        <v>0</v>
      </c>
      <c r="AC370">
        <v>1</v>
      </c>
      <c r="AD370">
        <v>1</v>
      </c>
      <c r="AE370">
        <v>1</v>
      </c>
      <c r="AF370">
        <v>1</v>
      </c>
      <c r="AG370">
        <v>1</v>
      </c>
      <c r="AH370">
        <v>0</v>
      </c>
      <c r="AI370">
        <v>1</v>
      </c>
      <c r="AJ370">
        <v>0</v>
      </c>
      <c r="AK370">
        <v>0</v>
      </c>
      <c r="AL370">
        <v>1</v>
      </c>
      <c r="AM370">
        <v>1</v>
      </c>
    </row>
    <row r="371" spans="1:39" x14ac:dyDescent="0.2">
      <c r="A371" t="str">
        <f>"367"</f>
        <v>367</v>
      </c>
      <c r="B371" t="str">
        <f t="shared" si="18"/>
        <v>1</v>
      </c>
      <c r="C371" t="str">
        <f t="shared" si="20"/>
        <v>8</v>
      </c>
      <c r="D371" t="str">
        <f>"36"</f>
        <v>36</v>
      </c>
      <c r="E371" t="str">
        <f>"1-8-36"</f>
        <v>1-8-36</v>
      </c>
      <c r="F371" t="s">
        <v>65</v>
      </c>
      <c r="G371" t="s">
        <v>66</v>
      </c>
      <c r="H371" t="s">
        <v>67</v>
      </c>
      <c r="S371">
        <v>1</v>
      </c>
      <c r="T371">
        <v>0</v>
      </c>
      <c r="U371">
        <v>0</v>
      </c>
      <c r="V371">
        <v>0</v>
      </c>
      <c r="W371">
        <v>1</v>
      </c>
      <c r="X371">
        <v>0</v>
      </c>
      <c r="Y371">
        <v>1</v>
      </c>
      <c r="Z371">
        <v>0</v>
      </c>
      <c r="AA371">
        <v>0</v>
      </c>
      <c r="AB371">
        <v>1</v>
      </c>
      <c r="AC371">
        <v>0</v>
      </c>
      <c r="AD371">
        <v>1</v>
      </c>
      <c r="AE371">
        <v>1</v>
      </c>
      <c r="AF371">
        <v>1</v>
      </c>
      <c r="AG371">
        <v>1</v>
      </c>
      <c r="AH371">
        <v>1</v>
      </c>
      <c r="AI371">
        <v>1</v>
      </c>
      <c r="AJ371">
        <v>1</v>
      </c>
      <c r="AK371">
        <v>1</v>
      </c>
      <c r="AL371">
        <v>1</v>
      </c>
      <c r="AM371">
        <v>1</v>
      </c>
    </row>
    <row r="372" spans="1:39" x14ac:dyDescent="0.2">
      <c r="A372" t="str">
        <f>"368"</f>
        <v>368</v>
      </c>
      <c r="B372" t="str">
        <f t="shared" si="18"/>
        <v>1</v>
      </c>
      <c r="C372" t="str">
        <f t="shared" si="20"/>
        <v>8</v>
      </c>
      <c r="D372" t="str">
        <f>"19"</f>
        <v>19</v>
      </c>
      <c r="E372" t="str">
        <f>"1-8-19"</f>
        <v>1-8-19</v>
      </c>
      <c r="F372" t="s">
        <v>65</v>
      </c>
      <c r="G372" t="s">
        <v>66</v>
      </c>
      <c r="H372" t="s">
        <v>67</v>
      </c>
      <c r="S372">
        <v>0</v>
      </c>
      <c r="T372">
        <v>1</v>
      </c>
      <c r="U372">
        <v>0</v>
      </c>
      <c r="V372">
        <v>0</v>
      </c>
      <c r="W372">
        <v>1</v>
      </c>
      <c r="X372">
        <v>0</v>
      </c>
      <c r="Y372">
        <v>0</v>
      </c>
      <c r="Z372">
        <v>1</v>
      </c>
      <c r="AA372">
        <v>0</v>
      </c>
      <c r="AB372">
        <v>0</v>
      </c>
      <c r="AC372">
        <v>1</v>
      </c>
      <c r="AD372">
        <v>1</v>
      </c>
      <c r="AE372">
        <v>1</v>
      </c>
      <c r="AF372">
        <v>1</v>
      </c>
      <c r="AG372">
        <v>1</v>
      </c>
      <c r="AH372">
        <v>0</v>
      </c>
      <c r="AI372">
        <v>1</v>
      </c>
      <c r="AJ372">
        <v>0</v>
      </c>
      <c r="AK372">
        <v>0</v>
      </c>
      <c r="AL372">
        <v>1</v>
      </c>
      <c r="AM372">
        <v>1</v>
      </c>
    </row>
    <row r="373" spans="1:39" x14ac:dyDescent="0.2">
      <c r="A373" t="str">
        <f>"369"</f>
        <v>369</v>
      </c>
      <c r="B373" t="str">
        <f t="shared" si="18"/>
        <v>1</v>
      </c>
      <c r="C373" t="str">
        <f t="shared" si="20"/>
        <v>8</v>
      </c>
      <c r="D373" t="str">
        <f>"7"</f>
        <v>7</v>
      </c>
      <c r="E373" t="str">
        <f>"1-8-7"</f>
        <v>1-8-7</v>
      </c>
      <c r="F373" t="s">
        <v>65</v>
      </c>
      <c r="G373" t="s">
        <v>66</v>
      </c>
      <c r="H373" t="s">
        <v>67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1</v>
      </c>
      <c r="Y373">
        <v>0</v>
      </c>
      <c r="Z373">
        <v>1</v>
      </c>
      <c r="AA373">
        <v>0</v>
      </c>
      <c r="AB373">
        <v>1</v>
      </c>
      <c r="AC373">
        <v>0</v>
      </c>
      <c r="AD373">
        <v>1</v>
      </c>
      <c r="AE373">
        <v>1</v>
      </c>
      <c r="AF373">
        <v>1</v>
      </c>
      <c r="AG373">
        <v>1</v>
      </c>
      <c r="AH373">
        <v>0</v>
      </c>
      <c r="AI373">
        <v>1</v>
      </c>
      <c r="AJ373">
        <v>1</v>
      </c>
      <c r="AK373">
        <v>1</v>
      </c>
      <c r="AL373">
        <v>1</v>
      </c>
      <c r="AM373">
        <v>1</v>
      </c>
    </row>
    <row r="374" spans="1:39" x14ac:dyDescent="0.2">
      <c r="A374" t="str">
        <f>"370"</f>
        <v>370</v>
      </c>
      <c r="B374" t="str">
        <f t="shared" si="18"/>
        <v>1</v>
      </c>
      <c r="C374" t="str">
        <f t="shared" si="20"/>
        <v>8</v>
      </c>
      <c r="D374" t="str">
        <f>"37"</f>
        <v>37</v>
      </c>
      <c r="E374" t="str">
        <f>"1-8-37"</f>
        <v>1-8-37</v>
      </c>
      <c r="F374" t="s">
        <v>65</v>
      </c>
      <c r="G374" t="s">
        <v>66</v>
      </c>
      <c r="H374" t="s">
        <v>67</v>
      </c>
      <c r="S374">
        <v>1</v>
      </c>
      <c r="T374">
        <v>0</v>
      </c>
      <c r="U374">
        <v>0</v>
      </c>
      <c r="V374">
        <v>0</v>
      </c>
      <c r="W374">
        <v>1</v>
      </c>
      <c r="X374">
        <v>0</v>
      </c>
      <c r="Y374">
        <v>1</v>
      </c>
      <c r="Z374">
        <v>0</v>
      </c>
      <c r="AA374">
        <v>0</v>
      </c>
      <c r="AB374">
        <v>1</v>
      </c>
      <c r="AC374">
        <v>0</v>
      </c>
      <c r="AD374">
        <v>1</v>
      </c>
      <c r="AE374">
        <v>1</v>
      </c>
      <c r="AF374">
        <v>1</v>
      </c>
      <c r="AG374">
        <v>1</v>
      </c>
      <c r="AH374">
        <v>1</v>
      </c>
      <c r="AI374">
        <v>1</v>
      </c>
      <c r="AJ374">
        <v>1</v>
      </c>
      <c r="AK374">
        <v>1</v>
      </c>
      <c r="AL374">
        <v>1</v>
      </c>
      <c r="AM374">
        <v>1</v>
      </c>
    </row>
    <row r="375" spans="1:39" x14ac:dyDescent="0.2">
      <c r="A375" t="str">
        <f>"371"</f>
        <v>371</v>
      </c>
      <c r="B375" t="str">
        <f t="shared" ref="B375:B438" si="21">"1"</f>
        <v>1</v>
      </c>
      <c r="C375" t="str">
        <f t="shared" si="20"/>
        <v>8</v>
      </c>
      <c r="D375" t="str">
        <f>"20"</f>
        <v>20</v>
      </c>
      <c r="E375" t="str">
        <f>"1-8-20"</f>
        <v>1-8-20</v>
      </c>
      <c r="F375" t="s">
        <v>65</v>
      </c>
      <c r="G375" t="s">
        <v>66</v>
      </c>
      <c r="H375" t="s">
        <v>67</v>
      </c>
      <c r="S375">
        <v>0</v>
      </c>
      <c r="T375">
        <v>1</v>
      </c>
      <c r="U375">
        <v>0</v>
      </c>
      <c r="V375">
        <v>0</v>
      </c>
      <c r="W375">
        <v>1</v>
      </c>
      <c r="X375">
        <v>0</v>
      </c>
      <c r="Y375">
        <v>0</v>
      </c>
      <c r="Z375">
        <v>1</v>
      </c>
      <c r="AA375">
        <v>0</v>
      </c>
      <c r="AB375">
        <v>0</v>
      </c>
      <c r="AC375">
        <v>1</v>
      </c>
      <c r="AD375">
        <v>1</v>
      </c>
      <c r="AE375">
        <v>1</v>
      </c>
      <c r="AF375">
        <v>1</v>
      </c>
      <c r="AG375">
        <v>1</v>
      </c>
      <c r="AH375">
        <v>1</v>
      </c>
      <c r="AI375">
        <v>1</v>
      </c>
      <c r="AJ375">
        <v>0</v>
      </c>
      <c r="AK375">
        <v>1</v>
      </c>
      <c r="AL375">
        <v>1</v>
      </c>
      <c r="AM375">
        <v>1</v>
      </c>
    </row>
    <row r="376" spans="1:39" x14ac:dyDescent="0.2">
      <c r="A376" t="str">
        <f>"372"</f>
        <v>372</v>
      </c>
      <c r="B376" t="str">
        <f t="shared" si="21"/>
        <v>1</v>
      </c>
      <c r="C376" t="str">
        <f t="shared" si="20"/>
        <v>8</v>
      </c>
      <c r="D376" t="str">
        <f>"11"</f>
        <v>11</v>
      </c>
      <c r="E376" t="str">
        <f>"1-8-11"</f>
        <v>1-8-11</v>
      </c>
      <c r="F376" t="s">
        <v>65</v>
      </c>
      <c r="G376" t="s">
        <v>66</v>
      </c>
      <c r="H376" t="s">
        <v>67</v>
      </c>
      <c r="S376">
        <v>1</v>
      </c>
      <c r="T376">
        <v>0</v>
      </c>
      <c r="U376">
        <v>0</v>
      </c>
      <c r="V376">
        <v>0</v>
      </c>
      <c r="W376">
        <v>1</v>
      </c>
      <c r="X376">
        <v>0</v>
      </c>
      <c r="Y376">
        <v>0</v>
      </c>
      <c r="Z376">
        <v>1</v>
      </c>
      <c r="AA376">
        <v>0</v>
      </c>
      <c r="AB376">
        <v>1</v>
      </c>
      <c r="AC376">
        <v>0</v>
      </c>
      <c r="AD376">
        <v>1</v>
      </c>
      <c r="AE376">
        <v>1</v>
      </c>
      <c r="AF376">
        <v>1</v>
      </c>
      <c r="AG376">
        <v>1</v>
      </c>
      <c r="AH376">
        <v>1</v>
      </c>
      <c r="AI376">
        <v>1</v>
      </c>
      <c r="AJ376">
        <v>1</v>
      </c>
      <c r="AK376">
        <v>1</v>
      </c>
      <c r="AL376">
        <v>1</v>
      </c>
      <c r="AM376">
        <v>0</v>
      </c>
    </row>
    <row r="377" spans="1:39" x14ac:dyDescent="0.2">
      <c r="A377" t="str">
        <f>"373"</f>
        <v>373</v>
      </c>
      <c r="B377" t="str">
        <f t="shared" si="21"/>
        <v>1</v>
      </c>
      <c r="C377" t="str">
        <f t="shared" si="20"/>
        <v>8</v>
      </c>
      <c r="D377" t="str">
        <f>"21"</f>
        <v>21</v>
      </c>
      <c r="E377" t="str">
        <f>"1-8-21"</f>
        <v>1-8-21</v>
      </c>
      <c r="F377" t="s">
        <v>65</v>
      </c>
      <c r="G377" t="s">
        <v>66</v>
      </c>
      <c r="H377" t="s">
        <v>67</v>
      </c>
      <c r="S377">
        <v>0</v>
      </c>
      <c r="T377">
        <v>1</v>
      </c>
      <c r="U377">
        <v>0</v>
      </c>
      <c r="V377">
        <v>0</v>
      </c>
      <c r="W377">
        <v>1</v>
      </c>
      <c r="X377">
        <v>0</v>
      </c>
      <c r="Y377">
        <v>0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1</v>
      </c>
      <c r="AH377">
        <v>1</v>
      </c>
      <c r="AI377">
        <v>1</v>
      </c>
      <c r="AJ377">
        <v>0</v>
      </c>
      <c r="AK377">
        <v>0</v>
      </c>
      <c r="AL377">
        <v>1</v>
      </c>
      <c r="AM377">
        <v>1</v>
      </c>
    </row>
    <row r="378" spans="1:39" x14ac:dyDescent="0.2">
      <c r="A378" t="str">
        <f>"374"</f>
        <v>374</v>
      </c>
      <c r="B378" t="str">
        <f t="shared" si="21"/>
        <v>1</v>
      </c>
      <c r="C378" t="str">
        <f t="shared" si="20"/>
        <v>8</v>
      </c>
      <c r="D378" t="str">
        <f>"8"</f>
        <v>8</v>
      </c>
      <c r="E378" t="str">
        <f>"1-8-8"</f>
        <v>1-8-8</v>
      </c>
      <c r="F378" t="s">
        <v>65</v>
      </c>
      <c r="G378" t="s">
        <v>66</v>
      </c>
      <c r="H378" t="s">
        <v>67</v>
      </c>
      <c r="S378">
        <v>0</v>
      </c>
      <c r="T378">
        <v>1</v>
      </c>
      <c r="U378">
        <v>0</v>
      </c>
      <c r="V378">
        <v>0</v>
      </c>
      <c r="W378">
        <v>0</v>
      </c>
      <c r="X378">
        <v>1</v>
      </c>
      <c r="Y378">
        <v>0</v>
      </c>
      <c r="Z378">
        <v>1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</row>
    <row r="379" spans="1:39" x14ac:dyDescent="0.2">
      <c r="A379" t="str">
        <f>"375"</f>
        <v>375</v>
      </c>
      <c r="B379" t="str">
        <f t="shared" si="21"/>
        <v>1</v>
      </c>
      <c r="C379" t="str">
        <f t="shared" si="20"/>
        <v>8</v>
      </c>
      <c r="D379" t="str">
        <f>"38"</f>
        <v>38</v>
      </c>
      <c r="E379" t="str">
        <f>"1-8-38"</f>
        <v>1-8-38</v>
      </c>
      <c r="F379" t="s">
        <v>65</v>
      </c>
      <c r="G379" t="s">
        <v>66</v>
      </c>
      <c r="H379" t="s">
        <v>67</v>
      </c>
      <c r="S379">
        <v>0</v>
      </c>
      <c r="T379">
        <v>1</v>
      </c>
      <c r="U379">
        <v>0</v>
      </c>
      <c r="V379">
        <v>0</v>
      </c>
      <c r="W379">
        <v>0</v>
      </c>
      <c r="X379">
        <v>1</v>
      </c>
      <c r="Y379">
        <v>1</v>
      </c>
      <c r="Z379">
        <v>0</v>
      </c>
      <c r="AA379">
        <v>0</v>
      </c>
      <c r="AB379">
        <v>1</v>
      </c>
      <c r="AC379">
        <v>0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</row>
    <row r="380" spans="1:39" x14ac:dyDescent="0.2">
      <c r="A380" t="str">
        <f>"376"</f>
        <v>376</v>
      </c>
      <c r="B380" t="str">
        <f t="shared" si="21"/>
        <v>1</v>
      </c>
      <c r="C380" t="str">
        <f t="shared" si="20"/>
        <v>8</v>
      </c>
      <c r="D380" t="str">
        <f>"22"</f>
        <v>22</v>
      </c>
      <c r="E380" t="str">
        <f>"1-8-22"</f>
        <v>1-8-22</v>
      </c>
      <c r="F380" t="s">
        <v>65</v>
      </c>
      <c r="G380" t="s">
        <v>66</v>
      </c>
      <c r="H380" t="s">
        <v>67</v>
      </c>
      <c r="S380">
        <v>1</v>
      </c>
      <c r="T380">
        <v>0</v>
      </c>
      <c r="U380">
        <v>0</v>
      </c>
      <c r="V380">
        <v>0</v>
      </c>
      <c r="W380">
        <v>1</v>
      </c>
      <c r="X380">
        <v>0</v>
      </c>
      <c r="Y380">
        <v>1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1</v>
      </c>
      <c r="AF380">
        <v>1</v>
      </c>
      <c r="AG380">
        <v>1</v>
      </c>
      <c r="AH380">
        <v>0</v>
      </c>
      <c r="AI380">
        <v>1</v>
      </c>
      <c r="AJ380">
        <v>1</v>
      </c>
      <c r="AK380">
        <v>1</v>
      </c>
      <c r="AL380">
        <v>1</v>
      </c>
      <c r="AM380">
        <v>0</v>
      </c>
    </row>
    <row r="381" spans="1:39" x14ac:dyDescent="0.2">
      <c r="A381" t="str">
        <f>"377"</f>
        <v>377</v>
      </c>
      <c r="B381" t="str">
        <f t="shared" si="21"/>
        <v>1</v>
      </c>
      <c r="C381" t="str">
        <f t="shared" si="20"/>
        <v>8</v>
      </c>
      <c r="D381" t="str">
        <f>"12"</f>
        <v>12</v>
      </c>
      <c r="E381" t="str">
        <f>"1-8-12"</f>
        <v>1-8-12</v>
      </c>
      <c r="F381" t="s">
        <v>65</v>
      </c>
      <c r="G381" t="s">
        <v>66</v>
      </c>
      <c r="H381" t="s">
        <v>67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1</v>
      </c>
      <c r="Y381">
        <v>0</v>
      </c>
      <c r="Z381">
        <v>1</v>
      </c>
      <c r="AA381">
        <v>0</v>
      </c>
      <c r="AB381">
        <v>0</v>
      </c>
      <c r="AC381">
        <v>1</v>
      </c>
      <c r="AD381">
        <v>1</v>
      </c>
      <c r="AE381">
        <v>1</v>
      </c>
      <c r="AF381">
        <v>1</v>
      </c>
      <c r="AG381">
        <v>1</v>
      </c>
      <c r="AH381">
        <v>1</v>
      </c>
      <c r="AI381">
        <v>1</v>
      </c>
      <c r="AJ381">
        <v>1</v>
      </c>
      <c r="AK381">
        <v>1</v>
      </c>
      <c r="AL381">
        <v>1</v>
      </c>
      <c r="AM381">
        <v>1</v>
      </c>
    </row>
    <row r="382" spans="1:39" x14ac:dyDescent="0.2">
      <c r="A382" t="str">
        <f>"378"</f>
        <v>378</v>
      </c>
      <c r="B382" t="str">
        <f t="shared" si="21"/>
        <v>1</v>
      </c>
      <c r="C382" t="str">
        <f t="shared" si="20"/>
        <v>8</v>
      </c>
      <c r="D382" t="str">
        <f>"48"</f>
        <v>48</v>
      </c>
      <c r="E382" t="str">
        <f>"1-8-48"</f>
        <v>1-8-48</v>
      </c>
      <c r="F382" t="s">
        <v>65</v>
      </c>
      <c r="G382" t="s">
        <v>66</v>
      </c>
      <c r="H382" t="s">
        <v>67</v>
      </c>
      <c r="S382">
        <v>0</v>
      </c>
      <c r="T382">
        <v>1</v>
      </c>
      <c r="U382">
        <v>0</v>
      </c>
      <c r="V382">
        <v>0</v>
      </c>
      <c r="W382">
        <v>1</v>
      </c>
      <c r="X382">
        <v>0</v>
      </c>
      <c r="Y382">
        <v>1</v>
      </c>
      <c r="Z382">
        <v>0</v>
      </c>
      <c r="AA382">
        <v>0</v>
      </c>
      <c r="AB382">
        <v>1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</row>
    <row r="383" spans="1:39" x14ac:dyDescent="0.2">
      <c r="A383" t="str">
        <f>"379"</f>
        <v>379</v>
      </c>
      <c r="B383" t="str">
        <f t="shared" si="21"/>
        <v>1</v>
      </c>
      <c r="C383" t="str">
        <f t="shared" si="20"/>
        <v>8</v>
      </c>
      <c r="D383" t="str">
        <f>"23"</f>
        <v>23</v>
      </c>
      <c r="E383" t="str">
        <f>"1-8-23"</f>
        <v>1-8-23</v>
      </c>
      <c r="F383" t="s">
        <v>65</v>
      </c>
      <c r="G383" t="s">
        <v>66</v>
      </c>
      <c r="H383" t="s">
        <v>67</v>
      </c>
      <c r="S383">
        <v>0</v>
      </c>
      <c r="T383">
        <v>1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1</v>
      </c>
      <c r="AF383">
        <v>1</v>
      </c>
      <c r="AG383">
        <v>1</v>
      </c>
      <c r="AH383">
        <v>1</v>
      </c>
      <c r="AI383">
        <v>1</v>
      </c>
      <c r="AJ383">
        <v>1</v>
      </c>
      <c r="AK383">
        <v>1</v>
      </c>
      <c r="AL383">
        <v>1</v>
      </c>
      <c r="AM383">
        <v>1</v>
      </c>
    </row>
    <row r="384" spans="1:39" x14ac:dyDescent="0.2">
      <c r="A384" t="str">
        <f>"380"</f>
        <v>380</v>
      </c>
      <c r="B384" t="str">
        <f t="shared" si="21"/>
        <v>1</v>
      </c>
      <c r="C384" t="str">
        <f t="shared" si="20"/>
        <v>8</v>
      </c>
      <c r="D384" t="str">
        <f>"14"</f>
        <v>14</v>
      </c>
      <c r="E384" t="str">
        <f>"1-8-14"</f>
        <v>1-8-14</v>
      </c>
      <c r="F384" t="s">
        <v>65</v>
      </c>
      <c r="G384" t="s">
        <v>66</v>
      </c>
      <c r="H384" t="s">
        <v>67</v>
      </c>
      <c r="S384">
        <v>1</v>
      </c>
      <c r="T384">
        <v>0</v>
      </c>
      <c r="U384">
        <v>0</v>
      </c>
      <c r="V384">
        <v>0</v>
      </c>
      <c r="W384">
        <v>0</v>
      </c>
      <c r="X384">
        <v>1</v>
      </c>
      <c r="Y384">
        <v>0</v>
      </c>
      <c r="Z384">
        <v>1</v>
      </c>
      <c r="AA384">
        <v>0</v>
      </c>
      <c r="AB384">
        <v>1</v>
      </c>
      <c r="AC384">
        <v>0</v>
      </c>
      <c r="AD384">
        <v>1</v>
      </c>
      <c r="AE384">
        <v>1</v>
      </c>
      <c r="AF384">
        <v>1</v>
      </c>
      <c r="AG384">
        <v>1</v>
      </c>
      <c r="AH384">
        <v>1</v>
      </c>
      <c r="AI384">
        <v>1</v>
      </c>
      <c r="AJ384">
        <v>1</v>
      </c>
      <c r="AK384">
        <v>1</v>
      </c>
      <c r="AL384">
        <v>1</v>
      </c>
      <c r="AM384">
        <v>1</v>
      </c>
    </row>
    <row r="385" spans="1:39" x14ac:dyDescent="0.2">
      <c r="A385" t="str">
        <f>"381"</f>
        <v>381</v>
      </c>
      <c r="B385" t="str">
        <f t="shared" si="21"/>
        <v>1</v>
      </c>
      <c r="C385" t="str">
        <f t="shared" si="20"/>
        <v>8</v>
      </c>
      <c r="D385" t="str">
        <f>"40"</f>
        <v>40</v>
      </c>
      <c r="E385" t="str">
        <f>"1-8-40"</f>
        <v>1-8-40</v>
      </c>
      <c r="F385" t="s">
        <v>65</v>
      </c>
      <c r="G385" t="s">
        <v>66</v>
      </c>
      <c r="H385" t="s">
        <v>67</v>
      </c>
      <c r="S385">
        <v>0</v>
      </c>
      <c r="T385">
        <v>1</v>
      </c>
      <c r="U385">
        <v>0</v>
      </c>
      <c r="V385">
        <v>0</v>
      </c>
      <c r="W385">
        <v>1</v>
      </c>
      <c r="X385">
        <v>0</v>
      </c>
      <c r="Y385">
        <v>0</v>
      </c>
      <c r="Z385">
        <v>1</v>
      </c>
      <c r="AA385">
        <v>0</v>
      </c>
      <c r="AB385">
        <v>0</v>
      </c>
      <c r="AC385">
        <v>1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</row>
    <row r="386" spans="1:39" x14ac:dyDescent="0.2">
      <c r="A386" t="str">
        <f>"382"</f>
        <v>382</v>
      </c>
      <c r="B386" t="str">
        <f t="shared" si="21"/>
        <v>1</v>
      </c>
      <c r="C386" t="str">
        <f t="shared" si="20"/>
        <v>8</v>
      </c>
      <c r="D386" t="str">
        <f>"25"</f>
        <v>25</v>
      </c>
      <c r="E386" t="str">
        <f>"1-8-25"</f>
        <v>1-8-25</v>
      </c>
      <c r="F386" t="s">
        <v>65</v>
      </c>
      <c r="G386" t="s">
        <v>66</v>
      </c>
      <c r="H386" t="s">
        <v>67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1</v>
      </c>
      <c r="Y386">
        <v>0</v>
      </c>
      <c r="Z386">
        <v>1</v>
      </c>
      <c r="AA386">
        <v>0</v>
      </c>
      <c r="AB386">
        <v>0</v>
      </c>
      <c r="AC386">
        <v>1</v>
      </c>
      <c r="AD386">
        <v>0</v>
      </c>
      <c r="AE386">
        <v>0</v>
      </c>
      <c r="AF386">
        <v>0</v>
      </c>
      <c r="AG386">
        <v>1</v>
      </c>
      <c r="AH386">
        <v>1</v>
      </c>
      <c r="AI386">
        <v>1</v>
      </c>
      <c r="AJ386">
        <v>1</v>
      </c>
      <c r="AK386">
        <v>1</v>
      </c>
      <c r="AL386">
        <v>1</v>
      </c>
      <c r="AM386">
        <v>1</v>
      </c>
    </row>
    <row r="387" spans="1:39" x14ac:dyDescent="0.2">
      <c r="A387" t="str">
        <f>"383"</f>
        <v>383</v>
      </c>
      <c r="B387" t="str">
        <f t="shared" si="21"/>
        <v>1</v>
      </c>
      <c r="C387" t="str">
        <f t="shared" ref="C387:C404" si="22">"8"</f>
        <v>8</v>
      </c>
      <c r="D387" t="str">
        <f>"9"</f>
        <v>9</v>
      </c>
      <c r="E387" t="str">
        <f>"1-8-9"</f>
        <v>1-8-9</v>
      </c>
      <c r="F387" t="s">
        <v>65</v>
      </c>
      <c r="G387" t="s">
        <v>66</v>
      </c>
      <c r="H387" t="s">
        <v>67</v>
      </c>
      <c r="S387">
        <v>0</v>
      </c>
      <c r="T387">
        <v>1</v>
      </c>
      <c r="U387">
        <v>0</v>
      </c>
      <c r="V387">
        <v>0</v>
      </c>
      <c r="W387">
        <v>0</v>
      </c>
      <c r="X387">
        <v>1</v>
      </c>
      <c r="Y387">
        <v>1</v>
      </c>
      <c r="Z387">
        <v>0</v>
      </c>
      <c r="AA387">
        <v>0</v>
      </c>
      <c r="AB387">
        <v>1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</row>
    <row r="388" spans="1:39" x14ac:dyDescent="0.2">
      <c r="A388" t="str">
        <f>"384"</f>
        <v>384</v>
      </c>
      <c r="B388" t="str">
        <f t="shared" si="21"/>
        <v>1</v>
      </c>
      <c r="C388" t="str">
        <f t="shared" si="22"/>
        <v>8</v>
      </c>
      <c r="D388" t="str">
        <f>"43"</f>
        <v>43</v>
      </c>
      <c r="E388" t="str">
        <f>"1-8-43"</f>
        <v>1-8-43</v>
      </c>
      <c r="F388" t="s">
        <v>65</v>
      </c>
      <c r="G388" t="s">
        <v>66</v>
      </c>
      <c r="H388" t="s">
        <v>67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1</v>
      </c>
      <c r="Y388">
        <v>1</v>
      </c>
      <c r="Z388">
        <v>0</v>
      </c>
      <c r="AA388">
        <v>0</v>
      </c>
      <c r="AB388">
        <v>0</v>
      </c>
      <c r="AC388">
        <v>1</v>
      </c>
      <c r="AD388">
        <v>1</v>
      </c>
      <c r="AE388">
        <v>1</v>
      </c>
      <c r="AF388">
        <v>1</v>
      </c>
      <c r="AG388">
        <v>1</v>
      </c>
      <c r="AH388">
        <v>0</v>
      </c>
      <c r="AI388">
        <v>1</v>
      </c>
      <c r="AJ388">
        <v>1</v>
      </c>
      <c r="AK388">
        <v>1</v>
      </c>
      <c r="AL388">
        <v>1</v>
      </c>
      <c r="AM388">
        <v>1</v>
      </c>
    </row>
    <row r="389" spans="1:39" x14ac:dyDescent="0.2">
      <c r="A389" t="str">
        <f>"385"</f>
        <v>385</v>
      </c>
      <c r="B389" t="str">
        <f t="shared" si="21"/>
        <v>1</v>
      </c>
      <c r="C389" t="str">
        <f t="shared" si="22"/>
        <v>8</v>
      </c>
      <c r="D389" t="str">
        <f>"26"</f>
        <v>26</v>
      </c>
      <c r="E389" t="str">
        <f>"1-8-26"</f>
        <v>1-8-26</v>
      </c>
      <c r="F389" t="s">
        <v>65</v>
      </c>
      <c r="G389" t="s">
        <v>66</v>
      </c>
      <c r="H389" t="s">
        <v>67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1</v>
      </c>
      <c r="Y389">
        <v>0</v>
      </c>
      <c r="Z389">
        <v>1</v>
      </c>
      <c r="AA389">
        <v>1</v>
      </c>
      <c r="AB389">
        <v>0</v>
      </c>
      <c r="AC389">
        <v>0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1</v>
      </c>
      <c r="AM389">
        <v>1</v>
      </c>
    </row>
    <row r="390" spans="1:39" x14ac:dyDescent="0.2">
      <c r="A390" t="str">
        <f>"386"</f>
        <v>386</v>
      </c>
      <c r="B390" t="str">
        <f t="shared" si="21"/>
        <v>1</v>
      </c>
      <c r="C390" t="str">
        <f t="shared" si="22"/>
        <v>8</v>
      </c>
      <c r="D390" t="str">
        <f>"13"</f>
        <v>13</v>
      </c>
      <c r="E390" t="str">
        <f>"1-8-13"</f>
        <v>1-8-13</v>
      </c>
      <c r="F390" t="s">
        <v>65</v>
      </c>
      <c r="G390" t="s">
        <v>66</v>
      </c>
      <c r="H390" t="s">
        <v>67</v>
      </c>
      <c r="S390">
        <v>1</v>
      </c>
      <c r="T390">
        <v>0</v>
      </c>
      <c r="U390">
        <v>0</v>
      </c>
      <c r="V390">
        <v>0</v>
      </c>
      <c r="W390">
        <v>1</v>
      </c>
      <c r="X390">
        <v>0</v>
      </c>
      <c r="Y390">
        <v>1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1</v>
      </c>
      <c r="AF390">
        <v>1</v>
      </c>
      <c r="AG390">
        <v>1</v>
      </c>
      <c r="AH390">
        <v>1</v>
      </c>
      <c r="AI390">
        <v>1</v>
      </c>
      <c r="AJ390">
        <v>1</v>
      </c>
      <c r="AK390">
        <v>1</v>
      </c>
      <c r="AL390">
        <v>1</v>
      </c>
      <c r="AM390">
        <v>1</v>
      </c>
    </row>
    <row r="391" spans="1:39" x14ac:dyDescent="0.2">
      <c r="A391" t="str">
        <f>"387"</f>
        <v>387</v>
      </c>
      <c r="B391" t="str">
        <f t="shared" si="21"/>
        <v>1</v>
      </c>
      <c r="C391" t="str">
        <f t="shared" si="22"/>
        <v>8</v>
      </c>
      <c r="D391" t="str">
        <f>"46"</f>
        <v>46</v>
      </c>
      <c r="E391" t="str">
        <f>"1-8-46"</f>
        <v>1-8-46</v>
      </c>
      <c r="F391" t="s">
        <v>65</v>
      </c>
      <c r="G391" t="s">
        <v>66</v>
      </c>
      <c r="H391" t="s">
        <v>67</v>
      </c>
      <c r="S391">
        <v>1</v>
      </c>
      <c r="T391">
        <v>0</v>
      </c>
      <c r="U391">
        <v>0</v>
      </c>
      <c r="V391">
        <v>0</v>
      </c>
      <c r="W391">
        <v>1</v>
      </c>
      <c r="X391">
        <v>0</v>
      </c>
      <c r="Y391">
        <v>0</v>
      </c>
      <c r="Z391">
        <v>1</v>
      </c>
      <c r="AA391">
        <v>1</v>
      </c>
      <c r="AB391">
        <v>0</v>
      </c>
      <c r="AC391">
        <v>0</v>
      </c>
      <c r="AD391">
        <v>1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  <c r="AL391">
        <v>1</v>
      </c>
      <c r="AM391">
        <v>1</v>
      </c>
    </row>
    <row r="392" spans="1:39" x14ac:dyDescent="0.2">
      <c r="A392" t="str">
        <f>"388"</f>
        <v>388</v>
      </c>
      <c r="B392" t="str">
        <f t="shared" si="21"/>
        <v>1</v>
      </c>
      <c r="C392" t="str">
        <f t="shared" si="22"/>
        <v>8</v>
      </c>
      <c r="D392" t="str">
        <f>"27"</f>
        <v>27</v>
      </c>
      <c r="E392" t="str">
        <f>"1-8-27"</f>
        <v>1-8-27</v>
      </c>
      <c r="F392" t="s">
        <v>65</v>
      </c>
      <c r="G392" t="s">
        <v>66</v>
      </c>
      <c r="H392" t="s">
        <v>67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0</v>
      </c>
      <c r="AB392">
        <v>1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1</v>
      </c>
      <c r="AI392">
        <v>0</v>
      </c>
      <c r="AJ392">
        <v>0</v>
      </c>
      <c r="AK392">
        <v>0</v>
      </c>
      <c r="AL392">
        <v>0</v>
      </c>
      <c r="AM392">
        <v>0</v>
      </c>
    </row>
    <row r="393" spans="1:39" x14ac:dyDescent="0.2">
      <c r="A393" t="str">
        <f>"389"</f>
        <v>389</v>
      </c>
      <c r="B393" t="str">
        <f t="shared" si="21"/>
        <v>1</v>
      </c>
      <c r="C393" t="str">
        <f t="shared" si="22"/>
        <v>8</v>
      </c>
      <c r="D393" t="str">
        <f>"4"</f>
        <v>4</v>
      </c>
      <c r="E393" t="str">
        <f>"1-8-4"</f>
        <v>1-8-4</v>
      </c>
      <c r="F393" t="s">
        <v>65</v>
      </c>
      <c r="G393" t="s">
        <v>66</v>
      </c>
      <c r="H393" t="s">
        <v>67</v>
      </c>
      <c r="S393">
        <v>1</v>
      </c>
      <c r="T393">
        <v>0</v>
      </c>
      <c r="U393">
        <v>0</v>
      </c>
      <c r="V393">
        <v>0</v>
      </c>
      <c r="W393">
        <v>1</v>
      </c>
      <c r="X393">
        <v>0</v>
      </c>
      <c r="Y393">
        <v>0</v>
      </c>
      <c r="Z393">
        <v>1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1</v>
      </c>
      <c r="AG393">
        <v>1</v>
      </c>
      <c r="AH393">
        <v>1</v>
      </c>
      <c r="AI393">
        <v>1</v>
      </c>
      <c r="AJ393">
        <v>1</v>
      </c>
      <c r="AK393">
        <v>1</v>
      </c>
      <c r="AL393">
        <v>1</v>
      </c>
      <c r="AM393">
        <v>1</v>
      </c>
    </row>
    <row r="394" spans="1:39" x14ac:dyDescent="0.2">
      <c r="A394" t="str">
        <f>"390"</f>
        <v>390</v>
      </c>
      <c r="B394" t="str">
        <f t="shared" si="21"/>
        <v>1</v>
      </c>
      <c r="C394" t="str">
        <f t="shared" si="22"/>
        <v>8</v>
      </c>
      <c r="D394" t="str">
        <f>"45"</f>
        <v>45</v>
      </c>
      <c r="E394" t="str">
        <f>"1-8-45"</f>
        <v>1-8-45</v>
      </c>
      <c r="F394" t="s">
        <v>65</v>
      </c>
      <c r="G394" t="s">
        <v>66</v>
      </c>
      <c r="H394" t="s">
        <v>67</v>
      </c>
      <c r="S394">
        <v>0</v>
      </c>
      <c r="T394">
        <v>1</v>
      </c>
      <c r="U394">
        <v>0</v>
      </c>
      <c r="V394">
        <v>0</v>
      </c>
      <c r="W394">
        <v>1</v>
      </c>
      <c r="X394">
        <v>0</v>
      </c>
      <c r="Y394">
        <v>1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1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1</v>
      </c>
      <c r="AL394">
        <v>1</v>
      </c>
      <c r="AM394">
        <v>1</v>
      </c>
    </row>
    <row r="395" spans="1:39" x14ac:dyDescent="0.2">
      <c r="A395" t="str">
        <f>"391"</f>
        <v>391</v>
      </c>
      <c r="B395" t="str">
        <f t="shared" si="21"/>
        <v>1</v>
      </c>
      <c r="C395" t="str">
        <f t="shared" si="22"/>
        <v>8</v>
      </c>
      <c r="D395" t="str">
        <f>"28"</f>
        <v>28</v>
      </c>
      <c r="E395" t="str">
        <f>"1-8-28"</f>
        <v>1-8-28</v>
      </c>
      <c r="F395" t="s">
        <v>65</v>
      </c>
      <c r="G395" t="s">
        <v>66</v>
      </c>
      <c r="H395" t="s">
        <v>67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1</v>
      </c>
      <c r="AA395">
        <v>0</v>
      </c>
      <c r="AB395">
        <v>0</v>
      </c>
      <c r="AC395">
        <v>1</v>
      </c>
      <c r="AD395">
        <v>1</v>
      </c>
      <c r="AE395">
        <v>1</v>
      </c>
      <c r="AF395">
        <v>1</v>
      </c>
      <c r="AG395">
        <v>1</v>
      </c>
      <c r="AH395">
        <v>1</v>
      </c>
      <c r="AI395">
        <v>1</v>
      </c>
      <c r="AJ395">
        <v>1</v>
      </c>
      <c r="AK395">
        <v>1</v>
      </c>
      <c r="AL395">
        <v>1</v>
      </c>
      <c r="AM395">
        <v>1</v>
      </c>
    </row>
    <row r="396" spans="1:39" x14ac:dyDescent="0.2">
      <c r="A396" t="str">
        <f>"392"</f>
        <v>392</v>
      </c>
      <c r="B396" t="str">
        <f t="shared" si="21"/>
        <v>1</v>
      </c>
      <c r="C396" t="str">
        <f t="shared" si="22"/>
        <v>8</v>
      </c>
      <c r="D396" t="str">
        <f>"5"</f>
        <v>5</v>
      </c>
      <c r="E396" t="str">
        <f>"1-8-5"</f>
        <v>1-8-5</v>
      </c>
      <c r="F396" t="s">
        <v>65</v>
      </c>
      <c r="G396" t="s">
        <v>66</v>
      </c>
      <c r="H396" t="s">
        <v>67</v>
      </c>
      <c r="S396">
        <v>0</v>
      </c>
      <c r="T396">
        <v>1</v>
      </c>
      <c r="U396">
        <v>0</v>
      </c>
      <c r="V396">
        <v>0</v>
      </c>
      <c r="W396">
        <v>1</v>
      </c>
      <c r="X396">
        <v>0</v>
      </c>
      <c r="Y396">
        <v>1</v>
      </c>
      <c r="Z396">
        <v>0</v>
      </c>
      <c r="AA396">
        <v>1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1</v>
      </c>
      <c r="AI396">
        <v>0</v>
      </c>
      <c r="AJ396">
        <v>0</v>
      </c>
      <c r="AK396">
        <v>0</v>
      </c>
      <c r="AL396">
        <v>1</v>
      </c>
      <c r="AM396">
        <v>0</v>
      </c>
    </row>
    <row r="397" spans="1:39" x14ac:dyDescent="0.2">
      <c r="A397" t="str">
        <f>"393"</f>
        <v>393</v>
      </c>
      <c r="B397" t="str">
        <f t="shared" si="21"/>
        <v>1</v>
      </c>
      <c r="C397" t="str">
        <f t="shared" si="22"/>
        <v>8</v>
      </c>
      <c r="D397" t="str">
        <f>"44"</f>
        <v>44</v>
      </c>
      <c r="E397" t="str">
        <f>"1-8-44"</f>
        <v>1-8-44</v>
      </c>
      <c r="F397" t="s">
        <v>65</v>
      </c>
      <c r="G397" t="s">
        <v>66</v>
      </c>
      <c r="H397" t="s">
        <v>67</v>
      </c>
      <c r="S397">
        <v>0</v>
      </c>
      <c r="T397">
        <v>1</v>
      </c>
      <c r="U397">
        <v>0</v>
      </c>
      <c r="V397">
        <v>0</v>
      </c>
      <c r="W397">
        <v>1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</v>
      </c>
      <c r="AD397">
        <v>0</v>
      </c>
      <c r="AE397">
        <v>1</v>
      </c>
      <c r="AF397">
        <v>0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</row>
    <row r="398" spans="1:39" x14ac:dyDescent="0.2">
      <c r="A398" t="str">
        <f>"394"</f>
        <v>394</v>
      </c>
      <c r="B398" t="str">
        <f t="shared" si="21"/>
        <v>1</v>
      </c>
      <c r="C398" t="str">
        <f t="shared" si="22"/>
        <v>8</v>
      </c>
      <c r="D398" t="str">
        <f>"29"</f>
        <v>29</v>
      </c>
      <c r="E398" t="str">
        <f>"1-8-29"</f>
        <v>1-8-29</v>
      </c>
      <c r="F398" t="s">
        <v>65</v>
      </c>
      <c r="G398" t="s">
        <v>66</v>
      </c>
      <c r="H398" t="s">
        <v>67</v>
      </c>
      <c r="S398">
        <v>0</v>
      </c>
      <c r="T398">
        <v>1</v>
      </c>
      <c r="U398">
        <v>0</v>
      </c>
      <c r="V398">
        <v>0</v>
      </c>
      <c r="W398">
        <v>1</v>
      </c>
      <c r="X398">
        <v>0</v>
      </c>
      <c r="Y398">
        <v>1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1</v>
      </c>
      <c r="AF398">
        <v>1</v>
      </c>
      <c r="AG398">
        <v>1</v>
      </c>
      <c r="AH398">
        <v>1</v>
      </c>
      <c r="AI398">
        <v>1</v>
      </c>
      <c r="AJ398">
        <v>1</v>
      </c>
      <c r="AK398">
        <v>1</v>
      </c>
      <c r="AL398">
        <v>1</v>
      </c>
      <c r="AM398">
        <v>1</v>
      </c>
    </row>
    <row r="399" spans="1:39" x14ac:dyDescent="0.2">
      <c r="A399" t="str">
        <f>"395"</f>
        <v>395</v>
      </c>
      <c r="B399" t="str">
        <f t="shared" si="21"/>
        <v>1</v>
      </c>
      <c r="C399" t="str">
        <f t="shared" si="22"/>
        <v>8</v>
      </c>
      <c r="D399" t="str">
        <f>"6"</f>
        <v>6</v>
      </c>
      <c r="E399" t="str">
        <f>"1-8-6"</f>
        <v>1-8-6</v>
      </c>
      <c r="F399" t="s">
        <v>65</v>
      </c>
      <c r="G399" t="s">
        <v>66</v>
      </c>
      <c r="H399" t="s">
        <v>67</v>
      </c>
      <c r="S399">
        <v>1</v>
      </c>
      <c r="T399">
        <v>0</v>
      </c>
      <c r="U399">
        <v>0</v>
      </c>
      <c r="V399">
        <v>0</v>
      </c>
      <c r="W399">
        <v>1</v>
      </c>
      <c r="X399">
        <v>0</v>
      </c>
      <c r="Y399">
        <v>1</v>
      </c>
      <c r="Z399">
        <v>0</v>
      </c>
      <c r="AA399">
        <v>0</v>
      </c>
      <c r="AB399">
        <v>1</v>
      </c>
      <c r="AC399">
        <v>0</v>
      </c>
      <c r="AD399">
        <v>1</v>
      </c>
      <c r="AE399">
        <v>1</v>
      </c>
      <c r="AF399">
        <v>1</v>
      </c>
      <c r="AG399">
        <v>1</v>
      </c>
      <c r="AH399">
        <v>1</v>
      </c>
      <c r="AI399">
        <v>1</v>
      </c>
      <c r="AJ399">
        <v>1</v>
      </c>
      <c r="AK399">
        <v>1</v>
      </c>
      <c r="AL399">
        <v>1</v>
      </c>
      <c r="AM399">
        <v>1</v>
      </c>
    </row>
    <row r="400" spans="1:39" x14ac:dyDescent="0.2">
      <c r="A400" t="str">
        <f>"396"</f>
        <v>396</v>
      </c>
      <c r="B400" t="str">
        <f t="shared" si="21"/>
        <v>1</v>
      </c>
      <c r="C400" t="str">
        <f t="shared" si="22"/>
        <v>8</v>
      </c>
      <c r="D400" t="str">
        <f>"47"</f>
        <v>47</v>
      </c>
      <c r="E400" t="str">
        <f>"1-8-47"</f>
        <v>1-8-47</v>
      </c>
      <c r="F400" t="s">
        <v>65</v>
      </c>
      <c r="G400" t="s">
        <v>66</v>
      </c>
      <c r="H400" t="s">
        <v>67</v>
      </c>
      <c r="S400">
        <v>1</v>
      </c>
      <c r="T400">
        <v>0</v>
      </c>
      <c r="U400">
        <v>0</v>
      </c>
      <c r="V400">
        <v>0</v>
      </c>
      <c r="W400">
        <v>1</v>
      </c>
      <c r="X400">
        <v>0</v>
      </c>
      <c r="Y400">
        <v>0</v>
      </c>
      <c r="Z400">
        <v>1</v>
      </c>
      <c r="AA400">
        <v>1</v>
      </c>
      <c r="AB400">
        <v>0</v>
      </c>
      <c r="AC400">
        <v>0</v>
      </c>
      <c r="AD400">
        <v>1</v>
      </c>
      <c r="AE400">
        <v>1</v>
      </c>
      <c r="AF400">
        <v>1</v>
      </c>
      <c r="AG400">
        <v>1</v>
      </c>
      <c r="AH400">
        <v>1</v>
      </c>
      <c r="AI400">
        <v>1</v>
      </c>
      <c r="AJ400">
        <v>1</v>
      </c>
      <c r="AK400">
        <v>1</v>
      </c>
      <c r="AL400">
        <v>1</v>
      </c>
      <c r="AM400">
        <v>1</v>
      </c>
    </row>
    <row r="401" spans="1:39" x14ac:dyDescent="0.2">
      <c r="A401" t="str">
        <f>"397"</f>
        <v>397</v>
      </c>
      <c r="B401" t="str">
        <f t="shared" si="21"/>
        <v>1</v>
      </c>
      <c r="C401" t="str">
        <f t="shared" si="22"/>
        <v>8</v>
      </c>
      <c r="D401" t="str">
        <f>"30"</f>
        <v>30</v>
      </c>
      <c r="E401" t="str">
        <f>"1-8-30"</f>
        <v>1-8-30</v>
      </c>
      <c r="F401" t="s">
        <v>65</v>
      </c>
      <c r="G401" t="s">
        <v>66</v>
      </c>
      <c r="H401" t="s">
        <v>67</v>
      </c>
      <c r="S401">
        <v>0</v>
      </c>
      <c r="T401">
        <v>1</v>
      </c>
      <c r="U401">
        <v>0</v>
      </c>
      <c r="V401">
        <v>0</v>
      </c>
      <c r="W401">
        <v>1</v>
      </c>
      <c r="X401">
        <v>0</v>
      </c>
      <c r="Y401">
        <v>1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1</v>
      </c>
      <c r="AF401">
        <v>1</v>
      </c>
      <c r="AG401">
        <v>1</v>
      </c>
      <c r="AH401">
        <v>1</v>
      </c>
      <c r="AI401">
        <v>1</v>
      </c>
      <c r="AJ401">
        <v>1</v>
      </c>
      <c r="AK401">
        <v>1</v>
      </c>
      <c r="AL401">
        <v>1</v>
      </c>
      <c r="AM401">
        <v>1</v>
      </c>
    </row>
    <row r="402" spans="1:39" x14ac:dyDescent="0.2">
      <c r="A402" t="str">
        <f>"398"</f>
        <v>398</v>
      </c>
      <c r="B402" t="str">
        <f t="shared" si="21"/>
        <v>1</v>
      </c>
      <c r="C402" t="str">
        <f t="shared" si="22"/>
        <v>8</v>
      </c>
      <c r="D402" t="str">
        <f>"10"</f>
        <v>10</v>
      </c>
      <c r="E402" t="str">
        <f>"1-8-10"</f>
        <v>1-8-10</v>
      </c>
      <c r="F402" t="s">
        <v>65</v>
      </c>
      <c r="G402" t="s">
        <v>66</v>
      </c>
      <c r="H402" t="s">
        <v>67</v>
      </c>
      <c r="S402">
        <v>1</v>
      </c>
      <c r="T402">
        <v>0</v>
      </c>
      <c r="U402">
        <v>0</v>
      </c>
      <c r="V402">
        <v>0</v>
      </c>
      <c r="W402">
        <v>1</v>
      </c>
      <c r="X402">
        <v>0</v>
      </c>
      <c r="Y402">
        <v>1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1</v>
      </c>
      <c r="AF402">
        <v>1</v>
      </c>
      <c r="AG402">
        <v>1</v>
      </c>
      <c r="AH402">
        <v>1</v>
      </c>
      <c r="AI402">
        <v>1</v>
      </c>
      <c r="AJ402">
        <v>1</v>
      </c>
      <c r="AK402">
        <v>1</v>
      </c>
      <c r="AL402">
        <v>1</v>
      </c>
      <c r="AM402">
        <v>1</v>
      </c>
    </row>
    <row r="403" spans="1:39" x14ac:dyDescent="0.2">
      <c r="A403" t="str">
        <f>"399"</f>
        <v>399</v>
      </c>
      <c r="B403" t="str">
        <f t="shared" si="21"/>
        <v>1</v>
      </c>
      <c r="C403" t="str">
        <f t="shared" si="22"/>
        <v>8</v>
      </c>
      <c r="D403" t="str">
        <f>"39"</f>
        <v>39</v>
      </c>
      <c r="E403" t="str">
        <f>"1-8-39"</f>
        <v>1-8-39</v>
      </c>
      <c r="F403" t="s">
        <v>65</v>
      </c>
      <c r="G403" t="s">
        <v>66</v>
      </c>
      <c r="H403" t="s">
        <v>67</v>
      </c>
      <c r="S403">
        <v>0</v>
      </c>
      <c r="T403">
        <v>1</v>
      </c>
      <c r="U403">
        <v>0</v>
      </c>
      <c r="V403">
        <v>0</v>
      </c>
      <c r="W403">
        <v>1</v>
      </c>
      <c r="X403">
        <v>0</v>
      </c>
      <c r="Y403">
        <v>1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1</v>
      </c>
      <c r="AF403">
        <v>1</v>
      </c>
      <c r="AG403">
        <v>1</v>
      </c>
      <c r="AH403">
        <v>0</v>
      </c>
      <c r="AI403">
        <v>1</v>
      </c>
      <c r="AJ403">
        <v>1</v>
      </c>
      <c r="AK403">
        <v>1</v>
      </c>
      <c r="AL403">
        <v>1</v>
      </c>
      <c r="AM403">
        <v>1</v>
      </c>
    </row>
    <row r="404" spans="1:39" x14ac:dyDescent="0.2">
      <c r="A404" t="str">
        <f>"400"</f>
        <v>400</v>
      </c>
      <c r="B404" t="str">
        <f t="shared" si="21"/>
        <v>1</v>
      </c>
      <c r="C404" t="str">
        <f t="shared" si="22"/>
        <v>8</v>
      </c>
      <c r="D404" t="str">
        <f>"1"</f>
        <v>1</v>
      </c>
      <c r="E404" t="str">
        <f>"1-8-1"</f>
        <v>1-8-1</v>
      </c>
      <c r="F404" t="s">
        <v>65</v>
      </c>
      <c r="G404" t="s">
        <v>66</v>
      </c>
      <c r="H404" t="s">
        <v>67</v>
      </c>
      <c r="S404">
        <v>1</v>
      </c>
      <c r="T404">
        <v>0</v>
      </c>
      <c r="U404">
        <v>0</v>
      </c>
      <c r="V404">
        <v>0</v>
      </c>
      <c r="W404">
        <v>0</v>
      </c>
      <c r="X404">
        <v>1</v>
      </c>
      <c r="Y404">
        <v>1</v>
      </c>
      <c r="Z404">
        <v>0</v>
      </c>
      <c r="AA404">
        <v>1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</row>
    <row r="405" spans="1:39" x14ac:dyDescent="0.2">
      <c r="A405" t="str">
        <f>"401"</f>
        <v>401</v>
      </c>
      <c r="B405" t="str">
        <f t="shared" si="21"/>
        <v>1</v>
      </c>
      <c r="C405" t="str">
        <f t="shared" ref="C405:C436" si="23">"9"</f>
        <v>9</v>
      </c>
      <c r="D405" t="str">
        <f>"48"</f>
        <v>48</v>
      </c>
      <c r="E405" t="str">
        <f>"1-9-48"</f>
        <v>1-9-48</v>
      </c>
      <c r="F405" t="s">
        <v>65</v>
      </c>
      <c r="G405" t="s">
        <v>66</v>
      </c>
      <c r="H405" t="s">
        <v>67</v>
      </c>
      <c r="S405">
        <v>0</v>
      </c>
      <c r="T405">
        <v>1</v>
      </c>
      <c r="U405">
        <v>0</v>
      </c>
      <c r="V405">
        <v>0</v>
      </c>
      <c r="W405">
        <v>1</v>
      </c>
      <c r="X405">
        <v>0</v>
      </c>
      <c r="Y405">
        <v>1</v>
      </c>
      <c r="Z405">
        <v>0</v>
      </c>
      <c r="AA405">
        <v>0</v>
      </c>
      <c r="AB405">
        <v>1</v>
      </c>
      <c r="AC405">
        <v>0</v>
      </c>
      <c r="AD405">
        <v>0</v>
      </c>
      <c r="AE405">
        <v>1</v>
      </c>
      <c r="AF405">
        <v>0</v>
      </c>
      <c r="AG405">
        <v>1</v>
      </c>
      <c r="AH405">
        <v>1</v>
      </c>
      <c r="AI405">
        <v>1</v>
      </c>
      <c r="AJ405">
        <v>1</v>
      </c>
      <c r="AK405">
        <v>0</v>
      </c>
      <c r="AL405">
        <v>1</v>
      </c>
      <c r="AM405">
        <v>0</v>
      </c>
    </row>
    <row r="406" spans="1:39" x14ac:dyDescent="0.2">
      <c r="A406" t="str">
        <f>"402"</f>
        <v>402</v>
      </c>
      <c r="B406" t="str">
        <f t="shared" si="21"/>
        <v>1</v>
      </c>
      <c r="C406" t="str">
        <f t="shared" si="23"/>
        <v>9</v>
      </c>
      <c r="D406" t="str">
        <f>"47"</f>
        <v>47</v>
      </c>
      <c r="E406" t="str">
        <f>"1-9-47"</f>
        <v>1-9-47</v>
      </c>
      <c r="F406" t="s">
        <v>65</v>
      </c>
      <c r="G406" t="s">
        <v>66</v>
      </c>
      <c r="H406" t="s">
        <v>67</v>
      </c>
      <c r="S406">
        <v>1</v>
      </c>
      <c r="T406">
        <v>0</v>
      </c>
      <c r="U406">
        <v>0</v>
      </c>
      <c r="V406">
        <v>0</v>
      </c>
      <c r="W406">
        <v>1</v>
      </c>
      <c r="X406">
        <v>0</v>
      </c>
      <c r="Y406">
        <v>1</v>
      </c>
      <c r="Z406">
        <v>0</v>
      </c>
      <c r="AA406">
        <v>0</v>
      </c>
      <c r="AB406">
        <v>1</v>
      </c>
      <c r="AC406">
        <v>0</v>
      </c>
      <c r="AD406">
        <v>0</v>
      </c>
      <c r="AE406">
        <v>0</v>
      </c>
      <c r="AF406">
        <v>0</v>
      </c>
      <c r="AG406">
        <v>1</v>
      </c>
      <c r="AH406">
        <v>1</v>
      </c>
      <c r="AI406">
        <v>0</v>
      </c>
      <c r="AJ406">
        <v>0</v>
      </c>
      <c r="AK406">
        <v>0</v>
      </c>
      <c r="AL406">
        <v>1</v>
      </c>
      <c r="AM406">
        <v>1</v>
      </c>
    </row>
    <row r="407" spans="1:39" x14ac:dyDescent="0.2">
      <c r="A407" t="str">
        <f>"403"</f>
        <v>403</v>
      </c>
      <c r="B407" t="str">
        <f t="shared" si="21"/>
        <v>1</v>
      </c>
      <c r="C407" t="str">
        <f t="shared" si="23"/>
        <v>9</v>
      </c>
      <c r="D407" t="str">
        <f>"32"</f>
        <v>32</v>
      </c>
      <c r="E407" t="str">
        <f>"1-9-32"</f>
        <v>1-9-32</v>
      </c>
      <c r="F407" t="s">
        <v>65</v>
      </c>
      <c r="G407" t="s">
        <v>66</v>
      </c>
      <c r="H407" t="s">
        <v>67</v>
      </c>
      <c r="S407">
        <v>0</v>
      </c>
      <c r="T407">
        <v>1</v>
      </c>
      <c r="U407">
        <v>0</v>
      </c>
      <c r="V407">
        <v>0</v>
      </c>
      <c r="W407">
        <v>0</v>
      </c>
      <c r="X407">
        <v>1</v>
      </c>
      <c r="Y407">
        <v>1</v>
      </c>
      <c r="Z407">
        <v>0</v>
      </c>
      <c r="AA407">
        <v>0</v>
      </c>
      <c r="AB407">
        <v>1</v>
      </c>
      <c r="AC407">
        <v>0</v>
      </c>
      <c r="AD407">
        <v>1</v>
      </c>
      <c r="AE407">
        <v>1</v>
      </c>
      <c r="AF407">
        <v>1</v>
      </c>
      <c r="AG407">
        <v>1</v>
      </c>
      <c r="AH407">
        <v>1</v>
      </c>
      <c r="AI407">
        <v>1</v>
      </c>
      <c r="AJ407">
        <v>1</v>
      </c>
      <c r="AK407">
        <v>1</v>
      </c>
      <c r="AL407">
        <v>1</v>
      </c>
      <c r="AM407">
        <v>1</v>
      </c>
    </row>
    <row r="408" spans="1:39" x14ac:dyDescent="0.2">
      <c r="A408" t="str">
        <f>"404"</f>
        <v>404</v>
      </c>
      <c r="B408" t="str">
        <f t="shared" si="21"/>
        <v>1</v>
      </c>
      <c r="C408" t="str">
        <f t="shared" si="23"/>
        <v>9</v>
      </c>
      <c r="D408" t="str">
        <f>"31"</f>
        <v>31</v>
      </c>
      <c r="E408" t="str">
        <f>"1-9-31"</f>
        <v>1-9-31</v>
      </c>
      <c r="F408" t="s">
        <v>65</v>
      </c>
      <c r="G408" t="s">
        <v>66</v>
      </c>
      <c r="H408" t="s">
        <v>67</v>
      </c>
      <c r="S408">
        <v>0</v>
      </c>
      <c r="T408">
        <v>1</v>
      </c>
      <c r="U408">
        <v>0</v>
      </c>
      <c r="V408">
        <v>0</v>
      </c>
      <c r="W408">
        <v>0</v>
      </c>
      <c r="X408">
        <v>1</v>
      </c>
      <c r="Y408">
        <v>0</v>
      </c>
      <c r="Z408">
        <v>1</v>
      </c>
      <c r="AA408">
        <v>0</v>
      </c>
      <c r="AB408">
        <v>0</v>
      </c>
      <c r="AC408">
        <v>1</v>
      </c>
      <c r="AD408">
        <v>0</v>
      </c>
      <c r="AE408">
        <v>0</v>
      </c>
      <c r="AF408">
        <v>0</v>
      </c>
      <c r="AG408">
        <v>1</v>
      </c>
      <c r="AH408">
        <v>0</v>
      </c>
      <c r="AI408">
        <v>1</v>
      </c>
      <c r="AJ408">
        <v>1</v>
      </c>
      <c r="AK408">
        <v>1</v>
      </c>
      <c r="AL408">
        <v>1</v>
      </c>
      <c r="AM408">
        <v>0</v>
      </c>
    </row>
    <row r="409" spans="1:39" x14ac:dyDescent="0.2">
      <c r="A409" t="str">
        <f>"405"</f>
        <v>405</v>
      </c>
      <c r="B409" t="str">
        <f t="shared" si="21"/>
        <v>1</v>
      </c>
      <c r="C409" t="str">
        <f t="shared" si="23"/>
        <v>9</v>
      </c>
      <c r="D409" t="str">
        <f>"19"</f>
        <v>19</v>
      </c>
      <c r="E409" t="str">
        <f>"1-9-19"</f>
        <v>1-9-19</v>
      </c>
      <c r="F409" t="s">
        <v>65</v>
      </c>
      <c r="G409" t="s">
        <v>66</v>
      </c>
      <c r="H409" t="s">
        <v>67</v>
      </c>
      <c r="S409">
        <v>0</v>
      </c>
      <c r="T409">
        <v>1</v>
      </c>
      <c r="U409">
        <v>0</v>
      </c>
      <c r="V409">
        <v>0</v>
      </c>
      <c r="W409">
        <v>1</v>
      </c>
      <c r="X409">
        <v>0</v>
      </c>
      <c r="Y409">
        <v>0</v>
      </c>
      <c r="Z409">
        <v>1</v>
      </c>
      <c r="AA409">
        <v>0</v>
      </c>
      <c r="AB409">
        <v>0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>
        <v>1</v>
      </c>
      <c r="AJ409">
        <v>1</v>
      </c>
      <c r="AK409">
        <v>1</v>
      </c>
      <c r="AL409">
        <v>1</v>
      </c>
      <c r="AM409">
        <v>1</v>
      </c>
    </row>
    <row r="410" spans="1:39" x14ac:dyDescent="0.2">
      <c r="A410" t="str">
        <f>"406"</f>
        <v>406</v>
      </c>
      <c r="B410" t="str">
        <f t="shared" si="21"/>
        <v>1</v>
      </c>
      <c r="C410" t="str">
        <f t="shared" si="23"/>
        <v>9</v>
      </c>
      <c r="D410" t="str">
        <f>"15"</f>
        <v>15</v>
      </c>
      <c r="E410" t="str">
        <f>"1-9-15"</f>
        <v>1-9-15</v>
      </c>
      <c r="F410" t="s">
        <v>65</v>
      </c>
      <c r="G410" t="s">
        <v>66</v>
      </c>
      <c r="H410" t="s">
        <v>67</v>
      </c>
      <c r="S410">
        <v>1</v>
      </c>
      <c r="T410">
        <v>0</v>
      </c>
      <c r="U410">
        <v>0</v>
      </c>
      <c r="V410">
        <v>0</v>
      </c>
      <c r="W410">
        <v>1</v>
      </c>
      <c r="X410">
        <v>0</v>
      </c>
      <c r="Y410">
        <v>1</v>
      </c>
      <c r="Z410">
        <v>0</v>
      </c>
      <c r="AA410">
        <v>0</v>
      </c>
      <c r="AB410">
        <v>1</v>
      </c>
      <c r="AC410">
        <v>0</v>
      </c>
      <c r="AD410">
        <v>1</v>
      </c>
      <c r="AE410">
        <v>1</v>
      </c>
      <c r="AF410">
        <v>1</v>
      </c>
      <c r="AG410">
        <v>1</v>
      </c>
      <c r="AH410">
        <v>1</v>
      </c>
      <c r="AI410">
        <v>1</v>
      </c>
      <c r="AJ410">
        <v>1</v>
      </c>
      <c r="AK410">
        <v>1</v>
      </c>
      <c r="AL410">
        <v>1</v>
      </c>
      <c r="AM410">
        <v>1</v>
      </c>
    </row>
    <row r="411" spans="1:39" x14ac:dyDescent="0.2">
      <c r="A411" t="str">
        <f>"407"</f>
        <v>407</v>
      </c>
      <c r="B411" t="str">
        <f t="shared" si="21"/>
        <v>1</v>
      </c>
      <c r="C411" t="str">
        <f t="shared" si="23"/>
        <v>9</v>
      </c>
      <c r="D411" t="str">
        <f>"3"</f>
        <v>3</v>
      </c>
      <c r="E411" t="str">
        <f>"1-9-3"</f>
        <v>1-9-3</v>
      </c>
      <c r="F411" t="s">
        <v>65</v>
      </c>
      <c r="G411" t="s">
        <v>66</v>
      </c>
      <c r="H411" t="s">
        <v>67</v>
      </c>
      <c r="S411">
        <v>0</v>
      </c>
      <c r="T411">
        <v>1</v>
      </c>
      <c r="U411">
        <v>0</v>
      </c>
      <c r="V411">
        <v>0</v>
      </c>
      <c r="W411">
        <v>0</v>
      </c>
      <c r="X411">
        <v>1</v>
      </c>
      <c r="Y411">
        <v>0</v>
      </c>
      <c r="Z411">
        <v>1</v>
      </c>
      <c r="AA411">
        <v>0</v>
      </c>
      <c r="AB411">
        <v>0</v>
      </c>
      <c r="AC411">
        <v>1</v>
      </c>
      <c r="AD411">
        <v>1</v>
      </c>
      <c r="AE411">
        <v>1</v>
      </c>
      <c r="AF411">
        <v>1</v>
      </c>
      <c r="AG411">
        <v>1</v>
      </c>
      <c r="AH411">
        <v>1</v>
      </c>
      <c r="AI411">
        <v>1</v>
      </c>
      <c r="AJ411">
        <v>1</v>
      </c>
      <c r="AK411">
        <v>1</v>
      </c>
      <c r="AL411">
        <v>1</v>
      </c>
      <c r="AM411">
        <v>1</v>
      </c>
    </row>
    <row r="412" spans="1:39" x14ac:dyDescent="0.2">
      <c r="A412" t="str">
        <f>"408"</f>
        <v>408</v>
      </c>
      <c r="B412" t="str">
        <f t="shared" si="21"/>
        <v>1</v>
      </c>
      <c r="C412" t="str">
        <f t="shared" si="23"/>
        <v>9</v>
      </c>
      <c r="D412" t="str">
        <f>"35"</f>
        <v>35</v>
      </c>
      <c r="E412" t="str">
        <f>"1-9-35"</f>
        <v>1-9-35</v>
      </c>
      <c r="F412" t="s">
        <v>65</v>
      </c>
      <c r="G412" t="s">
        <v>66</v>
      </c>
      <c r="H412" t="s">
        <v>67</v>
      </c>
      <c r="S412">
        <v>1</v>
      </c>
      <c r="T412">
        <v>0</v>
      </c>
      <c r="U412">
        <v>0</v>
      </c>
      <c r="V412">
        <v>0</v>
      </c>
      <c r="W412">
        <v>1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1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</row>
    <row r="413" spans="1:39" x14ac:dyDescent="0.2">
      <c r="A413" t="str">
        <f>"409"</f>
        <v>409</v>
      </c>
      <c r="B413" t="str">
        <f t="shared" si="21"/>
        <v>1</v>
      </c>
      <c r="C413" t="str">
        <f t="shared" si="23"/>
        <v>9</v>
      </c>
      <c r="D413" t="str">
        <f>"34"</f>
        <v>34</v>
      </c>
      <c r="E413" t="str">
        <f>"1-9-34"</f>
        <v>1-9-34</v>
      </c>
      <c r="F413" t="s">
        <v>65</v>
      </c>
      <c r="G413" t="s">
        <v>66</v>
      </c>
      <c r="H413" t="s">
        <v>67</v>
      </c>
      <c r="S413">
        <v>1</v>
      </c>
      <c r="T413">
        <v>0</v>
      </c>
      <c r="U413">
        <v>0</v>
      </c>
      <c r="V413">
        <v>0</v>
      </c>
      <c r="W413">
        <v>1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1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</row>
    <row r="414" spans="1:39" x14ac:dyDescent="0.2">
      <c r="A414" t="str">
        <f>"410"</f>
        <v>410</v>
      </c>
      <c r="B414" t="str">
        <f t="shared" si="21"/>
        <v>1</v>
      </c>
      <c r="C414" t="str">
        <f t="shared" si="23"/>
        <v>9</v>
      </c>
      <c r="D414" t="str">
        <f>"29"</f>
        <v>29</v>
      </c>
      <c r="E414" t="str">
        <f>"1-9-29"</f>
        <v>1-9-29</v>
      </c>
      <c r="F414" t="s">
        <v>65</v>
      </c>
      <c r="G414" t="s">
        <v>66</v>
      </c>
      <c r="H414" t="s">
        <v>67</v>
      </c>
      <c r="S414">
        <v>1</v>
      </c>
      <c r="T414">
        <v>0</v>
      </c>
      <c r="U414">
        <v>0</v>
      </c>
      <c r="V414">
        <v>0</v>
      </c>
      <c r="W414">
        <v>1</v>
      </c>
      <c r="X414">
        <v>0</v>
      </c>
      <c r="Y414">
        <v>1</v>
      </c>
      <c r="Z414">
        <v>0</v>
      </c>
      <c r="AA414">
        <v>0</v>
      </c>
      <c r="AB414">
        <v>1</v>
      </c>
      <c r="AC414">
        <v>0</v>
      </c>
      <c r="AD414">
        <v>1</v>
      </c>
      <c r="AE414">
        <v>1</v>
      </c>
      <c r="AF414">
        <v>1</v>
      </c>
      <c r="AG414">
        <v>1</v>
      </c>
      <c r="AH414">
        <v>1</v>
      </c>
      <c r="AI414">
        <v>1</v>
      </c>
      <c r="AJ414">
        <v>1</v>
      </c>
      <c r="AK414">
        <v>1</v>
      </c>
      <c r="AL414">
        <v>1</v>
      </c>
      <c r="AM414">
        <v>1</v>
      </c>
    </row>
    <row r="415" spans="1:39" x14ac:dyDescent="0.2">
      <c r="A415" t="str">
        <f>"411"</f>
        <v>411</v>
      </c>
      <c r="B415" t="str">
        <f t="shared" si="21"/>
        <v>1</v>
      </c>
      <c r="C415" t="str">
        <f t="shared" si="23"/>
        <v>9</v>
      </c>
      <c r="D415" t="str">
        <f>"16"</f>
        <v>16</v>
      </c>
      <c r="E415" t="str">
        <f>"1-9-16"</f>
        <v>1-9-16</v>
      </c>
      <c r="F415" t="s">
        <v>65</v>
      </c>
      <c r="G415" t="s">
        <v>66</v>
      </c>
      <c r="H415" t="s">
        <v>67</v>
      </c>
      <c r="S415">
        <v>0</v>
      </c>
      <c r="T415">
        <v>1</v>
      </c>
      <c r="U415">
        <v>0</v>
      </c>
      <c r="V415">
        <v>0</v>
      </c>
      <c r="W415">
        <v>1</v>
      </c>
      <c r="X415">
        <v>0</v>
      </c>
      <c r="Y415">
        <v>1</v>
      </c>
      <c r="Z415">
        <v>0</v>
      </c>
      <c r="AA415">
        <v>0</v>
      </c>
      <c r="AB415">
        <v>1</v>
      </c>
      <c r="AC415">
        <v>0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</row>
    <row r="416" spans="1:39" x14ac:dyDescent="0.2">
      <c r="A416" t="str">
        <f>"412"</f>
        <v>412</v>
      </c>
      <c r="B416" t="str">
        <f t="shared" si="21"/>
        <v>1</v>
      </c>
      <c r="C416" t="str">
        <f t="shared" si="23"/>
        <v>9</v>
      </c>
      <c r="D416" t="str">
        <f>"6"</f>
        <v>6</v>
      </c>
      <c r="E416" t="str">
        <f>"1-9-6"</f>
        <v>1-9-6</v>
      </c>
      <c r="F416" t="s">
        <v>65</v>
      </c>
      <c r="G416" t="s">
        <v>66</v>
      </c>
      <c r="H416" t="s">
        <v>67</v>
      </c>
      <c r="S416">
        <v>0</v>
      </c>
      <c r="T416">
        <v>1</v>
      </c>
      <c r="U416">
        <v>0</v>
      </c>
      <c r="V416">
        <v>0</v>
      </c>
      <c r="W416">
        <v>0</v>
      </c>
      <c r="X416">
        <v>1</v>
      </c>
      <c r="Y416">
        <v>1</v>
      </c>
      <c r="Z416">
        <v>0</v>
      </c>
      <c r="AA416">
        <v>0</v>
      </c>
      <c r="AB416">
        <v>1</v>
      </c>
      <c r="AC416">
        <v>0</v>
      </c>
      <c r="AD416">
        <v>1</v>
      </c>
      <c r="AE416">
        <v>1</v>
      </c>
      <c r="AF416">
        <v>1</v>
      </c>
      <c r="AG416">
        <v>1</v>
      </c>
      <c r="AH416">
        <v>1</v>
      </c>
      <c r="AI416">
        <v>1</v>
      </c>
      <c r="AJ416">
        <v>1</v>
      </c>
      <c r="AK416">
        <v>1</v>
      </c>
      <c r="AL416">
        <v>1</v>
      </c>
      <c r="AM416">
        <v>1</v>
      </c>
    </row>
    <row r="417" spans="1:39" x14ac:dyDescent="0.2">
      <c r="A417" t="str">
        <f>"413"</f>
        <v>413</v>
      </c>
      <c r="B417" t="str">
        <f t="shared" si="21"/>
        <v>1</v>
      </c>
      <c r="C417" t="str">
        <f t="shared" si="23"/>
        <v>9</v>
      </c>
      <c r="D417" t="str">
        <f>"50"</f>
        <v>50</v>
      </c>
      <c r="E417" t="str">
        <f>"1-9-50"</f>
        <v>1-9-50</v>
      </c>
      <c r="F417" t="s">
        <v>65</v>
      </c>
      <c r="G417" t="s">
        <v>66</v>
      </c>
      <c r="H417" t="s">
        <v>67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1</v>
      </c>
      <c r="Y417">
        <v>1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0</v>
      </c>
      <c r="AF417">
        <v>0</v>
      </c>
      <c r="AG417">
        <v>1</v>
      </c>
      <c r="AH417">
        <v>1</v>
      </c>
      <c r="AI417">
        <v>1</v>
      </c>
      <c r="AJ417">
        <v>1</v>
      </c>
      <c r="AK417">
        <v>1</v>
      </c>
      <c r="AL417">
        <v>1</v>
      </c>
      <c r="AM417">
        <v>0</v>
      </c>
    </row>
    <row r="418" spans="1:39" x14ac:dyDescent="0.2">
      <c r="A418" t="str">
        <f>"414"</f>
        <v>414</v>
      </c>
      <c r="B418" t="str">
        <f t="shared" si="21"/>
        <v>1</v>
      </c>
      <c r="C418" t="str">
        <f t="shared" si="23"/>
        <v>9</v>
      </c>
      <c r="D418" t="str">
        <f>"49"</f>
        <v>49</v>
      </c>
      <c r="E418" t="str">
        <f>"1-9-49"</f>
        <v>1-9-49</v>
      </c>
      <c r="F418" t="s">
        <v>65</v>
      </c>
      <c r="G418" t="s">
        <v>66</v>
      </c>
      <c r="H418" t="s">
        <v>67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1</v>
      </c>
      <c r="AH418">
        <v>1</v>
      </c>
      <c r="AI418">
        <v>1</v>
      </c>
      <c r="AJ418">
        <v>0</v>
      </c>
      <c r="AK418">
        <v>0</v>
      </c>
      <c r="AL418">
        <v>1</v>
      </c>
      <c r="AM418">
        <v>0</v>
      </c>
    </row>
    <row r="419" spans="1:39" x14ac:dyDescent="0.2">
      <c r="A419" t="str">
        <f>"415"</f>
        <v>415</v>
      </c>
      <c r="B419" t="str">
        <f t="shared" si="21"/>
        <v>1</v>
      </c>
      <c r="C419" t="str">
        <f t="shared" si="23"/>
        <v>9</v>
      </c>
      <c r="D419" t="str">
        <f>"33"</f>
        <v>33</v>
      </c>
      <c r="E419" t="str">
        <f>"1-9-33"</f>
        <v>1-9-33</v>
      </c>
      <c r="F419" t="s">
        <v>65</v>
      </c>
      <c r="G419" t="s">
        <v>66</v>
      </c>
      <c r="H419" t="s">
        <v>67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1</v>
      </c>
      <c r="AI419">
        <v>1</v>
      </c>
      <c r="AJ419">
        <v>1</v>
      </c>
      <c r="AK419">
        <v>0</v>
      </c>
      <c r="AL419">
        <v>1</v>
      </c>
      <c r="AM419">
        <v>0</v>
      </c>
    </row>
    <row r="420" spans="1:39" x14ac:dyDescent="0.2">
      <c r="A420" t="str">
        <f>"416"</f>
        <v>416</v>
      </c>
      <c r="B420" t="str">
        <f t="shared" si="21"/>
        <v>1</v>
      </c>
      <c r="C420" t="str">
        <f t="shared" si="23"/>
        <v>9</v>
      </c>
      <c r="D420" t="str">
        <f>"17"</f>
        <v>17</v>
      </c>
      <c r="E420" t="str">
        <f>"1-9-17"</f>
        <v>1-9-17</v>
      </c>
      <c r="F420" t="s">
        <v>65</v>
      </c>
      <c r="G420" t="s">
        <v>66</v>
      </c>
      <c r="H420" t="s">
        <v>67</v>
      </c>
      <c r="S420">
        <v>0</v>
      </c>
      <c r="T420">
        <v>1</v>
      </c>
      <c r="U420">
        <v>0</v>
      </c>
      <c r="V420">
        <v>0</v>
      </c>
      <c r="W420">
        <v>1</v>
      </c>
      <c r="X420">
        <v>0</v>
      </c>
      <c r="Y420">
        <v>1</v>
      </c>
      <c r="Z420">
        <v>0</v>
      </c>
      <c r="AA420">
        <v>0</v>
      </c>
      <c r="AB420">
        <v>1</v>
      </c>
      <c r="AC420">
        <v>0</v>
      </c>
      <c r="AD420">
        <v>1</v>
      </c>
      <c r="AE420">
        <v>1</v>
      </c>
      <c r="AF420">
        <v>1</v>
      </c>
      <c r="AG420">
        <v>1</v>
      </c>
      <c r="AH420">
        <v>1</v>
      </c>
      <c r="AI420">
        <v>1</v>
      </c>
      <c r="AJ420">
        <v>1</v>
      </c>
      <c r="AK420">
        <v>1</v>
      </c>
      <c r="AL420">
        <v>1</v>
      </c>
      <c r="AM420">
        <v>1</v>
      </c>
    </row>
    <row r="421" spans="1:39" x14ac:dyDescent="0.2">
      <c r="A421" t="str">
        <f>"417"</f>
        <v>417</v>
      </c>
      <c r="B421" t="str">
        <f t="shared" si="21"/>
        <v>1</v>
      </c>
      <c r="C421" t="str">
        <f t="shared" si="23"/>
        <v>9</v>
      </c>
      <c r="D421" t="str">
        <f>"11"</f>
        <v>11</v>
      </c>
      <c r="E421" t="str">
        <f>"1-9-11"</f>
        <v>1-9-11</v>
      </c>
      <c r="F421" t="s">
        <v>65</v>
      </c>
      <c r="G421" t="s">
        <v>66</v>
      </c>
      <c r="H421" t="s">
        <v>67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1</v>
      </c>
      <c r="AH421">
        <v>1</v>
      </c>
      <c r="AI421">
        <v>1</v>
      </c>
      <c r="AJ421">
        <v>0</v>
      </c>
      <c r="AK421">
        <v>0</v>
      </c>
      <c r="AL421">
        <v>1</v>
      </c>
      <c r="AM421">
        <v>0</v>
      </c>
    </row>
    <row r="422" spans="1:39" x14ac:dyDescent="0.2">
      <c r="A422" t="str">
        <f>"418"</f>
        <v>418</v>
      </c>
      <c r="B422" t="str">
        <f t="shared" si="21"/>
        <v>1</v>
      </c>
      <c r="C422" t="str">
        <f t="shared" si="23"/>
        <v>9</v>
      </c>
      <c r="D422" t="str">
        <f>"36"</f>
        <v>36</v>
      </c>
      <c r="E422" t="str">
        <f>"1-9-36"</f>
        <v>1-9-36</v>
      </c>
      <c r="F422" t="s">
        <v>65</v>
      </c>
      <c r="G422" t="s">
        <v>66</v>
      </c>
      <c r="H422" t="s">
        <v>67</v>
      </c>
      <c r="S422">
        <v>0</v>
      </c>
      <c r="T422">
        <v>1</v>
      </c>
      <c r="U422">
        <v>0</v>
      </c>
      <c r="V422">
        <v>0</v>
      </c>
      <c r="W422">
        <v>1</v>
      </c>
      <c r="X422">
        <v>0</v>
      </c>
      <c r="Y422">
        <v>1</v>
      </c>
      <c r="Z422">
        <v>0</v>
      </c>
      <c r="AA422">
        <v>0</v>
      </c>
      <c r="AB422">
        <v>0</v>
      </c>
      <c r="AC422">
        <v>1</v>
      </c>
      <c r="AD422">
        <v>1</v>
      </c>
      <c r="AE422">
        <v>1</v>
      </c>
      <c r="AF422">
        <v>1</v>
      </c>
      <c r="AG422">
        <v>1</v>
      </c>
      <c r="AH422">
        <v>1</v>
      </c>
      <c r="AI422">
        <v>1</v>
      </c>
      <c r="AJ422">
        <v>1</v>
      </c>
      <c r="AK422">
        <v>1</v>
      </c>
      <c r="AL422">
        <v>1</v>
      </c>
      <c r="AM422">
        <v>1</v>
      </c>
    </row>
    <row r="423" spans="1:39" x14ac:dyDescent="0.2">
      <c r="A423" t="str">
        <f>"419"</f>
        <v>419</v>
      </c>
      <c r="B423" t="str">
        <f t="shared" si="21"/>
        <v>1</v>
      </c>
      <c r="C423" t="str">
        <f t="shared" si="23"/>
        <v>9</v>
      </c>
      <c r="D423" t="str">
        <f>"18"</f>
        <v>18</v>
      </c>
      <c r="E423" t="str">
        <f>"1-9-18"</f>
        <v>1-9-18</v>
      </c>
      <c r="F423" t="s">
        <v>65</v>
      </c>
      <c r="G423" t="s">
        <v>66</v>
      </c>
      <c r="H423" t="s">
        <v>67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1</v>
      </c>
      <c r="AM423">
        <v>1</v>
      </c>
    </row>
    <row r="424" spans="1:39" x14ac:dyDescent="0.2">
      <c r="A424" t="str">
        <f>"420"</f>
        <v>420</v>
      </c>
      <c r="B424" t="str">
        <f t="shared" si="21"/>
        <v>1</v>
      </c>
      <c r="C424" t="str">
        <f t="shared" si="23"/>
        <v>9</v>
      </c>
      <c r="D424" t="str">
        <f>"38"</f>
        <v>38</v>
      </c>
      <c r="E424" t="str">
        <f>"1-9-38"</f>
        <v>1-9-38</v>
      </c>
      <c r="F424" t="s">
        <v>65</v>
      </c>
      <c r="G424" t="s">
        <v>66</v>
      </c>
      <c r="H424" t="s">
        <v>67</v>
      </c>
      <c r="S424">
        <v>0</v>
      </c>
      <c r="T424">
        <v>1</v>
      </c>
      <c r="U424">
        <v>0</v>
      </c>
      <c r="V424">
        <v>0</v>
      </c>
      <c r="W424">
        <v>0</v>
      </c>
      <c r="X424">
        <v>1</v>
      </c>
      <c r="Y424">
        <v>0</v>
      </c>
      <c r="Z424">
        <v>1</v>
      </c>
      <c r="AA424">
        <v>0</v>
      </c>
      <c r="AB424">
        <v>0</v>
      </c>
      <c r="AC424">
        <v>1</v>
      </c>
      <c r="AD424">
        <v>0</v>
      </c>
      <c r="AE424">
        <v>0</v>
      </c>
      <c r="AF424">
        <v>0</v>
      </c>
      <c r="AG424">
        <v>1</v>
      </c>
      <c r="AH424">
        <v>1</v>
      </c>
      <c r="AI424">
        <v>1</v>
      </c>
      <c r="AJ424">
        <v>1</v>
      </c>
      <c r="AK424">
        <v>1</v>
      </c>
      <c r="AL424">
        <v>1</v>
      </c>
      <c r="AM424">
        <v>1</v>
      </c>
    </row>
    <row r="425" spans="1:39" x14ac:dyDescent="0.2">
      <c r="A425" t="str">
        <f>"421"</f>
        <v>421</v>
      </c>
      <c r="B425" t="str">
        <f t="shared" si="21"/>
        <v>1</v>
      </c>
      <c r="C425" t="str">
        <f t="shared" si="23"/>
        <v>9</v>
      </c>
      <c r="D425" t="str">
        <f>"20"</f>
        <v>20</v>
      </c>
      <c r="E425" t="str">
        <f>"1-9-20"</f>
        <v>1-9-20</v>
      </c>
      <c r="F425" t="s">
        <v>65</v>
      </c>
      <c r="G425" t="s">
        <v>66</v>
      </c>
      <c r="H425" t="s">
        <v>67</v>
      </c>
      <c r="S425">
        <v>1</v>
      </c>
      <c r="T425">
        <v>0</v>
      </c>
      <c r="U425">
        <v>0</v>
      </c>
      <c r="V425">
        <v>0</v>
      </c>
      <c r="W425">
        <v>1</v>
      </c>
      <c r="X425">
        <v>0</v>
      </c>
      <c r="Y425">
        <v>0</v>
      </c>
      <c r="Z425">
        <v>1</v>
      </c>
      <c r="AA425">
        <v>0</v>
      </c>
      <c r="AB425">
        <v>0</v>
      </c>
      <c r="AC425">
        <v>1</v>
      </c>
      <c r="AD425">
        <v>1</v>
      </c>
      <c r="AE425">
        <v>1</v>
      </c>
      <c r="AF425">
        <v>1</v>
      </c>
      <c r="AG425">
        <v>1</v>
      </c>
      <c r="AH425">
        <v>1</v>
      </c>
      <c r="AI425">
        <v>1</v>
      </c>
      <c r="AJ425">
        <v>1</v>
      </c>
      <c r="AK425">
        <v>1</v>
      </c>
      <c r="AL425">
        <v>1</v>
      </c>
      <c r="AM425">
        <v>1</v>
      </c>
    </row>
    <row r="426" spans="1:39" x14ac:dyDescent="0.2">
      <c r="A426" t="str">
        <f>"422"</f>
        <v>422</v>
      </c>
      <c r="B426" t="str">
        <f t="shared" si="21"/>
        <v>1</v>
      </c>
      <c r="C426" t="str">
        <f t="shared" si="23"/>
        <v>9</v>
      </c>
      <c r="D426" t="str">
        <f>"9"</f>
        <v>9</v>
      </c>
      <c r="E426" t="str">
        <f>"1-9-9"</f>
        <v>1-9-9</v>
      </c>
      <c r="F426" t="s">
        <v>65</v>
      </c>
      <c r="G426" t="s">
        <v>66</v>
      </c>
      <c r="H426" t="s">
        <v>67</v>
      </c>
      <c r="S426">
        <v>0</v>
      </c>
      <c r="T426">
        <v>0</v>
      </c>
      <c r="U426">
        <v>0</v>
      </c>
      <c r="V426">
        <v>0</v>
      </c>
      <c r="W426">
        <v>1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</row>
    <row r="427" spans="1:39" x14ac:dyDescent="0.2">
      <c r="A427" t="str">
        <f>"423"</f>
        <v>423</v>
      </c>
      <c r="B427" t="str">
        <f t="shared" si="21"/>
        <v>1</v>
      </c>
      <c r="C427" t="str">
        <f t="shared" si="23"/>
        <v>9</v>
      </c>
      <c r="D427" t="str">
        <f>"39"</f>
        <v>39</v>
      </c>
      <c r="E427" t="str">
        <f>"1-9-39"</f>
        <v>1-9-39</v>
      </c>
      <c r="F427" t="s">
        <v>65</v>
      </c>
      <c r="G427" t="s">
        <v>66</v>
      </c>
      <c r="H427" t="s">
        <v>67</v>
      </c>
      <c r="S427">
        <v>0</v>
      </c>
      <c r="T427">
        <v>1</v>
      </c>
      <c r="U427">
        <v>0</v>
      </c>
      <c r="V427">
        <v>0</v>
      </c>
      <c r="W427">
        <v>1</v>
      </c>
      <c r="X427">
        <v>0</v>
      </c>
      <c r="Y427">
        <v>1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1</v>
      </c>
      <c r="AF427">
        <v>1</v>
      </c>
      <c r="AG427">
        <v>1</v>
      </c>
      <c r="AH427">
        <v>1</v>
      </c>
      <c r="AI427">
        <v>1</v>
      </c>
      <c r="AJ427">
        <v>1</v>
      </c>
      <c r="AK427">
        <v>1</v>
      </c>
      <c r="AL427">
        <v>1</v>
      </c>
      <c r="AM427">
        <v>1</v>
      </c>
    </row>
    <row r="428" spans="1:39" x14ac:dyDescent="0.2">
      <c r="A428" t="str">
        <f>"424"</f>
        <v>424</v>
      </c>
      <c r="B428" t="str">
        <f t="shared" si="21"/>
        <v>1</v>
      </c>
      <c r="C428" t="str">
        <f t="shared" si="23"/>
        <v>9</v>
      </c>
      <c r="D428" t="str">
        <f>"21"</f>
        <v>21</v>
      </c>
      <c r="E428" t="str">
        <f>"1-9-21"</f>
        <v>1-9-21</v>
      </c>
      <c r="F428" t="s">
        <v>65</v>
      </c>
      <c r="G428" t="s">
        <v>66</v>
      </c>
      <c r="H428" t="s">
        <v>67</v>
      </c>
      <c r="S428">
        <v>0</v>
      </c>
      <c r="T428">
        <v>1</v>
      </c>
      <c r="U428">
        <v>0</v>
      </c>
      <c r="V428">
        <v>0</v>
      </c>
      <c r="W428">
        <v>1</v>
      </c>
      <c r="X428">
        <v>0</v>
      </c>
      <c r="Y428">
        <v>0</v>
      </c>
      <c r="Z428">
        <v>1</v>
      </c>
      <c r="AA428">
        <v>1</v>
      </c>
      <c r="AB428">
        <v>0</v>
      </c>
      <c r="AC428">
        <v>0</v>
      </c>
      <c r="AD428">
        <v>1</v>
      </c>
      <c r="AE428">
        <v>1</v>
      </c>
      <c r="AF428">
        <v>1</v>
      </c>
      <c r="AG428">
        <v>1</v>
      </c>
      <c r="AH428">
        <v>1</v>
      </c>
      <c r="AI428">
        <v>1</v>
      </c>
      <c r="AJ428">
        <v>1</v>
      </c>
      <c r="AK428">
        <v>1</v>
      </c>
      <c r="AL428">
        <v>1</v>
      </c>
      <c r="AM428">
        <v>1</v>
      </c>
    </row>
    <row r="429" spans="1:39" x14ac:dyDescent="0.2">
      <c r="A429" t="str">
        <f>"425"</f>
        <v>425</v>
      </c>
      <c r="B429" t="str">
        <f t="shared" si="21"/>
        <v>1</v>
      </c>
      <c r="C429" t="str">
        <f t="shared" si="23"/>
        <v>9</v>
      </c>
      <c r="D429" t="str">
        <f>"13"</f>
        <v>13</v>
      </c>
      <c r="E429" t="str">
        <f>"1-9-13"</f>
        <v>1-9-13</v>
      </c>
      <c r="F429" t="s">
        <v>65</v>
      </c>
      <c r="G429" t="s">
        <v>66</v>
      </c>
      <c r="H429" t="s">
        <v>67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1</v>
      </c>
      <c r="Y429">
        <v>1</v>
      </c>
      <c r="Z429">
        <v>0</v>
      </c>
      <c r="AA429">
        <v>0</v>
      </c>
      <c r="AB429">
        <v>0</v>
      </c>
      <c r="AC429">
        <v>1</v>
      </c>
      <c r="AD429">
        <v>1</v>
      </c>
      <c r="AE429">
        <v>1</v>
      </c>
      <c r="AF429">
        <v>1</v>
      </c>
      <c r="AG429">
        <v>1</v>
      </c>
      <c r="AH429">
        <v>1</v>
      </c>
      <c r="AI429">
        <v>1</v>
      </c>
      <c r="AJ429">
        <v>1</v>
      </c>
      <c r="AK429">
        <v>1</v>
      </c>
      <c r="AL429">
        <v>1</v>
      </c>
      <c r="AM429">
        <v>1</v>
      </c>
    </row>
    <row r="430" spans="1:39" x14ac:dyDescent="0.2">
      <c r="A430" t="str">
        <f>"426"</f>
        <v>426</v>
      </c>
      <c r="B430" t="str">
        <f t="shared" si="21"/>
        <v>1</v>
      </c>
      <c r="C430" t="str">
        <f t="shared" si="23"/>
        <v>9</v>
      </c>
      <c r="D430" t="str">
        <f>"41"</f>
        <v>41</v>
      </c>
      <c r="E430" t="str">
        <f>"1-9-41"</f>
        <v>1-9-41</v>
      </c>
      <c r="F430" t="s">
        <v>65</v>
      </c>
      <c r="G430" t="s">
        <v>66</v>
      </c>
      <c r="H430" t="s">
        <v>67</v>
      </c>
      <c r="S430">
        <v>0</v>
      </c>
      <c r="T430">
        <v>1</v>
      </c>
      <c r="U430">
        <v>0</v>
      </c>
      <c r="V430">
        <v>0</v>
      </c>
      <c r="W430">
        <v>1</v>
      </c>
      <c r="X430">
        <v>0</v>
      </c>
      <c r="Y430">
        <v>0</v>
      </c>
      <c r="Z430">
        <v>1</v>
      </c>
      <c r="AA430">
        <v>0</v>
      </c>
      <c r="AB430">
        <v>0</v>
      </c>
      <c r="AC430">
        <v>1</v>
      </c>
      <c r="AD430">
        <v>1</v>
      </c>
      <c r="AE430">
        <v>1</v>
      </c>
      <c r="AF430">
        <v>1</v>
      </c>
      <c r="AG430">
        <v>1</v>
      </c>
      <c r="AH430">
        <v>1</v>
      </c>
      <c r="AI430">
        <v>1</v>
      </c>
      <c r="AJ430">
        <v>1</v>
      </c>
      <c r="AK430">
        <v>1</v>
      </c>
      <c r="AL430">
        <v>1</v>
      </c>
      <c r="AM430">
        <v>1</v>
      </c>
    </row>
    <row r="431" spans="1:39" x14ac:dyDescent="0.2">
      <c r="A431" t="str">
        <f>"427"</f>
        <v>427</v>
      </c>
      <c r="B431" t="str">
        <f t="shared" si="21"/>
        <v>1</v>
      </c>
      <c r="C431" t="str">
        <f t="shared" si="23"/>
        <v>9</v>
      </c>
      <c r="D431" t="str">
        <f>"22"</f>
        <v>22</v>
      </c>
      <c r="E431" t="str">
        <f>"1-9-22"</f>
        <v>1-9-22</v>
      </c>
      <c r="F431" t="s">
        <v>65</v>
      </c>
      <c r="G431" t="s">
        <v>66</v>
      </c>
      <c r="H431" t="s">
        <v>67</v>
      </c>
      <c r="S431">
        <v>1</v>
      </c>
      <c r="T431">
        <v>0</v>
      </c>
      <c r="U431">
        <v>0</v>
      </c>
      <c r="V431">
        <v>0</v>
      </c>
      <c r="W431">
        <v>1</v>
      </c>
      <c r="X431">
        <v>0</v>
      </c>
      <c r="Y431">
        <v>0</v>
      </c>
      <c r="Z431">
        <v>1</v>
      </c>
      <c r="AA431">
        <v>1</v>
      </c>
      <c r="AB431">
        <v>0</v>
      </c>
      <c r="AC431">
        <v>0</v>
      </c>
      <c r="AD431">
        <v>1</v>
      </c>
      <c r="AE431">
        <v>1</v>
      </c>
      <c r="AF431">
        <v>1</v>
      </c>
      <c r="AG431">
        <v>1</v>
      </c>
      <c r="AH431">
        <v>1</v>
      </c>
      <c r="AI431">
        <v>1</v>
      </c>
      <c r="AJ431">
        <v>1</v>
      </c>
      <c r="AK431">
        <v>1</v>
      </c>
      <c r="AL431">
        <v>1</v>
      </c>
      <c r="AM431">
        <v>1</v>
      </c>
    </row>
    <row r="432" spans="1:39" x14ac:dyDescent="0.2">
      <c r="A432" t="str">
        <f>"428"</f>
        <v>428</v>
      </c>
      <c r="B432" t="str">
        <f t="shared" si="21"/>
        <v>1</v>
      </c>
      <c r="C432" t="str">
        <f t="shared" si="23"/>
        <v>9</v>
      </c>
      <c r="D432" t="str">
        <f>"5"</f>
        <v>5</v>
      </c>
      <c r="E432" t="str">
        <f>"1-9-5"</f>
        <v>1-9-5</v>
      </c>
      <c r="F432" t="s">
        <v>65</v>
      </c>
      <c r="G432" t="s">
        <v>66</v>
      </c>
      <c r="H432" t="s">
        <v>67</v>
      </c>
      <c r="S432">
        <v>1</v>
      </c>
      <c r="T432">
        <v>0</v>
      </c>
      <c r="U432">
        <v>0</v>
      </c>
      <c r="V432">
        <v>0</v>
      </c>
      <c r="W432">
        <v>1</v>
      </c>
      <c r="X432">
        <v>0</v>
      </c>
      <c r="Y432">
        <v>1</v>
      </c>
      <c r="Z432">
        <v>0</v>
      </c>
      <c r="AA432">
        <v>0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</row>
    <row r="433" spans="1:39" x14ac:dyDescent="0.2">
      <c r="A433" t="str">
        <f>"429"</f>
        <v>429</v>
      </c>
      <c r="B433" t="str">
        <f t="shared" si="21"/>
        <v>1</v>
      </c>
      <c r="C433" t="str">
        <f t="shared" si="23"/>
        <v>9</v>
      </c>
      <c r="D433" t="str">
        <f>"40"</f>
        <v>40</v>
      </c>
      <c r="E433" t="str">
        <f>"1-9-40"</f>
        <v>1-9-40</v>
      </c>
      <c r="F433" t="s">
        <v>65</v>
      </c>
      <c r="G433" t="s">
        <v>66</v>
      </c>
      <c r="H433" t="s">
        <v>67</v>
      </c>
      <c r="S433">
        <v>0</v>
      </c>
      <c r="T433">
        <v>1</v>
      </c>
      <c r="U433">
        <v>0</v>
      </c>
      <c r="V433">
        <v>0</v>
      </c>
      <c r="W433">
        <v>1</v>
      </c>
      <c r="X433">
        <v>0</v>
      </c>
      <c r="Y433">
        <v>0</v>
      </c>
      <c r="Z433">
        <v>1</v>
      </c>
      <c r="AA433">
        <v>0</v>
      </c>
      <c r="AB433">
        <v>0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</row>
    <row r="434" spans="1:39" x14ac:dyDescent="0.2">
      <c r="A434" t="str">
        <f>"430"</f>
        <v>430</v>
      </c>
      <c r="B434" t="str">
        <f t="shared" si="21"/>
        <v>1</v>
      </c>
      <c r="C434" t="str">
        <f t="shared" si="23"/>
        <v>9</v>
      </c>
      <c r="D434" t="str">
        <f>"23"</f>
        <v>23</v>
      </c>
      <c r="E434" t="str">
        <f>"1-9-23"</f>
        <v>1-9-23</v>
      </c>
      <c r="F434" t="s">
        <v>65</v>
      </c>
      <c r="G434" t="s">
        <v>66</v>
      </c>
      <c r="H434" t="s">
        <v>67</v>
      </c>
      <c r="S434">
        <v>0</v>
      </c>
      <c r="T434">
        <v>1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1</v>
      </c>
      <c r="AH434">
        <v>1</v>
      </c>
      <c r="AI434">
        <v>1</v>
      </c>
      <c r="AJ434">
        <v>1</v>
      </c>
      <c r="AK434">
        <v>0</v>
      </c>
      <c r="AL434">
        <v>1</v>
      </c>
      <c r="AM434">
        <v>1</v>
      </c>
    </row>
    <row r="435" spans="1:39" x14ac:dyDescent="0.2">
      <c r="A435" t="str">
        <f>"431"</f>
        <v>431</v>
      </c>
      <c r="B435" t="str">
        <f t="shared" si="21"/>
        <v>1</v>
      </c>
      <c r="C435" t="str">
        <f t="shared" si="23"/>
        <v>9</v>
      </c>
      <c r="D435" t="str">
        <f>"10"</f>
        <v>10</v>
      </c>
      <c r="E435" t="str">
        <f>"1-9-10"</f>
        <v>1-9-10</v>
      </c>
      <c r="F435" t="s">
        <v>65</v>
      </c>
      <c r="G435" t="s">
        <v>66</v>
      </c>
      <c r="H435" t="s">
        <v>67</v>
      </c>
      <c r="S435">
        <v>0</v>
      </c>
      <c r="T435">
        <v>1</v>
      </c>
      <c r="U435">
        <v>0</v>
      </c>
      <c r="V435">
        <v>0</v>
      </c>
      <c r="W435">
        <v>1</v>
      </c>
      <c r="X435">
        <v>0</v>
      </c>
      <c r="Y435">
        <v>1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1</v>
      </c>
      <c r="AF435">
        <v>1</v>
      </c>
      <c r="AG435">
        <v>1</v>
      </c>
      <c r="AH435">
        <v>1</v>
      </c>
      <c r="AI435">
        <v>1</v>
      </c>
      <c r="AJ435">
        <v>1</v>
      </c>
      <c r="AK435">
        <v>1</v>
      </c>
      <c r="AL435">
        <v>1</v>
      </c>
      <c r="AM435">
        <v>1</v>
      </c>
    </row>
    <row r="436" spans="1:39" x14ac:dyDescent="0.2">
      <c r="A436" t="str">
        <f>"432"</f>
        <v>432</v>
      </c>
      <c r="B436" t="str">
        <f t="shared" si="21"/>
        <v>1</v>
      </c>
      <c r="C436" t="str">
        <f t="shared" si="23"/>
        <v>9</v>
      </c>
      <c r="D436" t="str">
        <f>"37"</f>
        <v>37</v>
      </c>
      <c r="E436" t="str">
        <f>"1-9-37"</f>
        <v>1-9-37</v>
      </c>
      <c r="F436" t="s">
        <v>65</v>
      </c>
      <c r="G436" t="s">
        <v>66</v>
      </c>
      <c r="H436" t="s">
        <v>67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1</v>
      </c>
      <c r="Z436">
        <v>0</v>
      </c>
      <c r="AA436">
        <v>1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</row>
    <row r="437" spans="1:39" x14ac:dyDescent="0.2">
      <c r="A437" t="str">
        <f>"433"</f>
        <v>433</v>
      </c>
      <c r="B437" t="str">
        <f t="shared" si="21"/>
        <v>1</v>
      </c>
      <c r="C437" t="str">
        <f t="shared" ref="C437:C454" si="24">"9"</f>
        <v>9</v>
      </c>
      <c r="D437" t="str">
        <f>"24"</f>
        <v>24</v>
      </c>
      <c r="E437" t="str">
        <f>"1-9-24"</f>
        <v>1-9-24</v>
      </c>
      <c r="F437" t="s">
        <v>65</v>
      </c>
      <c r="G437" t="s">
        <v>66</v>
      </c>
      <c r="H437" t="s">
        <v>67</v>
      </c>
      <c r="S437">
        <v>1</v>
      </c>
      <c r="T437">
        <v>0</v>
      </c>
      <c r="U437">
        <v>0</v>
      </c>
      <c r="V437">
        <v>0</v>
      </c>
      <c r="W437">
        <v>1</v>
      </c>
      <c r="X437">
        <v>0</v>
      </c>
      <c r="Y437">
        <v>1</v>
      </c>
      <c r="Z437">
        <v>0</v>
      </c>
      <c r="AA437">
        <v>0</v>
      </c>
      <c r="AB437">
        <v>1</v>
      </c>
      <c r="AC437">
        <v>0</v>
      </c>
      <c r="AD437">
        <v>1</v>
      </c>
      <c r="AE437">
        <v>1</v>
      </c>
      <c r="AF437">
        <v>1</v>
      </c>
      <c r="AG437">
        <v>1</v>
      </c>
      <c r="AH437">
        <v>1</v>
      </c>
      <c r="AI437">
        <v>1</v>
      </c>
      <c r="AJ437">
        <v>1</v>
      </c>
      <c r="AK437">
        <v>1</v>
      </c>
      <c r="AL437">
        <v>1</v>
      </c>
      <c r="AM437">
        <v>1</v>
      </c>
    </row>
    <row r="438" spans="1:39" x14ac:dyDescent="0.2">
      <c r="A438" t="str">
        <f>"434"</f>
        <v>434</v>
      </c>
      <c r="B438" t="str">
        <f t="shared" si="21"/>
        <v>1</v>
      </c>
      <c r="C438" t="str">
        <f t="shared" si="24"/>
        <v>9</v>
      </c>
      <c r="D438" t="str">
        <f>"14"</f>
        <v>14</v>
      </c>
      <c r="E438" t="str">
        <f>"1-9-14"</f>
        <v>1-9-14</v>
      </c>
      <c r="F438" t="s">
        <v>65</v>
      </c>
      <c r="G438" t="s">
        <v>66</v>
      </c>
      <c r="H438" t="s">
        <v>67</v>
      </c>
      <c r="S438">
        <v>0</v>
      </c>
      <c r="T438">
        <v>1</v>
      </c>
      <c r="U438">
        <v>0</v>
      </c>
      <c r="V438">
        <v>0</v>
      </c>
      <c r="W438">
        <v>1</v>
      </c>
      <c r="X438">
        <v>0</v>
      </c>
      <c r="Y438">
        <v>1</v>
      </c>
      <c r="Z438">
        <v>0</v>
      </c>
      <c r="AA438">
        <v>0</v>
      </c>
      <c r="AB438">
        <v>1</v>
      </c>
      <c r="AC438">
        <v>0</v>
      </c>
      <c r="AD438">
        <v>1</v>
      </c>
      <c r="AE438">
        <v>1</v>
      </c>
      <c r="AF438">
        <v>1</v>
      </c>
      <c r="AG438">
        <v>1</v>
      </c>
      <c r="AH438">
        <v>1</v>
      </c>
      <c r="AI438">
        <v>1</v>
      </c>
      <c r="AJ438">
        <v>1</v>
      </c>
      <c r="AK438">
        <v>1</v>
      </c>
      <c r="AL438">
        <v>1</v>
      </c>
      <c r="AM438">
        <v>1</v>
      </c>
    </row>
    <row r="439" spans="1:39" x14ac:dyDescent="0.2">
      <c r="A439" t="str">
        <f>"435"</f>
        <v>435</v>
      </c>
      <c r="B439" t="str">
        <f t="shared" ref="B439:B502" si="25">"1"</f>
        <v>1</v>
      </c>
      <c r="C439" t="str">
        <f t="shared" si="24"/>
        <v>9</v>
      </c>
      <c r="D439" t="str">
        <f>"42"</f>
        <v>42</v>
      </c>
      <c r="E439" t="str">
        <f>"1-9-42"</f>
        <v>1-9-42</v>
      </c>
      <c r="F439" t="s">
        <v>65</v>
      </c>
      <c r="G439" t="s">
        <v>66</v>
      </c>
      <c r="H439" t="s">
        <v>67</v>
      </c>
      <c r="S439">
        <v>0</v>
      </c>
      <c r="T439">
        <v>1</v>
      </c>
      <c r="U439">
        <v>0</v>
      </c>
      <c r="V439">
        <v>0</v>
      </c>
      <c r="W439">
        <v>0</v>
      </c>
      <c r="X439">
        <v>1</v>
      </c>
      <c r="Y439">
        <v>1</v>
      </c>
      <c r="Z439">
        <v>0</v>
      </c>
      <c r="AA439">
        <v>0</v>
      </c>
      <c r="AB439">
        <v>1</v>
      </c>
      <c r="AC439">
        <v>0</v>
      </c>
      <c r="AD439">
        <v>1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1</v>
      </c>
      <c r="AL439">
        <v>1</v>
      </c>
      <c r="AM439">
        <v>1</v>
      </c>
    </row>
    <row r="440" spans="1:39" x14ac:dyDescent="0.2">
      <c r="A440" t="str">
        <f>"436"</f>
        <v>436</v>
      </c>
      <c r="B440" t="str">
        <f t="shared" si="25"/>
        <v>1</v>
      </c>
      <c r="C440" t="str">
        <f t="shared" si="24"/>
        <v>9</v>
      </c>
      <c r="D440" t="str">
        <f>"25"</f>
        <v>25</v>
      </c>
      <c r="E440" t="str">
        <f>"1-9-25"</f>
        <v>1-9-25</v>
      </c>
      <c r="F440" t="s">
        <v>65</v>
      </c>
      <c r="G440" t="s">
        <v>66</v>
      </c>
      <c r="H440" t="s">
        <v>67</v>
      </c>
      <c r="S440">
        <v>1</v>
      </c>
      <c r="T440">
        <v>0</v>
      </c>
      <c r="U440">
        <v>0</v>
      </c>
      <c r="V440">
        <v>0</v>
      </c>
      <c r="W440">
        <v>0</v>
      </c>
      <c r="X440">
        <v>1</v>
      </c>
      <c r="Y440">
        <v>0</v>
      </c>
      <c r="Z440">
        <v>1</v>
      </c>
      <c r="AA440">
        <v>0</v>
      </c>
      <c r="AB440">
        <v>0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</row>
    <row r="441" spans="1:39" x14ac:dyDescent="0.2">
      <c r="A441" t="str">
        <f>"437"</f>
        <v>437</v>
      </c>
      <c r="B441" t="str">
        <f t="shared" si="25"/>
        <v>1</v>
      </c>
      <c r="C441" t="str">
        <f t="shared" si="24"/>
        <v>9</v>
      </c>
      <c r="D441" t="str">
        <f>"2"</f>
        <v>2</v>
      </c>
      <c r="E441" t="str">
        <f>"1-9-2"</f>
        <v>1-9-2</v>
      </c>
      <c r="F441" t="s">
        <v>65</v>
      </c>
      <c r="G441" t="s">
        <v>66</v>
      </c>
      <c r="H441" t="s">
        <v>67</v>
      </c>
      <c r="S441">
        <v>0</v>
      </c>
      <c r="T441">
        <v>1</v>
      </c>
      <c r="U441">
        <v>0</v>
      </c>
      <c r="V441">
        <v>0</v>
      </c>
      <c r="W441">
        <v>1</v>
      </c>
      <c r="X441">
        <v>0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  <c r="AJ441">
        <v>0</v>
      </c>
      <c r="AK441">
        <v>0</v>
      </c>
      <c r="AL441">
        <v>1</v>
      </c>
      <c r="AM441">
        <v>1</v>
      </c>
    </row>
    <row r="442" spans="1:39" x14ac:dyDescent="0.2">
      <c r="A442" t="str">
        <f>"438"</f>
        <v>438</v>
      </c>
      <c r="B442" t="str">
        <f t="shared" si="25"/>
        <v>1</v>
      </c>
      <c r="C442" t="str">
        <f t="shared" si="24"/>
        <v>9</v>
      </c>
      <c r="D442" t="str">
        <f>"43"</f>
        <v>43</v>
      </c>
      <c r="E442" t="str">
        <f>"1-9-43"</f>
        <v>1-9-43</v>
      </c>
      <c r="F442" t="s">
        <v>65</v>
      </c>
      <c r="G442" t="s">
        <v>66</v>
      </c>
      <c r="H442" t="s">
        <v>67</v>
      </c>
      <c r="S442">
        <v>0</v>
      </c>
      <c r="T442">
        <v>1</v>
      </c>
      <c r="U442">
        <v>0</v>
      </c>
      <c r="V442">
        <v>0</v>
      </c>
      <c r="W442">
        <v>1</v>
      </c>
      <c r="X442">
        <v>0</v>
      </c>
      <c r="Y442">
        <v>1</v>
      </c>
      <c r="Z442">
        <v>0</v>
      </c>
      <c r="AA442">
        <v>0</v>
      </c>
      <c r="AB442">
        <v>1</v>
      </c>
      <c r="AC442">
        <v>0</v>
      </c>
      <c r="AD442">
        <v>1</v>
      </c>
      <c r="AE442">
        <v>1</v>
      </c>
      <c r="AF442">
        <v>1</v>
      </c>
      <c r="AG442">
        <v>1</v>
      </c>
      <c r="AH442">
        <v>1</v>
      </c>
      <c r="AI442">
        <v>1</v>
      </c>
      <c r="AJ442">
        <v>1</v>
      </c>
      <c r="AK442">
        <v>1</v>
      </c>
      <c r="AL442">
        <v>1</v>
      </c>
      <c r="AM442">
        <v>1</v>
      </c>
    </row>
    <row r="443" spans="1:39" x14ac:dyDescent="0.2">
      <c r="A443" t="str">
        <f>"439"</f>
        <v>439</v>
      </c>
      <c r="B443" t="str">
        <f t="shared" si="25"/>
        <v>1</v>
      </c>
      <c r="C443" t="str">
        <f t="shared" si="24"/>
        <v>9</v>
      </c>
      <c r="D443" t="str">
        <f>"26"</f>
        <v>26</v>
      </c>
      <c r="E443" t="str">
        <f>"1-9-26"</f>
        <v>1-9-26</v>
      </c>
      <c r="F443" t="s">
        <v>65</v>
      </c>
      <c r="G443" t="s">
        <v>66</v>
      </c>
      <c r="H443" t="s">
        <v>67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1</v>
      </c>
      <c r="Y443">
        <v>0</v>
      </c>
      <c r="Z443">
        <v>1</v>
      </c>
      <c r="AA443">
        <v>0</v>
      </c>
      <c r="AB443">
        <v>0</v>
      </c>
      <c r="AC443">
        <v>1</v>
      </c>
      <c r="AD443">
        <v>1</v>
      </c>
      <c r="AE443">
        <v>1</v>
      </c>
      <c r="AF443">
        <v>1</v>
      </c>
      <c r="AG443">
        <v>1</v>
      </c>
      <c r="AH443">
        <v>1</v>
      </c>
      <c r="AI443">
        <v>1</v>
      </c>
      <c r="AJ443">
        <v>1</v>
      </c>
      <c r="AK443">
        <v>1</v>
      </c>
      <c r="AL443">
        <v>1</v>
      </c>
      <c r="AM443">
        <v>1</v>
      </c>
    </row>
    <row r="444" spans="1:39" x14ac:dyDescent="0.2">
      <c r="A444" t="str">
        <f>"440"</f>
        <v>440</v>
      </c>
      <c r="B444" t="str">
        <f t="shared" si="25"/>
        <v>1</v>
      </c>
      <c r="C444" t="str">
        <f t="shared" si="24"/>
        <v>9</v>
      </c>
      <c r="D444" t="str">
        <f>"8"</f>
        <v>8</v>
      </c>
      <c r="E444" t="str">
        <f>"1-9-8"</f>
        <v>1-9-8</v>
      </c>
      <c r="F444" t="s">
        <v>65</v>
      </c>
      <c r="G444" t="s">
        <v>66</v>
      </c>
      <c r="H444" t="s">
        <v>67</v>
      </c>
      <c r="S444">
        <v>0</v>
      </c>
      <c r="T444">
        <v>0</v>
      </c>
      <c r="U444">
        <v>0</v>
      </c>
      <c r="V444">
        <v>0</v>
      </c>
      <c r="W444">
        <v>1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</row>
    <row r="445" spans="1:39" x14ac:dyDescent="0.2">
      <c r="A445" t="str">
        <f>"441"</f>
        <v>441</v>
      </c>
      <c r="B445" t="str">
        <f t="shared" si="25"/>
        <v>1</v>
      </c>
      <c r="C445" t="str">
        <f t="shared" si="24"/>
        <v>9</v>
      </c>
      <c r="D445" t="str">
        <f>"45"</f>
        <v>45</v>
      </c>
      <c r="E445" t="str">
        <f>"1-9-45"</f>
        <v>1-9-45</v>
      </c>
      <c r="F445" t="s">
        <v>65</v>
      </c>
      <c r="G445" t="s">
        <v>66</v>
      </c>
      <c r="H445" t="s">
        <v>67</v>
      </c>
      <c r="S445">
        <v>1</v>
      </c>
      <c r="T445">
        <v>0</v>
      </c>
      <c r="U445">
        <v>0</v>
      </c>
      <c r="V445">
        <v>0</v>
      </c>
      <c r="W445">
        <v>1</v>
      </c>
      <c r="X445">
        <v>0</v>
      </c>
      <c r="Y445">
        <v>1</v>
      </c>
      <c r="Z445">
        <v>0</v>
      </c>
      <c r="AA445">
        <v>0</v>
      </c>
      <c r="AB445">
        <v>1</v>
      </c>
      <c r="AC445">
        <v>0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1</v>
      </c>
    </row>
    <row r="446" spans="1:39" x14ac:dyDescent="0.2">
      <c r="A446" t="str">
        <f>"442"</f>
        <v>442</v>
      </c>
      <c r="B446" t="str">
        <f t="shared" si="25"/>
        <v>1</v>
      </c>
      <c r="C446" t="str">
        <f t="shared" si="24"/>
        <v>9</v>
      </c>
      <c r="D446" t="str">
        <f>"27"</f>
        <v>27</v>
      </c>
      <c r="E446" t="str">
        <f>"1-9-27"</f>
        <v>1-9-27</v>
      </c>
      <c r="F446" t="s">
        <v>65</v>
      </c>
      <c r="G446" t="s">
        <v>66</v>
      </c>
      <c r="H446" t="s">
        <v>67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1</v>
      </c>
      <c r="Y446">
        <v>1</v>
      </c>
      <c r="Z446">
        <v>0</v>
      </c>
      <c r="AA446">
        <v>0</v>
      </c>
      <c r="AB446">
        <v>1</v>
      </c>
      <c r="AC446">
        <v>0</v>
      </c>
      <c r="AD446">
        <v>1</v>
      </c>
      <c r="AE446">
        <v>1</v>
      </c>
      <c r="AF446">
        <v>1</v>
      </c>
      <c r="AG446">
        <v>1</v>
      </c>
      <c r="AH446">
        <v>1</v>
      </c>
      <c r="AI446">
        <v>1</v>
      </c>
      <c r="AJ446">
        <v>1</v>
      </c>
      <c r="AK446">
        <v>1</v>
      </c>
      <c r="AL446">
        <v>1</v>
      </c>
      <c r="AM446">
        <v>1</v>
      </c>
    </row>
    <row r="447" spans="1:39" x14ac:dyDescent="0.2">
      <c r="A447" t="str">
        <f>"443"</f>
        <v>443</v>
      </c>
      <c r="B447" t="str">
        <f t="shared" si="25"/>
        <v>1</v>
      </c>
      <c r="C447" t="str">
        <f t="shared" si="24"/>
        <v>9</v>
      </c>
      <c r="D447" t="str">
        <f>"12"</f>
        <v>12</v>
      </c>
      <c r="E447" t="str">
        <f>"1-9-12"</f>
        <v>1-9-12</v>
      </c>
      <c r="F447" t="s">
        <v>65</v>
      </c>
      <c r="G447" t="s">
        <v>66</v>
      </c>
      <c r="H447" t="s">
        <v>67</v>
      </c>
      <c r="S447">
        <v>1</v>
      </c>
      <c r="T447">
        <v>0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1</v>
      </c>
      <c r="AA447">
        <v>0</v>
      </c>
      <c r="AB447">
        <v>0</v>
      </c>
      <c r="AC447">
        <v>1</v>
      </c>
      <c r="AD447">
        <v>1</v>
      </c>
      <c r="AE447">
        <v>1</v>
      </c>
      <c r="AF447">
        <v>1</v>
      </c>
      <c r="AG447">
        <v>1</v>
      </c>
      <c r="AH447">
        <v>1</v>
      </c>
      <c r="AI447">
        <v>1</v>
      </c>
      <c r="AJ447">
        <v>1</v>
      </c>
      <c r="AK447">
        <v>1</v>
      </c>
      <c r="AL447">
        <v>1</v>
      </c>
      <c r="AM447">
        <v>1</v>
      </c>
    </row>
    <row r="448" spans="1:39" x14ac:dyDescent="0.2">
      <c r="A448" t="str">
        <f>"444"</f>
        <v>444</v>
      </c>
      <c r="B448" t="str">
        <f t="shared" si="25"/>
        <v>1</v>
      </c>
      <c r="C448" t="str">
        <f t="shared" si="24"/>
        <v>9</v>
      </c>
      <c r="D448" t="str">
        <f>"44"</f>
        <v>44</v>
      </c>
      <c r="E448" t="str">
        <f>"1-9-44"</f>
        <v>1-9-44</v>
      </c>
      <c r="F448" t="s">
        <v>65</v>
      </c>
      <c r="G448" t="s">
        <v>66</v>
      </c>
      <c r="H448" t="s">
        <v>67</v>
      </c>
      <c r="S448">
        <v>1</v>
      </c>
      <c r="T448">
        <v>0</v>
      </c>
      <c r="U448">
        <v>0</v>
      </c>
      <c r="V448">
        <v>0</v>
      </c>
      <c r="W448">
        <v>1</v>
      </c>
      <c r="X448">
        <v>0</v>
      </c>
      <c r="Y448">
        <v>1</v>
      </c>
      <c r="Z448">
        <v>0</v>
      </c>
      <c r="AA448">
        <v>0</v>
      </c>
      <c r="AB448">
        <v>1</v>
      </c>
      <c r="AC448">
        <v>0</v>
      </c>
      <c r="AD448">
        <v>1</v>
      </c>
      <c r="AE448">
        <v>1</v>
      </c>
      <c r="AF448">
        <v>1</v>
      </c>
      <c r="AG448">
        <v>1</v>
      </c>
      <c r="AH448">
        <v>1</v>
      </c>
      <c r="AI448">
        <v>1</v>
      </c>
      <c r="AJ448">
        <v>1</v>
      </c>
      <c r="AK448">
        <v>1</v>
      </c>
      <c r="AL448">
        <v>1</v>
      </c>
      <c r="AM448">
        <v>1</v>
      </c>
    </row>
    <row r="449" spans="1:39" x14ac:dyDescent="0.2">
      <c r="A449" t="str">
        <f>"445"</f>
        <v>445</v>
      </c>
      <c r="B449" t="str">
        <f t="shared" si="25"/>
        <v>1</v>
      </c>
      <c r="C449" t="str">
        <f t="shared" si="24"/>
        <v>9</v>
      </c>
      <c r="D449" t="str">
        <f>"28"</f>
        <v>28</v>
      </c>
      <c r="E449" t="str">
        <f>"1-9-28"</f>
        <v>1-9-28</v>
      </c>
      <c r="F449" t="s">
        <v>65</v>
      </c>
      <c r="G449" t="s">
        <v>66</v>
      </c>
      <c r="H449" t="s">
        <v>67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1</v>
      </c>
      <c r="Y449">
        <v>0</v>
      </c>
      <c r="Z449">
        <v>1</v>
      </c>
      <c r="AA449">
        <v>0</v>
      </c>
      <c r="AB449">
        <v>0</v>
      </c>
      <c r="AC449">
        <v>1</v>
      </c>
      <c r="AD449">
        <v>1</v>
      </c>
      <c r="AE449">
        <v>1</v>
      </c>
      <c r="AF449">
        <v>1</v>
      </c>
      <c r="AG449">
        <v>1</v>
      </c>
      <c r="AH449">
        <v>1</v>
      </c>
      <c r="AI449">
        <v>1</v>
      </c>
      <c r="AJ449">
        <v>1</v>
      </c>
      <c r="AK449">
        <v>1</v>
      </c>
      <c r="AL449">
        <v>1</v>
      </c>
      <c r="AM449">
        <v>1</v>
      </c>
    </row>
    <row r="450" spans="1:39" x14ac:dyDescent="0.2">
      <c r="A450" t="str">
        <f>"446"</f>
        <v>446</v>
      </c>
      <c r="B450" t="str">
        <f t="shared" si="25"/>
        <v>1</v>
      </c>
      <c r="C450" t="str">
        <f t="shared" si="24"/>
        <v>9</v>
      </c>
      <c r="D450" t="str">
        <f>"4"</f>
        <v>4</v>
      </c>
      <c r="E450" t="str">
        <f>"1-9-4"</f>
        <v>1-9-4</v>
      </c>
      <c r="F450" t="s">
        <v>65</v>
      </c>
      <c r="G450" t="s">
        <v>66</v>
      </c>
      <c r="H450" t="s">
        <v>67</v>
      </c>
      <c r="S450">
        <v>1</v>
      </c>
      <c r="T450">
        <v>0</v>
      </c>
      <c r="U450">
        <v>0</v>
      </c>
      <c r="V450">
        <v>0</v>
      </c>
      <c r="W450">
        <v>1</v>
      </c>
      <c r="X450">
        <v>0</v>
      </c>
      <c r="Y450">
        <v>1</v>
      </c>
      <c r="Z450">
        <v>0</v>
      </c>
      <c r="AA450">
        <v>1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1</v>
      </c>
      <c r="AH450">
        <v>0</v>
      </c>
      <c r="AI450">
        <v>1</v>
      </c>
      <c r="AJ450">
        <v>0</v>
      </c>
      <c r="AK450">
        <v>1</v>
      </c>
      <c r="AL450">
        <v>1</v>
      </c>
      <c r="AM450">
        <v>1</v>
      </c>
    </row>
    <row r="451" spans="1:39" x14ac:dyDescent="0.2">
      <c r="A451" t="str">
        <f>"447"</f>
        <v>447</v>
      </c>
      <c r="B451" t="str">
        <f t="shared" si="25"/>
        <v>1</v>
      </c>
      <c r="C451" t="str">
        <f t="shared" si="24"/>
        <v>9</v>
      </c>
      <c r="D451" t="str">
        <f>"46"</f>
        <v>46</v>
      </c>
      <c r="E451" t="str">
        <f>"1-9-46"</f>
        <v>1-9-46</v>
      </c>
      <c r="F451" t="s">
        <v>65</v>
      </c>
      <c r="G451" t="s">
        <v>66</v>
      </c>
      <c r="H451" t="s">
        <v>67</v>
      </c>
      <c r="S451">
        <v>0</v>
      </c>
      <c r="T451">
        <v>1</v>
      </c>
      <c r="U451">
        <v>0</v>
      </c>
      <c r="V451">
        <v>0</v>
      </c>
      <c r="W451">
        <v>1</v>
      </c>
      <c r="X451">
        <v>0</v>
      </c>
      <c r="Y451">
        <v>1</v>
      </c>
      <c r="Z451">
        <v>0</v>
      </c>
      <c r="AA451">
        <v>0</v>
      </c>
      <c r="AB451">
        <v>0</v>
      </c>
      <c r="AC451">
        <v>1</v>
      </c>
      <c r="AD451">
        <v>1</v>
      </c>
      <c r="AE451">
        <v>1</v>
      </c>
      <c r="AF451">
        <v>1</v>
      </c>
      <c r="AG451">
        <v>0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0</v>
      </c>
    </row>
    <row r="452" spans="1:39" x14ac:dyDescent="0.2">
      <c r="A452" t="str">
        <f>"448"</f>
        <v>448</v>
      </c>
      <c r="B452" t="str">
        <f t="shared" si="25"/>
        <v>1</v>
      </c>
      <c r="C452" t="str">
        <f t="shared" si="24"/>
        <v>9</v>
      </c>
      <c r="D452" t="str">
        <f>"30"</f>
        <v>30</v>
      </c>
      <c r="E452" t="str">
        <f>"1-9-30"</f>
        <v>1-9-30</v>
      </c>
      <c r="F452" t="s">
        <v>65</v>
      </c>
      <c r="G452" t="s">
        <v>66</v>
      </c>
      <c r="H452" t="s">
        <v>67</v>
      </c>
      <c r="S452">
        <v>1</v>
      </c>
      <c r="T452">
        <v>0</v>
      </c>
      <c r="U452">
        <v>0</v>
      </c>
      <c r="V452">
        <v>0</v>
      </c>
      <c r="W452">
        <v>1</v>
      </c>
      <c r="X452">
        <v>0</v>
      </c>
      <c r="Y452">
        <v>1</v>
      </c>
      <c r="Z452">
        <v>0</v>
      </c>
      <c r="AA452">
        <v>1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1</v>
      </c>
      <c r="AH452">
        <v>0</v>
      </c>
      <c r="AI452">
        <v>0</v>
      </c>
      <c r="AJ452">
        <v>1</v>
      </c>
      <c r="AK452">
        <v>1</v>
      </c>
      <c r="AL452">
        <v>1</v>
      </c>
      <c r="AM452">
        <v>1</v>
      </c>
    </row>
    <row r="453" spans="1:39" x14ac:dyDescent="0.2">
      <c r="A453" t="str">
        <f>"449"</f>
        <v>449</v>
      </c>
      <c r="B453" t="str">
        <f t="shared" si="25"/>
        <v>1</v>
      </c>
      <c r="C453" t="str">
        <f t="shared" si="24"/>
        <v>9</v>
      </c>
      <c r="D453" t="str">
        <f>"7"</f>
        <v>7</v>
      </c>
      <c r="E453" t="str">
        <f>"1-9-7"</f>
        <v>1-9-7</v>
      </c>
      <c r="F453" t="s">
        <v>65</v>
      </c>
      <c r="G453" t="s">
        <v>66</v>
      </c>
      <c r="H453" t="s">
        <v>67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  <c r="AA453">
        <v>1</v>
      </c>
      <c r="AB453">
        <v>0</v>
      </c>
      <c r="AC453">
        <v>0</v>
      </c>
      <c r="AD453">
        <v>1</v>
      </c>
      <c r="AE453">
        <v>1</v>
      </c>
      <c r="AF453">
        <v>1</v>
      </c>
      <c r="AG453">
        <v>1</v>
      </c>
      <c r="AH453">
        <v>1</v>
      </c>
      <c r="AI453">
        <v>1</v>
      </c>
      <c r="AJ453">
        <v>1</v>
      </c>
      <c r="AK453">
        <v>1</v>
      </c>
      <c r="AL453">
        <v>1</v>
      </c>
      <c r="AM453">
        <v>1</v>
      </c>
    </row>
    <row r="454" spans="1:39" x14ac:dyDescent="0.2">
      <c r="A454" t="str">
        <f>"450"</f>
        <v>450</v>
      </c>
      <c r="B454" t="str">
        <f t="shared" si="25"/>
        <v>1</v>
      </c>
      <c r="C454" t="str">
        <f t="shared" si="24"/>
        <v>9</v>
      </c>
      <c r="D454" t="str">
        <f>"1"</f>
        <v>1</v>
      </c>
      <c r="E454" t="str">
        <f>"1-9-1"</f>
        <v>1-9-1</v>
      </c>
      <c r="F454" t="s">
        <v>65</v>
      </c>
      <c r="G454" t="s">
        <v>66</v>
      </c>
      <c r="H454" t="s">
        <v>67</v>
      </c>
      <c r="S454">
        <v>1</v>
      </c>
      <c r="T454">
        <v>0</v>
      </c>
      <c r="U454">
        <v>0</v>
      </c>
      <c r="V454">
        <v>0</v>
      </c>
      <c r="W454">
        <v>0</v>
      </c>
      <c r="X454">
        <v>1</v>
      </c>
      <c r="Y454">
        <v>1</v>
      </c>
      <c r="Z454">
        <v>0</v>
      </c>
      <c r="AA454">
        <v>0</v>
      </c>
      <c r="AB454">
        <v>0</v>
      </c>
      <c r="AC454">
        <v>1</v>
      </c>
      <c r="AD454">
        <v>1</v>
      </c>
      <c r="AE454">
        <v>1</v>
      </c>
      <c r="AF454">
        <v>1</v>
      </c>
      <c r="AG454">
        <v>1</v>
      </c>
      <c r="AH454">
        <v>1</v>
      </c>
      <c r="AI454">
        <v>1</v>
      </c>
      <c r="AJ454">
        <v>1</v>
      </c>
      <c r="AK454">
        <v>1</v>
      </c>
      <c r="AL454">
        <v>1</v>
      </c>
      <c r="AM454">
        <v>1</v>
      </c>
    </row>
    <row r="455" spans="1:39" x14ac:dyDescent="0.2">
      <c r="A455" t="str">
        <f>"451"</f>
        <v>451</v>
      </c>
      <c r="B455" t="str">
        <f t="shared" si="25"/>
        <v>1</v>
      </c>
      <c r="C455" t="str">
        <f t="shared" ref="C455:C486" si="26">"10"</f>
        <v>10</v>
      </c>
      <c r="D455" t="str">
        <f>"32"</f>
        <v>32</v>
      </c>
      <c r="E455" t="str">
        <f>"1-10-32"</f>
        <v>1-10-32</v>
      </c>
      <c r="F455" t="s">
        <v>65</v>
      </c>
      <c r="G455" t="s">
        <v>66</v>
      </c>
      <c r="H455" t="s">
        <v>67</v>
      </c>
      <c r="S455">
        <v>1</v>
      </c>
      <c r="T455">
        <v>0</v>
      </c>
      <c r="U455">
        <v>0</v>
      </c>
      <c r="V455">
        <v>0</v>
      </c>
      <c r="W455">
        <v>1</v>
      </c>
      <c r="X455">
        <v>0</v>
      </c>
      <c r="Y455">
        <v>1</v>
      </c>
      <c r="Z455">
        <v>0</v>
      </c>
      <c r="AA455">
        <v>0</v>
      </c>
      <c r="AB455">
        <v>1</v>
      </c>
      <c r="AC455">
        <v>0</v>
      </c>
      <c r="AD455">
        <v>1</v>
      </c>
      <c r="AE455">
        <v>1</v>
      </c>
      <c r="AF455">
        <v>1</v>
      </c>
      <c r="AG455">
        <v>1</v>
      </c>
      <c r="AH455">
        <v>1</v>
      </c>
      <c r="AI455">
        <v>1</v>
      </c>
      <c r="AJ455">
        <v>1</v>
      </c>
      <c r="AK455">
        <v>1</v>
      </c>
      <c r="AL455">
        <v>1</v>
      </c>
      <c r="AM455">
        <v>1</v>
      </c>
    </row>
    <row r="456" spans="1:39" x14ac:dyDescent="0.2">
      <c r="A456" t="str">
        <f>"452"</f>
        <v>452</v>
      </c>
      <c r="B456" t="str">
        <f t="shared" si="25"/>
        <v>1</v>
      </c>
      <c r="C456" t="str">
        <f t="shared" si="26"/>
        <v>10</v>
      </c>
      <c r="D456" t="str">
        <f>"31"</f>
        <v>31</v>
      </c>
      <c r="E456" t="str">
        <f>"1-10-31"</f>
        <v>1-10-31</v>
      </c>
      <c r="F456" t="s">
        <v>65</v>
      </c>
      <c r="G456" t="s">
        <v>66</v>
      </c>
      <c r="H456" t="s">
        <v>67</v>
      </c>
      <c r="S456">
        <v>0</v>
      </c>
      <c r="T456">
        <v>1</v>
      </c>
      <c r="U456">
        <v>0</v>
      </c>
      <c r="V456">
        <v>0</v>
      </c>
      <c r="W456">
        <v>1</v>
      </c>
      <c r="X456">
        <v>0</v>
      </c>
      <c r="Y456">
        <v>0</v>
      </c>
      <c r="Z456">
        <v>1</v>
      </c>
      <c r="AA456">
        <v>0</v>
      </c>
      <c r="AB456">
        <v>0</v>
      </c>
      <c r="AC456">
        <v>1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0</v>
      </c>
      <c r="AK456">
        <v>0</v>
      </c>
      <c r="AL456">
        <v>1</v>
      </c>
      <c r="AM456">
        <v>1</v>
      </c>
    </row>
    <row r="457" spans="1:39" x14ac:dyDescent="0.2">
      <c r="A457" t="str">
        <f>"453"</f>
        <v>453</v>
      </c>
      <c r="B457" t="str">
        <f t="shared" si="25"/>
        <v>1</v>
      </c>
      <c r="C457" t="str">
        <f t="shared" si="26"/>
        <v>10</v>
      </c>
      <c r="D457" t="str">
        <f>"24"</f>
        <v>24</v>
      </c>
      <c r="E457" t="str">
        <f>"1-10-24"</f>
        <v>1-10-24</v>
      </c>
      <c r="F457" t="s">
        <v>65</v>
      </c>
      <c r="G457" t="s">
        <v>66</v>
      </c>
      <c r="H457" t="s">
        <v>67</v>
      </c>
      <c r="S457">
        <v>0</v>
      </c>
      <c r="T457">
        <v>1</v>
      </c>
      <c r="U457">
        <v>0</v>
      </c>
      <c r="V457">
        <v>0</v>
      </c>
      <c r="W457">
        <v>1</v>
      </c>
      <c r="X457">
        <v>0</v>
      </c>
      <c r="Y457">
        <v>0</v>
      </c>
      <c r="Z457">
        <v>1</v>
      </c>
      <c r="AA457">
        <v>0</v>
      </c>
      <c r="AB457">
        <v>0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</row>
    <row r="458" spans="1:39" x14ac:dyDescent="0.2">
      <c r="A458" t="str">
        <f>"454"</f>
        <v>454</v>
      </c>
      <c r="B458" t="str">
        <f t="shared" si="25"/>
        <v>1</v>
      </c>
      <c r="C458" t="str">
        <f t="shared" si="26"/>
        <v>10</v>
      </c>
      <c r="D458" t="str">
        <f>"15"</f>
        <v>15</v>
      </c>
      <c r="E458" t="str">
        <f>"1-10-15"</f>
        <v>1-10-15</v>
      </c>
      <c r="F458" t="s">
        <v>65</v>
      </c>
      <c r="G458" t="s">
        <v>66</v>
      </c>
      <c r="H458" t="s">
        <v>67</v>
      </c>
      <c r="S458">
        <v>1</v>
      </c>
      <c r="T458">
        <v>0</v>
      </c>
      <c r="U458">
        <v>0</v>
      </c>
      <c r="V458">
        <v>0</v>
      </c>
      <c r="W458">
        <v>1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0</v>
      </c>
      <c r="AL458">
        <v>1</v>
      </c>
      <c r="AM458">
        <v>0</v>
      </c>
    </row>
    <row r="459" spans="1:39" x14ac:dyDescent="0.2">
      <c r="A459" t="str">
        <f>"455"</f>
        <v>455</v>
      </c>
      <c r="B459" t="str">
        <f t="shared" si="25"/>
        <v>1</v>
      </c>
      <c r="C459" t="str">
        <f t="shared" si="26"/>
        <v>10</v>
      </c>
      <c r="D459" t="str">
        <f>"8"</f>
        <v>8</v>
      </c>
      <c r="E459" t="str">
        <f>"1-10-8"</f>
        <v>1-10-8</v>
      </c>
      <c r="F459" t="s">
        <v>65</v>
      </c>
      <c r="G459" t="s">
        <v>66</v>
      </c>
      <c r="H459" t="s">
        <v>67</v>
      </c>
      <c r="S459">
        <v>1</v>
      </c>
      <c r="T459">
        <v>0</v>
      </c>
      <c r="U459">
        <v>0</v>
      </c>
      <c r="V459">
        <v>0</v>
      </c>
      <c r="W459">
        <v>0</v>
      </c>
      <c r="X459">
        <v>1</v>
      </c>
      <c r="Y459">
        <v>1</v>
      </c>
      <c r="Z459">
        <v>0</v>
      </c>
      <c r="AA459">
        <v>0</v>
      </c>
      <c r="AB459">
        <v>1</v>
      </c>
      <c r="AC459">
        <v>0</v>
      </c>
      <c r="AD459">
        <v>1</v>
      </c>
      <c r="AE459">
        <v>1</v>
      </c>
      <c r="AF459">
        <v>1</v>
      </c>
      <c r="AG459">
        <v>1</v>
      </c>
      <c r="AH459">
        <v>1</v>
      </c>
      <c r="AI459">
        <v>1</v>
      </c>
      <c r="AJ459">
        <v>1</v>
      </c>
      <c r="AK459">
        <v>1</v>
      </c>
      <c r="AL459">
        <v>1</v>
      </c>
      <c r="AM459">
        <v>1</v>
      </c>
    </row>
    <row r="460" spans="1:39" x14ac:dyDescent="0.2">
      <c r="A460" t="str">
        <f>"456"</f>
        <v>456</v>
      </c>
      <c r="B460" t="str">
        <f t="shared" si="25"/>
        <v>1</v>
      </c>
      <c r="C460" t="str">
        <f t="shared" si="26"/>
        <v>10</v>
      </c>
      <c r="D460" t="str">
        <f>"34"</f>
        <v>34</v>
      </c>
      <c r="E460" t="str">
        <f>"1-10-34"</f>
        <v>1-10-34</v>
      </c>
      <c r="F460" t="s">
        <v>65</v>
      </c>
      <c r="G460" t="s">
        <v>66</v>
      </c>
      <c r="H460" t="s">
        <v>67</v>
      </c>
      <c r="S460">
        <v>1</v>
      </c>
      <c r="T460">
        <v>0</v>
      </c>
      <c r="U460">
        <v>0</v>
      </c>
      <c r="V460">
        <v>0</v>
      </c>
      <c r="W460">
        <v>1</v>
      </c>
      <c r="X460">
        <v>0</v>
      </c>
      <c r="Y460">
        <v>0</v>
      </c>
      <c r="Z460">
        <v>1</v>
      </c>
      <c r="AA460">
        <v>0</v>
      </c>
      <c r="AB460">
        <v>0</v>
      </c>
      <c r="AC460">
        <v>1</v>
      </c>
      <c r="AD460">
        <v>1</v>
      </c>
      <c r="AE460">
        <v>1</v>
      </c>
      <c r="AF460">
        <v>1</v>
      </c>
      <c r="AG460">
        <v>1</v>
      </c>
      <c r="AH460">
        <v>1</v>
      </c>
      <c r="AI460">
        <v>1</v>
      </c>
      <c r="AJ460">
        <v>1</v>
      </c>
      <c r="AK460">
        <v>1</v>
      </c>
      <c r="AL460">
        <v>1</v>
      </c>
      <c r="AM460">
        <v>1</v>
      </c>
    </row>
    <row r="461" spans="1:39" x14ac:dyDescent="0.2">
      <c r="A461" t="str">
        <f>"457"</f>
        <v>457</v>
      </c>
      <c r="B461" t="str">
        <f t="shared" si="25"/>
        <v>1</v>
      </c>
      <c r="C461" t="str">
        <f t="shared" si="26"/>
        <v>10</v>
      </c>
      <c r="D461" t="str">
        <f>"33"</f>
        <v>33</v>
      </c>
      <c r="E461" t="str">
        <f>"1-10-33"</f>
        <v>1-10-33</v>
      </c>
      <c r="F461" t="s">
        <v>65</v>
      </c>
      <c r="G461" t="s">
        <v>66</v>
      </c>
      <c r="H461" t="s">
        <v>67</v>
      </c>
      <c r="S461">
        <v>1</v>
      </c>
      <c r="T461">
        <v>0</v>
      </c>
      <c r="U461">
        <v>0</v>
      </c>
      <c r="V461">
        <v>0</v>
      </c>
      <c r="W461">
        <v>1</v>
      </c>
      <c r="X461">
        <v>0</v>
      </c>
      <c r="Y461">
        <v>0</v>
      </c>
      <c r="Z461">
        <v>1</v>
      </c>
      <c r="AA461">
        <v>1</v>
      </c>
      <c r="AB461">
        <v>0</v>
      </c>
      <c r="AC461">
        <v>0</v>
      </c>
      <c r="AD461">
        <v>1</v>
      </c>
      <c r="AE461">
        <v>1</v>
      </c>
      <c r="AF461">
        <v>1</v>
      </c>
      <c r="AG461">
        <v>1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</row>
    <row r="462" spans="1:39" x14ac:dyDescent="0.2">
      <c r="A462" t="str">
        <f>"458"</f>
        <v>458</v>
      </c>
      <c r="B462" t="str">
        <f t="shared" si="25"/>
        <v>1</v>
      </c>
      <c r="C462" t="str">
        <f t="shared" si="26"/>
        <v>10</v>
      </c>
      <c r="D462" t="str">
        <f>"26"</f>
        <v>26</v>
      </c>
      <c r="E462" t="str">
        <f>"1-10-26"</f>
        <v>1-10-26</v>
      </c>
      <c r="F462" t="s">
        <v>65</v>
      </c>
      <c r="G462" t="s">
        <v>66</v>
      </c>
      <c r="H462" t="s">
        <v>67</v>
      </c>
      <c r="S462">
        <v>0</v>
      </c>
      <c r="T462">
        <v>1</v>
      </c>
      <c r="U462">
        <v>0</v>
      </c>
      <c r="V462">
        <v>0</v>
      </c>
      <c r="W462">
        <v>1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</row>
    <row r="463" spans="1:39" x14ac:dyDescent="0.2">
      <c r="A463" t="str">
        <f>"459"</f>
        <v>459</v>
      </c>
      <c r="B463" t="str">
        <f t="shared" si="25"/>
        <v>1</v>
      </c>
      <c r="C463" t="str">
        <f t="shared" si="26"/>
        <v>10</v>
      </c>
      <c r="D463" t="str">
        <f>"16"</f>
        <v>16</v>
      </c>
      <c r="E463" t="str">
        <f>"1-10-16"</f>
        <v>1-10-16</v>
      </c>
      <c r="F463" t="s">
        <v>65</v>
      </c>
      <c r="G463" t="s">
        <v>66</v>
      </c>
      <c r="H463" t="s">
        <v>67</v>
      </c>
      <c r="S463">
        <v>1</v>
      </c>
      <c r="T463">
        <v>0</v>
      </c>
      <c r="U463">
        <v>0</v>
      </c>
      <c r="V463">
        <v>0</v>
      </c>
      <c r="W463">
        <v>1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0</v>
      </c>
      <c r="AL463">
        <v>1</v>
      </c>
      <c r="AM463">
        <v>0</v>
      </c>
    </row>
    <row r="464" spans="1:39" x14ac:dyDescent="0.2">
      <c r="A464" t="str">
        <f>"460"</f>
        <v>460</v>
      </c>
      <c r="B464" t="str">
        <f t="shared" si="25"/>
        <v>1</v>
      </c>
      <c r="C464" t="str">
        <f t="shared" si="26"/>
        <v>10</v>
      </c>
      <c r="D464" t="str">
        <f>"3"</f>
        <v>3</v>
      </c>
      <c r="E464" t="str">
        <f>"1-10-3"</f>
        <v>1-10-3</v>
      </c>
      <c r="F464" t="s">
        <v>65</v>
      </c>
      <c r="G464" t="s">
        <v>66</v>
      </c>
      <c r="H464" t="s">
        <v>67</v>
      </c>
      <c r="S464">
        <v>1</v>
      </c>
      <c r="T464">
        <v>0</v>
      </c>
      <c r="U464">
        <v>0</v>
      </c>
      <c r="V464">
        <v>0</v>
      </c>
      <c r="W464">
        <v>1</v>
      </c>
      <c r="X464">
        <v>0</v>
      </c>
      <c r="Y464">
        <v>0</v>
      </c>
      <c r="Z464">
        <v>1</v>
      </c>
      <c r="AA464">
        <v>1</v>
      </c>
      <c r="AB464">
        <v>0</v>
      </c>
      <c r="AC464">
        <v>0</v>
      </c>
      <c r="AD464">
        <v>1</v>
      </c>
      <c r="AE464">
        <v>1</v>
      </c>
      <c r="AF464">
        <v>1</v>
      </c>
      <c r="AG464">
        <v>1</v>
      </c>
      <c r="AH464">
        <v>1</v>
      </c>
      <c r="AI464">
        <v>1</v>
      </c>
      <c r="AJ464">
        <v>1</v>
      </c>
      <c r="AK464">
        <v>1</v>
      </c>
      <c r="AL464">
        <v>1</v>
      </c>
      <c r="AM464">
        <v>1</v>
      </c>
    </row>
    <row r="465" spans="1:39" x14ac:dyDescent="0.2">
      <c r="A465" t="str">
        <f>"461"</f>
        <v>461</v>
      </c>
      <c r="B465" t="str">
        <f t="shared" si="25"/>
        <v>1</v>
      </c>
      <c r="C465" t="str">
        <f t="shared" si="26"/>
        <v>10</v>
      </c>
      <c r="D465" t="str">
        <f>"48"</f>
        <v>48</v>
      </c>
      <c r="E465" t="str">
        <f>"1-10-48"</f>
        <v>1-10-48</v>
      </c>
      <c r="F465" t="s">
        <v>65</v>
      </c>
      <c r="G465" t="s">
        <v>66</v>
      </c>
      <c r="H465" t="s">
        <v>67</v>
      </c>
      <c r="S465">
        <v>0</v>
      </c>
      <c r="T465">
        <v>1</v>
      </c>
      <c r="U465">
        <v>0</v>
      </c>
      <c r="V465">
        <v>0</v>
      </c>
      <c r="W465">
        <v>1</v>
      </c>
      <c r="X465">
        <v>0</v>
      </c>
      <c r="Y465">
        <v>0</v>
      </c>
      <c r="Z465">
        <v>1</v>
      </c>
      <c r="AA465">
        <v>0</v>
      </c>
      <c r="AB465">
        <v>1</v>
      </c>
      <c r="AC465">
        <v>0</v>
      </c>
      <c r="AD465">
        <v>1</v>
      </c>
      <c r="AE465">
        <v>1</v>
      </c>
      <c r="AF465">
        <v>1</v>
      </c>
      <c r="AG465">
        <v>1</v>
      </c>
      <c r="AH465">
        <v>1</v>
      </c>
      <c r="AI465">
        <v>1</v>
      </c>
      <c r="AJ465">
        <v>1</v>
      </c>
      <c r="AK465">
        <v>1</v>
      </c>
      <c r="AL465">
        <v>1</v>
      </c>
      <c r="AM465">
        <v>1</v>
      </c>
    </row>
    <row r="466" spans="1:39" x14ac:dyDescent="0.2">
      <c r="A466" t="str">
        <f>"462"</f>
        <v>462</v>
      </c>
      <c r="B466" t="str">
        <f t="shared" si="25"/>
        <v>1</v>
      </c>
      <c r="C466" t="str">
        <f t="shared" si="26"/>
        <v>10</v>
      </c>
      <c r="D466" t="str">
        <f>"47"</f>
        <v>47</v>
      </c>
      <c r="E466" t="str">
        <f>"1-10-47"</f>
        <v>1-10-47</v>
      </c>
      <c r="F466" t="s">
        <v>65</v>
      </c>
      <c r="G466" t="s">
        <v>66</v>
      </c>
      <c r="H466" t="s">
        <v>67</v>
      </c>
      <c r="S466">
        <v>1</v>
      </c>
      <c r="T466">
        <v>0</v>
      </c>
      <c r="U466">
        <v>0</v>
      </c>
      <c r="V466">
        <v>0</v>
      </c>
      <c r="W466">
        <v>0</v>
      </c>
      <c r="X466">
        <v>1</v>
      </c>
      <c r="Y466">
        <v>0</v>
      </c>
      <c r="Z466">
        <v>1</v>
      </c>
      <c r="AA466">
        <v>0</v>
      </c>
      <c r="AB466">
        <v>0</v>
      </c>
      <c r="AC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1</v>
      </c>
      <c r="AL466">
        <v>1</v>
      </c>
      <c r="AM466">
        <v>0</v>
      </c>
    </row>
    <row r="467" spans="1:39" x14ac:dyDescent="0.2">
      <c r="A467" t="str">
        <f>"463"</f>
        <v>463</v>
      </c>
      <c r="B467" t="str">
        <f t="shared" si="25"/>
        <v>1</v>
      </c>
      <c r="C467" t="str">
        <f t="shared" si="26"/>
        <v>10</v>
      </c>
      <c r="D467" t="str">
        <f>"35"</f>
        <v>35</v>
      </c>
      <c r="E467" t="str">
        <f>"1-10-35"</f>
        <v>1-10-35</v>
      </c>
      <c r="F467" t="s">
        <v>65</v>
      </c>
      <c r="G467" t="s">
        <v>66</v>
      </c>
      <c r="H467" t="s">
        <v>67</v>
      </c>
      <c r="S467">
        <v>0</v>
      </c>
      <c r="T467">
        <v>1</v>
      </c>
      <c r="U467">
        <v>0</v>
      </c>
      <c r="V467">
        <v>0</v>
      </c>
      <c r="W467">
        <v>1</v>
      </c>
      <c r="X467">
        <v>0</v>
      </c>
      <c r="Y467">
        <v>0</v>
      </c>
      <c r="Z467">
        <v>1</v>
      </c>
      <c r="AA467">
        <v>0</v>
      </c>
      <c r="AB467">
        <v>1</v>
      </c>
      <c r="AC467">
        <v>0</v>
      </c>
      <c r="AD467">
        <v>1</v>
      </c>
      <c r="AE467">
        <v>1</v>
      </c>
      <c r="AF467">
        <v>1</v>
      </c>
      <c r="AG467">
        <v>1</v>
      </c>
      <c r="AH467">
        <v>1</v>
      </c>
      <c r="AI467">
        <v>1</v>
      </c>
      <c r="AJ467">
        <v>1</v>
      </c>
      <c r="AK467">
        <v>1</v>
      </c>
      <c r="AL467">
        <v>1</v>
      </c>
      <c r="AM467">
        <v>1</v>
      </c>
    </row>
    <row r="468" spans="1:39" x14ac:dyDescent="0.2">
      <c r="A468" t="str">
        <f>"464"</f>
        <v>464</v>
      </c>
      <c r="B468" t="str">
        <f t="shared" si="25"/>
        <v>1</v>
      </c>
      <c r="C468" t="str">
        <f t="shared" si="26"/>
        <v>10</v>
      </c>
      <c r="D468" t="str">
        <f>"17"</f>
        <v>17</v>
      </c>
      <c r="E468" t="str">
        <f>"1-10-17"</f>
        <v>1-10-17</v>
      </c>
      <c r="F468" t="s">
        <v>65</v>
      </c>
      <c r="G468" t="s">
        <v>66</v>
      </c>
      <c r="H468" t="s">
        <v>67</v>
      </c>
      <c r="S468">
        <v>1</v>
      </c>
      <c r="T468">
        <v>0</v>
      </c>
      <c r="U468">
        <v>0</v>
      </c>
      <c r="V468">
        <v>0</v>
      </c>
      <c r="W468">
        <v>1</v>
      </c>
      <c r="X468">
        <v>0</v>
      </c>
      <c r="Y468">
        <v>0</v>
      </c>
      <c r="Z468">
        <v>1</v>
      </c>
      <c r="AA468">
        <v>1</v>
      </c>
      <c r="AB468">
        <v>0</v>
      </c>
      <c r="AC468">
        <v>0</v>
      </c>
      <c r="AD468">
        <v>1</v>
      </c>
      <c r="AE468">
        <v>1</v>
      </c>
      <c r="AF468">
        <v>1</v>
      </c>
      <c r="AG468">
        <v>1</v>
      </c>
      <c r="AH468">
        <v>1</v>
      </c>
      <c r="AI468">
        <v>1</v>
      </c>
      <c r="AJ468">
        <v>1</v>
      </c>
      <c r="AK468">
        <v>1</v>
      </c>
      <c r="AL468">
        <v>1</v>
      </c>
      <c r="AM468">
        <v>1</v>
      </c>
    </row>
    <row r="469" spans="1:39" x14ac:dyDescent="0.2">
      <c r="A469" t="str">
        <f>"465"</f>
        <v>465</v>
      </c>
      <c r="B469" t="str">
        <f t="shared" si="25"/>
        <v>1</v>
      </c>
      <c r="C469" t="str">
        <f t="shared" si="26"/>
        <v>10</v>
      </c>
      <c r="D469" t="str">
        <f>"2"</f>
        <v>2</v>
      </c>
      <c r="E469" t="str">
        <f>"1-10-2"</f>
        <v>1-10-2</v>
      </c>
      <c r="F469" t="s">
        <v>65</v>
      </c>
      <c r="G469" t="s">
        <v>66</v>
      </c>
      <c r="H469" t="s">
        <v>67</v>
      </c>
      <c r="S469">
        <v>0</v>
      </c>
      <c r="T469">
        <v>1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1</v>
      </c>
      <c r="AA469">
        <v>0</v>
      </c>
      <c r="AB469">
        <v>0</v>
      </c>
      <c r="AC469">
        <v>1</v>
      </c>
      <c r="AD469">
        <v>1</v>
      </c>
      <c r="AE469">
        <v>1</v>
      </c>
      <c r="AF469">
        <v>1</v>
      </c>
      <c r="AG469">
        <v>1</v>
      </c>
      <c r="AH469">
        <v>1</v>
      </c>
      <c r="AI469">
        <v>1</v>
      </c>
      <c r="AJ469">
        <v>1</v>
      </c>
      <c r="AK469">
        <v>1</v>
      </c>
      <c r="AL469">
        <v>1</v>
      </c>
      <c r="AM469">
        <v>1</v>
      </c>
    </row>
    <row r="470" spans="1:39" x14ac:dyDescent="0.2">
      <c r="A470" t="str">
        <f>"466"</f>
        <v>466</v>
      </c>
      <c r="B470" t="str">
        <f t="shared" si="25"/>
        <v>1</v>
      </c>
      <c r="C470" t="str">
        <f t="shared" si="26"/>
        <v>10</v>
      </c>
      <c r="D470" t="str">
        <f>"50"</f>
        <v>50</v>
      </c>
      <c r="E470" t="str">
        <f>"1-10-50"</f>
        <v>1-10-50</v>
      </c>
      <c r="F470" t="s">
        <v>65</v>
      </c>
      <c r="G470" t="s">
        <v>66</v>
      </c>
      <c r="H470" t="s">
        <v>67</v>
      </c>
      <c r="S470">
        <v>1</v>
      </c>
      <c r="T470">
        <v>0</v>
      </c>
      <c r="U470">
        <v>0</v>
      </c>
      <c r="V470">
        <v>0</v>
      </c>
      <c r="W470">
        <v>1</v>
      </c>
      <c r="X470">
        <v>0</v>
      </c>
      <c r="Y470">
        <v>0</v>
      </c>
      <c r="Z470">
        <v>1</v>
      </c>
      <c r="AA470">
        <v>1</v>
      </c>
      <c r="AB470">
        <v>0</v>
      </c>
      <c r="AC470">
        <v>0</v>
      </c>
      <c r="AD470">
        <v>1</v>
      </c>
      <c r="AE470">
        <v>1</v>
      </c>
      <c r="AF470">
        <v>1</v>
      </c>
      <c r="AG470">
        <v>0</v>
      </c>
      <c r="AH470">
        <v>1</v>
      </c>
      <c r="AI470">
        <v>1</v>
      </c>
      <c r="AJ470">
        <v>1</v>
      </c>
      <c r="AK470">
        <v>0</v>
      </c>
      <c r="AL470">
        <v>1</v>
      </c>
      <c r="AM470">
        <v>0</v>
      </c>
    </row>
    <row r="471" spans="1:39" x14ac:dyDescent="0.2">
      <c r="A471" t="str">
        <f>"467"</f>
        <v>467</v>
      </c>
      <c r="B471" t="str">
        <f t="shared" si="25"/>
        <v>1</v>
      </c>
      <c r="C471" t="str">
        <f t="shared" si="26"/>
        <v>10</v>
      </c>
      <c r="D471" t="str">
        <f>"49"</f>
        <v>49</v>
      </c>
      <c r="E471" t="str">
        <f>"1-10-49"</f>
        <v>1-10-49</v>
      </c>
      <c r="F471" t="s">
        <v>65</v>
      </c>
      <c r="G471" t="s">
        <v>66</v>
      </c>
      <c r="H471" t="s">
        <v>67</v>
      </c>
      <c r="S471">
        <v>0</v>
      </c>
      <c r="T471">
        <v>1</v>
      </c>
      <c r="U471">
        <v>0</v>
      </c>
      <c r="V471">
        <v>0</v>
      </c>
      <c r="W471">
        <v>1</v>
      </c>
      <c r="X471">
        <v>0</v>
      </c>
      <c r="Y471">
        <v>0</v>
      </c>
      <c r="Z471">
        <v>1</v>
      </c>
      <c r="AA471">
        <v>0</v>
      </c>
      <c r="AB471">
        <v>1</v>
      </c>
      <c r="AC471">
        <v>0</v>
      </c>
      <c r="AD471">
        <v>1</v>
      </c>
      <c r="AE471">
        <v>1</v>
      </c>
      <c r="AF471">
        <v>1</v>
      </c>
      <c r="AG471">
        <v>1</v>
      </c>
      <c r="AH471">
        <v>1</v>
      </c>
      <c r="AI471">
        <v>1</v>
      </c>
      <c r="AJ471">
        <v>1</v>
      </c>
      <c r="AK471">
        <v>1</v>
      </c>
      <c r="AL471">
        <v>1</v>
      </c>
      <c r="AM471">
        <v>1</v>
      </c>
    </row>
    <row r="472" spans="1:39" x14ac:dyDescent="0.2">
      <c r="A472" t="str">
        <f>"468"</f>
        <v>468</v>
      </c>
      <c r="B472" t="str">
        <f t="shared" si="25"/>
        <v>1</v>
      </c>
      <c r="C472" t="str">
        <f t="shared" si="26"/>
        <v>10</v>
      </c>
      <c r="D472" t="str">
        <f>"36"</f>
        <v>36</v>
      </c>
      <c r="E472" t="str">
        <f>"1-10-36"</f>
        <v>1-10-36</v>
      </c>
      <c r="F472" t="s">
        <v>65</v>
      </c>
      <c r="G472" t="s">
        <v>66</v>
      </c>
      <c r="H472" t="s">
        <v>67</v>
      </c>
      <c r="S472">
        <v>1</v>
      </c>
      <c r="T472">
        <v>0</v>
      </c>
      <c r="U472">
        <v>0</v>
      </c>
      <c r="V472">
        <v>0</v>
      </c>
      <c r="W472">
        <v>1</v>
      </c>
      <c r="X472">
        <v>0</v>
      </c>
      <c r="Y472">
        <v>1</v>
      </c>
      <c r="Z472">
        <v>0</v>
      </c>
      <c r="AA472">
        <v>0</v>
      </c>
      <c r="AB472">
        <v>1</v>
      </c>
      <c r="AC472">
        <v>0</v>
      </c>
      <c r="AD472">
        <v>1</v>
      </c>
      <c r="AE472">
        <v>1</v>
      </c>
      <c r="AF472">
        <v>1</v>
      </c>
      <c r="AG472">
        <v>1</v>
      </c>
      <c r="AH472">
        <v>1</v>
      </c>
      <c r="AI472">
        <v>1</v>
      </c>
      <c r="AJ472">
        <v>1</v>
      </c>
      <c r="AK472">
        <v>1</v>
      </c>
      <c r="AL472">
        <v>1</v>
      </c>
      <c r="AM472">
        <v>1</v>
      </c>
    </row>
    <row r="473" spans="1:39" x14ac:dyDescent="0.2">
      <c r="A473" t="str">
        <f>"469"</f>
        <v>469</v>
      </c>
      <c r="B473" t="str">
        <f t="shared" si="25"/>
        <v>1</v>
      </c>
      <c r="C473" t="str">
        <f t="shared" si="26"/>
        <v>10</v>
      </c>
      <c r="D473" t="str">
        <f>"18"</f>
        <v>18</v>
      </c>
      <c r="E473" t="str">
        <f>"1-10-18"</f>
        <v>1-10-18</v>
      </c>
      <c r="F473" t="s">
        <v>65</v>
      </c>
      <c r="G473" t="s">
        <v>66</v>
      </c>
      <c r="H473" t="s">
        <v>67</v>
      </c>
      <c r="S473">
        <v>0</v>
      </c>
      <c r="T473">
        <v>1</v>
      </c>
      <c r="U473">
        <v>0</v>
      </c>
      <c r="V473">
        <v>0</v>
      </c>
      <c r="W473">
        <v>1</v>
      </c>
      <c r="X473">
        <v>0</v>
      </c>
      <c r="Y473">
        <v>0</v>
      </c>
      <c r="Z473">
        <v>1</v>
      </c>
      <c r="AA473">
        <v>1</v>
      </c>
      <c r="AB473">
        <v>0</v>
      </c>
      <c r="AC473">
        <v>0</v>
      </c>
      <c r="AD473">
        <v>1</v>
      </c>
      <c r="AE473">
        <v>1</v>
      </c>
      <c r="AF473">
        <v>1</v>
      </c>
      <c r="AG473">
        <v>1</v>
      </c>
      <c r="AH473">
        <v>1</v>
      </c>
      <c r="AI473">
        <v>1</v>
      </c>
      <c r="AJ473">
        <v>1</v>
      </c>
      <c r="AK473">
        <v>1</v>
      </c>
      <c r="AL473">
        <v>1</v>
      </c>
      <c r="AM473">
        <v>1</v>
      </c>
    </row>
    <row r="474" spans="1:39" x14ac:dyDescent="0.2">
      <c r="A474" t="str">
        <f>"470"</f>
        <v>470</v>
      </c>
      <c r="B474" t="str">
        <f t="shared" si="25"/>
        <v>1</v>
      </c>
      <c r="C474" t="str">
        <f t="shared" si="26"/>
        <v>10</v>
      </c>
      <c r="D474" t="str">
        <f>"13"</f>
        <v>13</v>
      </c>
      <c r="E474" t="str">
        <f>"1-10-13"</f>
        <v>1-10-13</v>
      </c>
      <c r="F474" t="s">
        <v>65</v>
      </c>
      <c r="G474" t="s">
        <v>66</v>
      </c>
      <c r="H474" t="s">
        <v>67</v>
      </c>
      <c r="S474">
        <v>1</v>
      </c>
      <c r="T474">
        <v>0</v>
      </c>
      <c r="U474">
        <v>0</v>
      </c>
      <c r="V474">
        <v>0</v>
      </c>
      <c r="W474">
        <v>1</v>
      </c>
      <c r="X474">
        <v>0</v>
      </c>
      <c r="Y474">
        <v>0</v>
      </c>
      <c r="Z474">
        <v>1</v>
      </c>
      <c r="AA474">
        <v>1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</row>
    <row r="475" spans="1:39" x14ac:dyDescent="0.2">
      <c r="A475" t="str">
        <f>"471"</f>
        <v>471</v>
      </c>
      <c r="B475" t="str">
        <f t="shared" si="25"/>
        <v>1</v>
      </c>
      <c r="C475" t="str">
        <f t="shared" si="26"/>
        <v>10</v>
      </c>
      <c r="D475" t="str">
        <f>"37"</f>
        <v>37</v>
      </c>
      <c r="E475" t="str">
        <f>"1-10-37"</f>
        <v>1-10-37</v>
      </c>
      <c r="F475" t="s">
        <v>65</v>
      </c>
      <c r="G475" t="s">
        <v>66</v>
      </c>
      <c r="H475" t="s">
        <v>67</v>
      </c>
      <c r="S475">
        <v>1</v>
      </c>
      <c r="T475">
        <v>0</v>
      </c>
      <c r="U475">
        <v>0</v>
      </c>
      <c r="V475">
        <v>0</v>
      </c>
      <c r="W475">
        <v>0</v>
      </c>
      <c r="X475">
        <v>1</v>
      </c>
      <c r="Y475">
        <v>0</v>
      </c>
      <c r="Z475">
        <v>1</v>
      </c>
      <c r="AA475">
        <v>0</v>
      </c>
      <c r="AB475">
        <v>0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</row>
    <row r="476" spans="1:39" x14ac:dyDescent="0.2">
      <c r="A476" t="str">
        <f>"472"</f>
        <v>472</v>
      </c>
      <c r="B476" t="str">
        <f t="shared" si="25"/>
        <v>1</v>
      </c>
      <c r="C476" t="str">
        <f t="shared" si="26"/>
        <v>10</v>
      </c>
      <c r="D476" t="str">
        <f>"19"</f>
        <v>19</v>
      </c>
      <c r="E476" t="str">
        <f>"1-10-19"</f>
        <v>1-10-19</v>
      </c>
      <c r="F476" t="s">
        <v>65</v>
      </c>
      <c r="G476" t="s">
        <v>66</v>
      </c>
      <c r="H476" t="s">
        <v>67</v>
      </c>
      <c r="S476">
        <v>1</v>
      </c>
      <c r="T476">
        <v>0</v>
      </c>
      <c r="U476">
        <v>0</v>
      </c>
      <c r="V476">
        <v>0</v>
      </c>
      <c r="W476">
        <v>1</v>
      </c>
      <c r="X476">
        <v>0</v>
      </c>
      <c r="Y476">
        <v>1</v>
      </c>
      <c r="Z476">
        <v>0</v>
      </c>
      <c r="AA476">
        <v>1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</row>
    <row r="477" spans="1:39" x14ac:dyDescent="0.2">
      <c r="A477" t="str">
        <f>"473"</f>
        <v>473</v>
      </c>
      <c r="B477" t="str">
        <f t="shared" si="25"/>
        <v>1</v>
      </c>
      <c r="C477" t="str">
        <f t="shared" si="26"/>
        <v>10</v>
      </c>
      <c r="D477" t="str">
        <f>"1"</f>
        <v>1</v>
      </c>
      <c r="E477" t="str">
        <f>"1-10-1"</f>
        <v>1-10-1</v>
      </c>
      <c r="F477" t="s">
        <v>65</v>
      </c>
      <c r="G477" t="s">
        <v>66</v>
      </c>
      <c r="H477" t="s">
        <v>67</v>
      </c>
      <c r="S477">
        <v>0</v>
      </c>
      <c r="T477">
        <v>1</v>
      </c>
      <c r="U477">
        <v>0</v>
      </c>
      <c r="V477">
        <v>0</v>
      </c>
      <c r="W477">
        <v>1</v>
      </c>
      <c r="X477">
        <v>0</v>
      </c>
      <c r="Y477">
        <v>1</v>
      </c>
      <c r="Z477">
        <v>0</v>
      </c>
      <c r="AA477">
        <v>0</v>
      </c>
      <c r="AB477">
        <v>1</v>
      </c>
      <c r="AC477">
        <v>0</v>
      </c>
      <c r="AD477">
        <v>1</v>
      </c>
      <c r="AE477">
        <v>1</v>
      </c>
      <c r="AF477">
        <v>1</v>
      </c>
      <c r="AG477">
        <v>1</v>
      </c>
      <c r="AH477">
        <v>1</v>
      </c>
      <c r="AI477">
        <v>1</v>
      </c>
      <c r="AJ477">
        <v>1</v>
      </c>
      <c r="AK477">
        <v>1</v>
      </c>
      <c r="AL477">
        <v>1</v>
      </c>
      <c r="AM477">
        <v>1</v>
      </c>
    </row>
    <row r="478" spans="1:39" x14ac:dyDescent="0.2">
      <c r="A478" t="str">
        <f>"474"</f>
        <v>474</v>
      </c>
      <c r="B478" t="str">
        <f t="shared" si="25"/>
        <v>1</v>
      </c>
      <c r="C478" t="str">
        <f t="shared" si="26"/>
        <v>10</v>
      </c>
      <c r="D478" t="str">
        <f>"38"</f>
        <v>38</v>
      </c>
      <c r="E478" t="str">
        <f>"1-10-38"</f>
        <v>1-10-38</v>
      </c>
      <c r="F478" t="s">
        <v>65</v>
      </c>
      <c r="G478" t="s">
        <v>66</v>
      </c>
      <c r="H478" t="s">
        <v>67</v>
      </c>
      <c r="S478">
        <v>1</v>
      </c>
      <c r="T478">
        <v>0</v>
      </c>
      <c r="U478">
        <v>0</v>
      </c>
      <c r="V478">
        <v>0</v>
      </c>
      <c r="W478">
        <v>1</v>
      </c>
      <c r="X478">
        <v>0</v>
      </c>
      <c r="Y478">
        <v>0</v>
      </c>
      <c r="Z478">
        <v>1</v>
      </c>
      <c r="AA478">
        <v>0</v>
      </c>
      <c r="AB478">
        <v>0</v>
      </c>
      <c r="AC478">
        <v>1</v>
      </c>
      <c r="AD478">
        <v>1</v>
      </c>
      <c r="AE478">
        <v>1</v>
      </c>
      <c r="AF478">
        <v>1</v>
      </c>
      <c r="AG478">
        <v>1</v>
      </c>
      <c r="AH478">
        <v>1</v>
      </c>
      <c r="AI478">
        <v>1</v>
      </c>
      <c r="AJ478">
        <v>1</v>
      </c>
      <c r="AK478">
        <v>1</v>
      </c>
      <c r="AL478">
        <v>1</v>
      </c>
      <c r="AM478">
        <v>1</v>
      </c>
    </row>
    <row r="479" spans="1:39" x14ac:dyDescent="0.2">
      <c r="A479" t="str">
        <f>"475"</f>
        <v>475</v>
      </c>
      <c r="B479" t="str">
        <f t="shared" si="25"/>
        <v>1</v>
      </c>
      <c r="C479" t="str">
        <f t="shared" si="26"/>
        <v>10</v>
      </c>
      <c r="D479" t="str">
        <f>"20"</f>
        <v>20</v>
      </c>
      <c r="E479" t="str">
        <f>"1-10-20"</f>
        <v>1-10-20</v>
      </c>
      <c r="F479" t="s">
        <v>65</v>
      </c>
      <c r="G479" t="s">
        <v>66</v>
      </c>
      <c r="H479" t="s">
        <v>67</v>
      </c>
      <c r="S479">
        <v>1</v>
      </c>
      <c r="T479">
        <v>0</v>
      </c>
      <c r="U479">
        <v>0</v>
      </c>
      <c r="V479">
        <v>0</v>
      </c>
      <c r="W479">
        <v>1</v>
      </c>
      <c r="X479">
        <v>0</v>
      </c>
      <c r="Y479">
        <v>0</v>
      </c>
      <c r="Z479">
        <v>1</v>
      </c>
      <c r="AA479">
        <v>1</v>
      </c>
      <c r="AB479">
        <v>0</v>
      </c>
      <c r="AC479">
        <v>0</v>
      </c>
      <c r="AD479">
        <v>1</v>
      </c>
      <c r="AE479">
        <v>1</v>
      </c>
      <c r="AF479">
        <v>1</v>
      </c>
      <c r="AG479">
        <v>1</v>
      </c>
      <c r="AH479">
        <v>1</v>
      </c>
      <c r="AI479">
        <v>1</v>
      </c>
      <c r="AJ479">
        <v>1</v>
      </c>
      <c r="AK479">
        <v>1</v>
      </c>
      <c r="AL479">
        <v>1</v>
      </c>
      <c r="AM479">
        <v>1</v>
      </c>
    </row>
    <row r="480" spans="1:39" x14ac:dyDescent="0.2">
      <c r="A480" t="str">
        <f>"476"</f>
        <v>476</v>
      </c>
      <c r="B480" t="str">
        <f t="shared" si="25"/>
        <v>1</v>
      </c>
      <c r="C480" t="str">
        <f t="shared" si="26"/>
        <v>10</v>
      </c>
      <c r="D480" t="str">
        <f>"14"</f>
        <v>14</v>
      </c>
      <c r="E480" t="str">
        <f>"1-10-14"</f>
        <v>1-10-14</v>
      </c>
      <c r="F480" t="s">
        <v>65</v>
      </c>
      <c r="G480" t="s">
        <v>66</v>
      </c>
      <c r="H480" t="s">
        <v>67</v>
      </c>
      <c r="S480">
        <v>1</v>
      </c>
      <c r="T480">
        <v>0</v>
      </c>
      <c r="U480">
        <v>0</v>
      </c>
      <c r="V480">
        <v>0</v>
      </c>
      <c r="W480">
        <v>1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1</v>
      </c>
      <c r="AJ480">
        <v>1</v>
      </c>
      <c r="AK480">
        <v>0</v>
      </c>
      <c r="AL480">
        <v>1</v>
      </c>
      <c r="AM480">
        <v>0</v>
      </c>
    </row>
    <row r="481" spans="1:39" x14ac:dyDescent="0.2">
      <c r="A481" t="str">
        <f>"477"</f>
        <v>477</v>
      </c>
      <c r="B481" t="str">
        <f t="shared" si="25"/>
        <v>1</v>
      </c>
      <c r="C481" t="str">
        <f t="shared" si="26"/>
        <v>10</v>
      </c>
      <c r="D481" t="str">
        <f>"39"</f>
        <v>39</v>
      </c>
      <c r="E481" t="str">
        <f>"1-10-39"</f>
        <v>1-10-39</v>
      </c>
      <c r="F481" t="s">
        <v>65</v>
      </c>
      <c r="G481" t="s">
        <v>66</v>
      </c>
      <c r="H481" t="s">
        <v>67</v>
      </c>
      <c r="S481">
        <v>1</v>
      </c>
      <c r="T481">
        <v>0</v>
      </c>
      <c r="U481">
        <v>0</v>
      </c>
      <c r="V481">
        <v>0</v>
      </c>
      <c r="W481">
        <v>1</v>
      </c>
      <c r="X481">
        <v>0</v>
      </c>
      <c r="Y481">
        <v>0</v>
      </c>
      <c r="Z481">
        <v>1</v>
      </c>
      <c r="AA481">
        <v>0</v>
      </c>
      <c r="AB481">
        <v>0</v>
      </c>
      <c r="AC481">
        <v>1</v>
      </c>
      <c r="AD481">
        <v>1</v>
      </c>
      <c r="AE481">
        <v>1</v>
      </c>
      <c r="AF481">
        <v>1</v>
      </c>
      <c r="AG481">
        <v>1</v>
      </c>
      <c r="AH481">
        <v>1</v>
      </c>
      <c r="AI481">
        <v>1</v>
      </c>
      <c r="AJ481">
        <v>1</v>
      </c>
      <c r="AK481">
        <v>1</v>
      </c>
      <c r="AL481">
        <v>1</v>
      </c>
      <c r="AM481">
        <v>1</v>
      </c>
    </row>
    <row r="482" spans="1:39" x14ac:dyDescent="0.2">
      <c r="A482" t="str">
        <f>"478"</f>
        <v>478</v>
      </c>
      <c r="B482" t="str">
        <f t="shared" si="25"/>
        <v>1</v>
      </c>
      <c r="C482" t="str">
        <f t="shared" si="26"/>
        <v>10</v>
      </c>
      <c r="D482" t="str">
        <f>"21"</f>
        <v>21</v>
      </c>
      <c r="E482" t="str">
        <f>"1-10-21"</f>
        <v>1-10-21</v>
      </c>
      <c r="F482" t="s">
        <v>65</v>
      </c>
      <c r="G482" t="s">
        <v>66</v>
      </c>
      <c r="H482" t="s">
        <v>67</v>
      </c>
      <c r="S482">
        <v>1</v>
      </c>
      <c r="T482">
        <v>0</v>
      </c>
      <c r="U482">
        <v>0</v>
      </c>
      <c r="V482">
        <v>0</v>
      </c>
      <c r="W482">
        <v>1</v>
      </c>
      <c r="X482">
        <v>0</v>
      </c>
      <c r="Y482">
        <v>1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1</v>
      </c>
      <c r="AF482">
        <v>1</v>
      </c>
      <c r="AG482">
        <v>1</v>
      </c>
      <c r="AH482">
        <v>0</v>
      </c>
      <c r="AI482">
        <v>1</v>
      </c>
      <c r="AJ482">
        <v>1</v>
      </c>
      <c r="AK482">
        <v>1</v>
      </c>
      <c r="AL482">
        <v>1</v>
      </c>
      <c r="AM482">
        <v>0</v>
      </c>
    </row>
    <row r="483" spans="1:39" x14ac:dyDescent="0.2">
      <c r="A483" t="str">
        <f>"479"</f>
        <v>479</v>
      </c>
      <c r="B483" t="str">
        <f t="shared" si="25"/>
        <v>1</v>
      </c>
      <c r="C483" t="str">
        <f t="shared" si="26"/>
        <v>10</v>
      </c>
      <c r="D483" t="str">
        <f>"9"</f>
        <v>9</v>
      </c>
      <c r="E483" t="str">
        <f>"1-10-9"</f>
        <v>1-10-9</v>
      </c>
      <c r="F483" t="s">
        <v>65</v>
      </c>
      <c r="G483" t="s">
        <v>66</v>
      </c>
      <c r="H483" t="s">
        <v>67</v>
      </c>
      <c r="S483">
        <v>1</v>
      </c>
      <c r="T483">
        <v>0</v>
      </c>
      <c r="U483">
        <v>0</v>
      </c>
      <c r="V483">
        <v>0</v>
      </c>
      <c r="W483">
        <v>0</v>
      </c>
      <c r="X483">
        <v>1</v>
      </c>
      <c r="Y483">
        <v>1</v>
      </c>
      <c r="Z483">
        <v>0</v>
      </c>
      <c r="AA483">
        <v>0</v>
      </c>
      <c r="AB483">
        <v>1</v>
      </c>
      <c r="AC483">
        <v>0</v>
      </c>
      <c r="AD483">
        <v>1</v>
      </c>
      <c r="AE483">
        <v>1</v>
      </c>
      <c r="AF483">
        <v>1</v>
      </c>
      <c r="AG483">
        <v>1</v>
      </c>
      <c r="AH483">
        <v>1</v>
      </c>
      <c r="AI483">
        <v>1</v>
      </c>
      <c r="AJ483">
        <v>1</v>
      </c>
      <c r="AK483">
        <v>1</v>
      </c>
      <c r="AL483">
        <v>1</v>
      </c>
      <c r="AM483">
        <v>1</v>
      </c>
    </row>
    <row r="484" spans="1:39" x14ac:dyDescent="0.2">
      <c r="A484" t="str">
        <f>"480"</f>
        <v>480</v>
      </c>
      <c r="B484" t="str">
        <f t="shared" si="25"/>
        <v>1</v>
      </c>
      <c r="C484" t="str">
        <f t="shared" si="26"/>
        <v>10</v>
      </c>
      <c r="D484" t="str">
        <f>"40"</f>
        <v>40</v>
      </c>
      <c r="E484" t="str">
        <f>"1-10-40"</f>
        <v>1-10-40</v>
      </c>
      <c r="F484" t="s">
        <v>65</v>
      </c>
      <c r="G484" t="s">
        <v>66</v>
      </c>
      <c r="H484" t="s">
        <v>67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1</v>
      </c>
      <c r="Y484">
        <v>1</v>
      </c>
      <c r="Z484">
        <v>0</v>
      </c>
      <c r="AA484">
        <v>0</v>
      </c>
      <c r="AB484">
        <v>0</v>
      </c>
      <c r="AC484">
        <v>1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</row>
    <row r="485" spans="1:39" x14ac:dyDescent="0.2">
      <c r="A485" t="str">
        <f>"481"</f>
        <v>481</v>
      </c>
      <c r="B485" t="str">
        <f t="shared" si="25"/>
        <v>1</v>
      </c>
      <c r="C485" t="str">
        <f t="shared" si="26"/>
        <v>10</v>
      </c>
      <c r="D485" t="str">
        <f>"22"</f>
        <v>22</v>
      </c>
      <c r="E485" t="str">
        <f>"1-10-22"</f>
        <v>1-10-22</v>
      </c>
      <c r="F485" t="s">
        <v>65</v>
      </c>
      <c r="G485" t="s">
        <v>66</v>
      </c>
      <c r="H485" t="s">
        <v>67</v>
      </c>
      <c r="S485">
        <v>1</v>
      </c>
      <c r="T485">
        <v>0</v>
      </c>
      <c r="U485">
        <v>0</v>
      </c>
      <c r="V485">
        <v>0</v>
      </c>
      <c r="W485">
        <v>1</v>
      </c>
      <c r="X485">
        <v>0</v>
      </c>
      <c r="Y485">
        <v>1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1</v>
      </c>
      <c r="AF485">
        <v>1</v>
      </c>
      <c r="AG485">
        <v>1</v>
      </c>
      <c r="AH485">
        <v>0</v>
      </c>
      <c r="AI485">
        <v>1</v>
      </c>
      <c r="AJ485">
        <v>1</v>
      </c>
      <c r="AK485">
        <v>1</v>
      </c>
      <c r="AL485">
        <v>1</v>
      </c>
      <c r="AM485">
        <v>1</v>
      </c>
    </row>
    <row r="486" spans="1:39" x14ac:dyDescent="0.2">
      <c r="A486" t="str">
        <f>"482"</f>
        <v>482</v>
      </c>
      <c r="B486" t="str">
        <f t="shared" si="25"/>
        <v>1</v>
      </c>
      <c r="C486" t="str">
        <f t="shared" si="26"/>
        <v>10</v>
      </c>
      <c r="D486" t="str">
        <f>"11"</f>
        <v>11</v>
      </c>
      <c r="E486" t="str">
        <f>"1-10-11"</f>
        <v>1-10-11</v>
      </c>
      <c r="F486" t="s">
        <v>65</v>
      </c>
      <c r="G486" t="s">
        <v>66</v>
      </c>
      <c r="H486" t="s">
        <v>67</v>
      </c>
      <c r="S486">
        <v>1</v>
      </c>
      <c r="T486">
        <v>0</v>
      </c>
      <c r="U486">
        <v>0</v>
      </c>
      <c r="V486">
        <v>0</v>
      </c>
      <c r="W486">
        <v>1</v>
      </c>
      <c r="X486">
        <v>0</v>
      </c>
      <c r="Y486">
        <v>1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1</v>
      </c>
      <c r="AF486">
        <v>1</v>
      </c>
      <c r="AG486">
        <v>1</v>
      </c>
      <c r="AH486">
        <v>1</v>
      </c>
      <c r="AI486">
        <v>1</v>
      </c>
      <c r="AJ486">
        <v>1</v>
      </c>
      <c r="AK486">
        <v>1</v>
      </c>
      <c r="AL486">
        <v>1</v>
      </c>
      <c r="AM486">
        <v>1</v>
      </c>
    </row>
    <row r="487" spans="1:39" x14ac:dyDescent="0.2">
      <c r="A487" t="str">
        <f>"483"</f>
        <v>483</v>
      </c>
      <c r="B487" t="str">
        <f t="shared" si="25"/>
        <v>1</v>
      </c>
      <c r="C487" t="str">
        <f t="shared" ref="C487:C504" si="27">"10"</f>
        <v>10</v>
      </c>
      <c r="D487" t="str">
        <f>"41"</f>
        <v>41</v>
      </c>
      <c r="E487" t="str">
        <f>"1-10-41"</f>
        <v>1-10-41</v>
      </c>
      <c r="F487" t="s">
        <v>65</v>
      </c>
      <c r="G487" t="s">
        <v>66</v>
      </c>
      <c r="H487" t="s">
        <v>67</v>
      </c>
      <c r="S487">
        <v>0</v>
      </c>
      <c r="T487">
        <v>1</v>
      </c>
      <c r="U487">
        <v>0</v>
      </c>
      <c r="V487">
        <v>0</v>
      </c>
      <c r="W487">
        <v>1</v>
      </c>
      <c r="X487">
        <v>0</v>
      </c>
      <c r="Y487">
        <v>1</v>
      </c>
      <c r="Z487">
        <v>0</v>
      </c>
      <c r="AA487">
        <v>0</v>
      </c>
      <c r="AB487">
        <v>1</v>
      </c>
      <c r="AC487">
        <v>0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0</v>
      </c>
      <c r="AL487">
        <v>1</v>
      </c>
      <c r="AM487">
        <v>1</v>
      </c>
    </row>
    <row r="488" spans="1:39" x14ac:dyDescent="0.2">
      <c r="A488" t="str">
        <f>"484"</f>
        <v>484</v>
      </c>
      <c r="B488" t="str">
        <f t="shared" si="25"/>
        <v>1</v>
      </c>
      <c r="C488" t="str">
        <f t="shared" si="27"/>
        <v>10</v>
      </c>
      <c r="D488" t="str">
        <f>"23"</f>
        <v>23</v>
      </c>
      <c r="E488" t="str">
        <f>"1-10-23"</f>
        <v>1-10-23</v>
      </c>
      <c r="F488" t="s">
        <v>65</v>
      </c>
      <c r="G488" t="s">
        <v>66</v>
      </c>
      <c r="H488" t="s">
        <v>67</v>
      </c>
      <c r="S488">
        <v>1</v>
      </c>
      <c r="T488">
        <v>0</v>
      </c>
      <c r="U488">
        <v>0</v>
      </c>
      <c r="V488">
        <v>0</v>
      </c>
      <c r="W488">
        <v>0</v>
      </c>
      <c r="X488">
        <v>1</v>
      </c>
      <c r="Y488">
        <v>1</v>
      </c>
      <c r="Z488">
        <v>0</v>
      </c>
      <c r="AA488">
        <v>0</v>
      </c>
      <c r="AB488">
        <v>1</v>
      </c>
      <c r="AC488">
        <v>0</v>
      </c>
      <c r="AD488">
        <v>1</v>
      </c>
      <c r="AE488">
        <v>1</v>
      </c>
      <c r="AF488">
        <v>1</v>
      </c>
      <c r="AG488">
        <v>1</v>
      </c>
      <c r="AH488">
        <v>1</v>
      </c>
      <c r="AI488">
        <v>1</v>
      </c>
      <c r="AJ488">
        <v>1</v>
      </c>
      <c r="AK488">
        <v>1</v>
      </c>
      <c r="AL488">
        <v>1</v>
      </c>
      <c r="AM488">
        <v>1</v>
      </c>
    </row>
    <row r="489" spans="1:39" x14ac:dyDescent="0.2">
      <c r="A489" t="str">
        <f>"485"</f>
        <v>485</v>
      </c>
      <c r="B489" t="str">
        <f t="shared" si="25"/>
        <v>1</v>
      </c>
      <c r="C489" t="str">
        <f t="shared" si="27"/>
        <v>10</v>
      </c>
      <c r="D489" t="str">
        <f>"7"</f>
        <v>7</v>
      </c>
      <c r="E489" t="str">
        <f>"1-10-7"</f>
        <v>1-10-7</v>
      </c>
      <c r="F489" t="s">
        <v>65</v>
      </c>
      <c r="G489" t="s">
        <v>66</v>
      </c>
      <c r="H489" t="s">
        <v>67</v>
      </c>
      <c r="S489">
        <v>1</v>
      </c>
      <c r="T489">
        <v>0</v>
      </c>
      <c r="U489">
        <v>0</v>
      </c>
      <c r="V489">
        <v>0</v>
      </c>
      <c r="W489">
        <v>1</v>
      </c>
      <c r="X489">
        <v>0</v>
      </c>
      <c r="Y489">
        <v>1</v>
      </c>
      <c r="Z489">
        <v>0</v>
      </c>
      <c r="AA489">
        <v>0</v>
      </c>
      <c r="AB489">
        <v>1</v>
      </c>
      <c r="AC489">
        <v>0</v>
      </c>
      <c r="AD489">
        <v>1</v>
      </c>
      <c r="AE489">
        <v>1</v>
      </c>
      <c r="AF489">
        <v>1</v>
      </c>
      <c r="AG489">
        <v>1</v>
      </c>
      <c r="AH489">
        <v>1</v>
      </c>
      <c r="AI489">
        <v>1</v>
      </c>
      <c r="AJ489">
        <v>1</v>
      </c>
      <c r="AK489">
        <v>1</v>
      </c>
      <c r="AL489">
        <v>1</v>
      </c>
      <c r="AM489">
        <v>1</v>
      </c>
    </row>
    <row r="490" spans="1:39" x14ac:dyDescent="0.2">
      <c r="A490" t="str">
        <f>"486"</f>
        <v>486</v>
      </c>
      <c r="B490" t="str">
        <f t="shared" si="25"/>
        <v>1</v>
      </c>
      <c r="C490" t="str">
        <f t="shared" si="27"/>
        <v>10</v>
      </c>
      <c r="D490" t="str">
        <f>"42"</f>
        <v>42</v>
      </c>
      <c r="E490" t="str">
        <f>"1-10-42"</f>
        <v>1-10-42</v>
      </c>
      <c r="F490" t="s">
        <v>65</v>
      </c>
      <c r="G490" t="s">
        <v>66</v>
      </c>
      <c r="H490" t="s">
        <v>67</v>
      </c>
      <c r="S490">
        <v>1</v>
      </c>
      <c r="T490">
        <v>0</v>
      </c>
      <c r="U490">
        <v>0</v>
      </c>
      <c r="V490">
        <v>0</v>
      </c>
      <c r="W490">
        <v>1</v>
      </c>
      <c r="X490">
        <v>0</v>
      </c>
      <c r="Y490">
        <v>1</v>
      </c>
      <c r="Z490">
        <v>0</v>
      </c>
      <c r="AA490">
        <v>0</v>
      </c>
      <c r="AB490">
        <v>1</v>
      </c>
      <c r="AC490">
        <v>0</v>
      </c>
      <c r="AD490">
        <v>1</v>
      </c>
      <c r="AE490">
        <v>0</v>
      </c>
      <c r="AF490">
        <v>1</v>
      </c>
      <c r="AG490">
        <v>1</v>
      </c>
      <c r="AH490">
        <v>1</v>
      </c>
      <c r="AI490">
        <v>1</v>
      </c>
      <c r="AJ490">
        <v>0</v>
      </c>
      <c r="AK490">
        <v>1</v>
      </c>
      <c r="AL490">
        <v>1</v>
      </c>
      <c r="AM490">
        <v>1</v>
      </c>
    </row>
    <row r="491" spans="1:39" x14ac:dyDescent="0.2">
      <c r="A491" t="str">
        <f>"487"</f>
        <v>487</v>
      </c>
      <c r="B491" t="str">
        <f t="shared" si="25"/>
        <v>1</v>
      </c>
      <c r="C491" t="str">
        <f t="shared" si="27"/>
        <v>10</v>
      </c>
      <c r="D491" t="str">
        <f>"25"</f>
        <v>25</v>
      </c>
      <c r="E491" t="str">
        <f>"1-10-25"</f>
        <v>1-10-25</v>
      </c>
      <c r="F491" t="s">
        <v>65</v>
      </c>
      <c r="G491" t="s">
        <v>66</v>
      </c>
      <c r="H491" t="s">
        <v>67</v>
      </c>
      <c r="S491">
        <v>0</v>
      </c>
      <c r="T491">
        <v>1</v>
      </c>
      <c r="U491">
        <v>0</v>
      </c>
      <c r="V491">
        <v>0</v>
      </c>
      <c r="W491">
        <v>1</v>
      </c>
      <c r="X491">
        <v>0</v>
      </c>
      <c r="Y491">
        <v>0</v>
      </c>
      <c r="Z491">
        <v>1</v>
      </c>
      <c r="AA491">
        <v>0</v>
      </c>
      <c r="AB491">
        <v>0</v>
      </c>
      <c r="AC491">
        <v>1</v>
      </c>
      <c r="AD491">
        <v>1</v>
      </c>
      <c r="AE491">
        <v>1</v>
      </c>
      <c r="AF491">
        <v>1</v>
      </c>
      <c r="AG491">
        <v>1</v>
      </c>
      <c r="AH491">
        <v>1</v>
      </c>
      <c r="AI491">
        <v>1</v>
      </c>
      <c r="AJ491">
        <v>1</v>
      </c>
      <c r="AK491">
        <v>1</v>
      </c>
      <c r="AL491">
        <v>0</v>
      </c>
      <c r="AM491">
        <v>1</v>
      </c>
    </row>
    <row r="492" spans="1:39" x14ac:dyDescent="0.2">
      <c r="A492" t="str">
        <f>"488"</f>
        <v>488</v>
      </c>
      <c r="B492" t="str">
        <f t="shared" si="25"/>
        <v>1</v>
      </c>
      <c r="C492" t="str">
        <f t="shared" si="27"/>
        <v>10</v>
      </c>
      <c r="D492" t="str">
        <f>"4"</f>
        <v>4</v>
      </c>
      <c r="E492" t="str">
        <f>"1-10-4"</f>
        <v>1-10-4</v>
      </c>
      <c r="F492" t="s">
        <v>65</v>
      </c>
      <c r="G492" t="s">
        <v>66</v>
      </c>
      <c r="H492" t="s">
        <v>67</v>
      </c>
      <c r="S492">
        <v>1</v>
      </c>
      <c r="T492">
        <v>0</v>
      </c>
      <c r="U492">
        <v>0</v>
      </c>
      <c r="V492">
        <v>0</v>
      </c>
      <c r="W492">
        <v>1</v>
      </c>
      <c r="X492">
        <v>0</v>
      </c>
      <c r="Y492">
        <v>1</v>
      </c>
      <c r="Z492">
        <v>0</v>
      </c>
      <c r="AA492">
        <v>0</v>
      </c>
      <c r="AB492">
        <v>1</v>
      </c>
      <c r="AC492">
        <v>0</v>
      </c>
      <c r="AD492">
        <v>1</v>
      </c>
      <c r="AE492">
        <v>1</v>
      </c>
      <c r="AF492">
        <v>1</v>
      </c>
      <c r="AG492">
        <v>1</v>
      </c>
      <c r="AH492">
        <v>1</v>
      </c>
      <c r="AI492">
        <v>1</v>
      </c>
      <c r="AJ492">
        <v>1</v>
      </c>
      <c r="AK492">
        <v>1</v>
      </c>
      <c r="AL492">
        <v>1</v>
      </c>
      <c r="AM492">
        <v>1</v>
      </c>
    </row>
    <row r="493" spans="1:39" x14ac:dyDescent="0.2">
      <c r="A493" t="str">
        <f>"489"</f>
        <v>489</v>
      </c>
      <c r="B493" t="str">
        <f t="shared" si="25"/>
        <v>1</v>
      </c>
      <c r="C493" t="str">
        <f t="shared" si="27"/>
        <v>10</v>
      </c>
      <c r="D493" t="str">
        <f>"44"</f>
        <v>44</v>
      </c>
      <c r="E493" t="str">
        <f>"1-10-44"</f>
        <v>1-10-44</v>
      </c>
      <c r="F493" t="s">
        <v>65</v>
      </c>
      <c r="G493" t="s">
        <v>66</v>
      </c>
      <c r="H493" t="s">
        <v>67</v>
      </c>
      <c r="S493">
        <v>1</v>
      </c>
      <c r="T493">
        <v>0</v>
      </c>
      <c r="U493">
        <v>0</v>
      </c>
      <c r="V493">
        <v>0</v>
      </c>
      <c r="W493">
        <v>1</v>
      </c>
      <c r="X493">
        <v>0</v>
      </c>
      <c r="Y493">
        <v>0</v>
      </c>
      <c r="Z493">
        <v>1</v>
      </c>
      <c r="AA493">
        <v>0</v>
      </c>
      <c r="AB493">
        <v>1</v>
      </c>
      <c r="AC493">
        <v>0</v>
      </c>
      <c r="AD493">
        <v>1</v>
      </c>
      <c r="AE493">
        <v>1</v>
      </c>
      <c r="AF493">
        <v>1</v>
      </c>
      <c r="AG493">
        <v>1</v>
      </c>
      <c r="AH493">
        <v>1</v>
      </c>
      <c r="AI493">
        <v>1</v>
      </c>
      <c r="AJ493">
        <v>1</v>
      </c>
      <c r="AK493">
        <v>1</v>
      </c>
      <c r="AL493">
        <v>1</v>
      </c>
      <c r="AM493">
        <v>1</v>
      </c>
    </row>
    <row r="494" spans="1:39" x14ac:dyDescent="0.2">
      <c r="A494" t="str">
        <f>"490"</f>
        <v>490</v>
      </c>
      <c r="B494" t="str">
        <f t="shared" si="25"/>
        <v>1</v>
      </c>
      <c r="C494" t="str">
        <f t="shared" si="27"/>
        <v>10</v>
      </c>
      <c r="D494" t="str">
        <f>"27"</f>
        <v>27</v>
      </c>
      <c r="E494" t="str">
        <f>"1-10-27"</f>
        <v>1-10-27</v>
      </c>
      <c r="F494" t="s">
        <v>65</v>
      </c>
      <c r="G494" t="s">
        <v>66</v>
      </c>
      <c r="H494" t="s">
        <v>67</v>
      </c>
      <c r="S494">
        <v>0</v>
      </c>
      <c r="T494">
        <v>1</v>
      </c>
      <c r="U494">
        <v>0</v>
      </c>
      <c r="V494">
        <v>0</v>
      </c>
      <c r="W494">
        <v>1</v>
      </c>
      <c r="X494">
        <v>0</v>
      </c>
      <c r="Y494">
        <v>1</v>
      </c>
      <c r="Z494">
        <v>0</v>
      </c>
      <c r="AA494">
        <v>0</v>
      </c>
      <c r="AB494">
        <v>0</v>
      </c>
      <c r="AC494">
        <v>1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</row>
    <row r="495" spans="1:39" x14ac:dyDescent="0.2">
      <c r="A495" t="str">
        <f>"491"</f>
        <v>491</v>
      </c>
      <c r="B495" t="str">
        <f t="shared" si="25"/>
        <v>1</v>
      </c>
      <c r="C495" t="str">
        <f t="shared" si="27"/>
        <v>10</v>
      </c>
      <c r="D495" t="str">
        <f>"10"</f>
        <v>10</v>
      </c>
      <c r="E495" t="str">
        <f>"1-10-10"</f>
        <v>1-10-10</v>
      </c>
      <c r="F495" t="s">
        <v>65</v>
      </c>
      <c r="G495" t="s">
        <v>66</v>
      </c>
      <c r="H495" t="s">
        <v>67</v>
      </c>
      <c r="S495">
        <v>1</v>
      </c>
      <c r="T495">
        <v>0</v>
      </c>
      <c r="U495">
        <v>0</v>
      </c>
      <c r="V495">
        <v>0</v>
      </c>
      <c r="W495">
        <v>0</v>
      </c>
      <c r="X495">
        <v>1</v>
      </c>
      <c r="Y495">
        <v>1</v>
      </c>
      <c r="Z495">
        <v>0</v>
      </c>
      <c r="AA495">
        <v>0</v>
      </c>
      <c r="AB495">
        <v>1</v>
      </c>
      <c r="AC495">
        <v>0</v>
      </c>
      <c r="AD495">
        <v>1</v>
      </c>
      <c r="AE495">
        <v>1</v>
      </c>
      <c r="AF495">
        <v>1</v>
      </c>
      <c r="AG495">
        <v>1</v>
      </c>
      <c r="AH495">
        <v>1</v>
      </c>
      <c r="AI495">
        <v>1</v>
      </c>
      <c r="AJ495">
        <v>1</v>
      </c>
      <c r="AK495">
        <v>1</v>
      </c>
      <c r="AL495">
        <v>1</v>
      </c>
      <c r="AM495">
        <v>1</v>
      </c>
    </row>
    <row r="496" spans="1:39" x14ac:dyDescent="0.2">
      <c r="A496" t="str">
        <f>"492"</f>
        <v>492</v>
      </c>
      <c r="B496" t="str">
        <f t="shared" si="25"/>
        <v>1</v>
      </c>
      <c r="C496" t="str">
        <f t="shared" si="27"/>
        <v>10</v>
      </c>
      <c r="D496" t="str">
        <f>"43"</f>
        <v>43</v>
      </c>
      <c r="E496" t="str">
        <f>"1-10-43"</f>
        <v>1-10-43</v>
      </c>
      <c r="F496" t="s">
        <v>65</v>
      </c>
      <c r="G496" t="s">
        <v>66</v>
      </c>
      <c r="H496" t="s">
        <v>67</v>
      </c>
      <c r="S496">
        <v>1</v>
      </c>
      <c r="T496">
        <v>0</v>
      </c>
      <c r="U496">
        <v>0</v>
      </c>
      <c r="V496">
        <v>0</v>
      </c>
      <c r="W496">
        <v>1</v>
      </c>
      <c r="X496">
        <v>0</v>
      </c>
      <c r="Y496">
        <v>1</v>
      </c>
      <c r="Z496">
        <v>0</v>
      </c>
      <c r="AA496">
        <v>0</v>
      </c>
      <c r="AB496">
        <v>0</v>
      </c>
      <c r="AC496">
        <v>1</v>
      </c>
      <c r="AD496">
        <v>1</v>
      </c>
      <c r="AE496">
        <v>1</v>
      </c>
      <c r="AF496">
        <v>1</v>
      </c>
      <c r="AG496">
        <v>1</v>
      </c>
      <c r="AH496">
        <v>1</v>
      </c>
      <c r="AI496">
        <v>0</v>
      </c>
      <c r="AJ496">
        <v>1</v>
      </c>
      <c r="AK496">
        <v>1</v>
      </c>
      <c r="AL496">
        <v>1</v>
      </c>
      <c r="AM496">
        <v>1</v>
      </c>
    </row>
    <row r="497" spans="1:39" x14ac:dyDescent="0.2">
      <c r="A497" t="str">
        <f>"493"</f>
        <v>493</v>
      </c>
      <c r="B497" t="str">
        <f t="shared" si="25"/>
        <v>1</v>
      </c>
      <c r="C497" t="str">
        <f t="shared" si="27"/>
        <v>10</v>
      </c>
      <c r="D497" t="str">
        <f>"28"</f>
        <v>28</v>
      </c>
      <c r="E497" t="str">
        <f>"1-10-28"</f>
        <v>1-10-28</v>
      </c>
      <c r="F497" t="s">
        <v>65</v>
      </c>
      <c r="G497" t="s">
        <v>66</v>
      </c>
      <c r="H497" t="s">
        <v>67</v>
      </c>
      <c r="S497">
        <v>1</v>
      </c>
      <c r="T497">
        <v>0</v>
      </c>
      <c r="U497">
        <v>0</v>
      </c>
      <c r="V497">
        <v>0</v>
      </c>
      <c r="W497">
        <v>1</v>
      </c>
      <c r="X497">
        <v>0</v>
      </c>
      <c r="Y497">
        <v>0</v>
      </c>
      <c r="Z497">
        <v>1</v>
      </c>
      <c r="AA497">
        <v>1</v>
      </c>
      <c r="AB497">
        <v>0</v>
      </c>
      <c r="AC497">
        <v>0</v>
      </c>
      <c r="AD497">
        <v>1</v>
      </c>
      <c r="AE497">
        <v>1</v>
      </c>
      <c r="AF497">
        <v>1</v>
      </c>
      <c r="AG497">
        <v>1</v>
      </c>
      <c r="AH497">
        <v>1</v>
      </c>
      <c r="AI497">
        <v>1</v>
      </c>
      <c r="AJ497">
        <v>1</v>
      </c>
      <c r="AK497">
        <v>1</v>
      </c>
      <c r="AL497">
        <v>1</v>
      </c>
      <c r="AM497">
        <v>1</v>
      </c>
    </row>
    <row r="498" spans="1:39" x14ac:dyDescent="0.2">
      <c r="A498" t="str">
        <f>"494"</f>
        <v>494</v>
      </c>
      <c r="B498" t="str">
        <f t="shared" si="25"/>
        <v>1</v>
      </c>
      <c r="C498" t="str">
        <f t="shared" si="27"/>
        <v>10</v>
      </c>
      <c r="D498" t="str">
        <f>"12"</f>
        <v>12</v>
      </c>
      <c r="E498" t="str">
        <f>"1-10-12"</f>
        <v>1-10-12</v>
      </c>
      <c r="F498" t="s">
        <v>65</v>
      </c>
      <c r="G498" t="s">
        <v>66</v>
      </c>
      <c r="H498" t="s">
        <v>67</v>
      </c>
      <c r="S498">
        <v>1</v>
      </c>
      <c r="T498">
        <v>0</v>
      </c>
      <c r="U498">
        <v>0</v>
      </c>
      <c r="V498">
        <v>0</v>
      </c>
      <c r="W498">
        <v>1</v>
      </c>
      <c r="X498">
        <v>0</v>
      </c>
      <c r="Y498">
        <v>0</v>
      </c>
      <c r="Z498">
        <v>1</v>
      </c>
      <c r="AA498">
        <v>1</v>
      </c>
      <c r="AB498">
        <v>0</v>
      </c>
      <c r="AC498">
        <v>0</v>
      </c>
      <c r="AD498">
        <v>1</v>
      </c>
      <c r="AE498">
        <v>1</v>
      </c>
      <c r="AF498">
        <v>1</v>
      </c>
      <c r="AG498">
        <v>1</v>
      </c>
      <c r="AH498">
        <v>1</v>
      </c>
      <c r="AI498">
        <v>1</v>
      </c>
      <c r="AJ498">
        <v>1</v>
      </c>
      <c r="AK498">
        <v>1</v>
      </c>
      <c r="AL498">
        <v>1</v>
      </c>
      <c r="AM498">
        <v>1</v>
      </c>
    </row>
    <row r="499" spans="1:39" x14ac:dyDescent="0.2">
      <c r="A499" t="str">
        <f>"495"</f>
        <v>495</v>
      </c>
      <c r="B499" t="str">
        <f t="shared" si="25"/>
        <v>1</v>
      </c>
      <c r="C499" t="str">
        <f t="shared" si="27"/>
        <v>10</v>
      </c>
      <c r="D499" t="str">
        <f>"45"</f>
        <v>45</v>
      </c>
      <c r="E499" t="str">
        <f>"1-10-45"</f>
        <v>1-10-45</v>
      </c>
      <c r="F499" t="s">
        <v>65</v>
      </c>
      <c r="G499" t="s">
        <v>66</v>
      </c>
      <c r="H499" t="s">
        <v>67</v>
      </c>
      <c r="S499">
        <v>0</v>
      </c>
      <c r="T499">
        <v>1</v>
      </c>
      <c r="U499">
        <v>0</v>
      </c>
      <c r="V499">
        <v>0</v>
      </c>
      <c r="W499">
        <v>1</v>
      </c>
      <c r="X499">
        <v>0</v>
      </c>
      <c r="Y499">
        <v>1</v>
      </c>
      <c r="Z499">
        <v>0</v>
      </c>
      <c r="AA499">
        <v>0</v>
      </c>
      <c r="AB499">
        <v>0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  <c r="AL499">
        <v>1</v>
      </c>
      <c r="AM499">
        <v>1</v>
      </c>
    </row>
    <row r="500" spans="1:39" x14ac:dyDescent="0.2">
      <c r="A500" t="str">
        <f>"496"</f>
        <v>496</v>
      </c>
      <c r="B500" t="str">
        <f t="shared" si="25"/>
        <v>1</v>
      </c>
      <c r="C500" t="str">
        <f t="shared" si="27"/>
        <v>10</v>
      </c>
      <c r="D500" t="str">
        <f>"29"</f>
        <v>29</v>
      </c>
      <c r="E500" t="str">
        <f>"1-10-29"</f>
        <v>1-10-29</v>
      </c>
      <c r="F500" t="s">
        <v>65</v>
      </c>
      <c r="G500" t="s">
        <v>66</v>
      </c>
      <c r="H500" t="s">
        <v>67</v>
      </c>
      <c r="S500">
        <v>1</v>
      </c>
      <c r="T500">
        <v>0</v>
      </c>
      <c r="U500">
        <v>0</v>
      </c>
      <c r="V500">
        <v>0</v>
      </c>
      <c r="W500">
        <v>1</v>
      </c>
      <c r="X500">
        <v>0</v>
      </c>
      <c r="Y500">
        <v>1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1</v>
      </c>
      <c r="AF500">
        <v>0</v>
      </c>
      <c r="AG500">
        <v>1</v>
      </c>
      <c r="AH500">
        <v>1</v>
      </c>
      <c r="AI500">
        <v>1</v>
      </c>
      <c r="AJ500">
        <v>1</v>
      </c>
      <c r="AK500">
        <v>1</v>
      </c>
      <c r="AL500">
        <v>1</v>
      </c>
      <c r="AM500">
        <v>1</v>
      </c>
    </row>
    <row r="501" spans="1:39" x14ac:dyDescent="0.2">
      <c r="A501" t="str">
        <f>"497"</f>
        <v>497</v>
      </c>
      <c r="B501" t="str">
        <f t="shared" si="25"/>
        <v>1</v>
      </c>
      <c r="C501" t="str">
        <f t="shared" si="27"/>
        <v>10</v>
      </c>
      <c r="D501" t="str">
        <f>"5"</f>
        <v>5</v>
      </c>
      <c r="E501" t="str">
        <f>"1-10-5"</f>
        <v>1-10-5</v>
      </c>
      <c r="F501" t="s">
        <v>65</v>
      </c>
      <c r="G501" t="s">
        <v>66</v>
      </c>
      <c r="H501" t="s">
        <v>67</v>
      </c>
      <c r="S501">
        <v>1</v>
      </c>
      <c r="T501">
        <v>0</v>
      </c>
      <c r="U501">
        <v>0</v>
      </c>
      <c r="V501">
        <v>0</v>
      </c>
      <c r="W501">
        <v>1</v>
      </c>
      <c r="X501">
        <v>0</v>
      </c>
      <c r="Y501">
        <v>1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1</v>
      </c>
      <c r="AF501">
        <v>1</v>
      </c>
      <c r="AG501">
        <v>1</v>
      </c>
      <c r="AH501">
        <v>1</v>
      </c>
      <c r="AI501">
        <v>1</v>
      </c>
      <c r="AJ501">
        <v>1</v>
      </c>
      <c r="AK501">
        <v>1</v>
      </c>
      <c r="AL501">
        <v>1</v>
      </c>
      <c r="AM501">
        <v>1</v>
      </c>
    </row>
    <row r="502" spans="1:39" x14ac:dyDescent="0.2">
      <c r="A502" t="str">
        <f>"498"</f>
        <v>498</v>
      </c>
      <c r="B502" t="str">
        <f t="shared" si="25"/>
        <v>1</v>
      </c>
      <c r="C502" t="str">
        <f t="shared" si="27"/>
        <v>10</v>
      </c>
      <c r="D502" t="str">
        <f>"46"</f>
        <v>46</v>
      </c>
      <c r="E502" t="str">
        <f>"1-10-46"</f>
        <v>1-10-46</v>
      </c>
      <c r="F502" t="s">
        <v>65</v>
      </c>
      <c r="G502" t="s">
        <v>66</v>
      </c>
      <c r="H502" t="s">
        <v>67</v>
      </c>
      <c r="S502">
        <v>0</v>
      </c>
      <c r="T502">
        <v>1</v>
      </c>
      <c r="U502">
        <v>0</v>
      </c>
      <c r="V502">
        <v>0</v>
      </c>
      <c r="W502">
        <v>1</v>
      </c>
      <c r="X502">
        <v>0</v>
      </c>
      <c r="Y502">
        <v>1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1</v>
      </c>
      <c r="AF502">
        <v>1</v>
      </c>
      <c r="AG502">
        <v>1</v>
      </c>
      <c r="AH502">
        <v>1</v>
      </c>
      <c r="AI502">
        <v>1</v>
      </c>
      <c r="AJ502">
        <v>1</v>
      </c>
      <c r="AK502">
        <v>1</v>
      </c>
      <c r="AL502">
        <v>1</v>
      </c>
      <c r="AM502">
        <v>1</v>
      </c>
    </row>
    <row r="503" spans="1:39" x14ac:dyDescent="0.2">
      <c r="A503" t="str">
        <f>"499"</f>
        <v>499</v>
      </c>
      <c r="B503" t="str">
        <f t="shared" ref="B503:B566" si="28">"1"</f>
        <v>1</v>
      </c>
      <c r="C503" t="str">
        <f t="shared" si="27"/>
        <v>10</v>
      </c>
      <c r="D503" t="str">
        <f>"30"</f>
        <v>30</v>
      </c>
      <c r="E503" t="str">
        <f>"1-10-30"</f>
        <v>1-10-30</v>
      </c>
      <c r="F503" t="s">
        <v>65</v>
      </c>
      <c r="G503" t="s">
        <v>66</v>
      </c>
      <c r="H503" t="s">
        <v>67</v>
      </c>
      <c r="S503">
        <v>1</v>
      </c>
      <c r="T503">
        <v>0</v>
      </c>
      <c r="U503">
        <v>0</v>
      </c>
      <c r="V503">
        <v>0</v>
      </c>
      <c r="W503">
        <v>1</v>
      </c>
      <c r="X503">
        <v>0</v>
      </c>
      <c r="Y503">
        <v>1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1</v>
      </c>
      <c r="AF503">
        <v>1</v>
      </c>
      <c r="AG503">
        <v>1</v>
      </c>
      <c r="AH503">
        <v>1</v>
      </c>
      <c r="AI503">
        <v>1</v>
      </c>
      <c r="AJ503">
        <v>1</v>
      </c>
      <c r="AK503">
        <v>1</v>
      </c>
      <c r="AL503">
        <v>1</v>
      </c>
      <c r="AM503">
        <v>1</v>
      </c>
    </row>
    <row r="504" spans="1:39" x14ac:dyDescent="0.2">
      <c r="A504" t="str">
        <f>"500"</f>
        <v>500</v>
      </c>
      <c r="B504" t="str">
        <f t="shared" si="28"/>
        <v>1</v>
      </c>
      <c r="C504" t="str">
        <f t="shared" si="27"/>
        <v>10</v>
      </c>
      <c r="D504" t="str">
        <f>"6"</f>
        <v>6</v>
      </c>
      <c r="E504" t="str">
        <f>"1-10-6"</f>
        <v>1-10-6</v>
      </c>
      <c r="F504" t="s">
        <v>65</v>
      </c>
      <c r="G504" t="s">
        <v>66</v>
      </c>
      <c r="H504" t="s">
        <v>67</v>
      </c>
      <c r="S504">
        <v>0</v>
      </c>
      <c r="T504">
        <v>1</v>
      </c>
      <c r="U504">
        <v>0</v>
      </c>
      <c r="V504">
        <v>0</v>
      </c>
      <c r="W504">
        <v>1</v>
      </c>
      <c r="X504">
        <v>0</v>
      </c>
      <c r="Y504">
        <v>1</v>
      </c>
      <c r="Z504">
        <v>0</v>
      </c>
      <c r="AA504">
        <v>0</v>
      </c>
      <c r="AB504">
        <v>0</v>
      </c>
      <c r="AC504">
        <v>1</v>
      </c>
      <c r="AD504">
        <v>1</v>
      </c>
      <c r="AE504">
        <v>1</v>
      </c>
      <c r="AF504">
        <v>1</v>
      </c>
      <c r="AG504">
        <v>1</v>
      </c>
      <c r="AH504">
        <v>1</v>
      </c>
      <c r="AI504">
        <v>1</v>
      </c>
      <c r="AJ504">
        <v>1</v>
      </c>
      <c r="AK504">
        <v>1</v>
      </c>
      <c r="AL504">
        <v>1</v>
      </c>
      <c r="AM504">
        <v>1</v>
      </c>
    </row>
    <row r="505" spans="1:39" x14ac:dyDescent="0.2">
      <c r="A505" t="str">
        <f>"501"</f>
        <v>501</v>
      </c>
      <c r="B505" t="str">
        <f t="shared" si="28"/>
        <v>1</v>
      </c>
      <c r="C505" t="str">
        <f t="shared" ref="C505:C536" si="29">"11"</f>
        <v>11</v>
      </c>
      <c r="D505" t="str">
        <f>"32"</f>
        <v>32</v>
      </c>
      <c r="E505" t="str">
        <f>"1-11-32"</f>
        <v>1-11-32</v>
      </c>
      <c r="F505" t="s">
        <v>65</v>
      </c>
      <c r="G505" t="s">
        <v>66</v>
      </c>
      <c r="H505" t="s">
        <v>67</v>
      </c>
      <c r="S505">
        <v>0</v>
      </c>
      <c r="T505">
        <v>1</v>
      </c>
      <c r="U505">
        <v>0</v>
      </c>
      <c r="V505">
        <v>0</v>
      </c>
      <c r="W505">
        <v>0</v>
      </c>
      <c r="X505">
        <v>1</v>
      </c>
      <c r="Y505">
        <v>1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1</v>
      </c>
      <c r="AF505">
        <v>1</v>
      </c>
      <c r="AG505">
        <v>1</v>
      </c>
      <c r="AH505">
        <v>1</v>
      </c>
      <c r="AI505">
        <v>1</v>
      </c>
      <c r="AJ505">
        <v>1</v>
      </c>
      <c r="AK505">
        <v>1</v>
      </c>
      <c r="AL505">
        <v>1</v>
      </c>
      <c r="AM505">
        <v>1</v>
      </c>
    </row>
    <row r="506" spans="1:39" x14ac:dyDescent="0.2">
      <c r="A506" t="str">
        <f>"502"</f>
        <v>502</v>
      </c>
      <c r="B506" t="str">
        <f t="shared" si="28"/>
        <v>1</v>
      </c>
      <c r="C506" t="str">
        <f t="shared" si="29"/>
        <v>11</v>
      </c>
      <c r="D506" t="str">
        <f>"31"</f>
        <v>31</v>
      </c>
      <c r="E506" t="str">
        <f>"1-11-31"</f>
        <v>1-11-31</v>
      </c>
      <c r="F506" t="s">
        <v>65</v>
      </c>
      <c r="G506" t="s">
        <v>66</v>
      </c>
      <c r="H506" t="s">
        <v>67</v>
      </c>
      <c r="S506">
        <v>0</v>
      </c>
      <c r="T506">
        <v>1</v>
      </c>
      <c r="U506">
        <v>0</v>
      </c>
      <c r="V506">
        <v>0</v>
      </c>
      <c r="W506">
        <v>1</v>
      </c>
      <c r="X506">
        <v>0</v>
      </c>
      <c r="Y506">
        <v>1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1</v>
      </c>
      <c r="AF506">
        <v>1</v>
      </c>
      <c r="AG506">
        <v>1</v>
      </c>
      <c r="AH506">
        <v>1</v>
      </c>
      <c r="AI506">
        <v>1</v>
      </c>
      <c r="AJ506">
        <v>1</v>
      </c>
      <c r="AK506">
        <v>1</v>
      </c>
      <c r="AL506">
        <v>1</v>
      </c>
      <c r="AM506">
        <v>1</v>
      </c>
    </row>
    <row r="507" spans="1:39" x14ac:dyDescent="0.2">
      <c r="A507" t="str">
        <f>"503"</f>
        <v>503</v>
      </c>
      <c r="B507" t="str">
        <f t="shared" si="28"/>
        <v>1</v>
      </c>
      <c r="C507" t="str">
        <f t="shared" si="29"/>
        <v>11</v>
      </c>
      <c r="D507" t="str">
        <f>"25"</f>
        <v>25</v>
      </c>
      <c r="E507" t="str">
        <f>"1-11-25"</f>
        <v>1-11-25</v>
      </c>
      <c r="F507" t="s">
        <v>65</v>
      </c>
      <c r="G507" t="s">
        <v>66</v>
      </c>
      <c r="H507" t="s">
        <v>67</v>
      </c>
      <c r="S507">
        <v>0</v>
      </c>
      <c r="T507">
        <v>1</v>
      </c>
      <c r="U507">
        <v>0</v>
      </c>
      <c r="V507">
        <v>0</v>
      </c>
      <c r="W507">
        <v>0</v>
      </c>
      <c r="X507">
        <v>1</v>
      </c>
      <c r="Y507">
        <v>0</v>
      </c>
      <c r="Z507">
        <v>1</v>
      </c>
      <c r="AA507">
        <v>0</v>
      </c>
      <c r="AB507">
        <v>0</v>
      </c>
      <c r="AC507">
        <v>1</v>
      </c>
      <c r="AD507">
        <v>0</v>
      </c>
      <c r="AE507">
        <v>0</v>
      </c>
      <c r="AF507">
        <v>0</v>
      </c>
      <c r="AG507">
        <v>1</v>
      </c>
      <c r="AH507">
        <v>1</v>
      </c>
      <c r="AI507">
        <v>1</v>
      </c>
      <c r="AJ507">
        <v>1</v>
      </c>
      <c r="AK507">
        <v>1</v>
      </c>
      <c r="AL507">
        <v>1</v>
      </c>
      <c r="AM507">
        <v>1</v>
      </c>
    </row>
    <row r="508" spans="1:39" x14ac:dyDescent="0.2">
      <c r="A508" t="str">
        <f>"504"</f>
        <v>504</v>
      </c>
      <c r="B508" t="str">
        <f t="shared" si="28"/>
        <v>1</v>
      </c>
      <c r="C508" t="str">
        <f t="shared" si="29"/>
        <v>11</v>
      </c>
      <c r="D508" t="str">
        <f>"15"</f>
        <v>15</v>
      </c>
      <c r="E508" t="str">
        <f>"1-11-15"</f>
        <v>1-11-15</v>
      </c>
      <c r="F508" t="s">
        <v>65</v>
      </c>
      <c r="G508" t="s">
        <v>66</v>
      </c>
      <c r="H508" t="s">
        <v>67</v>
      </c>
      <c r="S508">
        <v>1</v>
      </c>
      <c r="T508">
        <v>0</v>
      </c>
      <c r="U508">
        <v>0</v>
      </c>
      <c r="V508">
        <v>0</v>
      </c>
      <c r="W508">
        <v>1</v>
      </c>
      <c r="X508">
        <v>0</v>
      </c>
      <c r="Y508">
        <v>1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1</v>
      </c>
      <c r="AF508">
        <v>1</v>
      </c>
      <c r="AG508">
        <v>1</v>
      </c>
      <c r="AH508">
        <v>1</v>
      </c>
      <c r="AI508">
        <v>1</v>
      </c>
      <c r="AJ508">
        <v>1</v>
      </c>
      <c r="AK508">
        <v>1</v>
      </c>
      <c r="AL508">
        <v>1</v>
      </c>
      <c r="AM508">
        <v>1</v>
      </c>
    </row>
    <row r="509" spans="1:39" x14ac:dyDescent="0.2">
      <c r="A509" t="str">
        <f>"505"</f>
        <v>505</v>
      </c>
      <c r="B509" t="str">
        <f t="shared" si="28"/>
        <v>1</v>
      </c>
      <c r="C509" t="str">
        <f t="shared" si="29"/>
        <v>11</v>
      </c>
      <c r="D509" t="str">
        <f>"4"</f>
        <v>4</v>
      </c>
      <c r="E509" t="str">
        <f>"1-11-4"</f>
        <v>1-11-4</v>
      </c>
      <c r="F509" t="s">
        <v>65</v>
      </c>
      <c r="G509" t="s">
        <v>66</v>
      </c>
      <c r="H509" t="s">
        <v>67</v>
      </c>
      <c r="S509">
        <v>0</v>
      </c>
      <c r="T509">
        <v>1</v>
      </c>
      <c r="U509">
        <v>0</v>
      </c>
      <c r="V509">
        <v>0</v>
      </c>
      <c r="W509">
        <v>1</v>
      </c>
      <c r="X509">
        <v>0</v>
      </c>
      <c r="Y509">
        <v>0</v>
      </c>
      <c r="Z509">
        <v>1</v>
      </c>
      <c r="AA509">
        <v>0</v>
      </c>
      <c r="AB509">
        <v>0</v>
      </c>
      <c r="AC509">
        <v>1</v>
      </c>
      <c r="AD509">
        <v>1</v>
      </c>
      <c r="AE509">
        <v>1</v>
      </c>
      <c r="AF509">
        <v>0</v>
      </c>
      <c r="AG509">
        <v>1</v>
      </c>
      <c r="AH509">
        <v>1</v>
      </c>
      <c r="AI509">
        <v>1</v>
      </c>
      <c r="AJ509">
        <v>1</v>
      </c>
      <c r="AK509">
        <v>1</v>
      </c>
      <c r="AL509">
        <v>1</v>
      </c>
      <c r="AM509">
        <v>0</v>
      </c>
    </row>
    <row r="510" spans="1:39" x14ac:dyDescent="0.2">
      <c r="A510" t="str">
        <f>"506"</f>
        <v>506</v>
      </c>
      <c r="B510" t="str">
        <f t="shared" si="28"/>
        <v>1</v>
      </c>
      <c r="C510" t="str">
        <f t="shared" si="29"/>
        <v>11</v>
      </c>
      <c r="D510" t="str">
        <f>"34"</f>
        <v>34</v>
      </c>
      <c r="E510" t="str">
        <f>"1-11-34"</f>
        <v>1-11-34</v>
      </c>
      <c r="F510" t="s">
        <v>65</v>
      </c>
      <c r="G510" t="s">
        <v>66</v>
      </c>
      <c r="H510" t="s">
        <v>67</v>
      </c>
      <c r="S510">
        <v>1</v>
      </c>
      <c r="T510">
        <v>0</v>
      </c>
      <c r="U510">
        <v>0</v>
      </c>
      <c r="V510">
        <v>0</v>
      </c>
      <c r="W510">
        <v>1</v>
      </c>
      <c r="X510">
        <v>0</v>
      </c>
      <c r="Y510">
        <v>1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1</v>
      </c>
      <c r="AF510">
        <v>1</v>
      </c>
      <c r="AG510">
        <v>1</v>
      </c>
      <c r="AH510">
        <v>1</v>
      </c>
      <c r="AI510">
        <v>1</v>
      </c>
      <c r="AJ510">
        <v>1</v>
      </c>
      <c r="AK510">
        <v>1</v>
      </c>
      <c r="AL510">
        <v>1</v>
      </c>
      <c r="AM510">
        <v>1</v>
      </c>
    </row>
    <row r="511" spans="1:39" x14ac:dyDescent="0.2">
      <c r="A511" t="str">
        <f>"507"</f>
        <v>507</v>
      </c>
      <c r="B511" t="str">
        <f t="shared" si="28"/>
        <v>1</v>
      </c>
      <c r="C511" t="str">
        <f t="shared" si="29"/>
        <v>11</v>
      </c>
      <c r="D511" t="str">
        <f>"33"</f>
        <v>33</v>
      </c>
      <c r="E511" t="str">
        <f>"1-11-33"</f>
        <v>1-11-33</v>
      </c>
      <c r="F511" t="s">
        <v>65</v>
      </c>
      <c r="G511" t="s">
        <v>66</v>
      </c>
      <c r="H511" t="s">
        <v>67</v>
      </c>
      <c r="S511">
        <v>1</v>
      </c>
      <c r="T511">
        <v>0</v>
      </c>
      <c r="U511">
        <v>0</v>
      </c>
      <c r="V511">
        <v>0</v>
      </c>
      <c r="W511">
        <v>1</v>
      </c>
      <c r="X511">
        <v>0</v>
      </c>
      <c r="Y511">
        <v>1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</row>
    <row r="512" spans="1:39" x14ac:dyDescent="0.2">
      <c r="A512" t="str">
        <f>"508"</f>
        <v>508</v>
      </c>
      <c r="B512" t="str">
        <f t="shared" si="28"/>
        <v>1</v>
      </c>
      <c r="C512" t="str">
        <f t="shared" si="29"/>
        <v>11</v>
      </c>
      <c r="D512" t="str">
        <f>"26"</f>
        <v>26</v>
      </c>
      <c r="E512" t="str">
        <f>"1-11-26"</f>
        <v>1-11-26</v>
      </c>
      <c r="F512" t="s">
        <v>65</v>
      </c>
      <c r="G512" t="s">
        <v>66</v>
      </c>
      <c r="H512" t="s">
        <v>67</v>
      </c>
      <c r="S512">
        <v>0</v>
      </c>
      <c r="T512">
        <v>1</v>
      </c>
      <c r="U512">
        <v>0</v>
      </c>
      <c r="V512">
        <v>0</v>
      </c>
      <c r="W512">
        <v>0</v>
      </c>
      <c r="X512">
        <v>1</v>
      </c>
      <c r="Y512">
        <v>1</v>
      </c>
      <c r="Z512">
        <v>0</v>
      </c>
      <c r="AA512">
        <v>0</v>
      </c>
      <c r="AB512">
        <v>0</v>
      </c>
      <c r="AC512">
        <v>1</v>
      </c>
      <c r="AD512">
        <v>1</v>
      </c>
      <c r="AE512">
        <v>1</v>
      </c>
      <c r="AF512">
        <v>1</v>
      </c>
      <c r="AG512">
        <v>1</v>
      </c>
      <c r="AH512">
        <v>1</v>
      </c>
      <c r="AI512">
        <v>1</v>
      </c>
      <c r="AJ512">
        <v>1</v>
      </c>
      <c r="AK512">
        <v>1</v>
      </c>
      <c r="AL512">
        <v>1</v>
      </c>
      <c r="AM512">
        <v>1</v>
      </c>
    </row>
    <row r="513" spans="1:39" x14ac:dyDescent="0.2">
      <c r="A513" t="str">
        <f>"509"</f>
        <v>509</v>
      </c>
      <c r="B513" t="str">
        <f t="shared" si="28"/>
        <v>1</v>
      </c>
      <c r="C513" t="str">
        <f t="shared" si="29"/>
        <v>11</v>
      </c>
      <c r="D513" t="str">
        <f>"16"</f>
        <v>16</v>
      </c>
      <c r="E513" t="str">
        <f>"1-11-16"</f>
        <v>1-11-16</v>
      </c>
      <c r="F513" t="s">
        <v>65</v>
      </c>
      <c r="G513" t="s">
        <v>66</v>
      </c>
      <c r="H513" t="s">
        <v>67</v>
      </c>
      <c r="S513">
        <v>1</v>
      </c>
      <c r="T513">
        <v>0</v>
      </c>
      <c r="U513">
        <v>0</v>
      </c>
      <c r="V513">
        <v>0</v>
      </c>
      <c r="W513">
        <v>1</v>
      </c>
      <c r="X513">
        <v>0</v>
      </c>
      <c r="Y513">
        <v>1</v>
      </c>
      <c r="Z513">
        <v>0</v>
      </c>
      <c r="AA513">
        <v>0</v>
      </c>
      <c r="AB513">
        <v>1</v>
      </c>
      <c r="AC513">
        <v>0</v>
      </c>
      <c r="AD513">
        <v>1</v>
      </c>
      <c r="AE513">
        <v>1</v>
      </c>
      <c r="AF513">
        <v>1</v>
      </c>
      <c r="AG513">
        <v>1</v>
      </c>
      <c r="AH513">
        <v>1</v>
      </c>
      <c r="AI513">
        <v>1</v>
      </c>
      <c r="AJ513">
        <v>1</v>
      </c>
      <c r="AK513">
        <v>1</v>
      </c>
      <c r="AL513">
        <v>1</v>
      </c>
      <c r="AM513">
        <v>1</v>
      </c>
    </row>
    <row r="514" spans="1:39" x14ac:dyDescent="0.2">
      <c r="A514" t="str">
        <f>"510"</f>
        <v>510</v>
      </c>
      <c r="B514" t="str">
        <f t="shared" si="28"/>
        <v>1</v>
      </c>
      <c r="C514" t="str">
        <f t="shared" si="29"/>
        <v>11</v>
      </c>
      <c r="D514" t="str">
        <f>"3"</f>
        <v>3</v>
      </c>
      <c r="E514" t="str">
        <f>"1-11-3"</f>
        <v>1-11-3</v>
      </c>
      <c r="F514" t="s">
        <v>65</v>
      </c>
      <c r="G514" t="s">
        <v>66</v>
      </c>
      <c r="H514" t="s">
        <v>67</v>
      </c>
      <c r="S514">
        <v>1</v>
      </c>
      <c r="T514">
        <v>0</v>
      </c>
      <c r="U514">
        <v>0</v>
      </c>
      <c r="V514">
        <v>0</v>
      </c>
      <c r="W514">
        <v>1</v>
      </c>
      <c r="X514">
        <v>0</v>
      </c>
      <c r="Y514">
        <v>1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1</v>
      </c>
      <c r="AF514">
        <v>1</v>
      </c>
      <c r="AG514">
        <v>1</v>
      </c>
      <c r="AH514">
        <v>1</v>
      </c>
      <c r="AI514">
        <v>1</v>
      </c>
      <c r="AJ514">
        <v>1</v>
      </c>
      <c r="AK514">
        <v>1</v>
      </c>
      <c r="AL514">
        <v>1</v>
      </c>
      <c r="AM514">
        <v>1</v>
      </c>
    </row>
    <row r="515" spans="1:39" x14ac:dyDescent="0.2">
      <c r="A515" t="str">
        <f>"511"</f>
        <v>511</v>
      </c>
      <c r="B515" t="str">
        <f t="shared" si="28"/>
        <v>1</v>
      </c>
      <c r="C515" t="str">
        <f t="shared" si="29"/>
        <v>11</v>
      </c>
      <c r="D515" t="str">
        <f>"48"</f>
        <v>48</v>
      </c>
      <c r="E515" t="str">
        <f>"1-11-48"</f>
        <v>1-11-48</v>
      </c>
      <c r="F515" t="s">
        <v>65</v>
      </c>
      <c r="G515" t="s">
        <v>66</v>
      </c>
      <c r="H515" t="s">
        <v>67</v>
      </c>
      <c r="S515">
        <v>0</v>
      </c>
      <c r="T515">
        <v>1</v>
      </c>
      <c r="U515">
        <v>0</v>
      </c>
      <c r="V515">
        <v>0</v>
      </c>
      <c r="W515">
        <v>1</v>
      </c>
      <c r="X515">
        <v>0</v>
      </c>
      <c r="Y515">
        <v>0</v>
      </c>
      <c r="Z515">
        <v>1</v>
      </c>
      <c r="AA515">
        <v>0</v>
      </c>
      <c r="AB515">
        <v>0</v>
      </c>
      <c r="AC515">
        <v>1</v>
      </c>
      <c r="AD515">
        <v>1</v>
      </c>
      <c r="AE515">
        <v>1</v>
      </c>
      <c r="AF515">
        <v>1</v>
      </c>
      <c r="AG515">
        <v>1</v>
      </c>
      <c r="AH515">
        <v>1</v>
      </c>
      <c r="AI515">
        <v>1</v>
      </c>
      <c r="AJ515">
        <v>1</v>
      </c>
      <c r="AK515">
        <v>1</v>
      </c>
      <c r="AL515">
        <v>1</v>
      </c>
      <c r="AM515">
        <v>1</v>
      </c>
    </row>
    <row r="516" spans="1:39" x14ac:dyDescent="0.2">
      <c r="A516" t="str">
        <f>"512"</f>
        <v>512</v>
      </c>
      <c r="B516" t="str">
        <f t="shared" si="28"/>
        <v>1</v>
      </c>
      <c r="C516" t="str">
        <f t="shared" si="29"/>
        <v>11</v>
      </c>
      <c r="D516" t="str">
        <f>"47"</f>
        <v>47</v>
      </c>
      <c r="E516" t="str">
        <f>"1-11-47"</f>
        <v>1-11-47</v>
      </c>
      <c r="F516" t="s">
        <v>65</v>
      </c>
      <c r="G516" t="s">
        <v>66</v>
      </c>
      <c r="H516" t="s">
        <v>67</v>
      </c>
      <c r="S516">
        <v>1</v>
      </c>
      <c r="T516">
        <v>0</v>
      </c>
      <c r="U516">
        <v>0</v>
      </c>
      <c r="V516">
        <v>0</v>
      </c>
      <c r="W516">
        <v>1</v>
      </c>
      <c r="X516">
        <v>0</v>
      </c>
      <c r="Y516">
        <v>1</v>
      </c>
      <c r="Z516">
        <v>0</v>
      </c>
      <c r="AA516">
        <v>1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</v>
      </c>
      <c r="AJ516">
        <v>0</v>
      </c>
      <c r="AK516">
        <v>0</v>
      </c>
      <c r="AL516">
        <v>0</v>
      </c>
      <c r="AM516">
        <v>0</v>
      </c>
    </row>
    <row r="517" spans="1:39" x14ac:dyDescent="0.2">
      <c r="A517" t="str">
        <f>"513"</f>
        <v>513</v>
      </c>
      <c r="B517" t="str">
        <f t="shared" si="28"/>
        <v>1</v>
      </c>
      <c r="C517" t="str">
        <f t="shared" si="29"/>
        <v>11</v>
      </c>
      <c r="D517" t="str">
        <f>"35"</f>
        <v>35</v>
      </c>
      <c r="E517" t="str">
        <f>"1-11-35"</f>
        <v>1-11-35</v>
      </c>
      <c r="F517" t="s">
        <v>65</v>
      </c>
      <c r="G517" t="s">
        <v>66</v>
      </c>
      <c r="H517" t="s">
        <v>67</v>
      </c>
      <c r="S517">
        <v>1</v>
      </c>
      <c r="T517">
        <v>0</v>
      </c>
      <c r="U517">
        <v>0</v>
      </c>
      <c r="V517">
        <v>0</v>
      </c>
      <c r="W517">
        <v>0</v>
      </c>
      <c r="X517">
        <v>1</v>
      </c>
      <c r="Y517">
        <v>1</v>
      </c>
      <c r="Z517">
        <v>0</v>
      </c>
      <c r="AA517">
        <v>0</v>
      </c>
      <c r="AB517">
        <v>0</v>
      </c>
      <c r="AC517">
        <v>1</v>
      </c>
      <c r="AD517">
        <v>1</v>
      </c>
      <c r="AE517">
        <v>1</v>
      </c>
      <c r="AF517">
        <v>1</v>
      </c>
      <c r="AG517">
        <v>1</v>
      </c>
      <c r="AH517">
        <v>1</v>
      </c>
      <c r="AI517">
        <v>1</v>
      </c>
      <c r="AJ517">
        <v>1</v>
      </c>
      <c r="AK517">
        <v>1</v>
      </c>
      <c r="AL517">
        <v>1</v>
      </c>
      <c r="AM517">
        <v>1</v>
      </c>
    </row>
    <row r="518" spans="1:39" x14ac:dyDescent="0.2">
      <c r="A518" t="str">
        <f>"514"</f>
        <v>514</v>
      </c>
      <c r="B518" t="str">
        <f t="shared" si="28"/>
        <v>1</v>
      </c>
      <c r="C518" t="str">
        <f t="shared" si="29"/>
        <v>11</v>
      </c>
      <c r="D518" t="str">
        <f>"17"</f>
        <v>17</v>
      </c>
      <c r="E518" t="str">
        <f>"1-11-17"</f>
        <v>1-11-17</v>
      </c>
      <c r="F518" t="s">
        <v>65</v>
      </c>
      <c r="G518" t="s">
        <v>66</v>
      </c>
      <c r="H518" t="s">
        <v>67</v>
      </c>
      <c r="S518">
        <v>1</v>
      </c>
      <c r="T518">
        <v>0</v>
      </c>
      <c r="U518">
        <v>0</v>
      </c>
      <c r="V518">
        <v>0</v>
      </c>
      <c r="W518">
        <v>1</v>
      </c>
      <c r="X518">
        <v>0</v>
      </c>
      <c r="Y518">
        <v>0</v>
      </c>
      <c r="Z518">
        <v>1</v>
      </c>
      <c r="AA518">
        <v>0</v>
      </c>
      <c r="AB518">
        <v>0</v>
      </c>
      <c r="AC518">
        <v>1</v>
      </c>
      <c r="AD518">
        <v>1</v>
      </c>
      <c r="AE518">
        <v>1</v>
      </c>
      <c r="AF518">
        <v>1</v>
      </c>
      <c r="AG518">
        <v>1</v>
      </c>
      <c r="AH518">
        <v>1</v>
      </c>
      <c r="AI518">
        <v>1</v>
      </c>
      <c r="AJ518">
        <v>1</v>
      </c>
      <c r="AK518">
        <v>1</v>
      </c>
      <c r="AL518">
        <v>1</v>
      </c>
      <c r="AM518">
        <v>1</v>
      </c>
    </row>
    <row r="519" spans="1:39" x14ac:dyDescent="0.2">
      <c r="A519" t="str">
        <f>"515"</f>
        <v>515</v>
      </c>
      <c r="B519" t="str">
        <f t="shared" si="28"/>
        <v>1</v>
      </c>
      <c r="C519" t="str">
        <f t="shared" si="29"/>
        <v>11</v>
      </c>
      <c r="D519" t="str">
        <f>"5"</f>
        <v>5</v>
      </c>
      <c r="E519" t="str">
        <f>"1-11-5"</f>
        <v>1-11-5</v>
      </c>
      <c r="F519" t="s">
        <v>65</v>
      </c>
      <c r="G519" t="s">
        <v>66</v>
      </c>
      <c r="H519" t="s">
        <v>67</v>
      </c>
      <c r="S519">
        <v>0</v>
      </c>
      <c r="T519">
        <v>1</v>
      </c>
      <c r="U519">
        <v>0</v>
      </c>
      <c r="V519">
        <v>0</v>
      </c>
      <c r="W519">
        <v>0</v>
      </c>
      <c r="X519">
        <v>1</v>
      </c>
      <c r="Y519">
        <v>0</v>
      </c>
      <c r="Z519">
        <v>1</v>
      </c>
      <c r="AA519">
        <v>0</v>
      </c>
      <c r="AB519">
        <v>0</v>
      </c>
      <c r="AC519">
        <v>1</v>
      </c>
      <c r="AD519">
        <v>1</v>
      </c>
      <c r="AE519">
        <v>1</v>
      </c>
      <c r="AF519">
        <v>1</v>
      </c>
      <c r="AG519">
        <v>1</v>
      </c>
      <c r="AH519">
        <v>1</v>
      </c>
      <c r="AI519">
        <v>1</v>
      </c>
      <c r="AJ519">
        <v>1</v>
      </c>
      <c r="AK519">
        <v>1</v>
      </c>
      <c r="AL519">
        <v>1</v>
      </c>
      <c r="AM519">
        <v>1</v>
      </c>
    </row>
    <row r="520" spans="1:39" x14ac:dyDescent="0.2">
      <c r="A520" t="str">
        <f>"516"</f>
        <v>516</v>
      </c>
      <c r="B520" t="str">
        <f t="shared" si="28"/>
        <v>1</v>
      </c>
      <c r="C520" t="str">
        <f t="shared" si="29"/>
        <v>11</v>
      </c>
      <c r="D520" t="str">
        <f>"50"</f>
        <v>50</v>
      </c>
      <c r="E520" t="str">
        <f>"1-11-50"</f>
        <v>1-11-50</v>
      </c>
      <c r="F520" t="s">
        <v>65</v>
      </c>
      <c r="G520" t="s">
        <v>66</v>
      </c>
      <c r="H520" t="s">
        <v>67</v>
      </c>
      <c r="S520">
        <v>0</v>
      </c>
      <c r="T520">
        <v>1</v>
      </c>
      <c r="U520">
        <v>0</v>
      </c>
      <c r="V520">
        <v>0</v>
      </c>
      <c r="W520">
        <v>1</v>
      </c>
      <c r="X520">
        <v>0</v>
      </c>
      <c r="Y520">
        <v>0</v>
      </c>
      <c r="Z520">
        <v>1</v>
      </c>
      <c r="AA520">
        <v>0</v>
      </c>
      <c r="AB520">
        <v>1</v>
      </c>
      <c r="AC520">
        <v>0</v>
      </c>
      <c r="AD520">
        <v>1</v>
      </c>
      <c r="AE520">
        <v>1</v>
      </c>
      <c r="AF520">
        <v>1</v>
      </c>
      <c r="AG520">
        <v>1</v>
      </c>
      <c r="AH520">
        <v>1</v>
      </c>
      <c r="AI520">
        <v>1</v>
      </c>
      <c r="AJ520">
        <v>1</v>
      </c>
      <c r="AK520">
        <v>1</v>
      </c>
      <c r="AL520">
        <v>1</v>
      </c>
      <c r="AM520">
        <v>1</v>
      </c>
    </row>
    <row r="521" spans="1:39" x14ac:dyDescent="0.2">
      <c r="A521" t="str">
        <f>"517"</f>
        <v>517</v>
      </c>
      <c r="B521" t="str">
        <f t="shared" si="28"/>
        <v>1</v>
      </c>
      <c r="C521" t="str">
        <f t="shared" si="29"/>
        <v>11</v>
      </c>
      <c r="D521" t="str">
        <f>"49"</f>
        <v>49</v>
      </c>
      <c r="E521" t="str">
        <f>"1-11-49"</f>
        <v>1-11-49</v>
      </c>
      <c r="F521" t="s">
        <v>65</v>
      </c>
      <c r="G521" t="s">
        <v>66</v>
      </c>
      <c r="H521" t="s">
        <v>67</v>
      </c>
      <c r="S521">
        <v>0</v>
      </c>
      <c r="T521">
        <v>1</v>
      </c>
      <c r="U521">
        <v>0</v>
      </c>
      <c r="V521">
        <v>0</v>
      </c>
      <c r="W521">
        <v>0</v>
      </c>
      <c r="X521">
        <v>1</v>
      </c>
      <c r="Y521">
        <v>1</v>
      </c>
      <c r="Z521">
        <v>0</v>
      </c>
      <c r="AA521">
        <v>0</v>
      </c>
      <c r="AB521">
        <v>0</v>
      </c>
      <c r="AC521">
        <v>1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</row>
    <row r="522" spans="1:39" x14ac:dyDescent="0.2">
      <c r="A522" t="str">
        <f>"518"</f>
        <v>518</v>
      </c>
      <c r="B522" t="str">
        <f t="shared" si="28"/>
        <v>1</v>
      </c>
      <c r="C522" t="str">
        <f t="shared" si="29"/>
        <v>11</v>
      </c>
      <c r="D522" t="str">
        <f>"36"</f>
        <v>36</v>
      </c>
      <c r="E522" t="str">
        <f>"1-11-36"</f>
        <v>1-11-36</v>
      </c>
      <c r="F522" t="s">
        <v>65</v>
      </c>
      <c r="G522" t="s">
        <v>66</v>
      </c>
      <c r="H522" t="s">
        <v>67</v>
      </c>
      <c r="S522">
        <v>0</v>
      </c>
      <c r="T522">
        <v>1</v>
      </c>
      <c r="U522">
        <v>0</v>
      </c>
      <c r="V522">
        <v>0</v>
      </c>
      <c r="W522">
        <v>1</v>
      </c>
      <c r="X522">
        <v>0</v>
      </c>
      <c r="Y522">
        <v>1</v>
      </c>
      <c r="Z522">
        <v>0</v>
      </c>
      <c r="AA522">
        <v>0</v>
      </c>
      <c r="AB522">
        <v>1</v>
      </c>
      <c r="AC522">
        <v>0</v>
      </c>
      <c r="AD522">
        <v>1</v>
      </c>
      <c r="AE522">
        <v>1</v>
      </c>
      <c r="AF522">
        <v>1</v>
      </c>
      <c r="AG522">
        <v>1</v>
      </c>
      <c r="AH522">
        <v>1</v>
      </c>
      <c r="AI522">
        <v>1</v>
      </c>
      <c r="AJ522">
        <v>1</v>
      </c>
      <c r="AK522">
        <v>1</v>
      </c>
      <c r="AL522">
        <v>1</v>
      </c>
      <c r="AM522">
        <v>1</v>
      </c>
    </row>
    <row r="523" spans="1:39" x14ac:dyDescent="0.2">
      <c r="A523" t="str">
        <f>"519"</f>
        <v>519</v>
      </c>
      <c r="B523" t="str">
        <f t="shared" si="28"/>
        <v>1</v>
      </c>
      <c r="C523" t="str">
        <f t="shared" si="29"/>
        <v>11</v>
      </c>
      <c r="D523" t="str">
        <f>"18"</f>
        <v>18</v>
      </c>
      <c r="E523" t="str">
        <f>"1-11-18"</f>
        <v>1-11-18</v>
      </c>
      <c r="F523" t="s">
        <v>65</v>
      </c>
      <c r="G523" t="s">
        <v>66</v>
      </c>
      <c r="H523" t="s">
        <v>67</v>
      </c>
      <c r="S523">
        <v>0</v>
      </c>
      <c r="T523">
        <v>1</v>
      </c>
      <c r="U523">
        <v>0</v>
      </c>
      <c r="V523">
        <v>0</v>
      </c>
      <c r="W523">
        <v>1</v>
      </c>
      <c r="X523">
        <v>0</v>
      </c>
      <c r="Y523">
        <v>1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1</v>
      </c>
      <c r="AF523">
        <v>1</v>
      </c>
      <c r="AG523">
        <v>1</v>
      </c>
      <c r="AH523">
        <v>1</v>
      </c>
      <c r="AI523">
        <v>1</v>
      </c>
      <c r="AJ523">
        <v>1</v>
      </c>
      <c r="AK523">
        <v>1</v>
      </c>
      <c r="AL523">
        <v>1</v>
      </c>
      <c r="AM523">
        <v>1</v>
      </c>
    </row>
    <row r="524" spans="1:39" x14ac:dyDescent="0.2">
      <c r="A524" t="str">
        <f>"520"</f>
        <v>520</v>
      </c>
      <c r="B524" t="str">
        <f t="shared" si="28"/>
        <v>1</v>
      </c>
      <c r="C524" t="str">
        <f t="shared" si="29"/>
        <v>11</v>
      </c>
      <c r="D524" t="str">
        <f>"14"</f>
        <v>14</v>
      </c>
      <c r="E524" t="str">
        <f>"1-11-14"</f>
        <v>1-11-14</v>
      </c>
      <c r="F524" t="s">
        <v>65</v>
      </c>
      <c r="G524" t="s">
        <v>66</v>
      </c>
      <c r="H524" t="s">
        <v>67</v>
      </c>
      <c r="S524">
        <v>1</v>
      </c>
      <c r="T524">
        <v>0</v>
      </c>
      <c r="U524">
        <v>0</v>
      </c>
      <c r="V524">
        <v>0</v>
      </c>
      <c r="W524">
        <v>1</v>
      </c>
      <c r="X524">
        <v>0</v>
      </c>
      <c r="Y524">
        <v>1</v>
      </c>
      <c r="Z524">
        <v>0</v>
      </c>
      <c r="AA524">
        <v>0</v>
      </c>
      <c r="AB524">
        <v>0</v>
      </c>
      <c r="AC524">
        <v>1</v>
      </c>
      <c r="AD524">
        <v>1</v>
      </c>
      <c r="AE524">
        <v>1</v>
      </c>
      <c r="AF524">
        <v>1</v>
      </c>
      <c r="AG524">
        <v>1</v>
      </c>
      <c r="AH524">
        <v>1</v>
      </c>
      <c r="AI524">
        <v>1</v>
      </c>
      <c r="AJ524">
        <v>1</v>
      </c>
      <c r="AK524">
        <v>1</v>
      </c>
      <c r="AL524">
        <v>1</v>
      </c>
      <c r="AM524">
        <v>1</v>
      </c>
    </row>
    <row r="525" spans="1:39" x14ac:dyDescent="0.2">
      <c r="A525" t="str">
        <f>"521"</f>
        <v>521</v>
      </c>
      <c r="B525" t="str">
        <f t="shared" si="28"/>
        <v>1</v>
      </c>
      <c r="C525" t="str">
        <f t="shared" si="29"/>
        <v>11</v>
      </c>
      <c r="D525" t="str">
        <f>"37"</f>
        <v>37</v>
      </c>
      <c r="E525" t="str">
        <f>"1-11-37"</f>
        <v>1-11-37</v>
      </c>
      <c r="F525" t="s">
        <v>65</v>
      </c>
      <c r="G525" t="s">
        <v>66</v>
      </c>
      <c r="H525" t="s">
        <v>67</v>
      </c>
      <c r="S525">
        <v>0</v>
      </c>
      <c r="T525">
        <v>1</v>
      </c>
      <c r="U525">
        <v>0</v>
      </c>
      <c r="V525">
        <v>0</v>
      </c>
      <c r="W525">
        <v>1</v>
      </c>
      <c r="X525">
        <v>0</v>
      </c>
      <c r="Y525">
        <v>1</v>
      </c>
      <c r="Z525">
        <v>0</v>
      </c>
      <c r="AA525">
        <v>0</v>
      </c>
      <c r="AB525">
        <v>1</v>
      </c>
      <c r="AC525">
        <v>0</v>
      </c>
      <c r="AD525">
        <v>1</v>
      </c>
      <c r="AE525">
        <v>1</v>
      </c>
      <c r="AF525">
        <v>1</v>
      </c>
      <c r="AG525">
        <v>1</v>
      </c>
      <c r="AH525">
        <v>1</v>
      </c>
      <c r="AI525">
        <v>1</v>
      </c>
      <c r="AJ525">
        <v>1</v>
      </c>
      <c r="AK525">
        <v>1</v>
      </c>
      <c r="AL525">
        <v>1</v>
      </c>
      <c r="AM525">
        <v>1</v>
      </c>
    </row>
    <row r="526" spans="1:39" x14ac:dyDescent="0.2">
      <c r="A526" t="str">
        <f>"522"</f>
        <v>522</v>
      </c>
      <c r="B526" t="str">
        <f t="shared" si="28"/>
        <v>1</v>
      </c>
      <c r="C526" t="str">
        <f t="shared" si="29"/>
        <v>11</v>
      </c>
      <c r="D526" t="str">
        <f>"19"</f>
        <v>19</v>
      </c>
      <c r="E526" t="str">
        <f>"1-11-19"</f>
        <v>1-11-19</v>
      </c>
      <c r="F526" t="s">
        <v>65</v>
      </c>
      <c r="G526" t="s">
        <v>66</v>
      </c>
      <c r="H526" t="s">
        <v>67</v>
      </c>
      <c r="S526">
        <v>0</v>
      </c>
      <c r="T526">
        <v>1</v>
      </c>
      <c r="U526">
        <v>0</v>
      </c>
      <c r="V526">
        <v>0</v>
      </c>
      <c r="W526">
        <v>0</v>
      </c>
      <c r="X526">
        <v>1</v>
      </c>
      <c r="Y526">
        <v>1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1</v>
      </c>
      <c r="AH526">
        <v>1</v>
      </c>
      <c r="AI526">
        <v>1</v>
      </c>
      <c r="AJ526">
        <v>1</v>
      </c>
      <c r="AK526">
        <v>1</v>
      </c>
      <c r="AL526">
        <v>1</v>
      </c>
      <c r="AM526">
        <v>1</v>
      </c>
    </row>
    <row r="527" spans="1:39" x14ac:dyDescent="0.2">
      <c r="A527" t="str">
        <f>"523"</f>
        <v>523</v>
      </c>
      <c r="B527" t="str">
        <f t="shared" si="28"/>
        <v>1</v>
      </c>
      <c r="C527" t="str">
        <f t="shared" si="29"/>
        <v>11</v>
      </c>
      <c r="D527" t="str">
        <f>"1"</f>
        <v>1</v>
      </c>
      <c r="E527" t="str">
        <f>"1-11-1"</f>
        <v>1-11-1</v>
      </c>
      <c r="F527" t="s">
        <v>65</v>
      </c>
      <c r="G527" t="s">
        <v>66</v>
      </c>
      <c r="H527" t="s">
        <v>67</v>
      </c>
      <c r="S527">
        <v>1</v>
      </c>
      <c r="T527">
        <v>0</v>
      </c>
      <c r="U527">
        <v>0</v>
      </c>
      <c r="V527">
        <v>0</v>
      </c>
      <c r="W527">
        <v>1</v>
      </c>
      <c r="X527">
        <v>0</v>
      </c>
      <c r="Y527">
        <v>1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1</v>
      </c>
      <c r="AF527">
        <v>1</v>
      </c>
      <c r="AG527">
        <v>1</v>
      </c>
      <c r="AH527">
        <v>1</v>
      </c>
      <c r="AI527">
        <v>1</v>
      </c>
      <c r="AJ527">
        <v>1</v>
      </c>
      <c r="AK527">
        <v>1</v>
      </c>
      <c r="AL527">
        <v>1</v>
      </c>
      <c r="AM527">
        <v>1</v>
      </c>
    </row>
    <row r="528" spans="1:39" x14ac:dyDescent="0.2">
      <c r="A528" t="str">
        <f>"524"</f>
        <v>524</v>
      </c>
      <c r="B528" t="str">
        <f t="shared" si="28"/>
        <v>1</v>
      </c>
      <c r="C528" t="str">
        <f t="shared" si="29"/>
        <v>11</v>
      </c>
      <c r="D528" t="str">
        <f>"38"</f>
        <v>38</v>
      </c>
      <c r="E528" t="str">
        <f>"1-11-38"</f>
        <v>1-11-38</v>
      </c>
      <c r="F528" t="s">
        <v>65</v>
      </c>
      <c r="G528" t="s">
        <v>66</v>
      </c>
      <c r="H528" t="s">
        <v>67</v>
      </c>
      <c r="S528">
        <v>0</v>
      </c>
      <c r="T528">
        <v>1</v>
      </c>
      <c r="U528">
        <v>0</v>
      </c>
      <c r="V528">
        <v>0</v>
      </c>
      <c r="W528">
        <v>0</v>
      </c>
      <c r="X528">
        <v>1</v>
      </c>
      <c r="Y528">
        <v>1</v>
      </c>
      <c r="Z528">
        <v>0</v>
      </c>
      <c r="AA528">
        <v>0</v>
      </c>
      <c r="AB528">
        <v>1</v>
      </c>
      <c r="AC528">
        <v>0</v>
      </c>
      <c r="AD528">
        <v>1</v>
      </c>
      <c r="AE528">
        <v>1</v>
      </c>
      <c r="AF528">
        <v>1</v>
      </c>
      <c r="AG528">
        <v>1</v>
      </c>
      <c r="AH528">
        <v>1</v>
      </c>
      <c r="AI528">
        <v>1</v>
      </c>
      <c r="AJ528">
        <v>1</v>
      </c>
      <c r="AK528">
        <v>1</v>
      </c>
      <c r="AL528">
        <v>1</v>
      </c>
      <c r="AM528">
        <v>1</v>
      </c>
    </row>
    <row r="529" spans="1:39" x14ac:dyDescent="0.2">
      <c r="A529" t="str">
        <f>"525"</f>
        <v>525</v>
      </c>
      <c r="B529" t="str">
        <f t="shared" si="28"/>
        <v>1</v>
      </c>
      <c r="C529" t="str">
        <f t="shared" si="29"/>
        <v>11</v>
      </c>
      <c r="D529" t="str">
        <f>"20"</f>
        <v>20</v>
      </c>
      <c r="E529" t="str">
        <f>"1-11-20"</f>
        <v>1-11-20</v>
      </c>
      <c r="F529" t="s">
        <v>65</v>
      </c>
      <c r="G529" t="s">
        <v>66</v>
      </c>
      <c r="H529" t="s">
        <v>67</v>
      </c>
      <c r="S529">
        <v>1</v>
      </c>
      <c r="T529">
        <v>0</v>
      </c>
      <c r="U529">
        <v>0</v>
      </c>
      <c r="V529">
        <v>0</v>
      </c>
      <c r="W529">
        <v>1</v>
      </c>
      <c r="X529">
        <v>0</v>
      </c>
      <c r="Y529">
        <v>1</v>
      </c>
      <c r="Z529">
        <v>0</v>
      </c>
      <c r="AA529">
        <v>0</v>
      </c>
      <c r="AB529">
        <v>1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</row>
    <row r="530" spans="1:39" x14ac:dyDescent="0.2">
      <c r="A530" t="str">
        <f>"526"</f>
        <v>526</v>
      </c>
      <c r="B530" t="str">
        <f t="shared" si="28"/>
        <v>1</v>
      </c>
      <c r="C530" t="str">
        <f t="shared" si="29"/>
        <v>11</v>
      </c>
      <c r="D530" t="str">
        <f>"7"</f>
        <v>7</v>
      </c>
      <c r="E530" t="str">
        <f>"1-11-7"</f>
        <v>1-11-7</v>
      </c>
      <c r="F530" t="s">
        <v>65</v>
      </c>
      <c r="G530" t="s">
        <v>66</v>
      </c>
      <c r="H530" t="s">
        <v>67</v>
      </c>
      <c r="S530">
        <v>1</v>
      </c>
      <c r="T530">
        <v>0</v>
      </c>
      <c r="U530">
        <v>0</v>
      </c>
      <c r="V530">
        <v>0</v>
      </c>
      <c r="W530">
        <v>1</v>
      </c>
      <c r="X530">
        <v>0</v>
      </c>
      <c r="Y530">
        <v>0</v>
      </c>
      <c r="Z530">
        <v>1</v>
      </c>
      <c r="AA530">
        <v>0</v>
      </c>
      <c r="AB530">
        <v>0</v>
      </c>
      <c r="AC530">
        <v>1</v>
      </c>
      <c r="AD530">
        <v>1</v>
      </c>
      <c r="AE530">
        <v>1</v>
      </c>
      <c r="AF530">
        <v>1</v>
      </c>
      <c r="AG530">
        <v>1</v>
      </c>
      <c r="AH530">
        <v>1</v>
      </c>
      <c r="AI530">
        <v>1</v>
      </c>
      <c r="AJ530">
        <v>1</v>
      </c>
      <c r="AK530">
        <v>1</v>
      </c>
      <c r="AL530">
        <v>0</v>
      </c>
      <c r="AM530">
        <v>1</v>
      </c>
    </row>
    <row r="531" spans="1:39" x14ac:dyDescent="0.2">
      <c r="A531" t="str">
        <f>"527"</f>
        <v>527</v>
      </c>
      <c r="B531" t="str">
        <f t="shared" si="28"/>
        <v>1</v>
      </c>
      <c r="C531" t="str">
        <f t="shared" si="29"/>
        <v>11</v>
      </c>
      <c r="D531" t="str">
        <f>"40"</f>
        <v>40</v>
      </c>
      <c r="E531" t="str">
        <f>"1-11-40"</f>
        <v>1-11-40</v>
      </c>
      <c r="F531" t="s">
        <v>65</v>
      </c>
      <c r="G531" t="s">
        <v>66</v>
      </c>
      <c r="H531" t="s">
        <v>67</v>
      </c>
      <c r="S531">
        <v>0</v>
      </c>
      <c r="T531">
        <v>1</v>
      </c>
      <c r="U531">
        <v>0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1</v>
      </c>
      <c r="AI531">
        <v>1</v>
      </c>
      <c r="AJ531">
        <v>1</v>
      </c>
      <c r="AK531">
        <v>1</v>
      </c>
      <c r="AL531">
        <v>1</v>
      </c>
      <c r="AM531">
        <v>0</v>
      </c>
    </row>
    <row r="532" spans="1:39" x14ac:dyDescent="0.2">
      <c r="A532" t="str">
        <f>"528"</f>
        <v>528</v>
      </c>
      <c r="B532" t="str">
        <f t="shared" si="28"/>
        <v>1</v>
      </c>
      <c r="C532" t="str">
        <f t="shared" si="29"/>
        <v>11</v>
      </c>
      <c r="D532" t="str">
        <f>"21"</f>
        <v>21</v>
      </c>
      <c r="E532" t="str">
        <f>"1-11-21"</f>
        <v>1-11-21</v>
      </c>
      <c r="F532" t="s">
        <v>65</v>
      </c>
      <c r="G532" t="s">
        <v>66</v>
      </c>
      <c r="H532" t="s">
        <v>67</v>
      </c>
      <c r="S532">
        <v>0</v>
      </c>
      <c r="T532">
        <v>1</v>
      </c>
      <c r="U532">
        <v>0</v>
      </c>
      <c r="V532">
        <v>0</v>
      </c>
      <c r="W532">
        <v>0</v>
      </c>
      <c r="X532">
        <v>1</v>
      </c>
      <c r="Y532">
        <v>1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1</v>
      </c>
      <c r="AH532">
        <v>1</v>
      </c>
      <c r="AI532">
        <v>1</v>
      </c>
      <c r="AJ532">
        <v>1</v>
      </c>
      <c r="AK532">
        <v>1</v>
      </c>
      <c r="AL532">
        <v>1</v>
      </c>
      <c r="AM532">
        <v>1</v>
      </c>
    </row>
    <row r="533" spans="1:39" x14ac:dyDescent="0.2">
      <c r="A533" t="str">
        <f>"529"</f>
        <v>529</v>
      </c>
      <c r="B533" t="str">
        <f t="shared" si="28"/>
        <v>1</v>
      </c>
      <c r="C533" t="str">
        <f t="shared" si="29"/>
        <v>11</v>
      </c>
      <c r="D533" t="str">
        <f>"12"</f>
        <v>12</v>
      </c>
      <c r="E533" t="str">
        <f>"1-11-12"</f>
        <v>1-11-12</v>
      </c>
      <c r="F533" t="s">
        <v>65</v>
      </c>
      <c r="G533" t="s">
        <v>66</v>
      </c>
      <c r="H533" t="s">
        <v>67</v>
      </c>
      <c r="S533">
        <v>1</v>
      </c>
      <c r="T533">
        <v>0</v>
      </c>
      <c r="U533">
        <v>0</v>
      </c>
      <c r="V533">
        <v>0</v>
      </c>
      <c r="W533">
        <v>1</v>
      </c>
      <c r="X533">
        <v>0</v>
      </c>
      <c r="Y533">
        <v>1</v>
      </c>
      <c r="Z533">
        <v>0</v>
      </c>
      <c r="AA533">
        <v>0</v>
      </c>
      <c r="AB533">
        <v>0</v>
      </c>
      <c r="AC533">
        <v>1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</row>
    <row r="534" spans="1:39" x14ac:dyDescent="0.2">
      <c r="A534" t="str">
        <f>"530"</f>
        <v>530</v>
      </c>
      <c r="B534" t="str">
        <f t="shared" si="28"/>
        <v>1</v>
      </c>
      <c r="C534" t="str">
        <f t="shared" si="29"/>
        <v>11</v>
      </c>
      <c r="D534" t="str">
        <f>"39"</f>
        <v>39</v>
      </c>
      <c r="E534" t="str">
        <f>"1-11-39"</f>
        <v>1-11-39</v>
      </c>
      <c r="F534" t="s">
        <v>65</v>
      </c>
      <c r="G534" t="s">
        <v>66</v>
      </c>
      <c r="H534" t="s">
        <v>67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1</v>
      </c>
      <c r="Y534">
        <v>1</v>
      </c>
      <c r="Z534">
        <v>0</v>
      </c>
      <c r="AA534">
        <v>0</v>
      </c>
      <c r="AB534">
        <v>1</v>
      </c>
      <c r="AC534">
        <v>0</v>
      </c>
      <c r="AD534">
        <v>1</v>
      </c>
      <c r="AE534">
        <v>1</v>
      </c>
      <c r="AF534">
        <v>1</v>
      </c>
      <c r="AG534">
        <v>1</v>
      </c>
      <c r="AH534">
        <v>1</v>
      </c>
      <c r="AI534">
        <v>1</v>
      </c>
      <c r="AJ534">
        <v>1</v>
      </c>
      <c r="AK534">
        <v>1</v>
      </c>
      <c r="AL534">
        <v>1</v>
      </c>
      <c r="AM534">
        <v>1</v>
      </c>
    </row>
    <row r="535" spans="1:39" x14ac:dyDescent="0.2">
      <c r="A535" t="str">
        <f>"531"</f>
        <v>531</v>
      </c>
      <c r="B535" t="str">
        <f t="shared" si="28"/>
        <v>1</v>
      </c>
      <c r="C535" t="str">
        <f t="shared" si="29"/>
        <v>11</v>
      </c>
      <c r="D535" t="str">
        <f>"22"</f>
        <v>22</v>
      </c>
      <c r="E535" t="str">
        <f>"1-11-22"</f>
        <v>1-11-22</v>
      </c>
      <c r="F535" t="s">
        <v>65</v>
      </c>
      <c r="G535" t="s">
        <v>66</v>
      </c>
      <c r="H535" t="s">
        <v>67</v>
      </c>
      <c r="S535">
        <v>1</v>
      </c>
      <c r="T535">
        <v>0</v>
      </c>
      <c r="U535">
        <v>0</v>
      </c>
      <c r="V535">
        <v>0</v>
      </c>
      <c r="W535">
        <v>1</v>
      </c>
      <c r="X535">
        <v>0</v>
      </c>
      <c r="Y535">
        <v>0</v>
      </c>
      <c r="Z535">
        <v>1</v>
      </c>
      <c r="AA535">
        <v>1</v>
      </c>
      <c r="AB535">
        <v>0</v>
      </c>
      <c r="AC535">
        <v>0</v>
      </c>
      <c r="AD535">
        <v>1</v>
      </c>
      <c r="AE535">
        <v>1</v>
      </c>
      <c r="AF535">
        <v>1</v>
      </c>
      <c r="AG535">
        <v>1</v>
      </c>
      <c r="AH535">
        <v>1</v>
      </c>
      <c r="AI535">
        <v>1</v>
      </c>
      <c r="AJ535">
        <v>1</v>
      </c>
      <c r="AK535">
        <v>1</v>
      </c>
      <c r="AL535">
        <v>1</v>
      </c>
      <c r="AM535">
        <v>1</v>
      </c>
    </row>
    <row r="536" spans="1:39" x14ac:dyDescent="0.2">
      <c r="A536" t="str">
        <f>"532"</f>
        <v>532</v>
      </c>
      <c r="B536" t="str">
        <f t="shared" si="28"/>
        <v>1</v>
      </c>
      <c r="C536" t="str">
        <f t="shared" si="29"/>
        <v>11</v>
      </c>
      <c r="D536" t="str">
        <f>"9"</f>
        <v>9</v>
      </c>
      <c r="E536" t="str">
        <f>"1-11-9"</f>
        <v>1-11-9</v>
      </c>
      <c r="F536" t="s">
        <v>65</v>
      </c>
      <c r="G536" t="s">
        <v>66</v>
      </c>
      <c r="H536" t="s">
        <v>67</v>
      </c>
      <c r="S536">
        <v>0</v>
      </c>
      <c r="T536">
        <v>1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1</v>
      </c>
      <c r="AA536">
        <v>0</v>
      </c>
      <c r="AB536">
        <v>0</v>
      </c>
      <c r="AC536">
        <v>1</v>
      </c>
      <c r="AD536">
        <v>1</v>
      </c>
      <c r="AE536">
        <v>1</v>
      </c>
      <c r="AF536">
        <v>1</v>
      </c>
      <c r="AG536">
        <v>1</v>
      </c>
      <c r="AH536">
        <v>1</v>
      </c>
      <c r="AI536">
        <v>1</v>
      </c>
      <c r="AJ536">
        <v>1</v>
      </c>
      <c r="AK536">
        <v>0</v>
      </c>
      <c r="AL536">
        <v>1</v>
      </c>
      <c r="AM536">
        <v>1</v>
      </c>
    </row>
    <row r="537" spans="1:39" x14ac:dyDescent="0.2">
      <c r="A537" t="str">
        <f>"533"</f>
        <v>533</v>
      </c>
      <c r="B537" t="str">
        <f t="shared" si="28"/>
        <v>1</v>
      </c>
      <c r="C537" t="str">
        <f t="shared" ref="C537:C554" si="30">"11"</f>
        <v>11</v>
      </c>
      <c r="D537" t="str">
        <f>"43"</f>
        <v>43</v>
      </c>
      <c r="E537" t="str">
        <f>"1-11-43"</f>
        <v>1-11-43</v>
      </c>
      <c r="F537" t="s">
        <v>65</v>
      </c>
      <c r="G537" t="s">
        <v>66</v>
      </c>
      <c r="H537" t="s">
        <v>67</v>
      </c>
      <c r="S537">
        <v>1</v>
      </c>
      <c r="T537">
        <v>0</v>
      </c>
      <c r="U537">
        <v>0</v>
      </c>
      <c r="V537">
        <v>0</v>
      </c>
      <c r="W537">
        <v>0</v>
      </c>
      <c r="X537">
        <v>1</v>
      </c>
      <c r="Y537">
        <v>0</v>
      </c>
      <c r="Z537">
        <v>1</v>
      </c>
      <c r="AA537">
        <v>1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</row>
    <row r="538" spans="1:39" x14ac:dyDescent="0.2">
      <c r="A538" t="str">
        <f>"534"</f>
        <v>534</v>
      </c>
      <c r="B538" t="str">
        <f t="shared" si="28"/>
        <v>1</v>
      </c>
      <c r="C538" t="str">
        <f t="shared" si="30"/>
        <v>11</v>
      </c>
      <c r="D538" t="str">
        <f>"23"</f>
        <v>23</v>
      </c>
      <c r="E538" t="str">
        <f>"1-11-23"</f>
        <v>1-11-23</v>
      </c>
      <c r="F538" t="s">
        <v>65</v>
      </c>
      <c r="G538" t="s">
        <v>66</v>
      </c>
      <c r="H538" t="s">
        <v>67</v>
      </c>
      <c r="S538">
        <v>1</v>
      </c>
      <c r="T538">
        <v>0</v>
      </c>
      <c r="U538">
        <v>0</v>
      </c>
      <c r="V538">
        <v>0</v>
      </c>
      <c r="W538">
        <v>1</v>
      </c>
      <c r="X538">
        <v>0</v>
      </c>
      <c r="Y538">
        <v>1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1</v>
      </c>
      <c r="AF538">
        <v>1</v>
      </c>
      <c r="AG538">
        <v>1</v>
      </c>
      <c r="AH538">
        <v>1</v>
      </c>
      <c r="AI538">
        <v>1</v>
      </c>
      <c r="AJ538">
        <v>1</v>
      </c>
      <c r="AK538">
        <v>1</v>
      </c>
      <c r="AL538">
        <v>1</v>
      </c>
      <c r="AM538">
        <v>1</v>
      </c>
    </row>
    <row r="539" spans="1:39" x14ac:dyDescent="0.2">
      <c r="A539" t="str">
        <f>"535"</f>
        <v>535</v>
      </c>
      <c r="B539" t="str">
        <f t="shared" si="28"/>
        <v>1</v>
      </c>
      <c r="C539" t="str">
        <f t="shared" si="30"/>
        <v>11</v>
      </c>
      <c r="D539" t="str">
        <f>"13"</f>
        <v>13</v>
      </c>
      <c r="E539" t="str">
        <f>"1-11-13"</f>
        <v>1-11-13</v>
      </c>
      <c r="F539" t="s">
        <v>65</v>
      </c>
      <c r="G539" t="s">
        <v>66</v>
      </c>
      <c r="H539" t="s">
        <v>67</v>
      </c>
      <c r="S539">
        <v>1</v>
      </c>
      <c r="T539">
        <v>0</v>
      </c>
      <c r="U539">
        <v>0</v>
      </c>
      <c r="V539">
        <v>0</v>
      </c>
      <c r="W539">
        <v>1</v>
      </c>
      <c r="X539">
        <v>0</v>
      </c>
      <c r="Y539">
        <v>1</v>
      </c>
      <c r="Z539">
        <v>0</v>
      </c>
      <c r="AA539">
        <v>0</v>
      </c>
      <c r="AB539">
        <v>1</v>
      </c>
      <c r="AC539">
        <v>0</v>
      </c>
      <c r="AD539">
        <v>1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1</v>
      </c>
      <c r="AK539">
        <v>1</v>
      </c>
      <c r="AL539">
        <v>1</v>
      </c>
      <c r="AM539">
        <v>1</v>
      </c>
    </row>
    <row r="540" spans="1:39" x14ac:dyDescent="0.2">
      <c r="A540" t="str">
        <f>"536"</f>
        <v>536</v>
      </c>
      <c r="B540" t="str">
        <f t="shared" si="28"/>
        <v>1</v>
      </c>
      <c r="C540" t="str">
        <f t="shared" si="30"/>
        <v>11</v>
      </c>
      <c r="D540" t="str">
        <f>"41"</f>
        <v>41</v>
      </c>
      <c r="E540" t="str">
        <f>"1-11-41"</f>
        <v>1-11-41</v>
      </c>
      <c r="F540" t="s">
        <v>65</v>
      </c>
      <c r="G540" t="s">
        <v>66</v>
      </c>
      <c r="H540" t="s">
        <v>67</v>
      </c>
      <c r="S540">
        <v>0</v>
      </c>
      <c r="T540">
        <v>0</v>
      </c>
      <c r="U540">
        <v>0</v>
      </c>
      <c r="V540">
        <v>0</v>
      </c>
      <c r="W540">
        <v>1</v>
      </c>
      <c r="X540">
        <v>0</v>
      </c>
      <c r="Y540">
        <v>0</v>
      </c>
      <c r="Z540">
        <v>1</v>
      </c>
      <c r="AA540">
        <v>1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1</v>
      </c>
      <c r="AI540">
        <v>1</v>
      </c>
      <c r="AJ540">
        <v>1</v>
      </c>
      <c r="AK540">
        <v>1</v>
      </c>
      <c r="AL540">
        <v>1</v>
      </c>
      <c r="AM540">
        <v>1</v>
      </c>
    </row>
    <row r="541" spans="1:39" x14ac:dyDescent="0.2">
      <c r="A541" t="str">
        <f>"537"</f>
        <v>537</v>
      </c>
      <c r="B541" t="str">
        <f t="shared" si="28"/>
        <v>1</v>
      </c>
      <c r="C541" t="str">
        <f t="shared" si="30"/>
        <v>11</v>
      </c>
      <c r="D541" t="str">
        <f>"24"</f>
        <v>24</v>
      </c>
      <c r="E541" t="str">
        <f>"1-11-24"</f>
        <v>1-11-24</v>
      </c>
      <c r="F541" t="s">
        <v>65</v>
      </c>
      <c r="G541" t="s">
        <v>66</v>
      </c>
      <c r="H541" t="s">
        <v>67</v>
      </c>
      <c r="S541">
        <v>1</v>
      </c>
      <c r="T541">
        <v>0</v>
      </c>
      <c r="U541">
        <v>0</v>
      </c>
      <c r="V541">
        <v>0</v>
      </c>
      <c r="W541">
        <v>1</v>
      </c>
      <c r="X541">
        <v>0</v>
      </c>
      <c r="Y541">
        <v>1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</row>
    <row r="542" spans="1:39" x14ac:dyDescent="0.2">
      <c r="A542" t="str">
        <f>"538"</f>
        <v>538</v>
      </c>
      <c r="B542" t="str">
        <f t="shared" si="28"/>
        <v>1</v>
      </c>
      <c r="C542" t="str">
        <f t="shared" si="30"/>
        <v>11</v>
      </c>
      <c r="D542" t="str">
        <f>"6"</f>
        <v>6</v>
      </c>
      <c r="E542" t="str">
        <f>"1-11-6"</f>
        <v>1-11-6</v>
      </c>
      <c r="F542" t="s">
        <v>65</v>
      </c>
      <c r="G542" t="s">
        <v>66</v>
      </c>
      <c r="H542" t="s">
        <v>67</v>
      </c>
      <c r="S542">
        <v>1</v>
      </c>
      <c r="T542">
        <v>0</v>
      </c>
      <c r="U542">
        <v>0</v>
      </c>
      <c r="V542">
        <v>0</v>
      </c>
      <c r="W542">
        <v>1</v>
      </c>
      <c r="X542">
        <v>0</v>
      </c>
      <c r="Y542">
        <v>1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1</v>
      </c>
      <c r="AF542">
        <v>1</v>
      </c>
      <c r="AG542">
        <v>1</v>
      </c>
      <c r="AH542">
        <v>1</v>
      </c>
      <c r="AI542">
        <v>1</v>
      </c>
      <c r="AJ542">
        <v>1</v>
      </c>
      <c r="AK542">
        <v>1</v>
      </c>
      <c r="AL542">
        <v>1</v>
      </c>
      <c r="AM542">
        <v>1</v>
      </c>
    </row>
    <row r="543" spans="1:39" x14ac:dyDescent="0.2">
      <c r="A543" t="str">
        <f>"539"</f>
        <v>539</v>
      </c>
      <c r="B543" t="str">
        <f t="shared" si="28"/>
        <v>1</v>
      </c>
      <c r="C543" t="str">
        <f t="shared" si="30"/>
        <v>11</v>
      </c>
      <c r="D543" t="str">
        <f>"42"</f>
        <v>42</v>
      </c>
      <c r="E543" t="str">
        <f>"1-11-42"</f>
        <v>1-11-42</v>
      </c>
      <c r="F543" t="s">
        <v>65</v>
      </c>
      <c r="G543" t="s">
        <v>66</v>
      </c>
      <c r="H543" t="s">
        <v>67</v>
      </c>
      <c r="S543">
        <v>1</v>
      </c>
      <c r="T543">
        <v>0</v>
      </c>
      <c r="U543">
        <v>0</v>
      </c>
      <c r="V543">
        <v>0</v>
      </c>
      <c r="W543">
        <v>1</v>
      </c>
      <c r="X543">
        <v>0</v>
      </c>
      <c r="Y543">
        <v>1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1</v>
      </c>
      <c r="AF543">
        <v>1</v>
      </c>
      <c r="AG543">
        <v>1</v>
      </c>
      <c r="AH543">
        <v>1</v>
      </c>
      <c r="AI543">
        <v>1</v>
      </c>
      <c r="AJ543">
        <v>1</v>
      </c>
      <c r="AK543">
        <v>1</v>
      </c>
      <c r="AL543">
        <v>1</v>
      </c>
      <c r="AM543">
        <v>1</v>
      </c>
    </row>
    <row r="544" spans="1:39" x14ac:dyDescent="0.2">
      <c r="A544" t="str">
        <f>"540"</f>
        <v>540</v>
      </c>
      <c r="B544" t="str">
        <f t="shared" si="28"/>
        <v>1</v>
      </c>
      <c r="C544" t="str">
        <f t="shared" si="30"/>
        <v>11</v>
      </c>
      <c r="D544" t="str">
        <f>"27"</f>
        <v>27</v>
      </c>
      <c r="E544" t="str">
        <f>"1-11-27"</f>
        <v>1-11-27</v>
      </c>
      <c r="F544" t="s">
        <v>65</v>
      </c>
      <c r="G544" t="s">
        <v>66</v>
      </c>
      <c r="H544" t="s">
        <v>67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1</v>
      </c>
      <c r="Y544">
        <v>1</v>
      </c>
      <c r="Z544">
        <v>0</v>
      </c>
      <c r="AA544">
        <v>0</v>
      </c>
      <c r="AB544">
        <v>0</v>
      </c>
      <c r="AC544">
        <v>1</v>
      </c>
      <c r="AD544">
        <v>1</v>
      </c>
      <c r="AE544">
        <v>1</v>
      </c>
      <c r="AF544">
        <v>1</v>
      </c>
      <c r="AG544">
        <v>1</v>
      </c>
      <c r="AH544">
        <v>1</v>
      </c>
      <c r="AI544">
        <v>1</v>
      </c>
      <c r="AJ544">
        <v>1</v>
      </c>
      <c r="AK544">
        <v>1</v>
      </c>
      <c r="AL544">
        <v>1</v>
      </c>
      <c r="AM544">
        <v>1</v>
      </c>
    </row>
    <row r="545" spans="1:39" x14ac:dyDescent="0.2">
      <c r="A545" t="str">
        <f>"541"</f>
        <v>541</v>
      </c>
      <c r="B545" t="str">
        <f t="shared" si="28"/>
        <v>1</v>
      </c>
      <c r="C545" t="str">
        <f t="shared" si="30"/>
        <v>11</v>
      </c>
      <c r="D545" t="str">
        <f>"8"</f>
        <v>8</v>
      </c>
      <c r="E545" t="str">
        <f>"1-11-8"</f>
        <v>1-11-8</v>
      </c>
      <c r="F545" t="s">
        <v>65</v>
      </c>
      <c r="G545" t="s">
        <v>66</v>
      </c>
      <c r="H545" t="s">
        <v>67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1</v>
      </c>
      <c r="Y545">
        <v>0</v>
      </c>
      <c r="Z545">
        <v>1</v>
      </c>
      <c r="AA545">
        <v>0</v>
      </c>
      <c r="AB545">
        <v>0</v>
      </c>
      <c r="AC545">
        <v>1</v>
      </c>
      <c r="AD545">
        <v>1</v>
      </c>
      <c r="AE545">
        <v>1</v>
      </c>
      <c r="AF545">
        <v>1</v>
      </c>
      <c r="AG545">
        <v>1</v>
      </c>
      <c r="AH545">
        <v>1</v>
      </c>
      <c r="AI545">
        <v>1</v>
      </c>
      <c r="AJ545">
        <v>1</v>
      </c>
      <c r="AK545">
        <v>1</v>
      </c>
      <c r="AL545">
        <v>1</v>
      </c>
      <c r="AM545">
        <v>1</v>
      </c>
    </row>
    <row r="546" spans="1:39" x14ac:dyDescent="0.2">
      <c r="A546" t="str">
        <f>"542"</f>
        <v>542</v>
      </c>
      <c r="B546" t="str">
        <f t="shared" si="28"/>
        <v>1</v>
      </c>
      <c r="C546" t="str">
        <f t="shared" si="30"/>
        <v>11</v>
      </c>
      <c r="D546" t="str">
        <f>"44"</f>
        <v>44</v>
      </c>
      <c r="E546" t="str">
        <f>"1-11-44"</f>
        <v>1-11-44</v>
      </c>
      <c r="F546" t="s">
        <v>65</v>
      </c>
      <c r="G546" t="s">
        <v>66</v>
      </c>
      <c r="H546" t="s">
        <v>67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1</v>
      </c>
      <c r="Y546">
        <v>0</v>
      </c>
      <c r="Z546">
        <v>1</v>
      </c>
      <c r="AA546">
        <v>1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</row>
    <row r="547" spans="1:39" x14ac:dyDescent="0.2">
      <c r="A547" t="str">
        <f>"543"</f>
        <v>543</v>
      </c>
      <c r="B547" t="str">
        <f t="shared" si="28"/>
        <v>1</v>
      </c>
      <c r="C547" t="str">
        <f t="shared" si="30"/>
        <v>11</v>
      </c>
      <c r="D547" t="str">
        <f>"28"</f>
        <v>28</v>
      </c>
      <c r="E547" t="str">
        <f>"1-11-28"</f>
        <v>1-11-28</v>
      </c>
      <c r="F547" t="s">
        <v>65</v>
      </c>
      <c r="G547" t="s">
        <v>66</v>
      </c>
      <c r="H547" t="s">
        <v>67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1</v>
      </c>
      <c r="AH547">
        <v>0</v>
      </c>
      <c r="AI547">
        <v>1</v>
      </c>
      <c r="AJ547">
        <v>1</v>
      </c>
      <c r="AK547">
        <v>0</v>
      </c>
      <c r="AL547">
        <v>1</v>
      </c>
      <c r="AM547">
        <v>0</v>
      </c>
    </row>
    <row r="548" spans="1:39" x14ac:dyDescent="0.2">
      <c r="A548" t="str">
        <f>"544"</f>
        <v>544</v>
      </c>
      <c r="B548" t="str">
        <f t="shared" si="28"/>
        <v>1</v>
      </c>
      <c r="C548" t="str">
        <f t="shared" si="30"/>
        <v>11</v>
      </c>
      <c r="D548" t="str">
        <f>"2"</f>
        <v>2</v>
      </c>
      <c r="E548" t="str">
        <f>"1-11-2"</f>
        <v>1-11-2</v>
      </c>
      <c r="F548" t="s">
        <v>65</v>
      </c>
      <c r="G548" t="s">
        <v>66</v>
      </c>
      <c r="H548" t="s">
        <v>67</v>
      </c>
      <c r="S548">
        <v>1</v>
      </c>
      <c r="T548">
        <v>0</v>
      </c>
      <c r="U548">
        <v>0</v>
      </c>
      <c r="V548">
        <v>0</v>
      </c>
      <c r="W548">
        <v>1</v>
      </c>
      <c r="X548">
        <v>0</v>
      </c>
      <c r="Y548">
        <v>1</v>
      </c>
      <c r="Z548">
        <v>0</v>
      </c>
      <c r="AA548">
        <v>0</v>
      </c>
      <c r="AB548">
        <v>0</v>
      </c>
      <c r="AC548">
        <v>1</v>
      </c>
      <c r="AD548">
        <v>1</v>
      </c>
      <c r="AE548">
        <v>1</v>
      </c>
      <c r="AF548">
        <v>1</v>
      </c>
      <c r="AG548">
        <v>1</v>
      </c>
      <c r="AH548">
        <v>1</v>
      </c>
      <c r="AI548">
        <v>1</v>
      </c>
      <c r="AJ548">
        <v>1</v>
      </c>
      <c r="AK548">
        <v>1</v>
      </c>
      <c r="AL548">
        <v>1</v>
      </c>
      <c r="AM548">
        <v>1</v>
      </c>
    </row>
    <row r="549" spans="1:39" x14ac:dyDescent="0.2">
      <c r="A549" t="str">
        <f>"545"</f>
        <v>545</v>
      </c>
      <c r="B549" t="str">
        <f t="shared" si="28"/>
        <v>1</v>
      </c>
      <c r="C549" t="str">
        <f t="shared" si="30"/>
        <v>11</v>
      </c>
      <c r="D549" t="str">
        <f>"45"</f>
        <v>45</v>
      </c>
      <c r="E549" t="str">
        <f>"1-11-45"</f>
        <v>1-11-45</v>
      </c>
      <c r="F549" t="s">
        <v>65</v>
      </c>
      <c r="G549" t="s">
        <v>66</v>
      </c>
      <c r="H549" t="s">
        <v>67</v>
      </c>
      <c r="S549">
        <v>0</v>
      </c>
      <c r="T549">
        <v>1</v>
      </c>
      <c r="U549">
        <v>0</v>
      </c>
      <c r="V549">
        <v>0</v>
      </c>
      <c r="W549">
        <v>1</v>
      </c>
      <c r="X549">
        <v>0</v>
      </c>
      <c r="Y549">
        <v>1</v>
      </c>
      <c r="Z549">
        <v>0</v>
      </c>
      <c r="AA549">
        <v>0</v>
      </c>
      <c r="AB549">
        <v>1</v>
      </c>
      <c r="AC549">
        <v>0</v>
      </c>
      <c r="AD549">
        <v>1</v>
      </c>
      <c r="AE549">
        <v>1</v>
      </c>
      <c r="AF549">
        <v>1</v>
      </c>
      <c r="AG549">
        <v>1</v>
      </c>
      <c r="AH549">
        <v>1</v>
      </c>
      <c r="AI549">
        <v>1</v>
      </c>
      <c r="AJ549">
        <v>1</v>
      </c>
      <c r="AK549">
        <v>1</v>
      </c>
      <c r="AL549">
        <v>1</v>
      </c>
      <c r="AM549">
        <v>1</v>
      </c>
    </row>
    <row r="550" spans="1:39" x14ac:dyDescent="0.2">
      <c r="A550" t="str">
        <f>"546"</f>
        <v>546</v>
      </c>
      <c r="B550" t="str">
        <f t="shared" si="28"/>
        <v>1</v>
      </c>
      <c r="C550" t="str">
        <f t="shared" si="30"/>
        <v>11</v>
      </c>
      <c r="D550" t="str">
        <f>"29"</f>
        <v>29</v>
      </c>
      <c r="E550" t="str">
        <f>"1-11-29"</f>
        <v>1-11-29</v>
      </c>
      <c r="F550" t="s">
        <v>65</v>
      </c>
      <c r="G550" t="s">
        <v>66</v>
      </c>
      <c r="H550" t="s">
        <v>67</v>
      </c>
      <c r="S550">
        <v>1</v>
      </c>
      <c r="T550">
        <v>0</v>
      </c>
      <c r="U550">
        <v>0</v>
      </c>
      <c r="V550">
        <v>0</v>
      </c>
      <c r="W550">
        <v>1</v>
      </c>
      <c r="X550">
        <v>0</v>
      </c>
      <c r="Y550">
        <v>0</v>
      </c>
      <c r="Z550">
        <v>1</v>
      </c>
      <c r="AA550">
        <v>0</v>
      </c>
      <c r="AB550">
        <v>0</v>
      </c>
      <c r="AC550">
        <v>1</v>
      </c>
      <c r="AD550">
        <v>1</v>
      </c>
      <c r="AE550">
        <v>1</v>
      </c>
      <c r="AF550">
        <v>1</v>
      </c>
      <c r="AG550">
        <v>1</v>
      </c>
      <c r="AH550">
        <v>1</v>
      </c>
      <c r="AI550">
        <v>1</v>
      </c>
      <c r="AJ550">
        <v>1</v>
      </c>
      <c r="AK550">
        <v>1</v>
      </c>
      <c r="AL550">
        <v>1</v>
      </c>
      <c r="AM550">
        <v>1</v>
      </c>
    </row>
    <row r="551" spans="1:39" x14ac:dyDescent="0.2">
      <c r="A551" t="str">
        <f>"547"</f>
        <v>547</v>
      </c>
      <c r="B551" t="str">
        <f t="shared" si="28"/>
        <v>1</v>
      </c>
      <c r="C551" t="str">
        <f t="shared" si="30"/>
        <v>11</v>
      </c>
      <c r="D551" t="str">
        <f>"11"</f>
        <v>11</v>
      </c>
      <c r="E551" t="str">
        <f>"1-11-11"</f>
        <v>1-11-11</v>
      </c>
      <c r="F551" t="s">
        <v>65</v>
      </c>
      <c r="G551" t="s">
        <v>66</v>
      </c>
      <c r="H551" t="s">
        <v>67</v>
      </c>
      <c r="S551">
        <v>0</v>
      </c>
      <c r="T551">
        <v>1</v>
      </c>
      <c r="U551">
        <v>0</v>
      </c>
      <c r="V551">
        <v>0</v>
      </c>
      <c r="W551">
        <v>0</v>
      </c>
      <c r="X551">
        <v>1</v>
      </c>
      <c r="Y551">
        <v>0</v>
      </c>
      <c r="Z551">
        <v>1</v>
      </c>
      <c r="AA551">
        <v>0</v>
      </c>
      <c r="AB551">
        <v>0</v>
      </c>
      <c r="AC551">
        <v>1</v>
      </c>
      <c r="AD551">
        <v>0</v>
      </c>
      <c r="AE551">
        <v>0</v>
      </c>
      <c r="AF551">
        <v>0</v>
      </c>
      <c r="AG551">
        <v>1</v>
      </c>
      <c r="AH551">
        <v>0</v>
      </c>
      <c r="AI551">
        <v>1</v>
      </c>
      <c r="AJ551">
        <v>1</v>
      </c>
      <c r="AK551">
        <v>1</v>
      </c>
      <c r="AL551">
        <v>0</v>
      </c>
      <c r="AM551">
        <v>1</v>
      </c>
    </row>
    <row r="552" spans="1:39" x14ac:dyDescent="0.2">
      <c r="A552" t="str">
        <f>"548"</f>
        <v>548</v>
      </c>
      <c r="B552" t="str">
        <f t="shared" si="28"/>
        <v>1</v>
      </c>
      <c r="C552" t="str">
        <f t="shared" si="30"/>
        <v>11</v>
      </c>
      <c r="D552" t="str">
        <f>"46"</f>
        <v>46</v>
      </c>
      <c r="E552" t="str">
        <f>"1-11-46"</f>
        <v>1-11-46</v>
      </c>
      <c r="F552" t="s">
        <v>65</v>
      </c>
      <c r="G552" t="s">
        <v>66</v>
      </c>
      <c r="H552" t="s">
        <v>67</v>
      </c>
      <c r="S552">
        <v>0</v>
      </c>
      <c r="T552">
        <v>0</v>
      </c>
      <c r="U552">
        <v>0</v>
      </c>
      <c r="V552">
        <v>0</v>
      </c>
      <c r="W552">
        <v>1</v>
      </c>
      <c r="X552">
        <v>0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1</v>
      </c>
      <c r="AF552">
        <v>1</v>
      </c>
      <c r="AG552">
        <v>1</v>
      </c>
      <c r="AH552">
        <v>1</v>
      </c>
      <c r="AI552">
        <v>1</v>
      </c>
      <c r="AJ552">
        <v>1</v>
      </c>
      <c r="AK552">
        <v>1</v>
      </c>
      <c r="AL552">
        <v>1</v>
      </c>
      <c r="AM552">
        <v>1</v>
      </c>
    </row>
    <row r="553" spans="1:39" x14ac:dyDescent="0.2">
      <c r="A553" t="str">
        <f>"549"</f>
        <v>549</v>
      </c>
      <c r="B553" t="str">
        <f t="shared" si="28"/>
        <v>1</v>
      </c>
      <c r="C553" t="str">
        <f t="shared" si="30"/>
        <v>11</v>
      </c>
      <c r="D553" t="str">
        <f>"30"</f>
        <v>30</v>
      </c>
      <c r="E553" t="str">
        <f>"1-11-30"</f>
        <v>1-11-30</v>
      </c>
      <c r="F553" t="s">
        <v>65</v>
      </c>
      <c r="G553" t="s">
        <v>66</v>
      </c>
      <c r="H553" t="s">
        <v>67</v>
      </c>
      <c r="S553">
        <v>0</v>
      </c>
      <c r="T553">
        <v>1</v>
      </c>
      <c r="U553">
        <v>0</v>
      </c>
      <c r="V553">
        <v>0</v>
      </c>
      <c r="W553">
        <v>1</v>
      </c>
      <c r="X553">
        <v>0</v>
      </c>
      <c r="Y553">
        <v>1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1</v>
      </c>
    </row>
    <row r="554" spans="1:39" x14ac:dyDescent="0.2">
      <c r="A554" t="str">
        <f>"550"</f>
        <v>550</v>
      </c>
      <c r="B554" t="str">
        <f t="shared" si="28"/>
        <v>1</v>
      </c>
      <c r="C554" t="str">
        <f t="shared" si="30"/>
        <v>11</v>
      </c>
      <c r="D554" t="str">
        <f>"10"</f>
        <v>10</v>
      </c>
      <c r="E554" t="str">
        <f>"1-11-10"</f>
        <v>1-11-10</v>
      </c>
      <c r="F554" t="s">
        <v>65</v>
      </c>
      <c r="G554" t="s">
        <v>66</v>
      </c>
      <c r="H554" t="s">
        <v>67</v>
      </c>
      <c r="S554">
        <v>1</v>
      </c>
      <c r="T554">
        <v>0</v>
      </c>
      <c r="U554">
        <v>0</v>
      </c>
      <c r="V554">
        <v>0</v>
      </c>
      <c r="W554">
        <v>1</v>
      </c>
      <c r="X554">
        <v>0</v>
      </c>
      <c r="Y554">
        <v>1</v>
      </c>
      <c r="Z554">
        <v>0</v>
      </c>
      <c r="AA554">
        <v>0</v>
      </c>
      <c r="AB554">
        <v>0</v>
      </c>
      <c r="AC554">
        <v>1</v>
      </c>
      <c r="AD554">
        <v>1</v>
      </c>
      <c r="AE554">
        <v>1</v>
      </c>
      <c r="AF554">
        <v>1</v>
      </c>
      <c r="AG554">
        <v>1</v>
      </c>
      <c r="AH554">
        <v>1</v>
      </c>
      <c r="AI554">
        <v>1</v>
      </c>
      <c r="AJ554">
        <v>1</v>
      </c>
      <c r="AK554">
        <v>1</v>
      </c>
      <c r="AL554">
        <v>1</v>
      </c>
      <c r="AM554">
        <v>1</v>
      </c>
    </row>
    <row r="555" spans="1:39" x14ac:dyDescent="0.2">
      <c r="A555" t="str">
        <f>"551"</f>
        <v>551</v>
      </c>
      <c r="B555" t="str">
        <f t="shared" si="28"/>
        <v>1</v>
      </c>
      <c r="C555" t="str">
        <f t="shared" ref="C555:C586" si="31">"12"</f>
        <v>12</v>
      </c>
      <c r="D555" t="str">
        <f>"31"</f>
        <v>31</v>
      </c>
      <c r="E555" t="str">
        <f>"1-12-31"</f>
        <v>1-12-31</v>
      </c>
      <c r="F555" t="s">
        <v>65</v>
      </c>
      <c r="G555" t="s">
        <v>66</v>
      </c>
      <c r="H555" t="s">
        <v>68</v>
      </c>
      <c r="I555">
        <v>1</v>
      </c>
      <c r="J555">
        <v>1</v>
      </c>
      <c r="K555">
        <v>0</v>
      </c>
      <c r="L555">
        <v>0</v>
      </c>
      <c r="M555">
        <v>1</v>
      </c>
      <c r="N555">
        <v>1</v>
      </c>
      <c r="O555">
        <v>1</v>
      </c>
      <c r="P555">
        <v>1</v>
      </c>
      <c r="Q555">
        <v>1</v>
      </c>
      <c r="R555">
        <v>1</v>
      </c>
    </row>
    <row r="556" spans="1:39" x14ac:dyDescent="0.2">
      <c r="A556" t="str">
        <f>"552"</f>
        <v>552</v>
      </c>
      <c r="B556" t="str">
        <f t="shared" si="28"/>
        <v>1</v>
      </c>
      <c r="C556" t="str">
        <f t="shared" si="31"/>
        <v>12</v>
      </c>
      <c r="D556" t="str">
        <f>"15"</f>
        <v>15</v>
      </c>
      <c r="E556" t="str">
        <f>"1-12-15"</f>
        <v>1-12-15</v>
      </c>
      <c r="F556" t="s">
        <v>65</v>
      </c>
      <c r="G556" t="s">
        <v>66</v>
      </c>
      <c r="H556" t="s">
        <v>68</v>
      </c>
      <c r="I556">
        <v>1</v>
      </c>
      <c r="J556">
        <v>0</v>
      </c>
      <c r="K556">
        <v>0</v>
      </c>
      <c r="L556">
        <v>1</v>
      </c>
      <c r="M556">
        <v>1</v>
      </c>
      <c r="N556">
        <v>1</v>
      </c>
      <c r="O556">
        <v>1</v>
      </c>
      <c r="P556">
        <v>1</v>
      </c>
      <c r="Q556">
        <v>1</v>
      </c>
      <c r="R556">
        <v>1</v>
      </c>
    </row>
    <row r="557" spans="1:39" x14ac:dyDescent="0.2">
      <c r="A557" t="str">
        <f>"553"</f>
        <v>553</v>
      </c>
      <c r="B557" t="str">
        <f t="shared" si="28"/>
        <v>1</v>
      </c>
      <c r="C557" t="str">
        <f t="shared" si="31"/>
        <v>12</v>
      </c>
      <c r="D557" t="str">
        <f>"4"</f>
        <v>4</v>
      </c>
      <c r="E557" t="str">
        <f>"1-12-4"</f>
        <v>1-12-4</v>
      </c>
      <c r="F557" t="s">
        <v>65</v>
      </c>
      <c r="G557" t="s">
        <v>66</v>
      </c>
      <c r="H557" t="s">
        <v>68</v>
      </c>
      <c r="I557">
        <v>1</v>
      </c>
      <c r="J557">
        <v>0</v>
      </c>
      <c r="K557">
        <v>1</v>
      </c>
      <c r="L557">
        <v>0</v>
      </c>
      <c r="M557">
        <v>1</v>
      </c>
      <c r="N557">
        <v>1</v>
      </c>
      <c r="O557">
        <v>1</v>
      </c>
      <c r="P557">
        <v>1</v>
      </c>
      <c r="Q557">
        <v>1</v>
      </c>
      <c r="R557">
        <v>1</v>
      </c>
    </row>
    <row r="558" spans="1:39" x14ac:dyDescent="0.2">
      <c r="A558" t="str">
        <f>"554"</f>
        <v>554</v>
      </c>
      <c r="B558" t="str">
        <f t="shared" si="28"/>
        <v>1</v>
      </c>
      <c r="C558" t="str">
        <f t="shared" si="31"/>
        <v>12</v>
      </c>
      <c r="D558" t="str">
        <f>"2"</f>
        <v>2</v>
      </c>
      <c r="E558" t="str">
        <f>"1-12-2"</f>
        <v>1-12-2</v>
      </c>
      <c r="F558" t="s">
        <v>65</v>
      </c>
      <c r="G558" t="s">
        <v>66</v>
      </c>
      <c r="H558" t="s">
        <v>68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1</v>
      </c>
      <c r="O558">
        <v>1</v>
      </c>
      <c r="P558">
        <v>1</v>
      </c>
      <c r="Q558">
        <v>1</v>
      </c>
      <c r="R558">
        <v>1</v>
      </c>
    </row>
    <row r="559" spans="1:39" x14ac:dyDescent="0.2">
      <c r="A559" t="str">
        <f>"555"</f>
        <v>555</v>
      </c>
      <c r="B559" t="str">
        <f t="shared" si="28"/>
        <v>1</v>
      </c>
      <c r="C559" t="str">
        <f t="shared" si="31"/>
        <v>12</v>
      </c>
      <c r="D559" t="str">
        <f>"37"</f>
        <v>37</v>
      </c>
      <c r="E559" t="str">
        <f>"1-12-37"</f>
        <v>1-12-37</v>
      </c>
      <c r="F559" t="s">
        <v>65</v>
      </c>
      <c r="G559" t="s">
        <v>66</v>
      </c>
      <c r="H559" t="s">
        <v>68</v>
      </c>
      <c r="I559">
        <v>1</v>
      </c>
      <c r="J559">
        <v>0</v>
      </c>
      <c r="K559">
        <v>1</v>
      </c>
      <c r="L559">
        <v>0</v>
      </c>
      <c r="M559">
        <v>1</v>
      </c>
      <c r="N559">
        <v>1</v>
      </c>
      <c r="O559">
        <v>1</v>
      </c>
      <c r="P559">
        <v>1</v>
      </c>
      <c r="Q559">
        <v>0</v>
      </c>
      <c r="R559">
        <v>0</v>
      </c>
    </row>
    <row r="560" spans="1:39" x14ac:dyDescent="0.2">
      <c r="A560" t="str">
        <f>"556"</f>
        <v>556</v>
      </c>
      <c r="B560" t="str">
        <f t="shared" si="28"/>
        <v>1</v>
      </c>
      <c r="C560" t="str">
        <f t="shared" si="31"/>
        <v>12</v>
      </c>
      <c r="D560" t="str">
        <f>"36"</f>
        <v>36</v>
      </c>
      <c r="E560" t="str">
        <f>"1-12-36"</f>
        <v>1-12-36</v>
      </c>
      <c r="F560" t="s">
        <v>65</v>
      </c>
      <c r="G560" t="s">
        <v>66</v>
      </c>
      <c r="H560" t="s">
        <v>68</v>
      </c>
      <c r="I560">
        <v>1</v>
      </c>
      <c r="J560">
        <v>0</v>
      </c>
      <c r="K560">
        <v>1</v>
      </c>
      <c r="L560">
        <v>0</v>
      </c>
      <c r="M560">
        <v>1</v>
      </c>
      <c r="N560">
        <v>1</v>
      </c>
      <c r="O560">
        <v>1</v>
      </c>
      <c r="P560">
        <v>1</v>
      </c>
      <c r="Q560">
        <v>1</v>
      </c>
      <c r="R560">
        <v>0</v>
      </c>
    </row>
    <row r="561" spans="1:18" x14ac:dyDescent="0.2">
      <c r="A561" t="str">
        <f>"557"</f>
        <v>557</v>
      </c>
      <c r="B561" t="str">
        <f t="shared" si="28"/>
        <v>1</v>
      </c>
      <c r="C561" t="str">
        <f t="shared" si="31"/>
        <v>12</v>
      </c>
      <c r="D561" t="str">
        <f>"26"</f>
        <v>26</v>
      </c>
      <c r="E561" t="str">
        <f>"1-12-26"</f>
        <v>1-12-26</v>
      </c>
      <c r="F561" t="s">
        <v>65</v>
      </c>
      <c r="G561" t="s">
        <v>66</v>
      </c>
      <c r="H561" t="s">
        <v>68</v>
      </c>
      <c r="I561">
        <v>1</v>
      </c>
      <c r="J561">
        <v>0</v>
      </c>
      <c r="K561">
        <v>0</v>
      </c>
      <c r="L561">
        <v>1</v>
      </c>
      <c r="M561">
        <v>1</v>
      </c>
      <c r="N561">
        <v>1</v>
      </c>
      <c r="O561">
        <v>1</v>
      </c>
      <c r="P561">
        <v>1</v>
      </c>
      <c r="Q561">
        <v>1</v>
      </c>
      <c r="R561">
        <v>1</v>
      </c>
    </row>
    <row r="562" spans="1:18" x14ac:dyDescent="0.2">
      <c r="A562" t="str">
        <f>"558"</f>
        <v>558</v>
      </c>
      <c r="B562" t="str">
        <f t="shared" si="28"/>
        <v>1</v>
      </c>
      <c r="C562" t="str">
        <f t="shared" si="31"/>
        <v>12</v>
      </c>
      <c r="D562" t="str">
        <f>"17"</f>
        <v>17</v>
      </c>
      <c r="E562" t="str">
        <f>"1-12-17"</f>
        <v>1-12-17</v>
      </c>
      <c r="F562" t="s">
        <v>65</v>
      </c>
      <c r="G562" t="s">
        <v>66</v>
      </c>
      <c r="H562" t="s">
        <v>68</v>
      </c>
      <c r="I562">
        <v>1</v>
      </c>
      <c r="J562">
        <v>0</v>
      </c>
      <c r="K562">
        <v>1</v>
      </c>
      <c r="L562">
        <v>0</v>
      </c>
      <c r="M562">
        <v>1</v>
      </c>
      <c r="N562">
        <v>1</v>
      </c>
      <c r="O562">
        <v>1</v>
      </c>
      <c r="P562">
        <v>1</v>
      </c>
      <c r="Q562">
        <v>1</v>
      </c>
      <c r="R562">
        <v>1</v>
      </c>
    </row>
    <row r="563" spans="1:18" x14ac:dyDescent="0.2">
      <c r="A563" t="str">
        <f>"559"</f>
        <v>559</v>
      </c>
      <c r="B563" t="str">
        <f t="shared" si="28"/>
        <v>1</v>
      </c>
      <c r="C563" t="str">
        <f t="shared" si="31"/>
        <v>12</v>
      </c>
      <c r="D563" t="str">
        <f>"11"</f>
        <v>11</v>
      </c>
      <c r="E563" t="str">
        <f>"1-12-11"</f>
        <v>1-12-11</v>
      </c>
      <c r="F563" t="s">
        <v>65</v>
      </c>
      <c r="G563" t="s">
        <v>66</v>
      </c>
      <c r="H563" t="s">
        <v>68</v>
      </c>
      <c r="I563">
        <v>1</v>
      </c>
      <c r="J563">
        <v>0</v>
      </c>
      <c r="K563">
        <v>1</v>
      </c>
      <c r="L563">
        <v>0</v>
      </c>
      <c r="M563">
        <v>1</v>
      </c>
      <c r="N563">
        <v>1</v>
      </c>
      <c r="O563">
        <v>1</v>
      </c>
      <c r="P563">
        <v>1</v>
      </c>
      <c r="Q563">
        <v>0</v>
      </c>
      <c r="R563">
        <v>1</v>
      </c>
    </row>
    <row r="564" spans="1:18" x14ac:dyDescent="0.2">
      <c r="A564" t="str">
        <f>"560"</f>
        <v>560</v>
      </c>
      <c r="B564" t="str">
        <f t="shared" si="28"/>
        <v>1</v>
      </c>
      <c r="C564" t="str">
        <f t="shared" si="31"/>
        <v>12</v>
      </c>
      <c r="D564" t="str">
        <f>"33"</f>
        <v>33</v>
      </c>
      <c r="E564" t="str">
        <f>"1-12-33"</f>
        <v>1-12-33</v>
      </c>
      <c r="F564" t="s">
        <v>65</v>
      </c>
      <c r="G564" t="s">
        <v>66</v>
      </c>
      <c r="H564" t="s">
        <v>68</v>
      </c>
      <c r="I564">
        <v>1</v>
      </c>
      <c r="J564">
        <v>1</v>
      </c>
      <c r="K564">
        <v>0</v>
      </c>
      <c r="L564">
        <v>0</v>
      </c>
      <c r="M564">
        <v>1</v>
      </c>
      <c r="N564">
        <v>1</v>
      </c>
      <c r="O564">
        <v>1</v>
      </c>
      <c r="P564">
        <v>1</v>
      </c>
      <c r="Q564">
        <v>1</v>
      </c>
      <c r="R564">
        <v>1</v>
      </c>
    </row>
    <row r="565" spans="1:18" x14ac:dyDescent="0.2">
      <c r="A565" t="str">
        <f>"561"</f>
        <v>561</v>
      </c>
      <c r="B565" t="str">
        <f t="shared" si="28"/>
        <v>1</v>
      </c>
      <c r="C565" t="str">
        <f t="shared" si="31"/>
        <v>12</v>
      </c>
      <c r="D565" t="str">
        <f>"18"</f>
        <v>18</v>
      </c>
      <c r="E565" t="str">
        <f>"1-12-18"</f>
        <v>1-12-18</v>
      </c>
      <c r="F565" t="s">
        <v>65</v>
      </c>
      <c r="G565" t="s">
        <v>66</v>
      </c>
      <c r="H565" t="s">
        <v>68</v>
      </c>
      <c r="I565">
        <v>1</v>
      </c>
      <c r="J565">
        <v>0</v>
      </c>
      <c r="K565">
        <v>1</v>
      </c>
      <c r="L565">
        <v>0</v>
      </c>
      <c r="M565">
        <v>1</v>
      </c>
      <c r="N565">
        <v>1</v>
      </c>
      <c r="O565">
        <v>1</v>
      </c>
      <c r="P565">
        <v>1</v>
      </c>
      <c r="Q565">
        <v>1</v>
      </c>
      <c r="R565">
        <v>1</v>
      </c>
    </row>
    <row r="566" spans="1:18" x14ac:dyDescent="0.2">
      <c r="A566" t="str">
        <f>"562"</f>
        <v>562</v>
      </c>
      <c r="B566" t="str">
        <f t="shared" si="28"/>
        <v>1</v>
      </c>
      <c r="C566" t="str">
        <f t="shared" si="31"/>
        <v>12</v>
      </c>
      <c r="D566" t="str">
        <f>"12"</f>
        <v>12</v>
      </c>
      <c r="E566" t="str">
        <f>"1-12-12"</f>
        <v>1-12-12</v>
      </c>
      <c r="F566" t="s">
        <v>65</v>
      </c>
      <c r="G566" t="s">
        <v>66</v>
      </c>
      <c r="H566" t="s">
        <v>68</v>
      </c>
      <c r="I566">
        <v>0</v>
      </c>
      <c r="J566">
        <v>0</v>
      </c>
      <c r="K566">
        <v>0</v>
      </c>
      <c r="L566">
        <v>1</v>
      </c>
      <c r="M566">
        <v>1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2">
      <c r="A567" t="str">
        <f>"563"</f>
        <v>563</v>
      </c>
      <c r="B567" t="str">
        <f t="shared" ref="B567:B630" si="32">"1"</f>
        <v>1</v>
      </c>
      <c r="C567" t="str">
        <f t="shared" si="31"/>
        <v>12</v>
      </c>
      <c r="D567" t="str">
        <f>"47"</f>
        <v>47</v>
      </c>
      <c r="E567" t="str">
        <f>"1-12-47"</f>
        <v>1-12-47</v>
      </c>
      <c r="F567" t="s">
        <v>65</v>
      </c>
      <c r="G567" t="s">
        <v>66</v>
      </c>
      <c r="H567" t="s">
        <v>68</v>
      </c>
      <c r="I567">
        <v>1</v>
      </c>
      <c r="J567">
        <v>0</v>
      </c>
      <c r="K567">
        <v>0</v>
      </c>
      <c r="L567">
        <v>1</v>
      </c>
      <c r="M567">
        <v>1</v>
      </c>
      <c r="N567">
        <v>1</v>
      </c>
      <c r="O567">
        <v>1</v>
      </c>
      <c r="P567">
        <v>1</v>
      </c>
      <c r="Q567">
        <v>1</v>
      </c>
      <c r="R567">
        <v>1</v>
      </c>
    </row>
    <row r="568" spans="1:18" x14ac:dyDescent="0.2">
      <c r="A568" t="str">
        <f>"564"</f>
        <v>564</v>
      </c>
      <c r="B568" t="str">
        <f t="shared" si="32"/>
        <v>1</v>
      </c>
      <c r="C568" t="str">
        <f t="shared" si="31"/>
        <v>12</v>
      </c>
      <c r="D568" t="str">
        <f>"46"</f>
        <v>46</v>
      </c>
      <c r="E568" t="str">
        <f>"1-12-46"</f>
        <v>1-12-46</v>
      </c>
      <c r="F568" t="s">
        <v>65</v>
      </c>
      <c r="G568" t="s">
        <v>66</v>
      </c>
      <c r="H568" t="s">
        <v>68</v>
      </c>
      <c r="I568">
        <v>1</v>
      </c>
      <c r="J568">
        <v>0</v>
      </c>
      <c r="K568">
        <v>0</v>
      </c>
      <c r="L568">
        <v>0</v>
      </c>
      <c r="M568">
        <v>1</v>
      </c>
      <c r="N568">
        <v>1</v>
      </c>
      <c r="O568">
        <v>1</v>
      </c>
      <c r="P568">
        <v>1</v>
      </c>
      <c r="Q568">
        <v>1</v>
      </c>
      <c r="R568">
        <v>1</v>
      </c>
    </row>
    <row r="569" spans="1:18" x14ac:dyDescent="0.2">
      <c r="A569" t="str">
        <f>"565"</f>
        <v>565</v>
      </c>
      <c r="B569" t="str">
        <f t="shared" si="32"/>
        <v>1</v>
      </c>
      <c r="C569" t="str">
        <f t="shared" si="31"/>
        <v>12</v>
      </c>
      <c r="D569" t="str">
        <f>"32"</f>
        <v>32</v>
      </c>
      <c r="E569" t="str">
        <f>"1-12-32"</f>
        <v>1-12-32</v>
      </c>
      <c r="F569" t="s">
        <v>65</v>
      </c>
      <c r="G569" t="s">
        <v>66</v>
      </c>
      <c r="H569" t="s">
        <v>68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1</v>
      </c>
      <c r="O569">
        <v>1</v>
      </c>
      <c r="P569">
        <v>1</v>
      </c>
      <c r="Q569">
        <v>1</v>
      </c>
      <c r="R569">
        <v>1</v>
      </c>
    </row>
    <row r="570" spans="1:18" x14ac:dyDescent="0.2">
      <c r="A570" t="str">
        <f>"566"</f>
        <v>566</v>
      </c>
      <c r="B570" t="str">
        <f t="shared" si="32"/>
        <v>1</v>
      </c>
      <c r="C570" t="str">
        <f t="shared" si="31"/>
        <v>12</v>
      </c>
      <c r="D570" t="str">
        <f>"19"</f>
        <v>19</v>
      </c>
      <c r="E570" t="str">
        <f>"1-12-19"</f>
        <v>1-12-19</v>
      </c>
      <c r="F570" t="s">
        <v>65</v>
      </c>
      <c r="G570" t="s">
        <v>66</v>
      </c>
      <c r="H570" t="s">
        <v>68</v>
      </c>
      <c r="I570">
        <v>1</v>
      </c>
      <c r="J570">
        <v>0</v>
      </c>
      <c r="K570">
        <v>1</v>
      </c>
      <c r="L570">
        <v>0</v>
      </c>
      <c r="M570">
        <v>1</v>
      </c>
      <c r="N570">
        <v>1</v>
      </c>
      <c r="O570">
        <v>1</v>
      </c>
      <c r="P570">
        <v>1</v>
      </c>
      <c r="Q570">
        <v>1</v>
      </c>
      <c r="R570">
        <v>1</v>
      </c>
    </row>
    <row r="571" spans="1:18" x14ac:dyDescent="0.2">
      <c r="A571" t="str">
        <f>"567"</f>
        <v>567</v>
      </c>
      <c r="B571" t="str">
        <f t="shared" si="32"/>
        <v>1</v>
      </c>
      <c r="C571" t="str">
        <f t="shared" si="31"/>
        <v>12</v>
      </c>
      <c r="D571" t="str">
        <f>"8"</f>
        <v>8</v>
      </c>
      <c r="E571" t="str">
        <f>"1-12-8"</f>
        <v>1-12-8</v>
      </c>
      <c r="F571" t="s">
        <v>65</v>
      </c>
      <c r="G571" t="s">
        <v>66</v>
      </c>
      <c r="H571" t="s">
        <v>68</v>
      </c>
      <c r="I571">
        <v>1</v>
      </c>
      <c r="J571">
        <v>0</v>
      </c>
      <c r="K571">
        <v>1</v>
      </c>
      <c r="L571">
        <v>0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1</v>
      </c>
    </row>
    <row r="572" spans="1:18" x14ac:dyDescent="0.2">
      <c r="A572" t="str">
        <f>"568"</f>
        <v>568</v>
      </c>
      <c r="B572" t="str">
        <f t="shared" si="32"/>
        <v>1</v>
      </c>
      <c r="C572" t="str">
        <f t="shared" si="31"/>
        <v>12</v>
      </c>
      <c r="D572" t="str">
        <f>"39"</f>
        <v>39</v>
      </c>
      <c r="E572" t="str">
        <f>"1-12-39"</f>
        <v>1-12-39</v>
      </c>
      <c r="F572" t="s">
        <v>65</v>
      </c>
      <c r="G572" t="s">
        <v>66</v>
      </c>
      <c r="H572" t="s">
        <v>68</v>
      </c>
      <c r="I572">
        <v>1</v>
      </c>
      <c r="J572">
        <v>0</v>
      </c>
      <c r="K572">
        <v>1</v>
      </c>
      <c r="L572">
        <v>0</v>
      </c>
      <c r="M572">
        <v>1</v>
      </c>
      <c r="N572">
        <v>1</v>
      </c>
      <c r="O572">
        <v>1</v>
      </c>
      <c r="P572">
        <v>1</v>
      </c>
      <c r="Q572">
        <v>1</v>
      </c>
      <c r="R572">
        <v>1</v>
      </c>
    </row>
    <row r="573" spans="1:18" x14ac:dyDescent="0.2">
      <c r="A573" t="str">
        <f>"569"</f>
        <v>569</v>
      </c>
      <c r="B573" t="str">
        <f t="shared" si="32"/>
        <v>1</v>
      </c>
      <c r="C573" t="str">
        <f t="shared" si="31"/>
        <v>12</v>
      </c>
      <c r="D573" t="str">
        <f>"20"</f>
        <v>20</v>
      </c>
      <c r="E573" t="str">
        <f>"1-12-20"</f>
        <v>1-12-20</v>
      </c>
      <c r="F573" t="s">
        <v>65</v>
      </c>
      <c r="G573" t="s">
        <v>66</v>
      </c>
      <c r="H573" t="s">
        <v>68</v>
      </c>
      <c r="I573">
        <v>1</v>
      </c>
      <c r="J573">
        <v>0</v>
      </c>
      <c r="K573">
        <v>0</v>
      </c>
      <c r="L573">
        <v>1</v>
      </c>
      <c r="M573">
        <v>1</v>
      </c>
      <c r="N573">
        <v>1</v>
      </c>
      <c r="O573">
        <v>1</v>
      </c>
      <c r="P573">
        <v>1</v>
      </c>
      <c r="Q573">
        <v>1</v>
      </c>
      <c r="R573">
        <v>1</v>
      </c>
    </row>
    <row r="574" spans="1:18" x14ac:dyDescent="0.2">
      <c r="A574" t="str">
        <f>"570"</f>
        <v>570</v>
      </c>
      <c r="B574" t="str">
        <f t="shared" si="32"/>
        <v>1</v>
      </c>
      <c r="C574" t="str">
        <f t="shared" si="31"/>
        <v>12</v>
      </c>
      <c r="D574" t="str">
        <f>"3"</f>
        <v>3</v>
      </c>
      <c r="E574" t="str">
        <f>"1-12-3"</f>
        <v>1-12-3</v>
      </c>
      <c r="F574" t="s">
        <v>65</v>
      </c>
      <c r="G574" t="s">
        <v>66</v>
      </c>
      <c r="H574" t="s">
        <v>68</v>
      </c>
      <c r="I574">
        <v>1</v>
      </c>
      <c r="J574">
        <v>0</v>
      </c>
      <c r="K574">
        <v>0</v>
      </c>
      <c r="L574">
        <v>1</v>
      </c>
      <c r="M574">
        <v>1</v>
      </c>
      <c r="N574">
        <v>1</v>
      </c>
      <c r="O574">
        <v>1</v>
      </c>
      <c r="P574">
        <v>1</v>
      </c>
      <c r="Q574">
        <v>1</v>
      </c>
      <c r="R574">
        <v>1</v>
      </c>
    </row>
    <row r="575" spans="1:18" x14ac:dyDescent="0.2">
      <c r="A575" t="str">
        <f>"571"</f>
        <v>571</v>
      </c>
      <c r="B575" t="str">
        <f t="shared" si="32"/>
        <v>1</v>
      </c>
      <c r="C575" t="str">
        <f t="shared" si="31"/>
        <v>12</v>
      </c>
      <c r="D575" t="str">
        <f>"45"</f>
        <v>45</v>
      </c>
      <c r="E575" t="str">
        <f>"1-12-45"</f>
        <v>1-12-45</v>
      </c>
      <c r="F575" t="s">
        <v>65</v>
      </c>
      <c r="G575" t="s">
        <v>66</v>
      </c>
      <c r="H575" t="s">
        <v>68</v>
      </c>
      <c r="I575">
        <v>1</v>
      </c>
      <c r="J575">
        <v>0</v>
      </c>
      <c r="K575">
        <v>1</v>
      </c>
      <c r="L575">
        <v>0</v>
      </c>
      <c r="M575">
        <v>1</v>
      </c>
      <c r="N575">
        <v>0</v>
      </c>
      <c r="O575">
        <v>1</v>
      </c>
      <c r="P575">
        <v>1</v>
      </c>
      <c r="Q575">
        <v>1</v>
      </c>
      <c r="R575">
        <v>1</v>
      </c>
    </row>
    <row r="576" spans="1:18" x14ac:dyDescent="0.2">
      <c r="A576" t="str">
        <f>"572"</f>
        <v>572</v>
      </c>
      <c r="B576" t="str">
        <f t="shared" si="32"/>
        <v>1</v>
      </c>
      <c r="C576" t="str">
        <f t="shared" si="31"/>
        <v>12</v>
      </c>
      <c r="D576" t="str">
        <f>"44"</f>
        <v>44</v>
      </c>
      <c r="E576" t="str">
        <f>"1-12-44"</f>
        <v>1-12-44</v>
      </c>
      <c r="F576" t="s">
        <v>65</v>
      </c>
      <c r="G576" t="s">
        <v>66</v>
      </c>
      <c r="H576" t="s">
        <v>68</v>
      </c>
      <c r="I576">
        <v>1</v>
      </c>
      <c r="J576">
        <v>0</v>
      </c>
      <c r="K576">
        <v>0</v>
      </c>
      <c r="L576">
        <v>1</v>
      </c>
      <c r="M576">
        <v>1</v>
      </c>
      <c r="N576">
        <v>1</v>
      </c>
      <c r="O576">
        <v>1</v>
      </c>
      <c r="P576">
        <v>1</v>
      </c>
      <c r="Q576">
        <v>1</v>
      </c>
      <c r="R576">
        <v>1</v>
      </c>
    </row>
    <row r="577" spans="1:18" x14ac:dyDescent="0.2">
      <c r="A577" t="str">
        <f>"573"</f>
        <v>573</v>
      </c>
      <c r="B577" t="str">
        <f t="shared" si="32"/>
        <v>1</v>
      </c>
      <c r="C577" t="str">
        <f t="shared" si="31"/>
        <v>12</v>
      </c>
      <c r="D577" t="str">
        <f>"35"</f>
        <v>35</v>
      </c>
      <c r="E577" t="str">
        <f>"1-12-35"</f>
        <v>1-12-35</v>
      </c>
      <c r="F577" t="s">
        <v>65</v>
      </c>
      <c r="G577" t="s">
        <v>66</v>
      </c>
      <c r="H577" t="s">
        <v>68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1</v>
      </c>
    </row>
    <row r="578" spans="1:18" x14ac:dyDescent="0.2">
      <c r="A578" t="str">
        <f>"574"</f>
        <v>574</v>
      </c>
      <c r="B578" t="str">
        <f t="shared" si="32"/>
        <v>1</v>
      </c>
      <c r="C578" t="str">
        <f t="shared" si="31"/>
        <v>12</v>
      </c>
      <c r="D578" t="str">
        <f>"22"</f>
        <v>22</v>
      </c>
      <c r="E578" t="str">
        <f>"1-12-22"</f>
        <v>1-12-22</v>
      </c>
      <c r="F578" t="s">
        <v>65</v>
      </c>
      <c r="G578" t="s">
        <v>66</v>
      </c>
      <c r="H578" t="s">
        <v>68</v>
      </c>
      <c r="I578">
        <v>1</v>
      </c>
      <c r="J578">
        <v>0</v>
      </c>
      <c r="K578">
        <v>1</v>
      </c>
      <c r="L578">
        <v>0</v>
      </c>
      <c r="M578">
        <v>1</v>
      </c>
      <c r="N578">
        <v>0</v>
      </c>
      <c r="O578">
        <v>0</v>
      </c>
      <c r="P578">
        <v>1</v>
      </c>
      <c r="Q578">
        <v>1</v>
      </c>
      <c r="R578">
        <v>1</v>
      </c>
    </row>
    <row r="579" spans="1:18" x14ac:dyDescent="0.2">
      <c r="A579" t="str">
        <f>"575"</f>
        <v>575</v>
      </c>
      <c r="B579" t="str">
        <f t="shared" si="32"/>
        <v>1</v>
      </c>
      <c r="C579" t="str">
        <f t="shared" si="31"/>
        <v>12</v>
      </c>
      <c r="D579" t="str">
        <f>"7"</f>
        <v>7</v>
      </c>
      <c r="E579" t="str">
        <f>"1-12-7"</f>
        <v>1-12-7</v>
      </c>
      <c r="F579" t="s">
        <v>65</v>
      </c>
      <c r="G579" t="s">
        <v>66</v>
      </c>
      <c r="H579" t="s">
        <v>68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1</v>
      </c>
      <c r="O579">
        <v>1</v>
      </c>
      <c r="P579">
        <v>1</v>
      </c>
      <c r="Q579">
        <v>1</v>
      </c>
      <c r="R579">
        <v>1</v>
      </c>
    </row>
    <row r="580" spans="1:18" x14ac:dyDescent="0.2">
      <c r="A580" t="str">
        <f>"576"</f>
        <v>576</v>
      </c>
      <c r="B580" t="str">
        <f t="shared" si="32"/>
        <v>1</v>
      </c>
      <c r="C580" t="str">
        <f t="shared" si="31"/>
        <v>12</v>
      </c>
      <c r="D580" t="str">
        <f>"40"</f>
        <v>40</v>
      </c>
      <c r="E580" t="str">
        <f>"1-12-40"</f>
        <v>1-12-40</v>
      </c>
      <c r="F580" t="s">
        <v>65</v>
      </c>
      <c r="G580" t="s">
        <v>66</v>
      </c>
      <c r="H580" t="s">
        <v>68</v>
      </c>
      <c r="I580">
        <v>1</v>
      </c>
      <c r="J580">
        <v>0</v>
      </c>
      <c r="K580">
        <v>1</v>
      </c>
      <c r="L580">
        <v>0</v>
      </c>
      <c r="M580">
        <v>1</v>
      </c>
      <c r="N580">
        <v>1</v>
      </c>
      <c r="O580">
        <v>1</v>
      </c>
      <c r="P580">
        <v>1</v>
      </c>
      <c r="Q580">
        <v>1</v>
      </c>
      <c r="R580">
        <v>0</v>
      </c>
    </row>
    <row r="581" spans="1:18" x14ac:dyDescent="0.2">
      <c r="A581" t="str">
        <f>"577"</f>
        <v>577</v>
      </c>
      <c r="B581" t="str">
        <f t="shared" si="32"/>
        <v>1</v>
      </c>
      <c r="C581" t="str">
        <f t="shared" si="31"/>
        <v>12</v>
      </c>
      <c r="D581" t="str">
        <f>"23"</f>
        <v>23</v>
      </c>
      <c r="E581" t="str">
        <f>"1-12-23"</f>
        <v>1-12-23</v>
      </c>
      <c r="F581" t="s">
        <v>65</v>
      </c>
      <c r="G581" t="s">
        <v>66</v>
      </c>
      <c r="H581" t="s">
        <v>68</v>
      </c>
      <c r="I581">
        <v>1</v>
      </c>
      <c r="J581">
        <v>0</v>
      </c>
      <c r="K581">
        <v>0</v>
      </c>
      <c r="L581">
        <v>1</v>
      </c>
      <c r="M581">
        <v>1</v>
      </c>
      <c r="N581">
        <v>1</v>
      </c>
      <c r="O581">
        <v>1</v>
      </c>
      <c r="P581">
        <v>1</v>
      </c>
      <c r="Q581">
        <v>1</v>
      </c>
      <c r="R581">
        <v>1</v>
      </c>
    </row>
    <row r="582" spans="1:18" x14ac:dyDescent="0.2">
      <c r="A582" t="str">
        <f>"578"</f>
        <v>578</v>
      </c>
      <c r="B582" t="str">
        <f t="shared" si="32"/>
        <v>1</v>
      </c>
      <c r="C582" t="str">
        <f t="shared" si="31"/>
        <v>12</v>
      </c>
      <c r="D582" t="str">
        <f>"9"</f>
        <v>9</v>
      </c>
      <c r="E582" t="str">
        <f>"1-12-9"</f>
        <v>1-12-9</v>
      </c>
      <c r="F582" t="s">
        <v>65</v>
      </c>
      <c r="G582" t="s">
        <v>66</v>
      </c>
      <c r="H582" t="s">
        <v>68</v>
      </c>
      <c r="I582">
        <v>1</v>
      </c>
      <c r="J582">
        <v>0</v>
      </c>
      <c r="K582">
        <v>1</v>
      </c>
      <c r="L582">
        <v>0</v>
      </c>
      <c r="M582">
        <v>1</v>
      </c>
      <c r="N582">
        <v>1</v>
      </c>
      <c r="O582">
        <v>1</v>
      </c>
      <c r="P582">
        <v>1</v>
      </c>
      <c r="Q582">
        <v>1</v>
      </c>
      <c r="R582">
        <v>1</v>
      </c>
    </row>
    <row r="583" spans="1:18" x14ac:dyDescent="0.2">
      <c r="A583" t="str">
        <f>"579"</f>
        <v>579</v>
      </c>
      <c r="B583" t="str">
        <f t="shared" si="32"/>
        <v>1</v>
      </c>
      <c r="C583" t="str">
        <f t="shared" si="31"/>
        <v>12</v>
      </c>
      <c r="D583" t="str">
        <f>"38"</f>
        <v>38</v>
      </c>
      <c r="E583" t="str">
        <f>"1-12-38"</f>
        <v>1-12-38</v>
      </c>
      <c r="F583" t="s">
        <v>65</v>
      </c>
      <c r="G583" t="s">
        <v>66</v>
      </c>
      <c r="H583" t="s">
        <v>68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1</v>
      </c>
      <c r="O583">
        <v>1</v>
      </c>
      <c r="P583">
        <v>1</v>
      </c>
      <c r="Q583">
        <v>1</v>
      </c>
      <c r="R583">
        <v>1</v>
      </c>
    </row>
    <row r="584" spans="1:18" x14ac:dyDescent="0.2">
      <c r="A584" t="str">
        <f>"580"</f>
        <v>580</v>
      </c>
      <c r="B584" t="str">
        <f t="shared" si="32"/>
        <v>1</v>
      </c>
      <c r="C584" t="str">
        <f t="shared" si="31"/>
        <v>12</v>
      </c>
      <c r="D584" t="str">
        <f>"24"</f>
        <v>24</v>
      </c>
      <c r="E584" t="str">
        <f>"1-12-24"</f>
        <v>1-12-24</v>
      </c>
      <c r="F584" t="s">
        <v>65</v>
      </c>
      <c r="G584" t="s">
        <v>66</v>
      </c>
      <c r="H584" t="s">
        <v>68</v>
      </c>
      <c r="I584">
        <v>1</v>
      </c>
      <c r="J584">
        <v>0</v>
      </c>
      <c r="K584">
        <v>0</v>
      </c>
      <c r="L584">
        <v>0</v>
      </c>
      <c r="M584">
        <v>1</v>
      </c>
      <c r="N584">
        <v>1</v>
      </c>
      <c r="O584">
        <v>1</v>
      </c>
      <c r="P584">
        <v>1</v>
      </c>
      <c r="Q584">
        <v>1</v>
      </c>
      <c r="R584">
        <v>1</v>
      </c>
    </row>
    <row r="585" spans="1:18" x14ac:dyDescent="0.2">
      <c r="A585" t="str">
        <f>"581"</f>
        <v>581</v>
      </c>
      <c r="B585" t="str">
        <f t="shared" si="32"/>
        <v>1</v>
      </c>
      <c r="C585" t="str">
        <f t="shared" si="31"/>
        <v>12</v>
      </c>
      <c r="D585" t="str">
        <f>"10"</f>
        <v>10</v>
      </c>
      <c r="E585" t="str">
        <f>"1-12-10"</f>
        <v>1-12-10</v>
      </c>
      <c r="F585" t="s">
        <v>65</v>
      </c>
      <c r="G585" t="s">
        <v>66</v>
      </c>
      <c r="H585" t="s">
        <v>68</v>
      </c>
      <c r="I585">
        <v>1</v>
      </c>
      <c r="J585">
        <v>0</v>
      </c>
      <c r="K585">
        <v>0</v>
      </c>
      <c r="L585">
        <v>1</v>
      </c>
      <c r="M585">
        <v>1</v>
      </c>
      <c r="N585">
        <v>1</v>
      </c>
      <c r="O585">
        <v>1</v>
      </c>
      <c r="P585">
        <v>1</v>
      </c>
      <c r="Q585">
        <v>1</v>
      </c>
      <c r="R585">
        <v>1</v>
      </c>
    </row>
    <row r="586" spans="1:18" x14ac:dyDescent="0.2">
      <c r="A586" t="str">
        <f>"582"</f>
        <v>582</v>
      </c>
      <c r="B586" t="str">
        <f t="shared" si="32"/>
        <v>1</v>
      </c>
      <c r="C586" t="str">
        <f t="shared" si="31"/>
        <v>12</v>
      </c>
      <c r="D586" t="str">
        <f>"41"</f>
        <v>41</v>
      </c>
      <c r="E586" t="str">
        <f>"1-12-41"</f>
        <v>1-12-41</v>
      </c>
      <c r="F586" t="s">
        <v>65</v>
      </c>
      <c r="G586" t="s">
        <v>66</v>
      </c>
      <c r="H586" t="s">
        <v>68</v>
      </c>
      <c r="I586">
        <v>1</v>
      </c>
      <c r="J586">
        <v>0</v>
      </c>
      <c r="K586">
        <v>0</v>
      </c>
      <c r="L586">
        <v>1</v>
      </c>
      <c r="M586">
        <v>1</v>
      </c>
      <c r="N586">
        <v>1</v>
      </c>
      <c r="O586">
        <v>1</v>
      </c>
      <c r="P586">
        <v>1</v>
      </c>
      <c r="Q586">
        <v>1</v>
      </c>
      <c r="R586">
        <v>1</v>
      </c>
    </row>
    <row r="587" spans="1:18" x14ac:dyDescent="0.2">
      <c r="A587" t="str">
        <f>"583"</f>
        <v>583</v>
      </c>
      <c r="B587" t="str">
        <f t="shared" si="32"/>
        <v>1</v>
      </c>
      <c r="C587" t="str">
        <f t="shared" ref="C587:C604" si="33">"12"</f>
        <v>12</v>
      </c>
      <c r="D587" t="str">
        <f>"25"</f>
        <v>25</v>
      </c>
      <c r="E587" t="str">
        <f>"1-12-25"</f>
        <v>1-12-25</v>
      </c>
      <c r="F587" t="s">
        <v>65</v>
      </c>
      <c r="G587" t="s">
        <v>66</v>
      </c>
      <c r="H587" t="s">
        <v>68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1</v>
      </c>
      <c r="O587">
        <v>1</v>
      </c>
      <c r="P587">
        <v>1</v>
      </c>
      <c r="Q587">
        <v>1</v>
      </c>
      <c r="R587">
        <v>1</v>
      </c>
    </row>
    <row r="588" spans="1:18" x14ac:dyDescent="0.2">
      <c r="A588" t="str">
        <f>"584"</f>
        <v>584</v>
      </c>
      <c r="B588" t="str">
        <f t="shared" si="32"/>
        <v>1</v>
      </c>
      <c r="C588" t="str">
        <f t="shared" si="33"/>
        <v>12</v>
      </c>
      <c r="D588" t="str">
        <f>"5"</f>
        <v>5</v>
      </c>
      <c r="E588" t="str">
        <f>"1-12-5"</f>
        <v>1-12-5</v>
      </c>
      <c r="F588" t="s">
        <v>65</v>
      </c>
      <c r="G588" t="s">
        <v>66</v>
      </c>
      <c r="H588" t="s">
        <v>68</v>
      </c>
      <c r="I588">
        <v>1</v>
      </c>
      <c r="J588">
        <v>0</v>
      </c>
      <c r="K588">
        <v>0</v>
      </c>
      <c r="L588">
        <v>1</v>
      </c>
      <c r="M588">
        <v>1</v>
      </c>
      <c r="N588">
        <v>1</v>
      </c>
      <c r="O588">
        <v>1</v>
      </c>
      <c r="P588">
        <v>1</v>
      </c>
      <c r="Q588">
        <v>1</v>
      </c>
      <c r="R588">
        <v>1</v>
      </c>
    </row>
    <row r="589" spans="1:18" x14ac:dyDescent="0.2">
      <c r="A589" t="str">
        <f>"585"</f>
        <v>585</v>
      </c>
      <c r="B589" t="str">
        <f t="shared" si="32"/>
        <v>1</v>
      </c>
      <c r="C589" t="str">
        <f t="shared" si="33"/>
        <v>12</v>
      </c>
      <c r="D589" t="str">
        <f>"43"</f>
        <v>43</v>
      </c>
      <c r="E589" t="str">
        <f>"1-12-43"</f>
        <v>1-12-43</v>
      </c>
      <c r="F589" t="s">
        <v>65</v>
      </c>
      <c r="G589" t="s">
        <v>66</v>
      </c>
      <c r="H589" t="s">
        <v>68</v>
      </c>
      <c r="I589">
        <v>1</v>
      </c>
      <c r="J589">
        <v>0</v>
      </c>
      <c r="K589">
        <v>0</v>
      </c>
      <c r="L589">
        <v>1</v>
      </c>
      <c r="M589">
        <v>1</v>
      </c>
      <c r="N589">
        <v>1</v>
      </c>
      <c r="O589">
        <v>1</v>
      </c>
      <c r="P589">
        <v>1</v>
      </c>
      <c r="Q589">
        <v>1</v>
      </c>
      <c r="R589">
        <v>1</v>
      </c>
    </row>
    <row r="590" spans="1:18" x14ac:dyDescent="0.2">
      <c r="A590" t="str">
        <f>"586"</f>
        <v>586</v>
      </c>
      <c r="B590" t="str">
        <f t="shared" si="32"/>
        <v>1</v>
      </c>
      <c r="C590" t="str">
        <f t="shared" si="33"/>
        <v>12</v>
      </c>
      <c r="D590" t="str">
        <f>"27"</f>
        <v>27</v>
      </c>
      <c r="E590" t="str">
        <f>"1-12-27"</f>
        <v>1-12-27</v>
      </c>
      <c r="F590" t="s">
        <v>65</v>
      </c>
      <c r="G590" t="s">
        <v>66</v>
      </c>
      <c r="H590" t="s">
        <v>68</v>
      </c>
      <c r="I590">
        <v>1</v>
      </c>
      <c r="J590">
        <v>0</v>
      </c>
      <c r="K590">
        <v>0</v>
      </c>
      <c r="L590">
        <v>1</v>
      </c>
      <c r="M590">
        <v>1</v>
      </c>
      <c r="N590">
        <v>1</v>
      </c>
      <c r="O590">
        <v>1</v>
      </c>
      <c r="P590">
        <v>1</v>
      </c>
      <c r="Q590">
        <v>1</v>
      </c>
      <c r="R590">
        <v>1</v>
      </c>
    </row>
    <row r="591" spans="1:18" x14ac:dyDescent="0.2">
      <c r="A591" t="str">
        <f>"587"</f>
        <v>587</v>
      </c>
      <c r="B591" t="str">
        <f t="shared" si="32"/>
        <v>1</v>
      </c>
      <c r="C591" t="str">
        <f t="shared" si="33"/>
        <v>12</v>
      </c>
      <c r="D591" t="str">
        <f>"14"</f>
        <v>14</v>
      </c>
      <c r="E591" t="str">
        <f>"1-12-14"</f>
        <v>1-12-14</v>
      </c>
      <c r="F591" t="s">
        <v>65</v>
      </c>
      <c r="G591" t="s">
        <v>66</v>
      </c>
      <c r="H591" t="s">
        <v>68</v>
      </c>
      <c r="I591">
        <v>1</v>
      </c>
      <c r="J591">
        <v>0</v>
      </c>
      <c r="K591">
        <v>0</v>
      </c>
      <c r="L591">
        <v>1</v>
      </c>
      <c r="M591">
        <v>1</v>
      </c>
      <c r="N591">
        <v>1</v>
      </c>
      <c r="O591">
        <v>1</v>
      </c>
      <c r="P591">
        <v>1</v>
      </c>
      <c r="Q591">
        <v>1</v>
      </c>
      <c r="R591">
        <v>1</v>
      </c>
    </row>
    <row r="592" spans="1:18" x14ac:dyDescent="0.2">
      <c r="A592" t="str">
        <f>"588"</f>
        <v>588</v>
      </c>
      <c r="B592" t="str">
        <f t="shared" si="32"/>
        <v>1</v>
      </c>
      <c r="C592" t="str">
        <f t="shared" si="33"/>
        <v>12</v>
      </c>
      <c r="D592" t="str">
        <f>"50"</f>
        <v>50</v>
      </c>
      <c r="E592" t="str">
        <f>"1-12-50"</f>
        <v>1-12-50</v>
      </c>
      <c r="F592" t="s">
        <v>65</v>
      </c>
      <c r="G592" t="s">
        <v>66</v>
      </c>
      <c r="H592" t="s">
        <v>68</v>
      </c>
      <c r="I592">
        <v>1</v>
      </c>
      <c r="J592">
        <v>0</v>
      </c>
      <c r="K592">
        <v>0</v>
      </c>
      <c r="L592">
        <v>1</v>
      </c>
      <c r="M592">
        <v>1</v>
      </c>
      <c r="N592">
        <v>1</v>
      </c>
      <c r="O592">
        <v>1</v>
      </c>
      <c r="P592">
        <v>1</v>
      </c>
      <c r="Q592">
        <v>1</v>
      </c>
      <c r="R592">
        <v>1</v>
      </c>
    </row>
    <row r="593" spans="1:18" x14ac:dyDescent="0.2">
      <c r="A593" t="str">
        <f>"589"</f>
        <v>589</v>
      </c>
      <c r="B593" t="str">
        <f t="shared" si="32"/>
        <v>1</v>
      </c>
      <c r="C593" t="str">
        <f t="shared" si="33"/>
        <v>12</v>
      </c>
      <c r="D593" t="str">
        <f>"28"</f>
        <v>28</v>
      </c>
      <c r="E593" t="str">
        <f>"1-12-28"</f>
        <v>1-12-28</v>
      </c>
      <c r="F593" t="s">
        <v>65</v>
      </c>
      <c r="G593" t="s">
        <v>66</v>
      </c>
      <c r="H593" t="s">
        <v>68</v>
      </c>
      <c r="I593">
        <v>1</v>
      </c>
      <c r="J593">
        <v>0</v>
      </c>
      <c r="K593">
        <v>0</v>
      </c>
      <c r="L593">
        <v>1</v>
      </c>
      <c r="M593">
        <v>1</v>
      </c>
      <c r="N593">
        <v>1</v>
      </c>
      <c r="O593">
        <v>1</v>
      </c>
      <c r="P593">
        <v>1</v>
      </c>
      <c r="Q593">
        <v>1</v>
      </c>
      <c r="R593">
        <v>1</v>
      </c>
    </row>
    <row r="594" spans="1:18" x14ac:dyDescent="0.2">
      <c r="A594" t="str">
        <f>"590"</f>
        <v>590</v>
      </c>
      <c r="B594" t="str">
        <f t="shared" si="32"/>
        <v>1</v>
      </c>
      <c r="C594" t="str">
        <f t="shared" si="33"/>
        <v>12</v>
      </c>
      <c r="D594" t="str">
        <f>"6"</f>
        <v>6</v>
      </c>
      <c r="E594" t="str">
        <f>"1-12-6"</f>
        <v>1-12-6</v>
      </c>
      <c r="F594" t="s">
        <v>65</v>
      </c>
      <c r="G594" t="s">
        <v>66</v>
      </c>
      <c r="H594" t="s">
        <v>68</v>
      </c>
      <c r="I594">
        <v>1</v>
      </c>
      <c r="J594">
        <v>0</v>
      </c>
      <c r="K594">
        <v>1</v>
      </c>
      <c r="L594">
        <v>0</v>
      </c>
      <c r="M594">
        <v>1</v>
      </c>
      <c r="N594">
        <v>1</v>
      </c>
      <c r="O594">
        <v>1</v>
      </c>
      <c r="P594">
        <v>1</v>
      </c>
      <c r="Q594">
        <v>0</v>
      </c>
      <c r="R594">
        <v>0</v>
      </c>
    </row>
    <row r="595" spans="1:18" x14ac:dyDescent="0.2">
      <c r="A595" t="str">
        <f>"591"</f>
        <v>591</v>
      </c>
      <c r="B595" t="str">
        <f t="shared" si="32"/>
        <v>1</v>
      </c>
      <c r="C595" t="str">
        <f t="shared" si="33"/>
        <v>12</v>
      </c>
      <c r="D595" t="str">
        <f>"42"</f>
        <v>42</v>
      </c>
      <c r="E595" t="str">
        <f>"1-12-42"</f>
        <v>1-12-42</v>
      </c>
      <c r="F595" t="s">
        <v>65</v>
      </c>
      <c r="G595" t="s">
        <v>66</v>
      </c>
      <c r="H595" t="s">
        <v>68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</row>
    <row r="596" spans="1:18" x14ac:dyDescent="0.2">
      <c r="A596" t="str">
        <f>"592"</f>
        <v>592</v>
      </c>
      <c r="B596" t="str">
        <f t="shared" si="32"/>
        <v>1</v>
      </c>
      <c r="C596" t="str">
        <f t="shared" si="33"/>
        <v>12</v>
      </c>
      <c r="D596" t="str">
        <f>"29"</f>
        <v>29</v>
      </c>
      <c r="E596" t="str">
        <f>"1-12-29"</f>
        <v>1-12-29</v>
      </c>
      <c r="F596" t="s">
        <v>65</v>
      </c>
      <c r="G596" t="s">
        <v>66</v>
      </c>
      <c r="H596" t="s">
        <v>68</v>
      </c>
      <c r="I596">
        <v>1</v>
      </c>
      <c r="J596">
        <v>1</v>
      </c>
      <c r="K596">
        <v>0</v>
      </c>
      <c r="L596">
        <v>0</v>
      </c>
      <c r="M596">
        <v>1</v>
      </c>
      <c r="N596">
        <v>1</v>
      </c>
      <c r="O596">
        <v>1</v>
      </c>
      <c r="P596">
        <v>1</v>
      </c>
      <c r="Q596">
        <v>1</v>
      </c>
      <c r="R596">
        <v>1</v>
      </c>
    </row>
    <row r="597" spans="1:18" x14ac:dyDescent="0.2">
      <c r="A597" t="str">
        <f>"593"</f>
        <v>593</v>
      </c>
      <c r="B597" t="str">
        <f t="shared" si="32"/>
        <v>1</v>
      </c>
      <c r="C597" t="str">
        <f t="shared" si="33"/>
        <v>12</v>
      </c>
      <c r="D597" t="str">
        <f>"13"</f>
        <v>13</v>
      </c>
      <c r="E597" t="str">
        <f>"1-12-13"</f>
        <v>1-12-13</v>
      </c>
      <c r="F597" t="s">
        <v>65</v>
      </c>
      <c r="G597" t="s">
        <v>66</v>
      </c>
      <c r="H597" t="s">
        <v>68</v>
      </c>
      <c r="I597">
        <v>1</v>
      </c>
      <c r="J597">
        <v>0</v>
      </c>
      <c r="K597">
        <v>0</v>
      </c>
      <c r="L597">
        <v>1</v>
      </c>
      <c r="M597">
        <v>1</v>
      </c>
      <c r="N597">
        <v>1</v>
      </c>
      <c r="O597">
        <v>1</v>
      </c>
      <c r="P597">
        <v>1</v>
      </c>
      <c r="Q597">
        <v>1</v>
      </c>
      <c r="R597">
        <v>1</v>
      </c>
    </row>
    <row r="598" spans="1:18" x14ac:dyDescent="0.2">
      <c r="A598" t="str">
        <f>"594"</f>
        <v>594</v>
      </c>
      <c r="B598" t="str">
        <f t="shared" si="32"/>
        <v>1</v>
      </c>
      <c r="C598" t="str">
        <f t="shared" si="33"/>
        <v>12</v>
      </c>
      <c r="D598" t="str">
        <f>"30"</f>
        <v>30</v>
      </c>
      <c r="E598" t="str">
        <f>"1-12-30"</f>
        <v>1-12-30</v>
      </c>
      <c r="F598" t="s">
        <v>65</v>
      </c>
      <c r="G598" t="s">
        <v>66</v>
      </c>
      <c r="H598" t="s">
        <v>68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1</v>
      </c>
      <c r="O598">
        <v>1</v>
      </c>
      <c r="P598">
        <v>1</v>
      </c>
      <c r="Q598">
        <v>0</v>
      </c>
      <c r="R598">
        <v>1</v>
      </c>
    </row>
    <row r="599" spans="1:18" x14ac:dyDescent="0.2">
      <c r="A599" t="str">
        <f>"595"</f>
        <v>595</v>
      </c>
      <c r="B599" t="str">
        <f t="shared" si="32"/>
        <v>1</v>
      </c>
      <c r="C599" t="str">
        <f t="shared" si="33"/>
        <v>12</v>
      </c>
      <c r="D599" t="str">
        <f>"16"</f>
        <v>16</v>
      </c>
      <c r="E599" t="str">
        <f>"1-12-16"</f>
        <v>1-12-16</v>
      </c>
      <c r="F599" t="s">
        <v>65</v>
      </c>
      <c r="G599" t="s">
        <v>66</v>
      </c>
      <c r="H599" t="s">
        <v>68</v>
      </c>
      <c r="I599">
        <v>1</v>
      </c>
      <c r="J599">
        <v>0</v>
      </c>
      <c r="K599">
        <v>0</v>
      </c>
      <c r="L599">
        <v>1</v>
      </c>
      <c r="M599">
        <v>1</v>
      </c>
      <c r="N599">
        <v>1</v>
      </c>
      <c r="O599">
        <v>0</v>
      </c>
      <c r="P599">
        <v>1</v>
      </c>
      <c r="Q599">
        <v>0</v>
      </c>
      <c r="R599">
        <v>1</v>
      </c>
    </row>
    <row r="600" spans="1:18" x14ac:dyDescent="0.2">
      <c r="A600" t="str">
        <f>"596"</f>
        <v>596</v>
      </c>
      <c r="B600" t="str">
        <f t="shared" si="32"/>
        <v>1</v>
      </c>
      <c r="C600" t="str">
        <f t="shared" si="33"/>
        <v>12</v>
      </c>
      <c r="D600" t="str">
        <f>"49"</f>
        <v>49</v>
      </c>
      <c r="E600" t="str">
        <f>"1-12-49"</f>
        <v>1-12-49</v>
      </c>
      <c r="F600" t="s">
        <v>65</v>
      </c>
      <c r="G600" t="s">
        <v>66</v>
      </c>
      <c r="H600" t="s">
        <v>68</v>
      </c>
      <c r="I600">
        <v>1</v>
      </c>
      <c r="J600">
        <v>0</v>
      </c>
      <c r="K600">
        <v>0</v>
      </c>
      <c r="L600">
        <v>1</v>
      </c>
      <c r="M600">
        <v>1</v>
      </c>
      <c r="N600">
        <v>1</v>
      </c>
      <c r="O600">
        <v>1</v>
      </c>
      <c r="P600">
        <v>1</v>
      </c>
      <c r="Q600">
        <v>1</v>
      </c>
      <c r="R600">
        <v>1</v>
      </c>
    </row>
    <row r="601" spans="1:18" x14ac:dyDescent="0.2">
      <c r="A601" t="str">
        <f>"597"</f>
        <v>597</v>
      </c>
      <c r="B601" t="str">
        <f t="shared" si="32"/>
        <v>1</v>
      </c>
      <c r="C601" t="str">
        <f t="shared" si="33"/>
        <v>12</v>
      </c>
      <c r="D601" t="str">
        <f>"48"</f>
        <v>48</v>
      </c>
      <c r="E601" t="str">
        <f>"1-12-48"</f>
        <v>1-12-48</v>
      </c>
      <c r="F601" t="s">
        <v>65</v>
      </c>
      <c r="G601" t="s">
        <v>66</v>
      </c>
      <c r="H601" t="s">
        <v>68</v>
      </c>
      <c r="I601">
        <v>0</v>
      </c>
      <c r="J601">
        <v>0</v>
      </c>
      <c r="K601">
        <v>0</v>
      </c>
      <c r="L601">
        <v>1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2">
      <c r="A602" t="str">
        <f>"598"</f>
        <v>598</v>
      </c>
      <c r="B602" t="str">
        <f t="shared" si="32"/>
        <v>1</v>
      </c>
      <c r="C602" t="str">
        <f t="shared" si="33"/>
        <v>12</v>
      </c>
      <c r="D602" t="str">
        <f>"34"</f>
        <v>34</v>
      </c>
      <c r="E602" t="str">
        <f>"1-12-34"</f>
        <v>1-12-34</v>
      </c>
      <c r="F602" t="s">
        <v>65</v>
      </c>
      <c r="G602" t="s">
        <v>66</v>
      </c>
      <c r="H602" t="s">
        <v>68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1</v>
      </c>
      <c r="O602">
        <v>1</v>
      </c>
      <c r="P602">
        <v>1</v>
      </c>
      <c r="Q602">
        <v>1</v>
      </c>
      <c r="R602">
        <v>1</v>
      </c>
    </row>
    <row r="603" spans="1:18" x14ac:dyDescent="0.2">
      <c r="A603" t="str">
        <f>"599"</f>
        <v>599</v>
      </c>
      <c r="B603" t="str">
        <f t="shared" si="32"/>
        <v>1</v>
      </c>
      <c r="C603" t="str">
        <f t="shared" si="33"/>
        <v>12</v>
      </c>
      <c r="D603" t="str">
        <f>"21"</f>
        <v>21</v>
      </c>
      <c r="E603" t="str">
        <f>"1-12-21"</f>
        <v>1-12-21</v>
      </c>
      <c r="F603" t="s">
        <v>65</v>
      </c>
      <c r="G603" t="s">
        <v>66</v>
      </c>
      <c r="H603" t="s">
        <v>68</v>
      </c>
      <c r="I603">
        <v>1</v>
      </c>
      <c r="J603">
        <v>0</v>
      </c>
      <c r="K603">
        <v>0</v>
      </c>
      <c r="L603">
        <v>1</v>
      </c>
      <c r="M603">
        <v>1</v>
      </c>
      <c r="N603">
        <v>1</v>
      </c>
      <c r="O603">
        <v>1</v>
      </c>
      <c r="P603">
        <v>1</v>
      </c>
      <c r="Q603">
        <v>1</v>
      </c>
      <c r="R603">
        <v>1</v>
      </c>
    </row>
    <row r="604" spans="1:18" x14ac:dyDescent="0.2">
      <c r="A604" t="str">
        <f>"600"</f>
        <v>600</v>
      </c>
      <c r="B604" t="str">
        <f t="shared" si="32"/>
        <v>1</v>
      </c>
      <c r="C604" t="str">
        <f t="shared" si="33"/>
        <v>12</v>
      </c>
      <c r="D604" t="str">
        <f>"1"</f>
        <v>1</v>
      </c>
      <c r="E604" t="str">
        <f>"1-12-1"</f>
        <v>1-12-1</v>
      </c>
      <c r="F604" t="s">
        <v>65</v>
      </c>
      <c r="G604" t="s">
        <v>66</v>
      </c>
      <c r="H604" t="s">
        <v>68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2">
      <c r="A605" t="str">
        <f>"601"</f>
        <v>601</v>
      </c>
      <c r="B605" t="str">
        <f t="shared" si="32"/>
        <v>1</v>
      </c>
      <c r="C605" t="str">
        <f t="shared" ref="C605:C636" si="34">"13"</f>
        <v>13</v>
      </c>
      <c r="D605" t="str">
        <f>"30"</f>
        <v>30</v>
      </c>
      <c r="E605" t="str">
        <f>"1-13-30"</f>
        <v>1-13-30</v>
      </c>
      <c r="F605" t="s">
        <v>65</v>
      </c>
      <c r="G605" t="s">
        <v>66</v>
      </c>
      <c r="H605" t="s">
        <v>68</v>
      </c>
      <c r="I605">
        <v>1</v>
      </c>
      <c r="J605">
        <v>0</v>
      </c>
      <c r="K605">
        <v>0</v>
      </c>
      <c r="L605">
        <v>1</v>
      </c>
      <c r="M605">
        <v>1</v>
      </c>
      <c r="N605">
        <v>1</v>
      </c>
      <c r="O605">
        <v>1</v>
      </c>
      <c r="P605">
        <v>1</v>
      </c>
      <c r="Q605">
        <v>1</v>
      </c>
      <c r="R605">
        <v>1</v>
      </c>
    </row>
    <row r="606" spans="1:18" x14ac:dyDescent="0.2">
      <c r="A606" t="str">
        <f>"602"</f>
        <v>602</v>
      </c>
      <c r="B606" t="str">
        <f t="shared" si="32"/>
        <v>1</v>
      </c>
      <c r="C606" t="str">
        <f t="shared" si="34"/>
        <v>13</v>
      </c>
      <c r="D606" t="str">
        <f>"29"</f>
        <v>29</v>
      </c>
      <c r="E606" t="str">
        <f>"1-13-29"</f>
        <v>1-13-29</v>
      </c>
      <c r="F606" t="s">
        <v>65</v>
      </c>
      <c r="G606" t="s">
        <v>66</v>
      </c>
      <c r="H606" t="s">
        <v>68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1</v>
      </c>
      <c r="O606">
        <v>1</v>
      </c>
      <c r="P606">
        <v>1</v>
      </c>
      <c r="Q606">
        <v>1</v>
      </c>
      <c r="R606">
        <v>1</v>
      </c>
    </row>
    <row r="607" spans="1:18" x14ac:dyDescent="0.2">
      <c r="A607" t="str">
        <f>"603"</f>
        <v>603</v>
      </c>
      <c r="B607" t="str">
        <f t="shared" si="32"/>
        <v>1</v>
      </c>
      <c r="C607" t="str">
        <f t="shared" si="34"/>
        <v>13</v>
      </c>
      <c r="D607" t="str">
        <f>"18"</f>
        <v>18</v>
      </c>
      <c r="E607" t="str">
        <f>"1-13-18"</f>
        <v>1-13-18</v>
      </c>
      <c r="F607" t="s">
        <v>65</v>
      </c>
      <c r="G607" t="s">
        <v>66</v>
      </c>
      <c r="H607" t="s">
        <v>68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1</v>
      </c>
      <c r="O607">
        <v>1</v>
      </c>
      <c r="P607">
        <v>1</v>
      </c>
      <c r="Q607">
        <v>1</v>
      </c>
      <c r="R607">
        <v>1</v>
      </c>
    </row>
    <row r="608" spans="1:18" x14ac:dyDescent="0.2">
      <c r="A608" t="str">
        <f>"604"</f>
        <v>604</v>
      </c>
      <c r="B608" t="str">
        <f t="shared" si="32"/>
        <v>1</v>
      </c>
      <c r="C608" t="str">
        <f t="shared" si="34"/>
        <v>13</v>
      </c>
      <c r="D608" t="str">
        <f>"15"</f>
        <v>15</v>
      </c>
      <c r="E608" t="str">
        <f>"1-13-15"</f>
        <v>1-13-15</v>
      </c>
      <c r="F608" t="s">
        <v>65</v>
      </c>
      <c r="G608" t="s">
        <v>66</v>
      </c>
      <c r="H608" t="s">
        <v>68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1</v>
      </c>
      <c r="O608">
        <v>1</v>
      </c>
      <c r="P608">
        <v>1</v>
      </c>
      <c r="Q608">
        <v>1</v>
      </c>
      <c r="R608">
        <v>1</v>
      </c>
    </row>
    <row r="609" spans="1:18" x14ac:dyDescent="0.2">
      <c r="A609" t="str">
        <f>"605"</f>
        <v>605</v>
      </c>
      <c r="B609" t="str">
        <f t="shared" si="32"/>
        <v>1</v>
      </c>
      <c r="C609" t="str">
        <f t="shared" si="34"/>
        <v>13</v>
      </c>
      <c r="D609" t="str">
        <f>"7"</f>
        <v>7</v>
      </c>
      <c r="E609" t="str">
        <f>"1-13-7"</f>
        <v>1-13-7</v>
      </c>
      <c r="F609" t="s">
        <v>65</v>
      </c>
      <c r="G609" t="s">
        <v>66</v>
      </c>
      <c r="H609" t="s">
        <v>68</v>
      </c>
      <c r="I609">
        <v>1</v>
      </c>
      <c r="J609">
        <v>1</v>
      </c>
      <c r="K609">
        <v>0</v>
      </c>
      <c r="L609">
        <v>0</v>
      </c>
      <c r="M609">
        <v>1</v>
      </c>
      <c r="N609">
        <v>1</v>
      </c>
      <c r="O609">
        <v>1</v>
      </c>
      <c r="P609">
        <v>1</v>
      </c>
      <c r="Q609">
        <v>1</v>
      </c>
      <c r="R609">
        <v>1</v>
      </c>
    </row>
    <row r="610" spans="1:18" x14ac:dyDescent="0.2">
      <c r="A610" t="str">
        <f>"606"</f>
        <v>606</v>
      </c>
      <c r="B610" t="str">
        <f t="shared" si="32"/>
        <v>1</v>
      </c>
      <c r="C610" t="str">
        <f t="shared" si="34"/>
        <v>13</v>
      </c>
      <c r="D610" t="str">
        <f>"44"</f>
        <v>44</v>
      </c>
      <c r="E610" t="str">
        <f>"1-13-44"</f>
        <v>1-13-44</v>
      </c>
      <c r="F610" t="s">
        <v>65</v>
      </c>
      <c r="G610" t="s">
        <v>66</v>
      </c>
      <c r="H610" t="s">
        <v>68</v>
      </c>
      <c r="I610">
        <v>1</v>
      </c>
      <c r="J610">
        <v>0</v>
      </c>
      <c r="K610">
        <v>0</v>
      </c>
      <c r="L610">
        <v>1</v>
      </c>
      <c r="M610">
        <v>1</v>
      </c>
      <c r="N610">
        <v>1</v>
      </c>
      <c r="O610">
        <v>0</v>
      </c>
      <c r="P610">
        <v>1</v>
      </c>
      <c r="Q610">
        <v>1</v>
      </c>
      <c r="R610">
        <v>1</v>
      </c>
    </row>
    <row r="611" spans="1:18" x14ac:dyDescent="0.2">
      <c r="A611" t="str">
        <f>"607"</f>
        <v>607</v>
      </c>
      <c r="B611" t="str">
        <f t="shared" si="32"/>
        <v>1</v>
      </c>
      <c r="C611" t="str">
        <f t="shared" si="34"/>
        <v>13</v>
      </c>
      <c r="D611" t="str">
        <f>"43"</f>
        <v>43</v>
      </c>
      <c r="E611" t="str">
        <f>"1-13-43"</f>
        <v>1-13-43</v>
      </c>
      <c r="F611" t="s">
        <v>65</v>
      </c>
      <c r="G611" t="s">
        <v>66</v>
      </c>
      <c r="H611" t="s">
        <v>68</v>
      </c>
      <c r="I611">
        <v>1</v>
      </c>
      <c r="J611">
        <v>0</v>
      </c>
      <c r="K611">
        <v>1</v>
      </c>
      <c r="L611">
        <v>0</v>
      </c>
      <c r="M611">
        <v>1</v>
      </c>
      <c r="N611">
        <v>1</v>
      </c>
      <c r="O611">
        <v>1</v>
      </c>
      <c r="P611">
        <v>1</v>
      </c>
      <c r="Q611">
        <v>1</v>
      </c>
      <c r="R611">
        <v>1</v>
      </c>
    </row>
    <row r="612" spans="1:18" x14ac:dyDescent="0.2">
      <c r="A612" t="str">
        <f>"608"</f>
        <v>608</v>
      </c>
      <c r="B612" t="str">
        <f t="shared" si="32"/>
        <v>1</v>
      </c>
      <c r="C612" t="str">
        <f t="shared" si="34"/>
        <v>13</v>
      </c>
      <c r="D612" t="str">
        <f>"34"</f>
        <v>34</v>
      </c>
      <c r="E612" t="str">
        <f>"1-13-34"</f>
        <v>1-13-34</v>
      </c>
      <c r="F612" t="s">
        <v>65</v>
      </c>
      <c r="G612" t="s">
        <v>66</v>
      </c>
      <c r="H612" t="s">
        <v>68</v>
      </c>
      <c r="I612">
        <v>1</v>
      </c>
      <c r="J612">
        <v>0</v>
      </c>
      <c r="K612">
        <v>0</v>
      </c>
      <c r="L612">
        <v>1</v>
      </c>
      <c r="M612">
        <v>1</v>
      </c>
      <c r="N612">
        <v>1</v>
      </c>
      <c r="O612">
        <v>1</v>
      </c>
      <c r="P612">
        <v>1</v>
      </c>
      <c r="Q612">
        <v>1</v>
      </c>
      <c r="R612">
        <v>1</v>
      </c>
    </row>
    <row r="613" spans="1:18" x14ac:dyDescent="0.2">
      <c r="A613" t="str">
        <f>"609"</f>
        <v>609</v>
      </c>
      <c r="B613" t="str">
        <f t="shared" si="32"/>
        <v>1</v>
      </c>
      <c r="C613" t="str">
        <f t="shared" si="34"/>
        <v>13</v>
      </c>
      <c r="D613" t="str">
        <f>"33"</f>
        <v>33</v>
      </c>
      <c r="E613" t="str">
        <f>"1-13-33"</f>
        <v>1-13-33</v>
      </c>
      <c r="F613" t="s">
        <v>65</v>
      </c>
      <c r="G613" t="s">
        <v>66</v>
      </c>
      <c r="H613" t="s">
        <v>68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1</v>
      </c>
      <c r="O613">
        <v>1</v>
      </c>
      <c r="P613">
        <v>1</v>
      </c>
      <c r="Q613">
        <v>1</v>
      </c>
      <c r="R613">
        <v>1</v>
      </c>
    </row>
    <row r="614" spans="1:18" x14ac:dyDescent="0.2">
      <c r="A614" t="str">
        <f>"610"</f>
        <v>610</v>
      </c>
      <c r="B614" t="str">
        <f t="shared" si="32"/>
        <v>1</v>
      </c>
      <c r="C614" t="str">
        <f t="shared" si="34"/>
        <v>13</v>
      </c>
      <c r="D614" t="str">
        <f>"23"</f>
        <v>23</v>
      </c>
      <c r="E614" t="str">
        <f>"1-13-23"</f>
        <v>1-13-23</v>
      </c>
      <c r="F614" t="s">
        <v>65</v>
      </c>
      <c r="G614" t="s">
        <v>66</v>
      </c>
      <c r="H614" t="s">
        <v>68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1</v>
      </c>
      <c r="O614">
        <v>1</v>
      </c>
      <c r="P614">
        <v>1</v>
      </c>
      <c r="Q614">
        <v>1</v>
      </c>
      <c r="R614">
        <v>1</v>
      </c>
    </row>
    <row r="615" spans="1:18" x14ac:dyDescent="0.2">
      <c r="A615" t="str">
        <f>"611"</f>
        <v>611</v>
      </c>
      <c r="B615" t="str">
        <f t="shared" si="32"/>
        <v>1</v>
      </c>
      <c r="C615" t="str">
        <f t="shared" si="34"/>
        <v>13</v>
      </c>
      <c r="D615" t="str">
        <f>"16"</f>
        <v>16</v>
      </c>
      <c r="E615" t="str">
        <f>"1-13-16"</f>
        <v>1-13-16</v>
      </c>
      <c r="F615" t="s">
        <v>65</v>
      </c>
      <c r="G615" t="s">
        <v>66</v>
      </c>
      <c r="H615" t="s">
        <v>68</v>
      </c>
      <c r="I615">
        <v>1</v>
      </c>
      <c r="J615">
        <v>0</v>
      </c>
      <c r="K615">
        <v>0</v>
      </c>
      <c r="L615">
        <v>1</v>
      </c>
      <c r="M615">
        <v>1</v>
      </c>
      <c r="N615">
        <v>1</v>
      </c>
      <c r="O615">
        <v>1</v>
      </c>
      <c r="P615">
        <v>1</v>
      </c>
      <c r="Q615">
        <v>1</v>
      </c>
      <c r="R615">
        <v>1</v>
      </c>
    </row>
    <row r="616" spans="1:18" x14ac:dyDescent="0.2">
      <c r="A616" t="str">
        <f>"612"</f>
        <v>612</v>
      </c>
      <c r="B616" t="str">
        <f t="shared" si="32"/>
        <v>1</v>
      </c>
      <c r="C616" t="str">
        <f t="shared" si="34"/>
        <v>13</v>
      </c>
      <c r="D616" t="str">
        <f>"6"</f>
        <v>6</v>
      </c>
      <c r="E616" t="str">
        <f>"1-13-6"</f>
        <v>1-13-6</v>
      </c>
      <c r="F616" t="s">
        <v>65</v>
      </c>
      <c r="G616" t="s">
        <v>66</v>
      </c>
      <c r="H616" t="s">
        <v>68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1</v>
      </c>
      <c r="O616">
        <v>1</v>
      </c>
      <c r="P616">
        <v>1</v>
      </c>
      <c r="Q616">
        <v>1</v>
      </c>
      <c r="R616">
        <v>1</v>
      </c>
    </row>
    <row r="617" spans="1:18" x14ac:dyDescent="0.2">
      <c r="A617" t="str">
        <f>"613"</f>
        <v>613</v>
      </c>
      <c r="B617" t="str">
        <f t="shared" si="32"/>
        <v>1</v>
      </c>
      <c r="C617" t="str">
        <f t="shared" si="34"/>
        <v>13</v>
      </c>
      <c r="D617" t="str">
        <f>"42"</f>
        <v>42</v>
      </c>
      <c r="E617" t="str">
        <f>"1-13-42"</f>
        <v>1-13-42</v>
      </c>
      <c r="F617" t="s">
        <v>65</v>
      </c>
      <c r="G617" t="s">
        <v>66</v>
      </c>
      <c r="H617" t="s">
        <v>68</v>
      </c>
      <c r="I617">
        <v>1</v>
      </c>
      <c r="J617">
        <v>0</v>
      </c>
      <c r="K617">
        <v>0</v>
      </c>
      <c r="L617">
        <v>1</v>
      </c>
      <c r="M617">
        <v>1</v>
      </c>
      <c r="N617">
        <v>1</v>
      </c>
      <c r="O617">
        <v>1</v>
      </c>
      <c r="P617">
        <v>1</v>
      </c>
      <c r="Q617">
        <v>1</v>
      </c>
      <c r="R617">
        <v>1</v>
      </c>
    </row>
    <row r="618" spans="1:18" x14ac:dyDescent="0.2">
      <c r="A618" t="str">
        <f>"614"</f>
        <v>614</v>
      </c>
      <c r="B618" t="str">
        <f t="shared" si="32"/>
        <v>1</v>
      </c>
      <c r="C618" t="str">
        <f t="shared" si="34"/>
        <v>13</v>
      </c>
      <c r="D618" t="str">
        <f>"41"</f>
        <v>41</v>
      </c>
      <c r="E618" t="str">
        <f>"1-13-41"</f>
        <v>1-13-41</v>
      </c>
      <c r="F618" t="s">
        <v>65</v>
      </c>
      <c r="G618" t="s">
        <v>66</v>
      </c>
      <c r="H618" t="s">
        <v>68</v>
      </c>
      <c r="I618">
        <v>1</v>
      </c>
      <c r="J618">
        <v>0</v>
      </c>
      <c r="K618">
        <v>1</v>
      </c>
      <c r="L618">
        <v>0</v>
      </c>
      <c r="M618">
        <v>1</v>
      </c>
      <c r="N618">
        <v>1</v>
      </c>
      <c r="O618">
        <v>1</v>
      </c>
      <c r="P618">
        <v>1</v>
      </c>
      <c r="Q618">
        <v>1</v>
      </c>
      <c r="R618">
        <v>1</v>
      </c>
    </row>
    <row r="619" spans="1:18" x14ac:dyDescent="0.2">
      <c r="A619" t="str">
        <f>"615"</f>
        <v>615</v>
      </c>
      <c r="B619" t="str">
        <f t="shared" si="32"/>
        <v>1</v>
      </c>
      <c r="C619" t="str">
        <f t="shared" si="34"/>
        <v>13</v>
      </c>
      <c r="D619" t="str">
        <f>"28"</f>
        <v>28</v>
      </c>
      <c r="E619" t="str">
        <f>"1-13-28"</f>
        <v>1-13-28</v>
      </c>
      <c r="F619" t="s">
        <v>65</v>
      </c>
      <c r="G619" t="s">
        <v>66</v>
      </c>
      <c r="H619" t="s">
        <v>68</v>
      </c>
      <c r="I619">
        <v>1</v>
      </c>
      <c r="J619">
        <v>0</v>
      </c>
      <c r="K619">
        <v>0</v>
      </c>
      <c r="L619">
        <v>1</v>
      </c>
      <c r="M619">
        <v>1</v>
      </c>
      <c r="N619">
        <v>1</v>
      </c>
      <c r="O619">
        <v>1</v>
      </c>
      <c r="P619">
        <v>1</v>
      </c>
      <c r="Q619">
        <v>1</v>
      </c>
      <c r="R619">
        <v>1</v>
      </c>
    </row>
    <row r="620" spans="1:18" x14ac:dyDescent="0.2">
      <c r="A620" t="str">
        <f>"616"</f>
        <v>616</v>
      </c>
      <c r="B620" t="str">
        <f t="shared" si="32"/>
        <v>1</v>
      </c>
      <c r="C620" t="str">
        <f t="shared" si="34"/>
        <v>13</v>
      </c>
      <c r="D620" t="str">
        <f>"17"</f>
        <v>17</v>
      </c>
      <c r="E620" t="str">
        <f>"1-13-17"</f>
        <v>1-13-17</v>
      </c>
      <c r="F620" t="s">
        <v>65</v>
      </c>
      <c r="G620" t="s">
        <v>66</v>
      </c>
      <c r="H620" t="s">
        <v>68</v>
      </c>
      <c r="I620">
        <v>0</v>
      </c>
      <c r="J620">
        <v>1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</row>
    <row r="621" spans="1:18" x14ac:dyDescent="0.2">
      <c r="A621" t="str">
        <f>"617"</f>
        <v>617</v>
      </c>
      <c r="B621" t="str">
        <f t="shared" si="32"/>
        <v>1</v>
      </c>
      <c r="C621" t="str">
        <f t="shared" si="34"/>
        <v>13</v>
      </c>
      <c r="D621" t="str">
        <f>"1"</f>
        <v>1</v>
      </c>
      <c r="E621" t="str">
        <f>"1-13-1"</f>
        <v>1-13-1</v>
      </c>
      <c r="F621" t="s">
        <v>65</v>
      </c>
      <c r="G621" t="s">
        <v>66</v>
      </c>
      <c r="H621" t="s">
        <v>68</v>
      </c>
      <c r="I621">
        <v>1</v>
      </c>
      <c r="J621">
        <v>0</v>
      </c>
      <c r="K621">
        <v>0</v>
      </c>
      <c r="L621">
        <v>1</v>
      </c>
      <c r="M621">
        <v>1</v>
      </c>
      <c r="N621">
        <v>1</v>
      </c>
      <c r="O621">
        <v>1</v>
      </c>
      <c r="P621">
        <v>1</v>
      </c>
      <c r="Q621">
        <v>1</v>
      </c>
      <c r="R621">
        <v>1</v>
      </c>
    </row>
    <row r="622" spans="1:18" x14ac:dyDescent="0.2">
      <c r="A622" t="str">
        <f>"618"</f>
        <v>618</v>
      </c>
      <c r="B622" t="str">
        <f t="shared" si="32"/>
        <v>1</v>
      </c>
      <c r="C622" t="str">
        <f t="shared" si="34"/>
        <v>13</v>
      </c>
      <c r="D622" t="str">
        <f>"38"</f>
        <v>38</v>
      </c>
      <c r="E622" t="str">
        <f>"1-13-38"</f>
        <v>1-13-38</v>
      </c>
      <c r="F622" t="s">
        <v>65</v>
      </c>
      <c r="G622" t="s">
        <v>66</v>
      </c>
      <c r="H622" t="s">
        <v>68</v>
      </c>
      <c r="I622">
        <v>1</v>
      </c>
      <c r="J622">
        <v>0</v>
      </c>
      <c r="K622">
        <v>0</v>
      </c>
      <c r="L622">
        <v>1</v>
      </c>
      <c r="M622">
        <v>1</v>
      </c>
      <c r="N622">
        <v>1</v>
      </c>
      <c r="O622">
        <v>1</v>
      </c>
      <c r="P622">
        <v>1</v>
      </c>
      <c r="Q622">
        <v>1</v>
      </c>
      <c r="R622">
        <v>1</v>
      </c>
    </row>
    <row r="623" spans="1:18" x14ac:dyDescent="0.2">
      <c r="A623" t="str">
        <f>"619"</f>
        <v>619</v>
      </c>
      <c r="B623" t="str">
        <f t="shared" si="32"/>
        <v>1</v>
      </c>
      <c r="C623" t="str">
        <f t="shared" si="34"/>
        <v>13</v>
      </c>
      <c r="D623" t="str">
        <f>"19"</f>
        <v>19</v>
      </c>
      <c r="E623" t="str">
        <f>"1-13-19"</f>
        <v>1-13-19</v>
      </c>
      <c r="F623" t="s">
        <v>65</v>
      </c>
      <c r="G623" t="s">
        <v>66</v>
      </c>
      <c r="H623" t="s">
        <v>68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1</v>
      </c>
      <c r="O623">
        <v>1</v>
      </c>
      <c r="P623">
        <v>1</v>
      </c>
      <c r="Q623">
        <v>1</v>
      </c>
      <c r="R623">
        <v>1</v>
      </c>
    </row>
    <row r="624" spans="1:18" x14ac:dyDescent="0.2">
      <c r="A624" t="str">
        <f>"620"</f>
        <v>620</v>
      </c>
      <c r="B624" t="str">
        <f t="shared" si="32"/>
        <v>1</v>
      </c>
      <c r="C624" t="str">
        <f t="shared" si="34"/>
        <v>13</v>
      </c>
      <c r="D624" t="str">
        <f>"13"</f>
        <v>13</v>
      </c>
      <c r="E624" t="str">
        <f>"1-13-13"</f>
        <v>1-13-13</v>
      </c>
      <c r="F624" t="s">
        <v>65</v>
      </c>
      <c r="G624" t="s">
        <v>66</v>
      </c>
      <c r="H624" t="s">
        <v>68</v>
      </c>
      <c r="I624">
        <v>1</v>
      </c>
      <c r="J624">
        <v>0</v>
      </c>
      <c r="K624">
        <v>0</v>
      </c>
      <c r="L624">
        <v>1</v>
      </c>
      <c r="M624">
        <v>1</v>
      </c>
      <c r="N624">
        <v>1</v>
      </c>
      <c r="O624">
        <v>1</v>
      </c>
      <c r="P624">
        <v>1</v>
      </c>
      <c r="Q624">
        <v>1</v>
      </c>
      <c r="R624">
        <v>1</v>
      </c>
    </row>
    <row r="625" spans="1:18" x14ac:dyDescent="0.2">
      <c r="A625" t="str">
        <f>"621"</f>
        <v>621</v>
      </c>
      <c r="B625" t="str">
        <f t="shared" si="32"/>
        <v>1</v>
      </c>
      <c r="C625" t="str">
        <f t="shared" si="34"/>
        <v>13</v>
      </c>
      <c r="D625" t="str">
        <f>"36"</f>
        <v>36</v>
      </c>
      <c r="E625" t="str">
        <f>"1-13-36"</f>
        <v>1-13-36</v>
      </c>
      <c r="F625" t="s">
        <v>65</v>
      </c>
      <c r="G625" t="s">
        <v>66</v>
      </c>
      <c r="H625" t="s">
        <v>68</v>
      </c>
      <c r="I625">
        <v>1</v>
      </c>
      <c r="J625">
        <v>0</v>
      </c>
      <c r="K625">
        <v>0</v>
      </c>
      <c r="L625">
        <v>1</v>
      </c>
      <c r="M625">
        <v>1</v>
      </c>
      <c r="N625">
        <v>1</v>
      </c>
      <c r="O625">
        <v>1</v>
      </c>
      <c r="P625">
        <v>1</v>
      </c>
      <c r="Q625">
        <v>1</v>
      </c>
      <c r="R625">
        <v>1</v>
      </c>
    </row>
    <row r="626" spans="1:18" x14ac:dyDescent="0.2">
      <c r="A626" t="str">
        <f>"622"</f>
        <v>622</v>
      </c>
      <c r="B626" t="str">
        <f t="shared" si="32"/>
        <v>1</v>
      </c>
      <c r="C626" t="str">
        <f t="shared" si="34"/>
        <v>13</v>
      </c>
      <c r="D626" t="str">
        <f>"20"</f>
        <v>20</v>
      </c>
      <c r="E626" t="str">
        <f>"1-13-20"</f>
        <v>1-13-20</v>
      </c>
      <c r="F626" t="s">
        <v>65</v>
      </c>
      <c r="G626" t="s">
        <v>66</v>
      </c>
      <c r="H626" t="s">
        <v>68</v>
      </c>
      <c r="I626">
        <v>1</v>
      </c>
      <c r="J626">
        <v>0</v>
      </c>
      <c r="K626">
        <v>1</v>
      </c>
      <c r="L626">
        <v>0</v>
      </c>
      <c r="M626">
        <v>1</v>
      </c>
      <c r="N626">
        <v>1</v>
      </c>
      <c r="O626">
        <v>1</v>
      </c>
      <c r="P626">
        <v>1</v>
      </c>
      <c r="Q626">
        <v>1</v>
      </c>
      <c r="R626">
        <v>1</v>
      </c>
    </row>
    <row r="627" spans="1:18" x14ac:dyDescent="0.2">
      <c r="A627" t="str">
        <f>"623"</f>
        <v>623</v>
      </c>
      <c r="B627" t="str">
        <f t="shared" si="32"/>
        <v>1</v>
      </c>
      <c r="C627" t="str">
        <f t="shared" si="34"/>
        <v>13</v>
      </c>
      <c r="D627" t="str">
        <f>"2"</f>
        <v>2</v>
      </c>
      <c r="E627" t="str">
        <f>"1-13-2"</f>
        <v>1-13-2</v>
      </c>
      <c r="F627" t="s">
        <v>65</v>
      </c>
      <c r="G627" t="s">
        <v>66</v>
      </c>
      <c r="H627" t="s">
        <v>68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1</v>
      </c>
      <c r="O627">
        <v>1</v>
      </c>
      <c r="P627">
        <v>1</v>
      </c>
      <c r="Q627">
        <v>1</v>
      </c>
      <c r="R627">
        <v>1</v>
      </c>
    </row>
    <row r="628" spans="1:18" x14ac:dyDescent="0.2">
      <c r="A628" t="str">
        <f>"624"</f>
        <v>624</v>
      </c>
      <c r="B628" t="str">
        <f t="shared" si="32"/>
        <v>1</v>
      </c>
      <c r="C628" t="str">
        <f t="shared" si="34"/>
        <v>13</v>
      </c>
      <c r="D628" t="str">
        <f>"49"</f>
        <v>49</v>
      </c>
      <c r="E628" t="str">
        <f>"1-13-49"</f>
        <v>1-13-49</v>
      </c>
      <c r="F628" t="s">
        <v>65</v>
      </c>
      <c r="G628" t="s">
        <v>66</v>
      </c>
      <c r="H628" t="s">
        <v>68</v>
      </c>
      <c r="I628">
        <v>1</v>
      </c>
      <c r="J628">
        <v>0</v>
      </c>
      <c r="K628">
        <v>1</v>
      </c>
      <c r="L628">
        <v>0</v>
      </c>
      <c r="M628">
        <v>1</v>
      </c>
      <c r="N628">
        <v>1</v>
      </c>
      <c r="O628">
        <v>1</v>
      </c>
      <c r="P628">
        <v>1</v>
      </c>
      <c r="Q628">
        <v>1</v>
      </c>
      <c r="R628">
        <v>1</v>
      </c>
    </row>
    <row r="629" spans="1:18" x14ac:dyDescent="0.2">
      <c r="A629" t="str">
        <f>"625"</f>
        <v>625</v>
      </c>
      <c r="B629" t="str">
        <f t="shared" si="32"/>
        <v>1</v>
      </c>
      <c r="C629" t="str">
        <f t="shared" si="34"/>
        <v>13</v>
      </c>
      <c r="D629" t="str">
        <f>"48"</f>
        <v>48</v>
      </c>
      <c r="E629" t="str">
        <f>"1-13-48"</f>
        <v>1-13-48</v>
      </c>
      <c r="F629" t="s">
        <v>65</v>
      </c>
      <c r="G629" t="s">
        <v>66</v>
      </c>
      <c r="H629" t="s">
        <v>68</v>
      </c>
      <c r="I629">
        <v>1</v>
      </c>
      <c r="J629">
        <v>0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1</v>
      </c>
      <c r="Q629">
        <v>1</v>
      </c>
      <c r="R629">
        <v>1</v>
      </c>
    </row>
    <row r="630" spans="1:18" x14ac:dyDescent="0.2">
      <c r="A630" t="str">
        <f>"626"</f>
        <v>626</v>
      </c>
      <c r="B630" t="str">
        <f t="shared" si="32"/>
        <v>1</v>
      </c>
      <c r="C630" t="str">
        <f t="shared" si="34"/>
        <v>13</v>
      </c>
      <c r="D630" t="str">
        <f>"37"</f>
        <v>37</v>
      </c>
      <c r="E630" t="str">
        <f>"1-13-37"</f>
        <v>1-13-37</v>
      </c>
      <c r="F630" t="s">
        <v>65</v>
      </c>
      <c r="G630" t="s">
        <v>66</v>
      </c>
      <c r="H630" t="s">
        <v>68</v>
      </c>
      <c r="I630">
        <v>1</v>
      </c>
      <c r="J630">
        <v>0</v>
      </c>
      <c r="K630">
        <v>1</v>
      </c>
      <c r="L630">
        <v>0</v>
      </c>
      <c r="M630">
        <v>1</v>
      </c>
      <c r="N630">
        <v>1</v>
      </c>
      <c r="O630">
        <v>1</v>
      </c>
      <c r="P630">
        <v>1</v>
      </c>
      <c r="Q630">
        <v>1</v>
      </c>
      <c r="R630">
        <v>1</v>
      </c>
    </row>
    <row r="631" spans="1:18" x14ac:dyDescent="0.2">
      <c r="A631" t="str">
        <f>"627"</f>
        <v>627</v>
      </c>
      <c r="B631" t="str">
        <f t="shared" ref="B631:B694" si="35">"1"</f>
        <v>1</v>
      </c>
      <c r="C631" t="str">
        <f t="shared" si="34"/>
        <v>13</v>
      </c>
      <c r="D631" t="str">
        <f>"21"</f>
        <v>21</v>
      </c>
      <c r="E631" t="str">
        <f>"1-13-21"</f>
        <v>1-13-21</v>
      </c>
      <c r="F631" t="s">
        <v>65</v>
      </c>
      <c r="G631" t="s">
        <v>66</v>
      </c>
      <c r="H631" t="s">
        <v>68</v>
      </c>
      <c r="I631">
        <v>1</v>
      </c>
      <c r="J631">
        <v>0</v>
      </c>
      <c r="K631">
        <v>1</v>
      </c>
      <c r="L631">
        <v>0</v>
      </c>
      <c r="M631">
        <v>1</v>
      </c>
      <c r="N631">
        <v>1</v>
      </c>
      <c r="O631">
        <v>1</v>
      </c>
      <c r="P631">
        <v>1</v>
      </c>
      <c r="Q631">
        <v>1</v>
      </c>
      <c r="R631">
        <v>1</v>
      </c>
    </row>
    <row r="632" spans="1:18" x14ac:dyDescent="0.2">
      <c r="A632" t="str">
        <f>"628"</f>
        <v>628</v>
      </c>
      <c r="B632" t="str">
        <f t="shared" si="35"/>
        <v>1</v>
      </c>
      <c r="C632" t="str">
        <f t="shared" si="34"/>
        <v>13</v>
      </c>
      <c r="D632" t="str">
        <f>"9"</f>
        <v>9</v>
      </c>
      <c r="E632" t="str">
        <f>"1-13-9"</f>
        <v>1-13-9</v>
      </c>
      <c r="F632" t="s">
        <v>65</v>
      </c>
      <c r="G632" t="s">
        <v>66</v>
      </c>
      <c r="H632" t="s">
        <v>68</v>
      </c>
      <c r="I632">
        <v>1</v>
      </c>
      <c r="J632">
        <v>1</v>
      </c>
      <c r="K632">
        <v>0</v>
      </c>
      <c r="L632">
        <v>0</v>
      </c>
      <c r="M632">
        <v>1</v>
      </c>
      <c r="N632">
        <v>1</v>
      </c>
      <c r="O632">
        <v>1</v>
      </c>
      <c r="P632">
        <v>1</v>
      </c>
      <c r="Q632">
        <v>1</v>
      </c>
      <c r="R632">
        <v>1</v>
      </c>
    </row>
    <row r="633" spans="1:18" x14ac:dyDescent="0.2">
      <c r="A633" t="str">
        <f>"629"</f>
        <v>629</v>
      </c>
      <c r="B633" t="str">
        <f t="shared" si="35"/>
        <v>1</v>
      </c>
      <c r="C633" t="str">
        <f t="shared" si="34"/>
        <v>13</v>
      </c>
      <c r="D633" t="str">
        <f>"39"</f>
        <v>39</v>
      </c>
      <c r="E633" t="str">
        <f>"1-13-39"</f>
        <v>1-13-39</v>
      </c>
      <c r="F633" t="s">
        <v>65</v>
      </c>
      <c r="G633" t="s">
        <v>66</v>
      </c>
      <c r="H633" t="s">
        <v>68</v>
      </c>
      <c r="I633">
        <v>1</v>
      </c>
      <c r="J633">
        <v>0</v>
      </c>
      <c r="K633">
        <v>0</v>
      </c>
      <c r="L633">
        <v>1</v>
      </c>
      <c r="M633">
        <v>1</v>
      </c>
      <c r="N633">
        <v>1</v>
      </c>
      <c r="O633">
        <v>1</v>
      </c>
      <c r="P633">
        <v>1</v>
      </c>
      <c r="Q633">
        <v>1</v>
      </c>
      <c r="R633">
        <v>1</v>
      </c>
    </row>
    <row r="634" spans="1:18" x14ac:dyDescent="0.2">
      <c r="A634" t="str">
        <f>"630"</f>
        <v>630</v>
      </c>
      <c r="B634" t="str">
        <f t="shared" si="35"/>
        <v>1</v>
      </c>
      <c r="C634" t="str">
        <f t="shared" si="34"/>
        <v>13</v>
      </c>
      <c r="D634" t="str">
        <f>"22"</f>
        <v>22</v>
      </c>
      <c r="E634" t="str">
        <f>"1-13-22"</f>
        <v>1-13-22</v>
      </c>
      <c r="F634" t="s">
        <v>65</v>
      </c>
      <c r="G634" t="s">
        <v>66</v>
      </c>
      <c r="H634" t="s">
        <v>68</v>
      </c>
      <c r="I634">
        <v>1</v>
      </c>
      <c r="J634">
        <v>1</v>
      </c>
      <c r="K634">
        <v>0</v>
      </c>
      <c r="L634">
        <v>0</v>
      </c>
      <c r="M634">
        <v>1</v>
      </c>
      <c r="N634">
        <v>1</v>
      </c>
      <c r="O634">
        <v>1</v>
      </c>
      <c r="P634">
        <v>1</v>
      </c>
      <c r="Q634">
        <v>1</v>
      </c>
      <c r="R634">
        <v>1</v>
      </c>
    </row>
    <row r="635" spans="1:18" x14ac:dyDescent="0.2">
      <c r="A635" t="str">
        <f>"631"</f>
        <v>631</v>
      </c>
      <c r="B635" t="str">
        <f t="shared" si="35"/>
        <v>1</v>
      </c>
      <c r="C635" t="str">
        <f t="shared" si="34"/>
        <v>13</v>
      </c>
      <c r="D635" t="str">
        <f>"12"</f>
        <v>12</v>
      </c>
      <c r="E635" t="str">
        <f>"1-13-12"</f>
        <v>1-13-12</v>
      </c>
      <c r="F635" t="s">
        <v>65</v>
      </c>
      <c r="G635" t="s">
        <v>66</v>
      </c>
      <c r="H635" t="s">
        <v>68</v>
      </c>
      <c r="I635">
        <v>1</v>
      </c>
      <c r="J635">
        <v>0</v>
      </c>
      <c r="K635">
        <v>1</v>
      </c>
      <c r="L635">
        <v>0</v>
      </c>
      <c r="M635">
        <v>1</v>
      </c>
      <c r="N635">
        <v>1</v>
      </c>
      <c r="O635">
        <v>1</v>
      </c>
      <c r="P635">
        <v>1</v>
      </c>
      <c r="Q635">
        <v>1</v>
      </c>
      <c r="R635">
        <v>1</v>
      </c>
    </row>
    <row r="636" spans="1:18" x14ac:dyDescent="0.2">
      <c r="A636" t="str">
        <f>"632"</f>
        <v>632</v>
      </c>
      <c r="B636" t="str">
        <f t="shared" si="35"/>
        <v>1</v>
      </c>
      <c r="C636" t="str">
        <f t="shared" si="34"/>
        <v>13</v>
      </c>
      <c r="D636" t="str">
        <f>"24"</f>
        <v>24</v>
      </c>
      <c r="E636" t="str">
        <f>"1-13-24"</f>
        <v>1-13-24</v>
      </c>
      <c r="F636" t="s">
        <v>65</v>
      </c>
      <c r="G636" t="s">
        <v>66</v>
      </c>
      <c r="H636" t="s">
        <v>68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1</v>
      </c>
      <c r="O636">
        <v>1</v>
      </c>
      <c r="P636">
        <v>1</v>
      </c>
      <c r="Q636">
        <v>1</v>
      </c>
      <c r="R636">
        <v>1</v>
      </c>
    </row>
    <row r="637" spans="1:18" x14ac:dyDescent="0.2">
      <c r="A637" t="str">
        <f>"633"</f>
        <v>633</v>
      </c>
      <c r="B637" t="str">
        <f t="shared" si="35"/>
        <v>1</v>
      </c>
      <c r="C637" t="str">
        <f t="shared" ref="C637:C654" si="36">"13"</f>
        <v>13</v>
      </c>
      <c r="D637" t="str">
        <f>"5"</f>
        <v>5</v>
      </c>
      <c r="E637" t="str">
        <f>"1-13-5"</f>
        <v>1-13-5</v>
      </c>
      <c r="F637" t="s">
        <v>65</v>
      </c>
      <c r="G637" t="s">
        <v>66</v>
      </c>
      <c r="H637" t="s">
        <v>68</v>
      </c>
      <c r="I637">
        <v>1</v>
      </c>
      <c r="J637">
        <v>0</v>
      </c>
      <c r="K637">
        <v>1</v>
      </c>
      <c r="L637">
        <v>0</v>
      </c>
      <c r="M637">
        <v>1</v>
      </c>
      <c r="N637">
        <v>1</v>
      </c>
      <c r="O637">
        <v>0</v>
      </c>
      <c r="P637">
        <v>0</v>
      </c>
      <c r="Q637">
        <v>0</v>
      </c>
      <c r="R637">
        <v>0</v>
      </c>
    </row>
    <row r="638" spans="1:18" x14ac:dyDescent="0.2">
      <c r="A638" t="str">
        <f>"634"</f>
        <v>634</v>
      </c>
      <c r="B638" t="str">
        <f t="shared" si="35"/>
        <v>1</v>
      </c>
      <c r="C638" t="str">
        <f t="shared" si="36"/>
        <v>13</v>
      </c>
      <c r="D638" t="str">
        <f>"47"</f>
        <v>47</v>
      </c>
      <c r="E638" t="str">
        <f>"1-13-47"</f>
        <v>1-13-47</v>
      </c>
      <c r="F638" t="s">
        <v>65</v>
      </c>
      <c r="G638" t="s">
        <v>66</v>
      </c>
      <c r="H638" t="s">
        <v>68</v>
      </c>
      <c r="I638">
        <v>1</v>
      </c>
      <c r="J638">
        <v>0</v>
      </c>
      <c r="K638">
        <v>0</v>
      </c>
      <c r="L638">
        <v>1</v>
      </c>
      <c r="M638">
        <v>1</v>
      </c>
      <c r="N638">
        <v>1</v>
      </c>
      <c r="O638">
        <v>1</v>
      </c>
      <c r="P638">
        <v>1</v>
      </c>
      <c r="Q638">
        <v>1</v>
      </c>
      <c r="R638">
        <v>1</v>
      </c>
    </row>
    <row r="639" spans="1:18" x14ac:dyDescent="0.2">
      <c r="A639" t="str">
        <f>"635"</f>
        <v>635</v>
      </c>
      <c r="B639" t="str">
        <f t="shared" si="35"/>
        <v>1</v>
      </c>
      <c r="C639" t="str">
        <f t="shared" si="36"/>
        <v>13</v>
      </c>
      <c r="D639" t="str">
        <f>"25"</f>
        <v>25</v>
      </c>
      <c r="E639" t="str">
        <f>"1-13-25"</f>
        <v>1-13-25</v>
      </c>
      <c r="F639" t="s">
        <v>65</v>
      </c>
      <c r="G639" t="s">
        <v>66</v>
      </c>
      <c r="H639" t="s">
        <v>68</v>
      </c>
      <c r="I639">
        <v>1</v>
      </c>
      <c r="J639">
        <v>0</v>
      </c>
      <c r="K639">
        <v>0</v>
      </c>
      <c r="L639">
        <v>1</v>
      </c>
      <c r="M639">
        <v>1</v>
      </c>
      <c r="N639">
        <v>1</v>
      </c>
      <c r="O639">
        <v>1</v>
      </c>
      <c r="P639">
        <v>1</v>
      </c>
      <c r="Q639">
        <v>1</v>
      </c>
      <c r="R639">
        <v>1</v>
      </c>
    </row>
    <row r="640" spans="1:18" x14ac:dyDescent="0.2">
      <c r="A640" t="str">
        <f>"636"</f>
        <v>636</v>
      </c>
      <c r="B640" t="str">
        <f t="shared" si="35"/>
        <v>1</v>
      </c>
      <c r="C640" t="str">
        <f t="shared" si="36"/>
        <v>13</v>
      </c>
      <c r="D640" t="str">
        <f>"8"</f>
        <v>8</v>
      </c>
      <c r="E640" t="str">
        <f>"1-13-8"</f>
        <v>1-13-8</v>
      </c>
      <c r="F640" t="s">
        <v>65</v>
      </c>
      <c r="G640" t="s">
        <v>66</v>
      </c>
      <c r="H640" t="s">
        <v>68</v>
      </c>
      <c r="I640">
        <v>1</v>
      </c>
      <c r="J640">
        <v>0</v>
      </c>
      <c r="K640">
        <v>1</v>
      </c>
      <c r="L640">
        <v>0</v>
      </c>
      <c r="M640">
        <v>1</v>
      </c>
      <c r="N640">
        <v>1</v>
      </c>
      <c r="O640">
        <v>1</v>
      </c>
      <c r="P640">
        <v>1</v>
      </c>
      <c r="Q640">
        <v>1</v>
      </c>
      <c r="R640">
        <v>1</v>
      </c>
    </row>
    <row r="641" spans="1:18" x14ac:dyDescent="0.2">
      <c r="A641" t="str">
        <f>"637"</f>
        <v>637</v>
      </c>
      <c r="B641" t="str">
        <f t="shared" si="35"/>
        <v>1</v>
      </c>
      <c r="C641" t="str">
        <f t="shared" si="36"/>
        <v>13</v>
      </c>
      <c r="D641" t="str">
        <f>"46"</f>
        <v>46</v>
      </c>
      <c r="E641" t="str">
        <f>"1-13-46"</f>
        <v>1-13-46</v>
      </c>
      <c r="F641" t="s">
        <v>65</v>
      </c>
      <c r="G641" t="s">
        <v>66</v>
      </c>
      <c r="H641" t="s">
        <v>68</v>
      </c>
      <c r="I641">
        <v>1</v>
      </c>
      <c r="J641">
        <v>0</v>
      </c>
      <c r="K641">
        <v>0</v>
      </c>
      <c r="L641">
        <v>1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1</v>
      </c>
    </row>
    <row r="642" spans="1:18" x14ac:dyDescent="0.2">
      <c r="A642" t="str">
        <f>"638"</f>
        <v>638</v>
      </c>
      <c r="B642" t="str">
        <f t="shared" si="35"/>
        <v>1</v>
      </c>
      <c r="C642" t="str">
        <f t="shared" si="36"/>
        <v>13</v>
      </c>
      <c r="D642" t="str">
        <f>"26"</f>
        <v>26</v>
      </c>
      <c r="E642" t="str">
        <f>"1-13-26"</f>
        <v>1-13-26</v>
      </c>
      <c r="F642" t="s">
        <v>65</v>
      </c>
      <c r="G642" t="s">
        <v>66</v>
      </c>
      <c r="H642" t="s">
        <v>68</v>
      </c>
      <c r="I642">
        <v>1</v>
      </c>
      <c r="J642">
        <v>0</v>
      </c>
      <c r="K642">
        <v>0</v>
      </c>
      <c r="L642">
        <v>1</v>
      </c>
      <c r="M642">
        <v>1</v>
      </c>
      <c r="N642">
        <v>1</v>
      </c>
      <c r="O642">
        <v>1</v>
      </c>
      <c r="P642">
        <v>1</v>
      </c>
      <c r="Q642">
        <v>1</v>
      </c>
      <c r="R642">
        <v>1</v>
      </c>
    </row>
    <row r="643" spans="1:18" x14ac:dyDescent="0.2">
      <c r="A643" t="str">
        <f>"639"</f>
        <v>639</v>
      </c>
      <c r="B643" t="str">
        <f t="shared" si="35"/>
        <v>1</v>
      </c>
      <c r="C643" t="str">
        <f t="shared" si="36"/>
        <v>13</v>
      </c>
      <c r="D643" t="str">
        <f>"3"</f>
        <v>3</v>
      </c>
      <c r="E643" t="str">
        <f>"1-13-3"</f>
        <v>1-13-3</v>
      </c>
      <c r="F643" t="s">
        <v>65</v>
      </c>
      <c r="G643" t="s">
        <v>66</v>
      </c>
      <c r="H643" t="s">
        <v>68</v>
      </c>
      <c r="I643">
        <v>1</v>
      </c>
      <c r="J643">
        <v>0</v>
      </c>
      <c r="K643">
        <v>0</v>
      </c>
      <c r="L643">
        <v>1</v>
      </c>
      <c r="M643">
        <v>1</v>
      </c>
      <c r="N643">
        <v>1</v>
      </c>
      <c r="O643">
        <v>1</v>
      </c>
      <c r="P643">
        <v>1</v>
      </c>
      <c r="Q643">
        <v>1</v>
      </c>
      <c r="R643">
        <v>1</v>
      </c>
    </row>
    <row r="644" spans="1:18" x14ac:dyDescent="0.2">
      <c r="A644" t="str">
        <f>"640"</f>
        <v>640</v>
      </c>
      <c r="B644" t="str">
        <f t="shared" si="35"/>
        <v>1</v>
      </c>
      <c r="C644" t="str">
        <f t="shared" si="36"/>
        <v>13</v>
      </c>
      <c r="D644" t="str">
        <f>"45"</f>
        <v>45</v>
      </c>
      <c r="E644" t="str">
        <f>"1-13-45"</f>
        <v>1-13-45</v>
      </c>
      <c r="F644" t="s">
        <v>65</v>
      </c>
      <c r="G644" t="s">
        <v>66</v>
      </c>
      <c r="H644" t="s">
        <v>68</v>
      </c>
      <c r="I644">
        <v>1</v>
      </c>
      <c r="J644">
        <v>0</v>
      </c>
      <c r="K644">
        <v>1</v>
      </c>
      <c r="L644">
        <v>0</v>
      </c>
      <c r="M644">
        <v>1</v>
      </c>
      <c r="N644">
        <v>1</v>
      </c>
      <c r="O644">
        <v>1</v>
      </c>
      <c r="P644">
        <v>1</v>
      </c>
      <c r="Q644">
        <v>0</v>
      </c>
      <c r="R644">
        <v>1</v>
      </c>
    </row>
    <row r="645" spans="1:18" x14ac:dyDescent="0.2">
      <c r="A645" t="str">
        <f>"641"</f>
        <v>641</v>
      </c>
      <c r="B645" t="str">
        <f t="shared" si="35"/>
        <v>1</v>
      </c>
      <c r="C645" t="str">
        <f t="shared" si="36"/>
        <v>13</v>
      </c>
      <c r="D645" t="str">
        <f>"27"</f>
        <v>27</v>
      </c>
      <c r="E645" t="str">
        <f>"1-13-27"</f>
        <v>1-13-27</v>
      </c>
      <c r="F645" t="s">
        <v>65</v>
      </c>
      <c r="G645" t="s">
        <v>66</v>
      </c>
      <c r="H645" t="s">
        <v>68</v>
      </c>
      <c r="I645">
        <v>1</v>
      </c>
      <c r="J645">
        <v>0</v>
      </c>
      <c r="K645">
        <v>0</v>
      </c>
      <c r="L645">
        <v>1</v>
      </c>
      <c r="M645">
        <v>1</v>
      </c>
      <c r="N645">
        <v>1</v>
      </c>
      <c r="O645">
        <v>1</v>
      </c>
      <c r="P645">
        <v>1</v>
      </c>
      <c r="Q645">
        <v>1</v>
      </c>
      <c r="R645">
        <v>1</v>
      </c>
    </row>
    <row r="646" spans="1:18" x14ac:dyDescent="0.2">
      <c r="A646" t="str">
        <f>"642"</f>
        <v>642</v>
      </c>
      <c r="B646" t="str">
        <f t="shared" si="35"/>
        <v>1</v>
      </c>
      <c r="C646" t="str">
        <f t="shared" si="36"/>
        <v>13</v>
      </c>
      <c r="D646" t="str">
        <f>"10"</f>
        <v>10</v>
      </c>
      <c r="E646" t="str">
        <f>"1-13-10"</f>
        <v>1-13-10</v>
      </c>
      <c r="F646" t="s">
        <v>65</v>
      </c>
      <c r="G646" t="s">
        <v>66</v>
      </c>
      <c r="H646" t="s">
        <v>68</v>
      </c>
      <c r="I646">
        <v>1</v>
      </c>
      <c r="J646">
        <v>0</v>
      </c>
      <c r="K646">
        <v>0</v>
      </c>
      <c r="L646">
        <v>1</v>
      </c>
      <c r="M646">
        <v>1</v>
      </c>
      <c r="N646">
        <v>1</v>
      </c>
      <c r="O646">
        <v>1</v>
      </c>
      <c r="P646">
        <v>1</v>
      </c>
      <c r="Q646">
        <v>1</v>
      </c>
      <c r="R646">
        <v>1</v>
      </c>
    </row>
    <row r="647" spans="1:18" x14ac:dyDescent="0.2">
      <c r="A647" t="str">
        <f>"643"</f>
        <v>643</v>
      </c>
      <c r="B647" t="str">
        <f t="shared" si="35"/>
        <v>1</v>
      </c>
      <c r="C647" t="str">
        <f t="shared" si="36"/>
        <v>13</v>
      </c>
      <c r="D647" t="str">
        <f>"50"</f>
        <v>50</v>
      </c>
      <c r="E647" t="str">
        <f>"1-13-50"</f>
        <v>1-13-50</v>
      </c>
      <c r="F647" t="s">
        <v>65</v>
      </c>
      <c r="G647" t="s">
        <v>66</v>
      </c>
      <c r="H647" t="s">
        <v>68</v>
      </c>
      <c r="I647">
        <v>1</v>
      </c>
      <c r="J647">
        <v>0</v>
      </c>
      <c r="K647">
        <v>0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1</v>
      </c>
      <c r="R647">
        <v>1</v>
      </c>
    </row>
    <row r="648" spans="1:18" x14ac:dyDescent="0.2">
      <c r="A648" t="str">
        <f>"644"</f>
        <v>644</v>
      </c>
      <c r="B648" t="str">
        <f t="shared" si="35"/>
        <v>1</v>
      </c>
      <c r="C648" t="str">
        <f t="shared" si="36"/>
        <v>13</v>
      </c>
      <c r="D648" t="str">
        <f>"31"</f>
        <v>31</v>
      </c>
      <c r="E648" t="str">
        <f>"1-13-31"</f>
        <v>1-13-31</v>
      </c>
      <c r="F648" t="s">
        <v>65</v>
      </c>
      <c r="G648" t="s">
        <v>66</v>
      </c>
      <c r="H648" t="s">
        <v>68</v>
      </c>
      <c r="I648">
        <v>1</v>
      </c>
      <c r="J648">
        <v>0</v>
      </c>
      <c r="K648">
        <v>0</v>
      </c>
      <c r="L648">
        <v>1</v>
      </c>
      <c r="M648">
        <v>1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2">
      <c r="A649" t="str">
        <f>"645"</f>
        <v>645</v>
      </c>
      <c r="B649" t="str">
        <f t="shared" si="35"/>
        <v>1</v>
      </c>
      <c r="C649" t="str">
        <f t="shared" si="36"/>
        <v>13</v>
      </c>
      <c r="D649" t="str">
        <f>"14"</f>
        <v>14</v>
      </c>
      <c r="E649" t="str">
        <f>"1-13-14"</f>
        <v>1-13-14</v>
      </c>
      <c r="F649" t="s">
        <v>65</v>
      </c>
      <c r="G649" t="s">
        <v>66</v>
      </c>
      <c r="H649" t="s">
        <v>68</v>
      </c>
      <c r="I649">
        <v>1</v>
      </c>
      <c r="J649">
        <v>0</v>
      </c>
      <c r="K649">
        <v>0</v>
      </c>
      <c r="L649">
        <v>1</v>
      </c>
      <c r="M649">
        <v>1</v>
      </c>
      <c r="N649">
        <v>1</v>
      </c>
      <c r="O649">
        <v>1</v>
      </c>
      <c r="P649">
        <v>1</v>
      </c>
      <c r="Q649">
        <v>1</v>
      </c>
      <c r="R649">
        <v>1</v>
      </c>
    </row>
    <row r="650" spans="1:18" x14ac:dyDescent="0.2">
      <c r="A650" t="str">
        <f>"646"</f>
        <v>646</v>
      </c>
      <c r="B650" t="str">
        <f t="shared" si="35"/>
        <v>1</v>
      </c>
      <c r="C650" t="str">
        <f t="shared" si="36"/>
        <v>13</v>
      </c>
      <c r="D650" t="str">
        <f>"40"</f>
        <v>40</v>
      </c>
      <c r="E650" t="str">
        <f>"1-13-40"</f>
        <v>1-13-40</v>
      </c>
      <c r="F650" t="s">
        <v>65</v>
      </c>
      <c r="G650" t="s">
        <v>66</v>
      </c>
      <c r="H650" t="s">
        <v>68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1</v>
      </c>
      <c r="O650">
        <v>0</v>
      </c>
      <c r="P650">
        <v>1</v>
      </c>
      <c r="Q650">
        <v>0</v>
      </c>
      <c r="R650">
        <v>1</v>
      </c>
    </row>
    <row r="651" spans="1:18" x14ac:dyDescent="0.2">
      <c r="A651" t="str">
        <f>"647"</f>
        <v>647</v>
      </c>
      <c r="B651" t="str">
        <f t="shared" si="35"/>
        <v>1</v>
      </c>
      <c r="C651" t="str">
        <f t="shared" si="36"/>
        <v>13</v>
      </c>
      <c r="D651" t="str">
        <f>"32"</f>
        <v>32</v>
      </c>
      <c r="E651" t="str">
        <f>"1-13-32"</f>
        <v>1-13-32</v>
      </c>
      <c r="F651" t="s">
        <v>65</v>
      </c>
      <c r="G651" t="s">
        <v>66</v>
      </c>
      <c r="H651" t="s">
        <v>68</v>
      </c>
      <c r="I651">
        <v>1</v>
      </c>
      <c r="J651">
        <v>0</v>
      </c>
      <c r="K651">
        <v>0</v>
      </c>
      <c r="L651">
        <v>1</v>
      </c>
      <c r="M651">
        <v>1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2">
      <c r="A652" t="str">
        <f>"648"</f>
        <v>648</v>
      </c>
      <c r="B652" t="str">
        <f t="shared" si="35"/>
        <v>1</v>
      </c>
      <c r="C652" t="str">
        <f t="shared" si="36"/>
        <v>13</v>
      </c>
      <c r="D652" t="str">
        <f>"11"</f>
        <v>11</v>
      </c>
      <c r="E652" t="str">
        <f>"1-13-11"</f>
        <v>1-13-11</v>
      </c>
      <c r="F652" t="s">
        <v>65</v>
      </c>
      <c r="G652" t="s">
        <v>66</v>
      </c>
      <c r="H652" t="s">
        <v>68</v>
      </c>
      <c r="I652">
        <v>1</v>
      </c>
      <c r="J652">
        <v>0</v>
      </c>
      <c r="K652">
        <v>0</v>
      </c>
      <c r="L652">
        <v>1</v>
      </c>
      <c r="M652">
        <v>1</v>
      </c>
      <c r="N652">
        <v>1</v>
      </c>
      <c r="O652">
        <v>1</v>
      </c>
      <c r="P652">
        <v>1</v>
      </c>
      <c r="Q652">
        <v>1</v>
      </c>
      <c r="R652">
        <v>1</v>
      </c>
    </row>
    <row r="653" spans="1:18" x14ac:dyDescent="0.2">
      <c r="A653" t="str">
        <f>"649"</f>
        <v>649</v>
      </c>
      <c r="B653" t="str">
        <f t="shared" si="35"/>
        <v>1</v>
      </c>
      <c r="C653" t="str">
        <f t="shared" si="36"/>
        <v>13</v>
      </c>
      <c r="D653" t="str">
        <f>"35"</f>
        <v>35</v>
      </c>
      <c r="E653" t="str">
        <f>"1-13-35"</f>
        <v>1-13-35</v>
      </c>
      <c r="F653" t="s">
        <v>65</v>
      </c>
      <c r="G653" t="s">
        <v>66</v>
      </c>
      <c r="H653" t="s">
        <v>68</v>
      </c>
      <c r="I653">
        <v>1</v>
      </c>
      <c r="J653">
        <v>0</v>
      </c>
      <c r="K653">
        <v>0</v>
      </c>
      <c r="L653">
        <v>1</v>
      </c>
      <c r="M653">
        <v>1</v>
      </c>
      <c r="N653">
        <v>1</v>
      </c>
      <c r="O653">
        <v>1</v>
      </c>
      <c r="P653">
        <v>1</v>
      </c>
      <c r="Q653">
        <v>1</v>
      </c>
      <c r="R653">
        <v>1</v>
      </c>
    </row>
    <row r="654" spans="1:18" x14ac:dyDescent="0.2">
      <c r="A654" t="str">
        <f>"650"</f>
        <v>650</v>
      </c>
      <c r="B654" t="str">
        <f t="shared" si="35"/>
        <v>1</v>
      </c>
      <c r="C654" t="str">
        <f t="shared" si="36"/>
        <v>13</v>
      </c>
      <c r="D654" t="str">
        <f>"4"</f>
        <v>4</v>
      </c>
      <c r="E654" t="str">
        <f>"1-13-4"</f>
        <v>1-13-4</v>
      </c>
      <c r="F654" t="s">
        <v>65</v>
      </c>
      <c r="G654" t="s">
        <v>66</v>
      </c>
      <c r="H654" t="s">
        <v>68</v>
      </c>
      <c r="I654">
        <v>1</v>
      </c>
      <c r="J654">
        <v>0</v>
      </c>
      <c r="K654">
        <v>0</v>
      </c>
      <c r="L654">
        <v>1</v>
      </c>
      <c r="M654">
        <v>1</v>
      </c>
      <c r="N654">
        <v>1</v>
      </c>
      <c r="O654">
        <v>1</v>
      </c>
      <c r="P654">
        <v>1</v>
      </c>
      <c r="Q654">
        <v>1</v>
      </c>
      <c r="R654">
        <v>1</v>
      </c>
    </row>
    <row r="655" spans="1:18" x14ac:dyDescent="0.2">
      <c r="A655" t="str">
        <f>"651"</f>
        <v>651</v>
      </c>
      <c r="B655" t="str">
        <f t="shared" si="35"/>
        <v>1</v>
      </c>
      <c r="C655" t="str">
        <f t="shared" ref="C655:C686" si="37">"14"</f>
        <v>14</v>
      </c>
      <c r="D655" t="str">
        <f>"40"</f>
        <v>40</v>
      </c>
      <c r="E655" t="str">
        <f>"1-14-40"</f>
        <v>1-14-40</v>
      </c>
      <c r="F655" t="s">
        <v>65</v>
      </c>
      <c r="G655" t="s">
        <v>66</v>
      </c>
      <c r="H655" t="s">
        <v>68</v>
      </c>
      <c r="I655">
        <v>1</v>
      </c>
      <c r="J655">
        <v>0</v>
      </c>
      <c r="K655">
        <v>0</v>
      </c>
      <c r="L655">
        <v>1</v>
      </c>
      <c r="M655">
        <v>1</v>
      </c>
      <c r="N655">
        <v>1</v>
      </c>
      <c r="O655">
        <v>1</v>
      </c>
      <c r="P655">
        <v>1</v>
      </c>
      <c r="Q655">
        <v>1</v>
      </c>
      <c r="R655">
        <v>1</v>
      </c>
    </row>
    <row r="656" spans="1:18" x14ac:dyDescent="0.2">
      <c r="A656" t="str">
        <f>"652"</f>
        <v>652</v>
      </c>
      <c r="B656" t="str">
        <f t="shared" si="35"/>
        <v>1</v>
      </c>
      <c r="C656" t="str">
        <f t="shared" si="37"/>
        <v>14</v>
      </c>
      <c r="D656" t="str">
        <f>"39"</f>
        <v>39</v>
      </c>
      <c r="E656" t="str">
        <f>"1-14-39"</f>
        <v>1-14-39</v>
      </c>
      <c r="F656" t="s">
        <v>65</v>
      </c>
      <c r="G656" t="s">
        <v>66</v>
      </c>
      <c r="H656" t="s">
        <v>68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1</v>
      </c>
      <c r="O656">
        <v>1</v>
      </c>
      <c r="P656">
        <v>1</v>
      </c>
      <c r="Q656">
        <v>1</v>
      </c>
      <c r="R656">
        <v>1</v>
      </c>
    </row>
    <row r="657" spans="1:18" x14ac:dyDescent="0.2">
      <c r="A657" t="str">
        <f>"653"</f>
        <v>653</v>
      </c>
      <c r="B657" t="str">
        <f t="shared" si="35"/>
        <v>1</v>
      </c>
      <c r="C657" t="str">
        <f t="shared" si="37"/>
        <v>14</v>
      </c>
      <c r="D657" t="str">
        <f>"30"</f>
        <v>30</v>
      </c>
      <c r="E657" t="str">
        <f>"1-14-30"</f>
        <v>1-14-30</v>
      </c>
      <c r="F657" t="s">
        <v>65</v>
      </c>
      <c r="G657" t="s">
        <v>66</v>
      </c>
      <c r="H657" t="s">
        <v>68</v>
      </c>
      <c r="I657">
        <v>1</v>
      </c>
      <c r="J657">
        <v>0</v>
      </c>
      <c r="K657">
        <v>1</v>
      </c>
      <c r="L657">
        <v>0</v>
      </c>
      <c r="M657">
        <v>1</v>
      </c>
      <c r="N657">
        <v>1</v>
      </c>
      <c r="O657">
        <v>1</v>
      </c>
      <c r="P657">
        <v>1</v>
      </c>
      <c r="Q657">
        <v>1</v>
      </c>
      <c r="R657">
        <v>1</v>
      </c>
    </row>
    <row r="658" spans="1:18" x14ac:dyDescent="0.2">
      <c r="A658" t="str">
        <f>"654"</f>
        <v>654</v>
      </c>
      <c r="B658" t="str">
        <f t="shared" si="35"/>
        <v>1</v>
      </c>
      <c r="C658" t="str">
        <f t="shared" si="37"/>
        <v>14</v>
      </c>
      <c r="D658" t="str">
        <f>"15"</f>
        <v>15</v>
      </c>
      <c r="E658" t="str">
        <f>"1-14-15"</f>
        <v>1-14-15</v>
      </c>
      <c r="F658" t="s">
        <v>65</v>
      </c>
      <c r="G658" t="s">
        <v>66</v>
      </c>
      <c r="H658" t="s">
        <v>68</v>
      </c>
      <c r="I658">
        <v>1</v>
      </c>
      <c r="J658">
        <v>0</v>
      </c>
      <c r="K658">
        <v>0</v>
      </c>
      <c r="L658">
        <v>1</v>
      </c>
      <c r="M658">
        <v>1</v>
      </c>
      <c r="N658">
        <v>1</v>
      </c>
      <c r="O658">
        <v>1</v>
      </c>
      <c r="P658">
        <v>1</v>
      </c>
      <c r="Q658">
        <v>1</v>
      </c>
      <c r="R658">
        <v>1</v>
      </c>
    </row>
    <row r="659" spans="1:18" x14ac:dyDescent="0.2">
      <c r="A659" t="str">
        <f>"655"</f>
        <v>655</v>
      </c>
      <c r="B659" t="str">
        <f t="shared" si="35"/>
        <v>1</v>
      </c>
      <c r="C659" t="str">
        <f t="shared" si="37"/>
        <v>14</v>
      </c>
      <c r="D659" t="str">
        <f>"3"</f>
        <v>3</v>
      </c>
      <c r="E659" t="str">
        <f>"1-14-3"</f>
        <v>1-14-3</v>
      </c>
      <c r="F659" t="s">
        <v>65</v>
      </c>
      <c r="G659" t="s">
        <v>66</v>
      </c>
      <c r="H659" t="s">
        <v>68</v>
      </c>
      <c r="I659">
        <v>1</v>
      </c>
      <c r="J659">
        <v>0</v>
      </c>
      <c r="K659">
        <v>1</v>
      </c>
      <c r="L659">
        <v>0</v>
      </c>
      <c r="M659">
        <v>1</v>
      </c>
      <c r="N659">
        <v>1</v>
      </c>
      <c r="O659">
        <v>1</v>
      </c>
      <c r="P659">
        <v>1</v>
      </c>
      <c r="Q659">
        <v>1</v>
      </c>
      <c r="R659">
        <v>1</v>
      </c>
    </row>
    <row r="660" spans="1:18" x14ac:dyDescent="0.2">
      <c r="A660" t="str">
        <f>"656"</f>
        <v>656</v>
      </c>
      <c r="B660" t="str">
        <f t="shared" si="35"/>
        <v>1</v>
      </c>
      <c r="C660" t="str">
        <f t="shared" si="37"/>
        <v>14</v>
      </c>
      <c r="D660" t="str">
        <f>"50"</f>
        <v>50</v>
      </c>
      <c r="E660" t="str">
        <f>"1-14-50"</f>
        <v>1-14-50</v>
      </c>
      <c r="F660" t="s">
        <v>65</v>
      </c>
      <c r="G660" t="s">
        <v>66</v>
      </c>
      <c r="H660" t="s">
        <v>68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1</v>
      </c>
      <c r="O660">
        <v>1</v>
      </c>
      <c r="P660">
        <v>1</v>
      </c>
      <c r="Q660">
        <v>1</v>
      </c>
      <c r="R660">
        <v>1</v>
      </c>
    </row>
    <row r="661" spans="1:18" x14ac:dyDescent="0.2">
      <c r="A661" t="str">
        <f>"657"</f>
        <v>657</v>
      </c>
      <c r="B661" t="str">
        <f t="shared" si="35"/>
        <v>1</v>
      </c>
      <c r="C661" t="str">
        <f t="shared" si="37"/>
        <v>14</v>
      </c>
      <c r="D661" t="str">
        <f>"49"</f>
        <v>49</v>
      </c>
      <c r="E661" t="str">
        <f>"1-14-49"</f>
        <v>1-14-49</v>
      </c>
      <c r="F661" t="s">
        <v>65</v>
      </c>
      <c r="G661" t="s">
        <v>66</v>
      </c>
      <c r="H661" t="s">
        <v>68</v>
      </c>
      <c r="I661">
        <v>1</v>
      </c>
      <c r="J661">
        <v>0</v>
      </c>
      <c r="K661">
        <v>0</v>
      </c>
      <c r="L661">
        <v>1</v>
      </c>
      <c r="M661">
        <v>1</v>
      </c>
      <c r="N661">
        <v>1</v>
      </c>
      <c r="O661">
        <v>1</v>
      </c>
      <c r="P661">
        <v>1</v>
      </c>
      <c r="Q661">
        <v>0</v>
      </c>
      <c r="R661">
        <v>1</v>
      </c>
    </row>
    <row r="662" spans="1:18" x14ac:dyDescent="0.2">
      <c r="A662" t="str">
        <f>"658"</f>
        <v>658</v>
      </c>
      <c r="B662" t="str">
        <f t="shared" si="35"/>
        <v>1</v>
      </c>
      <c r="C662" t="str">
        <f t="shared" si="37"/>
        <v>14</v>
      </c>
      <c r="D662" t="str">
        <f>"29"</f>
        <v>29</v>
      </c>
      <c r="E662" t="str">
        <f>"1-14-29"</f>
        <v>1-14-29</v>
      </c>
      <c r="F662" t="s">
        <v>65</v>
      </c>
      <c r="G662" t="s">
        <v>66</v>
      </c>
      <c r="H662" t="s">
        <v>68</v>
      </c>
      <c r="I662">
        <v>1</v>
      </c>
      <c r="J662">
        <v>1</v>
      </c>
      <c r="K662">
        <v>0</v>
      </c>
      <c r="L662">
        <v>0</v>
      </c>
      <c r="M662">
        <v>1</v>
      </c>
      <c r="N662">
        <v>1</v>
      </c>
      <c r="O662">
        <v>1</v>
      </c>
      <c r="P662">
        <v>1</v>
      </c>
      <c r="Q662">
        <v>1</v>
      </c>
      <c r="R662">
        <v>1</v>
      </c>
    </row>
    <row r="663" spans="1:18" x14ac:dyDescent="0.2">
      <c r="A663" t="str">
        <f>"659"</f>
        <v>659</v>
      </c>
      <c r="B663" t="str">
        <f t="shared" si="35"/>
        <v>1</v>
      </c>
      <c r="C663" t="str">
        <f t="shared" si="37"/>
        <v>14</v>
      </c>
      <c r="D663" t="str">
        <f>"16"</f>
        <v>16</v>
      </c>
      <c r="E663" t="str">
        <f>"1-14-16"</f>
        <v>1-14-16</v>
      </c>
      <c r="F663" t="s">
        <v>65</v>
      </c>
      <c r="G663" t="s">
        <v>66</v>
      </c>
      <c r="H663" t="s">
        <v>68</v>
      </c>
      <c r="I663">
        <v>1</v>
      </c>
      <c r="J663">
        <v>0</v>
      </c>
      <c r="K663">
        <v>1</v>
      </c>
      <c r="L663">
        <v>0</v>
      </c>
      <c r="M663">
        <v>1</v>
      </c>
      <c r="N663">
        <v>1</v>
      </c>
      <c r="O663">
        <v>1</v>
      </c>
      <c r="P663">
        <v>1</v>
      </c>
      <c r="Q663">
        <v>1</v>
      </c>
      <c r="R663">
        <v>1</v>
      </c>
    </row>
    <row r="664" spans="1:18" x14ac:dyDescent="0.2">
      <c r="A664" t="str">
        <f>"660"</f>
        <v>660</v>
      </c>
      <c r="B664" t="str">
        <f t="shared" si="35"/>
        <v>1</v>
      </c>
      <c r="C664" t="str">
        <f t="shared" si="37"/>
        <v>14</v>
      </c>
      <c r="D664" t="str">
        <f>"13"</f>
        <v>13</v>
      </c>
      <c r="E664" t="str">
        <f>"1-14-13"</f>
        <v>1-14-13</v>
      </c>
      <c r="F664" t="s">
        <v>65</v>
      </c>
      <c r="G664" t="s">
        <v>66</v>
      </c>
      <c r="H664" t="s">
        <v>68</v>
      </c>
      <c r="I664">
        <v>1</v>
      </c>
      <c r="J664">
        <v>0</v>
      </c>
      <c r="K664">
        <v>0</v>
      </c>
      <c r="L664">
        <v>1</v>
      </c>
      <c r="M664">
        <v>1</v>
      </c>
      <c r="N664">
        <v>1</v>
      </c>
      <c r="O664">
        <v>1</v>
      </c>
      <c r="P664">
        <v>1</v>
      </c>
      <c r="Q664">
        <v>1</v>
      </c>
      <c r="R664">
        <v>1</v>
      </c>
    </row>
    <row r="665" spans="1:18" x14ac:dyDescent="0.2">
      <c r="A665" t="str">
        <f>"661"</f>
        <v>661</v>
      </c>
      <c r="B665" t="str">
        <f t="shared" si="35"/>
        <v>1</v>
      </c>
      <c r="C665" t="str">
        <f t="shared" si="37"/>
        <v>14</v>
      </c>
      <c r="D665" t="str">
        <f>"38"</f>
        <v>38</v>
      </c>
      <c r="E665" t="str">
        <f>"1-14-38"</f>
        <v>1-14-38</v>
      </c>
      <c r="F665" t="s">
        <v>65</v>
      </c>
      <c r="G665" t="s">
        <v>66</v>
      </c>
      <c r="H665" t="s">
        <v>68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1</v>
      </c>
      <c r="O665">
        <v>1</v>
      </c>
      <c r="P665">
        <v>1</v>
      </c>
      <c r="Q665">
        <v>1</v>
      </c>
      <c r="R665">
        <v>1</v>
      </c>
    </row>
    <row r="666" spans="1:18" x14ac:dyDescent="0.2">
      <c r="A666" t="str">
        <f>"662"</f>
        <v>662</v>
      </c>
      <c r="B666" t="str">
        <f t="shared" si="35"/>
        <v>1</v>
      </c>
      <c r="C666" t="str">
        <f t="shared" si="37"/>
        <v>14</v>
      </c>
      <c r="D666" t="str">
        <f>"37"</f>
        <v>37</v>
      </c>
      <c r="E666" t="str">
        <f>"1-14-37"</f>
        <v>1-14-37</v>
      </c>
      <c r="F666" t="s">
        <v>65</v>
      </c>
      <c r="G666" t="s">
        <v>66</v>
      </c>
      <c r="H666" t="s">
        <v>68</v>
      </c>
      <c r="I666">
        <v>1</v>
      </c>
      <c r="J666">
        <v>0</v>
      </c>
      <c r="K666">
        <v>0</v>
      </c>
      <c r="L666">
        <v>0</v>
      </c>
      <c r="M666">
        <v>1</v>
      </c>
      <c r="N666">
        <v>1</v>
      </c>
      <c r="O666">
        <v>1</v>
      </c>
      <c r="P666">
        <v>1</v>
      </c>
      <c r="Q666">
        <v>1</v>
      </c>
      <c r="R666">
        <v>1</v>
      </c>
    </row>
    <row r="667" spans="1:18" x14ac:dyDescent="0.2">
      <c r="A667" t="str">
        <f>"663"</f>
        <v>663</v>
      </c>
      <c r="B667" t="str">
        <f t="shared" si="35"/>
        <v>1</v>
      </c>
      <c r="C667" t="str">
        <f t="shared" si="37"/>
        <v>14</v>
      </c>
      <c r="D667" t="str">
        <f>"32"</f>
        <v>32</v>
      </c>
      <c r="E667" t="str">
        <f>"1-14-32"</f>
        <v>1-14-32</v>
      </c>
      <c r="F667" t="s">
        <v>65</v>
      </c>
      <c r="G667" t="s">
        <v>66</v>
      </c>
      <c r="H667" t="s">
        <v>68</v>
      </c>
      <c r="I667">
        <v>1</v>
      </c>
      <c r="J667">
        <v>0</v>
      </c>
      <c r="K667">
        <v>0</v>
      </c>
      <c r="L667">
        <v>1</v>
      </c>
      <c r="M667">
        <v>1</v>
      </c>
      <c r="N667">
        <v>1</v>
      </c>
      <c r="O667">
        <v>1</v>
      </c>
      <c r="P667">
        <v>1</v>
      </c>
      <c r="Q667">
        <v>1</v>
      </c>
      <c r="R667">
        <v>1</v>
      </c>
    </row>
    <row r="668" spans="1:18" x14ac:dyDescent="0.2">
      <c r="A668" t="str">
        <f>"664"</f>
        <v>664</v>
      </c>
      <c r="B668" t="str">
        <f t="shared" si="35"/>
        <v>1</v>
      </c>
      <c r="C668" t="str">
        <f t="shared" si="37"/>
        <v>14</v>
      </c>
      <c r="D668" t="str">
        <f>"17"</f>
        <v>17</v>
      </c>
      <c r="E668" t="str">
        <f>"1-14-17"</f>
        <v>1-14-17</v>
      </c>
      <c r="F668" t="s">
        <v>65</v>
      </c>
      <c r="G668" t="s">
        <v>66</v>
      </c>
      <c r="H668" t="s">
        <v>68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1</v>
      </c>
      <c r="O668">
        <v>1</v>
      </c>
      <c r="P668">
        <v>1</v>
      </c>
      <c r="Q668">
        <v>1</v>
      </c>
      <c r="R668">
        <v>1</v>
      </c>
    </row>
    <row r="669" spans="1:18" x14ac:dyDescent="0.2">
      <c r="A669" t="str">
        <f>"665"</f>
        <v>665</v>
      </c>
      <c r="B669" t="str">
        <f t="shared" si="35"/>
        <v>1</v>
      </c>
      <c r="C669" t="str">
        <f t="shared" si="37"/>
        <v>14</v>
      </c>
      <c r="D669" t="str">
        <f>"5"</f>
        <v>5</v>
      </c>
      <c r="E669" t="str">
        <f>"1-14-5"</f>
        <v>1-14-5</v>
      </c>
      <c r="F669" t="s">
        <v>65</v>
      </c>
      <c r="G669" t="s">
        <v>66</v>
      </c>
      <c r="H669" t="s">
        <v>68</v>
      </c>
      <c r="I669">
        <v>1</v>
      </c>
      <c r="J669">
        <v>0</v>
      </c>
      <c r="K669">
        <v>0</v>
      </c>
      <c r="L669">
        <v>1</v>
      </c>
      <c r="M669">
        <v>1</v>
      </c>
      <c r="N669">
        <v>1</v>
      </c>
      <c r="O669">
        <v>1</v>
      </c>
      <c r="P669">
        <v>1</v>
      </c>
      <c r="Q669">
        <v>1</v>
      </c>
      <c r="R669">
        <v>1</v>
      </c>
    </row>
    <row r="670" spans="1:18" x14ac:dyDescent="0.2">
      <c r="A670" t="str">
        <f>"666"</f>
        <v>666</v>
      </c>
      <c r="B670" t="str">
        <f t="shared" si="35"/>
        <v>1</v>
      </c>
      <c r="C670" t="str">
        <f t="shared" si="37"/>
        <v>14</v>
      </c>
      <c r="D670" t="str">
        <f>"44"</f>
        <v>44</v>
      </c>
      <c r="E670" t="str">
        <f>"1-14-44"</f>
        <v>1-14-44</v>
      </c>
      <c r="F670" t="s">
        <v>65</v>
      </c>
      <c r="G670" t="s">
        <v>66</v>
      </c>
      <c r="H670" t="s">
        <v>68</v>
      </c>
      <c r="I670">
        <v>1</v>
      </c>
      <c r="J670">
        <v>0</v>
      </c>
      <c r="K670">
        <v>1</v>
      </c>
      <c r="L670">
        <v>0</v>
      </c>
      <c r="M670">
        <v>1</v>
      </c>
      <c r="N670">
        <v>1</v>
      </c>
      <c r="O670">
        <v>1</v>
      </c>
      <c r="P670">
        <v>1</v>
      </c>
      <c r="Q670">
        <v>1</v>
      </c>
      <c r="R670">
        <v>1</v>
      </c>
    </row>
    <row r="671" spans="1:18" x14ac:dyDescent="0.2">
      <c r="A671" t="str">
        <f>"667"</f>
        <v>667</v>
      </c>
      <c r="B671" t="str">
        <f t="shared" si="35"/>
        <v>1</v>
      </c>
      <c r="C671" t="str">
        <f t="shared" si="37"/>
        <v>14</v>
      </c>
      <c r="D671" t="str">
        <f>"43"</f>
        <v>43</v>
      </c>
      <c r="E671" t="str">
        <f>"1-14-43"</f>
        <v>1-14-43</v>
      </c>
      <c r="F671" t="s">
        <v>65</v>
      </c>
      <c r="G671" t="s">
        <v>66</v>
      </c>
      <c r="H671" t="s">
        <v>68</v>
      </c>
      <c r="I671">
        <v>1</v>
      </c>
      <c r="J671">
        <v>0</v>
      </c>
      <c r="K671">
        <v>0</v>
      </c>
      <c r="L671">
        <v>1</v>
      </c>
      <c r="M671">
        <v>1</v>
      </c>
      <c r="N671">
        <v>1</v>
      </c>
      <c r="O671">
        <v>1</v>
      </c>
      <c r="P671">
        <v>1</v>
      </c>
      <c r="Q671">
        <v>1</v>
      </c>
      <c r="R671">
        <v>1</v>
      </c>
    </row>
    <row r="672" spans="1:18" x14ac:dyDescent="0.2">
      <c r="A672" t="str">
        <f>"668"</f>
        <v>668</v>
      </c>
      <c r="B672" t="str">
        <f t="shared" si="35"/>
        <v>1</v>
      </c>
      <c r="C672" t="str">
        <f t="shared" si="37"/>
        <v>14</v>
      </c>
      <c r="D672" t="str">
        <f>"31"</f>
        <v>31</v>
      </c>
      <c r="E672" t="str">
        <f>"1-14-31"</f>
        <v>1-14-31</v>
      </c>
      <c r="F672" t="s">
        <v>65</v>
      </c>
      <c r="G672" t="s">
        <v>66</v>
      </c>
      <c r="H672" t="s">
        <v>68</v>
      </c>
      <c r="I672">
        <v>0</v>
      </c>
      <c r="J672">
        <v>0</v>
      </c>
      <c r="K672">
        <v>0</v>
      </c>
      <c r="L672">
        <v>1</v>
      </c>
      <c r="M672">
        <v>1</v>
      </c>
      <c r="N672">
        <v>1</v>
      </c>
      <c r="O672">
        <v>1</v>
      </c>
      <c r="P672">
        <v>1</v>
      </c>
      <c r="Q672">
        <v>1</v>
      </c>
      <c r="R672">
        <v>1</v>
      </c>
    </row>
    <row r="673" spans="1:18" x14ac:dyDescent="0.2">
      <c r="A673" t="str">
        <f>"669"</f>
        <v>669</v>
      </c>
      <c r="B673" t="str">
        <f t="shared" si="35"/>
        <v>1</v>
      </c>
      <c r="C673" t="str">
        <f t="shared" si="37"/>
        <v>14</v>
      </c>
      <c r="D673" t="str">
        <f>"18"</f>
        <v>18</v>
      </c>
      <c r="E673" t="str">
        <f>"1-14-18"</f>
        <v>1-14-18</v>
      </c>
      <c r="F673" t="s">
        <v>65</v>
      </c>
      <c r="G673" t="s">
        <v>66</v>
      </c>
      <c r="H673" t="s">
        <v>68</v>
      </c>
      <c r="I673">
        <v>1</v>
      </c>
      <c r="J673">
        <v>1</v>
      </c>
      <c r="K673">
        <v>0</v>
      </c>
      <c r="L673">
        <v>0</v>
      </c>
      <c r="M673">
        <v>1</v>
      </c>
      <c r="N673">
        <v>1</v>
      </c>
      <c r="O673">
        <v>1</v>
      </c>
      <c r="P673">
        <v>1</v>
      </c>
      <c r="Q673">
        <v>1</v>
      </c>
      <c r="R673">
        <v>1</v>
      </c>
    </row>
    <row r="674" spans="1:18" x14ac:dyDescent="0.2">
      <c r="A674" t="str">
        <f>"670"</f>
        <v>670</v>
      </c>
      <c r="B674" t="str">
        <f t="shared" si="35"/>
        <v>1</v>
      </c>
      <c r="C674" t="str">
        <f t="shared" si="37"/>
        <v>14</v>
      </c>
      <c r="D674" t="str">
        <f>"11"</f>
        <v>11</v>
      </c>
      <c r="E674" t="str">
        <f>"1-14-11"</f>
        <v>1-14-11</v>
      </c>
      <c r="F674" t="s">
        <v>65</v>
      </c>
      <c r="G674" t="s">
        <v>66</v>
      </c>
      <c r="H674" t="s">
        <v>68</v>
      </c>
      <c r="I674">
        <v>1</v>
      </c>
      <c r="J674">
        <v>0</v>
      </c>
      <c r="K674">
        <v>1</v>
      </c>
      <c r="L674">
        <v>0</v>
      </c>
      <c r="M674">
        <v>1</v>
      </c>
      <c r="N674">
        <v>1</v>
      </c>
      <c r="O674">
        <v>1</v>
      </c>
      <c r="P674">
        <v>1</v>
      </c>
      <c r="Q674">
        <v>1</v>
      </c>
      <c r="R674">
        <v>1</v>
      </c>
    </row>
    <row r="675" spans="1:18" x14ac:dyDescent="0.2">
      <c r="A675" t="str">
        <f>"671"</f>
        <v>671</v>
      </c>
      <c r="B675" t="str">
        <f t="shared" si="35"/>
        <v>1</v>
      </c>
      <c r="C675" t="str">
        <f t="shared" si="37"/>
        <v>14</v>
      </c>
      <c r="D675" t="str">
        <f>"34"</f>
        <v>34</v>
      </c>
      <c r="E675" t="str">
        <f>"1-14-34"</f>
        <v>1-14-34</v>
      </c>
      <c r="F675" t="s">
        <v>65</v>
      </c>
      <c r="G675" t="s">
        <v>66</v>
      </c>
      <c r="H675" t="s">
        <v>68</v>
      </c>
      <c r="I675">
        <v>1</v>
      </c>
      <c r="J675">
        <v>0</v>
      </c>
      <c r="K675">
        <v>0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</row>
    <row r="676" spans="1:18" x14ac:dyDescent="0.2">
      <c r="A676" t="str">
        <f>"672"</f>
        <v>672</v>
      </c>
      <c r="B676" t="str">
        <f t="shared" si="35"/>
        <v>1</v>
      </c>
      <c r="C676" t="str">
        <f t="shared" si="37"/>
        <v>14</v>
      </c>
      <c r="D676" t="str">
        <f>"19"</f>
        <v>19</v>
      </c>
      <c r="E676" t="str">
        <f>"1-14-19"</f>
        <v>1-14-19</v>
      </c>
      <c r="F676" t="s">
        <v>65</v>
      </c>
      <c r="G676" t="s">
        <v>66</v>
      </c>
      <c r="H676" t="s">
        <v>68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1</v>
      </c>
      <c r="O676">
        <v>1</v>
      </c>
      <c r="P676">
        <v>1</v>
      </c>
      <c r="Q676">
        <v>1</v>
      </c>
      <c r="R676">
        <v>1</v>
      </c>
    </row>
    <row r="677" spans="1:18" x14ac:dyDescent="0.2">
      <c r="A677" t="str">
        <f>"673"</f>
        <v>673</v>
      </c>
      <c r="B677" t="str">
        <f t="shared" si="35"/>
        <v>1</v>
      </c>
      <c r="C677" t="str">
        <f t="shared" si="37"/>
        <v>14</v>
      </c>
      <c r="D677" t="str">
        <f>"14"</f>
        <v>14</v>
      </c>
      <c r="E677" t="str">
        <f>"1-14-14"</f>
        <v>1-14-14</v>
      </c>
      <c r="F677" t="s">
        <v>65</v>
      </c>
      <c r="G677" t="s">
        <v>66</v>
      </c>
      <c r="H677" t="s">
        <v>68</v>
      </c>
      <c r="I677">
        <v>1</v>
      </c>
      <c r="J677">
        <v>0</v>
      </c>
      <c r="K677">
        <v>0</v>
      </c>
      <c r="L677">
        <v>1</v>
      </c>
      <c r="M677">
        <v>1</v>
      </c>
      <c r="N677">
        <v>1</v>
      </c>
      <c r="O677">
        <v>1</v>
      </c>
      <c r="P677">
        <v>1</v>
      </c>
      <c r="Q677">
        <v>1</v>
      </c>
      <c r="R677">
        <v>1</v>
      </c>
    </row>
    <row r="678" spans="1:18" x14ac:dyDescent="0.2">
      <c r="A678" t="str">
        <f>"674"</f>
        <v>674</v>
      </c>
      <c r="B678" t="str">
        <f t="shared" si="35"/>
        <v>1</v>
      </c>
      <c r="C678" t="str">
        <f t="shared" si="37"/>
        <v>14</v>
      </c>
      <c r="D678" t="str">
        <f>"46"</f>
        <v>46</v>
      </c>
      <c r="E678" t="str">
        <f>"1-14-46"</f>
        <v>1-14-46</v>
      </c>
      <c r="F678" t="s">
        <v>65</v>
      </c>
      <c r="G678" t="s">
        <v>66</v>
      </c>
      <c r="H678" t="s">
        <v>68</v>
      </c>
      <c r="I678">
        <v>1</v>
      </c>
      <c r="J678">
        <v>0</v>
      </c>
      <c r="K678">
        <v>0</v>
      </c>
      <c r="L678">
        <v>1</v>
      </c>
      <c r="M678">
        <v>1</v>
      </c>
      <c r="N678">
        <v>1</v>
      </c>
      <c r="O678">
        <v>1</v>
      </c>
      <c r="P678">
        <v>1</v>
      </c>
      <c r="Q678">
        <v>1</v>
      </c>
      <c r="R678">
        <v>1</v>
      </c>
    </row>
    <row r="679" spans="1:18" x14ac:dyDescent="0.2">
      <c r="A679" t="str">
        <f>"675"</f>
        <v>675</v>
      </c>
      <c r="B679" t="str">
        <f t="shared" si="35"/>
        <v>1</v>
      </c>
      <c r="C679" t="str">
        <f t="shared" si="37"/>
        <v>14</v>
      </c>
      <c r="D679" t="str">
        <f>"45"</f>
        <v>45</v>
      </c>
      <c r="E679" t="str">
        <f>"1-14-45"</f>
        <v>1-14-45</v>
      </c>
      <c r="F679" t="s">
        <v>65</v>
      </c>
      <c r="G679" t="s">
        <v>66</v>
      </c>
      <c r="H679" t="s">
        <v>68</v>
      </c>
      <c r="I679">
        <v>1</v>
      </c>
      <c r="J679">
        <v>0</v>
      </c>
      <c r="K679">
        <v>0</v>
      </c>
      <c r="L679">
        <v>1</v>
      </c>
      <c r="M679">
        <v>1</v>
      </c>
      <c r="N679">
        <v>1</v>
      </c>
      <c r="O679">
        <v>1</v>
      </c>
      <c r="P679">
        <v>1</v>
      </c>
      <c r="Q679">
        <v>1</v>
      </c>
      <c r="R679">
        <v>1</v>
      </c>
    </row>
    <row r="680" spans="1:18" x14ac:dyDescent="0.2">
      <c r="A680" t="str">
        <f>"676"</f>
        <v>676</v>
      </c>
      <c r="B680" t="str">
        <f t="shared" si="35"/>
        <v>1</v>
      </c>
      <c r="C680" t="str">
        <f t="shared" si="37"/>
        <v>14</v>
      </c>
      <c r="D680" t="str">
        <f>"33"</f>
        <v>33</v>
      </c>
      <c r="E680" t="str">
        <f>"1-14-33"</f>
        <v>1-14-33</v>
      </c>
      <c r="F680" t="s">
        <v>65</v>
      </c>
      <c r="G680" t="s">
        <v>66</v>
      </c>
      <c r="H680" t="s">
        <v>68</v>
      </c>
      <c r="I680">
        <v>0</v>
      </c>
      <c r="J680">
        <v>0</v>
      </c>
      <c r="K680">
        <v>0</v>
      </c>
      <c r="L680">
        <v>1</v>
      </c>
      <c r="M680">
        <v>1</v>
      </c>
      <c r="N680">
        <v>1</v>
      </c>
      <c r="O680">
        <v>0</v>
      </c>
      <c r="P680">
        <v>0</v>
      </c>
      <c r="Q680">
        <v>0</v>
      </c>
      <c r="R680">
        <v>0</v>
      </c>
    </row>
    <row r="681" spans="1:18" x14ac:dyDescent="0.2">
      <c r="A681" t="str">
        <f>"677"</f>
        <v>677</v>
      </c>
      <c r="B681" t="str">
        <f t="shared" si="35"/>
        <v>1</v>
      </c>
      <c r="C681" t="str">
        <f t="shared" si="37"/>
        <v>14</v>
      </c>
      <c r="D681" t="str">
        <f>"20"</f>
        <v>20</v>
      </c>
      <c r="E681" t="str">
        <f>"1-14-20"</f>
        <v>1-14-20</v>
      </c>
      <c r="F681" t="s">
        <v>65</v>
      </c>
      <c r="G681" t="s">
        <v>66</v>
      </c>
      <c r="H681" t="s">
        <v>68</v>
      </c>
      <c r="I681">
        <v>1</v>
      </c>
      <c r="J681">
        <v>0</v>
      </c>
      <c r="K681">
        <v>0</v>
      </c>
      <c r="L681">
        <v>1</v>
      </c>
      <c r="M681">
        <v>1</v>
      </c>
      <c r="N681">
        <v>1</v>
      </c>
      <c r="O681">
        <v>1</v>
      </c>
      <c r="P681">
        <v>1</v>
      </c>
      <c r="Q681">
        <v>1</v>
      </c>
      <c r="R681">
        <v>1</v>
      </c>
    </row>
    <row r="682" spans="1:18" x14ac:dyDescent="0.2">
      <c r="A682" t="str">
        <f>"678"</f>
        <v>678</v>
      </c>
      <c r="B682" t="str">
        <f t="shared" si="35"/>
        <v>1</v>
      </c>
      <c r="C682" t="str">
        <f t="shared" si="37"/>
        <v>14</v>
      </c>
      <c r="D682" t="str">
        <f>"6"</f>
        <v>6</v>
      </c>
      <c r="E682" t="str">
        <f>"1-14-6"</f>
        <v>1-14-6</v>
      </c>
      <c r="F682" t="s">
        <v>65</v>
      </c>
      <c r="G682" t="s">
        <v>66</v>
      </c>
      <c r="H682" t="s">
        <v>68</v>
      </c>
      <c r="I682">
        <v>1</v>
      </c>
      <c r="J682">
        <v>0</v>
      </c>
      <c r="K682">
        <v>0</v>
      </c>
      <c r="L682">
        <v>1</v>
      </c>
      <c r="M682">
        <v>1</v>
      </c>
      <c r="N682">
        <v>1</v>
      </c>
      <c r="O682">
        <v>1</v>
      </c>
      <c r="P682">
        <v>1</v>
      </c>
      <c r="Q682">
        <v>1</v>
      </c>
      <c r="R682">
        <v>1</v>
      </c>
    </row>
    <row r="683" spans="1:18" x14ac:dyDescent="0.2">
      <c r="A683" t="str">
        <f>"679"</f>
        <v>679</v>
      </c>
      <c r="B683" t="str">
        <f t="shared" si="35"/>
        <v>1</v>
      </c>
      <c r="C683" t="str">
        <f t="shared" si="37"/>
        <v>14</v>
      </c>
      <c r="D683" t="str">
        <f>"36"</f>
        <v>36</v>
      </c>
      <c r="E683" t="str">
        <f>"1-14-36"</f>
        <v>1-14-36</v>
      </c>
      <c r="F683" t="s">
        <v>65</v>
      </c>
      <c r="G683" t="s">
        <v>66</v>
      </c>
      <c r="H683" t="s">
        <v>68</v>
      </c>
      <c r="I683">
        <v>1</v>
      </c>
      <c r="J683">
        <v>0</v>
      </c>
      <c r="K683">
        <v>0</v>
      </c>
      <c r="L683">
        <v>1</v>
      </c>
      <c r="M683">
        <v>1</v>
      </c>
      <c r="N683">
        <v>1</v>
      </c>
      <c r="O683">
        <v>1</v>
      </c>
      <c r="P683">
        <v>1</v>
      </c>
      <c r="Q683">
        <v>1</v>
      </c>
      <c r="R683">
        <v>1</v>
      </c>
    </row>
    <row r="684" spans="1:18" x14ac:dyDescent="0.2">
      <c r="A684" t="str">
        <f>"680"</f>
        <v>680</v>
      </c>
      <c r="B684" t="str">
        <f t="shared" si="35"/>
        <v>1</v>
      </c>
      <c r="C684" t="str">
        <f t="shared" si="37"/>
        <v>14</v>
      </c>
      <c r="D684" t="str">
        <f>"21"</f>
        <v>21</v>
      </c>
      <c r="E684" t="str">
        <f>"1-14-21"</f>
        <v>1-14-21</v>
      </c>
      <c r="F684" t="s">
        <v>65</v>
      </c>
      <c r="G684" t="s">
        <v>66</v>
      </c>
      <c r="H684" t="s">
        <v>68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1</v>
      </c>
      <c r="O684">
        <v>1</v>
      </c>
      <c r="P684">
        <v>1</v>
      </c>
      <c r="Q684">
        <v>1</v>
      </c>
      <c r="R684">
        <v>1</v>
      </c>
    </row>
    <row r="685" spans="1:18" x14ac:dyDescent="0.2">
      <c r="A685" t="str">
        <f>"681"</f>
        <v>681</v>
      </c>
      <c r="B685" t="str">
        <f t="shared" si="35"/>
        <v>1</v>
      </c>
      <c r="C685" t="str">
        <f t="shared" si="37"/>
        <v>14</v>
      </c>
      <c r="D685" t="str">
        <f>"1"</f>
        <v>1</v>
      </c>
      <c r="E685" t="str">
        <f>"1-14-1"</f>
        <v>1-14-1</v>
      </c>
      <c r="F685" t="s">
        <v>65</v>
      </c>
      <c r="G685" t="s">
        <v>66</v>
      </c>
      <c r="H685" t="s">
        <v>68</v>
      </c>
      <c r="I685">
        <v>0</v>
      </c>
      <c r="J685">
        <v>0</v>
      </c>
      <c r="K685">
        <v>0</v>
      </c>
      <c r="L685">
        <v>1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</row>
    <row r="686" spans="1:18" x14ac:dyDescent="0.2">
      <c r="A686" t="str">
        <f>"682"</f>
        <v>682</v>
      </c>
      <c r="B686" t="str">
        <f t="shared" si="35"/>
        <v>1</v>
      </c>
      <c r="C686" t="str">
        <f t="shared" si="37"/>
        <v>14</v>
      </c>
      <c r="D686" t="str">
        <f>"48"</f>
        <v>48</v>
      </c>
      <c r="E686" t="str">
        <f>"1-14-48"</f>
        <v>1-14-48</v>
      </c>
      <c r="F686" t="s">
        <v>65</v>
      </c>
      <c r="G686" t="s">
        <v>66</v>
      </c>
      <c r="H686" t="s">
        <v>68</v>
      </c>
      <c r="I686">
        <v>1</v>
      </c>
      <c r="J686">
        <v>0</v>
      </c>
      <c r="K686">
        <v>0</v>
      </c>
      <c r="L686">
        <v>0</v>
      </c>
      <c r="M686">
        <v>1</v>
      </c>
      <c r="N686">
        <v>1</v>
      </c>
      <c r="O686">
        <v>1</v>
      </c>
      <c r="P686">
        <v>1</v>
      </c>
      <c r="Q686">
        <v>1</v>
      </c>
      <c r="R686">
        <v>1</v>
      </c>
    </row>
    <row r="687" spans="1:18" x14ac:dyDescent="0.2">
      <c r="A687" t="str">
        <f>"683"</f>
        <v>683</v>
      </c>
      <c r="B687" t="str">
        <f t="shared" si="35"/>
        <v>1</v>
      </c>
      <c r="C687" t="str">
        <f t="shared" ref="C687:C704" si="38">"14"</f>
        <v>14</v>
      </c>
      <c r="D687" t="str">
        <f>"22"</f>
        <v>22</v>
      </c>
      <c r="E687" t="str">
        <f>"1-14-22"</f>
        <v>1-14-22</v>
      </c>
      <c r="F687" t="s">
        <v>65</v>
      </c>
      <c r="G687" t="s">
        <v>66</v>
      </c>
      <c r="H687" t="s">
        <v>68</v>
      </c>
      <c r="I687">
        <v>1</v>
      </c>
      <c r="J687">
        <v>0</v>
      </c>
      <c r="K687">
        <v>0</v>
      </c>
      <c r="L687">
        <v>1</v>
      </c>
      <c r="M687">
        <v>1</v>
      </c>
      <c r="N687">
        <v>1</v>
      </c>
      <c r="O687">
        <v>1</v>
      </c>
      <c r="P687">
        <v>0</v>
      </c>
      <c r="Q687">
        <v>0</v>
      </c>
      <c r="R687">
        <v>0</v>
      </c>
    </row>
    <row r="688" spans="1:18" x14ac:dyDescent="0.2">
      <c r="A688" t="str">
        <f>"684"</f>
        <v>684</v>
      </c>
      <c r="B688" t="str">
        <f t="shared" si="35"/>
        <v>1</v>
      </c>
      <c r="C688" t="str">
        <f t="shared" si="38"/>
        <v>14</v>
      </c>
      <c r="D688" t="str">
        <f>"9"</f>
        <v>9</v>
      </c>
      <c r="E688" t="str">
        <f>"1-14-9"</f>
        <v>1-14-9</v>
      </c>
      <c r="F688" t="s">
        <v>65</v>
      </c>
      <c r="G688" t="s">
        <v>66</v>
      </c>
      <c r="H688" t="s">
        <v>68</v>
      </c>
      <c r="I688">
        <v>1</v>
      </c>
      <c r="J688">
        <v>0</v>
      </c>
      <c r="K688">
        <v>0</v>
      </c>
      <c r="L688">
        <v>1</v>
      </c>
      <c r="M688">
        <v>1</v>
      </c>
      <c r="N688">
        <v>1</v>
      </c>
      <c r="O688">
        <v>1</v>
      </c>
      <c r="P688">
        <v>1</v>
      </c>
      <c r="Q688">
        <v>1</v>
      </c>
      <c r="R688">
        <v>1</v>
      </c>
    </row>
    <row r="689" spans="1:18" x14ac:dyDescent="0.2">
      <c r="A689" t="str">
        <f>"685"</f>
        <v>685</v>
      </c>
      <c r="B689" t="str">
        <f t="shared" si="35"/>
        <v>1</v>
      </c>
      <c r="C689" t="str">
        <f t="shared" si="38"/>
        <v>14</v>
      </c>
      <c r="D689" t="str">
        <f>"47"</f>
        <v>47</v>
      </c>
      <c r="E689" t="str">
        <f>"1-14-47"</f>
        <v>1-14-47</v>
      </c>
      <c r="F689" t="s">
        <v>65</v>
      </c>
      <c r="G689" t="s">
        <v>66</v>
      </c>
      <c r="H689" t="s">
        <v>68</v>
      </c>
      <c r="I689">
        <v>1</v>
      </c>
      <c r="J689">
        <v>0</v>
      </c>
      <c r="K689">
        <v>0</v>
      </c>
      <c r="L689">
        <v>0</v>
      </c>
      <c r="M689">
        <v>1</v>
      </c>
      <c r="N689">
        <v>1</v>
      </c>
      <c r="O689">
        <v>1</v>
      </c>
      <c r="P689">
        <v>1</v>
      </c>
      <c r="Q689">
        <v>1</v>
      </c>
      <c r="R689">
        <v>1</v>
      </c>
    </row>
    <row r="690" spans="1:18" x14ac:dyDescent="0.2">
      <c r="A690" t="str">
        <f>"686"</f>
        <v>686</v>
      </c>
      <c r="B690" t="str">
        <f t="shared" si="35"/>
        <v>1</v>
      </c>
      <c r="C690" t="str">
        <f t="shared" si="38"/>
        <v>14</v>
      </c>
      <c r="D690" t="str">
        <f>"23"</f>
        <v>23</v>
      </c>
      <c r="E690" t="str">
        <f>"1-14-23"</f>
        <v>1-14-23</v>
      </c>
      <c r="F690" t="s">
        <v>65</v>
      </c>
      <c r="G690" t="s">
        <v>66</v>
      </c>
      <c r="H690" t="s">
        <v>68</v>
      </c>
      <c r="I690">
        <v>1</v>
      </c>
      <c r="J690">
        <v>0</v>
      </c>
      <c r="K690">
        <v>0</v>
      </c>
      <c r="L690">
        <v>1</v>
      </c>
      <c r="M690">
        <v>1</v>
      </c>
      <c r="N690">
        <v>1</v>
      </c>
      <c r="O690">
        <v>1</v>
      </c>
      <c r="P690">
        <v>1</v>
      </c>
      <c r="Q690">
        <v>1</v>
      </c>
      <c r="R690">
        <v>1</v>
      </c>
    </row>
    <row r="691" spans="1:18" x14ac:dyDescent="0.2">
      <c r="A691" t="str">
        <f>"687"</f>
        <v>687</v>
      </c>
      <c r="B691" t="str">
        <f t="shared" si="35"/>
        <v>1</v>
      </c>
      <c r="C691" t="str">
        <f t="shared" si="38"/>
        <v>14</v>
      </c>
      <c r="D691" t="str">
        <f>"12"</f>
        <v>12</v>
      </c>
      <c r="E691" t="str">
        <f>"1-14-12"</f>
        <v>1-14-12</v>
      </c>
      <c r="F691" t="s">
        <v>65</v>
      </c>
      <c r="G691" t="s">
        <v>66</v>
      </c>
      <c r="H691" t="s">
        <v>68</v>
      </c>
      <c r="I691">
        <v>1</v>
      </c>
      <c r="J691">
        <v>0</v>
      </c>
      <c r="K691">
        <v>0</v>
      </c>
      <c r="L691">
        <v>1</v>
      </c>
      <c r="M691">
        <v>1</v>
      </c>
      <c r="N691">
        <v>1</v>
      </c>
      <c r="O691">
        <v>1</v>
      </c>
      <c r="P691">
        <v>1</v>
      </c>
      <c r="Q691">
        <v>1</v>
      </c>
      <c r="R691">
        <v>1</v>
      </c>
    </row>
    <row r="692" spans="1:18" x14ac:dyDescent="0.2">
      <c r="A692" t="str">
        <f>"688"</f>
        <v>688</v>
      </c>
      <c r="B692" t="str">
        <f t="shared" si="35"/>
        <v>1</v>
      </c>
      <c r="C692" t="str">
        <f t="shared" si="38"/>
        <v>14</v>
      </c>
      <c r="D692" t="str">
        <f>"42"</f>
        <v>42</v>
      </c>
      <c r="E692" t="str">
        <f>"1-14-42"</f>
        <v>1-14-42</v>
      </c>
      <c r="F692" t="s">
        <v>65</v>
      </c>
      <c r="G692" t="s">
        <v>66</v>
      </c>
      <c r="H692" t="s">
        <v>68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1</v>
      </c>
      <c r="O692">
        <v>1</v>
      </c>
      <c r="P692">
        <v>1</v>
      </c>
      <c r="Q692">
        <v>1</v>
      </c>
      <c r="R692">
        <v>1</v>
      </c>
    </row>
    <row r="693" spans="1:18" x14ac:dyDescent="0.2">
      <c r="A693" t="str">
        <f>"689"</f>
        <v>689</v>
      </c>
      <c r="B693" t="str">
        <f t="shared" si="35"/>
        <v>1</v>
      </c>
      <c r="C693" t="str">
        <f t="shared" si="38"/>
        <v>14</v>
      </c>
      <c r="D693" t="str">
        <f>"24"</f>
        <v>24</v>
      </c>
      <c r="E693" t="str">
        <f>"1-14-24"</f>
        <v>1-14-24</v>
      </c>
      <c r="F693" t="s">
        <v>65</v>
      </c>
      <c r="G693" t="s">
        <v>66</v>
      </c>
      <c r="H693" t="s">
        <v>68</v>
      </c>
      <c r="I693">
        <v>1</v>
      </c>
      <c r="J693">
        <v>0</v>
      </c>
      <c r="K693">
        <v>0</v>
      </c>
      <c r="L693">
        <v>1</v>
      </c>
      <c r="M693">
        <v>1</v>
      </c>
      <c r="N693">
        <v>1</v>
      </c>
      <c r="O693">
        <v>1</v>
      </c>
      <c r="P693">
        <v>1</v>
      </c>
      <c r="Q693">
        <v>1</v>
      </c>
      <c r="R693">
        <v>1</v>
      </c>
    </row>
    <row r="694" spans="1:18" x14ac:dyDescent="0.2">
      <c r="A694" t="str">
        <f>"690"</f>
        <v>690</v>
      </c>
      <c r="B694" t="str">
        <f t="shared" si="35"/>
        <v>1</v>
      </c>
      <c r="C694" t="str">
        <f t="shared" si="38"/>
        <v>14</v>
      </c>
      <c r="D694" t="str">
        <f>"10"</f>
        <v>10</v>
      </c>
      <c r="E694" t="str">
        <f>"1-14-10"</f>
        <v>1-14-10</v>
      </c>
      <c r="F694" t="s">
        <v>65</v>
      </c>
      <c r="G694" t="s">
        <v>66</v>
      </c>
      <c r="H694" t="s">
        <v>68</v>
      </c>
      <c r="I694">
        <v>1</v>
      </c>
      <c r="J694">
        <v>0</v>
      </c>
      <c r="K694">
        <v>0</v>
      </c>
      <c r="L694">
        <v>1</v>
      </c>
      <c r="M694">
        <v>1</v>
      </c>
      <c r="N694">
        <v>1</v>
      </c>
      <c r="O694">
        <v>1</v>
      </c>
      <c r="P694">
        <v>1</v>
      </c>
      <c r="Q694">
        <v>1</v>
      </c>
      <c r="R694">
        <v>1</v>
      </c>
    </row>
    <row r="695" spans="1:18" x14ac:dyDescent="0.2">
      <c r="A695" t="str">
        <f>"691"</f>
        <v>691</v>
      </c>
      <c r="B695" t="str">
        <f t="shared" ref="B695:B758" si="39">"1"</f>
        <v>1</v>
      </c>
      <c r="C695" t="str">
        <f t="shared" si="38"/>
        <v>14</v>
      </c>
      <c r="D695" t="str">
        <f>"25"</f>
        <v>25</v>
      </c>
      <c r="E695" t="str">
        <f>"1-14-25"</f>
        <v>1-14-25</v>
      </c>
      <c r="F695" t="s">
        <v>65</v>
      </c>
      <c r="G695" t="s">
        <v>66</v>
      </c>
      <c r="H695" t="s">
        <v>68</v>
      </c>
      <c r="I695">
        <v>0</v>
      </c>
      <c r="J695">
        <v>0</v>
      </c>
      <c r="K695">
        <v>0</v>
      </c>
      <c r="L695">
        <v>0</v>
      </c>
      <c r="M695">
        <v>1</v>
      </c>
      <c r="N695">
        <v>0</v>
      </c>
      <c r="O695">
        <v>0</v>
      </c>
      <c r="P695">
        <v>0</v>
      </c>
      <c r="Q695">
        <v>0</v>
      </c>
      <c r="R695">
        <v>0</v>
      </c>
    </row>
    <row r="696" spans="1:18" x14ac:dyDescent="0.2">
      <c r="A696" t="str">
        <f>"692"</f>
        <v>692</v>
      </c>
      <c r="B696" t="str">
        <f t="shared" si="39"/>
        <v>1</v>
      </c>
      <c r="C696" t="str">
        <f t="shared" si="38"/>
        <v>14</v>
      </c>
      <c r="D696" t="str">
        <f>"8"</f>
        <v>8</v>
      </c>
      <c r="E696" t="str">
        <f>"1-14-8"</f>
        <v>1-14-8</v>
      </c>
      <c r="F696" t="s">
        <v>65</v>
      </c>
      <c r="G696" t="s">
        <v>66</v>
      </c>
      <c r="H696" t="s">
        <v>68</v>
      </c>
      <c r="I696">
        <v>0</v>
      </c>
      <c r="J696">
        <v>0</v>
      </c>
      <c r="K696">
        <v>1</v>
      </c>
      <c r="L696">
        <v>0</v>
      </c>
      <c r="M696">
        <v>1</v>
      </c>
      <c r="N696">
        <v>1</v>
      </c>
      <c r="O696">
        <v>1</v>
      </c>
      <c r="P696">
        <v>0</v>
      </c>
      <c r="Q696">
        <v>1</v>
      </c>
      <c r="R696">
        <v>0</v>
      </c>
    </row>
    <row r="697" spans="1:18" x14ac:dyDescent="0.2">
      <c r="A697" t="str">
        <f>"693"</f>
        <v>693</v>
      </c>
      <c r="B697" t="str">
        <f t="shared" si="39"/>
        <v>1</v>
      </c>
      <c r="C697" t="str">
        <f t="shared" si="38"/>
        <v>14</v>
      </c>
      <c r="D697" t="str">
        <f>"41"</f>
        <v>41</v>
      </c>
      <c r="E697" t="str">
        <f>"1-14-41"</f>
        <v>1-14-41</v>
      </c>
      <c r="F697" t="s">
        <v>65</v>
      </c>
      <c r="G697" t="s">
        <v>66</v>
      </c>
      <c r="H697" t="s">
        <v>68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1</v>
      </c>
      <c r="O697">
        <v>0</v>
      </c>
      <c r="P697">
        <v>1</v>
      </c>
      <c r="Q697">
        <v>1</v>
      </c>
      <c r="R697">
        <v>1</v>
      </c>
    </row>
    <row r="698" spans="1:18" x14ac:dyDescent="0.2">
      <c r="A698" t="str">
        <f>"694"</f>
        <v>694</v>
      </c>
      <c r="B698" t="str">
        <f t="shared" si="39"/>
        <v>1</v>
      </c>
      <c r="C698" t="str">
        <f t="shared" si="38"/>
        <v>14</v>
      </c>
      <c r="D698" t="str">
        <f>"26"</f>
        <v>26</v>
      </c>
      <c r="E698" t="str">
        <f>"1-14-26"</f>
        <v>1-14-26</v>
      </c>
      <c r="F698" t="s">
        <v>65</v>
      </c>
      <c r="G698" t="s">
        <v>66</v>
      </c>
      <c r="H698" t="s">
        <v>68</v>
      </c>
      <c r="I698">
        <v>1</v>
      </c>
      <c r="J698">
        <v>0</v>
      </c>
      <c r="K698">
        <v>0</v>
      </c>
      <c r="L698">
        <v>1</v>
      </c>
      <c r="M698">
        <v>1</v>
      </c>
      <c r="N698">
        <v>0</v>
      </c>
      <c r="O698">
        <v>0</v>
      </c>
      <c r="P698">
        <v>0</v>
      </c>
      <c r="Q698">
        <v>0</v>
      </c>
      <c r="R698">
        <v>0</v>
      </c>
    </row>
    <row r="699" spans="1:18" x14ac:dyDescent="0.2">
      <c r="A699" t="str">
        <f>"695"</f>
        <v>695</v>
      </c>
      <c r="B699" t="str">
        <f t="shared" si="39"/>
        <v>1</v>
      </c>
      <c r="C699" t="str">
        <f t="shared" si="38"/>
        <v>14</v>
      </c>
      <c r="D699" t="str">
        <f>"4"</f>
        <v>4</v>
      </c>
      <c r="E699" t="str">
        <f>"1-14-4"</f>
        <v>1-14-4</v>
      </c>
      <c r="F699" t="s">
        <v>65</v>
      </c>
      <c r="G699" t="s">
        <v>66</v>
      </c>
      <c r="H699" t="s">
        <v>68</v>
      </c>
      <c r="I699">
        <v>1</v>
      </c>
      <c r="J699">
        <v>0</v>
      </c>
      <c r="K699">
        <v>1</v>
      </c>
      <c r="L699">
        <v>0</v>
      </c>
      <c r="M699">
        <v>1</v>
      </c>
      <c r="N699">
        <v>1</v>
      </c>
      <c r="O699">
        <v>1</v>
      </c>
      <c r="P699">
        <v>1</v>
      </c>
      <c r="Q699">
        <v>1</v>
      </c>
      <c r="R699">
        <v>1</v>
      </c>
    </row>
    <row r="700" spans="1:18" x14ac:dyDescent="0.2">
      <c r="A700" t="str">
        <f>"696"</f>
        <v>696</v>
      </c>
      <c r="B700" t="str">
        <f t="shared" si="39"/>
        <v>1</v>
      </c>
      <c r="C700" t="str">
        <f t="shared" si="38"/>
        <v>14</v>
      </c>
      <c r="D700" t="str">
        <f>"27"</f>
        <v>27</v>
      </c>
      <c r="E700" t="str">
        <f>"1-14-27"</f>
        <v>1-14-27</v>
      </c>
      <c r="F700" t="s">
        <v>65</v>
      </c>
      <c r="G700" t="s">
        <v>66</v>
      </c>
      <c r="H700" t="s">
        <v>68</v>
      </c>
      <c r="I700">
        <v>1</v>
      </c>
      <c r="J700">
        <v>0</v>
      </c>
      <c r="K700">
        <v>0</v>
      </c>
      <c r="L700">
        <v>1</v>
      </c>
      <c r="M700">
        <v>1</v>
      </c>
      <c r="N700">
        <v>1</v>
      </c>
      <c r="O700">
        <v>1</v>
      </c>
      <c r="P700">
        <v>1</v>
      </c>
      <c r="Q700">
        <v>1</v>
      </c>
      <c r="R700">
        <v>1</v>
      </c>
    </row>
    <row r="701" spans="1:18" x14ac:dyDescent="0.2">
      <c r="A701" t="str">
        <f>"697"</f>
        <v>697</v>
      </c>
      <c r="B701" t="str">
        <f t="shared" si="39"/>
        <v>1</v>
      </c>
      <c r="C701" t="str">
        <f t="shared" si="38"/>
        <v>14</v>
      </c>
      <c r="D701" t="str">
        <f>"2"</f>
        <v>2</v>
      </c>
      <c r="E701" t="str">
        <f>"1-14-2"</f>
        <v>1-14-2</v>
      </c>
      <c r="F701" t="s">
        <v>65</v>
      </c>
      <c r="G701" t="s">
        <v>66</v>
      </c>
      <c r="H701" t="s">
        <v>68</v>
      </c>
      <c r="I701">
        <v>1</v>
      </c>
      <c r="J701">
        <v>0</v>
      </c>
      <c r="K701">
        <v>0</v>
      </c>
      <c r="L701">
        <v>1</v>
      </c>
      <c r="M701">
        <v>1</v>
      </c>
      <c r="N701">
        <v>1</v>
      </c>
      <c r="O701">
        <v>1</v>
      </c>
      <c r="P701">
        <v>1</v>
      </c>
      <c r="Q701">
        <v>1</v>
      </c>
      <c r="R701">
        <v>1</v>
      </c>
    </row>
    <row r="702" spans="1:18" x14ac:dyDescent="0.2">
      <c r="A702" t="str">
        <f>"698"</f>
        <v>698</v>
      </c>
      <c r="B702" t="str">
        <f t="shared" si="39"/>
        <v>1</v>
      </c>
      <c r="C702" t="str">
        <f t="shared" si="38"/>
        <v>14</v>
      </c>
      <c r="D702" t="str">
        <f>"35"</f>
        <v>35</v>
      </c>
      <c r="E702" t="str">
        <f>"1-14-35"</f>
        <v>1-14-35</v>
      </c>
      <c r="F702" t="s">
        <v>65</v>
      </c>
      <c r="G702" t="s">
        <v>66</v>
      </c>
      <c r="H702" t="s">
        <v>68</v>
      </c>
      <c r="I702">
        <v>1</v>
      </c>
      <c r="J702">
        <v>0</v>
      </c>
      <c r="K702">
        <v>0</v>
      </c>
      <c r="L702">
        <v>1</v>
      </c>
      <c r="M702">
        <v>1</v>
      </c>
      <c r="N702">
        <v>1</v>
      </c>
      <c r="O702">
        <v>1</v>
      </c>
      <c r="P702">
        <v>1</v>
      </c>
      <c r="Q702">
        <v>1</v>
      </c>
      <c r="R702">
        <v>1</v>
      </c>
    </row>
    <row r="703" spans="1:18" x14ac:dyDescent="0.2">
      <c r="A703" t="str">
        <f>"699"</f>
        <v>699</v>
      </c>
      <c r="B703" t="str">
        <f t="shared" si="39"/>
        <v>1</v>
      </c>
      <c r="C703" t="str">
        <f t="shared" si="38"/>
        <v>14</v>
      </c>
      <c r="D703" t="str">
        <f>"28"</f>
        <v>28</v>
      </c>
      <c r="E703" t="str">
        <f>"1-14-28"</f>
        <v>1-14-28</v>
      </c>
      <c r="F703" t="s">
        <v>65</v>
      </c>
      <c r="G703" t="s">
        <v>66</v>
      </c>
      <c r="H703" t="s">
        <v>68</v>
      </c>
      <c r="I703">
        <v>1</v>
      </c>
      <c r="J703">
        <v>0</v>
      </c>
      <c r="K703">
        <v>1</v>
      </c>
      <c r="L703">
        <v>0</v>
      </c>
      <c r="M703">
        <v>1</v>
      </c>
      <c r="N703">
        <v>1</v>
      </c>
      <c r="O703">
        <v>1</v>
      </c>
      <c r="P703">
        <v>1</v>
      </c>
      <c r="Q703">
        <v>1</v>
      </c>
      <c r="R703">
        <v>1</v>
      </c>
    </row>
    <row r="704" spans="1:18" x14ac:dyDescent="0.2">
      <c r="A704" t="str">
        <f>"700"</f>
        <v>700</v>
      </c>
      <c r="B704" t="str">
        <f t="shared" si="39"/>
        <v>1</v>
      </c>
      <c r="C704" t="str">
        <f t="shared" si="38"/>
        <v>14</v>
      </c>
      <c r="D704" t="str">
        <f>"7"</f>
        <v>7</v>
      </c>
      <c r="E704" t="str">
        <f>"1-14-7"</f>
        <v>1-14-7</v>
      </c>
      <c r="F704" t="s">
        <v>65</v>
      </c>
      <c r="G704" t="s">
        <v>66</v>
      </c>
      <c r="H704" t="s">
        <v>68</v>
      </c>
      <c r="I704">
        <v>1</v>
      </c>
      <c r="J704">
        <v>0</v>
      </c>
      <c r="K704">
        <v>0</v>
      </c>
      <c r="L704">
        <v>1</v>
      </c>
      <c r="M704">
        <v>1</v>
      </c>
      <c r="N704">
        <v>1</v>
      </c>
      <c r="O704">
        <v>1</v>
      </c>
      <c r="P704">
        <v>1</v>
      </c>
      <c r="Q704">
        <v>1</v>
      </c>
      <c r="R704">
        <v>1</v>
      </c>
    </row>
    <row r="705" spans="1:18" x14ac:dyDescent="0.2">
      <c r="A705" t="str">
        <f>"701"</f>
        <v>701</v>
      </c>
      <c r="B705" t="str">
        <f t="shared" si="39"/>
        <v>1</v>
      </c>
      <c r="C705" t="str">
        <f t="shared" ref="C705:C736" si="40">"15"</f>
        <v>15</v>
      </c>
      <c r="D705" t="str">
        <f>"50"</f>
        <v>50</v>
      </c>
      <c r="E705" t="str">
        <f>"1-15-50"</f>
        <v>1-15-50</v>
      </c>
      <c r="F705" t="s">
        <v>65</v>
      </c>
      <c r="G705" t="s">
        <v>66</v>
      </c>
      <c r="H705" t="s">
        <v>68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1</v>
      </c>
      <c r="O705">
        <v>1</v>
      </c>
      <c r="P705">
        <v>1</v>
      </c>
      <c r="Q705">
        <v>1</v>
      </c>
      <c r="R705">
        <v>1</v>
      </c>
    </row>
    <row r="706" spans="1:18" x14ac:dyDescent="0.2">
      <c r="A706" t="str">
        <f>"702"</f>
        <v>702</v>
      </c>
      <c r="B706" t="str">
        <f t="shared" si="39"/>
        <v>1</v>
      </c>
      <c r="C706" t="str">
        <f t="shared" si="40"/>
        <v>15</v>
      </c>
      <c r="D706" t="str">
        <f>"49"</f>
        <v>49</v>
      </c>
      <c r="E706" t="str">
        <f>"1-15-49"</f>
        <v>1-15-49</v>
      </c>
      <c r="F706" t="s">
        <v>65</v>
      </c>
      <c r="G706" t="s">
        <v>66</v>
      </c>
      <c r="H706" t="s">
        <v>68</v>
      </c>
      <c r="I706">
        <v>1</v>
      </c>
      <c r="J706">
        <v>0</v>
      </c>
      <c r="K706">
        <v>0</v>
      </c>
      <c r="L706">
        <v>1</v>
      </c>
      <c r="M706">
        <v>1</v>
      </c>
      <c r="N706">
        <v>1</v>
      </c>
      <c r="O706">
        <v>0</v>
      </c>
      <c r="P706">
        <v>1</v>
      </c>
      <c r="Q706">
        <v>0</v>
      </c>
      <c r="R706">
        <v>0</v>
      </c>
    </row>
    <row r="707" spans="1:18" x14ac:dyDescent="0.2">
      <c r="A707" t="str">
        <f>"703"</f>
        <v>703</v>
      </c>
      <c r="B707" t="str">
        <f t="shared" si="39"/>
        <v>1</v>
      </c>
      <c r="C707" t="str">
        <f t="shared" si="40"/>
        <v>15</v>
      </c>
      <c r="D707" t="str">
        <f>"32"</f>
        <v>32</v>
      </c>
      <c r="E707" t="str">
        <f>"1-15-32"</f>
        <v>1-15-32</v>
      </c>
      <c r="F707" t="s">
        <v>65</v>
      </c>
      <c r="G707" t="s">
        <v>66</v>
      </c>
      <c r="H707" t="s">
        <v>68</v>
      </c>
      <c r="I707">
        <v>1</v>
      </c>
      <c r="J707">
        <v>0</v>
      </c>
      <c r="K707">
        <v>0</v>
      </c>
      <c r="L707">
        <v>1</v>
      </c>
      <c r="M707">
        <v>1</v>
      </c>
      <c r="N707">
        <v>0</v>
      </c>
      <c r="O707">
        <v>1</v>
      </c>
      <c r="P707">
        <v>0</v>
      </c>
      <c r="Q707">
        <v>1</v>
      </c>
      <c r="R707">
        <v>1</v>
      </c>
    </row>
    <row r="708" spans="1:18" x14ac:dyDescent="0.2">
      <c r="A708" t="str">
        <f>"704"</f>
        <v>704</v>
      </c>
      <c r="B708" t="str">
        <f t="shared" si="39"/>
        <v>1</v>
      </c>
      <c r="C708" t="str">
        <f t="shared" si="40"/>
        <v>15</v>
      </c>
      <c r="D708" t="str">
        <f>"31"</f>
        <v>31</v>
      </c>
      <c r="E708" t="str">
        <f>"1-15-31"</f>
        <v>1-15-31</v>
      </c>
      <c r="F708" t="s">
        <v>65</v>
      </c>
      <c r="G708" t="s">
        <v>66</v>
      </c>
      <c r="H708" t="s">
        <v>68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1</v>
      </c>
      <c r="O708">
        <v>1</v>
      </c>
      <c r="P708">
        <v>1</v>
      </c>
      <c r="Q708">
        <v>1</v>
      </c>
      <c r="R708">
        <v>1</v>
      </c>
    </row>
    <row r="709" spans="1:18" x14ac:dyDescent="0.2">
      <c r="A709" t="str">
        <f>"705"</f>
        <v>705</v>
      </c>
      <c r="B709" t="str">
        <f t="shared" si="39"/>
        <v>1</v>
      </c>
      <c r="C709" t="str">
        <f t="shared" si="40"/>
        <v>15</v>
      </c>
      <c r="D709" t="str">
        <f>"21"</f>
        <v>21</v>
      </c>
      <c r="E709" t="str">
        <f>"1-15-21"</f>
        <v>1-15-21</v>
      </c>
      <c r="F709" t="s">
        <v>65</v>
      </c>
      <c r="G709" t="s">
        <v>66</v>
      </c>
      <c r="H709" t="s">
        <v>68</v>
      </c>
      <c r="I709">
        <v>1</v>
      </c>
      <c r="J709">
        <v>0</v>
      </c>
      <c r="K709">
        <v>0</v>
      </c>
      <c r="L709">
        <v>1</v>
      </c>
      <c r="M709">
        <v>1</v>
      </c>
      <c r="N709">
        <v>1</v>
      </c>
      <c r="O709">
        <v>1</v>
      </c>
      <c r="P709">
        <v>1</v>
      </c>
      <c r="Q709">
        <v>1</v>
      </c>
      <c r="R709">
        <v>1</v>
      </c>
    </row>
    <row r="710" spans="1:18" x14ac:dyDescent="0.2">
      <c r="A710" t="str">
        <f>"706"</f>
        <v>706</v>
      </c>
      <c r="B710" t="str">
        <f t="shared" si="39"/>
        <v>1</v>
      </c>
      <c r="C710" t="str">
        <f t="shared" si="40"/>
        <v>15</v>
      </c>
      <c r="D710" t="str">
        <f>"15"</f>
        <v>15</v>
      </c>
      <c r="E710" t="str">
        <f>"1-15-15"</f>
        <v>1-15-15</v>
      </c>
      <c r="F710" t="s">
        <v>65</v>
      </c>
      <c r="G710" t="s">
        <v>66</v>
      </c>
      <c r="H710" t="s">
        <v>68</v>
      </c>
      <c r="I710">
        <v>0</v>
      </c>
      <c r="J710">
        <v>0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</row>
    <row r="711" spans="1:18" x14ac:dyDescent="0.2">
      <c r="A711" t="str">
        <f>"707"</f>
        <v>707</v>
      </c>
      <c r="B711" t="str">
        <f t="shared" si="39"/>
        <v>1</v>
      </c>
      <c r="C711" t="str">
        <f t="shared" si="40"/>
        <v>15</v>
      </c>
      <c r="D711" t="str">
        <f>"1"</f>
        <v>1</v>
      </c>
      <c r="E711" t="str">
        <f>"1-15-1"</f>
        <v>1-15-1</v>
      </c>
      <c r="F711" t="s">
        <v>65</v>
      </c>
      <c r="G711" t="s">
        <v>66</v>
      </c>
      <c r="H711" t="s">
        <v>68</v>
      </c>
      <c r="I711">
        <v>1</v>
      </c>
      <c r="J711">
        <v>0</v>
      </c>
      <c r="K711">
        <v>1</v>
      </c>
      <c r="L711">
        <v>0</v>
      </c>
      <c r="M711">
        <v>1</v>
      </c>
      <c r="N711">
        <v>1</v>
      </c>
      <c r="O711">
        <v>1</v>
      </c>
      <c r="P711">
        <v>1</v>
      </c>
      <c r="Q711">
        <v>1</v>
      </c>
      <c r="R711">
        <v>1</v>
      </c>
    </row>
    <row r="712" spans="1:18" x14ac:dyDescent="0.2">
      <c r="A712" t="str">
        <f>"708"</f>
        <v>708</v>
      </c>
      <c r="B712" t="str">
        <f t="shared" si="39"/>
        <v>1</v>
      </c>
      <c r="C712" t="str">
        <f t="shared" si="40"/>
        <v>15</v>
      </c>
      <c r="D712" t="str">
        <f>"36"</f>
        <v>36</v>
      </c>
      <c r="E712" t="str">
        <f>"1-15-36"</f>
        <v>1-15-36</v>
      </c>
      <c r="F712" t="s">
        <v>65</v>
      </c>
      <c r="G712" t="s">
        <v>66</v>
      </c>
      <c r="H712" t="s">
        <v>68</v>
      </c>
      <c r="I712">
        <v>1</v>
      </c>
      <c r="J712">
        <v>0</v>
      </c>
      <c r="K712">
        <v>0</v>
      </c>
      <c r="L712">
        <v>1</v>
      </c>
      <c r="M712">
        <v>1</v>
      </c>
      <c r="N712">
        <v>1</v>
      </c>
      <c r="O712">
        <v>1</v>
      </c>
      <c r="P712">
        <v>1</v>
      </c>
      <c r="Q712">
        <v>1</v>
      </c>
      <c r="R712">
        <v>1</v>
      </c>
    </row>
    <row r="713" spans="1:18" x14ac:dyDescent="0.2">
      <c r="A713" t="str">
        <f>"709"</f>
        <v>709</v>
      </c>
      <c r="B713" t="str">
        <f t="shared" si="39"/>
        <v>1</v>
      </c>
      <c r="C713" t="str">
        <f t="shared" si="40"/>
        <v>15</v>
      </c>
      <c r="D713" t="str">
        <f>"35"</f>
        <v>35</v>
      </c>
      <c r="E713" t="str">
        <f>"1-15-35"</f>
        <v>1-15-35</v>
      </c>
      <c r="F713" t="s">
        <v>65</v>
      </c>
      <c r="G713" t="s">
        <v>66</v>
      </c>
      <c r="H713" t="s">
        <v>68</v>
      </c>
      <c r="I713">
        <v>0</v>
      </c>
      <c r="J713">
        <v>1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</row>
    <row r="714" spans="1:18" x14ac:dyDescent="0.2">
      <c r="A714" t="str">
        <f>"710"</f>
        <v>710</v>
      </c>
      <c r="B714" t="str">
        <f t="shared" si="39"/>
        <v>1</v>
      </c>
      <c r="C714" t="str">
        <f t="shared" si="40"/>
        <v>15</v>
      </c>
      <c r="D714" t="str">
        <f>"27"</f>
        <v>27</v>
      </c>
      <c r="E714" t="str">
        <f>"1-15-27"</f>
        <v>1-15-27</v>
      </c>
      <c r="F714" t="s">
        <v>65</v>
      </c>
      <c r="G714" t="s">
        <v>66</v>
      </c>
      <c r="H714" t="s">
        <v>68</v>
      </c>
      <c r="I714">
        <v>1</v>
      </c>
      <c r="J714">
        <v>0</v>
      </c>
      <c r="K714">
        <v>0</v>
      </c>
      <c r="L714">
        <v>1</v>
      </c>
      <c r="M714">
        <v>1</v>
      </c>
      <c r="N714">
        <v>1</v>
      </c>
      <c r="O714">
        <v>1</v>
      </c>
      <c r="P714">
        <v>1</v>
      </c>
      <c r="Q714">
        <v>1</v>
      </c>
      <c r="R714">
        <v>1</v>
      </c>
    </row>
    <row r="715" spans="1:18" x14ac:dyDescent="0.2">
      <c r="A715" t="str">
        <f>"711"</f>
        <v>711</v>
      </c>
      <c r="B715" t="str">
        <f t="shared" si="39"/>
        <v>1</v>
      </c>
      <c r="C715" t="str">
        <f t="shared" si="40"/>
        <v>15</v>
      </c>
      <c r="D715" t="str">
        <f>"16"</f>
        <v>16</v>
      </c>
      <c r="E715" t="str">
        <f>"1-15-16"</f>
        <v>1-15-16</v>
      </c>
      <c r="F715" t="s">
        <v>65</v>
      </c>
      <c r="G715" t="s">
        <v>66</v>
      </c>
      <c r="H715" t="s">
        <v>68</v>
      </c>
      <c r="I715">
        <v>1</v>
      </c>
      <c r="J715">
        <v>0</v>
      </c>
      <c r="K715">
        <v>1</v>
      </c>
      <c r="L715">
        <v>0</v>
      </c>
      <c r="M715">
        <v>1</v>
      </c>
      <c r="N715">
        <v>1</v>
      </c>
      <c r="O715">
        <v>1</v>
      </c>
      <c r="P715">
        <v>1</v>
      </c>
      <c r="Q715">
        <v>1</v>
      </c>
      <c r="R715">
        <v>1</v>
      </c>
    </row>
    <row r="716" spans="1:18" x14ac:dyDescent="0.2">
      <c r="A716" t="str">
        <f>"712"</f>
        <v>712</v>
      </c>
      <c r="B716" t="str">
        <f t="shared" si="39"/>
        <v>1</v>
      </c>
      <c r="C716" t="str">
        <f t="shared" si="40"/>
        <v>15</v>
      </c>
      <c r="D716" t="str">
        <f>"5"</f>
        <v>5</v>
      </c>
      <c r="E716" t="str">
        <f>"1-15-5"</f>
        <v>1-15-5</v>
      </c>
      <c r="F716" t="s">
        <v>65</v>
      </c>
      <c r="G716" t="s">
        <v>66</v>
      </c>
      <c r="H716" t="s">
        <v>68</v>
      </c>
      <c r="I716">
        <v>1</v>
      </c>
      <c r="J716">
        <v>0</v>
      </c>
      <c r="K716">
        <v>1</v>
      </c>
      <c r="L716">
        <v>0</v>
      </c>
      <c r="M716">
        <v>1</v>
      </c>
      <c r="N716">
        <v>1</v>
      </c>
      <c r="O716">
        <v>1</v>
      </c>
      <c r="P716">
        <v>1</v>
      </c>
      <c r="Q716">
        <v>1</v>
      </c>
      <c r="R716">
        <v>1</v>
      </c>
    </row>
    <row r="717" spans="1:18" x14ac:dyDescent="0.2">
      <c r="A717" t="str">
        <f>"713"</f>
        <v>713</v>
      </c>
      <c r="B717" t="str">
        <f t="shared" si="39"/>
        <v>1</v>
      </c>
      <c r="C717" t="str">
        <f t="shared" si="40"/>
        <v>15</v>
      </c>
      <c r="D717" t="str">
        <f>"34"</f>
        <v>34</v>
      </c>
      <c r="E717" t="str">
        <f>"1-15-34"</f>
        <v>1-15-34</v>
      </c>
      <c r="F717" t="s">
        <v>65</v>
      </c>
      <c r="G717" t="s">
        <v>66</v>
      </c>
      <c r="H717" t="s">
        <v>68</v>
      </c>
      <c r="I717">
        <v>1</v>
      </c>
      <c r="J717">
        <v>1</v>
      </c>
      <c r="K717">
        <v>0</v>
      </c>
      <c r="L717">
        <v>0</v>
      </c>
      <c r="M717">
        <v>1</v>
      </c>
      <c r="N717">
        <v>1</v>
      </c>
      <c r="O717">
        <v>1</v>
      </c>
      <c r="P717">
        <v>1</v>
      </c>
      <c r="Q717">
        <v>1</v>
      </c>
      <c r="R717">
        <v>1</v>
      </c>
    </row>
    <row r="718" spans="1:18" x14ac:dyDescent="0.2">
      <c r="A718" t="str">
        <f>"714"</f>
        <v>714</v>
      </c>
      <c r="B718" t="str">
        <f t="shared" si="39"/>
        <v>1</v>
      </c>
      <c r="C718" t="str">
        <f t="shared" si="40"/>
        <v>15</v>
      </c>
      <c r="D718" t="str">
        <f>"17"</f>
        <v>17</v>
      </c>
      <c r="E718" t="str">
        <f>"1-15-17"</f>
        <v>1-15-17</v>
      </c>
      <c r="F718" t="s">
        <v>65</v>
      </c>
      <c r="G718" t="s">
        <v>66</v>
      </c>
      <c r="H718" t="s">
        <v>68</v>
      </c>
      <c r="I718">
        <v>1</v>
      </c>
      <c r="J718">
        <v>0</v>
      </c>
      <c r="K718">
        <v>1</v>
      </c>
      <c r="L718">
        <v>0</v>
      </c>
      <c r="M718">
        <v>1</v>
      </c>
      <c r="N718">
        <v>1</v>
      </c>
      <c r="O718">
        <v>1</v>
      </c>
      <c r="P718">
        <v>1</v>
      </c>
      <c r="Q718">
        <v>1</v>
      </c>
      <c r="R718">
        <v>1</v>
      </c>
    </row>
    <row r="719" spans="1:18" x14ac:dyDescent="0.2">
      <c r="A719" t="str">
        <f>"715"</f>
        <v>715</v>
      </c>
      <c r="B719" t="str">
        <f t="shared" si="39"/>
        <v>1</v>
      </c>
      <c r="C719" t="str">
        <f t="shared" si="40"/>
        <v>15</v>
      </c>
      <c r="D719" t="str">
        <f>"6"</f>
        <v>6</v>
      </c>
      <c r="E719" t="str">
        <f>"1-15-6"</f>
        <v>1-15-6</v>
      </c>
      <c r="F719" t="s">
        <v>65</v>
      </c>
      <c r="G719" t="s">
        <v>66</v>
      </c>
      <c r="H719" t="s">
        <v>68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1</v>
      </c>
      <c r="O719">
        <v>1</v>
      </c>
      <c r="P719">
        <v>1</v>
      </c>
      <c r="Q719">
        <v>1</v>
      </c>
      <c r="R719">
        <v>1</v>
      </c>
    </row>
    <row r="720" spans="1:18" x14ac:dyDescent="0.2">
      <c r="A720" t="str">
        <f>"716"</f>
        <v>716</v>
      </c>
      <c r="B720" t="str">
        <f t="shared" si="39"/>
        <v>1</v>
      </c>
      <c r="C720" t="str">
        <f t="shared" si="40"/>
        <v>15</v>
      </c>
      <c r="D720" t="str">
        <f>"46"</f>
        <v>46</v>
      </c>
      <c r="E720" t="str">
        <f>"1-15-46"</f>
        <v>1-15-46</v>
      </c>
      <c r="F720" t="s">
        <v>65</v>
      </c>
      <c r="G720" t="s">
        <v>66</v>
      </c>
      <c r="H720" t="s">
        <v>68</v>
      </c>
      <c r="I720">
        <v>1</v>
      </c>
      <c r="J720">
        <v>0</v>
      </c>
      <c r="K720">
        <v>0</v>
      </c>
      <c r="L720">
        <v>1</v>
      </c>
      <c r="M720">
        <v>0</v>
      </c>
      <c r="N720">
        <v>1</v>
      </c>
      <c r="O720">
        <v>0</v>
      </c>
      <c r="P720">
        <v>1</v>
      </c>
      <c r="Q720">
        <v>0</v>
      </c>
      <c r="R720">
        <v>0</v>
      </c>
    </row>
    <row r="721" spans="1:18" x14ac:dyDescent="0.2">
      <c r="A721" t="str">
        <f>"717"</f>
        <v>717</v>
      </c>
      <c r="B721" t="str">
        <f t="shared" si="39"/>
        <v>1</v>
      </c>
      <c r="C721" t="str">
        <f t="shared" si="40"/>
        <v>15</v>
      </c>
      <c r="D721" t="str">
        <f>"45"</f>
        <v>45</v>
      </c>
      <c r="E721" t="str">
        <f>"1-15-45"</f>
        <v>1-15-45</v>
      </c>
      <c r="F721" t="s">
        <v>65</v>
      </c>
      <c r="G721" t="s">
        <v>66</v>
      </c>
      <c r="H721" t="s">
        <v>68</v>
      </c>
      <c r="I721">
        <v>1</v>
      </c>
      <c r="J721">
        <v>0</v>
      </c>
      <c r="K721">
        <v>0</v>
      </c>
      <c r="L721">
        <v>1</v>
      </c>
      <c r="M721">
        <v>1</v>
      </c>
      <c r="N721">
        <v>1</v>
      </c>
      <c r="O721">
        <v>1</v>
      </c>
      <c r="P721">
        <v>1</v>
      </c>
      <c r="Q721">
        <v>1</v>
      </c>
      <c r="R721">
        <v>1</v>
      </c>
    </row>
    <row r="722" spans="1:18" x14ac:dyDescent="0.2">
      <c r="A722" t="str">
        <f>"718"</f>
        <v>718</v>
      </c>
      <c r="B722" t="str">
        <f t="shared" si="39"/>
        <v>1</v>
      </c>
      <c r="C722" t="str">
        <f t="shared" si="40"/>
        <v>15</v>
      </c>
      <c r="D722" t="str">
        <f>"33"</f>
        <v>33</v>
      </c>
      <c r="E722" t="str">
        <f>"1-15-33"</f>
        <v>1-15-33</v>
      </c>
      <c r="F722" t="s">
        <v>65</v>
      </c>
      <c r="G722" t="s">
        <v>66</v>
      </c>
      <c r="H722" t="s">
        <v>68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1</v>
      </c>
      <c r="O722">
        <v>1</v>
      </c>
      <c r="P722">
        <v>1</v>
      </c>
      <c r="Q722">
        <v>0</v>
      </c>
      <c r="R722">
        <v>1</v>
      </c>
    </row>
    <row r="723" spans="1:18" x14ac:dyDescent="0.2">
      <c r="A723" t="str">
        <f>"719"</f>
        <v>719</v>
      </c>
      <c r="B723" t="str">
        <f t="shared" si="39"/>
        <v>1</v>
      </c>
      <c r="C723" t="str">
        <f t="shared" si="40"/>
        <v>15</v>
      </c>
      <c r="D723" t="str">
        <f>"18"</f>
        <v>18</v>
      </c>
      <c r="E723" t="str">
        <f>"1-15-18"</f>
        <v>1-15-18</v>
      </c>
      <c r="F723" t="s">
        <v>65</v>
      </c>
      <c r="G723" t="s">
        <v>66</v>
      </c>
      <c r="H723" t="s">
        <v>68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1</v>
      </c>
      <c r="O723">
        <v>1</v>
      </c>
      <c r="P723">
        <v>1</v>
      </c>
      <c r="Q723">
        <v>1</v>
      </c>
      <c r="R723">
        <v>1</v>
      </c>
    </row>
    <row r="724" spans="1:18" x14ac:dyDescent="0.2">
      <c r="A724" t="str">
        <f>"720"</f>
        <v>720</v>
      </c>
      <c r="B724" t="str">
        <f t="shared" si="39"/>
        <v>1</v>
      </c>
      <c r="C724" t="str">
        <f t="shared" si="40"/>
        <v>15</v>
      </c>
      <c r="D724" t="str">
        <f>"13"</f>
        <v>13</v>
      </c>
      <c r="E724" t="str">
        <f>"1-15-13"</f>
        <v>1-15-13</v>
      </c>
      <c r="F724" t="s">
        <v>65</v>
      </c>
      <c r="G724" t="s">
        <v>66</v>
      </c>
      <c r="H724" t="s">
        <v>68</v>
      </c>
      <c r="I724">
        <v>0</v>
      </c>
      <c r="J724">
        <v>0</v>
      </c>
      <c r="K724">
        <v>0</v>
      </c>
      <c r="L724">
        <v>1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</row>
    <row r="725" spans="1:18" x14ac:dyDescent="0.2">
      <c r="A725" t="str">
        <f>"721"</f>
        <v>721</v>
      </c>
      <c r="B725" t="str">
        <f t="shared" si="39"/>
        <v>1</v>
      </c>
      <c r="C725" t="str">
        <f t="shared" si="40"/>
        <v>15</v>
      </c>
      <c r="D725" t="str">
        <f>"37"</f>
        <v>37</v>
      </c>
      <c r="E725" t="str">
        <f>"1-15-37"</f>
        <v>1-15-37</v>
      </c>
      <c r="F725" t="s">
        <v>65</v>
      </c>
      <c r="G725" t="s">
        <v>66</v>
      </c>
      <c r="H725" t="s">
        <v>68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1</v>
      </c>
      <c r="O725">
        <v>1</v>
      </c>
      <c r="P725">
        <v>0</v>
      </c>
      <c r="Q725">
        <v>1</v>
      </c>
      <c r="R725">
        <v>1</v>
      </c>
    </row>
    <row r="726" spans="1:18" x14ac:dyDescent="0.2">
      <c r="A726" t="str">
        <f>"722"</f>
        <v>722</v>
      </c>
      <c r="B726" t="str">
        <f t="shared" si="39"/>
        <v>1</v>
      </c>
      <c r="C726" t="str">
        <f t="shared" si="40"/>
        <v>15</v>
      </c>
      <c r="D726" t="str">
        <f>"19"</f>
        <v>19</v>
      </c>
      <c r="E726" t="str">
        <f>"1-15-19"</f>
        <v>1-15-19</v>
      </c>
      <c r="F726" t="s">
        <v>65</v>
      </c>
      <c r="G726" t="s">
        <v>66</v>
      </c>
      <c r="H726" t="s">
        <v>68</v>
      </c>
      <c r="I726">
        <v>1</v>
      </c>
      <c r="J726">
        <v>0</v>
      </c>
      <c r="K726">
        <v>0</v>
      </c>
      <c r="L726">
        <v>1</v>
      </c>
      <c r="M726">
        <v>1</v>
      </c>
      <c r="N726">
        <v>1</v>
      </c>
      <c r="O726">
        <v>1</v>
      </c>
      <c r="P726">
        <v>1</v>
      </c>
      <c r="Q726">
        <v>1</v>
      </c>
      <c r="R726">
        <v>1</v>
      </c>
    </row>
    <row r="727" spans="1:18" x14ac:dyDescent="0.2">
      <c r="A727" t="str">
        <f>"723"</f>
        <v>723</v>
      </c>
      <c r="B727" t="str">
        <f t="shared" si="39"/>
        <v>1</v>
      </c>
      <c r="C727" t="str">
        <f t="shared" si="40"/>
        <v>15</v>
      </c>
      <c r="D727" t="str">
        <f>"38"</f>
        <v>38</v>
      </c>
      <c r="E727" t="str">
        <f>"1-15-38"</f>
        <v>1-15-38</v>
      </c>
      <c r="F727" t="s">
        <v>65</v>
      </c>
      <c r="G727" t="s">
        <v>66</v>
      </c>
      <c r="H727" t="s">
        <v>68</v>
      </c>
      <c r="I727">
        <v>1</v>
      </c>
      <c r="J727">
        <v>1</v>
      </c>
      <c r="K727">
        <v>0</v>
      </c>
      <c r="L727">
        <v>0</v>
      </c>
      <c r="M727">
        <v>1</v>
      </c>
      <c r="N727">
        <v>1</v>
      </c>
      <c r="O727">
        <v>1</v>
      </c>
      <c r="P727">
        <v>1</v>
      </c>
      <c r="Q727">
        <v>1</v>
      </c>
      <c r="R727">
        <v>1</v>
      </c>
    </row>
    <row r="728" spans="1:18" x14ac:dyDescent="0.2">
      <c r="A728" t="str">
        <f>"724"</f>
        <v>724</v>
      </c>
      <c r="B728" t="str">
        <f t="shared" si="39"/>
        <v>1</v>
      </c>
      <c r="C728" t="str">
        <f t="shared" si="40"/>
        <v>15</v>
      </c>
      <c r="D728" t="str">
        <f>"20"</f>
        <v>20</v>
      </c>
      <c r="E728" t="str">
        <f>"1-15-20"</f>
        <v>1-15-20</v>
      </c>
      <c r="F728" t="s">
        <v>65</v>
      </c>
      <c r="G728" t="s">
        <v>66</v>
      </c>
      <c r="H728" t="s">
        <v>68</v>
      </c>
      <c r="I728">
        <v>1</v>
      </c>
      <c r="J728">
        <v>0</v>
      </c>
      <c r="K728">
        <v>0</v>
      </c>
      <c r="L728">
        <v>1</v>
      </c>
      <c r="M728">
        <v>1</v>
      </c>
      <c r="N728">
        <v>0</v>
      </c>
      <c r="O728">
        <v>0</v>
      </c>
      <c r="P728">
        <v>0</v>
      </c>
      <c r="Q728">
        <v>0</v>
      </c>
      <c r="R728">
        <v>0</v>
      </c>
    </row>
    <row r="729" spans="1:18" x14ac:dyDescent="0.2">
      <c r="A729" t="str">
        <f>"725"</f>
        <v>725</v>
      </c>
      <c r="B729" t="str">
        <f t="shared" si="39"/>
        <v>1</v>
      </c>
      <c r="C729" t="str">
        <f t="shared" si="40"/>
        <v>15</v>
      </c>
      <c r="D729" t="str">
        <f>"4"</f>
        <v>4</v>
      </c>
      <c r="E729" t="str">
        <f>"1-15-4"</f>
        <v>1-15-4</v>
      </c>
      <c r="F729" t="s">
        <v>65</v>
      </c>
      <c r="G729" t="s">
        <v>66</v>
      </c>
      <c r="H729" t="s">
        <v>68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1</v>
      </c>
      <c r="O729">
        <v>1</v>
      </c>
      <c r="P729">
        <v>1</v>
      </c>
      <c r="Q729">
        <v>1</v>
      </c>
      <c r="R729">
        <v>1</v>
      </c>
    </row>
    <row r="730" spans="1:18" x14ac:dyDescent="0.2">
      <c r="A730" t="str">
        <f>"726"</f>
        <v>726</v>
      </c>
      <c r="B730" t="str">
        <f t="shared" si="39"/>
        <v>1</v>
      </c>
      <c r="C730" t="str">
        <f t="shared" si="40"/>
        <v>15</v>
      </c>
      <c r="D730" t="str">
        <f>"39"</f>
        <v>39</v>
      </c>
      <c r="E730" t="str">
        <f>"1-15-39"</f>
        <v>1-15-39</v>
      </c>
      <c r="F730" t="s">
        <v>65</v>
      </c>
      <c r="G730" t="s">
        <v>66</v>
      </c>
      <c r="H730" t="s">
        <v>68</v>
      </c>
      <c r="I730">
        <v>1</v>
      </c>
      <c r="J730">
        <v>0</v>
      </c>
      <c r="K730">
        <v>0</v>
      </c>
      <c r="L730">
        <v>1</v>
      </c>
      <c r="M730">
        <v>1</v>
      </c>
      <c r="N730">
        <v>1</v>
      </c>
      <c r="O730">
        <v>1</v>
      </c>
      <c r="P730">
        <v>1</v>
      </c>
      <c r="Q730">
        <v>1</v>
      </c>
      <c r="R730">
        <v>1</v>
      </c>
    </row>
    <row r="731" spans="1:18" x14ac:dyDescent="0.2">
      <c r="A731" t="str">
        <f>"727"</f>
        <v>727</v>
      </c>
      <c r="B731" t="str">
        <f t="shared" si="39"/>
        <v>1</v>
      </c>
      <c r="C731" t="str">
        <f t="shared" si="40"/>
        <v>15</v>
      </c>
      <c r="D731" t="str">
        <f>"22"</f>
        <v>22</v>
      </c>
      <c r="E731" t="str">
        <f>"1-15-22"</f>
        <v>1-15-22</v>
      </c>
      <c r="F731" t="s">
        <v>65</v>
      </c>
      <c r="G731" t="s">
        <v>66</v>
      </c>
      <c r="H731" t="s">
        <v>68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1</v>
      </c>
      <c r="O731">
        <v>1</v>
      </c>
      <c r="P731">
        <v>1</v>
      </c>
      <c r="Q731">
        <v>1</v>
      </c>
      <c r="R731">
        <v>1</v>
      </c>
    </row>
    <row r="732" spans="1:18" x14ac:dyDescent="0.2">
      <c r="A732" t="str">
        <f>"728"</f>
        <v>728</v>
      </c>
      <c r="B732" t="str">
        <f t="shared" si="39"/>
        <v>1</v>
      </c>
      <c r="C732" t="str">
        <f t="shared" si="40"/>
        <v>15</v>
      </c>
      <c r="D732" t="str">
        <f>"10"</f>
        <v>10</v>
      </c>
      <c r="E732" t="str">
        <f>"1-15-10"</f>
        <v>1-15-10</v>
      </c>
      <c r="F732" t="s">
        <v>65</v>
      </c>
      <c r="G732" t="s">
        <v>66</v>
      </c>
      <c r="H732" t="s">
        <v>68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1</v>
      </c>
      <c r="O732">
        <v>1</v>
      </c>
      <c r="P732">
        <v>1</v>
      </c>
      <c r="Q732">
        <v>1</v>
      </c>
      <c r="R732">
        <v>1</v>
      </c>
    </row>
    <row r="733" spans="1:18" x14ac:dyDescent="0.2">
      <c r="A733" t="str">
        <f>"729"</f>
        <v>729</v>
      </c>
      <c r="B733" t="str">
        <f t="shared" si="39"/>
        <v>1</v>
      </c>
      <c r="C733" t="str">
        <f t="shared" si="40"/>
        <v>15</v>
      </c>
      <c r="D733" t="str">
        <f>"40"</f>
        <v>40</v>
      </c>
      <c r="E733" t="str">
        <f>"1-15-40"</f>
        <v>1-15-40</v>
      </c>
      <c r="F733" t="s">
        <v>65</v>
      </c>
      <c r="G733" t="s">
        <v>66</v>
      </c>
      <c r="H733" t="s">
        <v>68</v>
      </c>
      <c r="I733">
        <v>1</v>
      </c>
      <c r="J733">
        <v>0</v>
      </c>
      <c r="K733">
        <v>0</v>
      </c>
      <c r="L733">
        <v>1</v>
      </c>
      <c r="M733">
        <v>1</v>
      </c>
      <c r="N733">
        <v>1</v>
      </c>
      <c r="O733">
        <v>1</v>
      </c>
      <c r="P733">
        <v>1</v>
      </c>
      <c r="Q733">
        <v>1</v>
      </c>
      <c r="R733">
        <v>1</v>
      </c>
    </row>
    <row r="734" spans="1:18" x14ac:dyDescent="0.2">
      <c r="A734" t="str">
        <f>"730"</f>
        <v>730</v>
      </c>
      <c r="B734" t="str">
        <f t="shared" si="39"/>
        <v>1</v>
      </c>
      <c r="C734" t="str">
        <f t="shared" si="40"/>
        <v>15</v>
      </c>
      <c r="D734" t="str">
        <f>"23"</f>
        <v>23</v>
      </c>
      <c r="E734" t="str">
        <f>"1-15-23"</f>
        <v>1-15-23</v>
      </c>
      <c r="F734" t="s">
        <v>65</v>
      </c>
      <c r="G734" t="s">
        <v>66</v>
      </c>
      <c r="H734" t="s">
        <v>68</v>
      </c>
      <c r="I734">
        <v>1</v>
      </c>
      <c r="J734">
        <v>1</v>
      </c>
      <c r="K734">
        <v>0</v>
      </c>
      <c r="L734">
        <v>0</v>
      </c>
      <c r="M734">
        <v>1</v>
      </c>
      <c r="N734">
        <v>1</v>
      </c>
      <c r="O734">
        <v>1</v>
      </c>
      <c r="P734">
        <v>1</v>
      </c>
      <c r="Q734">
        <v>1</v>
      </c>
      <c r="R734">
        <v>1</v>
      </c>
    </row>
    <row r="735" spans="1:18" x14ac:dyDescent="0.2">
      <c r="A735" t="str">
        <f>"731"</f>
        <v>731</v>
      </c>
      <c r="B735" t="str">
        <f t="shared" si="39"/>
        <v>1</v>
      </c>
      <c r="C735" t="str">
        <f t="shared" si="40"/>
        <v>15</v>
      </c>
      <c r="D735" t="str">
        <f>"8"</f>
        <v>8</v>
      </c>
      <c r="E735" t="str">
        <f>"1-15-8"</f>
        <v>1-15-8</v>
      </c>
      <c r="F735" t="s">
        <v>65</v>
      </c>
      <c r="G735" t="s">
        <v>66</v>
      </c>
      <c r="H735" t="s">
        <v>68</v>
      </c>
      <c r="I735">
        <v>1</v>
      </c>
      <c r="J735">
        <v>0</v>
      </c>
      <c r="K735">
        <v>0</v>
      </c>
      <c r="L735">
        <v>1</v>
      </c>
      <c r="M735">
        <v>1</v>
      </c>
      <c r="N735">
        <v>1</v>
      </c>
      <c r="O735">
        <v>1</v>
      </c>
      <c r="P735">
        <v>1</v>
      </c>
      <c r="Q735">
        <v>1</v>
      </c>
      <c r="R735">
        <v>1</v>
      </c>
    </row>
    <row r="736" spans="1:18" x14ac:dyDescent="0.2">
      <c r="A736" t="str">
        <f>"732"</f>
        <v>732</v>
      </c>
      <c r="B736" t="str">
        <f t="shared" si="39"/>
        <v>1</v>
      </c>
      <c r="C736" t="str">
        <f t="shared" si="40"/>
        <v>15</v>
      </c>
      <c r="D736" t="str">
        <f>"41"</f>
        <v>41</v>
      </c>
      <c r="E736" t="str">
        <f>"1-15-41"</f>
        <v>1-15-41</v>
      </c>
      <c r="F736" t="s">
        <v>65</v>
      </c>
      <c r="G736" t="s">
        <v>66</v>
      </c>
      <c r="H736" t="s">
        <v>68</v>
      </c>
      <c r="I736">
        <v>1</v>
      </c>
      <c r="J736">
        <v>0</v>
      </c>
      <c r="K736">
        <v>0</v>
      </c>
      <c r="L736">
        <v>1</v>
      </c>
      <c r="M736">
        <v>1</v>
      </c>
      <c r="N736">
        <v>1</v>
      </c>
      <c r="O736">
        <v>1</v>
      </c>
      <c r="P736">
        <v>1</v>
      </c>
      <c r="Q736">
        <v>1</v>
      </c>
      <c r="R736">
        <v>1</v>
      </c>
    </row>
    <row r="737" spans="1:18" x14ac:dyDescent="0.2">
      <c r="A737" t="str">
        <f>"733"</f>
        <v>733</v>
      </c>
      <c r="B737" t="str">
        <f t="shared" si="39"/>
        <v>1</v>
      </c>
      <c r="C737" t="str">
        <f t="shared" ref="C737:C754" si="41">"15"</f>
        <v>15</v>
      </c>
      <c r="D737" t="str">
        <f>"24"</f>
        <v>24</v>
      </c>
      <c r="E737" t="str">
        <f>"1-15-24"</f>
        <v>1-15-24</v>
      </c>
      <c r="F737" t="s">
        <v>65</v>
      </c>
      <c r="G737" t="s">
        <v>66</v>
      </c>
      <c r="H737" t="s">
        <v>68</v>
      </c>
      <c r="I737">
        <v>1</v>
      </c>
      <c r="J737">
        <v>0</v>
      </c>
      <c r="K737">
        <v>0</v>
      </c>
      <c r="L737">
        <v>1</v>
      </c>
      <c r="M737">
        <v>1</v>
      </c>
      <c r="N737">
        <v>1</v>
      </c>
      <c r="O737">
        <v>1</v>
      </c>
      <c r="P737">
        <v>1</v>
      </c>
      <c r="Q737">
        <v>1</v>
      </c>
      <c r="R737">
        <v>1</v>
      </c>
    </row>
    <row r="738" spans="1:18" x14ac:dyDescent="0.2">
      <c r="A738" t="str">
        <f>"734"</f>
        <v>734</v>
      </c>
      <c r="B738" t="str">
        <f t="shared" si="39"/>
        <v>1</v>
      </c>
      <c r="C738" t="str">
        <f t="shared" si="41"/>
        <v>15</v>
      </c>
      <c r="D738" t="str">
        <f>"9"</f>
        <v>9</v>
      </c>
      <c r="E738" t="str">
        <f>"1-15-9"</f>
        <v>1-15-9</v>
      </c>
      <c r="F738" t="s">
        <v>65</v>
      </c>
      <c r="G738" t="s">
        <v>66</v>
      </c>
      <c r="H738" t="s">
        <v>68</v>
      </c>
      <c r="I738">
        <v>1</v>
      </c>
      <c r="J738">
        <v>0</v>
      </c>
      <c r="K738">
        <v>1</v>
      </c>
      <c r="L738">
        <v>0</v>
      </c>
      <c r="M738">
        <v>1</v>
      </c>
      <c r="N738">
        <v>1</v>
      </c>
      <c r="O738">
        <v>1</v>
      </c>
      <c r="P738">
        <v>1</v>
      </c>
      <c r="Q738">
        <v>1</v>
      </c>
      <c r="R738">
        <v>1</v>
      </c>
    </row>
    <row r="739" spans="1:18" x14ac:dyDescent="0.2">
      <c r="A739" t="str">
        <f>"735"</f>
        <v>735</v>
      </c>
      <c r="B739" t="str">
        <f t="shared" si="39"/>
        <v>1</v>
      </c>
      <c r="C739" t="str">
        <f t="shared" si="41"/>
        <v>15</v>
      </c>
      <c r="D739" t="str">
        <f>"42"</f>
        <v>42</v>
      </c>
      <c r="E739" t="str">
        <f>"1-15-42"</f>
        <v>1-15-42</v>
      </c>
      <c r="F739" t="s">
        <v>65</v>
      </c>
      <c r="G739" t="s">
        <v>66</v>
      </c>
      <c r="H739" t="s">
        <v>68</v>
      </c>
      <c r="I739">
        <v>1</v>
      </c>
      <c r="J739">
        <v>0</v>
      </c>
      <c r="K739">
        <v>0</v>
      </c>
      <c r="L739">
        <v>1</v>
      </c>
      <c r="M739">
        <v>1</v>
      </c>
      <c r="N739">
        <v>1</v>
      </c>
      <c r="O739">
        <v>1</v>
      </c>
      <c r="P739">
        <v>1</v>
      </c>
      <c r="Q739">
        <v>1</v>
      </c>
      <c r="R739">
        <v>1</v>
      </c>
    </row>
    <row r="740" spans="1:18" x14ac:dyDescent="0.2">
      <c r="A740" t="str">
        <f>"736"</f>
        <v>736</v>
      </c>
      <c r="B740" t="str">
        <f t="shared" si="39"/>
        <v>1</v>
      </c>
      <c r="C740" t="str">
        <f t="shared" si="41"/>
        <v>15</v>
      </c>
      <c r="D740" t="str">
        <f>"25"</f>
        <v>25</v>
      </c>
      <c r="E740" t="str">
        <f>"1-15-25"</f>
        <v>1-15-25</v>
      </c>
      <c r="F740" t="s">
        <v>65</v>
      </c>
      <c r="G740" t="s">
        <v>66</v>
      </c>
      <c r="H740" t="s">
        <v>68</v>
      </c>
      <c r="I740">
        <v>1</v>
      </c>
      <c r="J740">
        <v>0</v>
      </c>
      <c r="K740">
        <v>0</v>
      </c>
      <c r="L740">
        <v>1</v>
      </c>
      <c r="M740">
        <v>1</v>
      </c>
      <c r="N740">
        <v>1</v>
      </c>
      <c r="O740">
        <v>1</v>
      </c>
      <c r="P740">
        <v>1</v>
      </c>
      <c r="Q740">
        <v>1</v>
      </c>
      <c r="R740">
        <v>1</v>
      </c>
    </row>
    <row r="741" spans="1:18" x14ac:dyDescent="0.2">
      <c r="A741" t="str">
        <f>"737"</f>
        <v>737</v>
      </c>
      <c r="B741" t="str">
        <f t="shared" si="39"/>
        <v>1</v>
      </c>
      <c r="C741" t="str">
        <f t="shared" si="41"/>
        <v>15</v>
      </c>
      <c r="D741" t="str">
        <f>"2"</f>
        <v>2</v>
      </c>
      <c r="E741" t="str">
        <f>"1-15-2"</f>
        <v>1-15-2</v>
      </c>
      <c r="F741" t="s">
        <v>65</v>
      </c>
      <c r="G741" t="s">
        <v>66</v>
      </c>
      <c r="H741" t="s">
        <v>68</v>
      </c>
      <c r="I741">
        <v>1</v>
      </c>
      <c r="J741">
        <v>0</v>
      </c>
      <c r="K741">
        <v>1</v>
      </c>
      <c r="L741">
        <v>0</v>
      </c>
      <c r="M741">
        <v>1</v>
      </c>
      <c r="N741">
        <v>1</v>
      </c>
      <c r="O741">
        <v>1</v>
      </c>
      <c r="P741">
        <v>1</v>
      </c>
      <c r="Q741">
        <v>1</v>
      </c>
      <c r="R741">
        <v>1</v>
      </c>
    </row>
    <row r="742" spans="1:18" x14ac:dyDescent="0.2">
      <c r="A742" t="str">
        <f>"738"</f>
        <v>738</v>
      </c>
      <c r="B742" t="str">
        <f t="shared" si="39"/>
        <v>1</v>
      </c>
      <c r="C742" t="str">
        <f t="shared" si="41"/>
        <v>15</v>
      </c>
      <c r="D742" t="str">
        <f>"43"</f>
        <v>43</v>
      </c>
      <c r="E742" t="str">
        <f>"1-15-43"</f>
        <v>1-15-43</v>
      </c>
      <c r="F742" t="s">
        <v>65</v>
      </c>
      <c r="G742" t="s">
        <v>66</v>
      </c>
      <c r="H742" t="s">
        <v>68</v>
      </c>
      <c r="I742">
        <v>1</v>
      </c>
      <c r="J742">
        <v>0</v>
      </c>
      <c r="K742">
        <v>0</v>
      </c>
      <c r="L742">
        <v>1</v>
      </c>
      <c r="M742">
        <v>1</v>
      </c>
      <c r="N742">
        <v>1</v>
      </c>
      <c r="O742">
        <v>1</v>
      </c>
      <c r="P742">
        <v>1</v>
      </c>
      <c r="Q742">
        <v>1</v>
      </c>
      <c r="R742">
        <v>1</v>
      </c>
    </row>
    <row r="743" spans="1:18" x14ac:dyDescent="0.2">
      <c r="A743" t="str">
        <f>"739"</f>
        <v>739</v>
      </c>
      <c r="B743" t="str">
        <f t="shared" si="39"/>
        <v>1</v>
      </c>
      <c r="C743" t="str">
        <f t="shared" si="41"/>
        <v>15</v>
      </c>
      <c r="D743" t="str">
        <f>"26"</f>
        <v>26</v>
      </c>
      <c r="E743" t="str">
        <f>"1-15-26"</f>
        <v>1-15-26</v>
      </c>
      <c r="F743" t="s">
        <v>65</v>
      </c>
      <c r="G743" t="s">
        <v>66</v>
      </c>
      <c r="H743" t="s">
        <v>68</v>
      </c>
      <c r="I743">
        <v>0</v>
      </c>
      <c r="J743">
        <v>1</v>
      </c>
      <c r="K743">
        <v>0</v>
      </c>
      <c r="L743">
        <v>0</v>
      </c>
      <c r="M743">
        <v>0</v>
      </c>
      <c r="N743">
        <v>1</v>
      </c>
      <c r="O743">
        <v>0</v>
      </c>
      <c r="P743">
        <v>0</v>
      </c>
      <c r="Q743">
        <v>0</v>
      </c>
      <c r="R743">
        <v>0</v>
      </c>
    </row>
    <row r="744" spans="1:18" x14ac:dyDescent="0.2">
      <c r="A744" t="str">
        <f>"740"</f>
        <v>740</v>
      </c>
      <c r="B744" t="str">
        <f t="shared" si="39"/>
        <v>1</v>
      </c>
      <c r="C744" t="str">
        <f t="shared" si="41"/>
        <v>15</v>
      </c>
      <c r="D744" t="str">
        <f>"7"</f>
        <v>7</v>
      </c>
      <c r="E744" t="str">
        <f>"1-15-7"</f>
        <v>1-15-7</v>
      </c>
      <c r="F744" t="s">
        <v>65</v>
      </c>
      <c r="G744" t="s">
        <v>66</v>
      </c>
      <c r="H744" t="s">
        <v>68</v>
      </c>
      <c r="I744">
        <v>1</v>
      </c>
      <c r="J744">
        <v>0</v>
      </c>
      <c r="K744">
        <v>0</v>
      </c>
      <c r="L744">
        <v>1</v>
      </c>
      <c r="M744">
        <v>1</v>
      </c>
      <c r="N744">
        <v>1</v>
      </c>
      <c r="O744">
        <v>1</v>
      </c>
      <c r="P744">
        <v>1</v>
      </c>
      <c r="Q744">
        <v>1</v>
      </c>
      <c r="R744">
        <v>1</v>
      </c>
    </row>
    <row r="745" spans="1:18" x14ac:dyDescent="0.2">
      <c r="A745" t="str">
        <f>"741"</f>
        <v>741</v>
      </c>
      <c r="B745" t="str">
        <f t="shared" si="39"/>
        <v>1</v>
      </c>
      <c r="C745" t="str">
        <f t="shared" si="41"/>
        <v>15</v>
      </c>
      <c r="D745" t="str">
        <f>"44"</f>
        <v>44</v>
      </c>
      <c r="E745" t="str">
        <f>"1-15-44"</f>
        <v>1-15-44</v>
      </c>
      <c r="F745" t="s">
        <v>65</v>
      </c>
      <c r="G745" t="s">
        <v>66</v>
      </c>
      <c r="H745" t="s">
        <v>68</v>
      </c>
      <c r="I745">
        <v>1</v>
      </c>
      <c r="J745">
        <v>0</v>
      </c>
      <c r="K745">
        <v>1</v>
      </c>
      <c r="L745">
        <v>0</v>
      </c>
      <c r="M745">
        <v>1</v>
      </c>
      <c r="N745">
        <v>1</v>
      </c>
      <c r="O745">
        <v>1</v>
      </c>
      <c r="P745">
        <v>0</v>
      </c>
      <c r="Q745">
        <v>1</v>
      </c>
      <c r="R745">
        <v>1</v>
      </c>
    </row>
    <row r="746" spans="1:18" x14ac:dyDescent="0.2">
      <c r="A746" t="str">
        <f>"742"</f>
        <v>742</v>
      </c>
      <c r="B746" t="str">
        <f t="shared" si="39"/>
        <v>1</v>
      </c>
      <c r="C746" t="str">
        <f t="shared" si="41"/>
        <v>15</v>
      </c>
      <c r="D746" t="str">
        <f>"28"</f>
        <v>28</v>
      </c>
      <c r="E746" t="str">
        <f>"1-15-28"</f>
        <v>1-15-28</v>
      </c>
      <c r="F746" t="s">
        <v>65</v>
      </c>
      <c r="G746" t="s">
        <v>66</v>
      </c>
      <c r="H746" t="s">
        <v>68</v>
      </c>
      <c r="I746">
        <v>1</v>
      </c>
      <c r="J746">
        <v>0</v>
      </c>
      <c r="K746">
        <v>1</v>
      </c>
      <c r="L746">
        <v>0</v>
      </c>
      <c r="M746">
        <v>1</v>
      </c>
      <c r="N746">
        <v>1</v>
      </c>
      <c r="O746">
        <v>1</v>
      </c>
      <c r="P746">
        <v>1</v>
      </c>
      <c r="Q746">
        <v>1</v>
      </c>
      <c r="R746">
        <v>1</v>
      </c>
    </row>
    <row r="747" spans="1:18" x14ac:dyDescent="0.2">
      <c r="A747" t="str">
        <f>"743"</f>
        <v>743</v>
      </c>
      <c r="B747" t="str">
        <f t="shared" si="39"/>
        <v>1</v>
      </c>
      <c r="C747" t="str">
        <f t="shared" si="41"/>
        <v>15</v>
      </c>
      <c r="D747" t="str">
        <f>"14"</f>
        <v>14</v>
      </c>
      <c r="E747" t="str">
        <f>"1-15-14"</f>
        <v>1-15-14</v>
      </c>
      <c r="F747" t="s">
        <v>65</v>
      </c>
      <c r="G747" t="s">
        <v>66</v>
      </c>
      <c r="H747" t="s">
        <v>68</v>
      </c>
      <c r="I747">
        <v>1</v>
      </c>
      <c r="J747">
        <v>1</v>
      </c>
      <c r="K747">
        <v>0</v>
      </c>
      <c r="L747">
        <v>0</v>
      </c>
      <c r="M747">
        <v>1</v>
      </c>
      <c r="N747">
        <v>1</v>
      </c>
      <c r="O747">
        <v>1</v>
      </c>
      <c r="P747">
        <v>1</v>
      </c>
      <c r="Q747">
        <v>1</v>
      </c>
      <c r="R747">
        <v>1</v>
      </c>
    </row>
    <row r="748" spans="1:18" x14ac:dyDescent="0.2">
      <c r="A748" t="str">
        <f>"744"</f>
        <v>744</v>
      </c>
      <c r="B748" t="str">
        <f t="shared" si="39"/>
        <v>1</v>
      </c>
      <c r="C748" t="str">
        <f t="shared" si="41"/>
        <v>15</v>
      </c>
      <c r="D748" t="str">
        <f>"47"</f>
        <v>47</v>
      </c>
      <c r="E748" t="str">
        <f>"1-15-47"</f>
        <v>1-15-47</v>
      </c>
      <c r="F748" t="s">
        <v>65</v>
      </c>
      <c r="G748" t="s">
        <v>66</v>
      </c>
      <c r="H748" t="s">
        <v>68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1</v>
      </c>
      <c r="O748">
        <v>1</v>
      </c>
      <c r="P748">
        <v>1</v>
      </c>
      <c r="Q748">
        <v>1</v>
      </c>
      <c r="R748">
        <v>1</v>
      </c>
    </row>
    <row r="749" spans="1:18" x14ac:dyDescent="0.2">
      <c r="A749" t="str">
        <f>"745"</f>
        <v>745</v>
      </c>
      <c r="B749" t="str">
        <f t="shared" si="39"/>
        <v>1</v>
      </c>
      <c r="C749" t="str">
        <f t="shared" si="41"/>
        <v>15</v>
      </c>
      <c r="D749" t="str">
        <f>"29"</f>
        <v>29</v>
      </c>
      <c r="E749" t="str">
        <f>"1-15-29"</f>
        <v>1-15-29</v>
      </c>
      <c r="F749" t="s">
        <v>65</v>
      </c>
      <c r="G749" t="s">
        <v>66</v>
      </c>
      <c r="H749" t="s">
        <v>68</v>
      </c>
      <c r="I749">
        <v>0</v>
      </c>
      <c r="J749">
        <v>0</v>
      </c>
      <c r="K749">
        <v>1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</row>
    <row r="750" spans="1:18" x14ac:dyDescent="0.2">
      <c r="A750" t="str">
        <f>"746"</f>
        <v>746</v>
      </c>
      <c r="B750" t="str">
        <f t="shared" si="39"/>
        <v>1</v>
      </c>
      <c r="C750" t="str">
        <f t="shared" si="41"/>
        <v>15</v>
      </c>
      <c r="D750" t="str">
        <f>"12"</f>
        <v>12</v>
      </c>
      <c r="E750" t="str">
        <f>"1-15-12"</f>
        <v>1-15-12</v>
      </c>
      <c r="F750" t="s">
        <v>65</v>
      </c>
      <c r="G750" t="s">
        <v>66</v>
      </c>
      <c r="H750" t="s">
        <v>68</v>
      </c>
      <c r="I750">
        <v>1</v>
      </c>
      <c r="J750">
        <v>0</v>
      </c>
      <c r="K750">
        <v>0</v>
      </c>
      <c r="L750">
        <v>1</v>
      </c>
      <c r="M750">
        <v>1</v>
      </c>
      <c r="N750">
        <v>1</v>
      </c>
      <c r="O750">
        <v>1</v>
      </c>
      <c r="P750">
        <v>1</v>
      </c>
      <c r="Q750">
        <v>1</v>
      </c>
      <c r="R750">
        <v>1</v>
      </c>
    </row>
    <row r="751" spans="1:18" x14ac:dyDescent="0.2">
      <c r="A751" t="str">
        <f>"747"</f>
        <v>747</v>
      </c>
      <c r="B751" t="str">
        <f t="shared" si="39"/>
        <v>1</v>
      </c>
      <c r="C751" t="str">
        <f t="shared" si="41"/>
        <v>15</v>
      </c>
      <c r="D751" t="str">
        <f>"48"</f>
        <v>48</v>
      </c>
      <c r="E751" t="str">
        <f>"1-15-48"</f>
        <v>1-15-48</v>
      </c>
      <c r="F751" t="s">
        <v>65</v>
      </c>
      <c r="G751" t="s">
        <v>66</v>
      </c>
      <c r="H751" t="s">
        <v>68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1</v>
      </c>
      <c r="O751">
        <v>1</v>
      </c>
      <c r="P751">
        <v>1</v>
      </c>
      <c r="Q751">
        <v>1</v>
      </c>
      <c r="R751">
        <v>1</v>
      </c>
    </row>
    <row r="752" spans="1:18" x14ac:dyDescent="0.2">
      <c r="A752" t="str">
        <f>"748"</f>
        <v>748</v>
      </c>
      <c r="B752" t="str">
        <f t="shared" si="39"/>
        <v>1</v>
      </c>
      <c r="C752" t="str">
        <f t="shared" si="41"/>
        <v>15</v>
      </c>
      <c r="D752" t="str">
        <f>"30"</f>
        <v>30</v>
      </c>
      <c r="E752" t="str">
        <f>"1-15-30"</f>
        <v>1-15-30</v>
      </c>
      <c r="F752" t="s">
        <v>65</v>
      </c>
      <c r="G752" t="s">
        <v>66</v>
      </c>
      <c r="H752" t="s">
        <v>68</v>
      </c>
      <c r="I752">
        <v>1</v>
      </c>
      <c r="J752">
        <v>0</v>
      </c>
      <c r="K752">
        <v>0</v>
      </c>
      <c r="L752">
        <v>1</v>
      </c>
      <c r="M752">
        <v>1</v>
      </c>
      <c r="N752">
        <v>1</v>
      </c>
      <c r="O752">
        <v>1</v>
      </c>
      <c r="P752">
        <v>1</v>
      </c>
      <c r="Q752">
        <v>1</v>
      </c>
      <c r="R752">
        <v>1</v>
      </c>
    </row>
    <row r="753" spans="1:18" x14ac:dyDescent="0.2">
      <c r="A753" t="str">
        <f>"749"</f>
        <v>749</v>
      </c>
      <c r="B753" t="str">
        <f t="shared" si="39"/>
        <v>1</v>
      </c>
      <c r="C753" t="str">
        <f t="shared" si="41"/>
        <v>15</v>
      </c>
      <c r="D753" t="str">
        <f>"11"</f>
        <v>11</v>
      </c>
      <c r="E753" t="str">
        <f>"1-15-11"</f>
        <v>1-15-11</v>
      </c>
      <c r="F753" t="s">
        <v>65</v>
      </c>
      <c r="G753" t="s">
        <v>66</v>
      </c>
      <c r="H753" t="s">
        <v>68</v>
      </c>
      <c r="I753">
        <v>1</v>
      </c>
      <c r="J753">
        <v>0</v>
      </c>
      <c r="K753">
        <v>0</v>
      </c>
      <c r="L753">
        <v>1</v>
      </c>
      <c r="M753">
        <v>1</v>
      </c>
      <c r="N753">
        <v>1</v>
      </c>
      <c r="O753">
        <v>1</v>
      </c>
      <c r="P753">
        <v>1</v>
      </c>
      <c r="Q753">
        <v>1</v>
      </c>
      <c r="R753">
        <v>1</v>
      </c>
    </row>
    <row r="754" spans="1:18" x14ac:dyDescent="0.2">
      <c r="A754" t="str">
        <f>"750"</f>
        <v>750</v>
      </c>
      <c r="B754" t="str">
        <f t="shared" si="39"/>
        <v>1</v>
      </c>
      <c r="C754" t="str">
        <f t="shared" si="41"/>
        <v>15</v>
      </c>
      <c r="D754" t="str">
        <f>"3"</f>
        <v>3</v>
      </c>
      <c r="E754" t="str">
        <f>"1-15-3"</f>
        <v>1-15-3</v>
      </c>
      <c r="F754" t="s">
        <v>65</v>
      </c>
      <c r="G754" t="s">
        <v>66</v>
      </c>
      <c r="H754" t="s">
        <v>68</v>
      </c>
      <c r="I754">
        <v>1</v>
      </c>
      <c r="J754">
        <v>0</v>
      </c>
      <c r="K754">
        <v>1</v>
      </c>
      <c r="L754">
        <v>0</v>
      </c>
      <c r="M754">
        <v>1</v>
      </c>
      <c r="N754">
        <v>1</v>
      </c>
      <c r="O754">
        <v>1</v>
      </c>
      <c r="P754">
        <v>1</v>
      </c>
      <c r="Q754">
        <v>1</v>
      </c>
      <c r="R754">
        <v>1</v>
      </c>
    </row>
    <row r="755" spans="1:18" x14ac:dyDescent="0.2">
      <c r="A755" t="str">
        <f>"751"</f>
        <v>751</v>
      </c>
      <c r="B755" t="str">
        <f t="shared" si="39"/>
        <v>1</v>
      </c>
      <c r="C755" t="str">
        <f t="shared" ref="C755:C786" si="42">"16"</f>
        <v>16</v>
      </c>
      <c r="D755" t="str">
        <f>"47"</f>
        <v>47</v>
      </c>
      <c r="E755" t="str">
        <f>"1-16-47"</f>
        <v>1-16-47</v>
      </c>
      <c r="F755" t="s">
        <v>65</v>
      </c>
      <c r="G755" t="s">
        <v>66</v>
      </c>
      <c r="H755" t="s">
        <v>68</v>
      </c>
      <c r="I755">
        <v>1</v>
      </c>
      <c r="J755">
        <v>0</v>
      </c>
      <c r="K755">
        <v>0</v>
      </c>
      <c r="L755">
        <v>1</v>
      </c>
      <c r="M755">
        <v>1</v>
      </c>
      <c r="N755">
        <v>0</v>
      </c>
      <c r="O755">
        <v>0</v>
      </c>
      <c r="P755">
        <v>0</v>
      </c>
      <c r="Q755">
        <v>0</v>
      </c>
      <c r="R755">
        <v>0</v>
      </c>
    </row>
    <row r="756" spans="1:18" x14ac:dyDescent="0.2">
      <c r="A756" t="str">
        <f>"752"</f>
        <v>752</v>
      </c>
      <c r="B756" t="str">
        <f t="shared" si="39"/>
        <v>1</v>
      </c>
      <c r="C756" t="str">
        <f t="shared" si="42"/>
        <v>16</v>
      </c>
      <c r="D756" t="str">
        <f>"46"</f>
        <v>46</v>
      </c>
      <c r="E756" t="str">
        <f>"1-16-46"</f>
        <v>1-16-46</v>
      </c>
      <c r="F756" t="s">
        <v>65</v>
      </c>
      <c r="G756" t="s">
        <v>66</v>
      </c>
      <c r="H756" t="s">
        <v>68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1</v>
      </c>
      <c r="O756">
        <v>1</v>
      </c>
      <c r="P756">
        <v>1</v>
      </c>
      <c r="Q756">
        <v>1</v>
      </c>
      <c r="R756">
        <v>1</v>
      </c>
    </row>
    <row r="757" spans="1:18" x14ac:dyDescent="0.2">
      <c r="A757" t="str">
        <f>"753"</f>
        <v>753</v>
      </c>
      <c r="B757" t="str">
        <f t="shared" si="39"/>
        <v>1</v>
      </c>
      <c r="C757" t="str">
        <f t="shared" si="42"/>
        <v>16</v>
      </c>
      <c r="D757" t="str">
        <f>"32"</f>
        <v>32</v>
      </c>
      <c r="E757" t="str">
        <f>"1-16-32"</f>
        <v>1-16-32</v>
      </c>
      <c r="F757" t="s">
        <v>65</v>
      </c>
      <c r="G757" t="s">
        <v>66</v>
      </c>
      <c r="H757" t="s">
        <v>68</v>
      </c>
      <c r="I757">
        <v>1</v>
      </c>
      <c r="J757">
        <v>0</v>
      </c>
      <c r="K757">
        <v>1</v>
      </c>
      <c r="L757">
        <v>0</v>
      </c>
      <c r="M757">
        <v>1</v>
      </c>
      <c r="N757">
        <v>1</v>
      </c>
      <c r="O757">
        <v>1</v>
      </c>
      <c r="P757">
        <v>1</v>
      </c>
      <c r="Q757">
        <v>1</v>
      </c>
      <c r="R757">
        <v>1</v>
      </c>
    </row>
    <row r="758" spans="1:18" x14ac:dyDescent="0.2">
      <c r="A758" t="str">
        <f>"754"</f>
        <v>754</v>
      </c>
      <c r="B758" t="str">
        <f t="shared" si="39"/>
        <v>1</v>
      </c>
      <c r="C758" t="str">
        <f t="shared" si="42"/>
        <v>16</v>
      </c>
      <c r="D758" t="str">
        <f>"31"</f>
        <v>31</v>
      </c>
      <c r="E758" t="str">
        <f>"1-16-31"</f>
        <v>1-16-31</v>
      </c>
      <c r="F758" t="s">
        <v>65</v>
      </c>
      <c r="G758" t="s">
        <v>66</v>
      </c>
      <c r="H758" t="s">
        <v>68</v>
      </c>
      <c r="I758">
        <v>1</v>
      </c>
      <c r="J758">
        <v>0</v>
      </c>
      <c r="K758">
        <v>0</v>
      </c>
      <c r="L758">
        <v>1</v>
      </c>
      <c r="M758">
        <v>1</v>
      </c>
      <c r="N758">
        <v>1</v>
      </c>
      <c r="O758">
        <v>1</v>
      </c>
      <c r="P758">
        <v>1</v>
      </c>
      <c r="Q758">
        <v>1</v>
      </c>
      <c r="R758">
        <v>1</v>
      </c>
    </row>
    <row r="759" spans="1:18" x14ac:dyDescent="0.2">
      <c r="A759" t="str">
        <f>"755"</f>
        <v>755</v>
      </c>
      <c r="B759" t="str">
        <f t="shared" ref="B759:B822" si="43">"1"</f>
        <v>1</v>
      </c>
      <c r="C759" t="str">
        <f t="shared" si="42"/>
        <v>16</v>
      </c>
      <c r="D759" t="str">
        <f>"20"</f>
        <v>20</v>
      </c>
      <c r="E759" t="str">
        <f>"1-16-20"</f>
        <v>1-16-20</v>
      </c>
      <c r="F759" t="s">
        <v>65</v>
      </c>
      <c r="G759" t="s">
        <v>66</v>
      </c>
      <c r="H759" t="s">
        <v>68</v>
      </c>
      <c r="I759">
        <v>1</v>
      </c>
      <c r="J759">
        <v>0</v>
      </c>
      <c r="K759">
        <v>0</v>
      </c>
      <c r="L759">
        <v>1</v>
      </c>
      <c r="M759">
        <v>1</v>
      </c>
      <c r="N759">
        <v>1</v>
      </c>
      <c r="O759">
        <v>1</v>
      </c>
      <c r="P759">
        <v>1</v>
      </c>
      <c r="Q759">
        <v>1</v>
      </c>
      <c r="R759">
        <v>1</v>
      </c>
    </row>
    <row r="760" spans="1:18" x14ac:dyDescent="0.2">
      <c r="A760" t="str">
        <f>"756"</f>
        <v>756</v>
      </c>
      <c r="B760" t="str">
        <f t="shared" si="43"/>
        <v>1</v>
      </c>
      <c r="C760" t="str">
        <f t="shared" si="42"/>
        <v>16</v>
      </c>
      <c r="D760" t="str">
        <f>"15"</f>
        <v>15</v>
      </c>
      <c r="E760" t="str">
        <f>"1-16-15"</f>
        <v>1-16-15</v>
      </c>
      <c r="F760" t="s">
        <v>65</v>
      </c>
      <c r="G760" t="s">
        <v>66</v>
      </c>
      <c r="H760" t="s">
        <v>68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1</v>
      </c>
      <c r="O760">
        <v>1</v>
      </c>
      <c r="P760">
        <v>1</v>
      </c>
      <c r="Q760">
        <v>1</v>
      </c>
      <c r="R760">
        <v>1</v>
      </c>
    </row>
    <row r="761" spans="1:18" x14ac:dyDescent="0.2">
      <c r="A761" t="str">
        <f>"757"</f>
        <v>757</v>
      </c>
      <c r="B761" t="str">
        <f t="shared" si="43"/>
        <v>1</v>
      </c>
      <c r="C761" t="str">
        <f t="shared" si="42"/>
        <v>16</v>
      </c>
      <c r="D761" t="str">
        <f>"1"</f>
        <v>1</v>
      </c>
      <c r="E761" t="str">
        <f>"1-16-1"</f>
        <v>1-16-1</v>
      </c>
      <c r="F761" t="s">
        <v>65</v>
      </c>
      <c r="G761" t="s">
        <v>66</v>
      </c>
      <c r="H761" t="s">
        <v>68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1</v>
      </c>
      <c r="O761">
        <v>1</v>
      </c>
      <c r="P761">
        <v>1</v>
      </c>
      <c r="Q761">
        <v>1</v>
      </c>
      <c r="R761">
        <v>1</v>
      </c>
    </row>
    <row r="762" spans="1:18" x14ac:dyDescent="0.2">
      <c r="A762" t="str">
        <f>"758"</f>
        <v>758</v>
      </c>
      <c r="B762" t="str">
        <f t="shared" si="43"/>
        <v>1</v>
      </c>
      <c r="C762" t="str">
        <f t="shared" si="42"/>
        <v>16</v>
      </c>
      <c r="D762" t="str">
        <f>"37"</f>
        <v>37</v>
      </c>
      <c r="E762" t="str">
        <f>"1-16-37"</f>
        <v>1-16-37</v>
      </c>
      <c r="F762" t="s">
        <v>65</v>
      </c>
      <c r="G762" t="s">
        <v>66</v>
      </c>
      <c r="H762" t="s">
        <v>68</v>
      </c>
      <c r="I762">
        <v>0</v>
      </c>
      <c r="J762">
        <v>1</v>
      </c>
      <c r="K762">
        <v>0</v>
      </c>
      <c r="L762">
        <v>0</v>
      </c>
      <c r="M762">
        <v>1</v>
      </c>
      <c r="N762">
        <v>1</v>
      </c>
      <c r="O762">
        <v>1</v>
      </c>
      <c r="P762">
        <v>0</v>
      </c>
      <c r="Q762">
        <v>1</v>
      </c>
      <c r="R762">
        <v>1</v>
      </c>
    </row>
    <row r="763" spans="1:18" x14ac:dyDescent="0.2">
      <c r="A763" t="str">
        <f>"759"</f>
        <v>759</v>
      </c>
      <c r="B763" t="str">
        <f t="shared" si="43"/>
        <v>1</v>
      </c>
      <c r="C763" t="str">
        <f t="shared" si="42"/>
        <v>16</v>
      </c>
      <c r="D763" t="str">
        <f>"36"</f>
        <v>36</v>
      </c>
      <c r="E763" t="str">
        <f>"1-16-36"</f>
        <v>1-16-36</v>
      </c>
      <c r="F763" t="s">
        <v>65</v>
      </c>
      <c r="G763" t="s">
        <v>66</v>
      </c>
      <c r="H763" t="s">
        <v>68</v>
      </c>
      <c r="I763">
        <v>1</v>
      </c>
      <c r="J763">
        <v>0</v>
      </c>
      <c r="K763">
        <v>0</v>
      </c>
      <c r="L763">
        <v>1</v>
      </c>
      <c r="M763">
        <v>1</v>
      </c>
      <c r="N763">
        <v>1</v>
      </c>
      <c r="O763">
        <v>1</v>
      </c>
      <c r="P763">
        <v>1</v>
      </c>
      <c r="Q763">
        <v>1</v>
      </c>
      <c r="R763">
        <v>1</v>
      </c>
    </row>
    <row r="764" spans="1:18" x14ac:dyDescent="0.2">
      <c r="A764" t="str">
        <f>"760"</f>
        <v>760</v>
      </c>
      <c r="B764" t="str">
        <f t="shared" si="43"/>
        <v>1</v>
      </c>
      <c r="C764" t="str">
        <f t="shared" si="42"/>
        <v>16</v>
      </c>
      <c r="D764" t="str">
        <f>"30"</f>
        <v>30</v>
      </c>
      <c r="E764" t="str">
        <f>"1-16-30"</f>
        <v>1-16-30</v>
      </c>
      <c r="F764" t="s">
        <v>65</v>
      </c>
      <c r="G764" t="s">
        <v>66</v>
      </c>
      <c r="H764" t="s">
        <v>68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1</v>
      </c>
      <c r="O764">
        <v>1</v>
      </c>
      <c r="P764">
        <v>1</v>
      </c>
      <c r="Q764">
        <v>1</v>
      </c>
      <c r="R764">
        <v>1</v>
      </c>
    </row>
    <row r="765" spans="1:18" x14ac:dyDescent="0.2">
      <c r="A765" t="str">
        <f>"761"</f>
        <v>761</v>
      </c>
      <c r="B765" t="str">
        <f t="shared" si="43"/>
        <v>1</v>
      </c>
      <c r="C765" t="str">
        <f t="shared" si="42"/>
        <v>16</v>
      </c>
      <c r="D765" t="str">
        <f>"16"</f>
        <v>16</v>
      </c>
      <c r="E765" t="str">
        <f>"1-16-16"</f>
        <v>1-16-16</v>
      </c>
      <c r="F765" t="s">
        <v>65</v>
      </c>
      <c r="G765" t="s">
        <v>66</v>
      </c>
      <c r="H765" t="s">
        <v>68</v>
      </c>
      <c r="I765">
        <v>1</v>
      </c>
      <c r="J765">
        <v>0</v>
      </c>
      <c r="K765">
        <v>0</v>
      </c>
      <c r="L765">
        <v>1</v>
      </c>
      <c r="M765">
        <v>1</v>
      </c>
      <c r="N765">
        <v>1</v>
      </c>
      <c r="O765">
        <v>1</v>
      </c>
      <c r="P765">
        <v>1</v>
      </c>
      <c r="Q765">
        <v>1</v>
      </c>
      <c r="R765">
        <v>1</v>
      </c>
    </row>
    <row r="766" spans="1:18" x14ac:dyDescent="0.2">
      <c r="A766" t="str">
        <f>"762"</f>
        <v>762</v>
      </c>
      <c r="B766" t="str">
        <f t="shared" si="43"/>
        <v>1</v>
      </c>
      <c r="C766" t="str">
        <f t="shared" si="42"/>
        <v>16</v>
      </c>
      <c r="D766" t="str">
        <f>"6"</f>
        <v>6</v>
      </c>
      <c r="E766" t="str">
        <f>"1-16-6"</f>
        <v>1-16-6</v>
      </c>
      <c r="F766" t="s">
        <v>65</v>
      </c>
      <c r="G766" t="s">
        <v>66</v>
      </c>
      <c r="H766" t="s">
        <v>68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1</v>
      </c>
      <c r="O766">
        <v>1</v>
      </c>
      <c r="P766">
        <v>1</v>
      </c>
      <c r="Q766">
        <v>1</v>
      </c>
      <c r="R766">
        <v>1</v>
      </c>
    </row>
    <row r="767" spans="1:18" x14ac:dyDescent="0.2">
      <c r="A767" t="str">
        <f>"763"</f>
        <v>763</v>
      </c>
      <c r="B767" t="str">
        <f t="shared" si="43"/>
        <v>1</v>
      </c>
      <c r="C767" t="str">
        <f t="shared" si="42"/>
        <v>16</v>
      </c>
      <c r="D767" t="str">
        <f>"42"</f>
        <v>42</v>
      </c>
      <c r="E767" t="str">
        <f>"1-16-42"</f>
        <v>1-16-42</v>
      </c>
      <c r="F767" t="s">
        <v>65</v>
      </c>
      <c r="G767" t="s">
        <v>66</v>
      </c>
      <c r="H767" t="s">
        <v>68</v>
      </c>
      <c r="I767">
        <v>1</v>
      </c>
      <c r="J767">
        <v>0</v>
      </c>
      <c r="K767">
        <v>1</v>
      </c>
      <c r="L767">
        <v>0</v>
      </c>
      <c r="M767">
        <v>1</v>
      </c>
      <c r="N767">
        <v>1</v>
      </c>
      <c r="O767">
        <v>1</v>
      </c>
      <c r="P767">
        <v>1</v>
      </c>
      <c r="Q767">
        <v>1</v>
      </c>
      <c r="R767">
        <v>1</v>
      </c>
    </row>
    <row r="768" spans="1:18" x14ac:dyDescent="0.2">
      <c r="A768" t="str">
        <f>"764"</f>
        <v>764</v>
      </c>
      <c r="B768" t="str">
        <f t="shared" si="43"/>
        <v>1</v>
      </c>
      <c r="C768" t="str">
        <f t="shared" si="42"/>
        <v>16</v>
      </c>
      <c r="D768" t="str">
        <f>"41"</f>
        <v>41</v>
      </c>
      <c r="E768" t="str">
        <f>"1-16-41"</f>
        <v>1-16-41</v>
      </c>
      <c r="F768" t="s">
        <v>65</v>
      </c>
      <c r="G768" t="s">
        <v>66</v>
      </c>
      <c r="H768" t="s">
        <v>68</v>
      </c>
      <c r="I768">
        <v>1</v>
      </c>
      <c r="J768">
        <v>0</v>
      </c>
      <c r="K768">
        <v>0</v>
      </c>
      <c r="L768">
        <v>1</v>
      </c>
      <c r="M768">
        <v>1</v>
      </c>
      <c r="N768">
        <v>1</v>
      </c>
      <c r="O768">
        <v>1</v>
      </c>
      <c r="P768">
        <v>1</v>
      </c>
      <c r="Q768">
        <v>1</v>
      </c>
      <c r="R768">
        <v>1</v>
      </c>
    </row>
    <row r="769" spans="1:18" x14ac:dyDescent="0.2">
      <c r="A769" t="str">
        <f>"765"</f>
        <v>765</v>
      </c>
      <c r="B769" t="str">
        <f t="shared" si="43"/>
        <v>1</v>
      </c>
      <c r="C769" t="str">
        <f t="shared" si="42"/>
        <v>16</v>
      </c>
      <c r="D769" t="str">
        <f>"34"</f>
        <v>34</v>
      </c>
      <c r="E769" t="str">
        <f>"1-16-34"</f>
        <v>1-16-34</v>
      </c>
      <c r="F769" t="s">
        <v>65</v>
      </c>
      <c r="G769" t="s">
        <v>66</v>
      </c>
      <c r="H769" t="s">
        <v>68</v>
      </c>
      <c r="I769">
        <v>1</v>
      </c>
      <c r="J769">
        <v>0</v>
      </c>
      <c r="K769">
        <v>0</v>
      </c>
      <c r="L769">
        <v>1</v>
      </c>
      <c r="M769">
        <v>1</v>
      </c>
      <c r="N769">
        <v>1</v>
      </c>
      <c r="O769">
        <v>1</v>
      </c>
      <c r="P769">
        <v>1</v>
      </c>
      <c r="Q769">
        <v>1</v>
      </c>
      <c r="R769">
        <v>1</v>
      </c>
    </row>
    <row r="770" spans="1:18" x14ac:dyDescent="0.2">
      <c r="A770" t="str">
        <f>"766"</f>
        <v>766</v>
      </c>
      <c r="B770" t="str">
        <f t="shared" si="43"/>
        <v>1</v>
      </c>
      <c r="C770" t="str">
        <f t="shared" si="42"/>
        <v>16</v>
      </c>
      <c r="D770" t="str">
        <f>"17"</f>
        <v>17</v>
      </c>
      <c r="E770" t="str">
        <f>"1-16-17"</f>
        <v>1-16-17</v>
      </c>
      <c r="F770" t="s">
        <v>65</v>
      </c>
      <c r="G770" t="s">
        <v>66</v>
      </c>
      <c r="H770" t="s">
        <v>68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1</v>
      </c>
      <c r="O770">
        <v>1</v>
      </c>
      <c r="P770">
        <v>1</v>
      </c>
      <c r="Q770">
        <v>1</v>
      </c>
      <c r="R770">
        <v>1</v>
      </c>
    </row>
    <row r="771" spans="1:18" x14ac:dyDescent="0.2">
      <c r="A771" t="str">
        <f>"767"</f>
        <v>767</v>
      </c>
      <c r="B771" t="str">
        <f t="shared" si="43"/>
        <v>1</v>
      </c>
      <c r="C771" t="str">
        <f t="shared" si="42"/>
        <v>16</v>
      </c>
      <c r="D771" t="str">
        <f>"9"</f>
        <v>9</v>
      </c>
      <c r="E771" t="str">
        <f>"1-16-9"</f>
        <v>1-16-9</v>
      </c>
      <c r="F771" t="s">
        <v>65</v>
      </c>
      <c r="G771" t="s">
        <v>66</v>
      </c>
      <c r="H771" t="s">
        <v>68</v>
      </c>
      <c r="I771">
        <v>1</v>
      </c>
      <c r="J771">
        <v>0</v>
      </c>
      <c r="K771">
        <v>0</v>
      </c>
      <c r="L771">
        <v>1</v>
      </c>
      <c r="M771">
        <v>1</v>
      </c>
      <c r="N771">
        <v>1</v>
      </c>
      <c r="O771">
        <v>1</v>
      </c>
      <c r="P771">
        <v>1</v>
      </c>
      <c r="Q771">
        <v>1</v>
      </c>
      <c r="R771">
        <v>1</v>
      </c>
    </row>
    <row r="772" spans="1:18" x14ac:dyDescent="0.2">
      <c r="A772" t="str">
        <f>"768"</f>
        <v>768</v>
      </c>
      <c r="B772" t="str">
        <f t="shared" si="43"/>
        <v>1</v>
      </c>
      <c r="C772" t="str">
        <f t="shared" si="42"/>
        <v>16</v>
      </c>
      <c r="D772" t="str">
        <f>"49"</f>
        <v>49</v>
      </c>
      <c r="E772" t="str">
        <f>"1-16-49"</f>
        <v>1-16-49</v>
      </c>
      <c r="F772" t="s">
        <v>65</v>
      </c>
      <c r="G772" t="s">
        <v>66</v>
      </c>
      <c r="H772" t="s">
        <v>68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1</v>
      </c>
      <c r="O772">
        <v>1</v>
      </c>
      <c r="P772">
        <v>1</v>
      </c>
      <c r="Q772">
        <v>1</v>
      </c>
      <c r="R772">
        <v>1</v>
      </c>
    </row>
    <row r="773" spans="1:18" x14ac:dyDescent="0.2">
      <c r="A773" t="str">
        <f>"769"</f>
        <v>769</v>
      </c>
      <c r="B773" t="str">
        <f t="shared" si="43"/>
        <v>1</v>
      </c>
      <c r="C773" t="str">
        <f t="shared" si="42"/>
        <v>16</v>
      </c>
      <c r="D773" t="str">
        <f>"48"</f>
        <v>48</v>
      </c>
      <c r="E773" t="str">
        <f>"1-16-48"</f>
        <v>1-16-48</v>
      </c>
      <c r="F773" t="s">
        <v>65</v>
      </c>
      <c r="G773" t="s">
        <v>66</v>
      </c>
      <c r="H773" t="s">
        <v>68</v>
      </c>
      <c r="I773">
        <v>1</v>
      </c>
      <c r="J773">
        <v>0</v>
      </c>
      <c r="K773">
        <v>0</v>
      </c>
      <c r="L773">
        <v>1</v>
      </c>
      <c r="M773">
        <v>1</v>
      </c>
      <c r="N773">
        <v>1</v>
      </c>
      <c r="O773">
        <v>1</v>
      </c>
      <c r="P773">
        <v>1</v>
      </c>
      <c r="Q773">
        <v>1</v>
      </c>
      <c r="R773">
        <v>1</v>
      </c>
    </row>
    <row r="774" spans="1:18" x14ac:dyDescent="0.2">
      <c r="A774" t="str">
        <f>"770"</f>
        <v>770</v>
      </c>
      <c r="B774" t="str">
        <f t="shared" si="43"/>
        <v>1</v>
      </c>
      <c r="C774" t="str">
        <f t="shared" si="42"/>
        <v>16</v>
      </c>
      <c r="D774" t="str">
        <f>"33"</f>
        <v>33</v>
      </c>
      <c r="E774" t="str">
        <f>"1-16-33"</f>
        <v>1-16-33</v>
      </c>
      <c r="F774" t="s">
        <v>65</v>
      </c>
      <c r="G774" t="s">
        <v>66</v>
      </c>
      <c r="H774" t="s">
        <v>68</v>
      </c>
      <c r="I774">
        <v>1</v>
      </c>
      <c r="J774">
        <v>0</v>
      </c>
      <c r="K774">
        <v>0</v>
      </c>
      <c r="L774">
        <v>1</v>
      </c>
      <c r="M774">
        <v>1</v>
      </c>
      <c r="N774">
        <v>1</v>
      </c>
      <c r="O774">
        <v>1</v>
      </c>
      <c r="P774">
        <v>1</v>
      </c>
      <c r="Q774">
        <v>1</v>
      </c>
      <c r="R774">
        <v>1</v>
      </c>
    </row>
    <row r="775" spans="1:18" x14ac:dyDescent="0.2">
      <c r="A775" t="str">
        <f>"771"</f>
        <v>771</v>
      </c>
      <c r="B775" t="str">
        <f t="shared" si="43"/>
        <v>1</v>
      </c>
      <c r="C775" t="str">
        <f t="shared" si="42"/>
        <v>16</v>
      </c>
      <c r="D775" t="str">
        <f>"18"</f>
        <v>18</v>
      </c>
      <c r="E775" t="str">
        <f>"1-16-18"</f>
        <v>1-16-18</v>
      </c>
      <c r="F775" t="s">
        <v>65</v>
      </c>
      <c r="G775" t="s">
        <v>66</v>
      </c>
      <c r="H775" t="s">
        <v>68</v>
      </c>
      <c r="I775">
        <v>1</v>
      </c>
      <c r="J775">
        <v>0</v>
      </c>
      <c r="K775">
        <v>0</v>
      </c>
      <c r="L775">
        <v>1</v>
      </c>
      <c r="M775">
        <v>1</v>
      </c>
      <c r="N775">
        <v>1</v>
      </c>
      <c r="O775">
        <v>1</v>
      </c>
      <c r="P775">
        <v>1</v>
      </c>
      <c r="Q775">
        <v>1</v>
      </c>
      <c r="R775">
        <v>1</v>
      </c>
    </row>
    <row r="776" spans="1:18" x14ac:dyDescent="0.2">
      <c r="A776" t="str">
        <f>"772"</f>
        <v>772</v>
      </c>
      <c r="B776" t="str">
        <f t="shared" si="43"/>
        <v>1</v>
      </c>
      <c r="C776" t="str">
        <f t="shared" si="42"/>
        <v>16</v>
      </c>
      <c r="D776" t="str">
        <f>"4"</f>
        <v>4</v>
      </c>
      <c r="E776" t="str">
        <f>"1-16-4"</f>
        <v>1-16-4</v>
      </c>
      <c r="F776" t="s">
        <v>65</v>
      </c>
      <c r="G776" t="s">
        <v>66</v>
      </c>
      <c r="H776" t="s">
        <v>68</v>
      </c>
      <c r="I776">
        <v>1</v>
      </c>
      <c r="J776">
        <v>0</v>
      </c>
      <c r="K776">
        <v>0</v>
      </c>
      <c r="L776">
        <v>1</v>
      </c>
      <c r="M776">
        <v>0</v>
      </c>
      <c r="N776">
        <v>1</v>
      </c>
      <c r="O776">
        <v>1</v>
      </c>
      <c r="P776">
        <v>1</v>
      </c>
      <c r="Q776">
        <v>1</v>
      </c>
      <c r="R776">
        <v>1</v>
      </c>
    </row>
    <row r="777" spans="1:18" x14ac:dyDescent="0.2">
      <c r="A777" t="str">
        <f>"773"</f>
        <v>773</v>
      </c>
      <c r="B777" t="str">
        <f t="shared" si="43"/>
        <v>1</v>
      </c>
      <c r="C777" t="str">
        <f t="shared" si="42"/>
        <v>16</v>
      </c>
      <c r="D777" t="str">
        <f>"35"</f>
        <v>35</v>
      </c>
      <c r="E777" t="str">
        <f>"1-16-35"</f>
        <v>1-16-35</v>
      </c>
      <c r="F777" t="s">
        <v>65</v>
      </c>
      <c r="G777" t="s">
        <v>66</v>
      </c>
      <c r="H777" t="s">
        <v>68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1</v>
      </c>
      <c r="O777">
        <v>1</v>
      </c>
      <c r="P777">
        <v>1</v>
      </c>
      <c r="Q777">
        <v>1</v>
      </c>
      <c r="R777">
        <v>0</v>
      </c>
    </row>
    <row r="778" spans="1:18" x14ac:dyDescent="0.2">
      <c r="A778" t="str">
        <f>"774"</f>
        <v>774</v>
      </c>
      <c r="B778" t="str">
        <f t="shared" si="43"/>
        <v>1</v>
      </c>
      <c r="C778" t="str">
        <f t="shared" si="42"/>
        <v>16</v>
      </c>
      <c r="D778" t="str">
        <f>"19"</f>
        <v>19</v>
      </c>
      <c r="E778" t="str">
        <f>"1-16-19"</f>
        <v>1-16-19</v>
      </c>
      <c r="F778" t="s">
        <v>65</v>
      </c>
      <c r="G778" t="s">
        <v>66</v>
      </c>
      <c r="H778" t="s">
        <v>68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1</v>
      </c>
      <c r="O778">
        <v>1</v>
      </c>
      <c r="P778">
        <v>1</v>
      </c>
      <c r="Q778">
        <v>1</v>
      </c>
      <c r="R778">
        <v>1</v>
      </c>
    </row>
    <row r="779" spans="1:18" x14ac:dyDescent="0.2">
      <c r="A779" t="str">
        <f>"775"</f>
        <v>775</v>
      </c>
      <c r="B779" t="str">
        <f t="shared" si="43"/>
        <v>1</v>
      </c>
      <c r="C779" t="str">
        <f t="shared" si="42"/>
        <v>16</v>
      </c>
      <c r="D779" t="str">
        <f>"11"</f>
        <v>11</v>
      </c>
      <c r="E779" t="str">
        <f>"1-16-11"</f>
        <v>1-16-11</v>
      </c>
      <c r="F779" t="s">
        <v>65</v>
      </c>
      <c r="G779" t="s">
        <v>66</v>
      </c>
      <c r="H779" t="s">
        <v>68</v>
      </c>
      <c r="I779">
        <v>1</v>
      </c>
      <c r="J779">
        <v>0</v>
      </c>
      <c r="K779">
        <v>0</v>
      </c>
      <c r="L779">
        <v>1</v>
      </c>
      <c r="M779">
        <v>1</v>
      </c>
      <c r="N779">
        <v>1</v>
      </c>
      <c r="O779">
        <v>1</v>
      </c>
      <c r="P779">
        <v>1</v>
      </c>
      <c r="Q779">
        <v>1</v>
      </c>
      <c r="R779">
        <v>1</v>
      </c>
    </row>
    <row r="780" spans="1:18" x14ac:dyDescent="0.2">
      <c r="A780" t="str">
        <f>"776"</f>
        <v>776</v>
      </c>
      <c r="B780" t="str">
        <f t="shared" si="43"/>
        <v>1</v>
      </c>
      <c r="C780" t="str">
        <f t="shared" si="42"/>
        <v>16</v>
      </c>
      <c r="D780" t="str">
        <f>"38"</f>
        <v>38</v>
      </c>
      <c r="E780" t="str">
        <f>"1-16-38"</f>
        <v>1-16-38</v>
      </c>
      <c r="F780" t="s">
        <v>65</v>
      </c>
      <c r="G780" t="s">
        <v>66</v>
      </c>
      <c r="H780" t="s">
        <v>68</v>
      </c>
      <c r="I780">
        <v>1</v>
      </c>
      <c r="J780">
        <v>1</v>
      </c>
      <c r="K780">
        <v>0</v>
      </c>
      <c r="L780">
        <v>0</v>
      </c>
      <c r="M780">
        <v>1</v>
      </c>
      <c r="N780">
        <v>1</v>
      </c>
      <c r="O780">
        <v>1</v>
      </c>
      <c r="P780">
        <v>1</v>
      </c>
      <c r="Q780">
        <v>1</v>
      </c>
      <c r="R780">
        <v>1</v>
      </c>
    </row>
    <row r="781" spans="1:18" x14ac:dyDescent="0.2">
      <c r="A781" t="str">
        <f>"777"</f>
        <v>777</v>
      </c>
      <c r="B781" t="str">
        <f t="shared" si="43"/>
        <v>1</v>
      </c>
      <c r="C781" t="str">
        <f t="shared" si="42"/>
        <v>16</v>
      </c>
      <c r="D781" t="str">
        <f>"21"</f>
        <v>21</v>
      </c>
      <c r="E781" t="str">
        <f>"1-16-21"</f>
        <v>1-16-21</v>
      </c>
      <c r="F781" t="s">
        <v>65</v>
      </c>
      <c r="G781" t="s">
        <v>66</v>
      </c>
      <c r="H781" t="s">
        <v>68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1</v>
      </c>
      <c r="O781">
        <v>1</v>
      </c>
      <c r="P781">
        <v>1</v>
      </c>
      <c r="Q781">
        <v>1</v>
      </c>
      <c r="R781">
        <v>1</v>
      </c>
    </row>
    <row r="782" spans="1:18" x14ac:dyDescent="0.2">
      <c r="A782" t="str">
        <f>"778"</f>
        <v>778</v>
      </c>
      <c r="B782" t="str">
        <f t="shared" si="43"/>
        <v>1</v>
      </c>
      <c r="C782" t="str">
        <f t="shared" si="42"/>
        <v>16</v>
      </c>
      <c r="D782" t="str">
        <f>"2"</f>
        <v>2</v>
      </c>
      <c r="E782" t="str">
        <f>"1-16-2"</f>
        <v>1-16-2</v>
      </c>
      <c r="F782" t="s">
        <v>65</v>
      </c>
      <c r="G782" t="s">
        <v>66</v>
      </c>
      <c r="H782" t="s">
        <v>68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1</v>
      </c>
      <c r="O782">
        <v>1</v>
      </c>
      <c r="P782">
        <v>1</v>
      </c>
      <c r="Q782">
        <v>1</v>
      </c>
      <c r="R782">
        <v>1</v>
      </c>
    </row>
    <row r="783" spans="1:18" x14ac:dyDescent="0.2">
      <c r="A783" t="str">
        <f>"779"</f>
        <v>779</v>
      </c>
      <c r="B783" t="str">
        <f t="shared" si="43"/>
        <v>1</v>
      </c>
      <c r="C783" t="str">
        <f t="shared" si="42"/>
        <v>16</v>
      </c>
      <c r="D783" t="str">
        <f>"39"</f>
        <v>39</v>
      </c>
      <c r="E783" t="str">
        <f>"1-16-39"</f>
        <v>1-16-39</v>
      </c>
      <c r="F783" t="s">
        <v>65</v>
      </c>
      <c r="G783" t="s">
        <v>66</v>
      </c>
      <c r="H783" t="s">
        <v>68</v>
      </c>
      <c r="I783">
        <v>1</v>
      </c>
      <c r="J783">
        <v>1</v>
      </c>
      <c r="K783">
        <v>0</v>
      </c>
      <c r="L783">
        <v>0</v>
      </c>
      <c r="M783">
        <v>1</v>
      </c>
      <c r="N783">
        <v>1</v>
      </c>
      <c r="O783">
        <v>1</v>
      </c>
      <c r="P783">
        <v>1</v>
      </c>
      <c r="Q783">
        <v>1</v>
      </c>
      <c r="R783">
        <v>1</v>
      </c>
    </row>
    <row r="784" spans="1:18" x14ac:dyDescent="0.2">
      <c r="A784" t="str">
        <f>"780"</f>
        <v>780</v>
      </c>
      <c r="B784" t="str">
        <f t="shared" si="43"/>
        <v>1</v>
      </c>
      <c r="C784" t="str">
        <f t="shared" si="42"/>
        <v>16</v>
      </c>
      <c r="D784" t="str">
        <f>"22"</f>
        <v>22</v>
      </c>
      <c r="E784" t="str">
        <f>"1-16-22"</f>
        <v>1-16-22</v>
      </c>
      <c r="F784" t="s">
        <v>65</v>
      </c>
      <c r="G784" t="s">
        <v>66</v>
      </c>
      <c r="H784" t="s">
        <v>68</v>
      </c>
      <c r="I784">
        <v>1</v>
      </c>
      <c r="J784">
        <v>0</v>
      </c>
      <c r="K784">
        <v>0</v>
      </c>
      <c r="L784">
        <v>1</v>
      </c>
      <c r="M784">
        <v>1</v>
      </c>
      <c r="N784">
        <v>1</v>
      </c>
      <c r="O784">
        <v>1</v>
      </c>
      <c r="P784">
        <v>1</v>
      </c>
      <c r="Q784">
        <v>1</v>
      </c>
      <c r="R784">
        <v>1</v>
      </c>
    </row>
    <row r="785" spans="1:18" x14ac:dyDescent="0.2">
      <c r="A785" t="str">
        <f>"781"</f>
        <v>781</v>
      </c>
      <c r="B785" t="str">
        <f t="shared" si="43"/>
        <v>1</v>
      </c>
      <c r="C785" t="str">
        <f t="shared" si="42"/>
        <v>16</v>
      </c>
      <c r="D785" t="str">
        <f>"7"</f>
        <v>7</v>
      </c>
      <c r="E785" t="str">
        <f>"1-16-7"</f>
        <v>1-16-7</v>
      </c>
      <c r="F785" t="s">
        <v>65</v>
      </c>
      <c r="G785" t="s">
        <v>66</v>
      </c>
      <c r="H785" t="s">
        <v>68</v>
      </c>
      <c r="I785">
        <v>1</v>
      </c>
      <c r="J785">
        <v>0</v>
      </c>
      <c r="K785">
        <v>0</v>
      </c>
      <c r="L785">
        <v>0</v>
      </c>
      <c r="M785">
        <v>1</v>
      </c>
      <c r="N785">
        <v>0</v>
      </c>
      <c r="O785">
        <v>1</v>
      </c>
      <c r="P785">
        <v>1</v>
      </c>
      <c r="Q785">
        <v>0</v>
      </c>
      <c r="R785">
        <v>1</v>
      </c>
    </row>
    <row r="786" spans="1:18" x14ac:dyDescent="0.2">
      <c r="A786" t="str">
        <f>"782"</f>
        <v>782</v>
      </c>
      <c r="B786" t="str">
        <f t="shared" si="43"/>
        <v>1</v>
      </c>
      <c r="C786" t="str">
        <f t="shared" si="42"/>
        <v>16</v>
      </c>
      <c r="D786" t="str">
        <f>"50"</f>
        <v>50</v>
      </c>
      <c r="E786" t="str">
        <f>"1-16-50"</f>
        <v>1-16-50</v>
      </c>
      <c r="F786" t="s">
        <v>65</v>
      </c>
      <c r="G786" t="s">
        <v>66</v>
      </c>
      <c r="H786" t="s">
        <v>68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1</v>
      </c>
      <c r="O786">
        <v>1</v>
      </c>
      <c r="P786">
        <v>1</v>
      </c>
      <c r="Q786">
        <v>1</v>
      </c>
      <c r="R786">
        <v>1</v>
      </c>
    </row>
    <row r="787" spans="1:18" x14ac:dyDescent="0.2">
      <c r="A787" t="str">
        <f>"783"</f>
        <v>783</v>
      </c>
      <c r="B787" t="str">
        <f t="shared" si="43"/>
        <v>1</v>
      </c>
      <c r="C787" t="str">
        <f t="shared" ref="C787:C804" si="44">"16"</f>
        <v>16</v>
      </c>
      <c r="D787" t="str">
        <f>"23"</f>
        <v>23</v>
      </c>
      <c r="E787" t="str">
        <f>"1-16-23"</f>
        <v>1-16-23</v>
      </c>
      <c r="F787" t="s">
        <v>65</v>
      </c>
      <c r="G787" t="s">
        <v>66</v>
      </c>
      <c r="H787" t="s">
        <v>68</v>
      </c>
      <c r="I787">
        <v>1</v>
      </c>
      <c r="J787">
        <v>0</v>
      </c>
      <c r="K787">
        <v>0</v>
      </c>
      <c r="L787">
        <v>1</v>
      </c>
      <c r="M787">
        <v>1</v>
      </c>
      <c r="N787">
        <v>1</v>
      </c>
      <c r="O787">
        <v>1</v>
      </c>
      <c r="P787">
        <v>1</v>
      </c>
      <c r="Q787">
        <v>1</v>
      </c>
      <c r="R787">
        <v>1</v>
      </c>
    </row>
    <row r="788" spans="1:18" x14ac:dyDescent="0.2">
      <c r="A788" t="str">
        <f>"784"</f>
        <v>784</v>
      </c>
      <c r="B788" t="str">
        <f t="shared" si="43"/>
        <v>1</v>
      </c>
      <c r="C788" t="str">
        <f t="shared" si="44"/>
        <v>16</v>
      </c>
      <c r="D788" t="str">
        <f>"10"</f>
        <v>10</v>
      </c>
      <c r="E788" t="str">
        <f>"1-16-10"</f>
        <v>1-16-10</v>
      </c>
      <c r="F788" t="s">
        <v>65</v>
      </c>
      <c r="G788" t="s">
        <v>66</v>
      </c>
      <c r="H788" t="s">
        <v>68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0</v>
      </c>
      <c r="P788">
        <v>1</v>
      </c>
      <c r="Q788">
        <v>0</v>
      </c>
      <c r="R788">
        <v>0</v>
      </c>
    </row>
    <row r="789" spans="1:18" x14ac:dyDescent="0.2">
      <c r="A789" t="str">
        <f>"785"</f>
        <v>785</v>
      </c>
      <c r="B789" t="str">
        <f t="shared" si="43"/>
        <v>1</v>
      </c>
      <c r="C789" t="str">
        <f t="shared" si="44"/>
        <v>16</v>
      </c>
      <c r="D789" t="str">
        <f>"24"</f>
        <v>24</v>
      </c>
      <c r="E789" t="str">
        <f>"1-16-24"</f>
        <v>1-16-24</v>
      </c>
      <c r="F789" t="s">
        <v>65</v>
      </c>
      <c r="G789" t="s">
        <v>66</v>
      </c>
      <c r="H789" t="s">
        <v>68</v>
      </c>
      <c r="I789">
        <v>1</v>
      </c>
      <c r="J789">
        <v>0</v>
      </c>
      <c r="K789">
        <v>0</v>
      </c>
      <c r="L789">
        <v>1</v>
      </c>
      <c r="M789">
        <v>1</v>
      </c>
      <c r="N789">
        <v>1</v>
      </c>
      <c r="O789">
        <v>1</v>
      </c>
      <c r="P789">
        <v>1</v>
      </c>
      <c r="Q789">
        <v>1</v>
      </c>
      <c r="R789">
        <v>1</v>
      </c>
    </row>
    <row r="790" spans="1:18" x14ac:dyDescent="0.2">
      <c r="A790" t="str">
        <f>"786"</f>
        <v>786</v>
      </c>
      <c r="B790" t="str">
        <f t="shared" si="43"/>
        <v>1</v>
      </c>
      <c r="C790" t="str">
        <f t="shared" si="44"/>
        <v>16</v>
      </c>
      <c r="D790" t="str">
        <f>"8"</f>
        <v>8</v>
      </c>
      <c r="E790" t="str">
        <f>"1-16-8"</f>
        <v>1-16-8</v>
      </c>
      <c r="F790" t="s">
        <v>65</v>
      </c>
      <c r="G790" t="s">
        <v>66</v>
      </c>
      <c r="H790" t="s">
        <v>68</v>
      </c>
      <c r="I790">
        <v>1</v>
      </c>
      <c r="J790">
        <v>0</v>
      </c>
      <c r="K790">
        <v>1</v>
      </c>
      <c r="L790">
        <v>0</v>
      </c>
      <c r="M790">
        <v>1</v>
      </c>
      <c r="N790">
        <v>1</v>
      </c>
      <c r="O790">
        <v>1</v>
      </c>
      <c r="P790">
        <v>1</v>
      </c>
      <c r="Q790">
        <v>1</v>
      </c>
      <c r="R790">
        <v>1</v>
      </c>
    </row>
    <row r="791" spans="1:18" x14ac:dyDescent="0.2">
      <c r="A791" t="str">
        <f>"787"</f>
        <v>787</v>
      </c>
      <c r="B791" t="str">
        <f t="shared" si="43"/>
        <v>1</v>
      </c>
      <c r="C791" t="str">
        <f t="shared" si="44"/>
        <v>16</v>
      </c>
      <c r="D791" t="str">
        <f>"45"</f>
        <v>45</v>
      </c>
      <c r="E791" t="str">
        <f>"1-16-45"</f>
        <v>1-16-45</v>
      </c>
      <c r="F791" t="s">
        <v>65</v>
      </c>
      <c r="G791" t="s">
        <v>66</v>
      </c>
      <c r="H791" t="s">
        <v>68</v>
      </c>
      <c r="I791">
        <v>1</v>
      </c>
      <c r="J791">
        <v>1</v>
      </c>
      <c r="K791">
        <v>0</v>
      </c>
      <c r="L791">
        <v>0</v>
      </c>
      <c r="M791">
        <v>1</v>
      </c>
      <c r="N791">
        <v>1</v>
      </c>
      <c r="O791">
        <v>1</v>
      </c>
      <c r="P791">
        <v>1</v>
      </c>
      <c r="Q791">
        <v>1</v>
      </c>
      <c r="R791">
        <v>1</v>
      </c>
    </row>
    <row r="792" spans="1:18" x14ac:dyDescent="0.2">
      <c r="A792" t="str">
        <f>"788"</f>
        <v>788</v>
      </c>
      <c r="B792" t="str">
        <f t="shared" si="43"/>
        <v>1</v>
      </c>
      <c r="C792" t="str">
        <f t="shared" si="44"/>
        <v>16</v>
      </c>
      <c r="D792" t="str">
        <f>"25"</f>
        <v>25</v>
      </c>
      <c r="E792" t="str">
        <f>"1-16-25"</f>
        <v>1-16-25</v>
      </c>
      <c r="F792" t="s">
        <v>65</v>
      </c>
      <c r="G792" t="s">
        <v>66</v>
      </c>
      <c r="H792" t="s">
        <v>68</v>
      </c>
      <c r="I792">
        <v>1</v>
      </c>
      <c r="J792">
        <v>0</v>
      </c>
      <c r="K792">
        <v>0</v>
      </c>
      <c r="L792">
        <v>1</v>
      </c>
      <c r="M792">
        <v>1</v>
      </c>
      <c r="N792">
        <v>1</v>
      </c>
      <c r="O792">
        <v>1</v>
      </c>
      <c r="P792">
        <v>1</v>
      </c>
      <c r="Q792">
        <v>1</v>
      </c>
      <c r="R792">
        <v>1</v>
      </c>
    </row>
    <row r="793" spans="1:18" x14ac:dyDescent="0.2">
      <c r="A793" t="str">
        <f>"789"</f>
        <v>789</v>
      </c>
      <c r="B793" t="str">
        <f t="shared" si="43"/>
        <v>1</v>
      </c>
      <c r="C793" t="str">
        <f t="shared" si="44"/>
        <v>16</v>
      </c>
      <c r="D793" t="str">
        <f>"12"</f>
        <v>12</v>
      </c>
      <c r="E793" t="str">
        <f>"1-16-12"</f>
        <v>1-16-12</v>
      </c>
      <c r="F793" t="s">
        <v>65</v>
      </c>
      <c r="G793" t="s">
        <v>66</v>
      </c>
      <c r="H793" t="s">
        <v>68</v>
      </c>
      <c r="I793">
        <v>1</v>
      </c>
      <c r="J793">
        <v>0</v>
      </c>
      <c r="K793">
        <v>0</v>
      </c>
      <c r="L793">
        <v>1</v>
      </c>
      <c r="M793">
        <v>1</v>
      </c>
      <c r="N793">
        <v>1</v>
      </c>
      <c r="O793">
        <v>1</v>
      </c>
      <c r="P793">
        <v>1</v>
      </c>
      <c r="Q793">
        <v>1</v>
      </c>
      <c r="R793">
        <v>1</v>
      </c>
    </row>
    <row r="794" spans="1:18" x14ac:dyDescent="0.2">
      <c r="A794" t="str">
        <f>"790"</f>
        <v>790</v>
      </c>
      <c r="B794" t="str">
        <f t="shared" si="43"/>
        <v>1</v>
      </c>
      <c r="C794" t="str">
        <f t="shared" si="44"/>
        <v>16</v>
      </c>
      <c r="D794" t="str">
        <f>"43"</f>
        <v>43</v>
      </c>
      <c r="E794" t="str">
        <f>"1-16-43"</f>
        <v>1-16-43</v>
      </c>
      <c r="F794" t="s">
        <v>65</v>
      </c>
      <c r="G794" t="s">
        <v>66</v>
      </c>
      <c r="H794" t="s">
        <v>68</v>
      </c>
      <c r="I794">
        <v>1</v>
      </c>
      <c r="J794">
        <v>0</v>
      </c>
      <c r="K794">
        <v>1</v>
      </c>
      <c r="L794">
        <v>0</v>
      </c>
      <c r="M794">
        <v>1</v>
      </c>
      <c r="N794">
        <v>1</v>
      </c>
      <c r="O794">
        <v>1</v>
      </c>
      <c r="P794">
        <v>1</v>
      </c>
      <c r="Q794">
        <v>1</v>
      </c>
      <c r="R794">
        <v>1</v>
      </c>
    </row>
    <row r="795" spans="1:18" x14ac:dyDescent="0.2">
      <c r="A795" t="str">
        <f>"791"</f>
        <v>791</v>
      </c>
      <c r="B795" t="str">
        <f t="shared" si="43"/>
        <v>1</v>
      </c>
      <c r="C795" t="str">
        <f t="shared" si="44"/>
        <v>16</v>
      </c>
      <c r="D795" t="str">
        <f>"26"</f>
        <v>26</v>
      </c>
      <c r="E795" t="str">
        <f>"1-16-26"</f>
        <v>1-16-26</v>
      </c>
      <c r="F795" t="s">
        <v>65</v>
      </c>
      <c r="G795" t="s">
        <v>66</v>
      </c>
      <c r="H795" t="s">
        <v>68</v>
      </c>
      <c r="I795">
        <v>1</v>
      </c>
      <c r="J795">
        <v>0</v>
      </c>
      <c r="K795">
        <v>0</v>
      </c>
      <c r="L795">
        <v>1</v>
      </c>
      <c r="M795">
        <v>1</v>
      </c>
      <c r="N795">
        <v>1</v>
      </c>
      <c r="O795">
        <v>1</v>
      </c>
      <c r="P795">
        <v>1</v>
      </c>
      <c r="Q795">
        <v>1</v>
      </c>
      <c r="R795">
        <v>1</v>
      </c>
    </row>
    <row r="796" spans="1:18" x14ac:dyDescent="0.2">
      <c r="A796" t="str">
        <f>"792"</f>
        <v>792</v>
      </c>
      <c r="B796" t="str">
        <f t="shared" si="43"/>
        <v>1</v>
      </c>
      <c r="C796" t="str">
        <f t="shared" si="44"/>
        <v>16</v>
      </c>
      <c r="D796" t="str">
        <f>"5"</f>
        <v>5</v>
      </c>
      <c r="E796" t="str">
        <f>"1-16-5"</f>
        <v>1-16-5</v>
      </c>
      <c r="F796" t="s">
        <v>65</v>
      </c>
      <c r="G796" t="s">
        <v>66</v>
      </c>
      <c r="H796" t="s">
        <v>68</v>
      </c>
      <c r="I796">
        <v>1</v>
      </c>
      <c r="J796">
        <v>0</v>
      </c>
      <c r="K796">
        <v>0</v>
      </c>
      <c r="L796">
        <v>1</v>
      </c>
      <c r="M796">
        <v>1</v>
      </c>
      <c r="N796">
        <v>1</v>
      </c>
      <c r="O796">
        <v>1</v>
      </c>
      <c r="P796">
        <v>1</v>
      </c>
      <c r="Q796">
        <v>1</v>
      </c>
      <c r="R796">
        <v>1</v>
      </c>
    </row>
    <row r="797" spans="1:18" x14ac:dyDescent="0.2">
      <c r="A797" t="str">
        <f>"793"</f>
        <v>793</v>
      </c>
      <c r="B797" t="str">
        <f t="shared" si="43"/>
        <v>1</v>
      </c>
      <c r="C797" t="str">
        <f t="shared" si="44"/>
        <v>16</v>
      </c>
      <c r="D797" t="str">
        <f>"44"</f>
        <v>44</v>
      </c>
      <c r="E797" t="str">
        <f>"1-16-44"</f>
        <v>1-16-44</v>
      </c>
      <c r="F797" t="s">
        <v>65</v>
      </c>
      <c r="G797" t="s">
        <v>66</v>
      </c>
      <c r="H797" t="s">
        <v>68</v>
      </c>
      <c r="I797">
        <v>1</v>
      </c>
      <c r="J797">
        <v>0</v>
      </c>
      <c r="K797">
        <v>1</v>
      </c>
      <c r="L797">
        <v>0</v>
      </c>
      <c r="M797">
        <v>1</v>
      </c>
      <c r="N797">
        <v>1</v>
      </c>
      <c r="O797">
        <v>1</v>
      </c>
      <c r="P797">
        <v>1</v>
      </c>
      <c r="Q797">
        <v>1</v>
      </c>
      <c r="R797">
        <v>1</v>
      </c>
    </row>
    <row r="798" spans="1:18" x14ac:dyDescent="0.2">
      <c r="A798" t="str">
        <f>"794"</f>
        <v>794</v>
      </c>
      <c r="B798" t="str">
        <f t="shared" si="43"/>
        <v>1</v>
      </c>
      <c r="C798" t="str">
        <f t="shared" si="44"/>
        <v>16</v>
      </c>
      <c r="D798" t="str">
        <f>"27"</f>
        <v>27</v>
      </c>
      <c r="E798" t="str">
        <f>"1-16-27"</f>
        <v>1-16-27</v>
      </c>
      <c r="F798" t="s">
        <v>65</v>
      </c>
      <c r="G798" t="s">
        <v>66</v>
      </c>
      <c r="H798" t="s">
        <v>68</v>
      </c>
      <c r="I798">
        <v>1</v>
      </c>
      <c r="J798">
        <v>0</v>
      </c>
      <c r="K798">
        <v>0</v>
      </c>
      <c r="L798">
        <v>1</v>
      </c>
      <c r="M798">
        <v>1</v>
      </c>
      <c r="N798">
        <v>1</v>
      </c>
      <c r="O798">
        <v>1</v>
      </c>
      <c r="P798">
        <v>1</v>
      </c>
      <c r="Q798">
        <v>1</v>
      </c>
      <c r="R798">
        <v>1</v>
      </c>
    </row>
    <row r="799" spans="1:18" x14ac:dyDescent="0.2">
      <c r="A799" t="str">
        <f>"795"</f>
        <v>795</v>
      </c>
      <c r="B799" t="str">
        <f t="shared" si="43"/>
        <v>1</v>
      </c>
      <c r="C799" t="str">
        <f t="shared" si="44"/>
        <v>16</v>
      </c>
      <c r="D799" t="str">
        <f>"14"</f>
        <v>14</v>
      </c>
      <c r="E799" t="str">
        <f>"1-16-14"</f>
        <v>1-16-14</v>
      </c>
      <c r="F799" t="s">
        <v>65</v>
      </c>
      <c r="G799" t="s">
        <v>66</v>
      </c>
      <c r="H799" t="s">
        <v>68</v>
      </c>
      <c r="I799">
        <v>1</v>
      </c>
      <c r="J799">
        <v>0</v>
      </c>
      <c r="K799">
        <v>0</v>
      </c>
      <c r="L799">
        <v>1</v>
      </c>
      <c r="M799">
        <v>1</v>
      </c>
      <c r="N799">
        <v>1</v>
      </c>
      <c r="O799">
        <v>1</v>
      </c>
      <c r="P799">
        <v>1</v>
      </c>
      <c r="Q799">
        <v>1</v>
      </c>
      <c r="R799">
        <v>1</v>
      </c>
    </row>
    <row r="800" spans="1:18" x14ac:dyDescent="0.2">
      <c r="A800" t="str">
        <f>"796"</f>
        <v>796</v>
      </c>
      <c r="B800" t="str">
        <f t="shared" si="43"/>
        <v>1</v>
      </c>
      <c r="C800" t="str">
        <f t="shared" si="44"/>
        <v>16</v>
      </c>
      <c r="D800" t="str">
        <f>"28"</f>
        <v>28</v>
      </c>
      <c r="E800" t="str">
        <f>"1-16-28"</f>
        <v>1-16-28</v>
      </c>
      <c r="F800" t="s">
        <v>65</v>
      </c>
      <c r="G800" t="s">
        <v>66</v>
      </c>
      <c r="H800" t="s">
        <v>68</v>
      </c>
      <c r="I800">
        <v>1</v>
      </c>
      <c r="J800">
        <v>0</v>
      </c>
      <c r="K800">
        <v>0</v>
      </c>
      <c r="L800">
        <v>1</v>
      </c>
      <c r="M800">
        <v>1</v>
      </c>
      <c r="N800">
        <v>1</v>
      </c>
      <c r="O800">
        <v>1</v>
      </c>
      <c r="P800">
        <v>1</v>
      </c>
      <c r="Q800">
        <v>1</v>
      </c>
      <c r="R800">
        <v>1</v>
      </c>
    </row>
    <row r="801" spans="1:18" x14ac:dyDescent="0.2">
      <c r="A801" t="str">
        <f>"797"</f>
        <v>797</v>
      </c>
      <c r="B801" t="str">
        <f t="shared" si="43"/>
        <v>1</v>
      </c>
      <c r="C801" t="str">
        <f t="shared" si="44"/>
        <v>16</v>
      </c>
      <c r="D801" t="str">
        <f>"3"</f>
        <v>3</v>
      </c>
      <c r="E801" t="str">
        <f>"1-16-3"</f>
        <v>1-16-3</v>
      </c>
      <c r="F801" t="s">
        <v>65</v>
      </c>
      <c r="G801" t="s">
        <v>66</v>
      </c>
      <c r="H801" t="s">
        <v>68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1</v>
      </c>
      <c r="O801">
        <v>1</v>
      </c>
      <c r="P801">
        <v>1</v>
      </c>
      <c r="Q801">
        <v>1</v>
      </c>
      <c r="R801">
        <v>1</v>
      </c>
    </row>
    <row r="802" spans="1:18" x14ac:dyDescent="0.2">
      <c r="A802" t="str">
        <f>"798"</f>
        <v>798</v>
      </c>
      <c r="B802" t="str">
        <f t="shared" si="43"/>
        <v>1</v>
      </c>
      <c r="C802" t="str">
        <f t="shared" si="44"/>
        <v>16</v>
      </c>
      <c r="D802" t="str">
        <f>"40"</f>
        <v>40</v>
      </c>
      <c r="E802" t="str">
        <f>"1-16-40"</f>
        <v>1-16-40</v>
      </c>
      <c r="F802" t="s">
        <v>65</v>
      </c>
      <c r="G802" t="s">
        <v>66</v>
      </c>
      <c r="H802" t="s">
        <v>68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1</v>
      </c>
      <c r="O802">
        <v>1</v>
      </c>
      <c r="P802">
        <v>1</v>
      </c>
      <c r="Q802">
        <v>1</v>
      </c>
      <c r="R802">
        <v>1</v>
      </c>
    </row>
    <row r="803" spans="1:18" x14ac:dyDescent="0.2">
      <c r="A803" t="str">
        <f>"799"</f>
        <v>799</v>
      </c>
      <c r="B803" t="str">
        <f t="shared" si="43"/>
        <v>1</v>
      </c>
      <c r="C803" t="str">
        <f t="shared" si="44"/>
        <v>16</v>
      </c>
      <c r="D803" t="str">
        <f>"29"</f>
        <v>29</v>
      </c>
      <c r="E803" t="str">
        <f>"1-16-29"</f>
        <v>1-16-29</v>
      </c>
      <c r="F803" t="s">
        <v>65</v>
      </c>
      <c r="G803" t="s">
        <v>66</v>
      </c>
      <c r="H803" t="s">
        <v>68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1</v>
      </c>
      <c r="O803">
        <v>1</v>
      </c>
      <c r="P803">
        <v>1</v>
      </c>
      <c r="Q803">
        <v>1</v>
      </c>
      <c r="R803">
        <v>1</v>
      </c>
    </row>
    <row r="804" spans="1:18" x14ac:dyDescent="0.2">
      <c r="A804" t="str">
        <f>"800"</f>
        <v>800</v>
      </c>
      <c r="B804" t="str">
        <f t="shared" si="43"/>
        <v>1</v>
      </c>
      <c r="C804" t="str">
        <f t="shared" si="44"/>
        <v>16</v>
      </c>
      <c r="D804" t="str">
        <f>"13"</f>
        <v>13</v>
      </c>
      <c r="E804" t="str">
        <f>"1-16-13"</f>
        <v>1-16-13</v>
      </c>
      <c r="F804" t="s">
        <v>65</v>
      </c>
      <c r="G804" t="s">
        <v>66</v>
      </c>
      <c r="H804" t="s">
        <v>68</v>
      </c>
      <c r="I804">
        <v>1</v>
      </c>
      <c r="J804">
        <v>0</v>
      </c>
      <c r="K804">
        <v>0</v>
      </c>
      <c r="L804">
        <v>1</v>
      </c>
      <c r="M804">
        <v>1</v>
      </c>
      <c r="N804">
        <v>1</v>
      </c>
      <c r="O804">
        <v>1</v>
      </c>
      <c r="P804">
        <v>1</v>
      </c>
      <c r="Q804">
        <v>1</v>
      </c>
      <c r="R804">
        <v>1</v>
      </c>
    </row>
    <row r="805" spans="1:18" x14ac:dyDescent="0.2">
      <c r="A805" t="str">
        <f>"801"</f>
        <v>801</v>
      </c>
      <c r="B805" t="str">
        <f t="shared" si="43"/>
        <v>1</v>
      </c>
      <c r="C805" t="str">
        <f t="shared" ref="C805:C836" si="45">"17"</f>
        <v>17</v>
      </c>
      <c r="D805" t="str">
        <f>"34"</f>
        <v>34</v>
      </c>
      <c r="E805" t="str">
        <f>"1-17-34"</f>
        <v>1-17-34</v>
      </c>
      <c r="F805" t="s">
        <v>65</v>
      </c>
      <c r="G805" t="s">
        <v>66</v>
      </c>
      <c r="H805" t="s">
        <v>68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1</v>
      </c>
      <c r="O805">
        <v>1</v>
      </c>
      <c r="P805">
        <v>1</v>
      </c>
      <c r="Q805">
        <v>1</v>
      </c>
      <c r="R805">
        <v>1</v>
      </c>
    </row>
    <row r="806" spans="1:18" x14ac:dyDescent="0.2">
      <c r="A806" t="str">
        <f>"802"</f>
        <v>802</v>
      </c>
      <c r="B806" t="str">
        <f t="shared" si="43"/>
        <v>1</v>
      </c>
      <c r="C806" t="str">
        <f t="shared" si="45"/>
        <v>17</v>
      </c>
      <c r="D806" t="str">
        <f>"33"</f>
        <v>33</v>
      </c>
      <c r="E806" t="str">
        <f>"1-17-33"</f>
        <v>1-17-33</v>
      </c>
      <c r="F806" t="s">
        <v>65</v>
      </c>
      <c r="G806" t="s">
        <v>66</v>
      </c>
      <c r="H806" t="s">
        <v>68</v>
      </c>
      <c r="I806">
        <v>1</v>
      </c>
      <c r="J806">
        <v>0</v>
      </c>
      <c r="K806">
        <v>0</v>
      </c>
      <c r="L806">
        <v>1</v>
      </c>
      <c r="M806">
        <v>1</v>
      </c>
      <c r="N806">
        <v>1</v>
      </c>
      <c r="O806">
        <v>1</v>
      </c>
      <c r="P806">
        <v>1</v>
      </c>
      <c r="Q806">
        <v>1</v>
      </c>
      <c r="R806">
        <v>1</v>
      </c>
    </row>
    <row r="807" spans="1:18" x14ac:dyDescent="0.2">
      <c r="A807" t="str">
        <f>"803"</f>
        <v>803</v>
      </c>
      <c r="B807" t="str">
        <f t="shared" si="43"/>
        <v>1</v>
      </c>
      <c r="C807" t="str">
        <f t="shared" si="45"/>
        <v>17</v>
      </c>
      <c r="D807" t="str">
        <f>"27"</f>
        <v>27</v>
      </c>
      <c r="E807" t="str">
        <f>"1-17-27"</f>
        <v>1-17-27</v>
      </c>
      <c r="F807" t="s">
        <v>65</v>
      </c>
      <c r="G807" t="s">
        <v>66</v>
      </c>
      <c r="H807" t="s">
        <v>68</v>
      </c>
      <c r="I807">
        <v>0</v>
      </c>
      <c r="J807">
        <v>0</v>
      </c>
      <c r="K807">
        <v>0</v>
      </c>
      <c r="L807">
        <v>0</v>
      </c>
      <c r="M807">
        <v>1</v>
      </c>
      <c r="N807">
        <v>0</v>
      </c>
      <c r="O807">
        <v>0</v>
      </c>
      <c r="P807">
        <v>0</v>
      </c>
      <c r="Q807">
        <v>0</v>
      </c>
      <c r="R807">
        <v>0</v>
      </c>
    </row>
    <row r="808" spans="1:18" x14ac:dyDescent="0.2">
      <c r="A808" t="str">
        <f>"804"</f>
        <v>804</v>
      </c>
      <c r="B808" t="str">
        <f t="shared" si="43"/>
        <v>1</v>
      </c>
      <c r="C808" t="str">
        <f t="shared" si="45"/>
        <v>17</v>
      </c>
      <c r="D808" t="str">
        <f>"15"</f>
        <v>15</v>
      </c>
      <c r="E808" t="str">
        <f>"1-17-15"</f>
        <v>1-17-15</v>
      </c>
      <c r="F808" t="s">
        <v>65</v>
      </c>
      <c r="G808" t="s">
        <v>66</v>
      </c>
      <c r="H808" t="s">
        <v>68</v>
      </c>
      <c r="I808">
        <v>1</v>
      </c>
      <c r="J808">
        <v>0</v>
      </c>
      <c r="K808">
        <v>1</v>
      </c>
      <c r="L808">
        <v>0</v>
      </c>
      <c r="M808">
        <v>1</v>
      </c>
      <c r="N808">
        <v>1</v>
      </c>
      <c r="O808">
        <v>1</v>
      </c>
      <c r="P808">
        <v>1</v>
      </c>
      <c r="Q808">
        <v>1</v>
      </c>
      <c r="R808">
        <v>1</v>
      </c>
    </row>
    <row r="809" spans="1:18" x14ac:dyDescent="0.2">
      <c r="A809" t="str">
        <f>"805"</f>
        <v>805</v>
      </c>
      <c r="B809" t="str">
        <f t="shared" si="43"/>
        <v>1</v>
      </c>
      <c r="C809" t="str">
        <f t="shared" si="45"/>
        <v>17</v>
      </c>
      <c r="D809" t="str">
        <f>"5"</f>
        <v>5</v>
      </c>
      <c r="E809" t="str">
        <f>"1-17-5"</f>
        <v>1-17-5</v>
      </c>
      <c r="F809" t="s">
        <v>65</v>
      </c>
      <c r="G809" t="s">
        <v>66</v>
      </c>
      <c r="H809" t="s">
        <v>68</v>
      </c>
      <c r="I809">
        <v>1</v>
      </c>
      <c r="J809">
        <v>0</v>
      </c>
      <c r="K809">
        <v>1</v>
      </c>
      <c r="L809">
        <v>0</v>
      </c>
      <c r="M809">
        <v>1</v>
      </c>
      <c r="N809">
        <v>1</v>
      </c>
      <c r="O809">
        <v>1</v>
      </c>
      <c r="P809">
        <v>1</v>
      </c>
      <c r="Q809">
        <v>1</v>
      </c>
      <c r="R809">
        <v>0</v>
      </c>
    </row>
    <row r="810" spans="1:18" x14ac:dyDescent="0.2">
      <c r="A810" t="str">
        <f>"806"</f>
        <v>806</v>
      </c>
      <c r="B810" t="str">
        <f t="shared" si="43"/>
        <v>1</v>
      </c>
      <c r="C810" t="str">
        <f t="shared" si="45"/>
        <v>17</v>
      </c>
      <c r="D810" t="str">
        <f>"38"</f>
        <v>38</v>
      </c>
      <c r="E810" t="str">
        <f>"1-17-38"</f>
        <v>1-17-38</v>
      </c>
      <c r="F810" t="s">
        <v>65</v>
      </c>
      <c r="G810" t="s">
        <v>66</v>
      </c>
      <c r="H810" t="s">
        <v>68</v>
      </c>
      <c r="I810">
        <v>1</v>
      </c>
      <c r="J810">
        <v>0</v>
      </c>
      <c r="K810">
        <v>0</v>
      </c>
      <c r="L810">
        <v>0</v>
      </c>
      <c r="M810">
        <v>1</v>
      </c>
      <c r="N810">
        <v>1</v>
      </c>
      <c r="O810">
        <v>1</v>
      </c>
      <c r="P810">
        <v>1</v>
      </c>
      <c r="Q810">
        <v>1</v>
      </c>
      <c r="R810">
        <v>1</v>
      </c>
    </row>
    <row r="811" spans="1:18" x14ac:dyDescent="0.2">
      <c r="A811" t="str">
        <f>"807"</f>
        <v>807</v>
      </c>
      <c r="B811" t="str">
        <f t="shared" si="43"/>
        <v>1</v>
      </c>
      <c r="C811" t="str">
        <f t="shared" si="45"/>
        <v>17</v>
      </c>
      <c r="D811" t="str">
        <f>"37"</f>
        <v>37</v>
      </c>
      <c r="E811" t="str">
        <f>"1-17-37"</f>
        <v>1-17-37</v>
      </c>
      <c r="F811" t="s">
        <v>65</v>
      </c>
      <c r="G811" t="s">
        <v>66</v>
      </c>
      <c r="H811" t="s">
        <v>68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1</v>
      </c>
      <c r="O811">
        <v>1</v>
      </c>
      <c r="P811">
        <v>1</v>
      </c>
      <c r="Q811">
        <v>1</v>
      </c>
      <c r="R811">
        <v>1</v>
      </c>
    </row>
    <row r="812" spans="1:18" x14ac:dyDescent="0.2">
      <c r="A812" t="str">
        <f>"808"</f>
        <v>808</v>
      </c>
      <c r="B812" t="str">
        <f t="shared" si="43"/>
        <v>1</v>
      </c>
      <c r="C812" t="str">
        <f t="shared" si="45"/>
        <v>17</v>
      </c>
      <c r="D812" t="str">
        <f>"29"</f>
        <v>29</v>
      </c>
      <c r="E812" t="str">
        <f>"1-17-29"</f>
        <v>1-17-29</v>
      </c>
      <c r="F812" t="s">
        <v>65</v>
      </c>
      <c r="G812" t="s">
        <v>66</v>
      </c>
      <c r="H812" t="s">
        <v>68</v>
      </c>
      <c r="I812">
        <v>1</v>
      </c>
      <c r="J812">
        <v>0</v>
      </c>
      <c r="K812">
        <v>0</v>
      </c>
      <c r="L812">
        <v>1</v>
      </c>
      <c r="M812">
        <v>1</v>
      </c>
      <c r="N812">
        <v>1</v>
      </c>
      <c r="O812">
        <v>1</v>
      </c>
      <c r="P812">
        <v>1</v>
      </c>
      <c r="Q812">
        <v>1</v>
      </c>
      <c r="R812">
        <v>1</v>
      </c>
    </row>
    <row r="813" spans="1:18" x14ac:dyDescent="0.2">
      <c r="A813" t="str">
        <f>"809"</f>
        <v>809</v>
      </c>
      <c r="B813" t="str">
        <f t="shared" si="43"/>
        <v>1</v>
      </c>
      <c r="C813" t="str">
        <f t="shared" si="45"/>
        <v>17</v>
      </c>
      <c r="D813" t="str">
        <f>"16"</f>
        <v>16</v>
      </c>
      <c r="E813" t="str">
        <f>"1-17-16"</f>
        <v>1-17-16</v>
      </c>
      <c r="F813" t="s">
        <v>65</v>
      </c>
      <c r="G813" t="s">
        <v>66</v>
      </c>
      <c r="H813" t="s">
        <v>68</v>
      </c>
      <c r="I813">
        <v>1</v>
      </c>
      <c r="J813">
        <v>0</v>
      </c>
      <c r="K813">
        <v>0</v>
      </c>
      <c r="L813">
        <v>1</v>
      </c>
      <c r="M813">
        <v>1</v>
      </c>
      <c r="N813">
        <v>1</v>
      </c>
      <c r="O813">
        <v>1</v>
      </c>
      <c r="P813">
        <v>1</v>
      </c>
      <c r="Q813">
        <v>1</v>
      </c>
      <c r="R813">
        <v>1</v>
      </c>
    </row>
    <row r="814" spans="1:18" x14ac:dyDescent="0.2">
      <c r="A814" t="str">
        <f>"810"</f>
        <v>810</v>
      </c>
      <c r="B814" t="str">
        <f t="shared" si="43"/>
        <v>1</v>
      </c>
      <c r="C814" t="str">
        <f t="shared" si="45"/>
        <v>17</v>
      </c>
      <c r="D814" t="str">
        <f>"9"</f>
        <v>9</v>
      </c>
      <c r="E814" t="str">
        <f>"1-17-9"</f>
        <v>1-17-9</v>
      </c>
      <c r="F814" t="s">
        <v>65</v>
      </c>
      <c r="G814" t="s">
        <v>66</v>
      </c>
      <c r="H814" t="s">
        <v>68</v>
      </c>
      <c r="I814">
        <v>1</v>
      </c>
      <c r="J814">
        <v>1</v>
      </c>
      <c r="K814">
        <v>0</v>
      </c>
      <c r="L814">
        <v>0</v>
      </c>
      <c r="M814">
        <v>0</v>
      </c>
      <c r="N814">
        <v>1</v>
      </c>
      <c r="O814">
        <v>1</v>
      </c>
      <c r="P814">
        <v>1</v>
      </c>
      <c r="Q814">
        <v>1</v>
      </c>
      <c r="R814">
        <v>1</v>
      </c>
    </row>
    <row r="815" spans="1:18" x14ac:dyDescent="0.2">
      <c r="A815" t="str">
        <f>"811"</f>
        <v>811</v>
      </c>
      <c r="B815" t="str">
        <f t="shared" si="43"/>
        <v>1</v>
      </c>
      <c r="C815" t="str">
        <f t="shared" si="45"/>
        <v>17</v>
      </c>
      <c r="D815" t="str">
        <f>"46"</f>
        <v>46</v>
      </c>
      <c r="E815" t="str">
        <f>"1-17-46"</f>
        <v>1-17-46</v>
      </c>
      <c r="F815" t="s">
        <v>65</v>
      </c>
      <c r="G815" t="s">
        <v>66</v>
      </c>
      <c r="H815" t="s">
        <v>68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1</v>
      </c>
      <c r="O815">
        <v>1</v>
      </c>
      <c r="P815">
        <v>1</v>
      </c>
      <c r="Q815">
        <v>1</v>
      </c>
      <c r="R815">
        <v>1</v>
      </c>
    </row>
    <row r="816" spans="1:18" x14ac:dyDescent="0.2">
      <c r="A816" t="str">
        <f>"812"</f>
        <v>812</v>
      </c>
      <c r="B816" t="str">
        <f t="shared" si="43"/>
        <v>1</v>
      </c>
      <c r="C816" t="str">
        <f t="shared" si="45"/>
        <v>17</v>
      </c>
      <c r="D816" t="str">
        <f>"45"</f>
        <v>45</v>
      </c>
      <c r="E816" t="str">
        <f>"1-17-45"</f>
        <v>1-17-45</v>
      </c>
      <c r="F816" t="s">
        <v>65</v>
      </c>
      <c r="G816" t="s">
        <v>66</v>
      </c>
      <c r="H816" t="s">
        <v>68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1</v>
      </c>
      <c r="O816">
        <v>0</v>
      </c>
      <c r="P816">
        <v>1</v>
      </c>
      <c r="Q816">
        <v>1</v>
      </c>
      <c r="R816">
        <v>0</v>
      </c>
    </row>
    <row r="817" spans="1:18" x14ac:dyDescent="0.2">
      <c r="A817" t="str">
        <f>"813"</f>
        <v>813</v>
      </c>
      <c r="B817" t="str">
        <f t="shared" si="43"/>
        <v>1</v>
      </c>
      <c r="C817" t="str">
        <f t="shared" si="45"/>
        <v>17</v>
      </c>
      <c r="D817" t="str">
        <f>"31"</f>
        <v>31</v>
      </c>
      <c r="E817" t="str">
        <f>"1-17-31"</f>
        <v>1-17-31</v>
      </c>
      <c r="F817" t="s">
        <v>65</v>
      </c>
      <c r="G817" t="s">
        <v>66</v>
      </c>
      <c r="H817" t="s">
        <v>68</v>
      </c>
      <c r="I817">
        <v>1</v>
      </c>
      <c r="J817">
        <v>0</v>
      </c>
      <c r="K817">
        <v>1</v>
      </c>
      <c r="L817">
        <v>0</v>
      </c>
      <c r="M817">
        <v>1</v>
      </c>
      <c r="N817">
        <v>1</v>
      </c>
      <c r="O817">
        <v>1</v>
      </c>
      <c r="P817">
        <v>1</v>
      </c>
      <c r="Q817">
        <v>1</v>
      </c>
      <c r="R817">
        <v>1</v>
      </c>
    </row>
    <row r="818" spans="1:18" x14ac:dyDescent="0.2">
      <c r="A818" t="str">
        <f>"814"</f>
        <v>814</v>
      </c>
      <c r="B818" t="str">
        <f t="shared" si="43"/>
        <v>1</v>
      </c>
      <c r="C818" t="str">
        <f t="shared" si="45"/>
        <v>17</v>
      </c>
      <c r="D818" t="str">
        <f>"17"</f>
        <v>17</v>
      </c>
      <c r="E818" t="str">
        <f>"1-17-17"</f>
        <v>1-17-17</v>
      </c>
      <c r="F818" t="s">
        <v>65</v>
      </c>
      <c r="G818" t="s">
        <v>66</v>
      </c>
      <c r="H818" t="s">
        <v>68</v>
      </c>
      <c r="I818">
        <v>1</v>
      </c>
      <c r="J818">
        <v>0</v>
      </c>
      <c r="K818">
        <v>0</v>
      </c>
      <c r="L818">
        <v>1</v>
      </c>
      <c r="M818">
        <v>1</v>
      </c>
      <c r="N818">
        <v>1</v>
      </c>
      <c r="O818">
        <v>1</v>
      </c>
      <c r="P818">
        <v>1</v>
      </c>
      <c r="Q818">
        <v>1</v>
      </c>
      <c r="R818">
        <v>1</v>
      </c>
    </row>
    <row r="819" spans="1:18" x14ac:dyDescent="0.2">
      <c r="A819" t="str">
        <f>"815"</f>
        <v>815</v>
      </c>
      <c r="B819" t="str">
        <f t="shared" si="43"/>
        <v>1</v>
      </c>
      <c r="C819" t="str">
        <f t="shared" si="45"/>
        <v>17</v>
      </c>
      <c r="D819" t="str">
        <f>"2"</f>
        <v>2</v>
      </c>
      <c r="E819" t="str">
        <f>"1-17-2"</f>
        <v>1-17-2</v>
      </c>
      <c r="F819" t="s">
        <v>65</v>
      </c>
      <c r="G819" t="s">
        <v>66</v>
      </c>
      <c r="H819" t="s">
        <v>68</v>
      </c>
      <c r="I819">
        <v>1</v>
      </c>
      <c r="J819">
        <v>0</v>
      </c>
      <c r="K819">
        <v>1</v>
      </c>
      <c r="L819">
        <v>0</v>
      </c>
      <c r="M819">
        <v>0</v>
      </c>
      <c r="N819">
        <v>1</v>
      </c>
      <c r="O819">
        <v>1</v>
      </c>
      <c r="P819">
        <v>1</v>
      </c>
      <c r="Q819">
        <v>1</v>
      </c>
      <c r="R819">
        <v>1</v>
      </c>
    </row>
    <row r="820" spans="1:18" x14ac:dyDescent="0.2">
      <c r="A820" t="str">
        <f>"816"</f>
        <v>816</v>
      </c>
      <c r="B820" t="str">
        <f t="shared" si="43"/>
        <v>1</v>
      </c>
      <c r="C820" t="str">
        <f t="shared" si="45"/>
        <v>17</v>
      </c>
      <c r="D820" t="str">
        <f>"48"</f>
        <v>48</v>
      </c>
      <c r="E820" t="str">
        <f>"1-17-48"</f>
        <v>1-17-48</v>
      </c>
      <c r="F820" t="s">
        <v>65</v>
      </c>
      <c r="G820" t="s">
        <v>66</v>
      </c>
      <c r="H820" t="s">
        <v>68</v>
      </c>
      <c r="I820">
        <v>1</v>
      </c>
      <c r="J820">
        <v>0</v>
      </c>
      <c r="K820">
        <v>0</v>
      </c>
      <c r="L820">
        <v>1</v>
      </c>
      <c r="M820">
        <v>1</v>
      </c>
      <c r="N820">
        <v>1</v>
      </c>
      <c r="O820">
        <v>1</v>
      </c>
      <c r="P820">
        <v>1</v>
      </c>
      <c r="Q820">
        <v>1</v>
      </c>
      <c r="R820">
        <v>1</v>
      </c>
    </row>
    <row r="821" spans="1:18" x14ac:dyDescent="0.2">
      <c r="A821" t="str">
        <f>"817"</f>
        <v>817</v>
      </c>
      <c r="B821" t="str">
        <f t="shared" si="43"/>
        <v>1</v>
      </c>
      <c r="C821" t="str">
        <f t="shared" si="45"/>
        <v>17</v>
      </c>
      <c r="D821" t="str">
        <f>"47"</f>
        <v>47</v>
      </c>
      <c r="E821" t="str">
        <f>"1-17-47"</f>
        <v>1-17-47</v>
      </c>
      <c r="F821" t="s">
        <v>65</v>
      </c>
      <c r="G821" t="s">
        <v>66</v>
      </c>
      <c r="H821" t="s">
        <v>68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1</v>
      </c>
      <c r="O821">
        <v>1</v>
      </c>
      <c r="P821">
        <v>1</v>
      </c>
      <c r="Q821">
        <v>1</v>
      </c>
      <c r="R821">
        <v>1</v>
      </c>
    </row>
    <row r="822" spans="1:18" x14ac:dyDescent="0.2">
      <c r="A822" t="str">
        <f>"818"</f>
        <v>818</v>
      </c>
      <c r="B822" t="str">
        <f t="shared" si="43"/>
        <v>1</v>
      </c>
      <c r="C822" t="str">
        <f t="shared" si="45"/>
        <v>17</v>
      </c>
      <c r="D822" t="str">
        <f>"32"</f>
        <v>32</v>
      </c>
      <c r="E822" t="str">
        <f>"1-17-32"</f>
        <v>1-17-32</v>
      </c>
      <c r="F822" t="s">
        <v>65</v>
      </c>
      <c r="G822" t="s">
        <v>66</v>
      </c>
      <c r="H822" t="s">
        <v>68</v>
      </c>
      <c r="I822">
        <v>1</v>
      </c>
      <c r="J822">
        <v>0</v>
      </c>
      <c r="K822">
        <v>0</v>
      </c>
      <c r="L822">
        <v>1</v>
      </c>
      <c r="M822">
        <v>1</v>
      </c>
      <c r="N822">
        <v>1</v>
      </c>
      <c r="O822">
        <v>1</v>
      </c>
      <c r="P822">
        <v>1</v>
      </c>
      <c r="Q822">
        <v>1</v>
      </c>
      <c r="R822">
        <v>1</v>
      </c>
    </row>
    <row r="823" spans="1:18" x14ac:dyDescent="0.2">
      <c r="A823" t="str">
        <f>"819"</f>
        <v>819</v>
      </c>
      <c r="B823" t="str">
        <f t="shared" ref="B823:B886" si="46">"1"</f>
        <v>1</v>
      </c>
      <c r="C823" t="str">
        <f t="shared" si="45"/>
        <v>17</v>
      </c>
      <c r="D823" t="str">
        <f>"18"</f>
        <v>18</v>
      </c>
      <c r="E823" t="str">
        <f>"1-17-18"</f>
        <v>1-17-18</v>
      </c>
      <c r="F823" t="s">
        <v>65</v>
      </c>
      <c r="G823" t="s">
        <v>66</v>
      </c>
      <c r="H823" t="s">
        <v>68</v>
      </c>
      <c r="I823">
        <v>1</v>
      </c>
      <c r="J823">
        <v>1</v>
      </c>
      <c r="K823">
        <v>0</v>
      </c>
      <c r="L823">
        <v>0</v>
      </c>
      <c r="M823">
        <v>1</v>
      </c>
      <c r="N823">
        <v>1</v>
      </c>
      <c r="O823">
        <v>1</v>
      </c>
      <c r="P823">
        <v>1</v>
      </c>
      <c r="Q823">
        <v>1</v>
      </c>
      <c r="R823">
        <v>1</v>
      </c>
    </row>
    <row r="824" spans="1:18" x14ac:dyDescent="0.2">
      <c r="A824" t="str">
        <f>"820"</f>
        <v>820</v>
      </c>
      <c r="B824" t="str">
        <f t="shared" si="46"/>
        <v>1</v>
      </c>
      <c r="C824" t="str">
        <f t="shared" si="45"/>
        <v>17</v>
      </c>
      <c r="D824" t="str">
        <f>"13"</f>
        <v>13</v>
      </c>
      <c r="E824" t="str">
        <f>"1-17-13"</f>
        <v>1-17-13</v>
      </c>
      <c r="F824" t="s">
        <v>65</v>
      </c>
      <c r="G824" t="s">
        <v>66</v>
      </c>
      <c r="H824" t="s">
        <v>68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1</v>
      </c>
      <c r="O824">
        <v>1</v>
      </c>
      <c r="P824">
        <v>1</v>
      </c>
      <c r="Q824">
        <v>1</v>
      </c>
      <c r="R824">
        <v>1</v>
      </c>
    </row>
    <row r="825" spans="1:18" x14ac:dyDescent="0.2">
      <c r="A825" t="str">
        <f>"821"</f>
        <v>821</v>
      </c>
      <c r="B825" t="str">
        <f t="shared" si="46"/>
        <v>1</v>
      </c>
      <c r="C825" t="str">
        <f t="shared" si="45"/>
        <v>17</v>
      </c>
      <c r="D825" t="str">
        <f>"35"</f>
        <v>35</v>
      </c>
      <c r="E825" t="str">
        <f>"1-17-35"</f>
        <v>1-17-35</v>
      </c>
      <c r="F825" t="s">
        <v>65</v>
      </c>
      <c r="G825" t="s">
        <v>66</v>
      </c>
      <c r="H825" t="s">
        <v>68</v>
      </c>
      <c r="I825">
        <v>1</v>
      </c>
      <c r="J825">
        <v>0</v>
      </c>
      <c r="K825">
        <v>1</v>
      </c>
      <c r="L825">
        <v>0</v>
      </c>
      <c r="M825">
        <v>0</v>
      </c>
      <c r="N825">
        <v>1</v>
      </c>
      <c r="O825">
        <v>1</v>
      </c>
      <c r="P825">
        <v>1</v>
      </c>
      <c r="Q825">
        <v>1</v>
      </c>
      <c r="R825">
        <v>1</v>
      </c>
    </row>
    <row r="826" spans="1:18" x14ac:dyDescent="0.2">
      <c r="A826" t="str">
        <f>"822"</f>
        <v>822</v>
      </c>
      <c r="B826" t="str">
        <f t="shared" si="46"/>
        <v>1</v>
      </c>
      <c r="C826" t="str">
        <f t="shared" si="45"/>
        <v>17</v>
      </c>
      <c r="D826" t="str">
        <f>"19"</f>
        <v>19</v>
      </c>
      <c r="E826" t="str">
        <f>"1-17-19"</f>
        <v>1-17-19</v>
      </c>
      <c r="F826" t="s">
        <v>65</v>
      </c>
      <c r="G826" t="s">
        <v>66</v>
      </c>
      <c r="H826" t="s">
        <v>68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1</v>
      </c>
      <c r="O826">
        <v>1</v>
      </c>
      <c r="P826">
        <v>1</v>
      </c>
      <c r="Q826">
        <v>1</v>
      </c>
      <c r="R826">
        <v>1</v>
      </c>
    </row>
    <row r="827" spans="1:18" x14ac:dyDescent="0.2">
      <c r="A827" t="str">
        <f>"823"</f>
        <v>823</v>
      </c>
      <c r="B827" t="str">
        <f t="shared" si="46"/>
        <v>1</v>
      </c>
      <c r="C827" t="str">
        <f t="shared" si="45"/>
        <v>17</v>
      </c>
      <c r="D827" t="str">
        <f>"1"</f>
        <v>1</v>
      </c>
      <c r="E827" t="str">
        <f>"1-17-1"</f>
        <v>1-17-1</v>
      </c>
      <c r="F827" t="s">
        <v>65</v>
      </c>
      <c r="G827" t="s">
        <v>66</v>
      </c>
      <c r="H827" t="s">
        <v>68</v>
      </c>
      <c r="I827">
        <v>1</v>
      </c>
      <c r="J827">
        <v>0</v>
      </c>
      <c r="K827">
        <v>0</v>
      </c>
      <c r="L827">
        <v>1</v>
      </c>
      <c r="M827">
        <v>1</v>
      </c>
      <c r="N827">
        <v>1</v>
      </c>
      <c r="O827">
        <v>1</v>
      </c>
      <c r="P827">
        <v>1</v>
      </c>
      <c r="Q827">
        <v>1</v>
      </c>
      <c r="R827">
        <v>1</v>
      </c>
    </row>
    <row r="828" spans="1:18" x14ac:dyDescent="0.2">
      <c r="A828" t="str">
        <f>"824"</f>
        <v>824</v>
      </c>
      <c r="B828" t="str">
        <f t="shared" si="46"/>
        <v>1</v>
      </c>
      <c r="C828" t="str">
        <f t="shared" si="45"/>
        <v>17</v>
      </c>
      <c r="D828" t="str">
        <f>"36"</f>
        <v>36</v>
      </c>
      <c r="E828" t="str">
        <f>"1-17-36"</f>
        <v>1-17-36</v>
      </c>
      <c r="F828" t="s">
        <v>65</v>
      </c>
      <c r="G828" t="s">
        <v>66</v>
      </c>
      <c r="H828" t="s">
        <v>68</v>
      </c>
      <c r="I828">
        <v>1</v>
      </c>
      <c r="J828">
        <v>0</v>
      </c>
      <c r="K828">
        <v>0</v>
      </c>
      <c r="L828">
        <v>1</v>
      </c>
      <c r="M828">
        <v>1</v>
      </c>
      <c r="N828">
        <v>1</v>
      </c>
      <c r="O828">
        <v>1</v>
      </c>
      <c r="P828">
        <v>1</v>
      </c>
      <c r="Q828">
        <v>1</v>
      </c>
      <c r="R828">
        <v>1</v>
      </c>
    </row>
    <row r="829" spans="1:18" x14ac:dyDescent="0.2">
      <c r="A829" t="str">
        <f>"825"</f>
        <v>825</v>
      </c>
      <c r="B829" t="str">
        <f t="shared" si="46"/>
        <v>1</v>
      </c>
      <c r="C829" t="str">
        <f t="shared" si="45"/>
        <v>17</v>
      </c>
      <c r="D829" t="str">
        <f>"20"</f>
        <v>20</v>
      </c>
      <c r="E829" t="str">
        <f>"1-17-20"</f>
        <v>1-17-20</v>
      </c>
      <c r="F829" t="s">
        <v>65</v>
      </c>
      <c r="G829" t="s">
        <v>66</v>
      </c>
      <c r="H829" t="s">
        <v>68</v>
      </c>
      <c r="I829">
        <v>1</v>
      </c>
      <c r="J829">
        <v>0</v>
      </c>
      <c r="K829">
        <v>0</v>
      </c>
      <c r="L829">
        <v>1</v>
      </c>
      <c r="M829">
        <v>1</v>
      </c>
      <c r="N829">
        <v>1</v>
      </c>
      <c r="O829">
        <v>1</v>
      </c>
      <c r="P829">
        <v>0</v>
      </c>
      <c r="Q829">
        <v>0</v>
      </c>
      <c r="R829">
        <v>0</v>
      </c>
    </row>
    <row r="830" spans="1:18" x14ac:dyDescent="0.2">
      <c r="A830" t="str">
        <f>"826"</f>
        <v>826</v>
      </c>
      <c r="B830" t="str">
        <f t="shared" si="46"/>
        <v>1</v>
      </c>
      <c r="C830" t="str">
        <f t="shared" si="45"/>
        <v>17</v>
      </c>
      <c r="D830" t="str">
        <f>"11"</f>
        <v>11</v>
      </c>
      <c r="E830" t="str">
        <f>"1-17-11"</f>
        <v>1-17-11</v>
      </c>
      <c r="F830" t="s">
        <v>65</v>
      </c>
      <c r="G830" t="s">
        <v>66</v>
      </c>
      <c r="H830" t="s">
        <v>68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1</v>
      </c>
      <c r="O830">
        <v>1</v>
      </c>
      <c r="P830">
        <v>1</v>
      </c>
      <c r="Q830">
        <v>1</v>
      </c>
      <c r="R830">
        <v>1</v>
      </c>
    </row>
    <row r="831" spans="1:18" x14ac:dyDescent="0.2">
      <c r="A831" t="str">
        <f>"827"</f>
        <v>827</v>
      </c>
      <c r="B831" t="str">
        <f t="shared" si="46"/>
        <v>1</v>
      </c>
      <c r="C831" t="str">
        <f t="shared" si="45"/>
        <v>17</v>
      </c>
      <c r="D831" t="str">
        <f>"40"</f>
        <v>40</v>
      </c>
      <c r="E831" t="str">
        <f>"1-17-40"</f>
        <v>1-17-40</v>
      </c>
      <c r="F831" t="s">
        <v>65</v>
      </c>
      <c r="G831" t="s">
        <v>66</v>
      </c>
      <c r="H831" t="s">
        <v>68</v>
      </c>
      <c r="I831">
        <v>0</v>
      </c>
      <c r="J831">
        <v>1</v>
      </c>
      <c r="K831">
        <v>0</v>
      </c>
      <c r="L831">
        <v>0</v>
      </c>
      <c r="M831">
        <v>1</v>
      </c>
      <c r="N831">
        <v>1</v>
      </c>
      <c r="O831">
        <v>1</v>
      </c>
      <c r="P831">
        <v>1</v>
      </c>
      <c r="Q831">
        <v>1</v>
      </c>
      <c r="R831">
        <v>1</v>
      </c>
    </row>
    <row r="832" spans="1:18" x14ac:dyDescent="0.2">
      <c r="A832" t="str">
        <f>"828"</f>
        <v>828</v>
      </c>
      <c r="B832" t="str">
        <f t="shared" si="46"/>
        <v>1</v>
      </c>
      <c r="C832" t="str">
        <f t="shared" si="45"/>
        <v>17</v>
      </c>
      <c r="D832" t="str">
        <f>"21"</f>
        <v>21</v>
      </c>
      <c r="E832" t="str">
        <f>"1-17-21"</f>
        <v>1-17-21</v>
      </c>
      <c r="F832" t="s">
        <v>65</v>
      </c>
      <c r="G832" t="s">
        <v>66</v>
      </c>
      <c r="H832" t="s">
        <v>68</v>
      </c>
      <c r="I832">
        <v>0</v>
      </c>
      <c r="J832">
        <v>1</v>
      </c>
      <c r="K832">
        <v>0</v>
      </c>
      <c r="L832">
        <v>0</v>
      </c>
      <c r="M832">
        <v>1</v>
      </c>
      <c r="N832">
        <v>1</v>
      </c>
      <c r="O832">
        <v>0</v>
      </c>
      <c r="P832">
        <v>1</v>
      </c>
      <c r="Q832">
        <v>1</v>
      </c>
      <c r="R832">
        <v>1</v>
      </c>
    </row>
    <row r="833" spans="1:18" x14ac:dyDescent="0.2">
      <c r="A833" t="str">
        <f>"829"</f>
        <v>829</v>
      </c>
      <c r="B833" t="str">
        <f t="shared" si="46"/>
        <v>1</v>
      </c>
      <c r="C833" t="str">
        <f t="shared" si="45"/>
        <v>17</v>
      </c>
      <c r="D833" t="str">
        <f>"3"</f>
        <v>3</v>
      </c>
      <c r="E833" t="str">
        <f>"1-17-3"</f>
        <v>1-17-3</v>
      </c>
      <c r="F833" t="s">
        <v>65</v>
      </c>
      <c r="G833" t="s">
        <v>66</v>
      </c>
      <c r="H833" t="s">
        <v>68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1</v>
      </c>
      <c r="O833">
        <v>1</v>
      </c>
      <c r="P833">
        <v>1</v>
      </c>
      <c r="Q833">
        <v>1</v>
      </c>
      <c r="R833">
        <v>1</v>
      </c>
    </row>
    <row r="834" spans="1:18" x14ac:dyDescent="0.2">
      <c r="A834" t="str">
        <f>"830"</f>
        <v>830</v>
      </c>
      <c r="B834" t="str">
        <f t="shared" si="46"/>
        <v>1</v>
      </c>
      <c r="C834" t="str">
        <f t="shared" si="45"/>
        <v>17</v>
      </c>
      <c r="D834" t="str">
        <f>"39"</f>
        <v>39</v>
      </c>
      <c r="E834" t="str">
        <f>"1-17-39"</f>
        <v>1-17-39</v>
      </c>
      <c r="F834" t="s">
        <v>65</v>
      </c>
      <c r="G834" t="s">
        <v>66</v>
      </c>
      <c r="H834" t="s">
        <v>68</v>
      </c>
      <c r="I834">
        <v>1</v>
      </c>
      <c r="J834">
        <v>0</v>
      </c>
      <c r="K834">
        <v>0</v>
      </c>
      <c r="L834">
        <v>1</v>
      </c>
      <c r="M834">
        <v>1</v>
      </c>
      <c r="N834">
        <v>0</v>
      </c>
      <c r="O834">
        <v>0</v>
      </c>
      <c r="P834">
        <v>1</v>
      </c>
      <c r="Q834">
        <v>1</v>
      </c>
      <c r="R834">
        <v>1</v>
      </c>
    </row>
    <row r="835" spans="1:18" x14ac:dyDescent="0.2">
      <c r="A835" t="str">
        <f>"831"</f>
        <v>831</v>
      </c>
      <c r="B835" t="str">
        <f t="shared" si="46"/>
        <v>1</v>
      </c>
      <c r="C835" t="str">
        <f t="shared" si="45"/>
        <v>17</v>
      </c>
      <c r="D835" t="str">
        <f>"22"</f>
        <v>22</v>
      </c>
      <c r="E835" t="str">
        <f>"1-17-22"</f>
        <v>1-17-22</v>
      </c>
      <c r="F835" t="s">
        <v>65</v>
      </c>
      <c r="G835" t="s">
        <v>66</v>
      </c>
      <c r="H835" t="s">
        <v>68</v>
      </c>
      <c r="I835">
        <v>1</v>
      </c>
      <c r="J835">
        <v>1</v>
      </c>
      <c r="K835">
        <v>0</v>
      </c>
      <c r="L835">
        <v>0</v>
      </c>
      <c r="M835">
        <v>1</v>
      </c>
      <c r="N835">
        <v>1</v>
      </c>
      <c r="O835">
        <v>1</v>
      </c>
      <c r="P835">
        <v>1</v>
      </c>
      <c r="Q835">
        <v>1</v>
      </c>
      <c r="R835">
        <v>1</v>
      </c>
    </row>
    <row r="836" spans="1:18" x14ac:dyDescent="0.2">
      <c r="A836" t="str">
        <f>"832"</f>
        <v>832</v>
      </c>
      <c r="B836" t="str">
        <f t="shared" si="46"/>
        <v>1</v>
      </c>
      <c r="C836" t="str">
        <f t="shared" si="45"/>
        <v>17</v>
      </c>
      <c r="D836" t="str">
        <f>"14"</f>
        <v>14</v>
      </c>
      <c r="E836" t="str">
        <f>"1-17-14"</f>
        <v>1-17-14</v>
      </c>
      <c r="F836" t="s">
        <v>65</v>
      </c>
      <c r="G836" t="s">
        <v>66</v>
      </c>
      <c r="H836" t="s">
        <v>68</v>
      </c>
      <c r="I836">
        <v>1</v>
      </c>
      <c r="J836">
        <v>0</v>
      </c>
      <c r="K836">
        <v>1</v>
      </c>
      <c r="L836">
        <v>0</v>
      </c>
      <c r="M836">
        <v>1</v>
      </c>
      <c r="N836">
        <v>1</v>
      </c>
      <c r="O836">
        <v>1</v>
      </c>
      <c r="P836">
        <v>1</v>
      </c>
      <c r="Q836">
        <v>1</v>
      </c>
      <c r="R836">
        <v>1</v>
      </c>
    </row>
    <row r="837" spans="1:18" x14ac:dyDescent="0.2">
      <c r="A837" t="str">
        <f>"833"</f>
        <v>833</v>
      </c>
      <c r="B837" t="str">
        <f t="shared" si="46"/>
        <v>1</v>
      </c>
      <c r="C837" t="str">
        <f t="shared" ref="C837:C854" si="47">"17"</f>
        <v>17</v>
      </c>
      <c r="D837" t="str">
        <f>"41"</f>
        <v>41</v>
      </c>
      <c r="E837" t="str">
        <f>"1-17-41"</f>
        <v>1-17-41</v>
      </c>
      <c r="F837" t="s">
        <v>65</v>
      </c>
      <c r="G837" t="s">
        <v>66</v>
      </c>
      <c r="H837" t="s">
        <v>68</v>
      </c>
      <c r="I837">
        <v>1</v>
      </c>
      <c r="J837">
        <v>0</v>
      </c>
      <c r="K837">
        <v>0</v>
      </c>
      <c r="L837">
        <v>0</v>
      </c>
      <c r="M837">
        <v>1</v>
      </c>
      <c r="N837">
        <v>1</v>
      </c>
      <c r="O837">
        <v>1</v>
      </c>
      <c r="P837">
        <v>1</v>
      </c>
      <c r="Q837">
        <v>1</v>
      </c>
      <c r="R837">
        <v>1</v>
      </c>
    </row>
    <row r="838" spans="1:18" x14ac:dyDescent="0.2">
      <c r="A838" t="str">
        <f>"834"</f>
        <v>834</v>
      </c>
      <c r="B838" t="str">
        <f t="shared" si="46"/>
        <v>1</v>
      </c>
      <c r="C838" t="str">
        <f t="shared" si="47"/>
        <v>17</v>
      </c>
      <c r="D838" t="str">
        <f>"23"</f>
        <v>23</v>
      </c>
      <c r="E838" t="str">
        <f>"1-17-23"</f>
        <v>1-17-23</v>
      </c>
      <c r="F838" t="s">
        <v>65</v>
      </c>
      <c r="G838" t="s">
        <v>66</v>
      </c>
      <c r="H838" t="s">
        <v>68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1</v>
      </c>
      <c r="O838">
        <v>1</v>
      </c>
      <c r="P838">
        <v>1</v>
      </c>
      <c r="Q838">
        <v>1</v>
      </c>
      <c r="R838">
        <v>1</v>
      </c>
    </row>
    <row r="839" spans="1:18" x14ac:dyDescent="0.2">
      <c r="A839" t="str">
        <f>"835"</f>
        <v>835</v>
      </c>
      <c r="B839" t="str">
        <f t="shared" si="46"/>
        <v>1</v>
      </c>
      <c r="C839" t="str">
        <f t="shared" si="47"/>
        <v>17</v>
      </c>
      <c r="D839" t="str">
        <f>"4"</f>
        <v>4</v>
      </c>
      <c r="E839" t="str">
        <f>"1-17-4"</f>
        <v>1-17-4</v>
      </c>
      <c r="F839" t="s">
        <v>65</v>
      </c>
      <c r="G839" t="s">
        <v>66</v>
      </c>
      <c r="H839" t="s">
        <v>68</v>
      </c>
      <c r="I839">
        <v>1</v>
      </c>
      <c r="J839">
        <v>0</v>
      </c>
      <c r="K839">
        <v>1</v>
      </c>
      <c r="L839">
        <v>0</v>
      </c>
      <c r="M839">
        <v>1</v>
      </c>
      <c r="N839">
        <v>1</v>
      </c>
      <c r="O839">
        <v>1</v>
      </c>
      <c r="P839">
        <v>1</v>
      </c>
      <c r="Q839">
        <v>1</v>
      </c>
      <c r="R839">
        <v>1</v>
      </c>
    </row>
    <row r="840" spans="1:18" x14ac:dyDescent="0.2">
      <c r="A840" t="str">
        <f>"836"</f>
        <v>836</v>
      </c>
      <c r="B840" t="str">
        <f t="shared" si="46"/>
        <v>1</v>
      </c>
      <c r="C840" t="str">
        <f t="shared" si="47"/>
        <v>17</v>
      </c>
      <c r="D840" t="str">
        <f>"42"</f>
        <v>42</v>
      </c>
      <c r="E840" t="str">
        <f>"1-17-42"</f>
        <v>1-17-42</v>
      </c>
      <c r="F840" t="s">
        <v>65</v>
      </c>
      <c r="G840" t="s">
        <v>66</v>
      </c>
      <c r="H840" t="s">
        <v>68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1</v>
      </c>
      <c r="O840">
        <v>1</v>
      </c>
      <c r="P840">
        <v>1</v>
      </c>
      <c r="Q840">
        <v>1</v>
      </c>
      <c r="R840">
        <v>1</v>
      </c>
    </row>
    <row r="841" spans="1:18" x14ac:dyDescent="0.2">
      <c r="A841" t="str">
        <f>"837"</f>
        <v>837</v>
      </c>
      <c r="B841" t="str">
        <f t="shared" si="46"/>
        <v>1</v>
      </c>
      <c r="C841" t="str">
        <f t="shared" si="47"/>
        <v>17</v>
      </c>
      <c r="D841" t="str">
        <f>"24"</f>
        <v>24</v>
      </c>
      <c r="E841" t="str">
        <f>"1-17-24"</f>
        <v>1-17-24</v>
      </c>
      <c r="F841" t="s">
        <v>65</v>
      </c>
      <c r="G841" t="s">
        <v>66</v>
      </c>
      <c r="H841" t="s">
        <v>68</v>
      </c>
      <c r="I841">
        <v>1</v>
      </c>
      <c r="J841">
        <v>0</v>
      </c>
      <c r="K841">
        <v>1</v>
      </c>
      <c r="L841">
        <v>0</v>
      </c>
      <c r="M841">
        <v>0</v>
      </c>
      <c r="N841">
        <v>1</v>
      </c>
      <c r="O841">
        <v>1</v>
      </c>
      <c r="P841">
        <v>1</v>
      </c>
      <c r="Q841">
        <v>1</v>
      </c>
      <c r="R841">
        <v>1</v>
      </c>
    </row>
    <row r="842" spans="1:18" x14ac:dyDescent="0.2">
      <c r="A842" t="str">
        <f>"838"</f>
        <v>838</v>
      </c>
      <c r="B842" t="str">
        <f t="shared" si="46"/>
        <v>1</v>
      </c>
      <c r="C842" t="str">
        <f t="shared" si="47"/>
        <v>17</v>
      </c>
      <c r="D842" t="str">
        <f>"6"</f>
        <v>6</v>
      </c>
      <c r="E842" t="str">
        <f>"1-17-6"</f>
        <v>1-17-6</v>
      </c>
      <c r="F842" t="s">
        <v>65</v>
      </c>
      <c r="G842" t="s">
        <v>66</v>
      </c>
      <c r="H842" t="s">
        <v>68</v>
      </c>
      <c r="I842">
        <v>1</v>
      </c>
      <c r="J842">
        <v>0</v>
      </c>
      <c r="K842">
        <v>0</v>
      </c>
      <c r="L842">
        <v>1</v>
      </c>
      <c r="M842">
        <v>1</v>
      </c>
      <c r="N842">
        <v>1</v>
      </c>
      <c r="O842">
        <v>1</v>
      </c>
      <c r="P842">
        <v>1</v>
      </c>
      <c r="Q842">
        <v>1</v>
      </c>
      <c r="R842">
        <v>1</v>
      </c>
    </row>
    <row r="843" spans="1:18" x14ac:dyDescent="0.2">
      <c r="A843" t="str">
        <f>"839"</f>
        <v>839</v>
      </c>
      <c r="B843" t="str">
        <f t="shared" si="46"/>
        <v>1</v>
      </c>
      <c r="C843" t="str">
        <f t="shared" si="47"/>
        <v>17</v>
      </c>
      <c r="D843" t="str">
        <f>"50"</f>
        <v>50</v>
      </c>
      <c r="E843" t="str">
        <f>"1-17-50"</f>
        <v>1-17-50</v>
      </c>
      <c r="F843" t="s">
        <v>65</v>
      </c>
      <c r="G843" t="s">
        <v>66</v>
      </c>
      <c r="H843" t="s">
        <v>68</v>
      </c>
      <c r="I843">
        <v>1</v>
      </c>
      <c r="J843">
        <v>0</v>
      </c>
      <c r="K843">
        <v>0</v>
      </c>
      <c r="L843">
        <v>1</v>
      </c>
      <c r="M843">
        <v>1</v>
      </c>
      <c r="N843">
        <v>1</v>
      </c>
      <c r="O843">
        <v>1</v>
      </c>
      <c r="P843">
        <v>1</v>
      </c>
      <c r="Q843">
        <v>1</v>
      </c>
      <c r="R843">
        <v>1</v>
      </c>
    </row>
    <row r="844" spans="1:18" x14ac:dyDescent="0.2">
      <c r="A844" t="str">
        <f>"840"</f>
        <v>840</v>
      </c>
      <c r="B844" t="str">
        <f t="shared" si="46"/>
        <v>1</v>
      </c>
      <c r="C844" t="str">
        <f t="shared" si="47"/>
        <v>17</v>
      </c>
      <c r="D844" t="str">
        <f>"25"</f>
        <v>25</v>
      </c>
      <c r="E844" t="str">
        <f>"1-17-25"</f>
        <v>1-17-25</v>
      </c>
      <c r="F844" t="s">
        <v>65</v>
      </c>
      <c r="G844" t="s">
        <v>66</v>
      </c>
      <c r="H844" t="s">
        <v>68</v>
      </c>
      <c r="I844">
        <v>1</v>
      </c>
      <c r="J844">
        <v>0</v>
      </c>
      <c r="K844">
        <v>0</v>
      </c>
      <c r="L844">
        <v>0</v>
      </c>
      <c r="M844">
        <v>1</v>
      </c>
      <c r="N844">
        <v>1</v>
      </c>
      <c r="O844">
        <v>1</v>
      </c>
      <c r="P844">
        <v>1</v>
      </c>
      <c r="Q844">
        <v>1</v>
      </c>
      <c r="R844">
        <v>1</v>
      </c>
    </row>
    <row r="845" spans="1:18" x14ac:dyDescent="0.2">
      <c r="A845" t="str">
        <f>"841"</f>
        <v>841</v>
      </c>
      <c r="B845" t="str">
        <f t="shared" si="46"/>
        <v>1</v>
      </c>
      <c r="C845" t="str">
        <f t="shared" si="47"/>
        <v>17</v>
      </c>
      <c r="D845" t="str">
        <f>"7"</f>
        <v>7</v>
      </c>
      <c r="E845" t="str">
        <f>"1-17-7"</f>
        <v>1-17-7</v>
      </c>
      <c r="F845" t="s">
        <v>65</v>
      </c>
      <c r="G845" t="s">
        <v>66</v>
      </c>
      <c r="H845" t="s">
        <v>68</v>
      </c>
      <c r="I845">
        <v>1</v>
      </c>
      <c r="J845">
        <v>1</v>
      </c>
      <c r="K845">
        <v>0</v>
      </c>
      <c r="L845">
        <v>0</v>
      </c>
      <c r="M845">
        <v>1</v>
      </c>
      <c r="N845">
        <v>1</v>
      </c>
      <c r="O845">
        <v>1</v>
      </c>
      <c r="P845">
        <v>1</v>
      </c>
      <c r="Q845">
        <v>1</v>
      </c>
      <c r="R845">
        <v>1</v>
      </c>
    </row>
    <row r="846" spans="1:18" x14ac:dyDescent="0.2">
      <c r="A846" t="str">
        <f>"842"</f>
        <v>842</v>
      </c>
      <c r="B846" t="str">
        <f t="shared" si="46"/>
        <v>1</v>
      </c>
      <c r="C846" t="str">
        <f t="shared" si="47"/>
        <v>17</v>
      </c>
      <c r="D846" t="str">
        <f>"44"</f>
        <v>44</v>
      </c>
      <c r="E846" t="str">
        <f>"1-17-44"</f>
        <v>1-17-44</v>
      </c>
      <c r="F846" t="s">
        <v>65</v>
      </c>
      <c r="G846" t="s">
        <v>66</v>
      </c>
      <c r="H846" t="s">
        <v>68</v>
      </c>
      <c r="I846">
        <v>1</v>
      </c>
      <c r="J846">
        <v>0</v>
      </c>
      <c r="K846">
        <v>0</v>
      </c>
      <c r="L846">
        <v>1</v>
      </c>
      <c r="M846">
        <v>1</v>
      </c>
      <c r="N846">
        <v>1</v>
      </c>
      <c r="O846">
        <v>1</v>
      </c>
      <c r="P846">
        <v>1</v>
      </c>
      <c r="Q846">
        <v>1</v>
      </c>
      <c r="R846">
        <v>0</v>
      </c>
    </row>
    <row r="847" spans="1:18" x14ac:dyDescent="0.2">
      <c r="A847" t="str">
        <f>"843"</f>
        <v>843</v>
      </c>
      <c r="B847" t="str">
        <f t="shared" si="46"/>
        <v>1</v>
      </c>
      <c r="C847" t="str">
        <f t="shared" si="47"/>
        <v>17</v>
      </c>
      <c r="D847" t="str">
        <f>"26"</f>
        <v>26</v>
      </c>
      <c r="E847" t="str">
        <f>"1-17-26"</f>
        <v>1-17-26</v>
      </c>
      <c r="F847" t="s">
        <v>65</v>
      </c>
      <c r="G847" t="s">
        <v>66</v>
      </c>
      <c r="H847" t="s">
        <v>68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1</v>
      </c>
      <c r="O847">
        <v>1</v>
      </c>
      <c r="P847">
        <v>1</v>
      </c>
      <c r="Q847">
        <v>1</v>
      </c>
      <c r="R847">
        <v>1</v>
      </c>
    </row>
    <row r="848" spans="1:18" x14ac:dyDescent="0.2">
      <c r="A848" t="str">
        <f>"844"</f>
        <v>844</v>
      </c>
      <c r="B848" t="str">
        <f t="shared" si="46"/>
        <v>1</v>
      </c>
      <c r="C848" t="str">
        <f t="shared" si="47"/>
        <v>17</v>
      </c>
      <c r="D848" t="str">
        <f>"10"</f>
        <v>10</v>
      </c>
      <c r="E848" t="str">
        <f>"1-17-10"</f>
        <v>1-17-10</v>
      </c>
      <c r="F848" t="s">
        <v>65</v>
      </c>
      <c r="G848" t="s">
        <v>66</v>
      </c>
      <c r="H848" t="s">
        <v>68</v>
      </c>
      <c r="I848">
        <v>1</v>
      </c>
      <c r="J848">
        <v>0</v>
      </c>
      <c r="K848">
        <v>1</v>
      </c>
      <c r="L848">
        <v>0</v>
      </c>
      <c r="M848">
        <v>1</v>
      </c>
      <c r="N848">
        <v>1</v>
      </c>
      <c r="O848">
        <v>1</v>
      </c>
      <c r="P848">
        <v>1</v>
      </c>
      <c r="Q848">
        <v>1</v>
      </c>
      <c r="R848">
        <v>1</v>
      </c>
    </row>
    <row r="849" spans="1:18" x14ac:dyDescent="0.2">
      <c r="A849" t="str">
        <f>"845"</f>
        <v>845</v>
      </c>
      <c r="B849" t="str">
        <f t="shared" si="46"/>
        <v>1</v>
      </c>
      <c r="C849" t="str">
        <f t="shared" si="47"/>
        <v>17</v>
      </c>
      <c r="D849" t="str">
        <f>"43"</f>
        <v>43</v>
      </c>
      <c r="E849" t="str">
        <f>"1-17-43"</f>
        <v>1-17-43</v>
      </c>
      <c r="F849" t="s">
        <v>65</v>
      </c>
      <c r="G849" t="s">
        <v>66</v>
      </c>
      <c r="H849" t="s">
        <v>68</v>
      </c>
      <c r="I849">
        <v>1</v>
      </c>
      <c r="J849">
        <v>0</v>
      </c>
      <c r="K849">
        <v>1</v>
      </c>
      <c r="L849">
        <v>0</v>
      </c>
      <c r="M849">
        <v>1</v>
      </c>
      <c r="N849">
        <v>1</v>
      </c>
      <c r="O849">
        <v>1</v>
      </c>
      <c r="P849">
        <v>1</v>
      </c>
      <c r="Q849">
        <v>1</v>
      </c>
      <c r="R849">
        <v>1</v>
      </c>
    </row>
    <row r="850" spans="1:18" x14ac:dyDescent="0.2">
      <c r="A850" t="str">
        <f>"846"</f>
        <v>846</v>
      </c>
      <c r="B850" t="str">
        <f t="shared" si="46"/>
        <v>1</v>
      </c>
      <c r="C850" t="str">
        <f t="shared" si="47"/>
        <v>17</v>
      </c>
      <c r="D850" t="str">
        <f>"28"</f>
        <v>28</v>
      </c>
      <c r="E850" t="str">
        <f>"1-17-28"</f>
        <v>1-17-28</v>
      </c>
      <c r="F850" t="s">
        <v>65</v>
      </c>
      <c r="G850" t="s">
        <v>66</v>
      </c>
      <c r="H850" t="s">
        <v>68</v>
      </c>
      <c r="I850">
        <v>0</v>
      </c>
      <c r="J850">
        <v>0</v>
      </c>
      <c r="K850">
        <v>1</v>
      </c>
      <c r="L850">
        <v>0</v>
      </c>
      <c r="M850">
        <v>1</v>
      </c>
      <c r="N850">
        <v>1</v>
      </c>
      <c r="O850">
        <v>1</v>
      </c>
      <c r="P850">
        <v>1</v>
      </c>
      <c r="Q850">
        <v>1</v>
      </c>
      <c r="R850">
        <v>1</v>
      </c>
    </row>
    <row r="851" spans="1:18" x14ac:dyDescent="0.2">
      <c r="A851" t="str">
        <f>"847"</f>
        <v>847</v>
      </c>
      <c r="B851" t="str">
        <f t="shared" si="46"/>
        <v>1</v>
      </c>
      <c r="C851" t="str">
        <f t="shared" si="47"/>
        <v>17</v>
      </c>
      <c r="D851" t="str">
        <f>"8"</f>
        <v>8</v>
      </c>
      <c r="E851" t="str">
        <f>"1-17-8"</f>
        <v>1-17-8</v>
      </c>
      <c r="F851" t="s">
        <v>65</v>
      </c>
      <c r="G851" t="s">
        <v>66</v>
      </c>
      <c r="H851" t="s">
        <v>68</v>
      </c>
      <c r="I851">
        <v>1</v>
      </c>
      <c r="J851">
        <v>1</v>
      </c>
      <c r="K851">
        <v>0</v>
      </c>
      <c r="L851">
        <v>0</v>
      </c>
      <c r="M851">
        <v>1</v>
      </c>
      <c r="N851">
        <v>1</v>
      </c>
      <c r="O851">
        <v>1</v>
      </c>
      <c r="P851">
        <v>1</v>
      </c>
      <c r="Q851">
        <v>1</v>
      </c>
      <c r="R851">
        <v>1</v>
      </c>
    </row>
    <row r="852" spans="1:18" x14ac:dyDescent="0.2">
      <c r="A852" t="str">
        <f>"848"</f>
        <v>848</v>
      </c>
      <c r="B852" t="str">
        <f t="shared" si="46"/>
        <v>1</v>
      </c>
      <c r="C852" t="str">
        <f t="shared" si="47"/>
        <v>17</v>
      </c>
      <c r="D852" t="str">
        <f>"49"</f>
        <v>49</v>
      </c>
      <c r="E852" t="str">
        <f>"1-17-49"</f>
        <v>1-17-49</v>
      </c>
      <c r="F852" t="s">
        <v>65</v>
      </c>
      <c r="G852" t="s">
        <v>66</v>
      </c>
      <c r="H852" t="s">
        <v>68</v>
      </c>
      <c r="I852">
        <v>1</v>
      </c>
      <c r="J852">
        <v>0</v>
      </c>
      <c r="K852">
        <v>0</v>
      </c>
      <c r="L852">
        <v>1</v>
      </c>
      <c r="M852">
        <v>1</v>
      </c>
      <c r="N852">
        <v>1</v>
      </c>
      <c r="O852">
        <v>1</v>
      </c>
      <c r="P852">
        <v>1</v>
      </c>
      <c r="Q852">
        <v>1</v>
      </c>
      <c r="R852">
        <v>1</v>
      </c>
    </row>
    <row r="853" spans="1:18" x14ac:dyDescent="0.2">
      <c r="A853" t="str">
        <f>"849"</f>
        <v>849</v>
      </c>
      <c r="B853" t="str">
        <f t="shared" si="46"/>
        <v>1</v>
      </c>
      <c r="C853" t="str">
        <f t="shared" si="47"/>
        <v>17</v>
      </c>
      <c r="D853" t="str">
        <f>"30"</f>
        <v>30</v>
      </c>
      <c r="E853" t="str">
        <f>"1-17-30"</f>
        <v>1-17-30</v>
      </c>
      <c r="F853" t="s">
        <v>65</v>
      </c>
      <c r="G853" t="s">
        <v>66</v>
      </c>
      <c r="H853" t="s">
        <v>68</v>
      </c>
      <c r="I853">
        <v>1</v>
      </c>
      <c r="J853">
        <v>0</v>
      </c>
      <c r="K853">
        <v>1</v>
      </c>
      <c r="L853">
        <v>0</v>
      </c>
      <c r="M853">
        <v>1</v>
      </c>
      <c r="N853">
        <v>1</v>
      </c>
      <c r="O853">
        <v>1</v>
      </c>
      <c r="P853">
        <v>1</v>
      </c>
      <c r="Q853">
        <v>1</v>
      </c>
      <c r="R853">
        <v>1</v>
      </c>
    </row>
    <row r="854" spans="1:18" x14ac:dyDescent="0.2">
      <c r="A854" t="str">
        <f>"850"</f>
        <v>850</v>
      </c>
      <c r="B854" t="str">
        <f t="shared" si="46"/>
        <v>1</v>
      </c>
      <c r="C854" t="str">
        <f t="shared" si="47"/>
        <v>17</v>
      </c>
      <c r="D854" t="str">
        <f>"12"</f>
        <v>12</v>
      </c>
      <c r="E854" t="str">
        <f>"1-17-12"</f>
        <v>1-17-12</v>
      </c>
      <c r="F854" t="s">
        <v>65</v>
      </c>
      <c r="G854" t="s">
        <v>66</v>
      </c>
      <c r="H854" t="s">
        <v>68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1</v>
      </c>
      <c r="O854">
        <v>1</v>
      </c>
      <c r="P854">
        <v>1</v>
      </c>
      <c r="Q854">
        <v>1</v>
      </c>
      <c r="R854">
        <v>0</v>
      </c>
    </row>
    <row r="855" spans="1:18" x14ac:dyDescent="0.2">
      <c r="A855" t="str">
        <f>"851"</f>
        <v>851</v>
      </c>
      <c r="B855" t="str">
        <f t="shared" si="46"/>
        <v>1</v>
      </c>
      <c r="C855" t="str">
        <f t="shared" ref="C855:C886" si="48">"18"</f>
        <v>18</v>
      </c>
      <c r="D855" t="str">
        <f>"50"</f>
        <v>50</v>
      </c>
      <c r="E855" t="str">
        <f>"1-18-50"</f>
        <v>1-18-50</v>
      </c>
      <c r="F855" t="s">
        <v>65</v>
      </c>
      <c r="G855" t="s">
        <v>66</v>
      </c>
      <c r="H855" t="s">
        <v>68</v>
      </c>
      <c r="I855">
        <v>1</v>
      </c>
      <c r="J855">
        <v>0</v>
      </c>
      <c r="K855">
        <v>0</v>
      </c>
      <c r="L855">
        <v>1</v>
      </c>
      <c r="M855">
        <v>1</v>
      </c>
      <c r="N855">
        <v>1</v>
      </c>
      <c r="O855">
        <v>1</v>
      </c>
      <c r="P855">
        <v>1</v>
      </c>
      <c r="Q855">
        <v>1</v>
      </c>
      <c r="R855">
        <v>1</v>
      </c>
    </row>
    <row r="856" spans="1:18" x14ac:dyDescent="0.2">
      <c r="A856" t="str">
        <f>"852"</f>
        <v>852</v>
      </c>
      <c r="B856" t="str">
        <f t="shared" si="46"/>
        <v>1</v>
      </c>
      <c r="C856" t="str">
        <f t="shared" si="48"/>
        <v>18</v>
      </c>
      <c r="D856" t="str">
        <f>"32"</f>
        <v>32</v>
      </c>
      <c r="E856" t="str">
        <f>"1-18-32"</f>
        <v>1-18-32</v>
      </c>
      <c r="F856" t="s">
        <v>65</v>
      </c>
      <c r="G856" t="s">
        <v>66</v>
      </c>
      <c r="H856" t="s">
        <v>68</v>
      </c>
      <c r="I856">
        <v>1</v>
      </c>
      <c r="J856">
        <v>0</v>
      </c>
      <c r="K856">
        <v>0</v>
      </c>
      <c r="L856">
        <v>0</v>
      </c>
      <c r="M856">
        <v>1</v>
      </c>
      <c r="N856">
        <v>1</v>
      </c>
      <c r="O856">
        <v>1</v>
      </c>
      <c r="P856">
        <v>1</v>
      </c>
      <c r="Q856">
        <v>1</v>
      </c>
      <c r="R856">
        <v>1</v>
      </c>
    </row>
    <row r="857" spans="1:18" x14ac:dyDescent="0.2">
      <c r="A857" t="str">
        <f>"853"</f>
        <v>853</v>
      </c>
      <c r="B857" t="str">
        <f t="shared" si="46"/>
        <v>1</v>
      </c>
      <c r="C857" t="str">
        <f t="shared" si="48"/>
        <v>18</v>
      </c>
      <c r="D857" t="str">
        <f>"31"</f>
        <v>31</v>
      </c>
      <c r="E857" t="str">
        <f>"1-18-31"</f>
        <v>1-18-31</v>
      </c>
      <c r="F857" t="s">
        <v>65</v>
      </c>
      <c r="G857" t="s">
        <v>66</v>
      </c>
      <c r="H857" t="s">
        <v>68</v>
      </c>
      <c r="I857">
        <v>0</v>
      </c>
      <c r="J857">
        <v>0</v>
      </c>
      <c r="K857">
        <v>1</v>
      </c>
      <c r="L857">
        <v>0</v>
      </c>
      <c r="M857">
        <v>1</v>
      </c>
      <c r="N857">
        <v>1</v>
      </c>
      <c r="O857">
        <v>1</v>
      </c>
      <c r="P857">
        <v>1</v>
      </c>
      <c r="Q857">
        <v>1</v>
      </c>
      <c r="R857">
        <v>1</v>
      </c>
    </row>
    <row r="858" spans="1:18" x14ac:dyDescent="0.2">
      <c r="A858" t="str">
        <f>"854"</f>
        <v>854</v>
      </c>
      <c r="B858" t="str">
        <f t="shared" si="46"/>
        <v>1</v>
      </c>
      <c r="C858" t="str">
        <f t="shared" si="48"/>
        <v>18</v>
      </c>
      <c r="D858" t="str">
        <f>"22"</f>
        <v>22</v>
      </c>
      <c r="E858" t="str">
        <f>"1-18-22"</f>
        <v>1-18-22</v>
      </c>
      <c r="F858" t="s">
        <v>65</v>
      </c>
      <c r="G858" t="s">
        <v>66</v>
      </c>
      <c r="H858" t="s">
        <v>68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1</v>
      </c>
      <c r="O858">
        <v>1</v>
      </c>
      <c r="P858">
        <v>1</v>
      </c>
      <c r="Q858">
        <v>1</v>
      </c>
      <c r="R858">
        <v>1</v>
      </c>
    </row>
    <row r="859" spans="1:18" x14ac:dyDescent="0.2">
      <c r="A859" t="str">
        <f>"855"</f>
        <v>855</v>
      </c>
      <c r="B859" t="str">
        <f t="shared" si="46"/>
        <v>1</v>
      </c>
      <c r="C859" t="str">
        <f t="shared" si="48"/>
        <v>18</v>
      </c>
      <c r="D859" t="str">
        <f>"15"</f>
        <v>15</v>
      </c>
      <c r="E859" t="str">
        <f>"1-18-15"</f>
        <v>1-18-15</v>
      </c>
      <c r="F859" t="s">
        <v>65</v>
      </c>
      <c r="G859" t="s">
        <v>66</v>
      </c>
      <c r="H859" t="s">
        <v>68</v>
      </c>
      <c r="I859">
        <v>1</v>
      </c>
      <c r="J859">
        <v>0</v>
      </c>
      <c r="K859">
        <v>1</v>
      </c>
      <c r="L859">
        <v>0</v>
      </c>
      <c r="M859">
        <v>1</v>
      </c>
      <c r="N859">
        <v>1</v>
      </c>
      <c r="O859">
        <v>1</v>
      </c>
      <c r="P859">
        <v>1</v>
      </c>
      <c r="Q859">
        <v>1</v>
      </c>
      <c r="R859">
        <v>1</v>
      </c>
    </row>
    <row r="860" spans="1:18" x14ac:dyDescent="0.2">
      <c r="A860" t="str">
        <f>"856"</f>
        <v>856</v>
      </c>
      <c r="B860" t="str">
        <f t="shared" si="46"/>
        <v>1</v>
      </c>
      <c r="C860" t="str">
        <f t="shared" si="48"/>
        <v>18</v>
      </c>
      <c r="D860" t="str">
        <f>"3"</f>
        <v>3</v>
      </c>
      <c r="E860" t="str">
        <f>"1-18-3"</f>
        <v>1-18-3</v>
      </c>
      <c r="F860" t="s">
        <v>65</v>
      </c>
      <c r="G860" t="s">
        <v>66</v>
      </c>
      <c r="H860" t="s">
        <v>68</v>
      </c>
      <c r="I860">
        <v>1</v>
      </c>
      <c r="J860">
        <v>0</v>
      </c>
      <c r="K860">
        <v>0</v>
      </c>
      <c r="L860">
        <v>0</v>
      </c>
      <c r="M860">
        <v>1</v>
      </c>
      <c r="N860">
        <v>1</v>
      </c>
      <c r="O860">
        <v>1</v>
      </c>
      <c r="P860">
        <v>1</v>
      </c>
      <c r="Q860">
        <v>1</v>
      </c>
      <c r="R860">
        <v>1</v>
      </c>
    </row>
    <row r="861" spans="1:18" x14ac:dyDescent="0.2">
      <c r="A861" t="str">
        <f>"857"</f>
        <v>857</v>
      </c>
      <c r="B861" t="str">
        <f t="shared" si="46"/>
        <v>1</v>
      </c>
      <c r="C861" t="str">
        <f t="shared" si="48"/>
        <v>18</v>
      </c>
      <c r="D861" t="str">
        <f>"36"</f>
        <v>36</v>
      </c>
      <c r="E861" t="str">
        <f>"1-18-36"</f>
        <v>1-18-36</v>
      </c>
      <c r="F861" t="s">
        <v>65</v>
      </c>
      <c r="G861" t="s">
        <v>66</v>
      </c>
      <c r="H861" t="s">
        <v>68</v>
      </c>
      <c r="I861">
        <v>1</v>
      </c>
      <c r="J861">
        <v>0</v>
      </c>
      <c r="K861">
        <v>1</v>
      </c>
      <c r="L861">
        <v>0</v>
      </c>
      <c r="M861">
        <v>1</v>
      </c>
      <c r="N861">
        <v>1</v>
      </c>
      <c r="O861">
        <v>1</v>
      </c>
      <c r="P861">
        <v>1</v>
      </c>
      <c r="Q861">
        <v>1</v>
      </c>
      <c r="R861">
        <v>1</v>
      </c>
    </row>
    <row r="862" spans="1:18" x14ac:dyDescent="0.2">
      <c r="A862" t="str">
        <f>"858"</f>
        <v>858</v>
      </c>
      <c r="B862" t="str">
        <f t="shared" si="46"/>
        <v>1</v>
      </c>
      <c r="C862" t="str">
        <f t="shared" si="48"/>
        <v>18</v>
      </c>
      <c r="D862" t="str">
        <f>"35"</f>
        <v>35</v>
      </c>
      <c r="E862" t="str">
        <f>"1-18-35"</f>
        <v>1-18-35</v>
      </c>
      <c r="F862" t="s">
        <v>65</v>
      </c>
      <c r="G862" t="s">
        <v>66</v>
      </c>
      <c r="H862" t="s">
        <v>68</v>
      </c>
      <c r="I862">
        <v>1</v>
      </c>
      <c r="J862">
        <v>0</v>
      </c>
      <c r="K862">
        <v>1</v>
      </c>
      <c r="L862">
        <v>0</v>
      </c>
      <c r="M862">
        <v>1</v>
      </c>
      <c r="N862">
        <v>1</v>
      </c>
      <c r="O862">
        <v>1</v>
      </c>
      <c r="P862">
        <v>1</v>
      </c>
      <c r="Q862">
        <v>1</v>
      </c>
      <c r="R862">
        <v>0</v>
      </c>
    </row>
    <row r="863" spans="1:18" x14ac:dyDescent="0.2">
      <c r="A863" t="str">
        <f>"859"</f>
        <v>859</v>
      </c>
      <c r="B863" t="str">
        <f t="shared" si="46"/>
        <v>1</v>
      </c>
      <c r="C863" t="str">
        <f t="shared" si="48"/>
        <v>18</v>
      </c>
      <c r="D863" t="str">
        <f>"26"</f>
        <v>26</v>
      </c>
      <c r="E863" t="str">
        <f>"1-18-26"</f>
        <v>1-18-26</v>
      </c>
      <c r="F863" t="s">
        <v>65</v>
      </c>
      <c r="G863" t="s">
        <v>66</v>
      </c>
      <c r="H863" t="s">
        <v>68</v>
      </c>
      <c r="I863">
        <v>1</v>
      </c>
      <c r="J863">
        <v>0</v>
      </c>
      <c r="K863">
        <v>1</v>
      </c>
      <c r="L863">
        <v>0</v>
      </c>
      <c r="M863">
        <v>1</v>
      </c>
      <c r="N863">
        <v>1</v>
      </c>
      <c r="O863">
        <v>1</v>
      </c>
      <c r="P863">
        <v>1</v>
      </c>
      <c r="Q863">
        <v>1</v>
      </c>
      <c r="R863">
        <v>1</v>
      </c>
    </row>
    <row r="864" spans="1:18" x14ac:dyDescent="0.2">
      <c r="A864" t="str">
        <f>"860"</f>
        <v>860</v>
      </c>
      <c r="B864" t="str">
        <f t="shared" si="46"/>
        <v>1</v>
      </c>
      <c r="C864" t="str">
        <f t="shared" si="48"/>
        <v>18</v>
      </c>
      <c r="D864" t="str">
        <f>"16"</f>
        <v>16</v>
      </c>
      <c r="E864" t="str">
        <f>"1-18-16"</f>
        <v>1-18-16</v>
      </c>
      <c r="F864" t="s">
        <v>65</v>
      </c>
      <c r="G864" t="s">
        <v>66</v>
      </c>
      <c r="H864" t="s">
        <v>68</v>
      </c>
      <c r="I864">
        <v>1</v>
      </c>
      <c r="J864">
        <v>0</v>
      </c>
      <c r="K864">
        <v>1</v>
      </c>
      <c r="L864">
        <v>0</v>
      </c>
      <c r="M864">
        <v>1</v>
      </c>
      <c r="N864">
        <v>1</v>
      </c>
      <c r="O864">
        <v>1</v>
      </c>
      <c r="P864">
        <v>1</v>
      </c>
      <c r="Q864">
        <v>1</v>
      </c>
      <c r="R864">
        <v>1</v>
      </c>
    </row>
    <row r="865" spans="1:18" x14ac:dyDescent="0.2">
      <c r="A865" t="str">
        <f>"861"</f>
        <v>861</v>
      </c>
      <c r="B865" t="str">
        <f t="shared" si="46"/>
        <v>1</v>
      </c>
      <c r="C865" t="str">
        <f t="shared" si="48"/>
        <v>18</v>
      </c>
      <c r="D865" t="str">
        <f>"7"</f>
        <v>7</v>
      </c>
      <c r="E865" t="str">
        <f>"1-18-7"</f>
        <v>1-18-7</v>
      </c>
      <c r="F865" t="s">
        <v>65</v>
      </c>
      <c r="G865" t="s">
        <v>66</v>
      </c>
      <c r="H865" t="s">
        <v>68</v>
      </c>
      <c r="I865">
        <v>1</v>
      </c>
      <c r="J865">
        <v>0</v>
      </c>
      <c r="K865">
        <v>0</v>
      </c>
      <c r="L865">
        <v>0</v>
      </c>
      <c r="M865">
        <v>1</v>
      </c>
      <c r="N865">
        <v>1</v>
      </c>
      <c r="O865">
        <v>1</v>
      </c>
      <c r="P865">
        <v>1</v>
      </c>
      <c r="Q865">
        <v>1</v>
      </c>
      <c r="R865">
        <v>1</v>
      </c>
    </row>
    <row r="866" spans="1:18" x14ac:dyDescent="0.2">
      <c r="A866" t="str">
        <f>"862"</f>
        <v>862</v>
      </c>
      <c r="B866" t="str">
        <f t="shared" si="46"/>
        <v>1</v>
      </c>
      <c r="C866" t="str">
        <f t="shared" si="48"/>
        <v>18</v>
      </c>
      <c r="D866" t="str">
        <f>"44"</f>
        <v>44</v>
      </c>
      <c r="E866" t="str">
        <f>"1-18-44"</f>
        <v>1-18-44</v>
      </c>
      <c r="F866" t="s">
        <v>65</v>
      </c>
      <c r="G866" t="s">
        <v>66</v>
      </c>
      <c r="H866" t="s">
        <v>68</v>
      </c>
      <c r="I866">
        <v>1</v>
      </c>
      <c r="J866">
        <v>0</v>
      </c>
      <c r="K866">
        <v>0</v>
      </c>
      <c r="L866">
        <v>1</v>
      </c>
      <c r="M866">
        <v>1</v>
      </c>
      <c r="N866">
        <v>1</v>
      </c>
      <c r="O866">
        <v>1</v>
      </c>
      <c r="P866">
        <v>1</v>
      </c>
      <c r="Q866">
        <v>1</v>
      </c>
      <c r="R866">
        <v>1</v>
      </c>
    </row>
    <row r="867" spans="1:18" x14ac:dyDescent="0.2">
      <c r="A867" t="str">
        <f>"863"</f>
        <v>863</v>
      </c>
      <c r="B867" t="str">
        <f t="shared" si="46"/>
        <v>1</v>
      </c>
      <c r="C867" t="str">
        <f t="shared" si="48"/>
        <v>18</v>
      </c>
      <c r="D867" t="str">
        <f>"43"</f>
        <v>43</v>
      </c>
      <c r="E867" t="str">
        <f>"1-18-43"</f>
        <v>1-18-43</v>
      </c>
      <c r="F867" t="s">
        <v>65</v>
      </c>
      <c r="G867" t="s">
        <v>66</v>
      </c>
      <c r="H867" t="s">
        <v>68</v>
      </c>
      <c r="I867">
        <v>1</v>
      </c>
      <c r="J867">
        <v>0</v>
      </c>
      <c r="K867">
        <v>0</v>
      </c>
      <c r="L867">
        <v>1</v>
      </c>
      <c r="M867">
        <v>1</v>
      </c>
      <c r="N867">
        <v>1</v>
      </c>
      <c r="O867">
        <v>1</v>
      </c>
      <c r="P867">
        <v>1</v>
      </c>
      <c r="Q867">
        <v>0</v>
      </c>
      <c r="R867">
        <v>0</v>
      </c>
    </row>
    <row r="868" spans="1:18" x14ac:dyDescent="0.2">
      <c r="A868" t="str">
        <f>"864"</f>
        <v>864</v>
      </c>
      <c r="B868" t="str">
        <f t="shared" si="46"/>
        <v>1</v>
      </c>
      <c r="C868" t="str">
        <f t="shared" si="48"/>
        <v>18</v>
      </c>
      <c r="D868" t="str">
        <f>"34"</f>
        <v>34</v>
      </c>
      <c r="E868" t="str">
        <f>"1-18-34"</f>
        <v>1-18-34</v>
      </c>
      <c r="F868" t="s">
        <v>65</v>
      </c>
      <c r="G868" t="s">
        <v>66</v>
      </c>
      <c r="H868" t="s">
        <v>68</v>
      </c>
      <c r="I868">
        <v>1</v>
      </c>
      <c r="J868">
        <v>0</v>
      </c>
      <c r="K868">
        <v>0</v>
      </c>
      <c r="L868">
        <v>1</v>
      </c>
      <c r="M868">
        <v>1</v>
      </c>
      <c r="N868">
        <v>1</v>
      </c>
      <c r="O868">
        <v>1</v>
      </c>
      <c r="P868">
        <v>1</v>
      </c>
      <c r="Q868">
        <v>1</v>
      </c>
      <c r="R868">
        <v>1</v>
      </c>
    </row>
    <row r="869" spans="1:18" x14ac:dyDescent="0.2">
      <c r="A869" t="str">
        <f>"865"</f>
        <v>865</v>
      </c>
      <c r="B869" t="str">
        <f t="shared" si="46"/>
        <v>1</v>
      </c>
      <c r="C869" t="str">
        <f t="shared" si="48"/>
        <v>18</v>
      </c>
      <c r="D869" t="str">
        <f>"17"</f>
        <v>17</v>
      </c>
      <c r="E869" t="str">
        <f>"1-18-17"</f>
        <v>1-18-17</v>
      </c>
      <c r="F869" t="s">
        <v>65</v>
      </c>
      <c r="G869" t="s">
        <v>66</v>
      </c>
      <c r="H869" t="s">
        <v>68</v>
      </c>
      <c r="I869">
        <v>1</v>
      </c>
      <c r="J869">
        <v>0</v>
      </c>
      <c r="K869">
        <v>0</v>
      </c>
      <c r="L869">
        <v>1</v>
      </c>
      <c r="M869">
        <v>1</v>
      </c>
      <c r="N869">
        <v>1</v>
      </c>
      <c r="O869">
        <v>1</v>
      </c>
      <c r="P869">
        <v>1</v>
      </c>
      <c r="Q869">
        <v>1</v>
      </c>
      <c r="R869">
        <v>1</v>
      </c>
    </row>
    <row r="870" spans="1:18" x14ac:dyDescent="0.2">
      <c r="A870" t="str">
        <f>"866"</f>
        <v>866</v>
      </c>
      <c r="B870" t="str">
        <f t="shared" si="46"/>
        <v>1</v>
      </c>
      <c r="C870" t="str">
        <f t="shared" si="48"/>
        <v>18</v>
      </c>
      <c r="D870" t="str">
        <f>"4"</f>
        <v>4</v>
      </c>
      <c r="E870" t="str">
        <f>"1-18-4"</f>
        <v>1-18-4</v>
      </c>
      <c r="F870" t="s">
        <v>65</v>
      </c>
      <c r="G870" t="s">
        <v>66</v>
      </c>
      <c r="H870" t="s">
        <v>68</v>
      </c>
      <c r="I870">
        <v>1</v>
      </c>
      <c r="J870">
        <v>0</v>
      </c>
      <c r="K870">
        <v>1</v>
      </c>
      <c r="L870">
        <v>0</v>
      </c>
      <c r="M870">
        <v>1</v>
      </c>
      <c r="N870">
        <v>1</v>
      </c>
      <c r="O870">
        <v>1</v>
      </c>
      <c r="P870">
        <v>1</v>
      </c>
      <c r="Q870">
        <v>1</v>
      </c>
      <c r="R870">
        <v>1</v>
      </c>
    </row>
    <row r="871" spans="1:18" x14ac:dyDescent="0.2">
      <c r="A871" t="str">
        <f>"867"</f>
        <v>867</v>
      </c>
      <c r="B871" t="str">
        <f t="shared" si="46"/>
        <v>1</v>
      </c>
      <c r="C871" t="str">
        <f t="shared" si="48"/>
        <v>18</v>
      </c>
      <c r="D871" t="str">
        <f>"46"</f>
        <v>46</v>
      </c>
      <c r="E871" t="str">
        <f>"1-18-46"</f>
        <v>1-18-46</v>
      </c>
      <c r="F871" t="s">
        <v>65</v>
      </c>
      <c r="G871" t="s">
        <v>66</v>
      </c>
      <c r="H871" t="s">
        <v>68</v>
      </c>
      <c r="I871">
        <v>1</v>
      </c>
      <c r="J871">
        <v>0</v>
      </c>
      <c r="K871">
        <v>0</v>
      </c>
      <c r="L871">
        <v>0</v>
      </c>
      <c r="M871">
        <v>1</v>
      </c>
      <c r="N871">
        <v>0</v>
      </c>
      <c r="O871">
        <v>1</v>
      </c>
      <c r="P871">
        <v>1</v>
      </c>
      <c r="Q871">
        <v>1</v>
      </c>
      <c r="R871">
        <v>1</v>
      </c>
    </row>
    <row r="872" spans="1:18" x14ac:dyDescent="0.2">
      <c r="A872" t="str">
        <f>"868"</f>
        <v>868</v>
      </c>
      <c r="B872" t="str">
        <f t="shared" si="46"/>
        <v>1</v>
      </c>
      <c r="C872" t="str">
        <f t="shared" si="48"/>
        <v>18</v>
      </c>
      <c r="D872" t="str">
        <f>"45"</f>
        <v>45</v>
      </c>
      <c r="E872" t="str">
        <f>"1-18-45"</f>
        <v>1-18-45</v>
      </c>
      <c r="F872" t="s">
        <v>65</v>
      </c>
      <c r="G872" t="s">
        <v>66</v>
      </c>
      <c r="H872" t="s">
        <v>68</v>
      </c>
      <c r="I872">
        <v>0</v>
      </c>
      <c r="J872">
        <v>0</v>
      </c>
      <c r="K872">
        <v>1</v>
      </c>
      <c r="L872">
        <v>0</v>
      </c>
      <c r="M872">
        <v>1</v>
      </c>
      <c r="N872">
        <v>1</v>
      </c>
      <c r="O872">
        <v>1</v>
      </c>
      <c r="P872">
        <v>0</v>
      </c>
      <c r="Q872">
        <v>1</v>
      </c>
      <c r="R872">
        <v>0</v>
      </c>
    </row>
    <row r="873" spans="1:18" x14ac:dyDescent="0.2">
      <c r="A873" t="str">
        <f>"869"</f>
        <v>869</v>
      </c>
      <c r="B873" t="str">
        <f t="shared" si="46"/>
        <v>1</v>
      </c>
      <c r="C873" t="str">
        <f t="shared" si="48"/>
        <v>18</v>
      </c>
      <c r="D873" t="str">
        <f>"33"</f>
        <v>33</v>
      </c>
      <c r="E873" t="str">
        <f>"1-18-33"</f>
        <v>1-18-33</v>
      </c>
      <c r="F873" t="s">
        <v>65</v>
      </c>
      <c r="G873" t="s">
        <v>66</v>
      </c>
      <c r="H873" t="s">
        <v>68</v>
      </c>
      <c r="I873">
        <v>0</v>
      </c>
      <c r="J873">
        <v>0</v>
      </c>
      <c r="K873">
        <v>0</v>
      </c>
      <c r="L873">
        <v>0</v>
      </c>
      <c r="M873">
        <v>1</v>
      </c>
      <c r="N873">
        <v>1</v>
      </c>
      <c r="O873">
        <v>0</v>
      </c>
      <c r="P873">
        <v>0</v>
      </c>
      <c r="Q873">
        <v>0</v>
      </c>
      <c r="R873">
        <v>0</v>
      </c>
    </row>
    <row r="874" spans="1:18" x14ac:dyDescent="0.2">
      <c r="A874" t="str">
        <f>"870"</f>
        <v>870</v>
      </c>
      <c r="B874" t="str">
        <f t="shared" si="46"/>
        <v>1</v>
      </c>
      <c r="C874" t="str">
        <f t="shared" si="48"/>
        <v>18</v>
      </c>
      <c r="D874" t="str">
        <f>"18"</f>
        <v>18</v>
      </c>
      <c r="E874" t="str">
        <f>"1-18-18"</f>
        <v>1-18-18</v>
      </c>
      <c r="F874" t="s">
        <v>65</v>
      </c>
      <c r="G874" t="s">
        <v>66</v>
      </c>
      <c r="H874" t="s">
        <v>68</v>
      </c>
      <c r="I874">
        <v>1</v>
      </c>
      <c r="J874">
        <v>0</v>
      </c>
      <c r="K874">
        <v>0</v>
      </c>
      <c r="L874">
        <v>1</v>
      </c>
      <c r="M874">
        <v>1</v>
      </c>
      <c r="N874">
        <v>1</v>
      </c>
      <c r="O874">
        <v>1</v>
      </c>
      <c r="P874">
        <v>1</v>
      </c>
      <c r="Q874">
        <v>1</v>
      </c>
      <c r="R874">
        <v>1</v>
      </c>
    </row>
    <row r="875" spans="1:18" x14ac:dyDescent="0.2">
      <c r="A875" t="str">
        <f>"871"</f>
        <v>871</v>
      </c>
      <c r="B875" t="str">
        <f t="shared" si="46"/>
        <v>1</v>
      </c>
      <c r="C875" t="str">
        <f t="shared" si="48"/>
        <v>18</v>
      </c>
      <c r="D875" t="str">
        <f>"14"</f>
        <v>14</v>
      </c>
      <c r="E875" t="str">
        <f>"1-18-14"</f>
        <v>1-18-14</v>
      </c>
      <c r="F875" t="s">
        <v>65</v>
      </c>
      <c r="G875" t="s">
        <v>66</v>
      </c>
      <c r="H875" t="s">
        <v>68</v>
      </c>
      <c r="I875">
        <v>1</v>
      </c>
      <c r="J875">
        <v>0</v>
      </c>
      <c r="K875">
        <v>1</v>
      </c>
      <c r="L875">
        <v>0</v>
      </c>
      <c r="M875">
        <v>0</v>
      </c>
      <c r="N875">
        <v>1</v>
      </c>
      <c r="O875">
        <v>1</v>
      </c>
      <c r="P875">
        <v>1</v>
      </c>
      <c r="Q875">
        <v>1</v>
      </c>
      <c r="R875">
        <v>1</v>
      </c>
    </row>
    <row r="876" spans="1:18" x14ac:dyDescent="0.2">
      <c r="A876" t="str">
        <f>"872"</f>
        <v>872</v>
      </c>
      <c r="B876" t="str">
        <f t="shared" si="46"/>
        <v>1</v>
      </c>
      <c r="C876" t="str">
        <f t="shared" si="48"/>
        <v>18</v>
      </c>
      <c r="D876" t="str">
        <f>"38"</f>
        <v>38</v>
      </c>
      <c r="E876" t="str">
        <f>"1-18-38"</f>
        <v>1-18-38</v>
      </c>
      <c r="F876" t="s">
        <v>65</v>
      </c>
      <c r="G876" t="s">
        <v>66</v>
      </c>
      <c r="H876" t="s">
        <v>68</v>
      </c>
      <c r="I876">
        <v>1</v>
      </c>
      <c r="J876">
        <v>0</v>
      </c>
      <c r="K876">
        <v>0</v>
      </c>
      <c r="L876">
        <v>1</v>
      </c>
      <c r="M876">
        <v>1</v>
      </c>
      <c r="N876">
        <v>1</v>
      </c>
      <c r="O876">
        <v>1</v>
      </c>
      <c r="P876">
        <v>1</v>
      </c>
      <c r="Q876">
        <v>1</v>
      </c>
      <c r="R876">
        <v>1</v>
      </c>
    </row>
    <row r="877" spans="1:18" x14ac:dyDescent="0.2">
      <c r="A877" t="str">
        <f>"873"</f>
        <v>873</v>
      </c>
      <c r="B877" t="str">
        <f t="shared" si="46"/>
        <v>1</v>
      </c>
      <c r="C877" t="str">
        <f t="shared" si="48"/>
        <v>18</v>
      </c>
      <c r="D877" t="str">
        <f>"19"</f>
        <v>19</v>
      </c>
      <c r="E877" t="str">
        <f>"1-18-19"</f>
        <v>1-18-19</v>
      </c>
      <c r="F877" t="s">
        <v>65</v>
      </c>
      <c r="G877" t="s">
        <v>66</v>
      </c>
      <c r="H877" t="s">
        <v>68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1</v>
      </c>
      <c r="O877">
        <v>1</v>
      </c>
      <c r="P877">
        <v>1</v>
      </c>
      <c r="Q877">
        <v>1</v>
      </c>
      <c r="R877">
        <v>1</v>
      </c>
    </row>
    <row r="878" spans="1:18" x14ac:dyDescent="0.2">
      <c r="A878" t="str">
        <f>"874"</f>
        <v>874</v>
      </c>
      <c r="B878" t="str">
        <f t="shared" si="46"/>
        <v>1</v>
      </c>
      <c r="C878" t="str">
        <f t="shared" si="48"/>
        <v>18</v>
      </c>
      <c r="D878" t="str">
        <f>"8"</f>
        <v>8</v>
      </c>
      <c r="E878" t="str">
        <f>"1-18-8"</f>
        <v>1-18-8</v>
      </c>
      <c r="F878" t="s">
        <v>65</v>
      </c>
      <c r="G878" t="s">
        <v>66</v>
      </c>
      <c r="H878" t="s">
        <v>68</v>
      </c>
      <c r="I878">
        <v>1</v>
      </c>
      <c r="J878">
        <v>0</v>
      </c>
      <c r="K878">
        <v>1</v>
      </c>
      <c r="L878">
        <v>0</v>
      </c>
      <c r="M878">
        <v>1</v>
      </c>
      <c r="N878">
        <v>1</v>
      </c>
      <c r="O878">
        <v>1</v>
      </c>
      <c r="P878">
        <v>1</v>
      </c>
      <c r="Q878">
        <v>1</v>
      </c>
      <c r="R878">
        <v>1</v>
      </c>
    </row>
    <row r="879" spans="1:18" x14ac:dyDescent="0.2">
      <c r="A879" t="str">
        <f>"875"</f>
        <v>875</v>
      </c>
      <c r="B879" t="str">
        <f t="shared" si="46"/>
        <v>1</v>
      </c>
      <c r="C879" t="str">
        <f t="shared" si="48"/>
        <v>18</v>
      </c>
      <c r="D879" t="str">
        <f>"37"</f>
        <v>37</v>
      </c>
      <c r="E879" t="str">
        <f>"1-18-37"</f>
        <v>1-18-37</v>
      </c>
      <c r="F879" t="s">
        <v>65</v>
      </c>
      <c r="G879" t="s">
        <v>66</v>
      </c>
      <c r="H879" t="s">
        <v>68</v>
      </c>
      <c r="I879">
        <v>1</v>
      </c>
      <c r="J879">
        <v>0</v>
      </c>
      <c r="K879">
        <v>1</v>
      </c>
      <c r="L879">
        <v>0</v>
      </c>
      <c r="M879">
        <v>1</v>
      </c>
      <c r="N879">
        <v>1</v>
      </c>
      <c r="O879">
        <v>1</v>
      </c>
      <c r="P879">
        <v>1</v>
      </c>
      <c r="Q879">
        <v>1</v>
      </c>
      <c r="R879">
        <v>1</v>
      </c>
    </row>
    <row r="880" spans="1:18" x14ac:dyDescent="0.2">
      <c r="A880" t="str">
        <f>"876"</f>
        <v>876</v>
      </c>
      <c r="B880" t="str">
        <f t="shared" si="46"/>
        <v>1</v>
      </c>
      <c r="C880" t="str">
        <f t="shared" si="48"/>
        <v>18</v>
      </c>
      <c r="D880" t="str">
        <f>"20"</f>
        <v>20</v>
      </c>
      <c r="E880" t="str">
        <f>"1-18-20"</f>
        <v>1-18-20</v>
      </c>
      <c r="F880" t="s">
        <v>65</v>
      </c>
      <c r="G880" t="s">
        <v>66</v>
      </c>
      <c r="H880" t="s">
        <v>68</v>
      </c>
      <c r="I880">
        <v>1</v>
      </c>
      <c r="J880">
        <v>0</v>
      </c>
      <c r="K880">
        <v>1</v>
      </c>
      <c r="L880">
        <v>0</v>
      </c>
      <c r="M880">
        <v>1</v>
      </c>
      <c r="N880">
        <v>1</v>
      </c>
      <c r="O880">
        <v>1</v>
      </c>
      <c r="P880">
        <v>1</v>
      </c>
      <c r="Q880">
        <v>1</v>
      </c>
      <c r="R880">
        <v>1</v>
      </c>
    </row>
    <row r="881" spans="1:18" x14ac:dyDescent="0.2">
      <c r="A881" t="str">
        <f>"877"</f>
        <v>877</v>
      </c>
      <c r="B881" t="str">
        <f t="shared" si="46"/>
        <v>1</v>
      </c>
      <c r="C881" t="str">
        <f t="shared" si="48"/>
        <v>18</v>
      </c>
      <c r="D881" t="str">
        <f>"1"</f>
        <v>1</v>
      </c>
      <c r="E881" t="str">
        <f>"1-18-1"</f>
        <v>1-18-1</v>
      </c>
      <c r="F881" t="s">
        <v>65</v>
      </c>
      <c r="G881" t="s">
        <v>66</v>
      </c>
      <c r="H881" t="s">
        <v>68</v>
      </c>
      <c r="I881">
        <v>1</v>
      </c>
      <c r="J881">
        <v>0</v>
      </c>
      <c r="K881">
        <v>0</v>
      </c>
      <c r="L881">
        <v>0</v>
      </c>
      <c r="M881">
        <v>1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2">
      <c r="A882" t="str">
        <f>"878"</f>
        <v>878</v>
      </c>
      <c r="B882" t="str">
        <f t="shared" si="46"/>
        <v>1</v>
      </c>
      <c r="C882" t="str">
        <f t="shared" si="48"/>
        <v>18</v>
      </c>
      <c r="D882" t="str">
        <f>"39"</f>
        <v>39</v>
      </c>
      <c r="E882" t="str">
        <f>"1-18-39"</f>
        <v>1-18-39</v>
      </c>
      <c r="F882" t="s">
        <v>65</v>
      </c>
      <c r="G882" t="s">
        <v>66</v>
      </c>
      <c r="H882" t="s">
        <v>68</v>
      </c>
      <c r="I882">
        <v>0</v>
      </c>
      <c r="J882">
        <v>0</v>
      </c>
      <c r="K882">
        <v>1</v>
      </c>
      <c r="L882">
        <v>0</v>
      </c>
      <c r="M882">
        <v>1</v>
      </c>
      <c r="N882">
        <v>1</v>
      </c>
      <c r="O882">
        <v>1</v>
      </c>
      <c r="P882">
        <v>0</v>
      </c>
      <c r="Q882">
        <v>0</v>
      </c>
      <c r="R882">
        <v>0</v>
      </c>
    </row>
    <row r="883" spans="1:18" x14ac:dyDescent="0.2">
      <c r="A883" t="str">
        <f>"879"</f>
        <v>879</v>
      </c>
      <c r="B883" t="str">
        <f t="shared" si="46"/>
        <v>1</v>
      </c>
      <c r="C883" t="str">
        <f t="shared" si="48"/>
        <v>18</v>
      </c>
      <c r="D883" t="str">
        <f>"21"</f>
        <v>21</v>
      </c>
      <c r="E883" t="str">
        <f>"1-18-21"</f>
        <v>1-18-21</v>
      </c>
      <c r="F883" t="s">
        <v>65</v>
      </c>
      <c r="G883" t="s">
        <v>66</v>
      </c>
      <c r="H883" t="s">
        <v>68</v>
      </c>
      <c r="I883">
        <v>0</v>
      </c>
      <c r="J883">
        <v>1</v>
      </c>
      <c r="K883">
        <v>0</v>
      </c>
      <c r="L883">
        <v>0</v>
      </c>
      <c r="M883">
        <v>1</v>
      </c>
      <c r="N883">
        <v>1</v>
      </c>
      <c r="O883">
        <v>1</v>
      </c>
      <c r="P883">
        <v>0</v>
      </c>
      <c r="Q883">
        <v>1</v>
      </c>
      <c r="R883">
        <v>1</v>
      </c>
    </row>
    <row r="884" spans="1:18" x14ac:dyDescent="0.2">
      <c r="A884" t="str">
        <f>"880"</f>
        <v>880</v>
      </c>
      <c r="B884" t="str">
        <f t="shared" si="46"/>
        <v>1</v>
      </c>
      <c r="C884" t="str">
        <f t="shared" si="48"/>
        <v>18</v>
      </c>
      <c r="D884" t="str">
        <f>"5"</f>
        <v>5</v>
      </c>
      <c r="E884" t="str">
        <f>"1-18-5"</f>
        <v>1-18-5</v>
      </c>
      <c r="F884" t="s">
        <v>65</v>
      </c>
      <c r="G884" t="s">
        <v>66</v>
      </c>
      <c r="H884" t="s">
        <v>68</v>
      </c>
      <c r="I884">
        <v>1</v>
      </c>
      <c r="J884">
        <v>0</v>
      </c>
      <c r="K884">
        <v>0</v>
      </c>
      <c r="L884">
        <v>1</v>
      </c>
      <c r="M884">
        <v>1</v>
      </c>
      <c r="N884">
        <v>1</v>
      </c>
      <c r="O884">
        <v>1</v>
      </c>
      <c r="P884">
        <v>1</v>
      </c>
      <c r="Q884">
        <v>1</v>
      </c>
      <c r="R884">
        <v>1</v>
      </c>
    </row>
    <row r="885" spans="1:18" x14ac:dyDescent="0.2">
      <c r="A885" t="str">
        <f>"881"</f>
        <v>881</v>
      </c>
      <c r="B885" t="str">
        <f t="shared" si="46"/>
        <v>1</v>
      </c>
      <c r="C885" t="str">
        <f t="shared" si="48"/>
        <v>18</v>
      </c>
      <c r="D885" t="str">
        <f>"40"</f>
        <v>40</v>
      </c>
      <c r="E885" t="str">
        <f>"1-18-40"</f>
        <v>1-18-40</v>
      </c>
      <c r="F885" t="s">
        <v>65</v>
      </c>
      <c r="G885" t="s">
        <v>66</v>
      </c>
      <c r="H885" t="s">
        <v>68</v>
      </c>
      <c r="I885">
        <v>1</v>
      </c>
      <c r="J885">
        <v>0</v>
      </c>
      <c r="K885">
        <v>0</v>
      </c>
      <c r="L885">
        <v>1</v>
      </c>
      <c r="M885">
        <v>1</v>
      </c>
      <c r="N885">
        <v>1</v>
      </c>
      <c r="O885">
        <v>1</v>
      </c>
      <c r="P885">
        <v>1</v>
      </c>
      <c r="Q885">
        <v>1</v>
      </c>
      <c r="R885">
        <v>1</v>
      </c>
    </row>
    <row r="886" spans="1:18" x14ac:dyDescent="0.2">
      <c r="A886" t="str">
        <f>"882"</f>
        <v>882</v>
      </c>
      <c r="B886" t="str">
        <f t="shared" si="46"/>
        <v>1</v>
      </c>
      <c r="C886" t="str">
        <f t="shared" si="48"/>
        <v>18</v>
      </c>
      <c r="D886" t="str">
        <f>"23"</f>
        <v>23</v>
      </c>
      <c r="E886" t="str">
        <f>"1-18-23"</f>
        <v>1-18-23</v>
      </c>
      <c r="F886" t="s">
        <v>65</v>
      </c>
      <c r="G886" t="s">
        <v>66</v>
      </c>
      <c r="H886" t="s">
        <v>68</v>
      </c>
      <c r="I886">
        <v>1</v>
      </c>
      <c r="J886">
        <v>0</v>
      </c>
      <c r="K886">
        <v>1</v>
      </c>
      <c r="L886">
        <v>0</v>
      </c>
      <c r="M886">
        <v>1</v>
      </c>
      <c r="N886">
        <v>1</v>
      </c>
      <c r="O886">
        <v>1</v>
      </c>
      <c r="P886">
        <v>1</v>
      </c>
      <c r="Q886">
        <v>1</v>
      </c>
      <c r="R886">
        <v>1</v>
      </c>
    </row>
    <row r="887" spans="1:18" x14ac:dyDescent="0.2">
      <c r="A887" t="str">
        <f>"883"</f>
        <v>883</v>
      </c>
      <c r="B887" t="str">
        <f t="shared" ref="B887:B950" si="49">"1"</f>
        <v>1</v>
      </c>
      <c r="C887" t="str">
        <f t="shared" ref="C887:C904" si="50">"18"</f>
        <v>18</v>
      </c>
      <c r="D887" t="str">
        <f>"12"</f>
        <v>12</v>
      </c>
      <c r="E887" t="str">
        <f>"1-18-12"</f>
        <v>1-18-12</v>
      </c>
      <c r="F887" t="s">
        <v>65</v>
      </c>
      <c r="G887" t="s">
        <v>66</v>
      </c>
      <c r="H887" t="s">
        <v>68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1</v>
      </c>
      <c r="O887">
        <v>1</v>
      </c>
      <c r="P887">
        <v>1</v>
      </c>
      <c r="Q887">
        <v>1</v>
      </c>
      <c r="R887">
        <v>1</v>
      </c>
    </row>
    <row r="888" spans="1:18" x14ac:dyDescent="0.2">
      <c r="A888" t="str">
        <f>"884"</f>
        <v>884</v>
      </c>
      <c r="B888" t="str">
        <f t="shared" si="49"/>
        <v>1</v>
      </c>
      <c r="C888" t="str">
        <f t="shared" si="50"/>
        <v>18</v>
      </c>
      <c r="D888" t="str">
        <f>"41"</f>
        <v>41</v>
      </c>
      <c r="E888" t="str">
        <f>"1-18-41"</f>
        <v>1-18-41</v>
      </c>
      <c r="F888" t="s">
        <v>65</v>
      </c>
      <c r="G888" t="s">
        <v>66</v>
      </c>
      <c r="H888" t="s">
        <v>68</v>
      </c>
      <c r="I888">
        <v>1</v>
      </c>
      <c r="J888">
        <v>0</v>
      </c>
      <c r="K888">
        <v>1</v>
      </c>
      <c r="L888">
        <v>0</v>
      </c>
      <c r="M888">
        <v>1</v>
      </c>
      <c r="N888">
        <v>1</v>
      </c>
      <c r="O888">
        <v>1</v>
      </c>
      <c r="P888">
        <v>1</v>
      </c>
      <c r="Q888">
        <v>1</v>
      </c>
      <c r="R888">
        <v>1</v>
      </c>
    </row>
    <row r="889" spans="1:18" x14ac:dyDescent="0.2">
      <c r="A889" t="str">
        <f>"885"</f>
        <v>885</v>
      </c>
      <c r="B889" t="str">
        <f t="shared" si="49"/>
        <v>1</v>
      </c>
      <c r="C889" t="str">
        <f t="shared" si="50"/>
        <v>18</v>
      </c>
      <c r="D889" t="str">
        <f>"24"</f>
        <v>24</v>
      </c>
      <c r="E889" t="str">
        <f>"1-18-24"</f>
        <v>1-18-24</v>
      </c>
      <c r="F889" t="s">
        <v>65</v>
      </c>
      <c r="G889" t="s">
        <v>66</v>
      </c>
      <c r="H889" t="s">
        <v>68</v>
      </c>
      <c r="I889">
        <v>1</v>
      </c>
      <c r="J889">
        <v>0</v>
      </c>
      <c r="K889">
        <v>1</v>
      </c>
      <c r="L889">
        <v>0</v>
      </c>
      <c r="M889">
        <v>1</v>
      </c>
      <c r="N889">
        <v>1</v>
      </c>
      <c r="O889">
        <v>1</v>
      </c>
      <c r="P889">
        <v>1</v>
      </c>
      <c r="Q889">
        <v>1</v>
      </c>
      <c r="R889">
        <v>1</v>
      </c>
    </row>
    <row r="890" spans="1:18" x14ac:dyDescent="0.2">
      <c r="A890" t="str">
        <f>"886"</f>
        <v>886</v>
      </c>
      <c r="B890" t="str">
        <f t="shared" si="49"/>
        <v>1</v>
      </c>
      <c r="C890" t="str">
        <f t="shared" si="50"/>
        <v>18</v>
      </c>
      <c r="D890" t="str">
        <f>"10"</f>
        <v>10</v>
      </c>
      <c r="E890" t="str">
        <f>"1-18-10"</f>
        <v>1-18-10</v>
      </c>
      <c r="F890" t="s">
        <v>65</v>
      </c>
      <c r="G890" t="s">
        <v>66</v>
      </c>
      <c r="H890" t="s">
        <v>68</v>
      </c>
      <c r="I890">
        <v>1</v>
      </c>
      <c r="J890">
        <v>0</v>
      </c>
      <c r="K890">
        <v>1</v>
      </c>
      <c r="L890">
        <v>0</v>
      </c>
      <c r="M890">
        <v>1</v>
      </c>
      <c r="N890">
        <v>1</v>
      </c>
      <c r="O890">
        <v>1</v>
      </c>
      <c r="P890">
        <v>1</v>
      </c>
      <c r="Q890">
        <v>1</v>
      </c>
      <c r="R890">
        <v>1</v>
      </c>
    </row>
    <row r="891" spans="1:18" x14ac:dyDescent="0.2">
      <c r="A891" t="str">
        <f>"887"</f>
        <v>887</v>
      </c>
      <c r="B891" t="str">
        <f t="shared" si="49"/>
        <v>1</v>
      </c>
      <c r="C891" t="str">
        <f t="shared" si="50"/>
        <v>18</v>
      </c>
      <c r="D891" t="str">
        <f>"42"</f>
        <v>42</v>
      </c>
      <c r="E891" t="str">
        <f>"1-18-42"</f>
        <v>1-18-42</v>
      </c>
      <c r="F891" t="s">
        <v>65</v>
      </c>
      <c r="G891" t="s">
        <v>66</v>
      </c>
      <c r="H891" t="s">
        <v>68</v>
      </c>
      <c r="I891">
        <v>1</v>
      </c>
      <c r="J891">
        <v>0</v>
      </c>
      <c r="K891">
        <v>0</v>
      </c>
      <c r="L891">
        <v>1</v>
      </c>
      <c r="M891">
        <v>1</v>
      </c>
      <c r="N891">
        <v>1</v>
      </c>
      <c r="O891">
        <v>1</v>
      </c>
      <c r="P891">
        <v>1</v>
      </c>
      <c r="Q891">
        <v>1</v>
      </c>
      <c r="R891">
        <v>1</v>
      </c>
    </row>
    <row r="892" spans="1:18" x14ac:dyDescent="0.2">
      <c r="A892" t="str">
        <f>"888"</f>
        <v>888</v>
      </c>
      <c r="B892" t="str">
        <f t="shared" si="49"/>
        <v>1</v>
      </c>
      <c r="C892" t="str">
        <f t="shared" si="50"/>
        <v>18</v>
      </c>
      <c r="D892" t="str">
        <f>"25"</f>
        <v>25</v>
      </c>
      <c r="E892" t="str">
        <f>"1-18-25"</f>
        <v>1-18-25</v>
      </c>
      <c r="F892" t="s">
        <v>65</v>
      </c>
      <c r="G892" t="s">
        <v>66</v>
      </c>
      <c r="H892" t="s">
        <v>68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0</v>
      </c>
      <c r="P892">
        <v>1</v>
      </c>
      <c r="Q892">
        <v>1</v>
      </c>
      <c r="R892">
        <v>1</v>
      </c>
    </row>
    <row r="893" spans="1:18" x14ac:dyDescent="0.2">
      <c r="A893" t="str">
        <f>"889"</f>
        <v>889</v>
      </c>
      <c r="B893" t="str">
        <f t="shared" si="49"/>
        <v>1</v>
      </c>
      <c r="C893" t="str">
        <f t="shared" si="50"/>
        <v>18</v>
      </c>
      <c r="D893" t="str">
        <f>"11"</f>
        <v>11</v>
      </c>
      <c r="E893" t="str">
        <f>"1-18-11"</f>
        <v>1-18-11</v>
      </c>
      <c r="F893" t="s">
        <v>65</v>
      </c>
      <c r="G893" t="s">
        <v>66</v>
      </c>
      <c r="H893" t="s">
        <v>68</v>
      </c>
      <c r="I893">
        <v>1</v>
      </c>
      <c r="J893">
        <v>0</v>
      </c>
      <c r="K893">
        <v>1</v>
      </c>
      <c r="L893">
        <v>0</v>
      </c>
      <c r="M893">
        <v>1</v>
      </c>
      <c r="N893">
        <v>1</v>
      </c>
      <c r="O893">
        <v>1</v>
      </c>
      <c r="P893">
        <v>1</v>
      </c>
      <c r="Q893">
        <v>1</v>
      </c>
      <c r="R893">
        <v>1</v>
      </c>
    </row>
    <row r="894" spans="1:18" x14ac:dyDescent="0.2">
      <c r="A894" t="str">
        <f>"890"</f>
        <v>890</v>
      </c>
      <c r="B894" t="str">
        <f t="shared" si="49"/>
        <v>1</v>
      </c>
      <c r="C894" t="str">
        <f t="shared" si="50"/>
        <v>18</v>
      </c>
      <c r="D894" t="str">
        <f>"27"</f>
        <v>27</v>
      </c>
      <c r="E894" t="str">
        <f>"1-18-27"</f>
        <v>1-18-27</v>
      </c>
      <c r="F894" t="s">
        <v>65</v>
      </c>
      <c r="G894" t="s">
        <v>66</v>
      </c>
      <c r="H894" t="s">
        <v>68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1</v>
      </c>
      <c r="O894">
        <v>1</v>
      </c>
      <c r="P894">
        <v>1</v>
      </c>
      <c r="Q894">
        <v>1</v>
      </c>
      <c r="R894">
        <v>1</v>
      </c>
    </row>
    <row r="895" spans="1:18" x14ac:dyDescent="0.2">
      <c r="A895" t="str">
        <f>"891"</f>
        <v>891</v>
      </c>
      <c r="B895" t="str">
        <f t="shared" si="49"/>
        <v>1</v>
      </c>
      <c r="C895" t="str">
        <f t="shared" si="50"/>
        <v>18</v>
      </c>
      <c r="D895" t="str">
        <f>"13"</f>
        <v>13</v>
      </c>
      <c r="E895" t="str">
        <f>"1-18-13"</f>
        <v>1-18-13</v>
      </c>
      <c r="F895" t="s">
        <v>65</v>
      </c>
      <c r="G895" t="s">
        <v>66</v>
      </c>
      <c r="H895" t="s">
        <v>68</v>
      </c>
      <c r="I895">
        <v>1</v>
      </c>
      <c r="J895">
        <v>0</v>
      </c>
      <c r="K895">
        <v>0</v>
      </c>
      <c r="L895">
        <v>1</v>
      </c>
      <c r="M895">
        <v>1</v>
      </c>
      <c r="N895">
        <v>1</v>
      </c>
      <c r="O895">
        <v>1</v>
      </c>
      <c r="P895">
        <v>1</v>
      </c>
      <c r="Q895">
        <v>0</v>
      </c>
      <c r="R895">
        <v>1</v>
      </c>
    </row>
    <row r="896" spans="1:18" x14ac:dyDescent="0.2">
      <c r="A896" t="str">
        <f>"892"</f>
        <v>892</v>
      </c>
      <c r="B896" t="str">
        <f t="shared" si="49"/>
        <v>1</v>
      </c>
      <c r="C896" t="str">
        <f t="shared" si="50"/>
        <v>18</v>
      </c>
      <c r="D896" t="str">
        <f>"49"</f>
        <v>49</v>
      </c>
      <c r="E896" t="str">
        <f>"1-18-49"</f>
        <v>1-18-49</v>
      </c>
      <c r="F896" t="s">
        <v>65</v>
      </c>
      <c r="G896" t="s">
        <v>66</v>
      </c>
      <c r="H896" t="s">
        <v>68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1</v>
      </c>
      <c r="O896">
        <v>1</v>
      </c>
      <c r="P896">
        <v>1</v>
      </c>
      <c r="Q896">
        <v>1</v>
      </c>
      <c r="R896">
        <v>1</v>
      </c>
    </row>
    <row r="897" spans="1:39" x14ac:dyDescent="0.2">
      <c r="A897" t="str">
        <f>"893"</f>
        <v>893</v>
      </c>
      <c r="B897" t="str">
        <f t="shared" si="49"/>
        <v>1</v>
      </c>
      <c r="C897" t="str">
        <f t="shared" si="50"/>
        <v>18</v>
      </c>
      <c r="D897" t="str">
        <f>"28"</f>
        <v>28</v>
      </c>
      <c r="E897" t="str">
        <f>"1-18-28"</f>
        <v>1-18-28</v>
      </c>
      <c r="F897" t="s">
        <v>65</v>
      </c>
      <c r="G897" t="s">
        <v>66</v>
      </c>
      <c r="H897" t="s">
        <v>68</v>
      </c>
      <c r="I897">
        <v>1</v>
      </c>
      <c r="J897">
        <v>0</v>
      </c>
      <c r="K897">
        <v>0</v>
      </c>
      <c r="L897">
        <v>1</v>
      </c>
      <c r="M897">
        <v>1</v>
      </c>
      <c r="N897">
        <v>1</v>
      </c>
      <c r="O897">
        <v>1</v>
      </c>
      <c r="P897">
        <v>1</v>
      </c>
      <c r="Q897">
        <v>1</v>
      </c>
      <c r="R897">
        <v>1</v>
      </c>
    </row>
    <row r="898" spans="1:39" x14ac:dyDescent="0.2">
      <c r="A898" t="str">
        <f>"894"</f>
        <v>894</v>
      </c>
      <c r="B898" t="str">
        <f t="shared" si="49"/>
        <v>1</v>
      </c>
      <c r="C898" t="str">
        <f t="shared" si="50"/>
        <v>18</v>
      </c>
      <c r="D898" t="str">
        <f>"9"</f>
        <v>9</v>
      </c>
      <c r="E898" t="str">
        <f>"1-18-9"</f>
        <v>1-18-9</v>
      </c>
      <c r="F898" t="s">
        <v>65</v>
      </c>
      <c r="G898" t="s">
        <v>66</v>
      </c>
      <c r="H898" t="s">
        <v>68</v>
      </c>
      <c r="I898">
        <v>0</v>
      </c>
      <c r="J898">
        <v>0</v>
      </c>
      <c r="K898">
        <v>0</v>
      </c>
      <c r="L898">
        <v>1</v>
      </c>
      <c r="M898">
        <v>1</v>
      </c>
      <c r="N898">
        <v>1</v>
      </c>
      <c r="O898">
        <v>1</v>
      </c>
      <c r="P898">
        <v>1</v>
      </c>
      <c r="Q898">
        <v>1</v>
      </c>
      <c r="R898">
        <v>1</v>
      </c>
    </row>
    <row r="899" spans="1:39" x14ac:dyDescent="0.2">
      <c r="A899" t="str">
        <f>"895"</f>
        <v>895</v>
      </c>
      <c r="B899" t="str">
        <f t="shared" si="49"/>
        <v>1</v>
      </c>
      <c r="C899" t="str">
        <f t="shared" si="50"/>
        <v>18</v>
      </c>
      <c r="D899" t="str">
        <f>"47"</f>
        <v>47</v>
      </c>
      <c r="E899" t="str">
        <f>"1-18-47"</f>
        <v>1-18-47</v>
      </c>
      <c r="F899" t="s">
        <v>65</v>
      </c>
      <c r="G899" t="s">
        <v>66</v>
      </c>
      <c r="H899" t="s">
        <v>68</v>
      </c>
      <c r="I899">
        <v>1</v>
      </c>
      <c r="J899">
        <v>0</v>
      </c>
      <c r="K899">
        <v>0</v>
      </c>
      <c r="L899">
        <v>1</v>
      </c>
      <c r="M899">
        <v>1</v>
      </c>
      <c r="N899">
        <v>1</v>
      </c>
      <c r="O899">
        <v>1</v>
      </c>
      <c r="P899">
        <v>1</v>
      </c>
      <c r="Q899">
        <v>1</v>
      </c>
      <c r="R899">
        <v>1</v>
      </c>
    </row>
    <row r="900" spans="1:39" x14ac:dyDescent="0.2">
      <c r="A900" t="str">
        <f>"896"</f>
        <v>896</v>
      </c>
      <c r="B900" t="str">
        <f t="shared" si="49"/>
        <v>1</v>
      </c>
      <c r="C900" t="str">
        <f t="shared" si="50"/>
        <v>18</v>
      </c>
      <c r="D900" t="str">
        <f>"29"</f>
        <v>29</v>
      </c>
      <c r="E900" t="str">
        <f>"1-18-29"</f>
        <v>1-18-29</v>
      </c>
      <c r="F900" t="s">
        <v>65</v>
      </c>
      <c r="G900" t="s">
        <v>66</v>
      </c>
      <c r="H900" t="s">
        <v>68</v>
      </c>
      <c r="I900">
        <v>1</v>
      </c>
      <c r="J900">
        <v>0</v>
      </c>
      <c r="K900">
        <v>0</v>
      </c>
      <c r="L900">
        <v>0</v>
      </c>
      <c r="M900">
        <v>1</v>
      </c>
      <c r="N900">
        <v>1</v>
      </c>
      <c r="O900">
        <v>1</v>
      </c>
      <c r="P900">
        <v>1</v>
      </c>
      <c r="Q900">
        <v>1</v>
      </c>
      <c r="R900">
        <v>1</v>
      </c>
    </row>
    <row r="901" spans="1:39" x14ac:dyDescent="0.2">
      <c r="A901" t="str">
        <f>"897"</f>
        <v>897</v>
      </c>
      <c r="B901" t="str">
        <f t="shared" si="49"/>
        <v>1</v>
      </c>
      <c r="C901" t="str">
        <f t="shared" si="50"/>
        <v>18</v>
      </c>
      <c r="D901" t="str">
        <f>"48"</f>
        <v>48</v>
      </c>
      <c r="E901" t="str">
        <f>"1-18-48"</f>
        <v>1-18-48</v>
      </c>
      <c r="F901" t="s">
        <v>65</v>
      </c>
      <c r="G901" t="s">
        <v>66</v>
      </c>
      <c r="H901" t="s">
        <v>68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1</v>
      </c>
      <c r="O901">
        <v>1</v>
      </c>
      <c r="P901">
        <v>1</v>
      </c>
      <c r="Q901">
        <v>1</v>
      </c>
      <c r="R901">
        <v>1</v>
      </c>
    </row>
    <row r="902" spans="1:39" x14ac:dyDescent="0.2">
      <c r="A902" t="str">
        <f>"898"</f>
        <v>898</v>
      </c>
      <c r="B902" t="str">
        <f t="shared" si="49"/>
        <v>1</v>
      </c>
      <c r="C902" t="str">
        <f t="shared" si="50"/>
        <v>18</v>
      </c>
      <c r="D902" t="str">
        <f>"30"</f>
        <v>30</v>
      </c>
      <c r="E902" t="str">
        <f>"1-18-30"</f>
        <v>1-18-30</v>
      </c>
      <c r="F902" t="s">
        <v>65</v>
      </c>
      <c r="G902" t="s">
        <v>66</v>
      </c>
      <c r="H902" t="s">
        <v>68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1</v>
      </c>
      <c r="O902">
        <v>1</v>
      </c>
      <c r="P902">
        <v>1</v>
      </c>
      <c r="Q902">
        <v>1</v>
      </c>
      <c r="R902">
        <v>1</v>
      </c>
    </row>
    <row r="903" spans="1:39" x14ac:dyDescent="0.2">
      <c r="A903" t="str">
        <f>"899"</f>
        <v>899</v>
      </c>
      <c r="B903" t="str">
        <f t="shared" si="49"/>
        <v>1</v>
      </c>
      <c r="C903" t="str">
        <f t="shared" si="50"/>
        <v>18</v>
      </c>
      <c r="D903" t="str">
        <f>"6"</f>
        <v>6</v>
      </c>
      <c r="E903" t="str">
        <f>"1-18-6"</f>
        <v>1-18-6</v>
      </c>
      <c r="F903" t="s">
        <v>65</v>
      </c>
      <c r="G903" t="s">
        <v>66</v>
      </c>
      <c r="H903" t="s">
        <v>68</v>
      </c>
      <c r="I903">
        <v>1</v>
      </c>
      <c r="J903">
        <v>0</v>
      </c>
      <c r="K903">
        <v>0</v>
      </c>
      <c r="L903">
        <v>1</v>
      </c>
      <c r="M903">
        <v>1</v>
      </c>
      <c r="N903">
        <v>1</v>
      </c>
      <c r="O903">
        <v>1</v>
      </c>
      <c r="P903">
        <v>1</v>
      </c>
      <c r="Q903">
        <v>1</v>
      </c>
      <c r="R903">
        <v>1</v>
      </c>
    </row>
    <row r="904" spans="1:39" x14ac:dyDescent="0.2">
      <c r="A904" t="str">
        <f>"900"</f>
        <v>900</v>
      </c>
      <c r="B904" t="str">
        <f t="shared" si="49"/>
        <v>1</v>
      </c>
      <c r="C904" t="str">
        <f t="shared" si="50"/>
        <v>18</v>
      </c>
      <c r="D904" t="str">
        <f>"2"</f>
        <v>2</v>
      </c>
      <c r="E904" t="str">
        <f>"1-18-2"</f>
        <v>1-18-2</v>
      </c>
      <c r="F904" t="s">
        <v>65</v>
      </c>
      <c r="G904" t="s">
        <v>66</v>
      </c>
      <c r="H904" t="s">
        <v>68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1</v>
      </c>
      <c r="O904">
        <v>1</v>
      </c>
      <c r="P904">
        <v>1</v>
      </c>
      <c r="Q904">
        <v>1</v>
      </c>
      <c r="R904">
        <v>1</v>
      </c>
    </row>
    <row r="905" spans="1:39" x14ac:dyDescent="0.2">
      <c r="A905" t="str">
        <f>"901"</f>
        <v>901</v>
      </c>
      <c r="B905" t="str">
        <f t="shared" si="49"/>
        <v>1</v>
      </c>
      <c r="C905" t="str">
        <f t="shared" ref="C905:C936" si="51">"19"</f>
        <v>19</v>
      </c>
      <c r="D905" t="str">
        <f>"32"</f>
        <v>32</v>
      </c>
      <c r="E905" t="str">
        <f>"1-19-32"</f>
        <v>1-19-32</v>
      </c>
      <c r="F905" t="s">
        <v>65</v>
      </c>
      <c r="G905" t="s">
        <v>66</v>
      </c>
      <c r="H905" t="s">
        <v>67</v>
      </c>
      <c r="S905">
        <v>0</v>
      </c>
      <c r="T905">
        <v>1</v>
      </c>
      <c r="U905">
        <v>0</v>
      </c>
      <c r="V905">
        <v>0</v>
      </c>
      <c r="W905">
        <v>1</v>
      </c>
      <c r="X905">
        <v>0</v>
      </c>
      <c r="Y905">
        <v>0</v>
      </c>
      <c r="Z905">
        <v>1</v>
      </c>
      <c r="AA905">
        <v>1</v>
      </c>
      <c r="AB905">
        <v>0</v>
      </c>
      <c r="AC905">
        <v>0</v>
      </c>
      <c r="AD905">
        <v>1</v>
      </c>
      <c r="AE905">
        <v>1</v>
      </c>
      <c r="AF905">
        <v>1</v>
      </c>
      <c r="AG905">
        <v>1</v>
      </c>
      <c r="AH905">
        <v>1</v>
      </c>
      <c r="AI905">
        <v>1</v>
      </c>
      <c r="AJ905">
        <v>1</v>
      </c>
      <c r="AK905">
        <v>1</v>
      </c>
      <c r="AL905">
        <v>1</v>
      </c>
      <c r="AM905">
        <v>1</v>
      </c>
    </row>
    <row r="906" spans="1:39" x14ac:dyDescent="0.2">
      <c r="A906" t="str">
        <f>"902"</f>
        <v>902</v>
      </c>
      <c r="B906" t="str">
        <f t="shared" si="49"/>
        <v>1</v>
      </c>
      <c r="C906" t="str">
        <f t="shared" si="51"/>
        <v>19</v>
      </c>
      <c r="D906" t="str">
        <f>"31"</f>
        <v>31</v>
      </c>
      <c r="E906" t="str">
        <f>"1-19-31"</f>
        <v>1-19-31</v>
      </c>
      <c r="F906" t="s">
        <v>65</v>
      </c>
      <c r="G906" t="s">
        <v>66</v>
      </c>
      <c r="H906" t="s">
        <v>67</v>
      </c>
      <c r="S906">
        <v>0</v>
      </c>
      <c r="T906">
        <v>1</v>
      </c>
      <c r="U906">
        <v>0</v>
      </c>
      <c r="V906">
        <v>0</v>
      </c>
      <c r="W906">
        <v>0</v>
      </c>
      <c r="X906">
        <v>1</v>
      </c>
      <c r="Y906">
        <v>1</v>
      </c>
      <c r="Z906">
        <v>0</v>
      </c>
      <c r="AA906">
        <v>0</v>
      </c>
      <c r="AB906">
        <v>1</v>
      </c>
      <c r="AC906">
        <v>0</v>
      </c>
      <c r="AD906">
        <v>1</v>
      </c>
      <c r="AE906">
        <v>1</v>
      </c>
      <c r="AF906">
        <v>1</v>
      </c>
      <c r="AG906">
        <v>1</v>
      </c>
      <c r="AH906">
        <v>1</v>
      </c>
      <c r="AI906">
        <v>1</v>
      </c>
      <c r="AJ906">
        <v>1</v>
      </c>
      <c r="AK906">
        <v>1</v>
      </c>
      <c r="AL906">
        <v>1</v>
      </c>
      <c r="AM906">
        <v>1</v>
      </c>
    </row>
    <row r="907" spans="1:39" x14ac:dyDescent="0.2">
      <c r="A907" t="str">
        <f>"903"</f>
        <v>903</v>
      </c>
      <c r="B907" t="str">
        <f t="shared" si="49"/>
        <v>1</v>
      </c>
      <c r="C907" t="str">
        <f t="shared" si="51"/>
        <v>19</v>
      </c>
      <c r="D907" t="str">
        <f>"21"</f>
        <v>21</v>
      </c>
      <c r="E907" t="str">
        <f>"1-19-21"</f>
        <v>1-19-21</v>
      </c>
      <c r="F907" t="s">
        <v>65</v>
      </c>
      <c r="G907" t="s">
        <v>66</v>
      </c>
      <c r="H907" t="s">
        <v>67</v>
      </c>
      <c r="S907">
        <v>0</v>
      </c>
      <c r="T907">
        <v>0</v>
      </c>
      <c r="U907">
        <v>0</v>
      </c>
      <c r="V907">
        <v>0</v>
      </c>
      <c r="W907">
        <v>1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1</v>
      </c>
      <c r="AI907">
        <v>1</v>
      </c>
      <c r="AJ907">
        <v>1</v>
      </c>
      <c r="AK907">
        <v>1</v>
      </c>
      <c r="AL907">
        <v>1</v>
      </c>
      <c r="AM907">
        <v>1</v>
      </c>
    </row>
    <row r="908" spans="1:39" x14ac:dyDescent="0.2">
      <c r="A908" t="str">
        <f>"904"</f>
        <v>904</v>
      </c>
      <c r="B908" t="str">
        <f t="shared" si="49"/>
        <v>1</v>
      </c>
      <c r="C908" t="str">
        <f t="shared" si="51"/>
        <v>19</v>
      </c>
      <c r="D908" t="str">
        <f>"15"</f>
        <v>15</v>
      </c>
      <c r="E908" t="str">
        <f>"1-19-15"</f>
        <v>1-19-15</v>
      </c>
      <c r="F908" t="s">
        <v>65</v>
      </c>
      <c r="G908" t="s">
        <v>66</v>
      </c>
      <c r="H908" t="s">
        <v>67</v>
      </c>
      <c r="S908">
        <v>0</v>
      </c>
      <c r="T908">
        <v>0</v>
      </c>
      <c r="U908">
        <v>0</v>
      </c>
      <c r="V908">
        <v>0</v>
      </c>
      <c r="W908">
        <v>1</v>
      </c>
      <c r="X908">
        <v>0</v>
      </c>
      <c r="Y908">
        <v>1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</v>
      </c>
      <c r="AJ908">
        <v>0</v>
      </c>
      <c r="AK908">
        <v>0</v>
      </c>
      <c r="AL908">
        <v>1</v>
      </c>
      <c r="AM908">
        <v>0</v>
      </c>
    </row>
    <row r="909" spans="1:39" x14ac:dyDescent="0.2">
      <c r="A909" t="str">
        <f>"905"</f>
        <v>905</v>
      </c>
      <c r="B909" t="str">
        <f t="shared" si="49"/>
        <v>1</v>
      </c>
      <c r="C909" t="str">
        <f t="shared" si="51"/>
        <v>19</v>
      </c>
      <c r="D909" t="str">
        <f>"4"</f>
        <v>4</v>
      </c>
      <c r="E909" t="str">
        <f>"1-19-4"</f>
        <v>1-19-4</v>
      </c>
      <c r="F909" t="s">
        <v>65</v>
      </c>
      <c r="G909" t="s">
        <v>66</v>
      </c>
      <c r="H909" t="s">
        <v>67</v>
      </c>
      <c r="S909">
        <v>1</v>
      </c>
      <c r="T909">
        <v>0</v>
      </c>
      <c r="U909">
        <v>0</v>
      </c>
      <c r="V909">
        <v>0</v>
      </c>
      <c r="W909">
        <v>0</v>
      </c>
      <c r="X909">
        <v>1</v>
      </c>
      <c r="Y909">
        <v>1</v>
      </c>
      <c r="Z909">
        <v>0</v>
      </c>
      <c r="AA909">
        <v>0</v>
      </c>
      <c r="AB909">
        <v>1</v>
      </c>
      <c r="AC909">
        <v>0</v>
      </c>
      <c r="AD909">
        <v>1</v>
      </c>
      <c r="AE909">
        <v>1</v>
      </c>
      <c r="AF909">
        <v>1</v>
      </c>
      <c r="AG909">
        <v>1</v>
      </c>
      <c r="AH909">
        <v>1</v>
      </c>
      <c r="AI909">
        <v>1</v>
      </c>
      <c r="AJ909">
        <v>1</v>
      </c>
      <c r="AK909">
        <v>1</v>
      </c>
      <c r="AL909">
        <v>1</v>
      </c>
      <c r="AM909">
        <v>1</v>
      </c>
    </row>
    <row r="910" spans="1:39" x14ac:dyDescent="0.2">
      <c r="A910" t="str">
        <f>"906"</f>
        <v>906</v>
      </c>
      <c r="B910" t="str">
        <f t="shared" si="49"/>
        <v>1</v>
      </c>
      <c r="C910" t="str">
        <f t="shared" si="51"/>
        <v>19</v>
      </c>
      <c r="D910" t="str">
        <f>"37"</f>
        <v>37</v>
      </c>
      <c r="E910" t="str">
        <f>"1-19-37"</f>
        <v>1-19-37</v>
      </c>
      <c r="F910" t="s">
        <v>65</v>
      </c>
      <c r="G910" t="s">
        <v>66</v>
      </c>
      <c r="H910" t="s">
        <v>67</v>
      </c>
      <c r="S910">
        <v>1</v>
      </c>
      <c r="T910">
        <v>0</v>
      </c>
      <c r="U910">
        <v>0</v>
      </c>
      <c r="V910">
        <v>0</v>
      </c>
      <c r="W910">
        <v>1</v>
      </c>
      <c r="X910">
        <v>0</v>
      </c>
      <c r="Y910">
        <v>0</v>
      </c>
      <c r="Z910">
        <v>1</v>
      </c>
      <c r="AA910">
        <v>1</v>
      </c>
      <c r="AB910">
        <v>0</v>
      </c>
      <c r="AC910">
        <v>0</v>
      </c>
      <c r="AD910">
        <v>1</v>
      </c>
      <c r="AE910">
        <v>1</v>
      </c>
      <c r="AF910">
        <v>1</v>
      </c>
      <c r="AG910">
        <v>1</v>
      </c>
      <c r="AH910">
        <v>1</v>
      </c>
      <c r="AI910">
        <v>1</v>
      </c>
      <c r="AJ910">
        <v>1</v>
      </c>
      <c r="AK910">
        <v>1</v>
      </c>
      <c r="AL910">
        <v>1</v>
      </c>
      <c r="AM910">
        <v>1</v>
      </c>
    </row>
    <row r="911" spans="1:39" x14ac:dyDescent="0.2">
      <c r="A911" t="str">
        <f>"907"</f>
        <v>907</v>
      </c>
      <c r="B911" t="str">
        <f t="shared" si="49"/>
        <v>1</v>
      </c>
      <c r="C911" t="str">
        <f t="shared" si="51"/>
        <v>19</v>
      </c>
      <c r="D911" t="str">
        <f>"36"</f>
        <v>36</v>
      </c>
      <c r="E911" t="str">
        <f>"1-19-36"</f>
        <v>1-19-36</v>
      </c>
      <c r="F911" t="s">
        <v>65</v>
      </c>
      <c r="G911" t="s">
        <v>66</v>
      </c>
      <c r="H911" t="s">
        <v>67</v>
      </c>
      <c r="S911">
        <v>1</v>
      </c>
      <c r="T911">
        <v>0</v>
      </c>
      <c r="U911">
        <v>0</v>
      </c>
      <c r="V911">
        <v>0</v>
      </c>
      <c r="W911">
        <v>1</v>
      </c>
      <c r="X911">
        <v>0</v>
      </c>
      <c r="Y911">
        <v>0</v>
      </c>
      <c r="Z911">
        <v>1</v>
      </c>
      <c r="AA911">
        <v>0</v>
      </c>
      <c r="AB911">
        <v>0</v>
      </c>
      <c r="AC911">
        <v>1</v>
      </c>
      <c r="AD911">
        <v>1</v>
      </c>
      <c r="AE911">
        <v>1</v>
      </c>
      <c r="AF911">
        <v>1</v>
      </c>
      <c r="AG911">
        <v>1</v>
      </c>
      <c r="AH911">
        <v>1</v>
      </c>
      <c r="AI911">
        <v>1</v>
      </c>
      <c r="AJ911">
        <v>1</v>
      </c>
      <c r="AK911">
        <v>1</v>
      </c>
      <c r="AL911">
        <v>1</v>
      </c>
      <c r="AM911">
        <v>1</v>
      </c>
    </row>
    <row r="912" spans="1:39" x14ac:dyDescent="0.2">
      <c r="A912" t="str">
        <f>"908"</f>
        <v>908</v>
      </c>
      <c r="B912" t="str">
        <f t="shared" si="49"/>
        <v>1</v>
      </c>
      <c r="C912" t="str">
        <f t="shared" si="51"/>
        <v>19</v>
      </c>
      <c r="D912" t="str">
        <f>"29"</f>
        <v>29</v>
      </c>
      <c r="E912" t="str">
        <f>"1-19-29"</f>
        <v>1-19-29</v>
      </c>
      <c r="F912" t="s">
        <v>65</v>
      </c>
      <c r="G912" t="s">
        <v>66</v>
      </c>
      <c r="H912" t="s">
        <v>67</v>
      </c>
      <c r="S912">
        <v>1</v>
      </c>
      <c r="T912">
        <v>0</v>
      </c>
      <c r="U912">
        <v>0</v>
      </c>
      <c r="V912">
        <v>0</v>
      </c>
      <c r="W912">
        <v>1</v>
      </c>
      <c r="X912">
        <v>0</v>
      </c>
      <c r="Y912">
        <v>0</v>
      </c>
      <c r="Z912">
        <v>1</v>
      </c>
      <c r="AA912">
        <v>1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1</v>
      </c>
      <c r="AJ912">
        <v>0</v>
      </c>
      <c r="AK912">
        <v>0</v>
      </c>
      <c r="AL912">
        <v>1</v>
      </c>
      <c r="AM912">
        <v>0</v>
      </c>
    </row>
    <row r="913" spans="1:39" x14ac:dyDescent="0.2">
      <c r="A913" t="str">
        <f>"909"</f>
        <v>909</v>
      </c>
      <c r="B913" t="str">
        <f t="shared" si="49"/>
        <v>1</v>
      </c>
      <c r="C913" t="str">
        <f t="shared" si="51"/>
        <v>19</v>
      </c>
      <c r="D913" t="str">
        <f>"16"</f>
        <v>16</v>
      </c>
      <c r="E913" t="str">
        <f>"1-19-16"</f>
        <v>1-19-16</v>
      </c>
      <c r="F913" t="s">
        <v>65</v>
      </c>
      <c r="G913" t="s">
        <v>66</v>
      </c>
      <c r="H913" t="s">
        <v>67</v>
      </c>
      <c r="S913">
        <v>1</v>
      </c>
      <c r="T913">
        <v>0</v>
      </c>
      <c r="U913">
        <v>0</v>
      </c>
      <c r="V913">
        <v>0</v>
      </c>
      <c r="W913">
        <v>0</v>
      </c>
      <c r="X913">
        <v>1</v>
      </c>
      <c r="Y913">
        <v>1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1</v>
      </c>
      <c r="AF913">
        <v>1</v>
      </c>
      <c r="AG913">
        <v>1</v>
      </c>
      <c r="AH913">
        <v>1</v>
      </c>
      <c r="AI913">
        <v>1</v>
      </c>
      <c r="AJ913">
        <v>1</v>
      </c>
      <c r="AK913">
        <v>1</v>
      </c>
      <c r="AL913">
        <v>1</v>
      </c>
      <c r="AM913">
        <v>1</v>
      </c>
    </row>
    <row r="914" spans="1:39" x14ac:dyDescent="0.2">
      <c r="A914" t="str">
        <f>"910"</f>
        <v>910</v>
      </c>
      <c r="B914" t="str">
        <f t="shared" si="49"/>
        <v>1</v>
      </c>
      <c r="C914" t="str">
        <f t="shared" si="51"/>
        <v>19</v>
      </c>
      <c r="D914" t="str">
        <f>"2"</f>
        <v>2</v>
      </c>
      <c r="E914" t="str">
        <f>"1-19-2"</f>
        <v>1-19-2</v>
      </c>
      <c r="F914" t="s">
        <v>65</v>
      </c>
      <c r="G914" t="s">
        <v>66</v>
      </c>
      <c r="H914" t="s">
        <v>67</v>
      </c>
      <c r="S914">
        <v>1</v>
      </c>
      <c r="T914">
        <v>0</v>
      </c>
      <c r="U914">
        <v>0</v>
      </c>
      <c r="V914">
        <v>0</v>
      </c>
      <c r="W914">
        <v>0</v>
      </c>
      <c r="X914">
        <v>1</v>
      </c>
      <c r="Y914">
        <v>1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1</v>
      </c>
      <c r="AF914">
        <v>1</v>
      </c>
      <c r="AG914">
        <v>1</v>
      </c>
      <c r="AH914">
        <v>1</v>
      </c>
      <c r="AI914">
        <v>1</v>
      </c>
      <c r="AJ914">
        <v>1</v>
      </c>
      <c r="AK914">
        <v>1</v>
      </c>
      <c r="AL914">
        <v>1</v>
      </c>
      <c r="AM914">
        <v>1</v>
      </c>
    </row>
    <row r="915" spans="1:39" x14ac:dyDescent="0.2">
      <c r="A915" t="str">
        <f>"911"</f>
        <v>911</v>
      </c>
      <c r="B915" t="str">
        <f t="shared" si="49"/>
        <v>1</v>
      </c>
      <c r="C915" t="str">
        <f t="shared" si="51"/>
        <v>19</v>
      </c>
      <c r="D915" t="str">
        <f>"47"</f>
        <v>47</v>
      </c>
      <c r="E915" t="str">
        <f>"1-19-47"</f>
        <v>1-19-47</v>
      </c>
      <c r="F915" t="s">
        <v>65</v>
      </c>
      <c r="G915" t="s">
        <v>66</v>
      </c>
      <c r="H915" t="s">
        <v>68</v>
      </c>
      <c r="I915">
        <v>0</v>
      </c>
      <c r="J915">
        <v>1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</row>
    <row r="916" spans="1:39" x14ac:dyDescent="0.2">
      <c r="A916" t="str">
        <f>"912"</f>
        <v>912</v>
      </c>
      <c r="B916" t="str">
        <f t="shared" si="49"/>
        <v>1</v>
      </c>
      <c r="C916" t="str">
        <f t="shared" si="51"/>
        <v>19</v>
      </c>
      <c r="D916" t="str">
        <f>"46"</f>
        <v>46</v>
      </c>
      <c r="E916" t="str">
        <f>"1-19-46"</f>
        <v>1-19-46</v>
      </c>
      <c r="F916" t="s">
        <v>65</v>
      </c>
      <c r="G916" t="s">
        <v>66</v>
      </c>
      <c r="H916" t="s">
        <v>68</v>
      </c>
      <c r="I916">
        <v>1</v>
      </c>
      <c r="J916">
        <v>1</v>
      </c>
      <c r="K916">
        <v>0</v>
      </c>
      <c r="L916">
        <v>0</v>
      </c>
      <c r="M916">
        <v>1</v>
      </c>
      <c r="N916">
        <v>1</v>
      </c>
      <c r="O916">
        <v>1</v>
      </c>
      <c r="P916">
        <v>1</v>
      </c>
      <c r="Q916">
        <v>1</v>
      </c>
      <c r="R916">
        <v>1</v>
      </c>
    </row>
    <row r="917" spans="1:39" x14ac:dyDescent="0.2">
      <c r="A917" t="str">
        <f>"913"</f>
        <v>913</v>
      </c>
      <c r="B917" t="str">
        <f t="shared" si="49"/>
        <v>1</v>
      </c>
      <c r="C917" t="str">
        <f t="shared" si="51"/>
        <v>19</v>
      </c>
      <c r="D917" t="str">
        <f>"34"</f>
        <v>34</v>
      </c>
      <c r="E917" t="str">
        <f>"1-19-34"</f>
        <v>1-19-34</v>
      </c>
      <c r="F917" t="s">
        <v>65</v>
      </c>
      <c r="G917" t="s">
        <v>66</v>
      </c>
      <c r="H917" t="s">
        <v>67</v>
      </c>
      <c r="S917">
        <v>0</v>
      </c>
      <c r="T917">
        <v>1</v>
      </c>
      <c r="U917">
        <v>0</v>
      </c>
      <c r="V917">
        <v>0</v>
      </c>
      <c r="W917">
        <v>0</v>
      </c>
      <c r="X917">
        <v>1</v>
      </c>
      <c r="Y917">
        <v>0</v>
      </c>
      <c r="Z917">
        <v>1</v>
      </c>
      <c r="AA917">
        <v>0</v>
      </c>
      <c r="AB917">
        <v>0</v>
      </c>
      <c r="AC917">
        <v>1</v>
      </c>
      <c r="AD917">
        <v>0</v>
      </c>
      <c r="AE917">
        <v>0</v>
      </c>
      <c r="AF917">
        <v>0</v>
      </c>
      <c r="AG917">
        <v>1</v>
      </c>
      <c r="AH917">
        <v>1</v>
      </c>
      <c r="AI917">
        <v>1</v>
      </c>
      <c r="AJ917">
        <v>1</v>
      </c>
      <c r="AK917">
        <v>1</v>
      </c>
      <c r="AL917">
        <v>1</v>
      </c>
      <c r="AM917">
        <v>1</v>
      </c>
    </row>
    <row r="918" spans="1:39" x14ac:dyDescent="0.2">
      <c r="A918" t="str">
        <f>"914"</f>
        <v>914</v>
      </c>
      <c r="B918" t="str">
        <f t="shared" si="49"/>
        <v>1</v>
      </c>
      <c r="C918" t="str">
        <f t="shared" si="51"/>
        <v>19</v>
      </c>
      <c r="D918" t="str">
        <f>"17"</f>
        <v>17</v>
      </c>
      <c r="E918" t="str">
        <f>"1-19-17"</f>
        <v>1-19-17</v>
      </c>
      <c r="F918" t="s">
        <v>65</v>
      </c>
      <c r="G918" t="s">
        <v>66</v>
      </c>
      <c r="H918" t="s">
        <v>67</v>
      </c>
      <c r="S918">
        <v>1</v>
      </c>
      <c r="T918">
        <v>0</v>
      </c>
      <c r="U918">
        <v>0</v>
      </c>
      <c r="V918">
        <v>0</v>
      </c>
      <c r="W918">
        <v>0</v>
      </c>
      <c r="X918">
        <v>1</v>
      </c>
      <c r="Y918">
        <v>1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1</v>
      </c>
      <c r="AF918">
        <v>1</v>
      </c>
      <c r="AG918">
        <v>1</v>
      </c>
      <c r="AH918">
        <v>1</v>
      </c>
      <c r="AI918">
        <v>1</v>
      </c>
      <c r="AJ918">
        <v>1</v>
      </c>
      <c r="AK918">
        <v>1</v>
      </c>
      <c r="AL918">
        <v>1</v>
      </c>
      <c r="AM918">
        <v>1</v>
      </c>
    </row>
    <row r="919" spans="1:39" x14ac:dyDescent="0.2">
      <c r="A919" t="str">
        <f>"915"</f>
        <v>915</v>
      </c>
      <c r="B919" t="str">
        <f t="shared" si="49"/>
        <v>1</v>
      </c>
      <c r="C919" t="str">
        <f t="shared" si="51"/>
        <v>19</v>
      </c>
      <c r="D919" t="str">
        <f>"6"</f>
        <v>6</v>
      </c>
      <c r="E919" t="str">
        <f>"1-19-6"</f>
        <v>1-19-6</v>
      </c>
      <c r="F919" t="s">
        <v>65</v>
      </c>
      <c r="G919" t="s">
        <v>66</v>
      </c>
      <c r="H919" t="s">
        <v>67</v>
      </c>
      <c r="S919">
        <v>1</v>
      </c>
      <c r="T919">
        <v>0</v>
      </c>
      <c r="U919">
        <v>0</v>
      </c>
      <c r="V919">
        <v>0</v>
      </c>
      <c r="W919">
        <v>1</v>
      </c>
      <c r="X919">
        <v>0</v>
      </c>
      <c r="Y919">
        <v>1</v>
      </c>
      <c r="Z919">
        <v>0</v>
      </c>
      <c r="AA919">
        <v>0</v>
      </c>
      <c r="AB919">
        <v>0</v>
      </c>
      <c r="AC919">
        <v>1</v>
      </c>
      <c r="AD919">
        <v>1</v>
      </c>
      <c r="AE919">
        <v>1</v>
      </c>
      <c r="AF919">
        <v>1</v>
      </c>
      <c r="AG919">
        <v>1</v>
      </c>
      <c r="AH919">
        <v>1</v>
      </c>
      <c r="AI919">
        <v>1</v>
      </c>
      <c r="AJ919">
        <v>1</v>
      </c>
      <c r="AK919">
        <v>1</v>
      </c>
      <c r="AL919">
        <v>1</v>
      </c>
      <c r="AM919">
        <v>1</v>
      </c>
    </row>
    <row r="920" spans="1:39" x14ac:dyDescent="0.2">
      <c r="A920" t="str">
        <f>"916"</f>
        <v>916</v>
      </c>
      <c r="B920" t="str">
        <f t="shared" si="49"/>
        <v>1</v>
      </c>
      <c r="C920" t="str">
        <f t="shared" si="51"/>
        <v>19</v>
      </c>
      <c r="D920" t="str">
        <f>"49"</f>
        <v>49</v>
      </c>
      <c r="E920" t="str">
        <f>"1-19-49"</f>
        <v>1-19-49</v>
      </c>
      <c r="F920" t="s">
        <v>65</v>
      </c>
      <c r="G920" t="s">
        <v>66</v>
      </c>
      <c r="H920" t="s">
        <v>68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1</v>
      </c>
      <c r="O920">
        <v>1</v>
      </c>
      <c r="P920">
        <v>1</v>
      </c>
      <c r="Q920">
        <v>1</v>
      </c>
      <c r="R920">
        <v>1</v>
      </c>
    </row>
    <row r="921" spans="1:39" x14ac:dyDescent="0.2">
      <c r="A921" t="str">
        <f>"917"</f>
        <v>917</v>
      </c>
      <c r="B921" t="str">
        <f t="shared" si="49"/>
        <v>1</v>
      </c>
      <c r="C921" t="str">
        <f t="shared" si="51"/>
        <v>19</v>
      </c>
      <c r="D921" t="str">
        <f>"48"</f>
        <v>48</v>
      </c>
      <c r="E921" t="str">
        <f>"1-19-48"</f>
        <v>1-19-48</v>
      </c>
      <c r="F921" t="s">
        <v>65</v>
      </c>
      <c r="G921" t="s">
        <v>66</v>
      </c>
      <c r="H921" t="s">
        <v>68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1</v>
      </c>
      <c r="O921">
        <v>1</v>
      </c>
      <c r="P921">
        <v>1</v>
      </c>
      <c r="Q921">
        <v>0</v>
      </c>
      <c r="R921">
        <v>1</v>
      </c>
    </row>
    <row r="922" spans="1:39" x14ac:dyDescent="0.2">
      <c r="A922" t="str">
        <f>"918"</f>
        <v>918</v>
      </c>
      <c r="B922" t="str">
        <f t="shared" si="49"/>
        <v>1</v>
      </c>
      <c r="C922" t="str">
        <f t="shared" si="51"/>
        <v>19</v>
      </c>
      <c r="D922" t="str">
        <f>"33"</f>
        <v>33</v>
      </c>
      <c r="E922" t="str">
        <f>"1-19-33"</f>
        <v>1-19-33</v>
      </c>
      <c r="F922" t="s">
        <v>65</v>
      </c>
      <c r="G922" t="s">
        <v>66</v>
      </c>
      <c r="H922" t="s">
        <v>67</v>
      </c>
      <c r="S922">
        <v>0</v>
      </c>
      <c r="T922">
        <v>1</v>
      </c>
      <c r="U922">
        <v>0</v>
      </c>
      <c r="V922">
        <v>0</v>
      </c>
      <c r="W922">
        <v>1</v>
      </c>
      <c r="X922">
        <v>0</v>
      </c>
      <c r="Y922">
        <v>1</v>
      </c>
      <c r="Z922">
        <v>0</v>
      </c>
      <c r="AA922">
        <v>0</v>
      </c>
      <c r="AB922">
        <v>1</v>
      </c>
      <c r="AC922">
        <v>0</v>
      </c>
      <c r="AD922">
        <v>1</v>
      </c>
      <c r="AE922">
        <v>1</v>
      </c>
      <c r="AF922">
        <v>1</v>
      </c>
      <c r="AG922">
        <v>1</v>
      </c>
      <c r="AH922">
        <v>1</v>
      </c>
      <c r="AI922">
        <v>1</v>
      </c>
      <c r="AJ922">
        <v>1</v>
      </c>
      <c r="AK922">
        <v>1</v>
      </c>
      <c r="AL922">
        <v>1</v>
      </c>
      <c r="AM922">
        <v>1</v>
      </c>
    </row>
    <row r="923" spans="1:39" x14ac:dyDescent="0.2">
      <c r="A923" t="str">
        <f>"919"</f>
        <v>919</v>
      </c>
      <c r="B923" t="str">
        <f t="shared" si="49"/>
        <v>1</v>
      </c>
      <c r="C923" t="str">
        <f t="shared" si="51"/>
        <v>19</v>
      </c>
      <c r="D923" t="str">
        <f>"18"</f>
        <v>18</v>
      </c>
      <c r="E923" t="str">
        <f>"1-19-18"</f>
        <v>1-19-18</v>
      </c>
      <c r="F923" t="s">
        <v>65</v>
      </c>
      <c r="G923" t="s">
        <v>66</v>
      </c>
      <c r="H923" t="s">
        <v>67</v>
      </c>
      <c r="S923">
        <v>1</v>
      </c>
      <c r="T923">
        <v>0</v>
      </c>
      <c r="U923">
        <v>0</v>
      </c>
      <c r="V923">
        <v>0</v>
      </c>
      <c r="W923">
        <v>1</v>
      </c>
      <c r="X923">
        <v>0</v>
      </c>
      <c r="Y923">
        <v>0</v>
      </c>
      <c r="Z923">
        <v>1</v>
      </c>
      <c r="AA923">
        <v>0</v>
      </c>
      <c r="AB923">
        <v>0</v>
      </c>
      <c r="AC923">
        <v>1</v>
      </c>
      <c r="AD923">
        <v>1</v>
      </c>
      <c r="AE923">
        <v>1</v>
      </c>
      <c r="AF923">
        <v>1</v>
      </c>
      <c r="AG923">
        <v>1</v>
      </c>
      <c r="AH923">
        <v>1</v>
      </c>
      <c r="AI923">
        <v>1</v>
      </c>
      <c r="AJ923">
        <v>1</v>
      </c>
      <c r="AK923">
        <v>1</v>
      </c>
      <c r="AL923">
        <v>1</v>
      </c>
      <c r="AM923">
        <v>0</v>
      </c>
    </row>
    <row r="924" spans="1:39" x14ac:dyDescent="0.2">
      <c r="A924" t="str">
        <f>"920"</f>
        <v>920</v>
      </c>
      <c r="B924" t="str">
        <f t="shared" si="49"/>
        <v>1</v>
      </c>
      <c r="C924" t="str">
        <f t="shared" si="51"/>
        <v>19</v>
      </c>
      <c r="D924" t="str">
        <f>"10"</f>
        <v>10</v>
      </c>
      <c r="E924" t="str">
        <f>"1-19-10"</f>
        <v>1-19-10</v>
      </c>
      <c r="F924" t="s">
        <v>65</v>
      </c>
      <c r="G924" t="s">
        <v>66</v>
      </c>
      <c r="H924" t="s">
        <v>67</v>
      </c>
      <c r="S924">
        <v>1</v>
      </c>
      <c r="T924">
        <v>0</v>
      </c>
      <c r="U924">
        <v>0</v>
      </c>
      <c r="V924">
        <v>0</v>
      </c>
      <c r="W924">
        <v>1</v>
      </c>
      <c r="X924">
        <v>0</v>
      </c>
      <c r="Y924">
        <v>0</v>
      </c>
      <c r="Z924">
        <v>1</v>
      </c>
      <c r="AA924">
        <v>1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</row>
    <row r="925" spans="1:39" x14ac:dyDescent="0.2">
      <c r="A925" t="str">
        <f>"921"</f>
        <v>921</v>
      </c>
      <c r="B925" t="str">
        <f t="shared" si="49"/>
        <v>1</v>
      </c>
      <c r="C925" t="str">
        <f t="shared" si="51"/>
        <v>19</v>
      </c>
      <c r="D925" t="str">
        <f>"35"</f>
        <v>35</v>
      </c>
      <c r="E925" t="str">
        <f>"1-19-35"</f>
        <v>1-19-35</v>
      </c>
      <c r="F925" t="s">
        <v>65</v>
      </c>
      <c r="G925" t="s">
        <v>66</v>
      </c>
      <c r="H925" t="s">
        <v>67</v>
      </c>
      <c r="S925">
        <v>0</v>
      </c>
      <c r="T925">
        <v>1</v>
      </c>
      <c r="U925">
        <v>0</v>
      </c>
      <c r="V925">
        <v>0</v>
      </c>
      <c r="W925">
        <v>1</v>
      </c>
      <c r="X925">
        <v>0</v>
      </c>
      <c r="Y925">
        <v>0</v>
      </c>
      <c r="Z925">
        <v>1</v>
      </c>
      <c r="AA925">
        <v>1</v>
      </c>
      <c r="AB925">
        <v>0</v>
      </c>
      <c r="AC925">
        <v>0</v>
      </c>
      <c r="AD925">
        <v>1</v>
      </c>
      <c r="AE925">
        <v>1</v>
      </c>
      <c r="AF925">
        <v>1</v>
      </c>
      <c r="AG925">
        <v>1</v>
      </c>
      <c r="AH925">
        <v>1</v>
      </c>
      <c r="AI925">
        <v>1</v>
      </c>
      <c r="AJ925">
        <v>1</v>
      </c>
      <c r="AK925">
        <v>1</v>
      </c>
      <c r="AL925">
        <v>1</v>
      </c>
      <c r="AM925">
        <v>1</v>
      </c>
    </row>
    <row r="926" spans="1:39" x14ac:dyDescent="0.2">
      <c r="A926" t="str">
        <f>"922"</f>
        <v>922</v>
      </c>
      <c r="B926" t="str">
        <f t="shared" si="49"/>
        <v>1</v>
      </c>
      <c r="C926" t="str">
        <f t="shared" si="51"/>
        <v>19</v>
      </c>
      <c r="D926" t="str">
        <f>"19"</f>
        <v>19</v>
      </c>
      <c r="E926" t="str">
        <f>"1-19-19"</f>
        <v>1-19-19</v>
      </c>
      <c r="F926" t="s">
        <v>65</v>
      </c>
      <c r="G926" t="s">
        <v>66</v>
      </c>
      <c r="H926" t="s">
        <v>67</v>
      </c>
      <c r="S926">
        <v>0</v>
      </c>
      <c r="T926">
        <v>1</v>
      </c>
      <c r="U926">
        <v>0</v>
      </c>
      <c r="V926">
        <v>0</v>
      </c>
      <c r="W926">
        <v>1</v>
      </c>
      <c r="X926">
        <v>0</v>
      </c>
      <c r="Y926">
        <v>1</v>
      </c>
      <c r="Z926">
        <v>0</v>
      </c>
      <c r="AA926">
        <v>1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1</v>
      </c>
      <c r="AH926">
        <v>1</v>
      </c>
      <c r="AI926">
        <v>0</v>
      </c>
      <c r="AJ926">
        <v>0</v>
      </c>
      <c r="AK926">
        <v>0</v>
      </c>
      <c r="AL926">
        <v>1</v>
      </c>
      <c r="AM926">
        <v>0</v>
      </c>
    </row>
    <row r="927" spans="1:39" x14ac:dyDescent="0.2">
      <c r="A927" t="str">
        <f>"923"</f>
        <v>923</v>
      </c>
      <c r="B927" t="str">
        <f t="shared" si="49"/>
        <v>1</v>
      </c>
      <c r="C927" t="str">
        <f t="shared" si="51"/>
        <v>19</v>
      </c>
      <c r="D927" t="str">
        <f>"1"</f>
        <v>1</v>
      </c>
      <c r="E927" t="str">
        <f>"1-19-1"</f>
        <v>1-19-1</v>
      </c>
      <c r="F927" t="s">
        <v>65</v>
      </c>
      <c r="G927" t="s">
        <v>66</v>
      </c>
      <c r="H927" t="s">
        <v>67</v>
      </c>
      <c r="S927">
        <v>0</v>
      </c>
      <c r="T927">
        <v>1</v>
      </c>
      <c r="U927">
        <v>0</v>
      </c>
      <c r="V927">
        <v>0</v>
      </c>
      <c r="W927">
        <v>1</v>
      </c>
      <c r="X927">
        <v>0</v>
      </c>
      <c r="Y927">
        <v>0</v>
      </c>
      <c r="Z927">
        <v>1</v>
      </c>
      <c r="AA927">
        <v>0</v>
      </c>
      <c r="AB927">
        <v>1</v>
      </c>
      <c r="AC927">
        <v>0</v>
      </c>
      <c r="AD927">
        <v>1</v>
      </c>
      <c r="AE927">
        <v>1</v>
      </c>
      <c r="AF927">
        <v>1</v>
      </c>
      <c r="AG927">
        <v>0</v>
      </c>
      <c r="AH927">
        <v>1</v>
      </c>
      <c r="AI927">
        <v>0</v>
      </c>
      <c r="AJ927">
        <v>0</v>
      </c>
      <c r="AK927">
        <v>1</v>
      </c>
      <c r="AL927">
        <v>1</v>
      </c>
      <c r="AM927">
        <v>1</v>
      </c>
    </row>
    <row r="928" spans="1:39" x14ac:dyDescent="0.2">
      <c r="A928" t="str">
        <f>"924"</f>
        <v>924</v>
      </c>
      <c r="B928" t="str">
        <f t="shared" si="49"/>
        <v>1</v>
      </c>
      <c r="C928" t="str">
        <f t="shared" si="51"/>
        <v>19</v>
      </c>
      <c r="D928" t="str">
        <f>"38"</f>
        <v>38</v>
      </c>
      <c r="E928" t="str">
        <f>"1-19-38"</f>
        <v>1-19-38</v>
      </c>
      <c r="F928" t="s">
        <v>65</v>
      </c>
      <c r="G928" t="s">
        <v>66</v>
      </c>
      <c r="H928" t="s">
        <v>67</v>
      </c>
      <c r="S928">
        <v>0</v>
      </c>
      <c r="T928">
        <v>1</v>
      </c>
      <c r="U928">
        <v>0</v>
      </c>
      <c r="V928">
        <v>0</v>
      </c>
      <c r="W928">
        <v>1</v>
      </c>
      <c r="X928">
        <v>0</v>
      </c>
      <c r="Y928">
        <v>1</v>
      </c>
      <c r="Z928">
        <v>0</v>
      </c>
      <c r="AA928">
        <v>0</v>
      </c>
      <c r="AB928">
        <v>0</v>
      </c>
      <c r="AC928">
        <v>1</v>
      </c>
      <c r="AD928">
        <v>1</v>
      </c>
      <c r="AE928">
        <v>1</v>
      </c>
      <c r="AF928">
        <v>1</v>
      </c>
      <c r="AG928">
        <v>1</v>
      </c>
      <c r="AH928">
        <v>1</v>
      </c>
      <c r="AI928">
        <v>1</v>
      </c>
      <c r="AJ928">
        <v>1</v>
      </c>
      <c r="AK928">
        <v>1</v>
      </c>
      <c r="AL928">
        <v>1</v>
      </c>
      <c r="AM928">
        <v>1</v>
      </c>
    </row>
    <row r="929" spans="1:39" x14ac:dyDescent="0.2">
      <c r="A929" t="str">
        <f>"925"</f>
        <v>925</v>
      </c>
      <c r="B929" t="str">
        <f t="shared" si="49"/>
        <v>1</v>
      </c>
      <c r="C929" t="str">
        <f t="shared" si="51"/>
        <v>19</v>
      </c>
      <c r="D929" t="str">
        <f>"20"</f>
        <v>20</v>
      </c>
      <c r="E929" t="str">
        <f>"1-19-20"</f>
        <v>1-19-20</v>
      </c>
      <c r="F929" t="s">
        <v>65</v>
      </c>
      <c r="G929" t="s">
        <v>66</v>
      </c>
      <c r="H929" t="s">
        <v>67</v>
      </c>
      <c r="S929">
        <v>1</v>
      </c>
      <c r="T929">
        <v>0</v>
      </c>
      <c r="U929">
        <v>0</v>
      </c>
      <c r="V929">
        <v>0</v>
      </c>
      <c r="W929">
        <v>0</v>
      </c>
      <c r="X929">
        <v>1</v>
      </c>
      <c r="Y929">
        <v>0</v>
      </c>
      <c r="Z929">
        <v>1</v>
      </c>
      <c r="AA929">
        <v>0</v>
      </c>
      <c r="AB929">
        <v>1</v>
      </c>
      <c r="AC929">
        <v>0</v>
      </c>
      <c r="AD929">
        <v>1</v>
      </c>
      <c r="AE929">
        <v>1</v>
      </c>
      <c r="AF929">
        <v>1</v>
      </c>
      <c r="AG929">
        <v>1</v>
      </c>
      <c r="AH929">
        <v>1</v>
      </c>
      <c r="AI929">
        <v>1</v>
      </c>
      <c r="AJ929">
        <v>1</v>
      </c>
      <c r="AK929">
        <v>1</v>
      </c>
      <c r="AL929">
        <v>1</v>
      </c>
      <c r="AM929">
        <v>1</v>
      </c>
    </row>
    <row r="930" spans="1:39" x14ac:dyDescent="0.2">
      <c r="A930" t="str">
        <f>"926"</f>
        <v>926</v>
      </c>
      <c r="B930" t="str">
        <f t="shared" si="49"/>
        <v>1</v>
      </c>
      <c r="C930" t="str">
        <f t="shared" si="51"/>
        <v>19</v>
      </c>
      <c r="D930" t="str">
        <f>"11"</f>
        <v>11</v>
      </c>
      <c r="E930" t="str">
        <f>"1-19-11"</f>
        <v>1-19-11</v>
      </c>
      <c r="F930" t="s">
        <v>65</v>
      </c>
      <c r="G930" t="s">
        <v>66</v>
      </c>
      <c r="H930" t="s">
        <v>67</v>
      </c>
      <c r="S930">
        <v>1</v>
      </c>
      <c r="T930">
        <v>0</v>
      </c>
      <c r="U930">
        <v>0</v>
      </c>
      <c r="V930">
        <v>0</v>
      </c>
      <c r="W930">
        <v>1</v>
      </c>
      <c r="X930">
        <v>0</v>
      </c>
      <c r="Y930">
        <v>0</v>
      </c>
      <c r="Z930">
        <v>1</v>
      </c>
      <c r="AA930">
        <v>1</v>
      </c>
      <c r="AB930">
        <v>0</v>
      </c>
      <c r="AC930">
        <v>0</v>
      </c>
      <c r="AD930">
        <v>1</v>
      </c>
      <c r="AE930">
        <v>1</v>
      </c>
      <c r="AF930">
        <v>1</v>
      </c>
      <c r="AG930">
        <v>1</v>
      </c>
      <c r="AH930">
        <v>1</v>
      </c>
      <c r="AI930">
        <v>1</v>
      </c>
      <c r="AJ930">
        <v>1</v>
      </c>
      <c r="AK930">
        <v>1</v>
      </c>
      <c r="AL930">
        <v>1</v>
      </c>
      <c r="AM930">
        <v>1</v>
      </c>
    </row>
    <row r="931" spans="1:39" x14ac:dyDescent="0.2">
      <c r="A931" t="str">
        <f>"927"</f>
        <v>927</v>
      </c>
      <c r="B931" t="str">
        <f t="shared" si="49"/>
        <v>1</v>
      </c>
      <c r="C931" t="str">
        <f t="shared" si="51"/>
        <v>19</v>
      </c>
      <c r="D931" t="str">
        <f>"39"</f>
        <v>39</v>
      </c>
      <c r="E931" t="str">
        <f>"1-19-39"</f>
        <v>1-19-39</v>
      </c>
      <c r="F931" t="s">
        <v>65</v>
      </c>
      <c r="G931" t="s">
        <v>66</v>
      </c>
      <c r="H931" t="s">
        <v>67</v>
      </c>
      <c r="S931">
        <v>1</v>
      </c>
      <c r="T931">
        <v>0</v>
      </c>
      <c r="U931">
        <v>0</v>
      </c>
      <c r="V931">
        <v>0</v>
      </c>
      <c r="W931">
        <v>0</v>
      </c>
      <c r="X931">
        <v>1</v>
      </c>
      <c r="Y931">
        <v>1</v>
      </c>
      <c r="Z931">
        <v>0</v>
      </c>
      <c r="AA931">
        <v>0</v>
      </c>
      <c r="AB931">
        <v>0</v>
      </c>
      <c r="AC931">
        <v>1</v>
      </c>
      <c r="AD931">
        <v>1</v>
      </c>
      <c r="AE931">
        <v>1</v>
      </c>
      <c r="AF931">
        <v>1</v>
      </c>
      <c r="AG931">
        <v>1</v>
      </c>
      <c r="AH931">
        <v>1</v>
      </c>
      <c r="AI931">
        <v>1</v>
      </c>
      <c r="AJ931">
        <v>1</v>
      </c>
      <c r="AK931">
        <v>1</v>
      </c>
      <c r="AL931">
        <v>1</v>
      </c>
      <c r="AM931">
        <v>1</v>
      </c>
    </row>
    <row r="932" spans="1:39" x14ac:dyDescent="0.2">
      <c r="A932" t="str">
        <f>"928"</f>
        <v>928</v>
      </c>
      <c r="B932" t="str">
        <f t="shared" si="49"/>
        <v>1</v>
      </c>
      <c r="C932" t="str">
        <f t="shared" si="51"/>
        <v>19</v>
      </c>
      <c r="D932" t="str">
        <f>"22"</f>
        <v>22</v>
      </c>
      <c r="E932" t="str">
        <f>"1-19-22"</f>
        <v>1-19-22</v>
      </c>
      <c r="F932" t="s">
        <v>65</v>
      </c>
      <c r="G932" t="s">
        <v>66</v>
      </c>
      <c r="H932" t="s">
        <v>67</v>
      </c>
      <c r="S932">
        <v>0</v>
      </c>
      <c r="T932">
        <v>1</v>
      </c>
      <c r="U932">
        <v>0</v>
      </c>
      <c r="V932">
        <v>0</v>
      </c>
      <c r="W932">
        <v>1</v>
      </c>
      <c r="X932">
        <v>0</v>
      </c>
      <c r="Y932">
        <v>1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1</v>
      </c>
      <c r="AF932">
        <v>1</v>
      </c>
      <c r="AG932">
        <v>1</v>
      </c>
      <c r="AH932">
        <v>1</v>
      </c>
      <c r="AI932">
        <v>1</v>
      </c>
      <c r="AJ932">
        <v>1</v>
      </c>
      <c r="AK932">
        <v>1</v>
      </c>
      <c r="AL932">
        <v>1</v>
      </c>
      <c r="AM932">
        <v>1</v>
      </c>
    </row>
    <row r="933" spans="1:39" x14ac:dyDescent="0.2">
      <c r="A933" t="str">
        <f>"929"</f>
        <v>929</v>
      </c>
      <c r="B933" t="str">
        <f t="shared" si="49"/>
        <v>1</v>
      </c>
      <c r="C933" t="str">
        <f t="shared" si="51"/>
        <v>19</v>
      </c>
      <c r="D933" t="str">
        <f>"7"</f>
        <v>7</v>
      </c>
      <c r="E933" t="str">
        <f>"1-19-7"</f>
        <v>1-19-7</v>
      </c>
      <c r="F933" t="s">
        <v>65</v>
      </c>
      <c r="G933" t="s">
        <v>66</v>
      </c>
      <c r="H933" t="s">
        <v>67</v>
      </c>
      <c r="S933">
        <v>0</v>
      </c>
      <c r="T933">
        <v>1</v>
      </c>
      <c r="U933">
        <v>0</v>
      </c>
      <c r="V933">
        <v>0</v>
      </c>
      <c r="W933">
        <v>0</v>
      </c>
      <c r="X933">
        <v>1</v>
      </c>
      <c r="Y933">
        <v>1</v>
      </c>
      <c r="Z933">
        <v>0</v>
      </c>
      <c r="AA933">
        <v>0</v>
      </c>
      <c r="AB933">
        <v>0</v>
      </c>
      <c r="AC933">
        <v>1</v>
      </c>
      <c r="AD933">
        <v>1</v>
      </c>
      <c r="AE933">
        <v>1</v>
      </c>
      <c r="AF933">
        <v>1</v>
      </c>
      <c r="AG933">
        <v>1</v>
      </c>
      <c r="AH933">
        <v>1</v>
      </c>
      <c r="AI933">
        <v>1</v>
      </c>
      <c r="AJ933">
        <v>1</v>
      </c>
      <c r="AK933">
        <v>1</v>
      </c>
      <c r="AL933">
        <v>0</v>
      </c>
      <c r="AM933">
        <v>1</v>
      </c>
    </row>
    <row r="934" spans="1:39" x14ac:dyDescent="0.2">
      <c r="A934" t="str">
        <f>"930"</f>
        <v>930</v>
      </c>
      <c r="B934" t="str">
        <f t="shared" si="49"/>
        <v>1</v>
      </c>
      <c r="C934" t="str">
        <f t="shared" si="51"/>
        <v>19</v>
      </c>
      <c r="D934" t="str">
        <f>"41"</f>
        <v>41</v>
      </c>
      <c r="E934" t="str">
        <f>"1-19-41"</f>
        <v>1-19-41</v>
      </c>
      <c r="F934" t="s">
        <v>65</v>
      </c>
      <c r="G934" t="s">
        <v>66</v>
      </c>
      <c r="H934" t="s">
        <v>67</v>
      </c>
      <c r="S934">
        <v>1</v>
      </c>
      <c r="T934">
        <v>0</v>
      </c>
      <c r="U934">
        <v>0</v>
      </c>
      <c r="V934">
        <v>0</v>
      </c>
      <c r="W934">
        <v>1</v>
      </c>
      <c r="X934">
        <v>0</v>
      </c>
      <c r="Y934">
        <v>1</v>
      </c>
      <c r="Z934">
        <v>0</v>
      </c>
      <c r="AA934">
        <v>0</v>
      </c>
      <c r="AB934">
        <v>1</v>
      </c>
      <c r="AC934">
        <v>0</v>
      </c>
      <c r="AD934">
        <v>1</v>
      </c>
      <c r="AE934">
        <v>1</v>
      </c>
      <c r="AF934">
        <v>1</v>
      </c>
      <c r="AG934">
        <v>1</v>
      </c>
      <c r="AH934">
        <v>1</v>
      </c>
      <c r="AI934">
        <v>1</v>
      </c>
      <c r="AJ934">
        <v>1</v>
      </c>
      <c r="AK934">
        <v>1</v>
      </c>
      <c r="AL934">
        <v>1</v>
      </c>
      <c r="AM934">
        <v>1</v>
      </c>
    </row>
    <row r="935" spans="1:39" x14ac:dyDescent="0.2">
      <c r="A935" t="str">
        <f>"931"</f>
        <v>931</v>
      </c>
      <c r="B935" t="str">
        <f t="shared" si="49"/>
        <v>1</v>
      </c>
      <c r="C935" t="str">
        <f t="shared" si="51"/>
        <v>19</v>
      </c>
      <c r="D935" t="str">
        <f>"23"</f>
        <v>23</v>
      </c>
      <c r="E935" t="str">
        <f>"1-19-23"</f>
        <v>1-19-23</v>
      </c>
      <c r="F935" t="s">
        <v>65</v>
      </c>
      <c r="G935" t="s">
        <v>66</v>
      </c>
      <c r="H935" t="s">
        <v>67</v>
      </c>
      <c r="S935">
        <v>0</v>
      </c>
      <c r="T935">
        <v>0</v>
      </c>
      <c r="U935">
        <v>0</v>
      </c>
      <c r="V935">
        <v>0</v>
      </c>
      <c r="W935">
        <v>1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</row>
    <row r="936" spans="1:39" x14ac:dyDescent="0.2">
      <c r="A936" t="str">
        <f>"932"</f>
        <v>932</v>
      </c>
      <c r="B936" t="str">
        <f t="shared" si="49"/>
        <v>1</v>
      </c>
      <c r="C936" t="str">
        <f t="shared" si="51"/>
        <v>19</v>
      </c>
      <c r="D936" t="str">
        <f>"3"</f>
        <v>3</v>
      </c>
      <c r="E936" t="str">
        <f>"1-19-3"</f>
        <v>1-19-3</v>
      </c>
      <c r="F936" t="s">
        <v>65</v>
      </c>
      <c r="G936" t="s">
        <v>66</v>
      </c>
      <c r="H936" t="s">
        <v>67</v>
      </c>
      <c r="S936">
        <v>1</v>
      </c>
      <c r="T936">
        <v>0</v>
      </c>
      <c r="U936">
        <v>0</v>
      </c>
      <c r="V936">
        <v>0</v>
      </c>
      <c r="W936">
        <v>1</v>
      </c>
      <c r="X936">
        <v>0</v>
      </c>
      <c r="Y936">
        <v>1</v>
      </c>
      <c r="Z936">
        <v>0</v>
      </c>
      <c r="AA936">
        <v>0</v>
      </c>
      <c r="AB936">
        <v>1</v>
      </c>
      <c r="AC936">
        <v>0</v>
      </c>
      <c r="AD936">
        <v>1</v>
      </c>
      <c r="AE936">
        <v>1</v>
      </c>
      <c r="AF936">
        <v>1</v>
      </c>
      <c r="AG936">
        <v>1</v>
      </c>
      <c r="AH936">
        <v>1</v>
      </c>
      <c r="AI936">
        <v>1</v>
      </c>
      <c r="AJ936">
        <v>1</v>
      </c>
      <c r="AK936">
        <v>1</v>
      </c>
      <c r="AL936">
        <v>1</v>
      </c>
      <c r="AM936">
        <v>1</v>
      </c>
    </row>
    <row r="937" spans="1:39" x14ac:dyDescent="0.2">
      <c r="A937" t="str">
        <f>"933"</f>
        <v>933</v>
      </c>
      <c r="B937" t="str">
        <f t="shared" si="49"/>
        <v>1</v>
      </c>
      <c r="C937" t="str">
        <f t="shared" ref="C937:C954" si="52">"19"</f>
        <v>19</v>
      </c>
      <c r="D937" t="str">
        <f>"45"</f>
        <v>45</v>
      </c>
      <c r="E937" t="str">
        <f>"1-19-45"</f>
        <v>1-19-45</v>
      </c>
      <c r="F937" t="s">
        <v>65</v>
      </c>
      <c r="G937" t="s">
        <v>66</v>
      </c>
      <c r="H937" t="s">
        <v>67</v>
      </c>
      <c r="S937">
        <v>1</v>
      </c>
      <c r="T937">
        <v>0</v>
      </c>
      <c r="U937">
        <v>0</v>
      </c>
      <c r="V937">
        <v>0</v>
      </c>
      <c r="W937">
        <v>1</v>
      </c>
      <c r="X937">
        <v>0</v>
      </c>
      <c r="Y937">
        <v>1</v>
      </c>
      <c r="Z937">
        <v>0</v>
      </c>
      <c r="AA937">
        <v>0</v>
      </c>
      <c r="AB937">
        <v>0</v>
      </c>
      <c r="AC937">
        <v>1</v>
      </c>
      <c r="AD937">
        <v>1</v>
      </c>
      <c r="AE937">
        <v>1</v>
      </c>
      <c r="AF937">
        <v>1</v>
      </c>
      <c r="AG937">
        <v>1</v>
      </c>
      <c r="AH937">
        <v>1</v>
      </c>
      <c r="AI937">
        <v>1</v>
      </c>
      <c r="AJ937">
        <v>1</v>
      </c>
      <c r="AK937">
        <v>1</v>
      </c>
      <c r="AL937">
        <v>1</v>
      </c>
      <c r="AM937">
        <v>1</v>
      </c>
    </row>
    <row r="938" spans="1:39" x14ac:dyDescent="0.2">
      <c r="A938" t="str">
        <f>"934"</f>
        <v>934</v>
      </c>
      <c r="B938" t="str">
        <f t="shared" si="49"/>
        <v>1</v>
      </c>
      <c r="C938" t="str">
        <f t="shared" si="52"/>
        <v>19</v>
      </c>
      <c r="D938" t="str">
        <f>"24"</f>
        <v>24</v>
      </c>
      <c r="E938" t="str">
        <f>"1-19-24"</f>
        <v>1-19-24</v>
      </c>
      <c r="F938" t="s">
        <v>65</v>
      </c>
      <c r="G938" t="s">
        <v>66</v>
      </c>
      <c r="H938" t="s">
        <v>67</v>
      </c>
      <c r="S938">
        <v>0</v>
      </c>
      <c r="T938">
        <v>1</v>
      </c>
      <c r="U938">
        <v>0</v>
      </c>
      <c r="V938">
        <v>0</v>
      </c>
      <c r="W938">
        <v>1</v>
      </c>
      <c r="X938">
        <v>0</v>
      </c>
      <c r="Y938">
        <v>1</v>
      </c>
      <c r="Z938">
        <v>0</v>
      </c>
      <c r="AA938">
        <v>0</v>
      </c>
      <c r="AB938">
        <v>0</v>
      </c>
      <c r="AC938">
        <v>1</v>
      </c>
      <c r="AD938">
        <v>1</v>
      </c>
      <c r="AE938">
        <v>1</v>
      </c>
      <c r="AF938">
        <v>1</v>
      </c>
      <c r="AG938">
        <v>1</v>
      </c>
      <c r="AH938">
        <v>1</v>
      </c>
      <c r="AI938">
        <v>1</v>
      </c>
      <c r="AJ938">
        <v>1</v>
      </c>
      <c r="AK938">
        <v>1</v>
      </c>
      <c r="AL938">
        <v>1</v>
      </c>
      <c r="AM938">
        <v>1</v>
      </c>
    </row>
    <row r="939" spans="1:39" x14ac:dyDescent="0.2">
      <c r="A939" t="str">
        <f>"935"</f>
        <v>935</v>
      </c>
      <c r="B939" t="str">
        <f t="shared" si="49"/>
        <v>1</v>
      </c>
      <c r="C939" t="str">
        <f t="shared" si="52"/>
        <v>19</v>
      </c>
      <c r="D939" t="str">
        <f>"9"</f>
        <v>9</v>
      </c>
      <c r="E939" t="str">
        <f>"1-19-9"</f>
        <v>1-19-9</v>
      </c>
      <c r="F939" t="s">
        <v>65</v>
      </c>
      <c r="G939" t="s">
        <v>66</v>
      </c>
      <c r="H939" t="s">
        <v>67</v>
      </c>
      <c r="S939">
        <v>1</v>
      </c>
      <c r="T939">
        <v>0</v>
      </c>
      <c r="U939">
        <v>0</v>
      </c>
      <c r="V939">
        <v>0</v>
      </c>
      <c r="W939">
        <v>1</v>
      </c>
      <c r="X939">
        <v>0</v>
      </c>
      <c r="Y939">
        <v>1</v>
      </c>
      <c r="Z939">
        <v>0</v>
      </c>
      <c r="AA939">
        <v>0</v>
      </c>
      <c r="AB939">
        <v>0</v>
      </c>
      <c r="AC939">
        <v>1</v>
      </c>
      <c r="AD939">
        <v>1</v>
      </c>
      <c r="AE939">
        <v>1</v>
      </c>
      <c r="AF939">
        <v>1</v>
      </c>
      <c r="AG939">
        <v>1</v>
      </c>
      <c r="AH939">
        <v>1</v>
      </c>
      <c r="AI939">
        <v>1</v>
      </c>
      <c r="AJ939">
        <v>1</v>
      </c>
      <c r="AK939">
        <v>1</v>
      </c>
      <c r="AL939">
        <v>1</v>
      </c>
      <c r="AM939">
        <v>1</v>
      </c>
    </row>
    <row r="940" spans="1:39" x14ac:dyDescent="0.2">
      <c r="A940" t="str">
        <f>"936"</f>
        <v>936</v>
      </c>
      <c r="B940" t="str">
        <f t="shared" si="49"/>
        <v>1</v>
      </c>
      <c r="C940" t="str">
        <f t="shared" si="52"/>
        <v>19</v>
      </c>
      <c r="D940" t="str">
        <f>"42"</f>
        <v>42</v>
      </c>
      <c r="E940" t="str">
        <f>"1-19-42"</f>
        <v>1-19-42</v>
      </c>
      <c r="F940" t="s">
        <v>65</v>
      </c>
      <c r="G940" t="s">
        <v>66</v>
      </c>
      <c r="H940" t="s">
        <v>67</v>
      </c>
      <c r="S940">
        <v>1</v>
      </c>
      <c r="T940">
        <v>0</v>
      </c>
      <c r="U940">
        <v>0</v>
      </c>
      <c r="V940">
        <v>0</v>
      </c>
      <c r="W940">
        <v>1</v>
      </c>
      <c r="X940">
        <v>0</v>
      </c>
      <c r="Y940">
        <v>1</v>
      </c>
      <c r="Z940">
        <v>0</v>
      </c>
      <c r="AA940">
        <v>0</v>
      </c>
      <c r="AB940">
        <v>0</v>
      </c>
      <c r="AC940">
        <v>1</v>
      </c>
      <c r="AD940">
        <v>1</v>
      </c>
      <c r="AE940">
        <v>1</v>
      </c>
      <c r="AF940">
        <v>1</v>
      </c>
      <c r="AG940">
        <v>1</v>
      </c>
      <c r="AH940">
        <v>1</v>
      </c>
      <c r="AI940">
        <v>1</v>
      </c>
      <c r="AJ940">
        <v>1</v>
      </c>
      <c r="AK940">
        <v>1</v>
      </c>
      <c r="AL940">
        <v>1</v>
      </c>
      <c r="AM940">
        <v>1</v>
      </c>
    </row>
    <row r="941" spans="1:39" x14ac:dyDescent="0.2">
      <c r="A941" t="str">
        <f>"937"</f>
        <v>937</v>
      </c>
      <c r="B941" t="str">
        <f t="shared" si="49"/>
        <v>1</v>
      </c>
      <c r="C941" t="str">
        <f t="shared" si="52"/>
        <v>19</v>
      </c>
      <c r="D941" t="str">
        <f>"25"</f>
        <v>25</v>
      </c>
      <c r="E941" t="str">
        <f>"1-19-25"</f>
        <v>1-19-25</v>
      </c>
      <c r="F941" t="s">
        <v>65</v>
      </c>
      <c r="G941" t="s">
        <v>66</v>
      </c>
      <c r="H941" t="s">
        <v>67</v>
      </c>
      <c r="S941">
        <v>0</v>
      </c>
      <c r="T941">
        <v>1</v>
      </c>
      <c r="U941">
        <v>0</v>
      </c>
      <c r="V941">
        <v>0</v>
      </c>
      <c r="W941">
        <v>1</v>
      </c>
      <c r="X941">
        <v>0</v>
      </c>
      <c r="Y941">
        <v>1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1</v>
      </c>
      <c r="AF941">
        <v>1</v>
      </c>
      <c r="AG941">
        <v>1</v>
      </c>
      <c r="AH941">
        <v>1</v>
      </c>
      <c r="AI941">
        <v>1</v>
      </c>
      <c r="AJ941">
        <v>1</v>
      </c>
      <c r="AK941">
        <v>1</v>
      </c>
      <c r="AL941">
        <v>1</v>
      </c>
      <c r="AM941">
        <v>1</v>
      </c>
    </row>
    <row r="942" spans="1:39" x14ac:dyDescent="0.2">
      <c r="A942" t="str">
        <f>"938"</f>
        <v>938</v>
      </c>
      <c r="B942" t="str">
        <f t="shared" si="49"/>
        <v>1</v>
      </c>
      <c r="C942" t="str">
        <f t="shared" si="52"/>
        <v>19</v>
      </c>
      <c r="D942" t="str">
        <f>"8"</f>
        <v>8</v>
      </c>
      <c r="E942" t="str">
        <f>"1-19-8"</f>
        <v>1-19-8</v>
      </c>
      <c r="F942" t="s">
        <v>65</v>
      </c>
      <c r="G942" t="s">
        <v>66</v>
      </c>
      <c r="H942" t="s">
        <v>67</v>
      </c>
      <c r="S942">
        <v>0</v>
      </c>
      <c r="T942">
        <v>1</v>
      </c>
      <c r="U942">
        <v>0</v>
      </c>
      <c r="V942">
        <v>0</v>
      </c>
      <c r="W942">
        <v>0</v>
      </c>
      <c r="X942">
        <v>1</v>
      </c>
      <c r="Y942">
        <v>1</v>
      </c>
      <c r="Z942">
        <v>0</v>
      </c>
      <c r="AA942">
        <v>0</v>
      </c>
      <c r="AB942">
        <v>0</v>
      </c>
      <c r="AC942">
        <v>1</v>
      </c>
      <c r="AD942">
        <v>1</v>
      </c>
      <c r="AE942">
        <v>1</v>
      </c>
      <c r="AF942">
        <v>1</v>
      </c>
      <c r="AG942">
        <v>1</v>
      </c>
      <c r="AH942">
        <v>1</v>
      </c>
      <c r="AI942">
        <v>1</v>
      </c>
      <c r="AJ942">
        <v>1</v>
      </c>
      <c r="AK942">
        <v>1</v>
      </c>
      <c r="AL942">
        <v>0</v>
      </c>
      <c r="AM942">
        <v>1</v>
      </c>
    </row>
    <row r="943" spans="1:39" x14ac:dyDescent="0.2">
      <c r="A943" t="str">
        <f>"939"</f>
        <v>939</v>
      </c>
      <c r="B943" t="str">
        <f t="shared" si="49"/>
        <v>1</v>
      </c>
      <c r="C943" t="str">
        <f t="shared" si="52"/>
        <v>19</v>
      </c>
      <c r="D943" t="str">
        <f>"44"</f>
        <v>44</v>
      </c>
      <c r="E943" t="str">
        <f>"1-19-44"</f>
        <v>1-19-44</v>
      </c>
      <c r="F943" t="s">
        <v>65</v>
      </c>
      <c r="G943" t="s">
        <v>66</v>
      </c>
      <c r="H943" t="s">
        <v>67</v>
      </c>
      <c r="S943">
        <v>1</v>
      </c>
      <c r="T943">
        <v>0</v>
      </c>
      <c r="U943">
        <v>0</v>
      </c>
      <c r="V943">
        <v>0</v>
      </c>
      <c r="W943">
        <v>1</v>
      </c>
      <c r="X943">
        <v>0</v>
      </c>
      <c r="Y943">
        <v>1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1</v>
      </c>
      <c r="AF943">
        <v>1</v>
      </c>
      <c r="AG943">
        <v>1</v>
      </c>
      <c r="AH943">
        <v>1</v>
      </c>
      <c r="AI943">
        <v>1</v>
      </c>
      <c r="AJ943">
        <v>1</v>
      </c>
      <c r="AK943">
        <v>1</v>
      </c>
      <c r="AL943">
        <v>1</v>
      </c>
      <c r="AM943">
        <v>1</v>
      </c>
    </row>
    <row r="944" spans="1:39" x14ac:dyDescent="0.2">
      <c r="A944" t="str">
        <f>"940"</f>
        <v>940</v>
      </c>
      <c r="B944" t="str">
        <f t="shared" si="49"/>
        <v>1</v>
      </c>
      <c r="C944" t="str">
        <f t="shared" si="52"/>
        <v>19</v>
      </c>
      <c r="D944" t="str">
        <f>"26"</f>
        <v>26</v>
      </c>
      <c r="E944" t="str">
        <f>"1-19-26"</f>
        <v>1-19-26</v>
      </c>
      <c r="F944" t="s">
        <v>65</v>
      </c>
      <c r="G944" t="s">
        <v>66</v>
      </c>
      <c r="H944" t="s">
        <v>67</v>
      </c>
      <c r="S944">
        <v>0</v>
      </c>
      <c r="T944">
        <v>1</v>
      </c>
      <c r="U944">
        <v>0</v>
      </c>
      <c r="V944">
        <v>0</v>
      </c>
      <c r="W944">
        <v>1</v>
      </c>
      <c r="X944">
        <v>0</v>
      </c>
      <c r="Y944">
        <v>1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1</v>
      </c>
      <c r="AF944">
        <v>1</v>
      </c>
      <c r="AG944">
        <v>1</v>
      </c>
      <c r="AH944">
        <v>1</v>
      </c>
      <c r="AI944">
        <v>1</v>
      </c>
      <c r="AJ944">
        <v>1</v>
      </c>
      <c r="AK944">
        <v>1</v>
      </c>
      <c r="AL944">
        <v>1</v>
      </c>
      <c r="AM944">
        <v>1</v>
      </c>
    </row>
    <row r="945" spans="1:39" x14ac:dyDescent="0.2">
      <c r="A945" t="str">
        <f>"941"</f>
        <v>941</v>
      </c>
      <c r="B945" t="str">
        <f t="shared" si="49"/>
        <v>1</v>
      </c>
      <c r="C945" t="str">
        <f t="shared" si="52"/>
        <v>19</v>
      </c>
      <c r="D945" t="str">
        <f>"13"</f>
        <v>13</v>
      </c>
      <c r="E945" t="str">
        <f>"1-19-13"</f>
        <v>1-19-13</v>
      </c>
      <c r="F945" t="s">
        <v>65</v>
      </c>
      <c r="G945" t="s">
        <v>66</v>
      </c>
      <c r="H945" t="s">
        <v>67</v>
      </c>
      <c r="S945">
        <v>1</v>
      </c>
      <c r="T945">
        <v>0</v>
      </c>
      <c r="U945">
        <v>0</v>
      </c>
      <c r="V945">
        <v>0</v>
      </c>
      <c r="W945">
        <v>1</v>
      </c>
      <c r="X945">
        <v>0</v>
      </c>
      <c r="Y945">
        <v>1</v>
      </c>
      <c r="Z945">
        <v>0</v>
      </c>
      <c r="AA945">
        <v>0</v>
      </c>
      <c r="AB945">
        <v>1</v>
      </c>
      <c r="AC945">
        <v>0</v>
      </c>
      <c r="AD945">
        <v>1</v>
      </c>
      <c r="AE945">
        <v>1</v>
      </c>
      <c r="AF945">
        <v>1</v>
      </c>
      <c r="AG945">
        <v>1</v>
      </c>
      <c r="AH945">
        <v>1</v>
      </c>
      <c r="AI945">
        <v>1</v>
      </c>
      <c r="AJ945">
        <v>1</v>
      </c>
      <c r="AK945">
        <v>1</v>
      </c>
      <c r="AL945">
        <v>1</v>
      </c>
      <c r="AM945">
        <v>1</v>
      </c>
    </row>
    <row r="946" spans="1:39" x14ac:dyDescent="0.2">
      <c r="A946" t="str">
        <f>"942"</f>
        <v>942</v>
      </c>
      <c r="B946" t="str">
        <f t="shared" si="49"/>
        <v>1</v>
      </c>
      <c r="C946" t="str">
        <f t="shared" si="52"/>
        <v>19</v>
      </c>
      <c r="D946" t="str">
        <f>"43"</f>
        <v>43</v>
      </c>
      <c r="E946" t="str">
        <f>"1-19-43"</f>
        <v>1-19-43</v>
      </c>
      <c r="F946" t="s">
        <v>65</v>
      </c>
      <c r="G946" t="s">
        <v>66</v>
      </c>
      <c r="H946" t="s">
        <v>67</v>
      </c>
      <c r="S946">
        <v>1</v>
      </c>
      <c r="T946">
        <v>0</v>
      </c>
      <c r="U946">
        <v>0</v>
      </c>
      <c r="V946">
        <v>0</v>
      </c>
      <c r="W946">
        <v>1</v>
      </c>
      <c r="X946">
        <v>0</v>
      </c>
      <c r="Y946">
        <v>1</v>
      </c>
      <c r="Z946">
        <v>0</v>
      </c>
      <c r="AA946">
        <v>0</v>
      </c>
      <c r="AB946">
        <v>1</v>
      </c>
      <c r="AC946">
        <v>0</v>
      </c>
      <c r="AD946">
        <v>0</v>
      </c>
      <c r="AE946">
        <v>0</v>
      </c>
      <c r="AF946">
        <v>0</v>
      </c>
      <c r="AG946">
        <v>1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</row>
    <row r="947" spans="1:39" x14ac:dyDescent="0.2">
      <c r="A947" t="str">
        <f>"943"</f>
        <v>943</v>
      </c>
      <c r="B947" t="str">
        <f t="shared" si="49"/>
        <v>1</v>
      </c>
      <c r="C947" t="str">
        <f t="shared" si="52"/>
        <v>19</v>
      </c>
      <c r="D947" t="str">
        <f>"27"</f>
        <v>27</v>
      </c>
      <c r="E947" t="str">
        <f>"1-19-27"</f>
        <v>1-19-27</v>
      </c>
      <c r="F947" t="s">
        <v>65</v>
      </c>
      <c r="G947" t="s">
        <v>66</v>
      </c>
      <c r="H947" t="s">
        <v>67</v>
      </c>
      <c r="S947">
        <v>0</v>
      </c>
      <c r="T947">
        <v>1</v>
      </c>
      <c r="U947">
        <v>0</v>
      </c>
      <c r="V947">
        <v>0</v>
      </c>
      <c r="W947">
        <v>1</v>
      </c>
      <c r="X947">
        <v>0</v>
      </c>
      <c r="Y947">
        <v>1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1</v>
      </c>
      <c r="AF947">
        <v>1</v>
      </c>
      <c r="AG947">
        <v>1</v>
      </c>
      <c r="AH947">
        <v>1</v>
      </c>
      <c r="AI947">
        <v>1</v>
      </c>
      <c r="AJ947">
        <v>1</v>
      </c>
      <c r="AK947">
        <v>1</v>
      </c>
      <c r="AL947">
        <v>1</v>
      </c>
      <c r="AM947">
        <v>1</v>
      </c>
    </row>
    <row r="948" spans="1:39" x14ac:dyDescent="0.2">
      <c r="A948" t="str">
        <f>"944"</f>
        <v>944</v>
      </c>
      <c r="B948" t="str">
        <f t="shared" si="49"/>
        <v>1</v>
      </c>
      <c r="C948" t="str">
        <f t="shared" si="52"/>
        <v>19</v>
      </c>
      <c r="D948" t="str">
        <f>"14"</f>
        <v>14</v>
      </c>
      <c r="E948" t="str">
        <f>"1-19-14"</f>
        <v>1-19-14</v>
      </c>
      <c r="F948" t="s">
        <v>65</v>
      </c>
      <c r="G948" t="s">
        <v>66</v>
      </c>
      <c r="H948" t="s">
        <v>67</v>
      </c>
      <c r="S948">
        <v>1</v>
      </c>
      <c r="T948">
        <v>0</v>
      </c>
      <c r="U948">
        <v>0</v>
      </c>
      <c r="V948">
        <v>0</v>
      </c>
      <c r="W948">
        <v>1</v>
      </c>
      <c r="X948">
        <v>0</v>
      </c>
      <c r="Y948">
        <v>1</v>
      </c>
      <c r="Z948">
        <v>0</v>
      </c>
      <c r="AA948">
        <v>0</v>
      </c>
      <c r="AB948">
        <v>1</v>
      </c>
      <c r="AC948">
        <v>0</v>
      </c>
      <c r="AD948">
        <v>1</v>
      </c>
      <c r="AE948">
        <v>1</v>
      </c>
      <c r="AF948">
        <v>1</v>
      </c>
      <c r="AG948">
        <v>1</v>
      </c>
      <c r="AH948">
        <v>1</v>
      </c>
      <c r="AI948">
        <v>1</v>
      </c>
      <c r="AJ948">
        <v>1</v>
      </c>
      <c r="AK948">
        <v>1</v>
      </c>
      <c r="AL948">
        <v>1</v>
      </c>
      <c r="AM948">
        <v>1</v>
      </c>
    </row>
    <row r="949" spans="1:39" x14ac:dyDescent="0.2">
      <c r="A949" t="str">
        <f>"945"</f>
        <v>945</v>
      </c>
      <c r="B949" t="str">
        <f t="shared" si="49"/>
        <v>1</v>
      </c>
      <c r="C949" t="str">
        <f t="shared" si="52"/>
        <v>19</v>
      </c>
      <c r="D949" t="str">
        <f>"40"</f>
        <v>40</v>
      </c>
      <c r="E949" t="str">
        <f>"1-19-40"</f>
        <v>1-19-40</v>
      </c>
      <c r="F949" t="s">
        <v>65</v>
      </c>
      <c r="G949" t="s">
        <v>66</v>
      </c>
      <c r="H949" t="s">
        <v>67</v>
      </c>
      <c r="S949">
        <v>1</v>
      </c>
      <c r="T949">
        <v>0</v>
      </c>
      <c r="U949">
        <v>0</v>
      </c>
      <c r="V949">
        <v>0</v>
      </c>
      <c r="W949">
        <v>0</v>
      </c>
      <c r="X949">
        <v>1</v>
      </c>
      <c r="Y949">
        <v>0</v>
      </c>
      <c r="Z949">
        <v>1</v>
      </c>
      <c r="AA949">
        <v>0</v>
      </c>
      <c r="AB949">
        <v>0</v>
      </c>
      <c r="AC949">
        <v>1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</row>
    <row r="950" spans="1:39" x14ac:dyDescent="0.2">
      <c r="A950" t="str">
        <f>"946"</f>
        <v>946</v>
      </c>
      <c r="B950" t="str">
        <f t="shared" si="49"/>
        <v>1</v>
      </c>
      <c r="C950" t="str">
        <f t="shared" si="52"/>
        <v>19</v>
      </c>
      <c r="D950" t="str">
        <f>"28"</f>
        <v>28</v>
      </c>
      <c r="E950" t="str">
        <f>"1-19-28"</f>
        <v>1-19-28</v>
      </c>
      <c r="F950" t="s">
        <v>65</v>
      </c>
      <c r="G950" t="s">
        <v>66</v>
      </c>
      <c r="H950" t="s">
        <v>67</v>
      </c>
      <c r="S950">
        <v>0</v>
      </c>
      <c r="T950">
        <v>1</v>
      </c>
      <c r="U950">
        <v>0</v>
      </c>
      <c r="V950">
        <v>0</v>
      </c>
      <c r="W950">
        <v>1</v>
      </c>
      <c r="X950">
        <v>0</v>
      </c>
      <c r="Y950">
        <v>1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1</v>
      </c>
      <c r="AF950">
        <v>1</v>
      </c>
      <c r="AG950">
        <v>1</v>
      </c>
      <c r="AH950">
        <v>1</v>
      </c>
      <c r="AI950">
        <v>1</v>
      </c>
      <c r="AJ950">
        <v>1</v>
      </c>
      <c r="AK950">
        <v>1</v>
      </c>
      <c r="AL950">
        <v>1</v>
      </c>
      <c r="AM950">
        <v>1</v>
      </c>
    </row>
    <row r="951" spans="1:39" x14ac:dyDescent="0.2">
      <c r="A951" t="str">
        <f>"947"</f>
        <v>947</v>
      </c>
      <c r="B951" t="str">
        <f t="shared" ref="B951:B1014" si="53">"1"</f>
        <v>1</v>
      </c>
      <c r="C951" t="str">
        <f t="shared" si="52"/>
        <v>19</v>
      </c>
      <c r="D951" t="str">
        <f>"12"</f>
        <v>12</v>
      </c>
      <c r="E951" t="str">
        <f>"1-19-12"</f>
        <v>1-19-12</v>
      </c>
      <c r="F951" t="s">
        <v>65</v>
      </c>
      <c r="G951" t="s">
        <v>66</v>
      </c>
      <c r="H951" t="s">
        <v>67</v>
      </c>
      <c r="S951">
        <v>1</v>
      </c>
      <c r="T951">
        <v>0</v>
      </c>
      <c r="U951">
        <v>0</v>
      </c>
      <c r="V951">
        <v>0</v>
      </c>
      <c r="W951">
        <v>1</v>
      </c>
      <c r="X951">
        <v>0</v>
      </c>
      <c r="Y951">
        <v>1</v>
      </c>
      <c r="Z951">
        <v>0</v>
      </c>
      <c r="AA951">
        <v>0</v>
      </c>
      <c r="AB951">
        <v>0</v>
      </c>
      <c r="AC951">
        <v>1</v>
      </c>
      <c r="AD951">
        <v>1</v>
      </c>
      <c r="AE951">
        <v>1</v>
      </c>
      <c r="AF951">
        <v>1</v>
      </c>
      <c r="AG951">
        <v>1</v>
      </c>
      <c r="AH951">
        <v>1</v>
      </c>
      <c r="AI951">
        <v>1</v>
      </c>
      <c r="AJ951">
        <v>1</v>
      </c>
      <c r="AK951">
        <v>1</v>
      </c>
      <c r="AL951">
        <v>1</v>
      </c>
      <c r="AM951">
        <v>1</v>
      </c>
    </row>
    <row r="952" spans="1:39" x14ac:dyDescent="0.2">
      <c r="A952" t="str">
        <f>"948"</f>
        <v>948</v>
      </c>
      <c r="B952" t="str">
        <f t="shared" si="53"/>
        <v>1</v>
      </c>
      <c r="C952" t="str">
        <f t="shared" si="52"/>
        <v>19</v>
      </c>
      <c r="D952" t="str">
        <f>"50"</f>
        <v>50</v>
      </c>
      <c r="E952" t="str">
        <f>"1-19-50"</f>
        <v>1-19-50</v>
      </c>
      <c r="F952" t="s">
        <v>65</v>
      </c>
      <c r="G952" t="s">
        <v>66</v>
      </c>
      <c r="H952" t="s">
        <v>68</v>
      </c>
      <c r="I952">
        <v>1</v>
      </c>
      <c r="J952">
        <v>0</v>
      </c>
      <c r="K952">
        <v>0</v>
      </c>
      <c r="L952">
        <v>0</v>
      </c>
      <c r="M952">
        <v>1</v>
      </c>
      <c r="N952">
        <v>1</v>
      </c>
      <c r="O952">
        <v>1</v>
      </c>
      <c r="P952">
        <v>1</v>
      </c>
      <c r="Q952">
        <v>1</v>
      </c>
      <c r="R952">
        <v>1</v>
      </c>
    </row>
    <row r="953" spans="1:39" x14ac:dyDescent="0.2">
      <c r="A953" t="str">
        <f>"949"</f>
        <v>949</v>
      </c>
      <c r="B953" t="str">
        <f t="shared" si="53"/>
        <v>1</v>
      </c>
      <c r="C953" t="str">
        <f t="shared" si="52"/>
        <v>19</v>
      </c>
      <c r="D953" t="str">
        <f>"30"</f>
        <v>30</v>
      </c>
      <c r="E953" t="str">
        <f>"1-19-30"</f>
        <v>1-19-30</v>
      </c>
      <c r="F953" t="s">
        <v>65</v>
      </c>
      <c r="G953" t="s">
        <v>66</v>
      </c>
      <c r="H953" t="s">
        <v>67</v>
      </c>
      <c r="S953">
        <v>1</v>
      </c>
      <c r="T953">
        <v>0</v>
      </c>
      <c r="U953">
        <v>0</v>
      </c>
      <c r="V953">
        <v>0</v>
      </c>
      <c r="W953">
        <v>1</v>
      </c>
      <c r="X953">
        <v>0</v>
      </c>
      <c r="Y953">
        <v>0</v>
      </c>
      <c r="Z953">
        <v>1</v>
      </c>
      <c r="AA953">
        <v>1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1</v>
      </c>
      <c r="AJ953">
        <v>0</v>
      </c>
      <c r="AK953">
        <v>0</v>
      </c>
      <c r="AL953">
        <v>1</v>
      </c>
      <c r="AM953">
        <v>0</v>
      </c>
    </row>
    <row r="954" spans="1:39" x14ac:dyDescent="0.2">
      <c r="A954" t="str">
        <f>"950"</f>
        <v>950</v>
      </c>
      <c r="B954" t="str">
        <f t="shared" si="53"/>
        <v>1</v>
      </c>
      <c r="C954" t="str">
        <f t="shared" si="52"/>
        <v>19</v>
      </c>
      <c r="D954" t="str">
        <f>"5"</f>
        <v>5</v>
      </c>
      <c r="E954" t="str">
        <f>"1-19-5"</f>
        <v>1-19-5</v>
      </c>
      <c r="F954" t="s">
        <v>65</v>
      </c>
      <c r="G954" t="s">
        <v>66</v>
      </c>
      <c r="H954" t="s">
        <v>67</v>
      </c>
      <c r="S954">
        <v>1</v>
      </c>
      <c r="T954">
        <v>0</v>
      </c>
      <c r="U954">
        <v>0</v>
      </c>
      <c r="V954">
        <v>0</v>
      </c>
      <c r="W954">
        <v>1</v>
      </c>
      <c r="X954">
        <v>0</v>
      </c>
      <c r="Y954">
        <v>1</v>
      </c>
      <c r="Z954">
        <v>0</v>
      </c>
      <c r="AA954">
        <v>0</v>
      </c>
      <c r="AB954">
        <v>0</v>
      </c>
      <c r="AC954">
        <v>1</v>
      </c>
      <c r="AD954">
        <v>1</v>
      </c>
      <c r="AE954">
        <v>1</v>
      </c>
      <c r="AF954">
        <v>1</v>
      </c>
      <c r="AG954">
        <v>1</v>
      </c>
      <c r="AH954">
        <v>1</v>
      </c>
      <c r="AI954">
        <v>1</v>
      </c>
      <c r="AJ954">
        <v>1</v>
      </c>
      <c r="AK954">
        <v>1</v>
      </c>
      <c r="AL954">
        <v>1</v>
      </c>
      <c r="AM954">
        <v>1</v>
      </c>
    </row>
    <row r="955" spans="1:39" x14ac:dyDescent="0.2">
      <c r="A955" t="str">
        <f>"951"</f>
        <v>951</v>
      </c>
      <c r="B955" t="str">
        <f t="shared" si="53"/>
        <v>1</v>
      </c>
      <c r="C955" t="str">
        <f t="shared" ref="C955:C986" si="54">"20"</f>
        <v>20</v>
      </c>
      <c r="D955" t="str">
        <f>"49"</f>
        <v>49</v>
      </c>
      <c r="E955" t="str">
        <f>"1-20-49"</f>
        <v>1-20-49</v>
      </c>
      <c r="F955" t="s">
        <v>65</v>
      </c>
      <c r="G955" t="s">
        <v>66</v>
      </c>
      <c r="H955" t="s">
        <v>67</v>
      </c>
      <c r="S955">
        <v>0</v>
      </c>
      <c r="T955">
        <v>1</v>
      </c>
      <c r="U955">
        <v>0</v>
      </c>
      <c r="V955">
        <v>0</v>
      </c>
      <c r="W955">
        <v>1</v>
      </c>
      <c r="X955">
        <v>0</v>
      </c>
      <c r="Y955">
        <v>0</v>
      </c>
      <c r="Z955">
        <v>1</v>
      </c>
      <c r="AA955">
        <v>1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1</v>
      </c>
      <c r="AH955">
        <v>1</v>
      </c>
      <c r="AI955">
        <v>1</v>
      </c>
      <c r="AJ955">
        <v>1</v>
      </c>
      <c r="AK955">
        <v>1</v>
      </c>
      <c r="AL955">
        <v>1</v>
      </c>
      <c r="AM955">
        <v>0</v>
      </c>
    </row>
    <row r="956" spans="1:39" x14ac:dyDescent="0.2">
      <c r="A956" t="str">
        <f>"952"</f>
        <v>952</v>
      </c>
      <c r="B956" t="str">
        <f t="shared" si="53"/>
        <v>1</v>
      </c>
      <c r="C956" t="str">
        <f t="shared" si="54"/>
        <v>20</v>
      </c>
      <c r="D956" t="str">
        <f>"48"</f>
        <v>48</v>
      </c>
      <c r="E956" t="str">
        <f>"1-20-48"</f>
        <v>1-20-48</v>
      </c>
      <c r="F956" t="s">
        <v>65</v>
      </c>
      <c r="G956" t="s">
        <v>66</v>
      </c>
      <c r="H956" t="s">
        <v>67</v>
      </c>
      <c r="S956">
        <v>0</v>
      </c>
      <c r="T956">
        <v>1</v>
      </c>
      <c r="U956">
        <v>0</v>
      </c>
      <c r="V956">
        <v>0</v>
      </c>
      <c r="W956">
        <v>1</v>
      </c>
      <c r="X956">
        <v>0</v>
      </c>
      <c r="Y956">
        <v>0</v>
      </c>
      <c r="Z956">
        <v>1</v>
      </c>
      <c r="AA956">
        <v>1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1</v>
      </c>
      <c r="AH956">
        <v>1</v>
      </c>
      <c r="AI956">
        <v>1</v>
      </c>
      <c r="AJ956">
        <v>1</v>
      </c>
      <c r="AK956">
        <v>1</v>
      </c>
      <c r="AL956">
        <v>1</v>
      </c>
      <c r="AM956">
        <v>1</v>
      </c>
    </row>
    <row r="957" spans="1:39" x14ac:dyDescent="0.2">
      <c r="A957" t="str">
        <f>"953"</f>
        <v>953</v>
      </c>
      <c r="B957" t="str">
        <f t="shared" si="53"/>
        <v>1</v>
      </c>
      <c r="C957" t="str">
        <f t="shared" si="54"/>
        <v>20</v>
      </c>
      <c r="D957" t="str">
        <f>"32"</f>
        <v>32</v>
      </c>
      <c r="E957" t="str">
        <f>"1-20-32"</f>
        <v>1-20-32</v>
      </c>
      <c r="F957" t="s">
        <v>65</v>
      </c>
      <c r="G957" t="s">
        <v>66</v>
      </c>
      <c r="H957" t="s">
        <v>67</v>
      </c>
      <c r="S957">
        <v>0</v>
      </c>
      <c r="T957">
        <v>1</v>
      </c>
      <c r="U957">
        <v>0</v>
      </c>
      <c r="V957">
        <v>0</v>
      </c>
      <c r="W957">
        <v>1</v>
      </c>
      <c r="X957">
        <v>0</v>
      </c>
      <c r="Y957">
        <v>1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1</v>
      </c>
      <c r="AF957">
        <v>1</v>
      </c>
      <c r="AG957">
        <v>1</v>
      </c>
      <c r="AH957">
        <v>1</v>
      </c>
      <c r="AI957">
        <v>1</v>
      </c>
      <c r="AJ957">
        <v>1</v>
      </c>
      <c r="AK957">
        <v>1</v>
      </c>
      <c r="AL957">
        <v>1</v>
      </c>
      <c r="AM957">
        <v>1</v>
      </c>
    </row>
    <row r="958" spans="1:39" x14ac:dyDescent="0.2">
      <c r="A958" t="str">
        <f>"954"</f>
        <v>954</v>
      </c>
      <c r="B958" t="str">
        <f t="shared" si="53"/>
        <v>1</v>
      </c>
      <c r="C958" t="str">
        <f t="shared" si="54"/>
        <v>20</v>
      </c>
      <c r="D958" t="str">
        <f>"31"</f>
        <v>31</v>
      </c>
      <c r="E958" t="str">
        <f>"1-20-31"</f>
        <v>1-20-31</v>
      </c>
      <c r="F958" t="s">
        <v>65</v>
      </c>
      <c r="G958" t="s">
        <v>66</v>
      </c>
      <c r="H958" t="s">
        <v>67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0</v>
      </c>
      <c r="AB958">
        <v>1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</row>
    <row r="959" spans="1:39" x14ac:dyDescent="0.2">
      <c r="A959" t="str">
        <f>"955"</f>
        <v>955</v>
      </c>
      <c r="B959" t="str">
        <f t="shared" si="53"/>
        <v>1</v>
      </c>
      <c r="C959" t="str">
        <f t="shared" si="54"/>
        <v>20</v>
      </c>
      <c r="D959" t="str">
        <f>"22"</f>
        <v>22</v>
      </c>
      <c r="E959" t="str">
        <f>"1-20-22"</f>
        <v>1-20-22</v>
      </c>
      <c r="F959" t="s">
        <v>65</v>
      </c>
      <c r="G959" t="s">
        <v>66</v>
      </c>
      <c r="H959" t="s">
        <v>67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1</v>
      </c>
      <c r="Y959">
        <v>0</v>
      </c>
      <c r="Z959">
        <v>1</v>
      </c>
      <c r="AA959">
        <v>0</v>
      </c>
      <c r="AB959">
        <v>1</v>
      </c>
      <c r="AC959">
        <v>0</v>
      </c>
      <c r="AD959">
        <v>1</v>
      </c>
      <c r="AE959">
        <v>1</v>
      </c>
      <c r="AF959">
        <v>1</v>
      </c>
      <c r="AG959">
        <v>0</v>
      </c>
      <c r="AH959">
        <v>1</v>
      </c>
      <c r="AI959">
        <v>1</v>
      </c>
      <c r="AJ959">
        <v>1</v>
      </c>
      <c r="AK959">
        <v>1</v>
      </c>
      <c r="AL959">
        <v>1</v>
      </c>
      <c r="AM959">
        <v>0</v>
      </c>
    </row>
    <row r="960" spans="1:39" x14ac:dyDescent="0.2">
      <c r="A960" t="str">
        <f>"956"</f>
        <v>956</v>
      </c>
      <c r="B960" t="str">
        <f t="shared" si="53"/>
        <v>1</v>
      </c>
      <c r="C960" t="str">
        <f t="shared" si="54"/>
        <v>20</v>
      </c>
      <c r="D960" t="str">
        <f>"15"</f>
        <v>15</v>
      </c>
      <c r="E960" t="str">
        <f>"1-20-15"</f>
        <v>1-20-15</v>
      </c>
      <c r="F960" t="s">
        <v>65</v>
      </c>
      <c r="G960" t="s">
        <v>66</v>
      </c>
      <c r="H960" t="s">
        <v>67</v>
      </c>
      <c r="S960">
        <v>1</v>
      </c>
      <c r="T960">
        <v>0</v>
      </c>
      <c r="U960">
        <v>0</v>
      </c>
      <c r="V960">
        <v>0</v>
      </c>
      <c r="W960">
        <v>1</v>
      </c>
      <c r="X960">
        <v>0</v>
      </c>
      <c r="Y960">
        <v>1</v>
      </c>
      <c r="Z960">
        <v>0</v>
      </c>
      <c r="AA960">
        <v>0</v>
      </c>
      <c r="AB960">
        <v>1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</row>
    <row r="961" spans="1:39" x14ac:dyDescent="0.2">
      <c r="A961" t="str">
        <f>"957"</f>
        <v>957</v>
      </c>
      <c r="B961" t="str">
        <f t="shared" si="53"/>
        <v>1</v>
      </c>
      <c r="C961" t="str">
        <f t="shared" si="54"/>
        <v>20</v>
      </c>
      <c r="D961" t="str">
        <f>"3"</f>
        <v>3</v>
      </c>
      <c r="E961" t="str">
        <f>"1-20-3"</f>
        <v>1-20-3</v>
      </c>
      <c r="F961" t="s">
        <v>65</v>
      </c>
      <c r="G961" t="s">
        <v>66</v>
      </c>
      <c r="H961" t="s">
        <v>67</v>
      </c>
      <c r="S961">
        <v>1</v>
      </c>
      <c r="T961">
        <v>0</v>
      </c>
      <c r="U961">
        <v>0</v>
      </c>
      <c r="V961">
        <v>0</v>
      </c>
      <c r="W961">
        <v>1</v>
      </c>
      <c r="X961">
        <v>0</v>
      </c>
      <c r="Y961">
        <v>1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1</v>
      </c>
      <c r="AF961">
        <v>1</v>
      </c>
      <c r="AG961">
        <v>1</v>
      </c>
      <c r="AH961">
        <v>1</v>
      </c>
      <c r="AI961">
        <v>1</v>
      </c>
      <c r="AJ961">
        <v>1</v>
      </c>
      <c r="AK961">
        <v>1</v>
      </c>
      <c r="AL961">
        <v>1</v>
      </c>
      <c r="AM961">
        <v>0</v>
      </c>
    </row>
    <row r="962" spans="1:39" x14ac:dyDescent="0.2">
      <c r="A962" t="str">
        <f>"958"</f>
        <v>958</v>
      </c>
      <c r="B962" t="str">
        <f t="shared" si="53"/>
        <v>1</v>
      </c>
      <c r="C962" t="str">
        <f t="shared" si="54"/>
        <v>20</v>
      </c>
      <c r="D962" t="str">
        <f>"36"</f>
        <v>36</v>
      </c>
      <c r="E962" t="str">
        <f>"1-20-36"</f>
        <v>1-20-36</v>
      </c>
      <c r="F962" t="s">
        <v>65</v>
      </c>
      <c r="G962" t="s">
        <v>66</v>
      </c>
      <c r="H962" t="s">
        <v>67</v>
      </c>
      <c r="S962">
        <v>0</v>
      </c>
      <c r="T962">
        <v>1</v>
      </c>
      <c r="U962">
        <v>0</v>
      </c>
      <c r="V962">
        <v>0</v>
      </c>
      <c r="W962">
        <v>0</v>
      </c>
      <c r="X962">
        <v>1</v>
      </c>
      <c r="Y962">
        <v>1</v>
      </c>
      <c r="Z962">
        <v>0</v>
      </c>
      <c r="AA962">
        <v>0</v>
      </c>
      <c r="AB962">
        <v>0</v>
      </c>
      <c r="AC962">
        <v>1</v>
      </c>
      <c r="AD962">
        <v>1</v>
      </c>
      <c r="AE962">
        <v>1</v>
      </c>
      <c r="AF962">
        <v>1</v>
      </c>
      <c r="AG962">
        <v>1</v>
      </c>
      <c r="AH962">
        <v>1</v>
      </c>
      <c r="AI962">
        <v>1</v>
      </c>
      <c r="AJ962">
        <v>1</v>
      </c>
      <c r="AK962">
        <v>1</v>
      </c>
      <c r="AL962">
        <v>1</v>
      </c>
      <c r="AM962">
        <v>1</v>
      </c>
    </row>
    <row r="963" spans="1:39" x14ac:dyDescent="0.2">
      <c r="A963" t="str">
        <f>"959"</f>
        <v>959</v>
      </c>
      <c r="B963" t="str">
        <f t="shared" si="53"/>
        <v>1</v>
      </c>
      <c r="C963" t="str">
        <f t="shared" si="54"/>
        <v>20</v>
      </c>
      <c r="D963" t="str">
        <f>"35"</f>
        <v>35</v>
      </c>
      <c r="E963" t="str">
        <f>"1-20-35"</f>
        <v>1-20-35</v>
      </c>
      <c r="F963" t="s">
        <v>65</v>
      </c>
      <c r="G963" t="s">
        <v>66</v>
      </c>
      <c r="H963" t="s">
        <v>67</v>
      </c>
      <c r="S963">
        <v>1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1</v>
      </c>
      <c r="Z963">
        <v>0</v>
      </c>
      <c r="AA963">
        <v>0</v>
      </c>
      <c r="AB963">
        <v>0</v>
      </c>
      <c r="AC963">
        <v>1</v>
      </c>
      <c r="AD963">
        <v>1</v>
      </c>
      <c r="AE963">
        <v>1</v>
      </c>
      <c r="AF963">
        <v>1</v>
      </c>
      <c r="AG963">
        <v>1</v>
      </c>
      <c r="AH963">
        <v>1</v>
      </c>
      <c r="AI963">
        <v>1</v>
      </c>
      <c r="AJ963">
        <v>1</v>
      </c>
      <c r="AK963">
        <v>1</v>
      </c>
      <c r="AL963">
        <v>1</v>
      </c>
      <c r="AM963">
        <v>1</v>
      </c>
    </row>
    <row r="964" spans="1:39" x14ac:dyDescent="0.2">
      <c r="A964" t="str">
        <f>"960"</f>
        <v>960</v>
      </c>
      <c r="B964" t="str">
        <f t="shared" si="53"/>
        <v>1</v>
      </c>
      <c r="C964" t="str">
        <f t="shared" si="54"/>
        <v>20</v>
      </c>
      <c r="D964" t="str">
        <f>"26"</f>
        <v>26</v>
      </c>
      <c r="E964" t="str">
        <f>"1-20-26"</f>
        <v>1-20-26</v>
      </c>
      <c r="F964" t="s">
        <v>65</v>
      </c>
      <c r="G964" t="s">
        <v>66</v>
      </c>
      <c r="H964" t="s">
        <v>67</v>
      </c>
      <c r="S964">
        <v>1</v>
      </c>
      <c r="T964">
        <v>0</v>
      </c>
      <c r="U964">
        <v>0</v>
      </c>
      <c r="V964">
        <v>0</v>
      </c>
      <c r="W964">
        <v>1</v>
      </c>
      <c r="X964">
        <v>0</v>
      </c>
      <c r="Y964">
        <v>1</v>
      </c>
      <c r="Z964">
        <v>0</v>
      </c>
      <c r="AA964">
        <v>1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1</v>
      </c>
      <c r="AI964">
        <v>0</v>
      </c>
      <c r="AJ964">
        <v>1</v>
      </c>
      <c r="AK964">
        <v>1</v>
      </c>
      <c r="AL964">
        <v>0</v>
      </c>
      <c r="AM964">
        <v>0</v>
      </c>
    </row>
    <row r="965" spans="1:39" x14ac:dyDescent="0.2">
      <c r="A965" t="str">
        <f>"961"</f>
        <v>961</v>
      </c>
      <c r="B965" t="str">
        <f t="shared" si="53"/>
        <v>1</v>
      </c>
      <c r="C965" t="str">
        <f t="shared" si="54"/>
        <v>20</v>
      </c>
      <c r="D965" t="str">
        <f>"16"</f>
        <v>16</v>
      </c>
      <c r="E965" t="str">
        <f>"1-20-16"</f>
        <v>1-20-16</v>
      </c>
      <c r="F965" t="s">
        <v>65</v>
      </c>
      <c r="G965" t="s">
        <v>66</v>
      </c>
      <c r="H965" t="s">
        <v>67</v>
      </c>
      <c r="S965">
        <v>0</v>
      </c>
      <c r="T965">
        <v>1</v>
      </c>
      <c r="U965">
        <v>0</v>
      </c>
      <c r="V965">
        <v>0</v>
      </c>
      <c r="W965">
        <v>0</v>
      </c>
      <c r="X965">
        <v>1</v>
      </c>
      <c r="Y965">
        <v>1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1</v>
      </c>
      <c r="AH965">
        <v>0</v>
      </c>
      <c r="AI965">
        <v>1</v>
      </c>
      <c r="AJ965">
        <v>1</v>
      </c>
      <c r="AK965">
        <v>0</v>
      </c>
      <c r="AL965">
        <v>1</v>
      </c>
      <c r="AM965">
        <v>0</v>
      </c>
    </row>
    <row r="966" spans="1:39" x14ac:dyDescent="0.2">
      <c r="A966" t="str">
        <f>"962"</f>
        <v>962</v>
      </c>
      <c r="B966" t="str">
        <f t="shared" si="53"/>
        <v>1</v>
      </c>
      <c r="C966" t="str">
        <f t="shared" si="54"/>
        <v>20</v>
      </c>
      <c r="D966" t="str">
        <f>"7"</f>
        <v>7</v>
      </c>
      <c r="E966" t="str">
        <f>"1-20-7"</f>
        <v>1-20-7</v>
      </c>
      <c r="F966" t="s">
        <v>65</v>
      </c>
      <c r="G966" t="s">
        <v>66</v>
      </c>
      <c r="H966" t="s">
        <v>67</v>
      </c>
      <c r="S966">
        <v>0</v>
      </c>
      <c r="T966">
        <v>1</v>
      </c>
      <c r="U966">
        <v>0</v>
      </c>
      <c r="V966">
        <v>0</v>
      </c>
      <c r="W966">
        <v>0</v>
      </c>
      <c r="X966">
        <v>1</v>
      </c>
      <c r="Y966">
        <v>1</v>
      </c>
      <c r="Z966">
        <v>0</v>
      </c>
      <c r="AA966">
        <v>0</v>
      </c>
      <c r="AB966">
        <v>1</v>
      </c>
      <c r="AC966">
        <v>0</v>
      </c>
      <c r="AD966">
        <v>1</v>
      </c>
      <c r="AE966">
        <v>1</v>
      </c>
      <c r="AF966">
        <v>1</v>
      </c>
      <c r="AG966">
        <v>1</v>
      </c>
      <c r="AH966">
        <v>1</v>
      </c>
      <c r="AI966">
        <v>1</v>
      </c>
      <c r="AJ966">
        <v>1</v>
      </c>
      <c r="AK966">
        <v>1</v>
      </c>
      <c r="AL966">
        <v>1</v>
      </c>
      <c r="AM966">
        <v>1</v>
      </c>
    </row>
    <row r="967" spans="1:39" x14ac:dyDescent="0.2">
      <c r="A967" t="str">
        <f>"963"</f>
        <v>963</v>
      </c>
      <c r="B967" t="str">
        <f t="shared" si="53"/>
        <v>1</v>
      </c>
      <c r="C967" t="str">
        <f t="shared" si="54"/>
        <v>20</v>
      </c>
      <c r="D967" t="str">
        <f>"47"</f>
        <v>47</v>
      </c>
      <c r="E967" t="str">
        <f>"1-20-47"</f>
        <v>1-20-47</v>
      </c>
      <c r="F967" t="s">
        <v>65</v>
      </c>
      <c r="G967" t="s">
        <v>66</v>
      </c>
      <c r="H967" t="s">
        <v>67</v>
      </c>
      <c r="S967">
        <v>1</v>
      </c>
      <c r="T967">
        <v>0</v>
      </c>
      <c r="U967">
        <v>0</v>
      </c>
      <c r="V967">
        <v>0</v>
      </c>
      <c r="W967">
        <v>1</v>
      </c>
      <c r="X967">
        <v>0</v>
      </c>
      <c r="Y967">
        <v>1</v>
      </c>
      <c r="Z967">
        <v>0</v>
      </c>
      <c r="AA967">
        <v>0</v>
      </c>
      <c r="AB967">
        <v>1</v>
      </c>
      <c r="AC967">
        <v>0</v>
      </c>
      <c r="AD967">
        <v>1</v>
      </c>
      <c r="AE967">
        <v>1</v>
      </c>
      <c r="AF967">
        <v>1</v>
      </c>
      <c r="AG967">
        <v>1</v>
      </c>
      <c r="AH967">
        <v>1</v>
      </c>
      <c r="AI967">
        <v>1</v>
      </c>
      <c r="AJ967">
        <v>1</v>
      </c>
      <c r="AK967">
        <v>1</v>
      </c>
      <c r="AL967">
        <v>1</v>
      </c>
      <c r="AM967">
        <v>1</v>
      </c>
    </row>
    <row r="968" spans="1:39" x14ac:dyDescent="0.2">
      <c r="A968" t="str">
        <f>"964"</f>
        <v>964</v>
      </c>
      <c r="B968" t="str">
        <f t="shared" si="53"/>
        <v>1</v>
      </c>
      <c r="C968" t="str">
        <f t="shared" si="54"/>
        <v>20</v>
      </c>
      <c r="D968" t="str">
        <f>"46"</f>
        <v>46</v>
      </c>
      <c r="E968" t="str">
        <f>"1-20-46"</f>
        <v>1-20-46</v>
      </c>
      <c r="F968" t="s">
        <v>65</v>
      </c>
      <c r="G968" t="s">
        <v>66</v>
      </c>
      <c r="H968" t="s">
        <v>67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1</v>
      </c>
      <c r="Y968">
        <v>0</v>
      </c>
      <c r="Z968">
        <v>1</v>
      </c>
      <c r="AA968">
        <v>0</v>
      </c>
      <c r="AB968">
        <v>0</v>
      </c>
      <c r="AC968">
        <v>1</v>
      </c>
      <c r="AD968">
        <v>0</v>
      </c>
      <c r="AE968">
        <v>1</v>
      </c>
      <c r="AF968">
        <v>1</v>
      </c>
      <c r="AG968">
        <v>1</v>
      </c>
      <c r="AH968">
        <v>1</v>
      </c>
      <c r="AI968">
        <v>1</v>
      </c>
      <c r="AJ968">
        <v>1</v>
      </c>
      <c r="AK968">
        <v>1</v>
      </c>
      <c r="AL968">
        <v>1</v>
      </c>
      <c r="AM968">
        <v>1</v>
      </c>
    </row>
    <row r="969" spans="1:39" x14ac:dyDescent="0.2">
      <c r="A969" t="str">
        <f>"965"</f>
        <v>965</v>
      </c>
      <c r="B969" t="str">
        <f t="shared" si="53"/>
        <v>1</v>
      </c>
      <c r="C969" t="str">
        <f t="shared" si="54"/>
        <v>20</v>
      </c>
      <c r="D969" t="str">
        <f>"33"</f>
        <v>33</v>
      </c>
      <c r="E969" t="str">
        <f>"1-20-33"</f>
        <v>1-20-33</v>
      </c>
      <c r="F969" t="s">
        <v>65</v>
      </c>
      <c r="G969" t="s">
        <v>66</v>
      </c>
      <c r="H969" t="s">
        <v>67</v>
      </c>
      <c r="S969">
        <v>1</v>
      </c>
      <c r="T969">
        <v>0</v>
      </c>
      <c r="U969">
        <v>0</v>
      </c>
      <c r="V969">
        <v>0</v>
      </c>
      <c r="W969">
        <v>1</v>
      </c>
      <c r="X969">
        <v>0</v>
      </c>
      <c r="Y969">
        <v>1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1</v>
      </c>
      <c r="AF969">
        <v>1</v>
      </c>
      <c r="AG969">
        <v>1</v>
      </c>
      <c r="AH969">
        <v>1</v>
      </c>
      <c r="AI969">
        <v>1</v>
      </c>
      <c r="AJ969">
        <v>1</v>
      </c>
      <c r="AK969">
        <v>1</v>
      </c>
      <c r="AL969">
        <v>1</v>
      </c>
      <c r="AM969">
        <v>1</v>
      </c>
    </row>
    <row r="970" spans="1:39" x14ac:dyDescent="0.2">
      <c r="A970" t="str">
        <f>"966"</f>
        <v>966</v>
      </c>
      <c r="B970" t="str">
        <f t="shared" si="53"/>
        <v>1</v>
      </c>
      <c r="C970" t="str">
        <f t="shared" si="54"/>
        <v>20</v>
      </c>
      <c r="D970" t="str">
        <f>"17"</f>
        <v>17</v>
      </c>
      <c r="E970" t="str">
        <f>"1-20-17"</f>
        <v>1-20-17</v>
      </c>
      <c r="F970" t="s">
        <v>65</v>
      </c>
      <c r="G970" t="s">
        <v>66</v>
      </c>
      <c r="H970" t="s">
        <v>67</v>
      </c>
      <c r="S970">
        <v>1</v>
      </c>
      <c r="T970">
        <v>0</v>
      </c>
      <c r="U970">
        <v>0</v>
      </c>
      <c r="V970">
        <v>0</v>
      </c>
      <c r="W970">
        <v>1</v>
      </c>
      <c r="X970">
        <v>0</v>
      </c>
      <c r="Y970">
        <v>0</v>
      </c>
      <c r="Z970">
        <v>1</v>
      </c>
      <c r="AA970">
        <v>0</v>
      </c>
      <c r="AB970">
        <v>0</v>
      </c>
      <c r="AC970">
        <v>1</v>
      </c>
      <c r="AD970">
        <v>1</v>
      </c>
      <c r="AE970">
        <v>1</v>
      </c>
      <c r="AF970">
        <v>1</v>
      </c>
      <c r="AG970">
        <v>1</v>
      </c>
      <c r="AH970">
        <v>1</v>
      </c>
      <c r="AI970">
        <v>1</v>
      </c>
      <c r="AJ970">
        <v>1</v>
      </c>
      <c r="AK970">
        <v>1</v>
      </c>
      <c r="AL970">
        <v>1</v>
      </c>
      <c r="AM970">
        <v>1</v>
      </c>
    </row>
    <row r="971" spans="1:39" x14ac:dyDescent="0.2">
      <c r="A971" t="str">
        <f>"967"</f>
        <v>967</v>
      </c>
      <c r="B971" t="str">
        <f t="shared" si="53"/>
        <v>1</v>
      </c>
      <c r="C971" t="str">
        <f t="shared" si="54"/>
        <v>20</v>
      </c>
      <c r="D971" t="str">
        <f>"2"</f>
        <v>2</v>
      </c>
      <c r="E971" t="str">
        <f>"1-20-2"</f>
        <v>1-20-2</v>
      </c>
      <c r="F971" t="s">
        <v>65</v>
      </c>
      <c r="G971" t="s">
        <v>66</v>
      </c>
      <c r="H971" t="s">
        <v>67</v>
      </c>
      <c r="S971">
        <v>1</v>
      </c>
      <c r="T971">
        <v>0</v>
      </c>
      <c r="U971">
        <v>0</v>
      </c>
      <c r="V971">
        <v>0</v>
      </c>
      <c r="W971">
        <v>1</v>
      </c>
      <c r="X971">
        <v>0</v>
      </c>
      <c r="Y971">
        <v>1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1</v>
      </c>
      <c r="AK971">
        <v>1</v>
      </c>
      <c r="AL971">
        <v>0</v>
      </c>
      <c r="AM971">
        <v>0</v>
      </c>
    </row>
    <row r="972" spans="1:39" x14ac:dyDescent="0.2">
      <c r="A972" t="str">
        <f>"968"</f>
        <v>968</v>
      </c>
      <c r="B972" t="str">
        <f t="shared" si="53"/>
        <v>1</v>
      </c>
      <c r="C972" t="str">
        <f t="shared" si="54"/>
        <v>20</v>
      </c>
      <c r="D972" t="str">
        <f>"45"</f>
        <v>45</v>
      </c>
      <c r="E972" t="str">
        <f>"1-20-45"</f>
        <v>1-20-45</v>
      </c>
      <c r="F972" t="s">
        <v>65</v>
      </c>
      <c r="G972" t="s">
        <v>66</v>
      </c>
      <c r="H972" t="s">
        <v>67</v>
      </c>
      <c r="S972">
        <v>1</v>
      </c>
      <c r="T972">
        <v>0</v>
      </c>
      <c r="U972">
        <v>0</v>
      </c>
      <c r="V972">
        <v>0</v>
      </c>
      <c r="W972">
        <v>1</v>
      </c>
      <c r="X972">
        <v>0</v>
      </c>
      <c r="Y972">
        <v>1</v>
      </c>
      <c r="Z972">
        <v>0</v>
      </c>
      <c r="AA972">
        <v>0</v>
      </c>
      <c r="AB972">
        <v>0</v>
      </c>
      <c r="AC972">
        <v>1</v>
      </c>
      <c r="AD972">
        <v>1</v>
      </c>
      <c r="AE972">
        <v>1</v>
      </c>
      <c r="AF972">
        <v>1</v>
      </c>
      <c r="AG972">
        <v>1</v>
      </c>
      <c r="AH972">
        <v>1</v>
      </c>
      <c r="AI972">
        <v>1</v>
      </c>
      <c r="AJ972">
        <v>1</v>
      </c>
      <c r="AK972">
        <v>1</v>
      </c>
      <c r="AL972">
        <v>1</v>
      </c>
      <c r="AM972">
        <v>1</v>
      </c>
    </row>
    <row r="973" spans="1:39" x14ac:dyDescent="0.2">
      <c r="A973" t="str">
        <f>"969"</f>
        <v>969</v>
      </c>
      <c r="B973" t="str">
        <f t="shared" si="53"/>
        <v>1</v>
      </c>
      <c r="C973" t="str">
        <f t="shared" si="54"/>
        <v>20</v>
      </c>
      <c r="D973" t="str">
        <f>"44"</f>
        <v>44</v>
      </c>
      <c r="E973" t="str">
        <f>"1-20-44"</f>
        <v>1-20-44</v>
      </c>
      <c r="F973" t="s">
        <v>65</v>
      </c>
      <c r="G973" t="s">
        <v>66</v>
      </c>
      <c r="H973" t="s">
        <v>67</v>
      </c>
      <c r="S973">
        <v>1</v>
      </c>
      <c r="T973">
        <v>0</v>
      </c>
      <c r="U973">
        <v>0</v>
      </c>
      <c r="V973">
        <v>0</v>
      </c>
      <c r="W973">
        <v>1</v>
      </c>
      <c r="X973">
        <v>0</v>
      </c>
      <c r="Y973">
        <v>0</v>
      </c>
      <c r="Z973">
        <v>1</v>
      </c>
      <c r="AA973">
        <v>1</v>
      </c>
      <c r="AB973">
        <v>0</v>
      </c>
      <c r="AC973">
        <v>0</v>
      </c>
      <c r="AD973">
        <v>1</v>
      </c>
      <c r="AE973">
        <v>1</v>
      </c>
      <c r="AF973">
        <v>1</v>
      </c>
      <c r="AG973">
        <v>1</v>
      </c>
      <c r="AH973">
        <v>1</v>
      </c>
      <c r="AI973">
        <v>1</v>
      </c>
      <c r="AJ973">
        <v>1</v>
      </c>
      <c r="AK973">
        <v>1</v>
      </c>
      <c r="AL973">
        <v>1</v>
      </c>
      <c r="AM973">
        <v>1</v>
      </c>
    </row>
    <row r="974" spans="1:39" x14ac:dyDescent="0.2">
      <c r="A974" t="str">
        <f>"970"</f>
        <v>970</v>
      </c>
      <c r="B974" t="str">
        <f t="shared" si="53"/>
        <v>1</v>
      </c>
      <c r="C974" t="str">
        <f t="shared" si="54"/>
        <v>20</v>
      </c>
      <c r="D974" t="str">
        <f>"34"</f>
        <v>34</v>
      </c>
      <c r="E974" t="str">
        <f>"1-20-34"</f>
        <v>1-20-34</v>
      </c>
      <c r="F974" t="s">
        <v>65</v>
      </c>
      <c r="G974" t="s">
        <v>66</v>
      </c>
      <c r="H974" t="s">
        <v>67</v>
      </c>
      <c r="S974">
        <v>0</v>
      </c>
      <c r="T974">
        <v>0</v>
      </c>
      <c r="U974">
        <v>0</v>
      </c>
      <c r="V974">
        <v>0</v>
      </c>
      <c r="W974">
        <v>1</v>
      </c>
      <c r="X974">
        <v>0</v>
      </c>
      <c r="Y974">
        <v>0</v>
      </c>
      <c r="Z974">
        <v>1</v>
      </c>
      <c r="AA974">
        <v>0</v>
      </c>
      <c r="AB974">
        <v>0</v>
      </c>
      <c r="AC974">
        <v>1</v>
      </c>
      <c r="AD974">
        <v>0</v>
      </c>
      <c r="AE974">
        <v>0</v>
      </c>
      <c r="AF974">
        <v>0</v>
      </c>
      <c r="AG974">
        <v>1</v>
      </c>
      <c r="AH974">
        <v>1</v>
      </c>
      <c r="AI974">
        <v>1</v>
      </c>
      <c r="AJ974">
        <v>1</v>
      </c>
      <c r="AK974">
        <v>1</v>
      </c>
      <c r="AL974">
        <v>1</v>
      </c>
      <c r="AM974">
        <v>1</v>
      </c>
    </row>
    <row r="975" spans="1:39" x14ac:dyDescent="0.2">
      <c r="A975" t="str">
        <f>"971"</f>
        <v>971</v>
      </c>
      <c r="B975" t="str">
        <f t="shared" si="53"/>
        <v>1</v>
      </c>
      <c r="C975" t="str">
        <f t="shared" si="54"/>
        <v>20</v>
      </c>
      <c r="D975" t="str">
        <f>"18"</f>
        <v>18</v>
      </c>
      <c r="E975" t="str">
        <f>"1-20-18"</f>
        <v>1-20-18</v>
      </c>
      <c r="F975" t="s">
        <v>65</v>
      </c>
      <c r="G975" t="s">
        <v>66</v>
      </c>
      <c r="H975" t="s">
        <v>67</v>
      </c>
      <c r="S975">
        <v>1</v>
      </c>
      <c r="T975">
        <v>0</v>
      </c>
      <c r="U975">
        <v>0</v>
      </c>
      <c r="V975">
        <v>0</v>
      </c>
      <c r="W975">
        <v>1</v>
      </c>
      <c r="X975">
        <v>0</v>
      </c>
      <c r="Y975">
        <v>1</v>
      </c>
      <c r="Z975">
        <v>0</v>
      </c>
      <c r="AA975">
        <v>0</v>
      </c>
      <c r="AB975">
        <v>0</v>
      </c>
      <c r="AC975">
        <v>1</v>
      </c>
      <c r="AD975">
        <v>1</v>
      </c>
      <c r="AE975">
        <v>1</v>
      </c>
      <c r="AF975">
        <v>1</v>
      </c>
      <c r="AG975">
        <v>1</v>
      </c>
      <c r="AH975">
        <v>1</v>
      </c>
      <c r="AI975">
        <v>1</v>
      </c>
      <c r="AJ975">
        <v>1</v>
      </c>
      <c r="AK975">
        <v>1</v>
      </c>
      <c r="AL975">
        <v>1</v>
      </c>
      <c r="AM975">
        <v>1</v>
      </c>
    </row>
    <row r="976" spans="1:39" x14ac:dyDescent="0.2">
      <c r="A976" t="str">
        <f>"972"</f>
        <v>972</v>
      </c>
      <c r="B976" t="str">
        <f t="shared" si="53"/>
        <v>1</v>
      </c>
      <c r="C976" t="str">
        <f t="shared" si="54"/>
        <v>20</v>
      </c>
      <c r="D976" t="str">
        <f>"13"</f>
        <v>13</v>
      </c>
      <c r="E976" t="str">
        <f>"1-20-13"</f>
        <v>1-20-13</v>
      </c>
      <c r="F976" t="s">
        <v>65</v>
      </c>
      <c r="G976" t="s">
        <v>66</v>
      </c>
      <c r="H976" t="s">
        <v>67</v>
      </c>
      <c r="S976">
        <v>1</v>
      </c>
      <c r="T976">
        <v>0</v>
      </c>
      <c r="U976">
        <v>0</v>
      </c>
      <c r="V976">
        <v>0</v>
      </c>
      <c r="W976">
        <v>0</v>
      </c>
      <c r="X976">
        <v>1</v>
      </c>
      <c r="Y976">
        <v>1</v>
      </c>
      <c r="Z976">
        <v>0</v>
      </c>
      <c r="AA976">
        <v>0</v>
      </c>
      <c r="AB976">
        <v>1</v>
      </c>
      <c r="AC976">
        <v>0</v>
      </c>
      <c r="AD976">
        <v>1</v>
      </c>
      <c r="AE976">
        <v>1</v>
      </c>
      <c r="AF976">
        <v>1</v>
      </c>
      <c r="AG976">
        <v>1</v>
      </c>
      <c r="AH976">
        <v>1</v>
      </c>
      <c r="AI976">
        <v>1</v>
      </c>
      <c r="AJ976">
        <v>1</v>
      </c>
      <c r="AK976">
        <v>1</v>
      </c>
      <c r="AL976">
        <v>1</v>
      </c>
      <c r="AM976">
        <v>1</v>
      </c>
    </row>
    <row r="977" spans="1:39" x14ac:dyDescent="0.2">
      <c r="A977" t="str">
        <f>"973"</f>
        <v>973</v>
      </c>
      <c r="B977" t="str">
        <f t="shared" si="53"/>
        <v>1</v>
      </c>
      <c r="C977" t="str">
        <f t="shared" si="54"/>
        <v>20</v>
      </c>
      <c r="D977" t="str">
        <f>"37"</f>
        <v>37</v>
      </c>
      <c r="E977" t="str">
        <f>"1-20-37"</f>
        <v>1-20-37</v>
      </c>
      <c r="F977" t="s">
        <v>65</v>
      </c>
      <c r="G977" t="s">
        <v>66</v>
      </c>
      <c r="H977" t="s">
        <v>67</v>
      </c>
      <c r="S977">
        <v>0</v>
      </c>
      <c r="T977">
        <v>1</v>
      </c>
      <c r="U977">
        <v>0</v>
      </c>
      <c r="V977">
        <v>0</v>
      </c>
      <c r="W977">
        <v>0</v>
      </c>
      <c r="X977">
        <v>1</v>
      </c>
      <c r="Y977">
        <v>0</v>
      </c>
      <c r="Z977">
        <v>1</v>
      </c>
      <c r="AA977">
        <v>0</v>
      </c>
      <c r="AB977">
        <v>0</v>
      </c>
      <c r="AC977">
        <v>1</v>
      </c>
      <c r="AD977">
        <v>1</v>
      </c>
      <c r="AE977">
        <v>1</v>
      </c>
      <c r="AF977">
        <v>1</v>
      </c>
      <c r="AG977">
        <v>1</v>
      </c>
      <c r="AH977">
        <v>1</v>
      </c>
      <c r="AI977">
        <v>1</v>
      </c>
      <c r="AJ977">
        <v>1</v>
      </c>
      <c r="AK977">
        <v>1</v>
      </c>
      <c r="AL977">
        <v>1</v>
      </c>
      <c r="AM977">
        <v>1</v>
      </c>
    </row>
    <row r="978" spans="1:39" x14ac:dyDescent="0.2">
      <c r="A978" t="str">
        <f>"974"</f>
        <v>974</v>
      </c>
      <c r="B978" t="str">
        <f t="shared" si="53"/>
        <v>1</v>
      </c>
      <c r="C978" t="str">
        <f t="shared" si="54"/>
        <v>20</v>
      </c>
      <c r="D978" t="str">
        <f>"19"</f>
        <v>19</v>
      </c>
      <c r="E978" t="str">
        <f>"1-20-19"</f>
        <v>1-20-19</v>
      </c>
      <c r="F978" t="s">
        <v>65</v>
      </c>
      <c r="G978" t="s">
        <v>66</v>
      </c>
      <c r="H978" t="s">
        <v>67</v>
      </c>
      <c r="S978">
        <v>1</v>
      </c>
      <c r="T978">
        <v>0</v>
      </c>
      <c r="U978">
        <v>0</v>
      </c>
      <c r="V978">
        <v>0</v>
      </c>
      <c r="W978">
        <v>1</v>
      </c>
      <c r="X978">
        <v>0</v>
      </c>
      <c r="Y978">
        <v>1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1</v>
      </c>
      <c r="AF978">
        <v>0</v>
      </c>
      <c r="AG978">
        <v>1</v>
      </c>
      <c r="AH978">
        <v>1</v>
      </c>
      <c r="AI978">
        <v>1</v>
      </c>
      <c r="AJ978">
        <v>1</v>
      </c>
      <c r="AK978">
        <v>1</v>
      </c>
      <c r="AL978">
        <v>1</v>
      </c>
      <c r="AM978">
        <v>1</v>
      </c>
    </row>
    <row r="979" spans="1:39" x14ac:dyDescent="0.2">
      <c r="A979" t="str">
        <f>"975"</f>
        <v>975</v>
      </c>
      <c r="B979" t="str">
        <f t="shared" si="53"/>
        <v>1</v>
      </c>
      <c r="C979" t="str">
        <f t="shared" si="54"/>
        <v>20</v>
      </c>
      <c r="D979" t="str">
        <f>"38"</f>
        <v>38</v>
      </c>
      <c r="E979" t="str">
        <f>"1-20-38"</f>
        <v>1-20-38</v>
      </c>
      <c r="F979" t="s">
        <v>65</v>
      </c>
      <c r="G979" t="s">
        <v>66</v>
      </c>
      <c r="H979" t="s">
        <v>67</v>
      </c>
      <c r="S979">
        <v>1</v>
      </c>
      <c r="T979">
        <v>0</v>
      </c>
      <c r="U979">
        <v>0</v>
      </c>
      <c r="V979">
        <v>0</v>
      </c>
      <c r="W979">
        <v>1</v>
      </c>
      <c r="X979">
        <v>0</v>
      </c>
      <c r="Y979">
        <v>1</v>
      </c>
      <c r="Z979">
        <v>0</v>
      </c>
      <c r="AA979">
        <v>1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1</v>
      </c>
      <c r="AI979">
        <v>1</v>
      </c>
      <c r="AJ979">
        <v>0</v>
      </c>
      <c r="AK979">
        <v>0</v>
      </c>
      <c r="AL979">
        <v>0</v>
      </c>
      <c r="AM979">
        <v>0</v>
      </c>
    </row>
    <row r="980" spans="1:39" x14ac:dyDescent="0.2">
      <c r="A980" t="str">
        <f>"976"</f>
        <v>976</v>
      </c>
      <c r="B980" t="str">
        <f t="shared" si="53"/>
        <v>1</v>
      </c>
      <c r="C980" t="str">
        <f t="shared" si="54"/>
        <v>20</v>
      </c>
      <c r="D980" t="str">
        <f>"20"</f>
        <v>20</v>
      </c>
      <c r="E980" t="str">
        <f>"1-20-20"</f>
        <v>1-20-20</v>
      </c>
      <c r="F980" t="s">
        <v>65</v>
      </c>
      <c r="G980" t="s">
        <v>66</v>
      </c>
      <c r="H980" t="s">
        <v>67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1</v>
      </c>
      <c r="Y980">
        <v>0</v>
      </c>
      <c r="Z980">
        <v>1</v>
      </c>
      <c r="AA980">
        <v>0</v>
      </c>
      <c r="AB980">
        <v>0</v>
      </c>
      <c r="AC980">
        <v>1</v>
      </c>
      <c r="AD980">
        <v>1</v>
      </c>
      <c r="AE980">
        <v>1</v>
      </c>
      <c r="AF980">
        <v>1</v>
      </c>
      <c r="AG980">
        <v>1</v>
      </c>
      <c r="AH980">
        <v>1</v>
      </c>
      <c r="AI980">
        <v>1</v>
      </c>
      <c r="AJ980">
        <v>1</v>
      </c>
      <c r="AK980">
        <v>1</v>
      </c>
      <c r="AL980">
        <v>1</v>
      </c>
      <c r="AM980">
        <v>1</v>
      </c>
    </row>
    <row r="981" spans="1:39" x14ac:dyDescent="0.2">
      <c r="A981" t="str">
        <f>"977"</f>
        <v>977</v>
      </c>
      <c r="B981" t="str">
        <f t="shared" si="53"/>
        <v>1</v>
      </c>
      <c r="C981" t="str">
        <f t="shared" si="54"/>
        <v>20</v>
      </c>
      <c r="D981" t="str">
        <f>"11"</f>
        <v>11</v>
      </c>
      <c r="E981" t="str">
        <f>"1-20-11"</f>
        <v>1-20-11</v>
      </c>
      <c r="F981" t="s">
        <v>65</v>
      </c>
      <c r="G981" t="s">
        <v>66</v>
      </c>
      <c r="H981" t="s">
        <v>67</v>
      </c>
      <c r="S981">
        <v>1</v>
      </c>
      <c r="T981">
        <v>0</v>
      </c>
      <c r="U981">
        <v>0</v>
      </c>
      <c r="V981">
        <v>0</v>
      </c>
      <c r="W981">
        <v>1</v>
      </c>
      <c r="X981">
        <v>0</v>
      </c>
      <c r="Y981">
        <v>0</v>
      </c>
      <c r="Z981">
        <v>1</v>
      </c>
      <c r="AA981">
        <v>0</v>
      </c>
      <c r="AB981">
        <v>1</v>
      </c>
      <c r="AC981">
        <v>0</v>
      </c>
      <c r="AD981">
        <v>1</v>
      </c>
      <c r="AE981">
        <v>1</v>
      </c>
      <c r="AF981">
        <v>1</v>
      </c>
      <c r="AG981">
        <v>1</v>
      </c>
      <c r="AH981">
        <v>1</v>
      </c>
      <c r="AI981">
        <v>1</v>
      </c>
      <c r="AJ981">
        <v>1</v>
      </c>
      <c r="AK981">
        <v>1</v>
      </c>
      <c r="AL981">
        <v>0</v>
      </c>
      <c r="AM981">
        <v>0</v>
      </c>
    </row>
    <row r="982" spans="1:39" x14ac:dyDescent="0.2">
      <c r="A982" t="str">
        <f>"978"</f>
        <v>978</v>
      </c>
      <c r="B982" t="str">
        <f t="shared" si="53"/>
        <v>1</v>
      </c>
      <c r="C982" t="str">
        <f t="shared" si="54"/>
        <v>20</v>
      </c>
      <c r="D982" t="str">
        <f>"39"</f>
        <v>39</v>
      </c>
      <c r="E982" t="str">
        <f>"1-20-39"</f>
        <v>1-20-39</v>
      </c>
      <c r="F982" t="s">
        <v>65</v>
      </c>
      <c r="G982" t="s">
        <v>66</v>
      </c>
      <c r="H982" t="s">
        <v>67</v>
      </c>
      <c r="S982">
        <v>0</v>
      </c>
      <c r="T982">
        <v>1</v>
      </c>
      <c r="U982">
        <v>0</v>
      </c>
      <c r="V982">
        <v>0</v>
      </c>
      <c r="W982">
        <v>0</v>
      </c>
      <c r="X982">
        <v>1</v>
      </c>
      <c r="Y982">
        <v>1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1</v>
      </c>
      <c r="AF982">
        <v>0</v>
      </c>
      <c r="AG982">
        <v>1</v>
      </c>
      <c r="AH982">
        <v>1</v>
      </c>
      <c r="AI982">
        <v>1</v>
      </c>
      <c r="AJ982">
        <v>1</v>
      </c>
      <c r="AK982">
        <v>1</v>
      </c>
      <c r="AL982">
        <v>1</v>
      </c>
      <c r="AM982">
        <v>1</v>
      </c>
    </row>
    <row r="983" spans="1:39" x14ac:dyDescent="0.2">
      <c r="A983" t="str">
        <f>"979"</f>
        <v>979</v>
      </c>
      <c r="B983" t="str">
        <f t="shared" si="53"/>
        <v>1</v>
      </c>
      <c r="C983" t="str">
        <f t="shared" si="54"/>
        <v>20</v>
      </c>
      <c r="D983" t="str">
        <f>"21"</f>
        <v>21</v>
      </c>
      <c r="E983" t="str">
        <f>"1-20-21"</f>
        <v>1-20-21</v>
      </c>
      <c r="F983" t="s">
        <v>65</v>
      </c>
      <c r="G983" t="s">
        <v>66</v>
      </c>
      <c r="H983" t="s">
        <v>67</v>
      </c>
      <c r="S983">
        <v>1</v>
      </c>
      <c r="T983">
        <v>0</v>
      </c>
      <c r="U983">
        <v>0</v>
      </c>
      <c r="V983">
        <v>0</v>
      </c>
      <c r="W983">
        <v>1</v>
      </c>
      <c r="X983">
        <v>0</v>
      </c>
      <c r="Y983">
        <v>1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1</v>
      </c>
      <c r="AF983">
        <v>1</v>
      </c>
      <c r="AG983">
        <v>1</v>
      </c>
      <c r="AH983">
        <v>1</v>
      </c>
      <c r="AI983">
        <v>1</v>
      </c>
      <c r="AJ983">
        <v>0</v>
      </c>
      <c r="AK983">
        <v>1</v>
      </c>
      <c r="AL983">
        <v>1</v>
      </c>
      <c r="AM983">
        <v>1</v>
      </c>
    </row>
    <row r="984" spans="1:39" x14ac:dyDescent="0.2">
      <c r="A984" t="str">
        <f>"980"</f>
        <v>980</v>
      </c>
      <c r="B984" t="str">
        <f t="shared" si="53"/>
        <v>1</v>
      </c>
      <c r="C984" t="str">
        <f t="shared" si="54"/>
        <v>20</v>
      </c>
      <c r="D984" t="str">
        <f>"4"</f>
        <v>4</v>
      </c>
      <c r="E984" t="str">
        <f>"1-20-4"</f>
        <v>1-20-4</v>
      </c>
      <c r="F984" t="s">
        <v>65</v>
      </c>
      <c r="G984" t="s">
        <v>66</v>
      </c>
      <c r="H984" t="s">
        <v>67</v>
      </c>
      <c r="S984">
        <v>0</v>
      </c>
      <c r="T984">
        <v>1</v>
      </c>
      <c r="U984">
        <v>0</v>
      </c>
      <c r="V984">
        <v>0</v>
      </c>
      <c r="W984">
        <v>0</v>
      </c>
      <c r="X984">
        <v>1</v>
      </c>
      <c r="Y984">
        <v>0</v>
      </c>
      <c r="Z984">
        <v>1</v>
      </c>
      <c r="AA984">
        <v>0</v>
      </c>
      <c r="AB984">
        <v>0</v>
      </c>
      <c r="AC984">
        <v>1</v>
      </c>
      <c r="AD984">
        <v>1</v>
      </c>
      <c r="AE984">
        <v>1</v>
      </c>
      <c r="AF984">
        <v>1</v>
      </c>
      <c r="AG984">
        <v>1</v>
      </c>
      <c r="AH984">
        <v>1</v>
      </c>
      <c r="AI984">
        <v>1</v>
      </c>
      <c r="AJ984">
        <v>1</v>
      </c>
      <c r="AK984">
        <v>1</v>
      </c>
      <c r="AL984">
        <v>1</v>
      </c>
      <c r="AM984">
        <v>1</v>
      </c>
    </row>
    <row r="985" spans="1:39" x14ac:dyDescent="0.2">
      <c r="A985" t="str">
        <f>"981"</f>
        <v>981</v>
      </c>
      <c r="B985" t="str">
        <f t="shared" si="53"/>
        <v>1</v>
      </c>
      <c r="C985" t="str">
        <f t="shared" si="54"/>
        <v>20</v>
      </c>
      <c r="D985" t="str">
        <f>"40"</f>
        <v>40</v>
      </c>
      <c r="E985" t="str">
        <f>"1-20-40"</f>
        <v>1-20-40</v>
      </c>
      <c r="F985" t="s">
        <v>65</v>
      </c>
      <c r="G985" t="s">
        <v>66</v>
      </c>
      <c r="H985" t="s">
        <v>67</v>
      </c>
      <c r="S985">
        <v>0</v>
      </c>
      <c r="T985">
        <v>1</v>
      </c>
      <c r="U985">
        <v>0</v>
      </c>
      <c r="V985">
        <v>0</v>
      </c>
      <c r="W985">
        <v>1</v>
      </c>
      <c r="X985">
        <v>0</v>
      </c>
      <c r="Y985">
        <v>0</v>
      </c>
      <c r="Z985">
        <v>1</v>
      </c>
      <c r="AA985">
        <v>0</v>
      </c>
      <c r="AB985">
        <v>0</v>
      </c>
      <c r="AC985">
        <v>1</v>
      </c>
      <c r="AD985">
        <v>1</v>
      </c>
      <c r="AE985">
        <v>1</v>
      </c>
      <c r="AF985">
        <v>1</v>
      </c>
      <c r="AG985">
        <v>1</v>
      </c>
      <c r="AH985">
        <v>1</v>
      </c>
      <c r="AI985">
        <v>1</v>
      </c>
      <c r="AJ985">
        <v>1</v>
      </c>
      <c r="AK985">
        <v>1</v>
      </c>
      <c r="AL985">
        <v>1</v>
      </c>
      <c r="AM985">
        <v>1</v>
      </c>
    </row>
    <row r="986" spans="1:39" x14ac:dyDescent="0.2">
      <c r="A986" t="str">
        <f>"982"</f>
        <v>982</v>
      </c>
      <c r="B986" t="str">
        <f t="shared" si="53"/>
        <v>1</v>
      </c>
      <c r="C986" t="str">
        <f t="shared" si="54"/>
        <v>20</v>
      </c>
      <c r="D986" t="str">
        <f>"23"</f>
        <v>23</v>
      </c>
      <c r="E986" t="str">
        <f>"1-20-23"</f>
        <v>1-20-23</v>
      </c>
      <c r="F986" t="s">
        <v>65</v>
      </c>
      <c r="G986" t="s">
        <v>66</v>
      </c>
      <c r="H986" t="s">
        <v>67</v>
      </c>
      <c r="S986">
        <v>1</v>
      </c>
      <c r="T986">
        <v>0</v>
      </c>
      <c r="U986">
        <v>0</v>
      </c>
      <c r="V986">
        <v>0</v>
      </c>
      <c r="W986">
        <v>1</v>
      </c>
      <c r="X986">
        <v>0</v>
      </c>
      <c r="Y986">
        <v>0</v>
      </c>
      <c r="Z986">
        <v>1</v>
      </c>
      <c r="AA986">
        <v>0</v>
      </c>
      <c r="AB986">
        <v>0</v>
      </c>
      <c r="AC986">
        <v>1</v>
      </c>
      <c r="AD986">
        <v>1</v>
      </c>
      <c r="AE986">
        <v>1</v>
      </c>
      <c r="AF986">
        <v>1</v>
      </c>
      <c r="AG986">
        <v>1</v>
      </c>
      <c r="AH986">
        <v>1</v>
      </c>
      <c r="AI986">
        <v>1</v>
      </c>
      <c r="AJ986">
        <v>1</v>
      </c>
      <c r="AK986">
        <v>1</v>
      </c>
      <c r="AL986">
        <v>1</v>
      </c>
      <c r="AM986">
        <v>1</v>
      </c>
    </row>
    <row r="987" spans="1:39" x14ac:dyDescent="0.2">
      <c r="A987" t="str">
        <f>"983"</f>
        <v>983</v>
      </c>
      <c r="B987" t="str">
        <f t="shared" si="53"/>
        <v>1</v>
      </c>
      <c r="C987" t="str">
        <f t="shared" ref="C987:C1004" si="55">"20"</f>
        <v>20</v>
      </c>
      <c r="D987" t="str">
        <f>"14"</f>
        <v>14</v>
      </c>
      <c r="E987" t="str">
        <f>"1-20-14"</f>
        <v>1-20-14</v>
      </c>
      <c r="F987" t="s">
        <v>65</v>
      </c>
      <c r="G987" t="s">
        <v>66</v>
      </c>
      <c r="H987" t="s">
        <v>67</v>
      </c>
      <c r="S987">
        <v>1</v>
      </c>
      <c r="T987">
        <v>0</v>
      </c>
      <c r="U987">
        <v>0</v>
      </c>
      <c r="V987">
        <v>0</v>
      </c>
      <c r="W987">
        <v>0</v>
      </c>
      <c r="X987">
        <v>1</v>
      </c>
      <c r="Y987">
        <v>1</v>
      </c>
      <c r="Z987">
        <v>0</v>
      </c>
      <c r="AA987">
        <v>0</v>
      </c>
      <c r="AB987">
        <v>1</v>
      </c>
      <c r="AC987">
        <v>0</v>
      </c>
      <c r="AD987">
        <v>1</v>
      </c>
      <c r="AE987">
        <v>1</v>
      </c>
      <c r="AF987">
        <v>0</v>
      </c>
      <c r="AG987">
        <v>0</v>
      </c>
      <c r="AH987">
        <v>1</v>
      </c>
      <c r="AI987">
        <v>1</v>
      </c>
      <c r="AJ987">
        <v>1</v>
      </c>
      <c r="AK987">
        <v>1</v>
      </c>
      <c r="AL987">
        <v>1</v>
      </c>
      <c r="AM987">
        <v>1</v>
      </c>
    </row>
    <row r="988" spans="1:39" x14ac:dyDescent="0.2">
      <c r="A988" t="str">
        <f>"984"</f>
        <v>984</v>
      </c>
      <c r="B988" t="str">
        <f t="shared" si="53"/>
        <v>1</v>
      </c>
      <c r="C988" t="str">
        <f t="shared" si="55"/>
        <v>20</v>
      </c>
      <c r="D988" t="str">
        <f>"41"</f>
        <v>41</v>
      </c>
      <c r="E988" t="str">
        <f>"1-20-41"</f>
        <v>1-20-41</v>
      </c>
      <c r="F988" t="s">
        <v>65</v>
      </c>
      <c r="G988" t="s">
        <v>66</v>
      </c>
      <c r="H988" t="s">
        <v>67</v>
      </c>
      <c r="S988">
        <v>0</v>
      </c>
      <c r="T988">
        <v>1</v>
      </c>
      <c r="U988">
        <v>0</v>
      </c>
      <c r="V988">
        <v>0</v>
      </c>
      <c r="W988">
        <v>1</v>
      </c>
      <c r="X988">
        <v>0</v>
      </c>
      <c r="Y988">
        <v>1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1</v>
      </c>
      <c r="AF988">
        <v>1</v>
      </c>
      <c r="AG988">
        <v>1</v>
      </c>
      <c r="AH988">
        <v>1</v>
      </c>
      <c r="AI988">
        <v>1</v>
      </c>
      <c r="AJ988">
        <v>1</v>
      </c>
      <c r="AK988">
        <v>1</v>
      </c>
      <c r="AL988">
        <v>1</v>
      </c>
      <c r="AM988">
        <v>1</v>
      </c>
    </row>
    <row r="989" spans="1:39" x14ac:dyDescent="0.2">
      <c r="A989" t="str">
        <f>"985"</f>
        <v>985</v>
      </c>
      <c r="B989" t="str">
        <f t="shared" si="53"/>
        <v>1</v>
      </c>
      <c r="C989" t="str">
        <f t="shared" si="55"/>
        <v>20</v>
      </c>
      <c r="D989" t="str">
        <f>"24"</f>
        <v>24</v>
      </c>
      <c r="E989" t="str">
        <f>"1-20-24"</f>
        <v>1-20-24</v>
      </c>
      <c r="F989" t="s">
        <v>65</v>
      </c>
      <c r="G989" t="s">
        <v>66</v>
      </c>
      <c r="H989" t="s">
        <v>67</v>
      </c>
      <c r="S989">
        <v>0</v>
      </c>
      <c r="T989">
        <v>1</v>
      </c>
      <c r="U989">
        <v>0</v>
      </c>
      <c r="V989">
        <v>0</v>
      </c>
      <c r="W989">
        <v>0</v>
      </c>
      <c r="X989">
        <v>1</v>
      </c>
      <c r="Y989">
        <v>0</v>
      </c>
      <c r="Z989">
        <v>1</v>
      </c>
      <c r="AA989">
        <v>0</v>
      </c>
      <c r="AB989">
        <v>0</v>
      </c>
      <c r="AC989">
        <v>1</v>
      </c>
      <c r="AD989">
        <v>1</v>
      </c>
      <c r="AE989">
        <v>1</v>
      </c>
      <c r="AF989">
        <v>1</v>
      </c>
      <c r="AG989">
        <v>1</v>
      </c>
      <c r="AH989">
        <v>1</v>
      </c>
      <c r="AI989">
        <v>1</v>
      </c>
      <c r="AJ989">
        <v>1</v>
      </c>
      <c r="AK989">
        <v>1</v>
      </c>
      <c r="AL989">
        <v>1</v>
      </c>
      <c r="AM989">
        <v>1</v>
      </c>
    </row>
    <row r="990" spans="1:39" x14ac:dyDescent="0.2">
      <c r="A990" t="str">
        <f>"986"</f>
        <v>986</v>
      </c>
      <c r="B990" t="str">
        <f t="shared" si="53"/>
        <v>1</v>
      </c>
      <c r="C990" t="str">
        <f t="shared" si="55"/>
        <v>20</v>
      </c>
      <c r="D990" t="str">
        <f>"6"</f>
        <v>6</v>
      </c>
      <c r="E990" t="str">
        <f>"1-20-6"</f>
        <v>1-20-6</v>
      </c>
      <c r="F990" t="s">
        <v>65</v>
      </c>
      <c r="G990" t="s">
        <v>66</v>
      </c>
      <c r="H990" t="s">
        <v>67</v>
      </c>
      <c r="S990">
        <v>1</v>
      </c>
      <c r="T990">
        <v>0</v>
      </c>
      <c r="U990">
        <v>0</v>
      </c>
      <c r="V990">
        <v>0</v>
      </c>
      <c r="W990">
        <v>1</v>
      </c>
      <c r="X990">
        <v>0</v>
      </c>
      <c r="Y990">
        <v>1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1</v>
      </c>
      <c r="AF990">
        <v>1</v>
      </c>
      <c r="AG990">
        <v>1</v>
      </c>
      <c r="AH990">
        <v>1</v>
      </c>
      <c r="AI990">
        <v>1</v>
      </c>
      <c r="AJ990">
        <v>1</v>
      </c>
      <c r="AK990">
        <v>1</v>
      </c>
      <c r="AL990">
        <v>1</v>
      </c>
      <c r="AM990">
        <v>1</v>
      </c>
    </row>
    <row r="991" spans="1:39" x14ac:dyDescent="0.2">
      <c r="A991" t="str">
        <f>"987"</f>
        <v>987</v>
      </c>
      <c r="B991" t="str">
        <f t="shared" si="53"/>
        <v>1</v>
      </c>
      <c r="C991" t="str">
        <f t="shared" si="55"/>
        <v>20</v>
      </c>
      <c r="D991" t="str">
        <f>"42"</f>
        <v>42</v>
      </c>
      <c r="E991" t="str">
        <f>"1-20-42"</f>
        <v>1-20-42</v>
      </c>
      <c r="F991" t="s">
        <v>65</v>
      </c>
      <c r="G991" t="s">
        <v>66</v>
      </c>
      <c r="H991" t="s">
        <v>67</v>
      </c>
      <c r="S991">
        <v>1</v>
      </c>
      <c r="T991">
        <v>0</v>
      </c>
      <c r="U991">
        <v>0</v>
      </c>
      <c r="V991">
        <v>0</v>
      </c>
      <c r="W991">
        <v>1</v>
      </c>
      <c r="X991">
        <v>0</v>
      </c>
      <c r="Y991">
        <v>1</v>
      </c>
      <c r="Z991">
        <v>0</v>
      </c>
      <c r="AA991">
        <v>1</v>
      </c>
      <c r="AB991">
        <v>0</v>
      </c>
      <c r="AC991">
        <v>0</v>
      </c>
      <c r="AD991">
        <v>0</v>
      </c>
      <c r="AE991">
        <v>0</v>
      </c>
      <c r="AF991">
        <v>1</v>
      </c>
      <c r="AG991">
        <v>0</v>
      </c>
      <c r="AH991">
        <v>0</v>
      </c>
      <c r="AI991">
        <v>0</v>
      </c>
      <c r="AJ991">
        <v>1</v>
      </c>
      <c r="AK991">
        <v>1</v>
      </c>
      <c r="AL991">
        <v>1</v>
      </c>
      <c r="AM991">
        <v>0</v>
      </c>
    </row>
    <row r="992" spans="1:39" x14ac:dyDescent="0.2">
      <c r="A992" t="str">
        <f>"988"</f>
        <v>988</v>
      </c>
      <c r="B992" t="str">
        <f t="shared" si="53"/>
        <v>1</v>
      </c>
      <c r="C992" t="str">
        <f t="shared" si="55"/>
        <v>20</v>
      </c>
      <c r="D992" t="str">
        <f>"25"</f>
        <v>25</v>
      </c>
      <c r="E992" t="str">
        <f>"1-20-25"</f>
        <v>1-20-25</v>
      </c>
      <c r="F992" t="s">
        <v>65</v>
      </c>
      <c r="G992" t="s">
        <v>66</v>
      </c>
      <c r="H992" t="s">
        <v>67</v>
      </c>
      <c r="S992">
        <v>0</v>
      </c>
      <c r="T992">
        <v>1</v>
      </c>
      <c r="U992">
        <v>0</v>
      </c>
      <c r="V992">
        <v>0</v>
      </c>
      <c r="W992">
        <v>1</v>
      </c>
      <c r="X992">
        <v>0</v>
      </c>
      <c r="Y992">
        <v>1</v>
      </c>
      <c r="Z992">
        <v>0</v>
      </c>
      <c r="AA992">
        <v>0</v>
      </c>
      <c r="AB992">
        <v>1</v>
      </c>
      <c r="AC992">
        <v>0</v>
      </c>
      <c r="AD992">
        <v>1</v>
      </c>
      <c r="AE992">
        <v>1</v>
      </c>
      <c r="AF992">
        <v>1</v>
      </c>
      <c r="AG992">
        <v>1</v>
      </c>
      <c r="AH992">
        <v>1</v>
      </c>
      <c r="AI992">
        <v>1</v>
      </c>
      <c r="AJ992">
        <v>1</v>
      </c>
      <c r="AK992">
        <v>1</v>
      </c>
      <c r="AL992">
        <v>1</v>
      </c>
      <c r="AM992">
        <v>1</v>
      </c>
    </row>
    <row r="993" spans="1:39" x14ac:dyDescent="0.2">
      <c r="A993" t="str">
        <f>"989"</f>
        <v>989</v>
      </c>
      <c r="B993" t="str">
        <f t="shared" si="53"/>
        <v>1</v>
      </c>
      <c r="C993" t="str">
        <f t="shared" si="55"/>
        <v>20</v>
      </c>
      <c r="D993" t="str">
        <f>"5"</f>
        <v>5</v>
      </c>
      <c r="E993" t="str">
        <f>"1-20-5"</f>
        <v>1-20-5</v>
      </c>
      <c r="F993" t="s">
        <v>65</v>
      </c>
      <c r="G993" t="s">
        <v>66</v>
      </c>
      <c r="H993" t="s">
        <v>67</v>
      </c>
      <c r="S993">
        <v>1</v>
      </c>
      <c r="T993">
        <v>0</v>
      </c>
      <c r="U993">
        <v>0</v>
      </c>
      <c r="V993">
        <v>0</v>
      </c>
      <c r="W993">
        <v>1</v>
      </c>
      <c r="X993">
        <v>0</v>
      </c>
      <c r="Y993">
        <v>1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1</v>
      </c>
      <c r="AF993">
        <v>1</v>
      </c>
      <c r="AG993">
        <v>1</v>
      </c>
      <c r="AH993">
        <v>1</v>
      </c>
      <c r="AI993">
        <v>1</v>
      </c>
      <c r="AJ993">
        <v>1</v>
      </c>
      <c r="AK993">
        <v>1</v>
      </c>
      <c r="AL993">
        <v>1</v>
      </c>
      <c r="AM993">
        <v>1</v>
      </c>
    </row>
    <row r="994" spans="1:39" x14ac:dyDescent="0.2">
      <c r="A994" t="str">
        <f>"990"</f>
        <v>990</v>
      </c>
      <c r="B994" t="str">
        <f t="shared" si="53"/>
        <v>1</v>
      </c>
      <c r="C994" t="str">
        <f t="shared" si="55"/>
        <v>20</v>
      </c>
      <c r="D994" t="str">
        <f>"27"</f>
        <v>27</v>
      </c>
      <c r="E994" t="str">
        <f>"1-20-27"</f>
        <v>1-20-27</v>
      </c>
      <c r="F994" t="s">
        <v>65</v>
      </c>
      <c r="G994" t="s">
        <v>66</v>
      </c>
      <c r="H994" t="s">
        <v>67</v>
      </c>
      <c r="S994">
        <v>0</v>
      </c>
      <c r="T994">
        <v>1</v>
      </c>
      <c r="U994">
        <v>0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0</v>
      </c>
      <c r="AB994">
        <v>0</v>
      </c>
      <c r="AC994">
        <v>1</v>
      </c>
      <c r="AD994">
        <v>0</v>
      </c>
      <c r="AE994">
        <v>0</v>
      </c>
      <c r="AF994">
        <v>0</v>
      </c>
      <c r="AG994">
        <v>1</v>
      </c>
      <c r="AH994">
        <v>1</v>
      </c>
      <c r="AI994">
        <v>1</v>
      </c>
      <c r="AJ994">
        <v>1</v>
      </c>
      <c r="AK994">
        <v>1</v>
      </c>
      <c r="AL994">
        <v>1</v>
      </c>
      <c r="AM994">
        <v>0</v>
      </c>
    </row>
    <row r="995" spans="1:39" x14ac:dyDescent="0.2">
      <c r="A995" t="str">
        <f>"991"</f>
        <v>991</v>
      </c>
      <c r="B995" t="str">
        <f t="shared" si="53"/>
        <v>1</v>
      </c>
      <c r="C995" t="str">
        <f t="shared" si="55"/>
        <v>20</v>
      </c>
      <c r="D995" t="str">
        <f>"12"</f>
        <v>12</v>
      </c>
      <c r="E995" t="str">
        <f>"1-20-12"</f>
        <v>1-20-12</v>
      </c>
      <c r="F995" t="s">
        <v>65</v>
      </c>
      <c r="G995" t="s">
        <v>66</v>
      </c>
      <c r="H995" t="s">
        <v>67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1</v>
      </c>
      <c r="Y995">
        <v>1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1</v>
      </c>
      <c r="AI995">
        <v>1</v>
      </c>
      <c r="AJ995">
        <v>1</v>
      </c>
      <c r="AK995">
        <v>1</v>
      </c>
      <c r="AL995">
        <v>1</v>
      </c>
      <c r="AM995">
        <v>1</v>
      </c>
    </row>
    <row r="996" spans="1:39" x14ac:dyDescent="0.2">
      <c r="A996" t="str">
        <f>"992"</f>
        <v>992</v>
      </c>
      <c r="B996" t="str">
        <f t="shared" si="53"/>
        <v>1</v>
      </c>
      <c r="C996" t="str">
        <f t="shared" si="55"/>
        <v>20</v>
      </c>
      <c r="D996" t="str">
        <f>"43"</f>
        <v>43</v>
      </c>
      <c r="E996" t="str">
        <f>"1-20-43"</f>
        <v>1-20-43</v>
      </c>
      <c r="F996" t="s">
        <v>65</v>
      </c>
      <c r="G996" t="s">
        <v>66</v>
      </c>
      <c r="H996" t="s">
        <v>67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1</v>
      </c>
      <c r="Y996">
        <v>1</v>
      </c>
      <c r="Z996">
        <v>0</v>
      </c>
      <c r="AA996">
        <v>0</v>
      </c>
      <c r="AB996">
        <v>1</v>
      </c>
      <c r="AC996">
        <v>0</v>
      </c>
      <c r="AD996">
        <v>1</v>
      </c>
      <c r="AE996">
        <v>1</v>
      </c>
      <c r="AF996">
        <v>1</v>
      </c>
      <c r="AG996">
        <v>1</v>
      </c>
      <c r="AH996">
        <v>1</v>
      </c>
      <c r="AI996">
        <v>1</v>
      </c>
      <c r="AJ996">
        <v>1</v>
      </c>
      <c r="AK996">
        <v>1</v>
      </c>
      <c r="AL996">
        <v>1</v>
      </c>
      <c r="AM996">
        <v>1</v>
      </c>
    </row>
    <row r="997" spans="1:39" x14ac:dyDescent="0.2">
      <c r="A997" t="str">
        <f>"993"</f>
        <v>993</v>
      </c>
      <c r="B997" t="str">
        <f t="shared" si="53"/>
        <v>1</v>
      </c>
      <c r="C997" t="str">
        <f t="shared" si="55"/>
        <v>20</v>
      </c>
      <c r="D997" t="str">
        <f>"28"</f>
        <v>28</v>
      </c>
      <c r="E997" t="str">
        <f>"1-20-28"</f>
        <v>1-20-28</v>
      </c>
      <c r="F997" t="s">
        <v>65</v>
      </c>
      <c r="G997" t="s">
        <v>66</v>
      </c>
      <c r="H997" t="s">
        <v>67</v>
      </c>
      <c r="S997">
        <v>0</v>
      </c>
      <c r="T997">
        <v>1</v>
      </c>
      <c r="U997">
        <v>0</v>
      </c>
      <c r="V997">
        <v>0</v>
      </c>
      <c r="W997">
        <v>1</v>
      </c>
      <c r="X997">
        <v>0</v>
      </c>
      <c r="Y997">
        <v>0</v>
      </c>
      <c r="Z997">
        <v>1</v>
      </c>
      <c r="AA997">
        <v>0</v>
      </c>
      <c r="AB997">
        <v>0</v>
      </c>
      <c r="AC997">
        <v>1</v>
      </c>
      <c r="AD997">
        <v>1</v>
      </c>
      <c r="AE997">
        <v>1</v>
      </c>
      <c r="AF997">
        <v>1</v>
      </c>
      <c r="AG997">
        <v>1</v>
      </c>
      <c r="AH997">
        <v>1</v>
      </c>
      <c r="AI997">
        <v>1</v>
      </c>
      <c r="AJ997">
        <v>1</v>
      </c>
      <c r="AK997">
        <v>1</v>
      </c>
      <c r="AL997">
        <v>1</v>
      </c>
      <c r="AM997">
        <v>1</v>
      </c>
    </row>
    <row r="998" spans="1:39" x14ac:dyDescent="0.2">
      <c r="A998" t="str">
        <f>"994"</f>
        <v>994</v>
      </c>
      <c r="B998" t="str">
        <f t="shared" si="53"/>
        <v>1</v>
      </c>
      <c r="C998" t="str">
        <f t="shared" si="55"/>
        <v>20</v>
      </c>
      <c r="D998" t="str">
        <f>"10"</f>
        <v>10</v>
      </c>
      <c r="E998" t="str">
        <f>"1-20-10"</f>
        <v>1-20-10</v>
      </c>
      <c r="F998" t="s">
        <v>65</v>
      </c>
      <c r="G998" t="s">
        <v>66</v>
      </c>
      <c r="H998" t="s">
        <v>67</v>
      </c>
      <c r="S998">
        <v>1</v>
      </c>
      <c r="T998">
        <v>0</v>
      </c>
      <c r="U998">
        <v>0</v>
      </c>
      <c r="V998">
        <v>0</v>
      </c>
      <c r="W998">
        <v>1</v>
      </c>
      <c r="X998">
        <v>0</v>
      </c>
      <c r="Y998">
        <v>0</v>
      </c>
      <c r="Z998">
        <v>1</v>
      </c>
      <c r="AA998">
        <v>0</v>
      </c>
      <c r="AB998">
        <v>0</v>
      </c>
      <c r="AC998">
        <v>1</v>
      </c>
      <c r="AD998">
        <v>1</v>
      </c>
      <c r="AE998">
        <v>1</v>
      </c>
      <c r="AF998">
        <v>1</v>
      </c>
      <c r="AG998">
        <v>1</v>
      </c>
      <c r="AH998">
        <v>1</v>
      </c>
      <c r="AI998">
        <v>1</v>
      </c>
      <c r="AJ998">
        <v>1</v>
      </c>
      <c r="AK998">
        <v>1</v>
      </c>
      <c r="AL998">
        <v>1</v>
      </c>
      <c r="AM998">
        <v>1</v>
      </c>
    </row>
    <row r="999" spans="1:39" x14ac:dyDescent="0.2">
      <c r="A999" t="str">
        <f>"995"</f>
        <v>995</v>
      </c>
      <c r="B999" t="str">
        <f t="shared" si="53"/>
        <v>1</v>
      </c>
      <c r="C999" t="str">
        <f t="shared" si="55"/>
        <v>20</v>
      </c>
      <c r="D999" t="str">
        <f>"50"</f>
        <v>50</v>
      </c>
      <c r="E999" t="str">
        <f>"1-20-50"</f>
        <v>1-20-50</v>
      </c>
      <c r="F999" t="s">
        <v>65</v>
      </c>
      <c r="G999" t="s">
        <v>66</v>
      </c>
      <c r="H999" t="s">
        <v>67</v>
      </c>
      <c r="S999">
        <v>1</v>
      </c>
      <c r="T999">
        <v>0</v>
      </c>
      <c r="U999">
        <v>0</v>
      </c>
      <c r="V999">
        <v>0</v>
      </c>
      <c r="W999">
        <v>1</v>
      </c>
      <c r="X999">
        <v>0</v>
      </c>
      <c r="Y999">
        <v>0</v>
      </c>
      <c r="Z999">
        <v>1</v>
      </c>
      <c r="AA999">
        <v>1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</row>
    <row r="1000" spans="1:39" x14ac:dyDescent="0.2">
      <c r="A1000" t="str">
        <f>"996"</f>
        <v>996</v>
      </c>
      <c r="B1000" t="str">
        <f t="shared" si="53"/>
        <v>1</v>
      </c>
      <c r="C1000" t="str">
        <f t="shared" si="55"/>
        <v>20</v>
      </c>
      <c r="D1000" t="str">
        <f>"29"</f>
        <v>29</v>
      </c>
      <c r="E1000" t="str">
        <f>"1-20-29"</f>
        <v>1-20-29</v>
      </c>
      <c r="F1000" t="s">
        <v>65</v>
      </c>
      <c r="G1000" t="s">
        <v>66</v>
      </c>
      <c r="H1000" t="s">
        <v>67</v>
      </c>
      <c r="S1000">
        <v>0</v>
      </c>
      <c r="T1000">
        <v>1</v>
      </c>
      <c r="U1000">
        <v>0</v>
      </c>
      <c r="V1000">
        <v>0</v>
      </c>
      <c r="W1000">
        <v>1</v>
      </c>
      <c r="X1000">
        <v>0</v>
      </c>
      <c r="Y1000">
        <v>1</v>
      </c>
      <c r="Z1000">
        <v>0</v>
      </c>
      <c r="AA1000">
        <v>0</v>
      </c>
      <c r="AB1000">
        <v>0</v>
      </c>
      <c r="AC1000">
        <v>1</v>
      </c>
      <c r="AD1000">
        <v>1</v>
      </c>
      <c r="AE1000">
        <v>1</v>
      </c>
      <c r="AF1000">
        <v>1</v>
      </c>
      <c r="AG1000">
        <v>1</v>
      </c>
      <c r="AH1000">
        <v>1</v>
      </c>
      <c r="AI1000">
        <v>1</v>
      </c>
      <c r="AJ1000">
        <v>1</v>
      </c>
      <c r="AK1000">
        <v>1</v>
      </c>
      <c r="AL1000">
        <v>1</v>
      </c>
      <c r="AM1000">
        <v>1</v>
      </c>
    </row>
    <row r="1001" spans="1:39" x14ac:dyDescent="0.2">
      <c r="A1001" t="str">
        <f>"997"</f>
        <v>997</v>
      </c>
      <c r="B1001" t="str">
        <f t="shared" si="53"/>
        <v>1</v>
      </c>
      <c r="C1001" t="str">
        <f t="shared" si="55"/>
        <v>20</v>
      </c>
      <c r="D1001" t="str">
        <f>"9"</f>
        <v>9</v>
      </c>
      <c r="E1001" t="str">
        <f>"1-20-9"</f>
        <v>1-20-9</v>
      </c>
      <c r="F1001" t="s">
        <v>65</v>
      </c>
      <c r="G1001" t="s">
        <v>66</v>
      </c>
      <c r="H1001" t="s">
        <v>67</v>
      </c>
      <c r="S1001">
        <v>1</v>
      </c>
      <c r="T1001">
        <v>0</v>
      </c>
      <c r="U1001">
        <v>0</v>
      </c>
      <c r="V1001">
        <v>0</v>
      </c>
      <c r="W1001">
        <v>1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1</v>
      </c>
      <c r="AD1001">
        <v>1</v>
      </c>
      <c r="AE1001">
        <v>1</v>
      </c>
      <c r="AF1001">
        <v>1</v>
      </c>
      <c r="AG1001">
        <v>1</v>
      </c>
      <c r="AH1001">
        <v>1</v>
      </c>
      <c r="AI1001">
        <v>1</v>
      </c>
      <c r="AJ1001">
        <v>1</v>
      </c>
      <c r="AK1001">
        <v>1</v>
      </c>
      <c r="AL1001">
        <v>1</v>
      </c>
      <c r="AM1001">
        <v>1</v>
      </c>
    </row>
    <row r="1002" spans="1:39" x14ac:dyDescent="0.2">
      <c r="A1002" t="str">
        <f>"998"</f>
        <v>998</v>
      </c>
      <c r="B1002" t="str">
        <f t="shared" si="53"/>
        <v>1</v>
      </c>
      <c r="C1002" t="str">
        <f t="shared" si="55"/>
        <v>20</v>
      </c>
      <c r="D1002" t="str">
        <f>"30"</f>
        <v>30</v>
      </c>
      <c r="E1002" t="str">
        <f>"1-20-30"</f>
        <v>1-20-30</v>
      </c>
      <c r="F1002" t="s">
        <v>65</v>
      </c>
      <c r="G1002" t="s">
        <v>66</v>
      </c>
      <c r="H1002" t="s">
        <v>67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0</v>
      </c>
      <c r="AB1002">
        <v>1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</row>
    <row r="1003" spans="1:39" x14ac:dyDescent="0.2">
      <c r="A1003" t="str">
        <f>"999"</f>
        <v>999</v>
      </c>
      <c r="B1003" t="str">
        <f t="shared" si="53"/>
        <v>1</v>
      </c>
      <c r="C1003" t="str">
        <f t="shared" si="55"/>
        <v>20</v>
      </c>
      <c r="D1003" t="str">
        <f>"8"</f>
        <v>8</v>
      </c>
      <c r="E1003" t="str">
        <f>"1-20-8"</f>
        <v>1-20-8</v>
      </c>
      <c r="F1003" t="s">
        <v>65</v>
      </c>
      <c r="G1003" t="s">
        <v>66</v>
      </c>
      <c r="H1003" t="s">
        <v>67</v>
      </c>
      <c r="S1003">
        <v>0</v>
      </c>
      <c r="T1003">
        <v>1</v>
      </c>
      <c r="U1003">
        <v>0</v>
      </c>
      <c r="V1003">
        <v>0</v>
      </c>
      <c r="W1003">
        <v>0</v>
      </c>
      <c r="X1003">
        <v>1</v>
      </c>
      <c r="Y1003">
        <v>1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1</v>
      </c>
      <c r="AF1003">
        <v>1</v>
      </c>
      <c r="AG1003">
        <v>1</v>
      </c>
      <c r="AH1003">
        <v>1</v>
      </c>
      <c r="AI1003">
        <v>1</v>
      </c>
      <c r="AJ1003">
        <v>1</v>
      </c>
      <c r="AK1003">
        <v>1</v>
      </c>
      <c r="AL1003">
        <v>1</v>
      </c>
      <c r="AM1003">
        <v>1</v>
      </c>
    </row>
    <row r="1004" spans="1:39" x14ac:dyDescent="0.2">
      <c r="A1004" t="str">
        <f>"1000"</f>
        <v>1000</v>
      </c>
      <c r="B1004" t="str">
        <f t="shared" si="53"/>
        <v>1</v>
      </c>
      <c r="C1004" t="str">
        <f t="shared" si="55"/>
        <v>20</v>
      </c>
      <c r="D1004" t="str">
        <f>"1"</f>
        <v>1</v>
      </c>
      <c r="E1004" t="str">
        <f>"1-20-1"</f>
        <v>1-20-1</v>
      </c>
      <c r="F1004" t="s">
        <v>65</v>
      </c>
      <c r="G1004" t="s">
        <v>66</v>
      </c>
      <c r="H1004" t="s">
        <v>67</v>
      </c>
      <c r="S1004">
        <v>0</v>
      </c>
      <c r="T1004">
        <v>1</v>
      </c>
      <c r="U1004">
        <v>0</v>
      </c>
      <c r="V1004">
        <v>0</v>
      </c>
      <c r="W1004">
        <v>0</v>
      </c>
      <c r="X1004">
        <v>1</v>
      </c>
      <c r="Y1004">
        <v>0</v>
      </c>
      <c r="Z1004">
        <v>1</v>
      </c>
      <c r="AA1004">
        <v>0</v>
      </c>
      <c r="AB1004">
        <v>0</v>
      </c>
      <c r="AC1004">
        <v>1</v>
      </c>
      <c r="AD1004">
        <v>0</v>
      </c>
      <c r="AE1004">
        <v>0</v>
      </c>
      <c r="AF1004">
        <v>0</v>
      </c>
      <c r="AG1004">
        <v>1</v>
      </c>
      <c r="AH1004">
        <v>1</v>
      </c>
      <c r="AI1004">
        <v>1</v>
      </c>
      <c r="AJ1004">
        <v>1</v>
      </c>
      <c r="AK1004">
        <v>1</v>
      </c>
      <c r="AL1004">
        <v>1</v>
      </c>
      <c r="AM1004">
        <v>0</v>
      </c>
    </row>
    <row r="1005" spans="1:39" x14ac:dyDescent="0.2">
      <c r="A1005" t="str">
        <f>"1001"</f>
        <v>1001</v>
      </c>
      <c r="B1005" t="str">
        <f t="shared" si="53"/>
        <v>1</v>
      </c>
      <c r="C1005" t="str">
        <f t="shared" ref="C1005:C1036" si="56">"21"</f>
        <v>21</v>
      </c>
      <c r="D1005" t="str">
        <f>"34"</f>
        <v>34</v>
      </c>
      <c r="E1005" t="str">
        <f>"1-21-34"</f>
        <v>1-21-34</v>
      </c>
      <c r="F1005" t="s">
        <v>65</v>
      </c>
      <c r="G1005" t="s">
        <v>66</v>
      </c>
      <c r="H1005" t="s">
        <v>67</v>
      </c>
      <c r="S1005">
        <v>1</v>
      </c>
      <c r="T1005">
        <v>0</v>
      </c>
      <c r="U1005">
        <v>0</v>
      </c>
      <c r="V1005">
        <v>0</v>
      </c>
      <c r="W1005">
        <v>1</v>
      </c>
      <c r="X1005">
        <v>0</v>
      </c>
      <c r="Y1005">
        <v>0</v>
      </c>
      <c r="Z1005">
        <v>1</v>
      </c>
      <c r="AA1005">
        <v>0</v>
      </c>
      <c r="AB1005">
        <v>1</v>
      </c>
      <c r="AC1005">
        <v>0</v>
      </c>
      <c r="AD1005">
        <v>1</v>
      </c>
      <c r="AE1005">
        <v>1</v>
      </c>
      <c r="AF1005">
        <v>1</v>
      </c>
      <c r="AG1005">
        <v>1</v>
      </c>
      <c r="AH1005">
        <v>1</v>
      </c>
      <c r="AI1005">
        <v>1</v>
      </c>
      <c r="AJ1005">
        <v>1</v>
      </c>
      <c r="AK1005">
        <v>1</v>
      </c>
      <c r="AL1005">
        <v>1</v>
      </c>
      <c r="AM1005">
        <v>1</v>
      </c>
    </row>
    <row r="1006" spans="1:39" x14ac:dyDescent="0.2">
      <c r="A1006" t="str">
        <f>"1002"</f>
        <v>1002</v>
      </c>
      <c r="B1006" t="str">
        <f t="shared" si="53"/>
        <v>1</v>
      </c>
      <c r="C1006" t="str">
        <f t="shared" si="56"/>
        <v>21</v>
      </c>
      <c r="D1006" t="str">
        <f>"33"</f>
        <v>33</v>
      </c>
      <c r="E1006" t="str">
        <f>"1-21-33"</f>
        <v>1-21-33</v>
      </c>
      <c r="F1006" t="s">
        <v>65</v>
      </c>
      <c r="G1006" t="s">
        <v>66</v>
      </c>
      <c r="H1006" t="s">
        <v>67</v>
      </c>
      <c r="S1006">
        <v>1</v>
      </c>
      <c r="T1006">
        <v>0</v>
      </c>
      <c r="U1006">
        <v>0</v>
      </c>
      <c r="V1006">
        <v>0</v>
      </c>
      <c r="W1006">
        <v>1</v>
      </c>
      <c r="X1006">
        <v>0</v>
      </c>
      <c r="Y1006">
        <v>1</v>
      </c>
      <c r="Z1006">
        <v>0</v>
      </c>
      <c r="AA1006">
        <v>1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1</v>
      </c>
      <c r="AJ1006">
        <v>0</v>
      </c>
      <c r="AK1006">
        <v>0</v>
      </c>
      <c r="AL1006">
        <v>0</v>
      </c>
      <c r="AM1006">
        <v>1</v>
      </c>
    </row>
    <row r="1007" spans="1:39" x14ac:dyDescent="0.2">
      <c r="A1007" t="str">
        <f>"1003"</f>
        <v>1003</v>
      </c>
      <c r="B1007" t="str">
        <f t="shared" si="53"/>
        <v>1</v>
      </c>
      <c r="C1007" t="str">
        <f t="shared" si="56"/>
        <v>21</v>
      </c>
      <c r="D1007" t="str">
        <f>"29"</f>
        <v>29</v>
      </c>
      <c r="E1007" t="str">
        <f>"1-21-29"</f>
        <v>1-21-29</v>
      </c>
      <c r="F1007" t="s">
        <v>65</v>
      </c>
      <c r="G1007" t="s">
        <v>66</v>
      </c>
      <c r="H1007" t="s">
        <v>67</v>
      </c>
      <c r="S1007">
        <v>1</v>
      </c>
      <c r="T1007">
        <v>0</v>
      </c>
      <c r="U1007">
        <v>0</v>
      </c>
      <c r="V1007">
        <v>0</v>
      </c>
      <c r="W1007">
        <v>1</v>
      </c>
      <c r="X1007">
        <v>0</v>
      </c>
      <c r="Y1007">
        <v>1</v>
      </c>
      <c r="Z1007">
        <v>0</v>
      </c>
      <c r="AA1007">
        <v>1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</row>
    <row r="1008" spans="1:39" x14ac:dyDescent="0.2">
      <c r="A1008" t="str">
        <f>"1004"</f>
        <v>1004</v>
      </c>
      <c r="B1008" t="str">
        <f t="shared" si="53"/>
        <v>1</v>
      </c>
      <c r="C1008" t="str">
        <f t="shared" si="56"/>
        <v>21</v>
      </c>
      <c r="D1008" t="str">
        <f>"15"</f>
        <v>15</v>
      </c>
      <c r="E1008" t="str">
        <f>"1-21-15"</f>
        <v>1-21-15</v>
      </c>
      <c r="F1008" t="s">
        <v>65</v>
      </c>
      <c r="G1008" t="s">
        <v>66</v>
      </c>
      <c r="H1008" t="s">
        <v>67</v>
      </c>
      <c r="S1008">
        <v>1</v>
      </c>
      <c r="T1008">
        <v>0</v>
      </c>
      <c r="U1008">
        <v>0</v>
      </c>
      <c r="V1008">
        <v>0</v>
      </c>
      <c r="W1008">
        <v>1</v>
      </c>
      <c r="X1008">
        <v>0</v>
      </c>
      <c r="Y1008">
        <v>1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1</v>
      </c>
      <c r="AF1008">
        <v>1</v>
      </c>
      <c r="AG1008">
        <v>1</v>
      </c>
      <c r="AH1008">
        <v>1</v>
      </c>
      <c r="AI1008">
        <v>1</v>
      </c>
      <c r="AJ1008">
        <v>1</v>
      </c>
      <c r="AK1008">
        <v>1</v>
      </c>
      <c r="AL1008">
        <v>1</v>
      </c>
      <c r="AM1008">
        <v>1</v>
      </c>
    </row>
    <row r="1009" spans="1:39" x14ac:dyDescent="0.2">
      <c r="A1009" t="str">
        <f>"1005"</f>
        <v>1005</v>
      </c>
      <c r="B1009" t="str">
        <f t="shared" si="53"/>
        <v>1</v>
      </c>
      <c r="C1009" t="str">
        <f t="shared" si="56"/>
        <v>21</v>
      </c>
      <c r="D1009" t="str">
        <f>"7"</f>
        <v>7</v>
      </c>
      <c r="E1009" t="str">
        <f>"1-21-7"</f>
        <v>1-21-7</v>
      </c>
      <c r="F1009" t="s">
        <v>65</v>
      </c>
      <c r="G1009" t="s">
        <v>66</v>
      </c>
      <c r="H1009" t="s">
        <v>67</v>
      </c>
      <c r="S1009">
        <v>1</v>
      </c>
      <c r="T1009">
        <v>0</v>
      </c>
      <c r="U1009">
        <v>0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1</v>
      </c>
      <c r="AH1009">
        <v>1</v>
      </c>
      <c r="AI1009">
        <v>1</v>
      </c>
      <c r="AJ1009">
        <v>0</v>
      </c>
      <c r="AK1009">
        <v>0</v>
      </c>
      <c r="AL1009">
        <v>1</v>
      </c>
      <c r="AM1009">
        <v>1</v>
      </c>
    </row>
    <row r="1010" spans="1:39" x14ac:dyDescent="0.2">
      <c r="A1010" t="str">
        <f>"1006"</f>
        <v>1006</v>
      </c>
      <c r="B1010" t="str">
        <f t="shared" si="53"/>
        <v>1</v>
      </c>
      <c r="C1010" t="str">
        <f t="shared" si="56"/>
        <v>21</v>
      </c>
      <c r="D1010" t="str">
        <f>"38"</f>
        <v>38</v>
      </c>
      <c r="E1010" t="str">
        <f>"1-21-38"</f>
        <v>1-21-38</v>
      </c>
      <c r="F1010" t="s">
        <v>65</v>
      </c>
      <c r="G1010" t="s">
        <v>66</v>
      </c>
      <c r="H1010" t="s">
        <v>67</v>
      </c>
      <c r="S1010">
        <v>0</v>
      </c>
      <c r="T1010">
        <v>1</v>
      </c>
      <c r="U1010">
        <v>0</v>
      </c>
      <c r="V1010">
        <v>0</v>
      </c>
      <c r="W1010">
        <v>1</v>
      </c>
      <c r="X1010">
        <v>0</v>
      </c>
      <c r="Y1010">
        <v>1</v>
      </c>
      <c r="Z1010">
        <v>0</v>
      </c>
      <c r="AA1010">
        <v>0</v>
      </c>
      <c r="AB1010">
        <v>0</v>
      </c>
      <c r="AC1010">
        <v>1</v>
      </c>
      <c r="AD1010">
        <v>1</v>
      </c>
      <c r="AE1010">
        <v>1</v>
      </c>
      <c r="AF1010">
        <v>1</v>
      </c>
      <c r="AG1010">
        <v>1</v>
      </c>
      <c r="AH1010">
        <v>1</v>
      </c>
      <c r="AI1010">
        <v>1</v>
      </c>
      <c r="AJ1010">
        <v>1</v>
      </c>
      <c r="AK1010">
        <v>1</v>
      </c>
      <c r="AL1010">
        <v>1</v>
      </c>
      <c r="AM1010">
        <v>1</v>
      </c>
    </row>
    <row r="1011" spans="1:39" x14ac:dyDescent="0.2">
      <c r="A1011" t="str">
        <f>"1007"</f>
        <v>1007</v>
      </c>
      <c r="B1011" t="str">
        <f t="shared" si="53"/>
        <v>1</v>
      </c>
      <c r="C1011" t="str">
        <f t="shared" si="56"/>
        <v>21</v>
      </c>
      <c r="D1011" t="str">
        <f>"37"</f>
        <v>37</v>
      </c>
      <c r="E1011" t="str">
        <f>"1-21-37"</f>
        <v>1-21-37</v>
      </c>
      <c r="F1011" t="s">
        <v>65</v>
      </c>
      <c r="G1011" t="s">
        <v>66</v>
      </c>
      <c r="H1011" t="s">
        <v>67</v>
      </c>
      <c r="S1011">
        <v>0</v>
      </c>
      <c r="T1011">
        <v>1</v>
      </c>
      <c r="U1011">
        <v>0</v>
      </c>
      <c r="V1011">
        <v>0</v>
      </c>
      <c r="W1011">
        <v>1</v>
      </c>
      <c r="X1011">
        <v>0</v>
      </c>
      <c r="Y1011">
        <v>1</v>
      </c>
      <c r="Z1011">
        <v>0</v>
      </c>
      <c r="AA1011">
        <v>0</v>
      </c>
      <c r="AB1011">
        <v>0</v>
      </c>
      <c r="AC1011">
        <v>1</v>
      </c>
      <c r="AD1011">
        <v>1</v>
      </c>
      <c r="AE1011">
        <v>1</v>
      </c>
      <c r="AF1011">
        <v>1</v>
      </c>
      <c r="AG1011">
        <v>1</v>
      </c>
      <c r="AH1011">
        <v>1</v>
      </c>
      <c r="AI1011">
        <v>1</v>
      </c>
      <c r="AJ1011">
        <v>1</v>
      </c>
      <c r="AK1011">
        <v>1</v>
      </c>
      <c r="AL1011">
        <v>1</v>
      </c>
      <c r="AM1011">
        <v>1</v>
      </c>
    </row>
    <row r="1012" spans="1:39" x14ac:dyDescent="0.2">
      <c r="A1012" t="str">
        <f>"1008"</f>
        <v>1008</v>
      </c>
      <c r="B1012" t="str">
        <f t="shared" si="53"/>
        <v>1</v>
      </c>
      <c r="C1012" t="str">
        <f t="shared" si="56"/>
        <v>21</v>
      </c>
      <c r="D1012" t="str">
        <f>"30"</f>
        <v>30</v>
      </c>
      <c r="E1012" t="str">
        <f>"1-21-30"</f>
        <v>1-21-30</v>
      </c>
      <c r="F1012" t="s">
        <v>65</v>
      </c>
      <c r="G1012" t="s">
        <v>66</v>
      </c>
      <c r="H1012" t="s">
        <v>67</v>
      </c>
      <c r="S1012">
        <v>1</v>
      </c>
      <c r="T1012">
        <v>0</v>
      </c>
      <c r="U1012">
        <v>0</v>
      </c>
      <c r="V1012">
        <v>0</v>
      </c>
      <c r="W1012">
        <v>0</v>
      </c>
      <c r="X1012">
        <v>1</v>
      </c>
      <c r="Y1012">
        <v>1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1</v>
      </c>
      <c r="AF1012">
        <v>1</v>
      </c>
      <c r="AG1012">
        <v>1</v>
      </c>
      <c r="AH1012">
        <v>1</v>
      </c>
      <c r="AI1012">
        <v>1</v>
      </c>
      <c r="AJ1012">
        <v>1</v>
      </c>
      <c r="AK1012">
        <v>1</v>
      </c>
      <c r="AL1012">
        <v>1</v>
      </c>
      <c r="AM1012">
        <v>1</v>
      </c>
    </row>
    <row r="1013" spans="1:39" x14ac:dyDescent="0.2">
      <c r="A1013" t="str">
        <f>"1009"</f>
        <v>1009</v>
      </c>
      <c r="B1013" t="str">
        <f t="shared" si="53"/>
        <v>1</v>
      </c>
      <c r="C1013" t="str">
        <f t="shared" si="56"/>
        <v>21</v>
      </c>
      <c r="D1013" t="str">
        <f>"16"</f>
        <v>16</v>
      </c>
      <c r="E1013" t="str">
        <f>"1-21-16"</f>
        <v>1-21-16</v>
      </c>
      <c r="F1013" t="s">
        <v>65</v>
      </c>
      <c r="G1013" t="s">
        <v>66</v>
      </c>
      <c r="H1013" t="s">
        <v>67</v>
      </c>
      <c r="S1013">
        <v>0</v>
      </c>
      <c r="T1013">
        <v>1</v>
      </c>
      <c r="U1013">
        <v>0</v>
      </c>
      <c r="V1013">
        <v>0</v>
      </c>
      <c r="W1013">
        <v>0</v>
      </c>
      <c r="X1013">
        <v>1</v>
      </c>
      <c r="Y1013">
        <v>0</v>
      </c>
      <c r="Z1013">
        <v>1</v>
      </c>
      <c r="AA1013">
        <v>0</v>
      </c>
      <c r="AB1013">
        <v>0</v>
      </c>
      <c r="AC1013">
        <v>1</v>
      </c>
      <c r="AD1013">
        <v>1</v>
      </c>
      <c r="AE1013">
        <v>1</v>
      </c>
      <c r="AF1013">
        <v>1</v>
      </c>
      <c r="AG1013">
        <v>1</v>
      </c>
      <c r="AH1013">
        <v>0</v>
      </c>
      <c r="AI1013">
        <v>1</v>
      </c>
      <c r="AJ1013">
        <v>1</v>
      </c>
      <c r="AK1013">
        <v>1</v>
      </c>
      <c r="AL1013">
        <v>1</v>
      </c>
      <c r="AM1013">
        <v>1</v>
      </c>
    </row>
    <row r="1014" spans="1:39" x14ac:dyDescent="0.2">
      <c r="A1014" t="str">
        <f>"1010"</f>
        <v>1010</v>
      </c>
      <c r="B1014" t="str">
        <f t="shared" si="53"/>
        <v>1</v>
      </c>
      <c r="C1014" t="str">
        <f t="shared" si="56"/>
        <v>21</v>
      </c>
      <c r="D1014" t="str">
        <f>"6"</f>
        <v>6</v>
      </c>
      <c r="E1014" t="str">
        <f>"1-21-6"</f>
        <v>1-21-6</v>
      </c>
      <c r="F1014" t="s">
        <v>65</v>
      </c>
      <c r="G1014" t="s">
        <v>66</v>
      </c>
      <c r="H1014" t="s">
        <v>67</v>
      </c>
      <c r="S1014">
        <v>1</v>
      </c>
      <c r="T1014">
        <v>0</v>
      </c>
      <c r="U1014">
        <v>0</v>
      </c>
      <c r="V1014">
        <v>0</v>
      </c>
      <c r="W1014">
        <v>1</v>
      </c>
      <c r="X1014">
        <v>0</v>
      </c>
      <c r="Y1014">
        <v>0</v>
      </c>
      <c r="Z1014">
        <v>1</v>
      </c>
      <c r="AA1014">
        <v>0</v>
      </c>
      <c r="AB1014">
        <v>1</v>
      </c>
      <c r="AC1014">
        <v>0</v>
      </c>
      <c r="AD1014">
        <v>1</v>
      </c>
      <c r="AE1014">
        <v>1</v>
      </c>
      <c r="AF1014">
        <v>1</v>
      </c>
      <c r="AG1014">
        <v>1</v>
      </c>
      <c r="AH1014">
        <v>1</v>
      </c>
      <c r="AI1014">
        <v>1</v>
      </c>
      <c r="AJ1014">
        <v>1</v>
      </c>
      <c r="AK1014">
        <v>1</v>
      </c>
      <c r="AL1014">
        <v>1</v>
      </c>
      <c r="AM1014">
        <v>1</v>
      </c>
    </row>
    <row r="1015" spans="1:39" x14ac:dyDescent="0.2">
      <c r="A1015" t="str">
        <f>"1011"</f>
        <v>1011</v>
      </c>
      <c r="B1015" t="str">
        <f t="shared" ref="B1015:B1078" si="57">"1"</f>
        <v>1</v>
      </c>
      <c r="C1015" t="str">
        <f t="shared" si="56"/>
        <v>21</v>
      </c>
      <c r="D1015" t="str">
        <f>"50"</f>
        <v>50</v>
      </c>
      <c r="E1015" t="str">
        <f>"1-21-50"</f>
        <v>1-21-50</v>
      </c>
      <c r="F1015" t="s">
        <v>65</v>
      </c>
      <c r="G1015" t="s">
        <v>66</v>
      </c>
      <c r="H1015" t="s">
        <v>67</v>
      </c>
      <c r="S1015">
        <v>1</v>
      </c>
      <c r="T1015">
        <v>0</v>
      </c>
      <c r="U1015">
        <v>0</v>
      </c>
      <c r="V1015">
        <v>0</v>
      </c>
      <c r="W1015">
        <v>1</v>
      </c>
      <c r="X1015">
        <v>0</v>
      </c>
      <c r="Y1015">
        <v>0</v>
      </c>
      <c r="Z1015">
        <v>1</v>
      </c>
      <c r="AA1015">
        <v>1</v>
      </c>
      <c r="AB1015">
        <v>0</v>
      </c>
      <c r="AC1015">
        <v>0</v>
      </c>
      <c r="AD1015">
        <v>1</v>
      </c>
      <c r="AE1015">
        <v>1</v>
      </c>
      <c r="AF1015">
        <v>1</v>
      </c>
      <c r="AG1015">
        <v>1</v>
      </c>
      <c r="AH1015">
        <v>1</v>
      </c>
      <c r="AI1015">
        <v>1</v>
      </c>
      <c r="AJ1015">
        <v>1</v>
      </c>
      <c r="AK1015">
        <v>1</v>
      </c>
      <c r="AL1015">
        <v>1</v>
      </c>
      <c r="AM1015">
        <v>1</v>
      </c>
    </row>
    <row r="1016" spans="1:39" x14ac:dyDescent="0.2">
      <c r="A1016" t="str">
        <f>"1012"</f>
        <v>1012</v>
      </c>
      <c r="B1016" t="str">
        <f t="shared" si="57"/>
        <v>1</v>
      </c>
      <c r="C1016" t="str">
        <f t="shared" si="56"/>
        <v>21</v>
      </c>
      <c r="D1016" t="str">
        <f>"49"</f>
        <v>49</v>
      </c>
      <c r="E1016" t="str">
        <f>"1-21-49"</f>
        <v>1-21-49</v>
      </c>
      <c r="F1016" t="s">
        <v>65</v>
      </c>
      <c r="G1016" t="s">
        <v>66</v>
      </c>
      <c r="H1016" t="s">
        <v>67</v>
      </c>
      <c r="S1016">
        <v>0</v>
      </c>
      <c r="T1016">
        <v>1</v>
      </c>
      <c r="U1016">
        <v>0</v>
      </c>
      <c r="V1016">
        <v>0</v>
      </c>
      <c r="W1016">
        <v>1</v>
      </c>
      <c r="X1016">
        <v>0</v>
      </c>
      <c r="Y1016">
        <v>1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1</v>
      </c>
      <c r="AF1016">
        <v>1</v>
      </c>
      <c r="AG1016">
        <v>1</v>
      </c>
      <c r="AH1016">
        <v>1</v>
      </c>
      <c r="AI1016">
        <v>1</v>
      </c>
      <c r="AJ1016">
        <v>1</v>
      </c>
      <c r="AK1016">
        <v>1</v>
      </c>
      <c r="AL1016">
        <v>1</v>
      </c>
      <c r="AM1016">
        <v>1</v>
      </c>
    </row>
    <row r="1017" spans="1:39" x14ac:dyDescent="0.2">
      <c r="A1017" t="str">
        <f>"1013"</f>
        <v>1013</v>
      </c>
      <c r="B1017" t="str">
        <f t="shared" si="57"/>
        <v>1</v>
      </c>
      <c r="C1017" t="str">
        <f t="shared" si="56"/>
        <v>21</v>
      </c>
      <c r="D1017" t="str">
        <f>"31"</f>
        <v>31</v>
      </c>
      <c r="E1017" t="str">
        <f>"1-21-31"</f>
        <v>1-21-31</v>
      </c>
      <c r="F1017" t="s">
        <v>65</v>
      </c>
      <c r="G1017" t="s">
        <v>66</v>
      </c>
      <c r="H1017" t="s">
        <v>67</v>
      </c>
      <c r="S1017">
        <v>0</v>
      </c>
      <c r="T1017">
        <v>1</v>
      </c>
      <c r="U1017">
        <v>0</v>
      </c>
      <c r="V1017">
        <v>0</v>
      </c>
      <c r="W1017">
        <v>0</v>
      </c>
      <c r="X1017">
        <v>1</v>
      </c>
      <c r="Y1017">
        <v>0</v>
      </c>
      <c r="Z1017">
        <v>1</v>
      </c>
      <c r="AA1017">
        <v>0</v>
      </c>
      <c r="AB1017">
        <v>0</v>
      </c>
      <c r="AC1017">
        <v>1</v>
      </c>
      <c r="AD1017">
        <v>1</v>
      </c>
      <c r="AE1017">
        <v>1</v>
      </c>
      <c r="AF1017">
        <v>1</v>
      </c>
      <c r="AG1017">
        <v>1</v>
      </c>
      <c r="AH1017">
        <v>1</v>
      </c>
      <c r="AI1017">
        <v>1</v>
      </c>
      <c r="AJ1017">
        <v>1</v>
      </c>
      <c r="AK1017">
        <v>1</v>
      </c>
      <c r="AL1017">
        <v>1</v>
      </c>
      <c r="AM1017">
        <v>1</v>
      </c>
    </row>
    <row r="1018" spans="1:39" x14ac:dyDescent="0.2">
      <c r="A1018" t="str">
        <f>"1014"</f>
        <v>1014</v>
      </c>
      <c r="B1018" t="str">
        <f t="shared" si="57"/>
        <v>1</v>
      </c>
      <c r="C1018" t="str">
        <f t="shared" si="56"/>
        <v>21</v>
      </c>
      <c r="D1018" t="str">
        <f>"17"</f>
        <v>17</v>
      </c>
      <c r="E1018" t="str">
        <f>"1-21-17"</f>
        <v>1-21-17</v>
      </c>
      <c r="F1018" t="s">
        <v>65</v>
      </c>
      <c r="G1018" t="s">
        <v>66</v>
      </c>
      <c r="H1018" t="s">
        <v>67</v>
      </c>
      <c r="S1018">
        <v>1</v>
      </c>
      <c r="T1018">
        <v>0</v>
      </c>
      <c r="U1018">
        <v>0</v>
      </c>
      <c r="V1018">
        <v>0</v>
      </c>
      <c r="W1018">
        <v>1</v>
      </c>
      <c r="X1018">
        <v>0</v>
      </c>
      <c r="Y1018">
        <v>1</v>
      </c>
      <c r="Z1018">
        <v>0</v>
      </c>
      <c r="AA1018">
        <v>0</v>
      </c>
      <c r="AB1018">
        <v>1</v>
      </c>
      <c r="AC1018">
        <v>0</v>
      </c>
      <c r="AD1018">
        <v>1</v>
      </c>
      <c r="AE1018">
        <v>1</v>
      </c>
      <c r="AF1018">
        <v>1</v>
      </c>
      <c r="AG1018">
        <v>1</v>
      </c>
      <c r="AH1018">
        <v>1</v>
      </c>
      <c r="AI1018">
        <v>1</v>
      </c>
      <c r="AJ1018">
        <v>1</v>
      </c>
      <c r="AK1018">
        <v>1</v>
      </c>
      <c r="AL1018">
        <v>1</v>
      </c>
      <c r="AM1018">
        <v>1</v>
      </c>
    </row>
    <row r="1019" spans="1:39" x14ac:dyDescent="0.2">
      <c r="A1019" t="str">
        <f>"1015"</f>
        <v>1015</v>
      </c>
      <c r="B1019" t="str">
        <f t="shared" si="57"/>
        <v>1</v>
      </c>
      <c r="C1019" t="str">
        <f t="shared" si="56"/>
        <v>21</v>
      </c>
      <c r="D1019" t="str">
        <f>"48"</f>
        <v>48</v>
      </c>
      <c r="E1019" t="str">
        <f>"1-21-48"</f>
        <v>1-21-48</v>
      </c>
      <c r="F1019" t="s">
        <v>65</v>
      </c>
      <c r="G1019" t="s">
        <v>66</v>
      </c>
      <c r="H1019" t="s">
        <v>67</v>
      </c>
      <c r="S1019">
        <v>1</v>
      </c>
      <c r="T1019">
        <v>0</v>
      </c>
      <c r="U1019">
        <v>0</v>
      </c>
      <c r="V1019">
        <v>0</v>
      </c>
      <c r="W1019">
        <v>0</v>
      </c>
      <c r="X1019">
        <v>1</v>
      </c>
      <c r="Y1019">
        <v>0</v>
      </c>
      <c r="Z1019">
        <v>1</v>
      </c>
      <c r="AA1019">
        <v>1</v>
      </c>
      <c r="AB1019">
        <v>0</v>
      </c>
      <c r="AC1019">
        <v>0</v>
      </c>
      <c r="AD1019">
        <v>1</v>
      </c>
      <c r="AE1019">
        <v>1</v>
      </c>
      <c r="AF1019">
        <v>1</v>
      </c>
      <c r="AG1019">
        <v>1</v>
      </c>
      <c r="AH1019">
        <v>1</v>
      </c>
      <c r="AI1019">
        <v>1</v>
      </c>
      <c r="AJ1019">
        <v>1</v>
      </c>
      <c r="AK1019">
        <v>1</v>
      </c>
      <c r="AL1019">
        <v>1</v>
      </c>
      <c r="AM1019">
        <v>1</v>
      </c>
    </row>
    <row r="1020" spans="1:39" x14ac:dyDescent="0.2">
      <c r="A1020" t="str">
        <f>"1016"</f>
        <v>1016</v>
      </c>
      <c r="B1020" t="str">
        <f t="shared" si="57"/>
        <v>1</v>
      </c>
      <c r="C1020" t="str">
        <f t="shared" si="56"/>
        <v>21</v>
      </c>
      <c r="D1020" t="str">
        <f>"47"</f>
        <v>47</v>
      </c>
      <c r="E1020" t="str">
        <f>"1-21-47"</f>
        <v>1-21-47</v>
      </c>
      <c r="F1020" t="s">
        <v>65</v>
      </c>
      <c r="G1020" t="s">
        <v>66</v>
      </c>
      <c r="H1020" t="s">
        <v>67</v>
      </c>
      <c r="S1020">
        <v>0</v>
      </c>
      <c r="T1020">
        <v>0</v>
      </c>
      <c r="U1020">
        <v>0</v>
      </c>
      <c r="V1020">
        <v>0</v>
      </c>
      <c r="W1020">
        <v>1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1</v>
      </c>
      <c r="AH1020">
        <v>1</v>
      </c>
      <c r="AI1020">
        <v>0</v>
      </c>
      <c r="AJ1020">
        <v>1</v>
      </c>
      <c r="AK1020">
        <v>1</v>
      </c>
      <c r="AL1020">
        <v>1</v>
      </c>
      <c r="AM1020">
        <v>1</v>
      </c>
    </row>
    <row r="1021" spans="1:39" x14ac:dyDescent="0.2">
      <c r="A1021" t="str">
        <f>"1017"</f>
        <v>1017</v>
      </c>
      <c r="B1021" t="str">
        <f t="shared" si="57"/>
        <v>1</v>
      </c>
      <c r="C1021" t="str">
        <f t="shared" si="56"/>
        <v>21</v>
      </c>
      <c r="D1021" t="str">
        <f>"32"</f>
        <v>32</v>
      </c>
      <c r="E1021" t="str">
        <f>"1-21-32"</f>
        <v>1-21-32</v>
      </c>
      <c r="F1021" t="s">
        <v>65</v>
      </c>
      <c r="G1021" t="s">
        <v>66</v>
      </c>
      <c r="H1021" t="s">
        <v>67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0</v>
      </c>
      <c r="AB1021">
        <v>0</v>
      </c>
      <c r="AC1021">
        <v>1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</row>
    <row r="1022" spans="1:39" x14ac:dyDescent="0.2">
      <c r="A1022" t="str">
        <f>"1018"</f>
        <v>1018</v>
      </c>
      <c r="B1022" t="str">
        <f t="shared" si="57"/>
        <v>1</v>
      </c>
      <c r="C1022" t="str">
        <f t="shared" si="56"/>
        <v>21</v>
      </c>
      <c r="D1022" t="str">
        <f>"18"</f>
        <v>18</v>
      </c>
      <c r="E1022" t="str">
        <f>"1-21-18"</f>
        <v>1-21-18</v>
      </c>
      <c r="F1022" t="s">
        <v>65</v>
      </c>
      <c r="G1022" t="s">
        <v>66</v>
      </c>
      <c r="H1022" t="s">
        <v>67</v>
      </c>
      <c r="S1022">
        <v>1</v>
      </c>
      <c r="T1022">
        <v>0</v>
      </c>
      <c r="U1022">
        <v>0</v>
      </c>
      <c r="V1022">
        <v>0</v>
      </c>
      <c r="W1022">
        <v>1</v>
      </c>
      <c r="X1022">
        <v>0</v>
      </c>
      <c r="Y1022">
        <v>1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1</v>
      </c>
      <c r="AF1022">
        <v>1</v>
      </c>
      <c r="AG1022">
        <v>1</v>
      </c>
      <c r="AH1022">
        <v>1</v>
      </c>
      <c r="AI1022">
        <v>1</v>
      </c>
      <c r="AJ1022">
        <v>1</v>
      </c>
      <c r="AK1022">
        <v>1</v>
      </c>
      <c r="AL1022">
        <v>1</v>
      </c>
      <c r="AM1022">
        <v>0</v>
      </c>
    </row>
    <row r="1023" spans="1:39" x14ac:dyDescent="0.2">
      <c r="A1023" t="str">
        <f>"1019"</f>
        <v>1019</v>
      </c>
      <c r="B1023" t="str">
        <f t="shared" si="57"/>
        <v>1</v>
      </c>
      <c r="C1023" t="str">
        <f t="shared" si="56"/>
        <v>21</v>
      </c>
      <c r="D1023" t="str">
        <f>"12"</f>
        <v>12</v>
      </c>
      <c r="E1023" t="str">
        <f>"1-21-12"</f>
        <v>1-21-12</v>
      </c>
      <c r="F1023" t="s">
        <v>65</v>
      </c>
      <c r="G1023" t="s">
        <v>66</v>
      </c>
      <c r="H1023" t="s">
        <v>67</v>
      </c>
      <c r="S1023">
        <v>0</v>
      </c>
      <c r="T1023">
        <v>1</v>
      </c>
      <c r="U1023">
        <v>0</v>
      </c>
      <c r="V1023">
        <v>0</v>
      </c>
      <c r="W1023">
        <v>1</v>
      </c>
      <c r="X1023">
        <v>0</v>
      </c>
      <c r="Y1023">
        <v>0</v>
      </c>
      <c r="Z1023">
        <v>1</v>
      </c>
      <c r="AA1023">
        <v>0</v>
      </c>
      <c r="AB1023">
        <v>0</v>
      </c>
      <c r="AC1023">
        <v>1</v>
      </c>
      <c r="AD1023">
        <v>1</v>
      </c>
      <c r="AE1023">
        <v>1</v>
      </c>
      <c r="AF1023">
        <v>1</v>
      </c>
      <c r="AG1023">
        <v>1</v>
      </c>
      <c r="AH1023">
        <v>1</v>
      </c>
      <c r="AI1023">
        <v>1</v>
      </c>
      <c r="AJ1023">
        <v>1</v>
      </c>
      <c r="AK1023">
        <v>1</v>
      </c>
      <c r="AL1023">
        <v>1</v>
      </c>
      <c r="AM1023">
        <v>0</v>
      </c>
    </row>
    <row r="1024" spans="1:39" x14ac:dyDescent="0.2">
      <c r="A1024" t="str">
        <f>"1020"</f>
        <v>1020</v>
      </c>
      <c r="B1024" t="str">
        <f t="shared" si="57"/>
        <v>1</v>
      </c>
      <c r="C1024" t="str">
        <f t="shared" si="56"/>
        <v>21</v>
      </c>
      <c r="D1024" t="str">
        <f>"36"</f>
        <v>36</v>
      </c>
      <c r="E1024" t="str">
        <f>"1-21-36"</f>
        <v>1-21-36</v>
      </c>
      <c r="F1024" t="s">
        <v>65</v>
      </c>
      <c r="G1024" t="s">
        <v>66</v>
      </c>
      <c r="H1024" t="s">
        <v>67</v>
      </c>
      <c r="S1024">
        <v>1</v>
      </c>
      <c r="T1024">
        <v>0</v>
      </c>
      <c r="U1024">
        <v>0</v>
      </c>
      <c r="V1024">
        <v>0</v>
      </c>
      <c r="W1024">
        <v>0</v>
      </c>
      <c r="X1024">
        <v>1</v>
      </c>
      <c r="Y1024">
        <v>1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1</v>
      </c>
      <c r="AF1024">
        <v>1</v>
      </c>
      <c r="AG1024">
        <v>1</v>
      </c>
      <c r="AH1024">
        <v>1</v>
      </c>
      <c r="AI1024">
        <v>1</v>
      </c>
      <c r="AJ1024">
        <v>1</v>
      </c>
      <c r="AK1024">
        <v>1</v>
      </c>
      <c r="AL1024">
        <v>1</v>
      </c>
      <c r="AM1024">
        <v>1</v>
      </c>
    </row>
    <row r="1025" spans="1:39" x14ac:dyDescent="0.2">
      <c r="A1025" t="str">
        <f>"1021"</f>
        <v>1021</v>
      </c>
      <c r="B1025" t="str">
        <f t="shared" si="57"/>
        <v>1</v>
      </c>
      <c r="C1025" t="str">
        <f t="shared" si="56"/>
        <v>21</v>
      </c>
      <c r="D1025" t="str">
        <f>"19"</f>
        <v>19</v>
      </c>
      <c r="E1025" t="str">
        <f>"1-21-19"</f>
        <v>1-21-19</v>
      </c>
      <c r="F1025" t="s">
        <v>65</v>
      </c>
      <c r="G1025" t="s">
        <v>66</v>
      </c>
      <c r="H1025" t="s">
        <v>67</v>
      </c>
      <c r="S1025">
        <v>1</v>
      </c>
      <c r="T1025">
        <v>0</v>
      </c>
      <c r="U1025">
        <v>0</v>
      </c>
      <c r="V1025">
        <v>0</v>
      </c>
      <c r="W1025">
        <v>0</v>
      </c>
      <c r="X1025">
        <v>1</v>
      </c>
      <c r="Y1025">
        <v>1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1</v>
      </c>
      <c r="AF1025">
        <v>1</v>
      </c>
      <c r="AG1025">
        <v>1</v>
      </c>
      <c r="AH1025">
        <v>1</v>
      </c>
      <c r="AI1025">
        <v>1</v>
      </c>
      <c r="AJ1025">
        <v>1</v>
      </c>
      <c r="AK1025">
        <v>1</v>
      </c>
      <c r="AL1025">
        <v>1</v>
      </c>
      <c r="AM1025">
        <v>1</v>
      </c>
    </row>
    <row r="1026" spans="1:39" x14ac:dyDescent="0.2">
      <c r="A1026" t="str">
        <f>"1022"</f>
        <v>1022</v>
      </c>
      <c r="B1026" t="str">
        <f t="shared" si="57"/>
        <v>1</v>
      </c>
      <c r="C1026" t="str">
        <f t="shared" si="56"/>
        <v>21</v>
      </c>
      <c r="D1026" t="str">
        <f>"35"</f>
        <v>35</v>
      </c>
      <c r="E1026" t="str">
        <f>"1-21-35"</f>
        <v>1-21-35</v>
      </c>
      <c r="F1026" t="s">
        <v>65</v>
      </c>
      <c r="G1026" t="s">
        <v>66</v>
      </c>
      <c r="H1026" t="s">
        <v>67</v>
      </c>
      <c r="S1026">
        <v>1</v>
      </c>
      <c r="T1026">
        <v>0</v>
      </c>
      <c r="U1026">
        <v>0</v>
      </c>
      <c r="V1026">
        <v>0</v>
      </c>
      <c r="W1026">
        <v>1</v>
      </c>
      <c r="X1026">
        <v>0</v>
      </c>
      <c r="Y1026">
        <v>1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1</v>
      </c>
      <c r="AF1026">
        <v>1</v>
      </c>
      <c r="AG1026">
        <v>1</v>
      </c>
      <c r="AH1026">
        <v>1</v>
      </c>
      <c r="AI1026">
        <v>1</v>
      </c>
      <c r="AJ1026">
        <v>1</v>
      </c>
      <c r="AK1026">
        <v>1</v>
      </c>
      <c r="AL1026">
        <v>1</v>
      </c>
      <c r="AM1026">
        <v>1</v>
      </c>
    </row>
    <row r="1027" spans="1:39" x14ac:dyDescent="0.2">
      <c r="A1027" t="str">
        <f>"1023"</f>
        <v>1023</v>
      </c>
      <c r="B1027" t="str">
        <f t="shared" si="57"/>
        <v>1</v>
      </c>
      <c r="C1027" t="str">
        <f t="shared" si="56"/>
        <v>21</v>
      </c>
      <c r="D1027" t="str">
        <f>"20"</f>
        <v>20</v>
      </c>
      <c r="E1027" t="str">
        <f>"1-21-20"</f>
        <v>1-21-20</v>
      </c>
      <c r="F1027" t="s">
        <v>65</v>
      </c>
      <c r="G1027" t="s">
        <v>66</v>
      </c>
      <c r="H1027" t="s">
        <v>67</v>
      </c>
      <c r="S1027">
        <v>0</v>
      </c>
      <c r="T1027">
        <v>1</v>
      </c>
      <c r="U1027">
        <v>0</v>
      </c>
      <c r="V1027">
        <v>0</v>
      </c>
      <c r="W1027">
        <v>1</v>
      </c>
      <c r="X1027">
        <v>0</v>
      </c>
      <c r="Y1027">
        <v>1</v>
      </c>
      <c r="Z1027">
        <v>0</v>
      </c>
      <c r="AA1027">
        <v>0</v>
      </c>
      <c r="AB1027">
        <v>1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</row>
    <row r="1028" spans="1:39" x14ac:dyDescent="0.2">
      <c r="A1028" t="str">
        <f>"1024"</f>
        <v>1024</v>
      </c>
      <c r="B1028" t="str">
        <f t="shared" si="57"/>
        <v>1</v>
      </c>
      <c r="C1028" t="str">
        <f t="shared" si="56"/>
        <v>21</v>
      </c>
      <c r="D1028" t="str">
        <f>"8"</f>
        <v>8</v>
      </c>
      <c r="E1028" t="str">
        <f>"1-21-8"</f>
        <v>1-21-8</v>
      </c>
      <c r="F1028" t="s">
        <v>65</v>
      </c>
      <c r="G1028" t="s">
        <v>66</v>
      </c>
      <c r="H1028" t="s">
        <v>67</v>
      </c>
      <c r="S1028">
        <v>1</v>
      </c>
      <c r="T1028">
        <v>0</v>
      </c>
      <c r="U1028">
        <v>0</v>
      </c>
      <c r="V1028">
        <v>0</v>
      </c>
      <c r="W1028">
        <v>1</v>
      </c>
      <c r="X1028">
        <v>0</v>
      </c>
      <c r="Y1028">
        <v>1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1</v>
      </c>
      <c r="AF1028">
        <v>1</v>
      </c>
      <c r="AG1028">
        <v>1</v>
      </c>
      <c r="AH1028">
        <v>1</v>
      </c>
      <c r="AI1028">
        <v>1</v>
      </c>
      <c r="AJ1028">
        <v>1</v>
      </c>
      <c r="AK1028">
        <v>1</v>
      </c>
      <c r="AL1028">
        <v>1</v>
      </c>
      <c r="AM1028">
        <v>1</v>
      </c>
    </row>
    <row r="1029" spans="1:39" x14ac:dyDescent="0.2">
      <c r="A1029" t="str">
        <f>"1025"</f>
        <v>1025</v>
      </c>
      <c r="B1029" t="str">
        <f t="shared" si="57"/>
        <v>1</v>
      </c>
      <c r="C1029" t="str">
        <f t="shared" si="56"/>
        <v>21</v>
      </c>
      <c r="D1029" t="str">
        <f>"39"</f>
        <v>39</v>
      </c>
      <c r="E1029" t="str">
        <f>"1-21-39"</f>
        <v>1-21-39</v>
      </c>
      <c r="F1029" t="s">
        <v>65</v>
      </c>
      <c r="G1029" t="s">
        <v>66</v>
      </c>
      <c r="H1029" t="s">
        <v>67</v>
      </c>
      <c r="S1029">
        <v>1</v>
      </c>
      <c r="T1029">
        <v>0</v>
      </c>
      <c r="U1029">
        <v>0</v>
      </c>
      <c r="V1029">
        <v>0</v>
      </c>
      <c r="W1029">
        <v>1</v>
      </c>
      <c r="X1029">
        <v>0</v>
      </c>
      <c r="Y1029">
        <v>1</v>
      </c>
      <c r="Z1029">
        <v>0</v>
      </c>
      <c r="AA1029">
        <v>0</v>
      </c>
      <c r="AB1029">
        <v>0</v>
      </c>
      <c r="AC1029">
        <v>1</v>
      </c>
      <c r="AD1029">
        <v>1</v>
      </c>
      <c r="AE1029">
        <v>1</v>
      </c>
      <c r="AF1029">
        <v>1</v>
      </c>
      <c r="AG1029">
        <v>1</v>
      </c>
      <c r="AH1029">
        <v>1</v>
      </c>
      <c r="AI1029">
        <v>1</v>
      </c>
      <c r="AJ1029">
        <v>1</v>
      </c>
      <c r="AK1029">
        <v>1</v>
      </c>
      <c r="AL1029">
        <v>1</v>
      </c>
      <c r="AM1029">
        <v>1</v>
      </c>
    </row>
    <row r="1030" spans="1:39" x14ac:dyDescent="0.2">
      <c r="A1030" t="str">
        <f>"1026"</f>
        <v>1026</v>
      </c>
      <c r="B1030" t="str">
        <f t="shared" si="57"/>
        <v>1</v>
      </c>
      <c r="C1030" t="str">
        <f t="shared" si="56"/>
        <v>21</v>
      </c>
      <c r="D1030" t="str">
        <f>"21"</f>
        <v>21</v>
      </c>
      <c r="E1030" t="str">
        <f>"1-21-21"</f>
        <v>1-21-21</v>
      </c>
      <c r="F1030" t="s">
        <v>65</v>
      </c>
      <c r="G1030" t="s">
        <v>66</v>
      </c>
      <c r="H1030" t="s">
        <v>67</v>
      </c>
      <c r="S1030">
        <v>1</v>
      </c>
      <c r="T1030">
        <v>0</v>
      </c>
      <c r="U1030">
        <v>0</v>
      </c>
      <c r="V1030">
        <v>0</v>
      </c>
      <c r="W1030">
        <v>1</v>
      </c>
      <c r="X1030">
        <v>0</v>
      </c>
      <c r="Y1030">
        <v>1</v>
      </c>
      <c r="Z1030">
        <v>0</v>
      </c>
      <c r="AA1030">
        <v>1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1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1</v>
      </c>
    </row>
    <row r="1031" spans="1:39" x14ac:dyDescent="0.2">
      <c r="A1031" t="str">
        <f>"1027"</f>
        <v>1027</v>
      </c>
      <c r="B1031" t="str">
        <f t="shared" si="57"/>
        <v>1</v>
      </c>
      <c r="C1031" t="str">
        <f t="shared" si="56"/>
        <v>21</v>
      </c>
      <c r="D1031" t="str">
        <f>"13"</f>
        <v>13</v>
      </c>
      <c r="E1031" t="str">
        <f>"1-21-13"</f>
        <v>1-21-13</v>
      </c>
      <c r="F1031" t="s">
        <v>65</v>
      </c>
      <c r="G1031" t="s">
        <v>66</v>
      </c>
      <c r="H1031" t="s">
        <v>67</v>
      </c>
      <c r="S1031">
        <v>1</v>
      </c>
      <c r="T1031">
        <v>0</v>
      </c>
      <c r="U1031">
        <v>0</v>
      </c>
      <c r="V1031">
        <v>0</v>
      </c>
      <c r="W1031">
        <v>1</v>
      </c>
      <c r="X1031">
        <v>0</v>
      </c>
      <c r="Y1031">
        <v>1</v>
      </c>
      <c r="Z1031">
        <v>0</v>
      </c>
      <c r="AA1031">
        <v>0</v>
      </c>
      <c r="AB1031">
        <v>0</v>
      </c>
      <c r="AC1031">
        <v>1</v>
      </c>
      <c r="AD1031">
        <v>1</v>
      </c>
      <c r="AE1031">
        <v>1</v>
      </c>
      <c r="AF1031">
        <v>1</v>
      </c>
      <c r="AG1031">
        <v>1</v>
      </c>
      <c r="AH1031">
        <v>1</v>
      </c>
      <c r="AI1031">
        <v>1</v>
      </c>
      <c r="AJ1031">
        <v>1</v>
      </c>
      <c r="AK1031">
        <v>1</v>
      </c>
      <c r="AL1031">
        <v>1</v>
      </c>
      <c r="AM1031">
        <v>1</v>
      </c>
    </row>
    <row r="1032" spans="1:39" x14ac:dyDescent="0.2">
      <c r="A1032" t="str">
        <f>"1028"</f>
        <v>1028</v>
      </c>
      <c r="B1032" t="str">
        <f t="shared" si="57"/>
        <v>1</v>
      </c>
      <c r="C1032" t="str">
        <f t="shared" si="56"/>
        <v>21</v>
      </c>
      <c r="D1032" t="str">
        <f>"40"</f>
        <v>40</v>
      </c>
      <c r="E1032" t="str">
        <f>"1-21-40"</f>
        <v>1-21-40</v>
      </c>
      <c r="F1032" t="s">
        <v>65</v>
      </c>
      <c r="G1032" t="s">
        <v>66</v>
      </c>
      <c r="H1032" t="s">
        <v>67</v>
      </c>
      <c r="S1032">
        <v>0</v>
      </c>
      <c r="T1032">
        <v>0</v>
      </c>
      <c r="U1032">
        <v>0</v>
      </c>
      <c r="V1032">
        <v>0</v>
      </c>
      <c r="W1032">
        <v>1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1</v>
      </c>
      <c r="AH1032">
        <v>1</v>
      </c>
      <c r="AI1032">
        <v>0</v>
      </c>
      <c r="AJ1032">
        <v>1</v>
      </c>
      <c r="AK1032">
        <v>1</v>
      </c>
      <c r="AL1032">
        <v>1</v>
      </c>
      <c r="AM1032">
        <v>1</v>
      </c>
    </row>
    <row r="1033" spans="1:39" x14ac:dyDescent="0.2">
      <c r="A1033" t="str">
        <f>"1029"</f>
        <v>1029</v>
      </c>
      <c r="B1033" t="str">
        <f t="shared" si="57"/>
        <v>1</v>
      </c>
      <c r="C1033" t="str">
        <f t="shared" si="56"/>
        <v>21</v>
      </c>
      <c r="D1033" t="str">
        <f>"22"</f>
        <v>22</v>
      </c>
      <c r="E1033" t="str">
        <f>"1-21-22"</f>
        <v>1-21-22</v>
      </c>
      <c r="F1033" t="s">
        <v>65</v>
      </c>
      <c r="G1033" t="s">
        <v>66</v>
      </c>
      <c r="H1033" t="s">
        <v>67</v>
      </c>
      <c r="S1033">
        <v>1</v>
      </c>
      <c r="T1033">
        <v>0</v>
      </c>
      <c r="U1033">
        <v>0</v>
      </c>
      <c r="V1033">
        <v>0</v>
      </c>
      <c r="W1033">
        <v>1</v>
      </c>
      <c r="X1033">
        <v>0</v>
      </c>
      <c r="Y1033">
        <v>1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1</v>
      </c>
      <c r="AF1033">
        <v>1</v>
      </c>
      <c r="AG1033">
        <v>1</v>
      </c>
      <c r="AH1033">
        <v>1</v>
      </c>
      <c r="AI1033">
        <v>1</v>
      </c>
      <c r="AJ1033">
        <v>1</v>
      </c>
      <c r="AK1033">
        <v>1</v>
      </c>
      <c r="AL1033">
        <v>1</v>
      </c>
      <c r="AM1033">
        <v>0</v>
      </c>
    </row>
    <row r="1034" spans="1:39" x14ac:dyDescent="0.2">
      <c r="A1034" t="str">
        <f>"1030"</f>
        <v>1030</v>
      </c>
      <c r="B1034" t="str">
        <f t="shared" si="57"/>
        <v>1</v>
      </c>
      <c r="C1034" t="str">
        <f t="shared" si="56"/>
        <v>21</v>
      </c>
      <c r="D1034" t="str">
        <f>"4"</f>
        <v>4</v>
      </c>
      <c r="E1034" t="str">
        <f>"1-21-4"</f>
        <v>1-21-4</v>
      </c>
      <c r="F1034" t="s">
        <v>65</v>
      </c>
      <c r="G1034" t="s">
        <v>66</v>
      </c>
      <c r="H1034" t="s">
        <v>67</v>
      </c>
      <c r="S1034">
        <v>0</v>
      </c>
      <c r="T1034">
        <v>1</v>
      </c>
      <c r="U1034">
        <v>0</v>
      </c>
      <c r="V1034">
        <v>0</v>
      </c>
      <c r="W1034">
        <v>0</v>
      </c>
      <c r="X1034">
        <v>1</v>
      </c>
      <c r="Y1034">
        <v>0</v>
      </c>
      <c r="Z1034">
        <v>1</v>
      </c>
      <c r="AA1034">
        <v>0</v>
      </c>
      <c r="AB1034">
        <v>0</v>
      </c>
      <c r="AC1034">
        <v>1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1</v>
      </c>
      <c r="AJ1034">
        <v>1</v>
      </c>
      <c r="AK1034">
        <v>1</v>
      </c>
      <c r="AL1034">
        <v>1</v>
      </c>
      <c r="AM1034">
        <v>1</v>
      </c>
    </row>
    <row r="1035" spans="1:39" x14ac:dyDescent="0.2">
      <c r="A1035" t="str">
        <f>"1031"</f>
        <v>1031</v>
      </c>
      <c r="B1035" t="str">
        <f t="shared" si="57"/>
        <v>1</v>
      </c>
      <c r="C1035" t="str">
        <f t="shared" si="56"/>
        <v>21</v>
      </c>
      <c r="D1035" t="str">
        <f>"41"</f>
        <v>41</v>
      </c>
      <c r="E1035" t="str">
        <f>"1-21-41"</f>
        <v>1-21-41</v>
      </c>
      <c r="F1035" t="s">
        <v>65</v>
      </c>
      <c r="G1035" t="s">
        <v>66</v>
      </c>
      <c r="H1035" t="s">
        <v>67</v>
      </c>
      <c r="S1035">
        <v>1</v>
      </c>
      <c r="T1035">
        <v>0</v>
      </c>
      <c r="U1035">
        <v>0</v>
      </c>
      <c r="V1035">
        <v>0</v>
      </c>
      <c r="W1035">
        <v>1</v>
      </c>
      <c r="X1035">
        <v>0</v>
      </c>
      <c r="Y1035">
        <v>1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1</v>
      </c>
      <c r="AF1035">
        <v>1</v>
      </c>
      <c r="AG1035">
        <v>1</v>
      </c>
      <c r="AH1035">
        <v>1</v>
      </c>
      <c r="AI1035">
        <v>1</v>
      </c>
      <c r="AJ1035">
        <v>1</v>
      </c>
      <c r="AK1035">
        <v>1</v>
      </c>
      <c r="AL1035">
        <v>1</v>
      </c>
      <c r="AM1035">
        <v>1</v>
      </c>
    </row>
    <row r="1036" spans="1:39" x14ac:dyDescent="0.2">
      <c r="A1036" t="str">
        <f>"1032"</f>
        <v>1032</v>
      </c>
      <c r="B1036" t="str">
        <f t="shared" si="57"/>
        <v>1</v>
      </c>
      <c r="C1036" t="str">
        <f t="shared" si="56"/>
        <v>21</v>
      </c>
      <c r="D1036" t="str">
        <f>"23"</f>
        <v>23</v>
      </c>
      <c r="E1036" t="str">
        <f>"1-21-23"</f>
        <v>1-21-23</v>
      </c>
      <c r="F1036" t="s">
        <v>65</v>
      </c>
      <c r="G1036" t="s">
        <v>66</v>
      </c>
      <c r="H1036" t="s">
        <v>67</v>
      </c>
      <c r="S1036">
        <v>0</v>
      </c>
      <c r="T1036">
        <v>1</v>
      </c>
      <c r="U1036">
        <v>0</v>
      </c>
      <c r="V1036">
        <v>0</v>
      </c>
      <c r="W1036">
        <v>1</v>
      </c>
      <c r="X1036">
        <v>0</v>
      </c>
      <c r="Y1036">
        <v>1</v>
      </c>
      <c r="Z1036">
        <v>0</v>
      </c>
      <c r="AA1036">
        <v>0</v>
      </c>
      <c r="AB1036">
        <v>0</v>
      </c>
      <c r="AC1036">
        <v>1</v>
      </c>
      <c r="AD1036">
        <v>1</v>
      </c>
      <c r="AE1036">
        <v>1</v>
      </c>
      <c r="AF1036">
        <v>1</v>
      </c>
      <c r="AG1036">
        <v>1</v>
      </c>
      <c r="AH1036">
        <v>1</v>
      </c>
      <c r="AI1036">
        <v>1</v>
      </c>
      <c r="AJ1036">
        <v>1</v>
      </c>
      <c r="AK1036">
        <v>1</v>
      </c>
      <c r="AL1036">
        <v>1</v>
      </c>
      <c r="AM1036">
        <v>1</v>
      </c>
    </row>
    <row r="1037" spans="1:39" x14ac:dyDescent="0.2">
      <c r="A1037" t="str">
        <f>"1033"</f>
        <v>1033</v>
      </c>
      <c r="B1037" t="str">
        <f t="shared" si="57"/>
        <v>1</v>
      </c>
      <c r="C1037" t="str">
        <f t="shared" ref="C1037:C1054" si="58">"21"</f>
        <v>21</v>
      </c>
      <c r="D1037" t="str">
        <f>"11"</f>
        <v>11</v>
      </c>
      <c r="E1037" t="str">
        <f>"1-21-11"</f>
        <v>1-21-11</v>
      </c>
      <c r="F1037" t="s">
        <v>65</v>
      </c>
      <c r="G1037" t="s">
        <v>66</v>
      </c>
      <c r="H1037" t="s">
        <v>67</v>
      </c>
      <c r="S1037">
        <v>1</v>
      </c>
      <c r="T1037">
        <v>0</v>
      </c>
      <c r="U1037">
        <v>0</v>
      </c>
      <c r="V1037">
        <v>0</v>
      </c>
      <c r="W1037">
        <v>1</v>
      </c>
      <c r="X1037">
        <v>0</v>
      </c>
      <c r="Y1037">
        <v>0</v>
      </c>
      <c r="Z1037">
        <v>1</v>
      </c>
      <c r="AA1037">
        <v>1</v>
      </c>
      <c r="AB1037">
        <v>0</v>
      </c>
      <c r="AC1037">
        <v>0</v>
      </c>
      <c r="AD1037">
        <v>1</v>
      </c>
      <c r="AE1037">
        <v>1</v>
      </c>
      <c r="AF1037">
        <v>1</v>
      </c>
      <c r="AG1037">
        <v>1</v>
      </c>
      <c r="AH1037">
        <v>1</v>
      </c>
      <c r="AI1037">
        <v>1</v>
      </c>
      <c r="AJ1037">
        <v>1</v>
      </c>
      <c r="AK1037">
        <v>1</v>
      </c>
      <c r="AL1037">
        <v>1</v>
      </c>
      <c r="AM1037">
        <v>1</v>
      </c>
    </row>
    <row r="1038" spans="1:39" x14ac:dyDescent="0.2">
      <c r="A1038" t="str">
        <f>"1034"</f>
        <v>1034</v>
      </c>
      <c r="B1038" t="str">
        <f t="shared" si="57"/>
        <v>1</v>
      </c>
      <c r="C1038" t="str">
        <f t="shared" si="58"/>
        <v>21</v>
      </c>
      <c r="D1038" t="str">
        <f>"42"</f>
        <v>42</v>
      </c>
      <c r="E1038" t="str">
        <f>"1-21-42"</f>
        <v>1-21-42</v>
      </c>
      <c r="F1038" t="s">
        <v>65</v>
      </c>
      <c r="G1038" t="s">
        <v>66</v>
      </c>
      <c r="H1038" t="s">
        <v>67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0</v>
      </c>
      <c r="AB1038">
        <v>0</v>
      </c>
      <c r="AC1038">
        <v>1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</row>
    <row r="1039" spans="1:39" x14ac:dyDescent="0.2">
      <c r="A1039" t="str">
        <f>"1035"</f>
        <v>1035</v>
      </c>
      <c r="B1039" t="str">
        <f t="shared" si="57"/>
        <v>1</v>
      </c>
      <c r="C1039" t="str">
        <f t="shared" si="58"/>
        <v>21</v>
      </c>
      <c r="D1039" t="str">
        <f>"24"</f>
        <v>24</v>
      </c>
      <c r="E1039" t="str">
        <f>"1-21-24"</f>
        <v>1-21-24</v>
      </c>
      <c r="F1039" t="s">
        <v>65</v>
      </c>
      <c r="G1039" t="s">
        <v>66</v>
      </c>
      <c r="H1039" t="s">
        <v>67</v>
      </c>
      <c r="S1039">
        <v>1</v>
      </c>
      <c r="T1039">
        <v>0</v>
      </c>
      <c r="U1039">
        <v>0</v>
      </c>
      <c r="V1039">
        <v>0</v>
      </c>
      <c r="W1039">
        <v>1</v>
      </c>
      <c r="X1039">
        <v>0</v>
      </c>
      <c r="Y1039">
        <v>1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1</v>
      </c>
      <c r="AF1039">
        <v>1</v>
      </c>
      <c r="AG1039">
        <v>1</v>
      </c>
      <c r="AH1039">
        <v>1</v>
      </c>
      <c r="AI1039">
        <v>1</v>
      </c>
      <c r="AJ1039">
        <v>1</v>
      </c>
      <c r="AK1039">
        <v>1</v>
      </c>
      <c r="AL1039">
        <v>1</v>
      </c>
      <c r="AM1039">
        <v>1</v>
      </c>
    </row>
    <row r="1040" spans="1:39" x14ac:dyDescent="0.2">
      <c r="A1040" t="str">
        <f>"1036"</f>
        <v>1036</v>
      </c>
      <c r="B1040" t="str">
        <f t="shared" si="57"/>
        <v>1</v>
      </c>
      <c r="C1040" t="str">
        <f t="shared" si="58"/>
        <v>21</v>
      </c>
      <c r="D1040" t="str">
        <f>"5"</f>
        <v>5</v>
      </c>
      <c r="E1040" t="str">
        <f>"1-21-5"</f>
        <v>1-21-5</v>
      </c>
      <c r="F1040" t="s">
        <v>65</v>
      </c>
      <c r="G1040" t="s">
        <v>66</v>
      </c>
      <c r="H1040" t="s">
        <v>67</v>
      </c>
      <c r="S1040">
        <v>0</v>
      </c>
      <c r="T1040">
        <v>1</v>
      </c>
      <c r="U1040">
        <v>0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0</v>
      </c>
      <c r="AB1040">
        <v>1</v>
      </c>
      <c r="AC1040">
        <v>0</v>
      </c>
      <c r="AD1040">
        <v>0</v>
      </c>
      <c r="AE1040">
        <v>0</v>
      </c>
      <c r="AF1040">
        <v>0</v>
      </c>
      <c r="AG1040">
        <v>1</v>
      </c>
      <c r="AH1040">
        <v>0</v>
      </c>
      <c r="AI1040">
        <v>0</v>
      </c>
      <c r="AJ1040">
        <v>1</v>
      </c>
      <c r="AK1040">
        <v>0</v>
      </c>
      <c r="AL1040">
        <v>0</v>
      </c>
      <c r="AM1040">
        <v>1</v>
      </c>
    </row>
    <row r="1041" spans="1:39" x14ac:dyDescent="0.2">
      <c r="A1041" t="str">
        <f>"1037"</f>
        <v>1037</v>
      </c>
      <c r="B1041" t="str">
        <f t="shared" si="57"/>
        <v>1</v>
      </c>
      <c r="C1041" t="str">
        <f t="shared" si="58"/>
        <v>21</v>
      </c>
      <c r="D1041" t="str">
        <f>"43"</f>
        <v>43</v>
      </c>
      <c r="E1041" t="str">
        <f>"1-21-43"</f>
        <v>1-21-43</v>
      </c>
      <c r="F1041" t="s">
        <v>65</v>
      </c>
      <c r="G1041" t="s">
        <v>66</v>
      </c>
      <c r="H1041" t="s">
        <v>67</v>
      </c>
      <c r="S1041">
        <v>0</v>
      </c>
      <c r="T1041">
        <v>1</v>
      </c>
      <c r="U1041">
        <v>0</v>
      </c>
      <c r="V1041">
        <v>0</v>
      </c>
      <c r="W1041">
        <v>1</v>
      </c>
      <c r="X1041">
        <v>0</v>
      </c>
      <c r="Y1041">
        <v>0</v>
      </c>
      <c r="Z1041">
        <v>1</v>
      </c>
      <c r="AA1041">
        <v>0</v>
      </c>
      <c r="AB1041">
        <v>1</v>
      </c>
      <c r="AC1041">
        <v>0</v>
      </c>
      <c r="AD1041">
        <v>1</v>
      </c>
      <c r="AE1041">
        <v>1</v>
      </c>
      <c r="AF1041">
        <v>0</v>
      </c>
      <c r="AG1041">
        <v>0</v>
      </c>
      <c r="AH1041">
        <v>1</v>
      </c>
      <c r="AI1041">
        <v>1</v>
      </c>
      <c r="AJ1041">
        <v>0</v>
      </c>
      <c r="AK1041">
        <v>1</v>
      </c>
      <c r="AL1041">
        <v>1</v>
      </c>
      <c r="AM1041">
        <v>1</v>
      </c>
    </row>
    <row r="1042" spans="1:39" x14ac:dyDescent="0.2">
      <c r="A1042" t="str">
        <f>"1038"</f>
        <v>1038</v>
      </c>
      <c r="B1042" t="str">
        <f t="shared" si="57"/>
        <v>1</v>
      </c>
      <c r="C1042" t="str">
        <f t="shared" si="58"/>
        <v>21</v>
      </c>
      <c r="D1042" t="str">
        <f>"25"</f>
        <v>25</v>
      </c>
      <c r="E1042" t="str">
        <f>"1-21-25"</f>
        <v>1-21-25</v>
      </c>
      <c r="F1042" t="s">
        <v>65</v>
      </c>
      <c r="G1042" t="s">
        <v>66</v>
      </c>
      <c r="H1042" t="s">
        <v>67</v>
      </c>
      <c r="S1042">
        <v>0</v>
      </c>
      <c r="T1042">
        <v>1</v>
      </c>
      <c r="U1042">
        <v>0</v>
      </c>
      <c r="V1042">
        <v>0</v>
      </c>
      <c r="W1042">
        <v>1</v>
      </c>
      <c r="X1042">
        <v>0</v>
      </c>
      <c r="Y1042">
        <v>0</v>
      </c>
      <c r="Z1042">
        <v>1</v>
      </c>
      <c r="AA1042">
        <v>1</v>
      </c>
      <c r="AB1042">
        <v>0</v>
      </c>
      <c r="AC1042">
        <v>0</v>
      </c>
      <c r="AD1042">
        <v>1</v>
      </c>
      <c r="AE1042">
        <v>1</v>
      </c>
      <c r="AF1042">
        <v>1</v>
      </c>
      <c r="AG1042">
        <v>1</v>
      </c>
      <c r="AH1042">
        <v>0</v>
      </c>
      <c r="AI1042">
        <v>1</v>
      </c>
      <c r="AJ1042">
        <v>1</v>
      </c>
      <c r="AK1042">
        <v>1</v>
      </c>
      <c r="AL1042">
        <v>1</v>
      </c>
      <c r="AM1042">
        <v>1</v>
      </c>
    </row>
    <row r="1043" spans="1:39" x14ac:dyDescent="0.2">
      <c r="A1043" t="str">
        <f>"1039"</f>
        <v>1039</v>
      </c>
      <c r="B1043" t="str">
        <f t="shared" si="57"/>
        <v>1</v>
      </c>
      <c r="C1043" t="str">
        <f t="shared" si="58"/>
        <v>21</v>
      </c>
      <c r="D1043" t="str">
        <f>"14"</f>
        <v>14</v>
      </c>
      <c r="E1043" t="str">
        <f>"1-21-14"</f>
        <v>1-21-14</v>
      </c>
      <c r="F1043" t="s">
        <v>65</v>
      </c>
      <c r="G1043" t="s">
        <v>66</v>
      </c>
      <c r="H1043" t="s">
        <v>67</v>
      </c>
      <c r="S1043">
        <v>0</v>
      </c>
      <c r="T1043">
        <v>1</v>
      </c>
      <c r="U1043">
        <v>0</v>
      </c>
      <c r="V1043">
        <v>0</v>
      </c>
      <c r="W1043">
        <v>1</v>
      </c>
      <c r="X1043">
        <v>0</v>
      </c>
      <c r="Y1043">
        <v>0</v>
      </c>
      <c r="Z1043">
        <v>1</v>
      </c>
      <c r="AA1043">
        <v>1</v>
      </c>
      <c r="AB1043">
        <v>0</v>
      </c>
      <c r="AC1043">
        <v>0</v>
      </c>
      <c r="AD1043">
        <v>1</v>
      </c>
      <c r="AE1043">
        <v>1</v>
      </c>
      <c r="AF1043">
        <v>1</v>
      </c>
      <c r="AG1043">
        <v>1</v>
      </c>
      <c r="AH1043">
        <v>0</v>
      </c>
      <c r="AI1043">
        <v>1</v>
      </c>
      <c r="AJ1043">
        <v>1</v>
      </c>
      <c r="AK1043">
        <v>1</v>
      </c>
      <c r="AL1043">
        <v>1</v>
      </c>
      <c r="AM1043">
        <v>0</v>
      </c>
    </row>
    <row r="1044" spans="1:39" x14ac:dyDescent="0.2">
      <c r="A1044" t="str">
        <f>"1040"</f>
        <v>1040</v>
      </c>
      <c r="B1044" t="str">
        <f t="shared" si="57"/>
        <v>1</v>
      </c>
      <c r="C1044" t="str">
        <f t="shared" si="58"/>
        <v>21</v>
      </c>
      <c r="D1044" t="str">
        <f>"45"</f>
        <v>45</v>
      </c>
      <c r="E1044" t="str">
        <f>"1-21-45"</f>
        <v>1-21-45</v>
      </c>
      <c r="F1044" t="s">
        <v>65</v>
      </c>
      <c r="G1044" t="s">
        <v>66</v>
      </c>
      <c r="H1044" t="s">
        <v>67</v>
      </c>
      <c r="S1044">
        <v>1</v>
      </c>
      <c r="T1044">
        <v>0</v>
      </c>
      <c r="U1044">
        <v>0</v>
      </c>
      <c r="V1044">
        <v>0</v>
      </c>
      <c r="W1044">
        <v>1</v>
      </c>
      <c r="X1044">
        <v>0</v>
      </c>
      <c r="Y1044">
        <v>1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1</v>
      </c>
      <c r="AF1044">
        <v>1</v>
      </c>
      <c r="AG1044">
        <v>1</v>
      </c>
      <c r="AH1044">
        <v>1</v>
      </c>
      <c r="AI1044">
        <v>1</v>
      </c>
      <c r="AJ1044">
        <v>1</v>
      </c>
      <c r="AK1044">
        <v>1</v>
      </c>
      <c r="AL1044">
        <v>1</v>
      </c>
      <c r="AM1044">
        <v>1</v>
      </c>
    </row>
    <row r="1045" spans="1:39" x14ac:dyDescent="0.2">
      <c r="A1045" t="str">
        <f>"1041"</f>
        <v>1041</v>
      </c>
      <c r="B1045" t="str">
        <f t="shared" si="57"/>
        <v>1</v>
      </c>
      <c r="C1045" t="str">
        <f t="shared" si="58"/>
        <v>21</v>
      </c>
      <c r="D1045" t="str">
        <f>"26"</f>
        <v>26</v>
      </c>
      <c r="E1045" t="str">
        <f>"1-21-26"</f>
        <v>1-21-26</v>
      </c>
      <c r="F1045" t="s">
        <v>65</v>
      </c>
      <c r="G1045" t="s">
        <v>66</v>
      </c>
      <c r="H1045" t="s">
        <v>67</v>
      </c>
      <c r="S1045">
        <v>1</v>
      </c>
      <c r="T1045">
        <v>0</v>
      </c>
      <c r="U1045">
        <v>0</v>
      </c>
      <c r="V1045">
        <v>0</v>
      </c>
      <c r="W1045">
        <v>1</v>
      </c>
      <c r="X1045">
        <v>0</v>
      </c>
      <c r="Y1045">
        <v>1</v>
      </c>
      <c r="Z1045">
        <v>0</v>
      </c>
      <c r="AA1045">
        <v>0</v>
      </c>
      <c r="AB1045">
        <v>0</v>
      </c>
      <c r="AC1045">
        <v>1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</row>
    <row r="1046" spans="1:39" x14ac:dyDescent="0.2">
      <c r="A1046" t="str">
        <f>"1042"</f>
        <v>1042</v>
      </c>
      <c r="B1046" t="str">
        <f t="shared" si="57"/>
        <v>1</v>
      </c>
      <c r="C1046" t="str">
        <f t="shared" si="58"/>
        <v>21</v>
      </c>
      <c r="D1046" t="str">
        <f>"3"</f>
        <v>3</v>
      </c>
      <c r="E1046" t="str">
        <f>"1-21-3"</f>
        <v>1-21-3</v>
      </c>
      <c r="F1046" t="s">
        <v>65</v>
      </c>
      <c r="G1046" t="s">
        <v>66</v>
      </c>
      <c r="H1046" t="s">
        <v>67</v>
      </c>
      <c r="S1046">
        <v>1</v>
      </c>
      <c r="T1046">
        <v>0</v>
      </c>
      <c r="U1046">
        <v>0</v>
      </c>
      <c r="V1046">
        <v>0</v>
      </c>
      <c r="W1046">
        <v>1</v>
      </c>
      <c r="X1046">
        <v>0</v>
      </c>
      <c r="Y1046">
        <v>1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1</v>
      </c>
      <c r="AF1046">
        <v>0</v>
      </c>
      <c r="AG1046">
        <v>1</v>
      </c>
      <c r="AH1046">
        <v>1</v>
      </c>
      <c r="AI1046">
        <v>1</v>
      </c>
      <c r="AJ1046">
        <v>1</v>
      </c>
      <c r="AK1046">
        <v>1</v>
      </c>
      <c r="AL1046">
        <v>1</v>
      </c>
      <c r="AM1046">
        <v>0</v>
      </c>
    </row>
    <row r="1047" spans="1:39" x14ac:dyDescent="0.2">
      <c r="A1047" t="str">
        <f>"1043"</f>
        <v>1043</v>
      </c>
      <c r="B1047" t="str">
        <f t="shared" si="57"/>
        <v>1</v>
      </c>
      <c r="C1047" t="str">
        <f t="shared" si="58"/>
        <v>21</v>
      </c>
      <c r="D1047" t="str">
        <f>"44"</f>
        <v>44</v>
      </c>
      <c r="E1047" t="str">
        <f>"1-21-44"</f>
        <v>1-21-44</v>
      </c>
      <c r="F1047" t="s">
        <v>65</v>
      </c>
      <c r="G1047" t="s">
        <v>66</v>
      </c>
      <c r="H1047" t="s">
        <v>67</v>
      </c>
      <c r="S1047">
        <v>0</v>
      </c>
      <c r="T1047">
        <v>1</v>
      </c>
      <c r="U1047">
        <v>0</v>
      </c>
      <c r="V1047">
        <v>0</v>
      </c>
      <c r="W1047">
        <v>1</v>
      </c>
      <c r="X1047">
        <v>0</v>
      </c>
      <c r="Y1047">
        <v>0</v>
      </c>
      <c r="Z1047">
        <v>1</v>
      </c>
      <c r="AA1047">
        <v>0</v>
      </c>
      <c r="AB1047">
        <v>0</v>
      </c>
      <c r="AC1047">
        <v>1</v>
      </c>
      <c r="AD1047">
        <v>1</v>
      </c>
      <c r="AE1047">
        <v>1</v>
      </c>
      <c r="AF1047">
        <v>1</v>
      </c>
      <c r="AG1047">
        <v>1</v>
      </c>
      <c r="AH1047">
        <v>1</v>
      </c>
      <c r="AI1047">
        <v>1</v>
      </c>
      <c r="AJ1047">
        <v>1</v>
      </c>
      <c r="AK1047">
        <v>1</v>
      </c>
      <c r="AL1047">
        <v>1</v>
      </c>
      <c r="AM1047">
        <v>1</v>
      </c>
    </row>
    <row r="1048" spans="1:39" x14ac:dyDescent="0.2">
      <c r="A1048" t="str">
        <f>"1044"</f>
        <v>1044</v>
      </c>
      <c r="B1048" t="str">
        <f t="shared" si="57"/>
        <v>1</v>
      </c>
      <c r="C1048" t="str">
        <f t="shared" si="58"/>
        <v>21</v>
      </c>
      <c r="D1048" t="str">
        <f>"27"</f>
        <v>27</v>
      </c>
      <c r="E1048" t="str">
        <f>"1-21-27"</f>
        <v>1-21-27</v>
      </c>
      <c r="F1048" t="s">
        <v>65</v>
      </c>
      <c r="G1048" t="s">
        <v>66</v>
      </c>
      <c r="H1048" t="s">
        <v>67</v>
      </c>
      <c r="S1048">
        <v>1</v>
      </c>
      <c r="T1048">
        <v>0</v>
      </c>
      <c r="U1048">
        <v>0</v>
      </c>
      <c r="V1048">
        <v>0</v>
      </c>
      <c r="W1048">
        <v>1</v>
      </c>
      <c r="X1048">
        <v>0</v>
      </c>
      <c r="Y1048">
        <v>0</v>
      </c>
      <c r="Z1048">
        <v>1</v>
      </c>
      <c r="AA1048">
        <v>1</v>
      </c>
      <c r="AB1048">
        <v>0</v>
      </c>
      <c r="AC1048">
        <v>0</v>
      </c>
      <c r="AD1048">
        <v>1</v>
      </c>
      <c r="AE1048">
        <v>1</v>
      </c>
      <c r="AF1048">
        <v>1</v>
      </c>
      <c r="AG1048">
        <v>1</v>
      </c>
      <c r="AH1048">
        <v>1</v>
      </c>
      <c r="AI1048">
        <v>1</v>
      </c>
      <c r="AJ1048">
        <v>1</v>
      </c>
      <c r="AK1048">
        <v>1</v>
      </c>
      <c r="AL1048">
        <v>1</v>
      </c>
      <c r="AM1048">
        <v>1</v>
      </c>
    </row>
    <row r="1049" spans="1:39" x14ac:dyDescent="0.2">
      <c r="A1049" t="str">
        <f>"1045"</f>
        <v>1045</v>
      </c>
      <c r="B1049" t="str">
        <f t="shared" si="57"/>
        <v>1</v>
      </c>
      <c r="C1049" t="str">
        <f t="shared" si="58"/>
        <v>21</v>
      </c>
      <c r="D1049" t="str">
        <f>"10"</f>
        <v>10</v>
      </c>
      <c r="E1049" t="str">
        <f>"1-21-10"</f>
        <v>1-21-10</v>
      </c>
      <c r="F1049" t="s">
        <v>65</v>
      </c>
      <c r="G1049" t="s">
        <v>66</v>
      </c>
      <c r="H1049" t="s">
        <v>67</v>
      </c>
      <c r="S1049">
        <v>1</v>
      </c>
      <c r="T1049">
        <v>0</v>
      </c>
      <c r="U1049">
        <v>0</v>
      </c>
      <c r="V1049">
        <v>0</v>
      </c>
      <c r="W1049">
        <v>1</v>
      </c>
      <c r="X1049">
        <v>0</v>
      </c>
      <c r="Y1049">
        <v>0</v>
      </c>
      <c r="Z1049">
        <v>1</v>
      </c>
      <c r="AA1049">
        <v>1</v>
      </c>
      <c r="AB1049">
        <v>0</v>
      </c>
      <c r="AC1049">
        <v>0</v>
      </c>
      <c r="AD1049">
        <v>1</v>
      </c>
      <c r="AE1049">
        <v>1</v>
      </c>
      <c r="AF1049">
        <v>1</v>
      </c>
      <c r="AG1049">
        <v>1</v>
      </c>
      <c r="AH1049">
        <v>1</v>
      </c>
      <c r="AI1049">
        <v>1</v>
      </c>
      <c r="AJ1049">
        <v>1</v>
      </c>
      <c r="AK1049">
        <v>1</v>
      </c>
      <c r="AL1049">
        <v>1</v>
      </c>
      <c r="AM1049">
        <v>1</v>
      </c>
    </row>
    <row r="1050" spans="1:39" x14ac:dyDescent="0.2">
      <c r="A1050" t="str">
        <f>"1046"</f>
        <v>1046</v>
      </c>
      <c r="B1050" t="str">
        <f t="shared" si="57"/>
        <v>1</v>
      </c>
      <c r="C1050" t="str">
        <f t="shared" si="58"/>
        <v>21</v>
      </c>
      <c r="D1050" t="str">
        <f>"46"</f>
        <v>46</v>
      </c>
      <c r="E1050" t="str">
        <f>"1-21-46"</f>
        <v>1-21-46</v>
      </c>
      <c r="F1050" t="s">
        <v>65</v>
      </c>
      <c r="G1050" t="s">
        <v>66</v>
      </c>
      <c r="H1050" t="s">
        <v>67</v>
      </c>
      <c r="S1050">
        <v>1</v>
      </c>
      <c r="T1050">
        <v>0</v>
      </c>
      <c r="U1050">
        <v>0</v>
      </c>
      <c r="V1050">
        <v>0</v>
      </c>
      <c r="W1050">
        <v>1</v>
      </c>
      <c r="X1050">
        <v>0</v>
      </c>
      <c r="Y1050">
        <v>1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1</v>
      </c>
      <c r="AF1050">
        <v>1</v>
      </c>
      <c r="AG1050">
        <v>1</v>
      </c>
      <c r="AH1050">
        <v>1</v>
      </c>
      <c r="AI1050">
        <v>1</v>
      </c>
      <c r="AJ1050">
        <v>1</v>
      </c>
      <c r="AK1050">
        <v>1</v>
      </c>
      <c r="AL1050">
        <v>1</v>
      </c>
      <c r="AM1050">
        <v>1</v>
      </c>
    </row>
    <row r="1051" spans="1:39" x14ac:dyDescent="0.2">
      <c r="A1051" t="str">
        <f>"1047"</f>
        <v>1047</v>
      </c>
      <c r="B1051" t="str">
        <f t="shared" si="57"/>
        <v>1</v>
      </c>
      <c r="C1051" t="str">
        <f t="shared" si="58"/>
        <v>21</v>
      </c>
      <c r="D1051" t="str">
        <f>"28"</f>
        <v>28</v>
      </c>
      <c r="E1051" t="str">
        <f>"1-21-28"</f>
        <v>1-21-28</v>
      </c>
      <c r="F1051" t="s">
        <v>65</v>
      </c>
      <c r="G1051" t="s">
        <v>66</v>
      </c>
      <c r="H1051" t="s">
        <v>67</v>
      </c>
      <c r="S1051">
        <v>1</v>
      </c>
      <c r="T1051">
        <v>0</v>
      </c>
      <c r="U1051">
        <v>0</v>
      </c>
      <c r="V1051">
        <v>0</v>
      </c>
      <c r="W1051">
        <v>1</v>
      </c>
      <c r="X1051">
        <v>0</v>
      </c>
      <c r="Y1051">
        <v>1</v>
      </c>
      <c r="Z1051">
        <v>0</v>
      </c>
      <c r="AA1051">
        <v>1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</row>
    <row r="1052" spans="1:39" x14ac:dyDescent="0.2">
      <c r="A1052" t="str">
        <f>"1048"</f>
        <v>1048</v>
      </c>
      <c r="B1052" t="str">
        <f t="shared" si="57"/>
        <v>1</v>
      </c>
      <c r="C1052" t="str">
        <f t="shared" si="58"/>
        <v>21</v>
      </c>
      <c r="D1052" t="str">
        <f>"9"</f>
        <v>9</v>
      </c>
      <c r="E1052" t="str">
        <f>"1-21-9"</f>
        <v>1-21-9</v>
      </c>
      <c r="F1052" t="s">
        <v>65</v>
      </c>
      <c r="G1052" t="s">
        <v>66</v>
      </c>
      <c r="H1052" t="s">
        <v>67</v>
      </c>
      <c r="S1052">
        <v>1</v>
      </c>
      <c r="T1052">
        <v>0</v>
      </c>
      <c r="U1052">
        <v>0</v>
      </c>
      <c r="V1052">
        <v>0</v>
      </c>
      <c r="W1052">
        <v>1</v>
      </c>
      <c r="X1052">
        <v>0</v>
      </c>
      <c r="Y1052">
        <v>1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1</v>
      </c>
      <c r="AF1052">
        <v>1</v>
      </c>
      <c r="AG1052">
        <v>1</v>
      </c>
      <c r="AH1052">
        <v>1</v>
      </c>
      <c r="AI1052">
        <v>1</v>
      </c>
      <c r="AJ1052">
        <v>1</v>
      </c>
      <c r="AK1052">
        <v>1</v>
      </c>
      <c r="AL1052">
        <v>1</v>
      </c>
      <c r="AM1052">
        <v>1</v>
      </c>
    </row>
    <row r="1053" spans="1:39" x14ac:dyDescent="0.2">
      <c r="A1053" t="str">
        <f>"1049"</f>
        <v>1049</v>
      </c>
      <c r="B1053" t="str">
        <f t="shared" si="57"/>
        <v>1</v>
      </c>
      <c r="C1053" t="str">
        <f t="shared" si="58"/>
        <v>21</v>
      </c>
      <c r="D1053" t="str">
        <f>"1"</f>
        <v>1</v>
      </c>
      <c r="E1053" t="str">
        <f>"1-21-1"</f>
        <v>1-21-1</v>
      </c>
      <c r="F1053" t="s">
        <v>65</v>
      </c>
      <c r="G1053" t="s">
        <v>66</v>
      </c>
      <c r="H1053" t="s">
        <v>67</v>
      </c>
      <c r="S1053">
        <v>1</v>
      </c>
      <c r="T1053">
        <v>0</v>
      </c>
      <c r="U1053">
        <v>0</v>
      </c>
      <c r="V1053">
        <v>0</v>
      </c>
      <c r="W1053">
        <v>0</v>
      </c>
      <c r="X1053">
        <v>1</v>
      </c>
      <c r="Y1053">
        <v>1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1</v>
      </c>
      <c r="AF1053">
        <v>1</v>
      </c>
      <c r="AG1053">
        <v>1</v>
      </c>
      <c r="AH1053">
        <v>1</v>
      </c>
      <c r="AI1053">
        <v>1</v>
      </c>
      <c r="AJ1053">
        <v>1</v>
      </c>
      <c r="AK1053">
        <v>1</v>
      </c>
      <c r="AL1053">
        <v>1</v>
      </c>
      <c r="AM1053">
        <v>1</v>
      </c>
    </row>
    <row r="1054" spans="1:39" x14ac:dyDescent="0.2">
      <c r="A1054" t="str">
        <f>"1050"</f>
        <v>1050</v>
      </c>
      <c r="B1054" t="str">
        <f t="shared" si="57"/>
        <v>1</v>
      </c>
      <c r="C1054" t="str">
        <f t="shared" si="58"/>
        <v>21</v>
      </c>
      <c r="D1054" t="str">
        <f>"2"</f>
        <v>2</v>
      </c>
      <c r="E1054" t="str">
        <f>"1-21-2"</f>
        <v>1-21-2</v>
      </c>
      <c r="F1054" t="s">
        <v>65</v>
      </c>
      <c r="G1054" t="s">
        <v>66</v>
      </c>
      <c r="H1054" t="s">
        <v>67</v>
      </c>
      <c r="S1054">
        <v>1</v>
      </c>
      <c r="T1054">
        <v>0</v>
      </c>
      <c r="U1054">
        <v>0</v>
      </c>
      <c r="V1054">
        <v>0</v>
      </c>
      <c r="W1054">
        <v>1</v>
      </c>
      <c r="X1054">
        <v>0</v>
      </c>
      <c r="Y1054">
        <v>1</v>
      </c>
      <c r="Z1054">
        <v>0</v>
      </c>
      <c r="AA1054">
        <v>0</v>
      </c>
      <c r="AB1054">
        <v>0</v>
      </c>
      <c r="AC1054">
        <v>1</v>
      </c>
      <c r="AD1054">
        <v>1</v>
      </c>
      <c r="AE1054">
        <v>1</v>
      </c>
      <c r="AF1054">
        <v>1</v>
      </c>
      <c r="AG1054">
        <v>1</v>
      </c>
      <c r="AH1054">
        <v>1</v>
      </c>
      <c r="AI1054">
        <v>1</v>
      </c>
      <c r="AJ1054">
        <v>1</v>
      </c>
      <c r="AK1054">
        <v>1</v>
      </c>
      <c r="AL1054">
        <v>1</v>
      </c>
      <c r="AM1054">
        <v>1</v>
      </c>
    </row>
    <row r="1055" spans="1:39" x14ac:dyDescent="0.2">
      <c r="A1055" t="str">
        <f>"1051"</f>
        <v>1051</v>
      </c>
      <c r="B1055" t="str">
        <f t="shared" si="57"/>
        <v>1</v>
      </c>
      <c r="C1055" t="str">
        <f t="shared" ref="C1055:C1086" si="59">"22"</f>
        <v>22</v>
      </c>
      <c r="D1055" t="str">
        <f>"35"</f>
        <v>35</v>
      </c>
      <c r="E1055" t="str">
        <f>"1-22-35"</f>
        <v>1-22-35</v>
      </c>
      <c r="F1055" t="s">
        <v>65</v>
      </c>
      <c r="G1055" t="s">
        <v>66</v>
      </c>
      <c r="H1055" t="s">
        <v>67</v>
      </c>
      <c r="S1055">
        <v>0</v>
      </c>
      <c r="T1055">
        <v>1</v>
      </c>
      <c r="U1055">
        <v>0</v>
      </c>
      <c r="V1055">
        <v>0</v>
      </c>
      <c r="W1055">
        <v>1</v>
      </c>
      <c r="X1055">
        <v>0</v>
      </c>
      <c r="Y1055">
        <v>1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1</v>
      </c>
      <c r="AF1055">
        <v>1</v>
      </c>
      <c r="AG1055">
        <v>1</v>
      </c>
      <c r="AH1055">
        <v>1</v>
      </c>
      <c r="AI1055">
        <v>1</v>
      </c>
      <c r="AJ1055">
        <v>1</v>
      </c>
      <c r="AK1055">
        <v>1</v>
      </c>
      <c r="AL1055">
        <v>1</v>
      </c>
      <c r="AM1055">
        <v>1</v>
      </c>
    </row>
    <row r="1056" spans="1:39" x14ac:dyDescent="0.2">
      <c r="A1056" t="str">
        <f>"1052"</f>
        <v>1052</v>
      </c>
      <c r="B1056" t="str">
        <f t="shared" si="57"/>
        <v>1</v>
      </c>
      <c r="C1056" t="str">
        <f t="shared" si="59"/>
        <v>22</v>
      </c>
      <c r="D1056" t="str">
        <f>"34"</f>
        <v>34</v>
      </c>
      <c r="E1056" t="str">
        <f>"1-22-34"</f>
        <v>1-22-34</v>
      </c>
      <c r="F1056" t="s">
        <v>65</v>
      </c>
      <c r="G1056" t="s">
        <v>66</v>
      </c>
      <c r="H1056" t="s">
        <v>67</v>
      </c>
      <c r="S1056">
        <v>1</v>
      </c>
      <c r="T1056">
        <v>0</v>
      </c>
      <c r="U1056">
        <v>0</v>
      </c>
      <c r="V1056">
        <v>0</v>
      </c>
      <c r="W1056">
        <v>1</v>
      </c>
      <c r="X1056">
        <v>0</v>
      </c>
      <c r="Y1056">
        <v>1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1</v>
      </c>
      <c r="AF1056">
        <v>1</v>
      </c>
      <c r="AG1056">
        <v>1</v>
      </c>
      <c r="AH1056">
        <v>1</v>
      </c>
      <c r="AI1056">
        <v>1</v>
      </c>
      <c r="AJ1056">
        <v>0</v>
      </c>
      <c r="AK1056">
        <v>1</v>
      </c>
      <c r="AL1056">
        <v>1</v>
      </c>
      <c r="AM1056">
        <v>1</v>
      </c>
    </row>
    <row r="1057" spans="1:39" x14ac:dyDescent="0.2">
      <c r="A1057" t="str">
        <f>"1053"</f>
        <v>1053</v>
      </c>
      <c r="B1057" t="str">
        <f t="shared" si="57"/>
        <v>1</v>
      </c>
      <c r="C1057" t="str">
        <f t="shared" si="59"/>
        <v>22</v>
      </c>
      <c r="D1057" t="str">
        <f>"25"</f>
        <v>25</v>
      </c>
      <c r="E1057" t="str">
        <f>"1-22-25"</f>
        <v>1-22-25</v>
      </c>
      <c r="F1057" t="s">
        <v>65</v>
      </c>
      <c r="G1057" t="s">
        <v>66</v>
      </c>
      <c r="H1057" t="s">
        <v>67</v>
      </c>
      <c r="S1057">
        <v>1</v>
      </c>
      <c r="T1057">
        <v>0</v>
      </c>
      <c r="U1057">
        <v>0</v>
      </c>
      <c r="V1057">
        <v>0</v>
      </c>
      <c r="W1057">
        <v>1</v>
      </c>
      <c r="X1057">
        <v>0</v>
      </c>
      <c r="Y1057">
        <v>1</v>
      </c>
      <c r="Z1057">
        <v>0</v>
      </c>
      <c r="AA1057">
        <v>0</v>
      </c>
      <c r="AB1057">
        <v>0</v>
      </c>
      <c r="AC1057">
        <v>1</v>
      </c>
      <c r="AD1057">
        <v>1</v>
      </c>
      <c r="AE1057">
        <v>1</v>
      </c>
      <c r="AF1057">
        <v>1</v>
      </c>
      <c r="AG1057">
        <v>1</v>
      </c>
      <c r="AH1057">
        <v>1</v>
      </c>
      <c r="AI1057">
        <v>1</v>
      </c>
      <c r="AJ1057">
        <v>1</v>
      </c>
      <c r="AK1057">
        <v>1</v>
      </c>
      <c r="AL1057">
        <v>1</v>
      </c>
      <c r="AM1057">
        <v>1</v>
      </c>
    </row>
    <row r="1058" spans="1:39" x14ac:dyDescent="0.2">
      <c r="A1058" t="str">
        <f>"1054"</f>
        <v>1054</v>
      </c>
      <c r="B1058" t="str">
        <f t="shared" si="57"/>
        <v>1</v>
      </c>
      <c r="C1058" t="str">
        <f t="shared" si="59"/>
        <v>22</v>
      </c>
      <c r="D1058" t="str">
        <f>"15"</f>
        <v>15</v>
      </c>
      <c r="E1058" t="str">
        <f>"1-22-15"</f>
        <v>1-22-15</v>
      </c>
      <c r="F1058" t="s">
        <v>65</v>
      </c>
      <c r="G1058" t="s">
        <v>66</v>
      </c>
      <c r="H1058" t="s">
        <v>67</v>
      </c>
      <c r="S1058">
        <v>1</v>
      </c>
      <c r="T1058">
        <v>0</v>
      </c>
      <c r="U1058">
        <v>0</v>
      </c>
      <c r="V1058">
        <v>0</v>
      </c>
      <c r="W1058">
        <v>1</v>
      </c>
      <c r="X1058">
        <v>0</v>
      </c>
      <c r="Y1058">
        <v>1</v>
      </c>
      <c r="Z1058">
        <v>0</v>
      </c>
      <c r="AA1058">
        <v>0</v>
      </c>
      <c r="AB1058">
        <v>0</v>
      </c>
      <c r="AC1058">
        <v>1</v>
      </c>
      <c r="AD1058">
        <v>1</v>
      </c>
      <c r="AE1058">
        <v>1</v>
      </c>
      <c r="AF1058">
        <v>1</v>
      </c>
      <c r="AG1058">
        <v>1</v>
      </c>
      <c r="AH1058">
        <v>1</v>
      </c>
      <c r="AI1058">
        <v>1</v>
      </c>
      <c r="AJ1058">
        <v>1</v>
      </c>
      <c r="AK1058">
        <v>1</v>
      </c>
      <c r="AL1058">
        <v>1</v>
      </c>
      <c r="AM1058">
        <v>1</v>
      </c>
    </row>
    <row r="1059" spans="1:39" x14ac:dyDescent="0.2">
      <c r="A1059" t="str">
        <f>"1055"</f>
        <v>1055</v>
      </c>
      <c r="B1059" t="str">
        <f t="shared" si="57"/>
        <v>1</v>
      </c>
      <c r="C1059" t="str">
        <f t="shared" si="59"/>
        <v>22</v>
      </c>
      <c r="D1059" t="str">
        <f>"4"</f>
        <v>4</v>
      </c>
      <c r="E1059" t="str">
        <f>"1-22-4"</f>
        <v>1-22-4</v>
      </c>
      <c r="F1059" t="s">
        <v>65</v>
      </c>
      <c r="G1059" t="s">
        <v>66</v>
      </c>
      <c r="H1059" t="s">
        <v>67</v>
      </c>
      <c r="S1059">
        <v>1</v>
      </c>
      <c r="T1059">
        <v>0</v>
      </c>
      <c r="U1059">
        <v>0</v>
      </c>
      <c r="V1059">
        <v>0</v>
      </c>
      <c r="W1059">
        <v>1</v>
      </c>
      <c r="X1059">
        <v>0</v>
      </c>
      <c r="Y1059">
        <v>0</v>
      </c>
      <c r="Z1059">
        <v>1</v>
      </c>
      <c r="AA1059">
        <v>0</v>
      </c>
      <c r="AB1059">
        <v>1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</row>
    <row r="1060" spans="1:39" x14ac:dyDescent="0.2">
      <c r="A1060" t="str">
        <f>"1056"</f>
        <v>1056</v>
      </c>
      <c r="B1060" t="str">
        <f t="shared" si="57"/>
        <v>1</v>
      </c>
      <c r="C1060" t="str">
        <f t="shared" si="59"/>
        <v>22</v>
      </c>
      <c r="D1060" t="str">
        <f>"37"</f>
        <v>37</v>
      </c>
      <c r="E1060" t="str">
        <f>"1-22-37"</f>
        <v>1-22-37</v>
      </c>
      <c r="F1060" t="s">
        <v>65</v>
      </c>
      <c r="G1060" t="s">
        <v>66</v>
      </c>
      <c r="H1060" t="s">
        <v>67</v>
      </c>
      <c r="S1060">
        <v>0</v>
      </c>
      <c r="T1060">
        <v>0</v>
      </c>
      <c r="U1060">
        <v>0</v>
      </c>
      <c r="V1060">
        <v>0</v>
      </c>
      <c r="W1060">
        <v>1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</row>
    <row r="1061" spans="1:39" x14ac:dyDescent="0.2">
      <c r="A1061" t="str">
        <f>"1057"</f>
        <v>1057</v>
      </c>
      <c r="B1061" t="str">
        <f t="shared" si="57"/>
        <v>1</v>
      </c>
      <c r="C1061" t="str">
        <f t="shared" si="59"/>
        <v>22</v>
      </c>
      <c r="D1061" t="str">
        <f>"36"</f>
        <v>36</v>
      </c>
      <c r="E1061" t="str">
        <f>"1-22-36"</f>
        <v>1-22-36</v>
      </c>
      <c r="F1061" t="s">
        <v>65</v>
      </c>
      <c r="G1061" t="s">
        <v>66</v>
      </c>
      <c r="H1061" t="s">
        <v>67</v>
      </c>
      <c r="S1061">
        <v>1</v>
      </c>
      <c r="T1061">
        <v>0</v>
      </c>
      <c r="U1061">
        <v>0</v>
      </c>
      <c r="V1061">
        <v>0</v>
      </c>
      <c r="W1061">
        <v>1</v>
      </c>
      <c r="X1061">
        <v>0</v>
      </c>
      <c r="Y1061">
        <v>0</v>
      </c>
      <c r="Z1061">
        <v>1</v>
      </c>
      <c r="AA1061">
        <v>0</v>
      </c>
      <c r="AB1061">
        <v>0</v>
      </c>
      <c r="AC1061">
        <v>1</v>
      </c>
      <c r="AD1061">
        <v>1</v>
      </c>
      <c r="AE1061">
        <v>1</v>
      </c>
      <c r="AF1061">
        <v>1</v>
      </c>
      <c r="AG1061">
        <v>1</v>
      </c>
      <c r="AH1061">
        <v>1</v>
      </c>
      <c r="AI1061">
        <v>1</v>
      </c>
      <c r="AJ1061">
        <v>1</v>
      </c>
      <c r="AK1061">
        <v>1</v>
      </c>
      <c r="AL1061">
        <v>1</v>
      </c>
      <c r="AM1061">
        <v>1</v>
      </c>
    </row>
    <row r="1062" spans="1:39" x14ac:dyDescent="0.2">
      <c r="A1062" t="str">
        <f>"1058"</f>
        <v>1058</v>
      </c>
      <c r="B1062" t="str">
        <f t="shared" si="57"/>
        <v>1</v>
      </c>
      <c r="C1062" t="str">
        <f t="shared" si="59"/>
        <v>22</v>
      </c>
      <c r="D1062" t="str">
        <f>"29"</f>
        <v>29</v>
      </c>
      <c r="E1062" t="str">
        <f>"1-22-29"</f>
        <v>1-22-29</v>
      </c>
      <c r="F1062" t="s">
        <v>65</v>
      </c>
      <c r="G1062" t="s">
        <v>66</v>
      </c>
      <c r="H1062" t="s">
        <v>67</v>
      </c>
      <c r="S1062">
        <v>1</v>
      </c>
      <c r="T1062">
        <v>0</v>
      </c>
      <c r="U1062">
        <v>0</v>
      </c>
      <c r="V1062">
        <v>0</v>
      </c>
      <c r="W1062">
        <v>1</v>
      </c>
      <c r="X1062">
        <v>0</v>
      </c>
      <c r="Y1062">
        <v>1</v>
      </c>
      <c r="Z1062">
        <v>0</v>
      </c>
      <c r="AA1062">
        <v>0</v>
      </c>
      <c r="AB1062">
        <v>1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1</v>
      </c>
      <c r="AM1062">
        <v>1</v>
      </c>
    </row>
    <row r="1063" spans="1:39" x14ac:dyDescent="0.2">
      <c r="A1063" t="str">
        <f>"1059"</f>
        <v>1059</v>
      </c>
      <c r="B1063" t="str">
        <f t="shared" si="57"/>
        <v>1</v>
      </c>
      <c r="C1063" t="str">
        <f t="shared" si="59"/>
        <v>22</v>
      </c>
      <c r="D1063" t="str">
        <f>"16"</f>
        <v>16</v>
      </c>
      <c r="E1063" t="str">
        <f>"1-22-16"</f>
        <v>1-22-16</v>
      </c>
      <c r="F1063" t="s">
        <v>65</v>
      </c>
      <c r="G1063" t="s">
        <v>66</v>
      </c>
      <c r="H1063" t="s">
        <v>67</v>
      </c>
      <c r="S1063">
        <v>1</v>
      </c>
      <c r="T1063">
        <v>0</v>
      </c>
      <c r="U1063">
        <v>0</v>
      </c>
      <c r="V1063">
        <v>0</v>
      </c>
      <c r="W1063">
        <v>0</v>
      </c>
      <c r="X1063">
        <v>1</v>
      </c>
      <c r="Y1063">
        <v>1</v>
      </c>
      <c r="Z1063">
        <v>0</v>
      </c>
      <c r="AA1063">
        <v>0</v>
      </c>
      <c r="AB1063">
        <v>1</v>
      </c>
      <c r="AC1063">
        <v>0</v>
      </c>
      <c r="AD1063">
        <v>1</v>
      </c>
      <c r="AE1063">
        <v>1</v>
      </c>
      <c r="AF1063">
        <v>1</v>
      </c>
      <c r="AG1063">
        <v>1</v>
      </c>
      <c r="AH1063">
        <v>1</v>
      </c>
      <c r="AI1063">
        <v>1</v>
      </c>
      <c r="AJ1063">
        <v>1</v>
      </c>
      <c r="AK1063">
        <v>1</v>
      </c>
      <c r="AL1063">
        <v>1</v>
      </c>
      <c r="AM1063">
        <v>1</v>
      </c>
    </row>
    <row r="1064" spans="1:39" x14ac:dyDescent="0.2">
      <c r="A1064" t="str">
        <f>"1060"</f>
        <v>1060</v>
      </c>
      <c r="B1064" t="str">
        <f t="shared" si="57"/>
        <v>1</v>
      </c>
      <c r="C1064" t="str">
        <f t="shared" si="59"/>
        <v>22</v>
      </c>
      <c r="D1064" t="str">
        <f>"7"</f>
        <v>7</v>
      </c>
      <c r="E1064" t="str">
        <f>"1-22-7"</f>
        <v>1-22-7</v>
      </c>
      <c r="F1064" t="s">
        <v>65</v>
      </c>
      <c r="G1064" t="s">
        <v>66</v>
      </c>
      <c r="H1064" t="s">
        <v>67</v>
      </c>
      <c r="S1064">
        <v>1</v>
      </c>
      <c r="T1064">
        <v>0</v>
      </c>
      <c r="U1064">
        <v>0</v>
      </c>
      <c r="V1064">
        <v>0</v>
      </c>
      <c r="W1064">
        <v>1</v>
      </c>
      <c r="X1064">
        <v>0</v>
      </c>
      <c r="Y1064">
        <v>1</v>
      </c>
      <c r="Z1064">
        <v>0</v>
      </c>
      <c r="AA1064">
        <v>0</v>
      </c>
      <c r="AB1064">
        <v>1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</row>
    <row r="1065" spans="1:39" x14ac:dyDescent="0.2">
      <c r="A1065" t="str">
        <f>"1061"</f>
        <v>1061</v>
      </c>
      <c r="B1065" t="str">
        <f t="shared" si="57"/>
        <v>1</v>
      </c>
      <c r="C1065" t="str">
        <f t="shared" si="59"/>
        <v>22</v>
      </c>
      <c r="D1065" t="str">
        <f>"33"</f>
        <v>33</v>
      </c>
      <c r="E1065" t="str">
        <f>"1-22-33"</f>
        <v>1-22-33</v>
      </c>
      <c r="F1065" t="s">
        <v>65</v>
      </c>
      <c r="G1065" t="s">
        <v>66</v>
      </c>
      <c r="H1065" t="s">
        <v>67</v>
      </c>
      <c r="S1065">
        <v>0</v>
      </c>
      <c r="T1065">
        <v>0</v>
      </c>
      <c r="U1065">
        <v>0</v>
      </c>
      <c r="V1065">
        <v>0</v>
      </c>
      <c r="W1065">
        <v>1</v>
      </c>
      <c r="X1065">
        <v>0</v>
      </c>
      <c r="Y1065">
        <v>1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</row>
    <row r="1066" spans="1:39" x14ac:dyDescent="0.2">
      <c r="A1066" t="str">
        <f>"1062"</f>
        <v>1062</v>
      </c>
      <c r="B1066" t="str">
        <f t="shared" si="57"/>
        <v>1</v>
      </c>
      <c r="C1066" t="str">
        <f t="shared" si="59"/>
        <v>22</v>
      </c>
      <c r="D1066" t="str">
        <f>"17"</f>
        <v>17</v>
      </c>
      <c r="E1066" t="str">
        <f>"1-22-17"</f>
        <v>1-22-17</v>
      </c>
      <c r="F1066" t="s">
        <v>65</v>
      </c>
      <c r="G1066" t="s">
        <v>66</v>
      </c>
      <c r="H1066" t="s">
        <v>67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1</v>
      </c>
      <c r="Y1066">
        <v>1</v>
      </c>
      <c r="Z1066">
        <v>0</v>
      </c>
      <c r="AA1066">
        <v>0</v>
      </c>
      <c r="AB1066">
        <v>1</v>
      </c>
      <c r="AC1066">
        <v>0</v>
      </c>
      <c r="AD1066">
        <v>1</v>
      </c>
      <c r="AE1066">
        <v>1</v>
      </c>
      <c r="AF1066">
        <v>1</v>
      </c>
      <c r="AG1066">
        <v>1</v>
      </c>
      <c r="AH1066">
        <v>1</v>
      </c>
      <c r="AI1066">
        <v>1</v>
      </c>
      <c r="AJ1066">
        <v>1</v>
      </c>
      <c r="AK1066">
        <v>1</v>
      </c>
      <c r="AL1066">
        <v>1</v>
      </c>
      <c r="AM1066">
        <v>1</v>
      </c>
    </row>
    <row r="1067" spans="1:39" x14ac:dyDescent="0.2">
      <c r="A1067" t="str">
        <f>"1063"</f>
        <v>1063</v>
      </c>
      <c r="B1067" t="str">
        <f t="shared" si="57"/>
        <v>1</v>
      </c>
      <c r="C1067" t="str">
        <f t="shared" si="59"/>
        <v>22</v>
      </c>
      <c r="D1067" t="str">
        <f>"1"</f>
        <v>1</v>
      </c>
      <c r="E1067" t="str">
        <f>"1-22-1"</f>
        <v>1-22-1</v>
      </c>
      <c r="F1067" t="s">
        <v>65</v>
      </c>
      <c r="G1067" t="s">
        <v>66</v>
      </c>
      <c r="H1067" t="s">
        <v>68</v>
      </c>
      <c r="I1067">
        <v>1</v>
      </c>
      <c r="J1067">
        <v>0</v>
      </c>
      <c r="K1067">
        <v>0</v>
      </c>
      <c r="L1067">
        <v>1</v>
      </c>
      <c r="M1067">
        <v>1</v>
      </c>
      <c r="N1067">
        <v>1</v>
      </c>
      <c r="O1067">
        <v>1</v>
      </c>
      <c r="P1067">
        <v>1</v>
      </c>
      <c r="Q1067">
        <v>1</v>
      </c>
      <c r="R1067">
        <v>1</v>
      </c>
    </row>
    <row r="1068" spans="1:39" x14ac:dyDescent="0.2">
      <c r="A1068" t="str">
        <f>"1064"</f>
        <v>1064</v>
      </c>
      <c r="B1068" t="str">
        <f t="shared" si="57"/>
        <v>1</v>
      </c>
      <c r="C1068" t="str">
        <f t="shared" si="59"/>
        <v>22</v>
      </c>
      <c r="D1068" t="str">
        <f>"47"</f>
        <v>47</v>
      </c>
      <c r="E1068" t="str">
        <f>"1-22-47"</f>
        <v>1-22-47</v>
      </c>
      <c r="F1068" t="s">
        <v>65</v>
      </c>
      <c r="G1068" t="s">
        <v>66</v>
      </c>
      <c r="H1068" t="s">
        <v>67</v>
      </c>
      <c r="S1068">
        <v>0</v>
      </c>
      <c r="T1068">
        <v>1</v>
      </c>
      <c r="U1068">
        <v>0</v>
      </c>
      <c r="V1068">
        <v>0</v>
      </c>
      <c r="W1068">
        <v>1</v>
      </c>
      <c r="X1068">
        <v>0</v>
      </c>
      <c r="Y1068">
        <v>1</v>
      </c>
      <c r="Z1068">
        <v>0</v>
      </c>
      <c r="AA1068">
        <v>0</v>
      </c>
      <c r="AB1068">
        <v>1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</row>
    <row r="1069" spans="1:39" x14ac:dyDescent="0.2">
      <c r="A1069" t="str">
        <f>"1065"</f>
        <v>1065</v>
      </c>
      <c r="B1069" t="str">
        <f t="shared" si="57"/>
        <v>1</v>
      </c>
      <c r="C1069" t="str">
        <f t="shared" si="59"/>
        <v>22</v>
      </c>
      <c r="D1069" t="str">
        <f>"46"</f>
        <v>46</v>
      </c>
      <c r="E1069" t="str">
        <f>"1-22-46"</f>
        <v>1-22-46</v>
      </c>
      <c r="F1069" t="s">
        <v>65</v>
      </c>
      <c r="G1069" t="s">
        <v>66</v>
      </c>
      <c r="H1069" t="s">
        <v>67</v>
      </c>
      <c r="S1069">
        <v>0</v>
      </c>
      <c r="T1069">
        <v>1</v>
      </c>
      <c r="U1069">
        <v>0</v>
      </c>
      <c r="V1069">
        <v>0</v>
      </c>
      <c r="W1069">
        <v>1</v>
      </c>
      <c r="X1069">
        <v>0</v>
      </c>
      <c r="Y1069">
        <v>0</v>
      </c>
      <c r="Z1069">
        <v>1</v>
      </c>
      <c r="AA1069">
        <v>0</v>
      </c>
      <c r="AB1069">
        <v>0</v>
      </c>
      <c r="AC1069">
        <v>1</v>
      </c>
      <c r="AD1069">
        <v>1</v>
      </c>
      <c r="AE1069">
        <v>1</v>
      </c>
      <c r="AF1069">
        <v>1</v>
      </c>
      <c r="AG1069">
        <v>1</v>
      </c>
      <c r="AH1069">
        <v>1</v>
      </c>
      <c r="AI1069">
        <v>0</v>
      </c>
      <c r="AJ1069">
        <v>1</v>
      </c>
      <c r="AK1069">
        <v>1</v>
      </c>
      <c r="AL1069">
        <v>1</v>
      </c>
      <c r="AM1069">
        <v>1</v>
      </c>
    </row>
    <row r="1070" spans="1:39" x14ac:dyDescent="0.2">
      <c r="A1070" t="str">
        <f>"1066"</f>
        <v>1066</v>
      </c>
      <c r="B1070" t="str">
        <f t="shared" si="57"/>
        <v>1</v>
      </c>
      <c r="C1070" t="str">
        <f t="shared" si="59"/>
        <v>22</v>
      </c>
      <c r="D1070" t="str">
        <f>"31"</f>
        <v>31</v>
      </c>
      <c r="E1070" t="str">
        <f>"1-22-31"</f>
        <v>1-22-31</v>
      </c>
      <c r="F1070" t="s">
        <v>65</v>
      </c>
      <c r="G1070" t="s">
        <v>66</v>
      </c>
      <c r="H1070" t="s">
        <v>67</v>
      </c>
      <c r="S1070">
        <v>1</v>
      </c>
      <c r="T1070">
        <v>0</v>
      </c>
      <c r="U1070">
        <v>0</v>
      </c>
      <c r="V1070">
        <v>0</v>
      </c>
      <c r="W1070">
        <v>0</v>
      </c>
      <c r="X1070">
        <v>1</v>
      </c>
      <c r="Y1070">
        <v>0</v>
      </c>
      <c r="Z1070">
        <v>1</v>
      </c>
      <c r="AA1070">
        <v>0</v>
      </c>
      <c r="AB1070">
        <v>1</v>
      </c>
      <c r="AC1070">
        <v>0</v>
      </c>
      <c r="AD1070">
        <v>1</v>
      </c>
      <c r="AE1070">
        <v>1</v>
      </c>
      <c r="AF1070">
        <v>1</v>
      </c>
      <c r="AG1070">
        <v>1</v>
      </c>
      <c r="AH1070">
        <v>1</v>
      </c>
      <c r="AI1070">
        <v>1</v>
      </c>
      <c r="AJ1070">
        <v>1</v>
      </c>
      <c r="AK1070">
        <v>1</v>
      </c>
      <c r="AL1070">
        <v>1</v>
      </c>
      <c r="AM1070">
        <v>1</v>
      </c>
    </row>
    <row r="1071" spans="1:39" x14ac:dyDescent="0.2">
      <c r="A1071" t="str">
        <f>"1067"</f>
        <v>1067</v>
      </c>
      <c r="B1071" t="str">
        <f t="shared" si="57"/>
        <v>1</v>
      </c>
      <c r="C1071" t="str">
        <f t="shared" si="59"/>
        <v>22</v>
      </c>
      <c r="D1071" t="str">
        <f>"18"</f>
        <v>18</v>
      </c>
      <c r="E1071" t="str">
        <f>"1-22-18"</f>
        <v>1-22-18</v>
      </c>
      <c r="F1071" t="s">
        <v>65</v>
      </c>
      <c r="G1071" t="s">
        <v>66</v>
      </c>
      <c r="H1071" t="s">
        <v>67</v>
      </c>
      <c r="S1071">
        <v>1</v>
      </c>
      <c r="T1071">
        <v>0</v>
      </c>
      <c r="U1071">
        <v>0</v>
      </c>
      <c r="V1071">
        <v>0</v>
      </c>
      <c r="W1071">
        <v>1</v>
      </c>
      <c r="X1071">
        <v>0</v>
      </c>
      <c r="Y1071">
        <v>0</v>
      </c>
      <c r="Z1071">
        <v>1</v>
      </c>
      <c r="AA1071">
        <v>1</v>
      </c>
      <c r="AB1071">
        <v>0</v>
      </c>
      <c r="AC1071">
        <v>0</v>
      </c>
      <c r="AD1071">
        <v>1</v>
      </c>
      <c r="AE1071">
        <v>1</v>
      </c>
      <c r="AF1071">
        <v>1</v>
      </c>
      <c r="AG1071">
        <v>1</v>
      </c>
      <c r="AH1071">
        <v>1</v>
      </c>
      <c r="AI1071">
        <v>1</v>
      </c>
      <c r="AJ1071">
        <v>1</v>
      </c>
      <c r="AK1071">
        <v>1</v>
      </c>
      <c r="AL1071">
        <v>1</v>
      </c>
      <c r="AM1071">
        <v>1</v>
      </c>
    </row>
    <row r="1072" spans="1:39" x14ac:dyDescent="0.2">
      <c r="A1072" t="str">
        <f>"1068"</f>
        <v>1068</v>
      </c>
      <c r="B1072" t="str">
        <f t="shared" si="57"/>
        <v>1</v>
      </c>
      <c r="C1072" t="str">
        <f t="shared" si="59"/>
        <v>22</v>
      </c>
      <c r="D1072" t="str">
        <f>"3"</f>
        <v>3</v>
      </c>
      <c r="E1072" t="str">
        <f>"1-22-3"</f>
        <v>1-22-3</v>
      </c>
      <c r="F1072" t="s">
        <v>65</v>
      </c>
      <c r="G1072" t="s">
        <v>66</v>
      </c>
      <c r="H1072" t="s">
        <v>67</v>
      </c>
      <c r="S1072">
        <v>0</v>
      </c>
      <c r="T1072">
        <v>1</v>
      </c>
      <c r="U1072">
        <v>0</v>
      </c>
      <c r="V1072">
        <v>0</v>
      </c>
      <c r="W1072">
        <v>1</v>
      </c>
      <c r="X1072">
        <v>0</v>
      </c>
      <c r="Y1072">
        <v>0</v>
      </c>
      <c r="Z1072">
        <v>1</v>
      </c>
      <c r="AA1072">
        <v>1</v>
      </c>
      <c r="AB1072">
        <v>0</v>
      </c>
      <c r="AC1072">
        <v>0</v>
      </c>
      <c r="AD1072">
        <v>1</v>
      </c>
      <c r="AE1072">
        <v>1</v>
      </c>
      <c r="AF1072">
        <v>1</v>
      </c>
      <c r="AG1072">
        <v>1</v>
      </c>
      <c r="AH1072">
        <v>1</v>
      </c>
      <c r="AI1072">
        <v>1</v>
      </c>
      <c r="AJ1072">
        <v>1</v>
      </c>
      <c r="AK1072">
        <v>1</v>
      </c>
      <c r="AL1072">
        <v>1</v>
      </c>
      <c r="AM1072">
        <v>1</v>
      </c>
    </row>
    <row r="1073" spans="1:39" x14ac:dyDescent="0.2">
      <c r="A1073" t="str">
        <f>"1069"</f>
        <v>1069</v>
      </c>
      <c r="B1073" t="str">
        <f t="shared" si="57"/>
        <v>1</v>
      </c>
      <c r="C1073" t="str">
        <f t="shared" si="59"/>
        <v>22</v>
      </c>
      <c r="D1073" t="str">
        <f>"49"</f>
        <v>49</v>
      </c>
      <c r="E1073" t="str">
        <f>"1-22-49"</f>
        <v>1-22-49</v>
      </c>
      <c r="F1073" t="s">
        <v>65</v>
      </c>
      <c r="G1073" t="s">
        <v>66</v>
      </c>
      <c r="H1073" t="s">
        <v>67</v>
      </c>
      <c r="S1073">
        <v>0</v>
      </c>
      <c r="T1073">
        <v>1</v>
      </c>
      <c r="U1073">
        <v>0</v>
      </c>
      <c r="V1073">
        <v>0</v>
      </c>
      <c r="W1073">
        <v>1</v>
      </c>
      <c r="X1073">
        <v>0</v>
      </c>
      <c r="Y1073">
        <v>0</v>
      </c>
      <c r="Z1073">
        <v>1</v>
      </c>
      <c r="AA1073">
        <v>1</v>
      </c>
      <c r="AB1073">
        <v>0</v>
      </c>
      <c r="AC1073">
        <v>0</v>
      </c>
      <c r="AD1073">
        <v>1</v>
      </c>
      <c r="AE1073">
        <v>1</v>
      </c>
      <c r="AF1073">
        <v>1</v>
      </c>
      <c r="AG1073">
        <v>1</v>
      </c>
      <c r="AH1073">
        <v>1</v>
      </c>
      <c r="AI1073">
        <v>1</v>
      </c>
      <c r="AJ1073">
        <v>1</v>
      </c>
      <c r="AK1073">
        <v>1</v>
      </c>
      <c r="AL1073">
        <v>1</v>
      </c>
      <c r="AM1073">
        <v>1</v>
      </c>
    </row>
    <row r="1074" spans="1:39" x14ac:dyDescent="0.2">
      <c r="A1074" t="str">
        <f>"1070"</f>
        <v>1070</v>
      </c>
      <c r="B1074" t="str">
        <f t="shared" si="57"/>
        <v>1</v>
      </c>
      <c r="C1074" t="str">
        <f t="shared" si="59"/>
        <v>22</v>
      </c>
      <c r="D1074" t="str">
        <f>"48"</f>
        <v>48</v>
      </c>
      <c r="E1074" t="str">
        <f>"1-22-48"</f>
        <v>1-22-48</v>
      </c>
      <c r="F1074" t="s">
        <v>65</v>
      </c>
      <c r="G1074" t="s">
        <v>66</v>
      </c>
      <c r="H1074" t="s">
        <v>67</v>
      </c>
      <c r="S1074">
        <v>0</v>
      </c>
      <c r="T1074">
        <v>1</v>
      </c>
      <c r="U1074">
        <v>0</v>
      </c>
      <c r="V1074">
        <v>0</v>
      </c>
      <c r="W1074">
        <v>1</v>
      </c>
      <c r="X1074">
        <v>0</v>
      </c>
      <c r="Y1074">
        <v>0</v>
      </c>
      <c r="Z1074">
        <v>1</v>
      </c>
      <c r="AA1074">
        <v>1</v>
      </c>
      <c r="AB1074">
        <v>0</v>
      </c>
      <c r="AC1074">
        <v>0</v>
      </c>
      <c r="AD1074">
        <v>1</v>
      </c>
      <c r="AE1074">
        <v>1</v>
      </c>
      <c r="AF1074">
        <v>1</v>
      </c>
      <c r="AG1074">
        <v>1</v>
      </c>
      <c r="AH1074">
        <v>1</v>
      </c>
      <c r="AI1074">
        <v>1</v>
      </c>
      <c r="AJ1074">
        <v>1</v>
      </c>
      <c r="AK1074">
        <v>1</v>
      </c>
      <c r="AL1074">
        <v>1</v>
      </c>
      <c r="AM1074">
        <v>1</v>
      </c>
    </row>
    <row r="1075" spans="1:39" x14ac:dyDescent="0.2">
      <c r="A1075" t="str">
        <f>"1071"</f>
        <v>1071</v>
      </c>
      <c r="B1075" t="str">
        <f t="shared" si="57"/>
        <v>1</v>
      </c>
      <c r="C1075" t="str">
        <f t="shared" si="59"/>
        <v>22</v>
      </c>
      <c r="D1075" t="str">
        <f>"19"</f>
        <v>19</v>
      </c>
      <c r="E1075" t="str">
        <f>"1-22-19"</f>
        <v>1-22-19</v>
      </c>
      <c r="F1075" t="s">
        <v>65</v>
      </c>
      <c r="G1075" t="s">
        <v>66</v>
      </c>
      <c r="H1075" t="s">
        <v>67</v>
      </c>
      <c r="S1075">
        <v>1</v>
      </c>
      <c r="T1075">
        <v>0</v>
      </c>
      <c r="U1075">
        <v>0</v>
      </c>
      <c r="V1075">
        <v>0</v>
      </c>
      <c r="W1075">
        <v>1</v>
      </c>
      <c r="X1075">
        <v>0</v>
      </c>
      <c r="Y1075">
        <v>1</v>
      </c>
      <c r="Z1075">
        <v>0</v>
      </c>
      <c r="AA1075">
        <v>0</v>
      </c>
      <c r="AB1075">
        <v>1</v>
      </c>
      <c r="AC1075">
        <v>0</v>
      </c>
      <c r="AD1075">
        <v>0</v>
      </c>
      <c r="AE1075">
        <v>1</v>
      </c>
      <c r="AF1075">
        <v>0</v>
      </c>
      <c r="AG1075">
        <v>0</v>
      </c>
      <c r="AH1075">
        <v>1</v>
      </c>
      <c r="AI1075">
        <v>1</v>
      </c>
      <c r="AJ1075">
        <v>1</v>
      </c>
      <c r="AK1075">
        <v>1</v>
      </c>
      <c r="AL1075">
        <v>1</v>
      </c>
      <c r="AM1075">
        <v>1</v>
      </c>
    </row>
    <row r="1076" spans="1:39" x14ac:dyDescent="0.2">
      <c r="A1076" t="str">
        <f>"1072"</f>
        <v>1072</v>
      </c>
      <c r="B1076" t="str">
        <f t="shared" si="57"/>
        <v>1</v>
      </c>
      <c r="C1076" t="str">
        <f t="shared" si="59"/>
        <v>22</v>
      </c>
      <c r="D1076" t="str">
        <f>"9"</f>
        <v>9</v>
      </c>
      <c r="E1076" t="str">
        <f>"1-22-9"</f>
        <v>1-22-9</v>
      </c>
      <c r="F1076" t="s">
        <v>65</v>
      </c>
      <c r="G1076" t="s">
        <v>66</v>
      </c>
      <c r="H1076" t="s">
        <v>67</v>
      </c>
      <c r="S1076">
        <v>1</v>
      </c>
      <c r="T1076">
        <v>0</v>
      </c>
      <c r="U1076">
        <v>0</v>
      </c>
      <c r="V1076">
        <v>0</v>
      </c>
      <c r="W1076">
        <v>1</v>
      </c>
      <c r="X1076">
        <v>0</v>
      </c>
      <c r="Y1076">
        <v>1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1</v>
      </c>
      <c r="AF1076">
        <v>1</v>
      </c>
      <c r="AG1076">
        <v>1</v>
      </c>
      <c r="AH1076">
        <v>1</v>
      </c>
      <c r="AI1076">
        <v>1</v>
      </c>
      <c r="AJ1076">
        <v>1</v>
      </c>
      <c r="AK1076">
        <v>1</v>
      </c>
      <c r="AL1076">
        <v>1</v>
      </c>
      <c r="AM1076">
        <v>1</v>
      </c>
    </row>
    <row r="1077" spans="1:39" x14ac:dyDescent="0.2">
      <c r="A1077" t="str">
        <f>"1073"</f>
        <v>1073</v>
      </c>
      <c r="B1077" t="str">
        <f t="shared" si="57"/>
        <v>1</v>
      </c>
      <c r="C1077" t="str">
        <f t="shared" si="59"/>
        <v>22</v>
      </c>
      <c r="D1077" t="str">
        <f>"38"</f>
        <v>38</v>
      </c>
      <c r="E1077" t="str">
        <f>"1-22-38"</f>
        <v>1-22-38</v>
      </c>
      <c r="F1077" t="s">
        <v>65</v>
      </c>
      <c r="G1077" t="s">
        <v>66</v>
      </c>
      <c r="H1077" t="s">
        <v>67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</v>
      </c>
      <c r="Y1077">
        <v>1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1</v>
      </c>
      <c r="AF1077">
        <v>1</v>
      </c>
      <c r="AG1077">
        <v>1</v>
      </c>
      <c r="AH1077">
        <v>1</v>
      </c>
      <c r="AI1077">
        <v>1</v>
      </c>
      <c r="AJ1077">
        <v>1</v>
      </c>
      <c r="AK1077">
        <v>1</v>
      </c>
      <c r="AL1077">
        <v>1</v>
      </c>
      <c r="AM1077">
        <v>1</v>
      </c>
    </row>
    <row r="1078" spans="1:39" x14ac:dyDescent="0.2">
      <c r="A1078" t="str">
        <f>"1074"</f>
        <v>1074</v>
      </c>
      <c r="B1078" t="str">
        <f t="shared" si="57"/>
        <v>1</v>
      </c>
      <c r="C1078" t="str">
        <f t="shared" si="59"/>
        <v>22</v>
      </c>
      <c r="D1078" t="str">
        <f>"20"</f>
        <v>20</v>
      </c>
      <c r="E1078" t="str">
        <f>"1-22-20"</f>
        <v>1-22-20</v>
      </c>
      <c r="F1078" t="s">
        <v>65</v>
      </c>
      <c r="G1078" t="s">
        <v>66</v>
      </c>
      <c r="H1078" t="s">
        <v>67</v>
      </c>
      <c r="S1078">
        <v>0</v>
      </c>
      <c r="T1078">
        <v>1</v>
      </c>
      <c r="U1078">
        <v>0</v>
      </c>
      <c r="V1078">
        <v>0</v>
      </c>
      <c r="W1078">
        <v>0</v>
      </c>
      <c r="X1078">
        <v>1</v>
      </c>
      <c r="Y1078">
        <v>0</v>
      </c>
      <c r="Z1078">
        <v>1</v>
      </c>
      <c r="AA1078">
        <v>0</v>
      </c>
      <c r="AB1078">
        <v>0</v>
      </c>
      <c r="AC1078">
        <v>1</v>
      </c>
      <c r="AD1078">
        <v>1</v>
      </c>
      <c r="AE1078">
        <v>1</v>
      </c>
      <c r="AF1078">
        <v>1</v>
      </c>
      <c r="AG1078">
        <v>1</v>
      </c>
      <c r="AH1078">
        <v>1</v>
      </c>
      <c r="AI1078">
        <v>1</v>
      </c>
      <c r="AJ1078">
        <v>1</v>
      </c>
      <c r="AK1078">
        <v>1</v>
      </c>
      <c r="AL1078">
        <v>1</v>
      </c>
      <c r="AM1078">
        <v>1</v>
      </c>
    </row>
    <row r="1079" spans="1:39" x14ac:dyDescent="0.2">
      <c r="A1079" t="str">
        <f>"1075"</f>
        <v>1075</v>
      </c>
      <c r="B1079" t="str">
        <f t="shared" ref="B1079:B1142" si="60">"1"</f>
        <v>1</v>
      </c>
      <c r="C1079" t="str">
        <f t="shared" si="59"/>
        <v>22</v>
      </c>
      <c r="D1079" t="str">
        <f>"39"</f>
        <v>39</v>
      </c>
      <c r="E1079" t="str">
        <f>"1-22-39"</f>
        <v>1-22-39</v>
      </c>
      <c r="F1079" t="s">
        <v>65</v>
      </c>
      <c r="G1079" t="s">
        <v>66</v>
      </c>
      <c r="H1079" t="s">
        <v>67</v>
      </c>
      <c r="S1079">
        <v>1</v>
      </c>
      <c r="T1079">
        <v>0</v>
      </c>
      <c r="U1079">
        <v>0</v>
      </c>
      <c r="V1079">
        <v>0</v>
      </c>
      <c r="W1079">
        <v>1</v>
      </c>
      <c r="X1079">
        <v>0</v>
      </c>
      <c r="Y1079">
        <v>1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1</v>
      </c>
      <c r="AF1079">
        <v>1</v>
      </c>
      <c r="AG1079">
        <v>1</v>
      </c>
      <c r="AH1079">
        <v>1</v>
      </c>
      <c r="AI1079">
        <v>1</v>
      </c>
      <c r="AJ1079">
        <v>1</v>
      </c>
      <c r="AK1079">
        <v>1</v>
      </c>
      <c r="AL1079">
        <v>1</v>
      </c>
      <c r="AM1079">
        <v>1</v>
      </c>
    </row>
    <row r="1080" spans="1:39" x14ac:dyDescent="0.2">
      <c r="A1080" t="str">
        <f>"1076"</f>
        <v>1076</v>
      </c>
      <c r="B1080" t="str">
        <f t="shared" si="60"/>
        <v>1</v>
      </c>
      <c r="C1080" t="str">
        <f t="shared" si="59"/>
        <v>22</v>
      </c>
      <c r="D1080" t="str">
        <f>"21"</f>
        <v>21</v>
      </c>
      <c r="E1080" t="str">
        <f>"1-22-21"</f>
        <v>1-22-21</v>
      </c>
      <c r="F1080" t="s">
        <v>65</v>
      </c>
      <c r="G1080" t="s">
        <v>66</v>
      </c>
      <c r="H1080" t="s">
        <v>67</v>
      </c>
      <c r="S1080">
        <v>0</v>
      </c>
      <c r="T1080">
        <v>1</v>
      </c>
      <c r="U1080">
        <v>0</v>
      </c>
      <c r="V1080">
        <v>0</v>
      </c>
      <c r="W1080">
        <v>1</v>
      </c>
      <c r="X1080">
        <v>0</v>
      </c>
      <c r="Y1080">
        <v>1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1</v>
      </c>
      <c r="AF1080">
        <v>1</v>
      </c>
      <c r="AG1080">
        <v>1</v>
      </c>
      <c r="AH1080">
        <v>1</v>
      </c>
      <c r="AI1080">
        <v>1</v>
      </c>
      <c r="AJ1080">
        <v>1</v>
      </c>
      <c r="AK1080">
        <v>1</v>
      </c>
      <c r="AL1080">
        <v>1</v>
      </c>
      <c r="AM1080">
        <v>1</v>
      </c>
    </row>
    <row r="1081" spans="1:39" x14ac:dyDescent="0.2">
      <c r="A1081" t="str">
        <f>"1077"</f>
        <v>1077</v>
      </c>
      <c r="B1081" t="str">
        <f t="shared" si="60"/>
        <v>1</v>
      </c>
      <c r="C1081" t="str">
        <f t="shared" si="59"/>
        <v>22</v>
      </c>
      <c r="D1081" t="str">
        <f>"5"</f>
        <v>5</v>
      </c>
      <c r="E1081" t="str">
        <f>"1-22-5"</f>
        <v>1-22-5</v>
      </c>
      <c r="F1081" t="s">
        <v>65</v>
      </c>
      <c r="G1081" t="s">
        <v>66</v>
      </c>
      <c r="H1081" t="s">
        <v>67</v>
      </c>
      <c r="S1081">
        <v>1</v>
      </c>
      <c r="T1081">
        <v>0</v>
      </c>
      <c r="U1081">
        <v>0</v>
      </c>
      <c r="V1081">
        <v>0</v>
      </c>
      <c r="W1081">
        <v>1</v>
      </c>
      <c r="X1081">
        <v>0</v>
      </c>
      <c r="Y1081">
        <v>1</v>
      </c>
      <c r="Z1081">
        <v>0</v>
      </c>
      <c r="AA1081">
        <v>0</v>
      </c>
      <c r="AB1081">
        <v>1</v>
      </c>
      <c r="AC1081">
        <v>0</v>
      </c>
      <c r="AD1081">
        <v>1</v>
      </c>
      <c r="AE1081">
        <v>1</v>
      </c>
      <c r="AF1081">
        <v>1</v>
      </c>
      <c r="AG1081">
        <v>1</v>
      </c>
      <c r="AH1081">
        <v>1</v>
      </c>
      <c r="AI1081">
        <v>1</v>
      </c>
      <c r="AJ1081">
        <v>1</v>
      </c>
      <c r="AK1081">
        <v>1</v>
      </c>
      <c r="AL1081">
        <v>1</v>
      </c>
      <c r="AM1081">
        <v>1</v>
      </c>
    </row>
    <row r="1082" spans="1:39" x14ac:dyDescent="0.2">
      <c r="A1082" t="str">
        <f>"1078"</f>
        <v>1078</v>
      </c>
      <c r="B1082" t="str">
        <f t="shared" si="60"/>
        <v>1</v>
      </c>
      <c r="C1082" t="str">
        <f t="shared" si="59"/>
        <v>22</v>
      </c>
      <c r="D1082" t="str">
        <f>"40"</f>
        <v>40</v>
      </c>
      <c r="E1082" t="str">
        <f>"1-22-40"</f>
        <v>1-22-40</v>
      </c>
      <c r="F1082" t="s">
        <v>65</v>
      </c>
      <c r="G1082" t="s">
        <v>66</v>
      </c>
      <c r="H1082" t="s">
        <v>67</v>
      </c>
      <c r="S1082">
        <v>1</v>
      </c>
      <c r="T1082">
        <v>0</v>
      </c>
      <c r="U1082">
        <v>0</v>
      </c>
      <c r="V1082">
        <v>0</v>
      </c>
      <c r="W1082">
        <v>1</v>
      </c>
      <c r="X1082">
        <v>0</v>
      </c>
      <c r="Y1082">
        <v>1</v>
      </c>
      <c r="Z1082">
        <v>0</v>
      </c>
      <c r="AA1082">
        <v>0</v>
      </c>
      <c r="AB1082">
        <v>0</v>
      </c>
      <c r="AC1082">
        <v>1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1</v>
      </c>
      <c r="AJ1082">
        <v>1</v>
      </c>
      <c r="AK1082">
        <v>0</v>
      </c>
      <c r="AL1082">
        <v>1</v>
      </c>
      <c r="AM1082">
        <v>0</v>
      </c>
    </row>
    <row r="1083" spans="1:39" x14ac:dyDescent="0.2">
      <c r="A1083" t="str">
        <f>"1079"</f>
        <v>1079</v>
      </c>
      <c r="B1083" t="str">
        <f t="shared" si="60"/>
        <v>1</v>
      </c>
      <c r="C1083" t="str">
        <f t="shared" si="59"/>
        <v>22</v>
      </c>
      <c r="D1083" t="str">
        <f>"22"</f>
        <v>22</v>
      </c>
      <c r="E1083" t="str">
        <f>"1-22-22"</f>
        <v>1-22-22</v>
      </c>
      <c r="F1083" t="s">
        <v>65</v>
      </c>
      <c r="G1083" t="s">
        <v>66</v>
      </c>
      <c r="H1083" t="s">
        <v>67</v>
      </c>
      <c r="S1083">
        <v>0</v>
      </c>
      <c r="T1083">
        <v>1</v>
      </c>
      <c r="U1083">
        <v>0</v>
      </c>
      <c r="V1083">
        <v>0</v>
      </c>
      <c r="W1083">
        <v>1</v>
      </c>
      <c r="X1083">
        <v>0</v>
      </c>
      <c r="Y1083">
        <v>1</v>
      </c>
      <c r="Z1083">
        <v>0</v>
      </c>
      <c r="AA1083">
        <v>0</v>
      </c>
      <c r="AB1083">
        <v>1</v>
      </c>
      <c r="AC1083">
        <v>0</v>
      </c>
      <c r="AD1083">
        <v>1</v>
      </c>
      <c r="AE1083">
        <v>1</v>
      </c>
      <c r="AF1083">
        <v>1</v>
      </c>
      <c r="AG1083">
        <v>1</v>
      </c>
      <c r="AH1083">
        <v>1</v>
      </c>
      <c r="AI1083">
        <v>1</v>
      </c>
      <c r="AJ1083">
        <v>1</v>
      </c>
      <c r="AK1083">
        <v>1</v>
      </c>
      <c r="AL1083">
        <v>1</v>
      </c>
      <c r="AM1083">
        <v>1</v>
      </c>
    </row>
    <row r="1084" spans="1:39" x14ac:dyDescent="0.2">
      <c r="A1084" t="str">
        <f>"1080"</f>
        <v>1080</v>
      </c>
      <c r="B1084" t="str">
        <f t="shared" si="60"/>
        <v>1</v>
      </c>
      <c r="C1084" t="str">
        <f t="shared" si="59"/>
        <v>22</v>
      </c>
      <c r="D1084" t="str">
        <f>"12"</f>
        <v>12</v>
      </c>
      <c r="E1084" t="str">
        <f>"1-22-12"</f>
        <v>1-22-12</v>
      </c>
      <c r="F1084" t="s">
        <v>65</v>
      </c>
      <c r="G1084" t="s">
        <v>66</v>
      </c>
      <c r="H1084" t="s">
        <v>67</v>
      </c>
      <c r="S1084">
        <v>1</v>
      </c>
      <c r="T1084">
        <v>0</v>
      </c>
      <c r="U1084">
        <v>0</v>
      </c>
      <c r="V1084">
        <v>0</v>
      </c>
      <c r="W1084">
        <v>1</v>
      </c>
      <c r="X1084">
        <v>0</v>
      </c>
      <c r="Y1084">
        <v>1</v>
      </c>
      <c r="Z1084">
        <v>0</v>
      </c>
      <c r="AA1084">
        <v>0</v>
      </c>
      <c r="AB1084">
        <v>1</v>
      </c>
      <c r="AC1084">
        <v>0</v>
      </c>
      <c r="AD1084">
        <v>1</v>
      </c>
      <c r="AE1084">
        <v>1</v>
      </c>
      <c r="AF1084">
        <v>1</v>
      </c>
      <c r="AG1084">
        <v>1</v>
      </c>
      <c r="AH1084">
        <v>1</v>
      </c>
      <c r="AI1084">
        <v>1</v>
      </c>
      <c r="AJ1084">
        <v>1</v>
      </c>
      <c r="AK1084">
        <v>1</v>
      </c>
      <c r="AL1084">
        <v>1</v>
      </c>
      <c r="AM1084">
        <v>1</v>
      </c>
    </row>
    <row r="1085" spans="1:39" x14ac:dyDescent="0.2">
      <c r="A1085" t="str">
        <f>"1081"</f>
        <v>1081</v>
      </c>
      <c r="B1085" t="str">
        <f t="shared" si="60"/>
        <v>1</v>
      </c>
      <c r="C1085" t="str">
        <f t="shared" si="59"/>
        <v>22</v>
      </c>
      <c r="D1085" t="str">
        <f>"42"</f>
        <v>42</v>
      </c>
      <c r="E1085" t="str">
        <f>"1-22-42"</f>
        <v>1-22-42</v>
      </c>
      <c r="F1085" t="s">
        <v>65</v>
      </c>
      <c r="G1085" t="s">
        <v>66</v>
      </c>
      <c r="H1085" t="s">
        <v>67</v>
      </c>
      <c r="S1085">
        <v>1</v>
      </c>
      <c r="T1085">
        <v>0</v>
      </c>
      <c r="U1085">
        <v>0</v>
      </c>
      <c r="V1085">
        <v>0</v>
      </c>
      <c r="W1085">
        <v>0</v>
      </c>
      <c r="X1085">
        <v>1</v>
      </c>
      <c r="Y1085">
        <v>1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1</v>
      </c>
      <c r="AF1085">
        <v>1</v>
      </c>
      <c r="AG1085">
        <v>1</v>
      </c>
      <c r="AH1085">
        <v>1</v>
      </c>
      <c r="AI1085">
        <v>1</v>
      </c>
      <c r="AJ1085">
        <v>1</v>
      </c>
      <c r="AK1085">
        <v>1</v>
      </c>
      <c r="AL1085">
        <v>1</v>
      </c>
      <c r="AM1085">
        <v>1</v>
      </c>
    </row>
    <row r="1086" spans="1:39" x14ac:dyDescent="0.2">
      <c r="A1086" t="str">
        <f>"1082"</f>
        <v>1082</v>
      </c>
      <c r="B1086" t="str">
        <f t="shared" si="60"/>
        <v>1</v>
      </c>
      <c r="C1086" t="str">
        <f t="shared" si="59"/>
        <v>22</v>
      </c>
      <c r="D1086" t="str">
        <f>"23"</f>
        <v>23</v>
      </c>
      <c r="E1086" t="str">
        <f>"1-22-23"</f>
        <v>1-22-23</v>
      </c>
      <c r="F1086" t="s">
        <v>65</v>
      </c>
      <c r="G1086" t="s">
        <v>66</v>
      </c>
      <c r="H1086" t="s">
        <v>67</v>
      </c>
      <c r="S1086">
        <v>0</v>
      </c>
      <c r="T1086">
        <v>1</v>
      </c>
      <c r="U1086">
        <v>0</v>
      </c>
      <c r="V1086">
        <v>0</v>
      </c>
      <c r="W1086">
        <v>1</v>
      </c>
      <c r="X1086">
        <v>0</v>
      </c>
      <c r="Y1086">
        <v>0</v>
      </c>
      <c r="Z1086">
        <v>1</v>
      </c>
      <c r="AA1086">
        <v>0</v>
      </c>
      <c r="AB1086">
        <v>0</v>
      </c>
      <c r="AC1086">
        <v>1</v>
      </c>
      <c r="AD1086">
        <v>1</v>
      </c>
      <c r="AE1086">
        <v>1</v>
      </c>
      <c r="AF1086">
        <v>1</v>
      </c>
      <c r="AG1086">
        <v>0</v>
      </c>
      <c r="AH1086">
        <v>0</v>
      </c>
      <c r="AI1086">
        <v>1</v>
      </c>
      <c r="AJ1086">
        <v>0</v>
      </c>
      <c r="AK1086">
        <v>0</v>
      </c>
      <c r="AL1086">
        <v>1</v>
      </c>
      <c r="AM1086">
        <v>0</v>
      </c>
    </row>
    <row r="1087" spans="1:39" x14ac:dyDescent="0.2">
      <c r="A1087" t="str">
        <f>"1083"</f>
        <v>1083</v>
      </c>
      <c r="B1087" t="str">
        <f t="shared" si="60"/>
        <v>1</v>
      </c>
      <c r="C1087" t="str">
        <f t="shared" ref="C1087:C1104" si="61">"22"</f>
        <v>22</v>
      </c>
      <c r="D1087" t="str">
        <f>"11"</f>
        <v>11</v>
      </c>
      <c r="E1087" t="str">
        <f>"1-22-11"</f>
        <v>1-22-11</v>
      </c>
      <c r="F1087" t="s">
        <v>65</v>
      </c>
      <c r="G1087" t="s">
        <v>66</v>
      </c>
      <c r="H1087" t="s">
        <v>67</v>
      </c>
      <c r="S1087">
        <v>1</v>
      </c>
      <c r="T1087">
        <v>0</v>
      </c>
      <c r="U1087">
        <v>0</v>
      </c>
      <c r="V1087">
        <v>0</v>
      </c>
      <c r="W1087">
        <v>1</v>
      </c>
      <c r="X1087">
        <v>0</v>
      </c>
      <c r="Y1087">
        <v>1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1</v>
      </c>
      <c r="AF1087">
        <v>1</v>
      </c>
      <c r="AG1087">
        <v>1</v>
      </c>
      <c r="AH1087">
        <v>1</v>
      </c>
      <c r="AI1087">
        <v>1</v>
      </c>
      <c r="AJ1087">
        <v>1</v>
      </c>
      <c r="AK1087">
        <v>1</v>
      </c>
      <c r="AL1087">
        <v>1</v>
      </c>
      <c r="AM1087">
        <v>1</v>
      </c>
    </row>
    <row r="1088" spans="1:39" x14ac:dyDescent="0.2">
      <c r="A1088" t="str">
        <f>"1084"</f>
        <v>1084</v>
      </c>
      <c r="B1088" t="str">
        <f t="shared" si="60"/>
        <v>1</v>
      </c>
      <c r="C1088" t="str">
        <f t="shared" si="61"/>
        <v>22</v>
      </c>
      <c r="D1088" t="str">
        <f>"41"</f>
        <v>41</v>
      </c>
      <c r="E1088" t="str">
        <f>"1-22-41"</f>
        <v>1-22-41</v>
      </c>
      <c r="F1088" t="s">
        <v>65</v>
      </c>
      <c r="G1088" t="s">
        <v>66</v>
      </c>
      <c r="H1088" t="s">
        <v>67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1</v>
      </c>
      <c r="Y1088">
        <v>0</v>
      </c>
      <c r="Z1088">
        <v>1</v>
      </c>
      <c r="AA1088">
        <v>1</v>
      </c>
      <c r="AB1088">
        <v>0</v>
      </c>
      <c r="AC1088">
        <v>0</v>
      </c>
      <c r="AD1088">
        <v>1</v>
      </c>
      <c r="AE1088">
        <v>1</v>
      </c>
      <c r="AF1088">
        <v>1</v>
      </c>
      <c r="AG1088">
        <v>1</v>
      </c>
      <c r="AH1088">
        <v>1</v>
      </c>
      <c r="AI1088">
        <v>1</v>
      </c>
      <c r="AJ1088">
        <v>1</v>
      </c>
      <c r="AK1088">
        <v>1</v>
      </c>
      <c r="AL1088">
        <v>1</v>
      </c>
      <c r="AM1088">
        <v>1</v>
      </c>
    </row>
    <row r="1089" spans="1:39" x14ac:dyDescent="0.2">
      <c r="A1089" t="str">
        <f>"1085"</f>
        <v>1085</v>
      </c>
      <c r="B1089" t="str">
        <f t="shared" si="60"/>
        <v>1</v>
      </c>
      <c r="C1089" t="str">
        <f t="shared" si="61"/>
        <v>22</v>
      </c>
      <c r="D1089" t="str">
        <f>"24"</f>
        <v>24</v>
      </c>
      <c r="E1089" t="str">
        <f>"1-22-24"</f>
        <v>1-22-24</v>
      </c>
      <c r="F1089" t="s">
        <v>65</v>
      </c>
      <c r="G1089" t="s">
        <v>66</v>
      </c>
      <c r="H1089" t="s">
        <v>67</v>
      </c>
      <c r="S1089">
        <v>1</v>
      </c>
      <c r="T1089">
        <v>0</v>
      </c>
      <c r="U1089">
        <v>0</v>
      </c>
      <c r="V1089">
        <v>0</v>
      </c>
      <c r="W1089">
        <v>0</v>
      </c>
      <c r="X1089">
        <v>1</v>
      </c>
      <c r="Y1089">
        <v>0</v>
      </c>
      <c r="Z1089">
        <v>1</v>
      </c>
      <c r="AA1089">
        <v>0</v>
      </c>
      <c r="AB1089">
        <v>0</v>
      </c>
      <c r="AC1089">
        <v>1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</row>
    <row r="1090" spans="1:39" x14ac:dyDescent="0.2">
      <c r="A1090" t="str">
        <f>"1086"</f>
        <v>1086</v>
      </c>
      <c r="B1090" t="str">
        <f t="shared" si="60"/>
        <v>1</v>
      </c>
      <c r="C1090" t="str">
        <f t="shared" si="61"/>
        <v>22</v>
      </c>
      <c r="D1090" t="str">
        <f>"13"</f>
        <v>13</v>
      </c>
      <c r="E1090" t="str">
        <f>"1-22-13"</f>
        <v>1-22-13</v>
      </c>
      <c r="F1090" t="s">
        <v>65</v>
      </c>
      <c r="G1090" t="s">
        <v>66</v>
      </c>
      <c r="H1090" t="s">
        <v>67</v>
      </c>
      <c r="S1090">
        <v>1</v>
      </c>
      <c r="T1090">
        <v>0</v>
      </c>
      <c r="U1090">
        <v>0</v>
      </c>
      <c r="V1090">
        <v>0</v>
      </c>
      <c r="W1090">
        <v>1</v>
      </c>
      <c r="X1090">
        <v>0</v>
      </c>
      <c r="Y1090">
        <v>0</v>
      </c>
      <c r="Z1090">
        <v>1</v>
      </c>
      <c r="AA1090">
        <v>1</v>
      </c>
      <c r="AB1090">
        <v>0</v>
      </c>
      <c r="AC1090">
        <v>0</v>
      </c>
      <c r="AD1090">
        <v>1</v>
      </c>
      <c r="AE1090">
        <v>1</v>
      </c>
      <c r="AF1090">
        <v>1</v>
      </c>
      <c r="AG1090">
        <v>1</v>
      </c>
      <c r="AH1090">
        <v>1</v>
      </c>
      <c r="AI1090">
        <v>1</v>
      </c>
      <c r="AJ1090">
        <v>1</v>
      </c>
      <c r="AK1090">
        <v>1</v>
      </c>
      <c r="AL1090">
        <v>1</v>
      </c>
      <c r="AM1090">
        <v>1</v>
      </c>
    </row>
    <row r="1091" spans="1:39" x14ac:dyDescent="0.2">
      <c r="A1091" t="str">
        <f>"1087"</f>
        <v>1087</v>
      </c>
      <c r="B1091" t="str">
        <f t="shared" si="60"/>
        <v>1</v>
      </c>
      <c r="C1091" t="str">
        <f t="shared" si="61"/>
        <v>22</v>
      </c>
      <c r="D1091" t="str">
        <f>"43"</f>
        <v>43</v>
      </c>
      <c r="E1091" t="str">
        <f>"1-22-43"</f>
        <v>1-22-43</v>
      </c>
      <c r="F1091" t="s">
        <v>65</v>
      </c>
      <c r="G1091" t="s">
        <v>66</v>
      </c>
      <c r="H1091" t="s">
        <v>67</v>
      </c>
      <c r="S1091">
        <v>1</v>
      </c>
      <c r="T1091">
        <v>0</v>
      </c>
      <c r="U1091">
        <v>0</v>
      </c>
      <c r="V1091">
        <v>0</v>
      </c>
      <c r="W1091">
        <v>1</v>
      </c>
      <c r="X1091">
        <v>0</v>
      </c>
      <c r="Y1091">
        <v>1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1</v>
      </c>
      <c r="AH1091">
        <v>1</v>
      </c>
      <c r="AI1091">
        <v>1</v>
      </c>
      <c r="AJ1091">
        <v>1</v>
      </c>
      <c r="AK1091">
        <v>1</v>
      </c>
      <c r="AL1091">
        <v>1</v>
      </c>
      <c r="AM1091">
        <v>1</v>
      </c>
    </row>
    <row r="1092" spans="1:39" x14ac:dyDescent="0.2">
      <c r="A1092" t="str">
        <f>"1088"</f>
        <v>1088</v>
      </c>
      <c r="B1092" t="str">
        <f t="shared" si="60"/>
        <v>1</v>
      </c>
      <c r="C1092" t="str">
        <f t="shared" si="61"/>
        <v>22</v>
      </c>
      <c r="D1092" t="str">
        <f>"26"</f>
        <v>26</v>
      </c>
      <c r="E1092" t="str">
        <f>"1-22-26"</f>
        <v>1-22-26</v>
      </c>
      <c r="F1092" t="s">
        <v>65</v>
      </c>
      <c r="G1092" t="s">
        <v>66</v>
      </c>
      <c r="H1092" t="s">
        <v>67</v>
      </c>
      <c r="S1092">
        <v>1</v>
      </c>
      <c r="T1092">
        <v>0</v>
      </c>
      <c r="U1092">
        <v>0</v>
      </c>
      <c r="V1092">
        <v>0</v>
      </c>
      <c r="W1092">
        <v>1</v>
      </c>
      <c r="X1092">
        <v>0</v>
      </c>
      <c r="Y1092">
        <v>1</v>
      </c>
      <c r="Z1092">
        <v>0</v>
      </c>
      <c r="AA1092">
        <v>0</v>
      </c>
      <c r="AB1092">
        <v>0</v>
      </c>
      <c r="AC1092">
        <v>1</v>
      </c>
      <c r="AD1092">
        <v>1</v>
      </c>
      <c r="AE1092">
        <v>1</v>
      </c>
      <c r="AF1092">
        <v>1</v>
      </c>
      <c r="AG1092">
        <v>1</v>
      </c>
      <c r="AH1092">
        <v>1</v>
      </c>
      <c r="AI1092">
        <v>1</v>
      </c>
      <c r="AJ1092">
        <v>1</v>
      </c>
      <c r="AK1092">
        <v>1</v>
      </c>
      <c r="AL1092">
        <v>1</v>
      </c>
      <c r="AM1092">
        <v>1</v>
      </c>
    </row>
    <row r="1093" spans="1:39" x14ac:dyDescent="0.2">
      <c r="A1093" t="str">
        <f>"1089"</f>
        <v>1089</v>
      </c>
      <c r="B1093" t="str">
        <f t="shared" si="60"/>
        <v>1</v>
      </c>
      <c r="C1093" t="str">
        <f t="shared" si="61"/>
        <v>22</v>
      </c>
      <c r="D1093" t="str">
        <f>"8"</f>
        <v>8</v>
      </c>
      <c r="E1093" t="str">
        <f>"1-22-8"</f>
        <v>1-22-8</v>
      </c>
      <c r="F1093" t="s">
        <v>65</v>
      </c>
      <c r="G1093" t="s">
        <v>66</v>
      </c>
      <c r="H1093" t="s">
        <v>67</v>
      </c>
      <c r="S1093">
        <v>1</v>
      </c>
      <c r="T1093">
        <v>0</v>
      </c>
      <c r="U1093">
        <v>0</v>
      </c>
      <c r="V1093">
        <v>0</v>
      </c>
      <c r="W1093">
        <v>1</v>
      </c>
      <c r="X1093">
        <v>0</v>
      </c>
      <c r="Y1093">
        <v>1</v>
      </c>
      <c r="Z1093">
        <v>0</v>
      </c>
      <c r="AA1093">
        <v>0</v>
      </c>
      <c r="AB1093">
        <v>1</v>
      </c>
      <c r="AC1093">
        <v>0</v>
      </c>
      <c r="AD1093">
        <v>1</v>
      </c>
      <c r="AE1093">
        <v>1</v>
      </c>
      <c r="AF1093">
        <v>1</v>
      </c>
      <c r="AG1093">
        <v>1</v>
      </c>
      <c r="AH1093">
        <v>1</v>
      </c>
      <c r="AI1093">
        <v>1</v>
      </c>
      <c r="AJ1093">
        <v>1</v>
      </c>
      <c r="AK1093">
        <v>1</v>
      </c>
      <c r="AL1093">
        <v>1</v>
      </c>
      <c r="AM1093">
        <v>1</v>
      </c>
    </row>
    <row r="1094" spans="1:39" x14ac:dyDescent="0.2">
      <c r="A1094" t="str">
        <f>"1090"</f>
        <v>1090</v>
      </c>
      <c r="B1094" t="str">
        <f t="shared" si="60"/>
        <v>1</v>
      </c>
      <c r="C1094" t="str">
        <f t="shared" si="61"/>
        <v>22</v>
      </c>
      <c r="D1094" t="str">
        <f>"44"</f>
        <v>44</v>
      </c>
      <c r="E1094" t="str">
        <f>"1-22-44"</f>
        <v>1-22-44</v>
      </c>
      <c r="F1094" t="s">
        <v>65</v>
      </c>
      <c r="G1094" t="s">
        <v>66</v>
      </c>
      <c r="H1094" t="s">
        <v>67</v>
      </c>
      <c r="S1094">
        <v>1</v>
      </c>
      <c r="T1094">
        <v>0</v>
      </c>
      <c r="U1094">
        <v>0</v>
      </c>
      <c r="V1094">
        <v>0</v>
      </c>
      <c r="W1094">
        <v>1</v>
      </c>
      <c r="X1094">
        <v>0</v>
      </c>
      <c r="Y1094">
        <v>1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1</v>
      </c>
      <c r="AH1094">
        <v>1</v>
      </c>
      <c r="AI1094">
        <v>1</v>
      </c>
      <c r="AJ1094">
        <v>1</v>
      </c>
      <c r="AK1094">
        <v>1</v>
      </c>
      <c r="AL1094">
        <v>1</v>
      </c>
      <c r="AM1094">
        <v>1</v>
      </c>
    </row>
    <row r="1095" spans="1:39" x14ac:dyDescent="0.2">
      <c r="A1095" t="str">
        <f>"1091"</f>
        <v>1091</v>
      </c>
      <c r="B1095" t="str">
        <f t="shared" si="60"/>
        <v>1</v>
      </c>
      <c r="C1095" t="str">
        <f t="shared" si="61"/>
        <v>22</v>
      </c>
      <c r="D1095" t="str">
        <f>"27"</f>
        <v>27</v>
      </c>
      <c r="E1095" t="str">
        <f>"1-22-27"</f>
        <v>1-22-27</v>
      </c>
      <c r="F1095" t="s">
        <v>65</v>
      </c>
      <c r="G1095" t="s">
        <v>66</v>
      </c>
      <c r="H1095" t="s">
        <v>67</v>
      </c>
      <c r="S1095">
        <v>1</v>
      </c>
      <c r="T1095">
        <v>0</v>
      </c>
      <c r="U1095">
        <v>0</v>
      </c>
      <c r="V1095">
        <v>0</v>
      </c>
      <c r="W1095">
        <v>1</v>
      </c>
      <c r="X1095">
        <v>0</v>
      </c>
      <c r="Y1095">
        <v>1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1</v>
      </c>
      <c r="AF1095">
        <v>1</v>
      </c>
      <c r="AG1095">
        <v>1</v>
      </c>
      <c r="AH1095">
        <v>1</v>
      </c>
      <c r="AI1095">
        <v>1</v>
      </c>
      <c r="AJ1095">
        <v>1</v>
      </c>
      <c r="AK1095">
        <v>1</v>
      </c>
      <c r="AL1095">
        <v>1</v>
      </c>
      <c r="AM1095">
        <v>1</v>
      </c>
    </row>
    <row r="1096" spans="1:39" x14ac:dyDescent="0.2">
      <c r="A1096" t="str">
        <f>"1092"</f>
        <v>1092</v>
      </c>
      <c r="B1096" t="str">
        <f t="shared" si="60"/>
        <v>1</v>
      </c>
      <c r="C1096" t="str">
        <f t="shared" si="61"/>
        <v>22</v>
      </c>
      <c r="D1096" t="str">
        <f>"6"</f>
        <v>6</v>
      </c>
      <c r="E1096" t="str">
        <f>"1-22-6"</f>
        <v>1-22-6</v>
      </c>
      <c r="F1096" t="s">
        <v>65</v>
      </c>
      <c r="G1096" t="s">
        <v>66</v>
      </c>
      <c r="H1096" t="s">
        <v>67</v>
      </c>
      <c r="S1096">
        <v>1</v>
      </c>
      <c r="T1096">
        <v>0</v>
      </c>
      <c r="U1096">
        <v>0</v>
      </c>
      <c r="V1096">
        <v>0</v>
      </c>
      <c r="W1096">
        <v>1</v>
      </c>
      <c r="X1096">
        <v>0</v>
      </c>
      <c r="Y1096">
        <v>1</v>
      </c>
      <c r="Z1096">
        <v>0</v>
      </c>
      <c r="AA1096">
        <v>0</v>
      </c>
      <c r="AB1096">
        <v>0</v>
      </c>
      <c r="AC1096">
        <v>1</v>
      </c>
      <c r="AD1096">
        <v>1</v>
      </c>
      <c r="AE1096">
        <v>1</v>
      </c>
      <c r="AF1096">
        <v>1</v>
      </c>
      <c r="AG1096">
        <v>1</v>
      </c>
      <c r="AH1096">
        <v>1</v>
      </c>
      <c r="AI1096">
        <v>1</v>
      </c>
      <c r="AJ1096">
        <v>1</v>
      </c>
      <c r="AK1096">
        <v>1</v>
      </c>
      <c r="AL1096">
        <v>1</v>
      </c>
      <c r="AM1096">
        <v>1</v>
      </c>
    </row>
    <row r="1097" spans="1:39" x14ac:dyDescent="0.2">
      <c r="A1097" t="str">
        <f>"1093"</f>
        <v>1093</v>
      </c>
      <c r="B1097" t="str">
        <f t="shared" si="60"/>
        <v>1</v>
      </c>
      <c r="C1097" t="str">
        <f t="shared" si="61"/>
        <v>22</v>
      </c>
      <c r="D1097" t="str">
        <f>"45"</f>
        <v>45</v>
      </c>
      <c r="E1097" t="str">
        <f>"1-22-45"</f>
        <v>1-22-45</v>
      </c>
      <c r="F1097" t="s">
        <v>65</v>
      </c>
      <c r="G1097" t="s">
        <v>66</v>
      </c>
      <c r="H1097" t="s">
        <v>67</v>
      </c>
      <c r="S1097">
        <v>0</v>
      </c>
      <c r="T1097">
        <v>1</v>
      </c>
      <c r="U1097">
        <v>0</v>
      </c>
      <c r="V1097">
        <v>0</v>
      </c>
      <c r="W1097">
        <v>1</v>
      </c>
      <c r="X1097">
        <v>0</v>
      </c>
      <c r="Y1097">
        <v>0</v>
      </c>
      <c r="Z1097">
        <v>1</v>
      </c>
      <c r="AA1097">
        <v>0</v>
      </c>
      <c r="AB1097">
        <v>0</v>
      </c>
      <c r="AC1097">
        <v>1</v>
      </c>
      <c r="AD1097">
        <v>1</v>
      </c>
      <c r="AE1097">
        <v>1</v>
      </c>
      <c r="AF1097">
        <v>1</v>
      </c>
      <c r="AG1097">
        <v>1</v>
      </c>
      <c r="AH1097">
        <v>1</v>
      </c>
      <c r="AI1097">
        <v>1</v>
      </c>
      <c r="AJ1097">
        <v>1</v>
      </c>
      <c r="AK1097">
        <v>1</v>
      </c>
      <c r="AL1097">
        <v>1</v>
      </c>
      <c r="AM1097">
        <v>1</v>
      </c>
    </row>
    <row r="1098" spans="1:39" x14ac:dyDescent="0.2">
      <c r="A1098" t="str">
        <f>"1094"</f>
        <v>1094</v>
      </c>
      <c r="B1098" t="str">
        <f t="shared" si="60"/>
        <v>1</v>
      </c>
      <c r="C1098" t="str">
        <f t="shared" si="61"/>
        <v>22</v>
      </c>
      <c r="D1098" t="str">
        <f>"28"</f>
        <v>28</v>
      </c>
      <c r="E1098" t="str">
        <f>"1-22-28"</f>
        <v>1-22-28</v>
      </c>
      <c r="F1098" t="s">
        <v>65</v>
      </c>
      <c r="G1098" t="s">
        <v>66</v>
      </c>
      <c r="H1098" t="s">
        <v>67</v>
      </c>
      <c r="S1098">
        <v>0</v>
      </c>
      <c r="T1098">
        <v>1</v>
      </c>
      <c r="U1098">
        <v>0</v>
      </c>
      <c r="V1098">
        <v>0</v>
      </c>
      <c r="W1098">
        <v>1</v>
      </c>
      <c r="X1098">
        <v>0</v>
      </c>
      <c r="Y1098">
        <v>1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1</v>
      </c>
      <c r="AF1098">
        <v>1</v>
      </c>
      <c r="AG1098">
        <v>1</v>
      </c>
      <c r="AH1098">
        <v>1</v>
      </c>
      <c r="AI1098">
        <v>1</v>
      </c>
      <c r="AJ1098">
        <v>1</v>
      </c>
      <c r="AK1098">
        <v>1</v>
      </c>
      <c r="AL1098">
        <v>1</v>
      </c>
      <c r="AM1098">
        <v>1</v>
      </c>
    </row>
    <row r="1099" spans="1:39" x14ac:dyDescent="0.2">
      <c r="A1099" t="str">
        <f>"1095"</f>
        <v>1095</v>
      </c>
      <c r="B1099" t="str">
        <f t="shared" si="60"/>
        <v>1</v>
      </c>
      <c r="C1099" t="str">
        <f t="shared" si="61"/>
        <v>22</v>
      </c>
      <c r="D1099" t="str">
        <f>"14"</f>
        <v>14</v>
      </c>
      <c r="E1099" t="str">
        <f>"1-22-14"</f>
        <v>1-22-14</v>
      </c>
      <c r="F1099" t="s">
        <v>65</v>
      </c>
      <c r="G1099" t="s">
        <v>66</v>
      </c>
      <c r="H1099" t="s">
        <v>67</v>
      </c>
      <c r="S1099">
        <v>1</v>
      </c>
      <c r="T1099">
        <v>0</v>
      </c>
      <c r="U1099">
        <v>0</v>
      </c>
      <c r="V1099">
        <v>0</v>
      </c>
      <c r="W1099">
        <v>0</v>
      </c>
      <c r="X1099">
        <v>1</v>
      </c>
      <c r="Y1099">
        <v>1</v>
      </c>
      <c r="Z1099">
        <v>0</v>
      </c>
      <c r="AA1099">
        <v>0</v>
      </c>
      <c r="AB1099">
        <v>1</v>
      </c>
      <c r="AC1099">
        <v>0</v>
      </c>
      <c r="AD1099">
        <v>1</v>
      </c>
      <c r="AE1099">
        <v>1</v>
      </c>
      <c r="AF1099">
        <v>1</v>
      </c>
      <c r="AG1099">
        <v>1</v>
      </c>
      <c r="AH1099">
        <v>1</v>
      </c>
      <c r="AI1099">
        <v>1</v>
      </c>
      <c r="AJ1099">
        <v>1</v>
      </c>
      <c r="AK1099">
        <v>1</v>
      </c>
      <c r="AL1099">
        <v>1</v>
      </c>
      <c r="AM1099">
        <v>1</v>
      </c>
    </row>
    <row r="1100" spans="1:39" x14ac:dyDescent="0.2">
      <c r="A1100" t="str">
        <f>"1096"</f>
        <v>1096</v>
      </c>
      <c r="B1100" t="str">
        <f t="shared" si="60"/>
        <v>1</v>
      </c>
      <c r="C1100" t="str">
        <f t="shared" si="61"/>
        <v>22</v>
      </c>
      <c r="D1100" t="str">
        <f>"50"</f>
        <v>50</v>
      </c>
      <c r="E1100" t="str">
        <f>"1-22-50"</f>
        <v>1-22-50</v>
      </c>
      <c r="F1100" t="s">
        <v>65</v>
      </c>
      <c r="G1100" t="s">
        <v>66</v>
      </c>
      <c r="H1100" t="s">
        <v>67</v>
      </c>
      <c r="S1100">
        <v>1</v>
      </c>
      <c r="T1100">
        <v>0</v>
      </c>
      <c r="U1100">
        <v>0</v>
      </c>
      <c r="V1100">
        <v>0</v>
      </c>
      <c r="W1100">
        <v>1</v>
      </c>
      <c r="X1100">
        <v>0</v>
      </c>
      <c r="Y1100">
        <v>1</v>
      </c>
      <c r="Z1100">
        <v>0</v>
      </c>
      <c r="AA1100">
        <v>1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</row>
    <row r="1101" spans="1:39" x14ac:dyDescent="0.2">
      <c r="A1101" t="str">
        <f>"1097"</f>
        <v>1097</v>
      </c>
      <c r="B1101" t="str">
        <f t="shared" si="60"/>
        <v>1</v>
      </c>
      <c r="C1101" t="str">
        <f t="shared" si="61"/>
        <v>22</v>
      </c>
      <c r="D1101" t="str">
        <f>"30"</f>
        <v>30</v>
      </c>
      <c r="E1101" t="str">
        <f>"1-22-30"</f>
        <v>1-22-30</v>
      </c>
      <c r="F1101" t="s">
        <v>65</v>
      </c>
      <c r="G1101" t="s">
        <v>66</v>
      </c>
      <c r="H1101" t="s">
        <v>67</v>
      </c>
      <c r="S1101">
        <v>1</v>
      </c>
      <c r="T1101">
        <v>0</v>
      </c>
      <c r="U1101">
        <v>0</v>
      </c>
      <c r="V1101">
        <v>0</v>
      </c>
      <c r="W1101">
        <v>1</v>
      </c>
      <c r="X1101">
        <v>0</v>
      </c>
      <c r="Y1101">
        <v>1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1</v>
      </c>
      <c r="AF1101">
        <v>1</v>
      </c>
      <c r="AG1101">
        <v>1</v>
      </c>
      <c r="AH1101">
        <v>1</v>
      </c>
      <c r="AI1101">
        <v>1</v>
      </c>
      <c r="AJ1101">
        <v>1</v>
      </c>
      <c r="AK1101">
        <v>1</v>
      </c>
      <c r="AL1101">
        <v>1</v>
      </c>
      <c r="AM1101">
        <v>1</v>
      </c>
    </row>
    <row r="1102" spans="1:39" x14ac:dyDescent="0.2">
      <c r="A1102" t="str">
        <f>"1098"</f>
        <v>1098</v>
      </c>
      <c r="B1102" t="str">
        <f t="shared" si="60"/>
        <v>1</v>
      </c>
      <c r="C1102" t="str">
        <f t="shared" si="61"/>
        <v>22</v>
      </c>
      <c r="D1102" t="str">
        <f>"10"</f>
        <v>10</v>
      </c>
      <c r="E1102" t="str">
        <f>"1-22-10"</f>
        <v>1-22-10</v>
      </c>
      <c r="F1102" t="s">
        <v>65</v>
      </c>
      <c r="G1102" t="s">
        <v>66</v>
      </c>
      <c r="H1102" t="s">
        <v>67</v>
      </c>
      <c r="S1102">
        <v>1</v>
      </c>
      <c r="T1102">
        <v>0</v>
      </c>
      <c r="U1102">
        <v>0</v>
      </c>
      <c r="V1102">
        <v>0</v>
      </c>
      <c r="W1102">
        <v>0</v>
      </c>
      <c r="X1102">
        <v>1</v>
      </c>
      <c r="Y1102">
        <v>0</v>
      </c>
      <c r="Z1102">
        <v>1</v>
      </c>
      <c r="AA1102">
        <v>0</v>
      </c>
      <c r="AB1102">
        <v>1</v>
      </c>
      <c r="AC1102">
        <v>0</v>
      </c>
      <c r="AD1102">
        <v>1</v>
      </c>
      <c r="AE1102">
        <v>1</v>
      </c>
      <c r="AF1102">
        <v>0</v>
      </c>
      <c r="AG1102">
        <v>1</v>
      </c>
      <c r="AH1102">
        <v>1</v>
      </c>
      <c r="AI1102">
        <v>1</v>
      </c>
      <c r="AJ1102">
        <v>1</v>
      </c>
      <c r="AK1102">
        <v>1</v>
      </c>
      <c r="AL1102">
        <v>1</v>
      </c>
      <c r="AM1102">
        <v>1</v>
      </c>
    </row>
    <row r="1103" spans="1:39" x14ac:dyDescent="0.2">
      <c r="A1103" t="str">
        <f>"1099"</f>
        <v>1099</v>
      </c>
      <c r="B1103" t="str">
        <f t="shared" si="60"/>
        <v>1</v>
      </c>
      <c r="C1103" t="str">
        <f t="shared" si="61"/>
        <v>22</v>
      </c>
      <c r="D1103" t="str">
        <f>"2"</f>
        <v>2</v>
      </c>
      <c r="E1103" t="str">
        <f>"1-22-2"</f>
        <v>1-22-2</v>
      </c>
      <c r="F1103" t="s">
        <v>65</v>
      </c>
      <c r="G1103" t="s">
        <v>66</v>
      </c>
      <c r="H1103" t="s">
        <v>67</v>
      </c>
      <c r="S1103">
        <v>1</v>
      </c>
      <c r="T1103">
        <v>0</v>
      </c>
      <c r="U1103">
        <v>0</v>
      </c>
      <c r="V1103">
        <v>0</v>
      </c>
      <c r="W1103">
        <v>1</v>
      </c>
      <c r="X1103">
        <v>0</v>
      </c>
      <c r="Y1103">
        <v>1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1</v>
      </c>
      <c r="AF1103">
        <v>1</v>
      </c>
      <c r="AG1103">
        <v>1</v>
      </c>
      <c r="AH1103">
        <v>1</v>
      </c>
      <c r="AI1103">
        <v>1</v>
      </c>
      <c r="AJ1103">
        <v>1</v>
      </c>
      <c r="AK1103">
        <v>1</v>
      </c>
      <c r="AL1103">
        <v>1</v>
      </c>
      <c r="AM1103">
        <v>1</v>
      </c>
    </row>
    <row r="1104" spans="1:39" x14ac:dyDescent="0.2">
      <c r="A1104" t="str">
        <f>"1100"</f>
        <v>1100</v>
      </c>
      <c r="B1104" t="str">
        <f t="shared" si="60"/>
        <v>1</v>
      </c>
      <c r="C1104" t="str">
        <f t="shared" si="61"/>
        <v>22</v>
      </c>
      <c r="D1104" t="str">
        <f>"32"</f>
        <v>32</v>
      </c>
      <c r="E1104" t="str">
        <f>"1-22-32"</f>
        <v>1-22-32</v>
      </c>
      <c r="F1104" t="s">
        <v>65</v>
      </c>
      <c r="G1104" t="s">
        <v>66</v>
      </c>
      <c r="H1104" t="s">
        <v>67</v>
      </c>
      <c r="S1104">
        <v>0</v>
      </c>
      <c r="T1104">
        <v>0</v>
      </c>
      <c r="U1104">
        <v>0</v>
      </c>
      <c r="V1104">
        <v>0</v>
      </c>
      <c r="W1104">
        <v>1</v>
      </c>
      <c r="X1104">
        <v>0</v>
      </c>
      <c r="Y1104">
        <v>1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</row>
    <row r="1105" spans="1:39" x14ac:dyDescent="0.2">
      <c r="A1105" t="str">
        <f>"1101"</f>
        <v>1101</v>
      </c>
      <c r="B1105" t="str">
        <f t="shared" si="60"/>
        <v>1</v>
      </c>
      <c r="C1105" t="str">
        <f t="shared" ref="C1105:C1136" si="62">"23"</f>
        <v>23</v>
      </c>
      <c r="D1105" t="str">
        <f>"32"</f>
        <v>32</v>
      </c>
      <c r="E1105" t="str">
        <f>"1-23-32"</f>
        <v>1-23-32</v>
      </c>
      <c r="F1105" t="s">
        <v>65</v>
      </c>
      <c r="G1105" t="s">
        <v>66</v>
      </c>
      <c r="H1105" t="s">
        <v>67</v>
      </c>
      <c r="S1105">
        <v>0</v>
      </c>
      <c r="T1105">
        <v>1</v>
      </c>
      <c r="U1105">
        <v>0</v>
      </c>
      <c r="V1105">
        <v>0</v>
      </c>
      <c r="W1105">
        <v>1</v>
      </c>
      <c r="X1105">
        <v>0</v>
      </c>
      <c r="Y1105">
        <v>1</v>
      </c>
      <c r="Z1105">
        <v>0</v>
      </c>
      <c r="AA1105">
        <v>0</v>
      </c>
      <c r="AB1105">
        <v>1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</row>
    <row r="1106" spans="1:39" x14ac:dyDescent="0.2">
      <c r="A1106" t="str">
        <f>"1102"</f>
        <v>1102</v>
      </c>
      <c r="B1106" t="str">
        <f t="shared" si="60"/>
        <v>1</v>
      </c>
      <c r="C1106" t="str">
        <f t="shared" si="62"/>
        <v>23</v>
      </c>
      <c r="D1106" t="str">
        <f>"31"</f>
        <v>31</v>
      </c>
      <c r="E1106" t="str">
        <f>"1-23-31"</f>
        <v>1-23-31</v>
      </c>
      <c r="F1106" t="s">
        <v>65</v>
      </c>
      <c r="G1106" t="s">
        <v>66</v>
      </c>
      <c r="H1106" t="s">
        <v>67</v>
      </c>
      <c r="S1106">
        <v>1</v>
      </c>
      <c r="T1106">
        <v>0</v>
      </c>
      <c r="U1106">
        <v>0</v>
      </c>
      <c r="V1106">
        <v>0</v>
      </c>
      <c r="W1106">
        <v>0</v>
      </c>
      <c r="X1106">
        <v>1</v>
      </c>
      <c r="Y1106">
        <v>1</v>
      </c>
      <c r="Z1106">
        <v>0</v>
      </c>
      <c r="AA1106">
        <v>0</v>
      </c>
      <c r="AB1106">
        <v>1</v>
      </c>
      <c r="AC1106">
        <v>0</v>
      </c>
      <c r="AD1106">
        <v>1</v>
      </c>
      <c r="AE1106">
        <v>1</v>
      </c>
      <c r="AF1106">
        <v>1</v>
      </c>
      <c r="AG1106">
        <v>1</v>
      </c>
      <c r="AH1106">
        <v>1</v>
      </c>
      <c r="AI1106">
        <v>1</v>
      </c>
      <c r="AJ1106">
        <v>1</v>
      </c>
      <c r="AK1106">
        <v>1</v>
      </c>
      <c r="AL1106">
        <v>1</v>
      </c>
      <c r="AM1106">
        <v>1</v>
      </c>
    </row>
    <row r="1107" spans="1:39" x14ac:dyDescent="0.2">
      <c r="A1107" t="str">
        <f>"1103"</f>
        <v>1103</v>
      </c>
      <c r="B1107" t="str">
        <f t="shared" si="60"/>
        <v>1</v>
      </c>
      <c r="C1107" t="str">
        <f t="shared" si="62"/>
        <v>23</v>
      </c>
      <c r="D1107" t="str">
        <f>"23"</f>
        <v>23</v>
      </c>
      <c r="E1107" t="str">
        <f>"1-23-23"</f>
        <v>1-23-23</v>
      </c>
      <c r="F1107" t="s">
        <v>65</v>
      </c>
      <c r="G1107" t="s">
        <v>66</v>
      </c>
      <c r="H1107" t="s">
        <v>67</v>
      </c>
      <c r="S1107">
        <v>0</v>
      </c>
      <c r="T1107">
        <v>1</v>
      </c>
      <c r="U1107">
        <v>0</v>
      </c>
      <c r="V1107">
        <v>0</v>
      </c>
      <c r="W1107">
        <v>0</v>
      </c>
      <c r="X1107">
        <v>1</v>
      </c>
      <c r="Y1107">
        <v>1</v>
      </c>
      <c r="Z1107">
        <v>0</v>
      </c>
      <c r="AA1107">
        <v>0</v>
      </c>
      <c r="AB1107">
        <v>0</v>
      </c>
      <c r="AC1107">
        <v>1</v>
      </c>
      <c r="AD1107">
        <v>1</v>
      </c>
      <c r="AE1107">
        <v>1</v>
      </c>
      <c r="AF1107">
        <v>1</v>
      </c>
      <c r="AG1107">
        <v>1</v>
      </c>
      <c r="AH1107">
        <v>1</v>
      </c>
      <c r="AI1107">
        <v>1</v>
      </c>
      <c r="AJ1107">
        <v>1</v>
      </c>
      <c r="AK1107">
        <v>1</v>
      </c>
      <c r="AL1107">
        <v>1</v>
      </c>
      <c r="AM1107">
        <v>1</v>
      </c>
    </row>
    <row r="1108" spans="1:39" x14ac:dyDescent="0.2">
      <c r="A1108" t="str">
        <f>"1104"</f>
        <v>1104</v>
      </c>
      <c r="B1108" t="str">
        <f t="shared" si="60"/>
        <v>1</v>
      </c>
      <c r="C1108" t="str">
        <f t="shared" si="62"/>
        <v>23</v>
      </c>
      <c r="D1108" t="str">
        <f>"15"</f>
        <v>15</v>
      </c>
      <c r="E1108" t="str">
        <f>"1-23-15"</f>
        <v>1-23-15</v>
      </c>
      <c r="F1108" t="s">
        <v>65</v>
      </c>
      <c r="G1108" t="s">
        <v>66</v>
      </c>
      <c r="H1108" t="s">
        <v>67</v>
      </c>
      <c r="S1108">
        <v>1</v>
      </c>
      <c r="T1108">
        <v>0</v>
      </c>
      <c r="U1108">
        <v>0</v>
      </c>
      <c r="V1108">
        <v>0</v>
      </c>
      <c r="W1108">
        <v>1</v>
      </c>
      <c r="X1108">
        <v>0</v>
      </c>
      <c r="Y1108">
        <v>1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1</v>
      </c>
      <c r="AF1108">
        <v>1</v>
      </c>
      <c r="AG1108">
        <v>1</v>
      </c>
      <c r="AH1108">
        <v>1</v>
      </c>
      <c r="AI1108">
        <v>1</v>
      </c>
      <c r="AJ1108">
        <v>1</v>
      </c>
      <c r="AK1108">
        <v>1</v>
      </c>
      <c r="AL1108">
        <v>1</v>
      </c>
      <c r="AM1108">
        <v>1</v>
      </c>
    </row>
    <row r="1109" spans="1:39" x14ac:dyDescent="0.2">
      <c r="A1109" t="str">
        <f>"1105"</f>
        <v>1105</v>
      </c>
      <c r="B1109" t="str">
        <f t="shared" si="60"/>
        <v>1</v>
      </c>
      <c r="C1109" t="str">
        <f t="shared" si="62"/>
        <v>23</v>
      </c>
      <c r="D1109" t="str">
        <f>"36"</f>
        <v>36</v>
      </c>
      <c r="E1109" t="str">
        <f>"1-23-36"</f>
        <v>1-23-36</v>
      </c>
      <c r="F1109" t="s">
        <v>65</v>
      </c>
      <c r="G1109" t="s">
        <v>66</v>
      </c>
      <c r="H1109" t="s">
        <v>67</v>
      </c>
      <c r="S1109">
        <v>1</v>
      </c>
      <c r="T1109">
        <v>0</v>
      </c>
      <c r="U1109">
        <v>0</v>
      </c>
      <c r="V1109">
        <v>0</v>
      </c>
      <c r="W1109">
        <v>1</v>
      </c>
      <c r="X1109">
        <v>0</v>
      </c>
      <c r="Y1109">
        <v>0</v>
      </c>
      <c r="Z1109">
        <v>1</v>
      </c>
      <c r="AA1109">
        <v>1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</row>
    <row r="1110" spans="1:39" x14ac:dyDescent="0.2">
      <c r="A1110" t="str">
        <f>"1106"</f>
        <v>1106</v>
      </c>
      <c r="B1110" t="str">
        <f t="shared" si="60"/>
        <v>1</v>
      </c>
      <c r="C1110" t="str">
        <f t="shared" si="62"/>
        <v>23</v>
      </c>
      <c r="D1110" t="str">
        <f>"35"</f>
        <v>35</v>
      </c>
      <c r="E1110" t="str">
        <f>"1-23-35"</f>
        <v>1-23-35</v>
      </c>
      <c r="F1110" t="s">
        <v>65</v>
      </c>
      <c r="G1110" t="s">
        <v>66</v>
      </c>
      <c r="H1110" t="s">
        <v>67</v>
      </c>
      <c r="S1110">
        <v>1</v>
      </c>
      <c r="T1110">
        <v>0</v>
      </c>
      <c r="U1110">
        <v>0</v>
      </c>
      <c r="V1110">
        <v>0</v>
      </c>
      <c r="W1110">
        <v>1</v>
      </c>
      <c r="X1110">
        <v>0</v>
      </c>
      <c r="Y1110">
        <v>0</v>
      </c>
      <c r="Z1110">
        <v>1</v>
      </c>
      <c r="AA1110">
        <v>1</v>
      </c>
      <c r="AB1110">
        <v>0</v>
      </c>
      <c r="AC1110">
        <v>0</v>
      </c>
      <c r="AD1110">
        <v>1</v>
      </c>
      <c r="AE1110">
        <v>1</v>
      </c>
      <c r="AF1110">
        <v>1</v>
      </c>
      <c r="AG1110">
        <v>1</v>
      </c>
      <c r="AH1110">
        <v>1</v>
      </c>
      <c r="AI1110">
        <v>1</v>
      </c>
      <c r="AJ1110">
        <v>1</v>
      </c>
      <c r="AK1110">
        <v>1</v>
      </c>
      <c r="AL1110">
        <v>1</v>
      </c>
      <c r="AM1110">
        <v>1</v>
      </c>
    </row>
    <row r="1111" spans="1:39" x14ac:dyDescent="0.2">
      <c r="A1111" t="str">
        <f>"1107"</f>
        <v>1107</v>
      </c>
      <c r="B1111" t="str">
        <f t="shared" si="60"/>
        <v>1</v>
      </c>
      <c r="C1111" t="str">
        <f t="shared" si="62"/>
        <v>23</v>
      </c>
      <c r="D1111" t="str">
        <f>"30"</f>
        <v>30</v>
      </c>
      <c r="E1111" t="str">
        <f>"1-23-30"</f>
        <v>1-23-30</v>
      </c>
      <c r="F1111" t="s">
        <v>65</v>
      </c>
      <c r="G1111" t="s">
        <v>66</v>
      </c>
      <c r="H1111" t="s">
        <v>67</v>
      </c>
      <c r="S1111">
        <v>1</v>
      </c>
      <c r="T1111">
        <v>0</v>
      </c>
      <c r="U1111">
        <v>0</v>
      </c>
      <c r="V1111">
        <v>0</v>
      </c>
      <c r="W1111">
        <v>0</v>
      </c>
      <c r="X1111">
        <v>1</v>
      </c>
      <c r="Y1111">
        <v>1</v>
      </c>
      <c r="Z1111">
        <v>0</v>
      </c>
      <c r="AA1111">
        <v>0</v>
      </c>
      <c r="AB1111">
        <v>1</v>
      </c>
      <c r="AC1111">
        <v>0</v>
      </c>
      <c r="AD1111">
        <v>1</v>
      </c>
      <c r="AE1111">
        <v>1</v>
      </c>
      <c r="AF1111">
        <v>1</v>
      </c>
      <c r="AG1111">
        <v>1</v>
      </c>
      <c r="AH1111">
        <v>1</v>
      </c>
      <c r="AI1111">
        <v>1</v>
      </c>
      <c r="AJ1111">
        <v>1</v>
      </c>
      <c r="AK1111">
        <v>1</v>
      </c>
      <c r="AL1111">
        <v>1</v>
      </c>
      <c r="AM1111">
        <v>1</v>
      </c>
    </row>
    <row r="1112" spans="1:39" x14ac:dyDescent="0.2">
      <c r="A1112" t="str">
        <f>"1108"</f>
        <v>1108</v>
      </c>
      <c r="B1112" t="str">
        <f t="shared" si="60"/>
        <v>1</v>
      </c>
      <c r="C1112" t="str">
        <f t="shared" si="62"/>
        <v>23</v>
      </c>
      <c r="D1112" t="str">
        <f>"16"</f>
        <v>16</v>
      </c>
      <c r="E1112" t="str">
        <f>"1-23-16"</f>
        <v>1-23-16</v>
      </c>
      <c r="F1112" t="s">
        <v>65</v>
      </c>
      <c r="G1112" t="s">
        <v>66</v>
      </c>
      <c r="H1112" t="s">
        <v>67</v>
      </c>
      <c r="S1112">
        <v>1</v>
      </c>
      <c r="T1112">
        <v>0</v>
      </c>
      <c r="U1112">
        <v>0</v>
      </c>
      <c r="V1112">
        <v>0</v>
      </c>
      <c r="W1112">
        <v>1</v>
      </c>
      <c r="X1112">
        <v>0</v>
      </c>
      <c r="Y1112">
        <v>1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1</v>
      </c>
      <c r="AF1112">
        <v>1</v>
      </c>
      <c r="AG1112">
        <v>1</v>
      </c>
      <c r="AH1112">
        <v>1</v>
      </c>
      <c r="AI1112">
        <v>1</v>
      </c>
      <c r="AJ1112">
        <v>1</v>
      </c>
      <c r="AK1112">
        <v>1</v>
      </c>
      <c r="AL1112">
        <v>1</v>
      </c>
      <c r="AM1112">
        <v>1</v>
      </c>
    </row>
    <row r="1113" spans="1:39" x14ac:dyDescent="0.2">
      <c r="A1113" t="str">
        <f>"1109"</f>
        <v>1109</v>
      </c>
      <c r="B1113" t="str">
        <f t="shared" si="60"/>
        <v>1</v>
      </c>
      <c r="C1113" t="str">
        <f t="shared" si="62"/>
        <v>23</v>
      </c>
      <c r="D1113" t="str">
        <f>"9"</f>
        <v>9</v>
      </c>
      <c r="E1113" t="str">
        <f>"1-23-9"</f>
        <v>1-23-9</v>
      </c>
      <c r="F1113" t="s">
        <v>65</v>
      </c>
      <c r="G1113" t="s">
        <v>66</v>
      </c>
      <c r="H1113" t="s">
        <v>67</v>
      </c>
      <c r="S1113">
        <v>0</v>
      </c>
      <c r="T1113">
        <v>1</v>
      </c>
      <c r="U1113">
        <v>0</v>
      </c>
      <c r="V1113">
        <v>0</v>
      </c>
      <c r="W1113">
        <v>1</v>
      </c>
      <c r="X1113">
        <v>0</v>
      </c>
      <c r="Y1113">
        <v>1</v>
      </c>
      <c r="Z1113">
        <v>0</v>
      </c>
      <c r="AA1113">
        <v>0</v>
      </c>
      <c r="AB1113">
        <v>1</v>
      </c>
      <c r="AC1113">
        <v>0</v>
      </c>
      <c r="AD1113">
        <v>1</v>
      </c>
      <c r="AE1113">
        <v>1</v>
      </c>
      <c r="AF1113">
        <v>1</v>
      </c>
      <c r="AG1113">
        <v>1</v>
      </c>
      <c r="AH1113">
        <v>1</v>
      </c>
      <c r="AI1113">
        <v>1</v>
      </c>
      <c r="AJ1113">
        <v>1</v>
      </c>
      <c r="AK1113">
        <v>1</v>
      </c>
      <c r="AL1113">
        <v>1</v>
      </c>
      <c r="AM1113">
        <v>1</v>
      </c>
    </row>
    <row r="1114" spans="1:39" x14ac:dyDescent="0.2">
      <c r="A1114" t="str">
        <f>"1110"</f>
        <v>1110</v>
      </c>
      <c r="B1114" t="str">
        <f t="shared" si="60"/>
        <v>1</v>
      </c>
      <c r="C1114" t="str">
        <f t="shared" si="62"/>
        <v>23</v>
      </c>
      <c r="D1114" t="str">
        <f>"50"</f>
        <v>50</v>
      </c>
      <c r="E1114" t="str">
        <f>"1-23-50"</f>
        <v>1-23-50</v>
      </c>
      <c r="F1114" t="s">
        <v>65</v>
      </c>
      <c r="G1114" t="s">
        <v>66</v>
      </c>
      <c r="H1114" t="s">
        <v>68</v>
      </c>
      <c r="I1114">
        <v>1</v>
      </c>
      <c r="J1114">
        <v>0</v>
      </c>
      <c r="K1114">
        <v>0</v>
      </c>
      <c r="L1114">
        <v>1</v>
      </c>
      <c r="M1114">
        <v>1</v>
      </c>
      <c r="N1114">
        <v>1</v>
      </c>
      <c r="O1114">
        <v>0</v>
      </c>
      <c r="P1114">
        <v>1</v>
      </c>
      <c r="Q1114">
        <v>1</v>
      </c>
      <c r="R1114">
        <v>1</v>
      </c>
    </row>
    <row r="1115" spans="1:39" x14ac:dyDescent="0.2">
      <c r="A1115" t="str">
        <f>"1111"</f>
        <v>1111</v>
      </c>
      <c r="B1115" t="str">
        <f t="shared" si="60"/>
        <v>1</v>
      </c>
      <c r="C1115" t="str">
        <f t="shared" si="62"/>
        <v>23</v>
      </c>
      <c r="D1115" t="str">
        <f>"49"</f>
        <v>49</v>
      </c>
      <c r="E1115" t="str">
        <f>"1-23-49"</f>
        <v>1-23-49</v>
      </c>
      <c r="F1115" t="s">
        <v>65</v>
      </c>
      <c r="G1115" t="s">
        <v>66</v>
      </c>
      <c r="H1115" t="s">
        <v>68</v>
      </c>
      <c r="I1115">
        <v>1</v>
      </c>
      <c r="J1115">
        <v>0</v>
      </c>
      <c r="K1115">
        <v>0</v>
      </c>
      <c r="L1115">
        <v>1</v>
      </c>
      <c r="M1115">
        <v>1</v>
      </c>
      <c r="N1115">
        <v>1</v>
      </c>
      <c r="O1115">
        <v>1</v>
      </c>
      <c r="P1115">
        <v>1</v>
      </c>
      <c r="Q1115">
        <v>1</v>
      </c>
      <c r="R1115">
        <v>1</v>
      </c>
    </row>
    <row r="1116" spans="1:39" x14ac:dyDescent="0.2">
      <c r="A1116" t="str">
        <f>"1112"</f>
        <v>1112</v>
      </c>
      <c r="B1116" t="str">
        <f t="shared" si="60"/>
        <v>1</v>
      </c>
      <c r="C1116" t="str">
        <f t="shared" si="62"/>
        <v>23</v>
      </c>
      <c r="D1116" t="str">
        <f>"33"</f>
        <v>33</v>
      </c>
      <c r="E1116" t="str">
        <f>"1-23-33"</f>
        <v>1-23-33</v>
      </c>
      <c r="F1116" t="s">
        <v>65</v>
      </c>
      <c r="G1116" t="s">
        <v>66</v>
      </c>
      <c r="H1116" t="s">
        <v>67</v>
      </c>
      <c r="S1116">
        <v>1</v>
      </c>
      <c r="T1116">
        <v>0</v>
      </c>
      <c r="U1116">
        <v>0</v>
      </c>
      <c r="V1116">
        <v>0</v>
      </c>
      <c r="W1116">
        <v>0</v>
      </c>
      <c r="X1116">
        <v>1</v>
      </c>
      <c r="Y1116">
        <v>1</v>
      </c>
      <c r="Z1116">
        <v>0</v>
      </c>
      <c r="AA1116">
        <v>0</v>
      </c>
      <c r="AB1116">
        <v>0</v>
      </c>
      <c r="AC1116">
        <v>1</v>
      </c>
      <c r="AD1116">
        <v>1</v>
      </c>
      <c r="AE1116">
        <v>1</v>
      </c>
      <c r="AF1116">
        <v>1</v>
      </c>
      <c r="AG1116">
        <v>1</v>
      </c>
      <c r="AH1116">
        <v>1</v>
      </c>
      <c r="AI1116">
        <v>1</v>
      </c>
      <c r="AJ1116">
        <v>1</v>
      </c>
      <c r="AK1116">
        <v>1</v>
      </c>
      <c r="AL1116">
        <v>1</v>
      </c>
      <c r="AM1116">
        <v>1</v>
      </c>
    </row>
    <row r="1117" spans="1:39" x14ac:dyDescent="0.2">
      <c r="A1117" t="str">
        <f>"1113"</f>
        <v>1113</v>
      </c>
      <c r="B1117" t="str">
        <f t="shared" si="60"/>
        <v>1</v>
      </c>
      <c r="C1117" t="str">
        <f t="shared" si="62"/>
        <v>23</v>
      </c>
      <c r="D1117" t="str">
        <f>"17"</f>
        <v>17</v>
      </c>
      <c r="E1117" t="str">
        <f>"1-23-17"</f>
        <v>1-23-17</v>
      </c>
      <c r="F1117" t="s">
        <v>65</v>
      </c>
      <c r="G1117" t="s">
        <v>66</v>
      </c>
      <c r="H1117" t="s">
        <v>67</v>
      </c>
      <c r="S1117">
        <v>1</v>
      </c>
      <c r="T1117">
        <v>0</v>
      </c>
      <c r="U1117">
        <v>0</v>
      </c>
      <c r="V1117">
        <v>0</v>
      </c>
      <c r="W1117">
        <v>1</v>
      </c>
      <c r="X1117">
        <v>0</v>
      </c>
      <c r="Y1117">
        <v>0</v>
      </c>
      <c r="Z1117">
        <v>1</v>
      </c>
      <c r="AA1117">
        <v>0</v>
      </c>
      <c r="AB1117">
        <v>0</v>
      </c>
      <c r="AC1117">
        <v>1</v>
      </c>
      <c r="AD1117">
        <v>1</v>
      </c>
      <c r="AE1117">
        <v>1</v>
      </c>
      <c r="AF1117">
        <v>1</v>
      </c>
      <c r="AG1117">
        <v>1</v>
      </c>
      <c r="AH1117">
        <v>1</v>
      </c>
      <c r="AI1117">
        <v>1</v>
      </c>
      <c r="AJ1117">
        <v>1</v>
      </c>
      <c r="AK1117">
        <v>1</v>
      </c>
      <c r="AL1117">
        <v>1</v>
      </c>
      <c r="AM1117">
        <v>1</v>
      </c>
    </row>
    <row r="1118" spans="1:39" x14ac:dyDescent="0.2">
      <c r="A1118" t="str">
        <f>"1114"</f>
        <v>1114</v>
      </c>
      <c r="B1118" t="str">
        <f t="shared" si="60"/>
        <v>1</v>
      </c>
      <c r="C1118" t="str">
        <f t="shared" si="62"/>
        <v>23</v>
      </c>
      <c r="D1118" t="str">
        <f>"2"</f>
        <v>2</v>
      </c>
      <c r="E1118" t="str">
        <f>"1-23-2"</f>
        <v>1-23-2</v>
      </c>
      <c r="F1118" t="s">
        <v>65</v>
      </c>
      <c r="G1118" t="s">
        <v>66</v>
      </c>
      <c r="H1118" t="s">
        <v>67</v>
      </c>
      <c r="S1118">
        <v>0</v>
      </c>
      <c r="T1118">
        <v>1</v>
      </c>
      <c r="U1118">
        <v>0</v>
      </c>
      <c r="V1118">
        <v>0</v>
      </c>
      <c r="W1118">
        <v>0</v>
      </c>
      <c r="X1118">
        <v>1</v>
      </c>
      <c r="Y1118">
        <v>0</v>
      </c>
      <c r="Z1118">
        <v>1</v>
      </c>
      <c r="AA1118">
        <v>0</v>
      </c>
      <c r="AB1118">
        <v>0</v>
      </c>
      <c r="AC1118">
        <v>1</v>
      </c>
      <c r="AD1118">
        <v>1</v>
      </c>
      <c r="AE1118">
        <v>1</v>
      </c>
      <c r="AF1118">
        <v>1</v>
      </c>
      <c r="AG1118">
        <v>1</v>
      </c>
      <c r="AH1118">
        <v>1</v>
      </c>
      <c r="AI1118">
        <v>1</v>
      </c>
      <c r="AJ1118">
        <v>1</v>
      </c>
      <c r="AK1118">
        <v>1</v>
      </c>
      <c r="AL1118">
        <v>1</v>
      </c>
      <c r="AM1118">
        <v>1</v>
      </c>
    </row>
    <row r="1119" spans="1:39" x14ac:dyDescent="0.2">
      <c r="A1119" t="str">
        <f>"1115"</f>
        <v>1115</v>
      </c>
      <c r="B1119" t="str">
        <f t="shared" si="60"/>
        <v>1</v>
      </c>
      <c r="C1119" t="str">
        <f t="shared" si="62"/>
        <v>23</v>
      </c>
      <c r="D1119" t="str">
        <f>"48"</f>
        <v>48</v>
      </c>
      <c r="E1119" t="str">
        <f>"1-23-48"</f>
        <v>1-23-48</v>
      </c>
      <c r="F1119" t="s">
        <v>65</v>
      </c>
      <c r="G1119" t="s">
        <v>66</v>
      </c>
      <c r="H1119" t="s">
        <v>68</v>
      </c>
      <c r="I1119">
        <v>1</v>
      </c>
      <c r="J1119">
        <v>0</v>
      </c>
      <c r="K1119">
        <v>0</v>
      </c>
      <c r="L1119">
        <v>1</v>
      </c>
      <c r="M1119">
        <v>1</v>
      </c>
      <c r="N1119">
        <v>1</v>
      </c>
      <c r="O1119">
        <v>1</v>
      </c>
      <c r="P1119">
        <v>1</v>
      </c>
      <c r="Q1119">
        <v>1</v>
      </c>
      <c r="R1119">
        <v>1</v>
      </c>
    </row>
    <row r="1120" spans="1:39" x14ac:dyDescent="0.2">
      <c r="A1120" t="str">
        <f>"1116"</f>
        <v>1116</v>
      </c>
      <c r="B1120" t="str">
        <f t="shared" si="60"/>
        <v>1</v>
      </c>
      <c r="C1120" t="str">
        <f t="shared" si="62"/>
        <v>23</v>
      </c>
      <c r="D1120" t="str">
        <f>"47"</f>
        <v>47</v>
      </c>
      <c r="E1120" t="str">
        <f>"1-23-47"</f>
        <v>1-23-47</v>
      </c>
      <c r="F1120" t="s">
        <v>65</v>
      </c>
      <c r="G1120" t="s">
        <v>66</v>
      </c>
      <c r="H1120" t="s">
        <v>68</v>
      </c>
      <c r="I1120">
        <v>0</v>
      </c>
      <c r="J1120">
        <v>1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39" x14ac:dyDescent="0.2">
      <c r="A1121" t="str">
        <f>"1117"</f>
        <v>1117</v>
      </c>
      <c r="B1121" t="str">
        <f t="shared" si="60"/>
        <v>1</v>
      </c>
      <c r="C1121" t="str">
        <f t="shared" si="62"/>
        <v>23</v>
      </c>
      <c r="D1121" t="str">
        <f>"34"</f>
        <v>34</v>
      </c>
      <c r="E1121" t="str">
        <f>"1-23-34"</f>
        <v>1-23-34</v>
      </c>
      <c r="F1121" t="s">
        <v>65</v>
      </c>
      <c r="G1121" t="s">
        <v>66</v>
      </c>
      <c r="H1121" t="s">
        <v>67</v>
      </c>
      <c r="S1121">
        <v>1</v>
      </c>
      <c r="T1121">
        <v>0</v>
      </c>
      <c r="U1121">
        <v>0</v>
      </c>
      <c r="V1121">
        <v>0</v>
      </c>
      <c r="W1121">
        <v>1</v>
      </c>
      <c r="X1121">
        <v>0</v>
      </c>
      <c r="Y1121">
        <v>1</v>
      </c>
      <c r="Z1121">
        <v>0</v>
      </c>
      <c r="AA1121">
        <v>0</v>
      </c>
      <c r="AB1121">
        <v>0</v>
      </c>
      <c r="AC1121">
        <v>1</v>
      </c>
      <c r="AD1121">
        <v>1</v>
      </c>
      <c r="AE1121">
        <v>1</v>
      </c>
      <c r="AF1121">
        <v>1</v>
      </c>
      <c r="AG1121">
        <v>0</v>
      </c>
      <c r="AH1121">
        <v>0</v>
      </c>
      <c r="AI1121">
        <v>1</v>
      </c>
      <c r="AJ1121">
        <v>1</v>
      </c>
      <c r="AK1121">
        <v>1</v>
      </c>
      <c r="AL1121">
        <v>1</v>
      </c>
      <c r="AM1121">
        <v>1</v>
      </c>
    </row>
    <row r="1122" spans="1:39" x14ac:dyDescent="0.2">
      <c r="A1122" t="str">
        <f>"1118"</f>
        <v>1118</v>
      </c>
      <c r="B1122" t="str">
        <f t="shared" si="60"/>
        <v>1</v>
      </c>
      <c r="C1122" t="str">
        <f t="shared" si="62"/>
        <v>23</v>
      </c>
      <c r="D1122" t="str">
        <f>"18"</f>
        <v>18</v>
      </c>
      <c r="E1122" t="str">
        <f>"1-23-18"</f>
        <v>1-23-18</v>
      </c>
      <c r="F1122" t="s">
        <v>65</v>
      </c>
      <c r="G1122" t="s">
        <v>66</v>
      </c>
      <c r="H1122" t="s">
        <v>67</v>
      </c>
      <c r="S1122">
        <v>1</v>
      </c>
      <c r="T1122">
        <v>0</v>
      </c>
      <c r="U1122">
        <v>0</v>
      </c>
      <c r="V1122">
        <v>0</v>
      </c>
      <c r="W1122">
        <v>1</v>
      </c>
      <c r="X1122">
        <v>0</v>
      </c>
      <c r="Y1122">
        <v>1</v>
      </c>
      <c r="Z1122">
        <v>0</v>
      </c>
      <c r="AA1122">
        <v>0</v>
      </c>
      <c r="AB1122">
        <v>1</v>
      </c>
      <c r="AC1122">
        <v>0</v>
      </c>
      <c r="AD1122">
        <v>1</v>
      </c>
      <c r="AE1122">
        <v>1</v>
      </c>
      <c r="AF1122">
        <v>1</v>
      </c>
      <c r="AG1122">
        <v>1</v>
      </c>
      <c r="AH1122">
        <v>1</v>
      </c>
      <c r="AI1122">
        <v>1</v>
      </c>
      <c r="AJ1122">
        <v>1</v>
      </c>
      <c r="AK1122">
        <v>1</v>
      </c>
      <c r="AL1122">
        <v>1</v>
      </c>
      <c r="AM1122">
        <v>1</v>
      </c>
    </row>
    <row r="1123" spans="1:39" x14ac:dyDescent="0.2">
      <c r="A1123" t="str">
        <f>"1119"</f>
        <v>1119</v>
      </c>
      <c r="B1123" t="str">
        <f t="shared" si="60"/>
        <v>1</v>
      </c>
      <c r="C1123" t="str">
        <f t="shared" si="62"/>
        <v>23</v>
      </c>
      <c r="D1123" t="str">
        <f>"11"</f>
        <v>11</v>
      </c>
      <c r="E1123" t="str">
        <f>"1-23-11"</f>
        <v>1-23-11</v>
      </c>
      <c r="F1123" t="s">
        <v>65</v>
      </c>
      <c r="G1123" t="s">
        <v>66</v>
      </c>
      <c r="H1123" t="s">
        <v>67</v>
      </c>
      <c r="S1123">
        <v>0</v>
      </c>
      <c r="T1123">
        <v>1</v>
      </c>
      <c r="U1123">
        <v>0</v>
      </c>
      <c r="V1123">
        <v>0</v>
      </c>
      <c r="W1123">
        <v>1</v>
      </c>
      <c r="X1123">
        <v>0</v>
      </c>
      <c r="Y1123">
        <v>0</v>
      </c>
      <c r="Z1123">
        <v>1</v>
      </c>
      <c r="AA1123">
        <v>0</v>
      </c>
      <c r="AB1123">
        <v>0</v>
      </c>
      <c r="AC1123">
        <v>1</v>
      </c>
      <c r="AD1123">
        <v>1</v>
      </c>
      <c r="AE1123">
        <v>1</v>
      </c>
      <c r="AF1123">
        <v>1</v>
      </c>
      <c r="AG1123">
        <v>1</v>
      </c>
      <c r="AH1123">
        <v>1</v>
      </c>
      <c r="AI1123">
        <v>1</v>
      </c>
      <c r="AJ1123">
        <v>1</v>
      </c>
      <c r="AK1123">
        <v>1</v>
      </c>
      <c r="AL1123">
        <v>1</v>
      </c>
      <c r="AM1123">
        <v>1</v>
      </c>
    </row>
    <row r="1124" spans="1:39" x14ac:dyDescent="0.2">
      <c r="A1124" t="str">
        <f>"1120"</f>
        <v>1120</v>
      </c>
      <c r="B1124" t="str">
        <f t="shared" si="60"/>
        <v>1</v>
      </c>
      <c r="C1124" t="str">
        <f t="shared" si="62"/>
        <v>23</v>
      </c>
      <c r="D1124" t="str">
        <f>"37"</f>
        <v>37</v>
      </c>
      <c r="E1124" t="str">
        <f>"1-23-37"</f>
        <v>1-23-37</v>
      </c>
      <c r="F1124" t="s">
        <v>65</v>
      </c>
      <c r="G1124" t="s">
        <v>66</v>
      </c>
      <c r="H1124" t="s">
        <v>68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1</v>
      </c>
      <c r="O1124">
        <v>1</v>
      </c>
      <c r="P1124">
        <v>1</v>
      </c>
      <c r="Q1124">
        <v>1</v>
      </c>
      <c r="R1124">
        <v>1</v>
      </c>
    </row>
    <row r="1125" spans="1:39" x14ac:dyDescent="0.2">
      <c r="A1125" t="str">
        <f>"1121"</f>
        <v>1121</v>
      </c>
      <c r="B1125" t="str">
        <f t="shared" si="60"/>
        <v>1</v>
      </c>
      <c r="C1125" t="str">
        <f t="shared" si="62"/>
        <v>23</v>
      </c>
      <c r="D1125" t="str">
        <f>"19"</f>
        <v>19</v>
      </c>
      <c r="E1125" t="str">
        <f>"1-23-19"</f>
        <v>1-23-19</v>
      </c>
      <c r="F1125" t="s">
        <v>65</v>
      </c>
      <c r="G1125" t="s">
        <v>66</v>
      </c>
      <c r="H1125" t="s">
        <v>67</v>
      </c>
      <c r="S1125">
        <v>0</v>
      </c>
      <c r="T1125">
        <v>1</v>
      </c>
      <c r="U1125">
        <v>0</v>
      </c>
      <c r="V1125">
        <v>0</v>
      </c>
      <c r="W1125">
        <v>0</v>
      </c>
      <c r="X1125">
        <v>1</v>
      </c>
      <c r="Y1125">
        <v>1</v>
      </c>
      <c r="Z1125">
        <v>0</v>
      </c>
      <c r="AA1125">
        <v>0</v>
      </c>
      <c r="AB1125">
        <v>1</v>
      </c>
      <c r="AC1125">
        <v>0</v>
      </c>
      <c r="AD1125">
        <v>1</v>
      </c>
      <c r="AE1125">
        <v>1</v>
      </c>
      <c r="AF1125">
        <v>1</v>
      </c>
      <c r="AG1125">
        <v>1</v>
      </c>
      <c r="AH1125">
        <v>1</v>
      </c>
      <c r="AI1125">
        <v>1</v>
      </c>
      <c r="AJ1125">
        <v>1</v>
      </c>
      <c r="AK1125">
        <v>1</v>
      </c>
      <c r="AL1125">
        <v>1</v>
      </c>
      <c r="AM1125">
        <v>1</v>
      </c>
    </row>
    <row r="1126" spans="1:39" x14ac:dyDescent="0.2">
      <c r="A1126" t="str">
        <f>"1122"</f>
        <v>1122</v>
      </c>
      <c r="B1126" t="str">
        <f t="shared" si="60"/>
        <v>1</v>
      </c>
      <c r="C1126" t="str">
        <f t="shared" si="62"/>
        <v>23</v>
      </c>
      <c r="D1126" t="str">
        <f>"7"</f>
        <v>7</v>
      </c>
      <c r="E1126" t="str">
        <f>"1-23-7"</f>
        <v>1-23-7</v>
      </c>
      <c r="F1126" t="s">
        <v>65</v>
      </c>
      <c r="G1126" t="s">
        <v>66</v>
      </c>
      <c r="H1126" t="s">
        <v>68</v>
      </c>
      <c r="I1126">
        <v>1</v>
      </c>
      <c r="J1126">
        <v>1</v>
      </c>
      <c r="K1126">
        <v>0</v>
      </c>
      <c r="L1126">
        <v>0</v>
      </c>
      <c r="M1126">
        <v>1</v>
      </c>
      <c r="N1126">
        <v>1</v>
      </c>
      <c r="O1126">
        <v>1</v>
      </c>
      <c r="P1126">
        <v>1</v>
      </c>
      <c r="Q1126">
        <v>1</v>
      </c>
      <c r="R1126">
        <v>1</v>
      </c>
    </row>
    <row r="1127" spans="1:39" x14ac:dyDescent="0.2">
      <c r="A1127" t="str">
        <f>"1123"</f>
        <v>1123</v>
      </c>
      <c r="B1127" t="str">
        <f t="shared" si="60"/>
        <v>1</v>
      </c>
      <c r="C1127" t="str">
        <f t="shared" si="62"/>
        <v>23</v>
      </c>
      <c r="D1127" t="str">
        <f>"39"</f>
        <v>39</v>
      </c>
      <c r="E1127" t="str">
        <f>"1-23-39"</f>
        <v>1-23-39</v>
      </c>
      <c r="F1127" t="s">
        <v>65</v>
      </c>
      <c r="G1127" t="s">
        <v>66</v>
      </c>
      <c r="H1127" t="s">
        <v>68</v>
      </c>
      <c r="I1127">
        <v>1</v>
      </c>
      <c r="J1127">
        <v>0</v>
      </c>
      <c r="K1127">
        <v>0</v>
      </c>
      <c r="L1127">
        <v>1</v>
      </c>
      <c r="M1127">
        <v>1</v>
      </c>
      <c r="N1127">
        <v>1</v>
      </c>
      <c r="O1127">
        <v>1</v>
      </c>
      <c r="P1127">
        <v>1</v>
      </c>
      <c r="Q1127">
        <v>1</v>
      </c>
      <c r="R1127">
        <v>1</v>
      </c>
    </row>
    <row r="1128" spans="1:39" x14ac:dyDescent="0.2">
      <c r="A1128" t="str">
        <f>"1124"</f>
        <v>1124</v>
      </c>
      <c r="B1128" t="str">
        <f t="shared" si="60"/>
        <v>1</v>
      </c>
      <c r="C1128" t="str">
        <f t="shared" si="62"/>
        <v>23</v>
      </c>
      <c r="D1128" t="str">
        <f>"20"</f>
        <v>20</v>
      </c>
      <c r="E1128" t="str">
        <f>"1-23-20"</f>
        <v>1-23-20</v>
      </c>
      <c r="F1128" t="s">
        <v>65</v>
      </c>
      <c r="G1128" t="s">
        <v>66</v>
      </c>
      <c r="H1128" t="s">
        <v>67</v>
      </c>
      <c r="S1128">
        <v>0</v>
      </c>
      <c r="T1128">
        <v>1</v>
      </c>
      <c r="U1128">
        <v>0</v>
      </c>
      <c r="V1128">
        <v>0</v>
      </c>
      <c r="W1128">
        <v>0</v>
      </c>
      <c r="X1128">
        <v>1</v>
      </c>
      <c r="Y1128">
        <v>1</v>
      </c>
      <c r="Z1128">
        <v>0</v>
      </c>
      <c r="AA1128">
        <v>0</v>
      </c>
      <c r="AB1128">
        <v>0</v>
      </c>
      <c r="AC1128">
        <v>1</v>
      </c>
      <c r="AD1128">
        <v>1</v>
      </c>
      <c r="AE1128">
        <v>1</v>
      </c>
      <c r="AF1128">
        <v>1</v>
      </c>
      <c r="AG1128">
        <v>1</v>
      </c>
      <c r="AH1128">
        <v>1</v>
      </c>
      <c r="AI1128">
        <v>1</v>
      </c>
      <c r="AJ1128">
        <v>1</v>
      </c>
      <c r="AK1128">
        <v>1</v>
      </c>
      <c r="AL1128">
        <v>1</v>
      </c>
      <c r="AM1128">
        <v>1</v>
      </c>
    </row>
    <row r="1129" spans="1:39" x14ac:dyDescent="0.2">
      <c r="A1129" t="str">
        <f>"1125"</f>
        <v>1125</v>
      </c>
      <c r="B1129" t="str">
        <f t="shared" si="60"/>
        <v>1</v>
      </c>
      <c r="C1129" t="str">
        <f t="shared" si="62"/>
        <v>23</v>
      </c>
      <c r="D1129" t="str">
        <f>"8"</f>
        <v>8</v>
      </c>
      <c r="E1129" t="str">
        <f>"1-23-8"</f>
        <v>1-23-8</v>
      </c>
      <c r="F1129" t="s">
        <v>65</v>
      </c>
      <c r="G1129" t="s">
        <v>66</v>
      </c>
      <c r="H1129" t="s">
        <v>67</v>
      </c>
      <c r="S1129">
        <v>1</v>
      </c>
      <c r="T1129">
        <v>0</v>
      </c>
      <c r="U1129">
        <v>0</v>
      </c>
      <c r="V1129">
        <v>0</v>
      </c>
      <c r="W1129">
        <v>1</v>
      </c>
      <c r="X1129">
        <v>0</v>
      </c>
      <c r="Y1129">
        <v>1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1</v>
      </c>
      <c r="AF1129">
        <v>1</v>
      </c>
      <c r="AG1129">
        <v>1</v>
      </c>
      <c r="AH1129">
        <v>1</v>
      </c>
      <c r="AI1129">
        <v>1</v>
      </c>
      <c r="AJ1129">
        <v>1</v>
      </c>
      <c r="AK1129">
        <v>1</v>
      </c>
      <c r="AL1129">
        <v>1</v>
      </c>
      <c r="AM1129">
        <v>1</v>
      </c>
    </row>
    <row r="1130" spans="1:39" x14ac:dyDescent="0.2">
      <c r="A1130" t="str">
        <f>"1126"</f>
        <v>1126</v>
      </c>
      <c r="B1130" t="str">
        <f t="shared" si="60"/>
        <v>1</v>
      </c>
      <c r="C1130" t="str">
        <f t="shared" si="62"/>
        <v>23</v>
      </c>
      <c r="D1130" t="str">
        <f>"40"</f>
        <v>40</v>
      </c>
      <c r="E1130" t="str">
        <f>"1-23-40"</f>
        <v>1-23-40</v>
      </c>
      <c r="F1130" t="s">
        <v>65</v>
      </c>
      <c r="G1130" t="s">
        <v>66</v>
      </c>
      <c r="H1130" t="s">
        <v>68</v>
      </c>
      <c r="I1130">
        <v>1</v>
      </c>
      <c r="J1130">
        <v>0</v>
      </c>
      <c r="K1130">
        <v>0</v>
      </c>
      <c r="L1130">
        <v>1</v>
      </c>
      <c r="M1130">
        <v>1</v>
      </c>
      <c r="N1130">
        <v>1</v>
      </c>
      <c r="O1130">
        <v>1</v>
      </c>
      <c r="P1130">
        <v>1</v>
      </c>
      <c r="Q1130">
        <v>1</v>
      </c>
      <c r="R1130">
        <v>1</v>
      </c>
    </row>
    <row r="1131" spans="1:39" x14ac:dyDescent="0.2">
      <c r="A1131" t="str">
        <f>"1127"</f>
        <v>1127</v>
      </c>
      <c r="B1131" t="str">
        <f t="shared" si="60"/>
        <v>1</v>
      </c>
      <c r="C1131" t="str">
        <f t="shared" si="62"/>
        <v>23</v>
      </c>
      <c r="D1131" t="str">
        <f>"21"</f>
        <v>21</v>
      </c>
      <c r="E1131" t="str">
        <f>"1-23-21"</f>
        <v>1-23-21</v>
      </c>
      <c r="F1131" t="s">
        <v>65</v>
      </c>
      <c r="G1131" t="s">
        <v>66</v>
      </c>
      <c r="H1131" t="s">
        <v>67</v>
      </c>
      <c r="S1131">
        <v>1</v>
      </c>
      <c r="T1131">
        <v>0</v>
      </c>
      <c r="U1131">
        <v>0</v>
      </c>
      <c r="V1131">
        <v>0</v>
      </c>
      <c r="W1131">
        <v>0</v>
      </c>
      <c r="X1131">
        <v>1</v>
      </c>
      <c r="Y1131">
        <v>1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1</v>
      </c>
      <c r="AF1131">
        <v>1</v>
      </c>
      <c r="AG1131">
        <v>1</v>
      </c>
      <c r="AH1131">
        <v>1</v>
      </c>
      <c r="AI1131">
        <v>1</v>
      </c>
      <c r="AJ1131">
        <v>1</v>
      </c>
      <c r="AK1131">
        <v>1</v>
      </c>
      <c r="AL1131">
        <v>1</v>
      </c>
      <c r="AM1131">
        <v>1</v>
      </c>
    </row>
    <row r="1132" spans="1:39" x14ac:dyDescent="0.2">
      <c r="A1132" t="str">
        <f>"1128"</f>
        <v>1128</v>
      </c>
      <c r="B1132" t="str">
        <f t="shared" si="60"/>
        <v>1</v>
      </c>
      <c r="C1132" t="str">
        <f t="shared" si="62"/>
        <v>23</v>
      </c>
      <c r="D1132" t="str">
        <f>"3"</f>
        <v>3</v>
      </c>
      <c r="E1132" t="str">
        <f>"1-23-3"</f>
        <v>1-23-3</v>
      </c>
      <c r="F1132" t="s">
        <v>65</v>
      </c>
      <c r="G1132" t="s">
        <v>66</v>
      </c>
      <c r="H1132" t="s">
        <v>67</v>
      </c>
      <c r="S1132">
        <v>1</v>
      </c>
      <c r="T1132">
        <v>0</v>
      </c>
      <c r="U1132">
        <v>0</v>
      </c>
      <c r="V1132">
        <v>0</v>
      </c>
      <c r="W1132">
        <v>1</v>
      </c>
      <c r="X1132">
        <v>0</v>
      </c>
      <c r="Y1132">
        <v>0</v>
      </c>
      <c r="Z1132">
        <v>1</v>
      </c>
      <c r="AA1132">
        <v>0</v>
      </c>
      <c r="AB1132">
        <v>0</v>
      </c>
      <c r="AC1132">
        <v>1</v>
      </c>
      <c r="AD1132">
        <v>1</v>
      </c>
      <c r="AE1132">
        <v>1</v>
      </c>
      <c r="AF1132">
        <v>1</v>
      </c>
      <c r="AG1132">
        <v>1</v>
      </c>
      <c r="AH1132">
        <v>1</v>
      </c>
      <c r="AI1132">
        <v>1</v>
      </c>
      <c r="AJ1132">
        <v>1</v>
      </c>
      <c r="AK1132">
        <v>1</v>
      </c>
      <c r="AL1132">
        <v>1</v>
      </c>
      <c r="AM1132">
        <v>1</v>
      </c>
    </row>
    <row r="1133" spans="1:39" x14ac:dyDescent="0.2">
      <c r="A1133" t="str">
        <f>"1129"</f>
        <v>1129</v>
      </c>
      <c r="B1133" t="str">
        <f t="shared" si="60"/>
        <v>1</v>
      </c>
      <c r="C1133" t="str">
        <f t="shared" si="62"/>
        <v>23</v>
      </c>
      <c r="D1133" t="str">
        <f>"38"</f>
        <v>38</v>
      </c>
      <c r="E1133" t="str">
        <f>"1-23-38"</f>
        <v>1-23-38</v>
      </c>
      <c r="F1133" t="s">
        <v>65</v>
      </c>
      <c r="G1133" t="s">
        <v>66</v>
      </c>
      <c r="H1133" t="s">
        <v>68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</v>
      </c>
      <c r="P1133">
        <v>1</v>
      </c>
      <c r="Q1133">
        <v>1</v>
      </c>
      <c r="R1133">
        <v>1</v>
      </c>
    </row>
    <row r="1134" spans="1:39" x14ac:dyDescent="0.2">
      <c r="A1134" t="str">
        <f>"1130"</f>
        <v>1130</v>
      </c>
      <c r="B1134" t="str">
        <f t="shared" si="60"/>
        <v>1</v>
      </c>
      <c r="C1134" t="str">
        <f t="shared" si="62"/>
        <v>23</v>
      </c>
      <c r="D1134" t="str">
        <f>"22"</f>
        <v>22</v>
      </c>
      <c r="E1134" t="str">
        <f>"1-23-22"</f>
        <v>1-23-22</v>
      </c>
      <c r="F1134" t="s">
        <v>65</v>
      </c>
      <c r="G1134" t="s">
        <v>66</v>
      </c>
      <c r="H1134" t="s">
        <v>67</v>
      </c>
      <c r="S1134">
        <v>1</v>
      </c>
      <c r="T1134">
        <v>0</v>
      </c>
      <c r="U1134">
        <v>0</v>
      </c>
      <c r="V1134">
        <v>0</v>
      </c>
      <c r="W1134">
        <v>1</v>
      </c>
      <c r="X1134">
        <v>0</v>
      </c>
      <c r="Y1134">
        <v>1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1</v>
      </c>
      <c r="AF1134">
        <v>1</v>
      </c>
      <c r="AG1134">
        <v>1</v>
      </c>
      <c r="AH1134">
        <v>0</v>
      </c>
      <c r="AI1134">
        <v>1</v>
      </c>
      <c r="AJ1134">
        <v>1</v>
      </c>
      <c r="AK1134">
        <v>1</v>
      </c>
      <c r="AL1134">
        <v>1</v>
      </c>
      <c r="AM1134">
        <v>1</v>
      </c>
    </row>
    <row r="1135" spans="1:39" x14ac:dyDescent="0.2">
      <c r="A1135" t="str">
        <f>"1131"</f>
        <v>1131</v>
      </c>
      <c r="B1135" t="str">
        <f t="shared" si="60"/>
        <v>1</v>
      </c>
      <c r="C1135" t="str">
        <f t="shared" si="62"/>
        <v>23</v>
      </c>
      <c r="D1135" t="str">
        <f>"10"</f>
        <v>10</v>
      </c>
      <c r="E1135" t="str">
        <f>"1-23-10"</f>
        <v>1-23-10</v>
      </c>
      <c r="F1135" t="s">
        <v>65</v>
      </c>
      <c r="G1135" t="s">
        <v>66</v>
      </c>
      <c r="H1135" t="s">
        <v>67</v>
      </c>
      <c r="S1135">
        <v>0</v>
      </c>
      <c r="T1135">
        <v>1</v>
      </c>
      <c r="U1135">
        <v>0</v>
      </c>
      <c r="V1135">
        <v>0</v>
      </c>
      <c r="W1135">
        <v>1</v>
      </c>
      <c r="X1135">
        <v>0</v>
      </c>
      <c r="Y1135">
        <v>1</v>
      </c>
      <c r="Z1135">
        <v>0</v>
      </c>
      <c r="AA1135">
        <v>0</v>
      </c>
      <c r="AB1135">
        <v>1</v>
      </c>
      <c r="AC1135">
        <v>0</v>
      </c>
      <c r="AD1135">
        <v>1</v>
      </c>
      <c r="AE1135">
        <v>1</v>
      </c>
      <c r="AF1135">
        <v>1</v>
      </c>
      <c r="AG1135">
        <v>1</v>
      </c>
      <c r="AH1135">
        <v>1</v>
      </c>
      <c r="AI1135">
        <v>1</v>
      </c>
      <c r="AJ1135">
        <v>1</v>
      </c>
      <c r="AK1135">
        <v>1</v>
      </c>
      <c r="AL1135">
        <v>1</v>
      </c>
      <c r="AM1135">
        <v>1</v>
      </c>
    </row>
    <row r="1136" spans="1:39" x14ac:dyDescent="0.2">
      <c r="A1136" t="str">
        <f>"1132"</f>
        <v>1132</v>
      </c>
      <c r="B1136" t="str">
        <f t="shared" si="60"/>
        <v>1</v>
      </c>
      <c r="C1136" t="str">
        <f t="shared" si="62"/>
        <v>23</v>
      </c>
      <c r="D1136" t="str">
        <f>"45"</f>
        <v>45</v>
      </c>
      <c r="E1136" t="str">
        <f>"1-23-45"</f>
        <v>1-23-45</v>
      </c>
      <c r="F1136" t="s">
        <v>65</v>
      </c>
      <c r="G1136" t="s">
        <v>66</v>
      </c>
      <c r="H1136" t="s">
        <v>68</v>
      </c>
      <c r="I1136">
        <v>1</v>
      </c>
      <c r="J1136">
        <v>0</v>
      </c>
      <c r="K1136">
        <v>0</v>
      </c>
      <c r="L1136">
        <v>1</v>
      </c>
      <c r="M1136">
        <v>1</v>
      </c>
      <c r="N1136">
        <v>1</v>
      </c>
      <c r="O1136">
        <v>1</v>
      </c>
      <c r="P1136">
        <v>1</v>
      </c>
      <c r="Q1136">
        <v>1</v>
      </c>
      <c r="R1136">
        <v>1</v>
      </c>
    </row>
    <row r="1137" spans="1:39" x14ac:dyDescent="0.2">
      <c r="A1137" t="str">
        <f>"1133"</f>
        <v>1133</v>
      </c>
      <c r="B1137" t="str">
        <f t="shared" si="60"/>
        <v>1</v>
      </c>
      <c r="C1137" t="str">
        <f t="shared" ref="C1137:C1154" si="63">"23"</f>
        <v>23</v>
      </c>
      <c r="D1137" t="str">
        <f>"24"</f>
        <v>24</v>
      </c>
      <c r="E1137" t="str">
        <f>"1-23-24"</f>
        <v>1-23-24</v>
      </c>
      <c r="F1137" t="s">
        <v>65</v>
      </c>
      <c r="G1137" t="s">
        <v>66</v>
      </c>
      <c r="H1137" t="s">
        <v>67</v>
      </c>
      <c r="S1137">
        <v>0</v>
      </c>
      <c r="T1137">
        <v>1</v>
      </c>
      <c r="U1137">
        <v>0</v>
      </c>
      <c r="V1137">
        <v>0</v>
      </c>
      <c r="W1137">
        <v>1</v>
      </c>
      <c r="X1137">
        <v>0</v>
      </c>
      <c r="Y1137">
        <v>0</v>
      </c>
      <c r="Z1137">
        <v>1</v>
      </c>
      <c r="AA1137">
        <v>0</v>
      </c>
      <c r="AB1137">
        <v>0</v>
      </c>
      <c r="AC1137">
        <v>1</v>
      </c>
      <c r="AD1137">
        <v>1</v>
      </c>
      <c r="AE1137">
        <v>1</v>
      </c>
      <c r="AF1137">
        <v>1</v>
      </c>
      <c r="AG1137">
        <v>1</v>
      </c>
      <c r="AH1137">
        <v>1</v>
      </c>
      <c r="AI1137">
        <v>1</v>
      </c>
      <c r="AJ1137">
        <v>1</v>
      </c>
      <c r="AK1137">
        <v>1</v>
      </c>
      <c r="AL1137">
        <v>1</v>
      </c>
      <c r="AM1137">
        <v>1</v>
      </c>
    </row>
    <row r="1138" spans="1:39" x14ac:dyDescent="0.2">
      <c r="A1138" t="str">
        <f>"1134"</f>
        <v>1134</v>
      </c>
      <c r="B1138" t="str">
        <f t="shared" si="60"/>
        <v>1</v>
      </c>
      <c r="C1138" t="str">
        <f t="shared" si="63"/>
        <v>23</v>
      </c>
      <c r="D1138" t="str">
        <f>"5"</f>
        <v>5</v>
      </c>
      <c r="E1138" t="str">
        <f>"1-23-5"</f>
        <v>1-23-5</v>
      </c>
      <c r="F1138" t="s">
        <v>65</v>
      </c>
      <c r="G1138" t="s">
        <v>66</v>
      </c>
      <c r="H1138" t="s">
        <v>67</v>
      </c>
      <c r="S1138">
        <v>0</v>
      </c>
      <c r="T1138">
        <v>1</v>
      </c>
      <c r="U1138">
        <v>0</v>
      </c>
      <c r="V1138">
        <v>0</v>
      </c>
      <c r="W1138">
        <v>1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1</v>
      </c>
      <c r="AF1138">
        <v>1</v>
      </c>
      <c r="AG1138">
        <v>1</v>
      </c>
      <c r="AH1138">
        <v>1</v>
      </c>
      <c r="AI1138">
        <v>1</v>
      </c>
      <c r="AJ1138">
        <v>1</v>
      </c>
      <c r="AK1138">
        <v>1</v>
      </c>
      <c r="AL1138">
        <v>1</v>
      </c>
      <c r="AM1138">
        <v>0</v>
      </c>
    </row>
    <row r="1139" spans="1:39" x14ac:dyDescent="0.2">
      <c r="A1139" t="str">
        <f>"1135"</f>
        <v>1135</v>
      </c>
      <c r="B1139" t="str">
        <f t="shared" si="60"/>
        <v>1</v>
      </c>
      <c r="C1139" t="str">
        <f t="shared" si="63"/>
        <v>23</v>
      </c>
      <c r="D1139" t="str">
        <f>"46"</f>
        <v>46</v>
      </c>
      <c r="E1139" t="str">
        <f>"1-23-46"</f>
        <v>1-23-46</v>
      </c>
      <c r="F1139" t="s">
        <v>65</v>
      </c>
      <c r="G1139" t="s">
        <v>66</v>
      </c>
      <c r="H1139" t="s">
        <v>68</v>
      </c>
      <c r="I1139">
        <v>1</v>
      </c>
      <c r="J1139">
        <v>0</v>
      </c>
      <c r="K1139">
        <v>1</v>
      </c>
      <c r="L1139">
        <v>0</v>
      </c>
      <c r="M1139">
        <v>1</v>
      </c>
      <c r="N1139">
        <v>1</v>
      </c>
      <c r="O1139">
        <v>1</v>
      </c>
      <c r="P1139">
        <v>1</v>
      </c>
      <c r="Q1139">
        <v>1</v>
      </c>
      <c r="R1139">
        <v>1</v>
      </c>
    </row>
    <row r="1140" spans="1:39" x14ac:dyDescent="0.2">
      <c r="A1140" t="str">
        <f>"1136"</f>
        <v>1136</v>
      </c>
      <c r="B1140" t="str">
        <f t="shared" si="60"/>
        <v>1</v>
      </c>
      <c r="C1140" t="str">
        <f t="shared" si="63"/>
        <v>23</v>
      </c>
      <c r="D1140" t="str">
        <f>"25"</f>
        <v>25</v>
      </c>
      <c r="E1140" t="str">
        <f>"1-23-25"</f>
        <v>1-23-25</v>
      </c>
      <c r="F1140" t="s">
        <v>65</v>
      </c>
      <c r="G1140" t="s">
        <v>66</v>
      </c>
      <c r="H1140" t="s">
        <v>67</v>
      </c>
      <c r="S1140">
        <v>1</v>
      </c>
      <c r="T1140">
        <v>0</v>
      </c>
      <c r="U1140">
        <v>0</v>
      </c>
      <c r="V1140">
        <v>0</v>
      </c>
      <c r="W1140">
        <v>0</v>
      </c>
      <c r="X1140">
        <v>1</v>
      </c>
      <c r="Y1140">
        <v>0</v>
      </c>
      <c r="Z1140">
        <v>1</v>
      </c>
      <c r="AA1140">
        <v>0</v>
      </c>
      <c r="AB1140">
        <v>0</v>
      </c>
      <c r="AC1140">
        <v>1</v>
      </c>
      <c r="AD1140">
        <v>1</v>
      </c>
      <c r="AE1140">
        <v>1</v>
      </c>
      <c r="AF1140">
        <v>1</v>
      </c>
      <c r="AG1140">
        <v>1</v>
      </c>
      <c r="AH1140">
        <v>1</v>
      </c>
      <c r="AI1140">
        <v>1</v>
      </c>
      <c r="AJ1140">
        <v>1</v>
      </c>
      <c r="AK1140">
        <v>1</v>
      </c>
      <c r="AL1140">
        <v>1</v>
      </c>
      <c r="AM1140">
        <v>1</v>
      </c>
    </row>
    <row r="1141" spans="1:39" x14ac:dyDescent="0.2">
      <c r="A1141" t="str">
        <f>"1137"</f>
        <v>1137</v>
      </c>
      <c r="B1141" t="str">
        <f t="shared" si="60"/>
        <v>1</v>
      </c>
      <c r="C1141" t="str">
        <f t="shared" si="63"/>
        <v>23</v>
      </c>
      <c r="D1141" t="str">
        <f>"13"</f>
        <v>13</v>
      </c>
      <c r="E1141" t="str">
        <f>"1-23-13"</f>
        <v>1-23-13</v>
      </c>
      <c r="F1141" t="s">
        <v>65</v>
      </c>
      <c r="G1141" t="s">
        <v>66</v>
      </c>
      <c r="H1141" t="s">
        <v>67</v>
      </c>
      <c r="S1141">
        <v>1</v>
      </c>
      <c r="T1141">
        <v>0</v>
      </c>
      <c r="U1141">
        <v>0</v>
      </c>
      <c r="V1141">
        <v>0</v>
      </c>
      <c r="W1141">
        <v>1</v>
      </c>
      <c r="X1141">
        <v>0</v>
      </c>
      <c r="Y1141">
        <v>0</v>
      </c>
      <c r="Z1141">
        <v>1</v>
      </c>
      <c r="AA1141">
        <v>1</v>
      </c>
      <c r="AB1141">
        <v>0</v>
      </c>
      <c r="AC1141">
        <v>0</v>
      </c>
      <c r="AD1141">
        <v>1</v>
      </c>
      <c r="AE1141">
        <v>1</v>
      </c>
      <c r="AF1141">
        <v>1</v>
      </c>
      <c r="AG1141">
        <v>1</v>
      </c>
      <c r="AH1141">
        <v>1</v>
      </c>
      <c r="AI1141">
        <v>1</v>
      </c>
      <c r="AJ1141">
        <v>1</v>
      </c>
      <c r="AK1141">
        <v>1</v>
      </c>
      <c r="AL1141">
        <v>1</v>
      </c>
      <c r="AM1141">
        <v>1</v>
      </c>
    </row>
    <row r="1142" spans="1:39" x14ac:dyDescent="0.2">
      <c r="A1142" t="str">
        <f>"1138"</f>
        <v>1138</v>
      </c>
      <c r="B1142" t="str">
        <f t="shared" si="60"/>
        <v>1</v>
      </c>
      <c r="C1142" t="str">
        <f t="shared" si="63"/>
        <v>23</v>
      </c>
      <c r="D1142" t="str">
        <f>"42"</f>
        <v>42</v>
      </c>
      <c r="E1142" t="str">
        <f>"1-23-42"</f>
        <v>1-23-42</v>
      </c>
      <c r="F1142" t="s">
        <v>65</v>
      </c>
      <c r="G1142" t="s">
        <v>66</v>
      </c>
      <c r="H1142" t="s">
        <v>68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1</v>
      </c>
      <c r="O1142">
        <v>1</v>
      </c>
      <c r="P1142">
        <v>1</v>
      </c>
      <c r="Q1142">
        <v>1</v>
      </c>
      <c r="R1142">
        <v>1</v>
      </c>
    </row>
    <row r="1143" spans="1:39" x14ac:dyDescent="0.2">
      <c r="A1143" t="str">
        <f>"1139"</f>
        <v>1139</v>
      </c>
      <c r="B1143" t="str">
        <f t="shared" ref="B1143:B1206" si="64">"1"</f>
        <v>1</v>
      </c>
      <c r="C1143" t="str">
        <f t="shared" si="63"/>
        <v>23</v>
      </c>
      <c r="D1143" t="str">
        <f>"26"</f>
        <v>26</v>
      </c>
      <c r="E1143" t="str">
        <f>"1-23-26"</f>
        <v>1-23-26</v>
      </c>
      <c r="F1143" t="s">
        <v>65</v>
      </c>
      <c r="G1143" t="s">
        <v>66</v>
      </c>
      <c r="H1143" t="s">
        <v>67</v>
      </c>
      <c r="S1143">
        <v>0</v>
      </c>
      <c r="T1143">
        <v>1</v>
      </c>
      <c r="U1143">
        <v>0</v>
      </c>
      <c r="V1143">
        <v>0</v>
      </c>
      <c r="W1143">
        <v>0</v>
      </c>
      <c r="X1143">
        <v>1</v>
      </c>
      <c r="Y1143">
        <v>0</v>
      </c>
      <c r="Z1143">
        <v>1</v>
      </c>
      <c r="AA1143">
        <v>0</v>
      </c>
      <c r="AB1143">
        <v>1</v>
      </c>
      <c r="AC1143">
        <v>0</v>
      </c>
      <c r="AD1143">
        <v>1</v>
      </c>
      <c r="AE1143">
        <v>1</v>
      </c>
      <c r="AF1143">
        <v>1</v>
      </c>
      <c r="AG1143">
        <v>1</v>
      </c>
      <c r="AH1143">
        <v>1</v>
      </c>
      <c r="AI1143">
        <v>1</v>
      </c>
      <c r="AJ1143">
        <v>1</v>
      </c>
      <c r="AK1143">
        <v>1</v>
      </c>
      <c r="AL1143">
        <v>1</v>
      </c>
      <c r="AM1143">
        <v>1</v>
      </c>
    </row>
    <row r="1144" spans="1:39" x14ac:dyDescent="0.2">
      <c r="A1144" t="str">
        <f>"1140"</f>
        <v>1140</v>
      </c>
      <c r="B1144" t="str">
        <f t="shared" si="64"/>
        <v>1</v>
      </c>
      <c r="C1144" t="str">
        <f t="shared" si="63"/>
        <v>23</v>
      </c>
      <c r="D1144" t="str">
        <f>"14"</f>
        <v>14</v>
      </c>
      <c r="E1144" t="str">
        <f>"1-23-14"</f>
        <v>1-23-14</v>
      </c>
      <c r="F1144" t="s">
        <v>65</v>
      </c>
      <c r="G1144" t="s">
        <v>66</v>
      </c>
      <c r="H1144" t="s">
        <v>67</v>
      </c>
      <c r="S1144">
        <v>0</v>
      </c>
      <c r="T1144">
        <v>1</v>
      </c>
      <c r="U1144">
        <v>0</v>
      </c>
      <c r="V1144">
        <v>0</v>
      </c>
      <c r="W1144">
        <v>1</v>
      </c>
      <c r="X1144">
        <v>0</v>
      </c>
      <c r="Y1144">
        <v>0</v>
      </c>
      <c r="Z1144">
        <v>1</v>
      </c>
      <c r="AA1144">
        <v>1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</row>
    <row r="1145" spans="1:39" x14ac:dyDescent="0.2">
      <c r="A1145" t="str">
        <f>"1141"</f>
        <v>1141</v>
      </c>
      <c r="B1145" t="str">
        <f t="shared" si="64"/>
        <v>1</v>
      </c>
      <c r="C1145" t="str">
        <f t="shared" si="63"/>
        <v>23</v>
      </c>
      <c r="D1145" t="str">
        <f>"41"</f>
        <v>41</v>
      </c>
      <c r="E1145" t="str">
        <f>"1-23-41"</f>
        <v>1-23-41</v>
      </c>
      <c r="F1145" t="s">
        <v>65</v>
      </c>
      <c r="G1145" t="s">
        <v>66</v>
      </c>
      <c r="H1145" t="s">
        <v>68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1</v>
      </c>
      <c r="O1145">
        <v>1</v>
      </c>
      <c r="P1145">
        <v>1</v>
      </c>
      <c r="Q1145">
        <v>1</v>
      </c>
      <c r="R1145">
        <v>1</v>
      </c>
    </row>
    <row r="1146" spans="1:39" x14ac:dyDescent="0.2">
      <c r="A1146" t="str">
        <f>"1142"</f>
        <v>1142</v>
      </c>
      <c r="B1146" t="str">
        <f t="shared" si="64"/>
        <v>1</v>
      </c>
      <c r="C1146" t="str">
        <f t="shared" si="63"/>
        <v>23</v>
      </c>
      <c r="D1146" t="str">
        <f>"27"</f>
        <v>27</v>
      </c>
      <c r="E1146" t="str">
        <f>"1-23-27"</f>
        <v>1-23-27</v>
      </c>
      <c r="F1146" t="s">
        <v>65</v>
      </c>
      <c r="G1146" t="s">
        <v>66</v>
      </c>
      <c r="H1146" t="s">
        <v>67</v>
      </c>
      <c r="S1146">
        <v>1</v>
      </c>
      <c r="T1146">
        <v>0</v>
      </c>
      <c r="U1146">
        <v>0</v>
      </c>
      <c r="V1146">
        <v>0</v>
      </c>
      <c r="W1146">
        <v>1</v>
      </c>
      <c r="X1146">
        <v>0</v>
      </c>
      <c r="Y1146">
        <v>1</v>
      </c>
      <c r="Z1146">
        <v>0</v>
      </c>
      <c r="AA1146">
        <v>0</v>
      </c>
      <c r="AB1146">
        <v>1</v>
      </c>
      <c r="AC1146">
        <v>0</v>
      </c>
      <c r="AD1146">
        <v>1</v>
      </c>
      <c r="AE1146">
        <v>1</v>
      </c>
      <c r="AF1146">
        <v>1</v>
      </c>
      <c r="AG1146">
        <v>1</v>
      </c>
      <c r="AH1146">
        <v>1</v>
      </c>
      <c r="AI1146">
        <v>1</v>
      </c>
      <c r="AJ1146">
        <v>1</v>
      </c>
      <c r="AK1146">
        <v>1</v>
      </c>
      <c r="AL1146">
        <v>1</v>
      </c>
      <c r="AM1146">
        <v>1</v>
      </c>
    </row>
    <row r="1147" spans="1:39" x14ac:dyDescent="0.2">
      <c r="A1147" t="str">
        <f>"1143"</f>
        <v>1143</v>
      </c>
      <c r="B1147" t="str">
        <f t="shared" si="64"/>
        <v>1</v>
      </c>
      <c r="C1147" t="str">
        <f t="shared" si="63"/>
        <v>23</v>
      </c>
      <c r="D1147" t="str">
        <f>"6"</f>
        <v>6</v>
      </c>
      <c r="E1147" t="str">
        <f>"1-23-6"</f>
        <v>1-23-6</v>
      </c>
      <c r="F1147" t="s">
        <v>65</v>
      </c>
      <c r="G1147" t="s">
        <v>66</v>
      </c>
      <c r="H1147" t="s">
        <v>67</v>
      </c>
      <c r="S1147">
        <v>1</v>
      </c>
      <c r="T1147">
        <v>0</v>
      </c>
      <c r="U1147">
        <v>0</v>
      </c>
      <c r="V1147">
        <v>0</v>
      </c>
      <c r="W1147">
        <v>0</v>
      </c>
      <c r="X1147">
        <v>1</v>
      </c>
      <c r="Y1147">
        <v>1</v>
      </c>
      <c r="Z1147">
        <v>0</v>
      </c>
      <c r="AA1147">
        <v>0</v>
      </c>
      <c r="AB1147">
        <v>1</v>
      </c>
      <c r="AC1147">
        <v>0</v>
      </c>
      <c r="AD1147">
        <v>1</v>
      </c>
      <c r="AE1147">
        <v>1</v>
      </c>
      <c r="AF1147">
        <v>1</v>
      </c>
      <c r="AG1147">
        <v>1</v>
      </c>
      <c r="AH1147">
        <v>1</v>
      </c>
      <c r="AI1147">
        <v>1</v>
      </c>
      <c r="AJ1147">
        <v>1</v>
      </c>
      <c r="AK1147">
        <v>1</v>
      </c>
      <c r="AL1147">
        <v>1</v>
      </c>
      <c r="AM1147">
        <v>1</v>
      </c>
    </row>
    <row r="1148" spans="1:39" x14ac:dyDescent="0.2">
      <c r="A1148" t="str">
        <f>"1144"</f>
        <v>1144</v>
      </c>
      <c r="B1148" t="str">
        <f t="shared" si="64"/>
        <v>1</v>
      </c>
      <c r="C1148" t="str">
        <f t="shared" si="63"/>
        <v>23</v>
      </c>
      <c r="D1148" t="str">
        <f>"43"</f>
        <v>43</v>
      </c>
      <c r="E1148" t="str">
        <f>"1-23-43"</f>
        <v>1-23-43</v>
      </c>
      <c r="F1148" t="s">
        <v>65</v>
      </c>
      <c r="G1148" t="s">
        <v>66</v>
      </c>
      <c r="H1148" t="s">
        <v>68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1</v>
      </c>
      <c r="O1148">
        <v>1</v>
      </c>
      <c r="P1148">
        <v>1</v>
      </c>
      <c r="Q1148">
        <v>1</v>
      </c>
      <c r="R1148">
        <v>1</v>
      </c>
    </row>
    <row r="1149" spans="1:39" x14ac:dyDescent="0.2">
      <c r="A1149" t="str">
        <f>"1145"</f>
        <v>1145</v>
      </c>
      <c r="B1149" t="str">
        <f t="shared" si="64"/>
        <v>1</v>
      </c>
      <c r="C1149" t="str">
        <f t="shared" si="63"/>
        <v>23</v>
      </c>
      <c r="D1149" t="str">
        <f>"28"</f>
        <v>28</v>
      </c>
      <c r="E1149" t="str">
        <f>"1-23-28"</f>
        <v>1-23-28</v>
      </c>
      <c r="F1149" t="s">
        <v>65</v>
      </c>
      <c r="G1149" t="s">
        <v>66</v>
      </c>
      <c r="H1149" t="s">
        <v>67</v>
      </c>
      <c r="S1149">
        <v>1</v>
      </c>
      <c r="T1149">
        <v>0</v>
      </c>
      <c r="U1149">
        <v>0</v>
      </c>
      <c r="V1149">
        <v>0</v>
      </c>
      <c r="W1149">
        <v>1</v>
      </c>
      <c r="X1149">
        <v>0</v>
      </c>
      <c r="Y1149">
        <v>1</v>
      </c>
      <c r="Z1149">
        <v>0</v>
      </c>
      <c r="AA1149">
        <v>1</v>
      </c>
      <c r="AB1149">
        <v>0</v>
      </c>
      <c r="AC1149">
        <v>0</v>
      </c>
      <c r="AD1149">
        <v>0</v>
      </c>
      <c r="AE1149">
        <v>1</v>
      </c>
      <c r="AF1149">
        <v>1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</row>
    <row r="1150" spans="1:39" x14ac:dyDescent="0.2">
      <c r="A1150" t="str">
        <f>"1146"</f>
        <v>1146</v>
      </c>
      <c r="B1150" t="str">
        <f t="shared" si="64"/>
        <v>1</v>
      </c>
      <c r="C1150" t="str">
        <f t="shared" si="63"/>
        <v>23</v>
      </c>
      <c r="D1150" t="str">
        <f>"4"</f>
        <v>4</v>
      </c>
      <c r="E1150" t="str">
        <f>"1-23-4"</f>
        <v>1-23-4</v>
      </c>
      <c r="F1150" t="s">
        <v>65</v>
      </c>
      <c r="G1150" t="s">
        <v>66</v>
      </c>
      <c r="H1150" t="s">
        <v>67</v>
      </c>
      <c r="S1150">
        <v>0</v>
      </c>
      <c r="T1150">
        <v>1</v>
      </c>
      <c r="U1150">
        <v>0</v>
      </c>
      <c r="V1150">
        <v>0</v>
      </c>
      <c r="W1150">
        <v>0</v>
      </c>
      <c r="X1150">
        <v>1</v>
      </c>
      <c r="Y1150">
        <v>1</v>
      </c>
      <c r="Z1150">
        <v>0</v>
      </c>
      <c r="AA1150">
        <v>0</v>
      </c>
      <c r="AB1150">
        <v>0</v>
      </c>
      <c r="AC1150">
        <v>1</v>
      </c>
      <c r="AD1150">
        <v>1</v>
      </c>
      <c r="AE1150">
        <v>1</v>
      </c>
      <c r="AF1150">
        <v>1</v>
      </c>
      <c r="AG1150">
        <v>1</v>
      </c>
      <c r="AH1150">
        <v>1</v>
      </c>
      <c r="AI1150">
        <v>1</v>
      </c>
      <c r="AJ1150">
        <v>1</v>
      </c>
      <c r="AK1150">
        <v>1</v>
      </c>
      <c r="AL1150">
        <v>1</v>
      </c>
      <c r="AM1150">
        <v>1</v>
      </c>
    </row>
    <row r="1151" spans="1:39" x14ac:dyDescent="0.2">
      <c r="A1151" t="str">
        <f>"1147"</f>
        <v>1147</v>
      </c>
      <c r="B1151" t="str">
        <f t="shared" si="64"/>
        <v>1</v>
      </c>
      <c r="C1151" t="str">
        <f t="shared" si="63"/>
        <v>23</v>
      </c>
      <c r="D1151" t="str">
        <f>"44"</f>
        <v>44</v>
      </c>
      <c r="E1151" t="str">
        <f>"1-23-44"</f>
        <v>1-23-44</v>
      </c>
      <c r="F1151" t="s">
        <v>65</v>
      </c>
      <c r="G1151" t="s">
        <v>66</v>
      </c>
      <c r="H1151" t="s">
        <v>68</v>
      </c>
      <c r="I1151">
        <v>1</v>
      </c>
      <c r="J1151">
        <v>0</v>
      </c>
      <c r="K1151">
        <v>0</v>
      </c>
      <c r="L1151">
        <v>1</v>
      </c>
      <c r="M1151">
        <v>1</v>
      </c>
      <c r="N1151">
        <v>1</v>
      </c>
      <c r="O1151">
        <v>1</v>
      </c>
      <c r="P1151">
        <v>1</v>
      </c>
      <c r="Q1151">
        <v>1</v>
      </c>
      <c r="R1151">
        <v>1</v>
      </c>
    </row>
    <row r="1152" spans="1:39" x14ac:dyDescent="0.2">
      <c r="A1152" t="str">
        <f>"1148"</f>
        <v>1148</v>
      </c>
      <c r="B1152" t="str">
        <f t="shared" si="64"/>
        <v>1</v>
      </c>
      <c r="C1152" t="str">
        <f t="shared" si="63"/>
        <v>23</v>
      </c>
      <c r="D1152" t="str">
        <f>"29"</f>
        <v>29</v>
      </c>
      <c r="E1152" t="str">
        <f>"1-23-29"</f>
        <v>1-23-29</v>
      </c>
      <c r="F1152" t="s">
        <v>65</v>
      </c>
      <c r="G1152" t="s">
        <v>66</v>
      </c>
      <c r="H1152" t="s">
        <v>67</v>
      </c>
      <c r="S1152">
        <v>1</v>
      </c>
      <c r="T1152">
        <v>0</v>
      </c>
      <c r="U1152">
        <v>0</v>
      </c>
      <c r="V1152">
        <v>0</v>
      </c>
      <c r="W1152">
        <v>1</v>
      </c>
      <c r="X1152">
        <v>0</v>
      </c>
      <c r="Y1152">
        <v>1</v>
      </c>
      <c r="Z1152">
        <v>0</v>
      </c>
      <c r="AA1152">
        <v>0</v>
      </c>
      <c r="AB1152">
        <v>1</v>
      </c>
      <c r="AC1152">
        <v>0</v>
      </c>
      <c r="AD1152">
        <v>1</v>
      </c>
      <c r="AE1152">
        <v>1</v>
      </c>
      <c r="AF1152">
        <v>1</v>
      </c>
      <c r="AG1152">
        <v>1</v>
      </c>
      <c r="AH1152">
        <v>1</v>
      </c>
      <c r="AI1152">
        <v>1</v>
      </c>
      <c r="AJ1152">
        <v>1</v>
      </c>
      <c r="AK1152">
        <v>1</v>
      </c>
      <c r="AL1152">
        <v>1</v>
      </c>
      <c r="AM1152">
        <v>1</v>
      </c>
    </row>
    <row r="1153" spans="1:39" x14ac:dyDescent="0.2">
      <c r="A1153" t="str">
        <f>"1149"</f>
        <v>1149</v>
      </c>
      <c r="B1153" t="str">
        <f t="shared" si="64"/>
        <v>1</v>
      </c>
      <c r="C1153" t="str">
        <f t="shared" si="63"/>
        <v>23</v>
      </c>
      <c r="D1153" t="str">
        <f>"12"</f>
        <v>12</v>
      </c>
      <c r="E1153" t="str">
        <f>"1-23-12"</f>
        <v>1-23-12</v>
      </c>
      <c r="F1153" t="s">
        <v>65</v>
      </c>
      <c r="G1153" t="s">
        <v>66</v>
      </c>
      <c r="H1153" t="s">
        <v>67</v>
      </c>
      <c r="S1153">
        <v>1</v>
      </c>
      <c r="T1153">
        <v>0</v>
      </c>
      <c r="U1153">
        <v>0</v>
      </c>
      <c r="V1153">
        <v>0</v>
      </c>
      <c r="W1153">
        <v>1</v>
      </c>
      <c r="X1153">
        <v>0</v>
      </c>
      <c r="Y1153">
        <v>0</v>
      </c>
      <c r="Z1153">
        <v>1</v>
      </c>
      <c r="AA1153">
        <v>1</v>
      </c>
      <c r="AB1153">
        <v>0</v>
      </c>
      <c r="AC1153">
        <v>0</v>
      </c>
      <c r="AD1153">
        <v>1</v>
      </c>
      <c r="AE1153">
        <v>1</v>
      </c>
      <c r="AF1153">
        <v>1</v>
      </c>
      <c r="AG1153">
        <v>1</v>
      </c>
      <c r="AH1153">
        <v>1</v>
      </c>
      <c r="AI1153">
        <v>1</v>
      </c>
      <c r="AJ1153">
        <v>1</v>
      </c>
      <c r="AK1153">
        <v>1</v>
      </c>
      <c r="AL1153">
        <v>1</v>
      </c>
      <c r="AM1153">
        <v>1</v>
      </c>
    </row>
    <row r="1154" spans="1:39" x14ac:dyDescent="0.2">
      <c r="A1154" t="str">
        <f>"1150"</f>
        <v>1150</v>
      </c>
      <c r="B1154" t="str">
        <f t="shared" si="64"/>
        <v>1</v>
      </c>
      <c r="C1154" t="str">
        <f t="shared" si="63"/>
        <v>23</v>
      </c>
      <c r="D1154" t="str">
        <f>"1"</f>
        <v>1</v>
      </c>
      <c r="E1154" t="str">
        <f>"1-23-1"</f>
        <v>1-23-1</v>
      </c>
      <c r="F1154" t="s">
        <v>65</v>
      </c>
      <c r="G1154" t="s">
        <v>66</v>
      </c>
      <c r="H1154" t="s">
        <v>67</v>
      </c>
      <c r="S1154">
        <v>0</v>
      </c>
      <c r="T1154">
        <v>0</v>
      </c>
      <c r="U1154">
        <v>0</v>
      </c>
      <c r="V1154">
        <v>0</v>
      </c>
      <c r="W1154">
        <v>1</v>
      </c>
      <c r="X1154">
        <v>0</v>
      </c>
      <c r="Y1154">
        <v>1</v>
      </c>
      <c r="Z1154">
        <v>0</v>
      </c>
      <c r="AA1154">
        <v>0</v>
      </c>
      <c r="AB1154">
        <v>1</v>
      </c>
      <c r="AC1154">
        <v>0</v>
      </c>
      <c r="AD1154">
        <v>1</v>
      </c>
      <c r="AE1154">
        <v>1</v>
      </c>
      <c r="AF1154">
        <v>1</v>
      </c>
      <c r="AG1154">
        <v>1</v>
      </c>
      <c r="AH1154">
        <v>1</v>
      </c>
      <c r="AI1154">
        <v>1</v>
      </c>
      <c r="AJ1154">
        <v>1</v>
      </c>
      <c r="AK1154">
        <v>1</v>
      </c>
      <c r="AL1154">
        <v>1</v>
      </c>
      <c r="AM1154">
        <v>1</v>
      </c>
    </row>
    <row r="1155" spans="1:39" x14ac:dyDescent="0.2">
      <c r="A1155" t="str">
        <f>"1151"</f>
        <v>1151</v>
      </c>
      <c r="B1155" t="str">
        <f t="shared" si="64"/>
        <v>1</v>
      </c>
      <c r="C1155" t="str">
        <f t="shared" ref="C1155:C1186" si="65">"24"</f>
        <v>24</v>
      </c>
      <c r="D1155" t="str">
        <f>"34"</f>
        <v>34</v>
      </c>
      <c r="E1155" t="str">
        <f>"1-24-34"</f>
        <v>1-24-34</v>
      </c>
      <c r="F1155" t="s">
        <v>65</v>
      </c>
      <c r="G1155" t="s">
        <v>66</v>
      </c>
      <c r="H1155" t="s">
        <v>67</v>
      </c>
      <c r="S1155">
        <v>0</v>
      </c>
      <c r="T1155">
        <v>1</v>
      </c>
      <c r="U1155">
        <v>0</v>
      </c>
      <c r="V1155">
        <v>0</v>
      </c>
      <c r="W1155">
        <v>1</v>
      </c>
      <c r="X1155">
        <v>0</v>
      </c>
      <c r="Y1155">
        <v>1</v>
      </c>
      <c r="Z1155">
        <v>0</v>
      </c>
      <c r="AA1155">
        <v>0</v>
      </c>
      <c r="AB1155">
        <v>0</v>
      </c>
      <c r="AC1155">
        <v>1</v>
      </c>
      <c r="AD1155">
        <v>1</v>
      </c>
      <c r="AE1155">
        <v>1</v>
      </c>
      <c r="AF1155">
        <v>1</v>
      </c>
      <c r="AG1155">
        <v>1</v>
      </c>
      <c r="AH1155">
        <v>1</v>
      </c>
      <c r="AI1155">
        <v>1</v>
      </c>
      <c r="AJ1155">
        <v>1</v>
      </c>
      <c r="AK1155">
        <v>1</v>
      </c>
      <c r="AL1155">
        <v>1</v>
      </c>
      <c r="AM1155">
        <v>1</v>
      </c>
    </row>
    <row r="1156" spans="1:39" x14ac:dyDescent="0.2">
      <c r="A1156" t="str">
        <f>"1152"</f>
        <v>1152</v>
      </c>
      <c r="B1156" t="str">
        <f t="shared" si="64"/>
        <v>1</v>
      </c>
      <c r="C1156" t="str">
        <f t="shared" si="65"/>
        <v>24</v>
      </c>
      <c r="D1156" t="str">
        <f>"33"</f>
        <v>33</v>
      </c>
      <c r="E1156" t="str">
        <f>"1-24-33"</f>
        <v>1-24-33</v>
      </c>
      <c r="F1156" t="s">
        <v>65</v>
      </c>
      <c r="G1156" t="s">
        <v>66</v>
      </c>
      <c r="H1156" t="s">
        <v>67</v>
      </c>
      <c r="S1156">
        <v>0</v>
      </c>
      <c r="T1156">
        <v>1</v>
      </c>
      <c r="U1156">
        <v>0</v>
      </c>
      <c r="V1156">
        <v>0</v>
      </c>
      <c r="W1156">
        <v>0</v>
      </c>
      <c r="X1156">
        <v>1</v>
      </c>
      <c r="Y1156">
        <v>0</v>
      </c>
      <c r="Z1156">
        <v>1</v>
      </c>
      <c r="AA1156">
        <v>0</v>
      </c>
      <c r="AB1156">
        <v>0</v>
      </c>
      <c r="AC1156">
        <v>1</v>
      </c>
      <c r="AD1156">
        <v>1</v>
      </c>
      <c r="AE1156">
        <v>1</v>
      </c>
      <c r="AF1156">
        <v>1</v>
      </c>
      <c r="AG1156">
        <v>1</v>
      </c>
      <c r="AH1156">
        <v>1</v>
      </c>
      <c r="AI1156">
        <v>1</v>
      </c>
      <c r="AJ1156">
        <v>1</v>
      </c>
      <c r="AK1156">
        <v>1</v>
      </c>
      <c r="AL1156">
        <v>1</v>
      </c>
      <c r="AM1156">
        <v>1</v>
      </c>
    </row>
    <row r="1157" spans="1:39" x14ac:dyDescent="0.2">
      <c r="A1157" t="str">
        <f>"1153"</f>
        <v>1153</v>
      </c>
      <c r="B1157" t="str">
        <f t="shared" si="64"/>
        <v>1</v>
      </c>
      <c r="C1157" t="str">
        <f t="shared" si="65"/>
        <v>24</v>
      </c>
      <c r="D1157" t="str">
        <f>"25"</f>
        <v>25</v>
      </c>
      <c r="E1157" t="str">
        <f>"1-24-25"</f>
        <v>1-24-25</v>
      </c>
      <c r="F1157" t="s">
        <v>65</v>
      </c>
      <c r="G1157" t="s">
        <v>66</v>
      </c>
      <c r="H1157" t="s">
        <v>67</v>
      </c>
      <c r="S1157">
        <v>1</v>
      </c>
      <c r="T1157">
        <v>0</v>
      </c>
      <c r="U1157">
        <v>0</v>
      </c>
      <c r="V1157">
        <v>0</v>
      </c>
      <c r="W1157">
        <v>0</v>
      </c>
      <c r="X1157">
        <v>1</v>
      </c>
      <c r="Y1157">
        <v>0</v>
      </c>
      <c r="Z1157">
        <v>1</v>
      </c>
      <c r="AA1157">
        <v>0</v>
      </c>
      <c r="AB1157">
        <v>1</v>
      </c>
      <c r="AC1157">
        <v>0</v>
      </c>
      <c r="AD1157">
        <v>1</v>
      </c>
      <c r="AE1157">
        <v>1</v>
      </c>
      <c r="AF1157">
        <v>1</v>
      </c>
      <c r="AG1157">
        <v>1</v>
      </c>
      <c r="AH1157">
        <v>1</v>
      </c>
      <c r="AI1157">
        <v>1</v>
      </c>
      <c r="AJ1157">
        <v>1</v>
      </c>
      <c r="AK1157">
        <v>1</v>
      </c>
      <c r="AL1157">
        <v>1</v>
      </c>
      <c r="AM1157">
        <v>1</v>
      </c>
    </row>
    <row r="1158" spans="1:39" x14ac:dyDescent="0.2">
      <c r="A1158" t="str">
        <f>"1154"</f>
        <v>1154</v>
      </c>
      <c r="B1158" t="str">
        <f t="shared" si="64"/>
        <v>1</v>
      </c>
      <c r="C1158" t="str">
        <f t="shared" si="65"/>
        <v>24</v>
      </c>
      <c r="D1158" t="str">
        <f>"15"</f>
        <v>15</v>
      </c>
      <c r="E1158" t="str">
        <f>"1-24-15"</f>
        <v>1-24-15</v>
      </c>
      <c r="F1158" t="s">
        <v>65</v>
      </c>
      <c r="G1158" t="s">
        <v>66</v>
      </c>
      <c r="H1158" t="s">
        <v>67</v>
      </c>
      <c r="S1158">
        <v>0</v>
      </c>
      <c r="T1158">
        <v>1</v>
      </c>
      <c r="U1158">
        <v>0</v>
      </c>
      <c r="V1158">
        <v>0</v>
      </c>
      <c r="W1158">
        <v>1</v>
      </c>
      <c r="X1158">
        <v>0</v>
      </c>
      <c r="Y1158">
        <v>1</v>
      </c>
      <c r="Z1158">
        <v>0</v>
      </c>
      <c r="AA1158">
        <v>0</v>
      </c>
      <c r="AB1158">
        <v>0</v>
      </c>
      <c r="AC1158">
        <v>1</v>
      </c>
      <c r="AD1158">
        <v>1</v>
      </c>
      <c r="AE1158">
        <v>1</v>
      </c>
      <c r="AF1158">
        <v>1</v>
      </c>
      <c r="AG1158">
        <v>1</v>
      </c>
      <c r="AH1158">
        <v>1</v>
      </c>
      <c r="AI1158">
        <v>1</v>
      </c>
      <c r="AJ1158">
        <v>1</v>
      </c>
      <c r="AK1158">
        <v>1</v>
      </c>
      <c r="AL1158">
        <v>1</v>
      </c>
      <c r="AM1158">
        <v>1</v>
      </c>
    </row>
    <row r="1159" spans="1:39" x14ac:dyDescent="0.2">
      <c r="A1159" t="str">
        <f>"1155"</f>
        <v>1155</v>
      </c>
      <c r="B1159" t="str">
        <f t="shared" si="64"/>
        <v>1</v>
      </c>
      <c r="C1159" t="str">
        <f t="shared" si="65"/>
        <v>24</v>
      </c>
      <c r="D1159" t="str">
        <f>"2"</f>
        <v>2</v>
      </c>
      <c r="E1159" t="str">
        <f>"1-24-2"</f>
        <v>1-24-2</v>
      </c>
      <c r="F1159" t="s">
        <v>65</v>
      </c>
      <c r="G1159" t="s">
        <v>66</v>
      </c>
      <c r="H1159" t="s">
        <v>67</v>
      </c>
      <c r="S1159">
        <v>0</v>
      </c>
      <c r="T1159">
        <v>1</v>
      </c>
      <c r="U1159">
        <v>0</v>
      </c>
      <c r="V1159">
        <v>0</v>
      </c>
      <c r="W1159">
        <v>1</v>
      </c>
      <c r="X1159">
        <v>0</v>
      </c>
      <c r="Y1159">
        <v>1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1</v>
      </c>
      <c r="AF1159">
        <v>1</v>
      </c>
      <c r="AG1159">
        <v>1</v>
      </c>
      <c r="AH1159">
        <v>1</v>
      </c>
      <c r="AI1159">
        <v>1</v>
      </c>
      <c r="AJ1159">
        <v>1</v>
      </c>
      <c r="AK1159">
        <v>0</v>
      </c>
      <c r="AL1159">
        <v>1</v>
      </c>
      <c r="AM1159">
        <v>1</v>
      </c>
    </row>
    <row r="1160" spans="1:39" x14ac:dyDescent="0.2">
      <c r="A1160" t="str">
        <f>"1156"</f>
        <v>1156</v>
      </c>
      <c r="B1160" t="str">
        <f t="shared" si="64"/>
        <v>1</v>
      </c>
      <c r="C1160" t="str">
        <f t="shared" si="65"/>
        <v>24</v>
      </c>
      <c r="D1160" t="str">
        <f>"36"</f>
        <v>36</v>
      </c>
      <c r="E1160" t="str">
        <f>"1-24-36"</f>
        <v>1-24-36</v>
      </c>
      <c r="F1160" t="s">
        <v>65</v>
      </c>
      <c r="G1160" t="s">
        <v>66</v>
      </c>
      <c r="H1160" t="s">
        <v>67</v>
      </c>
      <c r="S1160">
        <v>0</v>
      </c>
      <c r="T1160">
        <v>1</v>
      </c>
      <c r="U1160">
        <v>0</v>
      </c>
      <c r="V1160">
        <v>0</v>
      </c>
      <c r="W1160">
        <v>1</v>
      </c>
      <c r="X1160">
        <v>0</v>
      </c>
      <c r="Y1160">
        <v>0</v>
      </c>
      <c r="Z1160">
        <v>1</v>
      </c>
      <c r="AA1160">
        <v>1</v>
      </c>
      <c r="AB1160">
        <v>0</v>
      </c>
      <c r="AC1160">
        <v>0</v>
      </c>
      <c r="AD1160">
        <v>1</v>
      </c>
      <c r="AE1160">
        <v>1</v>
      </c>
      <c r="AF1160">
        <v>1</v>
      </c>
      <c r="AG1160">
        <v>1</v>
      </c>
      <c r="AH1160">
        <v>1</v>
      </c>
      <c r="AI1160">
        <v>1</v>
      </c>
      <c r="AJ1160">
        <v>1</v>
      </c>
      <c r="AK1160">
        <v>1</v>
      </c>
      <c r="AL1160">
        <v>1</v>
      </c>
      <c r="AM1160">
        <v>1</v>
      </c>
    </row>
    <row r="1161" spans="1:39" x14ac:dyDescent="0.2">
      <c r="A1161" t="str">
        <f>"1157"</f>
        <v>1157</v>
      </c>
      <c r="B1161" t="str">
        <f t="shared" si="64"/>
        <v>1</v>
      </c>
      <c r="C1161" t="str">
        <f t="shared" si="65"/>
        <v>24</v>
      </c>
      <c r="D1161" t="str">
        <f>"35"</f>
        <v>35</v>
      </c>
      <c r="E1161" t="str">
        <f>"1-24-35"</f>
        <v>1-24-35</v>
      </c>
      <c r="F1161" t="s">
        <v>65</v>
      </c>
      <c r="G1161" t="s">
        <v>66</v>
      </c>
      <c r="H1161" t="s">
        <v>67</v>
      </c>
      <c r="S1161">
        <v>0</v>
      </c>
      <c r="T1161">
        <v>0</v>
      </c>
      <c r="U1161">
        <v>0</v>
      </c>
      <c r="V1161">
        <v>0</v>
      </c>
      <c r="W1161">
        <v>1</v>
      </c>
      <c r="X1161">
        <v>0</v>
      </c>
      <c r="Y1161">
        <v>0</v>
      </c>
      <c r="Z1161">
        <v>0</v>
      </c>
      <c r="AA1161">
        <v>0</v>
      </c>
      <c r="AB1161">
        <v>1</v>
      </c>
      <c r="AC1161">
        <v>0</v>
      </c>
      <c r="AD1161">
        <v>1</v>
      </c>
      <c r="AE1161">
        <v>1</v>
      </c>
      <c r="AF1161">
        <v>1</v>
      </c>
      <c r="AG1161">
        <v>1</v>
      </c>
      <c r="AH1161">
        <v>1</v>
      </c>
      <c r="AI1161">
        <v>1</v>
      </c>
      <c r="AJ1161">
        <v>1</v>
      </c>
      <c r="AK1161">
        <v>1</v>
      </c>
      <c r="AL1161">
        <v>1</v>
      </c>
      <c r="AM1161">
        <v>1</v>
      </c>
    </row>
    <row r="1162" spans="1:39" x14ac:dyDescent="0.2">
      <c r="A1162" t="str">
        <f>"1158"</f>
        <v>1158</v>
      </c>
      <c r="B1162" t="str">
        <f t="shared" si="64"/>
        <v>1</v>
      </c>
      <c r="C1162" t="str">
        <f t="shared" si="65"/>
        <v>24</v>
      </c>
      <c r="D1162" t="str">
        <f>"24"</f>
        <v>24</v>
      </c>
      <c r="E1162" t="str">
        <f>"1-24-24"</f>
        <v>1-24-24</v>
      </c>
      <c r="F1162" t="s">
        <v>65</v>
      </c>
      <c r="G1162" t="s">
        <v>66</v>
      </c>
      <c r="H1162" t="s">
        <v>67</v>
      </c>
      <c r="S1162">
        <v>1</v>
      </c>
      <c r="T1162">
        <v>0</v>
      </c>
      <c r="U1162">
        <v>0</v>
      </c>
      <c r="V1162">
        <v>0</v>
      </c>
      <c r="W1162">
        <v>1</v>
      </c>
      <c r="X1162">
        <v>0</v>
      </c>
      <c r="Y1162">
        <v>1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1</v>
      </c>
      <c r="AF1162">
        <v>1</v>
      </c>
      <c r="AG1162">
        <v>1</v>
      </c>
      <c r="AH1162">
        <v>1</v>
      </c>
      <c r="AI1162">
        <v>1</v>
      </c>
      <c r="AJ1162">
        <v>1</v>
      </c>
      <c r="AK1162">
        <v>1</v>
      </c>
      <c r="AL1162">
        <v>1</v>
      </c>
      <c r="AM1162">
        <v>1</v>
      </c>
    </row>
    <row r="1163" spans="1:39" x14ac:dyDescent="0.2">
      <c r="A1163" t="str">
        <f>"1159"</f>
        <v>1159</v>
      </c>
      <c r="B1163" t="str">
        <f t="shared" si="64"/>
        <v>1</v>
      </c>
      <c r="C1163" t="str">
        <f t="shared" si="65"/>
        <v>24</v>
      </c>
      <c r="D1163" t="str">
        <f>"16"</f>
        <v>16</v>
      </c>
      <c r="E1163" t="str">
        <f>"1-24-16"</f>
        <v>1-24-16</v>
      </c>
      <c r="F1163" t="s">
        <v>65</v>
      </c>
      <c r="G1163" t="s">
        <v>66</v>
      </c>
      <c r="H1163" t="s">
        <v>67</v>
      </c>
      <c r="S1163">
        <v>1</v>
      </c>
      <c r="T1163">
        <v>0</v>
      </c>
      <c r="U1163">
        <v>0</v>
      </c>
      <c r="V1163">
        <v>0</v>
      </c>
      <c r="W1163">
        <v>1</v>
      </c>
      <c r="X1163">
        <v>0</v>
      </c>
      <c r="Y1163">
        <v>1</v>
      </c>
      <c r="Z1163">
        <v>0</v>
      </c>
      <c r="AA1163">
        <v>0</v>
      </c>
      <c r="AB1163">
        <v>1</v>
      </c>
      <c r="AC1163">
        <v>0</v>
      </c>
      <c r="AD1163">
        <v>1</v>
      </c>
      <c r="AE1163">
        <v>1</v>
      </c>
      <c r="AF1163">
        <v>1</v>
      </c>
      <c r="AG1163">
        <v>1</v>
      </c>
      <c r="AH1163">
        <v>1</v>
      </c>
      <c r="AI1163">
        <v>1</v>
      </c>
      <c r="AJ1163">
        <v>1</v>
      </c>
      <c r="AK1163">
        <v>1</v>
      </c>
      <c r="AL1163">
        <v>1</v>
      </c>
      <c r="AM1163">
        <v>1</v>
      </c>
    </row>
    <row r="1164" spans="1:39" x14ac:dyDescent="0.2">
      <c r="A1164" t="str">
        <f>"1160"</f>
        <v>1160</v>
      </c>
      <c r="B1164" t="str">
        <f t="shared" si="64"/>
        <v>1</v>
      </c>
      <c r="C1164" t="str">
        <f t="shared" si="65"/>
        <v>24</v>
      </c>
      <c r="D1164" t="str">
        <f>"6"</f>
        <v>6</v>
      </c>
      <c r="E1164" t="str">
        <f>"1-24-6"</f>
        <v>1-24-6</v>
      </c>
      <c r="F1164" t="s">
        <v>65</v>
      </c>
      <c r="G1164" t="s">
        <v>66</v>
      </c>
      <c r="H1164" t="s">
        <v>67</v>
      </c>
      <c r="S1164">
        <v>1</v>
      </c>
      <c r="T1164">
        <v>0</v>
      </c>
      <c r="U1164">
        <v>0</v>
      </c>
      <c r="V1164">
        <v>0</v>
      </c>
      <c r="W1164">
        <v>1</v>
      </c>
      <c r="X1164">
        <v>0</v>
      </c>
      <c r="Y1164">
        <v>0</v>
      </c>
      <c r="Z1164">
        <v>1</v>
      </c>
      <c r="AA1164">
        <v>1</v>
      </c>
      <c r="AB1164">
        <v>0</v>
      </c>
      <c r="AC1164">
        <v>0</v>
      </c>
      <c r="AD1164">
        <v>1</v>
      </c>
      <c r="AE1164">
        <v>1</v>
      </c>
      <c r="AF1164">
        <v>1</v>
      </c>
      <c r="AG1164">
        <v>1</v>
      </c>
      <c r="AH1164">
        <v>1</v>
      </c>
      <c r="AI1164">
        <v>1</v>
      </c>
      <c r="AJ1164">
        <v>1</v>
      </c>
      <c r="AK1164">
        <v>1</v>
      </c>
      <c r="AL1164">
        <v>1</v>
      </c>
      <c r="AM1164">
        <v>1</v>
      </c>
    </row>
    <row r="1165" spans="1:39" x14ac:dyDescent="0.2">
      <c r="A1165" t="str">
        <f>"1161"</f>
        <v>1161</v>
      </c>
      <c r="B1165" t="str">
        <f t="shared" si="64"/>
        <v>1</v>
      </c>
      <c r="C1165" t="str">
        <f t="shared" si="65"/>
        <v>24</v>
      </c>
      <c r="D1165" t="str">
        <f>"44"</f>
        <v>44</v>
      </c>
      <c r="E1165" t="str">
        <f>"1-24-44"</f>
        <v>1-24-44</v>
      </c>
      <c r="F1165" t="s">
        <v>65</v>
      </c>
      <c r="G1165" t="s">
        <v>66</v>
      </c>
      <c r="H1165" t="s">
        <v>67</v>
      </c>
      <c r="S1165">
        <v>1</v>
      </c>
      <c r="T1165">
        <v>0</v>
      </c>
      <c r="U1165">
        <v>0</v>
      </c>
      <c r="V1165">
        <v>0</v>
      </c>
      <c r="W1165">
        <v>1</v>
      </c>
      <c r="X1165">
        <v>0</v>
      </c>
      <c r="Y1165">
        <v>1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1</v>
      </c>
      <c r="AF1165">
        <v>1</v>
      </c>
      <c r="AG1165">
        <v>1</v>
      </c>
      <c r="AH1165">
        <v>1</v>
      </c>
      <c r="AI1165">
        <v>1</v>
      </c>
      <c r="AJ1165">
        <v>1</v>
      </c>
      <c r="AK1165">
        <v>1</v>
      </c>
      <c r="AL1165">
        <v>1</v>
      </c>
      <c r="AM1165">
        <v>1</v>
      </c>
    </row>
    <row r="1166" spans="1:39" x14ac:dyDescent="0.2">
      <c r="A1166" t="str">
        <f>"1162"</f>
        <v>1162</v>
      </c>
      <c r="B1166" t="str">
        <f t="shared" si="64"/>
        <v>1</v>
      </c>
      <c r="C1166" t="str">
        <f t="shared" si="65"/>
        <v>24</v>
      </c>
      <c r="D1166" t="str">
        <f>"43"</f>
        <v>43</v>
      </c>
      <c r="E1166" t="str">
        <f>"1-24-43"</f>
        <v>1-24-43</v>
      </c>
      <c r="F1166" t="s">
        <v>65</v>
      </c>
      <c r="G1166" t="s">
        <v>66</v>
      </c>
      <c r="H1166" t="s">
        <v>67</v>
      </c>
      <c r="S1166">
        <v>0</v>
      </c>
      <c r="T1166">
        <v>1</v>
      </c>
      <c r="U1166">
        <v>0</v>
      </c>
      <c r="V1166">
        <v>0</v>
      </c>
      <c r="W1166">
        <v>0</v>
      </c>
      <c r="X1166">
        <v>1</v>
      </c>
      <c r="Y1166">
        <v>1</v>
      </c>
      <c r="Z1166">
        <v>0</v>
      </c>
      <c r="AA1166">
        <v>0</v>
      </c>
      <c r="AB1166">
        <v>0</v>
      </c>
      <c r="AC1166">
        <v>1</v>
      </c>
      <c r="AD1166">
        <v>1</v>
      </c>
      <c r="AE1166">
        <v>1</v>
      </c>
      <c r="AF1166">
        <v>0</v>
      </c>
      <c r="AG1166">
        <v>1</v>
      </c>
      <c r="AH1166">
        <v>1</v>
      </c>
      <c r="AI1166">
        <v>1</v>
      </c>
      <c r="AJ1166">
        <v>1</v>
      </c>
      <c r="AK1166">
        <v>1</v>
      </c>
      <c r="AL1166">
        <v>1</v>
      </c>
      <c r="AM1166">
        <v>1</v>
      </c>
    </row>
    <row r="1167" spans="1:39" x14ac:dyDescent="0.2">
      <c r="A1167" t="str">
        <f>"1163"</f>
        <v>1163</v>
      </c>
      <c r="B1167" t="str">
        <f t="shared" si="64"/>
        <v>1</v>
      </c>
      <c r="C1167" t="str">
        <f t="shared" si="65"/>
        <v>24</v>
      </c>
      <c r="D1167" t="str">
        <f>"31"</f>
        <v>31</v>
      </c>
      <c r="E1167" t="str">
        <f>"1-24-31"</f>
        <v>1-24-31</v>
      </c>
      <c r="F1167" t="s">
        <v>65</v>
      </c>
      <c r="G1167" t="s">
        <v>66</v>
      </c>
      <c r="H1167" t="s">
        <v>67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1</v>
      </c>
      <c r="Y1167">
        <v>1</v>
      </c>
      <c r="Z1167">
        <v>0</v>
      </c>
      <c r="AA1167">
        <v>0</v>
      </c>
      <c r="AB1167">
        <v>1</v>
      </c>
      <c r="AC1167">
        <v>0</v>
      </c>
      <c r="AD1167">
        <v>1</v>
      </c>
      <c r="AE1167">
        <v>1</v>
      </c>
      <c r="AF1167">
        <v>1</v>
      </c>
      <c r="AG1167">
        <v>1</v>
      </c>
      <c r="AH1167">
        <v>1</v>
      </c>
      <c r="AI1167">
        <v>1</v>
      </c>
      <c r="AJ1167">
        <v>1</v>
      </c>
      <c r="AK1167">
        <v>1</v>
      </c>
      <c r="AL1167">
        <v>1</v>
      </c>
      <c r="AM1167">
        <v>1</v>
      </c>
    </row>
    <row r="1168" spans="1:39" x14ac:dyDescent="0.2">
      <c r="A1168" t="str">
        <f>"1164"</f>
        <v>1164</v>
      </c>
      <c r="B1168" t="str">
        <f t="shared" si="64"/>
        <v>1</v>
      </c>
      <c r="C1168" t="str">
        <f t="shared" si="65"/>
        <v>24</v>
      </c>
      <c r="D1168" t="str">
        <f>"17"</f>
        <v>17</v>
      </c>
      <c r="E1168" t="str">
        <f>"1-24-17"</f>
        <v>1-24-17</v>
      </c>
      <c r="F1168" t="s">
        <v>65</v>
      </c>
      <c r="G1168" t="s">
        <v>66</v>
      </c>
      <c r="H1168" t="s">
        <v>67</v>
      </c>
      <c r="S1168">
        <v>0</v>
      </c>
      <c r="T1168">
        <v>0</v>
      </c>
      <c r="U1168">
        <v>0</v>
      </c>
      <c r="V1168">
        <v>0</v>
      </c>
      <c r="W1168">
        <v>1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1</v>
      </c>
      <c r="AM1168">
        <v>0</v>
      </c>
    </row>
    <row r="1169" spans="1:39" x14ac:dyDescent="0.2">
      <c r="A1169" t="str">
        <f>"1165"</f>
        <v>1165</v>
      </c>
      <c r="B1169" t="str">
        <f t="shared" si="64"/>
        <v>1</v>
      </c>
      <c r="C1169" t="str">
        <f t="shared" si="65"/>
        <v>24</v>
      </c>
      <c r="D1169" t="str">
        <f>"5"</f>
        <v>5</v>
      </c>
      <c r="E1169" t="str">
        <f>"1-24-5"</f>
        <v>1-24-5</v>
      </c>
      <c r="F1169" t="s">
        <v>65</v>
      </c>
      <c r="G1169" t="s">
        <v>66</v>
      </c>
      <c r="H1169" t="s">
        <v>67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1</v>
      </c>
      <c r="Y1169">
        <v>0</v>
      </c>
      <c r="Z1169">
        <v>1</v>
      </c>
      <c r="AA1169">
        <v>0</v>
      </c>
      <c r="AB1169">
        <v>0</v>
      </c>
      <c r="AC1169">
        <v>1</v>
      </c>
      <c r="AD1169">
        <v>1</v>
      </c>
      <c r="AE1169">
        <v>1</v>
      </c>
      <c r="AF1169">
        <v>1</v>
      </c>
      <c r="AG1169">
        <v>1</v>
      </c>
      <c r="AH1169">
        <v>1</v>
      </c>
      <c r="AI1169">
        <v>1</v>
      </c>
      <c r="AJ1169">
        <v>1</v>
      </c>
      <c r="AK1169">
        <v>1</v>
      </c>
      <c r="AL1169">
        <v>1</v>
      </c>
      <c r="AM1169">
        <v>1</v>
      </c>
    </row>
    <row r="1170" spans="1:39" x14ac:dyDescent="0.2">
      <c r="A1170" t="str">
        <f>"1166"</f>
        <v>1166</v>
      </c>
      <c r="B1170" t="str">
        <f t="shared" si="64"/>
        <v>1</v>
      </c>
      <c r="C1170" t="str">
        <f t="shared" si="65"/>
        <v>24</v>
      </c>
      <c r="D1170" t="str">
        <f>"42"</f>
        <v>42</v>
      </c>
      <c r="E1170" t="str">
        <f>"1-24-42"</f>
        <v>1-24-42</v>
      </c>
      <c r="F1170" t="s">
        <v>65</v>
      </c>
      <c r="G1170" t="s">
        <v>66</v>
      </c>
      <c r="H1170" t="s">
        <v>67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0</v>
      </c>
      <c r="AI1170">
        <v>1</v>
      </c>
      <c r="AJ1170">
        <v>1</v>
      </c>
      <c r="AK1170">
        <v>0</v>
      </c>
      <c r="AL1170">
        <v>1</v>
      </c>
      <c r="AM1170">
        <v>0</v>
      </c>
    </row>
    <row r="1171" spans="1:39" x14ac:dyDescent="0.2">
      <c r="A1171" t="str">
        <f>"1167"</f>
        <v>1167</v>
      </c>
      <c r="B1171" t="str">
        <f t="shared" si="64"/>
        <v>1</v>
      </c>
      <c r="C1171" t="str">
        <f t="shared" si="65"/>
        <v>24</v>
      </c>
      <c r="D1171" t="str">
        <f>"41"</f>
        <v>41</v>
      </c>
      <c r="E1171" t="str">
        <f>"1-24-41"</f>
        <v>1-24-41</v>
      </c>
      <c r="F1171" t="s">
        <v>65</v>
      </c>
      <c r="G1171" t="s">
        <v>66</v>
      </c>
      <c r="H1171" t="s">
        <v>67</v>
      </c>
      <c r="S1171">
        <v>0</v>
      </c>
      <c r="T1171">
        <v>1</v>
      </c>
      <c r="U1171">
        <v>0</v>
      </c>
      <c r="V1171">
        <v>0</v>
      </c>
      <c r="W1171">
        <v>1</v>
      </c>
      <c r="X1171">
        <v>0</v>
      </c>
      <c r="Y1171">
        <v>1</v>
      </c>
      <c r="Z1171">
        <v>0</v>
      </c>
      <c r="AA1171">
        <v>0</v>
      </c>
      <c r="AB1171">
        <v>0</v>
      </c>
      <c r="AC1171">
        <v>1</v>
      </c>
      <c r="AD1171">
        <v>1</v>
      </c>
      <c r="AE1171">
        <v>1</v>
      </c>
      <c r="AF1171">
        <v>1</v>
      </c>
      <c r="AG1171">
        <v>1</v>
      </c>
      <c r="AH1171">
        <v>1</v>
      </c>
      <c r="AI1171">
        <v>1</v>
      </c>
      <c r="AJ1171">
        <v>1</v>
      </c>
      <c r="AK1171">
        <v>1</v>
      </c>
      <c r="AL1171">
        <v>1</v>
      </c>
      <c r="AM1171">
        <v>1</v>
      </c>
    </row>
    <row r="1172" spans="1:39" x14ac:dyDescent="0.2">
      <c r="A1172" t="str">
        <f>"1168"</f>
        <v>1168</v>
      </c>
      <c r="B1172" t="str">
        <f t="shared" si="64"/>
        <v>1</v>
      </c>
      <c r="C1172" t="str">
        <f t="shared" si="65"/>
        <v>24</v>
      </c>
      <c r="D1172" t="str">
        <f>"32"</f>
        <v>32</v>
      </c>
      <c r="E1172" t="str">
        <f>"1-24-32"</f>
        <v>1-24-32</v>
      </c>
      <c r="F1172" t="s">
        <v>65</v>
      </c>
      <c r="G1172" t="s">
        <v>66</v>
      </c>
      <c r="H1172" t="s">
        <v>67</v>
      </c>
      <c r="S1172">
        <v>0</v>
      </c>
      <c r="T1172">
        <v>1</v>
      </c>
      <c r="U1172">
        <v>0</v>
      </c>
      <c r="V1172">
        <v>0</v>
      </c>
      <c r="W1172">
        <v>1</v>
      </c>
      <c r="X1172">
        <v>0</v>
      </c>
      <c r="Y1172">
        <v>1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1</v>
      </c>
      <c r="AF1172">
        <v>1</v>
      </c>
      <c r="AG1172">
        <v>1</v>
      </c>
      <c r="AH1172">
        <v>1</v>
      </c>
      <c r="AI1172">
        <v>1</v>
      </c>
      <c r="AJ1172">
        <v>1</v>
      </c>
      <c r="AK1172">
        <v>1</v>
      </c>
      <c r="AL1172">
        <v>1</v>
      </c>
      <c r="AM1172">
        <v>1</v>
      </c>
    </row>
    <row r="1173" spans="1:39" x14ac:dyDescent="0.2">
      <c r="A1173" t="str">
        <f>"1169"</f>
        <v>1169</v>
      </c>
      <c r="B1173" t="str">
        <f t="shared" si="64"/>
        <v>1</v>
      </c>
      <c r="C1173" t="str">
        <f t="shared" si="65"/>
        <v>24</v>
      </c>
      <c r="D1173" t="str">
        <f>"18"</f>
        <v>18</v>
      </c>
      <c r="E1173" t="str">
        <f>"1-24-18"</f>
        <v>1-24-18</v>
      </c>
      <c r="F1173" t="s">
        <v>65</v>
      </c>
      <c r="G1173" t="s">
        <v>66</v>
      </c>
      <c r="H1173" t="s">
        <v>67</v>
      </c>
      <c r="S1173">
        <v>1</v>
      </c>
      <c r="T1173">
        <v>0</v>
      </c>
      <c r="U1173">
        <v>0</v>
      </c>
      <c r="V1173">
        <v>0</v>
      </c>
      <c r="W1173">
        <v>1</v>
      </c>
      <c r="X1173">
        <v>0</v>
      </c>
      <c r="Y1173">
        <v>1</v>
      </c>
      <c r="Z1173">
        <v>0</v>
      </c>
      <c r="AA1173">
        <v>0</v>
      </c>
      <c r="AB1173">
        <v>0</v>
      </c>
      <c r="AC1173">
        <v>1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</row>
    <row r="1174" spans="1:39" x14ac:dyDescent="0.2">
      <c r="A1174" t="str">
        <f>"1170"</f>
        <v>1170</v>
      </c>
      <c r="B1174" t="str">
        <f t="shared" si="64"/>
        <v>1</v>
      </c>
      <c r="C1174" t="str">
        <f t="shared" si="65"/>
        <v>24</v>
      </c>
      <c r="D1174" t="str">
        <f>"10"</f>
        <v>10</v>
      </c>
      <c r="E1174" t="str">
        <f>"1-24-10"</f>
        <v>1-24-10</v>
      </c>
      <c r="F1174" t="s">
        <v>65</v>
      </c>
      <c r="G1174" t="s">
        <v>66</v>
      </c>
      <c r="H1174" t="s">
        <v>67</v>
      </c>
      <c r="S1174">
        <v>1</v>
      </c>
      <c r="T1174">
        <v>0</v>
      </c>
      <c r="U1174">
        <v>0</v>
      </c>
      <c r="V1174">
        <v>0</v>
      </c>
      <c r="W1174">
        <v>1</v>
      </c>
      <c r="X1174">
        <v>0</v>
      </c>
      <c r="Y1174">
        <v>1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1</v>
      </c>
      <c r="AF1174">
        <v>1</v>
      </c>
      <c r="AG1174">
        <v>1</v>
      </c>
      <c r="AH1174">
        <v>0</v>
      </c>
      <c r="AI1174">
        <v>1</v>
      </c>
      <c r="AJ1174">
        <v>1</v>
      </c>
      <c r="AK1174">
        <v>1</v>
      </c>
      <c r="AL1174">
        <v>1</v>
      </c>
      <c r="AM1174">
        <v>1</v>
      </c>
    </row>
    <row r="1175" spans="1:39" x14ac:dyDescent="0.2">
      <c r="A1175" t="str">
        <f>"1171"</f>
        <v>1171</v>
      </c>
      <c r="B1175" t="str">
        <f t="shared" si="64"/>
        <v>1</v>
      </c>
      <c r="C1175" t="str">
        <f t="shared" si="65"/>
        <v>24</v>
      </c>
      <c r="D1175" t="str">
        <f>"37"</f>
        <v>37</v>
      </c>
      <c r="E1175" t="str">
        <f>"1-24-37"</f>
        <v>1-24-37</v>
      </c>
      <c r="F1175" t="s">
        <v>65</v>
      </c>
      <c r="G1175" t="s">
        <v>66</v>
      </c>
      <c r="H1175" t="s">
        <v>67</v>
      </c>
      <c r="S1175">
        <v>1</v>
      </c>
      <c r="T1175">
        <v>0</v>
      </c>
      <c r="U1175">
        <v>0</v>
      </c>
      <c r="V1175">
        <v>0</v>
      </c>
      <c r="W1175">
        <v>1</v>
      </c>
      <c r="X1175">
        <v>0</v>
      </c>
      <c r="Y1175">
        <v>1</v>
      </c>
      <c r="Z1175">
        <v>0</v>
      </c>
      <c r="AA1175">
        <v>0</v>
      </c>
      <c r="AB1175">
        <v>0</v>
      </c>
      <c r="AC1175">
        <v>1</v>
      </c>
      <c r="AD1175">
        <v>1</v>
      </c>
      <c r="AE1175">
        <v>1</v>
      </c>
      <c r="AF1175">
        <v>1</v>
      </c>
      <c r="AG1175">
        <v>1</v>
      </c>
      <c r="AH1175">
        <v>1</v>
      </c>
      <c r="AI1175">
        <v>1</v>
      </c>
      <c r="AJ1175">
        <v>1</v>
      </c>
      <c r="AK1175">
        <v>1</v>
      </c>
      <c r="AL1175">
        <v>1</v>
      </c>
      <c r="AM1175">
        <v>1</v>
      </c>
    </row>
    <row r="1176" spans="1:39" x14ac:dyDescent="0.2">
      <c r="A1176" t="str">
        <f>"1172"</f>
        <v>1172</v>
      </c>
      <c r="B1176" t="str">
        <f t="shared" si="64"/>
        <v>1</v>
      </c>
      <c r="C1176" t="str">
        <f t="shared" si="65"/>
        <v>24</v>
      </c>
      <c r="D1176" t="str">
        <f>"19"</f>
        <v>19</v>
      </c>
      <c r="E1176" t="str">
        <f>"1-24-19"</f>
        <v>1-24-19</v>
      </c>
      <c r="F1176" t="s">
        <v>65</v>
      </c>
      <c r="G1176" t="s">
        <v>66</v>
      </c>
      <c r="H1176" t="s">
        <v>67</v>
      </c>
      <c r="S1176">
        <v>1</v>
      </c>
      <c r="T1176">
        <v>0</v>
      </c>
      <c r="U1176">
        <v>0</v>
      </c>
      <c r="V1176">
        <v>0</v>
      </c>
      <c r="W1176">
        <v>1</v>
      </c>
      <c r="X1176">
        <v>0</v>
      </c>
      <c r="Y1176">
        <v>1</v>
      </c>
      <c r="Z1176">
        <v>0</v>
      </c>
      <c r="AA1176">
        <v>0</v>
      </c>
      <c r="AB1176">
        <v>1</v>
      </c>
      <c r="AC1176">
        <v>0</v>
      </c>
      <c r="AD1176">
        <v>1</v>
      </c>
      <c r="AE1176">
        <v>1</v>
      </c>
      <c r="AF1176">
        <v>0</v>
      </c>
      <c r="AG1176">
        <v>1</v>
      </c>
      <c r="AH1176">
        <v>1</v>
      </c>
      <c r="AI1176">
        <v>1</v>
      </c>
      <c r="AJ1176">
        <v>0</v>
      </c>
      <c r="AK1176">
        <v>1</v>
      </c>
      <c r="AL1176">
        <v>1</v>
      </c>
      <c r="AM1176">
        <v>1</v>
      </c>
    </row>
    <row r="1177" spans="1:39" x14ac:dyDescent="0.2">
      <c r="A1177" t="str">
        <f>"1173"</f>
        <v>1173</v>
      </c>
      <c r="B1177" t="str">
        <f t="shared" si="64"/>
        <v>1</v>
      </c>
      <c r="C1177" t="str">
        <f t="shared" si="65"/>
        <v>24</v>
      </c>
      <c r="D1177" t="str">
        <f>"13"</f>
        <v>13</v>
      </c>
      <c r="E1177" t="str">
        <f>"1-24-13"</f>
        <v>1-24-13</v>
      </c>
      <c r="F1177" t="s">
        <v>65</v>
      </c>
      <c r="G1177" t="s">
        <v>66</v>
      </c>
      <c r="H1177" t="s">
        <v>67</v>
      </c>
      <c r="S1177">
        <v>1</v>
      </c>
      <c r="T1177">
        <v>0</v>
      </c>
      <c r="U1177">
        <v>0</v>
      </c>
      <c r="V1177">
        <v>0</v>
      </c>
      <c r="W1177">
        <v>1</v>
      </c>
      <c r="X1177">
        <v>0</v>
      </c>
      <c r="Y1177">
        <v>0</v>
      </c>
      <c r="Z1177">
        <v>1</v>
      </c>
      <c r="AA1177">
        <v>0</v>
      </c>
      <c r="AB1177">
        <v>0</v>
      </c>
      <c r="AC1177">
        <v>1</v>
      </c>
      <c r="AD1177">
        <v>1</v>
      </c>
      <c r="AE1177">
        <v>1</v>
      </c>
      <c r="AF1177">
        <v>1</v>
      </c>
      <c r="AG1177">
        <v>1</v>
      </c>
      <c r="AH1177">
        <v>1</v>
      </c>
      <c r="AI1177">
        <v>1</v>
      </c>
      <c r="AJ1177">
        <v>1</v>
      </c>
      <c r="AK1177">
        <v>1</v>
      </c>
      <c r="AL1177">
        <v>1</v>
      </c>
      <c r="AM1177">
        <v>1</v>
      </c>
    </row>
    <row r="1178" spans="1:39" x14ac:dyDescent="0.2">
      <c r="A1178" t="str">
        <f>"1174"</f>
        <v>1174</v>
      </c>
      <c r="B1178" t="str">
        <f t="shared" si="64"/>
        <v>1</v>
      </c>
      <c r="C1178" t="str">
        <f t="shared" si="65"/>
        <v>24</v>
      </c>
      <c r="D1178" t="str">
        <f>"48"</f>
        <v>48</v>
      </c>
      <c r="E1178" t="str">
        <f>"1-24-48"</f>
        <v>1-24-48</v>
      </c>
      <c r="F1178" t="s">
        <v>65</v>
      </c>
      <c r="G1178" t="s">
        <v>66</v>
      </c>
      <c r="H1178" t="s">
        <v>67</v>
      </c>
      <c r="S1178">
        <v>1</v>
      </c>
      <c r="T1178">
        <v>0</v>
      </c>
      <c r="U1178">
        <v>0</v>
      </c>
      <c r="V1178">
        <v>0</v>
      </c>
      <c r="W1178">
        <v>1</v>
      </c>
      <c r="X1178">
        <v>0</v>
      </c>
      <c r="Y1178">
        <v>1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1</v>
      </c>
      <c r="AF1178">
        <v>1</v>
      </c>
      <c r="AG1178">
        <v>1</v>
      </c>
      <c r="AH1178">
        <v>1</v>
      </c>
      <c r="AI1178">
        <v>1</v>
      </c>
      <c r="AJ1178">
        <v>1</v>
      </c>
      <c r="AK1178">
        <v>1</v>
      </c>
      <c r="AL1178">
        <v>1</v>
      </c>
      <c r="AM1178">
        <v>1</v>
      </c>
    </row>
    <row r="1179" spans="1:39" x14ac:dyDescent="0.2">
      <c r="A1179" t="str">
        <f>"1175"</f>
        <v>1175</v>
      </c>
      <c r="B1179" t="str">
        <f t="shared" si="64"/>
        <v>1</v>
      </c>
      <c r="C1179" t="str">
        <f t="shared" si="65"/>
        <v>24</v>
      </c>
      <c r="D1179" t="str">
        <f>"20"</f>
        <v>20</v>
      </c>
      <c r="E1179" t="str">
        <f>"1-24-20"</f>
        <v>1-24-20</v>
      </c>
      <c r="F1179" t="s">
        <v>65</v>
      </c>
      <c r="G1179" t="s">
        <v>66</v>
      </c>
      <c r="H1179" t="s">
        <v>67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1</v>
      </c>
      <c r="AH1179">
        <v>1</v>
      </c>
      <c r="AI1179">
        <v>1</v>
      </c>
      <c r="AJ1179">
        <v>0</v>
      </c>
      <c r="AK1179">
        <v>0</v>
      </c>
      <c r="AL1179">
        <v>1</v>
      </c>
      <c r="AM1179">
        <v>0</v>
      </c>
    </row>
    <row r="1180" spans="1:39" x14ac:dyDescent="0.2">
      <c r="A1180" t="str">
        <f>"1176"</f>
        <v>1176</v>
      </c>
      <c r="B1180" t="str">
        <f t="shared" si="64"/>
        <v>1</v>
      </c>
      <c r="C1180" t="str">
        <f t="shared" si="65"/>
        <v>24</v>
      </c>
      <c r="D1180" t="str">
        <f>"7"</f>
        <v>7</v>
      </c>
      <c r="E1180" t="str">
        <f>"1-24-7"</f>
        <v>1-24-7</v>
      </c>
      <c r="F1180" t="s">
        <v>65</v>
      </c>
      <c r="G1180" t="s">
        <v>66</v>
      </c>
      <c r="H1180" t="s">
        <v>67</v>
      </c>
      <c r="S1180">
        <v>0</v>
      </c>
      <c r="T1180">
        <v>1</v>
      </c>
      <c r="U1180">
        <v>0</v>
      </c>
      <c r="V1180">
        <v>0</v>
      </c>
      <c r="W1180">
        <v>1</v>
      </c>
      <c r="X1180">
        <v>0</v>
      </c>
      <c r="Y1180">
        <v>0</v>
      </c>
      <c r="Z1180">
        <v>1</v>
      </c>
      <c r="AA1180">
        <v>0</v>
      </c>
      <c r="AB1180">
        <v>1</v>
      </c>
      <c r="AC1180">
        <v>0</v>
      </c>
      <c r="AD1180">
        <v>1</v>
      </c>
      <c r="AE1180">
        <v>1</v>
      </c>
      <c r="AF1180">
        <v>1</v>
      </c>
      <c r="AG1180">
        <v>1</v>
      </c>
      <c r="AH1180">
        <v>1</v>
      </c>
      <c r="AI1180">
        <v>1</v>
      </c>
      <c r="AJ1180">
        <v>1</v>
      </c>
      <c r="AK1180">
        <v>1</v>
      </c>
      <c r="AL1180">
        <v>1</v>
      </c>
      <c r="AM1180">
        <v>1</v>
      </c>
    </row>
    <row r="1181" spans="1:39" x14ac:dyDescent="0.2">
      <c r="A1181" t="str">
        <f>"1177"</f>
        <v>1177</v>
      </c>
      <c r="B1181" t="str">
        <f t="shared" si="64"/>
        <v>1</v>
      </c>
      <c r="C1181" t="str">
        <f t="shared" si="65"/>
        <v>24</v>
      </c>
      <c r="D1181" t="str">
        <f>"38"</f>
        <v>38</v>
      </c>
      <c r="E1181" t="str">
        <f>"1-24-38"</f>
        <v>1-24-38</v>
      </c>
      <c r="F1181" t="s">
        <v>65</v>
      </c>
      <c r="G1181" t="s">
        <v>66</v>
      </c>
      <c r="H1181" t="s">
        <v>67</v>
      </c>
      <c r="S1181">
        <v>1</v>
      </c>
      <c r="T1181">
        <v>0</v>
      </c>
      <c r="U1181">
        <v>0</v>
      </c>
      <c r="V1181">
        <v>0</v>
      </c>
      <c r="W1181">
        <v>1</v>
      </c>
      <c r="X1181">
        <v>0</v>
      </c>
      <c r="Y1181">
        <v>1</v>
      </c>
      <c r="Z1181">
        <v>0</v>
      </c>
      <c r="AA1181">
        <v>1</v>
      </c>
      <c r="AB1181">
        <v>0</v>
      </c>
      <c r="AC1181">
        <v>0</v>
      </c>
      <c r="AD1181">
        <v>0</v>
      </c>
      <c r="AE1181">
        <v>1</v>
      </c>
      <c r="AF1181">
        <v>0</v>
      </c>
      <c r="AG1181">
        <v>1</v>
      </c>
      <c r="AH1181">
        <v>1</v>
      </c>
      <c r="AI1181">
        <v>1</v>
      </c>
      <c r="AJ1181">
        <v>1</v>
      </c>
      <c r="AK1181">
        <v>1</v>
      </c>
      <c r="AL1181">
        <v>0</v>
      </c>
      <c r="AM1181">
        <v>1</v>
      </c>
    </row>
    <row r="1182" spans="1:39" x14ac:dyDescent="0.2">
      <c r="A1182" t="str">
        <f>"1178"</f>
        <v>1178</v>
      </c>
      <c r="B1182" t="str">
        <f t="shared" si="64"/>
        <v>1</v>
      </c>
      <c r="C1182" t="str">
        <f t="shared" si="65"/>
        <v>24</v>
      </c>
      <c r="D1182" t="str">
        <f>"21"</f>
        <v>21</v>
      </c>
      <c r="E1182" t="str">
        <f>"1-24-21"</f>
        <v>1-24-21</v>
      </c>
      <c r="F1182" t="s">
        <v>65</v>
      </c>
      <c r="G1182" t="s">
        <v>66</v>
      </c>
      <c r="H1182" t="s">
        <v>67</v>
      </c>
      <c r="S1182">
        <v>0</v>
      </c>
      <c r="T1182">
        <v>1</v>
      </c>
      <c r="U1182">
        <v>0</v>
      </c>
      <c r="V1182">
        <v>0</v>
      </c>
      <c r="W1182">
        <v>1</v>
      </c>
      <c r="X1182">
        <v>0</v>
      </c>
      <c r="Y1182">
        <v>1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1</v>
      </c>
      <c r="AH1182">
        <v>1</v>
      </c>
      <c r="AI1182">
        <v>0</v>
      </c>
      <c r="AJ1182">
        <v>0</v>
      </c>
      <c r="AK1182">
        <v>0</v>
      </c>
      <c r="AL1182">
        <v>0</v>
      </c>
      <c r="AM1182">
        <v>0</v>
      </c>
    </row>
    <row r="1183" spans="1:39" x14ac:dyDescent="0.2">
      <c r="A1183" t="str">
        <f>"1179"</f>
        <v>1179</v>
      </c>
      <c r="B1183" t="str">
        <f t="shared" si="64"/>
        <v>1</v>
      </c>
      <c r="C1183" t="str">
        <f t="shared" si="65"/>
        <v>24</v>
      </c>
      <c r="D1183" t="str">
        <f>"3"</f>
        <v>3</v>
      </c>
      <c r="E1183" t="str">
        <f>"1-24-3"</f>
        <v>1-24-3</v>
      </c>
      <c r="F1183" t="s">
        <v>65</v>
      </c>
      <c r="G1183" t="s">
        <v>66</v>
      </c>
      <c r="H1183" t="s">
        <v>67</v>
      </c>
      <c r="S1183">
        <v>1</v>
      </c>
      <c r="T1183">
        <v>0</v>
      </c>
      <c r="U1183">
        <v>0</v>
      </c>
      <c r="V1183">
        <v>0</v>
      </c>
      <c r="W1183">
        <v>1</v>
      </c>
      <c r="X1183">
        <v>0</v>
      </c>
      <c r="Y1183">
        <v>1</v>
      </c>
      <c r="Z1183">
        <v>0</v>
      </c>
      <c r="AA1183">
        <v>0</v>
      </c>
      <c r="AB1183">
        <v>1</v>
      </c>
      <c r="AC1183">
        <v>0</v>
      </c>
      <c r="AD1183">
        <v>1</v>
      </c>
      <c r="AE1183">
        <v>1</v>
      </c>
      <c r="AF1183">
        <v>1</v>
      </c>
      <c r="AG1183">
        <v>1</v>
      </c>
      <c r="AH1183">
        <v>1</v>
      </c>
      <c r="AI1183">
        <v>1</v>
      </c>
      <c r="AJ1183">
        <v>1</v>
      </c>
      <c r="AK1183">
        <v>1</v>
      </c>
      <c r="AL1183">
        <v>1</v>
      </c>
      <c r="AM1183">
        <v>1</v>
      </c>
    </row>
    <row r="1184" spans="1:39" x14ac:dyDescent="0.2">
      <c r="A1184" t="str">
        <f>"1180"</f>
        <v>1180</v>
      </c>
      <c r="B1184" t="str">
        <f t="shared" si="64"/>
        <v>1</v>
      </c>
      <c r="C1184" t="str">
        <f t="shared" si="65"/>
        <v>24</v>
      </c>
      <c r="D1184" t="str">
        <f>"39"</f>
        <v>39</v>
      </c>
      <c r="E1184" t="str">
        <f>"1-24-39"</f>
        <v>1-24-39</v>
      </c>
      <c r="F1184" t="s">
        <v>65</v>
      </c>
      <c r="G1184" t="s">
        <v>66</v>
      </c>
      <c r="H1184" t="s">
        <v>67</v>
      </c>
      <c r="S1184">
        <v>1</v>
      </c>
      <c r="T1184">
        <v>0</v>
      </c>
      <c r="U1184">
        <v>0</v>
      </c>
      <c r="V1184">
        <v>0</v>
      </c>
      <c r="W1184">
        <v>1</v>
      </c>
      <c r="X1184">
        <v>0</v>
      </c>
      <c r="Y1184">
        <v>0</v>
      </c>
      <c r="Z1184">
        <v>1</v>
      </c>
      <c r="AA1184">
        <v>0</v>
      </c>
      <c r="AB1184">
        <v>1</v>
      </c>
      <c r="AC1184">
        <v>0</v>
      </c>
      <c r="AD1184">
        <v>1</v>
      </c>
      <c r="AE1184">
        <v>1</v>
      </c>
      <c r="AF1184">
        <v>1</v>
      </c>
      <c r="AG1184">
        <v>1</v>
      </c>
      <c r="AH1184">
        <v>1</v>
      </c>
      <c r="AI1184">
        <v>1</v>
      </c>
      <c r="AJ1184">
        <v>1</v>
      </c>
      <c r="AK1184">
        <v>1</v>
      </c>
      <c r="AL1184">
        <v>1</v>
      </c>
      <c r="AM1184">
        <v>1</v>
      </c>
    </row>
    <row r="1185" spans="1:39" x14ac:dyDescent="0.2">
      <c r="A1185" t="str">
        <f>"1181"</f>
        <v>1181</v>
      </c>
      <c r="B1185" t="str">
        <f t="shared" si="64"/>
        <v>1</v>
      </c>
      <c r="C1185" t="str">
        <f t="shared" si="65"/>
        <v>24</v>
      </c>
      <c r="D1185" t="str">
        <f>"22"</f>
        <v>22</v>
      </c>
      <c r="E1185" t="str">
        <f>"1-24-22"</f>
        <v>1-24-22</v>
      </c>
      <c r="F1185" t="s">
        <v>65</v>
      </c>
      <c r="G1185" t="s">
        <v>66</v>
      </c>
      <c r="H1185" t="s">
        <v>67</v>
      </c>
      <c r="S1185">
        <v>0</v>
      </c>
      <c r="T1185">
        <v>0</v>
      </c>
      <c r="U1185">
        <v>0</v>
      </c>
      <c r="V1185">
        <v>0</v>
      </c>
      <c r="W1185">
        <v>1</v>
      </c>
      <c r="X1185">
        <v>0</v>
      </c>
      <c r="Y1185">
        <v>1</v>
      </c>
      <c r="Z1185">
        <v>0</v>
      </c>
      <c r="AA1185">
        <v>0</v>
      </c>
      <c r="AB1185">
        <v>0</v>
      </c>
      <c r="AC1185">
        <v>1</v>
      </c>
      <c r="AD1185">
        <v>1</v>
      </c>
      <c r="AE1185">
        <v>1</v>
      </c>
      <c r="AF1185">
        <v>1</v>
      </c>
      <c r="AG1185">
        <v>1</v>
      </c>
      <c r="AH1185">
        <v>1</v>
      </c>
      <c r="AI1185">
        <v>1</v>
      </c>
      <c r="AJ1185">
        <v>1</v>
      </c>
      <c r="AK1185">
        <v>1</v>
      </c>
      <c r="AL1185">
        <v>1</v>
      </c>
      <c r="AM1185">
        <v>1</v>
      </c>
    </row>
    <row r="1186" spans="1:39" x14ac:dyDescent="0.2">
      <c r="A1186" t="str">
        <f>"1182"</f>
        <v>1182</v>
      </c>
      <c r="B1186" t="str">
        <f t="shared" si="64"/>
        <v>1</v>
      </c>
      <c r="C1186" t="str">
        <f t="shared" si="65"/>
        <v>24</v>
      </c>
      <c r="D1186" t="str">
        <f>"4"</f>
        <v>4</v>
      </c>
      <c r="E1186" t="str">
        <f>"1-24-4"</f>
        <v>1-24-4</v>
      </c>
      <c r="F1186" t="s">
        <v>65</v>
      </c>
      <c r="G1186" t="s">
        <v>66</v>
      </c>
      <c r="H1186" t="s">
        <v>67</v>
      </c>
      <c r="S1186">
        <v>1</v>
      </c>
      <c r="T1186">
        <v>0</v>
      </c>
      <c r="U1186">
        <v>0</v>
      </c>
      <c r="V1186">
        <v>0</v>
      </c>
      <c r="W1186">
        <v>1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1</v>
      </c>
      <c r="AH1186">
        <v>0</v>
      </c>
      <c r="AI1186">
        <v>1</v>
      </c>
      <c r="AJ1186">
        <v>0</v>
      </c>
      <c r="AK1186">
        <v>1</v>
      </c>
      <c r="AL1186">
        <v>1</v>
      </c>
      <c r="AM1186">
        <v>0</v>
      </c>
    </row>
    <row r="1187" spans="1:39" x14ac:dyDescent="0.2">
      <c r="A1187" t="str">
        <f>"1183"</f>
        <v>1183</v>
      </c>
      <c r="B1187" t="str">
        <f t="shared" si="64"/>
        <v>1</v>
      </c>
      <c r="C1187" t="str">
        <f t="shared" ref="C1187:C1204" si="66">"24"</f>
        <v>24</v>
      </c>
      <c r="D1187" t="str">
        <f>"40"</f>
        <v>40</v>
      </c>
      <c r="E1187" t="str">
        <f>"1-24-40"</f>
        <v>1-24-40</v>
      </c>
      <c r="F1187" t="s">
        <v>65</v>
      </c>
      <c r="G1187" t="s">
        <v>66</v>
      </c>
      <c r="H1187" t="s">
        <v>67</v>
      </c>
      <c r="S1187">
        <v>1</v>
      </c>
      <c r="T1187">
        <v>0</v>
      </c>
      <c r="U1187">
        <v>0</v>
      </c>
      <c r="V1187">
        <v>0</v>
      </c>
      <c r="W1187">
        <v>1</v>
      </c>
      <c r="X1187">
        <v>0</v>
      </c>
      <c r="Y1187">
        <v>1</v>
      </c>
      <c r="Z1187">
        <v>0</v>
      </c>
      <c r="AA1187">
        <v>0</v>
      </c>
      <c r="AB1187">
        <v>1</v>
      </c>
      <c r="AC1187">
        <v>0</v>
      </c>
      <c r="AD1187">
        <v>0</v>
      </c>
      <c r="AE1187">
        <v>0</v>
      </c>
      <c r="AF1187">
        <v>0</v>
      </c>
      <c r="AG1187">
        <v>1</v>
      </c>
      <c r="AH1187">
        <v>0</v>
      </c>
      <c r="AI1187">
        <v>0</v>
      </c>
      <c r="AJ1187">
        <v>1</v>
      </c>
      <c r="AK1187">
        <v>1</v>
      </c>
      <c r="AL1187">
        <v>0</v>
      </c>
      <c r="AM1187">
        <v>0</v>
      </c>
    </row>
    <row r="1188" spans="1:39" x14ac:dyDescent="0.2">
      <c r="A1188" t="str">
        <f>"1184"</f>
        <v>1184</v>
      </c>
      <c r="B1188" t="str">
        <f t="shared" si="64"/>
        <v>1</v>
      </c>
      <c r="C1188" t="str">
        <f t="shared" si="66"/>
        <v>24</v>
      </c>
      <c r="D1188" t="str">
        <f>"23"</f>
        <v>23</v>
      </c>
      <c r="E1188" t="str">
        <f>"1-24-23"</f>
        <v>1-24-23</v>
      </c>
      <c r="F1188" t="s">
        <v>65</v>
      </c>
      <c r="G1188" t="s">
        <v>66</v>
      </c>
      <c r="H1188" t="s">
        <v>67</v>
      </c>
      <c r="S1188">
        <v>1</v>
      </c>
      <c r="T1188">
        <v>0</v>
      </c>
      <c r="U1188">
        <v>0</v>
      </c>
      <c r="V1188">
        <v>0</v>
      </c>
      <c r="W1188">
        <v>1</v>
      </c>
      <c r="X1188">
        <v>0</v>
      </c>
      <c r="Y1188">
        <v>0</v>
      </c>
      <c r="Z1188">
        <v>1</v>
      </c>
      <c r="AA1188">
        <v>0</v>
      </c>
      <c r="AB1188">
        <v>1</v>
      </c>
      <c r="AC1188">
        <v>0</v>
      </c>
      <c r="AD1188">
        <v>1</v>
      </c>
      <c r="AE1188">
        <v>1</v>
      </c>
      <c r="AF1188">
        <v>1</v>
      </c>
      <c r="AG1188">
        <v>1</v>
      </c>
      <c r="AH1188">
        <v>1</v>
      </c>
      <c r="AI1188">
        <v>1</v>
      </c>
      <c r="AJ1188">
        <v>1</v>
      </c>
      <c r="AK1188">
        <v>1</v>
      </c>
      <c r="AL1188">
        <v>1</v>
      </c>
      <c r="AM1188">
        <v>1</v>
      </c>
    </row>
    <row r="1189" spans="1:39" x14ac:dyDescent="0.2">
      <c r="A1189" t="str">
        <f>"1185"</f>
        <v>1185</v>
      </c>
      <c r="B1189" t="str">
        <f t="shared" si="64"/>
        <v>1</v>
      </c>
      <c r="C1189" t="str">
        <f t="shared" si="66"/>
        <v>24</v>
      </c>
      <c r="D1189" t="str">
        <f>"14"</f>
        <v>14</v>
      </c>
      <c r="E1189" t="str">
        <f>"1-24-14"</f>
        <v>1-24-14</v>
      </c>
      <c r="F1189" t="s">
        <v>65</v>
      </c>
      <c r="G1189" t="s">
        <v>66</v>
      </c>
      <c r="H1189" t="s">
        <v>67</v>
      </c>
      <c r="S1189">
        <v>0</v>
      </c>
      <c r="T1189">
        <v>1</v>
      </c>
      <c r="U1189">
        <v>0</v>
      </c>
      <c r="V1189">
        <v>0</v>
      </c>
      <c r="W1189">
        <v>0</v>
      </c>
      <c r="X1189">
        <v>1</v>
      </c>
      <c r="Y1189">
        <v>1</v>
      </c>
      <c r="Z1189">
        <v>0</v>
      </c>
      <c r="AA1189">
        <v>0</v>
      </c>
      <c r="AB1189">
        <v>1</v>
      </c>
      <c r="AC1189">
        <v>0</v>
      </c>
      <c r="AD1189">
        <v>1</v>
      </c>
      <c r="AE1189">
        <v>1</v>
      </c>
      <c r="AF1189">
        <v>1</v>
      </c>
      <c r="AG1189">
        <v>1</v>
      </c>
      <c r="AH1189">
        <v>1</v>
      </c>
      <c r="AI1189">
        <v>1</v>
      </c>
      <c r="AJ1189">
        <v>1</v>
      </c>
      <c r="AK1189">
        <v>1</v>
      </c>
      <c r="AL1189">
        <v>1</v>
      </c>
      <c r="AM1189">
        <v>1</v>
      </c>
    </row>
    <row r="1190" spans="1:39" x14ac:dyDescent="0.2">
      <c r="A1190" t="str">
        <f>"1186"</f>
        <v>1186</v>
      </c>
      <c r="B1190" t="str">
        <f t="shared" si="64"/>
        <v>1</v>
      </c>
      <c r="C1190" t="str">
        <f t="shared" si="66"/>
        <v>24</v>
      </c>
      <c r="D1190" t="str">
        <f>"45"</f>
        <v>45</v>
      </c>
      <c r="E1190" t="str">
        <f>"1-24-45"</f>
        <v>1-24-45</v>
      </c>
      <c r="F1190" t="s">
        <v>65</v>
      </c>
      <c r="G1190" t="s">
        <v>66</v>
      </c>
      <c r="H1190" t="s">
        <v>67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1</v>
      </c>
      <c r="Y1190">
        <v>0</v>
      </c>
      <c r="Z1190">
        <v>1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1</v>
      </c>
      <c r="AH1190">
        <v>1</v>
      </c>
      <c r="AI1190">
        <v>1</v>
      </c>
      <c r="AJ1190">
        <v>1</v>
      </c>
      <c r="AK1190">
        <v>1</v>
      </c>
      <c r="AL1190">
        <v>1</v>
      </c>
      <c r="AM1190">
        <v>0</v>
      </c>
    </row>
    <row r="1191" spans="1:39" x14ac:dyDescent="0.2">
      <c r="A1191" t="str">
        <f>"1187"</f>
        <v>1187</v>
      </c>
      <c r="B1191" t="str">
        <f t="shared" si="64"/>
        <v>1</v>
      </c>
      <c r="C1191" t="str">
        <f t="shared" si="66"/>
        <v>24</v>
      </c>
      <c r="D1191" t="str">
        <f>"26"</f>
        <v>26</v>
      </c>
      <c r="E1191" t="str">
        <f>"1-24-26"</f>
        <v>1-24-26</v>
      </c>
      <c r="F1191" t="s">
        <v>65</v>
      </c>
      <c r="G1191" t="s">
        <v>66</v>
      </c>
      <c r="H1191" t="s">
        <v>67</v>
      </c>
      <c r="S1191">
        <v>0</v>
      </c>
      <c r="T1191">
        <v>1</v>
      </c>
      <c r="U1191">
        <v>0</v>
      </c>
      <c r="V1191">
        <v>0</v>
      </c>
      <c r="W1191">
        <v>0</v>
      </c>
      <c r="X1191">
        <v>1</v>
      </c>
      <c r="Y1191">
        <v>0</v>
      </c>
      <c r="Z1191">
        <v>1</v>
      </c>
      <c r="AA1191">
        <v>0</v>
      </c>
      <c r="AB1191">
        <v>0</v>
      </c>
      <c r="AC1191">
        <v>1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</row>
    <row r="1192" spans="1:39" x14ac:dyDescent="0.2">
      <c r="A1192" t="str">
        <f>"1188"</f>
        <v>1188</v>
      </c>
      <c r="B1192" t="str">
        <f t="shared" si="64"/>
        <v>1</v>
      </c>
      <c r="C1192" t="str">
        <f t="shared" si="66"/>
        <v>24</v>
      </c>
      <c r="D1192" t="str">
        <f>"49"</f>
        <v>49</v>
      </c>
      <c r="E1192" t="str">
        <f>"1-24-49"</f>
        <v>1-24-49</v>
      </c>
      <c r="F1192" t="s">
        <v>65</v>
      </c>
      <c r="G1192" t="s">
        <v>66</v>
      </c>
      <c r="H1192" t="s">
        <v>67</v>
      </c>
      <c r="S1192">
        <v>0</v>
      </c>
      <c r="T1192">
        <v>1</v>
      </c>
      <c r="U1192">
        <v>0</v>
      </c>
      <c r="V1192">
        <v>0</v>
      </c>
      <c r="W1192">
        <v>1</v>
      </c>
      <c r="X1192">
        <v>0</v>
      </c>
      <c r="Y1192">
        <v>1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1</v>
      </c>
      <c r="AF1192">
        <v>1</v>
      </c>
      <c r="AG1192">
        <v>1</v>
      </c>
      <c r="AH1192">
        <v>1</v>
      </c>
      <c r="AI1192">
        <v>1</v>
      </c>
      <c r="AJ1192">
        <v>1</v>
      </c>
      <c r="AK1192">
        <v>1</v>
      </c>
      <c r="AL1192">
        <v>1</v>
      </c>
      <c r="AM1192">
        <v>1</v>
      </c>
    </row>
    <row r="1193" spans="1:39" x14ac:dyDescent="0.2">
      <c r="A1193" t="str">
        <f>"1189"</f>
        <v>1189</v>
      </c>
      <c r="B1193" t="str">
        <f t="shared" si="64"/>
        <v>1</v>
      </c>
      <c r="C1193" t="str">
        <f t="shared" si="66"/>
        <v>24</v>
      </c>
      <c r="D1193" t="str">
        <f>"27"</f>
        <v>27</v>
      </c>
      <c r="E1193" t="str">
        <f>"1-24-27"</f>
        <v>1-24-27</v>
      </c>
      <c r="F1193" t="s">
        <v>65</v>
      </c>
      <c r="G1193" t="s">
        <v>66</v>
      </c>
      <c r="H1193" t="s">
        <v>67</v>
      </c>
      <c r="S1193">
        <v>0</v>
      </c>
      <c r="T1193">
        <v>1</v>
      </c>
      <c r="U1193">
        <v>0</v>
      </c>
      <c r="V1193">
        <v>0</v>
      </c>
      <c r="W1193">
        <v>0</v>
      </c>
      <c r="X1193">
        <v>1</v>
      </c>
      <c r="Y1193">
        <v>0</v>
      </c>
      <c r="Z1193">
        <v>1</v>
      </c>
      <c r="AA1193">
        <v>0</v>
      </c>
      <c r="AB1193">
        <v>0</v>
      </c>
      <c r="AC1193">
        <v>1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1</v>
      </c>
      <c r="AJ1193">
        <v>1</v>
      </c>
      <c r="AK1193">
        <v>0</v>
      </c>
      <c r="AL1193">
        <v>1</v>
      </c>
      <c r="AM1193">
        <v>0</v>
      </c>
    </row>
    <row r="1194" spans="1:39" x14ac:dyDescent="0.2">
      <c r="A1194" t="str">
        <f>"1190"</f>
        <v>1190</v>
      </c>
      <c r="B1194" t="str">
        <f t="shared" si="64"/>
        <v>1</v>
      </c>
      <c r="C1194" t="str">
        <f t="shared" si="66"/>
        <v>24</v>
      </c>
      <c r="D1194" t="str">
        <f>"12"</f>
        <v>12</v>
      </c>
      <c r="E1194" t="str">
        <f>"1-24-12"</f>
        <v>1-24-12</v>
      </c>
      <c r="F1194" t="s">
        <v>65</v>
      </c>
      <c r="G1194" t="s">
        <v>66</v>
      </c>
      <c r="H1194" t="s">
        <v>67</v>
      </c>
      <c r="S1194">
        <v>0</v>
      </c>
      <c r="T1194">
        <v>0</v>
      </c>
      <c r="U1194">
        <v>0</v>
      </c>
      <c r="V1194">
        <v>0</v>
      </c>
      <c r="W1194">
        <v>1</v>
      </c>
      <c r="X1194">
        <v>0</v>
      </c>
      <c r="Y1194">
        <v>0</v>
      </c>
      <c r="Z1194">
        <v>0</v>
      </c>
      <c r="AA1194">
        <v>0</v>
      </c>
      <c r="AB1194">
        <v>1</v>
      </c>
      <c r="AC1194">
        <v>0</v>
      </c>
      <c r="AD1194">
        <v>1</v>
      </c>
      <c r="AE1194">
        <v>1</v>
      </c>
      <c r="AF1194">
        <v>1</v>
      </c>
      <c r="AG1194">
        <v>1</v>
      </c>
      <c r="AH1194">
        <v>1</v>
      </c>
      <c r="AI1194">
        <v>1</v>
      </c>
      <c r="AJ1194">
        <v>1</v>
      </c>
      <c r="AK1194">
        <v>1</v>
      </c>
      <c r="AL1194">
        <v>1</v>
      </c>
      <c r="AM1194">
        <v>1</v>
      </c>
    </row>
    <row r="1195" spans="1:39" x14ac:dyDescent="0.2">
      <c r="A1195" t="str">
        <f>"1191"</f>
        <v>1191</v>
      </c>
      <c r="B1195" t="str">
        <f t="shared" si="64"/>
        <v>1</v>
      </c>
      <c r="C1195" t="str">
        <f t="shared" si="66"/>
        <v>24</v>
      </c>
      <c r="D1195" t="str">
        <f>"50"</f>
        <v>50</v>
      </c>
      <c r="E1195" t="str">
        <f>"1-24-50"</f>
        <v>1-24-50</v>
      </c>
      <c r="F1195" t="s">
        <v>65</v>
      </c>
      <c r="G1195" t="s">
        <v>66</v>
      </c>
      <c r="H1195" t="s">
        <v>67</v>
      </c>
      <c r="S1195">
        <v>0</v>
      </c>
      <c r="T1195">
        <v>1</v>
      </c>
      <c r="U1195">
        <v>0</v>
      </c>
      <c r="V1195">
        <v>0</v>
      </c>
      <c r="W1195">
        <v>1</v>
      </c>
      <c r="X1195">
        <v>0</v>
      </c>
      <c r="Y1195">
        <v>0</v>
      </c>
      <c r="Z1195">
        <v>1</v>
      </c>
      <c r="AA1195">
        <v>1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</row>
    <row r="1196" spans="1:39" x14ac:dyDescent="0.2">
      <c r="A1196" t="str">
        <f>"1192"</f>
        <v>1192</v>
      </c>
      <c r="B1196" t="str">
        <f t="shared" si="64"/>
        <v>1</v>
      </c>
      <c r="C1196" t="str">
        <f t="shared" si="66"/>
        <v>24</v>
      </c>
      <c r="D1196" t="str">
        <f>"28"</f>
        <v>28</v>
      </c>
      <c r="E1196" t="str">
        <f>"1-24-28"</f>
        <v>1-24-28</v>
      </c>
      <c r="F1196" t="s">
        <v>65</v>
      </c>
      <c r="G1196" t="s">
        <v>66</v>
      </c>
      <c r="H1196" t="s">
        <v>67</v>
      </c>
      <c r="S1196">
        <v>1</v>
      </c>
      <c r="T1196">
        <v>0</v>
      </c>
      <c r="U1196">
        <v>0</v>
      </c>
      <c r="V1196">
        <v>0</v>
      </c>
      <c r="W1196">
        <v>1</v>
      </c>
      <c r="X1196">
        <v>0</v>
      </c>
      <c r="Y1196">
        <v>1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1</v>
      </c>
      <c r="AF1196">
        <v>1</v>
      </c>
      <c r="AG1196">
        <v>1</v>
      </c>
      <c r="AH1196">
        <v>1</v>
      </c>
      <c r="AI1196">
        <v>1</v>
      </c>
      <c r="AJ1196">
        <v>1</v>
      </c>
      <c r="AK1196">
        <v>1</v>
      </c>
      <c r="AL1196">
        <v>1</v>
      </c>
      <c r="AM1196">
        <v>1</v>
      </c>
    </row>
    <row r="1197" spans="1:39" x14ac:dyDescent="0.2">
      <c r="A1197" t="str">
        <f>"1193"</f>
        <v>1193</v>
      </c>
      <c r="B1197" t="str">
        <f t="shared" si="64"/>
        <v>1</v>
      </c>
      <c r="C1197" t="str">
        <f t="shared" si="66"/>
        <v>24</v>
      </c>
      <c r="D1197" t="str">
        <f>"8"</f>
        <v>8</v>
      </c>
      <c r="E1197" t="str">
        <f>"1-24-8"</f>
        <v>1-24-8</v>
      </c>
      <c r="F1197" t="s">
        <v>65</v>
      </c>
      <c r="G1197" t="s">
        <v>66</v>
      </c>
      <c r="H1197" t="s">
        <v>67</v>
      </c>
      <c r="S1197">
        <v>0</v>
      </c>
      <c r="T1197">
        <v>1</v>
      </c>
      <c r="U1197">
        <v>0</v>
      </c>
      <c r="V1197">
        <v>0</v>
      </c>
      <c r="W1197">
        <v>1</v>
      </c>
      <c r="X1197">
        <v>0</v>
      </c>
      <c r="Y1197">
        <v>1</v>
      </c>
      <c r="Z1197">
        <v>0</v>
      </c>
      <c r="AA1197">
        <v>0</v>
      </c>
      <c r="AB1197">
        <v>0</v>
      </c>
      <c r="AC1197">
        <v>1</v>
      </c>
      <c r="AD1197">
        <v>1</v>
      </c>
      <c r="AE1197">
        <v>1</v>
      </c>
      <c r="AF1197">
        <v>1</v>
      </c>
      <c r="AG1197">
        <v>1</v>
      </c>
      <c r="AH1197">
        <v>1</v>
      </c>
      <c r="AI1197">
        <v>1</v>
      </c>
      <c r="AJ1197">
        <v>1</v>
      </c>
      <c r="AK1197">
        <v>1</v>
      </c>
      <c r="AL1197">
        <v>1</v>
      </c>
      <c r="AM1197">
        <v>1</v>
      </c>
    </row>
    <row r="1198" spans="1:39" x14ac:dyDescent="0.2">
      <c r="A1198" t="str">
        <f>"1194"</f>
        <v>1194</v>
      </c>
      <c r="B1198" t="str">
        <f t="shared" si="64"/>
        <v>1</v>
      </c>
      <c r="C1198" t="str">
        <f t="shared" si="66"/>
        <v>24</v>
      </c>
      <c r="D1198" t="str">
        <f>"46"</f>
        <v>46</v>
      </c>
      <c r="E1198" t="str">
        <f>"1-24-46"</f>
        <v>1-24-46</v>
      </c>
      <c r="F1198" t="s">
        <v>65</v>
      </c>
      <c r="G1198" t="s">
        <v>66</v>
      </c>
      <c r="H1198" t="s">
        <v>67</v>
      </c>
      <c r="S1198">
        <v>1</v>
      </c>
      <c r="T1198">
        <v>0</v>
      </c>
      <c r="U1198">
        <v>0</v>
      </c>
      <c r="V1198">
        <v>0</v>
      </c>
      <c r="W1198">
        <v>0</v>
      </c>
      <c r="X1198">
        <v>1</v>
      </c>
      <c r="Y1198">
        <v>1</v>
      </c>
      <c r="Z1198">
        <v>0</v>
      </c>
      <c r="AA1198">
        <v>0</v>
      </c>
      <c r="AB1198">
        <v>1</v>
      </c>
      <c r="AC1198">
        <v>0</v>
      </c>
      <c r="AD1198">
        <v>1</v>
      </c>
      <c r="AE1198">
        <v>1</v>
      </c>
      <c r="AF1198">
        <v>1</v>
      </c>
      <c r="AG1198">
        <v>1</v>
      </c>
      <c r="AH1198">
        <v>1</v>
      </c>
      <c r="AI1198">
        <v>1</v>
      </c>
      <c r="AJ1198">
        <v>1</v>
      </c>
      <c r="AK1198">
        <v>1</v>
      </c>
      <c r="AL1198">
        <v>1</v>
      </c>
      <c r="AM1198">
        <v>1</v>
      </c>
    </row>
    <row r="1199" spans="1:39" x14ac:dyDescent="0.2">
      <c r="A1199" t="str">
        <f>"1195"</f>
        <v>1195</v>
      </c>
      <c r="B1199" t="str">
        <f t="shared" si="64"/>
        <v>1</v>
      </c>
      <c r="C1199" t="str">
        <f t="shared" si="66"/>
        <v>24</v>
      </c>
      <c r="D1199" t="str">
        <f>"29"</f>
        <v>29</v>
      </c>
      <c r="E1199" t="str">
        <f>"1-24-29"</f>
        <v>1-24-29</v>
      </c>
      <c r="F1199" t="s">
        <v>65</v>
      </c>
      <c r="G1199" t="s">
        <v>66</v>
      </c>
      <c r="H1199" t="s">
        <v>67</v>
      </c>
      <c r="S1199">
        <v>0</v>
      </c>
      <c r="T1199">
        <v>1</v>
      </c>
      <c r="U1199">
        <v>0</v>
      </c>
      <c r="V1199">
        <v>0</v>
      </c>
      <c r="W1199">
        <v>0</v>
      </c>
      <c r="X1199">
        <v>1</v>
      </c>
      <c r="Y1199">
        <v>1</v>
      </c>
      <c r="Z1199">
        <v>0</v>
      </c>
      <c r="AA1199">
        <v>0</v>
      </c>
      <c r="AB1199">
        <v>1</v>
      </c>
      <c r="AC1199">
        <v>0</v>
      </c>
      <c r="AD1199">
        <v>1</v>
      </c>
      <c r="AE1199">
        <v>1</v>
      </c>
      <c r="AF1199">
        <v>1</v>
      </c>
      <c r="AG1199">
        <v>1</v>
      </c>
      <c r="AH1199">
        <v>1</v>
      </c>
      <c r="AI1199">
        <v>1</v>
      </c>
      <c r="AJ1199">
        <v>1</v>
      </c>
      <c r="AK1199">
        <v>1</v>
      </c>
      <c r="AL1199">
        <v>1</v>
      </c>
      <c r="AM1199">
        <v>1</v>
      </c>
    </row>
    <row r="1200" spans="1:39" x14ac:dyDescent="0.2">
      <c r="A1200" t="str">
        <f>"1196"</f>
        <v>1196</v>
      </c>
      <c r="B1200" t="str">
        <f t="shared" si="64"/>
        <v>1</v>
      </c>
      <c r="C1200" t="str">
        <f t="shared" si="66"/>
        <v>24</v>
      </c>
      <c r="D1200" t="str">
        <f>"11"</f>
        <v>11</v>
      </c>
      <c r="E1200" t="str">
        <f>"1-24-11"</f>
        <v>1-24-11</v>
      </c>
      <c r="F1200" t="s">
        <v>65</v>
      </c>
      <c r="G1200" t="s">
        <v>66</v>
      </c>
      <c r="H1200" t="s">
        <v>67</v>
      </c>
      <c r="S1200">
        <v>1</v>
      </c>
      <c r="T1200">
        <v>0</v>
      </c>
      <c r="U1200">
        <v>0</v>
      </c>
      <c r="V1200">
        <v>0</v>
      </c>
      <c r="W1200">
        <v>1</v>
      </c>
      <c r="X1200">
        <v>0</v>
      </c>
      <c r="Y1200">
        <v>1</v>
      </c>
      <c r="Z1200">
        <v>0</v>
      </c>
      <c r="AA1200">
        <v>0</v>
      </c>
      <c r="AB1200">
        <v>1</v>
      </c>
      <c r="AC1200">
        <v>0</v>
      </c>
      <c r="AD1200">
        <v>1</v>
      </c>
      <c r="AE1200">
        <v>1</v>
      </c>
      <c r="AF1200">
        <v>1</v>
      </c>
      <c r="AG1200">
        <v>1</v>
      </c>
      <c r="AH1200">
        <v>1</v>
      </c>
      <c r="AI1200">
        <v>1</v>
      </c>
      <c r="AJ1200">
        <v>1</v>
      </c>
      <c r="AK1200">
        <v>1</v>
      </c>
      <c r="AL1200">
        <v>1</v>
      </c>
      <c r="AM1200">
        <v>1</v>
      </c>
    </row>
    <row r="1201" spans="1:39" x14ac:dyDescent="0.2">
      <c r="A1201" t="str">
        <f>"1197"</f>
        <v>1197</v>
      </c>
      <c r="B1201" t="str">
        <f t="shared" si="64"/>
        <v>1</v>
      </c>
      <c r="C1201" t="str">
        <f t="shared" si="66"/>
        <v>24</v>
      </c>
      <c r="D1201" t="str">
        <f>"47"</f>
        <v>47</v>
      </c>
      <c r="E1201" t="str">
        <f>"1-24-47"</f>
        <v>1-24-47</v>
      </c>
      <c r="F1201" t="s">
        <v>65</v>
      </c>
      <c r="G1201" t="s">
        <v>66</v>
      </c>
      <c r="H1201" t="s">
        <v>67</v>
      </c>
      <c r="S1201">
        <v>0</v>
      </c>
      <c r="T1201">
        <v>1</v>
      </c>
      <c r="U1201">
        <v>0</v>
      </c>
      <c r="V1201">
        <v>0</v>
      </c>
      <c r="W1201">
        <v>1</v>
      </c>
      <c r="X1201">
        <v>0</v>
      </c>
      <c r="Y1201">
        <v>1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1</v>
      </c>
      <c r="AF1201">
        <v>1</v>
      </c>
      <c r="AG1201">
        <v>1</v>
      </c>
      <c r="AH1201">
        <v>1</v>
      </c>
      <c r="AI1201">
        <v>1</v>
      </c>
      <c r="AJ1201">
        <v>1</v>
      </c>
      <c r="AK1201">
        <v>0</v>
      </c>
      <c r="AL1201">
        <v>1</v>
      </c>
      <c r="AM1201">
        <v>1</v>
      </c>
    </row>
    <row r="1202" spans="1:39" x14ac:dyDescent="0.2">
      <c r="A1202" t="str">
        <f>"1198"</f>
        <v>1198</v>
      </c>
      <c r="B1202" t="str">
        <f t="shared" si="64"/>
        <v>1</v>
      </c>
      <c r="C1202" t="str">
        <f t="shared" si="66"/>
        <v>24</v>
      </c>
      <c r="D1202" t="str">
        <f>"30"</f>
        <v>30</v>
      </c>
      <c r="E1202" t="str">
        <f>"1-24-30"</f>
        <v>1-24-30</v>
      </c>
      <c r="F1202" t="s">
        <v>65</v>
      </c>
      <c r="G1202" t="s">
        <v>66</v>
      </c>
      <c r="H1202" t="s">
        <v>67</v>
      </c>
      <c r="S1202">
        <v>1</v>
      </c>
      <c r="T1202">
        <v>0</v>
      </c>
      <c r="U1202">
        <v>0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1</v>
      </c>
      <c r="AH1202">
        <v>0</v>
      </c>
      <c r="AI1202">
        <v>1</v>
      </c>
      <c r="AJ1202">
        <v>1</v>
      </c>
      <c r="AK1202">
        <v>1</v>
      </c>
      <c r="AL1202">
        <v>0</v>
      </c>
      <c r="AM1202">
        <v>0</v>
      </c>
    </row>
    <row r="1203" spans="1:39" x14ac:dyDescent="0.2">
      <c r="A1203" t="str">
        <f>"1199"</f>
        <v>1199</v>
      </c>
      <c r="B1203" t="str">
        <f t="shared" si="64"/>
        <v>1</v>
      </c>
      <c r="C1203" t="str">
        <f t="shared" si="66"/>
        <v>24</v>
      </c>
      <c r="D1203" t="str">
        <f>"9"</f>
        <v>9</v>
      </c>
      <c r="E1203" t="str">
        <f>"1-24-9"</f>
        <v>1-24-9</v>
      </c>
      <c r="F1203" t="s">
        <v>65</v>
      </c>
      <c r="G1203" t="s">
        <v>66</v>
      </c>
      <c r="H1203" t="s">
        <v>67</v>
      </c>
      <c r="S1203">
        <v>1</v>
      </c>
      <c r="T1203">
        <v>0</v>
      </c>
      <c r="U1203">
        <v>0</v>
      </c>
      <c r="V1203">
        <v>0</v>
      </c>
      <c r="W1203">
        <v>1</v>
      </c>
      <c r="X1203">
        <v>0</v>
      </c>
      <c r="Y1203">
        <v>1</v>
      </c>
      <c r="Z1203">
        <v>0</v>
      </c>
      <c r="AA1203">
        <v>0</v>
      </c>
      <c r="AB1203">
        <v>1</v>
      </c>
      <c r="AC1203">
        <v>0</v>
      </c>
      <c r="AD1203">
        <v>1</v>
      </c>
      <c r="AE1203">
        <v>1</v>
      </c>
      <c r="AF1203">
        <v>1</v>
      </c>
      <c r="AG1203">
        <v>1</v>
      </c>
      <c r="AH1203">
        <v>1</v>
      </c>
      <c r="AI1203">
        <v>1</v>
      </c>
      <c r="AJ1203">
        <v>1</v>
      </c>
      <c r="AK1203">
        <v>1</v>
      </c>
      <c r="AL1203">
        <v>1</v>
      </c>
      <c r="AM1203">
        <v>1</v>
      </c>
    </row>
    <row r="1204" spans="1:39" x14ac:dyDescent="0.2">
      <c r="A1204" t="str">
        <f>"1200"</f>
        <v>1200</v>
      </c>
      <c r="B1204" t="str">
        <f t="shared" si="64"/>
        <v>1</v>
      </c>
      <c r="C1204" t="str">
        <f t="shared" si="66"/>
        <v>24</v>
      </c>
      <c r="D1204" t="str">
        <f>"1"</f>
        <v>1</v>
      </c>
      <c r="E1204" t="str">
        <f>"1-24-1"</f>
        <v>1-24-1</v>
      </c>
      <c r="F1204" t="s">
        <v>65</v>
      </c>
      <c r="G1204" t="s">
        <v>66</v>
      </c>
      <c r="H1204" t="s">
        <v>67</v>
      </c>
      <c r="S1204">
        <v>1</v>
      </c>
      <c r="T1204">
        <v>0</v>
      </c>
      <c r="U1204">
        <v>0</v>
      </c>
      <c r="V1204">
        <v>0</v>
      </c>
      <c r="W1204">
        <v>1</v>
      </c>
      <c r="X1204">
        <v>0</v>
      </c>
      <c r="Y1204">
        <v>1</v>
      </c>
      <c r="Z1204">
        <v>0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</row>
    <row r="1205" spans="1:39" x14ac:dyDescent="0.2">
      <c r="A1205" t="str">
        <f>"1201"</f>
        <v>1201</v>
      </c>
      <c r="B1205" t="str">
        <f t="shared" si="64"/>
        <v>1</v>
      </c>
      <c r="C1205" t="str">
        <f t="shared" ref="C1205:C1236" si="67">"25"</f>
        <v>25</v>
      </c>
      <c r="D1205" t="str">
        <f>"46"</f>
        <v>46</v>
      </c>
      <c r="E1205" t="str">
        <f>"1-25-46"</f>
        <v>1-25-46</v>
      </c>
      <c r="F1205" t="s">
        <v>65</v>
      </c>
      <c r="G1205" t="s">
        <v>66</v>
      </c>
      <c r="H1205" t="s">
        <v>67</v>
      </c>
      <c r="S1205">
        <v>0</v>
      </c>
      <c r="T1205">
        <v>1</v>
      </c>
      <c r="U1205">
        <v>0</v>
      </c>
      <c r="V1205">
        <v>0</v>
      </c>
      <c r="W1205">
        <v>1</v>
      </c>
      <c r="X1205">
        <v>0</v>
      </c>
      <c r="Y1205">
        <v>1</v>
      </c>
      <c r="Z1205">
        <v>0</v>
      </c>
      <c r="AA1205">
        <v>0</v>
      </c>
      <c r="AB1205">
        <v>1</v>
      </c>
      <c r="AC1205">
        <v>0</v>
      </c>
      <c r="AD1205">
        <v>1</v>
      </c>
      <c r="AE1205">
        <v>1</v>
      </c>
      <c r="AF1205">
        <v>1</v>
      </c>
      <c r="AG1205">
        <v>1</v>
      </c>
      <c r="AH1205">
        <v>1</v>
      </c>
      <c r="AI1205">
        <v>1</v>
      </c>
      <c r="AJ1205">
        <v>1</v>
      </c>
      <c r="AK1205">
        <v>1</v>
      </c>
      <c r="AL1205">
        <v>1</v>
      </c>
      <c r="AM1205">
        <v>1</v>
      </c>
    </row>
    <row r="1206" spans="1:39" x14ac:dyDescent="0.2">
      <c r="A1206" t="str">
        <f>"1202"</f>
        <v>1202</v>
      </c>
      <c r="B1206" t="str">
        <f t="shared" si="64"/>
        <v>1</v>
      </c>
      <c r="C1206" t="str">
        <f t="shared" si="67"/>
        <v>25</v>
      </c>
      <c r="D1206" t="str">
        <f>"45"</f>
        <v>45</v>
      </c>
      <c r="E1206" t="str">
        <f>"1-25-45"</f>
        <v>1-25-45</v>
      </c>
      <c r="F1206" t="s">
        <v>65</v>
      </c>
      <c r="G1206" t="s">
        <v>66</v>
      </c>
      <c r="H1206" t="s">
        <v>67</v>
      </c>
      <c r="S1206">
        <v>0</v>
      </c>
      <c r="T1206">
        <v>1</v>
      </c>
      <c r="U1206">
        <v>0</v>
      </c>
      <c r="V1206">
        <v>0</v>
      </c>
      <c r="W1206">
        <v>0</v>
      </c>
      <c r="X1206">
        <v>1</v>
      </c>
      <c r="Y1206">
        <v>0</v>
      </c>
      <c r="Z1206">
        <v>1</v>
      </c>
      <c r="AA1206">
        <v>0</v>
      </c>
      <c r="AB1206">
        <v>0</v>
      </c>
      <c r="AC1206">
        <v>1</v>
      </c>
      <c r="AD1206">
        <v>0</v>
      </c>
      <c r="AE1206">
        <v>1</v>
      </c>
      <c r="AF1206">
        <v>0</v>
      </c>
      <c r="AG1206">
        <v>1</v>
      </c>
      <c r="AH1206">
        <v>1</v>
      </c>
      <c r="AI1206">
        <v>1</v>
      </c>
      <c r="AJ1206">
        <v>1</v>
      </c>
      <c r="AK1206">
        <v>1</v>
      </c>
      <c r="AL1206">
        <v>1</v>
      </c>
      <c r="AM1206">
        <v>1</v>
      </c>
    </row>
    <row r="1207" spans="1:39" x14ac:dyDescent="0.2">
      <c r="A1207" t="str">
        <f>"1203"</f>
        <v>1203</v>
      </c>
      <c r="B1207" t="str">
        <f t="shared" ref="B1207:B1270" si="68">"1"</f>
        <v>1</v>
      </c>
      <c r="C1207" t="str">
        <f t="shared" si="67"/>
        <v>25</v>
      </c>
      <c r="D1207" t="str">
        <f>"29"</f>
        <v>29</v>
      </c>
      <c r="E1207" t="str">
        <f>"1-25-29"</f>
        <v>1-25-29</v>
      </c>
      <c r="F1207" t="s">
        <v>65</v>
      </c>
      <c r="G1207" t="s">
        <v>66</v>
      </c>
      <c r="H1207" t="s">
        <v>67</v>
      </c>
      <c r="S1207">
        <v>0</v>
      </c>
      <c r="T1207">
        <v>1</v>
      </c>
      <c r="U1207">
        <v>0</v>
      </c>
      <c r="V1207">
        <v>0</v>
      </c>
      <c r="W1207">
        <v>1</v>
      </c>
      <c r="X1207">
        <v>0</v>
      </c>
      <c r="Y1207">
        <v>1</v>
      </c>
      <c r="Z1207">
        <v>0</v>
      </c>
      <c r="AA1207">
        <v>0</v>
      </c>
      <c r="AB1207">
        <v>1</v>
      </c>
      <c r="AC1207">
        <v>0</v>
      </c>
      <c r="AD1207">
        <v>1</v>
      </c>
      <c r="AE1207">
        <v>1</v>
      </c>
      <c r="AF1207">
        <v>1</v>
      </c>
      <c r="AG1207">
        <v>1</v>
      </c>
      <c r="AH1207">
        <v>1</v>
      </c>
      <c r="AI1207">
        <v>1</v>
      </c>
      <c r="AJ1207">
        <v>1</v>
      </c>
      <c r="AK1207">
        <v>1</v>
      </c>
      <c r="AL1207">
        <v>1</v>
      </c>
      <c r="AM1207">
        <v>1</v>
      </c>
    </row>
    <row r="1208" spans="1:39" x14ac:dyDescent="0.2">
      <c r="A1208" t="str">
        <f>"1204"</f>
        <v>1204</v>
      </c>
      <c r="B1208" t="str">
        <f t="shared" si="68"/>
        <v>1</v>
      </c>
      <c r="C1208" t="str">
        <f t="shared" si="67"/>
        <v>25</v>
      </c>
      <c r="D1208" t="str">
        <f>"15"</f>
        <v>15</v>
      </c>
      <c r="E1208" t="str">
        <f>"1-25-15"</f>
        <v>1-25-15</v>
      </c>
      <c r="F1208" t="s">
        <v>65</v>
      </c>
      <c r="G1208" t="s">
        <v>66</v>
      </c>
      <c r="H1208" t="s">
        <v>67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</row>
    <row r="1209" spans="1:39" x14ac:dyDescent="0.2">
      <c r="A1209" t="str">
        <f>"1205"</f>
        <v>1205</v>
      </c>
      <c r="B1209" t="str">
        <f t="shared" si="68"/>
        <v>1</v>
      </c>
      <c r="C1209" t="str">
        <f t="shared" si="67"/>
        <v>25</v>
      </c>
      <c r="D1209" t="str">
        <f>"34"</f>
        <v>34</v>
      </c>
      <c r="E1209" t="str">
        <f>"1-25-34"</f>
        <v>1-25-34</v>
      </c>
      <c r="F1209" t="s">
        <v>65</v>
      </c>
      <c r="G1209" t="s">
        <v>66</v>
      </c>
      <c r="H1209" t="s">
        <v>67</v>
      </c>
      <c r="S1209">
        <v>0</v>
      </c>
      <c r="T1209">
        <v>1</v>
      </c>
      <c r="U1209">
        <v>0</v>
      </c>
      <c r="V1209">
        <v>0</v>
      </c>
      <c r="W1209">
        <v>1</v>
      </c>
      <c r="X1209">
        <v>0</v>
      </c>
      <c r="Y1209">
        <v>0</v>
      </c>
      <c r="Z1209">
        <v>1</v>
      </c>
      <c r="AA1209">
        <v>0</v>
      </c>
      <c r="AB1209">
        <v>1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1</v>
      </c>
      <c r="AJ1209">
        <v>0</v>
      </c>
      <c r="AK1209">
        <v>0</v>
      </c>
      <c r="AL1209">
        <v>1</v>
      </c>
      <c r="AM1209">
        <v>0</v>
      </c>
    </row>
    <row r="1210" spans="1:39" x14ac:dyDescent="0.2">
      <c r="A1210" t="str">
        <f>"1206"</f>
        <v>1206</v>
      </c>
      <c r="B1210" t="str">
        <f t="shared" si="68"/>
        <v>1</v>
      </c>
      <c r="C1210" t="str">
        <f t="shared" si="67"/>
        <v>25</v>
      </c>
      <c r="D1210" t="str">
        <f>"16"</f>
        <v>16</v>
      </c>
      <c r="E1210" t="str">
        <f>"1-25-16"</f>
        <v>1-25-16</v>
      </c>
      <c r="F1210" t="s">
        <v>65</v>
      </c>
      <c r="G1210" t="s">
        <v>66</v>
      </c>
      <c r="H1210" t="s">
        <v>67</v>
      </c>
      <c r="S1210">
        <v>0</v>
      </c>
      <c r="T1210">
        <v>1</v>
      </c>
      <c r="U1210">
        <v>0</v>
      </c>
      <c r="V1210">
        <v>0</v>
      </c>
      <c r="W1210">
        <v>0</v>
      </c>
      <c r="X1210">
        <v>1</v>
      </c>
      <c r="Y1210">
        <v>0</v>
      </c>
      <c r="Z1210">
        <v>1</v>
      </c>
      <c r="AA1210">
        <v>0</v>
      </c>
      <c r="AB1210">
        <v>0</v>
      </c>
      <c r="AC1210">
        <v>1</v>
      </c>
      <c r="AD1210">
        <v>1</v>
      </c>
      <c r="AE1210">
        <v>1</v>
      </c>
      <c r="AF1210">
        <v>1</v>
      </c>
      <c r="AG1210">
        <v>1</v>
      </c>
      <c r="AH1210">
        <v>1</v>
      </c>
      <c r="AI1210">
        <v>1</v>
      </c>
      <c r="AJ1210">
        <v>1</v>
      </c>
      <c r="AK1210">
        <v>1</v>
      </c>
      <c r="AL1210">
        <v>1</v>
      </c>
      <c r="AM1210">
        <v>1</v>
      </c>
    </row>
    <row r="1211" spans="1:39" x14ac:dyDescent="0.2">
      <c r="A1211" t="str">
        <f>"1207"</f>
        <v>1207</v>
      </c>
      <c r="B1211" t="str">
        <f t="shared" si="68"/>
        <v>1</v>
      </c>
      <c r="C1211" t="str">
        <f t="shared" si="67"/>
        <v>25</v>
      </c>
      <c r="D1211" t="str">
        <f>"1"</f>
        <v>1</v>
      </c>
      <c r="E1211" t="str">
        <f>"1-25-1"</f>
        <v>1-25-1</v>
      </c>
      <c r="F1211" t="s">
        <v>65</v>
      </c>
      <c r="G1211" t="s">
        <v>66</v>
      </c>
      <c r="H1211" t="s">
        <v>67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1</v>
      </c>
      <c r="AA1211">
        <v>0</v>
      </c>
      <c r="AB1211">
        <v>0</v>
      </c>
      <c r="AC1211">
        <v>1</v>
      </c>
      <c r="AD1211">
        <v>1</v>
      </c>
      <c r="AE1211">
        <v>1</v>
      </c>
      <c r="AF1211">
        <v>1</v>
      </c>
      <c r="AG1211">
        <v>1</v>
      </c>
      <c r="AH1211">
        <v>1</v>
      </c>
      <c r="AI1211">
        <v>1</v>
      </c>
      <c r="AJ1211">
        <v>1</v>
      </c>
      <c r="AK1211">
        <v>1</v>
      </c>
      <c r="AL1211">
        <v>1</v>
      </c>
      <c r="AM1211">
        <v>1</v>
      </c>
    </row>
    <row r="1212" spans="1:39" x14ac:dyDescent="0.2">
      <c r="A1212" t="str">
        <f>"1208"</f>
        <v>1208</v>
      </c>
      <c r="B1212" t="str">
        <f t="shared" si="68"/>
        <v>1</v>
      </c>
      <c r="C1212" t="str">
        <f t="shared" si="67"/>
        <v>25</v>
      </c>
      <c r="D1212" t="str">
        <f>"48"</f>
        <v>48</v>
      </c>
      <c r="E1212" t="str">
        <f>"1-25-48"</f>
        <v>1-25-48</v>
      </c>
      <c r="F1212" t="s">
        <v>65</v>
      </c>
      <c r="G1212" t="s">
        <v>66</v>
      </c>
      <c r="H1212" t="s">
        <v>67</v>
      </c>
      <c r="S1212">
        <v>1</v>
      </c>
      <c r="T1212">
        <v>0</v>
      </c>
      <c r="U1212">
        <v>0</v>
      </c>
      <c r="V1212">
        <v>0</v>
      </c>
      <c r="W1212">
        <v>1</v>
      </c>
      <c r="X1212">
        <v>0</v>
      </c>
      <c r="Y1212">
        <v>1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1</v>
      </c>
      <c r="AF1212">
        <v>1</v>
      </c>
      <c r="AG1212">
        <v>1</v>
      </c>
      <c r="AH1212">
        <v>1</v>
      </c>
      <c r="AI1212">
        <v>1</v>
      </c>
      <c r="AJ1212">
        <v>1</v>
      </c>
      <c r="AK1212">
        <v>1</v>
      </c>
      <c r="AL1212">
        <v>1</v>
      </c>
      <c r="AM1212">
        <v>1</v>
      </c>
    </row>
    <row r="1213" spans="1:39" x14ac:dyDescent="0.2">
      <c r="A1213" t="str">
        <f>"1209"</f>
        <v>1209</v>
      </c>
      <c r="B1213" t="str">
        <f t="shared" si="68"/>
        <v>1</v>
      </c>
      <c r="C1213" t="str">
        <f t="shared" si="67"/>
        <v>25</v>
      </c>
      <c r="D1213" t="str">
        <f>"47"</f>
        <v>47</v>
      </c>
      <c r="E1213" t="str">
        <f>"1-25-47"</f>
        <v>1-25-47</v>
      </c>
      <c r="F1213" t="s">
        <v>65</v>
      </c>
      <c r="G1213" t="s">
        <v>66</v>
      </c>
      <c r="H1213" t="s">
        <v>67</v>
      </c>
      <c r="S1213">
        <v>0</v>
      </c>
      <c r="T1213">
        <v>1</v>
      </c>
      <c r="U1213">
        <v>0</v>
      </c>
      <c r="V1213">
        <v>0</v>
      </c>
      <c r="W1213">
        <v>1</v>
      </c>
      <c r="X1213">
        <v>0</v>
      </c>
      <c r="Y1213">
        <v>1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1</v>
      </c>
      <c r="AF1213">
        <v>1</v>
      </c>
      <c r="AG1213">
        <v>1</v>
      </c>
      <c r="AH1213">
        <v>1</v>
      </c>
      <c r="AI1213">
        <v>1</v>
      </c>
      <c r="AJ1213">
        <v>1</v>
      </c>
      <c r="AK1213">
        <v>1</v>
      </c>
      <c r="AL1213">
        <v>1</v>
      </c>
      <c r="AM1213">
        <v>1</v>
      </c>
    </row>
    <row r="1214" spans="1:39" x14ac:dyDescent="0.2">
      <c r="A1214" t="str">
        <f>"1210"</f>
        <v>1210</v>
      </c>
      <c r="B1214" t="str">
        <f t="shared" si="68"/>
        <v>1</v>
      </c>
      <c r="C1214" t="str">
        <f t="shared" si="67"/>
        <v>25</v>
      </c>
      <c r="D1214" t="str">
        <f>"31"</f>
        <v>31</v>
      </c>
      <c r="E1214" t="str">
        <f>"1-25-31"</f>
        <v>1-25-31</v>
      </c>
      <c r="F1214" t="s">
        <v>65</v>
      </c>
      <c r="G1214" t="s">
        <v>66</v>
      </c>
      <c r="H1214" t="s">
        <v>67</v>
      </c>
      <c r="S1214">
        <v>0</v>
      </c>
      <c r="T1214">
        <v>1</v>
      </c>
      <c r="U1214">
        <v>0</v>
      </c>
      <c r="V1214">
        <v>0</v>
      </c>
      <c r="W1214">
        <v>1</v>
      </c>
      <c r="X1214">
        <v>0</v>
      </c>
      <c r="Y1214">
        <v>1</v>
      </c>
      <c r="Z1214">
        <v>0</v>
      </c>
      <c r="AA1214">
        <v>0</v>
      </c>
      <c r="AB1214">
        <v>1</v>
      </c>
      <c r="AC1214">
        <v>0</v>
      </c>
      <c r="AD1214">
        <v>1</v>
      </c>
      <c r="AE1214">
        <v>1</v>
      </c>
      <c r="AF1214">
        <v>1</v>
      </c>
      <c r="AG1214">
        <v>1</v>
      </c>
      <c r="AH1214">
        <v>1</v>
      </c>
      <c r="AI1214">
        <v>1</v>
      </c>
      <c r="AJ1214">
        <v>1</v>
      </c>
      <c r="AK1214">
        <v>1</v>
      </c>
      <c r="AL1214">
        <v>1</v>
      </c>
      <c r="AM1214">
        <v>1</v>
      </c>
    </row>
    <row r="1215" spans="1:39" x14ac:dyDescent="0.2">
      <c r="A1215" t="str">
        <f>"1211"</f>
        <v>1211</v>
      </c>
      <c r="B1215" t="str">
        <f t="shared" si="68"/>
        <v>1</v>
      </c>
      <c r="C1215" t="str">
        <f t="shared" si="67"/>
        <v>25</v>
      </c>
      <c r="D1215" t="str">
        <f>"17"</f>
        <v>17</v>
      </c>
      <c r="E1215" t="str">
        <f>"1-25-17"</f>
        <v>1-25-17</v>
      </c>
      <c r="F1215" t="s">
        <v>65</v>
      </c>
      <c r="G1215" t="s">
        <v>66</v>
      </c>
      <c r="H1215" t="s">
        <v>67</v>
      </c>
      <c r="S1215">
        <v>1</v>
      </c>
      <c r="T1215">
        <v>0</v>
      </c>
      <c r="U1215">
        <v>0</v>
      </c>
      <c r="V1215">
        <v>0</v>
      </c>
      <c r="W1215">
        <v>1</v>
      </c>
      <c r="X1215">
        <v>0</v>
      </c>
      <c r="Y1215">
        <v>1</v>
      </c>
      <c r="Z1215">
        <v>0</v>
      </c>
      <c r="AA1215">
        <v>0</v>
      </c>
      <c r="AB1215">
        <v>1</v>
      </c>
      <c r="AC1215">
        <v>0</v>
      </c>
      <c r="AD1215">
        <v>1</v>
      </c>
      <c r="AE1215">
        <v>1</v>
      </c>
      <c r="AF1215">
        <v>1</v>
      </c>
      <c r="AG1215">
        <v>1</v>
      </c>
      <c r="AH1215">
        <v>1</v>
      </c>
      <c r="AI1215">
        <v>1</v>
      </c>
      <c r="AJ1215">
        <v>1</v>
      </c>
      <c r="AK1215">
        <v>1</v>
      </c>
      <c r="AL1215">
        <v>1</v>
      </c>
      <c r="AM1215">
        <v>1</v>
      </c>
    </row>
    <row r="1216" spans="1:39" x14ac:dyDescent="0.2">
      <c r="A1216" t="str">
        <f>"1212"</f>
        <v>1212</v>
      </c>
      <c r="B1216" t="str">
        <f t="shared" si="68"/>
        <v>1</v>
      </c>
      <c r="C1216" t="str">
        <f t="shared" si="67"/>
        <v>25</v>
      </c>
      <c r="D1216" t="str">
        <f>"35"</f>
        <v>35</v>
      </c>
      <c r="E1216" t="str">
        <f>"1-25-35"</f>
        <v>1-25-35</v>
      </c>
      <c r="F1216" t="s">
        <v>65</v>
      </c>
      <c r="G1216" t="s">
        <v>66</v>
      </c>
      <c r="H1216" t="s">
        <v>67</v>
      </c>
      <c r="S1216">
        <v>1</v>
      </c>
      <c r="T1216">
        <v>0</v>
      </c>
      <c r="U1216">
        <v>0</v>
      </c>
      <c r="V1216">
        <v>0</v>
      </c>
      <c r="W1216">
        <v>1</v>
      </c>
      <c r="X1216">
        <v>0</v>
      </c>
      <c r="Y1216">
        <v>1</v>
      </c>
      <c r="Z1216">
        <v>0</v>
      </c>
      <c r="AA1216">
        <v>0</v>
      </c>
      <c r="AB1216">
        <v>1</v>
      </c>
      <c r="AC1216">
        <v>0</v>
      </c>
      <c r="AD1216">
        <v>1</v>
      </c>
      <c r="AE1216">
        <v>1</v>
      </c>
      <c r="AF1216">
        <v>1</v>
      </c>
      <c r="AG1216">
        <v>1</v>
      </c>
      <c r="AH1216">
        <v>1</v>
      </c>
      <c r="AI1216">
        <v>1</v>
      </c>
      <c r="AJ1216">
        <v>1</v>
      </c>
      <c r="AK1216">
        <v>1</v>
      </c>
      <c r="AL1216">
        <v>1</v>
      </c>
      <c r="AM1216">
        <v>1</v>
      </c>
    </row>
    <row r="1217" spans="1:39" x14ac:dyDescent="0.2">
      <c r="A1217" t="str">
        <f>"1213"</f>
        <v>1213</v>
      </c>
      <c r="B1217" t="str">
        <f t="shared" si="68"/>
        <v>1</v>
      </c>
      <c r="C1217" t="str">
        <f t="shared" si="67"/>
        <v>25</v>
      </c>
      <c r="D1217" t="str">
        <f>"18"</f>
        <v>18</v>
      </c>
      <c r="E1217" t="str">
        <f>"1-25-18"</f>
        <v>1-25-18</v>
      </c>
      <c r="F1217" t="s">
        <v>65</v>
      </c>
      <c r="G1217" t="s">
        <v>66</v>
      </c>
      <c r="H1217" t="s">
        <v>67</v>
      </c>
      <c r="S1217">
        <v>1</v>
      </c>
      <c r="T1217">
        <v>0</v>
      </c>
      <c r="U1217">
        <v>0</v>
      </c>
      <c r="V1217">
        <v>0</v>
      </c>
      <c r="W1217">
        <v>1</v>
      </c>
      <c r="X1217">
        <v>0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1</v>
      </c>
      <c r="AH1217">
        <v>1</v>
      </c>
      <c r="AI1217">
        <v>1</v>
      </c>
      <c r="AJ1217">
        <v>1</v>
      </c>
      <c r="AK1217">
        <v>1</v>
      </c>
      <c r="AL1217">
        <v>1</v>
      </c>
      <c r="AM1217">
        <v>0</v>
      </c>
    </row>
    <row r="1218" spans="1:39" x14ac:dyDescent="0.2">
      <c r="A1218" t="str">
        <f>"1214"</f>
        <v>1214</v>
      </c>
      <c r="B1218" t="str">
        <f t="shared" si="68"/>
        <v>1</v>
      </c>
      <c r="C1218" t="str">
        <f t="shared" si="67"/>
        <v>25</v>
      </c>
      <c r="D1218" t="str">
        <f>"10"</f>
        <v>10</v>
      </c>
      <c r="E1218" t="str">
        <f>"1-25-10"</f>
        <v>1-25-10</v>
      </c>
      <c r="F1218" t="s">
        <v>65</v>
      </c>
      <c r="G1218" t="s">
        <v>66</v>
      </c>
      <c r="H1218" t="s">
        <v>67</v>
      </c>
      <c r="S1218">
        <v>0</v>
      </c>
      <c r="T1218">
        <v>0</v>
      </c>
      <c r="U1218">
        <v>0</v>
      </c>
      <c r="V1218">
        <v>0</v>
      </c>
      <c r="W1218">
        <v>1</v>
      </c>
      <c r="X1218">
        <v>0</v>
      </c>
      <c r="Y1218">
        <v>0</v>
      </c>
      <c r="Z1218">
        <v>1</v>
      </c>
      <c r="AA1218">
        <v>0</v>
      </c>
      <c r="AB1218">
        <v>0</v>
      </c>
      <c r="AC1218">
        <v>1</v>
      </c>
      <c r="AD1218">
        <v>1</v>
      </c>
      <c r="AE1218">
        <v>1</v>
      </c>
      <c r="AF1218">
        <v>1</v>
      </c>
      <c r="AG1218">
        <v>1</v>
      </c>
      <c r="AH1218">
        <v>1</v>
      </c>
      <c r="AI1218">
        <v>1</v>
      </c>
      <c r="AJ1218">
        <v>1</v>
      </c>
      <c r="AK1218">
        <v>1</v>
      </c>
      <c r="AL1218">
        <v>1</v>
      </c>
      <c r="AM1218">
        <v>1</v>
      </c>
    </row>
    <row r="1219" spans="1:39" x14ac:dyDescent="0.2">
      <c r="A1219" t="str">
        <f>"1215"</f>
        <v>1215</v>
      </c>
      <c r="B1219" t="str">
        <f t="shared" si="68"/>
        <v>1</v>
      </c>
      <c r="C1219" t="str">
        <f t="shared" si="67"/>
        <v>25</v>
      </c>
      <c r="D1219" t="str">
        <f>"33"</f>
        <v>33</v>
      </c>
      <c r="E1219" t="str">
        <f>"1-25-33"</f>
        <v>1-25-33</v>
      </c>
      <c r="F1219" t="s">
        <v>65</v>
      </c>
      <c r="G1219" t="s">
        <v>66</v>
      </c>
      <c r="H1219" t="s">
        <v>67</v>
      </c>
      <c r="S1219">
        <v>0</v>
      </c>
      <c r="T1219">
        <v>1</v>
      </c>
      <c r="U1219">
        <v>0</v>
      </c>
      <c r="V1219">
        <v>0</v>
      </c>
      <c r="W1219">
        <v>1</v>
      </c>
      <c r="X1219">
        <v>0</v>
      </c>
      <c r="Y1219">
        <v>0</v>
      </c>
      <c r="Z1219">
        <v>1</v>
      </c>
      <c r="AA1219">
        <v>0</v>
      </c>
      <c r="AB1219">
        <v>1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1</v>
      </c>
      <c r="AJ1219">
        <v>0</v>
      </c>
      <c r="AK1219">
        <v>0</v>
      </c>
      <c r="AL1219">
        <v>1</v>
      </c>
      <c r="AM1219">
        <v>0</v>
      </c>
    </row>
    <row r="1220" spans="1:39" x14ac:dyDescent="0.2">
      <c r="A1220" t="str">
        <f>"1216"</f>
        <v>1216</v>
      </c>
      <c r="B1220" t="str">
        <f t="shared" si="68"/>
        <v>1</v>
      </c>
      <c r="C1220" t="str">
        <f t="shared" si="67"/>
        <v>25</v>
      </c>
      <c r="D1220" t="str">
        <f>"19"</f>
        <v>19</v>
      </c>
      <c r="E1220" t="str">
        <f>"1-25-19"</f>
        <v>1-25-19</v>
      </c>
      <c r="F1220" t="s">
        <v>65</v>
      </c>
      <c r="G1220" t="s">
        <v>66</v>
      </c>
      <c r="H1220" t="s">
        <v>67</v>
      </c>
      <c r="S1220">
        <v>1</v>
      </c>
      <c r="T1220">
        <v>0</v>
      </c>
      <c r="U1220">
        <v>0</v>
      </c>
      <c r="V1220">
        <v>0</v>
      </c>
      <c r="W1220">
        <v>1</v>
      </c>
      <c r="X1220">
        <v>0</v>
      </c>
      <c r="Y1220">
        <v>1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1</v>
      </c>
      <c r="AF1220">
        <v>1</v>
      </c>
      <c r="AG1220">
        <v>1</v>
      </c>
      <c r="AH1220">
        <v>1</v>
      </c>
      <c r="AI1220">
        <v>1</v>
      </c>
      <c r="AJ1220">
        <v>1</v>
      </c>
      <c r="AK1220">
        <v>1</v>
      </c>
      <c r="AL1220">
        <v>1</v>
      </c>
      <c r="AM1220">
        <v>0</v>
      </c>
    </row>
    <row r="1221" spans="1:39" x14ac:dyDescent="0.2">
      <c r="A1221" t="str">
        <f>"1217"</f>
        <v>1217</v>
      </c>
      <c r="B1221" t="str">
        <f t="shared" si="68"/>
        <v>1</v>
      </c>
      <c r="C1221" t="str">
        <f t="shared" si="67"/>
        <v>25</v>
      </c>
      <c r="D1221" t="str">
        <f>"14"</f>
        <v>14</v>
      </c>
      <c r="E1221" t="str">
        <f>"1-25-14"</f>
        <v>1-25-14</v>
      </c>
      <c r="F1221" t="s">
        <v>65</v>
      </c>
      <c r="G1221" t="s">
        <v>66</v>
      </c>
      <c r="H1221" t="s">
        <v>67</v>
      </c>
      <c r="S1221">
        <v>1</v>
      </c>
      <c r="T1221">
        <v>0</v>
      </c>
      <c r="U1221">
        <v>0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0</v>
      </c>
      <c r="AB1221">
        <v>1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</row>
    <row r="1222" spans="1:39" x14ac:dyDescent="0.2">
      <c r="A1222" t="str">
        <f>"1218"</f>
        <v>1218</v>
      </c>
      <c r="B1222" t="str">
        <f t="shared" si="68"/>
        <v>1</v>
      </c>
      <c r="C1222" t="str">
        <f t="shared" si="67"/>
        <v>25</v>
      </c>
      <c r="D1222" t="str">
        <f>"39"</f>
        <v>39</v>
      </c>
      <c r="E1222" t="str">
        <f>"1-25-39"</f>
        <v>1-25-39</v>
      </c>
      <c r="F1222" t="s">
        <v>65</v>
      </c>
      <c r="G1222" t="s">
        <v>66</v>
      </c>
      <c r="H1222" t="s">
        <v>67</v>
      </c>
      <c r="S1222">
        <v>1</v>
      </c>
      <c r="T1222">
        <v>0</v>
      </c>
      <c r="U1222">
        <v>0</v>
      </c>
      <c r="V1222">
        <v>0</v>
      </c>
      <c r="W1222">
        <v>1</v>
      </c>
      <c r="X1222">
        <v>0</v>
      </c>
      <c r="Y1222">
        <v>1</v>
      </c>
      <c r="Z1222">
        <v>0</v>
      </c>
      <c r="AA1222">
        <v>1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1</v>
      </c>
      <c r="AJ1222">
        <v>1</v>
      </c>
      <c r="AK1222">
        <v>1</v>
      </c>
      <c r="AL1222">
        <v>1</v>
      </c>
      <c r="AM1222">
        <v>1</v>
      </c>
    </row>
    <row r="1223" spans="1:39" x14ac:dyDescent="0.2">
      <c r="A1223" t="str">
        <f>"1219"</f>
        <v>1219</v>
      </c>
      <c r="B1223" t="str">
        <f t="shared" si="68"/>
        <v>1</v>
      </c>
      <c r="C1223" t="str">
        <f t="shared" si="67"/>
        <v>25</v>
      </c>
      <c r="D1223" t="str">
        <f>"38"</f>
        <v>38</v>
      </c>
      <c r="E1223" t="str">
        <f>"1-25-38"</f>
        <v>1-25-38</v>
      </c>
      <c r="F1223" t="s">
        <v>65</v>
      </c>
      <c r="G1223" t="s">
        <v>66</v>
      </c>
      <c r="H1223" t="s">
        <v>67</v>
      </c>
      <c r="S1223">
        <v>1</v>
      </c>
      <c r="T1223">
        <v>0</v>
      </c>
      <c r="U1223">
        <v>0</v>
      </c>
      <c r="V1223">
        <v>0</v>
      </c>
      <c r="W1223">
        <v>1</v>
      </c>
      <c r="X1223">
        <v>0</v>
      </c>
      <c r="Y1223">
        <v>1</v>
      </c>
      <c r="Z1223">
        <v>0</v>
      </c>
      <c r="AA1223">
        <v>1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</row>
    <row r="1224" spans="1:39" x14ac:dyDescent="0.2">
      <c r="A1224" t="str">
        <f>"1220"</f>
        <v>1220</v>
      </c>
      <c r="B1224" t="str">
        <f t="shared" si="68"/>
        <v>1</v>
      </c>
      <c r="C1224" t="str">
        <f t="shared" si="67"/>
        <v>25</v>
      </c>
      <c r="D1224" t="str">
        <f>"30"</f>
        <v>30</v>
      </c>
      <c r="E1224" t="str">
        <f>"1-25-30"</f>
        <v>1-25-30</v>
      </c>
      <c r="F1224" t="s">
        <v>65</v>
      </c>
      <c r="G1224" t="s">
        <v>66</v>
      </c>
      <c r="H1224" t="s">
        <v>67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1</v>
      </c>
      <c r="Y1224">
        <v>1</v>
      </c>
      <c r="Z1224">
        <v>0</v>
      </c>
      <c r="AA1224">
        <v>0</v>
      </c>
      <c r="AB1224">
        <v>1</v>
      </c>
      <c r="AC1224">
        <v>0</v>
      </c>
      <c r="AD1224">
        <v>0</v>
      </c>
      <c r="AE1224">
        <v>1</v>
      </c>
      <c r="AF1224">
        <v>0</v>
      </c>
      <c r="AG1224">
        <v>1</v>
      </c>
      <c r="AH1224">
        <v>0</v>
      </c>
      <c r="AI1224">
        <v>1</v>
      </c>
      <c r="AJ1224">
        <v>0</v>
      </c>
      <c r="AK1224">
        <v>1</v>
      </c>
      <c r="AL1224">
        <v>0</v>
      </c>
      <c r="AM1224">
        <v>1</v>
      </c>
    </row>
    <row r="1225" spans="1:39" x14ac:dyDescent="0.2">
      <c r="A1225" t="str">
        <f>"1221"</f>
        <v>1221</v>
      </c>
      <c r="B1225" t="str">
        <f t="shared" si="68"/>
        <v>1</v>
      </c>
      <c r="C1225" t="str">
        <f t="shared" si="67"/>
        <v>25</v>
      </c>
      <c r="D1225" t="str">
        <f>"20"</f>
        <v>20</v>
      </c>
      <c r="E1225" t="str">
        <f>"1-25-20"</f>
        <v>1-25-20</v>
      </c>
      <c r="F1225" t="s">
        <v>65</v>
      </c>
      <c r="G1225" t="s">
        <v>66</v>
      </c>
      <c r="H1225" t="s">
        <v>67</v>
      </c>
      <c r="S1225">
        <v>1</v>
      </c>
      <c r="T1225">
        <v>0</v>
      </c>
      <c r="U1225">
        <v>0</v>
      </c>
      <c r="V1225">
        <v>0</v>
      </c>
      <c r="W1225">
        <v>0</v>
      </c>
      <c r="X1225">
        <v>1</v>
      </c>
      <c r="Y1225">
        <v>0</v>
      </c>
      <c r="Z1225">
        <v>1</v>
      </c>
      <c r="AA1225">
        <v>0</v>
      </c>
      <c r="AB1225">
        <v>0</v>
      </c>
      <c r="AC1225">
        <v>1</v>
      </c>
      <c r="AD1225">
        <v>1</v>
      </c>
      <c r="AE1225">
        <v>1</v>
      </c>
      <c r="AF1225">
        <v>1</v>
      </c>
      <c r="AG1225">
        <v>1</v>
      </c>
      <c r="AH1225">
        <v>1</v>
      </c>
      <c r="AI1225">
        <v>1</v>
      </c>
      <c r="AJ1225">
        <v>1</v>
      </c>
      <c r="AK1225">
        <v>1</v>
      </c>
      <c r="AL1225">
        <v>1</v>
      </c>
      <c r="AM1225">
        <v>1</v>
      </c>
    </row>
    <row r="1226" spans="1:39" x14ac:dyDescent="0.2">
      <c r="A1226" t="str">
        <f>"1222"</f>
        <v>1222</v>
      </c>
      <c r="B1226" t="str">
        <f t="shared" si="68"/>
        <v>1</v>
      </c>
      <c r="C1226" t="str">
        <f t="shared" si="67"/>
        <v>25</v>
      </c>
      <c r="D1226" t="str">
        <f>"8"</f>
        <v>8</v>
      </c>
      <c r="E1226" t="str">
        <f>"1-25-8"</f>
        <v>1-25-8</v>
      </c>
      <c r="F1226" t="s">
        <v>65</v>
      </c>
      <c r="G1226" t="s">
        <v>66</v>
      </c>
      <c r="H1226" t="s">
        <v>67</v>
      </c>
      <c r="S1226">
        <v>0</v>
      </c>
      <c r="T1226">
        <v>1</v>
      </c>
      <c r="U1226">
        <v>0</v>
      </c>
      <c r="V1226">
        <v>0</v>
      </c>
      <c r="W1226">
        <v>0</v>
      </c>
      <c r="X1226">
        <v>1</v>
      </c>
      <c r="Y1226">
        <v>0</v>
      </c>
      <c r="Z1226">
        <v>1</v>
      </c>
      <c r="AA1226">
        <v>0</v>
      </c>
      <c r="AB1226">
        <v>0</v>
      </c>
      <c r="AC1226">
        <v>1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</row>
    <row r="1227" spans="1:39" x14ac:dyDescent="0.2">
      <c r="A1227" t="str">
        <f>"1223"</f>
        <v>1223</v>
      </c>
      <c r="B1227" t="str">
        <f t="shared" si="68"/>
        <v>1</v>
      </c>
      <c r="C1227" t="str">
        <f t="shared" si="67"/>
        <v>25</v>
      </c>
      <c r="D1227" t="str">
        <f>"37"</f>
        <v>37</v>
      </c>
      <c r="E1227" t="str">
        <f>"1-25-37"</f>
        <v>1-25-37</v>
      </c>
      <c r="F1227" t="s">
        <v>65</v>
      </c>
      <c r="G1227" t="s">
        <v>66</v>
      </c>
      <c r="H1227" t="s">
        <v>67</v>
      </c>
      <c r="S1227">
        <v>0</v>
      </c>
      <c r="T1227">
        <v>1</v>
      </c>
      <c r="U1227">
        <v>0</v>
      </c>
      <c r="V1227">
        <v>0</v>
      </c>
      <c r="W1227">
        <v>1</v>
      </c>
      <c r="X1227">
        <v>0</v>
      </c>
      <c r="Y1227">
        <v>0</v>
      </c>
      <c r="Z1227">
        <v>0</v>
      </c>
      <c r="AA1227">
        <v>0</v>
      </c>
      <c r="AB1227">
        <v>1</v>
      </c>
      <c r="AC1227">
        <v>0</v>
      </c>
      <c r="AD1227">
        <v>0</v>
      </c>
      <c r="AE1227">
        <v>0</v>
      </c>
      <c r="AF1227">
        <v>0</v>
      </c>
      <c r="AG1227">
        <v>1</v>
      </c>
      <c r="AH1227">
        <v>0</v>
      </c>
      <c r="AI1227">
        <v>1</v>
      </c>
      <c r="AJ1227">
        <v>1</v>
      </c>
      <c r="AK1227">
        <v>0</v>
      </c>
      <c r="AL1227">
        <v>0</v>
      </c>
      <c r="AM1227">
        <v>0</v>
      </c>
    </row>
    <row r="1228" spans="1:39" x14ac:dyDescent="0.2">
      <c r="A1228" t="str">
        <f>"1224"</f>
        <v>1224</v>
      </c>
      <c r="B1228" t="str">
        <f t="shared" si="68"/>
        <v>1</v>
      </c>
      <c r="C1228" t="str">
        <f t="shared" si="67"/>
        <v>25</v>
      </c>
      <c r="D1228" t="str">
        <f>"21"</f>
        <v>21</v>
      </c>
      <c r="E1228" t="str">
        <f>"1-25-21"</f>
        <v>1-25-21</v>
      </c>
      <c r="F1228" t="s">
        <v>65</v>
      </c>
      <c r="G1228" t="s">
        <v>66</v>
      </c>
      <c r="H1228" t="s">
        <v>67</v>
      </c>
      <c r="S1228">
        <v>1</v>
      </c>
      <c r="T1228">
        <v>0</v>
      </c>
      <c r="U1228">
        <v>0</v>
      </c>
      <c r="V1228">
        <v>0</v>
      </c>
      <c r="W1228">
        <v>1</v>
      </c>
      <c r="X1228">
        <v>0</v>
      </c>
      <c r="Y1228">
        <v>1</v>
      </c>
      <c r="Z1228">
        <v>0</v>
      </c>
      <c r="AA1228">
        <v>0</v>
      </c>
      <c r="AB1228">
        <v>0</v>
      </c>
      <c r="AC1228">
        <v>1</v>
      </c>
      <c r="AD1228">
        <v>1</v>
      </c>
      <c r="AE1228">
        <v>1</v>
      </c>
      <c r="AF1228">
        <v>1</v>
      </c>
      <c r="AG1228">
        <v>1</v>
      </c>
      <c r="AH1228">
        <v>1</v>
      </c>
      <c r="AI1228">
        <v>1</v>
      </c>
      <c r="AJ1228">
        <v>1</v>
      </c>
      <c r="AK1228">
        <v>1</v>
      </c>
      <c r="AL1228">
        <v>1</v>
      </c>
      <c r="AM1228">
        <v>1</v>
      </c>
    </row>
    <row r="1229" spans="1:39" x14ac:dyDescent="0.2">
      <c r="A1229" t="str">
        <f>"1225"</f>
        <v>1225</v>
      </c>
      <c r="B1229" t="str">
        <f t="shared" si="68"/>
        <v>1</v>
      </c>
      <c r="C1229" t="str">
        <f t="shared" si="67"/>
        <v>25</v>
      </c>
      <c r="D1229" t="str">
        <f>"36"</f>
        <v>36</v>
      </c>
      <c r="E1229" t="str">
        <f>"1-25-36"</f>
        <v>1-25-36</v>
      </c>
      <c r="F1229" t="s">
        <v>65</v>
      </c>
      <c r="G1229" t="s">
        <v>66</v>
      </c>
      <c r="H1229" t="s">
        <v>67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1</v>
      </c>
      <c r="Y1229">
        <v>0</v>
      </c>
      <c r="Z1229">
        <v>1</v>
      </c>
      <c r="AA1229">
        <v>0</v>
      </c>
      <c r="AB1229">
        <v>1</v>
      </c>
      <c r="AC1229">
        <v>0</v>
      </c>
      <c r="AD1229">
        <v>1</v>
      </c>
      <c r="AE1229">
        <v>1</v>
      </c>
      <c r="AF1229">
        <v>1</v>
      </c>
      <c r="AG1229">
        <v>1</v>
      </c>
      <c r="AH1229">
        <v>1</v>
      </c>
      <c r="AI1229">
        <v>1</v>
      </c>
      <c r="AJ1229">
        <v>1</v>
      </c>
      <c r="AK1229">
        <v>1</v>
      </c>
      <c r="AL1229">
        <v>1</v>
      </c>
      <c r="AM1229">
        <v>1</v>
      </c>
    </row>
    <row r="1230" spans="1:39" x14ac:dyDescent="0.2">
      <c r="A1230" t="str">
        <f>"1226"</f>
        <v>1226</v>
      </c>
      <c r="B1230" t="str">
        <f t="shared" si="68"/>
        <v>1</v>
      </c>
      <c r="C1230" t="str">
        <f t="shared" si="67"/>
        <v>25</v>
      </c>
      <c r="D1230" t="str">
        <f>"22"</f>
        <v>22</v>
      </c>
      <c r="E1230" t="str">
        <f>"1-25-22"</f>
        <v>1-25-22</v>
      </c>
      <c r="F1230" t="s">
        <v>65</v>
      </c>
      <c r="G1230" t="s">
        <v>66</v>
      </c>
      <c r="H1230" t="s">
        <v>67</v>
      </c>
      <c r="S1230">
        <v>1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0</v>
      </c>
      <c r="Z1230">
        <v>1</v>
      </c>
      <c r="AA1230">
        <v>0</v>
      </c>
      <c r="AB1230">
        <v>1</v>
      </c>
      <c r="AC1230">
        <v>0</v>
      </c>
      <c r="AD1230">
        <v>1</v>
      </c>
      <c r="AE1230">
        <v>1</v>
      </c>
      <c r="AF1230">
        <v>1</v>
      </c>
      <c r="AG1230">
        <v>1</v>
      </c>
      <c r="AH1230">
        <v>1</v>
      </c>
      <c r="AI1230">
        <v>1</v>
      </c>
      <c r="AJ1230">
        <v>1</v>
      </c>
      <c r="AK1230">
        <v>1</v>
      </c>
      <c r="AL1230">
        <v>1</v>
      </c>
      <c r="AM1230">
        <v>1</v>
      </c>
    </row>
    <row r="1231" spans="1:39" x14ac:dyDescent="0.2">
      <c r="A1231" t="str">
        <f>"1227"</f>
        <v>1227</v>
      </c>
      <c r="B1231" t="str">
        <f t="shared" si="68"/>
        <v>1</v>
      </c>
      <c r="C1231" t="str">
        <f t="shared" si="67"/>
        <v>25</v>
      </c>
      <c r="D1231" t="str">
        <f>"5"</f>
        <v>5</v>
      </c>
      <c r="E1231" t="str">
        <f>"1-25-5"</f>
        <v>1-25-5</v>
      </c>
      <c r="F1231" t="s">
        <v>65</v>
      </c>
      <c r="G1231" t="s">
        <v>66</v>
      </c>
      <c r="H1231" t="s">
        <v>67</v>
      </c>
      <c r="S1231">
        <v>1</v>
      </c>
      <c r="T1231">
        <v>0</v>
      </c>
      <c r="U1231">
        <v>0</v>
      </c>
      <c r="V1231">
        <v>0</v>
      </c>
      <c r="W1231">
        <v>1</v>
      </c>
      <c r="X1231">
        <v>0</v>
      </c>
      <c r="Y1231">
        <v>0</v>
      </c>
      <c r="Z1231">
        <v>1</v>
      </c>
      <c r="AA1231">
        <v>1</v>
      </c>
      <c r="AB1231">
        <v>0</v>
      </c>
      <c r="AC1231">
        <v>0</v>
      </c>
      <c r="AD1231">
        <v>1</v>
      </c>
      <c r="AE1231">
        <v>1</v>
      </c>
      <c r="AF1231">
        <v>1</v>
      </c>
      <c r="AG1231">
        <v>1</v>
      </c>
      <c r="AH1231">
        <v>1</v>
      </c>
      <c r="AI1231">
        <v>1</v>
      </c>
      <c r="AJ1231">
        <v>1</v>
      </c>
      <c r="AK1231">
        <v>1</v>
      </c>
      <c r="AL1231">
        <v>1</v>
      </c>
      <c r="AM1231">
        <v>1</v>
      </c>
    </row>
    <row r="1232" spans="1:39" x14ac:dyDescent="0.2">
      <c r="A1232" t="str">
        <f>"1228"</f>
        <v>1228</v>
      </c>
      <c r="B1232" t="str">
        <f t="shared" si="68"/>
        <v>1</v>
      </c>
      <c r="C1232" t="str">
        <f t="shared" si="67"/>
        <v>25</v>
      </c>
      <c r="D1232" t="str">
        <f>"41"</f>
        <v>41</v>
      </c>
      <c r="E1232" t="str">
        <f>"1-25-41"</f>
        <v>1-25-41</v>
      </c>
      <c r="F1232" t="s">
        <v>65</v>
      </c>
      <c r="G1232" t="s">
        <v>66</v>
      </c>
      <c r="H1232" t="s">
        <v>67</v>
      </c>
      <c r="S1232">
        <v>1</v>
      </c>
      <c r="T1232">
        <v>0</v>
      </c>
      <c r="U1232">
        <v>0</v>
      </c>
      <c r="V1232">
        <v>0</v>
      </c>
      <c r="W1232">
        <v>1</v>
      </c>
      <c r="X1232">
        <v>0</v>
      </c>
      <c r="Y1232">
        <v>1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1</v>
      </c>
      <c r="AF1232">
        <v>1</v>
      </c>
      <c r="AG1232">
        <v>1</v>
      </c>
      <c r="AH1232">
        <v>1</v>
      </c>
      <c r="AI1232">
        <v>1</v>
      </c>
      <c r="AJ1232">
        <v>1</v>
      </c>
      <c r="AK1232">
        <v>1</v>
      </c>
      <c r="AL1232">
        <v>1</v>
      </c>
      <c r="AM1232">
        <v>1</v>
      </c>
    </row>
    <row r="1233" spans="1:39" x14ac:dyDescent="0.2">
      <c r="A1233" t="str">
        <f>"1229"</f>
        <v>1229</v>
      </c>
      <c r="B1233" t="str">
        <f t="shared" si="68"/>
        <v>1</v>
      </c>
      <c r="C1233" t="str">
        <f t="shared" si="67"/>
        <v>25</v>
      </c>
      <c r="D1233" t="str">
        <f>"40"</f>
        <v>40</v>
      </c>
      <c r="E1233" t="str">
        <f>"1-25-40"</f>
        <v>1-25-40</v>
      </c>
      <c r="F1233" t="s">
        <v>65</v>
      </c>
      <c r="G1233" t="s">
        <v>66</v>
      </c>
      <c r="H1233" t="s">
        <v>67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1</v>
      </c>
      <c r="Y1233">
        <v>0</v>
      </c>
      <c r="Z1233">
        <v>1</v>
      </c>
      <c r="AA1233">
        <v>0</v>
      </c>
      <c r="AB1233">
        <v>0</v>
      </c>
      <c r="AC1233">
        <v>1</v>
      </c>
      <c r="AD1233">
        <v>1</v>
      </c>
      <c r="AE1233">
        <v>1</v>
      </c>
      <c r="AF1233">
        <v>1</v>
      </c>
      <c r="AG1233">
        <v>1</v>
      </c>
      <c r="AH1233">
        <v>1</v>
      </c>
      <c r="AI1233">
        <v>1</v>
      </c>
      <c r="AJ1233">
        <v>1</v>
      </c>
      <c r="AK1233">
        <v>1</v>
      </c>
      <c r="AL1233">
        <v>1</v>
      </c>
      <c r="AM1233">
        <v>1</v>
      </c>
    </row>
    <row r="1234" spans="1:39" x14ac:dyDescent="0.2">
      <c r="A1234" t="str">
        <f>"1230"</f>
        <v>1230</v>
      </c>
      <c r="B1234" t="str">
        <f t="shared" si="68"/>
        <v>1</v>
      </c>
      <c r="C1234" t="str">
        <f t="shared" si="67"/>
        <v>25</v>
      </c>
      <c r="D1234" t="str">
        <f>"32"</f>
        <v>32</v>
      </c>
      <c r="E1234" t="str">
        <f>"1-25-32"</f>
        <v>1-25-32</v>
      </c>
      <c r="F1234" t="s">
        <v>65</v>
      </c>
      <c r="G1234" t="s">
        <v>66</v>
      </c>
      <c r="H1234" t="s">
        <v>67</v>
      </c>
      <c r="S1234">
        <v>0</v>
      </c>
      <c r="T1234">
        <v>1</v>
      </c>
      <c r="U1234">
        <v>0</v>
      </c>
      <c r="V1234">
        <v>0</v>
      </c>
      <c r="W1234">
        <v>0</v>
      </c>
      <c r="X1234">
        <v>1</v>
      </c>
      <c r="Y1234">
        <v>1</v>
      </c>
      <c r="Z1234">
        <v>0</v>
      </c>
      <c r="AA1234">
        <v>0</v>
      </c>
      <c r="AB1234">
        <v>1</v>
      </c>
      <c r="AC1234">
        <v>0</v>
      </c>
      <c r="AD1234">
        <v>1</v>
      </c>
      <c r="AE1234">
        <v>1</v>
      </c>
      <c r="AF1234">
        <v>1</v>
      </c>
      <c r="AG1234">
        <v>1</v>
      </c>
      <c r="AH1234">
        <v>1</v>
      </c>
      <c r="AI1234">
        <v>1</v>
      </c>
      <c r="AJ1234">
        <v>1</v>
      </c>
      <c r="AK1234">
        <v>1</v>
      </c>
      <c r="AL1234">
        <v>1</v>
      </c>
      <c r="AM1234">
        <v>0</v>
      </c>
    </row>
    <row r="1235" spans="1:39" x14ac:dyDescent="0.2">
      <c r="A1235" t="str">
        <f>"1231"</f>
        <v>1231</v>
      </c>
      <c r="B1235" t="str">
        <f t="shared" si="68"/>
        <v>1</v>
      </c>
      <c r="C1235" t="str">
        <f t="shared" si="67"/>
        <v>25</v>
      </c>
      <c r="D1235" t="str">
        <f>"23"</f>
        <v>23</v>
      </c>
      <c r="E1235" t="str">
        <f>"1-25-23"</f>
        <v>1-25-23</v>
      </c>
      <c r="F1235" t="s">
        <v>65</v>
      </c>
      <c r="G1235" t="s">
        <v>66</v>
      </c>
      <c r="H1235" t="s">
        <v>67</v>
      </c>
      <c r="S1235">
        <v>1</v>
      </c>
      <c r="T1235">
        <v>0</v>
      </c>
      <c r="U1235">
        <v>0</v>
      </c>
      <c r="V1235">
        <v>0</v>
      </c>
      <c r="W1235">
        <v>1</v>
      </c>
      <c r="X1235">
        <v>0</v>
      </c>
      <c r="Y1235">
        <v>1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1</v>
      </c>
      <c r="AF1235">
        <v>1</v>
      </c>
      <c r="AG1235">
        <v>1</v>
      </c>
      <c r="AH1235">
        <v>1</v>
      </c>
      <c r="AI1235">
        <v>1</v>
      </c>
      <c r="AJ1235">
        <v>1</v>
      </c>
      <c r="AK1235">
        <v>1</v>
      </c>
      <c r="AL1235">
        <v>1</v>
      </c>
      <c r="AM1235">
        <v>1</v>
      </c>
    </row>
    <row r="1236" spans="1:39" x14ac:dyDescent="0.2">
      <c r="A1236" t="str">
        <f>"1232"</f>
        <v>1232</v>
      </c>
      <c r="B1236" t="str">
        <f t="shared" si="68"/>
        <v>1</v>
      </c>
      <c r="C1236" t="str">
        <f t="shared" si="67"/>
        <v>25</v>
      </c>
      <c r="D1236" t="str">
        <f>"3"</f>
        <v>3</v>
      </c>
      <c r="E1236" t="str">
        <f>"1-25-3"</f>
        <v>1-25-3</v>
      </c>
      <c r="F1236" t="s">
        <v>65</v>
      </c>
      <c r="G1236" t="s">
        <v>66</v>
      </c>
      <c r="H1236" t="s">
        <v>67</v>
      </c>
      <c r="S1236">
        <v>1</v>
      </c>
      <c r="T1236">
        <v>0</v>
      </c>
      <c r="U1236">
        <v>0</v>
      </c>
      <c r="V1236">
        <v>0</v>
      </c>
      <c r="W1236">
        <v>0</v>
      </c>
      <c r="X1236">
        <v>1</v>
      </c>
      <c r="Y1236">
        <v>0</v>
      </c>
      <c r="Z1236">
        <v>1</v>
      </c>
      <c r="AA1236">
        <v>0</v>
      </c>
      <c r="AB1236">
        <v>1</v>
      </c>
      <c r="AC1236">
        <v>0</v>
      </c>
      <c r="AD1236">
        <v>1</v>
      </c>
      <c r="AE1236">
        <v>1</v>
      </c>
      <c r="AF1236">
        <v>1</v>
      </c>
      <c r="AG1236">
        <v>1</v>
      </c>
      <c r="AH1236">
        <v>1</v>
      </c>
      <c r="AI1236">
        <v>1</v>
      </c>
      <c r="AJ1236">
        <v>1</v>
      </c>
      <c r="AK1236">
        <v>1</v>
      </c>
      <c r="AL1236">
        <v>1</v>
      </c>
      <c r="AM1236">
        <v>1</v>
      </c>
    </row>
    <row r="1237" spans="1:39" x14ac:dyDescent="0.2">
      <c r="A1237" t="str">
        <f>"1233"</f>
        <v>1233</v>
      </c>
      <c r="B1237" t="str">
        <f t="shared" si="68"/>
        <v>1</v>
      </c>
      <c r="C1237" t="str">
        <f t="shared" ref="C1237:C1254" si="69">"25"</f>
        <v>25</v>
      </c>
      <c r="D1237" t="str">
        <f>"44"</f>
        <v>44</v>
      </c>
      <c r="E1237" t="str">
        <f>"1-25-44"</f>
        <v>1-25-44</v>
      </c>
      <c r="F1237" t="s">
        <v>65</v>
      </c>
      <c r="G1237" t="s">
        <v>66</v>
      </c>
      <c r="H1237" t="s">
        <v>67</v>
      </c>
      <c r="S1237">
        <v>0</v>
      </c>
      <c r="T1237">
        <v>1</v>
      </c>
      <c r="U1237">
        <v>0</v>
      </c>
      <c r="V1237">
        <v>0</v>
      </c>
      <c r="W1237">
        <v>0</v>
      </c>
      <c r="X1237">
        <v>1</v>
      </c>
      <c r="Y1237">
        <v>1</v>
      </c>
      <c r="Z1237">
        <v>0</v>
      </c>
      <c r="AA1237">
        <v>0</v>
      </c>
      <c r="AB1237">
        <v>1</v>
      </c>
      <c r="AC1237">
        <v>0</v>
      </c>
      <c r="AD1237">
        <v>1</v>
      </c>
      <c r="AE1237">
        <v>1</v>
      </c>
      <c r="AF1237">
        <v>1</v>
      </c>
      <c r="AG1237">
        <v>1</v>
      </c>
      <c r="AH1237">
        <v>1</v>
      </c>
      <c r="AI1237">
        <v>1</v>
      </c>
      <c r="AJ1237">
        <v>1</v>
      </c>
      <c r="AK1237">
        <v>1</v>
      </c>
      <c r="AL1237">
        <v>1</v>
      </c>
      <c r="AM1237">
        <v>1</v>
      </c>
    </row>
    <row r="1238" spans="1:39" x14ac:dyDescent="0.2">
      <c r="A1238" t="str">
        <f>"1234"</f>
        <v>1234</v>
      </c>
      <c r="B1238" t="str">
        <f t="shared" si="68"/>
        <v>1</v>
      </c>
      <c r="C1238" t="str">
        <f t="shared" si="69"/>
        <v>25</v>
      </c>
      <c r="D1238" t="str">
        <f>"24"</f>
        <v>24</v>
      </c>
      <c r="E1238" t="str">
        <f>"1-25-24"</f>
        <v>1-25-24</v>
      </c>
      <c r="F1238" t="s">
        <v>65</v>
      </c>
      <c r="G1238" t="s">
        <v>66</v>
      </c>
      <c r="H1238" t="s">
        <v>67</v>
      </c>
      <c r="S1238">
        <v>1</v>
      </c>
      <c r="T1238">
        <v>0</v>
      </c>
      <c r="U1238">
        <v>0</v>
      </c>
      <c r="V1238">
        <v>0</v>
      </c>
      <c r="W1238">
        <v>1</v>
      </c>
      <c r="X1238">
        <v>0</v>
      </c>
      <c r="Y1238">
        <v>1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1</v>
      </c>
      <c r="AF1238">
        <v>1</v>
      </c>
      <c r="AG1238">
        <v>1</v>
      </c>
      <c r="AH1238">
        <v>1</v>
      </c>
      <c r="AI1238">
        <v>1</v>
      </c>
      <c r="AJ1238">
        <v>1</v>
      </c>
      <c r="AK1238">
        <v>1</v>
      </c>
      <c r="AL1238">
        <v>1</v>
      </c>
      <c r="AM1238">
        <v>1</v>
      </c>
    </row>
    <row r="1239" spans="1:39" x14ac:dyDescent="0.2">
      <c r="A1239" t="str">
        <f>"1235"</f>
        <v>1235</v>
      </c>
      <c r="B1239" t="str">
        <f t="shared" si="68"/>
        <v>1</v>
      </c>
      <c r="C1239" t="str">
        <f t="shared" si="69"/>
        <v>25</v>
      </c>
      <c r="D1239" t="str">
        <f>"12"</f>
        <v>12</v>
      </c>
      <c r="E1239" t="str">
        <f>"1-25-12"</f>
        <v>1-25-12</v>
      </c>
      <c r="F1239" t="s">
        <v>65</v>
      </c>
      <c r="G1239" t="s">
        <v>66</v>
      </c>
      <c r="H1239" t="s">
        <v>67</v>
      </c>
      <c r="S1239">
        <v>1</v>
      </c>
      <c r="T1239">
        <v>0</v>
      </c>
      <c r="U1239">
        <v>0</v>
      </c>
      <c r="V1239">
        <v>0</v>
      </c>
      <c r="W1239">
        <v>0</v>
      </c>
      <c r="X1239">
        <v>1</v>
      </c>
      <c r="Y1239">
        <v>1</v>
      </c>
      <c r="Z1239">
        <v>0</v>
      </c>
      <c r="AA1239">
        <v>0</v>
      </c>
      <c r="AB1239">
        <v>1</v>
      </c>
      <c r="AC1239">
        <v>0</v>
      </c>
      <c r="AD1239">
        <v>1</v>
      </c>
      <c r="AE1239">
        <v>1</v>
      </c>
      <c r="AF1239">
        <v>1</v>
      </c>
      <c r="AG1239">
        <v>1</v>
      </c>
      <c r="AH1239">
        <v>1</v>
      </c>
      <c r="AI1239">
        <v>1</v>
      </c>
      <c r="AJ1239">
        <v>1</v>
      </c>
      <c r="AK1239">
        <v>1</v>
      </c>
      <c r="AL1239">
        <v>1</v>
      </c>
      <c r="AM1239">
        <v>1</v>
      </c>
    </row>
    <row r="1240" spans="1:39" x14ac:dyDescent="0.2">
      <c r="A1240" t="str">
        <f>"1236"</f>
        <v>1236</v>
      </c>
      <c r="B1240" t="str">
        <f t="shared" si="68"/>
        <v>1</v>
      </c>
      <c r="C1240" t="str">
        <f t="shared" si="69"/>
        <v>25</v>
      </c>
      <c r="D1240" t="str">
        <f>"43"</f>
        <v>43</v>
      </c>
      <c r="E1240" t="str">
        <f>"1-25-43"</f>
        <v>1-25-43</v>
      </c>
      <c r="F1240" t="s">
        <v>65</v>
      </c>
      <c r="G1240" t="s">
        <v>66</v>
      </c>
      <c r="H1240" t="s">
        <v>67</v>
      </c>
      <c r="S1240">
        <v>1</v>
      </c>
      <c r="T1240">
        <v>0</v>
      </c>
      <c r="U1240">
        <v>0</v>
      </c>
      <c r="V1240">
        <v>0</v>
      </c>
      <c r="W1240">
        <v>1</v>
      </c>
      <c r="X1240">
        <v>0</v>
      </c>
      <c r="Y1240">
        <v>0</v>
      </c>
      <c r="Z1240">
        <v>1</v>
      </c>
      <c r="AA1240">
        <v>1</v>
      </c>
      <c r="AB1240">
        <v>0</v>
      </c>
      <c r="AC1240">
        <v>0</v>
      </c>
      <c r="AD1240">
        <v>1</v>
      </c>
      <c r="AE1240">
        <v>1</v>
      </c>
      <c r="AF1240">
        <v>1</v>
      </c>
      <c r="AG1240">
        <v>1</v>
      </c>
      <c r="AH1240">
        <v>1</v>
      </c>
      <c r="AI1240">
        <v>1</v>
      </c>
      <c r="AJ1240">
        <v>1</v>
      </c>
      <c r="AK1240">
        <v>1</v>
      </c>
      <c r="AL1240">
        <v>1</v>
      </c>
      <c r="AM1240">
        <v>1</v>
      </c>
    </row>
    <row r="1241" spans="1:39" x14ac:dyDescent="0.2">
      <c r="A1241" t="str">
        <f>"1237"</f>
        <v>1237</v>
      </c>
      <c r="B1241" t="str">
        <f t="shared" si="68"/>
        <v>1</v>
      </c>
      <c r="C1241" t="str">
        <f t="shared" si="69"/>
        <v>25</v>
      </c>
      <c r="D1241" t="str">
        <f>"25"</f>
        <v>25</v>
      </c>
      <c r="E1241" t="str">
        <f>"1-25-25"</f>
        <v>1-25-25</v>
      </c>
      <c r="F1241" t="s">
        <v>65</v>
      </c>
      <c r="G1241" t="s">
        <v>66</v>
      </c>
      <c r="H1241" t="s">
        <v>67</v>
      </c>
      <c r="S1241">
        <v>1</v>
      </c>
      <c r="T1241">
        <v>0</v>
      </c>
      <c r="U1241">
        <v>0</v>
      </c>
      <c r="V1241">
        <v>0</v>
      </c>
      <c r="W1241">
        <v>1</v>
      </c>
      <c r="X1241">
        <v>0</v>
      </c>
      <c r="Y1241">
        <v>0</v>
      </c>
      <c r="Z1241">
        <v>1</v>
      </c>
      <c r="AA1241">
        <v>1</v>
      </c>
      <c r="AB1241">
        <v>0</v>
      </c>
      <c r="AC1241">
        <v>0</v>
      </c>
      <c r="AD1241">
        <v>1</v>
      </c>
      <c r="AE1241">
        <v>1</v>
      </c>
      <c r="AF1241">
        <v>1</v>
      </c>
      <c r="AG1241">
        <v>0</v>
      </c>
      <c r="AH1241">
        <v>1</v>
      </c>
      <c r="AI1241">
        <v>1</v>
      </c>
      <c r="AJ1241">
        <v>1</v>
      </c>
      <c r="AK1241">
        <v>1</v>
      </c>
      <c r="AL1241">
        <v>1</v>
      </c>
      <c r="AM1241">
        <v>1</v>
      </c>
    </row>
    <row r="1242" spans="1:39" x14ac:dyDescent="0.2">
      <c r="A1242" t="str">
        <f>"1238"</f>
        <v>1238</v>
      </c>
      <c r="B1242" t="str">
        <f t="shared" si="68"/>
        <v>1</v>
      </c>
      <c r="C1242" t="str">
        <f t="shared" si="69"/>
        <v>25</v>
      </c>
      <c r="D1242" t="str">
        <f>"11"</f>
        <v>11</v>
      </c>
      <c r="E1242" t="str">
        <f>"1-25-11"</f>
        <v>1-25-11</v>
      </c>
      <c r="F1242" t="s">
        <v>65</v>
      </c>
      <c r="G1242" t="s">
        <v>66</v>
      </c>
      <c r="H1242" t="s">
        <v>67</v>
      </c>
      <c r="S1242">
        <v>1</v>
      </c>
      <c r="T1242">
        <v>0</v>
      </c>
      <c r="U1242">
        <v>0</v>
      </c>
      <c r="V1242">
        <v>0</v>
      </c>
      <c r="W1242">
        <v>1</v>
      </c>
      <c r="X1242">
        <v>0</v>
      </c>
      <c r="Y1242">
        <v>0</v>
      </c>
      <c r="Z1242">
        <v>1</v>
      </c>
      <c r="AA1242">
        <v>1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</row>
    <row r="1243" spans="1:39" x14ac:dyDescent="0.2">
      <c r="A1243" t="str">
        <f>"1239"</f>
        <v>1239</v>
      </c>
      <c r="B1243" t="str">
        <f t="shared" si="68"/>
        <v>1</v>
      </c>
      <c r="C1243" t="str">
        <f t="shared" si="69"/>
        <v>25</v>
      </c>
      <c r="D1243" t="str">
        <f>"42"</f>
        <v>42</v>
      </c>
      <c r="E1243" t="str">
        <f>"1-25-42"</f>
        <v>1-25-42</v>
      </c>
      <c r="F1243" t="s">
        <v>65</v>
      </c>
      <c r="G1243" t="s">
        <v>66</v>
      </c>
      <c r="H1243" t="s">
        <v>67</v>
      </c>
      <c r="S1243">
        <v>1</v>
      </c>
      <c r="T1243">
        <v>0</v>
      </c>
      <c r="U1243">
        <v>0</v>
      </c>
      <c r="V1243">
        <v>0</v>
      </c>
      <c r="W1243">
        <v>1</v>
      </c>
      <c r="X1243">
        <v>0</v>
      </c>
      <c r="Y1243">
        <v>1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1</v>
      </c>
      <c r="AF1243">
        <v>1</v>
      </c>
      <c r="AG1243">
        <v>1</v>
      </c>
      <c r="AH1243">
        <v>1</v>
      </c>
      <c r="AI1243">
        <v>1</v>
      </c>
      <c r="AJ1243">
        <v>1</v>
      </c>
      <c r="AK1243">
        <v>1</v>
      </c>
      <c r="AL1243">
        <v>1</v>
      </c>
      <c r="AM1243">
        <v>1</v>
      </c>
    </row>
    <row r="1244" spans="1:39" x14ac:dyDescent="0.2">
      <c r="A1244" t="str">
        <f>"1240"</f>
        <v>1240</v>
      </c>
      <c r="B1244" t="str">
        <f t="shared" si="68"/>
        <v>1</v>
      </c>
      <c r="C1244" t="str">
        <f t="shared" si="69"/>
        <v>25</v>
      </c>
      <c r="D1244" t="str">
        <f>"26"</f>
        <v>26</v>
      </c>
      <c r="E1244" t="str">
        <f>"1-25-26"</f>
        <v>1-25-26</v>
      </c>
      <c r="F1244" t="s">
        <v>65</v>
      </c>
      <c r="G1244" t="s">
        <v>66</v>
      </c>
      <c r="H1244" t="s">
        <v>67</v>
      </c>
      <c r="S1244">
        <v>1</v>
      </c>
      <c r="T1244">
        <v>0</v>
      </c>
      <c r="U1244">
        <v>0</v>
      </c>
      <c r="V1244">
        <v>0</v>
      </c>
      <c r="W1244">
        <v>0</v>
      </c>
      <c r="X1244">
        <v>1</v>
      </c>
      <c r="Y1244">
        <v>1</v>
      </c>
      <c r="Z1244">
        <v>0</v>
      </c>
      <c r="AA1244">
        <v>0</v>
      </c>
      <c r="AB1244">
        <v>1</v>
      </c>
      <c r="AC1244">
        <v>0</v>
      </c>
      <c r="AD1244">
        <v>1</v>
      </c>
      <c r="AE1244">
        <v>1</v>
      </c>
      <c r="AF1244">
        <v>1</v>
      </c>
      <c r="AG1244">
        <v>1</v>
      </c>
      <c r="AH1244">
        <v>1</v>
      </c>
      <c r="AI1244">
        <v>1</v>
      </c>
      <c r="AJ1244">
        <v>1</v>
      </c>
      <c r="AK1244">
        <v>1</v>
      </c>
      <c r="AL1244">
        <v>1</v>
      </c>
      <c r="AM1244">
        <v>1</v>
      </c>
    </row>
    <row r="1245" spans="1:39" x14ac:dyDescent="0.2">
      <c r="A1245" t="str">
        <f>"1241"</f>
        <v>1241</v>
      </c>
      <c r="B1245" t="str">
        <f t="shared" si="68"/>
        <v>1</v>
      </c>
      <c r="C1245" t="str">
        <f t="shared" si="69"/>
        <v>25</v>
      </c>
      <c r="D1245" t="str">
        <f>"13"</f>
        <v>13</v>
      </c>
      <c r="E1245" t="str">
        <f>"1-25-13"</f>
        <v>1-25-13</v>
      </c>
      <c r="F1245" t="s">
        <v>65</v>
      </c>
      <c r="G1245" t="s">
        <v>66</v>
      </c>
      <c r="H1245" t="s">
        <v>67</v>
      </c>
      <c r="S1245">
        <v>0</v>
      </c>
      <c r="T1245">
        <v>1</v>
      </c>
      <c r="U1245">
        <v>0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0</v>
      </c>
      <c r="AB1245">
        <v>0</v>
      </c>
      <c r="AC1245">
        <v>1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</row>
    <row r="1246" spans="1:39" x14ac:dyDescent="0.2">
      <c r="A1246" t="str">
        <f>"1242"</f>
        <v>1242</v>
      </c>
      <c r="B1246" t="str">
        <f t="shared" si="68"/>
        <v>1</v>
      </c>
      <c r="C1246" t="str">
        <f t="shared" si="69"/>
        <v>25</v>
      </c>
      <c r="D1246" t="str">
        <f>"49"</f>
        <v>49</v>
      </c>
      <c r="E1246" t="str">
        <f>"1-25-49"</f>
        <v>1-25-49</v>
      </c>
      <c r="F1246" t="s">
        <v>65</v>
      </c>
      <c r="G1246" t="s">
        <v>66</v>
      </c>
      <c r="H1246" t="s">
        <v>67</v>
      </c>
      <c r="S1246">
        <v>1</v>
      </c>
      <c r="T1246">
        <v>0</v>
      </c>
      <c r="U1246">
        <v>0</v>
      </c>
      <c r="V1246">
        <v>0</v>
      </c>
      <c r="W1246">
        <v>1</v>
      </c>
      <c r="X1246">
        <v>0</v>
      </c>
      <c r="Y1246">
        <v>1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1</v>
      </c>
      <c r="AF1246">
        <v>1</v>
      </c>
      <c r="AG1246">
        <v>1</v>
      </c>
      <c r="AH1246">
        <v>1</v>
      </c>
      <c r="AI1246">
        <v>1</v>
      </c>
      <c r="AJ1246">
        <v>1</v>
      </c>
      <c r="AK1246">
        <v>1</v>
      </c>
      <c r="AL1246">
        <v>1</v>
      </c>
      <c r="AM1246">
        <v>1</v>
      </c>
    </row>
    <row r="1247" spans="1:39" x14ac:dyDescent="0.2">
      <c r="A1247" t="str">
        <f>"1243"</f>
        <v>1243</v>
      </c>
      <c r="B1247" t="str">
        <f t="shared" si="68"/>
        <v>1</v>
      </c>
      <c r="C1247" t="str">
        <f t="shared" si="69"/>
        <v>25</v>
      </c>
      <c r="D1247" t="str">
        <f>"27"</f>
        <v>27</v>
      </c>
      <c r="E1247" t="str">
        <f>"1-25-27"</f>
        <v>1-25-27</v>
      </c>
      <c r="F1247" t="s">
        <v>65</v>
      </c>
      <c r="G1247" t="s">
        <v>66</v>
      </c>
      <c r="H1247" t="s">
        <v>67</v>
      </c>
      <c r="S1247">
        <v>0</v>
      </c>
      <c r="T1247">
        <v>1</v>
      </c>
      <c r="U1247">
        <v>0</v>
      </c>
      <c r="V1247">
        <v>0</v>
      </c>
      <c r="W1247">
        <v>0</v>
      </c>
      <c r="X1247">
        <v>1</v>
      </c>
      <c r="Y1247">
        <v>0</v>
      </c>
      <c r="Z1247">
        <v>1</v>
      </c>
      <c r="AA1247">
        <v>0</v>
      </c>
      <c r="AB1247">
        <v>0</v>
      </c>
      <c r="AC1247">
        <v>1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</row>
    <row r="1248" spans="1:39" x14ac:dyDescent="0.2">
      <c r="A1248" t="str">
        <f>"1244"</f>
        <v>1244</v>
      </c>
      <c r="B1248" t="str">
        <f t="shared" si="68"/>
        <v>1</v>
      </c>
      <c r="C1248" t="str">
        <f t="shared" si="69"/>
        <v>25</v>
      </c>
      <c r="D1248" t="str">
        <f>"9"</f>
        <v>9</v>
      </c>
      <c r="E1248" t="str">
        <f>"1-25-9"</f>
        <v>1-25-9</v>
      </c>
      <c r="F1248" t="s">
        <v>65</v>
      </c>
      <c r="G1248" t="s">
        <v>66</v>
      </c>
      <c r="H1248" t="s">
        <v>67</v>
      </c>
      <c r="S1248">
        <v>0</v>
      </c>
      <c r="T1248">
        <v>1</v>
      </c>
      <c r="U1248">
        <v>0</v>
      </c>
      <c r="V1248">
        <v>0</v>
      </c>
      <c r="W1248">
        <v>1</v>
      </c>
      <c r="X1248">
        <v>0</v>
      </c>
      <c r="Y1248">
        <v>0</v>
      </c>
      <c r="Z1248">
        <v>1</v>
      </c>
      <c r="AA1248">
        <v>0</v>
      </c>
      <c r="AB1248">
        <v>1</v>
      </c>
      <c r="AC1248">
        <v>0</v>
      </c>
      <c r="AD1248">
        <v>1</v>
      </c>
      <c r="AE1248">
        <v>1</v>
      </c>
      <c r="AF1248">
        <v>1</v>
      </c>
      <c r="AG1248">
        <v>1</v>
      </c>
      <c r="AH1248">
        <v>1</v>
      </c>
      <c r="AI1248">
        <v>1</v>
      </c>
      <c r="AJ1248">
        <v>1</v>
      </c>
      <c r="AK1248">
        <v>1</v>
      </c>
      <c r="AL1248">
        <v>1</v>
      </c>
      <c r="AM1248">
        <v>1</v>
      </c>
    </row>
    <row r="1249" spans="1:39" x14ac:dyDescent="0.2">
      <c r="A1249" t="str">
        <f>"1245"</f>
        <v>1245</v>
      </c>
      <c r="B1249" t="str">
        <f t="shared" si="68"/>
        <v>1</v>
      </c>
      <c r="C1249" t="str">
        <f t="shared" si="69"/>
        <v>25</v>
      </c>
      <c r="D1249" t="str">
        <f>"50"</f>
        <v>50</v>
      </c>
      <c r="E1249" t="str">
        <f>"1-25-50"</f>
        <v>1-25-50</v>
      </c>
      <c r="F1249" t="s">
        <v>65</v>
      </c>
      <c r="G1249" t="s">
        <v>66</v>
      </c>
      <c r="H1249" t="s">
        <v>67</v>
      </c>
      <c r="S1249">
        <v>1</v>
      </c>
      <c r="T1249">
        <v>0</v>
      </c>
      <c r="U1249">
        <v>0</v>
      </c>
      <c r="V1249">
        <v>0</v>
      </c>
      <c r="W1249">
        <v>1</v>
      </c>
      <c r="X1249">
        <v>0</v>
      </c>
      <c r="Y1249">
        <v>1</v>
      </c>
      <c r="Z1249">
        <v>0</v>
      </c>
      <c r="AA1249">
        <v>0</v>
      </c>
      <c r="AB1249">
        <v>0</v>
      </c>
      <c r="AC1249">
        <v>1</v>
      </c>
      <c r="AD1249">
        <v>1</v>
      </c>
      <c r="AE1249">
        <v>1</v>
      </c>
      <c r="AF1249">
        <v>1</v>
      </c>
      <c r="AG1249">
        <v>1</v>
      </c>
      <c r="AH1249">
        <v>1</v>
      </c>
      <c r="AI1249">
        <v>1</v>
      </c>
      <c r="AJ1249">
        <v>1</v>
      </c>
      <c r="AK1249">
        <v>1</v>
      </c>
      <c r="AL1249">
        <v>1</v>
      </c>
      <c r="AM1249">
        <v>1</v>
      </c>
    </row>
    <row r="1250" spans="1:39" x14ac:dyDescent="0.2">
      <c r="A1250" t="str">
        <f>"1246"</f>
        <v>1246</v>
      </c>
      <c r="B1250" t="str">
        <f t="shared" si="68"/>
        <v>1</v>
      </c>
      <c r="C1250" t="str">
        <f t="shared" si="69"/>
        <v>25</v>
      </c>
      <c r="D1250" t="str">
        <f>"28"</f>
        <v>28</v>
      </c>
      <c r="E1250" t="str">
        <f>"1-25-28"</f>
        <v>1-25-28</v>
      </c>
      <c r="F1250" t="s">
        <v>65</v>
      </c>
      <c r="G1250" t="s">
        <v>66</v>
      </c>
      <c r="H1250" t="s">
        <v>67</v>
      </c>
      <c r="S1250">
        <v>0</v>
      </c>
      <c r="T1250">
        <v>0</v>
      </c>
      <c r="U1250">
        <v>0</v>
      </c>
      <c r="V1250">
        <v>0</v>
      </c>
      <c r="W1250">
        <v>1</v>
      </c>
      <c r="X1250">
        <v>0</v>
      </c>
      <c r="Y1250">
        <v>0</v>
      </c>
      <c r="Z1250">
        <v>1</v>
      </c>
      <c r="AA1250">
        <v>1</v>
      </c>
      <c r="AB1250">
        <v>0</v>
      </c>
      <c r="AC1250">
        <v>0</v>
      </c>
      <c r="AD1250">
        <v>1</v>
      </c>
      <c r="AE1250">
        <v>1</v>
      </c>
      <c r="AF1250">
        <v>1</v>
      </c>
      <c r="AG1250">
        <v>1</v>
      </c>
      <c r="AH1250">
        <v>1</v>
      </c>
      <c r="AI1250">
        <v>0</v>
      </c>
      <c r="AJ1250">
        <v>1</v>
      </c>
      <c r="AK1250">
        <v>0</v>
      </c>
      <c r="AL1250">
        <v>1</v>
      </c>
      <c r="AM1250">
        <v>1</v>
      </c>
    </row>
    <row r="1251" spans="1:39" x14ac:dyDescent="0.2">
      <c r="A1251" t="str">
        <f>"1247"</f>
        <v>1247</v>
      </c>
      <c r="B1251" t="str">
        <f t="shared" si="68"/>
        <v>1</v>
      </c>
      <c r="C1251" t="str">
        <f t="shared" si="69"/>
        <v>25</v>
      </c>
      <c r="D1251" t="str">
        <f>"7"</f>
        <v>7</v>
      </c>
      <c r="E1251" t="str">
        <f>"1-25-7"</f>
        <v>1-25-7</v>
      </c>
      <c r="F1251" t="s">
        <v>65</v>
      </c>
      <c r="G1251" t="s">
        <v>66</v>
      </c>
      <c r="H1251" t="s">
        <v>67</v>
      </c>
      <c r="S1251">
        <v>1</v>
      </c>
      <c r="T1251">
        <v>0</v>
      </c>
      <c r="U1251">
        <v>0</v>
      </c>
      <c r="V1251">
        <v>0</v>
      </c>
      <c r="W1251">
        <v>1</v>
      </c>
      <c r="X1251">
        <v>0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1</v>
      </c>
      <c r="AH1251">
        <v>1</v>
      </c>
      <c r="AI1251">
        <v>1</v>
      </c>
      <c r="AJ1251">
        <v>1</v>
      </c>
      <c r="AK1251">
        <v>1</v>
      </c>
      <c r="AL1251">
        <v>1</v>
      </c>
      <c r="AM1251">
        <v>0</v>
      </c>
    </row>
    <row r="1252" spans="1:39" x14ac:dyDescent="0.2">
      <c r="A1252" t="str">
        <f>"1248"</f>
        <v>1248</v>
      </c>
      <c r="B1252" t="str">
        <f t="shared" si="68"/>
        <v>1</v>
      </c>
      <c r="C1252" t="str">
        <f t="shared" si="69"/>
        <v>25</v>
      </c>
      <c r="D1252" t="str">
        <f>"2"</f>
        <v>2</v>
      </c>
      <c r="E1252" t="str">
        <f>"1-25-2"</f>
        <v>1-25-2</v>
      </c>
      <c r="F1252" t="s">
        <v>65</v>
      </c>
      <c r="G1252" t="s">
        <v>66</v>
      </c>
      <c r="H1252" t="s">
        <v>67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0</v>
      </c>
      <c r="AB1252">
        <v>1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</row>
    <row r="1253" spans="1:39" x14ac:dyDescent="0.2">
      <c r="A1253" t="str">
        <f>"1249"</f>
        <v>1249</v>
      </c>
      <c r="B1253" t="str">
        <f t="shared" si="68"/>
        <v>1</v>
      </c>
      <c r="C1253" t="str">
        <f t="shared" si="69"/>
        <v>25</v>
      </c>
      <c r="D1253" t="str">
        <f>"4"</f>
        <v>4</v>
      </c>
      <c r="E1253" t="str">
        <f>"1-25-4"</f>
        <v>1-25-4</v>
      </c>
      <c r="F1253" t="s">
        <v>65</v>
      </c>
      <c r="G1253" t="s">
        <v>66</v>
      </c>
      <c r="H1253" t="s">
        <v>67</v>
      </c>
      <c r="S1253">
        <v>1</v>
      </c>
      <c r="T1253">
        <v>0</v>
      </c>
      <c r="U1253">
        <v>0</v>
      </c>
      <c r="V1253">
        <v>0</v>
      </c>
      <c r="W1253">
        <v>1</v>
      </c>
      <c r="X1253">
        <v>0</v>
      </c>
      <c r="Y1253">
        <v>1</v>
      </c>
      <c r="Z1253">
        <v>0</v>
      </c>
      <c r="AA1253">
        <v>0</v>
      </c>
      <c r="AB1253">
        <v>0</v>
      </c>
      <c r="AC1253">
        <v>1</v>
      </c>
      <c r="AD1253">
        <v>1</v>
      </c>
      <c r="AE1253">
        <v>1</v>
      </c>
      <c r="AF1253">
        <v>1</v>
      </c>
      <c r="AG1253">
        <v>1</v>
      </c>
      <c r="AH1253">
        <v>1</v>
      </c>
      <c r="AI1253">
        <v>1</v>
      </c>
      <c r="AJ1253">
        <v>1</v>
      </c>
      <c r="AK1253">
        <v>1</v>
      </c>
      <c r="AL1253">
        <v>1</v>
      </c>
      <c r="AM1253">
        <v>1</v>
      </c>
    </row>
    <row r="1254" spans="1:39" x14ac:dyDescent="0.2">
      <c r="A1254" t="str">
        <f>"1250"</f>
        <v>1250</v>
      </c>
      <c r="B1254" t="str">
        <f t="shared" si="68"/>
        <v>1</v>
      </c>
      <c r="C1254" t="str">
        <f t="shared" si="69"/>
        <v>25</v>
      </c>
      <c r="D1254" t="str">
        <f>"6"</f>
        <v>6</v>
      </c>
      <c r="E1254" t="str">
        <f>"1-25-6"</f>
        <v>1-25-6</v>
      </c>
      <c r="F1254" t="s">
        <v>65</v>
      </c>
      <c r="G1254" t="s">
        <v>66</v>
      </c>
      <c r="H1254" t="s">
        <v>67</v>
      </c>
      <c r="S1254">
        <v>1</v>
      </c>
      <c r="T1254">
        <v>0</v>
      </c>
      <c r="U1254">
        <v>0</v>
      </c>
      <c r="V1254">
        <v>0</v>
      </c>
      <c r="W1254">
        <v>0</v>
      </c>
      <c r="X1254">
        <v>1</v>
      </c>
      <c r="Y1254">
        <v>1</v>
      </c>
      <c r="Z1254">
        <v>0</v>
      </c>
      <c r="AA1254">
        <v>0</v>
      </c>
      <c r="AB1254">
        <v>1</v>
      </c>
      <c r="AC1254">
        <v>0</v>
      </c>
      <c r="AD1254">
        <v>1</v>
      </c>
      <c r="AE1254">
        <v>1</v>
      </c>
      <c r="AF1254">
        <v>1</v>
      </c>
      <c r="AG1254">
        <v>1</v>
      </c>
      <c r="AH1254">
        <v>1</v>
      </c>
      <c r="AI1254">
        <v>1</v>
      </c>
      <c r="AJ1254">
        <v>1</v>
      </c>
      <c r="AK1254">
        <v>1</v>
      </c>
      <c r="AL1254">
        <v>1</v>
      </c>
      <c r="AM1254">
        <v>1</v>
      </c>
    </row>
    <row r="1255" spans="1:39" x14ac:dyDescent="0.2">
      <c r="A1255" t="str">
        <f>"1251"</f>
        <v>1251</v>
      </c>
      <c r="B1255" t="str">
        <f t="shared" si="68"/>
        <v>1</v>
      </c>
      <c r="C1255" t="str">
        <f t="shared" ref="C1255:C1286" si="70">"26"</f>
        <v>26</v>
      </c>
      <c r="D1255" t="str">
        <f>"32"</f>
        <v>32</v>
      </c>
      <c r="E1255" t="str">
        <f>"1-26-32"</f>
        <v>1-26-32</v>
      </c>
      <c r="F1255" t="s">
        <v>65</v>
      </c>
      <c r="G1255" t="s">
        <v>66</v>
      </c>
      <c r="H1255" t="s">
        <v>67</v>
      </c>
      <c r="S1255">
        <v>0</v>
      </c>
      <c r="T1255">
        <v>1</v>
      </c>
      <c r="U1255">
        <v>0</v>
      </c>
      <c r="V1255">
        <v>0</v>
      </c>
      <c r="W1255">
        <v>1</v>
      </c>
      <c r="X1255">
        <v>0</v>
      </c>
      <c r="Y1255">
        <v>1</v>
      </c>
      <c r="Z1255">
        <v>0</v>
      </c>
      <c r="AA1255">
        <v>0</v>
      </c>
      <c r="AB1255">
        <v>1</v>
      </c>
      <c r="AC1255">
        <v>0</v>
      </c>
      <c r="AD1255">
        <v>1</v>
      </c>
      <c r="AE1255">
        <v>1</v>
      </c>
      <c r="AF1255">
        <v>1</v>
      </c>
      <c r="AG1255">
        <v>1</v>
      </c>
      <c r="AH1255">
        <v>1</v>
      </c>
      <c r="AI1255">
        <v>1</v>
      </c>
      <c r="AJ1255">
        <v>0</v>
      </c>
      <c r="AK1255">
        <v>1</v>
      </c>
      <c r="AL1255">
        <v>0</v>
      </c>
      <c r="AM1255">
        <v>1</v>
      </c>
    </row>
    <row r="1256" spans="1:39" x14ac:dyDescent="0.2">
      <c r="A1256" t="str">
        <f>"1252"</f>
        <v>1252</v>
      </c>
      <c r="B1256" t="str">
        <f t="shared" si="68"/>
        <v>1</v>
      </c>
      <c r="C1256" t="str">
        <f t="shared" si="70"/>
        <v>26</v>
      </c>
      <c r="D1256" t="str">
        <f>"31"</f>
        <v>31</v>
      </c>
      <c r="E1256" t="str">
        <f>"1-26-31"</f>
        <v>1-26-31</v>
      </c>
      <c r="F1256" t="s">
        <v>65</v>
      </c>
      <c r="G1256" t="s">
        <v>66</v>
      </c>
      <c r="H1256" t="s">
        <v>67</v>
      </c>
      <c r="S1256">
        <v>0</v>
      </c>
      <c r="T1256">
        <v>1</v>
      </c>
      <c r="U1256">
        <v>0</v>
      </c>
      <c r="V1256">
        <v>0</v>
      </c>
      <c r="W1256">
        <v>1</v>
      </c>
      <c r="X1256">
        <v>0</v>
      </c>
      <c r="Y1256">
        <v>1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1</v>
      </c>
      <c r="AF1256">
        <v>1</v>
      </c>
      <c r="AG1256">
        <v>1</v>
      </c>
      <c r="AH1256">
        <v>1</v>
      </c>
      <c r="AI1256">
        <v>1</v>
      </c>
      <c r="AJ1256">
        <v>1</v>
      </c>
      <c r="AK1256">
        <v>1</v>
      </c>
      <c r="AL1256">
        <v>1</v>
      </c>
      <c r="AM1256">
        <v>1</v>
      </c>
    </row>
    <row r="1257" spans="1:39" x14ac:dyDescent="0.2">
      <c r="A1257" t="str">
        <f>"1253"</f>
        <v>1253</v>
      </c>
      <c r="B1257" t="str">
        <f t="shared" si="68"/>
        <v>1</v>
      </c>
      <c r="C1257" t="str">
        <f t="shared" si="70"/>
        <v>26</v>
      </c>
      <c r="D1257" t="str">
        <f>"23"</f>
        <v>23</v>
      </c>
      <c r="E1257" t="str">
        <f>"1-26-23"</f>
        <v>1-26-23</v>
      </c>
      <c r="F1257" t="s">
        <v>65</v>
      </c>
      <c r="G1257" t="s">
        <v>66</v>
      </c>
      <c r="H1257" t="s">
        <v>67</v>
      </c>
      <c r="S1257">
        <v>0</v>
      </c>
      <c r="T1257">
        <v>0</v>
      </c>
      <c r="U1257">
        <v>0</v>
      </c>
      <c r="V1257">
        <v>0</v>
      </c>
      <c r="W1257">
        <v>1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1</v>
      </c>
      <c r="AH1257">
        <v>1</v>
      </c>
      <c r="AI1257">
        <v>0</v>
      </c>
      <c r="AJ1257">
        <v>1</v>
      </c>
      <c r="AK1257">
        <v>1</v>
      </c>
      <c r="AL1257">
        <v>1</v>
      </c>
      <c r="AM1257">
        <v>1</v>
      </c>
    </row>
    <row r="1258" spans="1:39" x14ac:dyDescent="0.2">
      <c r="A1258" t="str">
        <f>"1254"</f>
        <v>1254</v>
      </c>
      <c r="B1258" t="str">
        <f t="shared" si="68"/>
        <v>1</v>
      </c>
      <c r="C1258" t="str">
        <f t="shared" si="70"/>
        <v>26</v>
      </c>
      <c r="D1258" t="str">
        <f>"15"</f>
        <v>15</v>
      </c>
      <c r="E1258" t="str">
        <f>"1-26-15"</f>
        <v>1-26-15</v>
      </c>
      <c r="F1258" t="s">
        <v>65</v>
      </c>
      <c r="G1258" t="s">
        <v>66</v>
      </c>
      <c r="H1258" t="s">
        <v>67</v>
      </c>
      <c r="S1258">
        <v>1</v>
      </c>
      <c r="T1258">
        <v>0</v>
      </c>
      <c r="U1258">
        <v>0</v>
      </c>
      <c r="V1258">
        <v>0</v>
      </c>
      <c r="W1258">
        <v>0</v>
      </c>
      <c r="X1258">
        <v>1</v>
      </c>
      <c r="Y1258">
        <v>1</v>
      </c>
      <c r="Z1258">
        <v>0</v>
      </c>
      <c r="AA1258">
        <v>0</v>
      </c>
      <c r="AB1258">
        <v>1</v>
      </c>
      <c r="AC1258">
        <v>0</v>
      </c>
      <c r="AD1258">
        <v>1</v>
      </c>
      <c r="AE1258">
        <v>1</v>
      </c>
      <c r="AF1258">
        <v>1</v>
      </c>
      <c r="AG1258">
        <v>1</v>
      </c>
      <c r="AH1258">
        <v>1</v>
      </c>
      <c r="AI1258">
        <v>1</v>
      </c>
      <c r="AJ1258">
        <v>1</v>
      </c>
      <c r="AK1258">
        <v>1</v>
      </c>
      <c r="AL1258">
        <v>1</v>
      </c>
      <c r="AM1258">
        <v>1</v>
      </c>
    </row>
    <row r="1259" spans="1:39" x14ac:dyDescent="0.2">
      <c r="A1259" t="str">
        <f>"1255"</f>
        <v>1255</v>
      </c>
      <c r="B1259" t="str">
        <f t="shared" si="68"/>
        <v>1</v>
      </c>
      <c r="C1259" t="str">
        <f t="shared" si="70"/>
        <v>26</v>
      </c>
      <c r="D1259" t="str">
        <f>"11"</f>
        <v>11</v>
      </c>
      <c r="E1259" t="str">
        <f>"1-26-11"</f>
        <v>1-26-11</v>
      </c>
      <c r="F1259" t="s">
        <v>65</v>
      </c>
      <c r="G1259" t="s">
        <v>66</v>
      </c>
      <c r="H1259" t="s">
        <v>67</v>
      </c>
      <c r="S1259">
        <v>0</v>
      </c>
      <c r="T1259">
        <v>1</v>
      </c>
      <c r="U1259">
        <v>0</v>
      </c>
      <c r="V1259">
        <v>0</v>
      </c>
      <c r="W1259">
        <v>1</v>
      </c>
      <c r="X1259">
        <v>0</v>
      </c>
      <c r="Y1259">
        <v>1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1</v>
      </c>
      <c r="AF1259">
        <v>1</v>
      </c>
      <c r="AG1259">
        <v>1</v>
      </c>
      <c r="AH1259">
        <v>1</v>
      </c>
      <c r="AI1259">
        <v>1</v>
      </c>
      <c r="AJ1259">
        <v>1</v>
      </c>
      <c r="AK1259">
        <v>1</v>
      </c>
      <c r="AL1259">
        <v>1</v>
      </c>
      <c r="AM1259">
        <v>1</v>
      </c>
    </row>
    <row r="1260" spans="1:39" x14ac:dyDescent="0.2">
      <c r="A1260" t="str">
        <f>"1256"</f>
        <v>1256</v>
      </c>
      <c r="B1260" t="str">
        <f t="shared" si="68"/>
        <v>1</v>
      </c>
      <c r="C1260" t="str">
        <f t="shared" si="70"/>
        <v>26</v>
      </c>
      <c r="D1260" t="str">
        <f>"36"</f>
        <v>36</v>
      </c>
      <c r="E1260" t="str">
        <f>"1-26-36"</f>
        <v>1-26-36</v>
      </c>
      <c r="F1260" t="s">
        <v>65</v>
      </c>
      <c r="G1260" t="s">
        <v>66</v>
      </c>
      <c r="H1260" t="s">
        <v>67</v>
      </c>
      <c r="S1260">
        <v>1</v>
      </c>
      <c r="T1260">
        <v>0</v>
      </c>
      <c r="U1260">
        <v>0</v>
      </c>
      <c r="V1260">
        <v>0</v>
      </c>
      <c r="W1260">
        <v>1</v>
      </c>
      <c r="X1260">
        <v>0</v>
      </c>
      <c r="Y1260">
        <v>0</v>
      </c>
      <c r="Z1260">
        <v>1</v>
      </c>
      <c r="AA1260">
        <v>1</v>
      </c>
      <c r="AB1260">
        <v>0</v>
      </c>
      <c r="AC1260">
        <v>0</v>
      </c>
      <c r="AD1260">
        <v>1</v>
      </c>
      <c r="AE1260">
        <v>1</v>
      </c>
      <c r="AF1260">
        <v>1</v>
      </c>
      <c r="AG1260">
        <v>1</v>
      </c>
      <c r="AH1260">
        <v>1</v>
      </c>
      <c r="AI1260">
        <v>1</v>
      </c>
      <c r="AJ1260">
        <v>1</v>
      </c>
      <c r="AK1260">
        <v>1</v>
      </c>
      <c r="AL1260">
        <v>1</v>
      </c>
      <c r="AM1260">
        <v>1</v>
      </c>
    </row>
    <row r="1261" spans="1:39" x14ac:dyDescent="0.2">
      <c r="A1261" t="str">
        <f>"1257"</f>
        <v>1257</v>
      </c>
      <c r="B1261" t="str">
        <f t="shared" si="68"/>
        <v>1</v>
      </c>
      <c r="C1261" t="str">
        <f t="shared" si="70"/>
        <v>26</v>
      </c>
      <c r="D1261" t="str">
        <f>"35"</f>
        <v>35</v>
      </c>
      <c r="E1261" t="str">
        <f>"1-26-35"</f>
        <v>1-26-35</v>
      </c>
      <c r="F1261" t="s">
        <v>65</v>
      </c>
      <c r="G1261" t="s">
        <v>66</v>
      </c>
      <c r="H1261" t="s">
        <v>67</v>
      </c>
      <c r="S1261">
        <v>0</v>
      </c>
      <c r="T1261">
        <v>1</v>
      </c>
      <c r="U1261">
        <v>0</v>
      </c>
      <c r="V1261">
        <v>0</v>
      </c>
      <c r="W1261">
        <v>1</v>
      </c>
      <c r="X1261">
        <v>0</v>
      </c>
      <c r="Y1261">
        <v>1</v>
      </c>
      <c r="Z1261">
        <v>0</v>
      </c>
      <c r="AA1261">
        <v>0</v>
      </c>
      <c r="AB1261">
        <v>1</v>
      </c>
      <c r="AC1261">
        <v>0</v>
      </c>
      <c r="AD1261">
        <v>1</v>
      </c>
      <c r="AE1261">
        <v>1</v>
      </c>
      <c r="AF1261">
        <v>1</v>
      </c>
      <c r="AG1261">
        <v>1</v>
      </c>
      <c r="AH1261">
        <v>1</v>
      </c>
      <c r="AI1261">
        <v>1</v>
      </c>
      <c r="AJ1261">
        <v>1</v>
      </c>
      <c r="AK1261">
        <v>1</v>
      </c>
      <c r="AL1261">
        <v>1</v>
      </c>
      <c r="AM1261">
        <v>1</v>
      </c>
    </row>
    <row r="1262" spans="1:39" x14ac:dyDescent="0.2">
      <c r="A1262" t="str">
        <f>"1258"</f>
        <v>1258</v>
      </c>
      <c r="B1262" t="str">
        <f t="shared" si="68"/>
        <v>1</v>
      </c>
      <c r="C1262" t="str">
        <f t="shared" si="70"/>
        <v>26</v>
      </c>
      <c r="D1262" t="str">
        <f>"25"</f>
        <v>25</v>
      </c>
      <c r="E1262" t="str">
        <f>"1-26-25"</f>
        <v>1-26-25</v>
      </c>
      <c r="F1262" t="s">
        <v>65</v>
      </c>
      <c r="G1262" t="s">
        <v>66</v>
      </c>
      <c r="H1262" t="s">
        <v>67</v>
      </c>
      <c r="S1262">
        <v>1</v>
      </c>
      <c r="T1262">
        <v>0</v>
      </c>
      <c r="U1262">
        <v>0</v>
      </c>
      <c r="V1262">
        <v>0</v>
      </c>
      <c r="W1262">
        <v>0</v>
      </c>
      <c r="X1262">
        <v>1</v>
      </c>
      <c r="Y1262">
        <v>0</v>
      </c>
      <c r="Z1262">
        <v>1</v>
      </c>
      <c r="AA1262">
        <v>1</v>
      </c>
      <c r="AB1262">
        <v>0</v>
      </c>
      <c r="AC1262">
        <v>0</v>
      </c>
      <c r="AD1262">
        <v>1</v>
      </c>
      <c r="AE1262">
        <v>1</v>
      </c>
      <c r="AF1262">
        <v>1</v>
      </c>
      <c r="AG1262">
        <v>1</v>
      </c>
      <c r="AH1262">
        <v>1</v>
      </c>
      <c r="AI1262">
        <v>1</v>
      </c>
      <c r="AJ1262">
        <v>1</v>
      </c>
      <c r="AK1262">
        <v>1</v>
      </c>
      <c r="AL1262">
        <v>1</v>
      </c>
      <c r="AM1262">
        <v>1</v>
      </c>
    </row>
    <row r="1263" spans="1:39" x14ac:dyDescent="0.2">
      <c r="A1263" t="str">
        <f>"1259"</f>
        <v>1259</v>
      </c>
      <c r="B1263" t="str">
        <f t="shared" si="68"/>
        <v>1</v>
      </c>
      <c r="C1263" t="str">
        <f t="shared" si="70"/>
        <v>26</v>
      </c>
      <c r="D1263" t="str">
        <f>"16"</f>
        <v>16</v>
      </c>
      <c r="E1263" t="str">
        <f>"1-26-16"</f>
        <v>1-26-16</v>
      </c>
      <c r="F1263" t="s">
        <v>65</v>
      </c>
      <c r="G1263" t="s">
        <v>66</v>
      </c>
      <c r="H1263" t="s">
        <v>67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1</v>
      </c>
      <c r="Y1263">
        <v>0</v>
      </c>
      <c r="Z1263">
        <v>1</v>
      </c>
      <c r="AA1263">
        <v>0</v>
      </c>
      <c r="AB1263">
        <v>0</v>
      </c>
      <c r="AC1263">
        <v>1</v>
      </c>
      <c r="AD1263">
        <v>1</v>
      </c>
      <c r="AE1263">
        <v>1</v>
      </c>
      <c r="AF1263">
        <v>1</v>
      </c>
      <c r="AG1263">
        <v>1</v>
      </c>
      <c r="AH1263">
        <v>1</v>
      </c>
      <c r="AI1263">
        <v>1</v>
      </c>
      <c r="AJ1263">
        <v>1</v>
      </c>
      <c r="AK1263">
        <v>1</v>
      </c>
      <c r="AL1263">
        <v>1</v>
      </c>
      <c r="AM1263">
        <v>1</v>
      </c>
    </row>
    <row r="1264" spans="1:39" x14ac:dyDescent="0.2">
      <c r="A1264" t="str">
        <f>"1260"</f>
        <v>1260</v>
      </c>
      <c r="B1264" t="str">
        <f t="shared" si="68"/>
        <v>1</v>
      </c>
      <c r="C1264" t="str">
        <f t="shared" si="70"/>
        <v>26</v>
      </c>
      <c r="D1264" t="str">
        <f>"5"</f>
        <v>5</v>
      </c>
      <c r="E1264" t="str">
        <f>"1-26-5"</f>
        <v>1-26-5</v>
      </c>
      <c r="F1264" t="s">
        <v>65</v>
      </c>
      <c r="G1264" t="s">
        <v>66</v>
      </c>
      <c r="H1264" t="s">
        <v>67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1</v>
      </c>
      <c r="AH1264">
        <v>0</v>
      </c>
      <c r="AI1264">
        <v>1</v>
      </c>
      <c r="AJ1264">
        <v>1</v>
      </c>
      <c r="AK1264">
        <v>1</v>
      </c>
      <c r="AL1264">
        <v>1</v>
      </c>
      <c r="AM1264">
        <v>1</v>
      </c>
    </row>
    <row r="1265" spans="1:39" x14ac:dyDescent="0.2">
      <c r="A1265" t="str">
        <f>"1261"</f>
        <v>1261</v>
      </c>
      <c r="B1265" t="str">
        <f t="shared" si="68"/>
        <v>1</v>
      </c>
      <c r="C1265" t="str">
        <f t="shared" si="70"/>
        <v>26</v>
      </c>
      <c r="D1265" t="str">
        <f>"46"</f>
        <v>46</v>
      </c>
      <c r="E1265" t="str">
        <f>"1-26-46"</f>
        <v>1-26-46</v>
      </c>
      <c r="F1265" t="s">
        <v>65</v>
      </c>
      <c r="G1265" t="s">
        <v>66</v>
      </c>
      <c r="H1265" t="s">
        <v>67</v>
      </c>
      <c r="S1265">
        <v>0</v>
      </c>
      <c r="T1265">
        <v>1</v>
      </c>
      <c r="U1265">
        <v>0</v>
      </c>
      <c r="V1265">
        <v>0</v>
      </c>
      <c r="W1265">
        <v>1</v>
      </c>
      <c r="X1265">
        <v>0</v>
      </c>
      <c r="Y1265">
        <v>1</v>
      </c>
      <c r="Z1265">
        <v>0</v>
      </c>
      <c r="AA1265">
        <v>0</v>
      </c>
      <c r="AB1265">
        <v>0</v>
      </c>
      <c r="AC1265">
        <v>1</v>
      </c>
      <c r="AD1265">
        <v>1</v>
      </c>
      <c r="AE1265">
        <v>1</v>
      </c>
      <c r="AF1265">
        <v>1</v>
      </c>
      <c r="AG1265">
        <v>1</v>
      </c>
      <c r="AH1265">
        <v>1</v>
      </c>
      <c r="AI1265">
        <v>1</v>
      </c>
      <c r="AJ1265">
        <v>1</v>
      </c>
      <c r="AK1265">
        <v>1</v>
      </c>
      <c r="AL1265">
        <v>1</v>
      </c>
      <c r="AM1265">
        <v>1</v>
      </c>
    </row>
    <row r="1266" spans="1:39" x14ac:dyDescent="0.2">
      <c r="A1266" t="str">
        <f>"1262"</f>
        <v>1262</v>
      </c>
      <c r="B1266" t="str">
        <f t="shared" si="68"/>
        <v>1</v>
      </c>
      <c r="C1266" t="str">
        <f t="shared" si="70"/>
        <v>26</v>
      </c>
      <c r="D1266" t="str">
        <f>"45"</f>
        <v>45</v>
      </c>
      <c r="E1266" t="str">
        <f>"1-26-45"</f>
        <v>1-26-45</v>
      </c>
      <c r="F1266" t="s">
        <v>65</v>
      </c>
      <c r="G1266" t="s">
        <v>66</v>
      </c>
      <c r="H1266" t="s">
        <v>67</v>
      </c>
      <c r="S1266">
        <v>0</v>
      </c>
      <c r="T1266">
        <v>1</v>
      </c>
      <c r="U1266">
        <v>0</v>
      </c>
      <c r="V1266">
        <v>0</v>
      </c>
      <c r="W1266">
        <v>1</v>
      </c>
      <c r="X1266">
        <v>0</v>
      </c>
      <c r="Y1266">
        <v>0</v>
      </c>
      <c r="Z1266">
        <v>1</v>
      </c>
      <c r="AA1266">
        <v>0</v>
      </c>
      <c r="AB1266">
        <v>0</v>
      </c>
      <c r="AC1266">
        <v>1</v>
      </c>
      <c r="AD1266">
        <v>1</v>
      </c>
      <c r="AE1266">
        <v>1</v>
      </c>
      <c r="AF1266">
        <v>1</v>
      </c>
      <c r="AG1266">
        <v>1</v>
      </c>
      <c r="AH1266">
        <v>1</v>
      </c>
      <c r="AI1266">
        <v>1</v>
      </c>
      <c r="AJ1266">
        <v>1</v>
      </c>
      <c r="AK1266">
        <v>1</v>
      </c>
      <c r="AL1266">
        <v>1</v>
      </c>
      <c r="AM1266">
        <v>1</v>
      </c>
    </row>
    <row r="1267" spans="1:39" x14ac:dyDescent="0.2">
      <c r="A1267" t="str">
        <f>"1263"</f>
        <v>1263</v>
      </c>
      <c r="B1267" t="str">
        <f t="shared" si="68"/>
        <v>1</v>
      </c>
      <c r="C1267" t="str">
        <f t="shared" si="70"/>
        <v>26</v>
      </c>
      <c r="D1267" t="str">
        <f>"33"</f>
        <v>33</v>
      </c>
      <c r="E1267" t="str">
        <f>"1-26-33"</f>
        <v>1-26-33</v>
      </c>
      <c r="F1267" t="s">
        <v>65</v>
      </c>
      <c r="G1267" t="s">
        <v>66</v>
      </c>
      <c r="H1267" t="s">
        <v>67</v>
      </c>
      <c r="S1267">
        <v>1</v>
      </c>
      <c r="T1267">
        <v>0</v>
      </c>
      <c r="U1267">
        <v>0</v>
      </c>
      <c r="V1267">
        <v>0</v>
      </c>
      <c r="W1267">
        <v>0</v>
      </c>
      <c r="X1267">
        <v>1</v>
      </c>
      <c r="Y1267">
        <v>0</v>
      </c>
      <c r="Z1267">
        <v>1</v>
      </c>
      <c r="AA1267">
        <v>0</v>
      </c>
      <c r="AB1267">
        <v>1</v>
      </c>
      <c r="AC1267">
        <v>0</v>
      </c>
      <c r="AD1267">
        <v>1</v>
      </c>
      <c r="AE1267">
        <v>1</v>
      </c>
      <c r="AF1267">
        <v>1</v>
      </c>
      <c r="AG1267">
        <v>1</v>
      </c>
      <c r="AH1267">
        <v>1</v>
      </c>
      <c r="AI1267">
        <v>1</v>
      </c>
      <c r="AJ1267">
        <v>1</v>
      </c>
      <c r="AK1267">
        <v>1</v>
      </c>
      <c r="AL1267">
        <v>1</v>
      </c>
      <c r="AM1267">
        <v>1</v>
      </c>
    </row>
    <row r="1268" spans="1:39" x14ac:dyDescent="0.2">
      <c r="A1268" t="str">
        <f>"1264"</f>
        <v>1264</v>
      </c>
      <c r="B1268" t="str">
        <f t="shared" si="68"/>
        <v>1</v>
      </c>
      <c r="C1268" t="str">
        <f t="shared" si="70"/>
        <v>26</v>
      </c>
      <c r="D1268" t="str">
        <f>"17"</f>
        <v>17</v>
      </c>
      <c r="E1268" t="str">
        <f>"1-26-17"</f>
        <v>1-26-17</v>
      </c>
      <c r="F1268" t="s">
        <v>65</v>
      </c>
      <c r="G1268" t="s">
        <v>66</v>
      </c>
      <c r="H1268" t="s">
        <v>67</v>
      </c>
      <c r="S1268">
        <v>0</v>
      </c>
      <c r="T1268">
        <v>1</v>
      </c>
      <c r="U1268">
        <v>0</v>
      </c>
      <c r="V1268">
        <v>0</v>
      </c>
      <c r="W1268">
        <v>1</v>
      </c>
      <c r="X1268">
        <v>0</v>
      </c>
      <c r="Y1268">
        <v>1</v>
      </c>
      <c r="Z1268">
        <v>0</v>
      </c>
      <c r="AA1268">
        <v>0</v>
      </c>
      <c r="AB1268">
        <v>0</v>
      </c>
      <c r="AC1268">
        <v>1</v>
      </c>
      <c r="AD1268">
        <v>1</v>
      </c>
      <c r="AE1268">
        <v>1</v>
      </c>
      <c r="AF1268">
        <v>1</v>
      </c>
      <c r="AG1268">
        <v>1</v>
      </c>
      <c r="AH1268">
        <v>1</v>
      </c>
      <c r="AI1268">
        <v>1</v>
      </c>
      <c r="AJ1268">
        <v>1</v>
      </c>
      <c r="AK1268">
        <v>1</v>
      </c>
      <c r="AL1268">
        <v>1</v>
      </c>
      <c r="AM1268">
        <v>1</v>
      </c>
    </row>
    <row r="1269" spans="1:39" x14ac:dyDescent="0.2">
      <c r="A1269" t="str">
        <f>"1265"</f>
        <v>1265</v>
      </c>
      <c r="B1269" t="str">
        <f t="shared" si="68"/>
        <v>1</v>
      </c>
      <c r="C1269" t="str">
        <f t="shared" si="70"/>
        <v>26</v>
      </c>
      <c r="D1269" t="str">
        <f>"3"</f>
        <v>3</v>
      </c>
      <c r="E1269" t="str">
        <f>"1-26-3"</f>
        <v>1-26-3</v>
      </c>
      <c r="F1269" t="s">
        <v>65</v>
      </c>
      <c r="G1269" t="s">
        <v>66</v>
      </c>
      <c r="H1269" t="s">
        <v>67</v>
      </c>
      <c r="S1269">
        <v>1</v>
      </c>
      <c r="T1269">
        <v>0</v>
      </c>
      <c r="U1269">
        <v>0</v>
      </c>
      <c r="V1269">
        <v>0</v>
      </c>
      <c r="W1269">
        <v>1</v>
      </c>
      <c r="X1269">
        <v>0</v>
      </c>
      <c r="Y1269">
        <v>1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1</v>
      </c>
      <c r="AF1269">
        <v>1</v>
      </c>
      <c r="AG1269">
        <v>1</v>
      </c>
      <c r="AH1269">
        <v>1</v>
      </c>
      <c r="AI1269">
        <v>1</v>
      </c>
      <c r="AJ1269">
        <v>1</v>
      </c>
      <c r="AK1269">
        <v>1</v>
      </c>
      <c r="AL1269">
        <v>1</v>
      </c>
      <c r="AM1269">
        <v>1</v>
      </c>
    </row>
    <row r="1270" spans="1:39" x14ac:dyDescent="0.2">
      <c r="A1270" t="str">
        <f>"1266"</f>
        <v>1266</v>
      </c>
      <c r="B1270" t="str">
        <f t="shared" si="68"/>
        <v>1</v>
      </c>
      <c r="C1270" t="str">
        <f t="shared" si="70"/>
        <v>26</v>
      </c>
      <c r="D1270" t="str">
        <f>"48"</f>
        <v>48</v>
      </c>
      <c r="E1270" t="str">
        <f>"1-26-48"</f>
        <v>1-26-48</v>
      </c>
      <c r="F1270" t="s">
        <v>65</v>
      </c>
      <c r="G1270" t="s">
        <v>66</v>
      </c>
      <c r="H1270" t="s">
        <v>67</v>
      </c>
      <c r="S1270">
        <v>1</v>
      </c>
      <c r="T1270">
        <v>0</v>
      </c>
      <c r="U1270">
        <v>0</v>
      </c>
      <c r="V1270">
        <v>0</v>
      </c>
      <c r="W1270">
        <v>1</v>
      </c>
      <c r="X1270">
        <v>0</v>
      </c>
      <c r="Y1270">
        <v>0</v>
      </c>
      <c r="Z1270">
        <v>1</v>
      </c>
      <c r="AA1270">
        <v>0</v>
      </c>
      <c r="AB1270">
        <v>1</v>
      </c>
      <c r="AC1270">
        <v>0</v>
      </c>
      <c r="AD1270">
        <v>1</v>
      </c>
      <c r="AE1270">
        <v>1</v>
      </c>
      <c r="AF1270">
        <v>1</v>
      </c>
      <c r="AG1270">
        <v>1</v>
      </c>
      <c r="AH1270">
        <v>1</v>
      </c>
      <c r="AI1270">
        <v>1</v>
      </c>
      <c r="AJ1270">
        <v>1</v>
      </c>
      <c r="AK1270">
        <v>1</v>
      </c>
      <c r="AL1270">
        <v>1</v>
      </c>
      <c r="AM1270">
        <v>1</v>
      </c>
    </row>
    <row r="1271" spans="1:39" x14ac:dyDescent="0.2">
      <c r="A1271" t="str">
        <f>"1267"</f>
        <v>1267</v>
      </c>
      <c r="B1271" t="str">
        <f t="shared" ref="B1271:B1334" si="71">"1"</f>
        <v>1</v>
      </c>
      <c r="C1271" t="str">
        <f t="shared" si="70"/>
        <v>26</v>
      </c>
      <c r="D1271" t="str">
        <f>"47"</f>
        <v>47</v>
      </c>
      <c r="E1271" t="str">
        <f>"1-26-47"</f>
        <v>1-26-47</v>
      </c>
      <c r="F1271" t="s">
        <v>65</v>
      </c>
      <c r="G1271" t="s">
        <v>66</v>
      </c>
      <c r="H1271" t="s">
        <v>67</v>
      </c>
      <c r="S1271">
        <v>0</v>
      </c>
      <c r="T1271">
        <v>0</v>
      </c>
      <c r="U1271">
        <v>0</v>
      </c>
      <c r="V1271">
        <v>0</v>
      </c>
      <c r="W1271">
        <v>1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1</v>
      </c>
      <c r="AJ1271">
        <v>1</v>
      </c>
      <c r="AK1271">
        <v>0</v>
      </c>
      <c r="AL1271">
        <v>0</v>
      </c>
      <c r="AM1271">
        <v>0</v>
      </c>
    </row>
    <row r="1272" spans="1:39" x14ac:dyDescent="0.2">
      <c r="A1272" t="str">
        <f>"1268"</f>
        <v>1268</v>
      </c>
      <c r="B1272" t="str">
        <f t="shared" si="71"/>
        <v>1</v>
      </c>
      <c r="C1272" t="str">
        <f t="shared" si="70"/>
        <v>26</v>
      </c>
      <c r="D1272" t="str">
        <f>"34"</f>
        <v>34</v>
      </c>
      <c r="E1272" t="str">
        <f>"1-26-34"</f>
        <v>1-26-34</v>
      </c>
      <c r="F1272" t="s">
        <v>65</v>
      </c>
      <c r="G1272" t="s">
        <v>66</v>
      </c>
      <c r="H1272" t="s">
        <v>67</v>
      </c>
      <c r="S1272">
        <v>1</v>
      </c>
      <c r="T1272">
        <v>0</v>
      </c>
      <c r="U1272">
        <v>0</v>
      </c>
      <c r="V1272">
        <v>0</v>
      </c>
      <c r="W1272">
        <v>1</v>
      </c>
      <c r="X1272">
        <v>0</v>
      </c>
      <c r="Y1272">
        <v>1</v>
      </c>
      <c r="Z1272">
        <v>0</v>
      </c>
      <c r="AA1272">
        <v>0</v>
      </c>
      <c r="AB1272">
        <v>1</v>
      </c>
      <c r="AC1272">
        <v>0</v>
      </c>
      <c r="AD1272">
        <v>1</v>
      </c>
      <c r="AE1272">
        <v>1</v>
      </c>
      <c r="AF1272">
        <v>1</v>
      </c>
      <c r="AG1272">
        <v>1</v>
      </c>
      <c r="AH1272">
        <v>1</v>
      </c>
      <c r="AI1272">
        <v>1</v>
      </c>
      <c r="AJ1272">
        <v>1</v>
      </c>
      <c r="AK1272">
        <v>1</v>
      </c>
      <c r="AL1272">
        <v>1</v>
      </c>
      <c r="AM1272">
        <v>1</v>
      </c>
    </row>
    <row r="1273" spans="1:39" x14ac:dyDescent="0.2">
      <c r="A1273" t="str">
        <f>"1269"</f>
        <v>1269</v>
      </c>
      <c r="B1273" t="str">
        <f t="shared" si="71"/>
        <v>1</v>
      </c>
      <c r="C1273" t="str">
        <f t="shared" si="70"/>
        <v>26</v>
      </c>
      <c r="D1273" t="str">
        <f>"18"</f>
        <v>18</v>
      </c>
      <c r="E1273" t="str">
        <f>"1-26-18"</f>
        <v>1-26-18</v>
      </c>
      <c r="F1273" t="s">
        <v>65</v>
      </c>
      <c r="G1273" t="s">
        <v>66</v>
      </c>
      <c r="H1273" t="s">
        <v>67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0</v>
      </c>
      <c r="AB1273">
        <v>1</v>
      </c>
      <c r="AC1273">
        <v>0</v>
      </c>
      <c r="AD1273">
        <v>0</v>
      </c>
      <c r="AE1273">
        <v>0</v>
      </c>
      <c r="AF1273">
        <v>0</v>
      </c>
      <c r="AG1273">
        <v>1</v>
      </c>
      <c r="AH1273">
        <v>1</v>
      </c>
      <c r="AI1273">
        <v>1</v>
      </c>
      <c r="AJ1273">
        <v>0</v>
      </c>
      <c r="AK1273">
        <v>0</v>
      </c>
      <c r="AL1273">
        <v>0</v>
      </c>
      <c r="AM1273">
        <v>0</v>
      </c>
    </row>
    <row r="1274" spans="1:39" x14ac:dyDescent="0.2">
      <c r="A1274" t="str">
        <f>"1270"</f>
        <v>1270</v>
      </c>
      <c r="B1274" t="str">
        <f t="shared" si="71"/>
        <v>1</v>
      </c>
      <c r="C1274" t="str">
        <f t="shared" si="70"/>
        <v>26</v>
      </c>
      <c r="D1274" t="str">
        <f>"7"</f>
        <v>7</v>
      </c>
      <c r="E1274" t="str">
        <f>"1-26-7"</f>
        <v>1-26-7</v>
      </c>
      <c r="F1274" t="s">
        <v>65</v>
      </c>
      <c r="G1274" t="s">
        <v>66</v>
      </c>
      <c r="H1274" t="s">
        <v>67</v>
      </c>
      <c r="S1274">
        <v>1</v>
      </c>
      <c r="T1274">
        <v>0</v>
      </c>
      <c r="U1274">
        <v>0</v>
      </c>
      <c r="V1274">
        <v>0</v>
      </c>
      <c r="W1274">
        <v>1</v>
      </c>
      <c r="X1274">
        <v>0</v>
      </c>
      <c r="Y1274">
        <v>1</v>
      </c>
      <c r="Z1274">
        <v>0</v>
      </c>
      <c r="AA1274">
        <v>0</v>
      </c>
      <c r="AB1274">
        <v>1</v>
      </c>
      <c r="AC1274">
        <v>0</v>
      </c>
      <c r="AD1274">
        <v>1</v>
      </c>
      <c r="AE1274">
        <v>1</v>
      </c>
      <c r="AF1274">
        <v>1</v>
      </c>
      <c r="AG1274">
        <v>1</v>
      </c>
      <c r="AH1274">
        <v>1</v>
      </c>
      <c r="AI1274">
        <v>1</v>
      </c>
      <c r="AJ1274">
        <v>1</v>
      </c>
      <c r="AK1274">
        <v>1</v>
      </c>
      <c r="AL1274">
        <v>1</v>
      </c>
      <c r="AM1274">
        <v>1</v>
      </c>
    </row>
    <row r="1275" spans="1:39" x14ac:dyDescent="0.2">
      <c r="A1275" t="str">
        <f>"1271"</f>
        <v>1271</v>
      </c>
      <c r="B1275" t="str">
        <f t="shared" si="71"/>
        <v>1</v>
      </c>
      <c r="C1275" t="str">
        <f t="shared" si="70"/>
        <v>26</v>
      </c>
      <c r="D1275" t="str">
        <f>"37"</f>
        <v>37</v>
      </c>
      <c r="E1275" t="str">
        <f>"1-26-37"</f>
        <v>1-26-37</v>
      </c>
      <c r="F1275" t="s">
        <v>65</v>
      </c>
      <c r="G1275" t="s">
        <v>66</v>
      </c>
      <c r="H1275" t="s">
        <v>67</v>
      </c>
      <c r="S1275">
        <v>1</v>
      </c>
      <c r="T1275">
        <v>0</v>
      </c>
      <c r="U1275">
        <v>0</v>
      </c>
      <c r="V1275">
        <v>0</v>
      </c>
      <c r="W1275">
        <v>1</v>
      </c>
      <c r="X1275">
        <v>0</v>
      </c>
      <c r="Y1275">
        <v>0</v>
      </c>
      <c r="Z1275">
        <v>1</v>
      </c>
      <c r="AA1275">
        <v>0</v>
      </c>
      <c r="AB1275">
        <v>0</v>
      </c>
      <c r="AC1275">
        <v>1</v>
      </c>
      <c r="AD1275">
        <v>1</v>
      </c>
      <c r="AE1275">
        <v>1</v>
      </c>
      <c r="AF1275">
        <v>1</v>
      </c>
      <c r="AG1275">
        <v>1</v>
      </c>
      <c r="AH1275">
        <v>1</v>
      </c>
      <c r="AI1275">
        <v>1</v>
      </c>
      <c r="AJ1275">
        <v>1</v>
      </c>
      <c r="AK1275">
        <v>1</v>
      </c>
      <c r="AL1275">
        <v>1</v>
      </c>
      <c r="AM1275">
        <v>1</v>
      </c>
    </row>
    <row r="1276" spans="1:39" x14ac:dyDescent="0.2">
      <c r="A1276" t="str">
        <f>"1272"</f>
        <v>1272</v>
      </c>
      <c r="B1276" t="str">
        <f t="shared" si="71"/>
        <v>1</v>
      </c>
      <c r="C1276" t="str">
        <f t="shared" si="70"/>
        <v>26</v>
      </c>
      <c r="D1276" t="str">
        <f>"19"</f>
        <v>19</v>
      </c>
      <c r="E1276" t="str">
        <f>"1-26-19"</f>
        <v>1-26-19</v>
      </c>
      <c r="F1276" t="s">
        <v>65</v>
      </c>
      <c r="G1276" t="s">
        <v>66</v>
      </c>
      <c r="H1276" t="s">
        <v>67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1</v>
      </c>
      <c r="Y1276">
        <v>0</v>
      </c>
      <c r="Z1276">
        <v>1</v>
      </c>
      <c r="AA1276">
        <v>0</v>
      </c>
      <c r="AB1276">
        <v>0</v>
      </c>
      <c r="AC1276">
        <v>1</v>
      </c>
      <c r="AD1276">
        <v>1</v>
      </c>
      <c r="AE1276">
        <v>1</v>
      </c>
      <c r="AF1276">
        <v>1</v>
      </c>
      <c r="AG1276">
        <v>1</v>
      </c>
      <c r="AH1276">
        <v>1</v>
      </c>
      <c r="AI1276">
        <v>1</v>
      </c>
      <c r="AJ1276">
        <v>1</v>
      </c>
      <c r="AK1276">
        <v>1</v>
      </c>
      <c r="AL1276">
        <v>1</v>
      </c>
      <c r="AM1276">
        <v>1</v>
      </c>
    </row>
    <row r="1277" spans="1:39" x14ac:dyDescent="0.2">
      <c r="A1277" t="str">
        <f>"1273"</f>
        <v>1273</v>
      </c>
      <c r="B1277" t="str">
        <f t="shared" si="71"/>
        <v>1</v>
      </c>
      <c r="C1277" t="str">
        <f t="shared" si="70"/>
        <v>26</v>
      </c>
      <c r="D1277" t="str">
        <f>"1"</f>
        <v>1</v>
      </c>
      <c r="E1277" t="str">
        <f>"1-26-1"</f>
        <v>1-26-1</v>
      </c>
      <c r="F1277" t="s">
        <v>65</v>
      </c>
      <c r="G1277" t="s">
        <v>66</v>
      </c>
      <c r="H1277" t="s">
        <v>67</v>
      </c>
      <c r="S1277">
        <v>0</v>
      </c>
      <c r="T1277">
        <v>1</v>
      </c>
      <c r="U1277">
        <v>0</v>
      </c>
      <c r="V1277">
        <v>0</v>
      </c>
      <c r="W1277">
        <v>1</v>
      </c>
      <c r="X1277">
        <v>0</v>
      </c>
      <c r="Y1277">
        <v>0</v>
      </c>
      <c r="Z1277">
        <v>1</v>
      </c>
      <c r="AA1277">
        <v>0</v>
      </c>
      <c r="AB1277">
        <v>1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</row>
    <row r="1278" spans="1:39" x14ac:dyDescent="0.2">
      <c r="A1278" t="str">
        <f>"1274"</f>
        <v>1274</v>
      </c>
      <c r="B1278" t="str">
        <f t="shared" si="71"/>
        <v>1</v>
      </c>
      <c r="C1278" t="str">
        <f t="shared" si="70"/>
        <v>26</v>
      </c>
      <c r="D1278" t="str">
        <f>"38"</f>
        <v>38</v>
      </c>
      <c r="E1278" t="str">
        <f>"1-26-38"</f>
        <v>1-26-38</v>
      </c>
      <c r="F1278" t="s">
        <v>65</v>
      </c>
      <c r="G1278" t="s">
        <v>66</v>
      </c>
      <c r="H1278" t="s">
        <v>67</v>
      </c>
      <c r="S1278">
        <v>0</v>
      </c>
      <c r="T1278">
        <v>1</v>
      </c>
      <c r="U1278">
        <v>0</v>
      </c>
      <c r="V1278">
        <v>0</v>
      </c>
      <c r="W1278">
        <v>0</v>
      </c>
      <c r="X1278">
        <v>1</v>
      </c>
      <c r="Y1278">
        <v>1</v>
      </c>
      <c r="Z1278">
        <v>0</v>
      </c>
      <c r="AA1278">
        <v>0</v>
      </c>
      <c r="AB1278">
        <v>0</v>
      </c>
      <c r="AC1278">
        <v>1</v>
      </c>
      <c r="AD1278">
        <v>1</v>
      </c>
      <c r="AE1278">
        <v>1</v>
      </c>
      <c r="AF1278">
        <v>1</v>
      </c>
      <c r="AG1278">
        <v>1</v>
      </c>
      <c r="AH1278">
        <v>1</v>
      </c>
      <c r="AI1278">
        <v>1</v>
      </c>
      <c r="AJ1278">
        <v>1</v>
      </c>
      <c r="AK1278">
        <v>1</v>
      </c>
      <c r="AL1278">
        <v>1</v>
      </c>
      <c r="AM1278">
        <v>1</v>
      </c>
    </row>
    <row r="1279" spans="1:39" x14ac:dyDescent="0.2">
      <c r="A1279" t="str">
        <f>"1275"</f>
        <v>1275</v>
      </c>
      <c r="B1279" t="str">
        <f t="shared" si="71"/>
        <v>1</v>
      </c>
      <c r="C1279" t="str">
        <f t="shared" si="70"/>
        <v>26</v>
      </c>
      <c r="D1279" t="str">
        <f>"20"</f>
        <v>20</v>
      </c>
      <c r="E1279" t="str">
        <f>"1-26-20"</f>
        <v>1-26-20</v>
      </c>
      <c r="F1279" t="s">
        <v>65</v>
      </c>
      <c r="G1279" t="s">
        <v>66</v>
      </c>
      <c r="H1279" t="s">
        <v>67</v>
      </c>
      <c r="S1279">
        <v>0</v>
      </c>
      <c r="T1279">
        <v>1</v>
      </c>
      <c r="U1279">
        <v>0</v>
      </c>
      <c r="V1279">
        <v>0</v>
      </c>
      <c r="W1279">
        <v>1</v>
      </c>
      <c r="X1279">
        <v>0</v>
      </c>
      <c r="Y1279">
        <v>1</v>
      </c>
      <c r="Z1279">
        <v>0</v>
      </c>
      <c r="AA1279">
        <v>0</v>
      </c>
      <c r="AB1279">
        <v>1</v>
      </c>
      <c r="AC1279">
        <v>0</v>
      </c>
      <c r="AD1279">
        <v>1</v>
      </c>
      <c r="AE1279">
        <v>1</v>
      </c>
      <c r="AF1279">
        <v>1</v>
      </c>
      <c r="AG1279">
        <v>1</v>
      </c>
      <c r="AH1279">
        <v>1</v>
      </c>
      <c r="AI1279">
        <v>1</v>
      </c>
      <c r="AJ1279">
        <v>1</v>
      </c>
      <c r="AK1279">
        <v>1</v>
      </c>
      <c r="AL1279">
        <v>1</v>
      </c>
      <c r="AM1279">
        <v>1</v>
      </c>
    </row>
    <row r="1280" spans="1:39" x14ac:dyDescent="0.2">
      <c r="A1280" t="str">
        <f>"1276"</f>
        <v>1276</v>
      </c>
      <c r="B1280" t="str">
        <f t="shared" si="71"/>
        <v>1</v>
      </c>
      <c r="C1280" t="str">
        <f t="shared" si="70"/>
        <v>26</v>
      </c>
      <c r="D1280" t="str">
        <f>"12"</f>
        <v>12</v>
      </c>
      <c r="E1280" t="str">
        <f>"1-26-12"</f>
        <v>1-26-12</v>
      </c>
      <c r="F1280" t="s">
        <v>65</v>
      </c>
      <c r="G1280" t="s">
        <v>66</v>
      </c>
      <c r="H1280" t="s">
        <v>67</v>
      </c>
      <c r="S1280">
        <v>0</v>
      </c>
      <c r="T1280">
        <v>1</v>
      </c>
      <c r="U1280">
        <v>0</v>
      </c>
      <c r="V1280">
        <v>0</v>
      </c>
      <c r="W1280">
        <v>1</v>
      </c>
      <c r="X1280">
        <v>0</v>
      </c>
      <c r="Y1280">
        <v>1</v>
      </c>
      <c r="Z1280">
        <v>0</v>
      </c>
      <c r="AA1280">
        <v>0</v>
      </c>
      <c r="AB1280">
        <v>1</v>
      </c>
      <c r="AC1280">
        <v>0</v>
      </c>
      <c r="AD1280">
        <v>1</v>
      </c>
      <c r="AE1280">
        <v>1</v>
      </c>
      <c r="AF1280">
        <v>1</v>
      </c>
      <c r="AG1280">
        <v>1</v>
      </c>
      <c r="AH1280">
        <v>1</v>
      </c>
      <c r="AI1280">
        <v>1</v>
      </c>
      <c r="AJ1280">
        <v>1</v>
      </c>
      <c r="AK1280">
        <v>1</v>
      </c>
      <c r="AL1280">
        <v>1</v>
      </c>
      <c r="AM1280">
        <v>1</v>
      </c>
    </row>
    <row r="1281" spans="1:39" x14ac:dyDescent="0.2">
      <c r="A1281" t="str">
        <f>"1277"</f>
        <v>1277</v>
      </c>
      <c r="B1281" t="str">
        <f t="shared" si="71"/>
        <v>1</v>
      </c>
      <c r="C1281" t="str">
        <f t="shared" si="70"/>
        <v>26</v>
      </c>
      <c r="D1281" t="str">
        <f>"39"</f>
        <v>39</v>
      </c>
      <c r="E1281" t="str">
        <f>"1-26-39"</f>
        <v>1-26-39</v>
      </c>
      <c r="F1281" t="s">
        <v>65</v>
      </c>
      <c r="G1281" t="s">
        <v>66</v>
      </c>
      <c r="H1281" t="s">
        <v>67</v>
      </c>
      <c r="S1281">
        <v>0</v>
      </c>
      <c r="T1281">
        <v>1</v>
      </c>
      <c r="U1281">
        <v>0</v>
      </c>
      <c r="V1281">
        <v>0</v>
      </c>
      <c r="W1281">
        <v>1</v>
      </c>
      <c r="X1281">
        <v>0</v>
      </c>
      <c r="Y1281">
        <v>1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1</v>
      </c>
      <c r="AF1281">
        <v>1</v>
      </c>
      <c r="AG1281">
        <v>1</v>
      </c>
      <c r="AH1281">
        <v>1</v>
      </c>
      <c r="AI1281">
        <v>1</v>
      </c>
      <c r="AJ1281">
        <v>1</v>
      </c>
      <c r="AK1281">
        <v>1</v>
      </c>
      <c r="AL1281">
        <v>1</v>
      </c>
      <c r="AM1281">
        <v>1</v>
      </c>
    </row>
    <row r="1282" spans="1:39" x14ac:dyDescent="0.2">
      <c r="A1282" t="str">
        <f>"1278"</f>
        <v>1278</v>
      </c>
      <c r="B1282" t="str">
        <f t="shared" si="71"/>
        <v>1</v>
      </c>
      <c r="C1282" t="str">
        <f t="shared" si="70"/>
        <v>26</v>
      </c>
      <c r="D1282" t="str">
        <f>"21"</f>
        <v>21</v>
      </c>
      <c r="E1282" t="str">
        <f>"1-26-21"</f>
        <v>1-26-21</v>
      </c>
      <c r="F1282" t="s">
        <v>65</v>
      </c>
      <c r="G1282" t="s">
        <v>66</v>
      </c>
      <c r="H1282" t="s">
        <v>67</v>
      </c>
      <c r="S1282">
        <v>0</v>
      </c>
      <c r="T1282">
        <v>1</v>
      </c>
      <c r="U1282">
        <v>0</v>
      </c>
      <c r="V1282">
        <v>0</v>
      </c>
      <c r="W1282">
        <v>1</v>
      </c>
      <c r="X1282">
        <v>0</v>
      </c>
      <c r="Y1282">
        <v>0</v>
      </c>
      <c r="Z1282">
        <v>1</v>
      </c>
      <c r="AA1282">
        <v>0</v>
      </c>
      <c r="AB1282">
        <v>1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</row>
    <row r="1283" spans="1:39" x14ac:dyDescent="0.2">
      <c r="A1283" t="str">
        <f>"1279"</f>
        <v>1279</v>
      </c>
      <c r="B1283" t="str">
        <f t="shared" si="71"/>
        <v>1</v>
      </c>
      <c r="C1283" t="str">
        <f t="shared" si="70"/>
        <v>26</v>
      </c>
      <c r="D1283" t="str">
        <f>"14"</f>
        <v>14</v>
      </c>
      <c r="E1283" t="str">
        <f>"1-26-14"</f>
        <v>1-26-14</v>
      </c>
      <c r="F1283" t="s">
        <v>65</v>
      </c>
      <c r="G1283" t="s">
        <v>66</v>
      </c>
      <c r="H1283" t="s">
        <v>67</v>
      </c>
      <c r="S1283">
        <v>1</v>
      </c>
      <c r="T1283">
        <v>0</v>
      </c>
      <c r="U1283">
        <v>0</v>
      </c>
      <c r="V1283">
        <v>0</v>
      </c>
      <c r="W1283">
        <v>0</v>
      </c>
      <c r="X1283">
        <v>1</v>
      </c>
      <c r="Y1283">
        <v>1</v>
      </c>
      <c r="Z1283">
        <v>0</v>
      </c>
      <c r="AA1283">
        <v>0</v>
      </c>
      <c r="AB1283">
        <v>0</v>
      </c>
      <c r="AC1283">
        <v>1</v>
      </c>
      <c r="AD1283">
        <v>1</v>
      </c>
      <c r="AE1283">
        <v>1</v>
      </c>
      <c r="AF1283">
        <v>1</v>
      </c>
      <c r="AG1283">
        <v>1</v>
      </c>
      <c r="AH1283">
        <v>1</v>
      </c>
      <c r="AI1283">
        <v>1</v>
      </c>
      <c r="AJ1283">
        <v>1</v>
      </c>
      <c r="AK1283">
        <v>1</v>
      </c>
      <c r="AL1283">
        <v>1</v>
      </c>
      <c r="AM1283">
        <v>1</v>
      </c>
    </row>
    <row r="1284" spans="1:39" x14ac:dyDescent="0.2">
      <c r="A1284" t="str">
        <f>"1280"</f>
        <v>1280</v>
      </c>
      <c r="B1284" t="str">
        <f t="shared" si="71"/>
        <v>1</v>
      </c>
      <c r="C1284" t="str">
        <f t="shared" si="70"/>
        <v>26</v>
      </c>
      <c r="D1284" t="str">
        <f>"40"</f>
        <v>40</v>
      </c>
      <c r="E1284" t="str">
        <f>"1-26-40"</f>
        <v>1-26-40</v>
      </c>
      <c r="F1284" t="s">
        <v>65</v>
      </c>
      <c r="G1284" t="s">
        <v>66</v>
      </c>
      <c r="H1284" t="s">
        <v>67</v>
      </c>
      <c r="S1284">
        <v>0</v>
      </c>
      <c r="T1284">
        <v>1</v>
      </c>
      <c r="U1284">
        <v>0</v>
      </c>
      <c r="V1284">
        <v>0</v>
      </c>
      <c r="W1284">
        <v>1</v>
      </c>
      <c r="X1284">
        <v>0</v>
      </c>
      <c r="Y1284">
        <v>1</v>
      </c>
      <c r="Z1284">
        <v>0</v>
      </c>
      <c r="AA1284">
        <v>0</v>
      </c>
      <c r="AB1284">
        <v>1</v>
      </c>
      <c r="AC1284">
        <v>0</v>
      </c>
      <c r="AD1284">
        <v>1</v>
      </c>
      <c r="AE1284">
        <v>1</v>
      </c>
      <c r="AF1284">
        <v>1</v>
      </c>
      <c r="AG1284">
        <v>1</v>
      </c>
      <c r="AH1284">
        <v>1</v>
      </c>
      <c r="AI1284">
        <v>1</v>
      </c>
      <c r="AJ1284">
        <v>1</v>
      </c>
      <c r="AK1284">
        <v>1</v>
      </c>
      <c r="AL1284">
        <v>1</v>
      </c>
      <c r="AM1284">
        <v>1</v>
      </c>
    </row>
    <row r="1285" spans="1:39" x14ac:dyDescent="0.2">
      <c r="A1285" t="str">
        <f>"1281"</f>
        <v>1281</v>
      </c>
      <c r="B1285" t="str">
        <f t="shared" si="71"/>
        <v>1</v>
      </c>
      <c r="C1285" t="str">
        <f t="shared" si="70"/>
        <v>26</v>
      </c>
      <c r="D1285" t="str">
        <f>"22"</f>
        <v>22</v>
      </c>
      <c r="E1285" t="str">
        <f>"1-26-22"</f>
        <v>1-26-22</v>
      </c>
      <c r="F1285" t="s">
        <v>65</v>
      </c>
      <c r="G1285" t="s">
        <v>66</v>
      </c>
      <c r="H1285" t="s">
        <v>67</v>
      </c>
      <c r="S1285">
        <v>0</v>
      </c>
      <c r="T1285">
        <v>0</v>
      </c>
      <c r="U1285">
        <v>0</v>
      </c>
      <c r="V1285">
        <v>0</v>
      </c>
      <c r="W1285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1</v>
      </c>
      <c r="AH1285">
        <v>1</v>
      </c>
      <c r="AI1285">
        <v>0</v>
      </c>
      <c r="AJ1285">
        <v>1</v>
      </c>
      <c r="AK1285">
        <v>1</v>
      </c>
      <c r="AL1285">
        <v>1</v>
      </c>
      <c r="AM1285">
        <v>1</v>
      </c>
    </row>
    <row r="1286" spans="1:39" x14ac:dyDescent="0.2">
      <c r="A1286" t="str">
        <f>"1282"</f>
        <v>1282</v>
      </c>
      <c r="B1286" t="str">
        <f t="shared" si="71"/>
        <v>1</v>
      </c>
      <c r="C1286" t="str">
        <f t="shared" si="70"/>
        <v>26</v>
      </c>
      <c r="D1286" t="str">
        <f>"41"</f>
        <v>41</v>
      </c>
      <c r="E1286" t="str">
        <f>"1-26-41"</f>
        <v>1-26-41</v>
      </c>
      <c r="F1286" t="s">
        <v>65</v>
      </c>
      <c r="G1286" t="s">
        <v>66</v>
      </c>
      <c r="H1286" t="s">
        <v>67</v>
      </c>
      <c r="S1286">
        <v>0</v>
      </c>
      <c r="T1286">
        <v>1</v>
      </c>
      <c r="U1286">
        <v>0</v>
      </c>
      <c r="V1286">
        <v>0</v>
      </c>
      <c r="W1286">
        <v>1</v>
      </c>
      <c r="X1286">
        <v>0</v>
      </c>
      <c r="Y1286">
        <v>1</v>
      </c>
      <c r="Z1286">
        <v>0</v>
      </c>
      <c r="AA1286">
        <v>0</v>
      </c>
      <c r="AB1286">
        <v>1</v>
      </c>
      <c r="AC1286">
        <v>0</v>
      </c>
      <c r="AD1286">
        <v>1</v>
      </c>
      <c r="AE1286">
        <v>1</v>
      </c>
      <c r="AF1286">
        <v>1</v>
      </c>
      <c r="AG1286">
        <v>1</v>
      </c>
      <c r="AH1286">
        <v>1</v>
      </c>
      <c r="AI1286">
        <v>1</v>
      </c>
      <c r="AJ1286">
        <v>1</v>
      </c>
      <c r="AK1286">
        <v>1</v>
      </c>
      <c r="AL1286">
        <v>1</v>
      </c>
      <c r="AM1286">
        <v>1</v>
      </c>
    </row>
    <row r="1287" spans="1:39" x14ac:dyDescent="0.2">
      <c r="A1287" t="str">
        <f>"1283"</f>
        <v>1283</v>
      </c>
      <c r="B1287" t="str">
        <f t="shared" si="71"/>
        <v>1</v>
      </c>
      <c r="C1287" t="str">
        <f t="shared" ref="C1287:C1304" si="72">"26"</f>
        <v>26</v>
      </c>
      <c r="D1287" t="str">
        <f>"24"</f>
        <v>24</v>
      </c>
      <c r="E1287" t="str">
        <f>"1-26-24"</f>
        <v>1-26-24</v>
      </c>
      <c r="F1287" t="s">
        <v>65</v>
      </c>
      <c r="G1287" t="s">
        <v>66</v>
      </c>
      <c r="H1287" t="s">
        <v>67</v>
      </c>
      <c r="S1287">
        <v>1</v>
      </c>
      <c r="T1287">
        <v>0</v>
      </c>
      <c r="U1287">
        <v>0</v>
      </c>
      <c r="V1287">
        <v>0</v>
      </c>
      <c r="W1287">
        <v>1</v>
      </c>
      <c r="X1287">
        <v>0</v>
      </c>
      <c r="Y1287">
        <v>1</v>
      </c>
      <c r="Z1287">
        <v>0</v>
      </c>
      <c r="AA1287">
        <v>0</v>
      </c>
      <c r="AB1287">
        <v>1</v>
      </c>
      <c r="AC1287">
        <v>0</v>
      </c>
      <c r="AD1287">
        <v>1</v>
      </c>
      <c r="AE1287">
        <v>1</v>
      </c>
      <c r="AF1287">
        <v>1</v>
      </c>
      <c r="AG1287">
        <v>1</v>
      </c>
      <c r="AH1287">
        <v>1</v>
      </c>
      <c r="AI1287">
        <v>1</v>
      </c>
      <c r="AJ1287">
        <v>1</v>
      </c>
      <c r="AK1287">
        <v>1</v>
      </c>
      <c r="AL1287">
        <v>0</v>
      </c>
      <c r="AM1287">
        <v>1</v>
      </c>
    </row>
    <row r="1288" spans="1:39" x14ac:dyDescent="0.2">
      <c r="A1288" t="str">
        <f>"1284"</f>
        <v>1284</v>
      </c>
      <c r="B1288" t="str">
        <f t="shared" si="71"/>
        <v>1</v>
      </c>
      <c r="C1288" t="str">
        <f t="shared" si="72"/>
        <v>26</v>
      </c>
      <c r="D1288" t="str">
        <f>"6"</f>
        <v>6</v>
      </c>
      <c r="E1288" t="str">
        <f>"1-26-6"</f>
        <v>1-26-6</v>
      </c>
      <c r="F1288" t="s">
        <v>65</v>
      </c>
      <c r="G1288" t="s">
        <v>66</v>
      </c>
      <c r="H1288" t="s">
        <v>67</v>
      </c>
      <c r="S1288">
        <v>1</v>
      </c>
      <c r="T1288">
        <v>0</v>
      </c>
      <c r="U1288">
        <v>0</v>
      </c>
      <c r="V1288">
        <v>0</v>
      </c>
      <c r="W1288">
        <v>1</v>
      </c>
      <c r="X1288">
        <v>0</v>
      </c>
      <c r="Y1288">
        <v>1</v>
      </c>
      <c r="Z1288">
        <v>0</v>
      </c>
      <c r="AA1288">
        <v>0</v>
      </c>
      <c r="AB1288">
        <v>1</v>
      </c>
      <c r="AC1288">
        <v>0</v>
      </c>
      <c r="AD1288">
        <v>1</v>
      </c>
      <c r="AE1288">
        <v>1</v>
      </c>
      <c r="AF1288">
        <v>1</v>
      </c>
      <c r="AG1288">
        <v>1</v>
      </c>
      <c r="AH1288">
        <v>1</v>
      </c>
      <c r="AI1288">
        <v>1</v>
      </c>
      <c r="AJ1288">
        <v>1</v>
      </c>
      <c r="AK1288">
        <v>1</v>
      </c>
      <c r="AL1288">
        <v>1</v>
      </c>
      <c r="AM1288">
        <v>1</v>
      </c>
    </row>
    <row r="1289" spans="1:39" x14ac:dyDescent="0.2">
      <c r="A1289" t="str">
        <f>"1285"</f>
        <v>1285</v>
      </c>
      <c r="B1289" t="str">
        <f t="shared" si="71"/>
        <v>1</v>
      </c>
      <c r="C1289" t="str">
        <f t="shared" si="72"/>
        <v>26</v>
      </c>
      <c r="D1289" t="str">
        <f>"42"</f>
        <v>42</v>
      </c>
      <c r="E1289" t="str">
        <f>"1-26-42"</f>
        <v>1-26-42</v>
      </c>
      <c r="F1289" t="s">
        <v>65</v>
      </c>
      <c r="G1289" t="s">
        <v>66</v>
      </c>
      <c r="H1289" t="s">
        <v>67</v>
      </c>
      <c r="S1289">
        <v>1</v>
      </c>
      <c r="T1289">
        <v>0</v>
      </c>
      <c r="U1289">
        <v>0</v>
      </c>
      <c r="V1289">
        <v>0</v>
      </c>
      <c r="W1289">
        <v>1</v>
      </c>
      <c r="X1289">
        <v>0</v>
      </c>
      <c r="Y1289">
        <v>0</v>
      </c>
      <c r="Z1289">
        <v>1</v>
      </c>
      <c r="AA1289">
        <v>1</v>
      </c>
      <c r="AB1289">
        <v>0</v>
      </c>
      <c r="AC1289">
        <v>0</v>
      </c>
      <c r="AD1289">
        <v>1</v>
      </c>
      <c r="AE1289">
        <v>1</v>
      </c>
      <c r="AF1289">
        <v>1</v>
      </c>
      <c r="AG1289">
        <v>1</v>
      </c>
      <c r="AH1289">
        <v>1</v>
      </c>
      <c r="AI1289">
        <v>1</v>
      </c>
      <c r="AJ1289">
        <v>1</v>
      </c>
      <c r="AK1289">
        <v>1</v>
      </c>
      <c r="AL1289">
        <v>1</v>
      </c>
      <c r="AM1289">
        <v>1</v>
      </c>
    </row>
    <row r="1290" spans="1:39" x14ac:dyDescent="0.2">
      <c r="A1290" t="str">
        <f>"1286"</f>
        <v>1286</v>
      </c>
      <c r="B1290" t="str">
        <f t="shared" si="71"/>
        <v>1</v>
      </c>
      <c r="C1290" t="str">
        <f t="shared" si="72"/>
        <v>26</v>
      </c>
      <c r="D1290" t="str">
        <f>"26"</f>
        <v>26</v>
      </c>
      <c r="E1290" t="str">
        <f>"1-26-26"</f>
        <v>1-26-26</v>
      </c>
      <c r="F1290" t="s">
        <v>65</v>
      </c>
      <c r="G1290" t="s">
        <v>66</v>
      </c>
      <c r="H1290" t="s">
        <v>67</v>
      </c>
      <c r="S1290">
        <v>0</v>
      </c>
      <c r="T1290">
        <v>1</v>
      </c>
      <c r="U1290">
        <v>0</v>
      </c>
      <c r="V1290">
        <v>0</v>
      </c>
      <c r="W1290">
        <v>0</v>
      </c>
      <c r="X1290">
        <v>1</v>
      </c>
      <c r="Y1290">
        <v>0</v>
      </c>
      <c r="Z1290">
        <v>1</v>
      </c>
      <c r="AA1290">
        <v>0</v>
      </c>
      <c r="AB1290">
        <v>1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</row>
    <row r="1291" spans="1:39" x14ac:dyDescent="0.2">
      <c r="A1291" t="str">
        <f>"1287"</f>
        <v>1287</v>
      </c>
      <c r="B1291" t="str">
        <f t="shared" si="71"/>
        <v>1</v>
      </c>
      <c r="C1291" t="str">
        <f t="shared" si="72"/>
        <v>26</v>
      </c>
      <c r="D1291" t="str">
        <f>"13"</f>
        <v>13</v>
      </c>
      <c r="E1291" t="str">
        <f>"1-26-13"</f>
        <v>1-26-13</v>
      </c>
      <c r="F1291" t="s">
        <v>65</v>
      </c>
      <c r="G1291" t="s">
        <v>66</v>
      </c>
      <c r="H1291" t="s">
        <v>67</v>
      </c>
      <c r="S1291">
        <v>0</v>
      </c>
      <c r="T1291">
        <v>1</v>
      </c>
      <c r="U1291">
        <v>0</v>
      </c>
      <c r="V1291">
        <v>0</v>
      </c>
      <c r="W1291">
        <v>1</v>
      </c>
      <c r="X1291">
        <v>0</v>
      </c>
      <c r="Y1291">
        <v>1</v>
      </c>
      <c r="Z1291">
        <v>0</v>
      </c>
      <c r="AA1291">
        <v>0</v>
      </c>
      <c r="AB1291">
        <v>0</v>
      </c>
      <c r="AC1291">
        <v>1</v>
      </c>
      <c r="AD1291">
        <v>1</v>
      </c>
      <c r="AE1291">
        <v>1</v>
      </c>
      <c r="AF1291">
        <v>1</v>
      </c>
      <c r="AG1291">
        <v>1</v>
      </c>
      <c r="AH1291">
        <v>1</v>
      </c>
      <c r="AI1291">
        <v>1</v>
      </c>
      <c r="AJ1291">
        <v>1</v>
      </c>
      <c r="AK1291">
        <v>1</v>
      </c>
      <c r="AL1291">
        <v>1</v>
      </c>
      <c r="AM1291">
        <v>1</v>
      </c>
    </row>
    <row r="1292" spans="1:39" x14ac:dyDescent="0.2">
      <c r="A1292" t="str">
        <f>"1288"</f>
        <v>1288</v>
      </c>
      <c r="B1292" t="str">
        <f t="shared" si="71"/>
        <v>1</v>
      </c>
      <c r="C1292" t="str">
        <f t="shared" si="72"/>
        <v>26</v>
      </c>
      <c r="D1292" t="str">
        <f>"44"</f>
        <v>44</v>
      </c>
      <c r="E1292" t="str">
        <f>"1-26-44"</f>
        <v>1-26-44</v>
      </c>
      <c r="F1292" t="s">
        <v>65</v>
      </c>
      <c r="G1292" t="s">
        <v>66</v>
      </c>
      <c r="H1292" t="s">
        <v>67</v>
      </c>
      <c r="S1292">
        <v>0</v>
      </c>
      <c r="T1292">
        <v>1</v>
      </c>
      <c r="U1292">
        <v>0</v>
      </c>
      <c r="V1292">
        <v>0</v>
      </c>
      <c r="W1292">
        <v>1</v>
      </c>
      <c r="X1292">
        <v>0</v>
      </c>
      <c r="Y1292">
        <v>0</v>
      </c>
      <c r="Z1292">
        <v>1</v>
      </c>
      <c r="AA1292">
        <v>0</v>
      </c>
      <c r="AB1292">
        <v>0</v>
      </c>
      <c r="AC1292">
        <v>1</v>
      </c>
      <c r="AD1292">
        <v>1</v>
      </c>
      <c r="AE1292">
        <v>1</v>
      </c>
      <c r="AF1292">
        <v>1</v>
      </c>
      <c r="AG1292">
        <v>1</v>
      </c>
      <c r="AH1292">
        <v>1</v>
      </c>
      <c r="AI1292">
        <v>1</v>
      </c>
      <c r="AJ1292">
        <v>1</v>
      </c>
      <c r="AK1292">
        <v>1</v>
      </c>
      <c r="AL1292">
        <v>1</v>
      </c>
      <c r="AM1292">
        <v>1</v>
      </c>
    </row>
    <row r="1293" spans="1:39" x14ac:dyDescent="0.2">
      <c r="A1293" t="str">
        <f>"1289"</f>
        <v>1289</v>
      </c>
      <c r="B1293" t="str">
        <f t="shared" si="71"/>
        <v>1</v>
      </c>
      <c r="C1293" t="str">
        <f t="shared" si="72"/>
        <v>26</v>
      </c>
      <c r="D1293" t="str">
        <f>"27"</f>
        <v>27</v>
      </c>
      <c r="E1293" t="str">
        <f>"1-26-27"</f>
        <v>1-26-27</v>
      </c>
      <c r="F1293" t="s">
        <v>65</v>
      </c>
      <c r="G1293" t="s">
        <v>66</v>
      </c>
      <c r="H1293" t="s">
        <v>67</v>
      </c>
      <c r="S1293">
        <v>1</v>
      </c>
      <c r="T1293">
        <v>0</v>
      </c>
      <c r="U1293">
        <v>0</v>
      </c>
      <c r="V1293">
        <v>0</v>
      </c>
      <c r="W1293">
        <v>1</v>
      </c>
      <c r="X1293">
        <v>0</v>
      </c>
      <c r="Y1293">
        <v>1</v>
      </c>
      <c r="Z1293">
        <v>0</v>
      </c>
      <c r="AA1293">
        <v>0</v>
      </c>
      <c r="AB1293">
        <v>1</v>
      </c>
      <c r="AC1293">
        <v>0</v>
      </c>
      <c r="AD1293">
        <v>1</v>
      </c>
      <c r="AE1293">
        <v>1</v>
      </c>
      <c r="AF1293">
        <v>1</v>
      </c>
      <c r="AG1293">
        <v>1</v>
      </c>
      <c r="AH1293">
        <v>1</v>
      </c>
      <c r="AI1293">
        <v>1</v>
      </c>
      <c r="AJ1293">
        <v>1</v>
      </c>
      <c r="AK1293">
        <v>1</v>
      </c>
      <c r="AL1293">
        <v>1</v>
      </c>
      <c r="AM1293">
        <v>1</v>
      </c>
    </row>
    <row r="1294" spans="1:39" x14ac:dyDescent="0.2">
      <c r="A1294" t="str">
        <f>"1290"</f>
        <v>1290</v>
      </c>
      <c r="B1294" t="str">
        <f t="shared" si="71"/>
        <v>1</v>
      </c>
      <c r="C1294" t="str">
        <f t="shared" si="72"/>
        <v>26</v>
      </c>
      <c r="D1294" t="str">
        <f>"43"</f>
        <v>43</v>
      </c>
      <c r="E1294" t="str">
        <f>"1-26-43"</f>
        <v>1-26-43</v>
      </c>
      <c r="F1294" t="s">
        <v>65</v>
      </c>
      <c r="G1294" t="s">
        <v>66</v>
      </c>
      <c r="H1294" t="s">
        <v>67</v>
      </c>
      <c r="S1294">
        <v>0</v>
      </c>
      <c r="T1294">
        <v>1</v>
      </c>
      <c r="U1294">
        <v>0</v>
      </c>
      <c r="V1294">
        <v>0</v>
      </c>
      <c r="W1294">
        <v>1</v>
      </c>
      <c r="X1294">
        <v>0</v>
      </c>
      <c r="Y1294">
        <v>0</v>
      </c>
      <c r="Z1294">
        <v>1</v>
      </c>
      <c r="AA1294">
        <v>0</v>
      </c>
      <c r="AB1294">
        <v>0</v>
      </c>
      <c r="AC1294">
        <v>1</v>
      </c>
      <c r="AD1294">
        <v>1</v>
      </c>
      <c r="AE1294">
        <v>1</v>
      </c>
      <c r="AF1294">
        <v>1</v>
      </c>
      <c r="AG1294">
        <v>1</v>
      </c>
      <c r="AH1294">
        <v>1</v>
      </c>
      <c r="AI1294">
        <v>1</v>
      </c>
      <c r="AJ1294">
        <v>1</v>
      </c>
      <c r="AK1294">
        <v>1</v>
      </c>
      <c r="AL1294">
        <v>1</v>
      </c>
      <c r="AM1294">
        <v>1</v>
      </c>
    </row>
    <row r="1295" spans="1:39" x14ac:dyDescent="0.2">
      <c r="A1295" t="str">
        <f>"1291"</f>
        <v>1291</v>
      </c>
      <c r="B1295" t="str">
        <f t="shared" si="71"/>
        <v>1</v>
      </c>
      <c r="C1295" t="str">
        <f t="shared" si="72"/>
        <v>26</v>
      </c>
      <c r="D1295" t="str">
        <f>"28"</f>
        <v>28</v>
      </c>
      <c r="E1295" t="str">
        <f>"1-26-28"</f>
        <v>1-26-28</v>
      </c>
      <c r="F1295" t="s">
        <v>65</v>
      </c>
      <c r="G1295" t="s">
        <v>66</v>
      </c>
      <c r="H1295" t="s">
        <v>67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1</v>
      </c>
      <c r="AH1295">
        <v>0</v>
      </c>
      <c r="AI1295">
        <v>1</v>
      </c>
      <c r="AJ1295">
        <v>1</v>
      </c>
      <c r="AK1295">
        <v>1</v>
      </c>
      <c r="AL1295">
        <v>1</v>
      </c>
      <c r="AM1295">
        <v>1</v>
      </c>
    </row>
    <row r="1296" spans="1:39" x14ac:dyDescent="0.2">
      <c r="A1296" t="str">
        <f>"1292"</f>
        <v>1292</v>
      </c>
      <c r="B1296" t="str">
        <f t="shared" si="71"/>
        <v>1</v>
      </c>
      <c r="C1296" t="str">
        <f t="shared" si="72"/>
        <v>26</v>
      </c>
      <c r="D1296" t="str">
        <f>"4"</f>
        <v>4</v>
      </c>
      <c r="E1296" t="str">
        <f>"1-26-4"</f>
        <v>1-26-4</v>
      </c>
      <c r="F1296" t="s">
        <v>65</v>
      </c>
      <c r="G1296" t="s">
        <v>66</v>
      </c>
      <c r="H1296" t="s">
        <v>67</v>
      </c>
      <c r="S1296">
        <v>0</v>
      </c>
      <c r="T1296">
        <v>1</v>
      </c>
      <c r="U1296">
        <v>0</v>
      </c>
      <c r="V1296">
        <v>0</v>
      </c>
      <c r="W1296">
        <v>1</v>
      </c>
      <c r="X1296">
        <v>0</v>
      </c>
      <c r="Y1296">
        <v>0</v>
      </c>
      <c r="Z1296">
        <v>1</v>
      </c>
      <c r="AA1296">
        <v>1</v>
      </c>
      <c r="AB1296">
        <v>0</v>
      </c>
      <c r="AC1296">
        <v>0</v>
      </c>
      <c r="AD1296">
        <v>1</v>
      </c>
      <c r="AE1296">
        <v>1</v>
      </c>
      <c r="AF1296">
        <v>1</v>
      </c>
      <c r="AG1296">
        <v>1</v>
      </c>
      <c r="AH1296">
        <v>1</v>
      </c>
      <c r="AI1296">
        <v>1</v>
      </c>
      <c r="AJ1296">
        <v>1</v>
      </c>
      <c r="AK1296">
        <v>1</v>
      </c>
      <c r="AL1296">
        <v>1</v>
      </c>
      <c r="AM1296">
        <v>1</v>
      </c>
    </row>
    <row r="1297" spans="1:39" x14ac:dyDescent="0.2">
      <c r="A1297" t="str">
        <f>"1293"</f>
        <v>1293</v>
      </c>
      <c r="B1297" t="str">
        <f t="shared" si="71"/>
        <v>1</v>
      </c>
      <c r="C1297" t="str">
        <f t="shared" si="72"/>
        <v>26</v>
      </c>
      <c r="D1297" t="str">
        <f>"50"</f>
        <v>50</v>
      </c>
      <c r="E1297" t="str">
        <f>"1-26-50"</f>
        <v>1-26-50</v>
      </c>
      <c r="F1297" t="s">
        <v>65</v>
      </c>
      <c r="G1297" t="s">
        <v>66</v>
      </c>
      <c r="H1297" t="s">
        <v>67</v>
      </c>
      <c r="S1297">
        <v>0</v>
      </c>
      <c r="T1297">
        <v>1</v>
      </c>
      <c r="U1297">
        <v>0</v>
      </c>
      <c r="V1297">
        <v>0</v>
      </c>
      <c r="W1297">
        <v>1</v>
      </c>
      <c r="X1297">
        <v>0</v>
      </c>
      <c r="Y1297">
        <v>1</v>
      </c>
      <c r="Z1297">
        <v>0</v>
      </c>
      <c r="AA1297">
        <v>0</v>
      </c>
      <c r="AB1297">
        <v>0</v>
      </c>
      <c r="AC1297">
        <v>1</v>
      </c>
      <c r="AD1297">
        <v>1</v>
      </c>
      <c r="AE1297">
        <v>1</v>
      </c>
      <c r="AF1297">
        <v>1</v>
      </c>
      <c r="AG1297">
        <v>1</v>
      </c>
      <c r="AH1297">
        <v>1</v>
      </c>
      <c r="AI1297">
        <v>1</v>
      </c>
      <c r="AJ1297">
        <v>1</v>
      </c>
      <c r="AK1297">
        <v>1</v>
      </c>
      <c r="AL1297">
        <v>1</v>
      </c>
      <c r="AM1297">
        <v>1</v>
      </c>
    </row>
    <row r="1298" spans="1:39" x14ac:dyDescent="0.2">
      <c r="A1298" t="str">
        <f>"1294"</f>
        <v>1294</v>
      </c>
      <c r="B1298" t="str">
        <f t="shared" si="71"/>
        <v>1</v>
      </c>
      <c r="C1298" t="str">
        <f t="shared" si="72"/>
        <v>26</v>
      </c>
      <c r="D1298" t="str">
        <f>"29"</f>
        <v>29</v>
      </c>
      <c r="E1298" t="str">
        <f>"1-26-29"</f>
        <v>1-26-29</v>
      </c>
      <c r="F1298" t="s">
        <v>65</v>
      </c>
      <c r="G1298" t="s">
        <v>66</v>
      </c>
      <c r="H1298" t="s">
        <v>67</v>
      </c>
      <c r="S1298">
        <v>1</v>
      </c>
      <c r="T1298">
        <v>0</v>
      </c>
      <c r="U1298">
        <v>0</v>
      </c>
      <c r="V1298">
        <v>0</v>
      </c>
      <c r="W1298">
        <v>0</v>
      </c>
      <c r="X1298">
        <v>1</v>
      </c>
      <c r="Y1298">
        <v>1</v>
      </c>
      <c r="Z1298">
        <v>0</v>
      </c>
      <c r="AA1298">
        <v>1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1</v>
      </c>
      <c r="AH1298">
        <v>0</v>
      </c>
      <c r="AI1298">
        <v>1</v>
      </c>
      <c r="AJ1298">
        <v>1</v>
      </c>
      <c r="AK1298">
        <v>1</v>
      </c>
      <c r="AL1298">
        <v>0</v>
      </c>
      <c r="AM1298">
        <v>0</v>
      </c>
    </row>
    <row r="1299" spans="1:39" x14ac:dyDescent="0.2">
      <c r="A1299" t="str">
        <f>"1295"</f>
        <v>1295</v>
      </c>
      <c r="B1299" t="str">
        <f t="shared" si="71"/>
        <v>1</v>
      </c>
      <c r="C1299" t="str">
        <f t="shared" si="72"/>
        <v>26</v>
      </c>
      <c r="D1299" t="str">
        <f>"9"</f>
        <v>9</v>
      </c>
      <c r="E1299" t="str">
        <f>"1-26-9"</f>
        <v>1-26-9</v>
      </c>
      <c r="F1299" t="s">
        <v>65</v>
      </c>
      <c r="G1299" t="s">
        <v>66</v>
      </c>
      <c r="H1299" t="s">
        <v>67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1</v>
      </c>
      <c r="Y1299">
        <v>1</v>
      </c>
      <c r="Z1299">
        <v>0</v>
      </c>
      <c r="AA1299">
        <v>0</v>
      </c>
      <c r="AB1299">
        <v>1</v>
      </c>
      <c r="AC1299">
        <v>0</v>
      </c>
      <c r="AD1299">
        <v>1</v>
      </c>
      <c r="AE1299">
        <v>1</v>
      </c>
      <c r="AF1299">
        <v>1</v>
      </c>
      <c r="AG1299">
        <v>1</v>
      </c>
      <c r="AH1299">
        <v>1</v>
      </c>
      <c r="AI1299">
        <v>1</v>
      </c>
      <c r="AJ1299">
        <v>1</v>
      </c>
      <c r="AK1299">
        <v>1</v>
      </c>
      <c r="AL1299">
        <v>1</v>
      </c>
      <c r="AM1299">
        <v>1</v>
      </c>
    </row>
    <row r="1300" spans="1:39" x14ac:dyDescent="0.2">
      <c r="A1300" t="str">
        <f>"1296"</f>
        <v>1296</v>
      </c>
      <c r="B1300" t="str">
        <f t="shared" si="71"/>
        <v>1</v>
      </c>
      <c r="C1300" t="str">
        <f t="shared" si="72"/>
        <v>26</v>
      </c>
      <c r="D1300" t="str">
        <f>"49"</f>
        <v>49</v>
      </c>
      <c r="E1300" t="str">
        <f>"1-26-49"</f>
        <v>1-26-49</v>
      </c>
      <c r="F1300" t="s">
        <v>65</v>
      </c>
      <c r="G1300" t="s">
        <v>66</v>
      </c>
      <c r="H1300" t="s">
        <v>67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1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</row>
    <row r="1301" spans="1:39" x14ac:dyDescent="0.2">
      <c r="A1301" t="str">
        <f>"1297"</f>
        <v>1297</v>
      </c>
      <c r="B1301" t="str">
        <f t="shared" si="71"/>
        <v>1</v>
      </c>
      <c r="C1301" t="str">
        <f t="shared" si="72"/>
        <v>26</v>
      </c>
      <c r="D1301" t="str">
        <f>"30"</f>
        <v>30</v>
      </c>
      <c r="E1301" t="str">
        <f>"1-26-30"</f>
        <v>1-26-30</v>
      </c>
      <c r="F1301" t="s">
        <v>65</v>
      </c>
      <c r="G1301" t="s">
        <v>66</v>
      </c>
      <c r="H1301" t="s">
        <v>67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1</v>
      </c>
      <c r="Y1301">
        <v>0</v>
      </c>
      <c r="Z1301">
        <v>1</v>
      </c>
      <c r="AA1301">
        <v>0</v>
      </c>
      <c r="AB1301">
        <v>1</v>
      </c>
      <c r="AC1301">
        <v>0</v>
      </c>
      <c r="AD1301">
        <v>1</v>
      </c>
      <c r="AE1301">
        <v>1</v>
      </c>
      <c r="AF1301">
        <v>1</v>
      </c>
      <c r="AG1301">
        <v>1</v>
      </c>
      <c r="AH1301">
        <v>1</v>
      </c>
      <c r="AI1301">
        <v>1</v>
      </c>
      <c r="AJ1301">
        <v>1</v>
      </c>
      <c r="AK1301">
        <v>1</v>
      </c>
      <c r="AL1301">
        <v>1</v>
      </c>
      <c r="AM1301">
        <v>1</v>
      </c>
    </row>
    <row r="1302" spans="1:39" x14ac:dyDescent="0.2">
      <c r="A1302" t="str">
        <f>"1298"</f>
        <v>1298</v>
      </c>
      <c r="B1302" t="str">
        <f t="shared" si="71"/>
        <v>1</v>
      </c>
      <c r="C1302" t="str">
        <f t="shared" si="72"/>
        <v>26</v>
      </c>
      <c r="D1302" t="str">
        <f>"10"</f>
        <v>10</v>
      </c>
      <c r="E1302" t="str">
        <f>"1-26-10"</f>
        <v>1-26-10</v>
      </c>
      <c r="F1302" t="s">
        <v>65</v>
      </c>
      <c r="G1302" t="s">
        <v>66</v>
      </c>
      <c r="H1302" t="s">
        <v>67</v>
      </c>
      <c r="S1302">
        <v>1</v>
      </c>
      <c r="T1302">
        <v>0</v>
      </c>
      <c r="U1302">
        <v>0</v>
      </c>
      <c r="V1302">
        <v>0</v>
      </c>
      <c r="W1302">
        <v>1</v>
      </c>
      <c r="X1302">
        <v>0</v>
      </c>
      <c r="Y1302">
        <v>0</v>
      </c>
      <c r="Z1302">
        <v>1</v>
      </c>
      <c r="AA1302">
        <v>0</v>
      </c>
      <c r="AB1302">
        <v>1</v>
      </c>
      <c r="AC1302">
        <v>0</v>
      </c>
      <c r="AD1302">
        <v>1</v>
      </c>
      <c r="AE1302">
        <v>1</v>
      </c>
      <c r="AF1302">
        <v>1</v>
      </c>
      <c r="AG1302">
        <v>1</v>
      </c>
      <c r="AH1302">
        <v>1</v>
      </c>
      <c r="AI1302">
        <v>1</v>
      </c>
      <c r="AJ1302">
        <v>1</v>
      </c>
      <c r="AK1302">
        <v>1</v>
      </c>
      <c r="AL1302">
        <v>1</v>
      </c>
      <c r="AM1302">
        <v>1</v>
      </c>
    </row>
    <row r="1303" spans="1:39" x14ac:dyDescent="0.2">
      <c r="A1303" t="str">
        <f>"1299"</f>
        <v>1299</v>
      </c>
      <c r="B1303" t="str">
        <f t="shared" si="71"/>
        <v>1</v>
      </c>
      <c r="C1303" t="str">
        <f t="shared" si="72"/>
        <v>26</v>
      </c>
      <c r="D1303" t="str">
        <f>"2"</f>
        <v>2</v>
      </c>
      <c r="E1303" t="str">
        <f>"1-26-2"</f>
        <v>1-26-2</v>
      </c>
      <c r="F1303" t="s">
        <v>65</v>
      </c>
      <c r="G1303" t="s">
        <v>66</v>
      </c>
      <c r="H1303" t="s">
        <v>67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</row>
    <row r="1304" spans="1:39" x14ac:dyDescent="0.2">
      <c r="A1304" t="str">
        <f>"1300"</f>
        <v>1300</v>
      </c>
      <c r="B1304" t="str">
        <f t="shared" si="71"/>
        <v>1</v>
      </c>
      <c r="C1304" t="str">
        <f t="shared" si="72"/>
        <v>26</v>
      </c>
      <c r="D1304" t="str">
        <f>"8"</f>
        <v>8</v>
      </c>
      <c r="E1304" t="str">
        <f>"1-26-8"</f>
        <v>1-26-8</v>
      </c>
      <c r="F1304" t="s">
        <v>65</v>
      </c>
      <c r="G1304" t="s">
        <v>66</v>
      </c>
      <c r="H1304" t="s">
        <v>67</v>
      </c>
      <c r="S1304">
        <v>0</v>
      </c>
      <c r="T1304">
        <v>1</v>
      </c>
      <c r="U1304">
        <v>0</v>
      </c>
      <c r="V1304">
        <v>0</v>
      </c>
      <c r="W1304">
        <v>0</v>
      </c>
      <c r="X1304">
        <v>1</v>
      </c>
      <c r="Y1304">
        <v>0</v>
      </c>
      <c r="Z1304">
        <v>1</v>
      </c>
      <c r="AA1304">
        <v>0</v>
      </c>
      <c r="AB1304">
        <v>0</v>
      </c>
      <c r="AC1304">
        <v>1</v>
      </c>
      <c r="AD1304">
        <v>1</v>
      </c>
      <c r="AE1304">
        <v>1</v>
      </c>
      <c r="AF1304">
        <v>1</v>
      </c>
      <c r="AG1304">
        <v>1</v>
      </c>
      <c r="AH1304">
        <v>1</v>
      </c>
      <c r="AI1304">
        <v>1</v>
      </c>
      <c r="AJ1304">
        <v>1</v>
      </c>
      <c r="AK1304">
        <v>0</v>
      </c>
      <c r="AL1304">
        <v>1</v>
      </c>
      <c r="AM1304">
        <v>1</v>
      </c>
    </row>
    <row r="1305" spans="1:39" x14ac:dyDescent="0.2">
      <c r="A1305" t="str">
        <f>"1301"</f>
        <v>1301</v>
      </c>
      <c r="B1305" t="str">
        <f t="shared" si="71"/>
        <v>1</v>
      </c>
      <c r="C1305" t="str">
        <f t="shared" ref="C1305:C1336" si="73">"27"</f>
        <v>27</v>
      </c>
      <c r="D1305" t="str">
        <f>"50"</f>
        <v>50</v>
      </c>
      <c r="E1305" t="str">
        <f>"1-27-50"</f>
        <v>1-27-50</v>
      </c>
      <c r="F1305" t="s">
        <v>65</v>
      </c>
      <c r="G1305" t="s">
        <v>66</v>
      </c>
      <c r="H1305" t="s">
        <v>67</v>
      </c>
      <c r="S1305">
        <v>0</v>
      </c>
      <c r="T1305">
        <v>1</v>
      </c>
      <c r="U1305">
        <v>0</v>
      </c>
      <c r="V1305">
        <v>0</v>
      </c>
      <c r="W1305">
        <v>0</v>
      </c>
      <c r="X1305">
        <v>1</v>
      </c>
      <c r="Y1305">
        <v>0</v>
      </c>
      <c r="Z1305">
        <v>1</v>
      </c>
      <c r="AA1305">
        <v>0</v>
      </c>
      <c r="AB1305">
        <v>0</v>
      </c>
      <c r="AC1305">
        <v>1</v>
      </c>
      <c r="AD1305">
        <v>1</v>
      </c>
      <c r="AE1305">
        <v>1</v>
      </c>
      <c r="AF1305">
        <v>1</v>
      </c>
      <c r="AG1305">
        <v>1</v>
      </c>
      <c r="AH1305">
        <v>1</v>
      </c>
      <c r="AI1305">
        <v>1</v>
      </c>
      <c r="AJ1305">
        <v>1</v>
      </c>
      <c r="AK1305">
        <v>1</v>
      </c>
      <c r="AL1305">
        <v>1</v>
      </c>
      <c r="AM1305">
        <v>1</v>
      </c>
    </row>
    <row r="1306" spans="1:39" x14ac:dyDescent="0.2">
      <c r="A1306" t="str">
        <f>"1302"</f>
        <v>1302</v>
      </c>
      <c r="B1306" t="str">
        <f t="shared" si="71"/>
        <v>1</v>
      </c>
      <c r="C1306" t="str">
        <f t="shared" si="73"/>
        <v>27</v>
      </c>
      <c r="D1306" t="str">
        <f>"49"</f>
        <v>49</v>
      </c>
      <c r="E1306" t="str">
        <f>"1-27-49"</f>
        <v>1-27-49</v>
      </c>
      <c r="F1306" t="s">
        <v>65</v>
      </c>
      <c r="G1306" t="s">
        <v>66</v>
      </c>
      <c r="H1306" t="s">
        <v>67</v>
      </c>
      <c r="S1306">
        <v>0</v>
      </c>
      <c r="T1306">
        <v>1</v>
      </c>
      <c r="U1306">
        <v>0</v>
      </c>
      <c r="V1306">
        <v>0</v>
      </c>
      <c r="W1306">
        <v>1</v>
      </c>
      <c r="X1306">
        <v>0</v>
      </c>
      <c r="Y1306">
        <v>0</v>
      </c>
      <c r="Z1306">
        <v>1</v>
      </c>
      <c r="AA1306">
        <v>0</v>
      </c>
      <c r="AB1306">
        <v>1</v>
      </c>
      <c r="AC1306">
        <v>0</v>
      </c>
      <c r="AD1306">
        <v>0</v>
      </c>
      <c r="AE1306">
        <v>0</v>
      </c>
      <c r="AF1306">
        <v>0</v>
      </c>
      <c r="AG1306">
        <v>1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</row>
    <row r="1307" spans="1:39" x14ac:dyDescent="0.2">
      <c r="A1307" t="str">
        <f>"1303"</f>
        <v>1303</v>
      </c>
      <c r="B1307" t="str">
        <f t="shared" si="71"/>
        <v>1</v>
      </c>
      <c r="C1307" t="str">
        <f t="shared" si="73"/>
        <v>27</v>
      </c>
      <c r="D1307" t="str">
        <f>"32"</f>
        <v>32</v>
      </c>
      <c r="E1307" t="str">
        <f>"1-27-32"</f>
        <v>1-27-32</v>
      </c>
      <c r="F1307" t="s">
        <v>65</v>
      </c>
      <c r="G1307" t="s">
        <v>66</v>
      </c>
      <c r="H1307" t="s">
        <v>67</v>
      </c>
      <c r="S1307">
        <v>1</v>
      </c>
      <c r="T1307">
        <v>0</v>
      </c>
      <c r="U1307">
        <v>0</v>
      </c>
      <c r="V1307">
        <v>0</v>
      </c>
      <c r="W1307">
        <v>1</v>
      </c>
      <c r="X1307">
        <v>0</v>
      </c>
      <c r="Y1307">
        <v>0</v>
      </c>
      <c r="Z1307">
        <v>1</v>
      </c>
      <c r="AA1307">
        <v>0</v>
      </c>
      <c r="AB1307">
        <v>0</v>
      </c>
      <c r="AC1307">
        <v>1</v>
      </c>
      <c r="AD1307">
        <v>1</v>
      </c>
      <c r="AE1307">
        <v>1</v>
      </c>
      <c r="AF1307">
        <v>1</v>
      </c>
      <c r="AG1307">
        <v>1</v>
      </c>
      <c r="AH1307">
        <v>1</v>
      </c>
      <c r="AI1307">
        <v>1</v>
      </c>
      <c r="AJ1307">
        <v>1</v>
      </c>
      <c r="AK1307">
        <v>1</v>
      </c>
      <c r="AL1307">
        <v>1</v>
      </c>
      <c r="AM1307">
        <v>1</v>
      </c>
    </row>
    <row r="1308" spans="1:39" x14ac:dyDescent="0.2">
      <c r="A1308" t="str">
        <f>"1304"</f>
        <v>1304</v>
      </c>
      <c r="B1308" t="str">
        <f t="shared" si="71"/>
        <v>1</v>
      </c>
      <c r="C1308" t="str">
        <f t="shared" si="73"/>
        <v>27</v>
      </c>
      <c r="D1308" t="str">
        <f>"31"</f>
        <v>31</v>
      </c>
      <c r="E1308" t="str">
        <f>"1-27-31"</f>
        <v>1-27-31</v>
      </c>
      <c r="F1308" t="s">
        <v>65</v>
      </c>
      <c r="G1308" t="s">
        <v>66</v>
      </c>
      <c r="H1308" t="s">
        <v>67</v>
      </c>
      <c r="S1308">
        <v>1</v>
      </c>
      <c r="T1308">
        <v>0</v>
      </c>
      <c r="U1308">
        <v>0</v>
      </c>
      <c r="V1308">
        <v>0</v>
      </c>
      <c r="W1308">
        <v>1</v>
      </c>
      <c r="X1308">
        <v>0</v>
      </c>
      <c r="Y1308">
        <v>0</v>
      </c>
      <c r="Z1308">
        <v>1</v>
      </c>
      <c r="AA1308">
        <v>0</v>
      </c>
      <c r="AB1308">
        <v>0</v>
      </c>
      <c r="AC1308">
        <v>1</v>
      </c>
      <c r="AD1308">
        <v>1</v>
      </c>
      <c r="AE1308">
        <v>1</v>
      </c>
      <c r="AF1308">
        <v>1</v>
      </c>
      <c r="AG1308">
        <v>1</v>
      </c>
      <c r="AH1308">
        <v>1</v>
      </c>
      <c r="AI1308">
        <v>1</v>
      </c>
      <c r="AJ1308">
        <v>1</v>
      </c>
      <c r="AK1308">
        <v>1</v>
      </c>
      <c r="AL1308">
        <v>1</v>
      </c>
      <c r="AM1308">
        <v>1</v>
      </c>
    </row>
    <row r="1309" spans="1:39" x14ac:dyDescent="0.2">
      <c r="A1309" t="str">
        <f>"1305"</f>
        <v>1305</v>
      </c>
      <c r="B1309" t="str">
        <f t="shared" si="71"/>
        <v>1</v>
      </c>
      <c r="C1309" t="str">
        <f t="shared" si="73"/>
        <v>27</v>
      </c>
      <c r="D1309" t="str">
        <f>"21"</f>
        <v>21</v>
      </c>
      <c r="E1309" t="str">
        <f>"1-27-21"</f>
        <v>1-27-21</v>
      </c>
      <c r="F1309" t="s">
        <v>65</v>
      </c>
      <c r="G1309" t="s">
        <v>66</v>
      </c>
      <c r="H1309" t="s">
        <v>67</v>
      </c>
      <c r="S1309">
        <v>0</v>
      </c>
      <c r="T1309">
        <v>1</v>
      </c>
      <c r="U1309">
        <v>0</v>
      </c>
      <c r="V1309">
        <v>0</v>
      </c>
      <c r="W1309">
        <v>1</v>
      </c>
      <c r="X1309">
        <v>0</v>
      </c>
      <c r="Y1309">
        <v>1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1</v>
      </c>
      <c r="AF1309">
        <v>1</v>
      </c>
      <c r="AG1309">
        <v>1</v>
      </c>
      <c r="AH1309">
        <v>1</v>
      </c>
      <c r="AI1309">
        <v>1</v>
      </c>
      <c r="AJ1309">
        <v>1</v>
      </c>
      <c r="AK1309">
        <v>1</v>
      </c>
      <c r="AL1309">
        <v>1</v>
      </c>
      <c r="AM1309">
        <v>1</v>
      </c>
    </row>
    <row r="1310" spans="1:39" x14ac:dyDescent="0.2">
      <c r="A1310" t="str">
        <f>"1306"</f>
        <v>1306</v>
      </c>
      <c r="B1310" t="str">
        <f t="shared" si="71"/>
        <v>1</v>
      </c>
      <c r="C1310" t="str">
        <f t="shared" si="73"/>
        <v>27</v>
      </c>
      <c r="D1310" t="str">
        <f>"15"</f>
        <v>15</v>
      </c>
      <c r="E1310" t="str">
        <f>"1-27-15"</f>
        <v>1-27-15</v>
      </c>
      <c r="F1310" t="s">
        <v>65</v>
      </c>
      <c r="G1310" t="s">
        <v>66</v>
      </c>
      <c r="H1310" t="s">
        <v>67</v>
      </c>
      <c r="S1310">
        <v>1</v>
      </c>
      <c r="T1310">
        <v>0</v>
      </c>
      <c r="U1310">
        <v>0</v>
      </c>
      <c r="V1310">
        <v>0</v>
      </c>
      <c r="W1310">
        <v>1</v>
      </c>
      <c r="X1310">
        <v>0</v>
      </c>
      <c r="Y1310">
        <v>1</v>
      </c>
      <c r="Z1310">
        <v>0</v>
      </c>
      <c r="AA1310">
        <v>0</v>
      </c>
      <c r="AB1310">
        <v>1</v>
      </c>
      <c r="AC1310">
        <v>0</v>
      </c>
      <c r="AD1310">
        <v>1</v>
      </c>
      <c r="AE1310">
        <v>1</v>
      </c>
      <c r="AF1310">
        <v>1</v>
      </c>
      <c r="AG1310">
        <v>1</v>
      </c>
      <c r="AH1310">
        <v>1</v>
      </c>
      <c r="AI1310">
        <v>1</v>
      </c>
      <c r="AJ1310">
        <v>1</v>
      </c>
      <c r="AK1310">
        <v>1</v>
      </c>
      <c r="AL1310">
        <v>1</v>
      </c>
      <c r="AM1310">
        <v>1</v>
      </c>
    </row>
    <row r="1311" spans="1:39" x14ac:dyDescent="0.2">
      <c r="A1311" t="str">
        <f>"1307"</f>
        <v>1307</v>
      </c>
      <c r="B1311" t="str">
        <f t="shared" si="71"/>
        <v>1</v>
      </c>
      <c r="C1311" t="str">
        <f t="shared" si="73"/>
        <v>27</v>
      </c>
      <c r="D1311" t="str">
        <f>"1"</f>
        <v>1</v>
      </c>
      <c r="E1311" t="str">
        <f>"1-27-1"</f>
        <v>1-27-1</v>
      </c>
      <c r="F1311" t="s">
        <v>65</v>
      </c>
      <c r="G1311" t="s">
        <v>66</v>
      </c>
      <c r="H1311" t="s">
        <v>67</v>
      </c>
      <c r="S1311">
        <v>0</v>
      </c>
      <c r="T1311">
        <v>1</v>
      </c>
      <c r="U1311">
        <v>0</v>
      </c>
      <c r="V1311">
        <v>0</v>
      </c>
      <c r="W1311">
        <v>1</v>
      </c>
      <c r="X1311">
        <v>0</v>
      </c>
      <c r="Y1311">
        <v>1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1</v>
      </c>
      <c r="AF1311">
        <v>1</v>
      </c>
      <c r="AG1311">
        <v>1</v>
      </c>
      <c r="AH1311">
        <v>1</v>
      </c>
      <c r="AI1311">
        <v>1</v>
      </c>
      <c r="AJ1311">
        <v>1</v>
      </c>
      <c r="AK1311">
        <v>1</v>
      </c>
      <c r="AL1311">
        <v>1</v>
      </c>
      <c r="AM1311">
        <v>1</v>
      </c>
    </row>
    <row r="1312" spans="1:39" x14ac:dyDescent="0.2">
      <c r="A1312" t="str">
        <f>"1308"</f>
        <v>1308</v>
      </c>
      <c r="B1312" t="str">
        <f t="shared" si="71"/>
        <v>1</v>
      </c>
      <c r="C1312" t="str">
        <f t="shared" si="73"/>
        <v>27</v>
      </c>
      <c r="D1312" t="str">
        <f>"36"</f>
        <v>36</v>
      </c>
      <c r="E1312" t="str">
        <f>"1-27-36"</f>
        <v>1-27-36</v>
      </c>
      <c r="F1312" t="s">
        <v>65</v>
      </c>
      <c r="G1312" t="s">
        <v>66</v>
      </c>
      <c r="H1312" t="s">
        <v>67</v>
      </c>
      <c r="S1312">
        <v>0</v>
      </c>
      <c r="T1312">
        <v>0</v>
      </c>
      <c r="U1312">
        <v>0</v>
      </c>
      <c r="V1312">
        <v>0</v>
      </c>
      <c r="W1312">
        <v>1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</row>
    <row r="1313" spans="1:39" x14ac:dyDescent="0.2">
      <c r="A1313" t="str">
        <f>"1309"</f>
        <v>1309</v>
      </c>
      <c r="B1313" t="str">
        <f t="shared" si="71"/>
        <v>1</v>
      </c>
      <c r="C1313" t="str">
        <f t="shared" si="73"/>
        <v>27</v>
      </c>
      <c r="D1313" t="str">
        <f>"35"</f>
        <v>35</v>
      </c>
      <c r="E1313" t="str">
        <f>"1-27-35"</f>
        <v>1-27-35</v>
      </c>
      <c r="F1313" t="s">
        <v>65</v>
      </c>
      <c r="G1313" t="s">
        <v>66</v>
      </c>
      <c r="H1313" t="s">
        <v>67</v>
      </c>
      <c r="S1313">
        <v>0</v>
      </c>
      <c r="T1313">
        <v>0</v>
      </c>
      <c r="U1313">
        <v>0</v>
      </c>
      <c r="V1313">
        <v>0</v>
      </c>
      <c r="W1313">
        <v>1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1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</row>
    <row r="1314" spans="1:39" x14ac:dyDescent="0.2">
      <c r="A1314" t="str">
        <f>"1310"</f>
        <v>1310</v>
      </c>
      <c r="B1314" t="str">
        <f t="shared" si="71"/>
        <v>1</v>
      </c>
      <c r="C1314" t="str">
        <f t="shared" si="73"/>
        <v>27</v>
      </c>
      <c r="D1314" t="str">
        <f>"26"</f>
        <v>26</v>
      </c>
      <c r="E1314" t="str">
        <f>"1-27-26"</f>
        <v>1-27-26</v>
      </c>
      <c r="F1314" t="s">
        <v>65</v>
      </c>
      <c r="G1314" t="s">
        <v>66</v>
      </c>
      <c r="H1314" t="s">
        <v>67</v>
      </c>
      <c r="S1314">
        <v>0</v>
      </c>
      <c r="T1314">
        <v>1</v>
      </c>
      <c r="U1314">
        <v>0</v>
      </c>
      <c r="V1314">
        <v>0</v>
      </c>
      <c r="W1314">
        <v>0</v>
      </c>
      <c r="X1314">
        <v>1</v>
      </c>
      <c r="Y1314">
        <v>0</v>
      </c>
      <c r="Z1314">
        <v>1</v>
      </c>
      <c r="AA1314">
        <v>0</v>
      </c>
      <c r="AB1314">
        <v>1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</row>
    <row r="1315" spans="1:39" x14ac:dyDescent="0.2">
      <c r="A1315" t="str">
        <f>"1311"</f>
        <v>1311</v>
      </c>
      <c r="B1315" t="str">
        <f t="shared" si="71"/>
        <v>1</v>
      </c>
      <c r="C1315" t="str">
        <f t="shared" si="73"/>
        <v>27</v>
      </c>
      <c r="D1315" t="str">
        <f>"16"</f>
        <v>16</v>
      </c>
      <c r="E1315" t="str">
        <f>"1-27-16"</f>
        <v>1-27-16</v>
      </c>
      <c r="F1315" t="s">
        <v>65</v>
      </c>
      <c r="G1315" t="s">
        <v>66</v>
      </c>
      <c r="H1315" t="s">
        <v>67</v>
      </c>
      <c r="S1315">
        <v>0</v>
      </c>
      <c r="T1315">
        <v>1</v>
      </c>
      <c r="U1315">
        <v>0</v>
      </c>
      <c r="V1315">
        <v>0</v>
      </c>
      <c r="W1315">
        <v>1</v>
      </c>
      <c r="X1315">
        <v>0</v>
      </c>
      <c r="Y1315">
        <v>0</v>
      </c>
      <c r="Z1315">
        <v>1</v>
      </c>
      <c r="AA1315">
        <v>1</v>
      </c>
      <c r="AB1315">
        <v>0</v>
      </c>
      <c r="AC1315">
        <v>0</v>
      </c>
      <c r="AD1315">
        <v>1</v>
      </c>
      <c r="AE1315">
        <v>1</v>
      </c>
      <c r="AF1315">
        <v>1</v>
      </c>
      <c r="AG1315">
        <v>1</v>
      </c>
      <c r="AH1315">
        <v>1</v>
      </c>
      <c r="AI1315">
        <v>1</v>
      </c>
      <c r="AJ1315">
        <v>1</v>
      </c>
      <c r="AK1315">
        <v>1</v>
      </c>
      <c r="AL1315">
        <v>1</v>
      </c>
      <c r="AM1315">
        <v>1</v>
      </c>
    </row>
    <row r="1316" spans="1:39" x14ac:dyDescent="0.2">
      <c r="A1316" t="str">
        <f>"1312"</f>
        <v>1312</v>
      </c>
      <c r="B1316" t="str">
        <f t="shared" si="71"/>
        <v>1</v>
      </c>
      <c r="C1316" t="str">
        <f t="shared" si="73"/>
        <v>27</v>
      </c>
      <c r="D1316" t="str">
        <f>"8"</f>
        <v>8</v>
      </c>
      <c r="E1316" t="str">
        <f>"1-27-8"</f>
        <v>1-27-8</v>
      </c>
      <c r="F1316" t="s">
        <v>65</v>
      </c>
      <c r="G1316" t="s">
        <v>66</v>
      </c>
      <c r="H1316" t="s">
        <v>67</v>
      </c>
      <c r="S1316">
        <v>1</v>
      </c>
      <c r="T1316">
        <v>0</v>
      </c>
      <c r="U1316">
        <v>0</v>
      </c>
      <c r="V1316">
        <v>0</v>
      </c>
      <c r="W1316">
        <v>1</v>
      </c>
      <c r="X1316">
        <v>0</v>
      </c>
      <c r="Y1316">
        <v>1</v>
      </c>
      <c r="Z1316">
        <v>0</v>
      </c>
      <c r="AA1316">
        <v>0</v>
      </c>
      <c r="AB1316">
        <v>1</v>
      </c>
      <c r="AC1316">
        <v>0</v>
      </c>
      <c r="AD1316">
        <v>1</v>
      </c>
      <c r="AE1316">
        <v>0</v>
      </c>
      <c r="AF1316">
        <v>0</v>
      </c>
      <c r="AG1316">
        <v>0</v>
      </c>
      <c r="AH1316">
        <v>0</v>
      </c>
      <c r="AI1316">
        <v>1</v>
      </c>
      <c r="AJ1316">
        <v>1</v>
      </c>
      <c r="AK1316">
        <v>1</v>
      </c>
      <c r="AL1316">
        <v>1</v>
      </c>
      <c r="AM1316">
        <v>1</v>
      </c>
    </row>
    <row r="1317" spans="1:39" x14ac:dyDescent="0.2">
      <c r="A1317" t="str">
        <f>"1313"</f>
        <v>1313</v>
      </c>
      <c r="B1317" t="str">
        <f t="shared" si="71"/>
        <v>1</v>
      </c>
      <c r="C1317" t="str">
        <f t="shared" si="73"/>
        <v>27</v>
      </c>
      <c r="D1317" t="str">
        <f>"45"</f>
        <v>45</v>
      </c>
      <c r="E1317" t="str">
        <f>"1-27-45"</f>
        <v>1-27-45</v>
      </c>
      <c r="F1317" t="s">
        <v>65</v>
      </c>
      <c r="G1317" t="s">
        <v>66</v>
      </c>
      <c r="H1317" t="s">
        <v>67</v>
      </c>
      <c r="S1317">
        <v>1</v>
      </c>
      <c r="T1317">
        <v>0</v>
      </c>
      <c r="U1317">
        <v>0</v>
      </c>
      <c r="V1317">
        <v>0</v>
      </c>
      <c r="W1317">
        <v>1</v>
      </c>
      <c r="X1317">
        <v>0</v>
      </c>
      <c r="Y1317">
        <v>1</v>
      </c>
      <c r="Z1317">
        <v>0</v>
      </c>
      <c r="AA1317">
        <v>0</v>
      </c>
      <c r="AB1317">
        <v>0</v>
      </c>
      <c r="AC1317">
        <v>1</v>
      </c>
      <c r="AD1317">
        <v>1</v>
      </c>
      <c r="AE1317">
        <v>1</v>
      </c>
      <c r="AF1317">
        <v>1</v>
      </c>
      <c r="AG1317">
        <v>1</v>
      </c>
      <c r="AH1317">
        <v>1</v>
      </c>
      <c r="AI1317">
        <v>1</v>
      </c>
      <c r="AJ1317">
        <v>1</v>
      </c>
      <c r="AK1317">
        <v>1</v>
      </c>
      <c r="AL1317">
        <v>1</v>
      </c>
      <c r="AM1317">
        <v>1</v>
      </c>
    </row>
    <row r="1318" spans="1:39" x14ac:dyDescent="0.2">
      <c r="A1318" t="str">
        <f>"1314"</f>
        <v>1314</v>
      </c>
      <c r="B1318" t="str">
        <f t="shared" si="71"/>
        <v>1</v>
      </c>
      <c r="C1318" t="str">
        <f t="shared" si="73"/>
        <v>27</v>
      </c>
      <c r="D1318" t="str">
        <f>"44"</f>
        <v>44</v>
      </c>
      <c r="E1318" t="str">
        <f>"1-27-44"</f>
        <v>1-27-44</v>
      </c>
      <c r="F1318" t="s">
        <v>65</v>
      </c>
      <c r="G1318" t="s">
        <v>66</v>
      </c>
      <c r="H1318" t="s">
        <v>67</v>
      </c>
      <c r="S1318">
        <v>0</v>
      </c>
      <c r="T1318">
        <v>1</v>
      </c>
      <c r="U1318">
        <v>0</v>
      </c>
      <c r="V1318">
        <v>0</v>
      </c>
      <c r="W1318">
        <v>1</v>
      </c>
      <c r="X1318">
        <v>0</v>
      </c>
      <c r="Y1318">
        <v>0</v>
      </c>
      <c r="Z1318">
        <v>1</v>
      </c>
      <c r="AA1318">
        <v>0</v>
      </c>
      <c r="AB1318">
        <v>0</v>
      </c>
      <c r="AC1318">
        <v>1</v>
      </c>
      <c r="AD1318">
        <v>1</v>
      </c>
      <c r="AE1318">
        <v>1</v>
      </c>
      <c r="AF1318">
        <v>1</v>
      </c>
      <c r="AG1318">
        <v>1</v>
      </c>
      <c r="AH1318">
        <v>1</v>
      </c>
      <c r="AI1318">
        <v>1</v>
      </c>
      <c r="AJ1318">
        <v>1</v>
      </c>
      <c r="AK1318">
        <v>1</v>
      </c>
      <c r="AL1318">
        <v>1</v>
      </c>
      <c r="AM1318">
        <v>1</v>
      </c>
    </row>
    <row r="1319" spans="1:39" x14ac:dyDescent="0.2">
      <c r="A1319" t="str">
        <f>"1315"</f>
        <v>1315</v>
      </c>
      <c r="B1319" t="str">
        <f t="shared" si="71"/>
        <v>1</v>
      </c>
      <c r="C1319" t="str">
        <f t="shared" si="73"/>
        <v>27</v>
      </c>
      <c r="D1319" t="str">
        <f>"33"</f>
        <v>33</v>
      </c>
      <c r="E1319" t="str">
        <f>"1-27-33"</f>
        <v>1-27-33</v>
      </c>
      <c r="F1319" t="s">
        <v>65</v>
      </c>
      <c r="G1319" t="s">
        <v>66</v>
      </c>
      <c r="H1319" t="s">
        <v>67</v>
      </c>
      <c r="S1319">
        <v>1</v>
      </c>
      <c r="T1319">
        <v>0</v>
      </c>
      <c r="U1319">
        <v>0</v>
      </c>
      <c r="V1319">
        <v>0</v>
      </c>
      <c r="W1319">
        <v>1</v>
      </c>
      <c r="X1319">
        <v>0</v>
      </c>
      <c r="Y1319">
        <v>1</v>
      </c>
      <c r="Z1319">
        <v>0</v>
      </c>
      <c r="AA1319">
        <v>0</v>
      </c>
      <c r="AB1319">
        <v>1</v>
      </c>
      <c r="AC1319">
        <v>0</v>
      </c>
      <c r="AD1319">
        <v>1</v>
      </c>
      <c r="AE1319">
        <v>1</v>
      </c>
      <c r="AF1319">
        <v>1</v>
      </c>
      <c r="AG1319">
        <v>1</v>
      </c>
      <c r="AH1319">
        <v>1</v>
      </c>
      <c r="AI1319">
        <v>1</v>
      </c>
      <c r="AJ1319">
        <v>1</v>
      </c>
      <c r="AK1319">
        <v>1</v>
      </c>
      <c r="AL1319">
        <v>1</v>
      </c>
      <c r="AM1319">
        <v>1</v>
      </c>
    </row>
    <row r="1320" spans="1:39" x14ac:dyDescent="0.2">
      <c r="A1320" t="str">
        <f>"1316"</f>
        <v>1316</v>
      </c>
      <c r="B1320" t="str">
        <f t="shared" si="71"/>
        <v>1</v>
      </c>
      <c r="C1320" t="str">
        <f t="shared" si="73"/>
        <v>27</v>
      </c>
      <c r="D1320" t="str">
        <f>"17"</f>
        <v>17</v>
      </c>
      <c r="E1320" t="str">
        <f>"1-27-17"</f>
        <v>1-27-17</v>
      </c>
      <c r="F1320" t="s">
        <v>65</v>
      </c>
      <c r="G1320" t="s">
        <v>66</v>
      </c>
      <c r="H1320" t="s">
        <v>67</v>
      </c>
      <c r="S1320">
        <v>0</v>
      </c>
      <c r="T1320">
        <v>1</v>
      </c>
      <c r="U1320">
        <v>0</v>
      </c>
      <c r="V1320">
        <v>0</v>
      </c>
      <c r="W1320">
        <v>1</v>
      </c>
      <c r="X1320">
        <v>0</v>
      </c>
      <c r="Y1320">
        <v>1</v>
      </c>
      <c r="Z1320">
        <v>0</v>
      </c>
      <c r="AA1320">
        <v>0</v>
      </c>
      <c r="AB1320">
        <v>1</v>
      </c>
      <c r="AC1320">
        <v>0</v>
      </c>
      <c r="AD1320">
        <v>1</v>
      </c>
      <c r="AE1320">
        <v>1</v>
      </c>
      <c r="AF1320">
        <v>1</v>
      </c>
      <c r="AG1320">
        <v>1</v>
      </c>
      <c r="AH1320">
        <v>1</v>
      </c>
      <c r="AI1320">
        <v>1</v>
      </c>
      <c r="AJ1320">
        <v>1</v>
      </c>
      <c r="AK1320">
        <v>1</v>
      </c>
      <c r="AL1320">
        <v>1</v>
      </c>
      <c r="AM1320">
        <v>1</v>
      </c>
    </row>
    <row r="1321" spans="1:39" x14ac:dyDescent="0.2">
      <c r="A1321" t="str">
        <f>"1317"</f>
        <v>1317</v>
      </c>
      <c r="B1321" t="str">
        <f t="shared" si="71"/>
        <v>1</v>
      </c>
      <c r="C1321" t="str">
        <f t="shared" si="73"/>
        <v>27</v>
      </c>
      <c r="D1321" t="str">
        <f>"11"</f>
        <v>11</v>
      </c>
      <c r="E1321" t="str">
        <f>"1-27-11"</f>
        <v>1-27-11</v>
      </c>
      <c r="F1321" t="s">
        <v>65</v>
      </c>
      <c r="G1321" t="s">
        <v>66</v>
      </c>
      <c r="H1321" t="s">
        <v>67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0</v>
      </c>
      <c r="AB1321">
        <v>0</v>
      </c>
      <c r="AC1321">
        <v>1</v>
      </c>
      <c r="AD1321">
        <v>0</v>
      </c>
      <c r="AE1321">
        <v>0</v>
      </c>
      <c r="AF1321">
        <v>0</v>
      </c>
      <c r="AG1321">
        <v>0</v>
      </c>
      <c r="AH1321">
        <v>1</v>
      </c>
      <c r="AI1321">
        <v>0</v>
      </c>
      <c r="AJ1321">
        <v>0</v>
      </c>
      <c r="AK1321">
        <v>0</v>
      </c>
      <c r="AL1321">
        <v>0</v>
      </c>
      <c r="AM1321">
        <v>0</v>
      </c>
    </row>
    <row r="1322" spans="1:39" x14ac:dyDescent="0.2">
      <c r="A1322" t="str">
        <f>"1318"</f>
        <v>1318</v>
      </c>
      <c r="B1322" t="str">
        <f t="shared" si="71"/>
        <v>1</v>
      </c>
      <c r="C1322" t="str">
        <f t="shared" si="73"/>
        <v>27</v>
      </c>
      <c r="D1322" t="str">
        <f>"47"</f>
        <v>47</v>
      </c>
      <c r="E1322" t="str">
        <f>"1-27-47"</f>
        <v>1-27-47</v>
      </c>
      <c r="F1322" t="s">
        <v>65</v>
      </c>
      <c r="G1322" t="s">
        <v>66</v>
      </c>
      <c r="H1322" t="s">
        <v>67</v>
      </c>
      <c r="S1322">
        <v>0</v>
      </c>
      <c r="T1322">
        <v>0</v>
      </c>
      <c r="U1322">
        <v>0</v>
      </c>
      <c r="V1322">
        <v>0</v>
      </c>
      <c r="W1322">
        <v>1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1</v>
      </c>
      <c r="AF1322">
        <v>0</v>
      </c>
      <c r="AG1322">
        <v>1</v>
      </c>
      <c r="AH1322">
        <v>1</v>
      </c>
      <c r="AI1322">
        <v>1</v>
      </c>
      <c r="AJ1322">
        <v>1</v>
      </c>
      <c r="AK1322">
        <v>1</v>
      </c>
      <c r="AL1322">
        <v>1</v>
      </c>
      <c r="AM1322">
        <v>1</v>
      </c>
    </row>
    <row r="1323" spans="1:39" x14ac:dyDescent="0.2">
      <c r="A1323" t="str">
        <f>"1319"</f>
        <v>1319</v>
      </c>
      <c r="B1323" t="str">
        <f t="shared" si="71"/>
        <v>1</v>
      </c>
      <c r="C1323" t="str">
        <f t="shared" si="73"/>
        <v>27</v>
      </c>
      <c r="D1323" t="str">
        <f>"46"</f>
        <v>46</v>
      </c>
      <c r="E1323" t="str">
        <f>"1-27-46"</f>
        <v>1-27-46</v>
      </c>
      <c r="F1323" t="s">
        <v>65</v>
      </c>
      <c r="G1323" t="s">
        <v>66</v>
      </c>
      <c r="H1323" t="s">
        <v>67</v>
      </c>
      <c r="S1323">
        <v>1</v>
      </c>
      <c r="T1323">
        <v>0</v>
      </c>
      <c r="U1323">
        <v>0</v>
      </c>
      <c r="V1323">
        <v>0</v>
      </c>
      <c r="W1323">
        <v>1</v>
      </c>
      <c r="X1323">
        <v>0</v>
      </c>
      <c r="Y1323">
        <v>1</v>
      </c>
      <c r="Z1323">
        <v>0</v>
      </c>
      <c r="AA1323">
        <v>1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1</v>
      </c>
      <c r="AH1323">
        <v>1</v>
      </c>
      <c r="AI1323">
        <v>1</v>
      </c>
      <c r="AJ1323">
        <v>1</v>
      </c>
      <c r="AK1323">
        <v>1</v>
      </c>
      <c r="AL1323">
        <v>1</v>
      </c>
      <c r="AM1323">
        <v>1</v>
      </c>
    </row>
    <row r="1324" spans="1:39" x14ac:dyDescent="0.2">
      <c r="A1324" t="str">
        <f>"1320"</f>
        <v>1320</v>
      </c>
      <c r="B1324" t="str">
        <f t="shared" si="71"/>
        <v>1</v>
      </c>
      <c r="C1324" t="str">
        <f t="shared" si="73"/>
        <v>27</v>
      </c>
      <c r="D1324" t="str">
        <f>"34"</f>
        <v>34</v>
      </c>
      <c r="E1324" t="str">
        <f>"1-27-34"</f>
        <v>1-27-34</v>
      </c>
      <c r="F1324" t="s">
        <v>65</v>
      </c>
      <c r="G1324" t="s">
        <v>66</v>
      </c>
      <c r="H1324" t="s">
        <v>67</v>
      </c>
      <c r="S1324">
        <v>0</v>
      </c>
      <c r="T1324">
        <v>1</v>
      </c>
      <c r="U1324">
        <v>0</v>
      </c>
      <c r="V1324">
        <v>0</v>
      </c>
      <c r="W1324">
        <v>1</v>
      </c>
      <c r="X1324">
        <v>0</v>
      </c>
      <c r="Y1324">
        <v>1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1</v>
      </c>
      <c r="AF1324">
        <v>1</v>
      </c>
      <c r="AG1324">
        <v>1</v>
      </c>
      <c r="AH1324">
        <v>1</v>
      </c>
      <c r="AI1324">
        <v>1</v>
      </c>
      <c r="AJ1324">
        <v>1</v>
      </c>
      <c r="AK1324">
        <v>1</v>
      </c>
      <c r="AL1324">
        <v>1</v>
      </c>
      <c r="AM1324">
        <v>1</v>
      </c>
    </row>
    <row r="1325" spans="1:39" x14ac:dyDescent="0.2">
      <c r="A1325" t="str">
        <f>"1321"</f>
        <v>1321</v>
      </c>
      <c r="B1325" t="str">
        <f t="shared" si="71"/>
        <v>1</v>
      </c>
      <c r="C1325" t="str">
        <f t="shared" si="73"/>
        <v>27</v>
      </c>
      <c r="D1325" t="str">
        <f>"18"</f>
        <v>18</v>
      </c>
      <c r="E1325" t="str">
        <f>"1-27-18"</f>
        <v>1-27-18</v>
      </c>
      <c r="F1325" t="s">
        <v>65</v>
      </c>
      <c r="G1325" t="s">
        <v>66</v>
      </c>
      <c r="H1325" t="s">
        <v>67</v>
      </c>
      <c r="S1325">
        <v>0</v>
      </c>
      <c r="T1325">
        <v>1</v>
      </c>
      <c r="U1325">
        <v>0</v>
      </c>
      <c r="V1325">
        <v>0</v>
      </c>
      <c r="W1325">
        <v>1</v>
      </c>
      <c r="X1325">
        <v>0</v>
      </c>
      <c r="Y1325">
        <v>0</v>
      </c>
      <c r="Z1325">
        <v>1</v>
      </c>
      <c r="AA1325">
        <v>0</v>
      </c>
      <c r="AB1325">
        <v>1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</row>
    <row r="1326" spans="1:39" x14ac:dyDescent="0.2">
      <c r="A1326" t="str">
        <f>"1322"</f>
        <v>1322</v>
      </c>
      <c r="B1326" t="str">
        <f t="shared" si="71"/>
        <v>1</v>
      </c>
      <c r="C1326" t="str">
        <f t="shared" si="73"/>
        <v>27</v>
      </c>
      <c r="D1326" t="str">
        <f>"37"</f>
        <v>37</v>
      </c>
      <c r="E1326" t="str">
        <f>"1-27-37"</f>
        <v>1-27-37</v>
      </c>
      <c r="F1326" t="s">
        <v>65</v>
      </c>
      <c r="G1326" t="s">
        <v>66</v>
      </c>
      <c r="H1326" t="s">
        <v>67</v>
      </c>
      <c r="S1326">
        <v>1</v>
      </c>
      <c r="T1326">
        <v>0</v>
      </c>
      <c r="U1326">
        <v>0</v>
      </c>
      <c r="V1326">
        <v>0</v>
      </c>
      <c r="W1326">
        <v>1</v>
      </c>
      <c r="X1326">
        <v>0</v>
      </c>
      <c r="Y1326">
        <v>1</v>
      </c>
      <c r="Z1326">
        <v>0</v>
      </c>
      <c r="AA1326">
        <v>0</v>
      </c>
      <c r="AB1326">
        <v>0</v>
      </c>
      <c r="AC1326">
        <v>1</v>
      </c>
      <c r="AD1326">
        <v>1</v>
      </c>
      <c r="AE1326">
        <v>1</v>
      </c>
      <c r="AF1326">
        <v>1</v>
      </c>
      <c r="AG1326">
        <v>1</v>
      </c>
      <c r="AH1326">
        <v>1</v>
      </c>
      <c r="AI1326">
        <v>1</v>
      </c>
      <c r="AJ1326">
        <v>1</v>
      </c>
      <c r="AK1326">
        <v>1</v>
      </c>
      <c r="AL1326">
        <v>1</v>
      </c>
      <c r="AM1326">
        <v>1</v>
      </c>
    </row>
    <row r="1327" spans="1:39" x14ac:dyDescent="0.2">
      <c r="A1327" t="str">
        <f>"1323"</f>
        <v>1323</v>
      </c>
      <c r="B1327" t="str">
        <f t="shared" si="71"/>
        <v>1</v>
      </c>
      <c r="C1327" t="str">
        <f t="shared" si="73"/>
        <v>27</v>
      </c>
      <c r="D1327" t="str">
        <f>"19"</f>
        <v>19</v>
      </c>
      <c r="E1327" t="str">
        <f>"1-27-19"</f>
        <v>1-27-19</v>
      </c>
      <c r="F1327" t="s">
        <v>65</v>
      </c>
      <c r="G1327" t="s">
        <v>66</v>
      </c>
      <c r="H1327" t="s">
        <v>67</v>
      </c>
      <c r="S1327">
        <v>0</v>
      </c>
      <c r="T1327">
        <v>1</v>
      </c>
      <c r="U1327">
        <v>0</v>
      </c>
      <c r="V1327">
        <v>0</v>
      </c>
      <c r="W1327">
        <v>1</v>
      </c>
      <c r="X1327">
        <v>0</v>
      </c>
      <c r="Y1327">
        <v>1</v>
      </c>
      <c r="Z1327">
        <v>0</v>
      </c>
      <c r="AA1327">
        <v>0</v>
      </c>
      <c r="AB1327">
        <v>1</v>
      </c>
      <c r="AC1327">
        <v>0</v>
      </c>
      <c r="AD1327">
        <v>1</v>
      </c>
      <c r="AE1327">
        <v>1</v>
      </c>
      <c r="AF1327">
        <v>1</v>
      </c>
      <c r="AG1327">
        <v>1</v>
      </c>
      <c r="AH1327">
        <v>1</v>
      </c>
      <c r="AI1327">
        <v>1</v>
      </c>
      <c r="AJ1327">
        <v>1</v>
      </c>
      <c r="AK1327">
        <v>1</v>
      </c>
      <c r="AL1327">
        <v>1</v>
      </c>
      <c r="AM1327">
        <v>1</v>
      </c>
    </row>
    <row r="1328" spans="1:39" x14ac:dyDescent="0.2">
      <c r="A1328" t="str">
        <f>"1324"</f>
        <v>1324</v>
      </c>
      <c r="B1328" t="str">
        <f t="shared" si="71"/>
        <v>1</v>
      </c>
      <c r="C1328" t="str">
        <f t="shared" si="73"/>
        <v>27</v>
      </c>
      <c r="D1328" t="str">
        <f>"2"</f>
        <v>2</v>
      </c>
      <c r="E1328" t="str">
        <f>"1-27-2"</f>
        <v>1-27-2</v>
      </c>
      <c r="F1328" t="s">
        <v>65</v>
      </c>
      <c r="G1328" t="s">
        <v>66</v>
      </c>
      <c r="H1328" t="s">
        <v>67</v>
      </c>
      <c r="S1328">
        <v>1</v>
      </c>
      <c r="T1328">
        <v>0</v>
      </c>
      <c r="U1328">
        <v>0</v>
      </c>
      <c r="V1328">
        <v>0</v>
      </c>
      <c r="W1328">
        <v>1</v>
      </c>
      <c r="X1328">
        <v>0</v>
      </c>
      <c r="Y1328">
        <v>1</v>
      </c>
      <c r="Z1328">
        <v>0</v>
      </c>
      <c r="AA1328">
        <v>0</v>
      </c>
      <c r="AB1328">
        <v>0</v>
      </c>
      <c r="AC1328">
        <v>1</v>
      </c>
      <c r="AD1328">
        <v>0</v>
      </c>
      <c r="AE1328">
        <v>0</v>
      </c>
      <c r="AF1328">
        <v>0</v>
      </c>
      <c r="AG1328">
        <v>1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</row>
    <row r="1329" spans="1:39" x14ac:dyDescent="0.2">
      <c r="A1329" t="str">
        <f>"1325"</f>
        <v>1325</v>
      </c>
      <c r="B1329" t="str">
        <f t="shared" si="71"/>
        <v>1</v>
      </c>
      <c r="C1329" t="str">
        <f t="shared" si="73"/>
        <v>27</v>
      </c>
      <c r="D1329" t="str">
        <f>"38"</f>
        <v>38</v>
      </c>
      <c r="E1329" t="str">
        <f>"1-27-38"</f>
        <v>1-27-38</v>
      </c>
      <c r="F1329" t="s">
        <v>65</v>
      </c>
      <c r="G1329" t="s">
        <v>66</v>
      </c>
      <c r="H1329" t="s">
        <v>67</v>
      </c>
      <c r="S1329">
        <v>0</v>
      </c>
      <c r="T1329">
        <v>1</v>
      </c>
      <c r="U1329">
        <v>0</v>
      </c>
      <c r="V1329">
        <v>0</v>
      </c>
      <c r="W1329">
        <v>1</v>
      </c>
      <c r="X1329">
        <v>0</v>
      </c>
      <c r="Y1329">
        <v>0</v>
      </c>
      <c r="Z1329">
        <v>1</v>
      </c>
      <c r="AA1329">
        <v>0</v>
      </c>
      <c r="AB1329">
        <v>0</v>
      </c>
      <c r="AC1329">
        <v>1</v>
      </c>
      <c r="AD1329">
        <v>1</v>
      </c>
      <c r="AE1329">
        <v>1</v>
      </c>
      <c r="AF1329">
        <v>1</v>
      </c>
      <c r="AG1329">
        <v>1</v>
      </c>
      <c r="AH1329">
        <v>1</v>
      </c>
      <c r="AI1329">
        <v>1</v>
      </c>
      <c r="AJ1329">
        <v>1</v>
      </c>
      <c r="AK1329">
        <v>1</v>
      </c>
      <c r="AL1329">
        <v>1</v>
      </c>
      <c r="AM1329">
        <v>1</v>
      </c>
    </row>
    <row r="1330" spans="1:39" x14ac:dyDescent="0.2">
      <c r="A1330" t="str">
        <f>"1326"</f>
        <v>1326</v>
      </c>
      <c r="B1330" t="str">
        <f t="shared" si="71"/>
        <v>1</v>
      </c>
      <c r="C1330" t="str">
        <f t="shared" si="73"/>
        <v>27</v>
      </c>
      <c r="D1330" t="str">
        <f>"20"</f>
        <v>20</v>
      </c>
      <c r="E1330" t="str">
        <f>"1-27-20"</f>
        <v>1-27-20</v>
      </c>
      <c r="F1330" t="s">
        <v>65</v>
      </c>
      <c r="G1330" t="s">
        <v>66</v>
      </c>
      <c r="H1330" t="s">
        <v>67</v>
      </c>
      <c r="S1330">
        <v>0</v>
      </c>
      <c r="T1330">
        <v>1</v>
      </c>
      <c r="U1330">
        <v>0</v>
      </c>
      <c r="V1330">
        <v>0</v>
      </c>
      <c r="W1330">
        <v>1</v>
      </c>
      <c r="X1330">
        <v>0</v>
      </c>
      <c r="Y1330">
        <v>1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1</v>
      </c>
      <c r="AF1330">
        <v>1</v>
      </c>
      <c r="AG1330">
        <v>1</v>
      </c>
      <c r="AH1330">
        <v>1</v>
      </c>
      <c r="AI1330">
        <v>1</v>
      </c>
      <c r="AJ1330">
        <v>1</v>
      </c>
      <c r="AK1330">
        <v>1</v>
      </c>
      <c r="AL1330">
        <v>1</v>
      </c>
      <c r="AM1330">
        <v>1</v>
      </c>
    </row>
    <row r="1331" spans="1:39" x14ac:dyDescent="0.2">
      <c r="A1331" t="str">
        <f>"1327"</f>
        <v>1327</v>
      </c>
      <c r="B1331" t="str">
        <f t="shared" si="71"/>
        <v>1</v>
      </c>
      <c r="C1331" t="str">
        <f t="shared" si="73"/>
        <v>27</v>
      </c>
      <c r="D1331" t="str">
        <f>"13"</f>
        <v>13</v>
      </c>
      <c r="E1331" t="str">
        <f>"1-27-13"</f>
        <v>1-27-13</v>
      </c>
      <c r="F1331" t="s">
        <v>65</v>
      </c>
      <c r="G1331" t="s">
        <v>66</v>
      </c>
      <c r="H1331" t="s">
        <v>67</v>
      </c>
      <c r="S1331">
        <v>0</v>
      </c>
      <c r="T1331">
        <v>1</v>
      </c>
      <c r="U1331">
        <v>0</v>
      </c>
      <c r="V1331">
        <v>0</v>
      </c>
      <c r="W1331">
        <v>1</v>
      </c>
      <c r="X1331">
        <v>0</v>
      </c>
      <c r="Y1331">
        <v>1</v>
      </c>
      <c r="Z1331">
        <v>0</v>
      </c>
      <c r="AA1331">
        <v>0</v>
      </c>
      <c r="AB1331">
        <v>0</v>
      </c>
      <c r="AC1331">
        <v>1</v>
      </c>
      <c r="AD1331">
        <v>1</v>
      </c>
      <c r="AE1331">
        <v>1</v>
      </c>
      <c r="AF1331">
        <v>1</v>
      </c>
      <c r="AG1331">
        <v>1</v>
      </c>
      <c r="AH1331">
        <v>1</v>
      </c>
      <c r="AI1331">
        <v>1</v>
      </c>
      <c r="AJ1331">
        <v>1</v>
      </c>
      <c r="AK1331">
        <v>1</v>
      </c>
      <c r="AL1331">
        <v>1</v>
      </c>
      <c r="AM1331">
        <v>1</v>
      </c>
    </row>
    <row r="1332" spans="1:39" x14ac:dyDescent="0.2">
      <c r="A1332" t="str">
        <f>"1328"</f>
        <v>1328</v>
      </c>
      <c r="B1332" t="str">
        <f t="shared" si="71"/>
        <v>1</v>
      </c>
      <c r="C1332" t="str">
        <f t="shared" si="73"/>
        <v>27</v>
      </c>
      <c r="D1332" t="str">
        <f>"39"</f>
        <v>39</v>
      </c>
      <c r="E1332" t="str">
        <f>"1-27-39"</f>
        <v>1-27-39</v>
      </c>
      <c r="F1332" t="s">
        <v>65</v>
      </c>
      <c r="G1332" t="s">
        <v>66</v>
      </c>
      <c r="H1332" t="s">
        <v>67</v>
      </c>
      <c r="S1332">
        <v>1</v>
      </c>
      <c r="T1332">
        <v>0</v>
      </c>
      <c r="U1332">
        <v>0</v>
      </c>
      <c r="V1332">
        <v>0</v>
      </c>
      <c r="W1332">
        <v>1</v>
      </c>
      <c r="X1332">
        <v>0</v>
      </c>
      <c r="Y1332">
        <v>0</v>
      </c>
      <c r="Z1332">
        <v>1</v>
      </c>
      <c r="AA1332">
        <v>0</v>
      </c>
      <c r="AB1332">
        <v>0</v>
      </c>
      <c r="AC1332">
        <v>1</v>
      </c>
      <c r="AD1332">
        <v>1</v>
      </c>
      <c r="AE1332">
        <v>1</v>
      </c>
      <c r="AF1332">
        <v>1</v>
      </c>
      <c r="AG1332">
        <v>1</v>
      </c>
      <c r="AH1332">
        <v>1</v>
      </c>
      <c r="AI1332">
        <v>1</v>
      </c>
      <c r="AJ1332">
        <v>1</v>
      </c>
      <c r="AK1332">
        <v>1</v>
      </c>
      <c r="AL1332">
        <v>1</v>
      </c>
      <c r="AM1332">
        <v>1</v>
      </c>
    </row>
    <row r="1333" spans="1:39" x14ac:dyDescent="0.2">
      <c r="A1333" t="str">
        <f>"1329"</f>
        <v>1329</v>
      </c>
      <c r="B1333" t="str">
        <f t="shared" si="71"/>
        <v>1</v>
      </c>
      <c r="C1333" t="str">
        <f t="shared" si="73"/>
        <v>27</v>
      </c>
      <c r="D1333" t="str">
        <f>"22"</f>
        <v>22</v>
      </c>
      <c r="E1333" t="str">
        <f>"1-27-22"</f>
        <v>1-27-22</v>
      </c>
      <c r="F1333" t="s">
        <v>65</v>
      </c>
      <c r="G1333" t="s">
        <v>66</v>
      </c>
      <c r="H1333" t="s">
        <v>67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0</v>
      </c>
      <c r="AB1333">
        <v>0</v>
      </c>
      <c r="AC1333">
        <v>1</v>
      </c>
      <c r="AD1333">
        <v>0</v>
      </c>
      <c r="AE1333">
        <v>0</v>
      </c>
      <c r="AF1333">
        <v>0</v>
      </c>
      <c r="AG1333">
        <v>1</v>
      </c>
      <c r="AH1333">
        <v>0</v>
      </c>
      <c r="AI1333">
        <v>1</v>
      </c>
      <c r="AJ1333">
        <v>1</v>
      </c>
      <c r="AK1333">
        <v>1</v>
      </c>
      <c r="AL1333">
        <v>0</v>
      </c>
      <c r="AM1333">
        <v>1</v>
      </c>
    </row>
    <row r="1334" spans="1:39" x14ac:dyDescent="0.2">
      <c r="A1334" t="str">
        <f>"1330"</f>
        <v>1330</v>
      </c>
      <c r="B1334" t="str">
        <f t="shared" si="71"/>
        <v>1</v>
      </c>
      <c r="C1334" t="str">
        <f t="shared" si="73"/>
        <v>27</v>
      </c>
      <c r="D1334" t="str">
        <f>"3"</f>
        <v>3</v>
      </c>
      <c r="E1334" t="str">
        <f>"1-27-3"</f>
        <v>1-27-3</v>
      </c>
      <c r="F1334" t="s">
        <v>65</v>
      </c>
      <c r="G1334" t="s">
        <v>66</v>
      </c>
      <c r="H1334" t="s">
        <v>67</v>
      </c>
      <c r="S1334">
        <v>0</v>
      </c>
      <c r="T1334">
        <v>1</v>
      </c>
      <c r="U1334">
        <v>0</v>
      </c>
      <c r="V1334">
        <v>0</v>
      </c>
      <c r="W1334">
        <v>1</v>
      </c>
      <c r="X1334">
        <v>0</v>
      </c>
      <c r="Y1334">
        <v>1</v>
      </c>
      <c r="Z1334">
        <v>0</v>
      </c>
      <c r="AA1334">
        <v>0</v>
      </c>
      <c r="AB1334">
        <v>0</v>
      </c>
      <c r="AC1334">
        <v>1</v>
      </c>
      <c r="AD1334">
        <v>1</v>
      </c>
      <c r="AE1334">
        <v>1</v>
      </c>
      <c r="AF1334">
        <v>1</v>
      </c>
      <c r="AG1334">
        <v>1</v>
      </c>
      <c r="AH1334">
        <v>1</v>
      </c>
      <c r="AI1334">
        <v>1</v>
      </c>
      <c r="AJ1334">
        <v>1</v>
      </c>
      <c r="AK1334">
        <v>1</v>
      </c>
      <c r="AL1334">
        <v>1</v>
      </c>
      <c r="AM1334">
        <v>1</v>
      </c>
    </row>
    <row r="1335" spans="1:39" x14ac:dyDescent="0.2">
      <c r="A1335" t="str">
        <f>"1331"</f>
        <v>1331</v>
      </c>
      <c r="B1335" t="str">
        <f t="shared" ref="B1335:B1398" si="74">"1"</f>
        <v>1</v>
      </c>
      <c r="C1335" t="str">
        <f t="shared" si="73"/>
        <v>27</v>
      </c>
      <c r="D1335" t="str">
        <f>"40"</f>
        <v>40</v>
      </c>
      <c r="E1335" t="str">
        <f>"1-27-40"</f>
        <v>1-27-40</v>
      </c>
      <c r="F1335" t="s">
        <v>65</v>
      </c>
      <c r="G1335" t="s">
        <v>66</v>
      </c>
      <c r="H1335" t="s">
        <v>67</v>
      </c>
      <c r="S1335">
        <v>1</v>
      </c>
      <c r="T1335">
        <v>0</v>
      </c>
      <c r="U1335">
        <v>0</v>
      </c>
      <c r="V1335">
        <v>0</v>
      </c>
      <c r="W1335">
        <v>1</v>
      </c>
      <c r="X1335">
        <v>0</v>
      </c>
      <c r="Y1335">
        <v>1</v>
      </c>
      <c r="Z1335">
        <v>0</v>
      </c>
      <c r="AA1335">
        <v>0</v>
      </c>
      <c r="AB1335">
        <v>0</v>
      </c>
      <c r="AC1335">
        <v>1</v>
      </c>
      <c r="AD1335">
        <v>1</v>
      </c>
      <c r="AE1335">
        <v>1</v>
      </c>
      <c r="AF1335">
        <v>1</v>
      </c>
      <c r="AG1335">
        <v>1</v>
      </c>
      <c r="AH1335">
        <v>1</v>
      </c>
      <c r="AI1335">
        <v>1</v>
      </c>
      <c r="AJ1335">
        <v>1</v>
      </c>
      <c r="AK1335">
        <v>1</v>
      </c>
      <c r="AL1335">
        <v>1</v>
      </c>
      <c r="AM1335">
        <v>1</v>
      </c>
    </row>
    <row r="1336" spans="1:39" x14ac:dyDescent="0.2">
      <c r="A1336" t="str">
        <f>"1332"</f>
        <v>1332</v>
      </c>
      <c r="B1336" t="str">
        <f t="shared" si="74"/>
        <v>1</v>
      </c>
      <c r="C1336" t="str">
        <f t="shared" si="73"/>
        <v>27</v>
      </c>
      <c r="D1336" t="str">
        <f>"23"</f>
        <v>23</v>
      </c>
      <c r="E1336" t="str">
        <f>"1-27-23"</f>
        <v>1-27-23</v>
      </c>
      <c r="F1336" t="s">
        <v>65</v>
      </c>
      <c r="G1336" t="s">
        <v>66</v>
      </c>
      <c r="H1336" t="s">
        <v>67</v>
      </c>
      <c r="S1336">
        <v>0</v>
      </c>
      <c r="T1336">
        <v>1</v>
      </c>
      <c r="U1336">
        <v>0</v>
      </c>
      <c r="V1336">
        <v>0</v>
      </c>
      <c r="W1336">
        <v>1</v>
      </c>
      <c r="X1336">
        <v>0</v>
      </c>
      <c r="Y1336">
        <v>1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1</v>
      </c>
      <c r="AF1336">
        <v>1</v>
      </c>
      <c r="AG1336">
        <v>1</v>
      </c>
      <c r="AH1336">
        <v>1</v>
      </c>
      <c r="AI1336">
        <v>1</v>
      </c>
      <c r="AJ1336">
        <v>1</v>
      </c>
      <c r="AK1336">
        <v>1</v>
      </c>
      <c r="AL1336">
        <v>1</v>
      </c>
      <c r="AM1336">
        <v>1</v>
      </c>
    </row>
    <row r="1337" spans="1:39" x14ac:dyDescent="0.2">
      <c r="A1337" t="str">
        <f>"1333"</f>
        <v>1333</v>
      </c>
      <c r="B1337" t="str">
        <f t="shared" si="74"/>
        <v>1</v>
      </c>
      <c r="C1337" t="str">
        <f t="shared" ref="C1337:C1354" si="75">"27"</f>
        <v>27</v>
      </c>
      <c r="D1337" t="str">
        <f>"12"</f>
        <v>12</v>
      </c>
      <c r="E1337" t="str">
        <f>"1-27-12"</f>
        <v>1-27-12</v>
      </c>
      <c r="F1337" t="s">
        <v>65</v>
      </c>
      <c r="G1337" t="s">
        <v>66</v>
      </c>
      <c r="H1337" t="s">
        <v>67</v>
      </c>
      <c r="S1337">
        <v>1</v>
      </c>
      <c r="T1337">
        <v>0</v>
      </c>
      <c r="U1337">
        <v>0</v>
      </c>
      <c r="V1337">
        <v>0</v>
      </c>
      <c r="W1337">
        <v>0</v>
      </c>
      <c r="X1337">
        <v>1</v>
      </c>
      <c r="Y1337">
        <v>1</v>
      </c>
      <c r="Z1337">
        <v>0</v>
      </c>
      <c r="AA1337">
        <v>0</v>
      </c>
      <c r="AB1337">
        <v>1</v>
      </c>
      <c r="AC1337">
        <v>0</v>
      </c>
      <c r="AD1337">
        <v>1</v>
      </c>
      <c r="AE1337">
        <v>1</v>
      </c>
      <c r="AF1337">
        <v>1</v>
      </c>
      <c r="AG1337">
        <v>1</v>
      </c>
      <c r="AH1337">
        <v>1</v>
      </c>
      <c r="AI1337">
        <v>1</v>
      </c>
      <c r="AJ1337">
        <v>1</v>
      </c>
      <c r="AK1337">
        <v>0</v>
      </c>
      <c r="AL1337">
        <v>1</v>
      </c>
      <c r="AM1337">
        <v>1</v>
      </c>
    </row>
    <row r="1338" spans="1:39" x14ac:dyDescent="0.2">
      <c r="A1338" t="str">
        <f>"1334"</f>
        <v>1334</v>
      </c>
      <c r="B1338" t="str">
        <f t="shared" si="74"/>
        <v>1</v>
      </c>
      <c r="C1338" t="str">
        <f t="shared" si="75"/>
        <v>27</v>
      </c>
      <c r="D1338" t="str">
        <f>"48"</f>
        <v>48</v>
      </c>
      <c r="E1338" t="str">
        <f>"1-27-48"</f>
        <v>1-27-48</v>
      </c>
      <c r="F1338" t="s">
        <v>65</v>
      </c>
      <c r="G1338" t="s">
        <v>66</v>
      </c>
      <c r="H1338" t="s">
        <v>67</v>
      </c>
      <c r="S1338">
        <v>0</v>
      </c>
      <c r="T1338">
        <v>1</v>
      </c>
      <c r="U1338">
        <v>0</v>
      </c>
      <c r="V1338">
        <v>0</v>
      </c>
      <c r="W1338">
        <v>1</v>
      </c>
      <c r="X1338">
        <v>0</v>
      </c>
      <c r="Y1338">
        <v>1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1</v>
      </c>
      <c r="AF1338">
        <v>1</v>
      </c>
      <c r="AG1338">
        <v>1</v>
      </c>
      <c r="AH1338">
        <v>1</v>
      </c>
      <c r="AI1338">
        <v>1</v>
      </c>
      <c r="AJ1338">
        <v>1</v>
      </c>
      <c r="AK1338">
        <v>1</v>
      </c>
      <c r="AL1338">
        <v>1</v>
      </c>
      <c r="AM1338">
        <v>1</v>
      </c>
    </row>
    <row r="1339" spans="1:39" x14ac:dyDescent="0.2">
      <c r="A1339" t="str">
        <f>"1335"</f>
        <v>1335</v>
      </c>
      <c r="B1339" t="str">
        <f t="shared" si="74"/>
        <v>1</v>
      </c>
      <c r="C1339" t="str">
        <f t="shared" si="75"/>
        <v>27</v>
      </c>
      <c r="D1339" t="str">
        <f>"24"</f>
        <v>24</v>
      </c>
      <c r="E1339" t="str">
        <f>"1-27-24"</f>
        <v>1-27-24</v>
      </c>
      <c r="F1339" t="s">
        <v>65</v>
      </c>
      <c r="G1339" t="s">
        <v>66</v>
      </c>
      <c r="H1339" t="s">
        <v>67</v>
      </c>
      <c r="S1339">
        <v>0</v>
      </c>
      <c r="T1339">
        <v>1</v>
      </c>
      <c r="U1339">
        <v>0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0</v>
      </c>
      <c r="AB1339">
        <v>0</v>
      </c>
      <c r="AC1339">
        <v>1</v>
      </c>
      <c r="AD1339">
        <v>0</v>
      </c>
      <c r="AE1339">
        <v>0</v>
      </c>
      <c r="AF1339">
        <v>0</v>
      </c>
      <c r="AG1339">
        <v>1</v>
      </c>
      <c r="AH1339">
        <v>1</v>
      </c>
      <c r="AI1339">
        <v>1</v>
      </c>
      <c r="AJ1339">
        <v>1</v>
      </c>
      <c r="AK1339">
        <v>1</v>
      </c>
      <c r="AL1339">
        <v>1</v>
      </c>
      <c r="AM1339">
        <v>1</v>
      </c>
    </row>
    <row r="1340" spans="1:39" x14ac:dyDescent="0.2">
      <c r="A1340" t="str">
        <f>"1336"</f>
        <v>1336</v>
      </c>
      <c r="B1340" t="str">
        <f t="shared" si="74"/>
        <v>1</v>
      </c>
      <c r="C1340" t="str">
        <f t="shared" si="75"/>
        <v>27</v>
      </c>
      <c r="D1340" t="str">
        <f>"7"</f>
        <v>7</v>
      </c>
      <c r="E1340" t="str">
        <f>"1-27-7"</f>
        <v>1-27-7</v>
      </c>
      <c r="F1340" t="s">
        <v>65</v>
      </c>
      <c r="G1340" t="s">
        <v>66</v>
      </c>
      <c r="H1340" t="s">
        <v>67</v>
      </c>
      <c r="S1340">
        <v>1</v>
      </c>
      <c r="T1340">
        <v>0</v>
      </c>
      <c r="U1340">
        <v>0</v>
      </c>
      <c r="V1340">
        <v>0</v>
      </c>
      <c r="W1340">
        <v>1</v>
      </c>
      <c r="X1340">
        <v>0</v>
      </c>
      <c r="Y1340">
        <v>1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1</v>
      </c>
      <c r="AF1340">
        <v>1</v>
      </c>
      <c r="AG1340">
        <v>1</v>
      </c>
      <c r="AH1340">
        <v>1</v>
      </c>
      <c r="AI1340">
        <v>1</v>
      </c>
      <c r="AJ1340">
        <v>1</v>
      </c>
      <c r="AK1340">
        <v>1</v>
      </c>
      <c r="AL1340">
        <v>1</v>
      </c>
      <c r="AM1340">
        <v>1</v>
      </c>
    </row>
    <row r="1341" spans="1:39" x14ac:dyDescent="0.2">
      <c r="A1341" t="str">
        <f>"1337"</f>
        <v>1337</v>
      </c>
      <c r="B1341" t="str">
        <f t="shared" si="74"/>
        <v>1</v>
      </c>
      <c r="C1341" t="str">
        <f t="shared" si="75"/>
        <v>27</v>
      </c>
      <c r="D1341" t="str">
        <f>"41"</f>
        <v>41</v>
      </c>
      <c r="E1341" t="str">
        <f>"1-27-41"</f>
        <v>1-27-41</v>
      </c>
      <c r="F1341" t="s">
        <v>65</v>
      </c>
      <c r="G1341" t="s">
        <v>66</v>
      </c>
      <c r="H1341" t="s">
        <v>67</v>
      </c>
      <c r="S1341">
        <v>0</v>
      </c>
      <c r="T1341">
        <v>1</v>
      </c>
      <c r="U1341">
        <v>0</v>
      </c>
      <c r="V1341">
        <v>0</v>
      </c>
      <c r="W1341">
        <v>1</v>
      </c>
      <c r="X1341">
        <v>0</v>
      </c>
      <c r="Y1341">
        <v>1</v>
      </c>
      <c r="Z1341">
        <v>0</v>
      </c>
      <c r="AA1341">
        <v>0</v>
      </c>
      <c r="AB1341">
        <v>1</v>
      </c>
      <c r="AC1341">
        <v>0</v>
      </c>
      <c r="AD1341">
        <v>1</v>
      </c>
      <c r="AE1341">
        <v>1</v>
      </c>
      <c r="AF1341">
        <v>1</v>
      </c>
      <c r="AG1341">
        <v>1</v>
      </c>
      <c r="AH1341">
        <v>1</v>
      </c>
      <c r="AI1341">
        <v>1</v>
      </c>
      <c r="AJ1341">
        <v>1</v>
      </c>
      <c r="AK1341">
        <v>1</v>
      </c>
      <c r="AL1341">
        <v>1</v>
      </c>
      <c r="AM1341">
        <v>1</v>
      </c>
    </row>
    <row r="1342" spans="1:39" x14ac:dyDescent="0.2">
      <c r="A1342" t="str">
        <f>"1338"</f>
        <v>1338</v>
      </c>
      <c r="B1342" t="str">
        <f t="shared" si="74"/>
        <v>1</v>
      </c>
      <c r="C1342" t="str">
        <f t="shared" si="75"/>
        <v>27</v>
      </c>
      <c r="D1342" t="str">
        <f>"25"</f>
        <v>25</v>
      </c>
      <c r="E1342" t="str">
        <f>"1-27-25"</f>
        <v>1-27-25</v>
      </c>
      <c r="F1342" t="s">
        <v>65</v>
      </c>
      <c r="G1342" t="s">
        <v>66</v>
      </c>
      <c r="H1342" t="s">
        <v>67</v>
      </c>
      <c r="S1342">
        <v>0</v>
      </c>
      <c r="T1342">
        <v>0</v>
      </c>
      <c r="U1342">
        <v>0</v>
      </c>
      <c r="V1342">
        <v>0</v>
      </c>
      <c r="W1342">
        <v>1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1</v>
      </c>
      <c r="AG1342">
        <v>1</v>
      </c>
      <c r="AH1342">
        <v>1</v>
      </c>
      <c r="AI1342">
        <v>1</v>
      </c>
      <c r="AJ1342">
        <v>1</v>
      </c>
      <c r="AK1342">
        <v>1</v>
      </c>
      <c r="AL1342">
        <v>1</v>
      </c>
      <c r="AM1342">
        <v>1</v>
      </c>
    </row>
    <row r="1343" spans="1:39" x14ac:dyDescent="0.2">
      <c r="A1343" t="str">
        <f>"1339"</f>
        <v>1339</v>
      </c>
      <c r="B1343" t="str">
        <f t="shared" si="74"/>
        <v>1</v>
      </c>
      <c r="C1343" t="str">
        <f t="shared" si="75"/>
        <v>27</v>
      </c>
      <c r="D1343" t="str">
        <f>"14"</f>
        <v>14</v>
      </c>
      <c r="E1343" t="str">
        <f>"1-27-14"</f>
        <v>1-27-14</v>
      </c>
      <c r="F1343" t="s">
        <v>65</v>
      </c>
      <c r="G1343" t="s">
        <v>66</v>
      </c>
      <c r="H1343" t="s">
        <v>67</v>
      </c>
      <c r="S1343">
        <v>1</v>
      </c>
      <c r="T1343">
        <v>0</v>
      </c>
      <c r="U1343">
        <v>0</v>
      </c>
      <c r="V1343">
        <v>0</v>
      </c>
      <c r="W1343">
        <v>1</v>
      </c>
      <c r="X1343">
        <v>0</v>
      </c>
      <c r="Y1343">
        <v>1</v>
      </c>
      <c r="Z1343">
        <v>0</v>
      </c>
      <c r="AA1343">
        <v>0</v>
      </c>
      <c r="AB1343">
        <v>1</v>
      </c>
      <c r="AC1343">
        <v>0</v>
      </c>
      <c r="AD1343">
        <v>1</v>
      </c>
      <c r="AE1343">
        <v>0</v>
      </c>
      <c r="AF1343">
        <v>0</v>
      </c>
      <c r="AG1343">
        <v>0</v>
      </c>
      <c r="AH1343">
        <v>0</v>
      </c>
      <c r="AI1343">
        <v>1</v>
      </c>
      <c r="AJ1343">
        <v>1</v>
      </c>
      <c r="AK1343">
        <v>1</v>
      </c>
      <c r="AL1343">
        <v>1</v>
      </c>
      <c r="AM1343">
        <v>1</v>
      </c>
    </row>
    <row r="1344" spans="1:39" x14ac:dyDescent="0.2">
      <c r="A1344" t="str">
        <f>"1340"</f>
        <v>1340</v>
      </c>
      <c r="B1344" t="str">
        <f t="shared" si="74"/>
        <v>1</v>
      </c>
      <c r="C1344" t="str">
        <f t="shared" si="75"/>
        <v>27</v>
      </c>
      <c r="D1344" t="str">
        <f>"43"</f>
        <v>43</v>
      </c>
      <c r="E1344" t="str">
        <f>"1-27-43"</f>
        <v>1-27-43</v>
      </c>
      <c r="F1344" t="s">
        <v>65</v>
      </c>
      <c r="G1344" t="s">
        <v>66</v>
      </c>
      <c r="H1344" t="s">
        <v>67</v>
      </c>
      <c r="S1344">
        <v>0</v>
      </c>
      <c r="T1344">
        <v>1</v>
      </c>
      <c r="U1344">
        <v>0</v>
      </c>
      <c r="V1344">
        <v>0</v>
      </c>
      <c r="W1344">
        <v>0</v>
      </c>
      <c r="X1344">
        <v>1</v>
      </c>
      <c r="Y1344">
        <v>0</v>
      </c>
      <c r="Z1344">
        <v>1</v>
      </c>
      <c r="AA1344">
        <v>0</v>
      </c>
      <c r="AB1344">
        <v>0</v>
      </c>
      <c r="AC1344">
        <v>1</v>
      </c>
      <c r="AD1344">
        <v>1</v>
      </c>
      <c r="AE1344">
        <v>1</v>
      </c>
      <c r="AF1344">
        <v>1</v>
      </c>
      <c r="AG1344">
        <v>1</v>
      </c>
      <c r="AH1344">
        <v>1</v>
      </c>
      <c r="AI1344">
        <v>1</v>
      </c>
      <c r="AJ1344">
        <v>1</v>
      </c>
      <c r="AK1344">
        <v>1</v>
      </c>
      <c r="AL1344">
        <v>1</v>
      </c>
      <c r="AM1344">
        <v>1</v>
      </c>
    </row>
    <row r="1345" spans="1:39" x14ac:dyDescent="0.2">
      <c r="A1345" t="str">
        <f>"1341"</f>
        <v>1341</v>
      </c>
      <c r="B1345" t="str">
        <f t="shared" si="74"/>
        <v>1</v>
      </c>
      <c r="C1345" t="str">
        <f t="shared" si="75"/>
        <v>27</v>
      </c>
      <c r="D1345" t="str">
        <f>"27"</f>
        <v>27</v>
      </c>
      <c r="E1345" t="str">
        <f>"1-27-27"</f>
        <v>1-27-27</v>
      </c>
      <c r="F1345" t="s">
        <v>65</v>
      </c>
      <c r="G1345" t="s">
        <v>66</v>
      </c>
      <c r="H1345" t="s">
        <v>67</v>
      </c>
      <c r="S1345">
        <v>0</v>
      </c>
      <c r="T1345">
        <v>1</v>
      </c>
      <c r="U1345">
        <v>0</v>
      </c>
      <c r="V1345">
        <v>0</v>
      </c>
      <c r="W1345">
        <v>1</v>
      </c>
      <c r="X1345">
        <v>0</v>
      </c>
      <c r="Y1345">
        <v>0</v>
      </c>
      <c r="Z1345">
        <v>1</v>
      </c>
      <c r="AA1345">
        <v>0</v>
      </c>
      <c r="AB1345">
        <v>1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1</v>
      </c>
      <c r="AJ1345">
        <v>1</v>
      </c>
      <c r="AK1345">
        <v>1</v>
      </c>
      <c r="AL1345">
        <v>1</v>
      </c>
      <c r="AM1345">
        <v>1</v>
      </c>
    </row>
    <row r="1346" spans="1:39" x14ac:dyDescent="0.2">
      <c r="A1346" t="str">
        <f>"1342"</f>
        <v>1342</v>
      </c>
      <c r="B1346" t="str">
        <f t="shared" si="74"/>
        <v>1</v>
      </c>
      <c r="C1346" t="str">
        <f t="shared" si="75"/>
        <v>27</v>
      </c>
      <c r="D1346" t="str">
        <f>"6"</f>
        <v>6</v>
      </c>
      <c r="E1346" t="str">
        <f>"1-27-6"</f>
        <v>1-27-6</v>
      </c>
      <c r="F1346" t="s">
        <v>65</v>
      </c>
      <c r="G1346" t="s">
        <v>66</v>
      </c>
      <c r="H1346" t="s">
        <v>67</v>
      </c>
      <c r="S1346">
        <v>0</v>
      </c>
      <c r="T1346">
        <v>0</v>
      </c>
      <c r="U1346">
        <v>0</v>
      </c>
      <c r="V1346">
        <v>0</v>
      </c>
      <c r="W1346">
        <v>1</v>
      </c>
      <c r="X1346">
        <v>0</v>
      </c>
      <c r="Y1346">
        <v>0</v>
      </c>
      <c r="Z1346">
        <v>0</v>
      </c>
      <c r="AA1346">
        <v>0</v>
      </c>
      <c r="AB1346">
        <v>1</v>
      </c>
      <c r="AC1346">
        <v>0</v>
      </c>
      <c r="AD1346">
        <v>1</v>
      </c>
      <c r="AE1346">
        <v>1</v>
      </c>
      <c r="AF1346">
        <v>1</v>
      </c>
      <c r="AG1346">
        <v>1</v>
      </c>
      <c r="AH1346">
        <v>1</v>
      </c>
      <c r="AI1346">
        <v>1</v>
      </c>
      <c r="AJ1346">
        <v>0</v>
      </c>
      <c r="AK1346">
        <v>1</v>
      </c>
      <c r="AL1346">
        <v>1</v>
      </c>
      <c r="AM1346">
        <v>1</v>
      </c>
    </row>
    <row r="1347" spans="1:39" x14ac:dyDescent="0.2">
      <c r="A1347" t="str">
        <f>"1343"</f>
        <v>1343</v>
      </c>
      <c r="B1347" t="str">
        <f t="shared" si="74"/>
        <v>1</v>
      </c>
      <c r="C1347" t="str">
        <f t="shared" si="75"/>
        <v>27</v>
      </c>
      <c r="D1347" t="str">
        <f>"42"</f>
        <v>42</v>
      </c>
      <c r="E1347" t="str">
        <f>"1-27-42"</f>
        <v>1-27-42</v>
      </c>
      <c r="F1347" t="s">
        <v>65</v>
      </c>
      <c r="G1347" t="s">
        <v>66</v>
      </c>
      <c r="H1347" t="s">
        <v>67</v>
      </c>
      <c r="S1347">
        <v>0</v>
      </c>
      <c r="T1347">
        <v>1</v>
      </c>
      <c r="U1347">
        <v>0</v>
      </c>
      <c r="V1347">
        <v>0</v>
      </c>
      <c r="W1347">
        <v>1</v>
      </c>
      <c r="X1347">
        <v>0</v>
      </c>
      <c r="Y1347">
        <v>0</v>
      </c>
      <c r="Z1347">
        <v>1</v>
      </c>
      <c r="AA1347">
        <v>0</v>
      </c>
      <c r="AB1347">
        <v>0</v>
      </c>
      <c r="AC1347">
        <v>1</v>
      </c>
      <c r="AD1347">
        <v>1</v>
      </c>
      <c r="AE1347">
        <v>1</v>
      </c>
      <c r="AF1347">
        <v>1</v>
      </c>
      <c r="AG1347">
        <v>1</v>
      </c>
      <c r="AH1347">
        <v>1</v>
      </c>
      <c r="AI1347">
        <v>1</v>
      </c>
      <c r="AJ1347">
        <v>1</v>
      </c>
      <c r="AK1347">
        <v>1</v>
      </c>
      <c r="AL1347">
        <v>1</v>
      </c>
      <c r="AM1347">
        <v>1</v>
      </c>
    </row>
    <row r="1348" spans="1:39" x14ac:dyDescent="0.2">
      <c r="A1348" t="str">
        <f>"1344"</f>
        <v>1344</v>
      </c>
      <c r="B1348" t="str">
        <f t="shared" si="74"/>
        <v>1</v>
      </c>
      <c r="C1348" t="str">
        <f t="shared" si="75"/>
        <v>27</v>
      </c>
      <c r="D1348" t="str">
        <f>"28"</f>
        <v>28</v>
      </c>
      <c r="E1348" t="str">
        <f>"1-27-28"</f>
        <v>1-27-28</v>
      </c>
      <c r="F1348" t="s">
        <v>65</v>
      </c>
      <c r="G1348" t="s">
        <v>66</v>
      </c>
      <c r="H1348" t="s">
        <v>67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1</v>
      </c>
      <c r="Y1348">
        <v>0</v>
      </c>
      <c r="Z1348">
        <v>1</v>
      </c>
      <c r="AA1348">
        <v>0</v>
      </c>
      <c r="AB1348">
        <v>0</v>
      </c>
      <c r="AC1348">
        <v>1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</row>
    <row r="1349" spans="1:39" x14ac:dyDescent="0.2">
      <c r="A1349" t="str">
        <f>"1345"</f>
        <v>1345</v>
      </c>
      <c r="B1349" t="str">
        <f t="shared" si="74"/>
        <v>1</v>
      </c>
      <c r="C1349" t="str">
        <f t="shared" si="75"/>
        <v>27</v>
      </c>
      <c r="D1349" t="str">
        <f>"10"</f>
        <v>10</v>
      </c>
      <c r="E1349" t="str">
        <f>"1-27-10"</f>
        <v>1-27-10</v>
      </c>
      <c r="F1349" t="s">
        <v>65</v>
      </c>
      <c r="G1349" t="s">
        <v>66</v>
      </c>
      <c r="H1349" t="s">
        <v>67</v>
      </c>
      <c r="S1349">
        <v>1</v>
      </c>
      <c r="T1349">
        <v>0</v>
      </c>
      <c r="U1349">
        <v>0</v>
      </c>
      <c r="V1349">
        <v>0</v>
      </c>
      <c r="W1349">
        <v>1</v>
      </c>
      <c r="X1349">
        <v>0</v>
      </c>
      <c r="Y1349">
        <v>1</v>
      </c>
      <c r="Z1349">
        <v>0</v>
      </c>
      <c r="AA1349">
        <v>0</v>
      </c>
      <c r="AB1349">
        <v>1</v>
      </c>
      <c r="AC1349">
        <v>0</v>
      </c>
      <c r="AD1349">
        <v>1</v>
      </c>
      <c r="AE1349">
        <v>1</v>
      </c>
      <c r="AF1349">
        <v>1</v>
      </c>
      <c r="AG1349">
        <v>1</v>
      </c>
      <c r="AH1349">
        <v>1</v>
      </c>
      <c r="AI1349">
        <v>1</v>
      </c>
      <c r="AJ1349">
        <v>1</v>
      </c>
      <c r="AK1349">
        <v>1</v>
      </c>
      <c r="AL1349">
        <v>1</v>
      </c>
      <c r="AM1349">
        <v>1</v>
      </c>
    </row>
    <row r="1350" spans="1:39" x14ac:dyDescent="0.2">
      <c r="A1350" t="str">
        <f>"1346"</f>
        <v>1346</v>
      </c>
      <c r="B1350" t="str">
        <f t="shared" si="74"/>
        <v>1</v>
      </c>
      <c r="C1350" t="str">
        <f t="shared" si="75"/>
        <v>27</v>
      </c>
      <c r="D1350" t="str">
        <f>"29"</f>
        <v>29</v>
      </c>
      <c r="E1350" t="str">
        <f>"1-27-29"</f>
        <v>1-27-29</v>
      </c>
      <c r="F1350" t="s">
        <v>65</v>
      </c>
      <c r="G1350" t="s">
        <v>66</v>
      </c>
      <c r="H1350" t="s">
        <v>67</v>
      </c>
      <c r="S1350">
        <v>1</v>
      </c>
      <c r="T1350">
        <v>0</v>
      </c>
      <c r="U1350">
        <v>0</v>
      </c>
      <c r="V1350">
        <v>0</v>
      </c>
      <c r="W1350">
        <v>1</v>
      </c>
      <c r="X1350">
        <v>0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1</v>
      </c>
      <c r="AH1350">
        <v>1</v>
      </c>
      <c r="AI1350">
        <v>1</v>
      </c>
      <c r="AJ1350">
        <v>1</v>
      </c>
      <c r="AK1350">
        <v>1</v>
      </c>
      <c r="AL1350">
        <v>1</v>
      </c>
      <c r="AM1350">
        <v>1</v>
      </c>
    </row>
    <row r="1351" spans="1:39" x14ac:dyDescent="0.2">
      <c r="A1351" t="str">
        <f>"1347"</f>
        <v>1347</v>
      </c>
      <c r="B1351" t="str">
        <f t="shared" si="74"/>
        <v>1</v>
      </c>
      <c r="C1351" t="str">
        <f t="shared" si="75"/>
        <v>27</v>
      </c>
      <c r="D1351" t="str">
        <f>"30"</f>
        <v>30</v>
      </c>
      <c r="E1351" t="str">
        <f>"1-27-30"</f>
        <v>1-27-30</v>
      </c>
      <c r="F1351" t="s">
        <v>65</v>
      </c>
      <c r="G1351" t="s">
        <v>66</v>
      </c>
      <c r="H1351" t="s">
        <v>67</v>
      </c>
      <c r="S1351">
        <v>1</v>
      </c>
      <c r="T1351">
        <v>0</v>
      </c>
      <c r="U1351">
        <v>0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0</v>
      </c>
      <c r="AB1351">
        <v>0</v>
      </c>
      <c r="AC1351">
        <v>1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</row>
    <row r="1352" spans="1:39" x14ac:dyDescent="0.2">
      <c r="A1352" t="str">
        <f>"1348"</f>
        <v>1348</v>
      </c>
      <c r="B1352" t="str">
        <f t="shared" si="74"/>
        <v>1</v>
      </c>
      <c r="C1352" t="str">
        <f t="shared" si="75"/>
        <v>27</v>
      </c>
      <c r="D1352" t="str">
        <f>"4"</f>
        <v>4</v>
      </c>
      <c r="E1352" t="str">
        <f>"1-27-4"</f>
        <v>1-27-4</v>
      </c>
      <c r="F1352" t="s">
        <v>65</v>
      </c>
      <c r="G1352" t="s">
        <v>66</v>
      </c>
      <c r="H1352" t="s">
        <v>67</v>
      </c>
      <c r="S1352">
        <v>0</v>
      </c>
      <c r="T1352">
        <v>1</v>
      </c>
      <c r="U1352">
        <v>0</v>
      </c>
      <c r="V1352">
        <v>0</v>
      </c>
      <c r="W1352">
        <v>1</v>
      </c>
      <c r="X1352">
        <v>0</v>
      </c>
      <c r="Y1352">
        <v>1</v>
      </c>
      <c r="Z1352">
        <v>0</v>
      </c>
      <c r="AA1352">
        <v>0</v>
      </c>
      <c r="AB1352">
        <v>1</v>
      </c>
      <c r="AC1352">
        <v>0</v>
      </c>
      <c r="AD1352">
        <v>1</v>
      </c>
      <c r="AE1352">
        <v>1</v>
      </c>
      <c r="AF1352">
        <v>1</v>
      </c>
      <c r="AG1352">
        <v>1</v>
      </c>
      <c r="AH1352">
        <v>1</v>
      </c>
      <c r="AI1352">
        <v>1</v>
      </c>
      <c r="AJ1352">
        <v>1</v>
      </c>
      <c r="AK1352">
        <v>1</v>
      </c>
      <c r="AL1352">
        <v>1</v>
      </c>
      <c r="AM1352">
        <v>1</v>
      </c>
    </row>
    <row r="1353" spans="1:39" x14ac:dyDescent="0.2">
      <c r="A1353" t="str">
        <f>"1349"</f>
        <v>1349</v>
      </c>
      <c r="B1353" t="str">
        <f t="shared" si="74"/>
        <v>1</v>
      </c>
      <c r="C1353" t="str">
        <f t="shared" si="75"/>
        <v>27</v>
      </c>
      <c r="D1353" t="str">
        <f>"5"</f>
        <v>5</v>
      </c>
      <c r="E1353" t="str">
        <f>"1-27-5"</f>
        <v>1-27-5</v>
      </c>
      <c r="F1353" t="s">
        <v>65</v>
      </c>
      <c r="G1353" t="s">
        <v>66</v>
      </c>
      <c r="H1353" t="s">
        <v>67</v>
      </c>
      <c r="S1353">
        <v>1</v>
      </c>
      <c r="T1353">
        <v>0</v>
      </c>
      <c r="U1353">
        <v>0</v>
      </c>
      <c r="V1353">
        <v>0</v>
      </c>
      <c r="W1353">
        <v>1</v>
      </c>
      <c r="X1353">
        <v>0</v>
      </c>
      <c r="Y1353">
        <v>0</v>
      </c>
      <c r="Z1353">
        <v>1</v>
      </c>
      <c r="AA1353">
        <v>1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1</v>
      </c>
      <c r="AH1353">
        <v>1</v>
      </c>
      <c r="AI1353">
        <v>1</v>
      </c>
      <c r="AJ1353">
        <v>1</v>
      </c>
      <c r="AK1353">
        <v>0</v>
      </c>
      <c r="AL1353">
        <v>1</v>
      </c>
      <c r="AM1353">
        <v>0</v>
      </c>
    </row>
    <row r="1354" spans="1:39" x14ac:dyDescent="0.2">
      <c r="A1354" t="str">
        <f>"1350"</f>
        <v>1350</v>
      </c>
      <c r="B1354" t="str">
        <f t="shared" si="74"/>
        <v>1</v>
      </c>
      <c r="C1354" t="str">
        <f t="shared" si="75"/>
        <v>27</v>
      </c>
      <c r="D1354" t="str">
        <f>"9"</f>
        <v>9</v>
      </c>
      <c r="E1354" t="str">
        <f>"1-27-9"</f>
        <v>1-27-9</v>
      </c>
      <c r="F1354" t="s">
        <v>65</v>
      </c>
      <c r="G1354" t="s">
        <v>66</v>
      </c>
      <c r="H1354" t="s">
        <v>67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1</v>
      </c>
      <c r="Y1354">
        <v>0</v>
      </c>
      <c r="Z1354">
        <v>1</v>
      </c>
      <c r="AA1354">
        <v>0</v>
      </c>
      <c r="AB1354">
        <v>0</v>
      </c>
      <c r="AC1354">
        <v>1</v>
      </c>
      <c r="AD1354">
        <v>1</v>
      </c>
      <c r="AE1354">
        <v>1</v>
      </c>
      <c r="AF1354">
        <v>1</v>
      </c>
      <c r="AG1354">
        <v>1</v>
      </c>
      <c r="AH1354">
        <v>0</v>
      </c>
      <c r="AI1354">
        <v>1</v>
      </c>
      <c r="AJ1354">
        <v>0</v>
      </c>
      <c r="AK1354">
        <v>1</v>
      </c>
      <c r="AL1354">
        <v>1</v>
      </c>
      <c r="AM1354">
        <v>1</v>
      </c>
    </row>
    <row r="1355" spans="1:39" x14ac:dyDescent="0.2">
      <c r="A1355" t="str">
        <f>"1351"</f>
        <v>1351</v>
      </c>
      <c r="B1355" t="str">
        <f t="shared" si="74"/>
        <v>1</v>
      </c>
      <c r="C1355" t="str">
        <f t="shared" ref="C1355:C1386" si="76">"28"</f>
        <v>28</v>
      </c>
      <c r="D1355" t="str">
        <f>"38"</f>
        <v>38</v>
      </c>
      <c r="E1355" t="str">
        <f>"1-28-38"</f>
        <v>1-28-38</v>
      </c>
      <c r="F1355" t="s">
        <v>65</v>
      </c>
      <c r="G1355" t="s">
        <v>66</v>
      </c>
      <c r="H1355" t="s">
        <v>67</v>
      </c>
      <c r="S1355">
        <v>0</v>
      </c>
      <c r="T1355">
        <v>1</v>
      </c>
      <c r="U1355">
        <v>0</v>
      </c>
      <c r="V1355">
        <v>0</v>
      </c>
      <c r="W1355">
        <v>1</v>
      </c>
      <c r="X1355">
        <v>0</v>
      </c>
      <c r="Y1355">
        <v>1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1</v>
      </c>
      <c r="AF1355">
        <v>1</v>
      </c>
      <c r="AG1355">
        <v>1</v>
      </c>
      <c r="AH1355">
        <v>1</v>
      </c>
      <c r="AI1355">
        <v>1</v>
      </c>
      <c r="AJ1355">
        <v>1</v>
      </c>
      <c r="AK1355">
        <v>1</v>
      </c>
      <c r="AL1355">
        <v>1</v>
      </c>
      <c r="AM1355">
        <v>1</v>
      </c>
    </row>
    <row r="1356" spans="1:39" x14ac:dyDescent="0.2">
      <c r="A1356" t="str">
        <f>"1352"</f>
        <v>1352</v>
      </c>
      <c r="B1356" t="str">
        <f t="shared" si="74"/>
        <v>1</v>
      </c>
      <c r="C1356" t="str">
        <f t="shared" si="76"/>
        <v>28</v>
      </c>
      <c r="D1356" t="str">
        <f>"37"</f>
        <v>37</v>
      </c>
      <c r="E1356" t="str">
        <f>"1-28-37"</f>
        <v>1-28-37</v>
      </c>
      <c r="F1356" t="s">
        <v>65</v>
      </c>
      <c r="G1356" t="s">
        <v>66</v>
      </c>
      <c r="H1356" t="s">
        <v>67</v>
      </c>
      <c r="S1356">
        <v>1</v>
      </c>
      <c r="T1356">
        <v>0</v>
      </c>
      <c r="U1356">
        <v>0</v>
      </c>
      <c r="V1356">
        <v>0</v>
      </c>
      <c r="W1356">
        <v>0</v>
      </c>
      <c r="X1356">
        <v>1</v>
      </c>
      <c r="Y1356">
        <v>1</v>
      </c>
      <c r="Z1356">
        <v>0</v>
      </c>
      <c r="AA1356">
        <v>0</v>
      </c>
      <c r="AB1356">
        <v>0</v>
      </c>
      <c r="AC1356">
        <v>1</v>
      </c>
      <c r="AD1356">
        <v>1</v>
      </c>
      <c r="AE1356">
        <v>1</v>
      </c>
      <c r="AF1356">
        <v>1</v>
      </c>
      <c r="AG1356">
        <v>1</v>
      </c>
      <c r="AH1356">
        <v>1</v>
      </c>
      <c r="AI1356">
        <v>1</v>
      </c>
      <c r="AJ1356">
        <v>1</v>
      </c>
      <c r="AK1356">
        <v>1</v>
      </c>
      <c r="AL1356">
        <v>1</v>
      </c>
      <c r="AM1356">
        <v>1</v>
      </c>
    </row>
    <row r="1357" spans="1:39" x14ac:dyDescent="0.2">
      <c r="A1357" t="str">
        <f>"1353"</f>
        <v>1353</v>
      </c>
      <c r="B1357" t="str">
        <f t="shared" si="74"/>
        <v>1</v>
      </c>
      <c r="C1357" t="str">
        <f t="shared" si="76"/>
        <v>28</v>
      </c>
      <c r="D1357" t="str">
        <f>"25"</f>
        <v>25</v>
      </c>
      <c r="E1357" t="str">
        <f>"1-28-25"</f>
        <v>1-28-25</v>
      </c>
      <c r="F1357" t="s">
        <v>65</v>
      </c>
      <c r="G1357" t="s">
        <v>66</v>
      </c>
      <c r="H1357" t="s">
        <v>67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1</v>
      </c>
      <c r="Y1357">
        <v>1</v>
      </c>
      <c r="Z1357">
        <v>0</v>
      </c>
      <c r="AA1357">
        <v>0</v>
      </c>
      <c r="AB1357">
        <v>1</v>
      </c>
      <c r="AC1357">
        <v>0</v>
      </c>
      <c r="AD1357">
        <v>1</v>
      </c>
      <c r="AE1357">
        <v>1</v>
      </c>
      <c r="AF1357">
        <v>1</v>
      </c>
      <c r="AG1357">
        <v>1</v>
      </c>
      <c r="AH1357">
        <v>1</v>
      </c>
      <c r="AI1357">
        <v>1</v>
      </c>
      <c r="AJ1357">
        <v>1</v>
      </c>
      <c r="AK1357">
        <v>1</v>
      </c>
      <c r="AL1357">
        <v>1</v>
      </c>
      <c r="AM1357">
        <v>1</v>
      </c>
    </row>
    <row r="1358" spans="1:39" x14ac:dyDescent="0.2">
      <c r="A1358" t="str">
        <f>"1354"</f>
        <v>1354</v>
      </c>
      <c r="B1358" t="str">
        <f t="shared" si="74"/>
        <v>1</v>
      </c>
      <c r="C1358" t="str">
        <f t="shared" si="76"/>
        <v>28</v>
      </c>
      <c r="D1358" t="str">
        <f>"24"</f>
        <v>24</v>
      </c>
      <c r="E1358" t="str">
        <f>"1-28-24"</f>
        <v>1-28-24</v>
      </c>
      <c r="F1358" t="s">
        <v>65</v>
      </c>
      <c r="G1358" t="s">
        <v>66</v>
      </c>
      <c r="H1358" t="s">
        <v>67</v>
      </c>
      <c r="S1358">
        <v>1</v>
      </c>
      <c r="T1358">
        <v>0</v>
      </c>
      <c r="U1358">
        <v>0</v>
      </c>
      <c r="V1358">
        <v>0</v>
      </c>
      <c r="W1358">
        <v>0</v>
      </c>
      <c r="X1358">
        <v>1</v>
      </c>
      <c r="Y1358">
        <v>1</v>
      </c>
      <c r="Z1358">
        <v>0</v>
      </c>
      <c r="AA1358">
        <v>0</v>
      </c>
      <c r="AB1358">
        <v>1</v>
      </c>
      <c r="AC1358">
        <v>0</v>
      </c>
      <c r="AD1358">
        <v>1</v>
      </c>
      <c r="AE1358">
        <v>1</v>
      </c>
      <c r="AF1358">
        <v>1</v>
      </c>
      <c r="AG1358">
        <v>1</v>
      </c>
      <c r="AH1358">
        <v>1</v>
      </c>
      <c r="AI1358">
        <v>1</v>
      </c>
      <c r="AJ1358">
        <v>1</v>
      </c>
      <c r="AK1358">
        <v>1</v>
      </c>
      <c r="AL1358">
        <v>1</v>
      </c>
      <c r="AM1358">
        <v>1</v>
      </c>
    </row>
    <row r="1359" spans="1:39" x14ac:dyDescent="0.2">
      <c r="A1359" t="str">
        <f>"1355"</f>
        <v>1355</v>
      </c>
      <c r="B1359" t="str">
        <f t="shared" si="74"/>
        <v>1</v>
      </c>
      <c r="C1359" t="str">
        <f t="shared" si="76"/>
        <v>28</v>
      </c>
      <c r="D1359" t="str">
        <f>"18"</f>
        <v>18</v>
      </c>
      <c r="E1359" t="str">
        <f>"1-28-18"</f>
        <v>1-28-18</v>
      </c>
      <c r="F1359" t="s">
        <v>65</v>
      </c>
      <c r="G1359" t="s">
        <v>66</v>
      </c>
      <c r="H1359" t="s">
        <v>67</v>
      </c>
      <c r="S1359">
        <v>1</v>
      </c>
      <c r="T1359">
        <v>0</v>
      </c>
      <c r="U1359">
        <v>0</v>
      </c>
      <c r="V1359">
        <v>0</v>
      </c>
      <c r="W1359">
        <v>1</v>
      </c>
      <c r="X1359">
        <v>0</v>
      </c>
      <c r="Y1359">
        <v>1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1</v>
      </c>
      <c r="AF1359">
        <v>1</v>
      </c>
      <c r="AG1359">
        <v>1</v>
      </c>
      <c r="AH1359">
        <v>1</v>
      </c>
      <c r="AI1359">
        <v>1</v>
      </c>
      <c r="AJ1359">
        <v>1</v>
      </c>
      <c r="AK1359">
        <v>1</v>
      </c>
      <c r="AL1359">
        <v>1</v>
      </c>
      <c r="AM1359">
        <v>1</v>
      </c>
    </row>
    <row r="1360" spans="1:39" x14ac:dyDescent="0.2">
      <c r="A1360" t="str">
        <f>"1356"</f>
        <v>1356</v>
      </c>
      <c r="B1360" t="str">
        <f t="shared" si="74"/>
        <v>1</v>
      </c>
      <c r="C1360" t="str">
        <f t="shared" si="76"/>
        <v>28</v>
      </c>
      <c r="D1360" t="str">
        <f>"15"</f>
        <v>15</v>
      </c>
      <c r="E1360" t="str">
        <f>"1-28-15"</f>
        <v>1-28-15</v>
      </c>
      <c r="F1360" t="s">
        <v>65</v>
      </c>
      <c r="G1360" t="s">
        <v>66</v>
      </c>
      <c r="H1360" t="s">
        <v>67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1</v>
      </c>
      <c r="Y1360">
        <v>1</v>
      </c>
      <c r="Z1360">
        <v>0</v>
      </c>
      <c r="AA1360">
        <v>0</v>
      </c>
      <c r="AB1360">
        <v>1</v>
      </c>
      <c r="AC1360">
        <v>0</v>
      </c>
      <c r="AD1360">
        <v>1</v>
      </c>
      <c r="AE1360">
        <v>1</v>
      </c>
      <c r="AF1360">
        <v>1</v>
      </c>
      <c r="AG1360">
        <v>1</v>
      </c>
      <c r="AH1360">
        <v>0</v>
      </c>
      <c r="AI1360">
        <v>1</v>
      </c>
      <c r="AJ1360">
        <v>1</v>
      </c>
      <c r="AK1360">
        <v>1</v>
      </c>
      <c r="AL1360">
        <v>1</v>
      </c>
      <c r="AM1360">
        <v>1</v>
      </c>
    </row>
    <row r="1361" spans="1:39" x14ac:dyDescent="0.2">
      <c r="A1361" t="str">
        <f>"1357"</f>
        <v>1357</v>
      </c>
      <c r="B1361" t="str">
        <f t="shared" si="74"/>
        <v>1</v>
      </c>
      <c r="C1361" t="str">
        <f t="shared" si="76"/>
        <v>28</v>
      </c>
      <c r="D1361" t="str">
        <f>"1"</f>
        <v>1</v>
      </c>
      <c r="E1361" t="str">
        <f>"1-28-1"</f>
        <v>1-28-1</v>
      </c>
      <c r="F1361" t="s">
        <v>65</v>
      </c>
      <c r="G1361" t="s">
        <v>66</v>
      </c>
      <c r="H1361" t="s">
        <v>67</v>
      </c>
      <c r="S1361">
        <v>1</v>
      </c>
      <c r="T1361">
        <v>0</v>
      </c>
      <c r="U1361">
        <v>0</v>
      </c>
      <c r="V1361">
        <v>0</v>
      </c>
      <c r="W1361">
        <v>1</v>
      </c>
      <c r="X1361">
        <v>0</v>
      </c>
      <c r="Y1361">
        <v>0</v>
      </c>
      <c r="Z1361">
        <v>1</v>
      </c>
      <c r="AA1361">
        <v>0</v>
      </c>
      <c r="AB1361">
        <v>0</v>
      </c>
      <c r="AC1361">
        <v>1</v>
      </c>
      <c r="AD1361">
        <v>0</v>
      </c>
      <c r="AE1361">
        <v>0</v>
      </c>
      <c r="AF1361">
        <v>0</v>
      </c>
      <c r="AG1361">
        <v>0</v>
      </c>
      <c r="AH1361">
        <v>1</v>
      </c>
      <c r="AI1361">
        <v>1</v>
      </c>
      <c r="AJ1361">
        <v>0</v>
      </c>
      <c r="AK1361">
        <v>0</v>
      </c>
      <c r="AL1361">
        <v>0</v>
      </c>
      <c r="AM1361">
        <v>1</v>
      </c>
    </row>
    <row r="1362" spans="1:39" x14ac:dyDescent="0.2">
      <c r="A1362" t="str">
        <f>"1358"</f>
        <v>1358</v>
      </c>
      <c r="B1362" t="str">
        <f t="shared" si="74"/>
        <v>1</v>
      </c>
      <c r="C1362" t="str">
        <f t="shared" si="76"/>
        <v>28</v>
      </c>
      <c r="D1362" t="str">
        <f>"36"</f>
        <v>36</v>
      </c>
      <c r="E1362" t="str">
        <f>"1-28-36"</f>
        <v>1-28-36</v>
      </c>
      <c r="F1362" t="s">
        <v>65</v>
      </c>
      <c r="G1362" t="s">
        <v>66</v>
      </c>
      <c r="H1362" t="s">
        <v>67</v>
      </c>
      <c r="S1362">
        <v>1</v>
      </c>
      <c r="T1362">
        <v>0</v>
      </c>
      <c r="U1362">
        <v>0</v>
      </c>
      <c r="V1362">
        <v>0</v>
      </c>
      <c r="W1362">
        <v>1</v>
      </c>
      <c r="X1362">
        <v>0</v>
      </c>
      <c r="Y1362">
        <v>0</v>
      </c>
      <c r="Z1362">
        <v>1</v>
      </c>
      <c r="AA1362">
        <v>0</v>
      </c>
      <c r="AB1362">
        <v>1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1</v>
      </c>
      <c r="AI1362">
        <v>0</v>
      </c>
      <c r="AJ1362">
        <v>0</v>
      </c>
      <c r="AK1362">
        <v>0</v>
      </c>
      <c r="AL1362">
        <v>0</v>
      </c>
      <c r="AM1362">
        <v>0</v>
      </c>
    </row>
    <row r="1363" spans="1:39" x14ac:dyDescent="0.2">
      <c r="A1363" t="str">
        <f>"1359"</f>
        <v>1359</v>
      </c>
      <c r="B1363" t="str">
        <f t="shared" si="74"/>
        <v>1</v>
      </c>
      <c r="C1363" t="str">
        <f t="shared" si="76"/>
        <v>28</v>
      </c>
      <c r="D1363" t="str">
        <f>"35"</f>
        <v>35</v>
      </c>
      <c r="E1363" t="str">
        <f>"1-28-35"</f>
        <v>1-28-35</v>
      </c>
      <c r="F1363" t="s">
        <v>65</v>
      </c>
      <c r="G1363" t="s">
        <v>66</v>
      </c>
      <c r="H1363" t="s">
        <v>67</v>
      </c>
      <c r="S1363">
        <v>0</v>
      </c>
      <c r="T1363">
        <v>1</v>
      </c>
      <c r="U1363">
        <v>0</v>
      </c>
      <c r="V1363">
        <v>0</v>
      </c>
      <c r="W1363">
        <v>0</v>
      </c>
      <c r="X1363">
        <v>1</v>
      </c>
      <c r="Y1363">
        <v>0</v>
      </c>
      <c r="Z1363">
        <v>1</v>
      </c>
      <c r="AA1363">
        <v>0</v>
      </c>
      <c r="AB1363">
        <v>1</v>
      </c>
      <c r="AC1363">
        <v>0</v>
      </c>
      <c r="AD1363">
        <v>1</v>
      </c>
      <c r="AE1363">
        <v>1</v>
      </c>
      <c r="AF1363">
        <v>1</v>
      </c>
      <c r="AG1363">
        <v>1</v>
      </c>
      <c r="AH1363">
        <v>1</v>
      </c>
      <c r="AI1363">
        <v>1</v>
      </c>
      <c r="AJ1363">
        <v>1</v>
      </c>
      <c r="AK1363">
        <v>1</v>
      </c>
      <c r="AL1363">
        <v>1</v>
      </c>
      <c r="AM1363">
        <v>1</v>
      </c>
    </row>
    <row r="1364" spans="1:39" x14ac:dyDescent="0.2">
      <c r="A1364" t="str">
        <f>"1360"</f>
        <v>1360</v>
      </c>
      <c r="B1364" t="str">
        <f t="shared" si="74"/>
        <v>1</v>
      </c>
      <c r="C1364" t="str">
        <f t="shared" si="76"/>
        <v>28</v>
      </c>
      <c r="D1364" t="str">
        <f>"29"</f>
        <v>29</v>
      </c>
      <c r="E1364" t="str">
        <f>"1-28-29"</f>
        <v>1-28-29</v>
      </c>
      <c r="F1364" t="s">
        <v>65</v>
      </c>
      <c r="G1364" t="s">
        <v>66</v>
      </c>
      <c r="H1364" t="s">
        <v>67</v>
      </c>
      <c r="S1364">
        <v>1</v>
      </c>
      <c r="T1364">
        <v>0</v>
      </c>
      <c r="U1364">
        <v>0</v>
      </c>
      <c r="V1364">
        <v>0</v>
      </c>
      <c r="W1364">
        <v>1</v>
      </c>
      <c r="X1364">
        <v>0</v>
      </c>
      <c r="Y1364">
        <v>0</v>
      </c>
      <c r="Z1364">
        <v>1</v>
      </c>
      <c r="AA1364">
        <v>1</v>
      </c>
      <c r="AB1364">
        <v>0</v>
      </c>
      <c r="AC1364">
        <v>0</v>
      </c>
      <c r="AD1364">
        <v>1</v>
      </c>
      <c r="AE1364">
        <v>1</v>
      </c>
      <c r="AF1364">
        <v>1</v>
      </c>
      <c r="AG1364">
        <v>1</v>
      </c>
      <c r="AH1364">
        <v>1</v>
      </c>
      <c r="AI1364">
        <v>1</v>
      </c>
      <c r="AJ1364">
        <v>1</v>
      </c>
      <c r="AK1364">
        <v>1</v>
      </c>
      <c r="AL1364">
        <v>1</v>
      </c>
      <c r="AM1364">
        <v>1</v>
      </c>
    </row>
    <row r="1365" spans="1:39" x14ac:dyDescent="0.2">
      <c r="A1365" t="str">
        <f>"1361"</f>
        <v>1361</v>
      </c>
      <c r="B1365" t="str">
        <f t="shared" si="74"/>
        <v>1</v>
      </c>
      <c r="C1365" t="str">
        <f t="shared" si="76"/>
        <v>28</v>
      </c>
      <c r="D1365" t="str">
        <f>"16"</f>
        <v>16</v>
      </c>
      <c r="E1365" t="str">
        <f>"1-28-16"</f>
        <v>1-28-16</v>
      </c>
      <c r="F1365" t="s">
        <v>65</v>
      </c>
      <c r="G1365" t="s">
        <v>66</v>
      </c>
      <c r="H1365" t="s">
        <v>67</v>
      </c>
      <c r="S1365">
        <v>1</v>
      </c>
      <c r="T1365">
        <v>0</v>
      </c>
      <c r="U1365">
        <v>0</v>
      </c>
      <c r="V1365">
        <v>0</v>
      </c>
      <c r="W1365">
        <v>1</v>
      </c>
      <c r="X1365">
        <v>0</v>
      </c>
      <c r="Y1365">
        <v>0</v>
      </c>
      <c r="Z1365">
        <v>1</v>
      </c>
      <c r="AA1365">
        <v>0</v>
      </c>
      <c r="AB1365">
        <v>1</v>
      </c>
      <c r="AC1365">
        <v>0</v>
      </c>
      <c r="AD1365">
        <v>1</v>
      </c>
      <c r="AE1365">
        <v>1</v>
      </c>
      <c r="AF1365">
        <v>1</v>
      </c>
      <c r="AG1365">
        <v>1</v>
      </c>
      <c r="AH1365">
        <v>1</v>
      </c>
      <c r="AI1365">
        <v>1</v>
      </c>
      <c r="AJ1365">
        <v>1</v>
      </c>
      <c r="AK1365">
        <v>1</v>
      </c>
      <c r="AL1365">
        <v>1</v>
      </c>
      <c r="AM1365">
        <v>1</v>
      </c>
    </row>
    <row r="1366" spans="1:39" x14ac:dyDescent="0.2">
      <c r="A1366" t="str">
        <f>"1362"</f>
        <v>1362</v>
      </c>
      <c r="B1366" t="str">
        <f t="shared" si="74"/>
        <v>1</v>
      </c>
      <c r="C1366" t="str">
        <f t="shared" si="76"/>
        <v>28</v>
      </c>
      <c r="D1366" t="str">
        <f>"45"</f>
        <v>45</v>
      </c>
      <c r="E1366" t="str">
        <f>"1-28-45"</f>
        <v>1-28-45</v>
      </c>
      <c r="F1366" t="s">
        <v>65</v>
      </c>
      <c r="G1366" t="s">
        <v>66</v>
      </c>
      <c r="H1366" t="s">
        <v>67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1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</row>
    <row r="1367" spans="1:39" x14ac:dyDescent="0.2">
      <c r="A1367" t="str">
        <f>"1363"</f>
        <v>1363</v>
      </c>
      <c r="B1367" t="str">
        <f t="shared" si="74"/>
        <v>1</v>
      </c>
      <c r="C1367" t="str">
        <f t="shared" si="76"/>
        <v>28</v>
      </c>
      <c r="D1367" t="str">
        <f>"44"</f>
        <v>44</v>
      </c>
      <c r="E1367" t="str">
        <f>"1-28-44"</f>
        <v>1-28-44</v>
      </c>
      <c r="F1367" t="s">
        <v>65</v>
      </c>
      <c r="G1367" t="s">
        <v>66</v>
      </c>
      <c r="H1367" t="s">
        <v>67</v>
      </c>
      <c r="S1367">
        <v>1</v>
      </c>
      <c r="T1367">
        <v>0</v>
      </c>
      <c r="U1367">
        <v>0</v>
      </c>
      <c r="V1367">
        <v>0</v>
      </c>
      <c r="W1367">
        <v>1</v>
      </c>
      <c r="X1367">
        <v>0</v>
      </c>
      <c r="Y1367">
        <v>1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1</v>
      </c>
      <c r="AF1367">
        <v>1</v>
      </c>
      <c r="AG1367">
        <v>1</v>
      </c>
      <c r="AH1367">
        <v>1</v>
      </c>
      <c r="AI1367">
        <v>1</v>
      </c>
      <c r="AJ1367">
        <v>1</v>
      </c>
      <c r="AK1367">
        <v>1</v>
      </c>
      <c r="AL1367">
        <v>1</v>
      </c>
      <c r="AM1367">
        <v>1</v>
      </c>
    </row>
    <row r="1368" spans="1:39" x14ac:dyDescent="0.2">
      <c r="A1368" t="str">
        <f>"1364"</f>
        <v>1364</v>
      </c>
      <c r="B1368" t="str">
        <f t="shared" si="74"/>
        <v>1</v>
      </c>
      <c r="C1368" t="str">
        <f t="shared" si="76"/>
        <v>28</v>
      </c>
      <c r="D1368" t="str">
        <f>"33"</f>
        <v>33</v>
      </c>
      <c r="E1368" t="str">
        <f>"1-28-33"</f>
        <v>1-28-33</v>
      </c>
      <c r="F1368" t="s">
        <v>65</v>
      </c>
      <c r="G1368" t="s">
        <v>66</v>
      </c>
      <c r="H1368" t="s">
        <v>67</v>
      </c>
      <c r="S1368">
        <v>1</v>
      </c>
      <c r="T1368">
        <v>0</v>
      </c>
      <c r="U1368">
        <v>0</v>
      </c>
      <c r="V1368">
        <v>0</v>
      </c>
      <c r="W1368">
        <v>0</v>
      </c>
      <c r="X1368">
        <v>1</v>
      </c>
      <c r="Y1368">
        <v>1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1</v>
      </c>
      <c r="AF1368">
        <v>1</v>
      </c>
      <c r="AG1368">
        <v>1</v>
      </c>
      <c r="AH1368">
        <v>1</v>
      </c>
      <c r="AI1368">
        <v>1</v>
      </c>
      <c r="AJ1368">
        <v>1</v>
      </c>
      <c r="AK1368">
        <v>1</v>
      </c>
      <c r="AL1368">
        <v>1</v>
      </c>
      <c r="AM1368">
        <v>1</v>
      </c>
    </row>
    <row r="1369" spans="1:39" x14ac:dyDescent="0.2">
      <c r="A1369" t="str">
        <f>"1365"</f>
        <v>1365</v>
      </c>
      <c r="B1369" t="str">
        <f t="shared" si="74"/>
        <v>1</v>
      </c>
      <c r="C1369" t="str">
        <f t="shared" si="76"/>
        <v>28</v>
      </c>
      <c r="D1369" t="str">
        <f>"17"</f>
        <v>17</v>
      </c>
      <c r="E1369" t="str">
        <f>"1-28-17"</f>
        <v>1-28-17</v>
      </c>
      <c r="F1369" t="s">
        <v>65</v>
      </c>
      <c r="G1369" t="s">
        <v>66</v>
      </c>
      <c r="H1369" t="s">
        <v>67</v>
      </c>
      <c r="S1369">
        <v>1</v>
      </c>
      <c r="T1369">
        <v>0</v>
      </c>
      <c r="U1369">
        <v>0</v>
      </c>
      <c r="V1369">
        <v>0</v>
      </c>
      <c r="W1369">
        <v>1</v>
      </c>
      <c r="X1369">
        <v>0</v>
      </c>
      <c r="Y1369">
        <v>1</v>
      </c>
      <c r="Z1369">
        <v>0</v>
      </c>
      <c r="AA1369">
        <v>0</v>
      </c>
      <c r="AB1369">
        <v>0</v>
      </c>
      <c r="AC1369">
        <v>1</v>
      </c>
      <c r="AD1369">
        <v>1</v>
      </c>
      <c r="AE1369">
        <v>1</v>
      </c>
      <c r="AF1369">
        <v>1</v>
      </c>
      <c r="AG1369">
        <v>1</v>
      </c>
      <c r="AH1369">
        <v>1</v>
      </c>
      <c r="AI1369">
        <v>1</v>
      </c>
      <c r="AJ1369">
        <v>1</v>
      </c>
      <c r="AK1369">
        <v>1</v>
      </c>
      <c r="AL1369">
        <v>1</v>
      </c>
      <c r="AM1369">
        <v>1</v>
      </c>
    </row>
    <row r="1370" spans="1:39" x14ac:dyDescent="0.2">
      <c r="A1370" t="str">
        <f>"1366"</f>
        <v>1366</v>
      </c>
      <c r="B1370" t="str">
        <f t="shared" si="74"/>
        <v>1</v>
      </c>
      <c r="C1370" t="str">
        <f t="shared" si="76"/>
        <v>28</v>
      </c>
      <c r="D1370" t="str">
        <f>"7"</f>
        <v>7</v>
      </c>
      <c r="E1370" t="str">
        <f>"1-28-7"</f>
        <v>1-28-7</v>
      </c>
      <c r="F1370" t="s">
        <v>65</v>
      </c>
      <c r="G1370" t="s">
        <v>66</v>
      </c>
      <c r="H1370" t="s">
        <v>67</v>
      </c>
      <c r="S1370">
        <v>0</v>
      </c>
      <c r="T1370">
        <v>1</v>
      </c>
      <c r="U1370">
        <v>0</v>
      </c>
      <c r="V1370">
        <v>0</v>
      </c>
      <c r="W1370">
        <v>1</v>
      </c>
      <c r="X1370">
        <v>0</v>
      </c>
      <c r="Y1370">
        <v>1</v>
      </c>
      <c r="Z1370">
        <v>0</v>
      </c>
      <c r="AA1370">
        <v>0</v>
      </c>
      <c r="AB1370">
        <v>1</v>
      </c>
      <c r="AC1370">
        <v>0</v>
      </c>
      <c r="AD1370">
        <v>1</v>
      </c>
      <c r="AE1370">
        <v>1</v>
      </c>
      <c r="AF1370">
        <v>1</v>
      </c>
      <c r="AG1370">
        <v>1</v>
      </c>
      <c r="AH1370">
        <v>1</v>
      </c>
      <c r="AI1370">
        <v>1</v>
      </c>
      <c r="AJ1370">
        <v>1</v>
      </c>
      <c r="AK1370">
        <v>1</v>
      </c>
      <c r="AL1370">
        <v>1</v>
      </c>
      <c r="AM1370">
        <v>1</v>
      </c>
    </row>
    <row r="1371" spans="1:39" x14ac:dyDescent="0.2">
      <c r="A1371" t="str">
        <f>"1367"</f>
        <v>1367</v>
      </c>
      <c r="B1371" t="str">
        <f t="shared" si="74"/>
        <v>1</v>
      </c>
      <c r="C1371" t="str">
        <f t="shared" si="76"/>
        <v>28</v>
      </c>
      <c r="D1371" t="str">
        <f>"43"</f>
        <v>43</v>
      </c>
      <c r="E1371" t="str">
        <f>"1-28-43"</f>
        <v>1-28-43</v>
      </c>
      <c r="F1371" t="s">
        <v>65</v>
      </c>
      <c r="G1371" t="s">
        <v>66</v>
      </c>
      <c r="H1371" t="s">
        <v>67</v>
      </c>
      <c r="S1371">
        <v>0</v>
      </c>
      <c r="T1371">
        <v>1</v>
      </c>
      <c r="U1371">
        <v>0</v>
      </c>
      <c r="V1371">
        <v>0</v>
      </c>
      <c r="W1371">
        <v>1</v>
      </c>
      <c r="X1371">
        <v>0</v>
      </c>
      <c r="Y1371">
        <v>1</v>
      </c>
      <c r="Z1371">
        <v>0</v>
      </c>
      <c r="AA1371">
        <v>0</v>
      </c>
      <c r="AB1371">
        <v>1</v>
      </c>
      <c r="AC1371">
        <v>0</v>
      </c>
      <c r="AD1371">
        <v>1</v>
      </c>
      <c r="AE1371">
        <v>1</v>
      </c>
      <c r="AF1371">
        <v>1</v>
      </c>
      <c r="AG1371">
        <v>1</v>
      </c>
      <c r="AH1371">
        <v>1</v>
      </c>
      <c r="AI1371">
        <v>1</v>
      </c>
      <c r="AJ1371">
        <v>1</v>
      </c>
      <c r="AK1371">
        <v>1</v>
      </c>
      <c r="AL1371">
        <v>1</v>
      </c>
      <c r="AM1371">
        <v>1</v>
      </c>
    </row>
    <row r="1372" spans="1:39" x14ac:dyDescent="0.2">
      <c r="A1372" t="str">
        <f>"1368"</f>
        <v>1368</v>
      </c>
      <c r="B1372" t="str">
        <f t="shared" si="74"/>
        <v>1</v>
      </c>
      <c r="C1372" t="str">
        <f t="shared" si="76"/>
        <v>28</v>
      </c>
      <c r="D1372" t="str">
        <f>"42"</f>
        <v>42</v>
      </c>
      <c r="E1372" t="str">
        <f>"1-28-42"</f>
        <v>1-28-42</v>
      </c>
      <c r="F1372" t="s">
        <v>65</v>
      </c>
      <c r="G1372" t="s">
        <v>66</v>
      </c>
      <c r="H1372" t="s">
        <v>67</v>
      </c>
      <c r="S1372">
        <v>1</v>
      </c>
      <c r="T1372">
        <v>0</v>
      </c>
      <c r="U1372">
        <v>0</v>
      </c>
      <c r="V1372">
        <v>0</v>
      </c>
      <c r="W1372">
        <v>1</v>
      </c>
      <c r="X1372">
        <v>0</v>
      </c>
      <c r="Y1372">
        <v>1</v>
      </c>
      <c r="Z1372">
        <v>0</v>
      </c>
      <c r="AA1372">
        <v>0</v>
      </c>
      <c r="AB1372">
        <v>1</v>
      </c>
      <c r="AC1372">
        <v>0</v>
      </c>
      <c r="AD1372">
        <v>1</v>
      </c>
      <c r="AE1372">
        <v>1</v>
      </c>
      <c r="AF1372">
        <v>1</v>
      </c>
      <c r="AG1372">
        <v>1</v>
      </c>
      <c r="AH1372">
        <v>1</v>
      </c>
      <c r="AI1372">
        <v>1</v>
      </c>
      <c r="AJ1372">
        <v>1</v>
      </c>
      <c r="AK1372">
        <v>1</v>
      </c>
      <c r="AL1372">
        <v>1</v>
      </c>
      <c r="AM1372">
        <v>1</v>
      </c>
    </row>
    <row r="1373" spans="1:39" x14ac:dyDescent="0.2">
      <c r="A1373" t="str">
        <f>"1369"</f>
        <v>1369</v>
      </c>
      <c r="B1373" t="str">
        <f t="shared" si="74"/>
        <v>1</v>
      </c>
      <c r="C1373" t="str">
        <f t="shared" si="76"/>
        <v>28</v>
      </c>
      <c r="D1373" t="str">
        <f>"34"</f>
        <v>34</v>
      </c>
      <c r="E1373" t="str">
        <f>"1-28-34"</f>
        <v>1-28-34</v>
      </c>
      <c r="F1373" t="s">
        <v>65</v>
      </c>
      <c r="G1373" t="s">
        <v>66</v>
      </c>
      <c r="H1373" t="s">
        <v>67</v>
      </c>
      <c r="S1373">
        <v>0</v>
      </c>
      <c r="T1373">
        <v>1</v>
      </c>
      <c r="U1373">
        <v>0</v>
      </c>
      <c r="V1373">
        <v>0</v>
      </c>
      <c r="W1373">
        <v>0</v>
      </c>
      <c r="X1373">
        <v>1</v>
      </c>
      <c r="Y1373">
        <v>0</v>
      </c>
      <c r="Z1373">
        <v>1</v>
      </c>
      <c r="AA1373">
        <v>0</v>
      </c>
      <c r="AB1373">
        <v>1</v>
      </c>
      <c r="AC1373">
        <v>0</v>
      </c>
      <c r="AD1373">
        <v>1</v>
      </c>
      <c r="AE1373">
        <v>1</v>
      </c>
      <c r="AF1373">
        <v>1</v>
      </c>
      <c r="AG1373">
        <v>1</v>
      </c>
      <c r="AH1373">
        <v>1</v>
      </c>
      <c r="AI1373">
        <v>1</v>
      </c>
      <c r="AJ1373">
        <v>1</v>
      </c>
      <c r="AK1373">
        <v>1</v>
      </c>
      <c r="AL1373">
        <v>1</v>
      </c>
      <c r="AM1373">
        <v>1</v>
      </c>
    </row>
    <row r="1374" spans="1:39" x14ac:dyDescent="0.2">
      <c r="A1374" t="str">
        <f>"1370"</f>
        <v>1370</v>
      </c>
      <c r="B1374" t="str">
        <f t="shared" si="74"/>
        <v>1</v>
      </c>
      <c r="C1374" t="str">
        <f t="shared" si="76"/>
        <v>28</v>
      </c>
      <c r="D1374" t="str">
        <f>"19"</f>
        <v>19</v>
      </c>
      <c r="E1374" t="str">
        <f>"1-28-19"</f>
        <v>1-28-19</v>
      </c>
      <c r="F1374" t="s">
        <v>65</v>
      </c>
      <c r="G1374" t="s">
        <v>66</v>
      </c>
      <c r="H1374" t="s">
        <v>67</v>
      </c>
      <c r="S1374">
        <v>0</v>
      </c>
      <c r="T1374">
        <v>1</v>
      </c>
      <c r="U1374">
        <v>0</v>
      </c>
      <c r="V1374">
        <v>0</v>
      </c>
      <c r="W1374">
        <v>1</v>
      </c>
      <c r="X1374">
        <v>0</v>
      </c>
      <c r="Y1374">
        <v>1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1</v>
      </c>
      <c r="AF1374">
        <v>1</v>
      </c>
      <c r="AG1374">
        <v>1</v>
      </c>
      <c r="AH1374">
        <v>1</v>
      </c>
      <c r="AI1374">
        <v>1</v>
      </c>
      <c r="AJ1374">
        <v>1</v>
      </c>
      <c r="AK1374">
        <v>1</v>
      </c>
      <c r="AL1374">
        <v>1</v>
      </c>
      <c r="AM1374">
        <v>1</v>
      </c>
    </row>
    <row r="1375" spans="1:39" x14ac:dyDescent="0.2">
      <c r="A1375" t="str">
        <f>"1371"</f>
        <v>1371</v>
      </c>
      <c r="B1375" t="str">
        <f t="shared" si="74"/>
        <v>1</v>
      </c>
      <c r="C1375" t="str">
        <f t="shared" si="76"/>
        <v>28</v>
      </c>
      <c r="D1375" t="str">
        <f>"6"</f>
        <v>6</v>
      </c>
      <c r="E1375" t="str">
        <f>"1-28-6"</f>
        <v>1-28-6</v>
      </c>
      <c r="F1375" t="s">
        <v>65</v>
      </c>
      <c r="G1375" t="s">
        <v>66</v>
      </c>
      <c r="H1375" t="s">
        <v>67</v>
      </c>
      <c r="S1375">
        <v>0</v>
      </c>
      <c r="T1375">
        <v>1</v>
      </c>
      <c r="U1375">
        <v>0</v>
      </c>
      <c r="V1375">
        <v>0</v>
      </c>
      <c r="W1375">
        <v>1</v>
      </c>
      <c r="X1375">
        <v>0</v>
      </c>
      <c r="Y1375">
        <v>1</v>
      </c>
      <c r="Z1375">
        <v>0</v>
      </c>
      <c r="AA1375">
        <v>0</v>
      </c>
      <c r="AB1375">
        <v>1</v>
      </c>
      <c r="AC1375">
        <v>0</v>
      </c>
      <c r="AD1375">
        <v>1</v>
      </c>
      <c r="AE1375">
        <v>1</v>
      </c>
      <c r="AF1375">
        <v>1</v>
      </c>
      <c r="AG1375">
        <v>1</v>
      </c>
      <c r="AH1375">
        <v>1</v>
      </c>
      <c r="AI1375">
        <v>1</v>
      </c>
      <c r="AJ1375">
        <v>1</v>
      </c>
      <c r="AK1375">
        <v>1</v>
      </c>
      <c r="AL1375">
        <v>1</v>
      </c>
      <c r="AM1375">
        <v>1</v>
      </c>
    </row>
    <row r="1376" spans="1:39" x14ac:dyDescent="0.2">
      <c r="A1376" t="str">
        <f>"1372"</f>
        <v>1372</v>
      </c>
      <c r="B1376" t="str">
        <f t="shared" si="74"/>
        <v>1</v>
      </c>
      <c r="C1376" t="str">
        <f t="shared" si="76"/>
        <v>28</v>
      </c>
      <c r="D1376" t="str">
        <f>"39"</f>
        <v>39</v>
      </c>
      <c r="E1376" t="str">
        <f>"1-28-39"</f>
        <v>1-28-39</v>
      </c>
      <c r="F1376" t="s">
        <v>65</v>
      </c>
      <c r="G1376" t="s">
        <v>66</v>
      </c>
      <c r="H1376" t="s">
        <v>67</v>
      </c>
      <c r="S1376">
        <v>1</v>
      </c>
      <c r="T1376">
        <v>0</v>
      </c>
      <c r="U1376">
        <v>0</v>
      </c>
      <c r="V1376">
        <v>0</v>
      </c>
      <c r="W1376">
        <v>1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1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</row>
    <row r="1377" spans="1:39" x14ac:dyDescent="0.2">
      <c r="A1377" t="str">
        <f>"1373"</f>
        <v>1373</v>
      </c>
      <c r="B1377" t="str">
        <f t="shared" si="74"/>
        <v>1</v>
      </c>
      <c r="C1377" t="str">
        <f t="shared" si="76"/>
        <v>28</v>
      </c>
      <c r="D1377" t="str">
        <f>"20"</f>
        <v>20</v>
      </c>
      <c r="E1377" t="str">
        <f>"1-28-20"</f>
        <v>1-28-20</v>
      </c>
      <c r="F1377" t="s">
        <v>65</v>
      </c>
      <c r="G1377" t="s">
        <v>66</v>
      </c>
      <c r="H1377" t="s">
        <v>67</v>
      </c>
      <c r="S1377">
        <v>1</v>
      </c>
      <c r="T1377">
        <v>0</v>
      </c>
      <c r="U1377">
        <v>0</v>
      </c>
      <c r="V1377">
        <v>0</v>
      </c>
      <c r="W1377">
        <v>1</v>
      </c>
      <c r="X1377">
        <v>0</v>
      </c>
      <c r="Y1377">
        <v>1</v>
      </c>
      <c r="Z1377">
        <v>0</v>
      </c>
      <c r="AA1377">
        <v>0</v>
      </c>
      <c r="AB1377">
        <v>1</v>
      </c>
      <c r="AC1377">
        <v>0</v>
      </c>
      <c r="AD1377">
        <v>1</v>
      </c>
      <c r="AE1377">
        <v>1</v>
      </c>
      <c r="AF1377">
        <v>1</v>
      </c>
      <c r="AG1377">
        <v>1</v>
      </c>
      <c r="AH1377">
        <v>1</v>
      </c>
      <c r="AI1377">
        <v>1</v>
      </c>
      <c r="AJ1377">
        <v>1</v>
      </c>
      <c r="AK1377">
        <v>1</v>
      </c>
      <c r="AL1377">
        <v>1</v>
      </c>
      <c r="AM1377">
        <v>1</v>
      </c>
    </row>
    <row r="1378" spans="1:39" x14ac:dyDescent="0.2">
      <c r="A1378" t="str">
        <f>"1374"</f>
        <v>1374</v>
      </c>
      <c r="B1378" t="str">
        <f t="shared" si="74"/>
        <v>1</v>
      </c>
      <c r="C1378" t="str">
        <f t="shared" si="76"/>
        <v>28</v>
      </c>
      <c r="D1378" t="str">
        <f>"5"</f>
        <v>5</v>
      </c>
      <c r="E1378" t="str">
        <f>"1-28-5"</f>
        <v>1-28-5</v>
      </c>
      <c r="F1378" t="s">
        <v>65</v>
      </c>
      <c r="G1378" t="s">
        <v>66</v>
      </c>
      <c r="H1378" t="s">
        <v>67</v>
      </c>
      <c r="S1378">
        <v>1</v>
      </c>
      <c r="T1378">
        <v>0</v>
      </c>
      <c r="U1378">
        <v>0</v>
      </c>
      <c r="V1378">
        <v>0</v>
      </c>
      <c r="W1378">
        <v>0</v>
      </c>
      <c r="X1378">
        <v>1</v>
      </c>
      <c r="Y1378">
        <v>0</v>
      </c>
      <c r="Z1378">
        <v>1</v>
      </c>
      <c r="AA1378">
        <v>1</v>
      </c>
      <c r="AB1378">
        <v>0</v>
      </c>
      <c r="AC1378">
        <v>0</v>
      </c>
      <c r="AD1378">
        <v>1</v>
      </c>
      <c r="AE1378">
        <v>1</v>
      </c>
      <c r="AF1378">
        <v>1</v>
      </c>
      <c r="AG1378">
        <v>0</v>
      </c>
      <c r="AH1378">
        <v>0</v>
      </c>
      <c r="AI1378">
        <v>1</v>
      </c>
      <c r="AJ1378">
        <v>1</v>
      </c>
      <c r="AK1378">
        <v>1</v>
      </c>
      <c r="AL1378">
        <v>1</v>
      </c>
      <c r="AM1378">
        <v>1</v>
      </c>
    </row>
    <row r="1379" spans="1:39" x14ac:dyDescent="0.2">
      <c r="A1379" t="str">
        <f>"1375"</f>
        <v>1375</v>
      </c>
      <c r="B1379" t="str">
        <f t="shared" si="74"/>
        <v>1</v>
      </c>
      <c r="C1379" t="str">
        <f t="shared" si="76"/>
        <v>28</v>
      </c>
      <c r="D1379" t="str">
        <f>"40"</f>
        <v>40</v>
      </c>
      <c r="E1379" t="str">
        <f>"1-28-40"</f>
        <v>1-28-40</v>
      </c>
      <c r="F1379" t="s">
        <v>65</v>
      </c>
      <c r="G1379" t="s">
        <v>66</v>
      </c>
      <c r="H1379" t="s">
        <v>67</v>
      </c>
      <c r="S1379">
        <v>0</v>
      </c>
      <c r="T1379">
        <v>0</v>
      </c>
      <c r="U1379">
        <v>0</v>
      </c>
      <c r="V1379">
        <v>0</v>
      </c>
      <c r="W1379">
        <v>1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</row>
    <row r="1380" spans="1:39" x14ac:dyDescent="0.2">
      <c r="A1380" t="str">
        <f>"1376"</f>
        <v>1376</v>
      </c>
      <c r="B1380" t="str">
        <f t="shared" si="74"/>
        <v>1</v>
      </c>
      <c r="C1380" t="str">
        <f t="shared" si="76"/>
        <v>28</v>
      </c>
      <c r="D1380" t="str">
        <f>"21"</f>
        <v>21</v>
      </c>
      <c r="E1380" t="str">
        <f>"1-28-21"</f>
        <v>1-28-21</v>
      </c>
      <c r="F1380" t="s">
        <v>65</v>
      </c>
      <c r="G1380" t="s">
        <v>66</v>
      </c>
      <c r="H1380" t="s">
        <v>67</v>
      </c>
      <c r="S1380">
        <v>1</v>
      </c>
      <c r="T1380">
        <v>0</v>
      </c>
      <c r="U1380">
        <v>0</v>
      </c>
      <c r="V1380">
        <v>0</v>
      </c>
      <c r="W1380">
        <v>1</v>
      </c>
      <c r="X1380">
        <v>0</v>
      </c>
      <c r="Y1380">
        <v>1</v>
      </c>
      <c r="Z1380">
        <v>0</v>
      </c>
      <c r="AA1380">
        <v>0</v>
      </c>
      <c r="AB1380">
        <v>0</v>
      </c>
      <c r="AC1380">
        <v>1</v>
      </c>
      <c r="AD1380">
        <v>0</v>
      </c>
      <c r="AE1380">
        <v>0</v>
      </c>
      <c r="AF1380">
        <v>0</v>
      </c>
      <c r="AG1380">
        <v>1</v>
      </c>
      <c r="AH1380">
        <v>1</v>
      </c>
      <c r="AI1380">
        <v>1</v>
      </c>
      <c r="AJ1380">
        <v>1</v>
      </c>
      <c r="AK1380">
        <v>1</v>
      </c>
      <c r="AL1380">
        <v>1</v>
      </c>
      <c r="AM1380">
        <v>1</v>
      </c>
    </row>
    <row r="1381" spans="1:39" x14ac:dyDescent="0.2">
      <c r="A1381" t="str">
        <f>"1377"</f>
        <v>1377</v>
      </c>
      <c r="B1381" t="str">
        <f t="shared" si="74"/>
        <v>1</v>
      </c>
      <c r="C1381" t="str">
        <f t="shared" si="76"/>
        <v>28</v>
      </c>
      <c r="D1381" t="str">
        <f>"14"</f>
        <v>14</v>
      </c>
      <c r="E1381" t="str">
        <f>"1-28-14"</f>
        <v>1-28-14</v>
      </c>
      <c r="F1381" t="s">
        <v>65</v>
      </c>
      <c r="G1381" t="s">
        <v>66</v>
      </c>
      <c r="H1381" t="s">
        <v>67</v>
      </c>
      <c r="S1381">
        <v>1</v>
      </c>
      <c r="T1381">
        <v>0</v>
      </c>
      <c r="U1381">
        <v>0</v>
      </c>
      <c r="V1381">
        <v>0</v>
      </c>
      <c r="W1381">
        <v>0</v>
      </c>
      <c r="X1381">
        <v>1</v>
      </c>
      <c r="Y1381">
        <v>0</v>
      </c>
      <c r="Z1381">
        <v>1</v>
      </c>
      <c r="AA1381">
        <v>0</v>
      </c>
      <c r="AB1381">
        <v>0</v>
      </c>
      <c r="AC1381">
        <v>1</v>
      </c>
      <c r="AD1381">
        <v>1</v>
      </c>
      <c r="AE1381">
        <v>1</v>
      </c>
      <c r="AF1381">
        <v>1</v>
      </c>
      <c r="AG1381">
        <v>1</v>
      </c>
      <c r="AH1381">
        <v>1</v>
      </c>
      <c r="AI1381">
        <v>1</v>
      </c>
      <c r="AJ1381">
        <v>1</v>
      </c>
      <c r="AK1381">
        <v>1</v>
      </c>
      <c r="AL1381">
        <v>1</v>
      </c>
      <c r="AM1381">
        <v>1</v>
      </c>
    </row>
    <row r="1382" spans="1:39" x14ac:dyDescent="0.2">
      <c r="A1382" t="str">
        <f>"1378"</f>
        <v>1378</v>
      </c>
      <c r="B1382" t="str">
        <f t="shared" si="74"/>
        <v>1</v>
      </c>
      <c r="C1382" t="str">
        <f t="shared" si="76"/>
        <v>28</v>
      </c>
      <c r="D1382" t="str">
        <f>"41"</f>
        <v>41</v>
      </c>
      <c r="E1382" t="str">
        <f>"1-28-41"</f>
        <v>1-28-41</v>
      </c>
      <c r="F1382" t="s">
        <v>65</v>
      </c>
      <c r="G1382" t="s">
        <v>66</v>
      </c>
      <c r="H1382" t="s">
        <v>67</v>
      </c>
      <c r="S1382">
        <v>1</v>
      </c>
      <c r="T1382">
        <v>0</v>
      </c>
      <c r="U1382">
        <v>0</v>
      </c>
      <c r="V1382">
        <v>0</v>
      </c>
      <c r="W1382">
        <v>1</v>
      </c>
      <c r="X1382">
        <v>0</v>
      </c>
      <c r="Y1382">
        <v>0</v>
      </c>
      <c r="Z1382">
        <v>1</v>
      </c>
      <c r="AA1382">
        <v>0</v>
      </c>
      <c r="AB1382">
        <v>0</v>
      </c>
      <c r="AC1382">
        <v>1</v>
      </c>
      <c r="AD1382">
        <v>1</v>
      </c>
      <c r="AE1382">
        <v>1</v>
      </c>
      <c r="AF1382">
        <v>1</v>
      </c>
      <c r="AG1382">
        <v>1</v>
      </c>
      <c r="AH1382">
        <v>1</v>
      </c>
      <c r="AI1382">
        <v>1</v>
      </c>
      <c r="AJ1382">
        <v>1</v>
      </c>
      <c r="AK1382">
        <v>1</v>
      </c>
      <c r="AL1382">
        <v>1</v>
      </c>
      <c r="AM1382">
        <v>1</v>
      </c>
    </row>
    <row r="1383" spans="1:39" x14ac:dyDescent="0.2">
      <c r="A1383" t="str">
        <f>"1379"</f>
        <v>1379</v>
      </c>
      <c r="B1383" t="str">
        <f t="shared" si="74"/>
        <v>1</v>
      </c>
      <c r="C1383" t="str">
        <f t="shared" si="76"/>
        <v>28</v>
      </c>
      <c r="D1383" t="str">
        <f>"22"</f>
        <v>22</v>
      </c>
      <c r="E1383" t="str">
        <f>"1-28-22"</f>
        <v>1-28-22</v>
      </c>
      <c r="F1383" t="s">
        <v>65</v>
      </c>
      <c r="G1383" t="s">
        <v>66</v>
      </c>
      <c r="H1383" t="s">
        <v>67</v>
      </c>
      <c r="S1383">
        <v>0</v>
      </c>
      <c r="T1383">
        <v>1</v>
      </c>
      <c r="U1383">
        <v>0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0</v>
      </c>
      <c r="AB1383">
        <v>1</v>
      </c>
      <c r="AC1383">
        <v>0</v>
      </c>
      <c r="AD1383">
        <v>0</v>
      </c>
      <c r="AE1383">
        <v>0</v>
      </c>
      <c r="AF1383">
        <v>0</v>
      </c>
      <c r="AG1383">
        <v>1</v>
      </c>
      <c r="AH1383">
        <v>1</v>
      </c>
      <c r="AI1383">
        <v>1</v>
      </c>
      <c r="AJ1383">
        <v>1</v>
      </c>
      <c r="AK1383">
        <v>1</v>
      </c>
      <c r="AL1383">
        <v>1</v>
      </c>
      <c r="AM1383">
        <v>0</v>
      </c>
    </row>
    <row r="1384" spans="1:39" x14ac:dyDescent="0.2">
      <c r="A1384" t="str">
        <f>"1380"</f>
        <v>1380</v>
      </c>
      <c r="B1384" t="str">
        <f t="shared" si="74"/>
        <v>1</v>
      </c>
      <c r="C1384" t="str">
        <f t="shared" si="76"/>
        <v>28</v>
      </c>
      <c r="D1384" t="str">
        <f>"4"</f>
        <v>4</v>
      </c>
      <c r="E1384" t="str">
        <f>"1-28-4"</f>
        <v>1-28-4</v>
      </c>
      <c r="F1384" t="s">
        <v>65</v>
      </c>
      <c r="G1384" t="s">
        <v>66</v>
      </c>
      <c r="H1384" t="s">
        <v>67</v>
      </c>
      <c r="S1384">
        <v>0</v>
      </c>
      <c r="T1384">
        <v>1</v>
      </c>
      <c r="U1384">
        <v>0</v>
      </c>
      <c r="V1384">
        <v>0</v>
      </c>
      <c r="W1384">
        <v>1</v>
      </c>
      <c r="X1384">
        <v>0</v>
      </c>
      <c r="Y1384">
        <v>1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1</v>
      </c>
      <c r="AF1384">
        <v>1</v>
      </c>
      <c r="AG1384">
        <v>1</v>
      </c>
      <c r="AH1384">
        <v>1</v>
      </c>
      <c r="AI1384">
        <v>1</v>
      </c>
      <c r="AJ1384">
        <v>1</v>
      </c>
      <c r="AK1384">
        <v>1</v>
      </c>
      <c r="AL1384">
        <v>1</v>
      </c>
      <c r="AM1384">
        <v>1</v>
      </c>
    </row>
    <row r="1385" spans="1:39" x14ac:dyDescent="0.2">
      <c r="A1385" t="str">
        <f>"1381"</f>
        <v>1381</v>
      </c>
      <c r="B1385" t="str">
        <f t="shared" si="74"/>
        <v>1</v>
      </c>
      <c r="C1385" t="str">
        <f t="shared" si="76"/>
        <v>28</v>
      </c>
      <c r="D1385" t="str">
        <f>"48"</f>
        <v>48</v>
      </c>
      <c r="E1385" t="str">
        <f>"1-28-48"</f>
        <v>1-28-48</v>
      </c>
      <c r="F1385" t="s">
        <v>65</v>
      </c>
      <c r="G1385" t="s">
        <v>66</v>
      </c>
      <c r="H1385" t="s">
        <v>67</v>
      </c>
      <c r="S1385">
        <v>0</v>
      </c>
      <c r="T1385">
        <v>1</v>
      </c>
      <c r="U1385">
        <v>0</v>
      </c>
      <c r="V1385">
        <v>0</v>
      </c>
      <c r="W1385">
        <v>0</v>
      </c>
      <c r="X1385">
        <v>1</v>
      </c>
      <c r="Y1385">
        <v>1</v>
      </c>
      <c r="Z1385">
        <v>0</v>
      </c>
      <c r="AA1385">
        <v>0</v>
      </c>
      <c r="AB1385">
        <v>1</v>
      </c>
      <c r="AC1385">
        <v>0</v>
      </c>
      <c r="AD1385">
        <v>1</v>
      </c>
      <c r="AE1385">
        <v>1</v>
      </c>
      <c r="AF1385">
        <v>1</v>
      </c>
      <c r="AG1385">
        <v>1</v>
      </c>
      <c r="AH1385">
        <v>1</v>
      </c>
      <c r="AI1385">
        <v>1</v>
      </c>
      <c r="AJ1385">
        <v>1</v>
      </c>
      <c r="AK1385">
        <v>1</v>
      </c>
      <c r="AL1385">
        <v>1</v>
      </c>
      <c r="AM1385">
        <v>1</v>
      </c>
    </row>
    <row r="1386" spans="1:39" x14ac:dyDescent="0.2">
      <c r="A1386" t="str">
        <f>"1382"</f>
        <v>1382</v>
      </c>
      <c r="B1386" t="str">
        <f t="shared" si="74"/>
        <v>1</v>
      </c>
      <c r="C1386" t="str">
        <f t="shared" si="76"/>
        <v>28</v>
      </c>
      <c r="D1386" t="str">
        <f>"23"</f>
        <v>23</v>
      </c>
      <c r="E1386" t="str">
        <f>"1-28-23"</f>
        <v>1-28-23</v>
      </c>
      <c r="F1386" t="s">
        <v>65</v>
      </c>
      <c r="G1386" t="s">
        <v>66</v>
      </c>
      <c r="H1386" t="s">
        <v>67</v>
      </c>
      <c r="S1386">
        <v>1</v>
      </c>
      <c r="T1386">
        <v>0</v>
      </c>
      <c r="U1386">
        <v>0</v>
      </c>
      <c r="V1386">
        <v>0</v>
      </c>
      <c r="W1386">
        <v>0</v>
      </c>
      <c r="X1386">
        <v>1</v>
      </c>
      <c r="Y1386">
        <v>0</v>
      </c>
      <c r="Z1386">
        <v>1</v>
      </c>
      <c r="AA1386">
        <v>1</v>
      </c>
      <c r="AB1386">
        <v>0</v>
      </c>
      <c r="AC1386">
        <v>0</v>
      </c>
      <c r="AD1386">
        <v>1</v>
      </c>
      <c r="AE1386">
        <v>1</v>
      </c>
      <c r="AF1386">
        <v>1</v>
      </c>
      <c r="AG1386">
        <v>1</v>
      </c>
      <c r="AH1386">
        <v>1</v>
      </c>
      <c r="AI1386">
        <v>1</v>
      </c>
      <c r="AJ1386">
        <v>1</v>
      </c>
      <c r="AK1386">
        <v>1</v>
      </c>
      <c r="AL1386">
        <v>1</v>
      </c>
      <c r="AM1386">
        <v>1</v>
      </c>
    </row>
    <row r="1387" spans="1:39" x14ac:dyDescent="0.2">
      <c r="A1387" t="str">
        <f>"1383"</f>
        <v>1383</v>
      </c>
      <c r="B1387" t="str">
        <f t="shared" si="74"/>
        <v>1</v>
      </c>
      <c r="C1387" t="str">
        <f t="shared" ref="C1387:C1404" si="77">"28"</f>
        <v>28</v>
      </c>
      <c r="D1387" t="str">
        <f>"13"</f>
        <v>13</v>
      </c>
      <c r="E1387" t="str">
        <f>"1-28-13"</f>
        <v>1-28-13</v>
      </c>
      <c r="F1387" t="s">
        <v>65</v>
      </c>
      <c r="G1387" t="s">
        <v>66</v>
      </c>
      <c r="H1387" t="s">
        <v>67</v>
      </c>
      <c r="S1387">
        <v>0</v>
      </c>
      <c r="T1387">
        <v>0</v>
      </c>
      <c r="U1387">
        <v>0</v>
      </c>
      <c r="V1387">
        <v>0</v>
      </c>
      <c r="W1387">
        <v>1</v>
      </c>
      <c r="X1387">
        <v>0</v>
      </c>
      <c r="Y1387">
        <v>0</v>
      </c>
      <c r="Z1387">
        <v>1</v>
      </c>
      <c r="AA1387">
        <v>1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1</v>
      </c>
      <c r="AM1387">
        <v>0</v>
      </c>
    </row>
    <row r="1388" spans="1:39" x14ac:dyDescent="0.2">
      <c r="A1388" t="str">
        <f>"1384"</f>
        <v>1384</v>
      </c>
      <c r="B1388" t="str">
        <f t="shared" si="74"/>
        <v>1</v>
      </c>
      <c r="C1388" t="str">
        <f t="shared" si="77"/>
        <v>28</v>
      </c>
      <c r="D1388" t="str">
        <f>"49"</f>
        <v>49</v>
      </c>
      <c r="E1388" t="str">
        <f>"1-28-49"</f>
        <v>1-28-49</v>
      </c>
      <c r="F1388" t="s">
        <v>65</v>
      </c>
      <c r="G1388" t="s">
        <v>66</v>
      </c>
      <c r="H1388" t="s">
        <v>67</v>
      </c>
      <c r="S1388">
        <v>0</v>
      </c>
      <c r="T1388">
        <v>1</v>
      </c>
      <c r="U1388">
        <v>0</v>
      </c>
      <c r="V1388">
        <v>0</v>
      </c>
      <c r="W1388">
        <v>1</v>
      </c>
      <c r="X1388">
        <v>0</v>
      </c>
      <c r="Y1388">
        <v>1</v>
      </c>
      <c r="Z1388">
        <v>0</v>
      </c>
      <c r="AA1388">
        <v>0</v>
      </c>
      <c r="AB1388">
        <v>0</v>
      </c>
      <c r="AC1388">
        <v>1</v>
      </c>
      <c r="AD1388">
        <v>1</v>
      </c>
      <c r="AE1388">
        <v>1</v>
      </c>
      <c r="AF1388">
        <v>1</v>
      </c>
      <c r="AG1388">
        <v>1</v>
      </c>
      <c r="AH1388">
        <v>1</v>
      </c>
      <c r="AI1388">
        <v>1</v>
      </c>
      <c r="AJ1388">
        <v>1</v>
      </c>
      <c r="AK1388">
        <v>1</v>
      </c>
      <c r="AL1388">
        <v>1</v>
      </c>
      <c r="AM1388">
        <v>1</v>
      </c>
    </row>
    <row r="1389" spans="1:39" x14ac:dyDescent="0.2">
      <c r="A1389" t="str">
        <f>"1385"</f>
        <v>1385</v>
      </c>
      <c r="B1389" t="str">
        <f t="shared" si="74"/>
        <v>1</v>
      </c>
      <c r="C1389" t="str">
        <f t="shared" si="77"/>
        <v>28</v>
      </c>
      <c r="D1389" t="str">
        <f>"26"</f>
        <v>26</v>
      </c>
      <c r="E1389" t="str">
        <f>"1-28-26"</f>
        <v>1-28-26</v>
      </c>
      <c r="F1389" t="s">
        <v>65</v>
      </c>
      <c r="G1389" t="s">
        <v>66</v>
      </c>
      <c r="H1389" t="s">
        <v>67</v>
      </c>
      <c r="S1389">
        <v>0</v>
      </c>
      <c r="T1389">
        <v>1</v>
      </c>
      <c r="U1389">
        <v>0</v>
      </c>
      <c r="V1389">
        <v>0</v>
      </c>
      <c r="W1389">
        <v>1</v>
      </c>
      <c r="X1389">
        <v>0</v>
      </c>
      <c r="Y1389">
        <v>1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1</v>
      </c>
      <c r="AF1389">
        <v>1</v>
      </c>
      <c r="AG1389">
        <v>1</v>
      </c>
      <c r="AH1389">
        <v>1</v>
      </c>
      <c r="AI1389">
        <v>1</v>
      </c>
      <c r="AJ1389">
        <v>1</v>
      </c>
      <c r="AK1389">
        <v>1</v>
      </c>
      <c r="AL1389">
        <v>1</v>
      </c>
      <c r="AM1389">
        <v>1</v>
      </c>
    </row>
    <row r="1390" spans="1:39" x14ac:dyDescent="0.2">
      <c r="A1390" t="str">
        <f>"1386"</f>
        <v>1386</v>
      </c>
      <c r="B1390" t="str">
        <f t="shared" si="74"/>
        <v>1</v>
      </c>
      <c r="C1390" t="str">
        <f t="shared" si="77"/>
        <v>28</v>
      </c>
      <c r="D1390" t="str">
        <f>"12"</f>
        <v>12</v>
      </c>
      <c r="E1390" t="str">
        <f>"1-28-12"</f>
        <v>1-28-12</v>
      </c>
      <c r="F1390" t="s">
        <v>65</v>
      </c>
      <c r="G1390" t="s">
        <v>66</v>
      </c>
      <c r="H1390" t="s">
        <v>67</v>
      </c>
      <c r="S1390">
        <v>0</v>
      </c>
      <c r="T1390">
        <v>1</v>
      </c>
      <c r="U1390">
        <v>0</v>
      </c>
      <c r="V1390">
        <v>0</v>
      </c>
      <c r="W1390">
        <v>1</v>
      </c>
      <c r="X1390">
        <v>0</v>
      </c>
      <c r="Y1390">
        <v>1</v>
      </c>
      <c r="Z1390">
        <v>0</v>
      </c>
      <c r="AA1390">
        <v>0</v>
      </c>
      <c r="AB1390">
        <v>0</v>
      </c>
      <c r="AC1390">
        <v>1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</row>
    <row r="1391" spans="1:39" x14ac:dyDescent="0.2">
      <c r="A1391" t="str">
        <f>"1387"</f>
        <v>1387</v>
      </c>
      <c r="B1391" t="str">
        <f t="shared" si="74"/>
        <v>1</v>
      </c>
      <c r="C1391" t="str">
        <f t="shared" si="77"/>
        <v>28</v>
      </c>
      <c r="D1391" t="str">
        <f>"46"</f>
        <v>46</v>
      </c>
      <c r="E1391" t="str">
        <f>"1-28-46"</f>
        <v>1-28-46</v>
      </c>
      <c r="F1391" t="s">
        <v>65</v>
      </c>
      <c r="G1391" t="s">
        <v>66</v>
      </c>
      <c r="H1391" t="s">
        <v>67</v>
      </c>
      <c r="S1391">
        <v>0</v>
      </c>
      <c r="T1391">
        <v>1</v>
      </c>
      <c r="U1391">
        <v>0</v>
      </c>
      <c r="V1391">
        <v>0</v>
      </c>
      <c r="W1391">
        <v>1</v>
      </c>
      <c r="X1391">
        <v>0</v>
      </c>
      <c r="Y1391">
        <v>1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1</v>
      </c>
      <c r="AF1391">
        <v>1</v>
      </c>
      <c r="AG1391">
        <v>1</v>
      </c>
      <c r="AH1391">
        <v>1</v>
      </c>
      <c r="AI1391">
        <v>1</v>
      </c>
      <c r="AJ1391">
        <v>1</v>
      </c>
      <c r="AK1391">
        <v>1</v>
      </c>
      <c r="AL1391">
        <v>1</v>
      </c>
      <c r="AM1391">
        <v>1</v>
      </c>
    </row>
    <row r="1392" spans="1:39" x14ac:dyDescent="0.2">
      <c r="A1392" t="str">
        <f>"1388"</f>
        <v>1388</v>
      </c>
      <c r="B1392" t="str">
        <f t="shared" si="74"/>
        <v>1</v>
      </c>
      <c r="C1392" t="str">
        <f t="shared" si="77"/>
        <v>28</v>
      </c>
      <c r="D1392" t="str">
        <f>"27"</f>
        <v>27</v>
      </c>
      <c r="E1392" t="str">
        <f>"1-28-27"</f>
        <v>1-28-27</v>
      </c>
      <c r="F1392" t="s">
        <v>65</v>
      </c>
      <c r="G1392" t="s">
        <v>66</v>
      </c>
      <c r="H1392" t="s">
        <v>67</v>
      </c>
      <c r="S1392">
        <v>0</v>
      </c>
      <c r="T1392">
        <v>1</v>
      </c>
      <c r="U1392">
        <v>0</v>
      </c>
      <c r="V1392">
        <v>0</v>
      </c>
      <c r="W1392">
        <v>1</v>
      </c>
      <c r="X1392">
        <v>0</v>
      </c>
      <c r="Y1392">
        <v>0</v>
      </c>
      <c r="Z1392">
        <v>1</v>
      </c>
      <c r="AA1392">
        <v>0</v>
      </c>
      <c r="AB1392">
        <v>1</v>
      </c>
      <c r="AC1392">
        <v>0</v>
      </c>
      <c r="AD1392">
        <v>1</v>
      </c>
      <c r="AE1392">
        <v>1</v>
      </c>
      <c r="AF1392">
        <v>1</v>
      </c>
      <c r="AG1392">
        <v>1</v>
      </c>
      <c r="AH1392">
        <v>1</v>
      </c>
      <c r="AI1392">
        <v>1</v>
      </c>
      <c r="AJ1392">
        <v>1</v>
      </c>
      <c r="AK1392">
        <v>1</v>
      </c>
      <c r="AL1392">
        <v>1</v>
      </c>
      <c r="AM1392">
        <v>1</v>
      </c>
    </row>
    <row r="1393" spans="1:39" x14ac:dyDescent="0.2">
      <c r="A1393" t="str">
        <f>"1389"</f>
        <v>1389</v>
      </c>
      <c r="B1393" t="str">
        <f t="shared" si="74"/>
        <v>1</v>
      </c>
      <c r="C1393" t="str">
        <f t="shared" si="77"/>
        <v>28</v>
      </c>
      <c r="D1393" t="str">
        <f>"8"</f>
        <v>8</v>
      </c>
      <c r="E1393" t="str">
        <f>"1-28-8"</f>
        <v>1-28-8</v>
      </c>
      <c r="F1393" t="s">
        <v>65</v>
      </c>
      <c r="G1393" t="s">
        <v>66</v>
      </c>
      <c r="H1393" t="s">
        <v>67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1</v>
      </c>
      <c r="Y1393">
        <v>0</v>
      </c>
      <c r="Z1393">
        <v>1</v>
      </c>
      <c r="AA1393">
        <v>0</v>
      </c>
      <c r="AB1393">
        <v>0</v>
      </c>
      <c r="AC1393">
        <v>1</v>
      </c>
      <c r="AD1393">
        <v>1</v>
      </c>
      <c r="AE1393">
        <v>1</v>
      </c>
      <c r="AF1393">
        <v>1</v>
      </c>
      <c r="AG1393">
        <v>1</v>
      </c>
      <c r="AH1393">
        <v>1</v>
      </c>
      <c r="AI1393">
        <v>1</v>
      </c>
      <c r="AJ1393">
        <v>1</v>
      </c>
      <c r="AK1393">
        <v>1</v>
      </c>
      <c r="AL1393">
        <v>1</v>
      </c>
      <c r="AM1393">
        <v>1</v>
      </c>
    </row>
    <row r="1394" spans="1:39" x14ac:dyDescent="0.2">
      <c r="A1394" t="str">
        <f>"1390"</f>
        <v>1390</v>
      </c>
      <c r="B1394" t="str">
        <f t="shared" si="74"/>
        <v>1</v>
      </c>
      <c r="C1394" t="str">
        <f t="shared" si="77"/>
        <v>28</v>
      </c>
      <c r="D1394" t="str">
        <f>"47"</f>
        <v>47</v>
      </c>
      <c r="E1394" t="str">
        <f>"1-28-47"</f>
        <v>1-28-47</v>
      </c>
      <c r="F1394" t="s">
        <v>65</v>
      </c>
      <c r="G1394" t="s">
        <v>66</v>
      </c>
      <c r="H1394" t="s">
        <v>67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0</v>
      </c>
      <c r="AB1394">
        <v>0</v>
      </c>
      <c r="AC1394">
        <v>1</v>
      </c>
      <c r="AD1394">
        <v>0</v>
      </c>
      <c r="AE1394">
        <v>0</v>
      </c>
      <c r="AF1394">
        <v>0</v>
      </c>
      <c r="AG1394">
        <v>1</v>
      </c>
      <c r="AH1394">
        <v>1</v>
      </c>
      <c r="AI1394">
        <v>1</v>
      </c>
      <c r="AJ1394">
        <v>1</v>
      </c>
      <c r="AK1394">
        <v>1</v>
      </c>
      <c r="AL1394">
        <v>1</v>
      </c>
      <c r="AM1394">
        <v>0</v>
      </c>
    </row>
    <row r="1395" spans="1:39" x14ac:dyDescent="0.2">
      <c r="A1395" t="str">
        <f>"1391"</f>
        <v>1391</v>
      </c>
      <c r="B1395" t="str">
        <f t="shared" si="74"/>
        <v>1</v>
      </c>
      <c r="C1395" t="str">
        <f t="shared" si="77"/>
        <v>28</v>
      </c>
      <c r="D1395" t="str">
        <f>"28"</f>
        <v>28</v>
      </c>
      <c r="E1395" t="str">
        <f>"1-28-28"</f>
        <v>1-28-28</v>
      </c>
      <c r="F1395" t="s">
        <v>65</v>
      </c>
      <c r="G1395" t="s">
        <v>66</v>
      </c>
      <c r="H1395" t="s">
        <v>67</v>
      </c>
      <c r="S1395">
        <v>0</v>
      </c>
      <c r="T1395">
        <v>1</v>
      </c>
      <c r="U1395">
        <v>0</v>
      </c>
      <c r="V1395">
        <v>0</v>
      </c>
      <c r="W1395">
        <v>1</v>
      </c>
      <c r="X1395">
        <v>0</v>
      </c>
      <c r="Y1395">
        <v>1</v>
      </c>
      <c r="Z1395">
        <v>0</v>
      </c>
      <c r="AA1395">
        <v>0</v>
      </c>
      <c r="AB1395">
        <v>1</v>
      </c>
      <c r="AC1395">
        <v>0</v>
      </c>
      <c r="AD1395">
        <v>1</v>
      </c>
      <c r="AE1395">
        <v>1</v>
      </c>
      <c r="AF1395">
        <v>1</v>
      </c>
      <c r="AG1395">
        <v>1</v>
      </c>
      <c r="AH1395">
        <v>1</v>
      </c>
      <c r="AI1395">
        <v>1</v>
      </c>
      <c r="AJ1395">
        <v>1</v>
      </c>
      <c r="AK1395">
        <v>1</v>
      </c>
      <c r="AL1395">
        <v>1</v>
      </c>
      <c r="AM1395">
        <v>1</v>
      </c>
    </row>
    <row r="1396" spans="1:39" x14ac:dyDescent="0.2">
      <c r="A1396" t="str">
        <f>"1392"</f>
        <v>1392</v>
      </c>
      <c r="B1396" t="str">
        <f t="shared" si="74"/>
        <v>1</v>
      </c>
      <c r="C1396" t="str">
        <f t="shared" si="77"/>
        <v>28</v>
      </c>
      <c r="D1396" t="str">
        <f>"3"</f>
        <v>3</v>
      </c>
      <c r="E1396" t="str">
        <f>"1-28-3"</f>
        <v>1-28-3</v>
      </c>
      <c r="F1396" t="s">
        <v>65</v>
      </c>
      <c r="G1396" t="s">
        <v>66</v>
      </c>
      <c r="H1396" t="s">
        <v>67</v>
      </c>
      <c r="S1396">
        <v>1</v>
      </c>
      <c r="T1396">
        <v>0</v>
      </c>
      <c r="U1396">
        <v>0</v>
      </c>
      <c r="V1396">
        <v>0</v>
      </c>
      <c r="W1396">
        <v>1</v>
      </c>
      <c r="X1396">
        <v>0</v>
      </c>
      <c r="Y1396">
        <v>1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1</v>
      </c>
      <c r="AF1396">
        <v>1</v>
      </c>
      <c r="AG1396">
        <v>1</v>
      </c>
      <c r="AH1396">
        <v>1</v>
      </c>
      <c r="AI1396">
        <v>1</v>
      </c>
      <c r="AJ1396">
        <v>1</v>
      </c>
      <c r="AK1396">
        <v>1</v>
      </c>
      <c r="AL1396">
        <v>1</v>
      </c>
      <c r="AM1396">
        <v>1</v>
      </c>
    </row>
    <row r="1397" spans="1:39" x14ac:dyDescent="0.2">
      <c r="A1397" t="str">
        <f>"1393"</f>
        <v>1393</v>
      </c>
      <c r="B1397" t="str">
        <f t="shared" si="74"/>
        <v>1</v>
      </c>
      <c r="C1397" t="str">
        <f t="shared" si="77"/>
        <v>28</v>
      </c>
      <c r="D1397" t="str">
        <f>"30"</f>
        <v>30</v>
      </c>
      <c r="E1397" t="str">
        <f>"1-28-30"</f>
        <v>1-28-30</v>
      </c>
      <c r="F1397" t="s">
        <v>65</v>
      </c>
      <c r="G1397" t="s">
        <v>66</v>
      </c>
      <c r="H1397" t="s">
        <v>67</v>
      </c>
      <c r="S1397">
        <v>1</v>
      </c>
      <c r="T1397">
        <v>0</v>
      </c>
      <c r="U1397">
        <v>0</v>
      </c>
      <c r="V1397">
        <v>0</v>
      </c>
      <c r="W1397">
        <v>1</v>
      </c>
      <c r="X1397">
        <v>0</v>
      </c>
      <c r="Y1397">
        <v>1</v>
      </c>
      <c r="Z1397">
        <v>0</v>
      </c>
      <c r="AA1397">
        <v>0</v>
      </c>
      <c r="AB1397">
        <v>0</v>
      </c>
      <c r="AC1397">
        <v>1</v>
      </c>
      <c r="AD1397">
        <v>0</v>
      </c>
      <c r="AE1397">
        <v>0</v>
      </c>
      <c r="AF1397">
        <v>1</v>
      </c>
      <c r="AG1397">
        <v>1</v>
      </c>
      <c r="AH1397">
        <v>1</v>
      </c>
      <c r="AI1397">
        <v>1</v>
      </c>
      <c r="AJ1397">
        <v>0</v>
      </c>
      <c r="AK1397">
        <v>1</v>
      </c>
      <c r="AL1397">
        <v>1</v>
      </c>
      <c r="AM1397">
        <v>1</v>
      </c>
    </row>
    <row r="1398" spans="1:39" x14ac:dyDescent="0.2">
      <c r="A1398" t="str">
        <f>"1394"</f>
        <v>1394</v>
      </c>
      <c r="B1398" t="str">
        <f t="shared" si="74"/>
        <v>1</v>
      </c>
      <c r="C1398" t="str">
        <f t="shared" si="77"/>
        <v>28</v>
      </c>
      <c r="D1398" t="str">
        <f>"11"</f>
        <v>11</v>
      </c>
      <c r="E1398" t="str">
        <f>"1-28-11"</f>
        <v>1-28-11</v>
      </c>
      <c r="F1398" t="s">
        <v>65</v>
      </c>
      <c r="G1398" t="s">
        <v>66</v>
      </c>
      <c r="H1398" t="s">
        <v>67</v>
      </c>
      <c r="S1398">
        <v>1</v>
      </c>
      <c r="T1398">
        <v>0</v>
      </c>
      <c r="U1398">
        <v>0</v>
      </c>
      <c r="V1398">
        <v>0</v>
      </c>
      <c r="W1398">
        <v>1</v>
      </c>
      <c r="X1398">
        <v>0</v>
      </c>
      <c r="Y1398">
        <v>0</v>
      </c>
      <c r="Z1398">
        <v>1</v>
      </c>
      <c r="AA1398">
        <v>0</v>
      </c>
      <c r="AB1398">
        <v>0</v>
      </c>
      <c r="AC1398">
        <v>1</v>
      </c>
      <c r="AD1398">
        <v>1</v>
      </c>
      <c r="AE1398">
        <v>1</v>
      </c>
      <c r="AF1398">
        <v>1</v>
      </c>
      <c r="AG1398">
        <v>1</v>
      </c>
      <c r="AH1398">
        <v>1</v>
      </c>
      <c r="AI1398">
        <v>1</v>
      </c>
      <c r="AJ1398">
        <v>1</v>
      </c>
      <c r="AK1398">
        <v>1</v>
      </c>
      <c r="AL1398">
        <v>1</v>
      </c>
      <c r="AM1398">
        <v>1</v>
      </c>
    </row>
    <row r="1399" spans="1:39" x14ac:dyDescent="0.2">
      <c r="A1399" t="str">
        <f>"1395"</f>
        <v>1395</v>
      </c>
      <c r="B1399" t="str">
        <f t="shared" ref="B1399:B1462" si="78">"1"</f>
        <v>1</v>
      </c>
      <c r="C1399" t="str">
        <f t="shared" si="77"/>
        <v>28</v>
      </c>
      <c r="D1399" t="str">
        <f>"50"</f>
        <v>50</v>
      </c>
      <c r="E1399" t="str">
        <f>"1-28-50"</f>
        <v>1-28-50</v>
      </c>
      <c r="F1399" t="s">
        <v>65</v>
      </c>
      <c r="G1399" t="s">
        <v>66</v>
      </c>
      <c r="H1399" t="s">
        <v>67</v>
      </c>
      <c r="S1399">
        <v>0</v>
      </c>
      <c r="T1399">
        <v>1</v>
      </c>
      <c r="U1399">
        <v>0</v>
      </c>
      <c r="V1399">
        <v>0</v>
      </c>
      <c r="W1399">
        <v>0</v>
      </c>
      <c r="X1399">
        <v>1</v>
      </c>
      <c r="Y1399">
        <v>0</v>
      </c>
      <c r="Z1399">
        <v>1</v>
      </c>
      <c r="AA1399">
        <v>0</v>
      </c>
      <c r="AB1399">
        <v>0</v>
      </c>
      <c r="AC1399">
        <v>1</v>
      </c>
      <c r="AD1399">
        <v>1</v>
      </c>
      <c r="AE1399">
        <v>1</v>
      </c>
      <c r="AF1399">
        <v>1</v>
      </c>
      <c r="AG1399">
        <v>1</v>
      </c>
      <c r="AH1399">
        <v>1</v>
      </c>
      <c r="AI1399">
        <v>1</v>
      </c>
      <c r="AJ1399">
        <v>1</v>
      </c>
      <c r="AK1399">
        <v>1</v>
      </c>
      <c r="AL1399">
        <v>1</v>
      </c>
      <c r="AM1399">
        <v>1</v>
      </c>
    </row>
    <row r="1400" spans="1:39" x14ac:dyDescent="0.2">
      <c r="A1400" t="str">
        <f>"1396"</f>
        <v>1396</v>
      </c>
      <c r="B1400" t="str">
        <f t="shared" si="78"/>
        <v>1</v>
      </c>
      <c r="C1400" t="str">
        <f t="shared" si="77"/>
        <v>28</v>
      </c>
      <c r="D1400" t="str">
        <f>"31"</f>
        <v>31</v>
      </c>
      <c r="E1400" t="str">
        <f>"1-28-31"</f>
        <v>1-28-31</v>
      </c>
      <c r="F1400" t="s">
        <v>65</v>
      </c>
      <c r="G1400" t="s">
        <v>66</v>
      </c>
      <c r="H1400" t="s">
        <v>67</v>
      </c>
      <c r="S1400">
        <v>0</v>
      </c>
      <c r="T1400">
        <v>1</v>
      </c>
      <c r="U1400">
        <v>0</v>
      </c>
      <c r="V1400">
        <v>0</v>
      </c>
      <c r="W1400">
        <v>0</v>
      </c>
      <c r="X1400">
        <v>1</v>
      </c>
      <c r="Y1400">
        <v>0</v>
      </c>
      <c r="Z1400">
        <v>1</v>
      </c>
      <c r="AA1400">
        <v>0</v>
      </c>
      <c r="AB1400">
        <v>0</v>
      </c>
      <c r="AC1400">
        <v>1</v>
      </c>
      <c r="AD1400">
        <v>1</v>
      </c>
      <c r="AE1400">
        <v>1</v>
      </c>
      <c r="AF1400">
        <v>1</v>
      </c>
      <c r="AG1400">
        <v>1</v>
      </c>
      <c r="AH1400">
        <v>1</v>
      </c>
      <c r="AI1400">
        <v>1</v>
      </c>
      <c r="AJ1400">
        <v>1</v>
      </c>
      <c r="AK1400">
        <v>1</v>
      </c>
      <c r="AL1400">
        <v>1</v>
      </c>
      <c r="AM1400">
        <v>1</v>
      </c>
    </row>
    <row r="1401" spans="1:39" x14ac:dyDescent="0.2">
      <c r="A1401" t="str">
        <f>"1397"</f>
        <v>1397</v>
      </c>
      <c r="B1401" t="str">
        <f t="shared" si="78"/>
        <v>1</v>
      </c>
      <c r="C1401" t="str">
        <f t="shared" si="77"/>
        <v>28</v>
      </c>
      <c r="D1401" t="str">
        <f>"10"</f>
        <v>10</v>
      </c>
      <c r="E1401" t="str">
        <f>"1-28-10"</f>
        <v>1-28-10</v>
      </c>
      <c r="F1401" t="s">
        <v>65</v>
      </c>
      <c r="G1401" t="s">
        <v>66</v>
      </c>
      <c r="H1401" t="s">
        <v>67</v>
      </c>
      <c r="S1401">
        <v>1</v>
      </c>
      <c r="T1401">
        <v>0</v>
      </c>
      <c r="U1401">
        <v>0</v>
      </c>
      <c r="V1401">
        <v>0</v>
      </c>
      <c r="W1401">
        <v>1</v>
      </c>
      <c r="X1401">
        <v>0</v>
      </c>
      <c r="Y1401">
        <v>0</v>
      </c>
      <c r="Z1401">
        <v>1</v>
      </c>
      <c r="AA1401">
        <v>1</v>
      </c>
      <c r="AB1401">
        <v>0</v>
      </c>
      <c r="AC1401">
        <v>0</v>
      </c>
      <c r="AD1401">
        <v>1</v>
      </c>
      <c r="AE1401">
        <v>1</v>
      </c>
      <c r="AF1401">
        <v>1</v>
      </c>
      <c r="AG1401">
        <v>1</v>
      </c>
      <c r="AH1401">
        <v>1</v>
      </c>
      <c r="AI1401">
        <v>1</v>
      </c>
      <c r="AJ1401">
        <v>1</v>
      </c>
      <c r="AK1401">
        <v>1</v>
      </c>
      <c r="AL1401">
        <v>1</v>
      </c>
      <c r="AM1401">
        <v>1</v>
      </c>
    </row>
    <row r="1402" spans="1:39" x14ac:dyDescent="0.2">
      <c r="A1402" t="str">
        <f>"1398"</f>
        <v>1398</v>
      </c>
      <c r="B1402" t="str">
        <f t="shared" si="78"/>
        <v>1</v>
      </c>
      <c r="C1402" t="str">
        <f t="shared" si="77"/>
        <v>28</v>
      </c>
      <c r="D1402" t="str">
        <f>"32"</f>
        <v>32</v>
      </c>
      <c r="E1402" t="str">
        <f>"1-28-32"</f>
        <v>1-28-32</v>
      </c>
      <c r="F1402" t="s">
        <v>65</v>
      </c>
      <c r="G1402" t="s">
        <v>66</v>
      </c>
      <c r="H1402" t="s">
        <v>67</v>
      </c>
      <c r="S1402">
        <v>1</v>
      </c>
      <c r="T1402">
        <v>0</v>
      </c>
      <c r="U1402">
        <v>0</v>
      </c>
      <c r="V1402">
        <v>0</v>
      </c>
      <c r="W1402">
        <v>1</v>
      </c>
      <c r="X1402">
        <v>0</v>
      </c>
      <c r="Y1402">
        <v>0</v>
      </c>
      <c r="Z1402">
        <v>1</v>
      </c>
      <c r="AA1402">
        <v>1</v>
      </c>
      <c r="AB1402">
        <v>0</v>
      </c>
      <c r="AC1402">
        <v>0</v>
      </c>
      <c r="AD1402">
        <v>1</v>
      </c>
      <c r="AE1402">
        <v>1</v>
      </c>
      <c r="AF1402">
        <v>1</v>
      </c>
      <c r="AG1402">
        <v>1</v>
      </c>
      <c r="AH1402">
        <v>1</v>
      </c>
      <c r="AI1402">
        <v>1</v>
      </c>
      <c r="AJ1402">
        <v>1</v>
      </c>
      <c r="AK1402">
        <v>1</v>
      </c>
      <c r="AL1402">
        <v>1</v>
      </c>
      <c r="AM1402">
        <v>1</v>
      </c>
    </row>
    <row r="1403" spans="1:39" x14ac:dyDescent="0.2">
      <c r="A1403" t="str">
        <f>"1399"</f>
        <v>1399</v>
      </c>
      <c r="B1403" t="str">
        <f t="shared" si="78"/>
        <v>1</v>
      </c>
      <c r="C1403" t="str">
        <f t="shared" si="77"/>
        <v>28</v>
      </c>
      <c r="D1403" t="str">
        <f>"9"</f>
        <v>9</v>
      </c>
      <c r="E1403" t="str">
        <f>"1-28-9"</f>
        <v>1-28-9</v>
      </c>
      <c r="F1403" t="s">
        <v>65</v>
      </c>
      <c r="G1403" t="s">
        <v>66</v>
      </c>
      <c r="H1403" t="s">
        <v>67</v>
      </c>
      <c r="S1403">
        <v>1</v>
      </c>
      <c r="T1403">
        <v>0</v>
      </c>
      <c r="U1403">
        <v>0</v>
      </c>
      <c r="V1403">
        <v>0</v>
      </c>
      <c r="W1403">
        <v>1</v>
      </c>
      <c r="X1403">
        <v>0</v>
      </c>
      <c r="Y1403">
        <v>0</v>
      </c>
      <c r="Z1403">
        <v>1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</row>
    <row r="1404" spans="1:39" x14ac:dyDescent="0.2">
      <c r="A1404" t="str">
        <f>"1400"</f>
        <v>1400</v>
      </c>
      <c r="B1404" t="str">
        <f t="shared" si="78"/>
        <v>1</v>
      </c>
      <c r="C1404" t="str">
        <f t="shared" si="77"/>
        <v>28</v>
      </c>
      <c r="D1404" t="str">
        <f>"2"</f>
        <v>2</v>
      </c>
      <c r="E1404" t="str">
        <f>"1-28-2"</f>
        <v>1-28-2</v>
      </c>
      <c r="F1404" t="s">
        <v>65</v>
      </c>
      <c r="G1404" t="s">
        <v>66</v>
      </c>
      <c r="H1404" t="s">
        <v>67</v>
      </c>
      <c r="S1404">
        <v>1</v>
      </c>
      <c r="T1404">
        <v>0</v>
      </c>
      <c r="U1404">
        <v>0</v>
      </c>
      <c r="V1404">
        <v>0</v>
      </c>
      <c r="W1404">
        <v>1</v>
      </c>
      <c r="X1404">
        <v>0</v>
      </c>
      <c r="Y1404">
        <v>0</v>
      </c>
      <c r="Z1404">
        <v>1</v>
      </c>
      <c r="AA1404">
        <v>1</v>
      </c>
      <c r="AB1404">
        <v>0</v>
      </c>
      <c r="AC1404">
        <v>0</v>
      </c>
      <c r="AD1404">
        <v>1</v>
      </c>
      <c r="AE1404">
        <v>1</v>
      </c>
      <c r="AF1404">
        <v>1</v>
      </c>
      <c r="AG1404">
        <v>1</v>
      </c>
      <c r="AH1404">
        <v>1</v>
      </c>
      <c r="AI1404">
        <v>1</v>
      </c>
      <c r="AJ1404">
        <v>1</v>
      </c>
      <c r="AK1404">
        <v>1</v>
      </c>
      <c r="AL1404">
        <v>1</v>
      </c>
      <c r="AM1404">
        <v>1</v>
      </c>
    </row>
    <row r="1405" spans="1:39" x14ac:dyDescent="0.2">
      <c r="A1405" t="str">
        <f>"1401"</f>
        <v>1401</v>
      </c>
      <c r="B1405" t="str">
        <f t="shared" si="78"/>
        <v>1</v>
      </c>
      <c r="C1405" t="str">
        <f t="shared" ref="C1405:C1436" si="79">"29"</f>
        <v>29</v>
      </c>
      <c r="D1405" t="str">
        <f>"36"</f>
        <v>36</v>
      </c>
      <c r="E1405" t="str">
        <f>"1-29-36"</f>
        <v>1-29-36</v>
      </c>
      <c r="F1405" t="s">
        <v>65</v>
      </c>
      <c r="G1405" t="s">
        <v>66</v>
      </c>
      <c r="H1405" t="s">
        <v>67</v>
      </c>
      <c r="S1405">
        <v>0</v>
      </c>
      <c r="T1405">
        <v>1</v>
      </c>
      <c r="U1405">
        <v>0</v>
      </c>
      <c r="V1405">
        <v>0</v>
      </c>
      <c r="W1405">
        <v>0</v>
      </c>
      <c r="X1405">
        <v>1</v>
      </c>
      <c r="Y1405">
        <v>1</v>
      </c>
      <c r="Z1405">
        <v>0</v>
      </c>
      <c r="AA1405">
        <v>0</v>
      </c>
      <c r="AB1405">
        <v>1</v>
      </c>
      <c r="AC1405">
        <v>0</v>
      </c>
      <c r="AD1405">
        <v>1</v>
      </c>
      <c r="AE1405">
        <v>1</v>
      </c>
      <c r="AF1405">
        <v>1</v>
      </c>
      <c r="AG1405">
        <v>1</v>
      </c>
      <c r="AH1405">
        <v>1</v>
      </c>
      <c r="AI1405">
        <v>1</v>
      </c>
      <c r="AJ1405">
        <v>1</v>
      </c>
      <c r="AK1405">
        <v>1</v>
      </c>
      <c r="AL1405">
        <v>1</v>
      </c>
      <c r="AM1405">
        <v>1</v>
      </c>
    </row>
    <row r="1406" spans="1:39" x14ac:dyDescent="0.2">
      <c r="A1406" t="str">
        <f>"1402"</f>
        <v>1402</v>
      </c>
      <c r="B1406" t="str">
        <f t="shared" si="78"/>
        <v>1</v>
      </c>
      <c r="C1406" t="str">
        <f t="shared" si="79"/>
        <v>29</v>
      </c>
      <c r="D1406" t="str">
        <f>"21"</f>
        <v>21</v>
      </c>
      <c r="E1406" t="str">
        <f>"1-29-21"</f>
        <v>1-29-21</v>
      </c>
      <c r="F1406" t="s">
        <v>65</v>
      </c>
      <c r="G1406" t="s">
        <v>66</v>
      </c>
      <c r="H1406" t="s">
        <v>67</v>
      </c>
      <c r="S1406">
        <v>1</v>
      </c>
      <c r="T1406">
        <v>0</v>
      </c>
      <c r="U1406">
        <v>0</v>
      </c>
      <c r="V1406">
        <v>0</v>
      </c>
      <c r="W1406">
        <v>1</v>
      </c>
      <c r="X1406">
        <v>0</v>
      </c>
      <c r="Y1406">
        <v>0</v>
      </c>
      <c r="Z1406">
        <v>1</v>
      </c>
      <c r="AA1406">
        <v>1</v>
      </c>
      <c r="AB1406">
        <v>0</v>
      </c>
      <c r="AC1406">
        <v>0</v>
      </c>
      <c r="AD1406">
        <v>1</v>
      </c>
      <c r="AE1406">
        <v>1</v>
      </c>
      <c r="AF1406">
        <v>1</v>
      </c>
      <c r="AG1406">
        <v>1</v>
      </c>
      <c r="AH1406">
        <v>1</v>
      </c>
      <c r="AI1406">
        <v>1</v>
      </c>
      <c r="AJ1406">
        <v>1</v>
      </c>
      <c r="AK1406">
        <v>1</v>
      </c>
      <c r="AL1406">
        <v>1</v>
      </c>
      <c r="AM1406">
        <v>1</v>
      </c>
    </row>
    <row r="1407" spans="1:39" x14ac:dyDescent="0.2">
      <c r="A1407" t="str">
        <f>"1403"</f>
        <v>1403</v>
      </c>
      <c r="B1407" t="str">
        <f t="shared" si="78"/>
        <v>1</v>
      </c>
      <c r="C1407" t="str">
        <f t="shared" si="79"/>
        <v>29</v>
      </c>
      <c r="D1407" t="str">
        <f>"15"</f>
        <v>15</v>
      </c>
      <c r="E1407" t="str">
        <f>"1-29-15"</f>
        <v>1-29-15</v>
      </c>
      <c r="F1407" t="s">
        <v>65</v>
      </c>
      <c r="G1407" t="s">
        <v>66</v>
      </c>
      <c r="H1407" t="s">
        <v>67</v>
      </c>
      <c r="S1407">
        <v>0</v>
      </c>
      <c r="T1407">
        <v>1</v>
      </c>
      <c r="U1407">
        <v>0</v>
      </c>
      <c r="V1407">
        <v>0</v>
      </c>
      <c r="W1407">
        <v>1</v>
      </c>
      <c r="X1407">
        <v>0</v>
      </c>
      <c r="Y1407">
        <v>1</v>
      </c>
      <c r="Z1407">
        <v>0</v>
      </c>
      <c r="AA1407">
        <v>0</v>
      </c>
      <c r="AB1407">
        <v>1</v>
      </c>
      <c r="AC1407">
        <v>0</v>
      </c>
      <c r="AD1407">
        <v>1</v>
      </c>
      <c r="AE1407">
        <v>1</v>
      </c>
      <c r="AF1407">
        <v>1</v>
      </c>
      <c r="AG1407">
        <v>1</v>
      </c>
      <c r="AH1407">
        <v>1</v>
      </c>
      <c r="AI1407">
        <v>1</v>
      </c>
      <c r="AJ1407">
        <v>1</v>
      </c>
      <c r="AK1407">
        <v>1</v>
      </c>
      <c r="AL1407">
        <v>1</v>
      </c>
      <c r="AM1407">
        <v>1</v>
      </c>
    </row>
    <row r="1408" spans="1:39" x14ac:dyDescent="0.2">
      <c r="A1408" t="str">
        <f>"1404"</f>
        <v>1404</v>
      </c>
      <c r="B1408" t="str">
        <f t="shared" si="78"/>
        <v>1</v>
      </c>
      <c r="C1408" t="str">
        <f t="shared" si="79"/>
        <v>29</v>
      </c>
      <c r="D1408" t="str">
        <f>"4"</f>
        <v>4</v>
      </c>
      <c r="E1408" t="str">
        <f>"1-29-4"</f>
        <v>1-29-4</v>
      </c>
      <c r="F1408" t="s">
        <v>65</v>
      </c>
      <c r="G1408" t="s">
        <v>66</v>
      </c>
      <c r="H1408" t="s">
        <v>67</v>
      </c>
      <c r="S1408">
        <v>1</v>
      </c>
      <c r="T1408">
        <v>0</v>
      </c>
      <c r="U1408">
        <v>0</v>
      </c>
      <c r="V1408">
        <v>0</v>
      </c>
      <c r="W1408">
        <v>1</v>
      </c>
      <c r="X1408">
        <v>0</v>
      </c>
      <c r="Y1408">
        <v>1</v>
      </c>
      <c r="Z1408">
        <v>0</v>
      </c>
      <c r="AA1408">
        <v>0</v>
      </c>
      <c r="AB1408">
        <v>1</v>
      </c>
      <c r="AC1408">
        <v>0</v>
      </c>
      <c r="AD1408">
        <v>1</v>
      </c>
      <c r="AE1408">
        <v>1</v>
      </c>
      <c r="AF1408">
        <v>1</v>
      </c>
      <c r="AG1408">
        <v>1</v>
      </c>
      <c r="AH1408">
        <v>1</v>
      </c>
      <c r="AI1408">
        <v>1</v>
      </c>
      <c r="AJ1408">
        <v>1</v>
      </c>
      <c r="AK1408">
        <v>1</v>
      </c>
      <c r="AL1408">
        <v>1</v>
      </c>
      <c r="AM1408">
        <v>1</v>
      </c>
    </row>
    <row r="1409" spans="1:39" x14ac:dyDescent="0.2">
      <c r="A1409" t="str">
        <f>"1405"</f>
        <v>1405</v>
      </c>
      <c r="B1409" t="str">
        <f t="shared" si="78"/>
        <v>1</v>
      </c>
      <c r="C1409" t="str">
        <f t="shared" si="79"/>
        <v>29</v>
      </c>
      <c r="D1409" t="str">
        <f>"38"</f>
        <v>38</v>
      </c>
      <c r="E1409" t="str">
        <f>"1-29-38"</f>
        <v>1-29-38</v>
      </c>
      <c r="F1409" t="s">
        <v>65</v>
      </c>
      <c r="G1409" t="s">
        <v>66</v>
      </c>
      <c r="H1409" t="s">
        <v>67</v>
      </c>
      <c r="S1409">
        <v>0</v>
      </c>
      <c r="T1409">
        <v>1</v>
      </c>
      <c r="U1409">
        <v>0</v>
      </c>
      <c r="V1409">
        <v>0</v>
      </c>
      <c r="W1409">
        <v>1</v>
      </c>
      <c r="X1409">
        <v>0</v>
      </c>
      <c r="Y1409">
        <v>1</v>
      </c>
      <c r="Z1409">
        <v>0</v>
      </c>
      <c r="AA1409">
        <v>0</v>
      </c>
      <c r="AB1409">
        <v>0</v>
      </c>
      <c r="AC1409">
        <v>1</v>
      </c>
      <c r="AD1409">
        <v>1</v>
      </c>
      <c r="AE1409">
        <v>1</v>
      </c>
      <c r="AF1409">
        <v>1</v>
      </c>
      <c r="AG1409">
        <v>1</v>
      </c>
      <c r="AH1409">
        <v>1</v>
      </c>
      <c r="AI1409">
        <v>1</v>
      </c>
      <c r="AJ1409">
        <v>1</v>
      </c>
      <c r="AK1409">
        <v>1</v>
      </c>
      <c r="AL1409">
        <v>1</v>
      </c>
      <c r="AM1409">
        <v>1</v>
      </c>
    </row>
    <row r="1410" spans="1:39" x14ac:dyDescent="0.2">
      <c r="A1410" t="str">
        <f>"1406"</f>
        <v>1406</v>
      </c>
      <c r="B1410" t="str">
        <f t="shared" si="78"/>
        <v>1</v>
      </c>
      <c r="C1410" t="str">
        <f t="shared" si="79"/>
        <v>29</v>
      </c>
      <c r="D1410" t="str">
        <f>"37"</f>
        <v>37</v>
      </c>
      <c r="E1410" t="str">
        <f>"1-29-37"</f>
        <v>1-29-37</v>
      </c>
      <c r="F1410" t="s">
        <v>65</v>
      </c>
      <c r="G1410" t="s">
        <v>66</v>
      </c>
      <c r="H1410" t="s">
        <v>67</v>
      </c>
      <c r="S1410">
        <v>1</v>
      </c>
      <c r="T1410">
        <v>0</v>
      </c>
      <c r="U1410">
        <v>0</v>
      </c>
      <c r="V1410">
        <v>0</v>
      </c>
      <c r="W1410">
        <v>1</v>
      </c>
      <c r="X1410">
        <v>0</v>
      </c>
      <c r="Y1410">
        <v>0</v>
      </c>
      <c r="Z1410">
        <v>1</v>
      </c>
      <c r="AA1410">
        <v>1</v>
      </c>
      <c r="AB1410">
        <v>0</v>
      </c>
      <c r="AC1410">
        <v>0</v>
      </c>
      <c r="AD1410">
        <v>1</v>
      </c>
      <c r="AE1410">
        <v>1</v>
      </c>
      <c r="AF1410">
        <v>1</v>
      </c>
      <c r="AG1410">
        <v>1</v>
      </c>
      <c r="AH1410">
        <v>1</v>
      </c>
      <c r="AI1410">
        <v>1</v>
      </c>
      <c r="AJ1410">
        <v>1</v>
      </c>
      <c r="AK1410">
        <v>1</v>
      </c>
      <c r="AL1410">
        <v>1</v>
      </c>
      <c r="AM1410">
        <v>1</v>
      </c>
    </row>
    <row r="1411" spans="1:39" x14ac:dyDescent="0.2">
      <c r="A1411" t="str">
        <f>"1407"</f>
        <v>1407</v>
      </c>
      <c r="B1411" t="str">
        <f t="shared" si="78"/>
        <v>1</v>
      </c>
      <c r="C1411" t="str">
        <f t="shared" si="79"/>
        <v>29</v>
      </c>
      <c r="D1411" t="str">
        <f>"23"</f>
        <v>23</v>
      </c>
      <c r="E1411" t="str">
        <f>"1-29-23"</f>
        <v>1-29-23</v>
      </c>
      <c r="F1411" t="s">
        <v>65</v>
      </c>
      <c r="G1411" t="s">
        <v>66</v>
      </c>
      <c r="H1411" t="s">
        <v>67</v>
      </c>
      <c r="S1411">
        <v>1</v>
      </c>
      <c r="T1411">
        <v>0</v>
      </c>
      <c r="U1411">
        <v>0</v>
      </c>
      <c r="V1411">
        <v>0</v>
      </c>
      <c r="W1411">
        <v>1</v>
      </c>
      <c r="X1411">
        <v>0</v>
      </c>
      <c r="Y1411">
        <v>0</v>
      </c>
      <c r="Z1411">
        <v>1</v>
      </c>
      <c r="AA1411">
        <v>0</v>
      </c>
      <c r="AB1411">
        <v>1</v>
      </c>
      <c r="AC1411">
        <v>0</v>
      </c>
      <c r="AD1411">
        <v>1</v>
      </c>
      <c r="AE1411">
        <v>1</v>
      </c>
      <c r="AF1411">
        <v>1</v>
      </c>
      <c r="AG1411">
        <v>1</v>
      </c>
      <c r="AH1411">
        <v>1</v>
      </c>
      <c r="AI1411">
        <v>1</v>
      </c>
      <c r="AJ1411">
        <v>1</v>
      </c>
      <c r="AK1411">
        <v>1</v>
      </c>
      <c r="AL1411">
        <v>1</v>
      </c>
      <c r="AM1411">
        <v>1</v>
      </c>
    </row>
    <row r="1412" spans="1:39" x14ac:dyDescent="0.2">
      <c r="A1412" t="str">
        <f>"1408"</f>
        <v>1408</v>
      </c>
      <c r="B1412" t="str">
        <f t="shared" si="78"/>
        <v>1</v>
      </c>
      <c r="C1412" t="str">
        <f t="shared" si="79"/>
        <v>29</v>
      </c>
      <c r="D1412" t="str">
        <f>"16"</f>
        <v>16</v>
      </c>
      <c r="E1412" t="str">
        <f>"1-29-16"</f>
        <v>1-29-16</v>
      </c>
      <c r="F1412" t="s">
        <v>65</v>
      </c>
      <c r="G1412" t="s">
        <v>66</v>
      </c>
      <c r="H1412" t="s">
        <v>67</v>
      </c>
      <c r="S1412">
        <v>0</v>
      </c>
      <c r="T1412">
        <v>1</v>
      </c>
      <c r="U1412">
        <v>0</v>
      </c>
      <c r="V1412">
        <v>0</v>
      </c>
      <c r="W1412">
        <v>1</v>
      </c>
      <c r="X1412">
        <v>0</v>
      </c>
      <c r="Y1412">
        <v>1</v>
      </c>
      <c r="Z1412">
        <v>0</v>
      </c>
      <c r="AA1412">
        <v>0</v>
      </c>
      <c r="AB1412">
        <v>1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1</v>
      </c>
      <c r="AK1412">
        <v>0</v>
      </c>
      <c r="AL1412">
        <v>0</v>
      </c>
      <c r="AM1412">
        <v>0</v>
      </c>
    </row>
    <row r="1413" spans="1:39" x14ac:dyDescent="0.2">
      <c r="A1413" t="str">
        <f>"1409"</f>
        <v>1409</v>
      </c>
      <c r="B1413" t="str">
        <f t="shared" si="78"/>
        <v>1</v>
      </c>
      <c r="C1413" t="str">
        <f t="shared" si="79"/>
        <v>29</v>
      </c>
      <c r="D1413" t="str">
        <f>"9"</f>
        <v>9</v>
      </c>
      <c r="E1413" t="str">
        <f>"1-29-9"</f>
        <v>1-29-9</v>
      </c>
      <c r="F1413" t="s">
        <v>65</v>
      </c>
      <c r="G1413" t="s">
        <v>66</v>
      </c>
      <c r="H1413" t="s">
        <v>67</v>
      </c>
      <c r="S1413">
        <v>1</v>
      </c>
      <c r="T1413">
        <v>0</v>
      </c>
      <c r="U1413">
        <v>0</v>
      </c>
      <c r="V1413">
        <v>0</v>
      </c>
      <c r="W1413">
        <v>1</v>
      </c>
      <c r="X1413">
        <v>0</v>
      </c>
      <c r="Y1413">
        <v>1</v>
      </c>
      <c r="Z1413">
        <v>0</v>
      </c>
      <c r="AA1413">
        <v>0</v>
      </c>
      <c r="AB1413">
        <v>1</v>
      </c>
      <c r="AC1413">
        <v>0</v>
      </c>
      <c r="AD1413">
        <v>1</v>
      </c>
      <c r="AE1413">
        <v>1</v>
      </c>
      <c r="AF1413">
        <v>1</v>
      </c>
      <c r="AG1413">
        <v>1</v>
      </c>
      <c r="AH1413">
        <v>1</v>
      </c>
      <c r="AI1413">
        <v>1</v>
      </c>
      <c r="AJ1413">
        <v>1</v>
      </c>
      <c r="AK1413">
        <v>1</v>
      </c>
      <c r="AL1413">
        <v>1</v>
      </c>
      <c r="AM1413">
        <v>1</v>
      </c>
    </row>
    <row r="1414" spans="1:39" x14ac:dyDescent="0.2">
      <c r="A1414" t="str">
        <f>"1410"</f>
        <v>1410</v>
      </c>
      <c r="B1414" t="str">
        <f t="shared" si="78"/>
        <v>1</v>
      </c>
      <c r="C1414" t="str">
        <f t="shared" si="79"/>
        <v>29</v>
      </c>
      <c r="D1414" t="str">
        <f>"40"</f>
        <v>40</v>
      </c>
      <c r="E1414" t="str">
        <f>"1-29-40"</f>
        <v>1-29-40</v>
      </c>
      <c r="F1414" t="s">
        <v>65</v>
      </c>
      <c r="G1414" t="s">
        <v>66</v>
      </c>
      <c r="H1414" t="s">
        <v>67</v>
      </c>
      <c r="S1414">
        <v>1</v>
      </c>
      <c r="T1414">
        <v>0</v>
      </c>
      <c r="U1414">
        <v>0</v>
      </c>
      <c r="V1414">
        <v>0</v>
      </c>
      <c r="W1414">
        <v>1</v>
      </c>
      <c r="X1414">
        <v>0</v>
      </c>
      <c r="Y1414">
        <v>0</v>
      </c>
      <c r="Z1414">
        <v>1</v>
      </c>
      <c r="AA1414">
        <v>1</v>
      </c>
      <c r="AB1414">
        <v>0</v>
      </c>
      <c r="AC1414">
        <v>0</v>
      </c>
      <c r="AD1414">
        <v>1</v>
      </c>
      <c r="AE1414">
        <v>1</v>
      </c>
      <c r="AF1414">
        <v>1</v>
      </c>
      <c r="AG1414">
        <v>1</v>
      </c>
      <c r="AH1414">
        <v>1</v>
      </c>
      <c r="AI1414">
        <v>1</v>
      </c>
      <c r="AJ1414">
        <v>1</v>
      </c>
      <c r="AK1414">
        <v>1</v>
      </c>
      <c r="AL1414">
        <v>1</v>
      </c>
      <c r="AM1414">
        <v>1</v>
      </c>
    </row>
    <row r="1415" spans="1:39" x14ac:dyDescent="0.2">
      <c r="A1415" t="str">
        <f>"1411"</f>
        <v>1411</v>
      </c>
      <c r="B1415" t="str">
        <f t="shared" si="78"/>
        <v>1</v>
      </c>
      <c r="C1415" t="str">
        <f t="shared" si="79"/>
        <v>29</v>
      </c>
      <c r="D1415" t="str">
        <f>"39"</f>
        <v>39</v>
      </c>
      <c r="E1415" t="str">
        <f>"1-29-39"</f>
        <v>1-29-39</v>
      </c>
      <c r="F1415" t="s">
        <v>65</v>
      </c>
      <c r="G1415" t="s">
        <v>66</v>
      </c>
      <c r="H1415" t="s">
        <v>67</v>
      </c>
      <c r="S1415">
        <v>1</v>
      </c>
      <c r="T1415">
        <v>0</v>
      </c>
      <c r="U1415">
        <v>0</v>
      </c>
      <c r="V1415">
        <v>0</v>
      </c>
      <c r="W1415">
        <v>0</v>
      </c>
      <c r="X1415">
        <v>1</v>
      </c>
      <c r="Y1415">
        <v>0</v>
      </c>
      <c r="Z1415">
        <v>1</v>
      </c>
      <c r="AA1415">
        <v>0</v>
      </c>
      <c r="AB1415">
        <v>1</v>
      </c>
      <c r="AC1415">
        <v>0</v>
      </c>
      <c r="AD1415">
        <v>1</v>
      </c>
      <c r="AE1415">
        <v>1</v>
      </c>
      <c r="AF1415">
        <v>1</v>
      </c>
      <c r="AG1415">
        <v>1</v>
      </c>
      <c r="AH1415">
        <v>1</v>
      </c>
      <c r="AI1415">
        <v>1</v>
      </c>
      <c r="AJ1415">
        <v>1</v>
      </c>
      <c r="AK1415">
        <v>1</v>
      </c>
      <c r="AL1415">
        <v>1</v>
      </c>
      <c r="AM1415">
        <v>1</v>
      </c>
    </row>
    <row r="1416" spans="1:39" x14ac:dyDescent="0.2">
      <c r="A1416" t="str">
        <f>"1412"</f>
        <v>1412</v>
      </c>
      <c r="B1416" t="str">
        <f t="shared" si="78"/>
        <v>1</v>
      </c>
      <c r="C1416" t="str">
        <f t="shared" si="79"/>
        <v>29</v>
      </c>
      <c r="D1416" t="str">
        <f>"30"</f>
        <v>30</v>
      </c>
      <c r="E1416" t="str">
        <f>"1-29-30"</f>
        <v>1-29-30</v>
      </c>
      <c r="F1416" t="s">
        <v>65</v>
      </c>
      <c r="G1416" t="s">
        <v>66</v>
      </c>
      <c r="H1416" t="s">
        <v>67</v>
      </c>
      <c r="S1416">
        <v>1</v>
      </c>
      <c r="T1416">
        <v>0</v>
      </c>
      <c r="U1416">
        <v>0</v>
      </c>
      <c r="V1416">
        <v>0</v>
      </c>
      <c r="W1416">
        <v>1</v>
      </c>
      <c r="X1416">
        <v>0</v>
      </c>
      <c r="Y1416">
        <v>0</v>
      </c>
      <c r="Z1416">
        <v>1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0</v>
      </c>
      <c r="AI1416">
        <v>0</v>
      </c>
      <c r="AJ1416">
        <v>1</v>
      </c>
      <c r="AK1416">
        <v>1</v>
      </c>
      <c r="AL1416">
        <v>0</v>
      </c>
      <c r="AM1416">
        <v>1</v>
      </c>
    </row>
    <row r="1417" spans="1:39" x14ac:dyDescent="0.2">
      <c r="A1417" t="str">
        <f>"1413"</f>
        <v>1413</v>
      </c>
      <c r="B1417" t="str">
        <f t="shared" si="78"/>
        <v>1</v>
      </c>
      <c r="C1417" t="str">
        <f t="shared" si="79"/>
        <v>29</v>
      </c>
      <c r="D1417" t="str">
        <f>"17"</f>
        <v>17</v>
      </c>
      <c r="E1417" t="str">
        <f>"1-29-17"</f>
        <v>1-29-17</v>
      </c>
      <c r="F1417" t="s">
        <v>65</v>
      </c>
      <c r="G1417" t="s">
        <v>66</v>
      </c>
      <c r="H1417" t="s">
        <v>67</v>
      </c>
      <c r="S1417">
        <v>1</v>
      </c>
      <c r="T1417">
        <v>0</v>
      </c>
      <c r="U1417">
        <v>0</v>
      </c>
      <c r="V1417">
        <v>0</v>
      </c>
      <c r="W1417">
        <v>1</v>
      </c>
      <c r="X1417">
        <v>0</v>
      </c>
      <c r="Y1417">
        <v>1</v>
      </c>
      <c r="Z1417">
        <v>0</v>
      </c>
      <c r="AA1417">
        <v>0</v>
      </c>
      <c r="AB1417">
        <v>0</v>
      </c>
      <c r="AC1417">
        <v>1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</row>
    <row r="1418" spans="1:39" x14ac:dyDescent="0.2">
      <c r="A1418" t="str">
        <f>"1414"</f>
        <v>1414</v>
      </c>
      <c r="B1418" t="str">
        <f t="shared" si="78"/>
        <v>1</v>
      </c>
      <c r="C1418" t="str">
        <f t="shared" si="79"/>
        <v>29</v>
      </c>
      <c r="D1418" t="str">
        <f>"43"</f>
        <v>43</v>
      </c>
      <c r="E1418" t="str">
        <f>"1-29-43"</f>
        <v>1-29-43</v>
      </c>
      <c r="F1418" t="s">
        <v>65</v>
      </c>
      <c r="G1418" t="s">
        <v>66</v>
      </c>
      <c r="H1418" t="s">
        <v>67</v>
      </c>
      <c r="S1418">
        <v>1</v>
      </c>
      <c r="T1418">
        <v>0</v>
      </c>
      <c r="U1418">
        <v>0</v>
      </c>
      <c r="V1418">
        <v>0</v>
      </c>
      <c r="W1418">
        <v>1</v>
      </c>
      <c r="X1418">
        <v>0</v>
      </c>
      <c r="Y1418">
        <v>0</v>
      </c>
      <c r="Z1418">
        <v>1</v>
      </c>
      <c r="AA1418">
        <v>0</v>
      </c>
      <c r="AB1418">
        <v>1</v>
      </c>
      <c r="AC1418">
        <v>0</v>
      </c>
      <c r="AD1418">
        <v>1</v>
      </c>
      <c r="AE1418">
        <v>1</v>
      </c>
      <c r="AF1418">
        <v>1</v>
      </c>
      <c r="AG1418">
        <v>1</v>
      </c>
      <c r="AH1418">
        <v>1</v>
      </c>
      <c r="AI1418">
        <v>1</v>
      </c>
      <c r="AJ1418">
        <v>1</v>
      </c>
      <c r="AK1418">
        <v>1</v>
      </c>
      <c r="AL1418">
        <v>1</v>
      </c>
      <c r="AM1418">
        <v>1</v>
      </c>
    </row>
    <row r="1419" spans="1:39" x14ac:dyDescent="0.2">
      <c r="A1419" t="str">
        <f>"1415"</f>
        <v>1415</v>
      </c>
      <c r="B1419" t="str">
        <f t="shared" si="78"/>
        <v>1</v>
      </c>
      <c r="C1419" t="str">
        <f t="shared" si="79"/>
        <v>29</v>
      </c>
      <c r="D1419" t="str">
        <f>"42"</f>
        <v>42</v>
      </c>
      <c r="E1419" t="str">
        <f>"1-29-42"</f>
        <v>1-29-42</v>
      </c>
      <c r="F1419" t="s">
        <v>65</v>
      </c>
      <c r="G1419" t="s">
        <v>66</v>
      </c>
      <c r="H1419" t="s">
        <v>67</v>
      </c>
      <c r="S1419">
        <v>1</v>
      </c>
      <c r="T1419">
        <v>0</v>
      </c>
      <c r="U1419">
        <v>0</v>
      </c>
      <c r="V1419">
        <v>0</v>
      </c>
      <c r="W1419">
        <v>0</v>
      </c>
      <c r="X1419">
        <v>1</v>
      </c>
      <c r="Y1419">
        <v>1</v>
      </c>
      <c r="Z1419">
        <v>0</v>
      </c>
      <c r="AA1419">
        <v>0</v>
      </c>
      <c r="AB1419">
        <v>1</v>
      </c>
      <c r="AC1419">
        <v>0</v>
      </c>
      <c r="AD1419">
        <v>1</v>
      </c>
      <c r="AE1419">
        <v>1</v>
      </c>
      <c r="AF1419">
        <v>1</v>
      </c>
      <c r="AG1419">
        <v>1</v>
      </c>
      <c r="AH1419">
        <v>1</v>
      </c>
      <c r="AI1419">
        <v>1</v>
      </c>
      <c r="AJ1419">
        <v>1</v>
      </c>
      <c r="AK1419">
        <v>1</v>
      </c>
      <c r="AL1419">
        <v>1</v>
      </c>
      <c r="AM1419">
        <v>1</v>
      </c>
    </row>
    <row r="1420" spans="1:39" x14ac:dyDescent="0.2">
      <c r="A1420" t="str">
        <f>"1416"</f>
        <v>1416</v>
      </c>
      <c r="B1420" t="str">
        <f t="shared" si="78"/>
        <v>1</v>
      </c>
      <c r="C1420" t="str">
        <f t="shared" si="79"/>
        <v>29</v>
      </c>
      <c r="D1420" t="str">
        <f>"32"</f>
        <v>32</v>
      </c>
      <c r="E1420" t="str">
        <f>"1-29-32"</f>
        <v>1-29-32</v>
      </c>
      <c r="F1420" t="s">
        <v>65</v>
      </c>
      <c r="G1420" t="s">
        <v>66</v>
      </c>
      <c r="H1420" t="s">
        <v>67</v>
      </c>
      <c r="S1420">
        <v>1</v>
      </c>
      <c r="T1420">
        <v>0</v>
      </c>
      <c r="U1420">
        <v>0</v>
      </c>
      <c r="V1420">
        <v>0</v>
      </c>
      <c r="W1420">
        <v>1</v>
      </c>
      <c r="X1420">
        <v>0</v>
      </c>
      <c r="Y1420">
        <v>1</v>
      </c>
      <c r="Z1420">
        <v>0</v>
      </c>
      <c r="AA1420">
        <v>0</v>
      </c>
      <c r="AB1420">
        <v>1</v>
      </c>
      <c r="AC1420">
        <v>0</v>
      </c>
      <c r="AD1420">
        <v>1</v>
      </c>
      <c r="AE1420">
        <v>1</v>
      </c>
      <c r="AF1420">
        <v>0</v>
      </c>
      <c r="AG1420">
        <v>1</v>
      </c>
      <c r="AH1420">
        <v>1</v>
      </c>
      <c r="AI1420">
        <v>1</v>
      </c>
      <c r="AJ1420">
        <v>1</v>
      </c>
      <c r="AK1420">
        <v>0</v>
      </c>
      <c r="AL1420">
        <v>1</v>
      </c>
      <c r="AM1420">
        <v>1</v>
      </c>
    </row>
    <row r="1421" spans="1:39" x14ac:dyDescent="0.2">
      <c r="A1421" t="str">
        <f>"1417"</f>
        <v>1417</v>
      </c>
      <c r="B1421" t="str">
        <f t="shared" si="78"/>
        <v>1</v>
      </c>
      <c r="C1421" t="str">
        <f t="shared" si="79"/>
        <v>29</v>
      </c>
      <c r="D1421" t="str">
        <f>"18"</f>
        <v>18</v>
      </c>
      <c r="E1421" t="str">
        <f>"1-29-18"</f>
        <v>1-29-18</v>
      </c>
      <c r="F1421" t="s">
        <v>65</v>
      </c>
      <c r="G1421" t="s">
        <v>66</v>
      </c>
      <c r="H1421" t="s">
        <v>67</v>
      </c>
      <c r="S1421">
        <v>0</v>
      </c>
      <c r="T1421">
        <v>1</v>
      </c>
      <c r="U1421">
        <v>0</v>
      </c>
      <c r="V1421">
        <v>0</v>
      </c>
      <c r="W1421">
        <v>1</v>
      </c>
      <c r="X1421">
        <v>0</v>
      </c>
      <c r="Y1421">
        <v>1</v>
      </c>
      <c r="Z1421">
        <v>0</v>
      </c>
      <c r="AA1421">
        <v>0</v>
      </c>
      <c r="AB1421">
        <v>0</v>
      </c>
      <c r="AC1421">
        <v>1</v>
      </c>
      <c r="AD1421">
        <v>1</v>
      </c>
      <c r="AE1421">
        <v>1</v>
      </c>
      <c r="AF1421">
        <v>1</v>
      </c>
      <c r="AG1421">
        <v>1</v>
      </c>
      <c r="AH1421">
        <v>1</v>
      </c>
      <c r="AI1421">
        <v>1</v>
      </c>
      <c r="AJ1421">
        <v>1</v>
      </c>
      <c r="AK1421">
        <v>1</v>
      </c>
      <c r="AL1421">
        <v>1</v>
      </c>
      <c r="AM1421">
        <v>1</v>
      </c>
    </row>
    <row r="1422" spans="1:39" x14ac:dyDescent="0.2">
      <c r="A1422" t="str">
        <f>"1418"</f>
        <v>1418</v>
      </c>
      <c r="B1422" t="str">
        <f t="shared" si="78"/>
        <v>1</v>
      </c>
      <c r="C1422" t="str">
        <f t="shared" si="79"/>
        <v>29</v>
      </c>
      <c r="D1422" t="str">
        <f>"14"</f>
        <v>14</v>
      </c>
      <c r="E1422" t="str">
        <f>"1-29-14"</f>
        <v>1-29-14</v>
      </c>
      <c r="F1422" t="s">
        <v>65</v>
      </c>
      <c r="G1422" t="s">
        <v>66</v>
      </c>
      <c r="H1422" t="s">
        <v>67</v>
      </c>
      <c r="S1422">
        <v>1</v>
      </c>
      <c r="T1422">
        <v>0</v>
      </c>
      <c r="U1422">
        <v>0</v>
      </c>
      <c r="V1422">
        <v>0</v>
      </c>
      <c r="W1422">
        <v>1</v>
      </c>
      <c r="X1422">
        <v>0</v>
      </c>
      <c r="Y1422">
        <v>1</v>
      </c>
      <c r="Z1422">
        <v>0</v>
      </c>
      <c r="AA1422">
        <v>0</v>
      </c>
      <c r="AB1422">
        <v>0</v>
      </c>
      <c r="AC1422">
        <v>1</v>
      </c>
      <c r="AD1422">
        <v>1</v>
      </c>
      <c r="AE1422">
        <v>1</v>
      </c>
      <c r="AF1422">
        <v>1</v>
      </c>
      <c r="AG1422">
        <v>1</v>
      </c>
      <c r="AH1422">
        <v>1</v>
      </c>
      <c r="AI1422">
        <v>1</v>
      </c>
      <c r="AJ1422">
        <v>1</v>
      </c>
      <c r="AK1422">
        <v>1</v>
      </c>
      <c r="AL1422">
        <v>1</v>
      </c>
      <c r="AM1422">
        <v>1</v>
      </c>
    </row>
    <row r="1423" spans="1:39" x14ac:dyDescent="0.2">
      <c r="A1423" t="str">
        <f>"1419"</f>
        <v>1419</v>
      </c>
      <c r="B1423" t="str">
        <f t="shared" si="78"/>
        <v>1</v>
      </c>
      <c r="C1423" t="str">
        <f t="shared" si="79"/>
        <v>29</v>
      </c>
      <c r="D1423" t="str">
        <f>"34"</f>
        <v>34</v>
      </c>
      <c r="E1423" t="str">
        <f>"1-29-34"</f>
        <v>1-29-34</v>
      </c>
      <c r="F1423" t="s">
        <v>65</v>
      </c>
      <c r="G1423" t="s">
        <v>66</v>
      </c>
      <c r="H1423" t="s">
        <v>67</v>
      </c>
      <c r="S1423">
        <v>1</v>
      </c>
      <c r="T1423">
        <v>0</v>
      </c>
      <c r="U1423">
        <v>0</v>
      </c>
      <c r="V1423">
        <v>0</v>
      </c>
      <c r="W1423">
        <v>1</v>
      </c>
      <c r="X1423">
        <v>0</v>
      </c>
      <c r="Y1423">
        <v>0</v>
      </c>
      <c r="Z1423">
        <v>1</v>
      </c>
      <c r="AA1423">
        <v>1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1</v>
      </c>
      <c r="AH1423">
        <v>1</v>
      </c>
      <c r="AI1423">
        <v>0</v>
      </c>
      <c r="AJ1423">
        <v>1</v>
      </c>
      <c r="AK1423">
        <v>0</v>
      </c>
      <c r="AL1423">
        <v>1</v>
      </c>
      <c r="AM1423">
        <v>1</v>
      </c>
    </row>
    <row r="1424" spans="1:39" x14ac:dyDescent="0.2">
      <c r="A1424" t="str">
        <f>"1420"</f>
        <v>1420</v>
      </c>
      <c r="B1424" t="str">
        <f t="shared" si="78"/>
        <v>1</v>
      </c>
      <c r="C1424" t="str">
        <f t="shared" si="79"/>
        <v>29</v>
      </c>
      <c r="D1424" t="str">
        <f>"19"</f>
        <v>19</v>
      </c>
      <c r="E1424" t="str">
        <f>"1-29-19"</f>
        <v>1-29-19</v>
      </c>
      <c r="F1424" t="s">
        <v>65</v>
      </c>
      <c r="G1424" t="s">
        <v>66</v>
      </c>
      <c r="H1424" t="s">
        <v>67</v>
      </c>
      <c r="S1424">
        <v>0</v>
      </c>
      <c r="T1424">
        <v>1</v>
      </c>
      <c r="U1424">
        <v>0</v>
      </c>
      <c r="V1424">
        <v>0</v>
      </c>
      <c r="W1424">
        <v>1</v>
      </c>
      <c r="X1424">
        <v>0</v>
      </c>
      <c r="Y1424">
        <v>0</v>
      </c>
      <c r="Z1424">
        <v>1</v>
      </c>
      <c r="AA1424">
        <v>0</v>
      </c>
      <c r="AB1424">
        <v>1</v>
      </c>
      <c r="AC1424">
        <v>0</v>
      </c>
      <c r="AD1424">
        <v>1</v>
      </c>
      <c r="AE1424">
        <v>1</v>
      </c>
      <c r="AF1424">
        <v>1</v>
      </c>
      <c r="AG1424">
        <v>1</v>
      </c>
      <c r="AH1424">
        <v>1</v>
      </c>
      <c r="AI1424">
        <v>1</v>
      </c>
      <c r="AJ1424">
        <v>1</v>
      </c>
      <c r="AK1424">
        <v>1</v>
      </c>
      <c r="AL1424">
        <v>1</v>
      </c>
      <c r="AM1424">
        <v>1</v>
      </c>
    </row>
    <row r="1425" spans="1:39" x14ac:dyDescent="0.2">
      <c r="A1425" t="str">
        <f>"1421"</f>
        <v>1421</v>
      </c>
      <c r="B1425" t="str">
        <f t="shared" si="78"/>
        <v>1</v>
      </c>
      <c r="C1425" t="str">
        <f t="shared" si="79"/>
        <v>29</v>
      </c>
      <c r="D1425" t="str">
        <f>"50"</f>
        <v>50</v>
      </c>
      <c r="E1425" t="str">
        <f>"1-29-50"</f>
        <v>1-29-50</v>
      </c>
      <c r="F1425" t="s">
        <v>65</v>
      </c>
      <c r="G1425" t="s">
        <v>66</v>
      </c>
      <c r="H1425" t="s">
        <v>67</v>
      </c>
      <c r="S1425">
        <v>1</v>
      </c>
      <c r="T1425">
        <v>0</v>
      </c>
      <c r="U1425">
        <v>0</v>
      </c>
      <c r="V1425">
        <v>0</v>
      </c>
      <c r="W1425">
        <v>1</v>
      </c>
      <c r="X1425">
        <v>0</v>
      </c>
      <c r="Y1425">
        <v>1</v>
      </c>
      <c r="Z1425">
        <v>0</v>
      </c>
      <c r="AA1425">
        <v>0</v>
      </c>
      <c r="AB1425">
        <v>1</v>
      </c>
      <c r="AC1425">
        <v>0</v>
      </c>
      <c r="AD1425">
        <v>1</v>
      </c>
      <c r="AE1425">
        <v>1</v>
      </c>
      <c r="AF1425">
        <v>1</v>
      </c>
      <c r="AG1425">
        <v>1</v>
      </c>
      <c r="AH1425">
        <v>1</v>
      </c>
      <c r="AI1425">
        <v>1</v>
      </c>
      <c r="AJ1425">
        <v>1</v>
      </c>
      <c r="AK1425">
        <v>1</v>
      </c>
      <c r="AL1425">
        <v>1</v>
      </c>
      <c r="AM1425">
        <v>1</v>
      </c>
    </row>
    <row r="1426" spans="1:39" x14ac:dyDescent="0.2">
      <c r="A1426" t="str">
        <f>"1422"</f>
        <v>1422</v>
      </c>
      <c r="B1426" t="str">
        <f t="shared" si="78"/>
        <v>1</v>
      </c>
      <c r="C1426" t="str">
        <f t="shared" si="79"/>
        <v>29</v>
      </c>
      <c r="D1426" t="str">
        <f>"49"</f>
        <v>49</v>
      </c>
      <c r="E1426" t="str">
        <f>"1-29-49"</f>
        <v>1-29-49</v>
      </c>
      <c r="F1426" t="s">
        <v>65</v>
      </c>
      <c r="G1426" t="s">
        <v>66</v>
      </c>
      <c r="H1426" t="s">
        <v>67</v>
      </c>
      <c r="S1426">
        <v>0</v>
      </c>
      <c r="T1426">
        <v>1</v>
      </c>
      <c r="U1426">
        <v>0</v>
      </c>
      <c r="V1426">
        <v>0</v>
      </c>
      <c r="W1426">
        <v>1</v>
      </c>
      <c r="X1426">
        <v>0</v>
      </c>
      <c r="Y1426">
        <v>1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1</v>
      </c>
      <c r="AF1426">
        <v>1</v>
      </c>
      <c r="AG1426">
        <v>1</v>
      </c>
      <c r="AH1426">
        <v>1</v>
      </c>
      <c r="AI1426">
        <v>1</v>
      </c>
      <c r="AJ1426">
        <v>1</v>
      </c>
      <c r="AK1426">
        <v>1</v>
      </c>
      <c r="AL1426">
        <v>1</v>
      </c>
      <c r="AM1426">
        <v>1</v>
      </c>
    </row>
    <row r="1427" spans="1:39" x14ac:dyDescent="0.2">
      <c r="A1427" t="str">
        <f>"1423"</f>
        <v>1423</v>
      </c>
      <c r="B1427" t="str">
        <f t="shared" si="78"/>
        <v>1</v>
      </c>
      <c r="C1427" t="str">
        <f t="shared" si="79"/>
        <v>29</v>
      </c>
      <c r="D1427" t="str">
        <f>"33"</f>
        <v>33</v>
      </c>
      <c r="E1427" t="str">
        <f>"1-29-33"</f>
        <v>1-29-33</v>
      </c>
      <c r="F1427" t="s">
        <v>65</v>
      </c>
      <c r="G1427" t="s">
        <v>66</v>
      </c>
      <c r="H1427" t="s">
        <v>67</v>
      </c>
      <c r="S1427">
        <v>1</v>
      </c>
      <c r="T1427">
        <v>0</v>
      </c>
      <c r="U1427">
        <v>0</v>
      </c>
      <c r="V1427">
        <v>0</v>
      </c>
      <c r="W1427">
        <v>1</v>
      </c>
      <c r="X1427">
        <v>0</v>
      </c>
      <c r="Y1427">
        <v>0</v>
      </c>
      <c r="Z1427">
        <v>1</v>
      </c>
      <c r="AA1427">
        <v>0</v>
      </c>
      <c r="AB1427">
        <v>1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1</v>
      </c>
      <c r="AI1427">
        <v>0</v>
      </c>
      <c r="AJ1427">
        <v>0</v>
      </c>
      <c r="AK1427">
        <v>0</v>
      </c>
      <c r="AL1427">
        <v>0</v>
      </c>
      <c r="AM1427">
        <v>0</v>
      </c>
    </row>
    <row r="1428" spans="1:39" x14ac:dyDescent="0.2">
      <c r="A1428" t="str">
        <f>"1424"</f>
        <v>1424</v>
      </c>
      <c r="B1428" t="str">
        <f t="shared" si="78"/>
        <v>1</v>
      </c>
      <c r="C1428" t="str">
        <f t="shared" si="79"/>
        <v>29</v>
      </c>
      <c r="D1428" t="str">
        <f>"20"</f>
        <v>20</v>
      </c>
      <c r="E1428" t="str">
        <f>"1-29-20"</f>
        <v>1-29-20</v>
      </c>
      <c r="F1428" t="s">
        <v>65</v>
      </c>
      <c r="G1428" t="s">
        <v>66</v>
      </c>
      <c r="H1428" t="s">
        <v>67</v>
      </c>
      <c r="S1428">
        <v>1</v>
      </c>
      <c r="T1428">
        <v>0</v>
      </c>
      <c r="U1428">
        <v>0</v>
      </c>
      <c r="V1428">
        <v>0</v>
      </c>
      <c r="W1428">
        <v>0</v>
      </c>
      <c r="X1428">
        <v>1</v>
      </c>
      <c r="Y1428">
        <v>1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1</v>
      </c>
      <c r="AF1428">
        <v>1</v>
      </c>
      <c r="AG1428">
        <v>1</v>
      </c>
      <c r="AH1428">
        <v>1</v>
      </c>
      <c r="AI1428">
        <v>1</v>
      </c>
      <c r="AJ1428">
        <v>1</v>
      </c>
      <c r="AK1428">
        <v>1</v>
      </c>
      <c r="AL1428">
        <v>1</v>
      </c>
      <c r="AM1428">
        <v>1</v>
      </c>
    </row>
    <row r="1429" spans="1:39" x14ac:dyDescent="0.2">
      <c r="A1429" t="str">
        <f>"1425"</f>
        <v>1425</v>
      </c>
      <c r="B1429" t="str">
        <f t="shared" si="78"/>
        <v>1</v>
      </c>
      <c r="C1429" t="str">
        <f t="shared" si="79"/>
        <v>29</v>
      </c>
      <c r="D1429" t="str">
        <f>"10"</f>
        <v>10</v>
      </c>
      <c r="E1429" t="str">
        <f>"1-29-10"</f>
        <v>1-29-10</v>
      </c>
      <c r="F1429" t="s">
        <v>65</v>
      </c>
      <c r="G1429" t="s">
        <v>66</v>
      </c>
      <c r="H1429" t="s">
        <v>67</v>
      </c>
      <c r="S1429">
        <v>0</v>
      </c>
      <c r="T1429">
        <v>1</v>
      </c>
      <c r="U1429">
        <v>0</v>
      </c>
      <c r="V1429">
        <v>0</v>
      </c>
      <c r="W1429">
        <v>1</v>
      </c>
      <c r="X1429">
        <v>0</v>
      </c>
      <c r="Y1429">
        <v>1</v>
      </c>
      <c r="Z1429">
        <v>0</v>
      </c>
      <c r="AA1429">
        <v>0</v>
      </c>
      <c r="AB1429">
        <v>1</v>
      </c>
      <c r="AC1429">
        <v>0</v>
      </c>
      <c r="AD1429">
        <v>1</v>
      </c>
      <c r="AE1429">
        <v>1</v>
      </c>
      <c r="AF1429">
        <v>1</v>
      </c>
      <c r="AG1429">
        <v>1</v>
      </c>
      <c r="AH1429">
        <v>1</v>
      </c>
      <c r="AI1429">
        <v>1</v>
      </c>
      <c r="AJ1429">
        <v>1</v>
      </c>
      <c r="AK1429">
        <v>1</v>
      </c>
      <c r="AL1429">
        <v>1</v>
      </c>
      <c r="AM1429">
        <v>1</v>
      </c>
    </row>
    <row r="1430" spans="1:39" x14ac:dyDescent="0.2">
      <c r="A1430" t="str">
        <f>"1426"</f>
        <v>1426</v>
      </c>
      <c r="B1430" t="str">
        <f t="shared" si="78"/>
        <v>1</v>
      </c>
      <c r="C1430" t="str">
        <f t="shared" si="79"/>
        <v>29</v>
      </c>
      <c r="D1430" t="str">
        <f>"41"</f>
        <v>41</v>
      </c>
      <c r="E1430" t="str">
        <f>"1-29-41"</f>
        <v>1-29-41</v>
      </c>
      <c r="F1430" t="s">
        <v>65</v>
      </c>
      <c r="G1430" t="s">
        <v>66</v>
      </c>
      <c r="H1430" t="s">
        <v>67</v>
      </c>
      <c r="S1430">
        <v>1</v>
      </c>
      <c r="T1430">
        <v>0</v>
      </c>
      <c r="U1430">
        <v>0</v>
      </c>
      <c r="V1430">
        <v>0</v>
      </c>
      <c r="W1430">
        <v>1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</v>
      </c>
      <c r="AD1430">
        <v>1</v>
      </c>
      <c r="AE1430">
        <v>1</v>
      </c>
      <c r="AF1430">
        <v>1</v>
      </c>
      <c r="AG1430">
        <v>1</v>
      </c>
      <c r="AH1430">
        <v>1</v>
      </c>
      <c r="AI1430">
        <v>1</v>
      </c>
      <c r="AJ1430">
        <v>1</v>
      </c>
      <c r="AK1430">
        <v>1</v>
      </c>
      <c r="AL1430">
        <v>1</v>
      </c>
      <c r="AM1430">
        <v>1</v>
      </c>
    </row>
    <row r="1431" spans="1:39" x14ac:dyDescent="0.2">
      <c r="A1431" t="str">
        <f>"1427"</f>
        <v>1427</v>
      </c>
      <c r="B1431" t="str">
        <f t="shared" si="78"/>
        <v>1</v>
      </c>
      <c r="C1431" t="str">
        <f t="shared" si="79"/>
        <v>29</v>
      </c>
      <c r="D1431" t="str">
        <f>"22"</f>
        <v>22</v>
      </c>
      <c r="E1431" t="str">
        <f>"1-29-22"</f>
        <v>1-29-22</v>
      </c>
      <c r="F1431" t="s">
        <v>65</v>
      </c>
      <c r="G1431" t="s">
        <v>66</v>
      </c>
      <c r="H1431" t="s">
        <v>67</v>
      </c>
      <c r="S1431">
        <v>1</v>
      </c>
      <c r="T1431">
        <v>0</v>
      </c>
      <c r="U1431">
        <v>0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1</v>
      </c>
      <c r="AF1431">
        <v>1</v>
      </c>
      <c r="AG1431">
        <v>1</v>
      </c>
      <c r="AH1431">
        <v>1</v>
      </c>
      <c r="AI1431">
        <v>1</v>
      </c>
      <c r="AJ1431">
        <v>1</v>
      </c>
      <c r="AK1431">
        <v>1</v>
      </c>
      <c r="AL1431">
        <v>1</v>
      </c>
      <c r="AM1431">
        <v>1</v>
      </c>
    </row>
    <row r="1432" spans="1:39" x14ac:dyDescent="0.2">
      <c r="A1432" t="str">
        <f>"1428"</f>
        <v>1428</v>
      </c>
      <c r="B1432" t="str">
        <f t="shared" si="78"/>
        <v>1</v>
      </c>
      <c r="C1432" t="str">
        <f t="shared" si="79"/>
        <v>29</v>
      </c>
      <c r="D1432" t="str">
        <f>"7"</f>
        <v>7</v>
      </c>
      <c r="E1432" t="str">
        <f>"1-29-7"</f>
        <v>1-29-7</v>
      </c>
      <c r="F1432" t="s">
        <v>65</v>
      </c>
      <c r="G1432" t="s">
        <v>66</v>
      </c>
      <c r="H1432" t="s">
        <v>67</v>
      </c>
      <c r="S1432">
        <v>0</v>
      </c>
      <c r="T1432">
        <v>1</v>
      </c>
      <c r="U1432">
        <v>0</v>
      </c>
      <c r="V1432">
        <v>0</v>
      </c>
      <c r="W1432">
        <v>1</v>
      </c>
      <c r="X1432">
        <v>0</v>
      </c>
      <c r="Y1432">
        <v>0</v>
      </c>
      <c r="Z1432">
        <v>1</v>
      </c>
      <c r="AA1432">
        <v>1</v>
      </c>
      <c r="AB1432">
        <v>0</v>
      </c>
      <c r="AC1432">
        <v>0</v>
      </c>
      <c r="AD1432">
        <v>1</v>
      </c>
      <c r="AE1432">
        <v>1</v>
      </c>
      <c r="AF1432">
        <v>1</v>
      </c>
      <c r="AG1432">
        <v>1</v>
      </c>
      <c r="AH1432">
        <v>1</v>
      </c>
      <c r="AI1432">
        <v>1</v>
      </c>
      <c r="AJ1432">
        <v>1</v>
      </c>
      <c r="AK1432">
        <v>1</v>
      </c>
      <c r="AL1432">
        <v>1</v>
      </c>
      <c r="AM1432">
        <v>1</v>
      </c>
    </row>
    <row r="1433" spans="1:39" x14ac:dyDescent="0.2">
      <c r="A1433" t="str">
        <f>"1429"</f>
        <v>1429</v>
      </c>
      <c r="B1433" t="str">
        <f t="shared" si="78"/>
        <v>1</v>
      </c>
      <c r="C1433" t="str">
        <f t="shared" si="79"/>
        <v>29</v>
      </c>
      <c r="D1433" t="str">
        <f>"44"</f>
        <v>44</v>
      </c>
      <c r="E1433" t="str">
        <f>"1-29-44"</f>
        <v>1-29-44</v>
      </c>
      <c r="F1433" t="s">
        <v>65</v>
      </c>
      <c r="G1433" t="s">
        <v>66</v>
      </c>
      <c r="H1433" t="s">
        <v>67</v>
      </c>
      <c r="S1433">
        <v>1</v>
      </c>
      <c r="T1433">
        <v>0</v>
      </c>
      <c r="U1433">
        <v>0</v>
      </c>
      <c r="V1433">
        <v>0</v>
      </c>
      <c r="W1433">
        <v>1</v>
      </c>
      <c r="X1433">
        <v>0</v>
      </c>
      <c r="Y1433">
        <v>1</v>
      </c>
      <c r="Z1433">
        <v>0</v>
      </c>
      <c r="AA1433">
        <v>0</v>
      </c>
      <c r="AB1433">
        <v>0</v>
      </c>
      <c r="AC1433">
        <v>1</v>
      </c>
      <c r="AD1433">
        <v>1</v>
      </c>
      <c r="AE1433">
        <v>1</v>
      </c>
      <c r="AF1433">
        <v>1</v>
      </c>
      <c r="AG1433">
        <v>1</v>
      </c>
      <c r="AH1433">
        <v>1</v>
      </c>
      <c r="AI1433">
        <v>1</v>
      </c>
      <c r="AJ1433">
        <v>1</v>
      </c>
      <c r="AK1433">
        <v>1</v>
      </c>
      <c r="AL1433">
        <v>1</v>
      </c>
      <c r="AM1433">
        <v>1</v>
      </c>
    </row>
    <row r="1434" spans="1:39" x14ac:dyDescent="0.2">
      <c r="A1434" t="str">
        <f>"1430"</f>
        <v>1430</v>
      </c>
      <c r="B1434" t="str">
        <f t="shared" si="78"/>
        <v>1</v>
      </c>
      <c r="C1434" t="str">
        <f t="shared" si="79"/>
        <v>29</v>
      </c>
      <c r="D1434" t="str">
        <f>"24"</f>
        <v>24</v>
      </c>
      <c r="E1434" t="str">
        <f>"1-29-24"</f>
        <v>1-29-24</v>
      </c>
      <c r="F1434" t="s">
        <v>65</v>
      </c>
      <c r="G1434" t="s">
        <v>66</v>
      </c>
      <c r="H1434" t="s">
        <v>67</v>
      </c>
      <c r="S1434">
        <v>0</v>
      </c>
      <c r="T1434">
        <v>1</v>
      </c>
      <c r="U1434">
        <v>0</v>
      </c>
      <c r="V1434">
        <v>0</v>
      </c>
      <c r="W1434">
        <v>1</v>
      </c>
      <c r="X1434">
        <v>0</v>
      </c>
      <c r="Y1434">
        <v>1</v>
      </c>
      <c r="Z1434">
        <v>0</v>
      </c>
      <c r="AA1434">
        <v>0</v>
      </c>
      <c r="AB1434">
        <v>1</v>
      </c>
      <c r="AC1434">
        <v>0</v>
      </c>
      <c r="AD1434">
        <v>1</v>
      </c>
      <c r="AE1434">
        <v>1</v>
      </c>
      <c r="AF1434">
        <v>1</v>
      </c>
      <c r="AG1434">
        <v>1</v>
      </c>
      <c r="AH1434">
        <v>1</v>
      </c>
      <c r="AI1434">
        <v>1</v>
      </c>
      <c r="AJ1434">
        <v>1</v>
      </c>
      <c r="AK1434">
        <v>1</v>
      </c>
      <c r="AL1434">
        <v>1</v>
      </c>
      <c r="AM1434">
        <v>1</v>
      </c>
    </row>
    <row r="1435" spans="1:39" x14ac:dyDescent="0.2">
      <c r="A1435" t="str">
        <f>"1431"</f>
        <v>1431</v>
      </c>
      <c r="B1435" t="str">
        <f t="shared" si="78"/>
        <v>1</v>
      </c>
      <c r="C1435" t="str">
        <f t="shared" si="79"/>
        <v>29</v>
      </c>
      <c r="D1435" t="str">
        <f>"12"</f>
        <v>12</v>
      </c>
      <c r="E1435" t="str">
        <f>"1-29-12"</f>
        <v>1-29-12</v>
      </c>
      <c r="F1435" t="s">
        <v>65</v>
      </c>
      <c r="G1435" t="s">
        <v>66</v>
      </c>
      <c r="H1435" t="s">
        <v>67</v>
      </c>
      <c r="S1435">
        <v>1</v>
      </c>
      <c r="T1435">
        <v>0</v>
      </c>
      <c r="U1435">
        <v>0</v>
      </c>
      <c r="V1435">
        <v>0</v>
      </c>
      <c r="W1435">
        <v>1</v>
      </c>
      <c r="X1435">
        <v>0</v>
      </c>
      <c r="Y1435">
        <v>0</v>
      </c>
      <c r="Z1435">
        <v>1</v>
      </c>
      <c r="AA1435">
        <v>1</v>
      </c>
      <c r="AB1435">
        <v>0</v>
      </c>
      <c r="AC1435">
        <v>0</v>
      </c>
      <c r="AD1435">
        <v>1</v>
      </c>
      <c r="AE1435">
        <v>1</v>
      </c>
      <c r="AF1435">
        <v>1</v>
      </c>
      <c r="AG1435">
        <v>1</v>
      </c>
      <c r="AH1435">
        <v>1</v>
      </c>
      <c r="AI1435">
        <v>1</v>
      </c>
      <c r="AJ1435">
        <v>1</v>
      </c>
      <c r="AK1435">
        <v>1</v>
      </c>
      <c r="AL1435">
        <v>1</v>
      </c>
      <c r="AM1435">
        <v>1</v>
      </c>
    </row>
    <row r="1436" spans="1:39" x14ac:dyDescent="0.2">
      <c r="A1436" t="str">
        <f>"1432"</f>
        <v>1432</v>
      </c>
      <c r="B1436" t="str">
        <f t="shared" si="78"/>
        <v>1</v>
      </c>
      <c r="C1436" t="str">
        <f t="shared" si="79"/>
        <v>29</v>
      </c>
      <c r="D1436" t="str">
        <f>"45"</f>
        <v>45</v>
      </c>
      <c r="E1436" t="str">
        <f>"1-29-45"</f>
        <v>1-29-45</v>
      </c>
      <c r="F1436" t="s">
        <v>65</v>
      </c>
      <c r="G1436" t="s">
        <v>66</v>
      </c>
      <c r="H1436" t="s">
        <v>67</v>
      </c>
      <c r="S1436">
        <v>1</v>
      </c>
      <c r="T1436">
        <v>0</v>
      </c>
      <c r="U1436">
        <v>0</v>
      </c>
      <c r="V1436">
        <v>0</v>
      </c>
      <c r="W1436">
        <v>1</v>
      </c>
      <c r="X1436">
        <v>0</v>
      </c>
      <c r="Y1436">
        <v>1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1</v>
      </c>
      <c r="AF1436">
        <v>1</v>
      </c>
      <c r="AG1436">
        <v>1</v>
      </c>
      <c r="AH1436">
        <v>1</v>
      </c>
      <c r="AI1436">
        <v>1</v>
      </c>
      <c r="AJ1436">
        <v>1</v>
      </c>
      <c r="AK1436">
        <v>1</v>
      </c>
      <c r="AL1436">
        <v>1</v>
      </c>
      <c r="AM1436">
        <v>1</v>
      </c>
    </row>
    <row r="1437" spans="1:39" x14ac:dyDescent="0.2">
      <c r="A1437" t="str">
        <f>"1433"</f>
        <v>1433</v>
      </c>
      <c r="B1437" t="str">
        <f t="shared" si="78"/>
        <v>1</v>
      </c>
      <c r="C1437" t="str">
        <f t="shared" ref="C1437:C1454" si="80">"29"</f>
        <v>29</v>
      </c>
      <c r="D1437" t="str">
        <f>"25"</f>
        <v>25</v>
      </c>
      <c r="E1437" t="str">
        <f>"1-29-25"</f>
        <v>1-29-25</v>
      </c>
      <c r="F1437" t="s">
        <v>65</v>
      </c>
      <c r="G1437" t="s">
        <v>66</v>
      </c>
      <c r="H1437" t="s">
        <v>67</v>
      </c>
      <c r="S1437">
        <v>0</v>
      </c>
      <c r="T1437">
        <v>1</v>
      </c>
      <c r="U1437">
        <v>0</v>
      </c>
      <c r="V1437">
        <v>0</v>
      </c>
      <c r="W1437">
        <v>0</v>
      </c>
      <c r="X1437">
        <v>1</v>
      </c>
      <c r="Y1437">
        <v>0</v>
      </c>
      <c r="Z1437">
        <v>1</v>
      </c>
      <c r="AA1437">
        <v>0</v>
      </c>
      <c r="AB1437">
        <v>0</v>
      </c>
      <c r="AC1437">
        <v>1</v>
      </c>
      <c r="AD1437">
        <v>1</v>
      </c>
      <c r="AE1437">
        <v>1</v>
      </c>
      <c r="AF1437">
        <v>1</v>
      </c>
      <c r="AG1437">
        <v>1</v>
      </c>
      <c r="AH1437">
        <v>1</v>
      </c>
      <c r="AI1437">
        <v>1</v>
      </c>
      <c r="AJ1437">
        <v>1</v>
      </c>
      <c r="AK1437">
        <v>1</v>
      </c>
      <c r="AL1437">
        <v>1</v>
      </c>
      <c r="AM1437">
        <v>1</v>
      </c>
    </row>
    <row r="1438" spans="1:39" x14ac:dyDescent="0.2">
      <c r="A1438" t="str">
        <f>"1434"</f>
        <v>1434</v>
      </c>
      <c r="B1438" t="str">
        <f t="shared" si="78"/>
        <v>1</v>
      </c>
      <c r="C1438" t="str">
        <f t="shared" si="80"/>
        <v>29</v>
      </c>
      <c r="D1438" t="str">
        <f>"5"</f>
        <v>5</v>
      </c>
      <c r="E1438" t="str">
        <f>"1-29-5"</f>
        <v>1-29-5</v>
      </c>
      <c r="F1438" t="s">
        <v>65</v>
      </c>
      <c r="G1438" t="s">
        <v>66</v>
      </c>
      <c r="H1438" t="s">
        <v>67</v>
      </c>
      <c r="S1438">
        <v>1</v>
      </c>
      <c r="T1438">
        <v>0</v>
      </c>
      <c r="U1438">
        <v>0</v>
      </c>
      <c r="V1438">
        <v>0</v>
      </c>
      <c r="W1438">
        <v>1</v>
      </c>
      <c r="X1438">
        <v>0</v>
      </c>
      <c r="Y1438">
        <v>0</v>
      </c>
      <c r="Z1438">
        <v>1</v>
      </c>
      <c r="AA1438">
        <v>0</v>
      </c>
      <c r="AB1438">
        <v>1</v>
      </c>
      <c r="AC1438">
        <v>0</v>
      </c>
      <c r="AD1438">
        <v>1</v>
      </c>
      <c r="AE1438">
        <v>1</v>
      </c>
      <c r="AF1438">
        <v>1</v>
      </c>
      <c r="AG1438">
        <v>1</v>
      </c>
      <c r="AH1438">
        <v>1</v>
      </c>
      <c r="AI1438">
        <v>1</v>
      </c>
      <c r="AJ1438">
        <v>1</v>
      </c>
      <c r="AK1438">
        <v>1</v>
      </c>
      <c r="AL1438">
        <v>1</v>
      </c>
      <c r="AM1438">
        <v>1</v>
      </c>
    </row>
    <row r="1439" spans="1:39" x14ac:dyDescent="0.2">
      <c r="A1439" t="str">
        <f>"1435"</f>
        <v>1435</v>
      </c>
      <c r="B1439" t="str">
        <f t="shared" si="78"/>
        <v>1</v>
      </c>
      <c r="C1439" t="str">
        <f t="shared" si="80"/>
        <v>29</v>
      </c>
      <c r="D1439" t="str">
        <f>"46"</f>
        <v>46</v>
      </c>
      <c r="E1439" t="str">
        <f>"1-29-46"</f>
        <v>1-29-46</v>
      </c>
      <c r="F1439" t="s">
        <v>65</v>
      </c>
      <c r="G1439" t="s">
        <v>66</v>
      </c>
      <c r="H1439" t="s">
        <v>67</v>
      </c>
      <c r="S1439">
        <v>1</v>
      </c>
      <c r="T1439">
        <v>0</v>
      </c>
      <c r="U1439">
        <v>0</v>
      </c>
      <c r="V1439">
        <v>0</v>
      </c>
      <c r="W1439">
        <v>0</v>
      </c>
      <c r="X1439">
        <v>1</v>
      </c>
      <c r="Y1439">
        <v>0</v>
      </c>
      <c r="Z1439">
        <v>1</v>
      </c>
      <c r="AA1439">
        <v>1</v>
      </c>
      <c r="AB1439">
        <v>0</v>
      </c>
      <c r="AC1439">
        <v>0</v>
      </c>
      <c r="AD1439">
        <v>1</v>
      </c>
      <c r="AE1439">
        <v>1</v>
      </c>
      <c r="AF1439">
        <v>1</v>
      </c>
      <c r="AG1439">
        <v>1</v>
      </c>
      <c r="AH1439">
        <v>1</v>
      </c>
      <c r="AI1439">
        <v>1</v>
      </c>
      <c r="AJ1439">
        <v>1</v>
      </c>
      <c r="AK1439">
        <v>1</v>
      </c>
      <c r="AL1439">
        <v>1</v>
      </c>
      <c r="AM1439">
        <v>1</v>
      </c>
    </row>
    <row r="1440" spans="1:39" x14ac:dyDescent="0.2">
      <c r="A1440" t="str">
        <f>"1436"</f>
        <v>1436</v>
      </c>
      <c r="B1440" t="str">
        <f t="shared" si="78"/>
        <v>1</v>
      </c>
      <c r="C1440" t="str">
        <f t="shared" si="80"/>
        <v>29</v>
      </c>
      <c r="D1440" t="str">
        <f>"26"</f>
        <v>26</v>
      </c>
      <c r="E1440" t="str">
        <f>"1-29-26"</f>
        <v>1-29-26</v>
      </c>
      <c r="F1440" t="s">
        <v>65</v>
      </c>
      <c r="G1440" t="s">
        <v>66</v>
      </c>
      <c r="H1440" t="s">
        <v>67</v>
      </c>
      <c r="S1440">
        <v>1</v>
      </c>
      <c r="T1440">
        <v>0</v>
      </c>
      <c r="U1440">
        <v>0</v>
      </c>
      <c r="V1440">
        <v>0</v>
      </c>
      <c r="W1440">
        <v>1</v>
      </c>
      <c r="X1440">
        <v>0</v>
      </c>
      <c r="Y1440">
        <v>1</v>
      </c>
      <c r="Z1440">
        <v>0</v>
      </c>
      <c r="AA1440">
        <v>0</v>
      </c>
      <c r="AB1440">
        <v>1</v>
      </c>
      <c r="AC1440">
        <v>0</v>
      </c>
      <c r="AD1440">
        <v>1</v>
      </c>
      <c r="AE1440">
        <v>1</v>
      </c>
      <c r="AF1440">
        <v>1</v>
      </c>
      <c r="AG1440">
        <v>1</v>
      </c>
      <c r="AH1440">
        <v>1</v>
      </c>
      <c r="AI1440">
        <v>1</v>
      </c>
      <c r="AJ1440">
        <v>1</v>
      </c>
      <c r="AK1440">
        <v>1</v>
      </c>
      <c r="AL1440">
        <v>1</v>
      </c>
      <c r="AM1440">
        <v>1</v>
      </c>
    </row>
    <row r="1441" spans="1:39" x14ac:dyDescent="0.2">
      <c r="A1441" t="str">
        <f>"1437"</f>
        <v>1437</v>
      </c>
      <c r="B1441" t="str">
        <f t="shared" si="78"/>
        <v>1</v>
      </c>
      <c r="C1441" t="str">
        <f t="shared" si="80"/>
        <v>29</v>
      </c>
      <c r="D1441" t="str">
        <f>"6"</f>
        <v>6</v>
      </c>
      <c r="E1441" t="str">
        <f>"1-29-6"</f>
        <v>1-29-6</v>
      </c>
      <c r="F1441" t="s">
        <v>65</v>
      </c>
      <c r="G1441" t="s">
        <v>66</v>
      </c>
      <c r="H1441" t="s">
        <v>67</v>
      </c>
      <c r="S1441">
        <v>1</v>
      </c>
      <c r="T1441">
        <v>0</v>
      </c>
      <c r="U1441">
        <v>0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1</v>
      </c>
      <c r="AF1441">
        <v>1</v>
      </c>
      <c r="AG1441">
        <v>1</v>
      </c>
      <c r="AH1441">
        <v>1</v>
      </c>
      <c r="AI1441">
        <v>1</v>
      </c>
      <c r="AJ1441">
        <v>1</v>
      </c>
      <c r="AK1441">
        <v>1</v>
      </c>
      <c r="AL1441">
        <v>1</v>
      </c>
      <c r="AM1441">
        <v>1</v>
      </c>
    </row>
    <row r="1442" spans="1:39" x14ac:dyDescent="0.2">
      <c r="A1442" t="str">
        <f>"1438"</f>
        <v>1438</v>
      </c>
      <c r="B1442" t="str">
        <f t="shared" si="78"/>
        <v>1</v>
      </c>
      <c r="C1442" t="str">
        <f t="shared" si="80"/>
        <v>29</v>
      </c>
      <c r="D1442" t="str">
        <f>"47"</f>
        <v>47</v>
      </c>
      <c r="E1442" t="str">
        <f>"1-29-47"</f>
        <v>1-29-47</v>
      </c>
      <c r="F1442" t="s">
        <v>65</v>
      </c>
      <c r="G1442" t="s">
        <v>66</v>
      </c>
      <c r="H1442" t="s">
        <v>67</v>
      </c>
      <c r="S1442">
        <v>1</v>
      </c>
      <c r="T1442">
        <v>0</v>
      </c>
      <c r="U1442">
        <v>0</v>
      </c>
      <c r="V1442">
        <v>0</v>
      </c>
      <c r="W1442">
        <v>1</v>
      </c>
      <c r="X1442">
        <v>0</v>
      </c>
      <c r="Y1442">
        <v>1</v>
      </c>
      <c r="Z1442">
        <v>0</v>
      </c>
      <c r="AA1442">
        <v>0</v>
      </c>
      <c r="AB1442">
        <v>0</v>
      </c>
      <c r="AC1442">
        <v>1</v>
      </c>
      <c r="AD1442">
        <v>1</v>
      </c>
      <c r="AE1442">
        <v>1</v>
      </c>
      <c r="AF1442">
        <v>1</v>
      </c>
      <c r="AG1442">
        <v>1</v>
      </c>
      <c r="AH1442">
        <v>1</v>
      </c>
      <c r="AI1442">
        <v>1</v>
      </c>
      <c r="AJ1442">
        <v>1</v>
      </c>
      <c r="AK1442">
        <v>1</v>
      </c>
      <c r="AL1442">
        <v>1</v>
      </c>
      <c r="AM1442">
        <v>1</v>
      </c>
    </row>
    <row r="1443" spans="1:39" x14ac:dyDescent="0.2">
      <c r="A1443" t="str">
        <f>"1439"</f>
        <v>1439</v>
      </c>
      <c r="B1443" t="str">
        <f t="shared" si="78"/>
        <v>1</v>
      </c>
      <c r="C1443" t="str">
        <f t="shared" si="80"/>
        <v>29</v>
      </c>
      <c r="D1443" t="str">
        <f>"27"</f>
        <v>27</v>
      </c>
      <c r="E1443" t="str">
        <f>"1-29-27"</f>
        <v>1-29-27</v>
      </c>
      <c r="F1443" t="s">
        <v>65</v>
      </c>
      <c r="G1443" t="s">
        <v>66</v>
      </c>
      <c r="H1443" t="s">
        <v>67</v>
      </c>
      <c r="S1443">
        <v>1</v>
      </c>
      <c r="T1443">
        <v>0</v>
      </c>
      <c r="U1443">
        <v>0</v>
      </c>
      <c r="V1443">
        <v>0</v>
      </c>
      <c r="W1443">
        <v>1</v>
      </c>
      <c r="X1443">
        <v>0</v>
      </c>
      <c r="Y1443">
        <v>1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1</v>
      </c>
      <c r="AF1443">
        <v>1</v>
      </c>
      <c r="AG1443">
        <v>1</v>
      </c>
      <c r="AH1443">
        <v>1</v>
      </c>
      <c r="AI1443">
        <v>1</v>
      </c>
      <c r="AJ1443">
        <v>1</v>
      </c>
      <c r="AK1443">
        <v>1</v>
      </c>
      <c r="AL1443">
        <v>1</v>
      </c>
      <c r="AM1443">
        <v>1</v>
      </c>
    </row>
    <row r="1444" spans="1:39" x14ac:dyDescent="0.2">
      <c r="A1444" t="str">
        <f>"1440"</f>
        <v>1440</v>
      </c>
      <c r="B1444" t="str">
        <f t="shared" si="78"/>
        <v>1</v>
      </c>
      <c r="C1444" t="str">
        <f t="shared" si="80"/>
        <v>29</v>
      </c>
      <c r="D1444" t="str">
        <f>"28"</f>
        <v>28</v>
      </c>
      <c r="E1444" t="str">
        <f>"1-29-28"</f>
        <v>1-29-28</v>
      </c>
      <c r="F1444" t="s">
        <v>65</v>
      </c>
      <c r="G1444" t="s">
        <v>66</v>
      </c>
      <c r="H1444" t="s">
        <v>67</v>
      </c>
      <c r="S1444">
        <v>0</v>
      </c>
      <c r="T1444">
        <v>1</v>
      </c>
      <c r="U1444">
        <v>0</v>
      </c>
      <c r="V1444">
        <v>0</v>
      </c>
      <c r="W1444">
        <v>0</v>
      </c>
      <c r="X1444">
        <v>1</v>
      </c>
      <c r="Y1444">
        <v>0</v>
      </c>
      <c r="Z1444">
        <v>1</v>
      </c>
      <c r="AA1444">
        <v>0</v>
      </c>
      <c r="AB1444">
        <v>0</v>
      </c>
      <c r="AC1444">
        <v>1</v>
      </c>
      <c r="AD1444">
        <v>1</v>
      </c>
      <c r="AE1444">
        <v>1</v>
      </c>
      <c r="AF1444">
        <v>1</v>
      </c>
      <c r="AG1444">
        <v>1</v>
      </c>
      <c r="AH1444">
        <v>1</v>
      </c>
      <c r="AI1444">
        <v>1</v>
      </c>
      <c r="AJ1444">
        <v>1</v>
      </c>
      <c r="AK1444">
        <v>1</v>
      </c>
      <c r="AL1444">
        <v>1</v>
      </c>
      <c r="AM1444">
        <v>1</v>
      </c>
    </row>
    <row r="1445" spans="1:39" x14ac:dyDescent="0.2">
      <c r="A1445" t="str">
        <f>"1441"</f>
        <v>1441</v>
      </c>
      <c r="B1445" t="str">
        <f t="shared" si="78"/>
        <v>1</v>
      </c>
      <c r="C1445" t="str">
        <f t="shared" si="80"/>
        <v>29</v>
      </c>
      <c r="D1445" t="str">
        <f>"13"</f>
        <v>13</v>
      </c>
      <c r="E1445" t="str">
        <f>"1-29-13"</f>
        <v>1-29-13</v>
      </c>
      <c r="F1445" t="s">
        <v>65</v>
      </c>
      <c r="G1445" t="s">
        <v>66</v>
      </c>
      <c r="H1445" t="s">
        <v>67</v>
      </c>
      <c r="S1445">
        <v>0</v>
      </c>
      <c r="T1445">
        <v>1</v>
      </c>
      <c r="U1445">
        <v>0</v>
      </c>
      <c r="V1445">
        <v>0</v>
      </c>
      <c r="W1445">
        <v>1</v>
      </c>
      <c r="X1445">
        <v>0</v>
      </c>
      <c r="Y1445">
        <v>0</v>
      </c>
      <c r="Z1445">
        <v>1</v>
      </c>
      <c r="AA1445">
        <v>0</v>
      </c>
      <c r="AB1445">
        <v>1</v>
      </c>
      <c r="AC1445">
        <v>0</v>
      </c>
      <c r="AD1445">
        <v>1</v>
      </c>
      <c r="AE1445">
        <v>1</v>
      </c>
      <c r="AF1445">
        <v>1</v>
      </c>
      <c r="AG1445">
        <v>1</v>
      </c>
      <c r="AH1445">
        <v>1</v>
      </c>
      <c r="AI1445">
        <v>1</v>
      </c>
      <c r="AJ1445">
        <v>1</v>
      </c>
      <c r="AK1445">
        <v>1</v>
      </c>
      <c r="AL1445">
        <v>1</v>
      </c>
      <c r="AM1445">
        <v>1</v>
      </c>
    </row>
    <row r="1446" spans="1:39" x14ac:dyDescent="0.2">
      <c r="A1446" t="str">
        <f>"1442"</f>
        <v>1442</v>
      </c>
      <c r="B1446" t="str">
        <f t="shared" si="78"/>
        <v>1</v>
      </c>
      <c r="C1446" t="str">
        <f t="shared" si="80"/>
        <v>29</v>
      </c>
      <c r="D1446" t="str">
        <f>"48"</f>
        <v>48</v>
      </c>
      <c r="E1446" t="str">
        <f>"1-29-48"</f>
        <v>1-29-48</v>
      </c>
      <c r="F1446" t="s">
        <v>65</v>
      </c>
      <c r="G1446" t="s">
        <v>66</v>
      </c>
      <c r="H1446" t="s">
        <v>67</v>
      </c>
      <c r="S1446">
        <v>0</v>
      </c>
      <c r="T1446">
        <v>1</v>
      </c>
      <c r="U1446">
        <v>0</v>
      </c>
      <c r="V1446">
        <v>0</v>
      </c>
      <c r="W1446">
        <v>1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1</v>
      </c>
      <c r="AH1446">
        <v>0</v>
      </c>
      <c r="AI1446">
        <v>1</v>
      </c>
      <c r="AJ1446">
        <v>1</v>
      </c>
      <c r="AK1446">
        <v>1</v>
      </c>
      <c r="AL1446">
        <v>1</v>
      </c>
      <c r="AM1446">
        <v>1</v>
      </c>
    </row>
    <row r="1447" spans="1:39" x14ac:dyDescent="0.2">
      <c r="A1447" t="str">
        <f>"1443"</f>
        <v>1443</v>
      </c>
      <c r="B1447" t="str">
        <f t="shared" si="78"/>
        <v>1</v>
      </c>
      <c r="C1447" t="str">
        <f t="shared" si="80"/>
        <v>29</v>
      </c>
      <c r="D1447" t="str">
        <f>"29"</f>
        <v>29</v>
      </c>
      <c r="E1447" t="str">
        <f>"1-29-29"</f>
        <v>1-29-29</v>
      </c>
      <c r="F1447" t="s">
        <v>65</v>
      </c>
      <c r="G1447" t="s">
        <v>66</v>
      </c>
      <c r="H1447" t="s">
        <v>67</v>
      </c>
      <c r="S1447">
        <v>0</v>
      </c>
      <c r="T1447">
        <v>0</v>
      </c>
      <c r="U1447">
        <v>0</v>
      </c>
      <c r="V1447">
        <v>0</v>
      </c>
      <c r="W1447">
        <v>1</v>
      </c>
      <c r="X1447">
        <v>0</v>
      </c>
      <c r="Y1447">
        <v>1</v>
      </c>
      <c r="Z1447">
        <v>0</v>
      </c>
      <c r="AA1447">
        <v>0</v>
      </c>
      <c r="AB1447">
        <v>1</v>
      </c>
      <c r="AC1447">
        <v>0</v>
      </c>
      <c r="AD1447">
        <v>0</v>
      </c>
      <c r="AE1447">
        <v>1</v>
      </c>
      <c r="AF1447">
        <v>1</v>
      </c>
      <c r="AG1447">
        <v>1</v>
      </c>
      <c r="AH1447">
        <v>1</v>
      </c>
      <c r="AI1447">
        <v>1</v>
      </c>
      <c r="AJ1447">
        <v>1</v>
      </c>
      <c r="AK1447">
        <v>1</v>
      </c>
      <c r="AL1447">
        <v>1</v>
      </c>
      <c r="AM1447">
        <v>1</v>
      </c>
    </row>
    <row r="1448" spans="1:39" x14ac:dyDescent="0.2">
      <c r="A1448" t="str">
        <f>"1444"</f>
        <v>1444</v>
      </c>
      <c r="B1448" t="str">
        <f t="shared" si="78"/>
        <v>1</v>
      </c>
      <c r="C1448" t="str">
        <f t="shared" si="80"/>
        <v>29</v>
      </c>
      <c r="D1448" t="str">
        <f>"8"</f>
        <v>8</v>
      </c>
      <c r="E1448" t="str">
        <f>"1-29-8"</f>
        <v>1-29-8</v>
      </c>
      <c r="F1448" t="s">
        <v>65</v>
      </c>
      <c r="G1448" t="s">
        <v>66</v>
      </c>
      <c r="H1448" t="s">
        <v>67</v>
      </c>
      <c r="S1448">
        <v>0</v>
      </c>
      <c r="T1448">
        <v>1</v>
      </c>
      <c r="U1448">
        <v>0</v>
      </c>
      <c r="V1448">
        <v>0</v>
      </c>
      <c r="W1448">
        <v>1</v>
      </c>
      <c r="X1448">
        <v>0</v>
      </c>
      <c r="Y1448">
        <v>0</v>
      </c>
      <c r="Z1448">
        <v>1</v>
      </c>
      <c r="AA1448">
        <v>0</v>
      </c>
      <c r="AB1448">
        <v>1</v>
      </c>
      <c r="AC1448">
        <v>0</v>
      </c>
      <c r="AD1448">
        <v>1</v>
      </c>
      <c r="AE1448">
        <v>1</v>
      </c>
      <c r="AF1448">
        <v>1</v>
      </c>
      <c r="AG1448">
        <v>1</v>
      </c>
      <c r="AH1448">
        <v>1</v>
      </c>
      <c r="AI1448">
        <v>1</v>
      </c>
      <c r="AJ1448">
        <v>1</v>
      </c>
      <c r="AK1448">
        <v>1</v>
      </c>
      <c r="AL1448">
        <v>1</v>
      </c>
      <c r="AM1448">
        <v>1</v>
      </c>
    </row>
    <row r="1449" spans="1:39" x14ac:dyDescent="0.2">
      <c r="A1449" t="str">
        <f>"1445"</f>
        <v>1445</v>
      </c>
      <c r="B1449" t="str">
        <f t="shared" si="78"/>
        <v>1</v>
      </c>
      <c r="C1449" t="str">
        <f t="shared" si="80"/>
        <v>29</v>
      </c>
      <c r="D1449" t="str">
        <f>"31"</f>
        <v>31</v>
      </c>
      <c r="E1449" t="str">
        <f>"1-29-31"</f>
        <v>1-29-31</v>
      </c>
      <c r="F1449" t="s">
        <v>65</v>
      </c>
      <c r="G1449" t="s">
        <v>66</v>
      </c>
      <c r="H1449" t="s">
        <v>67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0</v>
      </c>
      <c r="AB1449">
        <v>1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1</v>
      </c>
      <c r="AJ1449">
        <v>0</v>
      </c>
      <c r="AK1449">
        <v>0</v>
      </c>
      <c r="AL1449">
        <v>0</v>
      </c>
      <c r="AM1449">
        <v>0</v>
      </c>
    </row>
    <row r="1450" spans="1:39" x14ac:dyDescent="0.2">
      <c r="A1450" t="str">
        <f>"1446"</f>
        <v>1446</v>
      </c>
      <c r="B1450" t="str">
        <f t="shared" si="78"/>
        <v>1</v>
      </c>
      <c r="C1450" t="str">
        <f t="shared" si="80"/>
        <v>29</v>
      </c>
      <c r="D1450" t="str">
        <f>"3"</f>
        <v>3</v>
      </c>
      <c r="E1450" t="str">
        <f>"1-29-3"</f>
        <v>1-29-3</v>
      </c>
      <c r="F1450" t="s">
        <v>65</v>
      </c>
      <c r="G1450" t="s">
        <v>66</v>
      </c>
      <c r="H1450" t="s">
        <v>67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1</v>
      </c>
      <c r="Y1450">
        <v>0</v>
      </c>
      <c r="Z1450">
        <v>1</v>
      </c>
      <c r="AA1450">
        <v>0</v>
      </c>
      <c r="AB1450">
        <v>0</v>
      </c>
      <c r="AC1450">
        <v>1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</row>
    <row r="1451" spans="1:39" x14ac:dyDescent="0.2">
      <c r="A1451" t="str">
        <f>"1447"</f>
        <v>1447</v>
      </c>
      <c r="B1451" t="str">
        <f t="shared" si="78"/>
        <v>1</v>
      </c>
      <c r="C1451" t="str">
        <f t="shared" si="80"/>
        <v>29</v>
      </c>
      <c r="D1451" t="str">
        <f>"1"</f>
        <v>1</v>
      </c>
      <c r="E1451" t="str">
        <f>"1-29-1"</f>
        <v>1-29-1</v>
      </c>
      <c r="F1451" t="s">
        <v>65</v>
      </c>
      <c r="G1451" t="s">
        <v>66</v>
      </c>
      <c r="H1451" t="s">
        <v>67</v>
      </c>
      <c r="S1451">
        <v>1</v>
      </c>
      <c r="T1451">
        <v>0</v>
      </c>
      <c r="U1451">
        <v>0</v>
      </c>
      <c r="V1451">
        <v>0</v>
      </c>
      <c r="W1451">
        <v>1</v>
      </c>
      <c r="X1451">
        <v>0</v>
      </c>
      <c r="Y1451">
        <v>1</v>
      </c>
      <c r="Z1451">
        <v>0</v>
      </c>
      <c r="AA1451">
        <v>0</v>
      </c>
      <c r="AB1451">
        <v>1</v>
      </c>
      <c r="AC1451">
        <v>0</v>
      </c>
      <c r="AD1451">
        <v>1</v>
      </c>
      <c r="AE1451">
        <v>1</v>
      </c>
      <c r="AF1451">
        <v>1</v>
      </c>
      <c r="AG1451">
        <v>1</v>
      </c>
      <c r="AH1451">
        <v>1</v>
      </c>
      <c r="AI1451">
        <v>1</v>
      </c>
      <c r="AJ1451">
        <v>1</v>
      </c>
      <c r="AK1451">
        <v>1</v>
      </c>
      <c r="AL1451">
        <v>1</v>
      </c>
      <c r="AM1451">
        <v>1</v>
      </c>
    </row>
    <row r="1452" spans="1:39" x14ac:dyDescent="0.2">
      <c r="A1452" t="str">
        <f>"1448"</f>
        <v>1448</v>
      </c>
      <c r="B1452" t="str">
        <f t="shared" si="78"/>
        <v>1</v>
      </c>
      <c r="C1452" t="str">
        <f t="shared" si="80"/>
        <v>29</v>
      </c>
      <c r="D1452" t="str">
        <f>"35"</f>
        <v>35</v>
      </c>
      <c r="E1452" t="str">
        <f>"1-29-35"</f>
        <v>1-29-35</v>
      </c>
      <c r="F1452" t="s">
        <v>65</v>
      </c>
      <c r="G1452" t="s">
        <v>66</v>
      </c>
      <c r="H1452" t="s">
        <v>67</v>
      </c>
      <c r="S1452">
        <v>0</v>
      </c>
      <c r="T1452">
        <v>1</v>
      </c>
      <c r="U1452">
        <v>0</v>
      </c>
      <c r="V1452">
        <v>0</v>
      </c>
      <c r="W1452">
        <v>1</v>
      </c>
      <c r="X1452">
        <v>0</v>
      </c>
      <c r="Y1452">
        <v>0</v>
      </c>
      <c r="Z1452">
        <v>1</v>
      </c>
      <c r="AA1452">
        <v>0</v>
      </c>
      <c r="AB1452">
        <v>0</v>
      </c>
      <c r="AC1452">
        <v>1</v>
      </c>
      <c r="AD1452">
        <v>1</v>
      </c>
      <c r="AE1452">
        <v>1</v>
      </c>
      <c r="AF1452">
        <v>1</v>
      </c>
      <c r="AG1452">
        <v>1</v>
      </c>
      <c r="AH1452">
        <v>0</v>
      </c>
      <c r="AI1452">
        <v>1</v>
      </c>
      <c r="AJ1452">
        <v>1</v>
      </c>
      <c r="AK1452">
        <v>1</v>
      </c>
      <c r="AL1452">
        <v>1</v>
      </c>
      <c r="AM1452">
        <v>0</v>
      </c>
    </row>
    <row r="1453" spans="1:39" x14ac:dyDescent="0.2">
      <c r="A1453" t="str">
        <f>"1449"</f>
        <v>1449</v>
      </c>
      <c r="B1453" t="str">
        <f t="shared" si="78"/>
        <v>1</v>
      </c>
      <c r="C1453" t="str">
        <f t="shared" si="80"/>
        <v>29</v>
      </c>
      <c r="D1453" t="str">
        <f>"11"</f>
        <v>11</v>
      </c>
      <c r="E1453" t="str">
        <f>"1-29-11"</f>
        <v>1-29-11</v>
      </c>
      <c r="F1453" t="s">
        <v>65</v>
      </c>
      <c r="G1453" t="s">
        <v>66</v>
      </c>
      <c r="H1453" t="s">
        <v>67</v>
      </c>
      <c r="S1453">
        <v>0</v>
      </c>
      <c r="T1453">
        <v>0</v>
      </c>
      <c r="U1453">
        <v>0</v>
      </c>
      <c r="V1453">
        <v>0</v>
      </c>
      <c r="W1453">
        <v>1</v>
      </c>
      <c r="X1453">
        <v>0</v>
      </c>
      <c r="Y1453">
        <v>1</v>
      </c>
      <c r="Z1453">
        <v>0</v>
      </c>
      <c r="AA1453">
        <v>0</v>
      </c>
      <c r="AB1453">
        <v>0</v>
      </c>
      <c r="AC1453">
        <v>1</v>
      </c>
      <c r="AD1453">
        <v>1</v>
      </c>
      <c r="AE1453">
        <v>0</v>
      </c>
      <c r="AF1453">
        <v>1</v>
      </c>
      <c r="AG1453">
        <v>1</v>
      </c>
      <c r="AH1453">
        <v>1</v>
      </c>
      <c r="AI1453">
        <v>1</v>
      </c>
      <c r="AJ1453">
        <v>1</v>
      </c>
      <c r="AK1453">
        <v>0</v>
      </c>
      <c r="AL1453">
        <v>1</v>
      </c>
      <c r="AM1453">
        <v>1</v>
      </c>
    </row>
    <row r="1454" spans="1:39" x14ac:dyDescent="0.2">
      <c r="A1454" t="str">
        <f>"1450"</f>
        <v>1450</v>
      </c>
      <c r="B1454" t="str">
        <f t="shared" si="78"/>
        <v>1</v>
      </c>
      <c r="C1454" t="str">
        <f t="shared" si="80"/>
        <v>29</v>
      </c>
      <c r="D1454" t="str">
        <f>"2"</f>
        <v>2</v>
      </c>
      <c r="E1454" t="str">
        <f>"1-29-2"</f>
        <v>1-29-2</v>
      </c>
      <c r="F1454" t="s">
        <v>65</v>
      </c>
      <c r="G1454" t="s">
        <v>66</v>
      </c>
      <c r="H1454" t="s">
        <v>67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1</v>
      </c>
      <c r="Y1454">
        <v>1</v>
      </c>
      <c r="Z1454">
        <v>0</v>
      </c>
      <c r="AA1454">
        <v>0</v>
      </c>
      <c r="AB1454">
        <v>1</v>
      </c>
      <c r="AC1454">
        <v>0</v>
      </c>
      <c r="AD1454">
        <v>1</v>
      </c>
      <c r="AE1454">
        <v>1</v>
      </c>
      <c r="AF1454">
        <v>1</v>
      </c>
      <c r="AG1454">
        <v>1</v>
      </c>
      <c r="AH1454">
        <v>1</v>
      </c>
      <c r="AI1454">
        <v>1</v>
      </c>
      <c r="AJ1454">
        <v>1</v>
      </c>
      <c r="AK1454">
        <v>1</v>
      </c>
      <c r="AL1454">
        <v>1</v>
      </c>
      <c r="AM1454">
        <v>1</v>
      </c>
    </row>
    <row r="1455" spans="1:39" x14ac:dyDescent="0.2">
      <c r="A1455" t="str">
        <f>"1451"</f>
        <v>1451</v>
      </c>
      <c r="B1455" t="str">
        <f t="shared" si="78"/>
        <v>1</v>
      </c>
      <c r="C1455" t="str">
        <f t="shared" ref="C1455:C1486" si="81">"30"</f>
        <v>30</v>
      </c>
      <c r="D1455" t="str">
        <f>"38"</f>
        <v>38</v>
      </c>
      <c r="E1455" t="str">
        <f>"1-30-38"</f>
        <v>1-30-38</v>
      </c>
      <c r="F1455" t="s">
        <v>65</v>
      </c>
      <c r="G1455" t="s">
        <v>66</v>
      </c>
      <c r="H1455" t="s">
        <v>67</v>
      </c>
      <c r="S1455">
        <v>1</v>
      </c>
      <c r="T1455">
        <v>0</v>
      </c>
      <c r="U1455">
        <v>0</v>
      </c>
      <c r="V1455">
        <v>0</v>
      </c>
      <c r="W1455">
        <v>1</v>
      </c>
      <c r="X1455">
        <v>0</v>
      </c>
      <c r="Y1455">
        <v>0</v>
      </c>
      <c r="Z1455">
        <v>1</v>
      </c>
      <c r="AA1455">
        <v>0</v>
      </c>
      <c r="AB1455">
        <v>1</v>
      </c>
      <c r="AC1455">
        <v>0</v>
      </c>
      <c r="AD1455">
        <v>1</v>
      </c>
      <c r="AE1455">
        <v>1</v>
      </c>
      <c r="AF1455">
        <v>1</v>
      </c>
      <c r="AG1455">
        <v>1</v>
      </c>
      <c r="AH1455">
        <v>1</v>
      </c>
      <c r="AI1455">
        <v>1</v>
      </c>
      <c r="AJ1455">
        <v>1</v>
      </c>
      <c r="AK1455">
        <v>1</v>
      </c>
      <c r="AL1455">
        <v>1</v>
      </c>
      <c r="AM1455">
        <v>1</v>
      </c>
    </row>
    <row r="1456" spans="1:39" x14ac:dyDescent="0.2">
      <c r="A1456" t="str">
        <f>"1452"</f>
        <v>1452</v>
      </c>
      <c r="B1456" t="str">
        <f t="shared" si="78"/>
        <v>1</v>
      </c>
      <c r="C1456" t="str">
        <f t="shared" si="81"/>
        <v>30</v>
      </c>
      <c r="D1456" t="str">
        <f>"37"</f>
        <v>37</v>
      </c>
      <c r="E1456" t="str">
        <f>"1-30-37"</f>
        <v>1-30-37</v>
      </c>
      <c r="F1456" t="s">
        <v>65</v>
      </c>
      <c r="G1456" t="s">
        <v>66</v>
      </c>
      <c r="H1456" t="s">
        <v>67</v>
      </c>
      <c r="S1456">
        <v>1</v>
      </c>
      <c r="T1456">
        <v>0</v>
      </c>
      <c r="U1456">
        <v>0</v>
      </c>
      <c r="V1456">
        <v>0</v>
      </c>
      <c r="W1456">
        <v>1</v>
      </c>
      <c r="X1456">
        <v>0</v>
      </c>
      <c r="Y1456">
        <v>1</v>
      </c>
      <c r="Z1456">
        <v>0</v>
      </c>
      <c r="AA1456">
        <v>1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</row>
    <row r="1457" spans="1:39" x14ac:dyDescent="0.2">
      <c r="A1457" t="str">
        <f>"1453"</f>
        <v>1453</v>
      </c>
      <c r="B1457" t="str">
        <f t="shared" si="78"/>
        <v>1</v>
      </c>
      <c r="C1457" t="str">
        <f t="shared" si="81"/>
        <v>30</v>
      </c>
      <c r="D1457" t="str">
        <f>"25"</f>
        <v>25</v>
      </c>
      <c r="E1457" t="str">
        <f>"1-30-25"</f>
        <v>1-30-25</v>
      </c>
      <c r="F1457" t="s">
        <v>65</v>
      </c>
      <c r="G1457" t="s">
        <v>66</v>
      </c>
      <c r="H1457" t="s">
        <v>67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</row>
    <row r="1458" spans="1:39" x14ac:dyDescent="0.2">
      <c r="A1458" t="str">
        <f>"1454"</f>
        <v>1454</v>
      </c>
      <c r="B1458" t="str">
        <f t="shared" si="78"/>
        <v>1</v>
      </c>
      <c r="C1458" t="str">
        <f t="shared" si="81"/>
        <v>30</v>
      </c>
      <c r="D1458" t="str">
        <f>"24"</f>
        <v>24</v>
      </c>
      <c r="E1458" t="str">
        <f>"1-30-24"</f>
        <v>1-30-24</v>
      </c>
      <c r="F1458" t="s">
        <v>65</v>
      </c>
      <c r="G1458" t="s">
        <v>66</v>
      </c>
      <c r="H1458" t="s">
        <v>67</v>
      </c>
      <c r="S1458">
        <v>1</v>
      </c>
      <c r="T1458">
        <v>0</v>
      </c>
      <c r="U1458">
        <v>0</v>
      </c>
      <c r="V1458">
        <v>0</v>
      </c>
      <c r="W1458">
        <v>1</v>
      </c>
      <c r="X1458">
        <v>0</v>
      </c>
      <c r="Y1458">
        <v>0</v>
      </c>
      <c r="Z1458">
        <v>1</v>
      </c>
      <c r="AA1458">
        <v>1</v>
      </c>
      <c r="AB1458">
        <v>0</v>
      </c>
      <c r="AC1458">
        <v>0</v>
      </c>
      <c r="AD1458">
        <v>1</v>
      </c>
      <c r="AE1458">
        <v>1</v>
      </c>
      <c r="AF1458">
        <v>1</v>
      </c>
      <c r="AG1458">
        <v>1</v>
      </c>
      <c r="AH1458">
        <v>1</v>
      </c>
      <c r="AI1458">
        <v>1</v>
      </c>
      <c r="AJ1458">
        <v>1</v>
      </c>
      <c r="AK1458">
        <v>1</v>
      </c>
      <c r="AL1458">
        <v>1</v>
      </c>
      <c r="AM1458">
        <v>1</v>
      </c>
    </row>
    <row r="1459" spans="1:39" x14ac:dyDescent="0.2">
      <c r="A1459" t="str">
        <f>"1455"</f>
        <v>1455</v>
      </c>
      <c r="B1459" t="str">
        <f t="shared" si="78"/>
        <v>1</v>
      </c>
      <c r="C1459" t="str">
        <f t="shared" si="81"/>
        <v>30</v>
      </c>
      <c r="D1459" t="str">
        <f>"19"</f>
        <v>19</v>
      </c>
      <c r="E1459" t="str">
        <f>"1-30-19"</f>
        <v>1-30-19</v>
      </c>
      <c r="F1459" t="s">
        <v>65</v>
      </c>
      <c r="G1459" t="s">
        <v>66</v>
      </c>
      <c r="H1459" t="s">
        <v>67</v>
      </c>
      <c r="S1459">
        <v>1</v>
      </c>
      <c r="T1459">
        <v>0</v>
      </c>
      <c r="U1459">
        <v>0</v>
      </c>
      <c r="V1459">
        <v>0</v>
      </c>
      <c r="W1459">
        <v>1</v>
      </c>
      <c r="X1459">
        <v>0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1</v>
      </c>
      <c r="AF1459">
        <v>1</v>
      </c>
      <c r="AG1459">
        <v>1</v>
      </c>
      <c r="AH1459">
        <v>1</v>
      </c>
      <c r="AI1459">
        <v>1</v>
      </c>
      <c r="AJ1459">
        <v>1</v>
      </c>
      <c r="AK1459">
        <v>1</v>
      </c>
      <c r="AL1459">
        <v>1</v>
      </c>
      <c r="AM1459">
        <v>1</v>
      </c>
    </row>
    <row r="1460" spans="1:39" x14ac:dyDescent="0.2">
      <c r="A1460" t="str">
        <f>"1456"</f>
        <v>1456</v>
      </c>
      <c r="B1460" t="str">
        <f t="shared" si="78"/>
        <v>1</v>
      </c>
      <c r="C1460" t="str">
        <f t="shared" si="81"/>
        <v>30</v>
      </c>
      <c r="D1460" t="str">
        <f>"15"</f>
        <v>15</v>
      </c>
      <c r="E1460" t="str">
        <f>"1-30-15"</f>
        <v>1-30-15</v>
      </c>
      <c r="F1460" t="s">
        <v>65</v>
      </c>
      <c r="G1460" t="s">
        <v>66</v>
      </c>
      <c r="H1460" t="s">
        <v>67</v>
      </c>
      <c r="S1460">
        <v>0</v>
      </c>
      <c r="T1460">
        <v>1</v>
      </c>
      <c r="U1460">
        <v>0</v>
      </c>
      <c r="V1460">
        <v>0</v>
      </c>
      <c r="W1460">
        <v>1</v>
      </c>
      <c r="X1460">
        <v>0</v>
      </c>
      <c r="Y1460">
        <v>0</v>
      </c>
      <c r="Z1460">
        <v>1</v>
      </c>
      <c r="AA1460">
        <v>0</v>
      </c>
      <c r="AB1460">
        <v>1</v>
      </c>
      <c r="AC1460">
        <v>0</v>
      </c>
      <c r="AD1460">
        <v>1</v>
      </c>
      <c r="AE1460">
        <v>1</v>
      </c>
      <c r="AF1460">
        <v>1</v>
      </c>
      <c r="AG1460">
        <v>1</v>
      </c>
      <c r="AH1460">
        <v>1</v>
      </c>
      <c r="AI1460">
        <v>1</v>
      </c>
      <c r="AJ1460">
        <v>1</v>
      </c>
      <c r="AK1460">
        <v>1</v>
      </c>
      <c r="AL1460">
        <v>1</v>
      </c>
      <c r="AM1460">
        <v>1</v>
      </c>
    </row>
    <row r="1461" spans="1:39" x14ac:dyDescent="0.2">
      <c r="A1461" t="str">
        <f>"1457"</f>
        <v>1457</v>
      </c>
      <c r="B1461" t="str">
        <f t="shared" si="78"/>
        <v>1</v>
      </c>
      <c r="C1461" t="str">
        <f t="shared" si="81"/>
        <v>30</v>
      </c>
      <c r="D1461" t="str">
        <f>"36"</f>
        <v>36</v>
      </c>
      <c r="E1461" t="str">
        <f>"1-30-36"</f>
        <v>1-30-36</v>
      </c>
      <c r="F1461" t="s">
        <v>65</v>
      </c>
      <c r="G1461" t="s">
        <v>66</v>
      </c>
      <c r="H1461" t="s">
        <v>67</v>
      </c>
      <c r="S1461">
        <v>1</v>
      </c>
      <c r="T1461">
        <v>0</v>
      </c>
      <c r="U1461">
        <v>0</v>
      </c>
      <c r="V1461">
        <v>0</v>
      </c>
      <c r="W1461">
        <v>1</v>
      </c>
      <c r="X1461">
        <v>0</v>
      </c>
      <c r="Y1461">
        <v>1</v>
      </c>
      <c r="Z1461">
        <v>0</v>
      </c>
      <c r="AA1461">
        <v>1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1</v>
      </c>
      <c r="AI1461">
        <v>0</v>
      </c>
      <c r="AJ1461">
        <v>0</v>
      </c>
      <c r="AK1461">
        <v>0</v>
      </c>
      <c r="AL1461">
        <v>0</v>
      </c>
      <c r="AM1461">
        <v>0</v>
      </c>
    </row>
    <row r="1462" spans="1:39" x14ac:dyDescent="0.2">
      <c r="A1462" t="str">
        <f>"1458"</f>
        <v>1458</v>
      </c>
      <c r="B1462" t="str">
        <f t="shared" si="78"/>
        <v>1</v>
      </c>
      <c r="C1462" t="str">
        <f t="shared" si="81"/>
        <v>30</v>
      </c>
      <c r="D1462" t="str">
        <f>"35"</f>
        <v>35</v>
      </c>
      <c r="E1462" t="str">
        <f>"1-30-35"</f>
        <v>1-30-35</v>
      </c>
      <c r="F1462" t="s">
        <v>65</v>
      </c>
      <c r="G1462" t="s">
        <v>66</v>
      </c>
      <c r="H1462" t="s">
        <v>67</v>
      </c>
      <c r="S1462">
        <v>1</v>
      </c>
      <c r="T1462">
        <v>0</v>
      </c>
      <c r="U1462">
        <v>0</v>
      </c>
      <c r="V1462">
        <v>0</v>
      </c>
      <c r="W1462">
        <v>1</v>
      </c>
      <c r="X1462">
        <v>0</v>
      </c>
      <c r="Y1462">
        <v>1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1</v>
      </c>
      <c r="AF1462">
        <v>1</v>
      </c>
      <c r="AG1462">
        <v>1</v>
      </c>
      <c r="AH1462">
        <v>1</v>
      </c>
      <c r="AI1462">
        <v>1</v>
      </c>
      <c r="AJ1462">
        <v>1</v>
      </c>
      <c r="AK1462">
        <v>1</v>
      </c>
      <c r="AL1462">
        <v>1</v>
      </c>
      <c r="AM1462">
        <v>1</v>
      </c>
    </row>
    <row r="1463" spans="1:39" x14ac:dyDescent="0.2">
      <c r="A1463" t="str">
        <f>"1459"</f>
        <v>1459</v>
      </c>
      <c r="B1463" t="str">
        <f t="shared" ref="B1463:B1526" si="82">"1"</f>
        <v>1</v>
      </c>
      <c r="C1463" t="str">
        <f t="shared" si="81"/>
        <v>30</v>
      </c>
      <c r="D1463" t="str">
        <f>"22"</f>
        <v>22</v>
      </c>
      <c r="E1463" t="str">
        <f>"1-30-22"</f>
        <v>1-30-22</v>
      </c>
      <c r="F1463" t="s">
        <v>65</v>
      </c>
      <c r="G1463" t="s">
        <v>66</v>
      </c>
      <c r="H1463" t="s">
        <v>67</v>
      </c>
      <c r="S1463">
        <v>1</v>
      </c>
      <c r="T1463">
        <v>0</v>
      </c>
      <c r="U1463">
        <v>0</v>
      </c>
      <c r="V1463">
        <v>0</v>
      </c>
      <c r="W1463">
        <v>1</v>
      </c>
      <c r="X1463">
        <v>0</v>
      </c>
      <c r="Y1463">
        <v>1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1</v>
      </c>
      <c r="AF1463">
        <v>1</v>
      </c>
      <c r="AG1463">
        <v>1</v>
      </c>
      <c r="AH1463">
        <v>1</v>
      </c>
      <c r="AI1463">
        <v>1</v>
      </c>
      <c r="AJ1463">
        <v>1</v>
      </c>
      <c r="AK1463">
        <v>1</v>
      </c>
      <c r="AL1463">
        <v>1</v>
      </c>
      <c r="AM1463">
        <v>1</v>
      </c>
    </row>
    <row r="1464" spans="1:39" x14ac:dyDescent="0.2">
      <c r="A1464" t="str">
        <f>"1460"</f>
        <v>1460</v>
      </c>
      <c r="B1464" t="str">
        <f t="shared" si="82"/>
        <v>1</v>
      </c>
      <c r="C1464" t="str">
        <f t="shared" si="81"/>
        <v>30</v>
      </c>
      <c r="D1464" t="str">
        <f>"16"</f>
        <v>16</v>
      </c>
      <c r="E1464" t="str">
        <f>"1-30-16"</f>
        <v>1-30-16</v>
      </c>
      <c r="F1464" t="s">
        <v>65</v>
      </c>
      <c r="G1464" t="s">
        <v>66</v>
      </c>
      <c r="H1464" t="s">
        <v>67</v>
      </c>
      <c r="S1464">
        <v>1</v>
      </c>
      <c r="T1464">
        <v>0</v>
      </c>
      <c r="U1464">
        <v>0</v>
      </c>
      <c r="V1464">
        <v>0</v>
      </c>
      <c r="W1464">
        <v>1</v>
      </c>
      <c r="X1464">
        <v>0</v>
      </c>
      <c r="Y1464">
        <v>0</v>
      </c>
      <c r="Z1464">
        <v>1</v>
      </c>
      <c r="AA1464">
        <v>1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</row>
    <row r="1465" spans="1:39" x14ac:dyDescent="0.2">
      <c r="A1465" t="str">
        <f>"1461"</f>
        <v>1461</v>
      </c>
      <c r="B1465" t="str">
        <f t="shared" si="82"/>
        <v>1</v>
      </c>
      <c r="C1465" t="str">
        <f t="shared" si="81"/>
        <v>30</v>
      </c>
      <c r="D1465" t="str">
        <f>"4"</f>
        <v>4</v>
      </c>
      <c r="E1465" t="str">
        <f>"1-30-4"</f>
        <v>1-30-4</v>
      </c>
      <c r="F1465" t="s">
        <v>65</v>
      </c>
      <c r="G1465" t="s">
        <v>66</v>
      </c>
      <c r="H1465" t="s">
        <v>67</v>
      </c>
      <c r="S1465">
        <v>1</v>
      </c>
      <c r="T1465">
        <v>0</v>
      </c>
      <c r="U1465">
        <v>0</v>
      </c>
      <c r="V1465">
        <v>0</v>
      </c>
      <c r="W1465">
        <v>1</v>
      </c>
      <c r="X1465">
        <v>0</v>
      </c>
      <c r="Y1465">
        <v>1</v>
      </c>
      <c r="Z1465">
        <v>0</v>
      </c>
      <c r="AA1465">
        <v>1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1</v>
      </c>
      <c r="AH1465">
        <v>0</v>
      </c>
      <c r="AI1465">
        <v>0</v>
      </c>
      <c r="AJ1465">
        <v>0</v>
      </c>
      <c r="AK1465">
        <v>0</v>
      </c>
      <c r="AL1465">
        <v>1</v>
      </c>
      <c r="AM1465">
        <v>0</v>
      </c>
    </row>
    <row r="1466" spans="1:39" x14ac:dyDescent="0.2">
      <c r="A1466" t="str">
        <f>"1462"</f>
        <v>1462</v>
      </c>
      <c r="B1466" t="str">
        <f t="shared" si="82"/>
        <v>1</v>
      </c>
      <c r="C1466" t="str">
        <f t="shared" si="81"/>
        <v>30</v>
      </c>
      <c r="D1466" t="str">
        <f>"45"</f>
        <v>45</v>
      </c>
      <c r="E1466" t="str">
        <f>"1-30-45"</f>
        <v>1-30-45</v>
      </c>
      <c r="F1466" t="s">
        <v>65</v>
      </c>
      <c r="G1466" t="s">
        <v>66</v>
      </c>
      <c r="H1466" t="s">
        <v>67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1</v>
      </c>
      <c r="AJ1466">
        <v>1</v>
      </c>
      <c r="AK1466">
        <v>1</v>
      </c>
      <c r="AL1466">
        <v>0</v>
      </c>
      <c r="AM1466">
        <v>0</v>
      </c>
    </row>
    <row r="1467" spans="1:39" x14ac:dyDescent="0.2">
      <c r="A1467" t="str">
        <f>"1463"</f>
        <v>1463</v>
      </c>
      <c r="B1467" t="str">
        <f t="shared" si="82"/>
        <v>1</v>
      </c>
      <c r="C1467" t="str">
        <f t="shared" si="81"/>
        <v>30</v>
      </c>
      <c r="D1467" t="str">
        <f>"44"</f>
        <v>44</v>
      </c>
      <c r="E1467" t="str">
        <f>"1-30-44"</f>
        <v>1-30-44</v>
      </c>
      <c r="F1467" t="s">
        <v>65</v>
      </c>
      <c r="G1467" t="s">
        <v>66</v>
      </c>
      <c r="H1467" t="s">
        <v>67</v>
      </c>
      <c r="S1467">
        <v>0</v>
      </c>
      <c r="T1467">
        <v>1</v>
      </c>
      <c r="U1467">
        <v>0</v>
      </c>
      <c r="V1467">
        <v>0</v>
      </c>
      <c r="W1467">
        <v>0</v>
      </c>
      <c r="X1467">
        <v>1</v>
      </c>
      <c r="Y1467">
        <v>0</v>
      </c>
      <c r="Z1467">
        <v>1</v>
      </c>
      <c r="AA1467">
        <v>0</v>
      </c>
      <c r="AB1467">
        <v>0</v>
      </c>
      <c r="AC1467">
        <v>1</v>
      </c>
      <c r="AD1467">
        <v>1</v>
      </c>
      <c r="AE1467">
        <v>1</v>
      </c>
      <c r="AF1467">
        <v>1</v>
      </c>
      <c r="AG1467">
        <v>1</v>
      </c>
      <c r="AH1467">
        <v>1</v>
      </c>
      <c r="AI1467">
        <v>1</v>
      </c>
      <c r="AJ1467">
        <v>1</v>
      </c>
      <c r="AK1467">
        <v>1</v>
      </c>
      <c r="AL1467">
        <v>1</v>
      </c>
      <c r="AM1467">
        <v>1</v>
      </c>
    </row>
    <row r="1468" spans="1:39" x14ac:dyDescent="0.2">
      <c r="A1468" t="str">
        <f>"1464"</f>
        <v>1464</v>
      </c>
      <c r="B1468" t="str">
        <f t="shared" si="82"/>
        <v>1</v>
      </c>
      <c r="C1468" t="str">
        <f t="shared" si="81"/>
        <v>30</v>
      </c>
      <c r="D1468" t="str">
        <f>"33"</f>
        <v>33</v>
      </c>
      <c r="E1468" t="str">
        <f>"1-30-33"</f>
        <v>1-30-33</v>
      </c>
      <c r="F1468" t="s">
        <v>65</v>
      </c>
      <c r="G1468" t="s">
        <v>66</v>
      </c>
      <c r="H1468" t="s">
        <v>67</v>
      </c>
      <c r="S1468">
        <v>0</v>
      </c>
      <c r="T1468">
        <v>1</v>
      </c>
      <c r="U1468">
        <v>0</v>
      </c>
      <c r="V1468">
        <v>0</v>
      </c>
      <c r="W1468">
        <v>0</v>
      </c>
      <c r="X1468">
        <v>1</v>
      </c>
      <c r="Y1468">
        <v>0</v>
      </c>
      <c r="Z1468">
        <v>1</v>
      </c>
      <c r="AA1468">
        <v>0</v>
      </c>
      <c r="AB1468">
        <v>0</v>
      </c>
      <c r="AC1468">
        <v>1</v>
      </c>
      <c r="AD1468">
        <v>1</v>
      </c>
      <c r="AE1468">
        <v>1</v>
      </c>
      <c r="AF1468">
        <v>1</v>
      </c>
      <c r="AG1468">
        <v>1</v>
      </c>
      <c r="AH1468">
        <v>1</v>
      </c>
      <c r="AI1468">
        <v>1</v>
      </c>
      <c r="AJ1468">
        <v>1</v>
      </c>
      <c r="AK1468">
        <v>1</v>
      </c>
      <c r="AL1468">
        <v>1</v>
      </c>
      <c r="AM1468">
        <v>1</v>
      </c>
    </row>
    <row r="1469" spans="1:39" x14ac:dyDescent="0.2">
      <c r="A1469" t="str">
        <f>"1465"</f>
        <v>1465</v>
      </c>
      <c r="B1469" t="str">
        <f t="shared" si="82"/>
        <v>1</v>
      </c>
      <c r="C1469" t="str">
        <f t="shared" si="81"/>
        <v>30</v>
      </c>
      <c r="D1469" t="str">
        <f>"17"</f>
        <v>17</v>
      </c>
      <c r="E1469" t="str">
        <f>"1-30-17"</f>
        <v>1-30-17</v>
      </c>
      <c r="F1469" t="s">
        <v>65</v>
      </c>
      <c r="G1469" t="s">
        <v>66</v>
      </c>
      <c r="H1469" t="s">
        <v>67</v>
      </c>
      <c r="S1469">
        <v>1</v>
      </c>
      <c r="T1469">
        <v>0</v>
      </c>
      <c r="U1469">
        <v>0</v>
      </c>
      <c r="V1469">
        <v>0</v>
      </c>
      <c r="W1469">
        <v>1</v>
      </c>
      <c r="X1469">
        <v>0</v>
      </c>
      <c r="Y1469">
        <v>0</v>
      </c>
      <c r="Z1469">
        <v>1</v>
      </c>
      <c r="AA1469">
        <v>1</v>
      </c>
      <c r="AB1469">
        <v>0</v>
      </c>
      <c r="AC1469">
        <v>0</v>
      </c>
      <c r="AD1469">
        <v>1</v>
      </c>
      <c r="AE1469">
        <v>1</v>
      </c>
      <c r="AF1469">
        <v>1</v>
      </c>
      <c r="AG1469">
        <v>1</v>
      </c>
      <c r="AH1469">
        <v>1</v>
      </c>
      <c r="AI1469">
        <v>1</v>
      </c>
      <c r="AJ1469">
        <v>1</v>
      </c>
      <c r="AK1469">
        <v>1</v>
      </c>
      <c r="AL1469">
        <v>1</v>
      </c>
      <c r="AM1469">
        <v>1</v>
      </c>
    </row>
    <row r="1470" spans="1:39" x14ac:dyDescent="0.2">
      <c r="A1470" t="str">
        <f>"1466"</f>
        <v>1466</v>
      </c>
      <c r="B1470" t="str">
        <f t="shared" si="82"/>
        <v>1</v>
      </c>
      <c r="C1470" t="str">
        <f t="shared" si="81"/>
        <v>30</v>
      </c>
      <c r="D1470" t="str">
        <f>"5"</f>
        <v>5</v>
      </c>
      <c r="E1470" t="str">
        <f>"1-30-5"</f>
        <v>1-30-5</v>
      </c>
      <c r="F1470" t="s">
        <v>65</v>
      </c>
      <c r="G1470" t="s">
        <v>66</v>
      </c>
      <c r="H1470" t="s">
        <v>67</v>
      </c>
      <c r="S1470">
        <v>1</v>
      </c>
      <c r="T1470">
        <v>0</v>
      </c>
      <c r="U1470">
        <v>0</v>
      </c>
      <c r="V1470">
        <v>0</v>
      </c>
      <c r="W1470">
        <v>1</v>
      </c>
      <c r="X1470">
        <v>0</v>
      </c>
      <c r="Y1470">
        <v>1</v>
      </c>
      <c r="Z1470">
        <v>0</v>
      </c>
      <c r="AA1470">
        <v>1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1</v>
      </c>
      <c r="AH1470">
        <v>0</v>
      </c>
      <c r="AI1470">
        <v>1</v>
      </c>
      <c r="AJ1470">
        <v>0</v>
      </c>
      <c r="AK1470">
        <v>0</v>
      </c>
      <c r="AL1470">
        <v>1</v>
      </c>
      <c r="AM1470">
        <v>0</v>
      </c>
    </row>
    <row r="1471" spans="1:39" x14ac:dyDescent="0.2">
      <c r="A1471" t="str">
        <f>"1467"</f>
        <v>1467</v>
      </c>
      <c r="B1471" t="str">
        <f t="shared" si="82"/>
        <v>1</v>
      </c>
      <c r="C1471" t="str">
        <f t="shared" si="81"/>
        <v>30</v>
      </c>
      <c r="D1471" t="str">
        <f>"43"</f>
        <v>43</v>
      </c>
      <c r="E1471" t="str">
        <f>"1-30-43"</f>
        <v>1-30-43</v>
      </c>
      <c r="F1471" t="s">
        <v>65</v>
      </c>
      <c r="G1471" t="s">
        <v>66</v>
      </c>
      <c r="H1471" t="s">
        <v>67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0</v>
      </c>
      <c r="AB1471">
        <v>1</v>
      </c>
      <c r="AC1471">
        <v>0</v>
      </c>
      <c r="AD1471">
        <v>0</v>
      </c>
      <c r="AE1471">
        <v>0</v>
      </c>
      <c r="AF1471">
        <v>0</v>
      </c>
      <c r="AG1471">
        <v>1</v>
      </c>
      <c r="AH1471">
        <v>1</v>
      </c>
      <c r="AI1471">
        <v>1</v>
      </c>
      <c r="AJ1471">
        <v>1</v>
      </c>
      <c r="AK1471">
        <v>1</v>
      </c>
      <c r="AL1471">
        <v>1</v>
      </c>
      <c r="AM1471">
        <v>1</v>
      </c>
    </row>
    <row r="1472" spans="1:39" x14ac:dyDescent="0.2">
      <c r="A1472" t="str">
        <f>"1468"</f>
        <v>1468</v>
      </c>
      <c r="B1472" t="str">
        <f t="shared" si="82"/>
        <v>1</v>
      </c>
      <c r="C1472" t="str">
        <f t="shared" si="81"/>
        <v>30</v>
      </c>
      <c r="D1472" t="str">
        <f>"42"</f>
        <v>42</v>
      </c>
      <c r="E1472" t="str">
        <f>"1-30-42"</f>
        <v>1-30-42</v>
      </c>
      <c r="F1472" t="s">
        <v>65</v>
      </c>
      <c r="G1472" t="s">
        <v>66</v>
      </c>
      <c r="H1472" t="s">
        <v>67</v>
      </c>
      <c r="S1472">
        <v>0</v>
      </c>
      <c r="T1472">
        <v>1</v>
      </c>
      <c r="U1472">
        <v>0</v>
      </c>
      <c r="V1472">
        <v>0</v>
      </c>
      <c r="W1472">
        <v>1</v>
      </c>
      <c r="X1472">
        <v>0</v>
      </c>
      <c r="Y1472">
        <v>0</v>
      </c>
      <c r="Z1472">
        <v>1</v>
      </c>
      <c r="AA1472">
        <v>1</v>
      </c>
      <c r="AB1472">
        <v>0</v>
      </c>
      <c r="AC1472">
        <v>0</v>
      </c>
      <c r="AD1472">
        <v>1</v>
      </c>
      <c r="AE1472">
        <v>1</v>
      </c>
      <c r="AF1472">
        <v>1</v>
      </c>
      <c r="AG1472">
        <v>1</v>
      </c>
      <c r="AH1472">
        <v>1</v>
      </c>
      <c r="AI1472">
        <v>1</v>
      </c>
      <c r="AJ1472">
        <v>1</v>
      </c>
      <c r="AK1472">
        <v>1</v>
      </c>
      <c r="AL1472">
        <v>1</v>
      </c>
      <c r="AM1472">
        <v>1</v>
      </c>
    </row>
    <row r="1473" spans="1:39" x14ac:dyDescent="0.2">
      <c r="A1473" t="str">
        <f>"1469"</f>
        <v>1469</v>
      </c>
      <c r="B1473" t="str">
        <f t="shared" si="82"/>
        <v>1</v>
      </c>
      <c r="C1473" t="str">
        <f t="shared" si="81"/>
        <v>30</v>
      </c>
      <c r="D1473" t="str">
        <f>"34"</f>
        <v>34</v>
      </c>
      <c r="E1473" t="str">
        <f>"1-30-34"</f>
        <v>1-30-34</v>
      </c>
      <c r="F1473" t="s">
        <v>65</v>
      </c>
      <c r="G1473" t="s">
        <v>66</v>
      </c>
      <c r="H1473" t="s">
        <v>67</v>
      </c>
      <c r="S1473">
        <v>1</v>
      </c>
      <c r="T1473">
        <v>0</v>
      </c>
      <c r="U1473">
        <v>0</v>
      </c>
      <c r="V1473">
        <v>0</v>
      </c>
      <c r="W1473">
        <v>1</v>
      </c>
      <c r="X1473">
        <v>0</v>
      </c>
      <c r="Y1473">
        <v>1</v>
      </c>
      <c r="Z1473">
        <v>0</v>
      </c>
      <c r="AA1473">
        <v>0</v>
      </c>
      <c r="AB1473">
        <v>0</v>
      </c>
      <c r="AC1473">
        <v>0</v>
      </c>
      <c r="AD1473">
        <v>1</v>
      </c>
      <c r="AE1473">
        <v>1</v>
      </c>
      <c r="AF1473">
        <v>1</v>
      </c>
      <c r="AG1473">
        <v>1</v>
      </c>
      <c r="AH1473">
        <v>1</v>
      </c>
      <c r="AI1473">
        <v>1</v>
      </c>
      <c r="AJ1473">
        <v>1</v>
      </c>
      <c r="AK1473">
        <v>1</v>
      </c>
      <c r="AL1473">
        <v>1</v>
      </c>
      <c r="AM1473">
        <v>1</v>
      </c>
    </row>
    <row r="1474" spans="1:39" x14ac:dyDescent="0.2">
      <c r="A1474" t="str">
        <f>"1470"</f>
        <v>1470</v>
      </c>
      <c r="B1474" t="str">
        <f t="shared" si="82"/>
        <v>1</v>
      </c>
      <c r="C1474" t="str">
        <f t="shared" si="81"/>
        <v>30</v>
      </c>
      <c r="D1474" t="str">
        <f>"18"</f>
        <v>18</v>
      </c>
      <c r="E1474" t="str">
        <f>"1-30-18"</f>
        <v>1-30-18</v>
      </c>
      <c r="F1474" t="s">
        <v>65</v>
      </c>
      <c r="G1474" t="s">
        <v>66</v>
      </c>
      <c r="H1474" t="s">
        <v>67</v>
      </c>
      <c r="S1474">
        <v>0</v>
      </c>
      <c r="T1474">
        <v>1</v>
      </c>
      <c r="U1474">
        <v>0</v>
      </c>
      <c r="V1474">
        <v>0</v>
      </c>
      <c r="W1474">
        <v>1</v>
      </c>
      <c r="X1474">
        <v>0</v>
      </c>
      <c r="Y1474">
        <v>1</v>
      </c>
      <c r="Z1474">
        <v>0</v>
      </c>
      <c r="AA1474">
        <v>0</v>
      </c>
      <c r="AB1474">
        <v>1</v>
      </c>
      <c r="AC1474">
        <v>0</v>
      </c>
      <c r="AD1474">
        <v>1</v>
      </c>
      <c r="AE1474">
        <v>1</v>
      </c>
      <c r="AF1474">
        <v>1</v>
      </c>
      <c r="AG1474">
        <v>1</v>
      </c>
      <c r="AH1474">
        <v>1</v>
      </c>
      <c r="AI1474">
        <v>1</v>
      </c>
      <c r="AJ1474">
        <v>1</v>
      </c>
      <c r="AK1474">
        <v>1</v>
      </c>
      <c r="AL1474">
        <v>1</v>
      </c>
      <c r="AM1474">
        <v>1</v>
      </c>
    </row>
    <row r="1475" spans="1:39" x14ac:dyDescent="0.2">
      <c r="A1475" t="str">
        <f>"1471"</f>
        <v>1471</v>
      </c>
      <c r="B1475" t="str">
        <f t="shared" si="82"/>
        <v>1</v>
      </c>
      <c r="C1475" t="str">
        <f t="shared" si="81"/>
        <v>30</v>
      </c>
      <c r="D1475" t="str">
        <f>"11"</f>
        <v>11</v>
      </c>
      <c r="E1475" t="str">
        <f>"1-30-11"</f>
        <v>1-30-11</v>
      </c>
      <c r="F1475" t="s">
        <v>65</v>
      </c>
      <c r="G1475" t="s">
        <v>66</v>
      </c>
      <c r="H1475" t="s">
        <v>67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0</v>
      </c>
      <c r="AB1475">
        <v>1</v>
      </c>
      <c r="AC1475">
        <v>0</v>
      </c>
      <c r="AD1475">
        <v>0</v>
      </c>
      <c r="AE1475">
        <v>0</v>
      </c>
      <c r="AF1475">
        <v>0</v>
      </c>
      <c r="AG1475">
        <v>1</v>
      </c>
      <c r="AH1475">
        <v>1</v>
      </c>
      <c r="AI1475">
        <v>1</v>
      </c>
      <c r="AJ1475">
        <v>1</v>
      </c>
      <c r="AK1475">
        <v>0</v>
      </c>
      <c r="AL1475">
        <v>1</v>
      </c>
      <c r="AM1475">
        <v>0</v>
      </c>
    </row>
    <row r="1476" spans="1:39" x14ac:dyDescent="0.2">
      <c r="A1476" t="str">
        <f>"1472"</f>
        <v>1472</v>
      </c>
      <c r="B1476" t="str">
        <f t="shared" si="82"/>
        <v>1</v>
      </c>
      <c r="C1476" t="str">
        <f t="shared" si="81"/>
        <v>30</v>
      </c>
      <c r="D1476" t="str">
        <f>"39"</f>
        <v>39</v>
      </c>
      <c r="E1476" t="str">
        <f>"1-30-39"</f>
        <v>1-30-39</v>
      </c>
      <c r="F1476" t="s">
        <v>65</v>
      </c>
      <c r="G1476" t="s">
        <v>66</v>
      </c>
      <c r="H1476" t="s">
        <v>67</v>
      </c>
      <c r="S1476">
        <v>1</v>
      </c>
      <c r="T1476">
        <v>0</v>
      </c>
      <c r="U1476">
        <v>0</v>
      </c>
      <c r="V1476">
        <v>0</v>
      </c>
      <c r="W1476">
        <v>1</v>
      </c>
      <c r="X1476">
        <v>0</v>
      </c>
      <c r="Y1476">
        <v>1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1</v>
      </c>
      <c r="AF1476">
        <v>1</v>
      </c>
      <c r="AG1476">
        <v>1</v>
      </c>
      <c r="AH1476">
        <v>1</v>
      </c>
      <c r="AI1476">
        <v>1</v>
      </c>
      <c r="AJ1476">
        <v>1</v>
      </c>
      <c r="AK1476">
        <v>1</v>
      </c>
      <c r="AL1476">
        <v>1</v>
      </c>
      <c r="AM1476">
        <v>1</v>
      </c>
    </row>
    <row r="1477" spans="1:39" x14ac:dyDescent="0.2">
      <c r="A1477" t="str">
        <f>"1473"</f>
        <v>1473</v>
      </c>
      <c r="B1477" t="str">
        <f t="shared" si="82"/>
        <v>1</v>
      </c>
      <c r="C1477" t="str">
        <f t="shared" si="81"/>
        <v>30</v>
      </c>
      <c r="D1477" t="str">
        <f>"20"</f>
        <v>20</v>
      </c>
      <c r="E1477" t="str">
        <f>"1-30-20"</f>
        <v>1-30-20</v>
      </c>
      <c r="F1477" t="s">
        <v>65</v>
      </c>
      <c r="G1477" t="s">
        <v>66</v>
      </c>
      <c r="H1477" t="s">
        <v>67</v>
      </c>
      <c r="S1477">
        <v>1</v>
      </c>
      <c r="T1477">
        <v>0</v>
      </c>
      <c r="U1477">
        <v>0</v>
      </c>
      <c r="V1477">
        <v>0</v>
      </c>
      <c r="W1477">
        <v>1</v>
      </c>
      <c r="X1477">
        <v>0</v>
      </c>
      <c r="Y1477">
        <v>0</v>
      </c>
      <c r="Z1477">
        <v>1</v>
      </c>
      <c r="AA1477">
        <v>1</v>
      </c>
      <c r="AB1477">
        <v>0</v>
      </c>
      <c r="AC1477">
        <v>0</v>
      </c>
      <c r="AD1477">
        <v>1</v>
      </c>
      <c r="AE1477">
        <v>1</v>
      </c>
      <c r="AF1477">
        <v>1</v>
      </c>
      <c r="AG1477">
        <v>1</v>
      </c>
      <c r="AH1477">
        <v>1</v>
      </c>
      <c r="AI1477">
        <v>1</v>
      </c>
      <c r="AJ1477">
        <v>1</v>
      </c>
      <c r="AK1477">
        <v>1</v>
      </c>
      <c r="AL1477">
        <v>1</v>
      </c>
      <c r="AM1477">
        <v>1</v>
      </c>
    </row>
    <row r="1478" spans="1:39" x14ac:dyDescent="0.2">
      <c r="A1478" t="str">
        <f>"1474"</f>
        <v>1474</v>
      </c>
      <c r="B1478" t="str">
        <f t="shared" si="82"/>
        <v>1</v>
      </c>
      <c r="C1478" t="str">
        <f t="shared" si="81"/>
        <v>30</v>
      </c>
      <c r="D1478" t="str">
        <f>"7"</f>
        <v>7</v>
      </c>
      <c r="E1478" t="str">
        <f>"1-30-7"</f>
        <v>1-30-7</v>
      </c>
      <c r="F1478" t="s">
        <v>65</v>
      </c>
      <c r="G1478" t="s">
        <v>66</v>
      </c>
      <c r="H1478" t="s">
        <v>67</v>
      </c>
      <c r="S1478">
        <v>0</v>
      </c>
      <c r="T1478">
        <v>1</v>
      </c>
      <c r="U1478">
        <v>0</v>
      </c>
      <c r="V1478">
        <v>0</v>
      </c>
      <c r="W1478">
        <v>1</v>
      </c>
      <c r="X1478">
        <v>0</v>
      </c>
      <c r="Y1478">
        <v>0</v>
      </c>
      <c r="Z1478">
        <v>1</v>
      </c>
      <c r="AA1478">
        <v>0</v>
      </c>
      <c r="AB1478">
        <v>0</v>
      </c>
      <c r="AC1478">
        <v>1</v>
      </c>
      <c r="AD1478">
        <v>1</v>
      </c>
      <c r="AE1478">
        <v>1</v>
      </c>
      <c r="AF1478">
        <v>1</v>
      </c>
      <c r="AG1478">
        <v>1</v>
      </c>
      <c r="AH1478">
        <v>1</v>
      </c>
      <c r="AI1478">
        <v>1</v>
      </c>
      <c r="AJ1478">
        <v>1</v>
      </c>
      <c r="AK1478">
        <v>1</v>
      </c>
      <c r="AL1478">
        <v>1</v>
      </c>
      <c r="AM1478">
        <v>1</v>
      </c>
    </row>
    <row r="1479" spans="1:39" x14ac:dyDescent="0.2">
      <c r="A1479" t="str">
        <f>"1475"</f>
        <v>1475</v>
      </c>
      <c r="B1479" t="str">
        <f t="shared" si="82"/>
        <v>1</v>
      </c>
      <c r="C1479" t="str">
        <f t="shared" si="81"/>
        <v>30</v>
      </c>
      <c r="D1479" t="str">
        <f>"41"</f>
        <v>41</v>
      </c>
      <c r="E1479" t="str">
        <f>"1-30-41"</f>
        <v>1-30-41</v>
      </c>
      <c r="F1479" t="s">
        <v>65</v>
      </c>
      <c r="G1479" t="s">
        <v>66</v>
      </c>
      <c r="H1479" t="s">
        <v>67</v>
      </c>
      <c r="S1479">
        <v>0</v>
      </c>
      <c r="T1479">
        <v>1</v>
      </c>
      <c r="U1479">
        <v>0</v>
      </c>
      <c r="V1479">
        <v>0</v>
      </c>
      <c r="W1479">
        <v>1</v>
      </c>
      <c r="X1479">
        <v>0</v>
      </c>
      <c r="Y1479">
        <v>1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1</v>
      </c>
      <c r="AF1479">
        <v>1</v>
      </c>
      <c r="AG1479">
        <v>0</v>
      </c>
      <c r="AH1479">
        <v>1</v>
      </c>
      <c r="AI1479">
        <v>1</v>
      </c>
      <c r="AJ1479">
        <v>1</v>
      </c>
      <c r="AK1479">
        <v>1</v>
      </c>
      <c r="AL1479">
        <v>1</v>
      </c>
      <c r="AM1479">
        <v>1</v>
      </c>
    </row>
    <row r="1480" spans="1:39" x14ac:dyDescent="0.2">
      <c r="A1480" t="str">
        <f>"1476"</f>
        <v>1476</v>
      </c>
      <c r="B1480" t="str">
        <f t="shared" si="82"/>
        <v>1</v>
      </c>
      <c r="C1480" t="str">
        <f t="shared" si="81"/>
        <v>30</v>
      </c>
      <c r="D1480" t="str">
        <f>"21"</f>
        <v>21</v>
      </c>
      <c r="E1480" t="str">
        <f>"1-30-21"</f>
        <v>1-30-21</v>
      </c>
      <c r="F1480" t="s">
        <v>65</v>
      </c>
      <c r="G1480" t="s">
        <v>66</v>
      </c>
      <c r="H1480" t="s">
        <v>67</v>
      </c>
      <c r="S1480">
        <v>0</v>
      </c>
      <c r="T1480">
        <v>0</v>
      </c>
      <c r="U1480">
        <v>0</v>
      </c>
      <c r="V1480">
        <v>0</v>
      </c>
      <c r="W1480">
        <v>1</v>
      </c>
      <c r="X1480">
        <v>0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</row>
    <row r="1481" spans="1:39" x14ac:dyDescent="0.2">
      <c r="A1481" t="str">
        <f>"1477"</f>
        <v>1477</v>
      </c>
      <c r="B1481" t="str">
        <f t="shared" si="82"/>
        <v>1</v>
      </c>
      <c r="C1481" t="str">
        <f t="shared" si="81"/>
        <v>30</v>
      </c>
      <c r="D1481" t="str">
        <f>"40"</f>
        <v>40</v>
      </c>
      <c r="E1481" t="str">
        <f>"1-30-40"</f>
        <v>1-30-40</v>
      </c>
      <c r="F1481" t="s">
        <v>65</v>
      </c>
      <c r="G1481" t="s">
        <v>66</v>
      </c>
      <c r="H1481" t="s">
        <v>67</v>
      </c>
      <c r="S1481">
        <v>1</v>
      </c>
      <c r="T1481">
        <v>0</v>
      </c>
      <c r="U1481">
        <v>0</v>
      </c>
      <c r="V1481">
        <v>0</v>
      </c>
      <c r="W1481">
        <v>1</v>
      </c>
      <c r="X1481">
        <v>0</v>
      </c>
      <c r="Y1481">
        <v>1</v>
      </c>
      <c r="Z1481">
        <v>0</v>
      </c>
      <c r="AA1481">
        <v>0</v>
      </c>
      <c r="AB1481">
        <v>0</v>
      </c>
      <c r="AC1481">
        <v>1</v>
      </c>
      <c r="AD1481">
        <v>0</v>
      </c>
      <c r="AE1481">
        <v>0</v>
      </c>
      <c r="AF1481">
        <v>0</v>
      </c>
      <c r="AG1481">
        <v>1</v>
      </c>
      <c r="AH1481">
        <v>0</v>
      </c>
      <c r="AI1481">
        <v>1</v>
      </c>
      <c r="AJ1481">
        <v>0</v>
      </c>
      <c r="AK1481">
        <v>0</v>
      </c>
      <c r="AL1481">
        <v>1</v>
      </c>
      <c r="AM1481">
        <v>1</v>
      </c>
    </row>
    <row r="1482" spans="1:39" x14ac:dyDescent="0.2">
      <c r="A1482" t="str">
        <f>"1478"</f>
        <v>1478</v>
      </c>
      <c r="B1482" t="str">
        <f t="shared" si="82"/>
        <v>1</v>
      </c>
      <c r="C1482" t="str">
        <f t="shared" si="81"/>
        <v>30</v>
      </c>
      <c r="D1482" t="str">
        <f>"23"</f>
        <v>23</v>
      </c>
      <c r="E1482" t="str">
        <f>"1-30-23"</f>
        <v>1-30-23</v>
      </c>
      <c r="F1482" t="s">
        <v>65</v>
      </c>
      <c r="G1482" t="s">
        <v>66</v>
      </c>
      <c r="H1482" t="s">
        <v>67</v>
      </c>
      <c r="S1482">
        <v>1</v>
      </c>
      <c r="T1482">
        <v>0</v>
      </c>
      <c r="U1482">
        <v>0</v>
      </c>
      <c r="V1482">
        <v>0</v>
      </c>
      <c r="W1482">
        <v>1</v>
      </c>
      <c r="X1482">
        <v>0</v>
      </c>
      <c r="Y1482">
        <v>0</v>
      </c>
      <c r="Z1482">
        <v>1</v>
      </c>
      <c r="AA1482">
        <v>1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1</v>
      </c>
      <c r="AH1482">
        <v>0</v>
      </c>
      <c r="AI1482">
        <v>1</v>
      </c>
      <c r="AJ1482">
        <v>1</v>
      </c>
      <c r="AK1482">
        <v>1</v>
      </c>
      <c r="AL1482">
        <v>1</v>
      </c>
      <c r="AM1482">
        <v>1</v>
      </c>
    </row>
    <row r="1483" spans="1:39" x14ac:dyDescent="0.2">
      <c r="A1483" t="str">
        <f>"1479"</f>
        <v>1479</v>
      </c>
      <c r="B1483" t="str">
        <f t="shared" si="82"/>
        <v>1</v>
      </c>
      <c r="C1483" t="str">
        <f t="shared" si="81"/>
        <v>30</v>
      </c>
      <c r="D1483" t="str">
        <f>"9"</f>
        <v>9</v>
      </c>
      <c r="E1483" t="str">
        <f>"1-30-9"</f>
        <v>1-30-9</v>
      </c>
      <c r="F1483" t="s">
        <v>65</v>
      </c>
      <c r="G1483" t="s">
        <v>66</v>
      </c>
      <c r="H1483" t="s">
        <v>67</v>
      </c>
      <c r="S1483">
        <v>1</v>
      </c>
      <c r="T1483">
        <v>0</v>
      </c>
      <c r="U1483">
        <v>0</v>
      </c>
      <c r="V1483">
        <v>0</v>
      </c>
      <c r="W1483">
        <v>1</v>
      </c>
      <c r="X1483">
        <v>0</v>
      </c>
      <c r="Y1483">
        <v>0</v>
      </c>
      <c r="Z1483">
        <v>1</v>
      </c>
      <c r="AA1483">
        <v>0</v>
      </c>
      <c r="AB1483">
        <v>0</v>
      </c>
      <c r="AC1483">
        <v>1</v>
      </c>
      <c r="AD1483">
        <v>1</v>
      </c>
      <c r="AE1483">
        <v>1</v>
      </c>
      <c r="AF1483">
        <v>1</v>
      </c>
      <c r="AG1483">
        <v>1</v>
      </c>
      <c r="AH1483">
        <v>1</v>
      </c>
      <c r="AI1483">
        <v>1</v>
      </c>
      <c r="AJ1483">
        <v>1</v>
      </c>
      <c r="AK1483">
        <v>1</v>
      </c>
      <c r="AL1483">
        <v>1</v>
      </c>
      <c r="AM1483">
        <v>1</v>
      </c>
    </row>
    <row r="1484" spans="1:39" x14ac:dyDescent="0.2">
      <c r="A1484" t="str">
        <f>"1480"</f>
        <v>1480</v>
      </c>
      <c r="B1484" t="str">
        <f t="shared" si="82"/>
        <v>1</v>
      </c>
      <c r="C1484" t="str">
        <f t="shared" si="81"/>
        <v>30</v>
      </c>
      <c r="D1484" t="str">
        <f>"46"</f>
        <v>46</v>
      </c>
      <c r="E1484" t="str">
        <f>"1-30-46"</f>
        <v>1-30-46</v>
      </c>
      <c r="F1484" t="s">
        <v>65</v>
      </c>
      <c r="G1484" t="s">
        <v>66</v>
      </c>
      <c r="H1484" t="s">
        <v>67</v>
      </c>
      <c r="S1484">
        <v>1</v>
      </c>
      <c r="T1484">
        <v>0</v>
      </c>
      <c r="U1484">
        <v>0</v>
      </c>
      <c r="V1484">
        <v>0</v>
      </c>
      <c r="W1484">
        <v>1</v>
      </c>
      <c r="X1484">
        <v>0</v>
      </c>
      <c r="Y1484">
        <v>0</v>
      </c>
      <c r="Z1484">
        <v>1</v>
      </c>
      <c r="AA1484">
        <v>0</v>
      </c>
      <c r="AB1484">
        <v>1</v>
      </c>
      <c r="AC1484">
        <v>0</v>
      </c>
      <c r="AD1484">
        <v>0</v>
      </c>
      <c r="AE1484">
        <v>1</v>
      </c>
      <c r="AF1484">
        <v>0</v>
      </c>
      <c r="AG1484">
        <v>1</v>
      </c>
      <c r="AH1484">
        <v>1</v>
      </c>
      <c r="AI1484">
        <v>1</v>
      </c>
      <c r="AJ1484">
        <v>1</v>
      </c>
      <c r="AK1484">
        <v>1</v>
      </c>
      <c r="AL1484">
        <v>1</v>
      </c>
      <c r="AM1484">
        <v>1</v>
      </c>
    </row>
    <row r="1485" spans="1:39" x14ac:dyDescent="0.2">
      <c r="A1485" t="str">
        <f>"1481"</f>
        <v>1481</v>
      </c>
      <c r="B1485" t="str">
        <f t="shared" si="82"/>
        <v>1</v>
      </c>
      <c r="C1485" t="str">
        <f t="shared" si="81"/>
        <v>30</v>
      </c>
      <c r="D1485" t="str">
        <f>"26"</f>
        <v>26</v>
      </c>
      <c r="E1485" t="str">
        <f>"1-30-26"</f>
        <v>1-30-26</v>
      </c>
      <c r="F1485" t="s">
        <v>65</v>
      </c>
      <c r="G1485" t="s">
        <v>66</v>
      </c>
      <c r="H1485" t="s">
        <v>67</v>
      </c>
      <c r="S1485">
        <v>1</v>
      </c>
      <c r="T1485">
        <v>0</v>
      </c>
      <c r="U1485">
        <v>0</v>
      </c>
      <c r="V1485">
        <v>0</v>
      </c>
      <c r="W1485">
        <v>0</v>
      </c>
      <c r="X1485">
        <v>1</v>
      </c>
      <c r="Y1485">
        <v>1</v>
      </c>
      <c r="Z1485">
        <v>0</v>
      </c>
      <c r="AA1485">
        <v>0</v>
      </c>
      <c r="AB1485">
        <v>0</v>
      </c>
      <c r="AC1485">
        <v>1</v>
      </c>
      <c r="AD1485">
        <v>0</v>
      </c>
      <c r="AE1485">
        <v>0</v>
      </c>
      <c r="AF1485">
        <v>0</v>
      </c>
      <c r="AG1485">
        <v>1</v>
      </c>
      <c r="AH1485">
        <v>1</v>
      </c>
      <c r="AI1485">
        <v>0</v>
      </c>
      <c r="AJ1485">
        <v>0</v>
      </c>
      <c r="AK1485">
        <v>0</v>
      </c>
      <c r="AL1485">
        <v>0</v>
      </c>
      <c r="AM1485">
        <v>0</v>
      </c>
    </row>
    <row r="1486" spans="1:39" x14ac:dyDescent="0.2">
      <c r="A1486" t="str">
        <f>"1482"</f>
        <v>1482</v>
      </c>
      <c r="B1486" t="str">
        <f t="shared" si="82"/>
        <v>1</v>
      </c>
      <c r="C1486" t="str">
        <f t="shared" si="81"/>
        <v>30</v>
      </c>
      <c r="D1486" t="str">
        <f>"13"</f>
        <v>13</v>
      </c>
      <c r="E1486" t="str">
        <f>"1-30-13"</f>
        <v>1-30-13</v>
      </c>
      <c r="F1486" t="s">
        <v>65</v>
      </c>
      <c r="G1486" t="s">
        <v>66</v>
      </c>
      <c r="H1486" t="s">
        <v>67</v>
      </c>
      <c r="S1486">
        <v>1</v>
      </c>
      <c r="T1486">
        <v>0</v>
      </c>
      <c r="U1486">
        <v>0</v>
      </c>
      <c r="V1486">
        <v>0</v>
      </c>
      <c r="W1486">
        <v>1</v>
      </c>
      <c r="X1486">
        <v>0</v>
      </c>
      <c r="Y1486">
        <v>1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1</v>
      </c>
      <c r="AF1486">
        <v>1</v>
      </c>
      <c r="AG1486">
        <v>1</v>
      </c>
      <c r="AH1486">
        <v>1</v>
      </c>
      <c r="AI1486">
        <v>1</v>
      </c>
      <c r="AJ1486">
        <v>1</v>
      </c>
      <c r="AK1486">
        <v>1</v>
      </c>
      <c r="AL1486">
        <v>1</v>
      </c>
      <c r="AM1486">
        <v>1</v>
      </c>
    </row>
    <row r="1487" spans="1:39" x14ac:dyDescent="0.2">
      <c r="A1487" t="str">
        <f>"1483"</f>
        <v>1483</v>
      </c>
      <c r="B1487" t="str">
        <f t="shared" si="82"/>
        <v>1</v>
      </c>
      <c r="C1487" t="str">
        <f t="shared" ref="C1487:C1504" si="83">"30"</f>
        <v>30</v>
      </c>
      <c r="D1487" t="str">
        <f>"48"</f>
        <v>48</v>
      </c>
      <c r="E1487" t="str">
        <f>"1-30-48"</f>
        <v>1-30-48</v>
      </c>
      <c r="F1487" t="s">
        <v>65</v>
      </c>
      <c r="G1487" t="s">
        <v>66</v>
      </c>
      <c r="H1487" t="s">
        <v>67</v>
      </c>
      <c r="S1487">
        <v>0</v>
      </c>
      <c r="T1487">
        <v>1</v>
      </c>
      <c r="U1487">
        <v>0</v>
      </c>
      <c r="V1487">
        <v>0</v>
      </c>
      <c r="W1487">
        <v>1</v>
      </c>
      <c r="X1487">
        <v>0</v>
      </c>
      <c r="Y1487">
        <v>0</v>
      </c>
      <c r="Z1487">
        <v>1</v>
      </c>
      <c r="AA1487">
        <v>0</v>
      </c>
      <c r="AB1487">
        <v>0</v>
      </c>
      <c r="AC1487">
        <v>1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</row>
    <row r="1488" spans="1:39" x14ac:dyDescent="0.2">
      <c r="A1488" t="str">
        <f>"1484"</f>
        <v>1484</v>
      </c>
      <c r="B1488" t="str">
        <f t="shared" si="82"/>
        <v>1</v>
      </c>
      <c r="C1488" t="str">
        <f t="shared" si="83"/>
        <v>30</v>
      </c>
      <c r="D1488" t="str">
        <f>"27"</f>
        <v>27</v>
      </c>
      <c r="E1488" t="str">
        <f>"1-30-27"</f>
        <v>1-30-27</v>
      </c>
      <c r="F1488" t="s">
        <v>65</v>
      </c>
      <c r="G1488" t="s">
        <v>66</v>
      </c>
      <c r="H1488" t="s">
        <v>67</v>
      </c>
      <c r="S1488">
        <v>1</v>
      </c>
      <c r="T1488">
        <v>0</v>
      </c>
      <c r="U1488">
        <v>0</v>
      </c>
      <c r="V1488">
        <v>0</v>
      </c>
      <c r="W1488">
        <v>1</v>
      </c>
      <c r="X1488">
        <v>0</v>
      </c>
      <c r="Y1488">
        <v>1</v>
      </c>
      <c r="Z1488">
        <v>0</v>
      </c>
      <c r="AA1488">
        <v>0</v>
      </c>
      <c r="AB1488">
        <v>1</v>
      </c>
      <c r="AC1488">
        <v>0</v>
      </c>
      <c r="AD1488">
        <v>1</v>
      </c>
      <c r="AE1488">
        <v>1</v>
      </c>
      <c r="AF1488">
        <v>1</v>
      </c>
      <c r="AG1488">
        <v>1</v>
      </c>
      <c r="AH1488">
        <v>1</v>
      </c>
      <c r="AI1488">
        <v>1</v>
      </c>
      <c r="AJ1488">
        <v>1</v>
      </c>
      <c r="AK1488">
        <v>0</v>
      </c>
      <c r="AL1488">
        <v>1</v>
      </c>
      <c r="AM1488">
        <v>1</v>
      </c>
    </row>
    <row r="1489" spans="1:39" x14ac:dyDescent="0.2">
      <c r="A1489" t="str">
        <f>"1485"</f>
        <v>1485</v>
      </c>
      <c r="B1489" t="str">
        <f t="shared" si="82"/>
        <v>1</v>
      </c>
      <c r="C1489" t="str">
        <f t="shared" si="83"/>
        <v>30</v>
      </c>
      <c r="D1489" t="str">
        <f>"6"</f>
        <v>6</v>
      </c>
      <c r="E1489" t="str">
        <f>"1-30-6"</f>
        <v>1-30-6</v>
      </c>
      <c r="F1489" t="s">
        <v>65</v>
      </c>
      <c r="G1489" t="s">
        <v>66</v>
      </c>
      <c r="H1489" t="s">
        <v>67</v>
      </c>
      <c r="S1489">
        <v>0</v>
      </c>
      <c r="T1489">
        <v>1</v>
      </c>
      <c r="U1489">
        <v>0</v>
      </c>
      <c r="V1489">
        <v>0</v>
      </c>
      <c r="W1489">
        <v>1</v>
      </c>
      <c r="X1489">
        <v>0</v>
      </c>
      <c r="Y1489">
        <v>0</v>
      </c>
      <c r="Z1489">
        <v>1</v>
      </c>
      <c r="AA1489">
        <v>1</v>
      </c>
      <c r="AB1489">
        <v>0</v>
      </c>
      <c r="AC1489">
        <v>0</v>
      </c>
      <c r="AD1489">
        <v>1</v>
      </c>
      <c r="AE1489">
        <v>1</v>
      </c>
      <c r="AF1489">
        <v>1</v>
      </c>
      <c r="AG1489">
        <v>1</v>
      </c>
      <c r="AH1489">
        <v>1</v>
      </c>
      <c r="AI1489">
        <v>1</v>
      </c>
      <c r="AJ1489">
        <v>1</v>
      </c>
      <c r="AK1489">
        <v>1</v>
      </c>
      <c r="AL1489">
        <v>1</v>
      </c>
      <c r="AM1489">
        <v>1</v>
      </c>
    </row>
    <row r="1490" spans="1:39" x14ac:dyDescent="0.2">
      <c r="A1490" t="str">
        <f>"1486"</f>
        <v>1486</v>
      </c>
      <c r="B1490" t="str">
        <f t="shared" si="82"/>
        <v>1</v>
      </c>
      <c r="C1490" t="str">
        <f t="shared" si="83"/>
        <v>30</v>
      </c>
      <c r="D1490" t="str">
        <f>"47"</f>
        <v>47</v>
      </c>
      <c r="E1490" t="str">
        <f>"1-30-47"</f>
        <v>1-30-47</v>
      </c>
      <c r="F1490" t="s">
        <v>65</v>
      </c>
      <c r="G1490" t="s">
        <v>66</v>
      </c>
      <c r="H1490" t="s">
        <v>67</v>
      </c>
      <c r="S1490">
        <v>0</v>
      </c>
      <c r="T1490">
        <v>1</v>
      </c>
      <c r="U1490">
        <v>0</v>
      </c>
      <c r="V1490">
        <v>0</v>
      </c>
      <c r="W1490">
        <v>1</v>
      </c>
      <c r="X1490">
        <v>0</v>
      </c>
      <c r="Y1490">
        <v>1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1</v>
      </c>
      <c r="AF1490">
        <v>1</v>
      </c>
      <c r="AG1490">
        <v>1</v>
      </c>
      <c r="AH1490">
        <v>1</v>
      </c>
      <c r="AI1490">
        <v>1</v>
      </c>
      <c r="AJ1490">
        <v>1</v>
      </c>
      <c r="AK1490">
        <v>1</v>
      </c>
      <c r="AL1490">
        <v>1</v>
      </c>
      <c r="AM1490">
        <v>1</v>
      </c>
    </row>
    <row r="1491" spans="1:39" x14ac:dyDescent="0.2">
      <c r="A1491" t="str">
        <f>"1487"</f>
        <v>1487</v>
      </c>
      <c r="B1491" t="str">
        <f t="shared" si="82"/>
        <v>1</v>
      </c>
      <c r="C1491" t="str">
        <f t="shared" si="83"/>
        <v>30</v>
      </c>
      <c r="D1491" t="str">
        <f>"28"</f>
        <v>28</v>
      </c>
      <c r="E1491" t="str">
        <f>"1-30-28"</f>
        <v>1-30-28</v>
      </c>
      <c r="F1491" t="s">
        <v>65</v>
      </c>
      <c r="G1491" t="s">
        <v>66</v>
      </c>
      <c r="H1491" t="s">
        <v>67</v>
      </c>
      <c r="S1491">
        <v>1</v>
      </c>
      <c r="T1491">
        <v>0</v>
      </c>
      <c r="U1491">
        <v>0</v>
      </c>
      <c r="V1491">
        <v>0</v>
      </c>
      <c r="W1491">
        <v>1</v>
      </c>
      <c r="X1491">
        <v>0</v>
      </c>
      <c r="Y1491">
        <v>1</v>
      </c>
      <c r="Z1491">
        <v>0</v>
      </c>
      <c r="AA1491">
        <v>1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</row>
    <row r="1492" spans="1:39" x14ac:dyDescent="0.2">
      <c r="A1492" t="str">
        <f>"1488"</f>
        <v>1488</v>
      </c>
      <c r="B1492" t="str">
        <f t="shared" si="82"/>
        <v>1</v>
      </c>
      <c r="C1492" t="str">
        <f t="shared" si="83"/>
        <v>30</v>
      </c>
      <c r="D1492" t="str">
        <f>"14"</f>
        <v>14</v>
      </c>
      <c r="E1492" t="str">
        <f>"1-30-14"</f>
        <v>1-30-14</v>
      </c>
      <c r="F1492" t="s">
        <v>65</v>
      </c>
      <c r="G1492" t="s">
        <v>66</v>
      </c>
      <c r="H1492" t="s">
        <v>67</v>
      </c>
      <c r="S1492">
        <v>1</v>
      </c>
      <c r="T1492">
        <v>0</v>
      </c>
      <c r="U1492">
        <v>0</v>
      </c>
      <c r="V1492">
        <v>0</v>
      </c>
      <c r="W1492">
        <v>1</v>
      </c>
      <c r="X1492">
        <v>0</v>
      </c>
      <c r="Y1492">
        <v>1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1</v>
      </c>
      <c r="AF1492">
        <v>1</v>
      </c>
      <c r="AG1492">
        <v>1</v>
      </c>
      <c r="AH1492">
        <v>1</v>
      </c>
      <c r="AI1492">
        <v>1</v>
      </c>
      <c r="AJ1492">
        <v>1</v>
      </c>
      <c r="AK1492">
        <v>1</v>
      </c>
      <c r="AL1492">
        <v>1</v>
      </c>
      <c r="AM1492">
        <v>1</v>
      </c>
    </row>
    <row r="1493" spans="1:39" x14ac:dyDescent="0.2">
      <c r="A1493" t="str">
        <f>"1489"</f>
        <v>1489</v>
      </c>
      <c r="B1493" t="str">
        <f t="shared" si="82"/>
        <v>1</v>
      </c>
      <c r="C1493" t="str">
        <f t="shared" si="83"/>
        <v>30</v>
      </c>
      <c r="D1493" t="str">
        <f>"49"</f>
        <v>49</v>
      </c>
      <c r="E1493" t="str">
        <f>"1-30-49"</f>
        <v>1-30-49</v>
      </c>
      <c r="F1493" t="s">
        <v>65</v>
      </c>
      <c r="G1493" t="s">
        <v>66</v>
      </c>
      <c r="H1493" t="s">
        <v>67</v>
      </c>
      <c r="S1493">
        <v>0</v>
      </c>
      <c r="T1493">
        <v>1</v>
      </c>
      <c r="U1493">
        <v>0</v>
      </c>
      <c r="V1493">
        <v>0</v>
      </c>
      <c r="W1493">
        <v>1</v>
      </c>
      <c r="X1493">
        <v>0</v>
      </c>
      <c r="Y1493">
        <v>1</v>
      </c>
      <c r="Z1493">
        <v>0</v>
      </c>
      <c r="AA1493">
        <v>0</v>
      </c>
      <c r="AB1493">
        <v>1</v>
      </c>
      <c r="AC1493">
        <v>0</v>
      </c>
      <c r="AD1493">
        <v>1</v>
      </c>
      <c r="AE1493">
        <v>1</v>
      </c>
      <c r="AF1493">
        <v>1</v>
      </c>
      <c r="AG1493">
        <v>1</v>
      </c>
      <c r="AH1493">
        <v>1</v>
      </c>
      <c r="AI1493">
        <v>1</v>
      </c>
      <c r="AJ1493">
        <v>1</v>
      </c>
      <c r="AK1493">
        <v>1</v>
      </c>
      <c r="AL1493">
        <v>1</v>
      </c>
      <c r="AM1493">
        <v>1</v>
      </c>
    </row>
    <row r="1494" spans="1:39" x14ac:dyDescent="0.2">
      <c r="A1494" t="str">
        <f>"1490"</f>
        <v>1490</v>
      </c>
      <c r="B1494" t="str">
        <f t="shared" si="82"/>
        <v>1</v>
      </c>
      <c r="C1494" t="str">
        <f t="shared" si="83"/>
        <v>30</v>
      </c>
      <c r="D1494" t="str">
        <f>"29"</f>
        <v>29</v>
      </c>
      <c r="E1494" t="str">
        <f>"1-30-29"</f>
        <v>1-30-29</v>
      </c>
      <c r="F1494" t="s">
        <v>65</v>
      </c>
      <c r="G1494" t="s">
        <v>66</v>
      </c>
      <c r="H1494" t="s">
        <v>67</v>
      </c>
      <c r="S1494">
        <v>1</v>
      </c>
      <c r="T1494">
        <v>0</v>
      </c>
      <c r="U1494">
        <v>0</v>
      </c>
      <c r="V1494">
        <v>0</v>
      </c>
      <c r="W1494">
        <v>1</v>
      </c>
      <c r="X1494">
        <v>0</v>
      </c>
      <c r="Y1494">
        <v>1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1</v>
      </c>
      <c r="AF1494">
        <v>1</v>
      </c>
      <c r="AG1494">
        <v>1</v>
      </c>
      <c r="AH1494">
        <v>1</v>
      </c>
      <c r="AI1494">
        <v>1</v>
      </c>
      <c r="AJ1494">
        <v>1</v>
      </c>
      <c r="AK1494">
        <v>1</v>
      </c>
      <c r="AL1494">
        <v>1</v>
      </c>
      <c r="AM1494">
        <v>1</v>
      </c>
    </row>
    <row r="1495" spans="1:39" x14ac:dyDescent="0.2">
      <c r="A1495" t="str">
        <f>"1491"</f>
        <v>1491</v>
      </c>
      <c r="B1495" t="str">
        <f t="shared" si="82"/>
        <v>1</v>
      </c>
      <c r="C1495" t="str">
        <f t="shared" si="83"/>
        <v>30</v>
      </c>
      <c r="D1495" t="str">
        <f>"8"</f>
        <v>8</v>
      </c>
      <c r="E1495" t="str">
        <f>"1-30-8"</f>
        <v>1-30-8</v>
      </c>
      <c r="F1495" t="s">
        <v>65</v>
      </c>
      <c r="G1495" t="s">
        <v>66</v>
      </c>
      <c r="H1495" t="s">
        <v>67</v>
      </c>
      <c r="S1495">
        <v>1</v>
      </c>
      <c r="T1495">
        <v>0</v>
      </c>
      <c r="U1495">
        <v>0</v>
      </c>
      <c r="V1495">
        <v>0</v>
      </c>
      <c r="W1495">
        <v>1</v>
      </c>
      <c r="X1495">
        <v>0</v>
      </c>
      <c r="Y1495">
        <v>0</v>
      </c>
      <c r="Z1495">
        <v>1</v>
      </c>
      <c r="AA1495">
        <v>1</v>
      </c>
      <c r="AB1495">
        <v>0</v>
      </c>
      <c r="AC1495">
        <v>0</v>
      </c>
      <c r="AD1495">
        <v>1</v>
      </c>
      <c r="AE1495">
        <v>1</v>
      </c>
      <c r="AF1495">
        <v>1</v>
      </c>
      <c r="AG1495">
        <v>1</v>
      </c>
      <c r="AH1495">
        <v>1</v>
      </c>
      <c r="AI1495">
        <v>1</v>
      </c>
      <c r="AJ1495">
        <v>1</v>
      </c>
      <c r="AK1495">
        <v>1</v>
      </c>
      <c r="AL1495">
        <v>1</v>
      </c>
      <c r="AM1495">
        <v>1</v>
      </c>
    </row>
    <row r="1496" spans="1:39" x14ac:dyDescent="0.2">
      <c r="A1496" t="str">
        <f>"1492"</f>
        <v>1492</v>
      </c>
      <c r="B1496" t="str">
        <f t="shared" si="82"/>
        <v>1</v>
      </c>
      <c r="C1496" t="str">
        <f t="shared" si="83"/>
        <v>30</v>
      </c>
      <c r="D1496" t="str">
        <f>"30"</f>
        <v>30</v>
      </c>
      <c r="E1496" t="str">
        <f>"1-30-30"</f>
        <v>1-30-30</v>
      </c>
      <c r="F1496" t="s">
        <v>65</v>
      </c>
      <c r="G1496" t="s">
        <v>66</v>
      </c>
      <c r="H1496" t="s">
        <v>67</v>
      </c>
      <c r="S1496">
        <v>0</v>
      </c>
      <c r="T1496">
        <v>1</v>
      </c>
      <c r="U1496">
        <v>0</v>
      </c>
      <c r="V1496">
        <v>0</v>
      </c>
      <c r="W1496">
        <v>1</v>
      </c>
      <c r="X1496">
        <v>0</v>
      </c>
      <c r="Y1496">
        <v>1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1</v>
      </c>
      <c r="AF1496">
        <v>1</v>
      </c>
      <c r="AG1496">
        <v>1</v>
      </c>
      <c r="AH1496">
        <v>1</v>
      </c>
      <c r="AI1496">
        <v>1</v>
      </c>
      <c r="AJ1496">
        <v>1</v>
      </c>
      <c r="AK1496">
        <v>1</v>
      </c>
      <c r="AL1496">
        <v>1</v>
      </c>
      <c r="AM1496">
        <v>1</v>
      </c>
    </row>
    <row r="1497" spans="1:39" x14ac:dyDescent="0.2">
      <c r="A1497" t="str">
        <f>"1493"</f>
        <v>1493</v>
      </c>
      <c r="B1497" t="str">
        <f t="shared" si="82"/>
        <v>1</v>
      </c>
      <c r="C1497" t="str">
        <f t="shared" si="83"/>
        <v>30</v>
      </c>
      <c r="D1497" t="str">
        <f>"2"</f>
        <v>2</v>
      </c>
      <c r="E1497" t="str">
        <f>"1-30-2"</f>
        <v>1-30-2</v>
      </c>
      <c r="F1497" t="s">
        <v>65</v>
      </c>
      <c r="G1497" t="s">
        <v>66</v>
      </c>
      <c r="H1497" t="s">
        <v>67</v>
      </c>
      <c r="S1497">
        <v>0</v>
      </c>
      <c r="T1497">
        <v>1</v>
      </c>
      <c r="U1497">
        <v>0</v>
      </c>
      <c r="V1497">
        <v>0</v>
      </c>
      <c r="W1497">
        <v>1</v>
      </c>
      <c r="X1497">
        <v>0</v>
      </c>
      <c r="Y1497">
        <v>0</v>
      </c>
      <c r="Z1497">
        <v>1</v>
      </c>
      <c r="AA1497">
        <v>1</v>
      </c>
      <c r="AB1497">
        <v>0</v>
      </c>
      <c r="AC1497">
        <v>0</v>
      </c>
      <c r="AD1497">
        <v>1</v>
      </c>
      <c r="AE1497">
        <v>1</v>
      </c>
      <c r="AF1497">
        <v>1</v>
      </c>
      <c r="AG1497">
        <v>1</v>
      </c>
      <c r="AH1497">
        <v>1</v>
      </c>
      <c r="AI1497">
        <v>1</v>
      </c>
      <c r="AJ1497">
        <v>1</v>
      </c>
      <c r="AK1497">
        <v>1</v>
      </c>
      <c r="AL1497">
        <v>1</v>
      </c>
      <c r="AM1497">
        <v>1</v>
      </c>
    </row>
    <row r="1498" spans="1:39" x14ac:dyDescent="0.2">
      <c r="A1498" t="str">
        <f>"1494"</f>
        <v>1494</v>
      </c>
      <c r="B1498" t="str">
        <f t="shared" si="82"/>
        <v>1</v>
      </c>
      <c r="C1498" t="str">
        <f t="shared" si="83"/>
        <v>30</v>
      </c>
      <c r="D1498" t="str">
        <f>"50"</f>
        <v>50</v>
      </c>
      <c r="E1498" t="str">
        <f>"1-30-50"</f>
        <v>1-30-50</v>
      </c>
      <c r="F1498" t="s">
        <v>65</v>
      </c>
      <c r="G1498" t="s">
        <v>66</v>
      </c>
      <c r="H1498" t="s">
        <v>67</v>
      </c>
      <c r="S1498">
        <v>1</v>
      </c>
      <c r="T1498">
        <v>0</v>
      </c>
      <c r="U1498">
        <v>0</v>
      </c>
      <c r="V1498">
        <v>0</v>
      </c>
      <c r="W1498">
        <v>1</v>
      </c>
      <c r="X1498">
        <v>0</v>
      </c>
      <c r="Y1498">
        <v>1</v>
      </c>
      <c r="Z1498">
        <v>0</v>
      </c>
      <c r="AA1498">
        <v>0</v>
      </c>
      <c r="AB1498">
        <v>1</v>
      </c>
      <c r="AC1498">
        <v>0</v>
      </c>
      <c r="AD1498">
        <v>1</v>
      </c>
      <c r="AE1498">
        <v>1</v>
      </c>
      <c r="AF1498">
        <v>1</v>
      </c>
      <c r="AG1498">
        <v>1</v>
      </c>
      <c r="AH1498">
        <v>1</v>
      </c>
      <c r="AI1498">
        <v>1</v>
      </c>
      <c r="AJ1498">
        <v>1</v>
      </c>
      <c r="AK1498">
        <v>1</v>
      </c>
      <c r="AL1498">
        <v>1</v>
      </c>
      <c r="AM1498">
        <v>1</v>
      </c>
    </row>
    <row r="1499" spans="1:39" x14ac:dyDescent="0.2">
      <c r="A1499" t="str">
        <f>"1495"</f>
        <v>1495</v>
      </c>
      <c r="B1499" t="str">
        <f t="shared" si="82"/>
        <v>1</v>
      </c>
      <c r="C1499" t="str">
        <f t="shared" si="83"/>
        <v>30</v>
      </c>
      <c r="D1499" t="str">
        <f>"31"</f>
        <v>31</v>
      </c>
      <c r="E1499" t="str">
        <f>"1-30-31"</f>
        <v>1-30-31</v>
      </c>
      <c r="F1499" t="s">
        <v>65</v>
      </c>
      <c r="G1499" t="s">
        <v>66</v>
      </c>
      <c r="H1499" t="s">
        <v>67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0</v>
      </c>
      <c r="AB1499">
        <v>1</v>
      </c>
      <c r="AC1499">
        <v>0</v>
      </c>
      <c r="AD1499">
        <v>0</v>
      </c>
      <c r="AE1499">
        <v>0</v>
      </c>
      <c r="AF1499">
        <v>0</v>
      </c>
      <c r="AG1499">
        <v>1</v>
      </c>
      <c r="AH1499">
        <v>1</v>
      </c>
      <c r="AI1499">
        <v>1</v>
      </c>
      <c r="AJ1499">
        <v>1</v>
      </c>
      <c r="AK1499">
        <v>1</v>
      </c>
      <c r="AL1499">
        <v>1</v>
      </c>
      <c r="AM1499">
        <v>0</v>
      </c>
    </row>
    <row r="1500" spans="1:39" x14ac:dyDescent="0.2">
      <c r="A1500" t="str">
        <f>"1496"</f>
        <v>1496</v>
      </c>
      <c r="B1500" t="str">
        <f t="shared" si="82"/>
        <v>1</v>
      </c>
      <c r="C1500" t="str">
        <f t="shared" si="83"/>
        <v>30</v>
      </c>
      <c r="D1500" t="str">
        <f>"10"</f>
        <v>10</v>
      </c>
      <c r="E1500" t="str">
        <f>"1-30-10"</f>
        <v>1-30-10</v>
      </c>
      <c r="F1500" t="s">
        <v>65</v>
      </c>
      <c r="G1500" t="s">
        <v>66</v>
      </c>
      <c r="H1500" t="s">
        <v>67</v>
      </c>
      <c r="S1500">
        <v>0</v>
      </c>
      <c r="T1500">
        <v>1</v>
      </c>
      <c r="U1500">
        <v>0</v>
      </c>
      <c r="V1500">
        <v>0</v>
      </c>
      <c r="W1500">
        <v>1</v>
      </c>
      <c r="X1500">
        <v>0</v>
      </c>
      <c r="Y1500">
        <v>0</v>
      </c>
      <c r="Z1500">
        <v>1</v>
      </c>
      <c r="AA1500">
        <v>1</v>
      </c>
      <c r="AB1500">
        <v>0</v>
      </c>
      <c r="AC1500">
        <v>0</v>
      </c>
      <c r="AD1500">
        <v>1</v>
      </c>
      <c r="AE1500">
        <v>1</v>
      </c>
      <c r="AF1500">
        <v>1</v>
      </c>
      <c r="AG1500">
        <v>1</v>
      </c>
      <c r="AH1500">
        <v>1</v>
      </c>
      <c r="AI1500">
        <v>1</v>
      </c>
      <c r="AJ1500">
        <v>1</v>
      </c>
      <c r="AK1500">
        <v>1</v>
      </c>
      <c r="AL1500">
        <v>1</v>
      </c>
      <c r="AM1500">
        <v>1</v>
      </c>
    </row>
    <row r="1501" spans="1:39" x14ac:dyDescent="0.2">
      <c r="A1501" t="str">
        <f>"1497"</f>
        <v>1497</v>
      </c>
      <c r="B1501" t="str">
        <f t="shared" si="82"/>
        <v>1</v>
      </c>
      <c r="C1501" t="str">
        <f t="shared" si="83"/>
        <v>30</v>
      </c>
      <c r="D1501" t="str">
        <f>"32"</f>
        <v>32</v>
      </c>
      <c r="E1501" t="str">
        <f>"1-30-32"</f>
        <v>1-30-32</v>
      </c>
      <c r="F1501" t="s">
        <v>65</v>
      </c>
      <c r="G1501" t="s">
        <v>66</v>
      </c>
      <c r="H1501" t="s">
        <v>67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0</v>
      </c>
      <c r="AB1501">
        <v>1</v>
      </c>
      <c r="AC1501">
        <v>0</v>
      </c>
      <c r="AD1501">
        <v>0</v>
      </c>
      <c r="AE1501">
        <v>0</v>
      </c>
      <c r="AF1501">
        <v>0</v>
      </c>
      <c r="AG1501">
        <v>1</v>
      </c>
      <c r="AH1501">
        <v>1</v>
      </c>
      <c r="AI1501">
        <v>1</v>
      </c>
      <c r="AJ1501">
        <v>1</v>
      </c>
      <c r="AK1501">
        <v>1</v>
      </c>
      <c r="AL1501">
        <v>1</v>
      </c>
      <c r="AM1501">
        <v>0</v>
      </c>
    </row>
    <row r="1502" spans="1:39" x14ac:dyDescent="0.2">
      <c r="A1502" t="str">
        <f>"1498"</f>
        <v>1498</v>
      </c>
      <c r="B1502" t="str">
        <f t="shared" si="82"/>
        <v>1</v>
      </c>
      <c r="C1502" t="str">
        <f t="shared" si="83"/>
        <v>30</v>
      </c>
      <c r="D1502" t="str">
        <f>"12"</f>
        <v>12</v>
      </c>
      <c r="E1502" t="str">
        <f>"1-30-12"</f>
        <v>1-30-12</v>
      </c>
      <c r="F1502" t="s">
        <v>65</v>
      </c>
      <c r="G1502" t="s">
        <v>66</v>
      </c>
      <c r="H1502" t="s">
        <v>67</v>
      </c>
      <c r="S1502">
        <v>0</v>
      </c>
      <c r="T1502">
        <v>1</v>
      </c>
      <c r="U1502">
        <v>0</v>
      </c>
      <c r="V1502">
        <v>0</v>
      </c>
      <c r="W1502">
        <v>1</v>
      </c>
      <c r="X1502">
        <v>0</v>
      </c>
      <c r="Y1502">
        <v>1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</row>
    <row r="1503" spans="1:39" x14ac:dyDescent="0.2">
      <c r="A1503" t="str">
        <f>"1499"</f>
        <v>1499</v>
      </c>
      <c r="B1503" t="str">
        <f t="shared" si="82"/>
        <v>1</v>
      </c>
      <c r="C1503" t="str">
        <f t="shared" si="83"/>
        <v>30</v>
      </c>
      <c r="D1503" t="str">
        <f>"3"</f>
        <v>3</v>
      </c>
      <c r="E1503" t="str">
        <f>"1-30-3"</f>
        <v>1-30-3</v>
      </c>
      <c r="F1503" t="s">
        <v>65</v>
      </c>
      <c r="G1503" t="s">
        <v>66</v>
      </c>
      <c r="H1503" t="s">
        <v>67</v>
      </c>
      <c r="S1503">
        <v>1</v>
      </c>
      <c r="T1503">
        <v>0</v>
      </c>
      <c r="U1503">
        <v>0</v>
      </c>
      <c r="V1503">
        <v>0</v>
      </c>
      <c r="W1503">
        <v>1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1</v>
      </c>
      <c r="AD1503">
        <v>1</v>
      </c>
      <c r="AE1503">
        <v>1</v>
      </c>
      <c r="AF1503">
        <v>1</v>
      </c>
      <c r="AG1503">
        <v>1</v>
      </c>
      <c r="AH1503">
        <v>1</v>
      </c>
      <c r="AI1503">
        <v>1</v>
      </c>
      <c r="AJ1503">
        <v>1</v>
      </c>
      <c r="AK1503">
        <v>1</v>
      </c>
      <c r="AL1503">
        <v>1</v>
      </c>
      <c r="AM1503">
        <v>1</v>
      </c>
    </row>
    <row r="1504" spans="1:39" x14ac:dyDescent="0.2">
      <c r="A1504" t="str">
        <f>"1500"</f>
        <v>1500</v>
      </c>
      <c r="B1504" t="str">
        <f t="shared" si="82"/>
        <v>1</v>
      </c>
      <c r="C1504" t="str">
        <f t="shared" si="83"/>
        <v>30</v>
      </c>
      <c r="D1504" t="str">
        <f>"1"</f>
        <v>1</v>
      </c>
      <c r="E1504" t="str">
        <f>"1-30-1"</f>
        <v>1-30-1</v>
      </c>
      <c r="F1504" t="s">
        <v>65</v>
      </c>
      <c r="G1504" t="s">
        <v>66</v>
      </c>
      <c r="H1504" t="s">
        <v>67</v>
      </c>
      <c r="S1504">
        <v>0</v>
      </c>
      <c r="T1504">
        <v>1</v>
      </c>
      <c r="U1504">
        <v>0</v>
      </c>
      <c r="V1504">
        <v>0</v>
      </c>
      <c r="W1504">
        <v>1</v>
      </c>
      <c r="X1504">
        <v>0</v>
      </c>
      <c r="Y1504">
        <v>0</v>
      </c>
      <c r="Z1504">
        <v>1</v>
      </c>
      <c r="AA1504">
        <v>0</v>
      </c>
      <c r="AB1504">
        <v>0</v>
      </c>
      <c r="AC1504">
        <v>1</v>
      </c>
      <c r="AD1504">
        <v>1</v>
      </c>
      <c r="AE1504">
        <v>1</v>
      </c>
      <c r="AF1504">
        <v>1</v>
      </c>
      <c r="AG1504">
        <v>1</v>
      </c>
      <c r="AH1504">
        <v>1</v>
      </c>
      <c r="AI1504">
        <v>1</v>
      </c>
      <c r="AJ1504">
        <v>1</v>
      </c>
      <c r="AK1504">
        <v>1</v>
      </c>
      <c r="AL1504">
        <v>1</v>
      </c>
      <c r="AM1504">
        <v>1</v>
      </c>
    </row>
    <row r="1505" spans="1:39" x14ac:dyDescent="0.2">
      <c r="A1505" t="str">
        <f>"1501"</f>
        <v>1501</v>
      </c>
      <c r="B1505" t="str">
        <f t="shared" si="82"/>
        <v>1</v>
      </c>
      <c r="C1505" t="str">
        <f t="shared" ref="C1505:C1536" si="84">"31"</f>
        <v>31</v>
      </c>
      <c r="D1505" t="str">
        <f>"38"</f>
        <v>38</v>
      </c>
      <c r="E1505" t="str">
        <f>"1-31-38"</f>
        <v>1-31-38</v>
      </c>
      <c r="F1505" t="s">
        <v>65</v>
      </c>
      <c r="G1505" t="s">
        <v>66</v>
      </c>
      <c r="H1505" t="s">
        <v>67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1</v>
      </c>
      <c r="AK1505">
        <v>1</v>
      </c>
      <c r="AL1505">
        <v>0</v>
      </c>
      <c r="AM1505">
        <v>0</v>
      </c>
    </row>
    <row r="1506" spans="1:39" x14ac:dyDescent="0.2">
      <c r="A1506" t="str">
        <f>"1502"</f>
        <v>1502</v>
      </c>
      <c r="B1506" t="str">
        <f t="shared" si="82"/>
        <v>1</v>
      </c>
      <c r="C1506" t="str">
        <f t="shared" si="84"/>
        <v>31</v>
      </c>
      <c r="D1506" t="str">
        <f>"37"</f>
        <v>37</v>
      </c>
      <c r="E1506" t="str">
        <f>"1-31-37"</f>
        <v>1-31-37</v>
      </c>
      <c r="F1506" t="s">
        <v>65</v>
      </c>
      <c r="G1506" t="s">
        <v>66</v>
      </c>
      <c r="H1506" t="s">
        <v>67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1</v>
      </c>
      <c r="Y1506">
        <v>0</v>
      </c>
      <c r="Z1506">
        <v>1</v>
      </c>
      <c r="AA1506">
        <v>0</v>
      </c>
      <c r="AB1506">
        <v>0</v>
      </c>
      <c r="AC1506">
        <v>1</v>
      </c>
      <c r="AD1506">
        <v>1</v>
      </c>
      <c r="AE1506">
        <v>1</v>
      </c>
      <c r="AF1506">
        <v>1</v>
      </c>
      <c r="AG1506">
        <v>1</v>
      </c>
      <c r="AH1506">
        <v>1</v>
      </c>
      <c r="AI1506">
        <v>1</v>
      </c>
      <c r="AJ1506">
        <v>1</v>
      </c>
      <c r="AK1506">
        <v>1</v>
      </c>
      <c r="AL1506">
        <v>1</v>
      </c>
      <c r="AM1506">
        <v>1</v>
      </c>
    </row>
    <row r="1507" spans="1:39" x14ac:dyDescent="0.2">
      <c r="A1507" t="str">
        <f>"1503"</f>
        <v>1503</v>
      </c>
      <c r="B1507" t="str">
        <f t="shared" si="82"/>
        <v>1</v>
      </c>
      <c r="C1507" t="str">
        <f t="shared" si="84"/>
        <v>31</v>
      </c>
      <c r="D1507" t="str">
        <f>"27"</f>
        <v>27</v>
      </c>
      <c r="E1507" t="str">
        <f>"1-31-27"</f>
        <v>1-31-27</v>
      </c>
      <c r="F1507" t="s">
        <v>65</v>
      </c>
      <c r="G1507" t="s">
        <v>66</v>
      </c>
      <c r="H1507" t="s">
        <v>67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1</v>
      </c>
      <c r="AF1507">
        <v>1</v>
      </c>
      <c r="AG1507">
        <v>1</v>
      </c>
      <c r="AH1507">
        <v>1</v>
      </c>
      <c r="AI1507">
        <v>1</v>
      </c>
      <c r="AJ1507">
        <v>1</v>
      </c>
      <c r="AK1507">
        <v>1</v>
      </c>
      <c r="AL1507">
        <v>1</v>
      </c>
      <c r="AM1507">
        <v>1</v>
      </c>
    </row>
    <row r="1508" spans="1:39" x14ac:dyDescent="0.2">
      <c r="A1508" t="str">
        <f>"1504"</f>
        <v>1504</v>
      </c>
      <c r="B1508" t="str">
        <f t="shared" si="82"/>
        <v>1</v>
      </c>
      <c r="C1508" t="str">
        <f t="shared" si="84"/>
        <v>31</v>
      </c>
      <c r="D1508" t="str">
        <f>"15"</f>
        <v>15</v>
      </c>
      <c r="E1508" t="str">
        <f>"1-31-15"</f>
        <v>1-31-15</v>
      </c>
      <c r="F1508" t="s">
        <v>65</v>
      </c>
      <c r="G1508" t="s">
        <v>66</v>
      </c>
      <c r="H1508" t="s">
        <v>67</v>
      </c>
      <c r="S1508">
        <v>1</v>
      </c>
      <c r="T1508">
        <v>0</v>
      </c>
      <c r="U1508">
        <v>0</v>
      </c>
      <c r="V1508">
        <v>0</v>
      </c>
      <c r="W1508">
        <v>1</v>
      </c>
      <c r="X1508">
        <v>0</v>
      </c>
      <c r="Y1508">
        <v>0</v>
      </c>
      <c r="Z1508">
        <v>1</v>
      </c>
      <c r="AA1508">
        <v>1</v>
      </c>
      <c r="AB1508">
        <v>0</v>
      </c>
      <c r="AC1508">
        <v>0</v>
      </c>
      <c r="AD1508">
        <v>1</v>
      </c>
      <c r="AE1508">
        <v>1</v>
      </c>
      <c r="AF1508">
        <v>1</v>
      </c>
      <c r="AG1508">
        <v>1</v>
      </c>
      <c r="AH1508">
        <v>1</v>
      </c>
      <c r="AI1508">
        <v>1</v>
      </c>
      <c r="AJ1508">
        <v>1</v>
      </c>
      <c r="AK1508">
        <v>1</v>
      </c>
      <c r="AL1508">
        <v>1</v>
      </c>
      <c r="AM1508">
        <v>1</v>
      </c>
    </row>
    <row r="1509" spans="1:39" x14ac:dyDescent="0.2">
      <c r="A1509" t="str">
        <f>"1505"</f>
        <v>1505</v>
      </c>
      <c r="B1509" t="str">
        <f t="shared" si="82"/>
        <v>1</v>
      </c>
      <c r="C1509" t="str">
        <f t="shared" si="84"/>
        <v>31</v>
      </c>
      <c r="D1509" t="str">
        <f>"2"</f>
        <v>2</v>
      </c>
      <c r="E1509" t="str">
        <f>"1-31-2"</f>
        <v>1-31-2</v>
      </c>
      <c r="F1509" t="s">
        <v>65</v>
      </c>
      <c r="G1509" t="s">
        <v>66</v>
      </c>
      <c r="H1509" t="s">
        <v>67</v>
      </c>
      <c r="S1509">
        <v>1</v>
      </c>
      <c r="T1509">
        <v>0</v>
      </c>
      <c r="U1509">
        <v>0</v>
      </c>
      <c r="V1509">
        <v>0</v>
      </c>
      <c r="W1509">
        <v>0</v>
      </c>
      <c r="X1509">
        <v>1</v>
      </c>
      <c r="Y1509">
        <v>1</v>
      </c>
      <c r="Z1509">
        <v>0</v>
      </c>
      <c r="AA1509">
        <v>0</v>
      </c>
      <c r="AB1509">
        <v>1</v>
      </c>
      <c r="AC1509">
        <v>0</v>
      </c>
      <c r="AD1509">
        <v>1</v>
      </c>
      <c r="AE1509">
        <v>1</v>
      </c>
      <c r="AF1509">
        <v>1</v>
      </c>
      <c r="AG1509">
        <v>1</v>
      </c>
      <c r="AH1509">
        <v>1</v>
      </c>
      <c r="AI1509">
        <v>1</v>
      </c>
      <c r="AJ1509">
        <v>1</v>
      </c>
      <c r="AK1509">
        <v>1</v>
      </c>
      <c r="AL1509">
        <v>1</v>
      </c>
      <c r="AM1509">
        <v>1</v>
      </c>
    </row>
    <row r="1510" spans="1:39" x14ac:dyDescent="0.2">
      <c r="A1510" t="str">
        <f>"1506"</f>
        <v>1506</v>
      </c>
      <c r="B1510" t="str">
        <f t="shared" si="82"/>
        <v>1</v>
      </c>
      <c r="C1510" t="str">
        <f t="shared" si="84"/>
        <v>31</v>
      </c>
      <c r="D1510" t="str">
        <f>"36"</f>
        <v>36</v>
      </c>
      <c r="E1510" t="str">
        <f>"1-31-36"</f>
        <v>1-31-36</v>
      </c>
      <c r="F1510" t="s">
        <v>65</v>
      </c>
      <c r="G1510" t="s">
        <v>66</v>
      </c>
      <c r="H1510" t="s">
        <v>67</v>
      </c>
      <c r="S1510">
        <v>1</v>
      </c>
      <c r="T1510">
        <v>0</v>
      </c>
      <c r="U1510">
        <v>0</v>
      </c>
      <c r="V1510">
        <v>0</v>
      </c>
      <c r="W1510">
        <v>1</v>
      </c>
      <c r="X1510">
        <v>0</v>
      </c>
      <c r="Y1510">
        <v>1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1</v>
      </c>
      <c r="AF1510">
        <v>1</v>
      </c>
      <c r="AG1510">
        <v>1</v>
      </c>
      <c r="AH1510">
        <v>1</v>
      </c>
      <c r="AI1510">
        <v>1</v>
      </c>
      <c r="AJ1510">
        <v>1</v>
      </c>
      <c r="AK1510">
        <v>1</v>
      </c>
      <c r="AL1510">
        <v>1</v>
      </c>
      <c r="AM1510">
        <v>1</v>
      </c>
    </row>
    <row r="1511" spans="1:39" x14ac:dyDescent="0.2">
      <c r="A1511" t="str">
        <f>"1507"</f>
        <v>1507</v>
      </c>
      <c r="B1511" t="str">
        <f t="shared" si="82"/>
        <v>1</v>
      </c>
      <c r="C1511" t="str">
        <f t="shared" si="84"/>
        <v>31</v>
      </c>
      <c r="D1511" t="str">
        <f>"35"</f>
        <v>35</v>
      </c>
      <c r="E1511" t="str">
        <f>"1-31-35"</f>
        <v>1-31-35</v>
      </c>
      <c r="F1511" t="s">
        <v>65</v>
      </c>
      <c r="G1511" t="s">
        <v>66</v>
      </c>
      <c r="H1511" t="s">
        <v>67</v>
      </c>
      <c r="S1511">
        <v>0</v>
      </c>
      <c r="T1511">
        <v>1</v>
      </c>
      <c r="U1511">
        <v>0</v>
      </c>
      <c r="V1511">
        <v>0</v>
      </c>
      <c r="W1511">
        <v>1</v>
      </c>
      <c r="X1511">
        <v>0</v>
      </c>
      <c r="Y1511">
        <v>1</v>
      </c>
      <c r="Z1511">
        <v>0</v>
      </c>
      <c r="AA1511">
        <v>0</v>
      </c>
      <c r="AB1511">
        <v>0</v>
      </c>
      <c r="AC1511">
        <v>1</v>
      </c>
      <c r="AD1511">
        <v>1</v>
      </c>
      <c r="AE1511">
        <v>1</v>
      </c>
      <c r="AF1511">
        <v>0</v>
      </c>
      <c r="AG1511">
        <v>1</v>
      </c>
      <c r="AH1511">
        <v>1</v>
      </c>
      <c r="AI1511">
        <v>1</v>
      </c>
      <c r="AJ1511">
        <v>1</v>
      </c>
      <c r="AK1511">
        <v>1</v>
      </c>
      <c r="AL1511">
        <v>1</v>
      </c>
      <c r="AM1511">
        <v>1</v>
      </c>
    </row>
    <row r="1512" spans="1:39" x14ac:dyDescent="0.2">
      <c r="A1512" t="str">
        <f>"1508"</f>
        <v>1508</v>
      </c>
      <c r="B1512" t="str">
        <f t="shared" si="82"/>
        <v>1</v>
      </c>
      <c r="C1512" t="str">
        <f t="shared" si="84"/>
        <v>31</v>
      </c>
      <c r="D1512" t="str">
        <f>"25"</f>
        <v>25</v>
      </c>
      <c r="E1512" t="str">
        <f>"1-31-25"</f>
        <v>1-31-25</v>
      </c>
      <c r="F1512" t="s">
        <v>65</v>
      </c>
      <c r="G1512" t="s">
        <v>66</v>
      </c>
      <c r="H1512" t="s">
        <v>67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1</v>
      </c>
      <c r="Y1512">
        <v>0</v>
      </c>
      <c r="Z1512">
        <v>1</v>
      </c>
      <c r="AA1512">
        <v>0</v>
      </c>
      <c r="AB1512">
        <v>0</v>
      </c>
      <c r="AC1512">
        <v>1</v>
      </c>
      <c r="AD1512">
        <v>0</v>
      </c>
      <c r="AE1512">
        <v>0</v>
      </c>
      <c r="AF1512">
        <v>0</v>
      </c>
      <c r="AG1512">
        <v>0</v>
      </c>
      <c r="AH1512">
        <v>1</v>
      </c>
      <c r="AI1512">
        <v>1</v>
      </c>
      <c r="AJ1512">
        <v>1</v>
      </c>
      <c r="AK1512">
        <v>1</v>
      </c>
      <c r="AL1512">
        <v>1</v>
      </c>
      <c r="AM1512">
        <v>0</v>
      </c>
    </row>
    <row r="1513" spans="1:39" x14ac:dyDescent="0.2">
      <c r="A1513" t="str">
        <f>"1509"</f>
        <v>1509</v>
      </c>
      <c r="B1513" t="str">
        <f t="shared" si="82"/>
        <v>1</v>
      </c>
      <c r="C1513" t="str">
        <f t="shared" si="84"/>
        <v>31</v>
      </c>
      <c r="D1513" t="str">
        <f>"16"</f>
        <v>16</v>
      </c>
      <c r="E1513" t="str">
        <f>"1-31-16"</f>
        <v>1-31-16</v>
      </c>
      <c r="F1513" t="s">
        <v>65</v>
      </c>
      <c r="G1513" t="s">
        <v>66</v>
      </c>
      <c r="H1513" t="s">
        <v>67</v>
      </c>
      <c r="S1513">
        <v>0</v>
      </c>
      <c r="T1513">
        <v>1</v>
      </c>
      <c r="U1513">
        <v>0</v>
      </c>
      <c r="V1513">
        <v>0</v>
      </c>
      <c r="W1513">
        <v>0</v>
      </c>
      <c r="X1513">
        <v>1</v>
      </c>
      <c r="Y1513">
        <v>0</v>
      </c>
      <c r="Z1513">
        <v>1</v>
      </c>
      <c r="AA1513">
        <v>0</v>
      </c>
      <c r="AB1513">
        <v>0</v>
      </c>
      <c r="AC1513">
        <v>1</v>
      </c>
      <c r="AD1513">
        <v>1</v>
      </c>
      <c r="AE1513">
        <v>1</v>
      </c>
      <c r="AF1513">
        <v>1</v>
      </c>
      <c r="AG1513">
        <v>1</v>
      </c>
      <c r="AH1513">
        <v>1</v>
      </c>
      <c r="AI1513">
        <v>1</v>
      </c>
      <c r="AJ1513">
        <v>1</v>
      </c>
      <c r="AK1513">
        <v>1</v>
      </c>
      <c r="AL1513">
        <v>1</v>
      </c>
      <c r="AM1513">
        <v>1</v>
      </c>
    </row>
    <row r="1514" spans="1:39" x14ac:dyDescent="0.2">
      <c r="A1514" t="str">
        <f>"1510"</f>
        <v>1510</v>
      </c>
      <c r="B1514" t="str">
        <f t="shared" si="82"/>
        <v>1</v>
      </c>
      <c r="C1514" t="str">
        <f t="shared" si="84"/>
        <v>31</v>
      </c>
      <c r="D1514" t="str">
        <f>"3"</f>
        <v>3</v>
      </c>
      <c r="E1514" t="str">
        <f>"1-31-3"</f>
        <v>1-31-3</v>
      </c>
      <c r="F1514" t="s">
        <v>65</v>
      </c>
      <c r="G1514" t="s">
        <v>66</v>
      </c>
      <c r="H1514" t="s">
        <v>67</v>
      </c>
      <c r="S1514">
        <v>1</v>
      </c>
      <c r="T1514">
        <v>0</v>
      </c>
      <c r="U1514">
        <v>0</v>
      </c>
      <c r="V1514">
        <v>0</v>
      </c>
      <c r="W1514">
        <v>1</v>
      </c>
      <c r="X1514">
        <v>0</v>
      </c>
      <c r="Y1514">
        <v>1</v>
      </c>
      <c r="Z1514">
        <v>0</v>
      </c>
      <c r="AA1514">
        <v>0</v>
      </c>
      <c r="AB1514">
        <v>1</v>
      </c>
      <c r="AC1514">
        <v>0</v>
      </c>
      <c r="AD1514">
        <v>1</v>
      </c>
      <c r="AE1514">
        <v>1</v>
      </c>
      <c r="AF1514">
        <v>1</v>
      </c>
      <c r="AG1514">
        <v>1</v>
      </c>
      <c r="AH1514">
        <v>1</v>
      </c>
      <c r="AI1514">
        <v>1</v>
      </c>
      <c r="AJ1514">
        <v>0</v>
      </c>
      <c r="AK1514">
        <v>1</v>
      </c>
      <c r="AL1514">
        <v>1</v>
      </c>
      <c r="AM1514">
        <v>0</v>
      </c>
    </row>
    <row r="1515" spans="1:39" x14ac:dyDescent="0.2">
      <c r="A1515" t="str">
        <f>"1511"</f>
        <v>1511</v>
      </c>
      <c r="B1515" t="str">
        <f t="shared" si="82"/>
        <v>1</v>
      </c>
      <c r="C1515" t="str">
        <f t="shared" si="84"/>
        <v>31</v>
      </c>
      <c r="D1515" t="str">
        <f>"40"</f>
        <v>40</v>
      </c>
      <c r="E1515" t="str">
        <f>"1-31-40"</f>
        <v>1-31-40</v>
      </c>
      <c r="F1515" t="s">
        <v>65</v>
      </c>
      <c r="G1515" t="s">
        <v>66</v>
      </c>
      <c r="H1515" t="s">
        <v>67</v>
      </c>
      <c r="S1515">
        <v>1</v>
      </c>
      <c r="T1515">
        <v>0</v>
      </c>
      <c r="U1515">
        <v>0</v>
      </c>
      <c r="V1515">
        <v>0</v>
      </c>
      <c r="W1515">
        <v>1</v>
      </c>
      <c r="X1515">
        <v>0</v>
      </c>
      <c r="Y1515">
        <v>1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1</v>
      </c>
      <c r="AF1515">
        <v>1</v>
      </c>
      <c r="AG1515">
        <v>1</v>
      </c>
      <c r="AH1515">
        <v>1</v>
      </c>
      <c r="AI1515">
        <v>1</v>
      </c>
      <c r="AJ1515">
        <v>1</v>
      </c>
      <c r="AK1515">
        <v>1</v>
      </c>
      <c r="AL1515">
        <v>1</v>
      </c>
      <c r="AM1515">
        <v>1</v>
      </c>
    </row>
    <row r="1516" spans="1:39" x14ac:dyDescent="0.2">
      <c r="A1516" t="str">
        <f>"1512"</f>
        <v>1512</v>
      </c>
      <c r="B1516" t="str">
        <f t="shared" si="82"/>
        <v>1</v>
      </c>
      <c r="C1516" t="str">
        <f t="shared" si="84"/>
        <v>31</v>
      </c>
      <c r="D1516" t="str">
        <f>"39"</f>
        <v>39</v>
      </c>
      <c r="E1516" t="str">
        <f>"1-31-39"</f>
        <v>1-31-39</v>
      </c>
      <c r="F1516" t="s">
        <v>65</v>
      </c>
      <c r="G1516" t="s">
        <v>66</v>
      </c>
      <c r="H1516" t="s">
        <v>67</v>
      </c>
      <c r="S1516">
        <v>1</v>
      </c>
      <c r="T1516">
        <v>0</v>
      </c>
      <c r="U1516">
        <v>0</v>
      </c>
      <c r="V1516">
        <v>0</v>
      </c>
      <c r="W1516">
        <v>1</v>
      </c>
      <c r="X1516">
        <v>0</v>
      </c>
      <c r="Y1516">
        <v>0</v>
      </c>
      <c r="Z1516">
        <v>1</v>
      </c>
      <c r="AA1516">
        <v>1</v>
      </c>
      <c r="AB1516">
        <v>0</v>
      </c>
      <c r="AC1516">
        <v>0</v>
      </c>
      <c r="AD1516">
        <v>1</v>
      </c>
      <c r="AE1516">
        <v>1</v>
      </c>
      <c r="AF1516">
        <v>1</v>
      </c>
      <c r="AG1516">
        <v>1</v>
      </c>
      <c r="AH1516">
        <v>1</v>
      </c>
      <c r="AI1516">
        <v>1</v>
      </c>
      <c r="AJ1516">
        <v>1</v>
      </c>
      <c r="AK1516">
        <v>1</v>
      </c>
      <c r="AL1516">
        <v>1</v>
      </c>
      <c r="AM1516">
        <v>1</v>
      </c>
    </row>
    <row r="1517" spans="1:39" x14ac:dyDescent="0.2">
      <c r="A1517" t="str">
        <f>"1513"</f>
        <v>1513</v>
      </c>
      <c r="B1517" t="str">
        <f t="shared" si="82"/>
        <v>1</v>
      </c>
      <c r="C1517" t="str">
        <f t="shared" si="84"/>
        <v>31</v>
      </c>
      <c r="D1517" t="str">
        <f>"31"</f>
        <v>31</v>
      </c>
      <c r="E1517" t="str">
        <f>"1-31-31"</f>
        <v>1-31-31</v>
      </c>
      <c r="F1517" t="s">
        <v>65</v>
      </c>
      <c r="G1517" t="s">
        <v>66</v>
      </c>
      <c r="H1517" t="s">
        <v>67</v>
      </c>
      <c r="S1517">
        <v>1</v>
      </c>
      <c r="T1517">
        <v>0</v>
      </c>
      <c r="U1517">
        <v>0</v>
      </c>
      <c r="V1517">
        <v>0</v>
      </c>
      <c r="W1517">
        <v>1</v>
      </c>
      <c r="X1517">
        <v>0</v>
      </c>
      <c r="Y1517">
        <v>0</v>
      </c>
      <c r="Z1517">
        <v>1</v>
      </c>
      <c r="AA1517">
        <v>0</v>
      </c>
      <c r="AB1517">
        <v>0</v>
      </c>
      <c r="AC1517">
        <v>1</v>
      </c>
      <c r="AD1517">
        <v>0</v>
      </c>
      <c r="AE1517">
        <v>0</v>
      </c>
      <c r="AF1517">
        <v>0</v>
      </c>
      <c r="AG1517">
        <v>1</v>
      </c>
      <c r="AH1517">
        <v>1</v>
      </c>
      <c r="AI1517">
        <v>1</v>
      </c>
      <c r="AJ1517">
        <v>1</v>
      </c>
      <c r="AK1517">
        <v>1</v>
      </c>
      <c r="AL1517">
        <v>1</v>
      </c>
      <c r="AM1517">
        <v>1</v>
      </c>
    </row>
    <row r="1518" spans="1:39" x14ac:dyDescent="0.2">
      <c r="A1518" t="str">
        <f>"1514"</f>
        <v>1514</v>
      </c>
      <c r="B1518" t="str">
        <f t="shared" si="82"/>
        <v>1</v>
      </c>
      <c r="C1518" t="str">
        <f t="shared" si="84"/>
        <v>31</v>
      </c>
      <c r="D1518" t="str">
        <f>"17"</f>
        <v>17</v>
      </c>
      <c r="E1518" t="str">
        <f>"1-31-17"</f>
        <v>1-31-17</v>
      </c>
      <c r="F1518" t="s">
        <v>65</v>
      </c>
      <c r="G1518" t="s">
        <v>66</v>
      </c>
      <c r="H1518" t="s">
        <v>67</v>
      </c>
      <c r="S1518">
        <v>0</v>
      </c>
      <c r="T1518">
        <v>1</v>
      </c>
      <c r="U1518">
        <v>0</v>
      </c>
      <c r="V1518">
        <v>0</v>
      </c>
      <c r="W1518">
        <v>0</v>
      </c>
      <c r="X1518">
        <v>1</v>
      </c>
      <c r="Y1518">
        <v>0</v>
      </c>
      <c r="Z1518">
        <v>1</v>
      </c>
      <c r="AA1518">
        <v>0</v>
      </c>
      <c r="AB1518">
        <v>0</v>
      </c>
      <c r="AC1518">
        <v>1</v>
      </c>
      <c r="AD1518">
        <v>1</v>
      </c>
      <c r="AE1518">
        <v>1</v>
      </c>
      <c r="AF1518">
        <v>1</v>
      </c>
      <c r="AG1518">
        <v>1</v>
      </c>
      <c r="AH1518">
        <v>1</v>
      </c>
      <c r="AI1518">
        <v>1</v>
      </c>
      <c r="AJ1518">
        <v>1</v>
      </c>
      <c r="AK1518">
        <v>1</v>
      </c>
      <c r="AL1518">
        <v>1</v>
      </c>
      <c r="AM1518">
        <v>1</v>
      </c>
    </row>
    <row r="1519" spans="1:39" x14ac:dyDescent="0.2">
      <c r="A1519" t="str">
        <f>"1515"</f>
        <v>1515</v>
      </c>
      <c r="B1519" t="str">
        <f t="shared" si="82"/>
        <v>1</v>
      </c>
      <c r="C1519" t="str">
        <f t="shared" si="84"/>
        <v>31</v>
      </c>
      <c r="D1519" t="str">
        <f>"1"</f>
        <v>1</v>
      </c>
      <c r="E1519" t="str">
        <f>"1-31-1"</f>
        <v>1-31-1</v>
      </c>
      <c r="F1519" t="s">
        <v>65</v>
      </c>
      <c r="G1519" t="s">
        <v>66</v>
      </c>
      <c r="H1519" t="s">
        <v>67</v>
      </c>
      <c r="S1519">
        <v>0</v>
      </c>
      <c r="T1519">
        <v>1</v>
      </c>
      <c r="U1519">
        <v>0</v>
      </c>
      <c r="V1519">
        <v>0</v>
      </c>
      <c r="W1519">
        <v>0</v>
      </c>
      <c r="X1519">
        <v>1</v>
      </c>
      <c r="Y1519">
        <v>1</v>
      </c>
      <c r="Z1519">
        <v>0</v>
      </c>
      <c r="AA1519">
        <v>0</v>
      </c>
      <c r="AB1519">
        <v>1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</row>
    <row r="1520" spans="1:39" x14ac:dyDescent="0.2">
      <c r="A1520" t="str">
        <f>"1516"</f>
        <v>1516</v>
      </c>
      <c r="B1520" t="str">
        <f t="shared" si="82"/>
        <v>1</v>
      </c>
      <c r="C1520" t="str">
        <f t="shared" si="84"/>
        <v>31</v>
      </c>
      <c r="D1520" t="str">
        <f>"49"</f>
        <v>49</v>
      </c>
      <c r="E1520" t="str">
        <f>"1-31-49"</f>
        <v>1-31-49</v>
      </c>
      <c r="F1520" t="s">
        <v>65</v>
      </c>
      <c r="G1520" t="s">
        <v>66</v>
      </c>
      <c r="H1520" t="s">
        <v>67</v>
      </c>
      <c r="S1520">
        <v>1</v>
      </c>
      <c r="T1520">
        <v>0</v>
      </c>
      <c r="U1520">
        <v>0</v>
      </c>
      <c r="V1520">
        <v>0</v>
      </c>
      <c r="W1520">
        <v>0</v>
      </c>
      <c r="X1520">
        <v>1</v>
      </c>
      <c r="Y1520">
        <v>1</v>
      </c>
      <c r="Z1520">
        <v>0</v>
      </c>
      <c r="AA1520">
        <v>0</v>
      </c>
      <c r="AB1520">
        <v>1</v>
      </c>
      <c r="AC1520">
        <v>0</v>
      </c>
      <c r="AD1520">
        <v>1</v>
      </c>
      <c r="AE1520">
        <v>1</v>
      </c>
      <c r="AF1520">
        <v>1</v>
      </c>
      <c r="AG1520">
        <v>1</v>
      </c>
      <c r="AH1520">
        <v>1</v>
      </c>
      <c r="AI1520">
        <v>1</v>
      </c>
      <c r="AJ1520">
        <v>1</v>
      </c>
      <c r="AK1520">
        <v>1</v>
      </c>
      <c r="AL1520">
        <v>1</v>
      </c>
      <c r="AM1520">
        <v>1</v>
      </c>
    </row>
    <row r="1521" spans="1:39" x14ac:dyDescent="0.2">
      <c r="A1521" t="str">
        <f>"1517"</f>
        <v>1517</v>
      </c>
      <c r="B1521" t="str">
        <f t="shared" si="82"/>
        <v>1</v>
      </c>
      <c r="C1521" t="str">
        <f t="shared" si="84"/>
        <v>31</v>
      </c>
      <c r="D1521" t="str">
        <f>"48"</f>
        <v>48</v>
      </c>
      <c r="E1521" t="str">
        <f>"1-31-48"</f>
        <v>1-31-48</v>
      </c>
      <c r="F1521" t="s">
        <v>65</v>
      </c>
      <c r="G1521" t="s">
        <v>66</v>
      </c>
      <c r="H1521" t="s">
        <v>67</v>
      </c>
      <c r="S1521">
        <v>0</v>
      </c>
      <c r="T1521">
        <v>1</v>
      </c>
      <c r="U1521">
        <v>0</v>
      </c>
      <c r="V1521">
        <v>0</v>
      </c>
      <c r="W1521">
        <v>1</v>
      </c>
      <c r="X1521">
        <v>0</v>
      </c>
      <c r="Y1521">
        <v>0</v>
      </c>
      <c r="Z1521">
        <v>1</v>
      </c>
      <c r="AA1521">
        <v>0</v>
      </c>
      <c r="AB1521">
        <v>0</v>
      </c>
      <c r="AC1521">
        <v>1</v>
      </c>
      <c r="AD1521">
        <v>1</v>
      </c>
      <c r="AE1521">
        <v>1</v>
      </c>
      <c r="AF1521">
        <v>1</v>
      </c>
      <c r="AG1521">
        <v>1</v>
      </c>
      <c r="AH1521">
        <v>1</v>
      </c>
      <c r="AI1521">
        <v>1</v>
      </c>
      <c r="AJ1521">
        <v>1</v>
      </c>
      <c r="AK1521">
        <v>1</v>
      </c>
      <c r="AL1521">
        <v>1</v>
      </c>
      <c r="AM1521">
        <v>0</v>
      </c>
    </row>
    <row r="1522" spans="1:39" x14ac:dyDescent="0.2">
      <c r="A1522" t="str">
        <f>"1518"</f>
        <v>1518</v>
      </c>
      <c r="B1522" t="str">
        <f t="shared" si="82"/>
        <v>1</v>
      </c>
      <c r="C1522" t="str">
        <f t="shared" si="84"/>
        <v>31</v>
      </c>
      <c r="D1522" t="str">
        <f>"33"</f>
        <v>33</v>
      </c>
      <c r="E1522" t="str">
        <f>"1-31-33"</f>
        <v>1-31-33</v>
      </c>
      <c r="F1522" t="s">
        <v>65</v>
      </c>
      <c r="G1522" t="s">
        <v>66</v>
      </c>
      <c r="H1522" t="s">
        <v>67</v>
      </c>
      <c r="S1522">
        <v>1</v>
      </c>
      <c r="T1522">
        <v>0</v>
      </c>
      <c r="U1522">
        <v>0</v>
      </c>
      <c r="V1522">
        <v>0</v>
      </c>
      <c r="W1522">
        <v>0</v>
      </c>
      <c r="X1522">
        <v>1</v>
      </c>
      <c r="Y1522">
        <v>1</v>
      </c>
      <c r="Z1522">
        <v>0</v>
      </c>
      <c r="AA1522">
        <v>1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1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</row>
    <row r="1523" spans="1:39" x14ac:dyDescent="0.2">
      <c r="A1523" t="str">
        <f>"1519"</f>
        <v>1519</v>
      </c>
      <c r="B1523" t="str">
        <f t="shared" si="82"/>
        <v>1</v>
      </c>
      <c r="C1523" t="str">
        <f t="shared" si="84"/>
        <v>31</v>
      </c>
      <c r="D1523" t="str">
        <f>"18"</f>
        <v>18</v>
      </c>
      <c r="E1523" t="str">
        <f>"1-31-18"</f>
        <v>1-31-18</v>
      </c>
      <c r="F1523" t="s">
        <v>65</v>
      </c>
      <c r="G1523" t="s">
        <v>66</v>
      </c>
      <c r="H1523" t="s">
        <v>67</v>
      </c>
      <c r="S1523">
        <v>1</v>
      </c>
      <c r="T1523">
        <v>0</v>
      </c>
      <c r="U1523">
        <v>0</v>
      </c>
      <c r="V1523">
        <v>0</v>
      </c>
      <c r="W1523">
        <v>1</v>
      </c>
      <c r="X1523">
        <v>0</v>
      </c>
      <c r="Y1523">
        <v>0</v>
      </c>
      <c r="Z1523">
        <v>1</v>
      </c>
      <c r="AA1523">
        <v>0</v>
      </c>
      <c r="AB1523">
        <v>1</v>
      </c>
      <c r="AC1523">
        <v>0</v>
      </c>
      <c r="AD1523">
        <v>1</v>
      </c>
      <c r="AE1523">
        <v>1</v>
      </c>
      <c r="AF1523">
        <v>1</v>
      </c>
      <c r="AG1523">
        <v>1</v>
      </c>
      <c r="AH1523">
        <v>1</v>
      </c>
      <c r="AI1523">
        <v>1</v>
      </c>
      <c r="AJ1523">
        <v>1</v>
      </c>
      <c r="AK1523">
        <v>1</v>
      </c>
      <c r="AL1523">
        <v>1</v>
      </c>
      <c r="AM1523">
        <v>1</v>
      </c>
    </row>
    <row r="1524" spans="1:39" x14ac:dyDescent="0.2">
      <c r="A1524" t="str">
        <f>"1520"</f>
        <v>1520</v>
      </c>
      <c r="B1524" t="str">
        <f t="shared" si="82"/>
        <v>1</v>
      </c>
      <c r="C1524" t="str">
        <f t="shared" si="84"/>
        <v>31</v>
      </c>
      <c r="D1524" t="str">
        <f>"5"</f>
        <v>5</v>
      </c>
      <c r="E1524" t="str">
        <f>"1-31-5"</f>
        <v>1-31-5</v>
      </c>
      <c r="F1524" t="s">
        <v>65</v>
      </c>
      <c r="G1524" t="s">
        <v>66</v>
      </c>
      <c r="H1524" t="s">
        <v>67</v>
      </c>
      <c r="S1524">
        <v>0</v>
      </c>
      <c r="T1524">
        <v>0</v>
      </c>
      <c r="U1524">
        <v>0</v>
      </c>
      <c r="V1524">
        <v>0</v>
      </c>
      <c r="W1524">
        <v>1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1</v>
      </c>
      <c r="AJ1524">
        <v>0</v>
      </c>
      <c r="AK1524">
        <v>1</v>
      </c>
      <c r="AL1524">
        <v>1</v>
      </c>
      <c r="AM1524">
        <v>1</v>
      </c>
    </row>
    <row r="1525" spans="1:39" x14ac:dyDescent="0.2">
      <c r="A1525" t="str">
        <f>"1521"</f>
        <v>1521</v>
      </c>
      <c r="B1525" t="str">
        <f t="shared" si="82"/>
        <v>1</v>
      </c>
      <c r="C1525" t="str">
        <f t="shared" si="84"/>
        <v>31</v>
      </c>
      <c r="D1525" t="str">
        <f>"46"</f>
        <v>46</v>
      </c>
      <c r="E1525" t="str">
        <f>"1-31-46"</f>
        <v>1-31-46</v>
      </c>
      <c r="F1525" t="s">
        <v>65</v>
      </c>
      <c r="G1525" t="s">
        <v>66</v>
      </c>
      <c r="H1525" t="s">
        <v>67</v>
      </c>
      <c r="S1525">
        <v>0</v>
      </c>
      <c r="T1525">
        <v>1</v>
      </c>
      <c r="U1525">
        <v>0</v>
      </c>
      <c r="V1525">
        <v>0</v>
      </c>
      <c r="W1525">
        <v>0</v>
      </c>
      <c r="X1525">
        <v>1</v>
      </c>
      <c r="Y1525">
        <v>1</v>
      </c>
      <c r="Z1525">
        <v>0</v>
      </c>
      <c r="AA1525">
        <v>0</v>
      </c>
      <c r="AB1525">
        <v>0</v>
      </c>
      <c r="AC1525">
        <v>1</v>
      </c>
      <c r="AD1525">
        <v>1</v>
      </c>
      <c r="AE1525">
        <v>1</v>
      </c>
      <c r="AF1525">
        <v>1</v>
      </c>
      <c r="AG1525">
        <v>1</v>
      </c>
      <c r="AH1525">
        <v>1</v>
      </c>
      <c r="AI1525">
        <v>1</v>
      </c>
      <c r="AJ1525">
        <v>1</v>
      </c>
      <c r="AK1525">
        <v>1</v>
      </c>
      <c r="AL1525">
        <v>1</v>
      </c>
      <c r="AM1525">
        <v>1</v>
      </c>
    </row>
    <row r="1526" spans="1:39" x14ac:dyDescent="0.2">
      <c r="A1526" t="str">
        <f>"1522"</f>
        <v>1522</v>
      </c>
      <c r="B1526" t="str">
        <f t="shared" si="82"/>
        <v>1</v>
      </c>
      <c r="C1526" t="str">
        <f t="shared" si="84"/>
        <v>31</v>
      </c>
      <c r="D1526" t="str">
        <f>"45"</f>
        <v>45</v>
      </c>
      <c r="E1526" t="str">
        <f>"1-31-45"</f>
        <v>1-31-45</v>
      </c>
      <c r="F1526" t="s">
        <v>65</v>
      </c>
      <c r="G1526" t="s">
        <v>66</v>
      </c>
      <c r="H1526" t="s">
        <v>67</v>
      </c>
      <c r="S1526">
        <v>1</v>
      </c>
      <c r="T1526">
        <v>0</v>
      </c>
      <c r="U1526">
        <v>0</v>
      </c>
      <c r="V1526">
        <v>0</v>
      </c>
      <c r="W1526">
        <v>1</v>
      </c>
      <c r="X1526">
        <v>0</v>
      </c>
      <c r="Y1526">
        <v>1</v>
      </c>
      <c r="Z1526">
        <v>0</v>
      </c>
      <c r="AA1526">
        <v>0</v>
      </c>
      <c r="AB1526">
        <v>1</v>
      </c>
      <c r="AC1526">
        <v>0</v>
      </c>
      <c r="AD1526">
        <v>1</v>
      </c>
      <c r="AE1526">
        <v>1</v>
      </c>
      <c r="AF1526">
        <v>1</v>
      </c>
      <c r="AG1526">
        <v>1</v>
      </c>
      <c r="AH1526">
        <v>1</v>
      </c>
      <c r="AI1526">
        <v>1</v>
      </c>
      <c r="AJ1526">
        <v>1</v>
      </c>
      <c r="AK1526">
        <v>1</v>
      </c>
      <c r="AL1526">
        <v>1</v>
      </c>
      <c r="AM1526">
        <v>1</v>
      </c>
    </row>
    <row r="1527" spans="1:39" x14ac:dyDescent="0.2">
      <c r="A1527" t="str">
        <f>"1523"</f>
        <v>1523</v>
      </c>
      <c r="B1527" t="str">
        <f t="shared" ref="B1527:B1590" si="85">"1"</f>
        <v>1</v>
      </c>
      <c r="C1527" t="str">
        <f t="shared" si="84"/>
        <v>31</v>
      </c>
      <c r="D1527" t="str">
        <f>"32"</f>
        <v>32</v>
      </c>
      <c r="E1527" t="str">
        <f>"1-31-32"</f>
        <v>1-31-32</v>
      </c>
      <c r="F1527" t="s">
        <v>65</v>
      </c>
      <c r="G1527" t="s">
        <v>66</v>
      </c>
      <c r="H1527" t="s">
        <v>67</v>
      </c>
      <c r="S1527">
        <v>0</v>
      </c>
      <c r="T1527">
        <v>1</v>
      </c>
      <c r="U1527">
        <v>0</v>
      </c>
      <c r="V1527">
        <v>0</v>
      </c>
      <c r="W1527">
        <v>0</v>
      </c>
      <c r="X1527">
        <v>1</v>
      </c>
      <c r="Y1527">
        <v>1</v>
      </c>
      <c r="Z1527">
        <v>0</v>
      </c>
      <c r="AA1527">
        <v>0</v>
      </c>
      <c r="AB1527">
        <v>1</v>
      </c>
      <c r="AC1527">
        <v>0</v>
      </c>
      <c r="AD1527">
        <v>1</v>
      </c>
      <c r="AE1527">
        <v>1</v>
      </c>
      <c r="AF1527">
        <v>1</v>
      </c>
      <c r="AG1527">
        <v>1</v>
      </c>
      <c r="AH1527">
        <v>1</v>
      </c>
      <c r="AI1527">
        <v>1</v>
      </c>
      <c r="AJ1527">
        <v>1</v>
      </c>
      <c r="AK1527">
        <v>1</v>
      </c>
      <c r="AL1527">
        <v>1</v>
      </c>
      <c r="AM1527">
        <v>1</v>
      </c>
    </row>
    <row r="1528" spans="1:39" x14ac:dyDescent="0.2">
      <c r="A1528" t="str">
        <f>"1524"</f>
        <v>1524</v>
      </c>
      <c r="B1528" t="str">
        <f t="shared" si="85"/>
        <v>1</v>
      </c>
      <c r="C1528" t="str">
        <f t="shared" si="84"/>
        <v>31</v>
      </c>
      <c r="D1528" t="str">
        <f>"19"</f>
        <v>19</v>
      </c>
      <c r="E1528" t="str">
        <f>"1-31-19"</f>
        <v>1-31-19</v>
      </c>
      <c r="F1528" t="s">
        <v>65</v>
      </c>
      <c r="G1528" t="s">
        <v>66</v>
      </c>
      <c r="H1528" t="s">
        <v>67</v>
      </c>
      <c r="S1528">
        <v>1</v>
      </c>
      <c r="T1528">
        <v>0</v>
      </c>
      <c r="U1528">
        <v>0</v>
      </c>
      <c r="V1528">
        <v>0</v>
      </c>
      <c r="W1528">
        <v>1</v>
      </c>
      <c r="X1528">
        <v>0</v>
      </c>
      <c r="Y1528">
        <v>0</v>
      </c>
      <c r="Z1528">
        <v>1</v>
      </c>
      <c r="AA1528">
        <v>0</v>
      </c>
      <c r="AB1528">
        <v>1</v>
      </c>
      <c r="AC1528">
        <v>0</v>
      </c>
      <c r="AD1528">
        <v>1</v>
      </c>
      <c r="AE1528">
        <v>1</v>
      </c>
      <c r="AF1528">
        <v>1</v>
      </c>
      <c r="AG1528">
        <v>1</v>
      </c>
      <c r="AH1528">
        <v>1</v>
      </c>
      <c r="AI1528">
        <v>1</v>
      </c>
      <c r="AJ1528">
        <v>1</v>
      </c>
      <c r="AK1528">
        <v>1</v>
      </c>
      <c r="AL1528">
        <v>1</v>
      </c>
      <c r="AM1528">
        <v>1</v>
      </c>
    </row>
    <row r="1529" spans="1:39" x14ac:dyDescent="0.2">
      <c r="A1529" t="str">
        <f>"1525"</f>
        <v>1525</v>
      </c>
      <c r="B1529" t="str">
        <f t="shared" si="85"/>
        <v>1</v>
      </c>
      <c r="C1529" t="str">
        <f t="shared" si="84"/>
        <v>31</v>
      </c>
      <c r="D1529" t="str">
        <f>"12"</f>
        <v>12</v>
      </c>
      <c r="E1529" t="str">
        <f>"1-31-12"</f>
        <v>1-31-12</v>
      </c>
      <c r="F1529" t="s">
        <v>65</v>
      </c>
      <c r="G1529" t="s">
        <v>66</v>
      </c>
      <c r="H1529" t="s">
        <v>67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1</v>
      </c>
      <c r="Y1529">
        <v>0</v>
      </c>
      <c r="Z1529">
        <v>1</v>
      </c>
      <c r="AA1529">
        <v>0</v>
      </c>
      <c r="AB1529">
        <v>0</v>
      </c>
      <c r="AC1529">
        <v>1</v>
      </c>
      <c r="AD1529">
        <v>1</v>
      </c>
      <c r="AE1529">
        <v>1</v>
      </c>
      <c r="AF1529">
        <v>1</v>
      </c>
      <c r="AG1529">
        <v>1</v>
      </c>
      <c r="AH1529">
        <v>1</v>
      </c>
      <c r="AI1529">
        <v>1</v>
      </c>
      <c r="AJ1529">
        <v>1</v>
      </c>
      <c r="AK1529">
        <v>1</v>
      </c>
      <c r="AL1529">
        <v>1</v>
      </c>
      <c r="AM1529">
        <v>1</v>
      </c>
    </row>
    <row r="1530" spans="1:39" x14ac:dyDescent="0.2">
      <c r="A1530" t="str">
        <f>"1526"</f>
        <v>1526</v>
      </c>
      <c r="B1530" t="str">
        <f t="shared" si="85"/>
        <v>1</v>
      </c>
      <c r="C1530" t="str">
        <f t="shared" si="84"/>
        <v>31</v>
      </c>
      <c r="D1530" t="str">
        <f>"43"</f>
        <v>43</v>
      </c>
      <c r="E1530" t="str">
        <f>"1-31-43"</f>
        <v>1-31-43</v>
      </c>
      <c r="F1530" t="s">
        <v>65</v>
      </c>
      <c r="G1530" t="s">
        <v>66</v>
      </c>
      <c r="H1530" t="s">
        <v>67</v>
      </c>
      <c r="S1530">
        <v>1</v>
      </c>
      <c r="T1530">
        <v>0</v>
      </c>
      <c r="U1530">
        <v>0</v>
      </c>
      <c r="V1530">
        <v>0</v>
      </c>
      <c r="W1530">
        <v>1</v>
      </c>
      <c r="X1530">
        <v>0</v>
      </c>
      <c r="Y1530">
        <v>0</v>
      </c>
      <c r="Z1530">
        <v>1</v>
      </c>
      <c r="AA1530">
        <v>0</v>
      </c>
      <c r="AB1530">
        <v>0</v>
      </c>
      <c r="AC1530">
        <v>1</v>
      </c>
      <c r="AD1530">
        <v>1</v>
      </c>
      <c r="AE1530">
        <v>1</v>
      </c>
      <c r="AF1530">
        <v>1</v>
      </c>
      <c r="AG1530">
        <v>1</v>
      </c>
      <c r="AH1530">
        <v>1</v>
      </c>
      <c r="AI1530">
        <v>1</v>
      </c>
      <c r="AJ1530">
        <v>1</v>
      </c>
      <c r="AK1530">
        <v>1</v>
      </c>
      <c r="AL1530">
        <v>1</v>
      </c>
      <c r="AM1530">
        <v>1</v>
      </c>
    </row>
    <row r="1531" spans="1:39" x14ac:dyDescent="0.2">
      <c r="A1531" t="str">
        <f>"1527"</f>
        <v>1527</v>
      </c>
      <c r="B1531" t="str">
        <f t="shared" si="85"/>
        <v>1</v>
      </c>
      <c r="C1531" t="str">
        <f t="shared" si="84"/>
        <v>31</v>
      </c>
      <c r="D1531" t="str">
        <f>"42"</f>
        <v>42</v>
      </c>
      <c r="E1531" t="str">
        <f>"1-31-42"</f>
        <v>1-31-42</v>
      </c>
      <c r="F1531" t="s">
        <v>65</v>
      </c>
      <c r="G1531" t="s">
        <v>66</v>
      </c>
      <c r="H1531" t="s">
        <v>67</v>
      </c>
      <c r="S1531">
        <v>1</v>
      </c>
      <c r="T1531">
        <v>0</v>
      </c>
      <c r="U1531">
        <v>0</v>
      </c>
      <c r="V1531">
        <v>0</v>
      </c>
      <c r="W1531">
        <v>1</v>
      </c>
      <c r="X1531">
        <v>0</v>
      </c>
      <c r="Y1531">
        <v>1</v>
      </c>
      <c r="Z1531">
        <v>0</v>
      </c>
      <c r="AA1531">
        <v>0</v>
      </c>
      <c r="AB1531">
        <v>0</v>
      </c>
      <c r="AC1531">
        <v>1</v>
      </c>
      <c r="AD1531">
        <v>1</v>
      </c>
      <c r="AE1531">
        <v>1</v>
      </c>
      <c r="AF1531">
        <v>1</v>
      </c>
      <c r="AG1531">
        <v>1</v>
      </c>
      <c r="AH1531">
        <v>1</v>
      </c>
      <c r="AI1531">
        <v>1</v>
      </c>
      <c r="AJ1531">
        <v>1</v>
      </c>
      <c r="AK1531">
        <v>1</v>
      </c>
      <c r="AL1531">
        <v>1</v>
      </c>
      <c r="AM1531">
        <v>1</v>
      </c>
    </row>
    <row r="1532" spans="1:39" x14ac:dyDescent="0.2">
      <c r="A1532" t="str">
        <f>"1528"</f>
        <v>1528</v>
      </c>
      <c r="B1532" t="str">
        <f t="shared" si="85"/>
        <v>1</v>
      </c>
      <c r="C1532" t="str">
        <f t="shared" si="84"/>
        <v>31</v>
      </c>
      <c r="D1532" t="str">
        <f>"34"</f>
        <v>34</v>
      </c>
      <c r="E1532" t="str">
        <f>"1-31-34"</f>
        <v>1-31-34</v>
      </c>
      <c r="F1532" t="s">
        <v>65</v>
      </c>
      <c r="G1532" t="s">
        <v>66</v>
      </c>
      <c r="H1532" t="s">
        <v>67</v>
      </c>
      <c r="S1532">
        <v>1</v>
      </c>
      <c r="T1532">
        <v>0</v>
      </c>
      <c r="U1532">
        <v>0</v>
      </c>
      <c r="V1532">
        <v>0</v>
      </c>
      <c r="W1532">
        <v>0</v>
      </c>
      <c r="X1532">
        <v>1</v>
      </c>
      <c r="Y1532">
        <v>1</v>
      </c>
      <c r="Z1532">
        <v>0</v>
      </c>
      <c r="AA1532">
        <v>1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1</v>
      </c>
      <c r="AH1532">
        <v>1</v>
      </c>
      <c r="AI1532">
        <v>1</v>
      </c>
      <c r="AJ1532">
        <v>1</v>
      </c>
      <c r="AK1532">
        <v>1</v>
      </c>
      <c r="AL1532">
        <v>1</v>
      </c>
      <c r="AM1532">
        <v>0</v>
      </c>
    </row>
    <row r="1533" spans="1:39" x14ac:dyDescent="0.2">
      <c r="A1533" t="str">
        <f>"1529"</f>
        <v>1529</v>
      </c>
      <c r="B1533" t="str">
        <f t="shared" si="85"/>
        <v>1</v>
      </c>
      <c r="C1533" t="str">
        <f t="shared" si="84"/>
        <v>31</v>
      </c>
      <c r="D1533" t="str">
        <f>"20"</f>
        <v>20</v>
      </c>
      <c r="E1533" t="str">
        <f>"1-31-20"</f>
        <v>1-31-20</v>
      </c>
      <c r="F1533" t="s">
        <v>65</v>
      </c>
      <c r="G1533" t="s">
        <v>66</v>
      </c>
      <c r="H1533" t="s">
        <v>67</v>
      </c>
      <c r="S1533">
        <v>0</v>
      </c>
      <c r="T1533">
        <v>1</v>
      </c>
      <c r="U1533">
        <v>0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0</v>
      </c>
      <c r="AB1533">
        <v>0</v>
      </c>
      <c r="AC1533">
        <v>1</v>
      </c>
      <c r="AD1533">
        <v>1</v>
      </c>
      <c r="AE1533">
        <v>1</v>
      </c>
      <c r="AF1533">
        <v>1</v>
      </c>
      <c r="AG1533">
        <v>1</v>
      </c>
      <c r="AH1533">
        <v>1</v>
      </c>
      <c r="AI1533">
        <v>1</v>
      </c>
      <c r="AJ1533">
        <v>1</v>
      </c>
      <c r="AK1533">
        <v>1</v>
      </c>
      <c r="AL1533">
        <v>1</v>
      </c>
      <c r="AM1533">
        <v>1</v>
      </c>
    </row>
    <row r="1534" spans="1:39" x14ac:dyDescent="0.2">
      <c r="A1534" t="str">
        <f>"1530"</f>
        <v>1530</v>
      </c>
      <c r="B1534" t="str">
        <f t="shared" si="85"/>
        <v>1</v>
      </c>
      <c r="C1534" t="str">
        <f t="shared" si="84"/>
        <v>31</v>
      </c>
      <c r="D1534" t="str">
        <f>"11"</f>
        <v>11</v>
      </c>
      <c r="E1534" t="str">
        <f>"1-31-11"</f>
        <v>1-31-11</v>
      </c>
      <c r="F1534" t="s">
        <v>65</v>
      </c>
      <c r="G1534" t="s">
        <v>66</v>
      </c>
      <c r="H1534" t="s">
        <v>67</v>
      </c>
      <c r="S1534">
        <v>1</v>
      </c>
      <c r="T1534">
        <v>0</v>
      </c>
      <c r="U1534">
        <v>0</v>
      </c>
      <c r="V1534">
        <v>0</v>
      </c>
      <c r="W1534">
        <v>1</v>
      </c>
      <c r="X1534">
        <v>0</v>
      </c>
      <c r="Y1534">
        <v>0</v>
      </c>
      <c r="Z1534">
        <v>1</v>
      </c>
      <c r="AA1534">
        <v>1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</row>
    <row r="1535" spans="1:39" x14ac:dyDescent="0.2">
      <c r="A1535" t="str">
        <f>"1531"</f>
        <v>1531</v>
      </c>
      <c r="B1535" t="str">
        <f t="shared" si="85"/>
        <v>1</v>
      </c>
      <c r="C1535" t="str">
        <f t="shared" si="84"/>
        <v>31</v>
      </c>
      <c r="D1535" t="str">
        <f>"41"</f>
        <v>41</v>
      </c>
      <c r="E1535" t="str">
        <f>"1-31-41"</f>
        <v>1-31-41</v>
      </c>
      <c r="F1535" t="s">
        <v>65</v>
      </c>
      <c r="G1535" t="s">
        <v>66</v>
      </c>
      <c r="H1535" t="s">
        <v>67</v>
      </c>
      <c r="S1535">
        <v>0</v>
      </c>
      <c r="T1535">
        <v>1</v>
      </c>
      <c r="U1535">
        <v>0</v>
      </c>
      <c r="V1535">
        <v>0</v>
      </c>
      <c r="W1535">
        <v>1</v>
      </c>
      <c r="X1535">
        <v>0</v>
      </c>
      <c r="Y1535">
        <v>1</v>
      </c>
      <c r="Z1535">
        <v>0</v>
      </c>
      <c r="AA1535">
        <v>0</v>
      </c>
      <c r="AB1535">
        <v>0</v>
      </c>
      <c r="AC1535">
        <v>1</v>
      </c>
      <c r="AD1535">
        <v>1</v>
      </c>
      <c r="AE1535">
        <v>1</v>
      </c>
      <c r="AF1535">
        <v>1</v>
      </c>
      <c r="AG1535">
        <v>1</v>
      </c>
      <c r="AH1535">
        <v>1</v>
      </c>
      <c r="AI1535">
        <v>1</v>
      </c>
      <c r="AJ1535">
        <v>1</v>
      </c>
      <c r="AK1535">
        <v>1</v>
      </c>
      <c r="AL1535">
        <v>1</v>
      </c>
      <c r="AM1535">
        <v>0</v>
      </c>
    </row>
    <row r="1536" spans="1:39" x14ac:dyDescent="0.2">
      <c r="A1536" t="str">
        <f>"1532"</f>
        <v>1532</v>
      </c>
      <c r="B1536" t="str">
        <f t="shared" si="85"/>
        <v>1</v>
      </c>
      <c r="C1536" t="str">
        <f t="shared" si="84"/>
        <v>31</v>
      </c>
      <c r="D1536" t="str">
        <f>"21"</f>
        <v>21</v>
      </c>
      <c r="E1536" t="str">
        <f>"1-31-21"</f>
        <v>1-31-21</v>
      </c>
      <c r="F1536" t="s">
        <v>65</v>
      </c>
      <c r="G1536" t="s">
        <v>66</v>
      </c>
      <c r="H1536" t="s">
        <v>67</v>
      </c>
      <c r="S1536">
        <v>0</v>
      </c>
      <c r="T1536">
        <v>1</v>
      </c>
      <c r="U1536">
        <v>0</v>
      </c>
      <c r="V1536">
        <v>0</v>
      </c>
      <c r="W1536">
        <v>0</v>
      </c>
      <c r="X1536">
        <v>1</v>
      </c>
      <c r="Y1536">
        <v>0</v>
      </c>
      <c r="Z1536">
        <v>1</v>
      </c>
      <c r="AA1536">
        <v>0</v>
      </c>
      <c r="AB1536">
        <v>1</v>
      </c>
      <c r="AC1536">
        <v>0</v>
      </c>
      <c r="AD1536">
        <v>1</v>
      </c>
      <c r="AE1536">
        <v>1</v>
      </c>
      <c r="AF1536">
        <v>1</v>
      </c>
      <c r="AG1536">
        <v>1</v>
      </c>
      <c r="AH1536">
        <v>1</v>
      </c>
      <c r="AI1536">
        <v>1</v>
      </c>
      <c r="AJ1536">
        <v>1</v>
      </c>
      <c r="AK1536">
        <v>1</v>
      </c>
      <c r="AL1536">
        <v>1</v>
      </c>
      <c r="AM1536">
        <v>1</v>
      </c>
    </row>
    <row r="1537" spans="1:39" x14ac:dyDescent="0.2">
      <c r="A1537" t="str">
        <f>"1533"</f>
        <v>1533</v>
      </c>
      <c r="B1537" t="str">
        <f t="shared" si="85"/>
        <v>1</v>
      </c>
      <c r="C1537" t="str">
        <f t="shared" ref="C1537:C1554" si="86">"31"</f>
        <v>31</v>
      </c>
      <c r="D1537" t="str">
        <f>"10"</f>
        <v>10</v>
      </c>
      <c r="E1537" t="str">
        <f>"1-31-10"</f>
        <v>1-31-10</v>
      </c>
      <c r="F1537" t="s">
        <v>65</v>
      </c>
      <c r="G1537" t="s">
        <v>66</v>
      </c>
      <c r="H1537" t="s">
        <v>67</v>
      </c>
      <c r="S1537">
        <v>1</v>
      </c>
      <c r="T1537">
        <v>0</v>
      </c>
      <c r="U1537">
        <v>0</v>
      </c>
      <c r="V1537">
        <v>0</v>
      </c>
      <c r="W1537">
        <v>1</v>
      </c>
      <c r="X1537">
        <v>0</v>
      </c>
      <c r="Y1537">
        <v>1</v>
      </c>
      <c r="Z1537">
        <v>0</v>
      </c>
      <c r="AA1537">
        <v>1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1</v>
      </c>
      <c r="AH1537">
        <v>0</v>
      </c>
      <c r="AI1537">
        <v>1</v>
      </c>
      <c r="AJ1537">
        <v>0</v>
      </c>
      <c r="AK1537">
        <v>0</v>
      </c>
      <c r="AL1537">
        <v>1</v>
      </c>
      <c r="AM1537">
        <v>0</v>
      </c>
    </row>
    <row r="1538" spans="1:39" x14ac:dyDescent="0.2">
      <c r="A1538" t="str">
        <f>"1534"</f>
        <v>1534</v>
      </c>
      <c r="B1538" t="str">
        <f t="shared" si="85"/>
        <v>1</v>
      </c>
      <c r="C1538" t="str">
        <f t="shared" si="86"/>
        <v>31</v>
      </c>
      <c r="D1538" t="str">
        <f>"22"</f>
        <v>22</v>
      </c>
      <c r="E1538" t="str">
        <f>"1-31-22"</f>
        <v>1-31-22</v>
      </c>
      <c r="F1538" t="s">
        <v>65</v>
      </c>
      <c r="G1538" t="s">
        <v>66</v>
      </c>
      <c r="H1538" t="s">
        <v>67</v>
      </c>
      <c r="S1538">
        <v>0</v>
      </c>
      <c r="T1538">
        <v>1</v>
      </c>
      <c r="U1538">
        <v>0</v>
      </c>
      <c r="V1538">
        <v>0</v>
      </c>
      <c r="W1538">
        <v>1</v>
      </c>
      <c r="X1538">
        <v>0</v>
      </c>
      <c r="Y1538">
        <v>1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1</v>
      </c>
      <c r="AF1538">
        <v>1</v>
      </c>
      <c r="AG1538">
        <v>1</v>
      </c>
      <c r="AH1538">
        <v>1</v>
      </c>
      <c r="AI1538">
        <v>1</v>
      </c>
      <c r="AJ1538">
        <v>0</v>
      </c>
      <c r="AK1538">
        <v>1</v>
      </c>
      <c r="AL1538">
        <v>1</v>
      </c>
      <c r="AM1538">
        <v>1</v>
      </c>
    </row>
    <row r="1539" spans="1:39" x14ac:dyDescent="0.2">
      <c r="A1539" t="str">
        <f>"1535"</f>
        <v>1535</v>
      </c>
      <c r="B1539" t="str">
        <f t="shared" si="85"/>
        <v>1</v>
      </c>
      <c r="C1539" t="str">
        <f t="shared" si="86"/>
        <v>31</v>
      </c>
      <c r="D1539" t="str">
        <f>"4"</f>
        <v>4</v>
      </c>
      <c r="E1539" t="str">
        <f>"1-31-4"</f>
        <v>1-31-4</v>
      </c>
      <c r="F1539" t="s">
        <v>65</v>
      </c>
      <c r="G1539" t="s">
        <v>66</v>
      </c>
      <c r="H1539" t="s">
        <v>67</v>
      </c>
      <c r="S1539">
        <v>1</v>
      </c>
      <c r="T1539">
        <v>0</v>
      </c>
      <c r="U1539">
        <v>0</v>
      </c>
      <c r="V1539">
        <v>0</v>
      </c>
      <c r="W1539">
        <v>1</v>
      </c>
      <c r="X1539">
        <v>0</v>
      </c>
      <c r="Y1539">
        <v>1</v>
      </c>
      <c r="Z1539">
        <v>0</v>
      </c>
      <c r="AA1539">
        <v>0</v>
      </c>
      <c r="AB1539">
        <v>1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1</v>
      </c>
      <c r="AM1539">
        <v>0</v>
      </c>
    </row>
    <row r="1540" spans="1:39" x14ac:dyDescent="0.2">
      <c r="A1540" t="str">
        <f>"1536"</f>
        <v>1536</v>
      </c>
      <c r="B1540" t="str">
        <f t="shared" si="85"/>
        <v>1</v>
      </c>
      <c r="C1540" t="str">
        <f t="shared" si="86"/>
        <v>31</v>
      </c>
      <c r="D1540" t="str">
        <f>"47"</f>
        <v>47</v>
      </c>
      <c r="E1540" t="str">
        <f>"1-31-47"</f>
        <v>1-31-47</v>
      </c>
      <c r="F1540" t="s">
        <v>65</v>
      </c>
      <c r="G1540" t="s">
        <v>66</v>
      </c>
      <c r="H1540" t="s">
        <v>67</v>
      </c>
      <c r="S1540">
        <v>1</v>
      </c>
      <c r="T1540">
        <v>0</v>
      </c>
      <c r="U1540">
        <v>0</v>
      </c>
      <c r="V1540">
        <v>0</v>
      </c>
      <c r="W1540">
        <v>1</v>
      </c>
      <c r="X1540">
        <v>0</v>
      </c>
      <c r="Y1540">
        <v>0</v>
      </c>
      <c r="Z1540">
        <v>1</v>
      </c>
      <c r="AA1540">
        <v>0</v>
      </c>
      <c r="AB1540">
        <v>1</v>
      </c>
      <c r="AC1540">
        <v>0</v>
      </c>
      <c r="AD1540">
        <v>1</v>
      </c>
      <c r="AE1540">
        <v>1</v>
      </c>
      <c r="AF1540">
        <v>1</v>
      </c>
      <c r="AG1540">
        <v>1</v>
      </c>
      <c r="AH1540">
        <v>1</v>
      </c>
      <c r="AI1540">
        <v>1</v>
      </c>
      <c r="AJ1540">
        <v>1</v>
      </c>
      <c r="AK1540">
        <v>1</v>
      </c>
      <c r="AL1540">
        <v>1</v>
      </c>
      <c r="AM1540">
        <v>1</v>
      </c>
    </row>
    <row r="1541" spans="1:39" x14ac:dyDescent="0.2">
      <c r="A1541" t="str">
        <f>"1537"</f>
        <v>1537</v>
      </c>
      <c r="B1541" t="str">
        <f t="shared" si="85"/>
        <v>1</v>
      </c>
      <c r="C1541" t="str">
        <f t="shared" si="86"/>
        <v>31</v>
      </c>
      <c r="D1541" t="str">
        <f>"23"</f>
        <v>23</v>
      </c>
      <c r="E1541" t="str">
        <f>"1-31-23"</f>
        <v>1-31-23</v>
      </c>
      <c r="F1541" t="s">
        <v>65</v>
      </c>
      <c r="G1541" t="s">
        <v>66</v>
      </c>
      <c r="H1541" t="s">
        <v>67</v>
      </c>
      <c r="S1541">
        <v>1</v>
      </c>
      <c r="T1541">
        <v>0</v>
      </c>
      <c r="U1541">
        <v>0</v>
      </c>
      <c r="V1541">
        <v>0</v>
      </c>
      <c r="W1541">
        <v>1</v>
      </c>
      <c r="X1541">
        <v>0</v>
      </c>
      <c r="Y1541">
        <v>1</v>
      </c>
      <c r="Z1541">
        <v>0</v>
      </c>
      <c r="AA1541">
        <v>1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</row>
    <row r="1542" spans="1:39" x14ac:dyDescent="0.2">
      <c r="A1542" t="str">
        <f>"1538"</f>
        <v>1538</v>
      </c>
      <c r="B1542" t="str">
        <f t="shared" si="85"/>
        <v>1</v>
      </c>
      <c r="C1542" t="str">
        <f t="shared" si="86"/>
        <v>31</v>
      </c>
      <c r="D1542" t="str">
        <f>"8"</f>
        <v>8</v>
      </c>
      <c r="E1542" t="str">
        <f>"1-31-8"</f>
        <v>1-31-8</v>
      </c>
      <c r="F1542" t="s">
        <v>65</v>
      </c>
      <c r="G1542" t="s">
        <v>66</v>
      </c>
      <c r="H1542" t="s">
        <v>67</v>
      </c>
      <c r="S1542">
        <v>0</v>
      </c>
      <c r="T1542">
        <v>1</v>
      </c>
      <c r="U1542">
        <v>0</v>
      </c>
      <c r="V1542">
        <v>0</v>
      </c>
      <c r="W1542">
        <v>0</v>
      </c>
      <c r="X1542">
        <v>1</v>
      </c>
      <c r="Y1542">
        <v>0</v>
      </c>
      <c r="Z1542">
        <v>1</v>
      </c>
      <c r="AA1542">
        <v>1</v>
      </c>
      <c r="AB1542">
        <v>0</v>
      </c>
      <c r="AC1542">
        <v>0</v>
      </c>
      <c r="AD1542">
        <v>1</v>
      </c>
      <c r="AE1542">
        <v>1</v>
      </c>
      <c r="AF1542">
        <v>1</v>
      </c>
      <c r="AG1542">
        <v>1</v>
      </c>
      <c r="AH1542">
        <v>1</v>
      </c>
      <c r="AI1542">
        <v>1</v>
      </c>
      <c r="AJ1542">
        <v>1</v>
      </c>
      <c r="AK1542">
        <v>1</v>
      </c>
      <c r="AL1542">
        <v>1</v>
      </c>
      <c r="AM1542">
        <v>1</v>
      </c>
    </row>
    <row r="1543" spans="1:39" x14ac:dyDescent="0.2">
      <c r="A1543" t="str">
        <f>"1539"</f>
        <v>1539</v>
      </c>
      <c r="B1543" t="str">
        <f t="shared" si="85"/>
        <v>1</v>
      </c>
      <c r="C1543" t="str">
        <f t="shared" si="86"/>
        <v>31</v>
      </c>
      <c r="D1543" t="str">
        <f>"44"</f>
        <v>44</v>
      </c>
      <c r="E1543" t="str">
        <f>"1-31-44"</f>
        <v>1-31-44</v>
      </c>
      <c r="F1543" t="s">
        <v>65</v>
      </c>
      <c r="G1543" t="s">
        <v>66</v>
      </c>
      <c r="H1543" t="s">
        <v>67</v>
      </c>
      <c r="S1543">
        <v>1</v>
      </c>
      <c r="T1543">
        <v>0</v>
      </c>
      <c r="U1543">
        <v>0</v>
      </c>
      <c r="V1543">
        <v>0</v>
      </c>
      <c r="W1543">
        <v>1</v>
      </c>
      <c r="X1543">
        <v>0</v>
      </c>
      <c r="Y1543">
        <v>0</v>
      </c>
      <c r="Z1543">
        <v>1</v>
      </c>
      <c r="AA1543">
        <v>0</v>
      </c>
      <c r="AB1543">
        <v>0</v>
      </c>
      <c r="AC1543">
        <v>1</v>
      </c>
      <c r="AD1543">
        <v>1</v>
      </c>
      <c r="AE1543">
        <v>1</v>
      </c>
      <c r="AF1543">
        <v>1</v>
      </c>
      <c r="AG1543">
        <v>1</v>
      </c>
      <c r="AH1543">
        <v>1</v>
      </c>
      <c r="AI1543">
        <v>1</v>
      </c>
      <c r="AJ1543">
        <v>1</v>
      </c>
      <c r="AK1543">
        <v>1</v>
      </c>
      <c r="AL1543">
        <v>1</v>
      </c>
      <c r="AM1543">
        <v>1</v>
      </c>
    </row>
    <row r="1544" spans="1:39" x14ac:dyDescent="0.2">
      <c r="A1544" t="str">
        <f>"1540"</f>
        <v>1540</v>
      </c>
      <c r="B1544" t="str">
        <f t="shared" si="85"/>
        <v>1</v>
      </c>
      <c r="C1544" t="str">
        <f t="shared" si="86"/>
        <v>31</v>
      </c>
      <c r="D1544" t="str">
        <f>"24"</f>
        <v>24</v>
      </c>
      <c r="E1544" t="str">
        <f>"1-31-24"</f>
        <v>1-31-24</v>
      </c>
      <c r="F1544" t="s">
        <v>65</v>
      </c>
      <c r="G1544" t="s">
        <v>66</v>
      </c>
      <c r="H1544" t="s">
        <v>67</v>
      </c>
      <c r="S1544">
        <v>1</v>
      </c>
      <c r="T1544">
        <v>0</v>
      </c>
      <c r="U1544">
        <v>0</v>
      </c>
      <c r="V1544">
        <v>0</v>
      </c>
      <c r="W1544">
        <v>1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1</v>
      </c>
      <c r="AH1544">
        <v>1</v>
      </c>
      <c r="AI1544">
        <v>1</v>
      </c>
      <c r="AJ1544">
        <v>1</v>
      </c>
      <c r="AK1544">
        <v>1</v>
      </c>
      <c r="AL1544">
        <v>1</v>
      </c>
      <c r="AM1544">
        <v>1</v>
      </c>
    </row>
    <row r="1545" spans="1:39" x14ac:dyDescent="0.2">
      <c r="A1545" t="str">
        <f>"1541"</f>
        <v>1541</v>
      </c>
      <c r="B1545" t="str">
        <f t="shared" si="85"/>
        <v>1</v>
      </c>
      <c r="C1545" t="str">
        <f t="shared" si="86"/>
        <v>31</v>
      </c>
      <c r="D1545" t="str">
        <f>"6"</f>
        <v>6</v>
      </c>
      <c r="E1545" t="str">
        <f>"1-31-6"</f>
        <v>1-31-6</v>
      </c>
      <c r="F1545" t="s">
        <v>65</v>
      </c>
      <c r="G1545" t="s">
        <v>66</v>
      </c>
      <c r="H1545" t="s">
        <v>67</v>
      </c>
      <c r="S1545">
        <v>0</v>
      </c>
      <c r="T1545">
        <v>1</v>
      </c>
      <c r="U1545">
        <v>0</v>
      </c>
      <c r="V1545">
        <v>0</v>
      </c>
      <c r="W1545">
        <v>0</v>
      </c>
      <c r="X1545">
        <v>1</v>
      </c>
      <c r="Y1545">
        <v>0</v>
      </c>
      <c r="Z1545">
        <v>1</v>
      </c>
      <c r="AA1545">
        <v>0</v>
      </c>
      <c r="AB1545">
        <v>0</v>
      </c>
      <c r="AC1545">
        <v>1</v>
      </c>
      <c r="AD1545">
        <v>1</v>
      </c>
      <c r="AE1545">
        <v>1</v>
      </c>
      <c r="AF1545">
        <v>1</v>
      </c>
      <c r="AG1545">
        <v>1</v>
      </c>
      <c r="AH1545">
        <v>1</v>
      </c>
      <c r="AI1545">
        <v>1</v>
      </c>
      <c r="AJ1545">
        <v>1</v>
      </c>
      <c r="AK1545">
        <v>1</v>
      </c>
      <c r="AL1545">
        <v>1</v>
      </c>
      <c r="AM1545">
        <v>1</v>
      </c>
    </row>
    <row r="1546" spans="1:39" x14ac:dyDescent="0.2">
      <c r="A1546" t="str">
        <f>"1542"</f>
        <v>1542</v>
      </c>
      <c r="B1546" t="str">
        <f t="shared" si="85"/>
        <v>1</v>
      </c>
      <c r="C1546" t="str">
        <f t="shared" si="86"/>
        <v>31</v>
      </c>
      <c r="D1546" t="str">
        <f>"26"</f>
        <v>26</v>
      </c>
      <c r="E1546" t="str">
        <f>"1-31-26"</f>
        <v>1-31-26</v>
      </c>
      <c r="F1546" t="s">
        <v>65</v>
      </c>
      <c r="G1546" t="s">
        <v>66</v>
      </c>
      <c r="H1546" t="s">
        <v>67</v>
      </c>
      <c r="S1546">
        <v>0</v>
      </c>
      <c r="T1546">
        <v>1</v>
      </c>
      <c r="U1546">
        <v>0</v>
      </c>
      <c r="V1546">
        <v>0</v>
      </c>
      <c r="W1546">
        <v>1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</row>
    <row r="1547" spans="1:39" x14ac:dyDescent="0.2">
      <c r="A1547" t="str">
        <f>"1543"</f>
        <v>1543</v>
      </c>
      <c r="B1547" t="str">
        <f t="shared" si="85"/>
        <v>1</v>
      </c>
      <c r="C1547" t="str">
        <f t="shared" si="86"/>
        <v>31</v>
      </c>
      <c r="D1547" t="str">
        <f>"9"</f>
        <v>9</v>
      </c>
      <c r="E1547" t="str">
        <f>"1-31-9"</f>
        <v>1-31-9</v>
      </c>
      <c r="F1547" t="s">
        <v>65</v>
      </c>
      <c r="G1547" t="s">
        <v>66</v>
      </c>
      <c r="H1547" t="s">
        <v>67</v>
      </c>
      <c r="S1547">
        <v>1</v>
      </c>
      <c r="T1547">
        <v>0</v>
      </c>
      <c r="U1547">
        <v>0</v>
      </c>
      <c r="V1547">
        <v>0</v>
      </c>
      <c r="W1547">
        <v>1</v>
      </c>
      <c r="X1547">
        <v>0</v>
      </c>
      <c r="Y1547">
        <v>1</v>
      </c>
      <c r="Z1547">
        <v>0</v>
      </c>
      <c r="AA1547">
        <v>0</v>
      </c>
      <c r="AB1547">
        <v>1</v>
      </c>
      <c r="AC1547">
        <v>0</v>
      </c>
      <c r="AD1547">
        <v>1</v>
      </c>
      <c r="AE1547">
        <v>1</v>
      </c>
      <c r="AF1547">
        <v>1</v>
      </c>
      <c r="AG1547">
        <v>1</v>
      </c>
      <c r="AH1547">
        <v>1</v>
      </c>
      <c r="AI1547">
        <v>1</v>
      </c>
      <c r="AJ1547">
        <v>1</v>
      </c>
      <c r="AK1547">
        <v>1</v>
      </c>
      <c r="AL1547">
        <v>1</v>
      </c>
      <c r="AM1547">
        <v>0</v>
      </c>
    </row>
    <row r="1548" spans="1:39" x14ac:dyDescent="0.2">
      <c r="A1548" t="str">
        <f>"1544"</f>
        <v>1544</v>
      </c>
      <c r="B1548" t="str">
        <f t="shared" si="85"/>
        <v>1</v>
      </c>
      <c r="C1548" t="str">
        <f t="shared" si="86"/>
        <v>31</v>
      </c>
      <c r="D1548" t="str">
        <f>"50"</f>
        <v>50</v>
      </c>
      <c r="E1548" t="str">
        <f>"1-31-50"</f>
        <v>1-31-50</v>
      </c>
      <c r="F1548" t="s">
        <v>65</v>
      </c>
      <c r="G1548" t="s">
        <v>66</v>
      </c>
      <c r="H1548" t="s">
        <v>67</v>
      </c>
      <c r="S1548">
        <v>1</v>
      </c>
      <c r="T1548">
        <v>0</v>
      </c>
      <c r="U1548">
        <v>0</v>
      </c>
      <c r="V1548">
        <v>0</v>
      </c>
      <c r="W1548">
        <v>1</v>
      </c>
      <c r="X1548">
        <v>0</v>
      </c>
      <c r="Y1548">
        <v>1</v>
      </c>
      <c r="Z1548">
        <v>0</v>
      </c>
      <c r="AA1548">
        <v>1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</row>
    <row r="1549" spans="1:39" x14ac:dyDescent="0.2">
      <c r="A1549" t="str">
        <f>"1545"</f>
        <v>1545</v>
      </c>
      <c r="B1549" t="str">
        <f t="shared" si="85"/>
        <v>1</v>
      </c>
      <c r="C1549" t="str">
        <f t="shared" si="86"/>
        <v>31</v>
      </c>
      <c r="D1549" t="str">
        <f>"28"</f>
        <v>28</v>
      </c>
      <c r="E1549" t="str">
        <f>"1-31-28"</f>
        <v>1-31-28</v>
      </c>
      <c r="F1549" t="s">
        <v>65</v>
      </c>
      <c r="G1549" t="s">
        <v>66</v>
      </c>
      <c r="H1549" t="s">
        <v>67</v>
      </c>
      <c r="S1549">
        <v>0</v>
      </c>
      <c r="T1549">
        <v>1</v>
      </c>
      <c r="U1549">
        <v>0</v>
      </c>
      <c r="V1549">
        <v>0</v>
      </c>
      <c r="W1549">
        <v>1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</row>
    <row r="1550" spans="1:39" x14ac:dyDescent="0.2">
      <c r="A1550" t="str">
        <f>"1546"</f>
        <v>1546</v>
      </c>
      <c r="B1550" t="str">
        <f t="shared" si="85"/>
        <v>1</v>
      </c>
      <c r="C1550" t="str">
        <f t="shared" si="86"/>
        <v>31</v>
      </c>
      <c r="D1550" t="str">
        <f>"13"</f>
        <v>13</v>
      </c>
      <c r="E1550" t="str">
        <f>"1-31-13"</f>
        <v>1-31-13</v>
      </c>
      <c r="F1550" t="s">
        <v>65</v>
      </c>
      <c r="G1550" t="s">
        <v>66</v>
      </c>
      <c r="H1550" t="s">
        <v>67</v>
      </c>
      <c r="S1550">
        <v>1</v>
      </c>
      <c r="T1550">
        <v>0</v>
      </c>
      <c r="U1550">
        <v>0</v>
      </c>
      <c r="V1550">
        <v>0</v>
      </c>
      <c r="W1550">
        <v>1</v>
      </c>
      <c r="X1550">
        <v>0</v>
      </c>
      <c r="Y1550">
        <v>0</v>
      </c>
      <c r="Z1550">
        <v>1</v>
      </c>
      <c r="AA1550">
        <v>1</v>
      </c>
      <c r="AB1550">
        <v>0</v>
      </c>
      <c r="AC1550">
        <v>0</v>
      </c>
      <c r="AD1550">
        <v>1</v>
      </c>
      <c r="AE1550">
        <v>1</v>
      </c>
      <c r="AF1550">
        <v>1</v>
      </c>
      <c r="AG1550">
        <v>1</v>
      </c>
      <c r="AH1550">
        <v>1</v>
      </c>
      <c r="AI1550">
        <v>1</v>
      </c>
      <c r="AJ1550">
        <v>1</v>
      </c>
      <c r="AK1550">
        <v>1</v>
      </c>
      <c r="AL1550">
        <v>1</v>
      </c>
      <c r="AM1550">
        <v>1</v>
      </c>
    </row>
    <row r="1551" spans="1:39" x14ac:dyDescent="0.2">
      <c r="A1551" t="str">
        <f>"1547"</f>
        <v>1547</v>
      </c>
      <c r="B1551" t="str">
        <f t="shared" si="85"/>
        <v>1</v>
      </c>
      <c r="C1551" t="str">
        <f t="shared" si="86"/>
        <v>31</v>
      </c>
      <c r="D1551" t="str">
        <f>"29"</f>
        <v>29</v>
      </c>
      <c r="E1551" t="str">
        <f>"1-31-29"</f>
        <v>1-31-29</v>
      </c>
      <c r="F1551" t="s">
        <v>65</v>
      </c>
      <c r="G1551" t="s">
        <v>66</v>
      </c>
      <c r="H1551" t="s">
        <v>67</v>
      </c>
      <c r="S1551">
        <v>1</v>
      </c>
      <c r="T1551">
        <v>0</v>
      </c>
      <c r="U1551">
        <v>0</v>
      </c>
      <c r="V1551">
        <v>0</v>
      </c>
      <c r="W1551">
        <v>1</v>
      </c>
      <c r="X1551">
        <v>0</v>
      </c>
      <c r="Y1551">
        <v>0</v>
      </c>
      <c r="Z1551">
        <v>1</v>
      </c>
      <c r="AA1551">
        <v>1</v>
      </c>
      <c r="AB1551">
        <v>0</v>
      </c>
      <c r="AC1551">
        <v>0</v>
      </c>
      <c r="AD1551">
        <v>1</v>
      </c>
      <c r="AE1551">
        <v>1</v>
      </c>
      <c r="AF1551">
        <v>1</v>
      </c>
      <c r="AG1551">
        <v>1</v>
      </c>
      <c r="AH1551">
        <v>1</v>
      </c>
      <c r="AI1551">
        <v>1</v>
      </c>
      <c r="AJ1551">
        <v>1</v>
      </c>
      <c r="AK1551">
        <v>1</v>
      </c>
      <c r="AL1551">
        <v>1</v>
      </c>
      <c r="AM1551">
        <v>1</v>
      </c>
    </row>
    <row r="1552" spans="1:39" x14ac:dyDescent="0.2">
      <c r="A1552" t="str">
        <f>"1548"</f>
        <v>1548</v>
      </c>
      <c r="B1552" t="str">
        <f t="shared" si="85"/>
        <v>1</v>
      </c>
      <c r="C1552" t="str">
        <f t="shared" si="86"/>
        <v>31</v>
      </c>
      <c r="D1552" t="str">
        <f>"14"</f>
        <v>14</v>
      </c>
      <c r="E1552" t="str">
        <f>"1-31-14"</f>
        <v>1-31-14</v>
      </c>
      <c r="F1552" t="s">
        <v>65</v>
      </c>
      <c r="G1552" t="s">
        <v>66</v>
      </c>
      <c r="H1552" t="s">
        <v>67</v>
      </c>
      <c r="S1552">
        <v>1</v>
      </c>
      <c r="T1552">
        <v>0</v>
      </c>
      <c r="U1552">
        <v>0</v>
      </c>
      <c r="V1552">
        <v>0</v>
      </c>
      <c r="W1552">
        <v>1</v>
      </c>
      <c r="X1552">
        <v>0</v>
      </c>
      <c r="Y1552">
        <v>0</v>
      </c>
      <c r="Z1552">
        <v>1</v>
      </c>
      <c r="AA1552">
        <v>1</v>
      </c>
      <c r="AB1552">
        <v>0</v>
      </c>
      <c r="AC1552">
        <v>0</v>
      </c>
      <c r="AD1552">
        <v>1</v>
      </c>
      <c r="AE1552">
        <v>1</v>
      </c>
      <c r="AF1552">
        <v>1</v>
      </c>
      <c r="AG1552">
        <v>1</v>
      </c>
      <c r="AH1552">
        <v>1</v>
      </c>
      <c r="AI1552">
        <v>1</v>
      </c>
      <c r="AJ1552">
        <v>1</v>
      </c>
      <c r="AK1552">
        <v>1</v>
      </c>
      <c r="AL1552">
        <v>1</v>
      </c>
      <c r="AM1552">
        <v>1</v>
      </c>
    </row>
    <row r="1553" spans="1:39" x14ac:dyDescent="0.2">
      <c r="A1553" t="str">
        <f>"1549"</f>
        <v>1549</v>
      </c>
      <c r="B1553" t="str">
        <f t="shared" si="85"/>
        <v>1</v>
      </c>
      <c r="C1553" t="str">
        <f t="shared" si="86"/>
        <v>31</v>
      </c>
      <c r="D1553" t="str">
        <f>"30"</f>
        <v>30</v>
      </c>
      <c r="E1553" t="str">
        <f>"1-31-30"</f>
        <v>1-31-30</v>
      </c>
      <c r="F1553" t="s">
        <v>65</v>
      </c>
      <c r="G1553" t="s">
        <v>66</v>
      </c>
      <c r="H1553" t="s">
        <v>67</v>
      </c>
      <c r="S1553">
        <v>1</v>
      </c>
      <c r="T1553">
        <v>0</v>
      </c>
      <c r="U1553">
        <v>0</v>
      </c>
      <c r="V1553">
        <v>0</v>
      </c>
      <c r="W1553">
        <v>0</v>
      </c>
      <c r="X1553">
        <v>1</v>
      </c>
      <c r="Y1553">
        <v>0</v>
      </c>
      <c r="Z1553">
        <v>1</v>
      </c>
      <c r="AA1553">
        <v>0</v>
      </c>
      <c r="AB1553">
        <v>1</v>
      </c>
      <c r="AC1553">
        <v>0</v>
      </c>
      <c r="AD1553">
        <v>1</v>
      </c>
      <c r="AE1553">
        <v>1</v>
      </c>
      <c r="AF1553">
        <v>1</v>
      </c>
      <c r="AG1553">
        <v>1</v>
      </c>
      <c r="AH1553">
        <v>1</v>
      </c>
      <c r="AI1553">
        <v>1</v>
      </c>
      <c r="AJ1553">
        <v>1</v>
      </c>
      <c r="AK1553">
        <v>1</v>
      </c>
      <c r="AL1553">
        <v>1</v>
      </c>
      <c r="AM1553">
        <v>1</v>
      </c>
    </row>
    <row r="1554" spans="1:39" x14ac:dyDescent="0.2">
      <c r="A1554" t="str">
        <f>"1550"</f>
        <v>1550</v>
      </c>
      <c r="B1554" t="str">
        <f t="shared" si="85"/>
        <v>1</v>
      </c>
      <c r="C1554" t="str">
        <f t="shared" si="86"/>
        <v>31</v>
      </c>
      <c r="D1554" t="str">
        <f>"7"</f>
        <v>7</v>
      </c>
      <c r="E1554" t="str">
        <f>"1-31-7"</f>
        <v>1-31-7</v>
      </c>
      <c r="F1554" t="s">
        <v>65</v>
      </c>
      <c r="G1554" t="s">
        <v>66</v>
      </c>
      <c r="H1554" t="s">
        <v>67</v>
      </c>
      <c r="S1554">
        <v>1</v>
      </c>
      <c r="T1554">
        <v>0</v>
      </c>
      <c r="U1554">
        <v>0</v>
      </c>
      <c r="V1554">
        <v>0</v>
      </c>
      <c r="W1554">
        <v>0</v>
      </c>
      <c r="X1554">
        <v>1</v>
      </c>
      <c r="Y1554">
        <v>1</v>
      </c>
      <c r="Z1554">
        <v>0</v>
      </c>
      <c r="AA1554">
        <v>0</v>
      </c>
      <c r="AB1554">
        <v>0</v>
      </c>
      <c r="AC1554">
        <v>1</v>
      </c>
      <c r="AD1554">
        <v>1</v>
      </c>
      <c r="AE1554">
        <v>1</v>
      </c>
      <c r="AF1554">
        <v>1</v>
      </c>
      <c r="AG1554">
        <v>1</v>
      </c>
      <c r="AH1554">
        <v>1</v>
      </c>
      <c r="AI1554">
        <v>1</v>
      </c>
      <c r="AJ1554">
        <v>1</v>
      </c>
      <c r="AK1554">
        <v>1</v>
      </c>
      <c r="AL1554">
        <v>1</v>
      </c>
      <c r="AM1554">
        <v>1</v>
      </c>
    </row>
    <row r="1555" spans="1:39" x14ac:dyDescent="0.2">
      <c r="A1555" t="str">
        <f>"1551"</f>
        <v>1551</v>
      </c>
      <c r="B1555" t="str">
        <f t="shared" si="85"/>
        <v>1</v>
      </c>
      <c r="C1555" t="str">
        <f t="shared" ref="C1555:C1586" si="87">"32"</f>
        <v>32</v>
      </c>
      <c r="D1555" t="str">
        <f>"38"</f>
        <v>38</v>
      </c>
      <c r="E1555" t="str">
        <f>"1-32-38"</f>
        <v>1-32-38</v>
      </c>
      <c r="F1555" t="s">
        <v>65</v>
      </c>
      <c r="G1555" t="s">
        <v>66</v>
      </c>
      <c r="H1555" t="s">
        <v>67</v>
      </c>
      <c r="S1555">
        <v>1</v>
      </c>
      <c r="T1555">
        <v>0</v>
      </c>
      <c r="U1555">
        <v>0</v>
      </c>
      <c r="V1555">
        <v>0</v>
      </c>
      <c r="W1555">
        <v>1</v>
      </c>
      <c r="X1555">
        <v>0</v>
      </c>
      <c r="Y1555">
        <v>1</v>
      </c>
      <c r="Z1555">
        <v>0</v>
      </c>
      <c r="AA1555">
        <v>0</v>
      </c>
      <c r="AB1555">
        <v>1</v>
      </c>
      <c r="AC1555">
        <v>0</v>
      </c>
      <c r="AD1555">
        <v>1</v>
      </c>
      <c r="AE1555">
        <v>1</v>
      </c>
      <c r="AF1555">
        <v>1</v>
      </c>
      <c r="AG1555">
        <v>1</v>
      </c>
      <c r="AH1555">
        <v>1</v>
      </c>
      <c r="AI1555">
        <v>1</v>
      </c>
      <c r="AJ1555">
        <v>1</v>
      </c>
      <c r="AK1555">
        <v>1</v>
      </c>
      <c r="AL1555">
        <v>1</v>
      </c>
      <c r="AM1555">
        <v>1</v>
      </c>
    </row>
    <row r="1556" spans="1:39" x14ac:dyDescent="0.2">
      <c r="A1556" t="str">
        <f>"1552"</f>
        <v>1552</v>
      </c>
      <c r="B1556" t="str">
        <f t="shared" si="85"/>
        <v>1</v>
      </c>
      <c r="C1556" t="str">
        <f t="shared" si="87"/>
        <v>32</v>
      </c>
      <c r="D1556" t="str">
        <f>"37"</f>
        <v>37</v>
      </c>
      <c r="E1556" t="str">
        <f>"1-32-37"</f>
        <v>1-32-37</v>
      </c>
      <c r="F1556" t="s">
        <v>65</v>
      </c>
      <c r="G1556" t="s">
        <v>66</v>
      </c>
      <c r="H1556" t="s">
        <v>67</v>
      </c>
      <c r="S1556">
        <v>0</v>
      </c>
      <c r="T1556">
        <v>1</v>
      </c>
      <c r="U1556">
        <v>0</v>
      </c>
      <c r="V1556">
        <v>0</v>
      </c>
      <c r="W1556">
        <v>1</v>
      </c>
      <c r="X1556">
        <v>0</v>
      </c>
      <c r="Y1556">
        <v>0</v>
      </c>
      <c r="Z1556">
        <v>1</v>
      </c>
      <c r="AA1556">
        <v>0</v>
      </c>
      <c r="AB1556">
        <v>0</v>
      </c>
      <c r="AC1556">
        <v>1</v>
      </c>
      <c r="AD1556">
        <v>1</v>
      </c>
      <c r="AE1556">
        <v>1</v>
      </c>
      <c r="AF1556">
        <v>1</v>
      </c>
      <c r="AG1556">
        <v>1</v>
      </c>
      <c r="AH1556">
        <v>1</v>
      </c>
      <c r="AI1556">
        <v>1</v>
      </c>
      <c r="AJ1556">
        <v>1</v>
      </c>
      <c r="AK1556">
        <v>1</v>
      </c>
      <c r="AL1556">
        <v>1</v>
      </c>
      <c r="AM1556">
        <v>1</v>
      </c>
    </row>
    <row r="1557" spans="1:39" x14ac:dyDescent="0.2">
      <c r="A1557" t="str">
        <f>"1553"</f>
        <v>1553</v>
      </c>
      <c r="B1557" t="str">
        <f t="shared" si="85"/>
        <v>1</v>
      </c>
      <c r="C1557" t="str">
        <f t="shared" si="87"/>
        <v>32</v>
      </c>
      <c r="D1557" t="str">
        <f>"24"</f>
        <v>24</v>
      </c>
      <c r="E1557" t="str">
        <f>"1-32-24"</f>
        <v>1-32-24</v>
      </c>
      <c r="F1557" t="s">
        <v>65</v>
      </c>
      <c r="G1557" t="s">
        <v>66</v>
      </c>
      <c r="H1557" t="s">
        <v>67</v>
      </c>
      <c r="S1557">
        <v>1</v>
      </c>
      <c r="T1557">
        <v>0</v>
      </c>
      <c r="U1557">
        <v>0</v>
      </c>
      <c r="V1557">
        <v>0</v>
      </c>
      <c r="W1557">
        <v>1</v>
      </c>
      <c r="X1557">
        <v>0</v>
      </c>
      <c r="Y1557">
        <v>1</v>
      </c>
      <c r="Z1557">
        <v>0</v>
      </c>
      <c r="AA1557">
        <v>1</v>
      </c>
      <c r="AB1557">
        <v>0</v>
      </c>
      <c r="AC1557">
        <v>0</v>
      </c>
      <c r="AD1557">
        <v>0</v>
      </c>
      <c r="AE1557">
        <v>1</v>
      </c>
      <c r="AF1557">
        <v>0</v>
      </c>
      <c r="AG1557">
        <v>0</v>
      </c>
      <c r="AH1557">
        <v>1</v>
      </c>
      <c r="AI1557">
        <v>1</v>
      </c>
      <c r="AJ1557">
        <v>1</v>
      </c>
      <c r="AK1557">
        <v>1</v>
      </c>
      <c r="AL1557">
        <v>1</v>
      </c>
      <c r="AM1557">
        <v>0</v>
      </c>
    </row>
    <row r="1558" spans="1:39" x14ac:dyDescent="0.2">
      <c r="A1558" t="str">
        <f>"1554"</f>
        <v>1554</v>
      </c>
      <c r="B1558" t="str">
        <f t="shared" si="85"/>
        <v>1</v>
      </c>
      <c r="C1558" t="str">
        <f t="shared" si="87"/>
        <v>32</v>
      </c>
      <c r="D1558" t="str">
        <f>"23"</f>
        <v>23</v>
      </c>
      <c r="E1558" t="str">
        <f>"1-32-23"</f>
        <v>1-32-23</v>
      </c>
      <c r="F1558" t="s">
        <v>65</v>
      </c>
      <c r="G1558" t="s">
        <v>66</v>
      </c>
      <c r="H1558" t="s">
        <v>67</v>
      </c>
      <c r="S1558">
        <v>0</v>
      </c>
      <c r="T1558">
        <v>1</v>
      </c>
      <c r="U1558">
        <v>0</v>
      </c>
      <c r="V1558">
        <v>0</v>
      </c>
      <c r="W1558">
        <v>1</v>
      </c>
      <c r="X1558">
        <v>0</v>
      </c>
      <c r="Y1558">
        <v>1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1</v>
      </c>
      <c r="AF1558">
        <v>1</v>
      </c>
      <c r="AG1558">
        <v>1</v>
      </c>
      <c r="AH1558">
        <v>1</v>
      </c>
      <c r="AI1558">
        <v>1</v>
      </c>
      <c r="AJ1558">
        <v>1</v>
      </c>
      <c r="AK1558">
        <v>1</v>
      </c>
      <c r="AL1558">
        <v>1</v>
      </c>
      <c r="AM1558">
        <v>1</v>
      </c>
    </row>
    <row r="1559" spans="1:39" x14ac:dyDescent="0.2">
      <c r="A1559" t="str">
        <f>"1555"</f>
        <v>1555</v>
      </c>
      <c r="B1559" t="str">
        <f t="shared" si="85"/>
        <v>1</v>
      </c>
      <c r="C1559" t="str">
        <f t="shared" si="87"/>
        <v>32</v>
      </c>
      <c r="D1559" t="str">
        <f>"18"</f>
        <v>18</v>
      </c>
      <c r="E1559" t="str">
        <f>"1-32-18"</f>
        <v>1-32-18</v>
      </c>
      <c r="F1559" t="s">
        <v>65</v>
      </c>
      <c r="G1559" t="s">
        <v>66</v>
      </c>
      <c r="H1559" t="s">
        <v>67</v>
      </c>
      <c r="S1559">
        <v>1</v>
      </c>
      <c r="T1559">
        <v>0</v>
      </c>
      <c r="U1559">
        <v>0</v>
      </c>
      <c r="V1559">
        <v>0</v>
      </c>
      <c r="W1559">
        <v>1</v>
      </c>
      <c r="X1559">
        <v>0</v>
      </c>
      <c r="Y1559">
        <v>1</v>
      </c>
      <c r="Z1559">
        <v>0</v>
      </c>
      <c r="AA1559">
        <v>0</v>
      </c>
      <c r="AB1559">
        <v>0</v>
      </c>
      <c r="AC1559">
        <v>1</v>
      </c>
      <c r="AD1559">
        <v>1</v>
      </c>
      <c r="AE1559">
        <v>1</v>
      </c>
      <c r="AF1559">
        <v>1</v>
      </c>
      <c r="AG1559">
        <v>1</v>
      </c>
      <c r="AH1559">
        <v>1</v>
      </c>
      <c r="AI1559">
        <v>1</v>
      </c>
      <c r="AJ1559">
        <v>1</v>
      </c>
      <c r="AK1559">
        <v>1</v>
      </c>
      <c r="AL1559">
        <v>1</v>
      </c>
      <c r="AM1559">
        <v>1</v>
      </c>
    </row>
    <row r="1560" spans="1:39" x14ac:dyDescent="0.2">
      <c r="A1560" t="str">
        <f>"1556"</f>
        <v>1556</v>
      </c>
      <c r="B1560" t="str">
        <f t="shared" si="85"/>
        <v>1</v>
      </c>
      <c r="C1560" t="str">
        <f t="shared" si="87"/>
        <v>32</v>
      </c>
      <c r="D1560" t="str">
        <f>"15"</f>
        <v>15</v>
      </c>
      <c r="E1560" t="str">
        <f>"1-32-15"</f>
        <v>1-32-15</v>
      </c>
      <c r="F1560" t="s">
        <v>65</v>
      </c>
      <c r="G1560" t="s">
        <v>66</v>
      </c>
      <c r="H1560" t="s">
        <v>67</v>
      </c>
      <c r="S1560">
        <v>1</v>
      </c>
      <c r="T1560">
        <v>0</v>
      </c>
      <c r="U1560">
        <v>0</v>
      </c>
      <c r="V1560">
        <v>0</v>
      </c>
      <c r="W1560">
        <v>1</v>
      </c>
      <c r="X1560">
        <v>0</v>
      </c>
      <c r="Y1560">
        <v>0</v>
      </c>
      <c r="Z1560">
        <v>1</v>
      </c>
      <c r="AA1560">
        <v>1</v>
      </c>
      <c r="AB1560">
        <v>0</v>
      </c>
      <c r="AC1560">
        <v>0</v>
      </c>
      <c r="AD1560">
        <v>1</v>
      </c>
      <c r="AE1560">
        <v>1</v>
      </c>
      <c r="AF1560">
        <v>1</v>
      </c>
      <c r="AG1560">
        <v>1</v>
      </c>
      <c r="AH1560">
        <v>1</v>
      </c>
      <c r="AI1560">
        <v>1</v>
      </c>
      <c r="AJ1560">
        <v>1</v>
      </c>
      <c r="AK1560">
        <v>1</v>
      </c>
      <c r="AL1560">
        <v>1</v>
      </c>
      <c r="AM1560">
        <v>1</v>
      </c>
    </row>
    <row r="1561" spans="1:39" x14ac:dyDescent="0.2">
      <c r="A1561" t="str">
        <f>"1557"</f>
        <v>1557</v>
      </c>
      <c r="B1561" t="str">
        <f t="shared" si="85"/>
        <v>1</v>
      </c>
      <c r="C1561" t="str">
        <f t="shared" si="87"/>
        <v>32</v>
      </c>
      <c r="D1561" t="str">
        <f>"2"</f>
        <v>2</v>
      </c>
      <c r="E1561" t="str">
        <f>"1-32-2"</f>
        <v>1-32-2</v>
      </c>
      <c r="F1561" t="s">
        <v>65</v>
      </c>
      <c r="G1561" t="s">
        <v>66</v>
      </c>
      <c r="H1561" t="s">
        <v>67</v>
      </c>
      <c r="S1561">
        <v>1</v>
      </c>
      <c r="T1561">
        <v>0</v>
      </c>
      <c r="U1561">
        <v>0</v>
      </c>
      <c r="V1561">
        <v>0</v>
      </c>
      <c r="W1561">
        <v>1</v>
      </c>
      <c r="X1561">
        <v>0</v>
      </c>
      <c r="Y1561">
        <v>1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</row>
    <row r="1562" spans="1:39" x14ac:dyDescent="0.2">
      <c r="A1562" t="str">
        <f>"1558"</f>
        <v>1558</v>
      </c>
      <c r="B1562" t="str">
        <f t="shared" si="85"/>
        <v>1</v>
      </c>
      <c r="C1562" t="str">
        <f t="shared" si="87"/>
        <v>32</v>
      </c>
      <c r="D1562" t="str">
        <f>"36"</f>
        <v>36</v>
      </c>
      <c r="E1562" t="str">
        <f>"1-32-36"</f>
        <v>1-32-36</v>
      </c>
      <c r="F1562" t="s">
        <v>65</v>
      </c>
      <c r="G1562" t="s">
        <v>66</v>
      </c>
      <c r="H1562" t="s">
        <v>67</v>
      </c>
      <c r="S1562">
        <v>0</v>
      </c>
      <c r="T1562">
        <v>1</v>
      </c>
      <c r="U1562">
        <v>0</v>
      </c>
      <c r="V1562">
        <v>0</v>
      </c>
      <c r="W1562">
        <v>0</v>
      </c>
      <c r="X1562">
        <v>1</v>
      </c>
      <c r="Y1562">
        <v>0</v>
      </c>
      <c r="Z1562">
        <v>1</v>
      </c>
      <c r="AA1562">
        <v>0</v>
      </c>
      <c r="AB1562">
        <v>0</v>
      </c>
      <c r="AC1562">
        <v>1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</row>
    <row r="1563" spans="1:39" x14ac:dyDescent="0.2">
      <c r="A1563" t="str">
        <f>"1559"</f>
        <v>1559</v>
      </c>
      <c r="B1563" t="str">
        <f t="shared" si="85"/>
        <v>1</v>
      </c>
      <c r="C1563" t="str">
        <f t="shared" si="87"/>
        <v>32</v>
      </c>
      <c r="D1563" t="str">
        <f>"35"</f>
        <v>35</v>
      </c>
      <c r="E1563" t="str">
        <f>"1-32-35"</f>
        <v>1-32-35</v>
      </c>
      <c r="F1563" t="s">
        <v>65</v>
      </c>
      <c r="G1563" t="s">
        <v>66</v>
      </c>
      <c r="H1563" t="s">
        <v>67</v>
      </c>
      <c r="S1563">
        <v>1</v>
      </c>
      <c r="T1563">
        <v>0</v>
      </c>
      <c r="U1563">
        <v>0</v>
      </c>
      <c r="V1563">
        <v>0</v>
      </c>
      <c r="W1563">
        <v>1</v>
      </c>
      <c r="X1563">
        <v>0</v>
      </c>
      <c r="Y1563">
        <v>1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1</v>
      </c>
      <c r="AF1563">
        <v>1</v>
      </c>
      <c r="AG1563">
        <v>1</v>
      </c>
      <c r="AH1563">
        <v>1</v>
      </c>
      <c r="AI1563">
        <v>1</v>
      </c>
      <c r="AJ1563">
        <v>1</v>
      </c>
      <c r="AK1563">
        <v>1</v>
      </c>
      <c r="AL1563">
        <v>1</v>
      </c>
      <c r="AM1563">
        <v>1</v>
      </c>
    </row>
    <row r="1564" spans="1:39" x14ac:dyDescent="0.2">
      <c r="A1564" t="str">
        <f>"1560"</f>
        <v>1560</v>
      </c>
      <c r="B1564" t="str">
        <f t="shared" si="85"/>
        <v>1</v>
      </c>
      <c r="C1564" t="str">
        <f t="shared" si="87"/>
        <v>32</v>
      </c>
      <c r="D1564" t="str">
        <f>"30"</f>
        <v>30</v>
      </c>
      <c r="E1564" t="str">
        <f>"1-32-30"</f>
        <v>1-32-30</v>
      </c>
      <c r="F1564" t="s">
        <v>65</v>
      </c>
      <c r="G1564" t="s">
        <v>66</v>
      </c>
      <c r="H1564" t="s">
        <v>67</v>
      </c>
      <c r="S1564">
        <v>1</v>
      </c>
      <c r="T1564">
        <v>0</v>
      </c>
      <c r="U1564">
        <v>0</v>
      </c>
      <c r="V1564">
        <v>0</v>
      </c>
      <c r="W1564">
        <v>1</v>
      </c>
      <c r="X1564">
        <v>0</v>
      </c>
      <c r="Y1564">
        <v>1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1</v>
      </c>
      <c r="AF1564">
        <v>1</v>
      </c>
      <c r="AG1564">
        <v>1</v>
      </c>
      <c r="AH1564">
        <v>1</v>
      </c>
      <c r="AI1564">
        <v>1</v>
      </c>
      <c r="AJ1564">
        <v>1</v>
      </c>
      <c r="AK1564">
        <v>1</v>
      </c>
      <c r="AL1564">
        <v>1</v>
      </c>
      <c r="AM1564">
        <v>1</v>
      </c>
    </row>
    <row r="1565" spans="1:39" x14ac:dyDescent="0.2">
      <c r="A1565" t="str">
        <f>"1561"</f>
        <v>1561</v>
      </c>
      <c r="B1565" t="str">
        <f t="shared" si="85"/>
        <v>1</v>
      </c>
      <c r="C1565" t="str">
        <f t="shared" si="87"/>
        <v>32</v>
      </c>
      <c r="D1565" t="str">
        <f>"16"</f>
        <v>16</v>
      </c>
      <c r="E1565" t="str">
        <f>"1-32-16"</f>
        <v>1-32-16</v>
      </c>
      <c r="F1565" t="s">
        <v>65</v>
      </c>
      <c r="G1565" t="s">
        <v>66</v>
      </c>
      <c r="H1565" t="s">
        <v>67</v>
      </c>
      <c r="S1565">
        <v>1</v>
      </c>
      <c r="T1565">
        <v>0</v>
      </c>
      <c r="U1565">
        <v>0</v>
      </c>
      <c r="V1565">
        <v>0</v>
      </c>
      <c r="W1565">
        <v>1</v>
      </c>
      <c r="X1565">
        <v>0</v>
      </c>
      <c r="Y1565">
        <v>0</v>
      </c>
      <c r="Z1565">
        <v>1</v>
      </c>
      <c r="AA1565">
        <v>1</v>
      </c>
      <c r="AB1565">
        <v>0</v>
      </c>
      <c r="AC1565">
        <v>0</v>
      </c>
      <c r="AD1565">
        <v>1</v>
      </c>
      <c r="AE1565">
        <v>1</v>
      </c>
      <c r="AF1565">
        <v>1</v>
      </c>
      <c r="AG1565">
        <v>1</v>
      </c>
      <c r="AH1565">
        <v>1</v>
      </c>
      <c r="AI1565">
        <v>1</v>
      </c>
      <c r="AJ1565">
        <v>1</v>
      </c>
      <c r="AK1565">
        <v>1</v>
      </c>
      <c r="AL1565">
        <v>1</v>
      </c>
      <c r="AM1565">
        <v>1</v>
      </c>
    </row>
    <row r="1566" spans="1:39" x14ac:dyDescent="0.2">
      <c r="A1566" t="str">
        <f>"1562"</f>
        <v>1562</v>
      </c>
      <c r="B1566" t="str">
        <f t="shared" si="85"/>
        <v>1</v>
      </c>
      <c r="C1566" t="str">
        <f t="shared" si="87"/>
        <v>32</v>
      </c>
      <c r="D1566" t="str">
        <f>"6"</f>
        <v>6</v>
      </c>
      <c r="E1566" t="str">
        <f>"1-32-6"</f>
        <v>1-32-6</v>
      </c>
      <c r="F1566" t="s">
        <v>65</v>
      </c>
      <c r="G1566" t="s">
        <v>66</v>
      </c>
      <c r="H1566" t="s">
        <v>67</v>
      </c>
      <c r="S1566">
        <v>1</v>
      </c>
      <c r="T1566">
        <v>0</v>
      </c>
      <c r="U1566">
        <v>0</v>
      </c>
      <c r="V1566">
        <v>0</v>
      </c>
      <c r="W1566">
        <v>1</v>
      </c>
      <c r="X1566">
        <v>0</v>
      </c>
      <c r="Y1566">
        <v>1</v>
      </c>
      <c r="Z1566">
        <v>0</v>
      </c>
      <c r="AA1566">
        <v>0</v>
      </c>
      <c r="AB1566">
        <v>1</v>
      </c>
      <c r="AC1566">
        <v>0</v>
      </c>
      <c r="AD1566">
        <v>1</v>
      </c>
      <c r="AE1566">
        <v>1</v>
      </c>
      <c r="AF1566">
        <v>1</v>
      </c>
      <c r="AG1566">
        <v>1</v>
      </c>
      <c r="AH1566">
        <v>1</v>
      </c>
      <c r="AI1566">
        <v>1</v>
      </c>
      <c r="AJ1566">
        <v>1</v>
      </c>
      <c r="AK1566">
        <v>1</v>
      </c>
      <c r="AL1566">
        <v>1</v>
      </c>
      <c r="AM1566">
        <v>1</v>
      </c>
    </row>
    <row r="1567" spans="1:39" x14ac:dyDescent="0.2">
      <c r="A1567" t="str">
        <f>"1563"</f>
        <v>1563</v>
      </c>
      <c r="B1567" t="str">
        <f t="shared" si="85"/>
        <v>1</v>
      </c>
      <c r="C1567" t="str">
        <f t="shared" si="87"/>
        <v>32</v>
      </c>
      <c r="D1567" t="str">
        <f>"41"</f>
        <v>41</v>
      </c>
      <c r="E1567" t="str">
        <f>"1-32-41"</f>
        <v>1-32-41</v>
      </c>
      <c r="F1567" t="s">
        <v>65</v>
      </c>
      <c r="G1567" t="s">
        <v>66</v>
      </c>
      <c r="H1567" t="s">
        <v>67</v>
      </c>
      <c r="S1567">
        <v>1</v>
      </c>
      <c r="T1567">
        <v>0</v>
      </c>
      <c r="U1567">
        <v>0</v>
      </c>
      <c r="V1567">
        <v>0</v>
      </c>
      <c r="W1567">
        <v>1</v>
      </c>
      <c r="X1567">
        <v>0</v>
      </c>
      <c r="Y1567">
        <v>1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1</v>
      </c>
      <c r="AF1567">
        <v>1</v>
      </c>
      <c r="AG1567">
        <v>1</v>
      </c>
      <c r="AH1567">
        <v>1</v>
      </c>
      <c r="AI1567">
        <v>1</v>
      </c>
      <c r="AJ1567">
        <v>1</v>
      </c>
      <c r="AK1567">
        <v>1</v>
      </c>
      <c r="AL1567">
        <v>1</v>
      </c>
      <c r="AM1567">
        <v>1</v>
      </c>
    </row>
    <row r="1568" spans="1:39" x14ac:dyDescent="0.2">
      <c r="A1568" t="str">
        <f>"1564"</f>
        <v>1564</v>
      </c>
      <c r="B1568" t="str">
        <f t="shared" si="85"/>
        <v>1</v>
      </c>
      <c r="C1568" t="str">
        <f t="shared" si="87"/>
        <v>32</v>
      </c>
      <c r="D1568" t="str">
        <f>"40"</f>
        <v>40</v>
      </c>
      <c r="E1568" t="str">
        <f>"1-32-40"</f>
        <v>1-32-40</v>
      </c>
      <c r="F1568" t="s">
        <v>65</v>
      </c>
      <c r="G1568" t="s">
        <v>66</v>
      </c>
      <c r="H1568" t="s">
        <v>67</v>
      </c>
      <c r="S1568">
        <v>1</v>
      </c>
      <c r="T1568">
        <v>0</v>
      </c>
      <c r="U1568">
        <v>0</v>
      </c>
      <c r="V1568">
        <v>0</v>
      </c>
      <c r="W1568">
        <v>1</v>
      </c>
      <c r="X1568">
        <v>0</v>
      </c>
      <c r="Y1568">
        <v>0</v>
      </c>
      <c r="Z1568">
        <v>1</v>
      </c>
      <c r="AA1568">
        <v>0</v>
      </c>
      <c r="AB1568">
        <v>1</v>
      </c>
      <c r="AC1568">
        <v>0</v>
      </c>
      <c r="AD1568">
        <v>1</v>
      </c>
      <c r="AE1568">
        <v>1</v>
      </c>
      <c r="AF1568">
        <v>1</v>
      </c>
      <c r="AG1568">
        <v>1</v>
      </c>
      <c r="AH1568">
        <v>1</v>
      </c>
      <c r="AI1568">
        <v>1</v>
      </c>
      <c r="AJ1568">
        <v>1</v>
      </c>
      <c r="AK1568">
        <v>1</v>
      </c>
      <c r="AL1568">
        <v>1</v>
      </c>
      <c r="AM1568">
        <v>1</v>
      </c>
    </row>
    <row r="1569" spans="1:39" x14ac:dyDescent="0.2">
      <c r="A1569" t="str">
        <f>"1565"</f>
        <v>1565</v>
      </c>
      <c r="B1569" t="str">
        <f t="shared" si="85"/>
        <v>1</v>
      </c>
      <c r="C1569" t="str">
        <f t="shared" si="87"/>
        <v>32</v>
      </c>
      <c r="D1569" t="str">
        <f>"33"</f>
        <v>33</v>
      </c>
      <c r="E1569" t="str">
        <f>"1-32-33"</f>
        <v>1-32-33</v>
      </c>
      <c r="F1569" t="s">
        <v>65</v>
      </c>
      <c r="G1569" t="s">
        <v>66</v>
      </c>
      <c r="H1569" t="s">
        <v>67</v>
      </c>
      <c r="S1569">
        <v>1</v>
      </c>
      <c r="T1569">
        <v>0</v>
      </c>
      <c r="U1569">
        <v>0</v>
      </c>
      <c r="V1569">
        <v>0</v>
      </c>
      <c r="W1569">
        <v>1</v>
      </c>
      <c r="X1569">
        <v>0</v>
      </c>
      <c r="Y1569">
        <v>1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1</v>
      </c>
      <c r="AF1569">
        <v>1</v>
      </c>
      <c r="AG1569">
        <v>1</v>
      </c>
      <c r="AH1569">
        <v>1</v>
      </c>
      <c r="AI1569">
        <v>1</v>
      </c>
      <c r="AJ1569">
        <v>1</v>
      </c>
      <c r="AK1569">
        <v>1</v>
      </c>
      <c r="AL1569">
        <v>1</v>
      </c>
      <c r="AM1569">
        <v>1</v>
      </c>
    </row>
    <row r="1570" spans="1:39" x14ac:dyDescent="0.2">
      <c r="A1570" t="str">
        <f>"1566"</f>
        <v>1566</v>
      </c>
      <c r="B1570" t="str">
        <f t="shared" si="85"/>
        <v>1</v>
      </c>
      <c r="C1570" t="str">
        <f t="shared" si="87"/>
        <v>32</v>
      </c>
      <c r="D1570" t="str">
        <f>"17"</f>
        <v>17</v>
      </c>
      <c r="E1570" t="str">
        <f>"1-32-17"</f>
        <v>1-32-17</v>
      </c>
      <c r="F1570" t="s">
        <v>65</v>
      </c>
      <c r="G1570" t="s">
        <v>66</v>
      </c>
      <c r="H1570" t="s">
        <v>67</v>
      </c>
      <c r="S1570">
        <v>1</v>
      </c>
      <c r="T1570">
        <v>0</v>
      </c>
      <c r="U1570">
        <v>0</v>
      </c>
      <c r="V1570">
        <v>0</v>
      </c>
      <c r="W1570">
        <v>1</v>
      </c>
      <c r="X1570">
        <v>0</v>
      </c>
      <c r="Y1570">
        <v>1</v>
      </c>
      <c r="Z1570">
        <v>0</v>
      </c>
      <c r="AA1570">
        <v>0</v>
      </c>
      <c r="AB1570">
        <v>0</v>
      </c>
      <c r="AC1570">
        <v>1</v>
      </c>
      <c r="AD1570">
        <v>1</v>
      </c>
      <c r="AE1570">
        <v>1</v>
      </c>
      <c r="AF1570">
        <v>1</v>
      </c>
      <c r="AG1570">
        <v>1</v>
      </c>
      <c r="AH1570">
        <v>1</v>
      </c>
      <c r="AI1570">
        <v>1</v>
      </c>
      <c r="AJ1570">
        <v>1</v>
      </c>
      <c r="AK1570">
        <v>1</v>
      </c>
      <c r="AL1570">
        <v>1</v>
      </c>
      <c r="AM1570">
        <v>1</v>
      </c>
    </row>
    <row r="1571" spans="1:39" x14ac:dyDescent="0.2">
      <c r="A1571" t="str">
        <f>"1567"</f>
        <v>1567</v>
      </c>
      <c r="B1571" t="str">
        <f t="shared" si="85"/>
        <v>1</v>
      </c>
      <c r="C1571" t="str">
        <f t="shared" si="87"/>
        <v>32</v>
      </c>
      <c r="D1571" t="str">
        <f>"1"</f>
        <v>1</v>
      </c>
      <c r="E1571" t="str">
        <f>"1-32-1"</f>
        <v>1-32-1</v>
      </c>
      <c r="F1571" t="s">
        <v>65</v>
      </c>
      <c r="G1571" t="s">
        <v>66</v>
      </c>
      <c r="H1571" t="s">
        <v>67</v>
      </c>
      <c r="S1571">
        <v>0</v>
      </c>
      <c r="T1571">
        <v>1</v>
      </c>
      <c r="U1571">
        <v>0</v>
      </c>
      <c r="V1571">
        <v>0</v>
      </c>
      <c r="W1571">
        <v>0</v>
      </c>
      <c r="X1571">
        <v>1</v>
      </c>
      <c r="Y1571">
        <v>1</v>
      </c>
      <c r="Z1571">
        <v>0</v>
      </c>
      <c r="AA1571">
        <v>0</v>
      </c>
      <c r="AB1571">
        <v>1</v>
      </c>
      <c r="AC1571">
        <v>0</v>
      </c>
      <c r="AD1571">
        <v>1</v>
      </c>
      <c r="AE1571">
        <v>1</v>
      </c>
      <c r="AF1571">
        <v>1</v>
      </c>
      <c r="AG1571">
        <v>1</v>
      </c>
      <c r="AH1571">
        <v>1</v>
      </c>
      <c r="AI1571">
        <v>1</v>
      </c>
      <c r="AJ1571">
        <v>1</v>
      </c>
      <c r="AK1571">
        <v>1</v>
      </c>
      <c r="AL1571">
        <v>1</v>
      </c>
      <c r="AM1571">
        <v>1</v>
      </c>
    </row>
    <row r="1572" spans="1:39" x14ac:dyDescent="0.2">
      <c r="A1572" t="str">
        <f>"1568"</f>
        <v>1568</v>
      </c>
      <c r="B1572" t="str">
        <f t="shared" si="85"/>
        <v>1</v>
      </c>
      <c r="C1572" t="str">
        <f t="shared" si="87"/>
        <v>32</v>
      </c>
      <c r="D1572" t="str">
        <f>"49"</f>
        <v>49</v>
      </c>
      <c r="E1572" t="str">
        <f>"1-32-49"</f>
        <v>1-32-49</v>
      </c>
      <c r="F1572" t="s">
        <v>65</v>
      </c>
      <c r="G1572" t="s">
        <v>66</v>
      </c>
      <c r="H1572" t="s">
        <v>67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1</v>
      </c>
      <c r="Y1572">
        <v>0</v>
      </c>
      <c r="Z1572">
        <v>1</v>
      </c>
      <c r="AA1572">
        <v>0</v>
      </c>
      <c r="AB1572">
        <v>0</v>
      </c>
      <c r="AC1572">
        <v>1</v>
      </c>
      <c r="AD1572">
        <v>1</v>
      </c>
      <c r="AE1572">
        <v>1</v>
      </c>
      <c r="AF1572">
        <v>1</v>
      </c>
      <c r="AG1572">
        <v>1</v>
      </c>
      <c r="AH1572">
        <v>1</v>
      </c>
      <c r="AI1572">
        <v>1</v>
      </c>
      <c r="AJ1572">
        <v>1</v>
      </c>
      <c r="AK1572">
        <v>1</v>
      </c>
      <c r="AL1572">
        <v>1</v>
      </c>
      <c r="AM1572">
        <v>1</v>
      </c>
    </row>
    <row r="1573" spans="1:39" x14ac:dyDescent="0.2">
      <c r="A1573" t="str">
        <f>"1569"</f>
        <v>1569</v>
      </c>
      <c r="B1573" t="str">
        <f t="shared" si="85"/>
        <v>1</v>
      </c>
      <c r="C1573" t="str">
        <f t="shared" si="87"/>
        <v>32</v>
      </c>
      <c r="D1573" t="str">
        <f>"48"</f>
        <v>48</v>
      </c>
      <c r="E1573" t="str">
        <f>"1-32-48"</f>
        <v>1-32-48</v>
      </c>
      <c r="F1573" t="s">
        <v>65</v>
      </c>
      <c r="G1573" t="s">
        <v>66</v>
      </c>
      <c r="H1573" t="s">
        <v>67</v>
      </c>
      <c r="S1573">
        <v>1</v>
      </c>
      <c r="T1573">
        <v>0</v>
      </c>
      <c r="U1573">
        <v>0</v>
      </c>
      <c r="V1573">
        <v>0</v>
      </c>
      <c r="W1573">
        <v>1</v>
      </c>
      <c r="X1573">
        <v>0</v>
      </c>
      <c r="Y1573">
        <v>1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1</v>
      </c>
      <c r="AF1573">
        <v>1</v>
      </c>
      <c r="AG1573">
        <v>1</v>
      </c>
      <c r="AH1573">
        <v>1</v>
      </c>
      <c r="AI1573">
        <v>1</v>
      </c>
      <c r="AJ1573">
        <v>1</v>
      </c>
      <c r="AK1573">
        <v>1</v>
      </c>
      <c r="AL1573">
        <v>1</v>
      </c>
      <c r="AM1573">
        <v>1</v>
      </c>
    </row>
    <row r="1574" spans="1:39" x14ac:dyDescent="0.2">
      <c r="A1574" t="str">
        <f>"1570"</f>
        <v>1570</v>
      </c>
      <c r="B1574" t="str">
        <f t="shared" si="85"/>
        <v>1</v>
      </c>
      <c r="C1574" t="str">
        <f t="shared" si="87"/>
        <v>32</v>
      </c>
      <c r="D1574" t="str">
        <f>"34"</f>
        <v>34</v>
      </c>
      <c r="E1574" t="str">
        <f>"1-32-34"</f>
        <v>1-32-34</v>
      </c>
      <c r="F1574" t="s">
        <v>65</v>
      </c>
      <c r="G1574" t="s">
        <v>66</v>
      </c>
      <c r="H1574" t="s">
        <v>67</v>
      </c>
      <c r="S1574">
        <v>0</v>
      </c>
      <c r="T1574">
        <v>1</v>
      </c>
      <c r="U1574">
        <v>0</v>
      </c>
      <c r="V1574">
        <v>0</v>
      </c>
      <c r="W1574">
        <v>1</v>
      </c>
      <c r="X1574">
        <v>0</v>
      </c>
      <c r="Y1574">
        <v>1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1</v>
      </c>
      <c r="AF1574">
        <v>1</v>
      </c>
      <c r="AG1574">
        <v>1</v>
      </c>
      <c r="AH1574">
        <v>1</v>
      </c>
      <c r="AI1574">
        <v>1</v>
      </c>
      <c r="AJ1574">
        <v>1</v>
      </c>
      <c r="AK1574">
        <v>1</v>
      </c>
      <c r="AL1574">
        <v>1</v>
      </c>
      <c r="AM1574">
        <v>1</v>
      </c>
    </row>
    <row r="1575" spans="1:39" x14ac:dyDescent="0.2">
      <c r="A1575" t="str">
        <f>"1571"</f>
        <v>1571</v>
      </c>
      <c r="B1575" t="str">
        <f t="shared" si="85"/>
        <v>1</v>
      </c>
      <c r="C1575" t="str">
        <f t="shared" si="87"/>
        <v>32</v>
      </c>
      <c r="D1575" t="str">
        <f>"19"</f>
        <v>19</v>
      </c>
      <c r="E1575" t="str">
        <f>"1-32-19"</f>
        <v>1-32-19</v>
      </c>
      <c r="F1575" t="s">
        <v>65</v>
      </c>
      <c r="G1575" t="s">
        <v>66</v>
      </c>
      <c r="H1575" t="s">
        <v>67</v>
      </c>
      <c r="S1575">
        <v>1</v>
      </c>
      <c r="T1575">
        <v>0</v>
      </c>
      <c r="U1575">
        <v>0</v>
      </c>
      <c r="V1575">
        <v>0</v>
      </c>
      <c r="W1575">
        <v>1</v>
      </c>
      <c r="X1575">
        <v>0</v>
      </c>
      <c r="Y1575">
        <v>1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1</v>
      </c>
      <c r="AF1575">
        <v>1</v>
      </c>
      <c r="AG1575">
        <v>1</v>
      </c>
      <c r="AH1575">
        <v>1</v>
      </c>
      <c r="AI1575">
        <v>1</v>
      </c>
      <c r="AJ1575">
        <v>1</v>
      </c>
      <c r="AK1575">
        <v>1</v>
      </c>
      <c r="AL1575">
        <v>1</v>
      </c>
      <c r="AM1575">
        <v>1</v>
      </c>
    </row>
    <row r="1576" spans="1:39" x14ac:dyDescent="0.2">
      <c r="A1576" t="str">
        <f>"1572"</f>
        <v>1572</v>
      </c>
      <c r="B1576" t="str">
        <f t="shared" si="85"/>
        <v>1</v>
      </c>
      <c r="C1576" t="str">
        <f t="shared" si="87"/>
        <v>32</v>
      </c>
      <c r="D1576" t="str">
        <f>"13"</f>
        <v>13</v>
      </c>
      <c r="E1576" t="str">
        <f>"1-32-13"</f>
        <v>1-32-13</v>
      </c>
      <c r="F1576" t="s">
        <v>65</v>
      </c>
      <c r="G1576" t="s">
        <v>66</v>
      </c>
      <c r="H1576" t="s">
        <v>67</v>
      </c>
      <c r="S1576">
        <v>0</v>
      </c>
      <c r="T1576">
        <v>1</v>
      </c>
      <c r="U1576">
        <v>0</v>
      </c>
      <c r="V1576">
        <v>0</v>
      </c>
      <c r="W1576">
        <v>0</v>
      </c>
      <c r="X1576">
        <v>1</v>
      </c>
      <c r="Y1576">
        <v>1</v>
      </c>
      <c r="Z1576">
        <v>0</v>
      </c>
      <c r="AA1576">
        <v>0</v>
      </c>
      <c r="AB1576">
        <v>1</v>
      </c>
      <c r="AC1576">
        <v>0</v>
      </c>
      <c r="AD1576">
        <v>1</v>
      </c>
      <c r="AE1576">
        <v>1</v>
      </c>
      <c r="AF1576">
        <v>1</v>
      </c>
      <c r="AG1576">
        <v>1</v>
      </c>
      <c r="AH1576">
        <v>1</v>
      </c>
      <c r="AI1576">
        <v>1</v>
      </c>
      <c r="AJ1576">
        <v>1</v>
      </c>
      <c r="AK1576">
        <v>1</v>
      </c>
      <c r="AL1576">
        <v>1</v>
      </c>
      <c r="AM1576">
        <v>1</v>
      </c>
    </row>
    <row r="1577" spans="1:39" x14ac:dyDescent="0.2">
      <c r="A1577" t="str">
        <f>"1573"</f>
        <v>1573</v>
      </c>
      <c r="B1577" t="str">
        <f t="shared" si="85"/>
        <v>1</v>
      </c>
      <c r="C1577" t="str">
        <f t="shared" si="87"/>
        <v>32</v>
      </c>
      <c r="D1577" t="str">
        <f>"39"</f>
        <v>39</v>
      </c>
      <c r="E1577" t="str">
        <f>"1-32-39"</f>
        <v>1-32-39</v>
      </c>
      <c r="F1577" t="s">
        <v>65</v>
      </c>
      <c r="G1577" t="s">
        <v>66</v>
      </c>
      <c r="H1577" t="s">
        <v>67</v>
      </c>
      <c r="S1577">
        <v>0</v>
      </c>
      <c r="T1577">
        <v>1</v>
      </c>
      <c r="U1577">
        <v>0</v>
      </c>
      <c r="V1577">
        <v>0</v>
      </c>
      <c r="W1577">
        <v>1</v>
      </c>
      <c r="X1577">
        <v>0</v>
      </c>
      <c r="Y1577">
        <v>1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1</v>
      </c>
      <c r="AF1577">
        <v>1</v>
      </c>
      <c r="AG1577">
        <v>1</v>
      </c>
      <c r="AH1577">
        <v>1</v>
      </c>
      <c r="AI1577">
        <v>1</v>
      </c>
      <c r="AJ1577">
        <v>1</v>
      </c>
      <c r="AK1577">
        <v>1</v>
      </c>
      <c r="AL1577">
        <v>1</v>
      </c>
      <c r="AM1577">
        <v>1</v>
      </c>
    </row>
    <row r="1578" spans="1:39" x14ac:dyDescent="0.2">
      <c r="A1578" t="str">
        <f>"1574"</f>
        <v>1574</v>
      </c>
      <c r="B1578" t="str">
        <f t="shared" si="85"/>
        <v>1</v>
      </c>
      <c r="C1578" t="str">
        <f t="shared" si="87"/>
        <v>32</v>
      </c>
      <c r="D1578" t="str">
        <f>"20"</f>
        <v>20</v>
      </c>
      <c r="E1578" t="str">
        <f>"1-32-20"</f>
        <v>1-32-20</v>
      </c>
      <c r="F1578" t="s">
        <v>65</v>
      </c>
      <c r="G1578" t="s">
        <v>66</v>
      </c>
      <c r="H1578" t="s">
        <v>67</v>
      </c>
      <c r="S1578">
        <v>0</v>
      </c>
      <c r="T1578">
        <v>1</v>
      </c>
      <c r="U1578">
        <v>0</v>
      </c>
      <c r="V1578">
        <v>0</v>
      </c>
      <c r="W1578">
        <v>1</v>
      </c>
      <c r="X1578">
        <v>0</v>
      </c>
      <c r="Y1578">
        <v>1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1</v>
      </c>
      <c r="AF1578">
        <v>1</v>
      </c>
      <c r="AG1578">
        <v>1</v>
      </c>
      <c r="AH1578">
        <v>1</v>
      </c>
      <c r="AI1578">
        <v>1</v>
      </c>
      <c r="AJ1578">
        <v>1</v>
      </c>
      <c r="AK1578">
        <v>1</v>
      </c>
      <c r="AL1578">
        <v>0</v>
      </c>
      <c r="AM1578">
        <v>1</v>
      </c>
    </row>
    <row r="1579" spans="1:39" x14ac:dyDescent="0.2">
      <c r="A1579" t="str">
        <f>"1575"</f>
        <v>1575</v>
      </c>
      <c r="B1579" t="str">
        <f t="shared" si="85"/>
        <v>1</v>
      </c>
      <c r="C1579" t="str">
        <f t="shared" si="87"/>
        <v>32</v>
      </c>
      <c r="D1579" t="str">
        <f>"11"</f>
        <v>11</v>
      </c>
      <c r="E1579" t="str">
        <f>"1-32-11"</f>
        <v>1-32-11</v>
      </c>
      <c r="F1579" t="s">
        <v>65</v>
      </c>
      <c r="G1579" t="s">
        <v>66</v>
      </c>
      <c r="H1579" t="s">
        <v>67</v>
      </c>
      <c r="S1579">
        <v>1</v>
      </c>
      <c r="T1579">
        <v>0</v>
      </c>
      <c r="U1579">
        <v>0</v>
      </c>
      <c r="V1579">
        <v>0</v>
      </c>
      <c r="W1579">
        <v>1</v>
      </c>
      <c r="X1579">
        <v>0</v>
      </c>
      <c r="Y1579">
        <v>1</v>
      </c>
      <c r="Z1579">
        <v>0</v>
      </c>
      <c r="AA1579">
        <v>0</v>
      </c>
      <c r="AB1579">
        <v>1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</row>
    <row r="1580" spans="1:39" x14ac:dyDescent="0.2">
      <c r="A1580" t="str">
        <f>"1576"</f>
        <v>1576</v>
      </c>
      <c r="B1580" t="str">
        <f t="shared" si="85"/>
        <v>1</v>
      </c>
      <c r="C1580" t="str">
        <f t="shared" si="87"/>
        <v>32</v>
      </c>
      <c r="D1580" t="str">
        <f>"44"</f>
        <v>44</v>
      </c>
      <c r="E1580" t="str">
        <f>"1-32-44"</f>
        <v>1-32-44</v>
      </c>
      <c r="F1580" t="s">
        <v>65</v>
      </c>
      <c r="G1580" t="s">
        <v>66</v>
      </c>
      <c r="H1580" t="s">
        <v>67</v>
      </c>
      <c r="S1580">
        <v>0</v>
      </c>
      <c r="T1580">
        <v>1</v>
      </c>
      <c r="U1580">
        <v>0</v>
      </c>
      <c r="V1580">
        <v>0</v>
      </c>
      <c r="W1580">
        <v>1</v>
      </c>
      <c r="X1580">
        <v>0</v>
      </c>
      <c r="Y1580">
        <v>0</v>
      </c>
      <c r="Z1580">
        <v>1</v>
      </c>
      <c r="AA1580">
        <v>1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</row>
    <row r="1581" spans="1:39" x14ac:dyDescent="0.2">
      <c r="A1581" t="str">
        <f>"1577"</f>
        <v>1577</v>
      </c>
      <c r="B1581" t="str">
        <f t="shared" si="85"/>
        <v>1</v>
      </c>
      <c r="C1581" t="str">
        <f t="shared" si="87"/>
        <v>32</v>
      </c>
      <c r="D1581" t="str">
        <f>"21"</f>
        <v>21</v>
      </c>
      <c r="E1581" t="str">
        <f>"1-32-21"</f>
        <v>1-32-21</v>
      </c>
      <c r="F1581" t="s">
        <v>65</v>
      </c>
      <c r="G1581" t="s">
        <v>66</v>
      </c>
      <c r="H1581" t="s">
        <v>67</v>
      </c>
      <c r="S1581">
        <v>0</v>
      </c>
      <c r="T1581">
        <v>1</v>
      </c>
      <c r="U1581">
        <v>0</v>
      </c>
      <c r="V1581">
        <v>0</v>
      </c>
      <c r="W1581">
        <v>1</v>
      </c>
      <c r="X1581">
        <v>0</v>
      </c>
      <c r="Y1581">
        <v>1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1</v>
      </c>
      <c r="AF1581">
        <v>1</v>
      </c>
      <c r="AG1581">
        <v>1</v>
      </c>
      <c r="AH1581">
        <v>1</v>
      </c>
      <c r="AI1581">
        <v>1</v>
      </c>
      <c r="AJ1581">
        <v>1</v>
      </c>
      <c r="AK1581">
        <v>1</v>
      </c>
      <c r="AL1581">
        <v>1</v>
      </c>
      <c r="AM1581">
        <v>1</v>
      </c>
    </row>
    <row r="1582" spans="1:39" x14ac:dyDescent="0.2">
      <c r="A1582" t="str">
        <f>"1578"</f>
        <v>1578</v>
      </c>
      <c r="B1582" t="str">
        <f t="shared" si="85"/>
        <v>1</v>
      </c>
      <c r="C1582" t="str">
        <f t="shared" si="87"/>
        <v>32</v>
      </c>
      <c r="D1582" t="str">
        <f>"3"</f>
        <v>3</v>
      </c>
      <c r="E1582" t="str">
        <f>"1-32-3"</f>
        <v>1-32-3</v>
      </c>
      <c r="F1582" t="s">
        <v>65</v>
      </c>
      <c r="G1582" t="s">
        <v>66</v>
      </c>
      <c r="H1582" t="s">
        <v>67</v>
      </c>
      <c r="S1582">
        <v>1</v>
      </c>
      <c r="T1582">
        <v>0</v>
      </c>
      <c r="U1582">
        <v>0</v>
      </c>
      <c r="V1582">
        <v>0</v>
      </c>
      <c r="W1582">
        <v>1</v>
      </c>
      <c r="X1582">
        <v>0</v>
      </c>
      <c r="Y1582">
        <v>1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1</v>
      </c>
      <c r="AF1582">
        <v>1</v>
      </c>
      <c r="AG1582">
        <v>1</v>
      </c>
      <c r="AH1582">
        <v>1</v>
      </c>
      <c r="AI1582">
        <v>1</v>
      </c>
      <c r="AJ1582">
        <v>1</v>
      </c>
      <c r="AK1582">
        <v>1</v>
      </c>
      <c r="AL1582">
        <v>1</v>
      </c>
      <c r="AM1582">
        <v>1</v>
      </c>
    </row>
    <row r="1583" spans="1:39" x14ac:dyDescent="0.2">
      <c r="A1583" t="str">
        <f>"1579"</f>
        <v>1579</v>
      </c>
      <c r="B1583" t="str">
        <f t="shared" si="85"/>
        <v>1</v>
      </c>
      <c r="C1583" t="str">
        <f t="shared" si="87"/>
        <v>32</v>
      </c>
      <c r="D1583" t="str">
        <f>"50"</f>
        <v>50</v>
      </c>
      <c r="E1583" t="str">
        <f>"1-32-50"</f>
        <v>1-32-50</v>
      </c>
      <c r="F1583" t="s">
        <v>65</v>
      </c>
      <c r="G1583" t="s">
        <v>66</v>
      </c>
      <c r="H1583" t="s">
        <v>67</v>
      </c>
      <c r="S1583">
        <v>1</v>
      </c>
      <c r="T1583">
        <v>0</v>
      </c>
      <c r="U1583">
        <v>0</v>
      </c>
      <c r="V1583">
        <v>0</v>
      </c>
      <c r="W1583">
        <v>1</v>
      </c>
      <c r="X1583">
        <v>0</v>
      </c>
      <c r="Y1583">
        <v>1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1</v>
      </c>
      <c r="AF1583">
        <v>1</v>
      </c>
      <c r="AG1583">
        <v>1</v>
      </c>
      <c r="AH1583">
        <v>1</v>
      </c>
      <c r="AI1583">
        <v>1</v>
      </c>
      <c r="AJ1583">
        <v>1</v>
      </c>
      <c r="AK1583">
        <v>1</v>
      </c>
      <c r="AL1583">
        <v>1</v>
      </c>
      <c r="AM1583">
        <v>1</v>
      </c>
    </row>
    <row r="1584" spans="1:39" x14ac:dyDescent="0.2">
      <c r="A1584" t="str">
        <f>"1580"</f>
        <v>1580</v>
      </c>
      <c r="B1584" t="str">
        <f t="shared" si="85"/>
        <v>1</v>
      </c>
      <c r="C1584" t="str">
        <f t="shared" si="87"/>
        <v>32</v>
      </c>
      <c r="D1584" t="str">
        <f>"22"</f>
        <v>22</v>
      </c>
      <c r="E1584" t="str">
        <f>"1-32-22"</f>
        <v>1-32-22</v>
      </c>
      <c r="F1584" t="s">
        <v>65</v>
      </c>
      <c r="G1584" t="s">
        <v>66</v>
      </c>
      <c r="H1584" t="s">
        <v>67</v>
      </c>
      <c r="S1584">
        <v>0</v>
      </c>
      <c r="T1584">
        <v>1</v>
      </c>
      <c r="U1584">
        <v>0</v>
      </c>
      <c r="V1584">
        <v>0</v>
      </c>
      <c r="W1584">
        <v>1</v>
      </c>
      <c r="X1584">
        <v>0</v>
      </c>
      <c r="Y1584">
        <v>1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1</v>
      </c>
      <c r="AF1584">
        <v>1</v>
      </c>
      <c r="AG1584">
        <v>1</v>
      </c>
      <c r="AH1584">
        <v>1</v>
      </c>
      <c r="AI1584">
        <v>1</v>
      </c>
      <c r="AJ1584">
        <v>1</v>
      </c>
      <c r="AK1584">
        <v>1</v>
      </c>
      <c r="AL1584">
        <v>1</v>
      </c>
      <c r="AM1584">
        <v>1</v>
      </c>
    </row>
    <row r="1585" spans="1:39" x14ac:dyDescent="0.2">
      <c r="A1585" t="str">
        <f>"1581"</f>
        <v>1581</v>
      </c>
      <c r="B1585" t="str">
        <f t="shared" si="85"/>
        <v>1</v>
      </c>
      <c r="C1585" t="str">
        <f t="shared" si="87"/>
        <v>32</v>
      </c>
      <c r="D1585" t="str">
        <f>"14"</f>
        <v>14</v>
      </c>
      <c r="E1585" t="str">
        <f>"1-32-14"</f>
        <v>1-32-14</v>
      </c>
      <c r="F1585" t="s">
        <v>65</v>
      </c>
      <c r="G1585" t="s">
        <v>66</v>
      </c>
      <c r="H1585" t="s">
        <v>67</v>
      </c>
      <c r="S1585">
        <v>0</v>
      </c>
      <c r="T1585">
        <v>1</v>
      </c>
      <c r="U1585">
        <v>0</v>
      </c>
      <c r="V1585">
        <v>0</v>
      </c>
      <c r="W1585">
        <v>0</v>
      </c>
      <c r="X1585">
        <v>1</v>
      </c>
      <c r="Y1585">
        <v>0</v>
      </c>
      <c r="Z1585">
        <v>1</v>
      </c>
      <c r="AA1585">
        <v>0</v>
      </c>
      <c r="AB1585">
        <v>0</v>
      </c>
      <c r="AC1585">
        <v>1</v>
      </c>
      <c r="AD1585">
        <v>1</v>
      </c>
      <c r="AE1585">
        <v>1</v>
      </c>
      <c r="AF1585">
        <v>1</v>
      </c>
      <c r="AG1585">
        <v>1</v>
      </c>
      <c r="AH1585">
        <v>0</v>
      </c>
      <c r="AI1585">
        <v>1</v>
      </c>
      <c r="AJ1585">
        <v>1</v>
      </c>
      <c r="AK1585">
        <v>1</v>
      </c>
      <c r="AL1585">
        <v>1</v>
      </c>
      <c r="AM1585">
        <v>1</v>
      </c>
    </row>
    <row r="1586" spans="1:39" x14ac:dyDescent="0.2">
      <c r="A1586" t="str">
        <f>"1582"</f>
        <v>1582</v>
      </c>
      <c r="B1586" t="str">
        <f t="shared" si="85"/>
        <v>1</v>
      </c>
      <c r="C1586" t="str">
        <f t="shared" si="87"/>
        <v>32</v>
      </c>
      <c r="D1586" t="str">
        <f>"42"</f>
        <v>42</v>
      </c>
      <c r="E1586" t="str">
        <f>"1-32-42"</f>
        <v>1-32-42</v>
      </c>
      <c r="F1586" t="s">
        <v>65</v>
      </c>
      <c r="G1586" t="s">
        <v>66</v>
      </c>
      <c r="H1586" t="s">
        <v>67</v>
      </c>
      <c r="S1586">
        <v>0</v>
      </c>
      <c r="T1586">
        <v>1</v>
      </c>
      <c r="U1586">
        <v>0</v>
      </c>
      <c r="V1586">
        <v>0</v>
      </c>
      <c r="W1586">
        <v>0</v>
      </c>
      <c r="X1586">
        <v>1</v>
      </c>
      <c r="Y1586">
        <v>0</v>
      </c>
      <c r="Z1586">
        <v>1</v>
      </c>
      <c r="AA1586">
        <v>0</v>
      </c>
      <c r="AB1586">
        <v>1</v>
      </c>
      <c r="AC1586">
        <v>0</v>
      </c>
      <c r="AD1586">
        <v>1</v>
      </c>
      <c r="AE1586">
        <v>1</v>
      </c>
      <c r="AF1586">
        <v>1</v>
      </c>
      <c r="AG1586">
        <v>1</v>
      </c>
      <c r="AH1586">
        <v>1</v>
      </c>
      <c r="AI1586">
        <v>1</v>
      </c>
      <c r="AJ1586">
        <v>1</v>
      </c>
      <c r="AK1586">
        <v>1</v>
      </c>
      <c r="AL1586">
        <v>1</v>
      </c>
      <c r="AM1586">
        <v>1</v>
      </c>
    </row>
    <row r="1587" spans="1:39" x14ac:dyDescent="0.2">
      <c r="A1587" t="str">
        <f>"1583"</f>
        <v>1583</v>
      </c>
      <c r="B1587" t="str">
        <f t="shared" si="85"/>
        <v>1</v>
      </c>
      <c r="C1587" t="str">
        <f t="shared" ref="C1587:C1604" si="88">"32"</f>
        <v>32</v>
      </c>
      <c r="D1587" t="str">
        <f>"25"</f>
        <v>25</v>
      </c>
      <c r="E1587" t="str">
        <f>"1-32-25"</f>
        <v>1-32-25</v>
      </c>
      <c r="F1587" t="s">
        <v>65</v>
      </c>
      <c r="G1587" t="s">
        <v>66</v>
      </c>
      <c r="H1587" t="s">
        <v>67</v>
      </c>
      <c r="S1587">
        <v>0</v>
      </c>
      <c r="T1587">
        <v>1</v>
      </c>
      <c r="U1587">
        <v>0</v>
      </c>
      <c r="V1587">
        <v>0</v>
      </c>
      <c r="W1587">
        <v>0</v>
      </c>
      <c r="X1587">
        <v>1</v>
      </c>
      <c r="Y1587">
        <v>0</v>
      </c>
      <c r="Z1587">
        <v>1</v>
      </c>
      <c r="AA1587">
        <v>0</v>
      </c>
      <c r="AB1587">
        <v>0</v>
      </c>
      <c r="AC1587">
        <v>1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</row>
    <row r="1588" spans="1:39" x14ac:dyDescent="0.2">
      <c r="A1588" t="str">
        <f>"1584"</f>
        <v>1584</v>
      </c>
      <c r="B1588" t="str">
        <f t="shared" si="85"/>
        <v>1</v>
      </c>
      <c r="C1588" t="str">
        <f t="shared" si="88"/>
        <v>32</v>
      </c>
      <c r="D1588" t="str">
        <f>"7"</f>
        <v>7</v>
      </c>
      <c r="E1588" t="str">
        <f>"1-32-7"</f>
        <v>1-32-7</v>
      </c>
      <c r="F1588" t="s">
        <v>65</v>
      </c>
      <c r="G1588" t="s">
        <v>66</v>
      </c>
      <c r="H1588" t="s">
        <v>67</v>
      </c>
      <c r="S1588">
        <v>1</v>
      </c>
      <c r="T1588">
        <v>0</v>
      </c>
      <c r="U1588">
        <v>0</v>
      </c>
      <c r="V1588">
        <v>0</v>
      </c>
      <c r="W1588">
        <v>1</v>
      </c>
      <c r="X1588">
        <v>0</v>
      </c>
      <c r="Y1588">
        <v>1</v>
      </c>
      <c r="Z1588">
        <v>0</v>
      </c>
      <c r="AA1588">
        <v>0</v>
      </c>
      <c r="AB1588">
        <v>1</v>
      </c>
      <c r="AC1588">
        <v>0</v>
      </c>
      <c r="AD1588">
        <v>1</v>
      </c>
      <c r="AE1588">
        <v>1</v>
      </c>
      <c r="AF1588">
        <v>1</v>
      </c>
      <c r="AG1588">
        <v>1</v>
      </c>
      <c r="AH1588">
        <v>1</v>
      </c>
      <c r="AI1588">
        <v>1</v>
      </c>
      <c r="AJ1588">
        <v>1</v>
      </c>
      <c r="AK1588">
        <v>0</v>
      </c>
      <c r="AL1588">
        <v>1</v>
      </c>
      <c r="AM1588">
        <v>1</v>
      </c>
    </row>
    <row r="1589" spans="1:39" x14ac:dyDescent="0.2">
      <c r="A1589" t="str">
        <f>"1585"</f>
        <v>1585</v>
      </c>
      <c r="B1589" t="str">
        <f t="shared" si="85"/>
        <v>1</v>
      </c>
      <c r="C1589" t="str">
        <f t="shared" si="88"/>
        <v>32</v>
      </c>
      <c r="D1589" t="str">
        <f>"43"</f>
        <v>43</v>
      </c>
      <c r="E1589" t="str">
        <f>"1-32-43"</f>
        <v>1-32-43</v>
      </c>
      <c r="F1589" t="s">
        <v>65</v>
      </c>
      <c r="G1589" t="s">
        <v>66</v>
      </c>
      <c r="H1589" t="s">
        <v>67</v>
      </c>
      <c r="S1589">
        <v>1</v>
      </c>
      <c r="T1589">
        <v>0</v>
      </c>
      <c r="U1589">
        <v>0</v>
      </c>
      <c r="V1589">
        <v>0</v>
      </c>
      <c r="W1589">
        <v>1</v>
      </c>
      <c r="X1589">
        <v>0</v>
      </c>
      <c r="Y1589">
        <v>1</v>
      </c>
      <c r="Z1589">
        <v>0</v>
      </c>
      <c r="AA1589">
        <v>1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1</v>
      </c>
      <c r="AI1589">
        <v>1</v>
      </c>
      <c r="AJ1589">
        <v>0</v>
      </c>
      <c r="AK1589">
        <v>0</v>
      </c>
      <c r="AL1589">
        <v>1</v>
      </c>
      <c r="AM1589">
        <v>0</v>
      </c>
    </row>
    <row r="1590" spans="1:39" x14ac:dyDescent="0.2">
      <c r="A1590" t="str">
        <f>"1586"</f>
        <v>1586</v>
      </c>
      <c r="B1590" t="str">
        <f t="shared" si="85"/>
        <v>1</v>
      </c>
      <c r="C1590" t="str">
        <f t="shared" si="88"/>
        <v>32</v>
      </c>
      <c r="D1590" t="str">
        <f>"26"</f>
        <v>26</v>
      </c>
      <c r="E1590" t="str">
        <f>"1-32-26"</f>
        <v>1-32-26</v>
      </c>
      <c r="F1590" t="s">
        <v>65</v>
      </c>
      <c r="G1590" t="s">
        <v>66</v>
      </c>
      <c r="H1590" t="s">
        <v>67</v>
      </c>
      <c r="S1590">
        <v>1</v>
      </c>
      <c r="T1590">
        <v>0</v>
      </c>
      <c r="U1590">
        <v>0</v>
      </c>
      <c r="V1590">
        <v>0</v>
      </c>
      <c r="W1590">
        <v>1</v>
      </c>
      <c r="X1590">
        <v>0</v>
      </c>
      <c r="Y1590">
        <v>1</v>
      </c>
      <c r="Z1590">
        <v>0</v>
      </c>
      <c r="AA1590">
        <v>0</v>
      </c>
      <c r="AB1590">
        <v>0</v>
      </c>
      <c r="AC1590">
        <v>1</v>
      </c>
      <c r="AD1590">
        <v>1</v>
      </c>
      <c r="AE1590">
        <v>1</v>
      </c>
      <c r="AF1590">
        <v>1</v>
      </c>
      <c r="AG1590">
        <v>1</v>
      </c>
      <c r="AH1590">
        <v>1</v>
      </c>
      <c r="AI1590">
        <v>1</v>
      </c>
      <c r="AJ1590">
        <v>1</v>
      </c>
      <c r="AK1590">
        <v>1</v>
      </c>
      <c r="AL1590">
        <v>1</v>
      </c>
      <c r="AM1590">
        <v>1</v>
      </c>
    </row>
    <row r="1591" spans="1:39" x14ac:dyDescent="0.2">
      <c r="A1591" t="str">
        <f>"1587"</f>
        <v>1587</v>
      </c>
      <c r="B1591" t="str">
        <f t="shared" ref="B1591:B1654" si="89">"1"</f>
        <v>1</v>
      </c>
      <c r="C1591" t="str">
        <f t="shared" si="88"/>
        <v>32</v>
      </c>
      <c r="D1591" t="str">
        <f>"45"</f>
        <v>45</v>
      </c>
      <c r="E1591" t="str">
        <f>"1-32-45"</f>
        <v>1-32-45</v>
      </c>
      <c r="F1591" t="s">
        <v>65</v>
      </c>
      <c r="G1591" t="s">
        <v>66</v>
      </c>
      <c r="H1591" t="s">
        <v>67</v>
      </c>
      <c r="S1591">
        <v>1</v>
      </c>
      <c r="T1591">
        <v>0</v>
      </c>
      <c r="U1591">
        <v>0</v>
      </c>
      <c r="V1591">
        <v>0</v>
      </c>
      <c r="W1591">
        <v>1</v>
      </c>
      <c r="X1591">
        <v>0</v>
      </c>
      <c r="Y1591">
        <v>1</v>
      </c>
      <c r="Z1591">
        <v>0</v>
      </c>
      <c r="AA1591">
        <v>0</v>
      </c>
      <c r="AB1591">
        <v>1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</row>
    <row r="1592" spans="1:39" x14ac:dyDescent="0.2">
      <c r="A1592" t="str">
        <f>"1588"</f>
        <v>1588</v>
      </c>
      <c r="B1592" t="str">
        <f t="shared" si="89"/>
        <v>1</v>
      </c>
      <c r="C1592" t="str">
        <f t="shared" si="88"/>
        <v>32</v>
      </c>
      <c r="D1592" t="str">
        <f>"27"</f>
        <v>27</v>
      </c>
      <c r="E1592" t="str">
        <f>"1-32-27"</f>
        <v>1-32-27</v>
      </c>
      <c r="F1592" t="s">
        <v>65</v>
      </c>
      <c r="G1592" t="s">
        <v>66</v>
      </c>
      <c r="H1592" t="s">
        <v>67</v>
      </c>
      <c r="S1592">
        <v>0</v>
      </c>
      <c r="T1592">
        <v>1</v>
      </c>
      <c r="U1592">
        <v>0</v>
      </c>
      <c r="V1592">
        <v>0</v>
      </c>
      <c r="W1592">
        <v>1</v>
      </c>
      <c r="X1592">
        <v>0</v>
      </c>
      <c r="Y1592">
        <v>0</v>
      </c>
      <c r="Z1592">
        <v>1</v>
      </c>
      <c r="AA1592">
        <v>0</v>
      </c>
      <c r="AB1592">
        <v>1</v>
      </c>
      <c r="AC1592">
        <v>0</v>
      </c>
      <c r="AD1592">
        <v>1</v>
      </c>
      <c r="AE1592">
        <v>1</v>
      </c>
      <c r="AF1592">
        <v>1</v>
      </c>
      <c r="AG1592">
        <v>1</v>
      </c>
      <c r="AH1592">
        <v>1</v>
      </c>
      <c r="AI1592">
        <v>1</v>
      </c>
      <c r="AJ1592">
        <v>1</v>
      </c>
      <c r="AK1592">
        <v>1</v>
      </c>
      <c r="AL1592">
        <v>1</v>
      </c>
      <c r="AM1592">
        <v>1</v>
      </c>
    </row>
    <row r="1593" spans="1:39" x14ac:dyDescent="0.2">
      <c r="A1593" t="str">
        <f>"1589"</f>
        <v>1589</v>
      </c>
      <c r="B1593" t="str">
        <f t="shared" si="89"/>
        <v>1</v>
      </c>
      <c r="C1593" t="str">
        <f t="shared" si="88"/>
        <v>32</v>
      </c>
      <c r="D1593" t="str">
        <f>"8"</f>
        <v>8</v>
      </c>
      <c r="E1593" t="str">
        <f>"1-32-8"</f>
        <v>1-32-8</v>
      </c>
      <c r="F1593" t="s">
        <v>65</v>
      </c>
      <c r="G1593" t="s">
        <v>66</v>
      </c>
      <c r="H1593" t="s">
        <v>67</v>
      </c>
      <c r="S1593">
        <v>1</v>
      </c>
      <c r="T1593">
        <v>0</v>
      </c>
      <c r="U1593">
        <v>0</v>
      </c>
      <c r="V1593">
        <v>0</v>
      </c>
      <c r="W1593">
        <v>1</v>
      </c>
      <c r="X1593">
        <v>0</v>
      </c>
      <c r="Y1593">
        <v>1</v>
      </c>
      <c r="Z1593">
        <v>0</v>
      </c>
      <c r="AA1593">
        <v>0</v>
      </c>
      <c r="AB1593">
        <v>1</v>
      </c>
      <c r="AC1593">
        <v>0</v>
      </c>
      <c r="AD1593">
        <v>1</v>
      </c>
      <c r="AE1593">
        <v>1</v>
      </c>
      <c r="AF1593">
        <v>1</v>
      </c>
      <c r="AG1593">
        <v>1</v>
      </c>
      <c r="AH1593">
        <v>1</v>
      </c>
      <c r="AI1593">
        <v>1</v>
      </c>
      <c r="AJ1593">
        <v>1</v>
      </c>
      <c r="AK1593">
        <v>0</v>
      </c>
      <c r="AL1593">
        <v>1</v>
      </c>
      <c r="AM1593">
        <v>1</v>
      </c>
    </row>
    <row r="1594" spans="1:39" x14ac:dyDescent="0.2">
      <c r="A1594" t="str">
        <f>"1590"</f>
        <v>1590</v>
      </c>
      <c r="B1594" t="str">
        <f t="shared" si="89"/>
        <v>1</v>
      </c>
      <c r="C1594" t="str">
        <f t="shared" si="88"/>
        <v>32</v>
      </c>
      <c r="D1594" t="str">
        <f>"47"</f>
        <v>47</v>
      </c>
      <c r="E1594" t="str">
        <f>"1-32-47"</f>
        <v>1-32-47</v>
      </c>
      <c r="F1594" t="s">
        <v>65</v>
      </c>
      <c r="G1594" t="s">
        <v>66</v>
      </c>
      <c r="H1594" t="s">
        <v>67</v>
      </c>
      <c r="S1594">
        <v>0</v>
      </c>
      <c r="T1594">
        <v>1</v>
      </c>
      <c r="U1594">
        <v>0</v>
      </c>
      <c r="V1594">
        <v>0</v>
      </c>
      <c r="W1594">
        <v>1</v>
      </c>
      <c r="X1594">
        <v>0</v>
      </c>
      <c r="Y1594">
        <v>0</v>
      </c>
      <c r="Z1594">
        <v>1</v>
      </c>
      <c r="AA1594">
        <v>0</v>
      </c>
      <c r="AB1594">
        <v>0</v>
      </c>
      <c r="AC1594">
        <v>1</v>
      </c>
      <c r="AD1594">
        <v>0</v>
      </c>
      <c r="AE1594">
        <v>1</v>
      </c>
      <c r="AF1594">
        <v>1</v>
      </c>
      <c r="AG1594">
        <v>1</v>
      </c>
      <c r="AH1594">
        <v>1</v>
      </c>
      <c r="AI1594">
        <v>1</v>
      </c>
      <c r="AJ1594">
        <v>1</v>
      </c>
      <c r="AK1594">
        <v>1</v>
      </c>
      <c r="AL1594">
        <v>1</v>
      </c>
      <c r="AM1594">
        <v>1</v>
      </c>
    </row>
    <row r="1595" spans="1:39" x14ac:dyDescent="0.2">
      <c r="A1595" t="str">
        <f>"1591"</f>
        <v>1591</v>
      </c>
      <c r="B1595" t="str">
        <f t="shared" si="89"/>
        <v>1</v>
      </c>
      <c r="C1595" t="str">
        <f t="shared" si="88"/>
        <v>32</v>
      </c>
      <c r="D1595" t="str">
        <f>"28"</f>
        <v>28</v>
      </c>
      <c r="E1595" t="str">
        <f>"1-32-28"</f>
        <v>1-32-28</v>
      </c>
      <c r="F1595" t="s">
        <v>65</v>
      </c>
      <c r="G1595" t="s">
        <v>66</v>
      </c>
      <c r="H1595" t="s">
        <v>67</v>
      </c>
      <c r="S1595">
        <v>0</v>
      </c>
      <c r="T1595">
        <v>1</v>
      </c>
      <c r="U1595">
        <v>0</v>
      </c>
      <c r="V1595">
        <v>0</v>
      </c>
      <c r="W1595">
        <v>1</v>
      </c>
      <c r="X1595">
        <v>0</v>
      </c>
      <c r="Y1595">
        <v>1</v>
      </c>
      <c r="Z1595">
        <v>0</v>
      </c>
      <c r="AA1595">
        <v>0</v>
      </c>
      <c r="AB1595">
        <v>1</v>
      </c>
      <c r="AC1595">
        <v>0</v>
      </c>
      <c r="AD1595">
        <v>1</v>
      </c>
      <c r="AE1595">
        <v>1</v>
      </c>
      <c r="AF1595">
        <v>1</v>
      </c>
      <c r="AG1595">
        <v>1</v>
      </c>
      <c r="AH1595">
        <v>1</v>
      </c>
      <c r="AI1595">
        <v>1</v>
      </c>
      <c r="AJ1595">
        <v>1</v>
      </c>
      <c r="AK1595">
        <v>1</v>
      </c>
      <c r="AL1595">
        <v>1</v>
      </c>
      <c r="AM1595">
        <v>1</v>
      </c>
    </row>
    <row r="1596" spans="1:39" x14ac:dyDescent="0.2">
      <c r="A1596" t="str">
        <f>"1592"</f>
        <v>1592</v>
      </c>
      <c r="B1596" t="str">
        <f t="shared" si="89"/>
        <v>1</v>
      </c>
      <c r="C1596" t="str">
        <f t="shared" si="88"/>
        <v>32</v>
      </c>
      <c r="D1596" t="str">
        <f>"12"</f>
        <v>12</v>
      </c>
      <c r="E1596" t="str">
        <f>"1-32-12"</f>
        <v>1-32-12</v>
      </c>
      <c r="F1596" t="s">
        <v>65</v>
      </c>
      <c r="G1596" t="s">
        <v>66</v>
      </c>
      <c r="H1596" t="s">
        <v>67</v>
      </c>
      <c r="S1596">
        <v>1</v>
      </c>
      <c r="T1596">
        <v>0</v>
      </c>
      <c r="U1596">
        <v>0</v>
      </c>
      <c r="V1596">
        <v>0</v>
      </c>
      <c r="W1596">
        <v>0</v>
      </c>
      <c r="X1596">
        <v>1</v>
      </c>
      <c r="Y1596">
        <v>1</v>
      </c>
      <c r="Z1596">
        <v>0</v>
      </c>
      <c r="AA1596">
        <v>0</v>
      </c>
      <c r="AB1596">
        <v>1</v>
      </c>
      <c r="AC1596">
        <v>0</v>
      </c>
      <c r="AD1596">
        <v>1</v>
      </c>
      <c r="AE1596">
        <v>1</v>
      </c>
      <c r="AF1596">
        <v>1</v>
      </c>
      <c r="AG1596">
        <v>1</v>
      </c>
      <c r="AH1596">
        <v>1</v>
      </c>
      <c r="AI1596">
        <v>1</v>
      </c>
      <c r="AJ1596">
        <v>1</v>
      </c>
      <c r="AK1596">
        <v>1</v>
      </c>
      <c r="AL1596">
        <v>1</v>
      </c>
      <c r="AM1596">
        <v>1</v>
      </c>
    </row>
    <row r="1597" spans="1:39" x14ac:dyDescent="0.2">
      <c r="A1597" t="str">
        <f>"1593"</f>
        <v>1593</v>
      </c>
      <c r="B1597" t="str">
        <f t="shared" si="89"/>
        <v>1</v>
      </c>
      <c r="C1597" t="str">
        <f t="shared" si="88"/>
        <v>32</v>
      </c>
      <c r="D1597" t="str">
        <f>"46"</f>
        <v>46</v>
      </c>
      <c r="E1597" t="str">
        <f>"1-32-46"</f>
        <v>1-32-46</v>
      </c>
      <c r="F1597" t="s">
        <v>65</v>
      </c>
      <c r="G1597" t="s">
        <v>66</v>
      </c>
      <c r="H1597" t="s">
        <v>67</v>
      </c>
      <c r="S1597">
        <v>1</v>
      </c>
      <c r="T1597">
        <v>0</v>
      </c>
      <c r="U1597">
        <v>0</v>
      </c>
      <c r="V1597">
        <v>0</v>
      </c>
      <c r="W1597">
        <v>1</v>
      </c>
      <c r="X1597">
        <v>0</v>
      </c>
      <c r="Y1597">
        <v>1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1</v>
      </c>
      <c r="AF1597">
        <v>1</v>
      </c>
      <c r="AG1597">
        <v>1</v>
      </c>
      <c r="AH1597">
        <v>1</v>
      </c>
      <c r="AI1597">
        <v>1</v>
      </c>
      <c r="AJ1597">
        <v>1</v>
      </c>
      <c r="AK1597">
        <v>1</v>
      </c>
      <c r="AL1597">
        <v>1</v>
      </c>
      <c r="AM1597">
        <v>1</v>
      </c>
    </row>
    <row r="1598" spans="1:39" x14ac:dyDescent="0.2">
      <c r="A1598" t="str">
        <f>"1594"</f>
        <v>1594</v>
      </c>
      <c r="B1598" t="str">
        <f t="shared" si="89"/>
        <v>1</v>
      </c>
      <c r="C1598" t="str">
        <f t="shared" si="88"/>
        <v>32</v>
      </c>
      <c r="D1598" t="str">
        <f>"29"</f>
        <v>29</v>
      </c>
      <c r="E1598" t="str">
        <f>"1-32-29"</f>
        <v>1-32-29</v>
      </c>
      <c r="F1598" t="s">
        <v>65</v>
      </c>
      <c r="G1598" t="s">
        <v>66</v>
      </c>
      <c r="H1598" t="s">
        <v>67</v>
      </c>
      <c r="S1598">
        <v>1</v>
      </c>
      <c r="T1598">
        <v>0</v>
      </c>
      <c r="U1598">
        <v>0</v>
      </c>
      <c r="V1598">
        <v>0</v>
      </c>
      <c r="W1598">
        <v>1</v>
      </c>
      <c r="X1598">
        <v>0</v>
      </c>
      <c r="Y1598">
        <v>0</v>
      </c>
      <c r="Z1598">
        <v>1</v>
      </c>
      <c r="AA1598">
        <v>1</v>
      </c>
      <c r="AB1598">
        <v>0</v>
      </c>
      <c r="AC1598">
        <v>0</v>
      </c>
      <c r="AD1598">
        <v>1</v>
      </c>
      <c r="AE1598">
        <v>1</v>
      </c>
      <c r="AF1598">
        <v>1</v>
      </c>
      <c r="AG1598">
        <v>1</v>
      </c>
      <c r="AH1598">
        <v>1</v>
      </c>
      <c r="AI1598">
        <v>1</v>
      </c>
      <c r="AJ1598">
        <v>1</v>
      </c>
      <c r="AK1598">
        <v>1</v>
      </c>
      <c r="AL1598">
        <v>1</v>
      </c>
      <c r="AM1598">
        <v>1</v>
      </c>
    </row>
    <row r="1599" spans="1:39" x14ac:dyDescent="0.2">
      <c r="A1599" t="str">
        <f>"1595"</f>
        <v>1595</v>
      </c>
      <c r="B1599" t="str">
        <f t="shared" si="89"/>
        <v>1</v>
      </c>
      <c r="C1599" t="str">
        <f t="shared" si="88"/>
        <v>32</v>
      </c>
      <c r="D1599" t="str">
        <f>"10"</f>
        <v>10</v>
      </c>
      <c r="E1599" t="str">
        <f>"1-32-10"</f>
        <v>1-32-10</v>
      </c>
      <c r="F1599" t="s">
        <v>65</v>
      </c>
      <c r="G1599" t="s">
        <v>66</v>
      </c>
      <c r="H1599" t="s">
        <v>67</v>
      </c>
      <c r="S1599">
        <v>1</v>
      </c>
      <c r="T1599">
        <v>0</v>
      </c>
      <c r="U1599">
        <v>0</v>
      </c>
      <c r="V1599">
        <v>0</v>
      </c>
      <c r="W1599">
        <v>1</v>
      </c>
      <c r="X1599">
        <v>0</v>
      </c>
      <c r="Y1599">
        <v>1</v>
      </c>
      <c r="Z1599">
        <v>0</v>
      </c>
      <c r="AA1599">
        <v>1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1</v>
      </c>
      <c r="AI1599">
        <v>1</v>
      </c>
      <c r="AJ1599">
        <v>0</v>
      </c>
      <c r="AK1599">
        <v>0</v>
      </c>
      <c r="AL1599">
        <v>1</v>
      </c>
      <c r="AM1599">
        <v>0</v>
      </c>
    </row>
    <row r="1600" spans="1:39" x14ac:dyDescent="0.2">
      <c r="A1600" t="str">
        <f>"1596"</f>
        <v>1596</v>
      </c>
      <c r="B1600" t="str">
        <f t="shared" si="89"/>
        <v>1</v>
      </c>
      <c r="C1600" t="str">
        <f t="shared" si="88"/>
        <v>32</v>
      </c>
      <c r="D1600" t="str">
        <f>"31"</f>
        <v>31</v>
      </c>
      <c r="E1600" t="str">
        <f>"1-32-31"</f>
        <v>1-32-31</v>
      </c>
      <c r="F1600" t="s">
        <v>65</v>
      </c>
      <c r="G1600" t="s">
        <v>66</v>
      </c>
      <c r="H1600" t="s">
        <v>67</v>
      </c>
      <c r="S1600">
        <v>0</v>
      </c>
      <c r="T1600">
        <v>1</v>
      </c>
      <c r="U1600">
        <v>0</v>
      </c>
      <c r="V1600">
        <v>0</v>
      </c>
      <c r="W1600">
        <v>1</v>
      </c>
      <c r="X1600">
        <v>0</v>
      </c>
      <c r="Y1600">
        <v>1</v>
      </c>
      <c r="Z1600">
        <v>0</v>
      </c>
      <c r="AA1600">
        <v>1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1</v>
      </c>
      <c r="AH1600">
        <v>1</v>
      </c>
      <c r="AI1600">
        <v>1</v>
      </c>
      <c r="AJ1600">
        <v>1</v>
      </c>
      <c r="AK1600">
        <v>1</v>
      </c>
      <c r="AL1600">
        <v>1</v>
      </c>
      <c r="AM1600">
        <v>1</v>
      </c>
    </row>
    <row r="1601" spans="1:39" x14ac:dyDescent="0.2">
      <c r="A1601" t="str">
        <f>"1597"</f>
        <v>1597</v>
      </c>
      <c r="B1601" t="str">
        <f t="shared" si="89"/>
        <v>1</v>
      </c>
      <c r="C1601" t="str">
        <f t="shared" si="88"/>
        <v>32</v>
      </c>
      <c r="D1601" t="str">
        <f>"5"</f>
        <v>5</v>
      </c>
      <c r="E1601" t="str">
        <f>"1-32-5"</f>
        <v>1-32-5</v>
      </c>
      <c r="F1601" t="s">
        <v>65</v>
      </c>
      <c r="G1601" t="s">
        <v>66</v>
      </c>
      <c r="H1601" t="s">
        <v>67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1</v>
      </c>
      <c r="AH1601">
        <v>1</v>
      </c>
      <c r="AI1601">
        <v>1</v>
      </c>
      <c r="AJ1601">
        <v>1</v>
      </c>
      <c r="AK1601">
        <v>1</v>
      </c>
      <c r="AL1601">
        <v>1</v>
      </c>
      <c r="AM1601">
        <v>0</v>
      </c>
    </row>
    <row r="1602" spans="1:39" x14ac:dyDescent="0.2">
      <c r="A1602" t="str">
        <f>"1598"</f>
        <v>1598</v>
      </c>
      <c r="B1602" t="str">
        <f t="shared" si="89"/>
        <v>1</v>
      </c>
      <c r="C1602" t="str">
        <f t="shared" si="88"/>
        <v>32</v>
      </c>
      <c r="D1602" t="str">
        <f>"32"</f>
        <v>32</v>
      </c>
      <c r="E1602" t="str">
        <f>"1-32-32"</f>
        <v>1-32-32</v>
      </c>
      <c r="F1602" t="s">
        <v>65</v>
      </c>
      <c r="G1602" t="s">
        <v>66</v>
      </c>
      <c r="H1602" t="s">
        <v>67</v>
      </c>
      <c r="S1602">
        <v>1</v>
      </c>
      <c r="T1602">
        <v>0</v>
      </c>
      <c r="U1602">
        <v>0</v>
      </c>
      <c r="V1602">
        <v>0</v>
      </c>
      <c r="W1602">
        <v>1</v>
      </c>
      <c r="X1602">
        <v>0</v>
      </c>
      <c r="Y1602">
        <v>0</v>
      </c>
      <c r="Z1602">
        <v>1</v>
      </c>
      <c r="AA1602">
        <v>1</v>
      </c>
      <c r="AB1602">
        <v>0</v>
      </c>
      <c r="AC1602">
        <v>0</v>
      </c>
      <c r="AD1602">
        <v>1</v>
      </c>
      <c r="AE1602">
        <v>1</v>
      </c>
      <c r="AF1602">
        <v>1</v>
      </c>
      <c r="AG1602">
        <v>0</v>
      </c>
      <c r="AH1602">
        <v>0</v>
      </c>
      <c r="AI1602">
        <v>1</v>
      </c>
      <c r="AJ1602">
        <v>1</v>
      </c>
      <c r="AK1602">
        <v>0</v>
      </c>
      <c r="AL1602">
        <v>1</v>
      </c>
      <c r="AM1602">
        <v>1</v>
      </c>
    </row>
    <row r="1603" spans="1:39" x14ac:dyDescent="0.2">
      <c r="A1603" t="str">
        <f>"1599"</f>
        <v>1599</v>
      </c>
      <c r="B1603" t="str">
        <f t="shared" si="89"/>
        <v>1</v>
      </c>
      <c r="C1603" t="str">
        <f t="shared" si="88"/>
        <v>32</v>
      </c>
      <c r="D1603" t="str">
        <f>"9"</f>
        <v>9</v>
      </c>
      <c r="E1603" t="str">
        <f>"1-32-9"</f>
        <v>1-32-9</v>
      </c>
      <c r="F1603" t="s">
        <v>65</v>
      </c>
      <c r="G1603" t="s">
        <v>66</v>
      </c>
      <c r="H1603" t="s">
        <v>67</v>
      </c>
      <c r="S1603">
        <v>0</v>
      </c>
      <c r="T1603">
        <v>1</v>
      </c>
      <c r="U1603">
        <v>0</v>
      </c>
      <c r="V1603">
        <v>0</v>
      </c>
      <c r="W1603">
        <v>1</v>
      </c>
      <c r="X1603">
        <v>0</v>
      </c>
      <c r="Y1603">
        <v>0</v>
      </c>
      <c r="Z1603">
        <v>1</v>
      </c>
      <c r="AA1603">
        <v>0</v>
      </c>
      <c r="AB1603">
        <v>1</v>
      </c>
      <c r="AC1603">
        <v>0</v>
      </c>
      <c r="AD1603">
        <v>1</v>
      </c>
      <c r="AE1603">
        <v>1</v>
      </c>
      <c r="AF1603">
        <v>1</v>
      </c>
      <c r="AG1603">
        <v>1</v>
      </c>
      <c r="AH1603">
        <v>1</v>
      </c>
      <c r="AI1603">
        <v>1</v>
      </c>
      <c r="AJ1603">
        <v>1</v>
      </c>
      <c r="AK1603">
        <v>1</v>
      </c>
      <c r="AL1603">
        <v>1</v>
      </c>
      <c r="AM1603">
        <v>1</v>
      </c>
    </row>
    <row r="1604" spans="1:39" x14ac:dyDescent="0.2">
      <c r="A1604" t="str">
        <f>"1600"</f>
        <v>1600</v>
      </c>
      <c r="B1604" t="str">
        <f t="shared" si="89"/>
        <v>1</v>
      </c>
      <c r="C1604" t="str">
        <f t="shared" si="88"/>
        <v>32</v>
      </c>
      <c r="D1604" t="str">
        <f>"4"</f>
        <v>4</v>
      </c>
      <c r="E1604" t="str">
        <f>"1-32-4"</f>
        <v>1-32-4</v>
      </c>
      <c r="F1604" t="s">
        <v>65</v>
      </c>
      <c r="G1604" t="s">
        <v>66</v>
      </c>
      <c r="H1604" t="s">
        <v>67</v>
      </c>
      <c r="S1604">
        <v>1</v>
      </c>
      <c r="T1604">
        <v>0</v>
      </c>
      <c r="U1604">
        <v>0</v>
      </c>
      <c r="V1604">
        <v>0</v>
      </c>
      <c r="W1604">
        <v>1</v>
      </c>
      <c r="X1604">
        <v>0</v>
      </c>
      <c r="Y1604">
        <v>1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</row>
    <row r="1605" spans="1:39" x14ac:dyDescent="0.2">
      <c r="A1605" t="str">
        <f>"1601"</f>
        <v>1601</v>
      </c>
      <c r="B1605" t="str">
        <f t="shared" si="89"/>
        <v>1</v>
      </c>
      <c r="C1605" t="str">
        <f t="shared" ref="C1605:C1636" si="90">"33"</f>
        <v>33</v>
      </c>
      <c r="D1605" t="str">
        <f>"36"</f>
        <v>36</v>
      </c>
      <c r="E1605" t="str">
        <f>"1-33-36"</f>
        <v>1-33-36</v>
      </c>
      <c r="F1605" t="s">
        <v>65</v>
      </c>
      <c r="G1605" t="s">
        <v>66</v>
      </c>
      <c r="H1605" t="s">
        <v>67</v>
      </c>
      <c r="S1605">
        <v>1</v>
      </c>
      <c r="T1605">
        <v>0</v>
      </c>
      <c r="U1605">
        <v>0</v>
      </c>
      <c r="V1605">
        <v>0</v>
      </c>
      <c r="W1605">
        <v>1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</row>
    <row r="1606" spans="1:39" x14ac:dyDescent="0.2">
      <c r="A1606" t="str">
        <f>"1602"</f>
        <v>1602</v>
      </c>
      <c r="B1606" t="str">
        <f t="shared" si="89"/>
        <v>1</v>
      </c>
      <c r="C1606" t="str">
        <f t="shared" si="90"/>
        <v>33</v>
      </c>
      <c r="D1606" t="str">
        <f>"35"</f>
        <v>35</v>
      </c>
      <c r="E1606" t="str">
        <f>"1-33-35"</f>
        <v>1-33-35</v>
      </c>
      <c r="F1606" t="s">
        <v>65</v>
      </c>
      <c r="G1606" t="s">
        <v>66</v>
      </c>
      <c r="H1606" t="s">
        <v>67</v>
      </c>
      <c r="S1606">
        <v>0</v>
      </c>
      <c r="T1606">
        <v>1</v>
      </c>
      <c r="U1606">
        <v>0</v>
      </c>
      <c r="V1606">
        <v>0</v>
      </c>
      <c r="W1606">
        <v>0</v>
      </c>
      <c r="X1606">
        <v>1</v>
      </c>
      <c r="Y1606">
        <v>1</v>
      </c>
      <c r="Z1606">
        <v>0</v>
      </c>
      <c r="AA1606">
        <v>0</v>
      </c>
      <c r="AB1606">
        <v>1</v>
      </c>
      <c r="AC1606">
        <v>0</v>
      </c>
      <c r="AD1606">
        <v>1</v>
      </c>
      <c r="AE1606">
        <v>1</v>
      </c>
      <c r="AF1606">
        <v>1</v>
      </c>
      <c r="AG1606">
        <v>1</v>
      </c>
      <c r="AH1606">
        <v>1</v>
      </c>
      <c r="AI1606">
        <v>1</v>
      </c>
      <c r="AJ1606">
        <v>0</v>
      </c>
      <c r="AK1606">
        <v>1</v>
      </c>
      <c r="AL1606">
        <v>1</v>
      </c>
      <c r="AM1606">
        <v>1</v>
      </c>
    </row>
    <row r="1607" spans="1:39" x14ac:dyDescent="0.2">
      <c r="A1607" t="str">
        <f>"1603"</f>
        <v>1603</v>
      </c>
      <c r="B1607" t="str">
        <f t="shared" si="89"/>
        <v>1</v>
      </c>
      <c r="C1607" t="str">
        <f t="shared" si="90"/>
        <v>33</v>
      </c>
      <c r="D1607" t="str">
        <f>"22"</f>
        <v>22</v>
      </c>
      <c r="E1607" t="str">
        <f>"1-33-22"</f>
        <v>1-33-22</v>
      </c>
      <c r="F1607" t="s">
        <v>65</v>
      </c>
      <c r="G1607" t="s">
        <v>66</v>
      </c>
      <c r="H1607" t="s">
        <v>67</v>
      </c>
      <c r="S1607">
        <v>1</v>
      </c>
      <c r="T1607">
        <v>0</v>
      </c>
      <c r="U1607">
        <v>0</v>
      </c>
      <c r="V1607">
        <v>0</v>
      </c>
      <c r="W1607">
        <v>1</v>
      </c>
      <c r="X1607">
        <v>0</v>
      </c>
      <c r="Y1607">
        <v>1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1</v>
      </c>
      <c r="AF1607">
        <v>1</v>
      </c>
      <c r="AG1607">
        <v>0</v>
      </c>
      <c r="AH1607">
        <v>0</v>
      </c>
      <c r="AI1607">
        <v>0</v>
      </c>
      <c r="AJ1607">
        <v>1</v>
      </c>
      <c r="AK1607">
        <v>1</v>
      </c>
      <c r="AL1607">
        <v>1</v>
      </c>
      <c r="AM1607">
        <v>1</v>
      </c>
    </row>
    <row r="1608" spans="1:39" x14ac:dyDescent="0.2">
      <c r="A1608" t="str">
        <f>"1604"</f>
        <v>1604</v>
      </c>
      <c r="B1608" t="str">
        <f t="shared" si="89"/>
        <v>1</v>
      </c>
      <c r="C1608" t="str">
        <f t="shared" si="90"/>
        <v>33</v>
      </c>
      <c r="D1608" t="str">
        <f>"21"</f>
        <v>21</v>
      </c>
      <c r="E1608" t="str">
        <f>"1-33-21"</f>
        <v>1-33-21</v>
      </c>
      <c r="F1608" t="s">
        <v>65</v>
      </c>
      <c r="G1608" t="s">
        <v>66</v>
      </c>
      <c r="H1608" t="s">
        <v>67</v>
      </c>
      <c r="S1608">
        <v>0</v>
      </c>
      <c r="T1608">
        <v>1</v>
      </c>
      <c r="U1608">
        <v>0</v>
      </c>
      <c r="V1608">
        <v>0</v>
      </c>
      <c r="W1608">
        <v>1</v>
      </c>
      <c r="X1608">
        <v>0</v>
      </c>
      <c r="Y1608">
        <v>1</v>
      </c>
      <c r="Z1608">
        <v>0</v>
      </c>
      <c r="AA1608">
        <v>0</v>
      </c>
      <c r="AB1608">
        <v>1</v>
      </c>
      <c r="AC1608">
        <v>0</v>
      </c>
      <c r="AD1608">
        <v>1</v>
      </c>
      <c r="AE1608">
        <v>1</v>
      </c>
      <c r="AF1608">
        <v>1</v>
      </c>
      <c r="AG1608">
        <v>1</v>
      </c>
      <c r="AH1608">
        <v>1</v>
      </c>
      <c r="AI1608">
        <v>1</v>
      </c>
      <c r="AJ1608">
        <v>1</v>
      </c>
      <c r="AK1608">
        <v>1</v>
      </c>
      <c r="AL1608">
        <v>1</v>
      </c>
      <c r="AM1608">
        <v>0</v>
      </c>
    </row>
    <row r="1609" spans="1:39" x14ac:dyDescent="0.2">
      <c r="A1609" t="str">
        <f>"1605"</f>
        <v>1605</v>
      </c>
      <c r="B1609" t="str">
        <f t="shared" si="89"/>
        <v>1</v>
      </c>
      <c r="C1609" t="str">
        <f t="shared" si="90"/>
        <v>33</v>
      </c>
      <c r="D1609" t="str">
        <f>"19"</f>
        <v>19</v>
      </c>
      <c r="E1609" t="str">
        <f>"1-33-19"</f>
        <v>1-33-19</v>
      </c>
      <c r="F1609" t="s">
        <v>65</v>
      </c>
      <c r="G1609" t="s">
        <v>66</v>
      </c>
      <c r="H1609" t="s">
        <v>67</v>
      </c>
      <c r="S1609">
        <v>1</v>
      </c>
      <c r="T1609">
        <v>0</v>
      </c>
      <c r="U1609">
        <v>0</v>
      </c>
      <c r="V1609">
        <v>0</v>
      </c>
      <c r="W1609">
        <v>1</v>
      </c>
      <c r="X1609">
        <v>0</v>
      </c>
      <c r="Y1609">
        <v>1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1</v>
      </c>
      <c r="AF1609">
        <v>1</v>
      </c>
      <c r="AG1609">
        <v>1</v>
      </c>
      <c r="AH1609">
        <v>1</v>
      </c>
      <c r="AI1609">
        <v>1</v>
      </c>
      <c r="AJ1609">
        <v>1</v>
      </c>
      <c r="AK1609">
        <v>1</v>
      </c>
      <c r="AL1609">
        <v>1</v>
      </c>
      <c r="AM1609">
        <v>1</v>
      </c>
    </row>
    <row r="1610" spans="1:39" x14ac:dyDescent="0.2">
      <c r="A1610" t="str">
        <f>"1606"</f>
        <v>1606</v>
      </c>
      <c r="B1610" t="str">
        <f t="shared" si="89"/>
        <v>1</v>
      </c>
      <c r="C1610" t="str">
        <f t="shared" si="90"/>
        <v>33</v>
      </c>
      <c r="D1610" t="str">
        <f>"15"</f>
        <v>15</v>
      </c>
      <c r="E1610" t="str">
        <f>"1-33-15"</f>
        <v>1-33-15</v>
      </c>
      <c r="F1610" t="s">
        <v>65</v>
      </c>
      <c r="G1610" t="s">
        <v>66</v>
      </c>
      <c r="H1610" t="s">
        <v>67</v>
      </c>
      <c r="S1610">
        <v>0</v>
      </c>
      <c r="T1610">
        <v>1</v>
      </c>
      <c r="U1610">
        <v>0</v>
      </c>
      <c r="V1610">
        <v>0</v>
      </c>
      <c r="W1610">
        <v>1</v>
      </c>
      <c r="X1610">
        <v>0</v>
      </c>
      <c r="Y1610">
        <v>1</v>
      </c>
      <c r="Z1610">
        <v>0</v>
      </c>
      <c r="AA1610">
        <v>0</v>
      </c>
      <c r="AB1610">
        <v>0</v>
      </c>
      <c r="AC1610">
        <v>1</v>
      </c>
      <c r="AD1610">
        <v>0</v>
      </c>
      <c r="AE1610">
        <v>0</v>
      </c>
      <c r="AF1610">
        <v>0</v>
      </c>
      <c r="AG1610">
        <v>1</v>
      </c>
      <c r="AH1610">
        <v>0</v>
      </c>
      <c r="AI1610">
        <v>1</v>
      </c>
      <c r="AJ1610">
        <v>1</v>
      </c>
      <c r="AK1610">
        <v>0</v>
      </c>
      <c r="AL1610">
        <v>0</v>
      </c>
      <c r="AM1610">
        <v>0</v>
      </c>
    </row>
    <row r="1611" spans="1:39" x14ac:dyDescent="0.2">
      <c r="A1611" t="str">
        <f>"1607"</f>
        <v>1607</v>
      </c>
      <c r="B1611" t="str">
        <f t="shared" si="89"/>
        <v>1</v>
      </c>
      <c r="C1611" t="str">
        <f t="shared" si="90"/>
        <v>33</v>
      </c>
      <c r="D1611" t="str">
        <f>"6"</f>
        <v>6</v>
      </c>
      <c r="E1611" t="str">
        <f>"1-33-6"</f>
        <v>1-33-6</v>
      </c>
      <c r="F1611" t="s">
        <v>65</v>
      </c>
      <c r="G1611" t="s">
        <v>66</v>
      </c>
      <c r="H1611" t="s">
        <v>67</v>
      </c>
      <c r="S1611">
        <v>0</v>
      </c>
      <c r="T1611">
        <v>1</v>
      </c>
      <c r="U1611">
        <v>0</v>
      </c>
      <c r="V1611">
        <v>0</v>
      </c>
      <c r="W1611">
        <v>1</v>
      </c>
      <c r="X1611">
        <v>0</v>
      </c>
      <c r="Y1611">
        <v>1</v>
      </c>
      <c r="Z1611">
        <v>0</v>
      </c>
      <c r="AA1611">
        <v>0</v>
      </c>
      <c r="AB1611">
        <v>0</v>
      </c>
      <c r="AC1611">
        <v>1</v>
      </c>
      <c r="AD1611">
        <v>1</v>
      </c>
      <c r="AE1611">
        <v>1</v>
      </c>
      <c r="AF1611">
        <v>1</v>
      </c>
      <c r="AG1611">
        <v>1</v>
      </c>
      <c r="AH1611">
        <v>1</v>
      </c>
      <c r="AI1611">
        <v>1</v>
      </c>
      <c r="AJ1611">
        <v>1</v>
      </c>
      <c r="AK1611">
        <v>1</v>
      </c>
      <c r="AL1611">
        <v>1</v>
      </c>
      <c r="AM1611">
        <v>1</v>
      </c>
    </row>
    <row r="1612" spans="1:39" x14ac:dyDescent="0.2">
      <c r="A1612" t="str">
        <f>"1608"</f>
        <v>1608</v>
      </c>
      <c r="B1612" t="str">
        <f t="shared" si="89"/>
        <v>1</v>
      </c>
      <c r="C1612" t="str">
        <f t="shared" si="90"/>
        <v>33</v>
      </c>
      <c r="D1612" t="str">
        <f>"38"</f>
        <v>38</v>
      </c>
      <c r="E1612" t="str">
        <f>"1-33-38"</f>
        <v>1-33-38</v>
      </c>
      <c r="F1612" t="s">
        <v>65</v>
      </c>
      <c r="G1612" t="s">
        <v>66</v>
      </c>
      <c r="H1612" t="s">
        <v>67</v>
      </c>
      <c r="S1612">
        <v>1</v>
      </c>
      <c r="T1612">
        <v>0</v>
      </c>
      <c r="U1612">
        <v>0</v>
      </c>
      <c r="V1612">
        <v>0</v>
      </c>
      <c r="W1612">
        <v>1</v>
      </c>
      <c r="X1612">
        <v>0</v>
      </c>
      <c r="Y1612">
        <v>1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1</v>
      </c>
      <c r="AF1612">
        <v>1</v>
      </c>
      <c r="AG1612">
        <v>1</v>
      </c>
      <c r="AH1612">
        <v>1</v>
      </c>
      <c r="AI1612">
        <v>1</v>
      </c>
      <c r="AJ1612">
        <v>1</v>
      </c>
      <c r="AK1612">
        <v>1</v>
      </c>
      <c r="AL1612">
        <v>1</v>
      </c>
      <c r="AM1612">
        <v>1</v>
      </c>
    </row>
    <row r="1613" spans="1:39" x14ac:dyDescent="0.2">
      <c r="A1613" t="str">
        <f>"1609"</f>
        <v>1609</v>
      </c>
      <c r="B1613" t="str">
        <f t="shared" si="89"/>
        <v>1</v>
      </c>
      <c r="C1613" t="str">
        <f t="shared" si="90"/>
        <v>33</v>
      </c>
      <c r="D1613" t="str">
        <f>"37"</f>
        <v>37</v>
      </c>
      <c r="E1613" t="str">
        <f>"1-33-37"</f>
        <v>1-33-37</v>
      </c>
      <c r="F1613" t="s">
        <v>65</v>
      </c>
      <c r="G1613" t="s">
        <v>66</v>
      </c>
      <c r="H1613" t="s">
        <v>67</v>
      </c>
      <c r="S1613">
        <v>1</v>
      </c>
      <c r="T1613">
        <v>0</v>
      </c>
      <c r="U1613">
        <v>0</v>
      </c>
      <c r="V1613">
        <v>0</v>
      </c>
      <c r="W1613">
        <v>1</v>
      </c>
      <c r="X1613">
        <v>0</v>
      </c>
      <c r="Y1613">
        <v>1</v>
      </c>
      <c r="Z1613">
        <v>0</v>
      </c>
      <c r="AA1613">
        <v>1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1</v>
      </c>
      <c r="AM1613">
        <v>1</v>
      </c>
    </row>
    <row r="1614" spans="1:39" x14ac:dyDescent="0.2">
      <c r="A1614" t="str">
        <f>"1610"</f>
        <v>1610</v>
      </c>
      <c r="B1614" t="str">
        <f t="shared" si="89"/>
        <v>1</v>
      </c>
      <c r="C1614" t="str">
        <f t="shared" si="90"/>
        <v>33</v>
      </c>
      <c r="D1614" t="str">
        <f>"31"</f>
        <v>31</v>
      </c>
      <c r="E1614" t="str">
        <f>"1-33-31"</f>
        <v>1-33-31</v>
      </c>
      <c r="F1614" t="s">
        <v>65</v>
      </c>
      <c r="G1614" t="s">
        <v>66</v>
      </c>
      <c r="H1614" t="s">
        <v>67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1</v>
      </c>
      <c r="Y1614">
        <v>1</v>
      </c>
      <c r="Z1614">
        <v>0</v>
      </c>
      <c r="AA1614">
        <v>0</v>
      </c>
      <c r="AB1614">
        <v>1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</row>
    <row r="1615" spans="1:39" x14ac:dyDescent="0.2">
      <c r="A1615" t="str">
        <f>"1611"</f>
        <v>1611</v>
      </c>
      <c r="B1615" t="str">
        <f t="shared" si="89"/>
        <v>1</v>
      </c>
      <c r="C1615" t="str">
        <f t="shared" si="90"/>
        <v>33</v>
      </c>
      <c r="D1615" t="str">
        <f>"16"</f>
        <v>16</v>
      </c>
      <c r="E1615" t="str">
        <f>"1-33-16"</f>
        <v>1-33-16</v>
      </c>
      <c r="F1615" t="s">
        <v>65</v>
      </c>
      <c r="G1615" t="s">
        <v>66</v>
      </c>
      <c r="H1615" t="s">
        <v>67</v>
      </c>
      <c r="S1615">
        <v>0</v>
      </c>
      <c r="T1615">
        <v>1</v>
      </c>
      <c r="U1615">
        <v>0</v>
      </c>
      <c r="V1615">
        <v>0</v>
      </c>
      <c r="W1615">
        <v>1</v>
      </c>
      <c r="X1615">
        <v>0</v>
      </c>
      <c r="Y1615">
        <v>1</v>
      </c>
      <c r="Z1615">
        <v>0</v>
      </c>
      <c r="AA1615">
        <v>0</v>
      </c>
      <c r="AB1615">
        <v>0</v>
      </c>
      <c r="AC1615">
        <v>1</v>
      </c>
      <c r="AD1615">
        <v>1</v>
      </c>
      <c r="AE1615">
        <v>1</v>
      </c>
      <c r="AF1615">
        <v>1</v>
      </c>
      <c r="AG1615">
        <v>1</v>
      </c>
      <c r="AH1615">
        <v>1</v>
      </c>
      <c r="AI1615">
        <v>1</v>
      </c>
      <c r="AJ1615">
        <v>1</v>
      </c>
      <c r="AK1615">
        <v>1</v>
      </c>
      <c r="AL1615">
        <v>1</v>
      </c>
      <c r="AM1615">
        <v>1</v>
      </c>
    </row>
    <row r="1616" spans="1:39" x14ac:dyDescent="0.2">
      <c r="A1616" t="str">
        <f>"1612"</f>
        <v>1612</v>
      </c>
      <c r="B1616" t="str">
        <f t="shared" si="89"/>
        <v>1</v>
      </c>
      <c r="C1616" t="str">
        <f t="shared" si="90"/>
        <v>33</v>
      </c>
      <c r="D1616" t="str">
        <f>"41"</f>
        <v>41</v>
      </c>
      <c r="E1616" t="str">
        <f>"1-33-41"</f>
        <v>1-33-41</v>
      </c>
      <c r="F1616" t="s">
        <v>65</v>
      </c>
      <c r="G1616" t="s">
        <v>66</v>
      </c>
      <c r="H1616" t="s">
        <v>67</v>
      </c>
      <c r="S1616">
        <v>0</v>
      </c>
      <c r="T1616">
        <v>1</v>
      </c>
      <c r="U1616">
        <v>0</v>
      </c>
      <c r="V1616">
        <v>0</v>
      </c>
      <c r="W1616">
        <v>0</v>
      </c>
      <c r="X1616">
        <v>1</v>
      </c>
      <c r="Y1616">
        <v>1</v>
      </c>
      <c r="Z1616">
        <v>0</v>
      </c>
      <c r="AA1616">
        <v>0</v>
      </c>
      <c r="AB1616">
        <v>0</v>
      </c>
      <c r="AC1616">
        <v>1</v>
      </c>
      <c r="AD1616">
        <v>1</v>
      </c>
      <c r="AE1616">
        <v>1</v>
      </c>
      <c r="AF1616">
        <v>1</v>
      </c>
      <c r="AG1616">
        <v>1</v>
      </c>
      <c r="AH1616">
        <v>1</v>
      </c>
      <c r="AI1616">
        <v>1</v>
      </c>
      <c r="AJ1616">
        <v>1</v>
      </c>
      <c r="AK1616">
        <v>1</v>
      </c>
      <c r="AL1616">
        <v>1</v>
      </c>
      <c r="AM1616">
        <v>1</v>
      </c>
    </row>
    <row r="1617" spans="1:39" x14ac:dyDescent="0.2">
      <c r="A1617" t="str">
        <f>"1613"</f>
        <v>1613</v>
      </c>
      <c r="B1617" t="str">
        <f t="shared" si="89"/>
        <v>1</v>
      </c>
      <c r="C1617" t="str">
        <f t="shared" si="90"/>
        <v>33</v>
      </c>
      <c r="D1617" t="str">
        <f>"40"</f>
        <v>40</v>
      </c>
      <c r="E1617" t="str">
        <f>"1-33-40"</f>
        <v>1-33-40</v>
      </c>
      <c r="F1617" t="s">
        <v>65</v>
      </c>
      <c r="G1617" t="s">
        <v>66</v>
      </c>
      <c r="H1617" t="s">
        <v>67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1</v>
      </c>
      <c r="Y1617">
        <v>0</v>
      </c>
      <c r="Z1617">
        <v>1</v>
      </c>
      <c r="AA1617">
        <v>0</v>
      </c>
      <c r="AB1617">
        <v>0</v>
      </c>
      <c r="AC1617">
        <v>1</v>
      </c>
      <c r="AD1617">
        <v>1</v>
      </c>
      <c r="AE1617">
        <v>1</v>
      </c>
      <c r="AF1617">
        <v>1</v>
      </c>
      <c r="AG1617">
        <v>1</v>
      </c>
      <c r="AH1617">
        <v>1</v>
      </c>
      <c r="AI1617">
        <v>1</v>
      </c>
      <c r="AJ1617">
        <v>1</v>
      </c>
      <c r="AK1617">
        <v>1</v>
      </c>
      <c r="AL1617">
        <v>1</v>
      </c>
      <c r="AM1617">
        <v>1</v>
      </c>
    </row>
    <row r="1618" spans="1:39" x14ac:dyDescent="0.2">
      <c r="A1618" t="str">
        <f>"1614"</f>
        <v>1614</v>
      </c>
      <c r="B1618" t="str">
        <f t="shared" si="89"/>
        <v>1</v>
      </c>
      <c r="C1618" t="str">
        <f t="shared" si="90"/>
        <v>33</v>
      </c>
      <c r="D1618" t="str">
        <f>"34"</f>
        <v>34</v>
      </c>
      <c r="E1618" t="str">
        <f>"1-33-34"</f>
        <v>1-33-34</v>
      </c>
      <c r="F1618" t="s">
        <v>65</v>
      </c>
      <c r="G1618" t="s">
        <v>66</v>
      </c>
      <c r="H1618" t="s">
        <v>67</v>
      </c>
      <c r="S1618">
        <v>0</v>
      </c>
      <c r="T1618">
        <v>0</v>
      </c>
      <c r="U1618">
        <v>0</v>
      </c>
      <c r="V1618">
        <v>0</v>
      </c>
      <c r="W1618">
        <v>1</v>
      </c>
      <c r="X1618">
        <v>0</v>
      </c>
      <c r="Y1618">
        <v>0</v>
      </c>
      <c r="Z1618">
        <v>0</v>
      </c>
      <c r="AA1618">
        <v>0</v>
      </c>
      <c r="AB1618">
        <v>1</v>
      </c>
      <c r="AC1618">
        <v>0</v>
      </c>
      <c r="AD1618">
        <v>1</v>
      </c>
      <c r="AE1618">
        <v>0</v>
      </c>
      <c r="AF1618">
        <v>0</v>
      </c>
      <c r="AG1618">
        <v>0</v>
      </c>
      <c r="AH1618">
        <v>1</v>
      </c>
      <c r="AI1618">
        <v>1</v>
      </c>
      <c r="AJ1618">
        <v>1</v>
      </c>
      <c r="AK1618">
        <v>1</v>
      </c>
      <c r="AL1618">
        <v>1</v>
      </c>
      <c r="AM1618">
        <v>0</v>
      </c>
    </row>
    <row r="1619" spans="1:39" x14ac:dyDescent="0.2">
      <c r="A1619" t="str">
        <f>"1615"</f>
        <v>1615</v>
      </c>
      <c r="B1619" t="str">
        <f t="shared" si="89"/>
        <v>1</v>
      </c>
      <c r="C1619" t="str">
        <f t="shared" si="90"/>
        <v>33</v>
      </c>
      <c r="D1619" t="str">
        <f>"17"</f>
        <v>17</v>
      </c>
      <c r="E1619" t="str">
        <f>"1-33-17"</f>
        <v>1-33-17</v>
      </c>
      <c r="F1619" t="s">
        <v>65</v>
      </c>
      <c r="G1619" t="s">
        <v>66</v>
      </c>
      <c r="H1619" t="s">
        <v>67</v>
      </c>
      <c r="S1619">
        <v>1</v>
      </c>
      <c r="T1619">
        <v>0</v>
      </c>
      <c r="U1619">
        <v>0</v>
      </c>
      <c r="V1619">
        <v>0</v>
      </c>
      <c r="W1619">
        <v>1</v>
      </c>
      <c r="X1619">
        <v>0</v>
      </c>
      <c r="Y1619">
        <v>1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1</v>
      </c>
      <c r="AF1619">
        <v>1</v>
      </c>
      <c r="AG1619">
        <v>1</v>
      </c>
      <c r="AH1619">
        <v>1</v>
      </c>
      <c r="AI1619">
        <v>1</v>
      </c>
      <c r="AJ1619">
        <v>1</v>
      </c>
      <c r="AK1619">
        <v>1</v>
      </c>
      <c r="AL1619">
        <v>1</v>
      </c>
      <c r="AM1619">
        <v>1</v>
      </c>
    </row>
    <row r="1620" spans="1:39" x14ac:dyDescent="0.2">
      <c r="A1620" t="str">
        <f>"1616"</f>
        <v>1616</v>
      </c>
      <c r="B1620" t="str">
        <f t="shared" si="89"/>
        <v>1</v>
      </c>
      <c r="C1620" t="str">
        <f t="shared" si="90"/>
        <v>33</v>
      </c>
      <c r="D1620" t="str">
        <f>"9"</f>
        <v>9</v>
      </c>
      <c r="E1620" t="str">
        <f>"1-33-9"</f>
        <v>1-33-9</v>
      </c>
      <c r="F1620" t="s">
        <v>65</v>
      </c>
      <c r="G1620" t="s">
        <v>66</v>
      </c>
      <c r="H1620" t="s">
        <v>67</v>
      </c>
      <c r="S1620">
        <v>1</v>
      </c>
      <c r="T1620">
        <v>0</v>
      </c>
      <c r="U1620">
        <v>0</v>
      </c>
      <c r="V1620">
        <v>0</v>
      </c>
      <c r="W1620">
        <v>1</v>
      </c>
      <c r="X1620">
        <v>0</v>
      </c>
      <c r="Y1620">
        <v>1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1</v>
      </c>
      <c r="AF1620">
        <v>0</v>
      </c>
      <c r="AG1620">
        <v>1</v>
      </c>
      <c r="AH1620">
        <v>1</v>
      </c>
      <c r="AI1620">
        <v>1</v>
      </c>
      <c r="AJ1620">
        <v>1</v>
      </c>
      <c r="AK1620">
        <v>1</v>
      </c>
      <c r="AL1620">
        <v>1</v>
      </c>
      <c r="AM1620">
        <v>1</v>
      </c>
    </row>
    <row r="1621" spans="1:39" x14ac:dyDescent="0.2">
      <c r="A1621" t="str">
        <f>"1617"</f>
        <v>1617</v>
      </c>
      <c r="B1621" t="str">
        <f t="shared" si="89"/>
        <v>1</v>
      </c>
      <c r="C1621" t="str">
        <f t="shared" si="90"/>
        <v>33</v>
      </c>
      <c r="D1621" t="str">
        <f>"43"</f>
        <v>43</v>
      </c>
      <c r="E1621" t="str">
        <f>"1-33-43"</f>
        <v>1-33-43</v>
      </c>
      <c r="F1621" t="s">
        <v>65</v>
      </c>
      <c r="G1621" t="s">
        <v>66</v>
      </c>
      <c r="H1621" t="s">
        <v>67</v>
      </c>
      <c r="S1621">
        <v>1</v>
      </c>
      <c r="T1621">
        <v>0</v>
      </c>
      <c r="U1621">
        <v>0</v>
      </c>
      <c r="V1621">
        <v>0</v>
      </c>
      <c r="W1621">
        <v>1</v>
      </c>
      <c r="X1621">
        <v>0</v>
      </c>
      <c r="Y1621">
        <v>1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1</v>
      </c>
      <c r="AF1621">
        <v>1</v>
      </c>
      <c r="AG1621">
        <v>1</v>
      </c>
      <c r="AH1621">
        <v>1</v>
      </c>
      <c r="AI1621">
        <v>1</v>
      </c>
      <c r="AJ1621">
        <v>1</v>
      </c>
      <c r="AK1621">
        <v>1</v>
      </c>
      <c r="AL1621">
        <v>1</v>
      </c>
      <c r="AM1621">
        <v>1</v>
      </c>
    </row>
    <row r="1622" spans="1:39" x14ac:dyDescent="0.2">
      <c r="A1622" t="str">
        <f>"1618"</f>
        <v>1618</v>
      </c>
      <c r="B1622" t="str">
        <f t="shared" si="89"/>
        <v>1</v>
      </c>
      <c r="C1622" t="str">
        <f t="shared" si="90"/>
        <v>33</v>
      </c>
      <c r="D1622" t="str">
        <f>"42"</f>
        <v>42</v>
      </c>
      <c r="E1622" t="str">
        <f>"1-33-42"</f>
        <v>1-33-42</v>
      </c>
      <c r="F1622" t="s">
        <v>65</v>
      </c>
      <c r="G1622" t="s">
        <v>66</v>
      </c>
      <c r="H1622" t="s">
        <v>67</v>
      </c>
      <c r="S1622">
        <v>0</v>
      </c>
      <c r="T1622">
        <v>1</v>
      </c>
      <c r="U1622">
        <v>0</v>
      </c>
      <c r="V1622">
        <v>0</v>
      </c>
      <c r="W1622">
        <v>0</v>
      </c>
      <c r="X1622">
        <v>1</v>
      </c>
      <c r="Y1622">
        <v>0</v>
      </c>
      <c r="Z1622">
        <v>1</v>
      </c>
      <c r="AA1622">
        <v>0</v>
      </c>
      <c r="AB1622">
        <v>0</v>
      </c>
      <c r="AC1622">
        <v>1</v>
      </c>
      <c r="AD1622">
        <v>1</v>
      </c>
      <c r="AE1622">
        <v>1</v>
      </c>
      <c r="AF1622">
        <v>0</v>
      </c>
      <c r="AG1622">
        <v>1</v>
      </c>
      <c r="AH1622">
        <v>1</v>
      </c>
      <c r="AI1622">
        <v>1</v>
      </c>
      <c r="AJ1622">
        <v>1</v>
      </c>
      <c r="AK1622">
        <v>1</v>
      </c>
      <c r="AL1622">
        <v>1</v>
      </c>
      <c r="AM1622">
        <v>0</v>
      </c>
    </row>
    <row r="1623" spans="1:39" x14ac:dyDescent="0.2">
      <c r="A1623" t="str">
        <f>"1619"</f>
        <v>1619</v>
      </c>
      <c r="B1623" t="str">
        <f t="shared" si="89"/>
        <v>1</v>
      </c>
      <c r="C1623" t="str">
        <f t="shared" si="90"/>
        <v>33</v>
      </c>
      <c r="D1623" t="str">
        <f>"33"</f>
        <v>33</v>
      </c>
      <c r="E1623" t="str">
        <f>"1-33-33"</f>
        <v>1-33-33</v>
      </c>
      <c r="F1623" t="s">
        <v>65</v>
      </c>
      <c r="G1623" t="s">
        <v>66</v>
      </c>
      <c r="H1623" t="s">
        <v>67</v>
      </c>
      <c r="S1623">
        <v>1</v>
      </c>
      <c r="T1623">
        <v>0</v>
      </c>
      <c r="U1623">
        <v>0</v>
      </c>
      <c r="V1623">
        <v>0</v>
      </c>
      <c r="W1623">
        <v>1</v>
      </c>
      <c r="X1623">
        <v>0</v>
      </c>
      <c r="Y1623">
        <v>1</v>
      </c>
      <c r="Z1623">
        <v>0</v>
      </c>
      <c r="AA1623">
        <v>0</v>
      </c>
      <c r="AB1623">
        <v>0</v>
      </c>
      <c r="AC1623">
        <v>1</v>
      </c>
      <c r="AD1623">
        <v>1</v>
      </c>
      <c r="AE1623">
        <v>1</v>
      </c>
      <c r="AF1623">
        <v>1</v>
      </c>
      <c r="AG1623">
        <v>1</v>
      </c>
      <c r="AH1623">
        <v>1</v>
      </c>
      <c r="AI1623">
        <v>1</v>
      </c>
      <c r="AJ1623">
        <v>1</v>
      </c>
      <c r="AK1623">
        <v>1</v>
      </c>
      <c r="AL1623">
        <v>1</v>
      </c>
      <c r="AM1623">
        <v>1</v>
      </c>
    </row>
    <row r="1624" spans="1:39" x14ac:dyDescent="0.2">
      <c r="A1624" t="str">
        <f>"1620"</f>
        <v>1620</v>
      </c>
      <c r="B1624" t="str">
        <f t="shared" si="89"/>
        <v>1</v>
      </c>
      <c r="C1624" t="str">
        <f t="shared" si="90"/>
        <v>33</v>
      </c>
      <c r="D1624" t="str">
        <f>"18"</f>
        <v>18</v>
      </c>
      <c r="E1624" t="str">
        <f>"1-33-18"</f>
        <v>1-33-18</v>
      </c>
      <c r="F1624" t="s">
        <v>65</v>
      </c>
      <c r="G1624" t="s">
        <v>66</v>
      </c>
      <c r="H1624" t="s">
        <v>67</v>
      </c>
      <c r="S1624">
        <v>1</v>
      </c>
      <c r="T1624">
        <v>0</v>
      </c>
      <c r="U1624">
        <v>0</v>
      </c>
      <c r="V1624">
        <v>0</v>
      </c>
      <c r="W1624">
        <v>1</v>
      </c>
      <c r="X1624">
        <v>0</v>
      </c>
      <c r="Y1624">
        <v>1</v>
      </c>
      <c r="Z1624">
        <v>0</v>
      </c>
      <c r="AA1624">
        <v>1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</row>
    <row r="1625" spans="1:39" x14ac:dyDescent="0.2">
      <c r="A1625" t="str">
        <f>"1621"</f>
        <v>1621</v>
      </c>
      <c r="B1625" t="str">
        <f t="shared" si="89"/>
        <v>1</v>
      </c>
      <c r="C1625" t="str">
        <f t="shared" si="90"/>
        <v>33</v>
      </c>
      <c r="D1625" t="str">
        <f>"39"</f>
        <v>39</v>
      </c>
      <c r="E1625" t="str">
        <f>"1-33-39"</f>
        <v>1-33-39</v>
      </c>
      <c r="F1625" t="s">
        <v>65</v>
      </c>
      <c r="G1625" t="s">
        <v>66</v>
      </c>
      <c r="H1625" t="s">
        <v>67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1</v>
      </c>
      <c r="Y1625">
        <v>1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1</v>
      </c>
      <c r="AF1625">
        <v>1</v>
      </c>
      <c r="AG1625">
        <v>1</v>
      </c>
      <c r="AH1625">
        <v>1</v>
      </c>
      <c r="AI1625">
        <v>1</v>
      </c>
      <c r="AJ1625">
        <v>1</v>
      </c>
      <c r="AK1625">
        <v>1</v>
      </c>
      <c r="AL1625">
        <v>1</v>
      </c>
      <c r="AM1625">
        <v>1</v>
      </c>
    </row>
    <row r="1626" spans="1:39" x14ac:dyDescent="0.2">
      <c r="A1626" t="str">
        <f>"1622"</f>
        <v>1622</v>
      </c>
      <c r="B1626" t="str">
        <f t="shared" si="89"/>
        <v>1</v>
      </c>
      <c r="C1626" t="str">
        <f t="shared" si="90"/>
        <v>33</v>
      </c>
      <c r="D1626" t="str">
        <f>"20"</f>
        <v>20</v>
      </c>
      <c r="E1626" t="str">
        <f>"1-33-20"</f>
        <v>1-33-20</v>
      </c>
      <c r="F1626" t="s">
        <v>65</v>
      </c>
      <c r="G1626" t="s">
        <v>66</v>
      </c>
      <c r="H1626" t="s">
        <v>67</v>
      </c>
      <c r="S1626">
        <v>1</v>
      </c>
      <c r="T1626">
        <v>0</v>
      </c>
      <c r="U1626">
        <v>0</v>
      </c>
      <c r="V1626">
        <v>0</v>
      </c>
      <c r="W1626">
        <v>1</v>
      </c>
      <c r="X1626">
        <v>0</v>
      </c>
      <c r="Y1626">
        <v>1</v>
      </c>
      <c r="Z1626">
        <v>0</v>
      </c>
      <c r="AA1626">
        <v>0</v>
      </c>
      <c r="AB1626">
        <v>0</v>
      </c>
      <c r="AC1626">
        <v>1</v>
      </c>
      <c r="AD1626">
        <v>1</v>
      </c>
      <c r="AE1626">
        <v>1</v>
      </c>
      <c r="AF1626">
        <v>1</v>
      </c>
      <c r="AG1626">
        <v>1</v>
      </c>
      <c r="AH1626">
        <v>1</v>
      </c>
      <c r="AI1626">
        <v>1</v>
      </c>
      <c r="AJ1626">
        <v>1</v>
      </c>
      <c r="AK1626">
        <v>1</v>
      </c>
      <c r="AL1626">
        <v>1</v>
      </c>
      <c r="AM1626">
        <v>1</v>
      </c>
    </row>
    <row r="1627" spans="1:39" x14ac:dyDescent="0.2">
      <c r="A1627" t="str">
        <f>"1623"</f>
        <v>1623</v>
      </c>
      <c r="B1627" t="str">
        <f t="shared" si="89"/>
        <v>1</v>
      </c>
      <c r="C1627" t="str">
        <f t="shared" si="90"/>
        <v>33</v>
      </c>
      <c r="D1627" t="str">
        <f>"4"</f>
        <v>4</v>
      </c>
      <c r="E1627" t="str">
        <f>"1-33-4"</f>
        <v>1-33-4</v>
      </c>
      <c r="F1627" t="s">
        <v>65</v>
      </c>
      <c r="G1627" t="s">
        <v>66</v>
      </c>
      <c r="H1627" t="s">
        <v>67</v>
      </c>
      <c r="S1627">
        <v>0</v>
      </c>
      <c r="T1627">
        <v>0</v>
      </c>
      <c r="U1627">
        <v>0</v>
      </c>
      <c r="V1627">
        <v>0</v>
      </c>
      <c r="W1627">
        <v>1</v>
      </c>
      <c r="X1627">
        <v>0</v>
      </c>
      <c r="Y1627">
        <v>0</v>
      </c>
      <c r="Z1627">
        <v>1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</row>
    <row r="1628" spans="1:39" x14ac:dyDescent="0.2">
      <c r="A1628" t="str">
        <f>"1624"</f>
        <v>1624</v>
      </c>
      <c r="B1628" t="str">
        <f t="shared" si="89"/>
        <v>1</v>
      </c>
      <c r="C1628" t="str">
        <f t="shared" si="90"/>
        <v>33</v>
      </c>
      <c r="D1628" t="str">
        <f>"45"</f>
        <v>45</v>
      </c>
      <c r="E1628" t="str">
        <f>"1-33-45"</f>
        <v>1-33-45</v>
      </c>
      <c r="F1628" t="s">
        <v>65</v>
      </c>
      <c r="G1628" t="s">
        <v>66</v>
      </c>
      <c r="H1628" t="s">
        <v>67</v>
      </c>
      <c r="S1628">
        <v>0</v>
      </c>
      <c r="T1628">
        <v>1</v>
      </c>
      <c r="U1628">
        <v>0</v>
      </c>
      <c r="V1628">
        <v>0</v>
      </c>
      <c r="W1628">
        <v>0</v>
      </c>
      <c r="X1628">
        <v>1</v>
      </c>
      <c r="Y1628">
        <v>0</v>
      </c>
      <c r="Z1628">
        <v>1</v>
      </c>
      <c r="AA1628">
        <v>0</v>
      </c>
      <c r="AB1628">
        <v>0</v>
      </c>
      <c r="AC1628">
        <v>1</v>
      </c>
      <c r="AD1628">
        <v>1</v>
      </c>
      <c r="AE1628">
        <v>1</v>
      </c>
      <c r="AF1628">
        <v>1</v>
      </c>
      <c r="AG1628">
        <v>1</v>
      </c>
      <c r="AH1628">
        <v>1</v>
      </c>
      <c r="AI1628">
        <v>1</v>
      </c>
      <c r="AJ1628">
        <v>1</v>
      </c>
      <c r="AK1628">
        <v>1</v>
      </c>
      <c r="AL1628">
        <v>1</v>
      </c>
      <c r="AM1628">
        <v>1</v>
      </c>
    </row>
    <row r="1629" spans="1:39" x14ac:dyDescent="0.2">
      <c r="A1629" t="str">
        <f>"1625"</f>
        <v>1625</v>
      </c>
      <c r="B1629" t="str">
        <f t="shared" si="89"/>
        <v>1</v>
      </c>
      <c r="C1629" t="str">
        <f t="shared" si="90"/>
        <v>33</v>
      </c>
      <c r="D1629" t="str">
        <f>"23"</f>
        <v>23</v>
      </c>
      <c r="E1629" t="str">
        <f>"1-33-23"</f>
        <v>1-33-23</v>
      </c>
      <c r="F1629" t="s">
        <v>65</v>
      </c>
      <c r="G1629" t="s">
        <v>66</v>
      </c>
      <c r="H1629" t="s">
        <v>67</v>
      </c>
      <c r="S1629">
        <v>1</v>
      </c>
      <c r="T1629">
        <v>0</v>
      </c>
      <c r="U1629">
        <v>0</v>
      </c>
      <c r="V1629">
        <v>0</v>
      </c>
      <c r="W1629">
        <v>1</v>
      </c>
      <c r="X1629">
        <v>0</v>
      </c>
      <c r="Y1629">
        <v>0</v>
      </c>
      <c r="Z1629">
        <v>1</v>
      </c>
      <c r="AA1629">
        <v>0</v>
      </c>
      <c r="AB1629">
        <v>0</v>
      </c>
      <c r="AC1629">
        <v>1</v>
      </c>
      <c r="AD1629">
        <v>1</v>
      </c>
      <c r="AE1629">
        <v>1</v>
      </c>
      <c r="AF1629">
        <v>1</v>
      </c>
      <c r="AG1629">
        <v>1</v>
      </c>
      <c r="AH1629">
        <v>1</v>
      </c>
      <c r="AI1629">
        <v>1</v>
      </c>
      <c r="AJ1629">
        <v>1</v>
      </c>
      <c r="AK1629">
        <v>1</v>
      </c>
      <c r="AL1629">
        <v>1</v>
      </c>
      <c r="AM1629">
        <v>1</v>
      </c>
    </row>
    <row r="1630" spans="1:39" x14ac:dyDescent="0.2">
      <c r="A1630" t="str">
        <f>"1626"</f>
        <v>1626</v>
      </c>
      <c r="B1630" t="str">
        <f t="shared" si="89"/>
        <v>1</v>
      </c>
      <c r="C1630" t="str">
        <f t="shared" si="90"/>
        <v>33</v>
      </c>
      <c r="D1630" t="str">
        <f>"1"</f>
        <v>1</v>
      </c>
      <c r="E1630" t="str">
        <f>"1-33-1"</f>
        <v>1-33-1</v>
      </c>
      <c r="F1630" t="s">
        <v>65</v>
      </c>
      <c r="G1630" t="s">
        <v>66</v>
      </c>
      <c r="H1630" t="s">
        <v>67</v>
      </c>
      <c r="S1630">
        <v>0</v>
      </c>
      <c r="T1630">
        <v>1</v>
      </c>
      <c r="U1630">
        <v>0</v>
      </c>
      <c r="V1630">
        <v>0</v>
      </c>
      <c r="W1630">
        <v>0</v>
      </c>
      <c r="X1630">
        <v>1</v>
      </c>
      <c r="Y1630">
        <v>1</v>
      </c>
      <c r="Z1630">
        <v>0</v>
      </c>
      <c r="AA1630">
        <v>0</v>
      </c>
      <c r="AB1630">
        <v>1</v>
      </c>
      <c r="AC1630">
        <v>0</v>
      </c>
      <c r="AD1630">
        <v>1</v>
      </c>
      <c r="AE1630">
        <v>1</v>
      </c>
      <c r="AF1630">
        <v>1</v>
      </c>
      <c r="AG1630">
        <v>1</v>
      </c>
      <c r="AH1630">
        <v>1</v>
      </c>
      <c r="AI1630">
        <v>1</v>
      </c>
      <c r="AJ1630">
        <v>1</v>
      </c>
      <c r="AK1630">
        <v>1</v>
      </c>
      <c r="AL1630">
        <v>1</v>
      </c>
      <c r="AM1630">
        <v>1</v>
      </c>
    </row>
    <row r="1631" spans="1:39" x14ac:dyDescent="0.2">
      <c r="A1631" t="str">
        <f>"1627"</f>
        <v>1627</v>
      </c>
      <c r="B1631" t="str">
        <f t="shared" si="89"/>
        <v>1</v>
      </c>
      <c r="C1631" t="str">
        <f t="shared" si="90"/>
        <v>33</v>
      </c>
      <c r="D1631" t="str">
        <f>"50"</f>
        <v>50</v>
      </c>
      <c r="E1631" t="str">
        <f>"1-33-50"</f>
        <v>1-33-50</v>
      </c>
      <c r="F1631" t="s">
        <v>65</v>
      </c>
      <c r="G1631" t="s">
        <v>66</v>
      </c>
      <c r="H1631" t="s">
        <v>67</v>
      </c>
      <c r="S1631">
        <v>0</v>
      </c>
      <c r="T1631">
        <v>1</v>
      </c>
      <c r="U1631">
        <v>0</v>
      </c>
      <c r="V1631">
        <v>0</v>
      </c>
      <c r="W1631">
        <v>0</v>
      </c>
      <c r="X1631">
        <v>1</v>
      </c>
      <c r="Y1631">
        <v>1</v>
      </c>
      <c r="Z1631">
        <v>0</v>
      </c>
      <c r="AA1631">
        <v>0</v>
      </c>
      <c r="AB1631">
        <v>0</v>
      </c>
      <c r="AC1631">
        <v>1</v>
      </c>
      <c r="AD1631">
        <v>1</v>
      </c>
      <c r="AE1631">
        <v>1</v>
      </c>
      <c r="AF1631">
        <v>1</v>
      </c>
      <c r="AG1631">
        <v>1</v>
      </c>
      <c r="AH1631">
        <v>1</v>
      </c>
      <c r="AI1631">
        <v>1</v>
      </c>
      <c r="AJ1631">
        <v>1</v>
      </c>
      <c r="AK1631">
        <v>1</v>
      </c>
      <c r="AL1631">
        <v>1</v>
      </c>
      <c r="AM1631">
        <v>1</v>
      </c>
    </row>
    <row r="1632" spans="1:39" x14ac:dyDescent="0.2">
      <c r="A1632" t="str">
        <f>"1628"</f>
        <v>1628</v>
      </c>
      <c r="B1632" t="str">
        <f t="shared" si="89"/>
        <v>1</v>
      </c>
      <c r="C1632" t="str">
        <f t="shared" si="90"/>
        <v>33</v>
      </c>
      <c r="D1632" t="str">
        <f>"24"</f>
        <v>24</v>
      </c>
      <c r="E1632" t="str">
        <f>"1-33-24"</f>
        <v>1-33-24</v>
      </c>
      <c r="F1632" t="s">
        <v>65</v>
      </c>
      <c r="G1632" t="s">
        <v>66</v>
      </c>
      <c r="H1632" t="s">
        <v>67</v>
      </c>
      <c r="S1632">
        <v>1</v>
      </c>
      <c r="T1632">
        <v>0</v>
      </c>
      <c r="U1632">
        <v>0</v>
      </c>
      <c r="V1632">
        <v>0</v>
      </c>
      <c r="W1632">
        <v>0</v>
      </c>
      <c r="X1632">
        <v>1</v>
      </c>
      <c r="Y1632">
        <v>1</v>
      </c>
      <c r="Z1632">
        <v>0</v>
      </c>
      <c r="AA1632">
        <v>0</v>
      </c>
      <c r="AB1632">
        <v>1</v>
      </c>
      <c r="AC1632">
        <v>0</v>
      </c>
      <c r="AD1632">
        <v>0</v>
      </c>
      <c r="AE1632">
        <v>0</v>
      </c>
      <c r="AF1632">
        <v>0</v>
      </c>
      <c r="AG1632">
        <v>1</v>
      </c>
      <c r="AH1632">
        <v>1</v>
      </c>
      <c r="AI1632">
        <v>1</v>
      </c>
      <c r="AJ1632">
        <v>1</v>
      </c>
      <c r="AK1632">
        <v>0</v>
      </c>
      <c r="AL1632">
        <v>0</v>
      </c>
      <c r="AM1632">
        <v>1</v>
      </c>
    </row>
    <row r="1633" spans="1:39" x14ac:dyDescent="0.2">
      <c r="A1633" t="str">
        <f>"1629"</f>
        <v>1629</v>
      </c>
      <c r="B1633" t="str">
        <f t="shared" si="89"/>
        <v>1</v>
      </c>
      <c r="C1633" t="str">
        <f t="shared" si="90"/>
        <v>33</v>
      </c>
      <c r="D1633" t="str">
        <f>"11"</f>
        <v>11</v>
      </c>
      <c r="E1633" t="str">
        <f>"1-33-11"</f>
        <v>1-33-11</v>
      </c>
      <c r="F1633" t="s">
        <v>65</v>
      </c>
      <c r="G1633" t="s">
        <v>66</v>
      </c>
      <c r="H1633" t="s">
        <v>67</v>
      </c>
      <c r="S1633">
        <v>0</v>
      </c>
      <c r="T1633">
        <v>1</v>
      </c>
      <c r="U1633">
        <v>0</v>
      </c>
      <c r="V1633">
        <v>0</v>
      </c>
      <c r="W1633">
        <v>0</v>
      </c>
      <c r="X1633">
        <v>1</v>
      </c>
      <c r="Y1633">
        <v>0</v>
      </c>
      <c r="Z1633">
        <v>1</v>
      </c>
      <c r="AA1633">
        <v>0</v>
      </c>
      <c r="AB1633">
        <v>0</v>
      </c>
      <c r="AC1633">
        <v>1</v>
      </c>
      <c r="AD1633">
        <v>1</v>
      </c>
      <c r="AE1633">
        <v>1</v>
      </c>
      <c r="AF1633">
        <v>1</v>
      </c>
      <c r="AG1633">
        <v>1</v>
      </c>
      <c r="AH1633">
        <v>1</v>
      </c>
      <c r="AI1633">
        <v>1</v>
      </c>
      <c r="AJ1633">
        <v>1</v>
      </c>
      <c r="AK1633">
        <v>1</v>
      </c>
      <c r="AL1633">
        <v>1</v>
      </c>
      <c r="AM1633">
        <v>1</v>
      </c>
    </row>
    <row r="1634" spans="1:39" x14ac:dyDescent="0.2">
      <c r="A1634" t="str">
        <f>"1630"</f>
        <v>1630</v>
      </c>
      <c r="B1634" t="str">
        <f t="shared" si="89"/>
        <v>1</v>
      </c>
      <c r="C1634" t="str">
        <f t="shared" si="90"/>
        <v>33</v>
      </c>
      <c r="D1634" t="str">
        <f>"25"</f>
        <v>25</v>
      </c>
      <c r="E1634" t="str">
        <f>"1-33-25"</f>
        <v>1-33-25</v>
      </c>
      <c r="F1634" t="s">
        <v>65</v>
      </c>
      <c r="G1634" t="s">
        <v>66</v>
      </c>
      <c r="H1634" t="s">
        <v>67</v>
      </c>
      <c r="S1634">
        <v>1</v>
      </c>
      <c r="T1634">
        <v>0</v>
      </c>
      <c r="U1634">
        <v>0</v>
      </c>
      <c r="V1634">
        <v>0</v>
      </c>
      <c r="W1634">
        <v>1</v>
      </c>
      <c r="X1634">
        <v>0</v>
      </c>
      <c r="Y1634">
        <v>1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1</v>
      </c>
      <c r="AF1634">
        <v>1</v>
      </c>
      <c r="AG1634">
        <v>1</v>
      </c>
      <c r="AH1634">
        <v>1</v>
      </c>
      <c r="AI1634">
        <v>1</v>
      </c>
      <c r="AJ1634">
        <v>1</v>
      </c>
      <c r="AK1634">
        <v>1</v>
      </c>
      <c r="AL1634">
        <v>1</v>
      </c>
      <c r="AM1634">
        <v>1</v>
      </c>
    </row>
    <row r="1635" spans="1:39" x14ac:dyDescent="0.2">
      <c r="A1635" t="str">
        <f>"1631"</f>
        <v>1631</v>
      </c>
      <c r="B1635" t="str">
        <f t="shared" si="89"/>
        <v>1</v>
      </c>
      <c r="C1635" t="str">
        <f t="shared" si="90"/>
        <v>33</v>
      </c>
      <c r="D1635" t="str">
        <f>"12"</f>
        <v>12</v>
      </c>
      <c r="E1635" t="str">
        <f>"1-33-12"</f>
        <v>1-33-12</v>
      </c>
      <c r="F1635" t="s">
        <v>65</v>
      </c>
      <c r="G1635" t="s">
        <v>66</v>
      </c>
      <c r="H1635" t="s">
        <v>67</v>
      </c>
      <c r="S1635">
        <v>0</v>
      </c>
      <c r="T1635">
        <v>1</v>
      </c>
      <c r="U1635">
        <v>0</v>
      </c>
      <c r="V1635">
        <v>0</v>
      </c>
      <c r="W1635">
        <v>1</v>
      </c>
      <c r="X1635">
        <v>0</v>
      </c>
      <c r="Y1635">
        <v>1</v>
      </c>
      <c r="Z1635">
        <v>0</v>
      </c>
      <c r="AA1635">
        <v>0</v>
      </c>
      <c r="AB1635">
        <v>1</v>
      </c>
      <c r="AC1635">
        <v>0</v>
      </c>
      <c r="AD1635">
        <v>1</v>
      </c>
      <c r="AE1635">
        <v>1</v>
      </c>
      <c r="AF1635">
        <v>1</v>
      </c>
      <c r="AG1635">
        <v>1</v>
      </c>
      <c r="AH1635">
        <v>1</v>
      </c>
      <c r="AI1635">
        <v>1</v>
      </c>
      <c r="AJ1635">
        <v>1</v>
      </c>
      <c r="AK1635">
        <v>1</v>
      </c>
      <c r="AL1635">
        <v>1</v>
      </c>
      <c r="AM1635">
        <v>0</v>
      </c>
    </row>
    <row r="1636" spans="1:39" x14ac:dyDescent="0.2">
      <c r="A1636" t="str">
        <f>"1632"</f>
        <v>1632</v>
      </c>
      <c r="B1636" t="str">
        <f t="shared" si="89"/>
        <v>1</v>
      </c>
      <c r="C1636" t="str">
        <f t="shared" si="90"/>
        <v>33</v>
      </c>
      <c r="D1636" t="str">
        <f>"44"</f>
        <v>44</v>
      </c>
      <c r="E1636" t="str">
        <f>"1-33-44"</f>
        <v>1-33-44</v>
      </c>
      <c r="F1636" t="s">
        <v>65</v>
      </c>
      <c r="G1636" t="s">
        <v>66</v>
      </c>
      <c r="H1636" t="s">
        <v>67</v>
      </c>
      <c r="S1636">
        <v>1</v>
      </c>
      <c r="T1636">
        <v>0</v>
      </c>
      <c r="U1636">
        <v>0</v>
      </c>
      <c r="V1636">
        <v>0</v>
      </c>
      <c r="W1636">
        <v>1</v>
      </c>
      <c r="X1636">
        <v>0</v>
      </c>
      <c r="Y1636">
        <v>1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1</v>
      </c>
      <c r="AF1636">
        <v>1</v>
      </c>
      <c r="AG1636">
        <v>1</v>
      </c>
      <c r="AH1636">
        <v>1</v>
      </c>
      <c r="AI1636">
        <v>1</v>
      </c>
      <c r="AJ1636">
        <v>1</v>
      </c>
      <c r="AK1636">
        <v>1</v>
      </c>
      <c r="AL1636">
        <v>1</v>
      </c>
      <c r="AM1636">
        <v>1</v>
      </c>
    </row>
    <row r="1637" spans="1:39" x14ac:dyDescent="0.2">
      <c r="A1637" t="str">
        <f>"1633"</f>
        <v>1633</v>
      </c>
      <c r="B1637" t="str">
        <f t="shared" si="89"/>
        <v>1</v>
      </c>
      <c r="C1637" t="str">
        <f t="shared" ref="C1637:C1654" si="91">"33"</f>
        <v>33</v>
      </c>
      <c r="D1637" t="str">
        <f>"26"</f>
        <v>26</v>
      </c>
      <c r="E1637" t="str">
        <f>"1-33-26"</f>
        <v>1-33-26</v>
      </c>
      <c r="F1637" t="s">
        <v>65</v>
      </c>
      <c r="G1637" t="s">
        <v>66</v>
      </c>
      <c r="H1637" t="s">
        <v>67</v>
      </c>
      <c r="S1637">
        <v>1</v>
      </c>
      <c r="T1637">
        <v>0</v>
      </c>
      <c r="U1637">
        <v>0</v>
      </c>
      <c r="V1637">
        <v>0</v>
      </c>
      <c r="W1637">
        <v>1</v>
      </c>
      <c r="X1637">
        <v>0</v>
      </c>
      <c r="Y1637">
        <v>0</v>
      </c>
      <c r="Z1637">
        <v>1</v>
      </c>
      <c r="AA1637">
        <v>0</v>
      </c>
      <c r="AB1637">
        <v>1</v>
      </c>
      <c r="AC1637">
        <v>0</v>
      </c>
      <c r="AD1637">
        <v>1</v>
      </c>
      <c r="AE1637">
        <v>1</v>
      </c>
      <c r="AF1637">
        <v>1</v>
      </c>
      <c r="AG1637">
        <v>1</v>
      </c>
      <c r="AH1637">
        <v>1</v>
      </c>
      <c r="AI1637">
        <v>1</v>
      </c>
      <c r="AJ1637">
        <v>1</v>
      </c>
      <c r="AK1637">
        <v>1</v>
      </c>
      <c r="AL1637">
        <v>1</v>
      </c>
      <c r="AM1637">
        <v>1</v>
      </c>
    </row>
    <row r="1638" spans="1:39" x14ac:dyDescent="0.2">
      <c r="A1638" t="str">
        <f>"1634"</f>
        <v>1634</v>
      </c>
      <c r="B1638" t="str">
        <f t="shared" si="89"/>
        <v>1</v>
      </c>
      <c r="C1638" t="str">
        <f t="shared" si="91"/>
        <v>33</v>
      </c>
      <c r="D1638" t="str">
        <f>"3"</f>
        <v>3</v>
      </c>
      <c r="E1638" t="str">
        <f>"1-33-3"</f>
        <v>1-33-3</v>
      </c>
      <c r="F1638" t="s">
        <v>65</v>
      </c>
      <c r="G1638" t="s">
        <v>66</v>
      </c>
      <c r="H1638" t="s">
        <v>67</v>
      </c>
      <c r="S1638">
        <v>0</v>
      </c>
      <c r="T1638">
        <v>1</v>
      </c>
      <c r="U1638">
        <v>0</v>
      </c>
      <c r="V1638">
        <v>0</v>
      </c>
      <c r="W1638">
        <v>0</v>
      </c>
      <c r="X1638">
        <v>1</v>
      </c>
      <c r="Y1638">
        <v>0</v>
      </c>
      <c r="Z1638">
        <v>1</v>
      </c>
      <c r="AA1638">
        <v>0</v>
      </c>
      <c r="AB1638">
        <v>0</v>
      </c>
      <c r="AC1638">
        <v>1</v>
      </c>
      <c r="AD1638">
        <v>1</v>
      </c>
      <c r="AE1638">
        <v>1</v>
      </c>
      <c r="AF1638">
        <v>1</v>
      </c>
      <c r="AG1638">
        <v>1</v>
      </c>
      <c r="AH1638">
        <v>1</v>
      </c>
      <c r="AI1638">
        <v>1</v>
      </c>
      <c r="AJ1638">
        <v>1</v>
      </c>
      <c r="AK1638">
        <v>1</v>
      </c>
      <c r="AL1638">
        <v>1</v>
      </c>
      <c r="AM1638">
        <v>1</v>
      </c>
    </row>
    <row r="1639" spans="1:39" x14ac:dyDescent="0.2">
      <c r="A1639" t="str">
        <f>"1635"</f>
        <v>1635</v>
      </c>
      <c r="B1639" t="str">
        <f t="shared" si="89"/>
        <v>1</v>
      </c>
      <c r="C1639" t="str">
        <f t="shared" si="91"/>
        <v>33</v>
      </c>
      <c r="D1639" t="str">
        <f>"27"</f>
        <v>27</v>
      </c>
      <c r="E1639" t="str">
        <f>"1-33-27"</f>
        <v>1-33-27</v>
      </c>
      <c r="F1639" t="s">
        <v>65</v>
      </c>
      <c r="G1639" t="s">
        <v>66</v>
      </c>
      <c r="H1639" t="s">
        <v>67</v>
      </c>
      <c r="S1639">
        <v>1</v>
      </c>
      <c r="T1639">
        <v>0</v>
      </c>
      <c r="U1639">
        <v>0</v>
      </c>
      <c r="V1639">
        <v>0</v>
      </c>
      <c r="W1639">
        <v>1</v>
      </c>
      <c r="X1639">
        <v>0</v>
      </c>
      <c r="Y1639">
        <v>1</v>
      </c>
      <c r="Z1639">
        <v>0</v>
      </c>
      <c r="AA1639">
        <v>0</v>
      </c>
      <c r="AB1639">
        <v>0</v>
      </c>
      <c r="AC1639">
        <v>1</v>
      </c>
      <c r="AD1639">
        <v>1</v>
      </c>
      <c r="AE1639">
        <v>1</v>
      </c>
      <c r="AF1639">
        <v>1</v>
      </c>
      <c r="AG1639">
        <v>1</v>
      </c>
      <c r="AH1639">
        <v>1</v>
      </c>
      <c r="AI1639">
        <v>1</v>
      </c>
      <c r="AJ1639">
        <v>1</v>
      </c>
      <c r="AK1639">
        <v>0</v>
      </c>
      <c r="AL1639">
        <v>1</v>
      </c>
      <c r="AM1639">
        <v>1</v>
      </c>
    </row>
    <row r="1640" spans="1:39" x14ac:dyDescent="0.2">
      <c r="A1640" t="str">
        <f>"1636"</f>
        <v>1636</v>
      </c>
      <c r="B1640" t="str">
        <f t="shared" si="89"/>
        <v>1</v>
      </c>
      <c r="C1640" t="str">
        <f t="shared" si="91"/>
        <v>33</v>
      </c>
      <c r="D1640" t="str">
        <f>"8"</f>
        <v>8</v>
      </c>
      <c r="E1640" t="str">
        <f>"1-33-8"</f>
        <v>1-33-8</v>
      </c>
      <c r="F1640" t="s">
        <v>65</v>
      </c>
      <c r="G1640" t="s">
        <v>66</v>
      </c>
      <c r="H1640" t="s">
        <v>67</v>
      </c>
      <c r="S1640">
        <v>0</v>
      </c>
      <c r="T1640">
        <v>1</v>
      </c>
      <c r="U1640">
        <v>0</v>
      </c>
      <c r="V1640">
        <v>0</v>
      </c>
      <c r="W1640">
        <v>0</v>
      </c>
      <c r="X1640">
        <v>1</v>
      </c>
      <c r="Y1640">
        <v>0</v>
      </c>
      <c r="Z1640">
        <v>1</v>
      </c>
      <c r="AA1640">
        <v>0</v>
      </c>
      <c r="AB1640">
        <v>1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</row>
    <row r="1641" spans="1:39" x14ac:dyDescent="0.2">
      <c r="A1641" t="str">
        <f>"1637"</f>
        <v>1637</v>
      </c>
      <c r="B1641" t="str">
        <f t="shared" si="89"/>
        <v>1</v>
      </c>
      <c r="C1641" t="str">
        <f t="shared" si="91"/>
        <v>33</v>
      </c>
      <c r="D1641" t="str">
        <f>"46"</f>
        <v>46</v>
      </c>
      <c r="E1641" t="str">
        <f>"1-33-46"</f>
        <v>1-33-46</v>
      </c>
      <c r="F1641" t="s">
        <v>65</v>
      </c>
      <c r="G1641" t="s">
        <v>66</v>
      </c>
      <c r="H1641" t="s">
        <v>67</v>
      </c>
      <c r="S1641">
        <v>0</v>
      </c>
      <c r="T1641">
        <v>1</v>
      </c>
      <c r="U1641">
        <v>0</v>
      </c>
      <c r="V1641">
        <v>0</v>
      </c>
      <c r="W1641">
        <v>0</v>
      </c>
      <c r="X1641">
        <v>1</v>
      </c>
      <c r="Y1641">
        <v>0</v>
      </c>
      <c r="Z1641">
        <v>1</v>
      </c>
      <c r="AA1641">
        <v>0</v>
      </c>
      <c r="AB1641">
        <v>0</v>
      </c>
      <c r="AC1641">
        <v>1</v>
      </c>
      <c r="AD1641">
        <v>1</v>
      </c>
      <c r="AE1641">
        <v>1</v>
      </c>
      <c r="AF1641">
        <v>0</v>
      </c>
      <c r="AG1641">
        <v>1</v>
      </c>
      <c r="AH1641">
        <v>1</v>
      </c>
      <c r="AI1641">
        <v>1</v>
      </c>
      <c r="AJ1641">
        <v>1</v>
      </c>
      <c r="AK1641">
        <v>1</v>
      </c>
      <c r="AL1641">
        <v>1</v>
      </c>
      <c r="AM1641">
        <v>1</v>
      </c>
    </row>
    <row r="1642" spans="1:39" x14ac:dyDescent="0.2">
      <c r="A1642" t="str">
        <f>"1638"</f>
        <v>1638</v>
      </c>
      <c r="B1642" t="str">
        <f t="shared" si="89"/>
        <v>1</v>
      </c>
      <c r="C1642" t="str">
        <f t="shared" si="91"/>
        <v>33</v>
      </c>
      <c r="D1642" t="str">
        <f>"28"</f>
        <v>28</v>
      </c>
      <c r="E1642" t="str">
        <f>"1-33-28"</f>
        <v>1-33-28</v>
      </c>
      <c r="F1642" t="s">
        <v>65</v>
      </c>
      <c r="G1642" t="s">
        <v>66</v>
      </c>
      <c r="H1642" t="s">
        <v>67</v>
      </c>
      <c r="S1642">
        <v>1</v>
      </c>
      <c r="T1642">
        <v>0</v>
      </c>
      <c r="U1642">
        <v>0</v>
      </c>
      <c r="V1642">
        <v>0</v>
      </c>
      <c r="W1642">
        <v>1</v>
      </c>
      <c r="X1642">
        <v>0</v>
      </c>
      <c r="Y1642">
        <v>1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1</v>
      </c>
      <c r="AF1642">
        <v>1</v>
      </c>
      <c r="AG1642">
        <v>1</v>
      </c>
      <c r="AH1642">
        <v>1</v>
      </c>
      <c r="AI1642">
        <v>1</v>
      </c>
      <c r="AJ1642">
        <v>1</v>
      </c>
      <c r="AK1642">
        <v>1</v>
      </c>
      <c r="AL1642">
        <v>1</v>
      </c>
      <c r="AM1642">
        <v>1</v>
      </c>
    </row>
    <row r="1643" spans="1:39" x14ac:dyDescent="0.2">
      <c r="A1643" t="str">
        <f>"1639"</f>
        <v>1639</v>
      </c>
      <c r="B1643" t="str">
        <f t="shared" si="89"/>
        <v>1</v>
      </c>
      <c r="C1643" t="str">
        <f t="shared" si="91"/>
        <v>33</v>
      </c>
      <c r="D1643" t="str">
        <f>"14"</f>
        <v>14</v>
      </c>
      <c r="E1643" t="str">
        <f>"1-33-14"</f>
        <v>1-33-14</v>
      </c>
      <c r="F1643" t="s">
        <v>65</v>
      </c>
      <c r="G1643" t="s">
        <v>66</v>
      </c>
      <c r="H1643" t="s">
        <v>67</v>
      </c>
      <c r="S1643">
        <v>0</v>
      </c>
      <c r="T1643">
        <v>0</v>
      </c>
      <c r="U1643">
        <v>0</v>
      </c>
      <c r="V1643">
        <v>0</v>
      </c>
      <c r="W1643">
        <v>1</v>
      </c>
      <c r="X1643">
        <v>0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1</v>
      </c>
      <c r="AH1643">
        <v>0</v>
      </c>
      <c r="AI1643">
        <v>0</v>
      </c>
      <c r="AJ1643">
        <v>0</v>
      </c>
      <c r="AK1643">
        <v>0</v>
      </c>
      <c r="AL1643">
        <v>1</v>
      </c>
      <c r="AM1643">
        <v>0</v>
      </c>
    </row>
    <row r="1644" spans="1:39" x14ac:dyDescent="0.2">
      <c r="A1644" t="str">
        <f>"1640"</f>
        <v>1640</v>
      </c>
      <c r="B1644" t="str">
        <f t="shared" si="89"/>
        <v>1</v>
      </c>
      <c r="C1644" t="str">
        <f t="shared" si="91"/>
        <v>33</v>
      </c>
      <c r="D1644" t="str">
        <f>"47"</f>
        <v>47</v>
      </c>
      <c r="E1644" t="str">
        <f>"1-33-47"</f>
        <v>1-33-47</v>
      </c>
      <c r="F1644" t="s">
        <v>65</v>
      </c>
      <c r="G1644" t="s">
        <v>66</v>
      </c>
      <c r="H1644" t="s">
        <v>67</v>
      </c>
      <c r="S1644">
        <v>0</v>
      </c>
      <c r="T1644">
        <v>1</v>
      </c>
      <c r="U1644">
        <v>0</v>
      </c>
      <c r="V1644">
        <v>0</v>
      </c>
      <c r="W1644">
        <v>0</v>
      </c>
      <c r="X1644">
        <v>1</v>
      </c>
      <c r="Y1644">
        <v>0</v>
      </c>
      <c r="Z1644">
        <v>1</v>
      </c>
      <c r="AA1644">
        <v>0</v>
      </c>
      <c r="AB1644">
        <v>0</v>
      </c>
      <c r="AC1644">
        <v>1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1</v>
      </c>
      <c r="AJ1644">
        <v>1</v>
      </c>
      <c r="AK1644">
        <v>1</v>
      </c>
      <c r="AL1644">
        <v>1</v>
      </c>
      <c r="AM1644">
        <v>0</v>
      </c>
    </row>
    <row r="1645" spans="1:39" x14ac:dyDescent="0.2">
      <c r="A1645" t="str">
        <f>"1641"</f>
        <v>1641</v>
      </c>
      <c r="B1645" t="str">
        <f t="shared" si="89"/>
        <v>1</v>
      </c>
      <c r="C1645" t="str">
        <f t="shared" si="91"/>
        <v>33</v>
      </c>
      <c r="D1645" t="str">
        <f>"29"</f>
        <v>29</v>
      </c>
      <c r="E1645" t="str">
        <f>"1-33-29"</f>
        <v>1-33-29</v>
      </c>
      <c r="F1645" t="s">
        <v>65</v>
      </c>
      <c r="G1645" t="s">
        <v>66</v>
      </c>
      <c r="H1645" t="s">
        <v>67</v>
      </c>
      <c r="S1645">
        <v>0</v>
      </c>
      <c r="T1645">
        <v>1</v>
      </c>
      <c r="U1645">
        <v>0</v>
      </c>
      <c r="V1645">
        <v>0</v>
      </c>
      <c r="W1645">
        <v>1</v>
      </c>
      <c r="X1645">
        <v>0</v>
      </c>
      <c r="Y1645">
        <v>0</v>
      </c>
      <c r="Z1645">
        <v>1</v>
      </c>
      <c r="AA1645">
        <v>0</v>
      </c>
      <c r="AB1645">
        <v>0</v>
      </c>
      <c r="AC1645">
        <v>1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</row>
    <row r="1646" spans="1:39" x14ac:dyDescent="0.2">
      <c r="A1646" t="str">
        <f>"1642"</f>
        <v>1642</v>
      </c>
      <c r="B1646" t="str">
        <f t="shared" si="89"/>
        <v>1</v>
      </c>
      <c r="C1646" t="str">
        <f t="shared" si="91"/>
        <v>33</v>
      </c>
      <c r="D1646" t="str">
        <f>"13"</f>
        <v>13</v>
      </c>
      <c r="E1646" t="str">
        <f>"1-33-13"</f>
        <v>1-33-13</v>
      </c>
      <c r="F1646" t="s">
        <v>65</v>
      </c>
      <c r="G1646" t="s">
        <v>66</v>
      </c>
      <c r="H1646" t="s">
        <v>67</v>
      </c>
      <c r="S1646">
        <v>0</v>
      </c>
      <c r="T1646">
        <v>1</v>
      </c>
      <c r="U1646">
        <v>0</v>
      </c>
      <c r="V1646">
        <v>0</v>
      </c>
      <c r="W1646">
        <v>1</v>
      </c>
      <c r="X1646">
        <v>0</v>
      </c>
      <c r="Y1646">
        <v>1</v>
      </c>
      <c r="Z1646">
        <v>0</v>
      </c>
      <c r="AA1646">
        <v>0</v>
      </c>
      <c r="AB1646">
        <v>0</v>
      </c>
      <c r="AC1646">
        <v>1</v>
      </c>
      <c r="AD1646">
        <v>1</v>
      </c>
      <c r="AE1646">
        <v>1</v>
      </c>
      <c r="AF1646">
        <v>1</v>
      </c>
      <c r="AG1646">
        <v>1</v>
      </c>
      <c r="AH1646">
        <v>1</v>
      </c>
      <c r="AI1646">
        <v>1</v>
      </c>
      <c r="AJ1646">
        <v>1</v>
      </c>
      <c r="AK1646">
        <v>1</v>
      </c>
      <c r="AL1646">
        <v>1</v>
      </c>
      <c r="AM1646">
        <v>1</v>
      </c>
    </row>
    <row r="1647" spans="1:39" x14ac:dyDescent="0.2">
      <c r="A1647" t="str">
        <f>"1643"</f>
        <v>1643</v>
      </c>
      <c r="B1647" t="str">
        <f t="shared" si="89"/>
        <v>1</v>
      </c>
      <c r="C1647" t="str">
        <f t="shared" si="91"/>
        <v>33</v>
      </c>
      <c r="D1647" t="str">
        <f>"49"</f>
        <v>49</v>
      </c>
      <c r="E1647" t="str">
        <f>"1-33-49"</f>
        <v>1-33-49</v>
      </c>
      <c r="F1647" t="s">
        <v>65</v>
      </c>
      <c r="G1647" t="s">
        <v>66</v>
      </c>
      <c r="H1647" t="s">
        <v>67</v>
      </c>
      <c r="S1647">
        <v>0</v>
      </c>
      <c r="T1647">
        <v>1</v>
      </c>
      <c r="U1647">
        <v>0</v>
      </c>
      <c r="V1647">
        <v>0</v>
      </c>
      <c r="W1647">
        <v>1</v>
      </c>
      <c r="X1647">
        <v>0</v>
      </c>
      <c r="Y1647">
        <v>1</v>
      </c>
      <c r="Z1647">
        <v>0</v>
      </c>
      <c r="AA1647">
        <v>0</v>
      </c>
      <c r="AB1647">
        <v>1</v>
      </c>
      <c r="AC1647">
        <v>0</v>
      </c>
      <c r="AD1647">
        <v>1</v>
      </c>
      <c r="AE1647">
        <v>1</v>
      </c>
      <c r="AF1647">
        <v>0</v>
      </c>
      <c r="AG1647">
        <v>1</v>
      </c>
      <c r="AH1647">
        <v>1</v>
      </c>
      <c r="AI1647">
        <v>1</v>
      </c>
      <c r="AJ1647">
        <v>1</v>
      </c>
      <c r="AK1647">
        <v>1</v>
      </c>
      <c r="AL1647">
        <v>1</v>
      </c>
      <c r="AM1647">
        <v>1</v>
      </c>
    </row>
    <row r="1648" spans="1:39" x14ac:dyDescent="0.2">
      <c r="A1648" t="str">
        <f>"1644"</f>
        <v>1644</v>
      </c>
      <c r="B1648" t="str">
        <f t="shared" si="89"/>
        <v>1</v>
      </c>
      <c r="C1648" t="str">
        <f t="shared" si="91"/>
        <v>33</v>
      </c>
      <c r="D1648" t="str">
        <f>"30"</f>
        <v>30</v>
      </c>
      <c r="E1648" t="str">
        <f>"1-33-30"</f>
        <v>1-33-30</v>
      </c>
      <c r="F1648" t="s">
        <v>65</v>
      </c>
      <c r="G1648" t="s">
        <v>66</v>
      </c>
      <c r="H1648" t="s">
        <v>67</v>
      </c>
      <c r="S1648">
        <v>0</v>
      </c>
      <c r="T1648">
        <v>1</v>
      </c>
      <c r="U1648">
        <v>0</v>
      </c>
      <c r="V1648">
        <v>0</v>
      </c>
      <c r="W1648">
        <v>1</v>
      </c>
      <c r="X1648">
        <v>0</v>
      </c>
      <c r="Y1648">
        <v>1</v>
      </c>
      <c r="Z1648">
        <v>0</v>
      </c>
      <c r="AA1648">
        <v>0</v>
      </c>
      <c r="AB1648">
        <v>0</v>
      </c>
      <c r="AC1648">
        <v>1</v>
      </c>
      <c r="AD1648">
        <v>1</v>
      </c>
      <c r="AE1648">
        <v>1</v>
      </c>
      <c r="AF1648">
        <v>1</v>
      </c>
      <c r="AG1648">
        <v>1</v>
      </c>
      <c r="AH1648">
        <v>1</v>
      </c>
      <c r="AI1648">
        <v>1</v>
      </c>
      <c r="AJ1648">
        <v>1</v>
      </c>
      <c r="AK1648">
        <v>1</v>
      </c>
      <c r="AL1648">
        <v>1</v>
      </c>
      <c r="AM1648">
        <v>1</v>
      </c>
    </row>
    <row r="1649" spans="1:39" x14ac:dyDescent="0.2">
      <c r="A1649" t="str">
        <f>"1645"</f>
        <v>1645</v>
      </c>
      <c r="B1649" t="str">
        <f t="shared" si="89"/>
        <v>1</v>
      </c>
      <c r="C1649" t="str">
        <f t="shared" si="91"/>
        <v>33</v>
      </c>
      <c r="D1649" t="str">
        <f>"7"</f>
        <v>7</v>
      </c>
      <c r="E1649" t="str">
        <f>"1-33-7"</f>
        <v>1-33-7</v>
      </c>
      <c r="F1649" t="s">
        <v>65</v>
      </c>
      <c r="G1649" t="s">
        <v>66</v>
      </c>
      <c r="H1649" t="s">
        <v>67</v>
      </c>
      <c r="S1649">
        <v>0</v>
      </c>
      <c r="T1649">
        <v>1</v>
      </c>
      <c r="U1649">
        <v>0</v>
      </c>
      <c r="V1649">
        <v>0</v>
      </c>
      <c r="W1649">
        <v>0</v>
      </c>
      <c r="X1649">
        <v>1</v>
      </c>
      <c r="Y1649">
        <v>0</v>
      </c>
      <c r="Z1649">
        <v>1</v>
      </c>
      <c r="AA1649">
        <v>0</v>
      </c>
      <c r="AB1649">
        <v>1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</row>
    <row r="1650" spans="1:39" x14ac:dyDescent="0.2">
      <c r="A1650" t="str">
        <f>"1646"</f>
        <v>1646</v>
      </c>
      <c r="B1650" t="str">
        <f t="shared" si="89"/>
        <v>1</v>
      </c>
      <c r="C1650" t="str">
        <f t="shared" si="91"/>
        <v>33</v>
      </c>
      <c r="D1650" t="str">
        <f>"48"</f>
        <v>48</v>
      </c>
      <c r="E1650" t="str">
        <f>"1-33-48"</f>
        <v>1-33-48</v>
      </c>
      <c r="F1650" t="s">
        <v>65</v>
      </c>
      <c r="G1650" t="s">
        <v>66</v>
      </c>
      <c r="H1650" t="s">
        <v>67</v>
      </c>
      <c r="S1650">
        <v>0</v>
      </c>
      <c r="T1650">
        <v>1</v>
      </c>
      <c r="U1650">
        <v>0</v>
      </c>
      <c r="V1650">
        <v>0</v>
      </c>
      <c r="W1650">
        <v>1</v>
      </c>
      <c r="X1650">
        <v>0</v>
      </c>
      <c r="Y1650">
        <v>1</v>
      </c>
      <c r="Z1650">
        <v>0</v>
      </c>
      <c r="AA1650">
        <v>0</v>
      </c>
      <c r="AB1650">
        <v>0</v>
      </c>
      <c r="AC1650">
        <v>1</v>
      </c>
      <c r="AD1650">
        <v>1</v>
      </c>
      <c r="AE1650">
        <v>1</v>
      </c>
      <c r="AF1650">
        <v>1</v>
      </c>
      <c r="AG1650">
        <v>1</v>
      </c>
      <c r="AH1650">
        <v>0</v>
      </c>
      <c r="AI1650">
        <v>1</v>
      </c>
      <c r="AJ1650">
        <v>1</v>
      </c>
      <c r="AK1650">
        <v>1</v>
      </c>
      <c r="AL1650">
        <v>1</v>
      </c>
      <c r="AM1650">
        <v>1</v>
      </c>
    </row>
    <row r="1651" spans="1:39" x14ac:dyDescent="0.2">
      <c r="A1651" t="str">
        <f>"1647"</f>
        <v>1647</v>
      </c>
      <c r="B1651" t="str">
        <f t="shared" si="89"/>
        <v>1</v>
      </c>
      <c r="C1651" t="str">
        <f t="shared" si="91"/>
        <v>33</v>
      </c>
      <c r="D1651" t="str">
        <f>"32"</f>
        <v>32</v>
      </c>
      <c r="E1651" t="str">
        <f>"1-33-32"</f>
        <v>1-33-32</v>
      </c>
      <c r="F1651" t="s">
        <v>65</v>
      </c>
      <c r="G1651" t="s">
        <v>66</v>
      </c>
      <c r="H1651" t="s">
        <v>67</v>
      </c>
      <c r="S1651">
        <v>0</v>
      </c>
      <c r="T1651">
        <v>1</v>
      </c>
      <c r="U1651">
        <v>0</v>
      </c>
      <c r="V1651">
        <v>0</v>
      </c>
      <c r="W1651">
        <v>0</v>
      </c>
      <c r="X1651">
        <v>1</v>
      </c>
      <c r="Y1651">
        <v>1</v>
      </c>
      <c r="Z1651">
        <v>0</v>
      </c>
      <c r="AA1651">
        <v>0</v>
      </c>
      <c r="AB1651">
        <v>1</v>
      </c>
      <c r="AC1651">
        <v>0</v>
      </c>
      <c r="AD1651">
        <v>0</v>
      </c>
      <c r="AE1651">
        <v>0</v>
      </c>
      <c r="AF1651">
        <v>0</v>
      </c>
      <c r="AG1651">
        <v>1</v>
      </c>
      <c r="AH1651">
        <v>1</v>
      </c>
      <c r="AI1651">
        <v>0</v>
      </c>
      <c r="AJ1651">
        <v>0</v>
      </c>
      <c r="AK1651">
        <v>0</v>
      </c>
      <c r="AL1651">
        <v>0</v>
      </c>
      <c r="AM1651">
        <v>0</v>
      </c>
    </row>
    <row r="1652" spans="1:39" x14ac:dyDescent="0.2">
      <c r="A1652" t="str">
        <f>"1648"</f>
        <v>1648</v>
      </c>
      <c r="B1652" t="str">
        <f t="shared" si="89"/>
        <v>1</v>
      </c>
      <c r="C1652" t="str">
        <f t="shared" si="91"/>
        <v>33</v>
      </c>
      <c r="D1652" t="str">
        <f>"10"</f>
        <v>10</v>
      </c>
      <c r="E1652" t="str">
        <f>"1-33-10"</f>
        <v>1-33-10</v>
      </c>
      <c r="F1652" t="s">
        <v>65</v>
      </c>
      <c r="G1652" t="s">
        <v>66</v>
      </c>
      <c r="H1652" t="s">
        <v>67</v>
      </c>
      <c r="S1652">
        <v>1</v>
      </c>
      <c r="T1652">
        <v>0</v>
      </c>
      <c r="U1652">
        <v>0</v>
      </c>
      <c r="V1652">
        <v>0</v>
      </c>
      <c r="W1652">
        <v>1</v>
      </c>
      <c r="X1652">
        <v>0</v>
      </c>
      <c r="Y1652">
        <v>1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1</v>
      </c>
      <c r="AF1652">
        <v>0</v>
      </c>
      <c r="AG1652">
        <v>1</v>
      </c>
      <c r="AH1652">
        <v>1</v>
      </c>
      <c r="AI1652">
        <v>1</v>
      </c>
      <c r="AJ1652">
        <v>1</v>
      </c>
      <c r="AK1652">
        <v>1</v>
      </c>
      <c r="AL1652">
        <v>1</v>
      </c>
      <c r="AM1652">
        <v>1</v>
      </c>
    </row>
    <row r="1653" spans="1:39" x14ac:dyDescent="0.2">
      <c r="A1653" t="str">
        <f>"1649"</f>
        <v>1649</v>
      </c>
      <c r="B1653" t="str">
        <f t="shared" si="89"/>
        <v>1</v>
      </c>
      <c r="C1653" t="str">
        <f t="shared" si="91"/>
        <v>33</v>
      </c>
      <c r="D1653" t="str">
        <f>"2"</f>
        <v>2</v>
      </c>
      <c r="E1653" t="str">
        <f>"1-33-2"</f>
        <v>1-33-2</v>
      </c>
      <c r="F1653" t="s">
        <v>65</v>
      </c>
      <c r="G1653" t="s">
        <v>66</v>
      </c>
      <c r="H1653" t="s">
        <v>67</v>
      </c>
      <c r="S1653">
        <v>1</v>
      </c>
      <c r="T1653">
        <v>0</v>
      </c>
      <c r="U1653">
        <v>0</v>
      </c>
      <c r="V1653">
        <v>0</v>
      </c>
      <c r="W1653">
        <v>1</v>
      </c>
      <c r="X1653">
        <v>0</v>
      </c>
      <c r="Y1653">
        <v>0</v>
      </c>
      <c r="Z1653">
        <v>1</v>
      </c>
      <c r="AA1653">
        <v>0</v>
      </c>
      <c r="AB1653">
        <v>0</v>
      </c>
      <c r="AC1653">
        <v>1</v>
      </c>
      <c r="AD1653">
        <v>1</v>
      </c>
      <c r="AE1653">
        <v>1</v>
      </c>
      <c r="AF1653">
        <v>1</v>
      </c>
      <c r="AG1653">
        <v>1</v>
      </c>
      <c r="AH1653">
        <v>1</v>
      </c>
      <c r="AI1653">
        <v>1</v>
      </c>
      <c r="AJ1653">
        <v>1</v>
      </c>
      <c r="AK1653">
        <v>1</v>
      </c>
      <c r="AL1653">
        <v>1</v>
      </c>
      <c r="AM1653">
        <v>1</v>
      </c>
    </row>
    <row r="1654" spans="1:39" x14ac:dyDescent="0.2">
      <c r="A1654" t="str">
        <f>"1650"</f>
        <v>1650</v>
      </c>
      <c r="B1654" t="str">
        <f t="shared" si="89"/>
        <v>1</v>
      </c>
      <c r="C1654" t="str">
        <f t="shared" si="91"/>
        <v>33</v>
      </c>
      <c r="D1654" t="str">
        <f>"5"</f>
        <v>5</v>
      </c>
      <c r="E1654" t="str">
        <f>"1-33-5"</f>
        <v>1-33-5</v>
      </c>
      <c r="F1654" t="s">
        <v>65</v>
      </c>
      <c r="G1654" t="s">
        <v>66</v>
      </c>
      <c r="H1654" t="s">
        <v>67</v>
      </c>
      <c r="S1654">
        <v>0</v>
      </c>
      <c r="T1654">
        <v>0</v>
      </c>
      <c r="U1654">
        <v>0</v>
      </c>
      <c r="V1654">
        <v>0</v>
      </c>
      <c r="W1654">
        <v>1</v>
      </c>
      <c r="X1654">
        <v>0</v>
      </c>
      <c r="Y1654">
        <v>0</v>
      </c>
      <c r="Z1654">
        <v>1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1</v>
      </c>
      <c r="AH1654">
        <v>0</v>
      </c>
      <c r="AI1654">
        <v>0</v>
      </c>
      <c r="AJ1654">
        <v>0</v>
      </c>
      <c r="AK1654">
        <v>1</v>
      </c>
      <c r="AL1654">
        <v>1</v>
      </c>
      <c r="AM1654">
        <v>0</v>
      </c>
    </row>
    <row r="1655" spans="1:39" x14ac:dyDescent="0.2">
      <c r="A1655" t="str">
        <f>"1651"</f>
        <v>1651</v>
      </c>
      <c r="B1655" t="str">
        <f t="shared" ref="B1655:B1718" si="92">"1"</f>
        <v>1</v>
      </c>
      <c r="C1655" t="str">
        <f t="shared" ref="C1655:C1686" si="93">"34"</f>
        <v>34</v>
      </c>
      <c r="D1655" t="str">
        <f>"36"</f>
        <v>36</v>
      </c>
      <c r="E1655" t="str">
        <f>"1-34-36"</f>
        <v>1-34-36</v>
      </c>
      <c r="F1655" t="s">
        <v>65</v>
      </c>
      <c r="G1655" t="s">
        <v>66</v>
      </c>
      <c r="H1655" t="s">
        <v>67</v>
      </c>
      <c r="S1655">
        <v>1</v>
      </c>
      <c r="T1655">
        <v>0</v>
      </c>
      <c r="U1655">
        <v>0</v>
      </c>
      <c r="V1655">
        <v>0</v>
      </c>
      <c r="W1655">
        <v>1</v>
      </c>
      <c r="X1655">
        <v>0</v>
      </c>
      <c r="Y1655">
        <v>0</v>
      </c>
      <c r="Z1655">
        <v>1</v>
      </c>
      <c r="AA1655">
        <v>1</v>
      </c>
      <c r="AB1655">
        <v>0</v>
      </c>
      <c r="AC1655">
        <v>0</v>
      </c>
      <c r="AD1655">
        <v>1</v>
      </c>
      <c r="AE1655">
        <v>1</v>
      </c>
      <c r="AF1655">
        <v>1</v>
      </c>
      <c r="AG1655">
        <v>1</v>
      </c>
      <c r="AH1655">
        <v>1</v>
      </c>
      <c r="AI1655">
        <v>1</v>
      </c>
      <c r="AJ1655">
        <v>1</v>
      </c>
      <c r="AK1655">
        <v>1</v>
      </c>
      <c r="AL1655">
        <v>1</v>
      </c>
      <c r="AM1655">
        <v>1</v>
      </c>
    </row>
    <row r="1656" spans="1:39" x14ac:dyDescent="0.2">
      <c r="A1656" t="str">
        <f>"1652"</f>
        <v>1652</v>
      </c>
      <c r="B1656" t="str">
        <f t="shared" si="92"/>
        <v>1</v>
      </c>
      <c r="C1656" t="str">
        <f t="shared" si="93"/>
        <v>34</v>
      </c>
      <c r="D1656" t="str">
        <f>"35"</f>
        <v>35</v>
      </c>
      <c r="E1656" t="str">
        <f>"1-34-35"</f>
        <v>1-34-35</v>
      </c>
      <c r="F1656" t="s">
        <v>65</v>
      </c>
      <c r="G1656" t="s">
        <v>66</v>
      </c>
      <c r="H1656" t="s">
        <v>67</v>
      </c>
      <c r="S1656">
        <v>1</v>
      </c>
      <c r="T1656">
        <v>0</v>
      </c>
      <c r="U1656">
        <v>0</v>
      </c>
      <c r="V1656">
        <v>0</v>
      </c>
      <c r="W1656">
        <v>1</v>
      </c>
      <c r="X1656">
        <v>0</v>
      </c>
      <c r="Y1656">
        <v>1</v>
      </c>
      <c r="Z1656">
        <v>0</v>
      </c>
      <c r="AA1656">
        <v>0</v>
      </c>
      <c r="AB1656">
        <v>1</v>
      </c>
      <c r="AC1656">
        <v>0</v>
      </c>
      <c r="AD1656">
        <v>1</v>
      </c>
      <c r="AE1656">
        <v>1</v>
      </c>
      <c r="AF1656">
        <v>1</v>
      </c>
      <c r="AG1656">
        <v>1</v>
      </c>
      <c r="AH1656">
        <v>1</v>
      </c>
      <c r="AI1656">
        <v>1</v>
      </c>
      <c r="AJ1656">
        <v>1</v>
      </c>
      <c r="AK1656">
        <v>1</v>
      </c>
      <c r="AL1656">
        <v>1</v>
      </c>
      <c r="AM1656">
        <v>1</v>
      </c>
    </row>
    <row r="1657" spans="1:39" x14ac:dyDescent="0.2">
      <c r="A1657" t="str">
        <f>"1653"</f>
        <v>1653</v>
      </c>
      <c r="B1657" t="str">
        <f t="shared" si="92"/>
        <v>1</v>
      </c>
      <c r="C1657" t="str">
        <f t="shared" si="93"/>
        <v>34</v>
      </c>
      <c r="D1657" t="str">
        <f>"24"</f>
        <v>24</v>
      </c>
      <c r="E1657" t="str">
        <f>"1-34-24"</f>
        <v>1-34-24</v>
      </c>
      <c r="F1657" t="s">
        <v>65</v>
      </c>
      <c r="G1657" t="s">
        <v>66</v>
      </c>
      <c r="H1657" t="s">
        <v>67</v>
      </c>
      <c r="S1657">
        <v>0</v>
      </c>
      <c r="T1657">
        <v>1</v>
      </c>
      <c r="U1657">
        <v>0</v>
      </c>
      <c r="V1657">
        <v>0</v>
      </c>
      <c r="W1657">
        <v>1</v>
      </c>
      <c r="X1657">
        <v>0</v>
      </c>
      <c r="Y1657">
        <v>1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1</v>
      </c>
      <c r="AF1657">
        <v>1</v>
      </c>
      <c r="AG1657">
        <v>1</v>
      </c>
      <c r="AH1657">
        <v>1</v>
      </c>
      <c r="AI1657">
        <v>1</v>
      </c>
      <c r="AJ1657">
        <v>1</v>
      </c>
      <c r="AK1657">
        <v>1</v>
      </c>
      <c r="AL1657">
        <v>1</v>
      </c>
      <c r="AM1657">
        <v>1</v>
      </c>
    </row>
    <row r="1658" spans="1:39" x14ac:dyDescent="0.2">
      <c r="A1658" t="str">
        <f>"1654"</f>
        <v>1654</v>
      </c>
      <c r="B1658" t="str">
        <f t="shared" si="92"/>
        <v>1</v>
      </c>
      <c r="C1658" t="str">
        <f t="shared" si="93"/>
        <v>34</v>
      </c>
      <c r="D1658" t="str">
        <f>"15"</f>
        <v>15</v>
      </c>
      <c r="E1658" t="str">
        <f>"1-34-15"</f>
        <v>1-34-15</v>
      </c>
      <c r="F1658" t="s">
        <v>65</v>
      </c>
      <c r="G1658" t="s">
        <v>66</v>
      </c>
      <c r="H1658" t="s">
        <v>67</v>
      </c>
      <c r="S1658">
        <v>1</v>
      </c>
      <c r="T1658">
        <v>0</v>
      </c>
      <c r="U1658">
        <v>0</v>
      </c>
      <c r="V1658">
        <v>0</v>
      </c>
      <c r="W1658">
        <v>0</v>
      </c>
      <c r="X1658">
        <v>1</v>
      </c>
      <c r="Y1658">
        <v>1</v>
      </c>
      <c r="Z1658">
        <v>0</v>
      </c>
      <c r="AA1658">
        <v>0</v>
      </c>
      <c r="AB1658">
        <v>1</v>
      </c>
      <c r="AC1658">
        <v>0</v>
      </c>
      <c r="AD1658">
        <v>1</v>
      </c>
      <c r="AE1658">
        <v>1</v>
      </c>
      <c r="AF1658">
        <v>1</v>
      </c>
      <c r="AG1658">
        <v>1</v>
      </c>
      <c r="AH1658">
        <v>1</v>
      </c>
      <c r="AI1658">
        <v>0</v>
      </c>
      <c r="AJ1658">
        <v>1</v>
      </c>
      <c r="AK1658">
        <v>1</v>
      </c>
      <c r="AL1658">
        <v>1</v>
      </c>
      <c r="AM1658">
        <v>1</v>
      </c>
    </row>
    <row r="1659" spans="1:39" x14ac:dyDescent="0.2">
      <c r="A1659" t="str">
        <f>"1655"</f>
        <v>1655</v>
      </c>
      <c r="B1659" t="str">
        <f t="shared" si="92"/>
        <v>1</v>
      </c>
      <c r="C1659" t="str">
        <f t="shared" si="93"/>
        <v>34</v>
      </c>
      <c r="D1659" t="str">
        <f>"5"</f>
        <v>5</v>
      </c>
      <c r="E1659" t="str">
        <f>"1-34-5"</f>
        <v>1-34-5</v>
      </c>
      <c r="F1659" t="s">
        <v>65</v>
      </c>
      <c r="G1659" t="s">
        <v>66</v>
      </c>
      <c r="H1659" t="s">
        <v>67</v>
      </c>
      <c r="S1659">
        <v>1</v>
      </c>
      <c r="T1659">
        <v>0</v>
      </c>
      <c r="U1659">
        <v>0</v>
      </c>
      <c r="V1659">
        <v>0</v>
      </c>
      <c r="W1659">
        <v>1</v>
      </c>
      <c r="X1659">
        <v>0</v>
      </c>
      <c r="Y1659">
        <v>1</v>
      </c>
      <c r="Z1659">
        <v>0</v>
      </c>
      <c r="AA1659">
        <v>1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</row>
    <row r="1660" spans="1:39" x14ac:dyDescent="0.2">
      <c r="A1660" t="str">
        <f>"1656"</f>
        <v>1656</v>
      </c>
      <c r="B1660" t="str">
        <f t="shared" si="92"/>
        <v>1</v>
      </c>
      <c r="C1660" t="str">
        <f t="shared" si="93"/>
        <v>34</v>
      </c>
      <c r="D1660" t="str">
        <f>"45"</f>
        <v>45</v>
      </c>
      <c r="E1660" t="str">
        <f>"1-34-45"</f>
        <v>1-34-45</v>
      </c>
      <c r="F1660" t="s">
        <v>65</v>
      </c>
      <c r="G1660" t="s">
        <v>66</v>
      </c>
      <c r="H1660" t="s">
        <v>67</v>
      </c>
      <c r="S1660">
        <v>1</v>
      </c>
      <c r="T1660">
        <v>0</v>
      </c>
      <c r="U1660">
        <v>0</v>
      </c>
      <c r="V1660">
        <v>0</v>
      </c>
      <c r="W1660">
        <v>0</v>
      </c>
      <c r="X1660">
        <v>1</v>
      </c>
      <c r="Y1660">
        <v>1</v>
      </c>
      <c r="Z1660">
        <v>0</v>
      </c>
      <c r="AA1660">
        <v>0</v>
      </c>
      <c r="AB1660">
        <v>0</v>
      </c>
      <c r="AC1660">
        <v>1</v>
      </c>
      <c r="AD1660">
        <v>1</v>
      </c>
      <c r="AE1660">
        <v>1</v>
      </c>
      <c r="AF1660">
        <v>1</v>
      </c>
      <c r="AG1660">
        <v>1</v>
      </c>
      <c r="AH1660">
        <v>1</v>
      </c>
      <c r="AI1660">
        <v>1</v>
      </c>
      <c r="AJ1660">
        <v>1</v>
      </c>
      <c r="AK1660">
        <v>1</v>
      </c>
      <c r="AL1660">
        <v>1</v>
      </c>
      <c r="AM1660">
        <v>1</v>
      </c>
    </row>
    <row r="1661" spans="1:39" x14ac:dyDescent="0.2">
      <c r="A1661" t="str">
        <f>"1657"</f>
        <v>1657</v>
      </c>
      <c r="B1661" t="str">
        <f t="shared" si="92"/>
        <v>1</v>
      </c>
      <c r="C1661" t="str">
        <f t="shared" si="93"/>
        <v>34</v>
      </c>
      <c r="D1661" t="str">
        <f>"44"</f>
        <v>44</v>
      </c>
      <c r="E1661" t="str">
        <f>"1-34-44"</f>
        <v>1-34-44</v>
      </c>
      <c r="F1661" t="s">
        <v>65</v>
      </c>
      <c r="G1661" t="s">
        <v>66</v>
      </c>
      <c r="H1661" t="s">
        <v>67</v>
      </c>
      <c r="S1661">
        <v>0</v>
      </c>
      <c r="T1661">
        <v>1</v>
      </c>
      <c r="U1661">
        <v>0</v>
      </c>
      <c r="V1661">
        <v>0</v>
      </c>
      <c r="W1661">
        <v>0</v>
      </c>
      <c r="X1661">
        <v>1</v>
      </c>
      <c r="Y1661">
        <v>0</v>
      </c>
      <c r="Z1661">
        <v>1</v>
      </c>
      <c r="AA1661">
        <v>0</v>
      </c>
      <c r="AB1661">
        <v>0</v>
      </c>
      <c r="AC1661">
        <v>1</v>
      </c>
      <c r="AD1661">
        <v>1</v>
      </c>
      <c r="AE1661">
        <v>1</v>
      </c>
      <c r="AF1661">
        <v>0</v>
      </c>
      <c r="AG1661">
        <v>1</v>
      </c>
      <c r="AH1661">
        <v>1</v>
      </c>
      <c r="AI1661">
        <v>1</v>
      </c>
      <c r="AJ1661">
        <v>1</v>
      </c>
      <c r="AK1661">
        <v>1</v>
      </c>
      <c r="AL1661">
        <v>1</v>
      </c>
      <c r="AM1661">
        <v>1</v>
      </c>
    </row>
    <row r="1662" spans="1:39" x14ac:dyDescent="0.2">
      <c r="A1662" t="str">
        <f>"1658"</f>
        <v>1658</v>
      </c>
      <c r="B1662" t="str">
        <f t="shared" si="92"/>
        <v>1</v>
      </c>
      <c r="C1662" t="str">
        <f t="shared" si="93"/>
        <v>34</v>
      </c>
      <c r="D1662" t="str">
        <f>"31"</f>
        <v>31</v>
      </c>
      <c r="E1662" t="str">
        <f>"1-34-31"</f>
        <v>1-34-31</v>
      </c>
      <c r="F1662" t="s">
        <v>65</v>
      </c>
      <c r="G1662" t="s">
        <v>66</v>
      </c>
      <c r="H1662" t="s">
        <v>67</v>
      </c>
      <c r="S1662">
        <v>1</v>
      </c>
      <c r="T1662">
        <v>0</v>
      </c>
      <c r="U1662">
        <v>0</v>
      </c>
      <c r="V1662">
        <v>0</v>
      </c>
      <c r="W1662">
        <v>1</v>
      </c>
      <c r="X1662">
        <v>0</v>
      </c>
      <c r="Y1662">
        <v>1</v>
      </c>
      <c r="Z1662">
        <v>0</v>
      </c>
      <c r="AA1662">
        <v>0</v>
      </c>
      <c r="AB1662">
        <v>0</v>
      </c>
      <c r="AC1662">
        <v>1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</row>
    <row r="1663" spans="1:39" x14ac:dyDescent="0.2">
      <c r="A1663" t="str">
        <f>"1659"</f>
        <v>1659</v>
      </c>
      <c r="B1663" t="str">
        <f t="shared" si="92"/>
        <v>1</v>
      </c>
      <c r="C1663" t="str">
        <f t="shared" si="93"/>
        <v>34</v>
      </c>
      <c r="D1663" t="str">
        <f>"16"</f>
        <v>16</v>
      </c>
      <c r="E1663" t="str">
        <f>"1-34-16"</f>
        <v>1-34-16</v>
      </c>
      <c r="F1663" t="s">
        <v>65</v>
      </c>
      <c r="G1663" t="s">
        <v>66</v>
      </c>
      <c r="H1663" t="s">
        <v>67</v>
      </c>
      <c r="S1663">
        <v>0</v>
      </c>
      <c r="T1663">
        <v>1</v>
      </c>
      <c r="U1663">
        <v>0</v>
      </c>
      <c r="V1663">
        <v>0</v>
      </c>
      <c r="W1663">
        <v>0</v>
      </c>
      <c r="X1663">
        <v>1</v>
      </c>
      <c r="Y1663">
        <v>0</v>
      </c>
      <c r="Z1663">
        <v>1</v>
      </c>
      <c r="AA1663">
        <v>0</v>
      </c>
      <c r="AB1663">
        <v>0</v>
      </c>
      <c r="AC1663">
        <v>1</v>
      </c>
      <c r="AD1663">
        <v>1</v>
      </c>
      <c r="AE1663">
        <v>1</v>
      </c>
      <c r="AF1663">
        <v>1</v>
      </c>
      <c r="AG1663">
        <v>1</v>
      </c>
      <c r="AH1663">
        <v>1</v>
      </c>
      <c r="AI1663">
        <v>1</v>
      </c>
      <c r="AJ1663">
        <v>1</v>
      </c>
      <c r="AK1663">
        <v>1</v>
      </c>
      <c r="AL1663">
        <v>1</v>
      </c>
      <c r="AM1663">
        <v>0</v>
      </c>
    </row>
    <row r="1664" spans="1:39" x14ac:dyDescent="0.2">
      <c r="A1664" t="str">
        <f>"1660"</f>
        <v>1660</v>
      </c>
      <c r="B1664" t="str">
        <f t="shared" si="92"/>
        <v>1</v>
      </c>
      <c r="C1664" t="str">
        <f t="shared" si="93"/>
        <v>34</v>
      </c>
      <c r="D1664" t="str">
        <f>"4"</f>
        <v>4</v>
      </c>
      <c r="E1664" t="str">
        <f>"1-34-4"</f>
        <v>1-34-4</v>
      </c>
      <c r="F1664" t="s">
        <v>65</v>
      </c>
      <c r="G1664" t="s">
        <v>66</v>
      </c>
      <c r="H1664" t="s">
        <v>67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0</v>
      </c>
      <c r="AB1664">
        <v>0</v>
      </c>
      <c r="AC1664">
        <v>1</v>
      </c>
      <c r="AD1664">
        <v>0</v>
      </c>
      <c r="AE1664">
        <v>0</v>
      </c>
      <c r="AF1664">
        <v>0</v>
      </c>
      <c r="AG1664">
        <v>0</v>
      </c>
      <c r="AH1664">
        <v>1</v>
      </c>
      <c r="AI1664">
        <v>0</v>
      </c>
      <c r="AJ1664">
        <v>0</v>
      </c>
      <c r="AK1664">
        <v>0</v>
      </c>
      <c r="AL1664">
        <v>0</v>
      </c>
      <c r="AM1664">
        <v>0</v>
      </c>
    </row>
    <row r="1665" spans="1:39" x14ac:dyDescent="0.2">
      <c r="A1665" t="str">
        <f>"1661"</f>
        <v>1661</v>
      </c>
      <c r="B1665" t="str">
        <f t="shared" si="92"/>
        <v>1</v>
      </c>
      <c r="C1665" t="str">
        <f t="shared" si="93"/>
        <v>34</v>
      </c>
      <c r="D1665" t="str">
        <f>"49"</f>
        <v>49</v>
      </c>
      <c r="E1665" t="str">
        <f>"1-34-49"</f>
        <v>1-34-49</v>
      </c>
      <c r="F1665" t="s">
        <v>65</v>
      </c>
      <c r="G1665" t="s">
        <v>66</v>
      </c>
      <c r="H1665" t="s">
        <v>67</v>
      </c>
      <c r="S1665">
        <v>1</v>
      </c>
      <c r="T1665">
        <v>0</v>
      </c>
      <c r="U1665">
        <v>0</v>
      </c>
      <c r="V1665">
        <v>0</v>
      </c>
      <c r="W1665">
        <v>1</v>
      </c>
      <c r="X1665">
        <v>0</v>
      </c>
      <c r="Y1665">
        <v>1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1</v>
      </c>
      <c r="AF1665">
        <v>1</v>
      </c>
      <c r="AG1665">
        <v>1</v>
      </c>
      <c r="AH1665">
        <v>1</v>
      </c>
      <c r="AI1665">
        <v>1</v>
      </c>
      <c r="AJ1665">
        <v>1</v>
      </c>
      <c r="AK1665">
        <v>1</v>
      </c>
      <c r="AL1665">
        <v>1</v>
      </c>
      <c r="AM1665">
        <v>1</v>
      </c>
    </row>
    <row r="1666" spans="1:39" x14ac:dyDescent="0.2">
      <c r="A1666" t="str">
        <f>"1662"</f>
        <v>1662</v>
      </c>
      <c r="B1666" t="str">
        <f t="shared" si="92"/>
        <v>1</v>
      </c>
      <c r="C1666" t="str">
        <f t="shared" si="93"/>
        <v>34</v>
      </c>
      <c r="D1666" t="str">
        <f>"48"</f>
        <v>48</v>
      </c>
      <c r="E1666" t="str">
        <f>"1-34-48"</f>
        <v>1-34-48</v>
      </c>
      <c r="F1666" t="s">
        <v>65</v>
      </c>
      <c r="G1666" t="s">
        <v>66</v>
      </c>
      <c r="H1666" t="s">
        <v>67</v>
      </c>
      <c r="S1666">
        <v>0</v>
      </c>
      <c r="T1666">
        <v>1</v>
      </c>
      <c r="U1666">
        <v>0</v>
      </c>
      <c r="V1666">
        <v>0</v>
      </c>
      <c r="W1666">
        <v>1</v>
      </c>
      <c r="X1666">
        <v>0</v>
      </c>
      <c r="Y1666">
        <v>1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1</v>
      </c>
      <c r="AF1666">
        <v>1</v>
      </c>
      <c r="AG1666">
        <v>1</v>
      </c>
      <c r="AH1666">
        <v>1</v>
      </c>
      <c r="AI1666">
        <v>1</v>
      </c>
      <c r="AJ1666">
        <v>1</v>
      </c>
      <c r="AK1666">
        <v>1</v>
      </c>
      <c r="AL1666">
        <v>1</v>
      </c>
      <c r="AM1666">
        <v>1</v>
      </c>
    </row>
    <row r="1667" spans="1:39" x14ac:dyDescent="0.2">
      <c r="A1667" t="str">
        <f>"1663"</f>
        <v>1663</v>
      </c>
      <c r="B1667" t="str">
        <f t="shared" si="92"/>
        <v>1</v>
      </c>
      <c r="C1667" t="str">
        <f t="shared" si="93"/>
        <v>34</v>
      </c>
      <c r="D1667" t="str">
        <f>"32"</f>
        <v>32</v>
      </c>
      <c r="E1667" t="str">
        <f>"1-34-32"</f>
        <v>1-34-32</v>
      </c>
      <c r="F1667" t="s">
        <v>65</v>
      </c>
      <c r="G1667" t="s">
        <v>66</v>
      </c>
      <c r="H1667" t="s">
        <v>67</v>
      </c>
      <c r="S1667">
        <v>1</v>
      </c>
      <c r="T1667">
        <v>0</v>
      </c>
      <c r="U1667">
        <v>0</v>
      </c>
      <c r="V1667">
        <v>0</v>
      </c>
      <c r="W1667">
        <v>1</v>
      </c>
      <c r="X1667">
        <v>0</v>
      </c>
      <c r="Y1667">
        <v>1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1</v>
      </c>
      <c r="AF1667">
        <v>1</v>
      </c>
      <c r="AG1667">
        <v>1</v>
      </c>
      <c r="AH1667">
        <v>1</v>
      </c>
      <c r="AI1667">
        <v>1</v>
      </c>
      <c r="AJ1667">
        <v>1</v>
      </c>
      <c r="AK1667">
        <v>1</v>
      </c>
      <c r="AL1667">
        <v>1</v>
      </c>
      <c r="AM1667">
        <v>1</v>
      </c>
    </row>
    <row r="1668" spans="1:39" x14ac:dyDescent="0.2">
      <c r="A1668" t="str">
        <f>"1664"</f>
        <v>1664</v>
      </c>
      <c r="B1668" t="str">
        <f t="shared" si="92"/>
        <v>1</v>
      </c>
      <c r="C1668" t="str">
        <f t="shared" si="93"/>
        <v>34</v>
      </c>
      <c r="D1668" t="str">
        <f>"17"</f>
        <v>17</v>
      </c>
      <c r="E1668" t="str">
        <f>"1-34-17"</f>
        <v>1-34-17</v>
      </c>
      <c r="F1668" t="s">
        <v>65</v>
      </c>
      <c r="G1668" t="s">
        <v>66</v>
      </c>
      <c r="H1668" t="s">
        <v>67</v>
      </c>
      <c r="S1668">
        <v>1</v>
      </c>
      <c r="T1668">
        <v>0</v>
      </c>
      <c r="U1668">
        <v>0</v>
      </c>
      <c r="V1668">
        <v>0</v>
      </c>
      <c r="W1668">
        <v>1</v>
      </c>
      <c r="X1668">
        <v>0</v>
      </c>
      <c r="Y1668">
        <v>1</v>
      </c>
      <c r="Z1668">
        <v>0</v>
      </c>
      <c r="AA1668">
        <v>0</v>
      </c>
      <c r="AB1668">
        <v>0</v>
      </c>
      <c r="AC1668">
        <v>1</v>
      </c>
      <c r="AD1668">
        <v>1</v>
      </c>
      <c r="AE1668">
        <v>1</v>
      </c>
      <c r="AF1668">
        <v>1</v>
      </c>
      <c r="AG1668">
        <v>1</v>
      </c>
      <c r="AH1668">
        <v>1</v>
      </c>
      <c r="AI1668">
        <v>1</v>
      </c>
      <c r="AJ1668">
        <v>1</v>
      </c>
      <c r="AK1668">
        <v>1</v>
      </c>
      <c r="AL1668">
        <v>1</v>
      </c>
      <c r="AM1668">
        <v>1</v>
      </c>
    </row>
    <row r="1669" spans="1:39" x14ac:dyDescent="0.2">
      <c r="A1669" t="str">
        <f>"1665"</f>
        <v>1665</v>
      </c>
      <c r="B1669" t="str">
        <f t="shared" si="92"/>
        <v>1</v>
      </c>
      <c r="C1669" t="str">
        <f t="shared" si="93"/>
        <v>34</v>
      </c>
      <c r="D1669" t="str">
        <f>"6"</f>
        <v>6</v>
      </c>
      <c r="E1669" t="str">
        <f>"1-34-6"</f>
        <v>1-34-6</v>
      </c>
      <c r="F1669" t="s">
        <v>65</v>
      </c>
      <c r="G1669" t="s">
        <v>66</v>
      </c>
      <c r="H1669" t="s">
        <v>67</v>
      </c>
      <c r="S1669">
        <v>1</v>
      </c>
      <c r="T1669">
        <v>0</v>
      </c>
      <c r="U1669">
        <v>0</v>
      </c>
      <c r="V1669">
        <v>0</v>
      </c>
      <c r="W1669">
        <v>1</v>
      </c>
      <c r="X1669">
        <v>0</v>
      </c>
      <c r="Y1669">
        <v>1</v>
      </c>
      <c r="Z1669">
        <v>0</v>
      </c>
      <c r="AA1669">
        <v>1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</row>
    <row r="1670" spans="1:39" x14ac:dyDescent="0.2">
      <c r="A1670" t="str">
        <f>"1666"</f>
        <v>1666</v>
      </c>
      <c r="B1670" t="str">
        <f t="shared" si="92"/>
        <v>1</v>
      </c>
      <c r="C1670" t="str">
        <f t="shared" si="93"/>
        <v>34</v>
      </c>
      <c r="D1670" t="str">
        <f>"47"</f>
        <v>47</v>
      </c>
      <c r="E1670" t="str">
        <f>"1-34-47"</f>
        <v>1-34-47</v>
      </c>
      <c r="F1670" t="s">
        <v>65</v>
      </c>
      <c r="G1670" t="s">
        <v>66</v>
      </c>
      <c r="H1670" t="s">
        <v>67</v>
      </c>
      <c r="S1670">
        <v>0</v>
      </c>
      <c r="T1670">
        <v>1</v>
      </c>
      <c r="U1670">
        <v>0</v>
      </c>
      <c r="V1670">
        <v>0</v>
      </c>
      <c r="W1670">
        <v>1</v>
      </c>
      <c r="X1670">
        <v>0</v>
      </c>
      <c r="Y1670">
        <v>0</v>
      </c>
      <c r="Z1670">
        <v>1</v>
      </c>
      <c r="AA1670">
        <v>0</v>
      </c>
      <c r="AB1670">
        <v>0</v>
      </c>
      <c r="AC1670">
        <v>1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</row>
    <row r="1671" spans="1:39" x14ac:dyDescent="0.2">
      <c r="A1671" t="str">
        <f>"1667"</f>
        <v>1667</v>
      </c>
      <c r="B1671" t="str">
        <f t="shared" si="92"/>
        <v>1</v>
      </c>
      <c r="C1671" t="str">
        <f t="shared" si="93"/>
        <v>34</v>
      </c>
      <c r="D1671" t="str">
        <f>"46"</f>
        <v>46</v>
      </c>
      <c r="E1671" t="str">
        <f>"1-34-46"</f>
        <v>1-34-46</v>
      </c>
      <c r="F1671" t="s">
        <v>65</v>
      </c>
      <c r="G1671" t="s">
        <v>66</v>
      </c>
      <c r="H1671" t="s">
        <v>67</v>
      </c>
      <c r="S1671">
        <v>1</v>
      </c>
      <c r="T1671">
        <v>0</v>
      </c>
      <c r="U1671">
        <v>0</v>
      </c>
      <c r="V1671">
        <v>0</v>
      </c>
      <c r="W1671">
        <v>1</v>
      </c>
      <c r="X1671">
        <v>0</v>
      </c>
      <c r="Y1671">
        <v>1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1</v>
      </c>
      <c r="AF1671">
        <v>1</v>
      </c>
      <c r="AG1671">
        <v>1</v>
      </c>
      <c r="AH1671">
        <v>1</v>
      </c>
      <c r="AI1671">
        <v>1</v>
      </c>
      <c r="AJ1671">
        <v>1</v>
      </c>
      <c r="AK1671">
        <v>1</v>
      </c>
      <c r="AL1671">
        <v>1</v>
      </c>
      <c r="AM1671">
        <v>1</v>
      </c>
    </row>
    <row r="1672" spans="1:39" x14ac:dyDescent="0.2">
      <c r="A1672" t="str">
        <f>"1668"</f>
        <v>1668</v>
      </c>
      <c r="B1672" t="str">
        <f t="shared" si="92"/>
        <v>1</v>
      </c>
      <c r="C1672" t="str">
        <f t="shared" si="93"/>
        <v>34</v>
      </c>
      <c r="D1672" t="str">
        <f>"34"</f>
        <v>34</v>
      </c>
      <c r="E1672" t="str">
        <f>"1-34-34"</f>
        <v>1-34-34</v>
      </c>
      <c r="F1672" t="s">
        <v>65</v>
      </c>
      <c r="G1672" t="s">
        <v>66</v>
      </c>
      <c r="H1672" t="s">
        <v>67</v>
      </c>
      <c r="S1672">
        <v>1</v>
      </c>
      <c r="T1672">
        <v>0</v>
      </c>
      <c r="U1672">
        <v>0</v>
      </c>
      <c r="V1672">
        <v>0</v>
      </c>
      <c r="W1672">
        <v>1</v>
      </c>
      <c r="X1672">
        <v>0</v>
      </c>
      <c r="Y1672">
        <v>1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1</v>
      </c>
      <c r="AF1672">
        <v>1</v>
      </c>
      <c r="AG1672">
        <v>1</v>
      </c>
      <c r="AH1672">
        <v>1</v>
      </c>
      <c r="AI1672">
        <v>1</v>
      </c>
      <c r="AJ1672">
        <v>1</v>
      </c>
      <c r="AK1672">
        <v>1</v>
      </c>
      <c r="AL1672">
        <v>1</v>
      </c>
      <c r="AM1672">
        <v>1</v>
      </c>
    </row>
    <row r="1673" spans="1:39" x14ac:dyDescent="0.2">
      <c r="A1673" t="str">
        <f>"1669"</f>
        <v>1669</v>
      </c>
      <c r="B1673" t="str">
        <f t="shared" si="92"/>
        <v>1</v>
      </c>
      <c r="C1673" t="str">
        <f t="shared" si="93"/>
        <v>34</v>
      </c>
      <c r="D1673" t="str">
        <f>"18"</f>
        <v>18</v>
      </c>
      <c r="E1673" t="str">
        <f>"1-34-18"</f>
        <v>1-34-18</v>
      </c>
      <c r="F1673" t="s">
        <v>65</v>
      </c>
      <c r="G1673" t="s">
        <v>66</v>
      </c>
      <c r="H1673" t="s">
        <v>67</v>
      </c>
      <c r="S1673">
        <v>0</v>
      </c>
      <c r="T1673">
        <v>0</v>
      </c>
      <c r="U1673">
        <v>0</v>
      </c>
      <c r="V1673">
        <v>0</v>
      </c>
      <c r="W1673">
        <v>1</v>
      </c>
      <c r="X1673">
        <v>0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1</v>
      </c>
      <c r="AH1673">
        <v>0</v>
      </c>
      <c r="AI1673">
        <v>1</v>
      </c>
      <c r="AJ1673">
        <v>1</v>
      </c>
      <c r="AK1673">
        <v>0</v>
      </c>
      <c r="AL1673">
        <v>1</v>
      </c>
      <c r="AM1673">
        <v>0</v>
      </c>
    </row>
    <row r="1674" spans="1:39" x14ac:dyDescent="0.2">
      <c r="A1674" t="str">
        <f>"1670"</f>
        <v>1670</v>
      </c>
      <c r="B1674" t="str">
        <f t="shared" si="92"/>
        <v>1</v>
      </c>
      <c r="C1674" t="str">
        <f t="shared" si="93"/>
        <v>34</v>
      </c>
      <c r="D1674" t="str">
        <f>"13"</f>
        <v>13</v>
      </c>
      <c r="E1674" t="str">
        <f>"1-34-13"</f>
        <v>1-34-13</v>
      </c>
      <c r="F1674" t="s">
        <v>65</v>
      </c>
      <c r="G1674" t="s">
        <v>66</v>
      </c>
      <c r="H1674" t="s">
        <v>67</v>
      </c>
      <c r="S1674">
        <v>0</v>
      </c>
      <c r="T1674">
        <v>1</v>
      </c>
      <c r="U1674">
        <v>0</v>
      </c>
      <c r="V1674">
        <v>0</v>
      </c>
      <c r="W1674">
        <v>1</v>
      </c>
      <c r="X1674">
        <v>0</v>
      </c>
      <c r="Y1674">
        <v>1</v>
      </c>
      <c r="Z1674">
        <v>0</v>
      </c>
      <c r="AA1674">
        <v>0</v>
      </c>
      <c r="AB1674">
        <v>0</v>
      </c>
      <c r="AC1674">
        <v>1</v>
      </c>
      <c r="AD1674">
        <v>1</v>
      </c>
      <c r="AE1674">
        <v>1</v>
      </c>
      <c r="AF1674">
        <v>1</v>
      </c>
      <c r="AG1674">
        <v>1</v>
      </c>
      <c r="AH1674">
        <v>1</v>
      </c>
      <c r="AI1674">
        <v>1</v>
      </c>
      <c r="AJ1674">
        <v>1</v>
      </c>
      <c r="AK1674">
        <v>1</v>
      </c>
      <c r="AL1674">
        <v>1</v>
      </c>
      <c r="AM1674">
        <v>1</v>
      </c>
    </row>
    <row r="1675" spans="1:39" x14ac:dyDescent="0.2">
      <c r="A1675" t="str">
        <f>"1671"</f>
        <v>1671</v>
      </c>
      <c r="B1675" t="str">
        <f t="shared" si="92"/>
        <v>1</v>
      </c>
      <c r="C1675" t="str">
        <f t="shared" si="93"/>
        <v>34</v>
      </c>
      <c r="D1675" t="str">
        <f>"39"</f>
        <v>39</v>
      </c>
      <c r="E1675" t="str">
        <f>"1-34-39"</f>
        <v>1-34-39</v>
      </c>
      <c r="F1675" t="s">
        <v>65</v>
      </c>
      <c r="G1675" t="s">
        <v>66</v>
      </c>
      <c r="H1675" t="s">
        <v>67</v>
      </c>
      <c r="S1675">
        <v>0</v>
      </c>
      <c r="T1675">
        <v>1</v>
      </c>
      <c r="U1675">
        <v>0</v>
      </c>
      <c r="V1675">
        <v>0</v>
      </c>
      <c r="W1675">
        <v>1</v>
      </c>
      <c r="X1675">
        <v>0</v>
      </c>
      <c r="Y1675">
        <v>1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1</v>
      </c>
      <c r="AF1675">
        <v>1</v>
      </c>
      <c r="AG1675">
        <v>1</v>
      </c>
      <c r="AH1675">
        <v>1</v>
      </c>
      <c r="AI1675">
        <v>1</v>
      </c>
      <c r="AJ1675">
        <v>1</v>
      </c>
      <c r="AK1675">
        <v>1</v>
      </c>
      <c r="AL1675">
        <v>1</v>
      </c>
      <c r="AM1675">
        <v>1</v>
      </c>
    </row>
    <row r="1676" spans="1:39" x14ac:dyDescent="0.2">
      <c r="A1676" t="str">
        <f>"1672"</f>
        <v>1672</v>
      </c>
      <c r="B1676" t="str">
        <f t="shared" si="92"/>
        <v>1</v>
      </c>
      <c r="C1676" t="str">
        <f t="shared" si="93"/>
        <v>34</v>
      </c>
      <c r="D1676" t="str">
        <f>"38"</f>
        <v>38</v>
      </c>
      <c r="E1676" t="str">
        <f>"1-34-38"</f>
        <v>1-34-38</v>
      </c>
      <c r="F1676" t="s">
        <v>65</v>
      </c>
      <c r="G1676" t="s">
        <v>66</v>
      </c>
      <c r="H1676" t="s">
        <v>67</v>
      </c>
      <c r="S1676">
        <v>1</v>
      </c>
      <c r="T1676">
        <v>0</v>
      </c>
      <c r="U1676">
        <v>0</v>
      </c>
      <c r="V1676">
        <v>0</v>
      </c>
      <c r="W1676">
        <v>1</v>
      </c>
      <c r="X1676">
        <v>0</v>
      </c>
      <c r="Y1676">
        <v>1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1</v>
      </c>
      <c r="AF1676">
        <v>1</v>
      </c>
      <c r="AG1676">
        <v>1</v>
      </c>
      <c r="AH1676">
        <v>1</v>
      </c>
      <c r="AI1676">
        <v>1</v>
      </c>
      <c r="AJ1676">
        <v>1</v>
      </c>
      <c r="AK1676">
        <v>1</v>
      </c>
      <c r="AL1676">
        <v>1</v>
      </c>
      <c r="AM1676">
        <v>1</v>
      </c>
    </row>
    <row r="1677" spans="1:39" x14ac:dyDescent="0.2">
      <c r="A1677" t="str">
        <f>"1673"</f>
        <v>1673</v>
      </c>
      <c r="B1677" t="str">
        <f t="shared" si="92"/>
        <v>1</v>
      </c>
      <c r="C1677" t="str">
        <f t="shared" si="93"/>
        <v>34</v>
      </c>
      <c r="D1677" t="str">
        <f>"30"</f>
        <v>30</v>
      </c>
      <c r="E1677" t="str">
        <f>"1-34-30"</f>
        <v>1-34-30</v>
      </c>
      <c r="F1677" t="s">
        <v>65</v>
      </c>
      <c r="G1677" t="s">
        <v>66</v>
      </c>
      <c r="H1677" t="s">
        <v>67</v>
      </c>
      <c r="S1677">
        <v>1</v>
      </c>
      <c r="T1677">
        <v>0</v>
      </c>
      <c r="U1677">
        <v>0</v>
      </c>
      <c r="V1677">
        <v>0</v>
      </c>
      <c r="W1677">
        <v>0</v>
      </c>
      <c r="X1677">
        <v>1</v>
      </c>
      <c r="Y1677">
        <v>0</v>
      </c>
      <c r="Z1677">
        <v>1</v>
      </c>
      <c r="AA1677">
        <v>1</v>
      </c>
      <c r="AB1677">
        <v>0</v>
      </c>
      <c r="AC1677">
        <v>0</v>
      </c>
      <c r="AD1677">
        <v>1</v>
      </c>
      <c r="AE1677">
        <v>1</v>
      </c>
      <c r="AF1677">
        <v>1</v>
      </c>
      <c r="AG1677">
        <v>1</v>
      </c>
      <c r="AH1677">
        <v>1</v>
      </c>
      <c r="AI1677">
        <v>1</v>
      </c>
      <c r="AJ1677">
        <v>1</v>
      </c>
      <c r="AK1677">
        <v>1</v>
      </c>
      <c r="AL1677">
        <v>1</v>
      </c>
      <c r="AM1677">
        <v>1</v>
      </c>
    </row>
    <row r="1678" spans="1:39" x14ac:dyDescent="0.2">
      <c r="A1678" t="str">
        <f>"1674"</f>
        <v>1674</v>
      </c>
      <c r="B1678" t="str">
        <f t="shared" si="92"/>
        <v>1</v>
      </c>
      <c r="C1678" t="str">
        <f t="shared" si="93"/>
        <v>34</v>
      </c>
      <c r="D1678" t="str">
        <f>"19"</f>
        <v>19</v>
      </c>
      <c r="E1678" t="str">
        <f>"1-34-19"</f>
        <v>1-34-19</v>
      </c>
      <c r="F1678" t="s">
        <v>65</v>
      </c>
      <c r="G1678" t="s">
        <v>66</v>
      </c>
      <c r="H1678" t="s">
        <v>67</v>
      </c>
      <c r="S1678">
        <v>1</v>
      </c>
      <c r="T1678">
        <v>0</v>
      </c>
      <c r="U1678">
        <v>0</v>
      </c>
      <c r="V1678">
        <v>0</v>
      </c>
      <c r="W1678">
        <v>1</v>
      </c>
      <c r="X1678">
        <v>0</v>
      </c>
      <c r="Y1678">
        <v>1</v>
      </c>
      <c r="Z1678">
        <v>0</v>
      </c>
      <c r="AA1678">
        <v>0</v>
      </c>
      <c r="AB1678">
        <v>0</v>
      </c>
      <c r="AC1678">
        <v>1</v>
      </c>
      <c r="AD1678">
        <v>1</v>
      </c>
      <c r="AE1678">
        <v>1</v>
      </c>
      <c r="AF1678">
        <v>1</v>
      </c>
      <c r="AG1678">
        <v>1</v>
      </c>
      <c r="AH1678">
        <v>1</v>
      </c>
      <c r="AI1678">
        <v>1</v>
      </c>
      <c r="AJ1678">
        <v>1</v>
      </c>
      <c r="AK1678">
        <v>1</v>
      </c>
      <c r="AL1678">
        <v>1</v>
      </c>
      <c r="AM1678">
        <v>1</v>
      </c>
    </row>
    <row r="1679" spans="1:39" x14ac:dyDescent="0.2">
      <c r="A1679" t="str">
        <f>"1675"</f>
        <v>1675</v>
      </c>
      <c r="B1679" t="str">
        <f t="shared" si="92"/>
        <v>1</v>
      </c>
      <c r="C1679" t="str">
        <f t="shared" si="93"/>
        <v>34</v>
      </c>
      <c r="D1679" t="str">
        <f>"2"</f>
        <v>2</v>
      </c>
      <c r="E1679" t="str">
        <f>"1-34-2"</f>
        <v>1-34-2</v>
      </c>
      <c r="F1679" t="s">
        <v>65</v>
      </c>
      <c r="G1679" t="s">
        <v>66</v>
      </c>
      <c r="H1679" t="s">
        <v>67</v>
      </c>
      <c r="S1679">
        <v>1</v>
      </c>
      <c r="T1679">
        <v>0</v>
      </c>
      <c r="U1679">
        <v>0</v>
      </c>
      <c r="V1679">
        <v>0</v>
      </c>
      <c r="W1679">
        <v>1</v>
      </c>
      <c r="X1679">
        <v>0</v>
      </c>
      <c r="Y1679">
        <v>1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1</v>
      </c>
      <c r="AF1679">
        <v>1</v>
      </c>
      <c r="AG1679">
        <v>1</v>
      </c>
      <c r="AH1679">
        <v>1</v>
      </c>
      <c r="AI1679">
        <v>1</v>
      </c>
      <c r="AJ1679">
        <v>1</v>
      </c>
      <c r="AK1679">
        <v>1</v>
      </c>
      <c r="AL1679">
        <v>1</v>
      </c>
      <c r="AM1679">
        <v>1</v>
      </c>
    </row>
    <row r="1680" spans="1:39" x14ac:dyDescent="0.2">
      <c r="A1680" t="str">
        <f>"1676"</f>
        <v>1676</v>
      </c>
      <c r="B1680" t="str">
        <f t="shared" si="92"/>
        <v>1</v>
      </c>
      <c r="C1680" t="str">
        <f t="shared" si="93"/>
        <v>34</v>
      </c>
      <c r="D1680" t="str">
        <f>"43"</f>
        <v>43</v>
      </c>
      <c r="E1680" t="str">
        <f>"1-34-43"</f>
        <v>1-34-43</v>
      </c>
      <c r="F1680" t="s">
        <v>65</v>
      </c>
      <c r="G1680" t="s">
        <v>66</v>
      </c>
      <c r="H1680" t="s">
        <v>67</v>
      </c>
      <c r="S1680">
        <v>0</v>
      </c>
      <c r="T1680">
        <v>1</v>
      </c>
      <c r="U1680">
        <v>0</v>
      </c>
      <c r="V1680">
        <v>0</v>
      </c>
      <c r="W1680">
        <v>0</v>
      </c>
      <c r="X1680">
        <v>1</v>
      </c>
      <c r="Y1680">
        <v>1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1</v>
      </c>
      <c r="AH1680">
        <v>1</v>
      </c>
      <c r="AI1680">
        <v>1</v>
      </c>
      <c r="AJ1680">
        <v>0</v>
      </c>
      <c r="AK1680">
        <v>0</v>
      </c>
      <c r="AL1680">
        <v>1</v>
      </c>
      <c r="AM1680">
        <v>0</v>
      </c>
    </row>
    <row r="1681" spans="1:39" x14ac:dyDescent="0.2">
      <c r="A1681" t="str">
        <f>"1677"</f>
        <v>1677</v>
      </c>
      <c r="B1681" t="str">
        <f t="shared" si="92"/>
        <v>1</v>
      </c>
      <c r="C1681" t="str">
        <f t="shared" si="93"/>
        <v>34</v>
      </c>
      <c r="D1681" t="str">
        <f>"42"</f>
        <v>42</v>
      </c>
      <c r="E1681" t="str">
        <f>"1-34-42"</f>
        <v>1-34-42</v>
      </c>
      <c r="F1681" t="s">
        <v>65</v>
      </c>
      <c r="G1681" t="s">
        <v>66</v>
      </c>
      <c r="H1681" t="s">
        <v>67</v>
      </c>
      <c r="S1681">
        <v>1</v>
      </c>
      <c r="T1681">
        <v>0</v>
      </c>
      <c r="U1681">
        <v>0</v>
      </c>
      <c r="V1681">
        <v>0</v>
      </c>
      <c r="W1681">
        <v>1</v>
      </c>
      <c r="X1681">
        <v>0</v>
      </c>
      <c r="Y1681">
        <v>1</v>
      </c>
      <c r="Z1681">
        <v>0</v>
      </c>
      <c r="AA1681">
        <v>0</v>
      </c>
      <c r="AB1681">
        <v>1</v>
      </c>
      <c r="AC1681">
        <v>0</v>
      </c>
      <c r="AD1681">
        <v>1</v>
      </c>
      <c r="AE1681">
        <v>1</v>
      </c>
      <c r="AF1681">
        <v>1</v>
      </c>
      <c r="AG1681">
        <v>1</v>
      </c>
      <c r="AH1681">
        <v>1</v>
      </c>
      <c r="AI1681">
        <v>1</v>
      </c>
      <c r="AJ1681">
        <v>1</v>
      </c>
      <c r="AK1681">
        <v>1</v>
      </c>
      <c r="AL1681">
        <v>1</v>
      </c>
      <c r="AM1681">
        <v>1</v>
      </c>
    </row>
    <row r="1682" spans="1:39" x14ac:dyDescent="0.2">
      <c r="A1682" t="str">
        <f>"1678"</f>
        <v>1678</v>
      </c>
      <c r="B1682" t="str">
        <f t="shared" si="92"/>
        <v>1</v>
      </c>
      <c r="C1682" t="str">
        <f t="shared" si="93"/>
        <v>34</v>
      </c>
      <c r="D1682" t="str">
        <f>"33"</f>
        <v>33</v>
      </c>
      <c r="E1682" t="str">
        <f>"1-34-33"</f>
        <v>1-34-33</v>
      </c>
      <c r="F1682" t="s">
        <v>65</v>
      </c>
      <c r="G1682" t="s">
        <v>66</v>
      </c>
      <c r="H1682" t="s">
        <v>67</v>
      </c>
      <c r="S1682">
        <v>1</v>
      </c>
      <c r="T1682">
        <v>0</v>
      </c>
      <c r="U1682">
        <v>0</v>
      </c>
      <c r="V1682">
        <v>0</v>
      </c>
      <c r="W1682">
        <v>1</v>
      </c>
      <c r="X1682">
        <v>0</v>
      </c>
      <c r="Y1682">
        <v>1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1</v>
      </c>
      <c r="AF1682">
        <v>1</v>
      </c>
      <c r="AG1682">
        <v>1</v>
      </c>
      <c r="AH1682">
        <v>1</v>
      </c>
      <c r="AI1682">
        <v>1</v>
      </c>
      <c r="AJ1682">
        <v>1</v>
      </c>
      <c r="AK1682">
        <v>1</v>
      </c>
      <c r="AL1682">
        <v>1</v>
      </c>
      <c r="AM1682">
        <v>1</v>
      </c>
    </row>
    <row r="1683" spans="1:39" x14ac:dyDescent="0.2">
      <c r="A1683" t="str">
        <f>"1679"</f>
        <v>1679</v>
      </c>
      <c r="B1683" t="str">
        <f t="shared" si="92"/>
        <v>1</v>
      </c>
      <c r="C1683" t="str">
        <f t="shared" si="93"/>
        <v>34</v>
      </c>
      <c r="D1683" t="str">
        <f>"20"</f>
        <v>20</v>
      </c>
      <c r="E1683" t="str">
        <f>"1-34-20"</f>
        <v>1-34-20</v>
      </c>
      <c r="F1683" t="s">
        <v>65</v>
      </c>
      <c r="G1683" t="s">
        <v>66</v>
      </c>
      <c r="H1683" t="s">
        <v>67</v>
      </c>
      <c r="S1683">
        <v>1</v>
      </c>
      <c r="T1683">
        <v>0</v>
      </c>
      <c r="U1683">
        <v>0</v>
      </c>
      <c r="V1683">
        <v>0</v>
      </c>
      <c r="W1683">
        <v>1</v>
      </c>
      <c r="X1683">
        <v>0</v>
      </c>
      <c r="Y1683">
        <v>1</v>
      </c>
      <c r="Z1683">
        <v>0</v>
      </c>
      <c r="AA1683">
        <v>0</v>
      </c>
      <c r="AB1683">
        <v>0</v>
      </c>
      <c r="AC1683">
        <v>1</v>
      </c>
      <c r="AD1683">
        <v>1</v>
      </c>
      <c r="AE1683">
        <v>1</v>
      </c>
      <c r="AF1683">
        <v>1</v>
      </c>
      <c r="AG1683">
        <v>1</v>
      </c>
      <c r="AH1683">
        <v>1</v>
      </c>
      <c r="AI1683">
        <v>1</v>
      </c>
      <c r="AJ1683">
        <v>1</v>
      </c>
      <c r="AK1683">
        <v>1</v>
      </c>
      <c r="AL1683">
        <v>1</v>
      </c>
      <c r="AM1683">
        <v>1</v>
      </c>
    </row>
    <row r="1684" spans="1:39" x14ac:dyDescent="0.2">
      <c r="A1684" t="str">
        <f>"1680"</f>
        <v>1680</v>
      </c>
      <c r="B1684" t="str">
        <f t="shared" si="92"/>
        <v>1</v>
      </c>
      <c r="C1684" t="str">
        <f t="shared" si="93"/>
        <v>34</v>
      </c>
      <c r="D1684" t="str">
        <f>"7"</f>
        <v>7</v>
      </c>
      <c r="E1684" t="str">
        <f>"1-34-7"</f>
        <v>1-34-7</v>
      </c>
      <c r="F1684" t="s">
        <v>65</v>
      </c>
      <c r="G1684" t="s">
        <v>66</v>
      </c>
      <c r="H1684" t="s">
        <v>67</v>
      </c>
      <c r="S1684">
        <v>0</v>
      </c>
      <c r="T1684">
        <v>1</v>
      </c>
      <c r="U1684">
        <v>0</v>
      </c>
      <c r="V1684">
        <v>0</v>
      </c>
      <c r="W1684">
        <v>1</v>
      </c>
      <c r="X1684">
        <v>0</v>
      </c>
      <c r="Y1684">
        <v>0</v>
      </c>
      <c r="Z1684">
        <v>1</v>
      </c>
      <c r="AA1684">
        <v>0</v>
      </c>
      <c r="AB1684">
        <v>0</v>
      </c>
      <c r="AC1684">
        <v>1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1</v>
      </c>
      <c r="AJ1684">
        <v>1</v>
      </c>
      <c r="AK1684">
        <v>0</v>
      </c>
      <c r="AL1684">
        <v>1</v>
      </c>
      <c r="AM1684">
        <v>1</v>
      </c>
    </row>
    <row r="1685" spans="1:39" x14ac:dyDescent="0.2">
      <c r="A1685" t="str">
        <f>"1681"</f>
        <v>1681</v>
      </c>
      <c r="B1685" t="str">
        <f t="shared" si="92"/>
        <v>1</v>
      </c>
      <c r="C1685" t="str">
        <f t="shared" si="93"/>
        <v>34</v>
      </c>
      <c r="D1685" t="str">
        <f>"37"</f>
        <v>37</v>
      </c>
      <c r="E1685" t="str">
        <f>"1-34-37"</f>
        <v>1-34-37</v>
      </c>
      <c r="F1685" t="s">
        <v>65</v>
      </c>
      <c r="G1685" t="s">
        <v>66</v>
      </c>
      <c r="H1685" t="s">
        <v>67</v>
      </c>
      <c r="S1685">
        <v>1</v>
      </c>
      <c r="T1685">
        <v>0</v>
      </c>
      <c r="U1685">
        <v>0</v>
      </c>
      <c r="V1685">
        <v>0</v>
      </c>
      <c r="W1685">
        <v>0</v>
      </c>
      <c r="X1685">
        <v>1</v>
      </c>
      <c r="Y1685">
        <v>0</v>
      </c>
      <c r="Z1685">
        <v>1</v>
      </c>
      <c r="AA1685">
        <v>1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1</v>
      </c>
      <c r="AJ1685">
        <v>0</v>
      </c>
      <c r="AK1685">
        <v>0</v>
      </c>
      <c r="AL1685">
        <v>0</v>
      </c>
      <c r="AM1685">
        <v>0</v>
      </c>
    </row>
    <row r="1686" spans="1:39" x14ac:dyDescent="0.2">
      <c r="A1686" t="str">
        <f>"1682"</f>
        <v>1682</v>
      </c>
      <c r="B1686" t="str">
        <f t="shared" si="92"/>
        <v>1</v>
      </c>
      <c r="C1686" t="str">
        <f t="shared" si="93"/>
        <v>34</v>
      </c>
      <c r="D1686" t="str">
        <f>"21"</f>
        <v>21</v>
      </c>
      <c r="E1686" t="str">
        <f>"1-34-21"</f>
        <v>1-34-21</v>
      </c>
      <c r="F1686" t="s">
        <v>65</v>
      </c>
      <c r="G1686" t="s">
        <v>66</v>
      </c>
      <c r="H1686" t="s">
        <v>67</v>
      </c>
      <c r="S1686">
        <v>1</v>
      </c>
      <c r="T1686">
        <v>0</v>
      </c>
      <c r="U1686">
        <v>0</v>
      </c>
      <c r="V1686">
        <v>0</v>
      </c>
      <c r="W1686">
        <v>1</v>
      </c>
      <c r="X1686">
        <v>0</v>
      </c>
      <c r="Y1686">
        <v>1</v>
      </c>
      <c r="Z1686">
        <v>0</v>
      </c>
      <c r="AA1686">
        <v>0</v>
      </c>
      <c r="AB1686">
        <v>0</v>
      </c>
      <c r="AC1686">
        <v>1</v>
      </c>
      <c r="AD1686">
        <v>1</v>
      </c>
      <c r="AE1686">
        <v>1</v>
      </c>
      <c r="AF1686">
        <v>1</v>
      </c>
      <c r="AG1686">
        <v>1</v>
      </c>
      <c r="AH1686">
        <v>1</v>
      </c>
      <c r="AI1686">
        <v>1</v>
      </c>
      <c r="AJ1686">
        <v>1</v>
      </c>
      <c r="AK1686">
        <v>1</v>
      </c>
      <c r="AL1686">
        <v>1</v>
      </c>
      <c r="AM1686">
        <v>1</v>
      </c>
    </row>
    <row r="1687" spans="1:39" x14ac:dyDescent="0.2">
      <c r="A1687" t="str">
        <f>"1683"</f>
        <v>1683</v>
      </c>
      <c r="B1687" t="str">
        <f t="shared" si="92"/>
        <v>1</v>
      </c>
      <c r="C1687" t="str">
        <f t="shared" ref="C1687:C1704" si="94">"34"</f>
        <v>34</v>
      </c>
      <c r="D1687" t="str">
        <f>"1"</f>
        <v>1</v>
      </c>
      <c r="E1687" t="str">
        <f>"1-34-1"</f>
        <v>1-34-1</v>
      </c>
      <c r="F1687" t="s">
        <v>65</v>
      </c>
      <c r="G1687" t="s">
        <v>66</v>
      </c>
      <c r="H1687" t="s">
        <v>67</v>
      </c>
      <c r="S1687">
        <v>0</v>
      </c>
      <c r="T1687">
        <v>1</v>
      </c>
      <c r="U1687">
        <v>0</v>
      </c>
      <c r="V1687">
        <v>0</v>
      </c>
      <c r="W1687">
        <v>1</v>
      </c>
      <c r="X1687">
        <v>0</v>
      </c>
      <c r="Y1687">
        <v>1</v>
      </c>
      <c r="Z1687">
        <v>0</v>
      </c>
      <c r="AA1687">
        <v>0</v>
      </c>
      <c r="AB1687">
        <v>1</v>
      </c>
      <c r="AC1687">
        <v>0</v>
      </c>
      <c r="AD1687">
        <v>1</v>
      </c>
      <c r="AE1687">
        <v>1</v>
      </c>
      <c r="AF1687">
        <v>1</v>
      </c>
      <c r="AG1687">
        <v>1</v>
      </c>
      <c r="AH1687">
        <v>1</v>
      </c>
      <c r="AI1687">
        <v>1</v>
      </c>
      <c r="AJ1687">
        <v>1</v>
      </c>
      <c r="AK1687">
        <v>1</v>
      </c>
      <c r="AL1687">
        <v>1</v>
      </c>
      <c r="AM1687">
        <v>1</v>
      </c>
    </row>
    <row r="1688" spans="1:39" x14ac:dyDescent="0.2">
      <c r="A1688" t="str">
        <f>"1684"</f>
        <v>1684</v>
      </c>
      <c r="B1688" t="str">
        <f t="shared" si="92"/>
        <v>1</v>
      </c>
      <c r="C1688" t="str">
        <f t="shared" si="94"/>
        <v>34</v>
      </c>
      <c r="D1688" t="str">
        <f>"41"</f>
        <v>41</v>
      </c>
      <c r="E1688" t="str">
        <f>"1-34-41"</f>
        <v>1-34-41</v>
      </c>
      <c r="F1688" t="s">
        <v>65</v>
      </c>
      <c r="G1688" t="s">
        <v>66</v>
      </c>
      <c r="H1688" t="s">
        <v>67</v>
      </c>
      <c r="S1688">
        <v>0</v>
      </c>
      <c r="T1688">
        <v>1</v>
      </c>
      <c r="U1688">
        <v>0</v>
      </c>
      <c r="V1688">
        <v>0</v>
      </c>
      <c r="W1688">
        <v>1</v>
      </c>
      <c r="X1688">
        <v>0</v>
      </c>
      <c r="Y1688">
        <v>0</v>
      </c>
      <c r="Z1688">
        <v>1</v>
      </c>
      <c r="AA1688">
        <v>0</v>
      </c>
      <c r="AB1688">
        <v>0</v>
      </c>
      <c r="AC1688">
        <v>1</v>
      </c>
      <c r="AD1688">
        <v>0</v>
      </c>
      <c r="AE1688">
        <v>0</v>
      </c>
      <c r="AF1688">
        <v>0</v>
      </c>
      <c r="AG1688">
        <v>1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</row>
    <row r="1689" spans="1:39" x14ac:dyDescent="0.2">
      <c r="A1689" t="str">
        <f>"1685"</f>
        <v>1685</v>
      </c>
      <c r="B1689" t="str">
        <f t="shared" si="92"/>
        <v>1</v>
      </c>
      <c r="C1689" t="str">
        <f t="shared" si="94"/>
        <v>34</v>
      </c>
      <c r="D1689" t="str">
        <f>"22"</f>
        <v>22</v>
      </c>
      <c r="E1689" t="str">
        <f>"1-34-22"</f>
        <v>1-34-22</v>
      </c>
      <c r="F1689" t="s">
        <v>65</v>
      </c>
      <c r="G1689" t="s">
        <v>66</v>
      </c>
      <c r="H1689" t="s">
        <v>67</v>
      </c>
      <c r="S1689">
        <v>0</v>
      </c>
      <c r="T1689">
        <v>1</v>
      </c>
      <c r="U1689">
        <v>0</v>
      </c>
      <c r="V1689">
        <v>0</v>
      </c>
      <c r="W1689">
        <v>1</v>
      </c>
      <c r="X1689">
        <v>0</v>
      </c>
      <c r="Y1689">
        <v>0</v>
      </c>
      <c r="Z1689">
        <v>1</v>
      </c>
      <c r="AA1689">
        <v>0</v>
      </c>
      <c r="AB1689">
        <v>0</v>
      </c>
      <c r="AC1689">
        <v>1</v>
      </c>
      <c r="AD1689">
        <v>1</v>
      </c>
      <c r="AE1689">
        <v>1</v>
      </c>
      <c r="AF1689">
        <v>1</v>
      </c>
      <c r="AG1689">
        <v>1</v>
      </c>
      <c r="AH1689">
        <v>1</v>
      </c>
      <c r="AI1689">
        <v>1</v>
      </c>
      <c r="AJ1689">
        <v>1</v>
      </c>
      <c r="AK1689">
        <v>1</v>
      </c>
      <c r="AL1689">
        <v>1</v>
      </c>
      <c r="AM1689">
        <v>1</v>
      </c>
    </row>
    <row r="1690" spans="1:39" x14ac:dyDescent="0.2">
      <c r="A1690" t="str">
        <f>"1686"</f>
        <v>1686</v>
      </c>
      <c r="B1690" t="str">
        <f t="shared" si="92"/>
        <v>1</v>
      </c>
      <c r="C1690" t="str">
        <f t="shared" si="94"/>
        <v>34</v>
      </c>
      <c r="D1690" t="str">
        <f>"14"</f>
        <v>14</v>
      </c>
      <c r="E1690" t="str">
        <f>"1-34-14"</f>
        <v>1-34-14</v>
      </c>
      <c r="F1690" t="s">
        <v>65</v>
      </c>
      <c r="G1690" t="s">
        <v>66</v>
      </c>
      <c r="H1690" t="s">
        <v>67</v>
      </c>
      <c r="S1690">
        <v>1</v>
      </c>
      <c r="T1690">
        <v>0</v>
      </c>
      <c r="U1690">
        <v>0</v>
      </c>
      <c r="V1690">
        <v>0</v>
      </c>
      <c r="W1690">
        <v>1</v>
      </c>
      <c r="X1690">
        <v>0</v>
      </c>
      <c r="Y1690">
        <v>1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1</v>
      </c>
      <c r="AF1690">
        <v>1</v>
      </c>
      <c r="AG1690">
        <v>1</v>
      </c>
      <c r="AH1690">
        <v>1</v>
      </c>
      <c r="AI1690">
        <v>1</v>
      </c>
      <c r="AJ1690">
        <v>1</v>
      </c>
      <c r="AK1690">
        <v>1</v>
      </c>
      <c r="AL1690">
        <v>1</v>
      </c>
      <c r="AM1690">
        <v>1</v>
      </c>
    </row>
    <row r="1691" spans="1:39" x14ac:dyDescent="0.2">
      <c r="A1691" t="str">
        <f>"1687"</f>
        <v>1687</v>
      </c>
      <c r="B1691" t="str">
        <f t="shared" si="92"/>
        <v>1</v>
      </c>
      <c r="C1691" t="str">
        <f t="shared" si="94"/>
        <v>34</v>
      </c>
      <c r="D1691" t="str">
        <f>"40"</f>
        <v>40</v>
      </c>
      <c r="E1691" t="str">
        <f>"1-34-40"</f>
        <v>1-34-40</v>
      </c>
      <c r="F1691" t="s">
        <v>65</v>
      </c>
      <c r="G1691" t="s">
        <v>66</v>
      </c>
      <c r="H1691" t="s">
        <v>67</v>
      </c>
      <c r="S1691">
        <v>1</v>
      </c>
      <c r="T1691">
        <v>0</v>
      </c>
      <c r="U1691">
        <v>0</v>
      </c>
      <c r="V1691">
        <v>0</v>
      </c>
      <c r="W1691">
        <v>1</v>
      </c>
      <c r="X1691">
        <v>0</v>
      </c>
      <c r="Y1691">
        <v>1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1</v>
      </c>
      <c r="AF1691">
        <v>1</v>
      </c>
      <c r="AG1691">
        <v>1</v>
      </c>
      <c r="AH1691">
        <v>1</v>
      </c>
      <c r="AI1691">
        <v>1</v>
      </c>
      <c r="AJ1691">
        <v>1</v>
      </c>
      <c r="AK1691">
        <v>1</v>
      </c>
      <c r="AL1691">
        <v>1</v>
      </c>
      <c r="AM1691">
        <v>1</v>
      </c>
    </row>
    <row r="1692" spans="1:39" x14ac:dyDescent="0.2">
      <c r="A1692" t="str">
        <f>"1688"</f>
        <v>1688</v>
      </c>
      <c r="B1692" t="str">
        <f t="shared" si="92"/>
        <v>1</v>
      </c>
      <c r="C1692" t="str">
        <f t="shared" si="94"/>
        <v>34</v>
      </c>
      <c r="D1692" t="str">
        <f>"23"</f>
        <v>23</v>
      </c>
      <c r="E1692" t="str">
        <f>"1-34-23"</f>
        <v>1-34-23</v>
      </c>
      <c r="F1692" t="s">
        <v>65</v>
      </c>
      <c r="G1692" t="s">
        <v>66</v>
      </c>
      <c r="H1692" t="s">
        <v>67</v>
      </c>
      <c r="S1692">
        <v>0</v>
      </c>
      <c r="T1692">
        <v>1</v>
      </c>
      <c r="U1692">
        <v>0</v>
      </c>
      <c r="V1692">
        <v>0</v>
      </c>
      <c r="W1692">
        <v>1</v>
      </c>
      <c r="X1692">
        <v>0</v>
      </c>
      <c r="Y1692">
        <v>1</v>
      </c>
      <c r="Z1692">
        <v>0</v>
      </c>
      <c r="AA1692">
        <v>0</v>
      </c>
      <c r="AB1692">
        <v>1</v>
      </c>
      <c r="AC1692">
        <v>0</v>
      </c>
      <c r="AD1692">
        <v>1</v>
      </c>
      <c r="AE1692">
        <v>1</v>
      </c>
      <c r="AF1692">
        <v>1</v>
      </c>
      <c r="AG1692">
        <v>1</v>
      </c>
      <c r="AH1692">
        <v>1</v>
      </c>
      <c r="AI1692">
        <v>1</v>
      </c>
      <c r="AJ1692">
        <v>1</v>
      </c>
      <c r="AK1692">
        <v>1</v>
      </c>
      <c r="AL1692">
        <v>1</v>
      </c>
      <c r="AM1692">
        <v>1</v>
      </c>
    </row>
    <row r="1693" spans="1:39" x14ac:dyDescent="0.2">
      <c r="A1693" t="str">
        <f>"1689"</f>
        <v>1689</v>
      </c>
      <c r="B1693" t="str">
        <f t="shared" si="92"/>
        <v>1</v>
      </c>
      <c r="C1693" t="str">
        <f t="shared" si="94"/>
        <v>34</v>
      </c>
      <c r="D1693" t="str">
        <f>"10"</f>
        <v>10</v>
      </c>
      <c r="E1693" t="str">
        <f>"1-34-10"</f>
        <v>1-34-10</v>
      </c>
      <c r="F1693" t="s">
        <v>65</v>
      </c>
      <c r="G1693" t="s">
        <v>66</v>
      </c>
      <c r="H1693" t="s">
        <v>67</v>
      </c>
      <c r="S1693">
        <v>1</v>
      </c>
      <c r="T1693">
        <v>0</v>
      </c>
      <c r="U1693">
        <v>0</v>
      </c>
      <c r="V1693">
        <v>0</v>
      </c>
      <c r="W1693">
        <v>1</v>
      </c>
      <c r="X1693">
        <v>0</v>
      </c>
      <c r="Y1693">
        <v>1</v>
      </c>
      <c r="Z1693">
        <v>0</v>
      </c>
      <c r="AA1693">
        <v>0</v>
      </c>
      <c r="AB1693">
        <v>1</v>
      </c>
      <c r="AC1693">
        <v>0</v>
      </c>
      <c r="AD1693">
        <v>1</v>
      </c>
      <c r="AE1693">
        <v>1</v>
      </c>
      <c r="AF1693">
        <v>1</v>
      </c>
      <c r="AG1693">
        <v>1</v>
      </c>
      <c r="AH1693">
        <v>1</v>
      </c>
      <c r="AI1693">
        <v>1</v>
      </c>
      <c r="AJ1693">
        <v>1</v>
      </c>
      <c r="AK1693">
        <v>1</v>
      </c>
      <c r="AL1693">
        <v>1</v>
      </c>
      <c r="AM1693">
        <v>1</v>
      </c>
    </row>
    <row r="1694" spans="1:39" x14ac:dyDescent="0.2">
      <c r="A1694" t="str">
        <f>"1690"</f>
        <v>1690</v>
      </c>
      <c r="B1694" t="str">
        <f t="shared" si="92"/>
        <v>1</v>
      </c>
      <c r="C1694" t="str">
        <f t="shared" si="94"/>
        <v>34</v>
      </c>
      <c r="D1694" t="str">
        <f>"25"</f>
        <v>25</v>
      </c>
      <c r="E1694" t="str">
        <f>"1-34-25"</f>
        <v>1-34-25</v>
      </c>
      <c r="F1694" t="s">
        <v>65</v>
      </c>
      <c r="G1694" t="s">
        <v>66</v>
      </c>
      <c r="H1694" t="s">
        <v>67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0</v>
      </c>
      <c r="AB1694">
        <v>0</v>
      </c>
      <c r="AC1694">
        <v>1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</row>
    <row r="1695" spans="1:39" x14ac:dyDescent="0.2">
      <c r="A1695" t="str">
        <f>"1691"</f>
        <v>1691</v>
      </c>
      <c r="B1695" t="str">
        <f t="shared" si="92"/>
        <v>1</v>
      </c>
      <c r="C1695" t="str">
        <f t="shared" si="94"/>
        <v>34</v>
      </c>
      <c r="D1695" t="str">
        <f>"8"</f>
        <v>8</v>
      </c>
      <c r="E1695" t="str">
        <f>"1-34-8"</f>
        <v>1-34-8</v>
      </c>
      <c r="F1695" t="s">
        <v>65</v>
      </c>
      <c r="G1695" t="s">
        <v>66</v>
      </c>
      <c r="H1695" t="s">
        <v>67</v>
      </c>
      <c r="S1695">
        <v>0</v>
      </c>
      <c r="T1695">
        <v>1</v>
      </c>
      <c r="U1695">
        <v>0</v>
      </c>
      <c r="V1695">
        <v>0</v>
      </c>
      <c r="W1695">
        <v>1</v>
      </c>
      <c r="X1695">
        <v>0</v>
      </c>
      <c r="Y1695">
        <v>0</v>
      </c>
      <c r="Z1695">
        <v>1</v>
      </c>
      <c r="AA1695">
        <v>0</v>
      </c>
      <c r="AB1695">
        <v>0</v>
      </c>
      <c r="AC1695">
        <v>1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1</v>
      </c>
      <c r="AJ1695">
        <v>1</v>
      </c>
      <c r="AK1695">
        <v>0</v>
      </c>
      <c r="AL1695">
        <v>1</v>
      </c>
      <c r="AM1695">
        <v>1</v>
      </c>
    </row>
    <row r="1696" spans="1:39" x14ac:dyDescent="0.2">
      <c r="A1696" t="str">
        <f>"1692"</f>
        <v>1692</v>
      </c>
      <c r="B1696" t="str">
        <f t="shared" si="92"/>
        <v>1</v>
      </c>
      <c r="C1696" t="str">
        <f t="shared" si="94"/>
        <v>34</v>
      </c>
      <c r="D1696" t="str">
        <f>"26"</f>
        <v>26</v>
      </c>
      <c r="E1696" t="str">
        <f>"1-34-26"</f>
        <v>1-34-26</v>
      </c>
      <c r="F1696" t="s">
        <v>65</v>
      </c>
      <c r="G1696" t="s">
        <v>66</v>
      </c>
      <c r="H1696" t="s">
        <v>67</v>
      </c>
      <c r="S1696">
        <v>0</v>
      </c>
      <c r="T1696">
        <v>1</v>
      </c>
      <c r="U1696">
        <v>0</v>
      </c>
      <c r="V1696">
        <v>0</v>
      </c>
      <c r="W1696">
        <v>1</v>
      </c>
      <c r="X1696">
        <v>0</v>
      </c>
      <c r="Y1696">
        <v>1</v>
      </c>
      <c r="Z1696">
        <v>0</v>
      </c>
      <c r="AA1696">
        <v>1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1</v>
      </c>
      <c r="AI1696">
        <v>0</v>
      </c>
      <c r="AJ1696">
        <v>0</v>
      </c>
      <c r="AK1696">
        <v>0</v>
      </c>
      <c r="AL1696">
        <v>1</v>
      </c>
      <c r="AM1696">
        <v>0</v>
      </c>
    </row>
    <row r="1697" spans="1:39" x14ac:dyDescent="0.2">
      <c r="A1697" t="str">
        <f>"1693"</f>
        <v>1693</v>
      </c>
      <c r="B1697" t="str">
        <f t="shared" si="92"/>
        <v>1</v>
      </c>
      <c r="C1697" t="str">
        <f t="shared" si="94"/>
        <v>34</v>
      </c>
      <c r="D1697" t="str">
        <f>"12"</f>
        <v>12</v>
      </c>
      <c r="E1697" t="str">
        <f>"1-34-12"</f>
        <v>1-34-12</v>
      </c>
      <c r="F1697" t="s">
        <v>65</v>
      </c>
      <c r="G1697" t="s">
        <v>66</v>
      </c>
      <c r="H1697" t="s">
        <v>67</v>
      </c>
      <c r="S1697">
        <v>0</v>
      </c>
      <c r="T1697">
        <v>1</v>
      </c>
      <c r="U1697">
        <v>0</v>
      </c>
      <c r="V1697">
        <v>0</v>
      </c>
      <c r="W1697">
        <v>1</v>
      </c>
      <c r="X1697">
        <v>0</v>
      </c>
      <c r="Y1697">
        <v>1</v>
      </c>
      <c r="Z1697">
        <v>0</v>
      </c>
      <c r="AA1697">
        <v>0</v>
      </c>
      <c r="AB1697">
        <v>0</v>
      </c>
      <c r="AC1697">
        <v>1</v>
      </c>
      <c r="AD1697">
        <v>1</v>
      </c>
      <c r="AE1697">
        <v>1</v>
      </c>
      <c r="AF1697">
        <v>1</v>
      </c>
      <c r="AG1697">
        <v>1</v>
      </c>
      <c r="AH1697">
        <v>1</v>
      </c>
      <c r="AI1697">
        <v>1</v>
      </c>
      <c r="AJ1697">
        <v>1</v>
      </c>
      <c r="AK1697">
        <v>1</v>
      </c>
      <c r="AL1697">
        <v>1</v>
      </c>
      <c r="AM1697">
        <v>1</v>
      </c>
    </row>
    <row r="1698" spans="1:39" x14ac:dyDescent="0.2">
      <c r="A1698" t="str">
        <f>"1694"</f>
        <v>1694</v>
      </c>
      <c r="B1698" t="str">
        <f t="shared" si="92"/>
        <v>1</v>
      </c>
      <c r="C1698" t="str">
        <f t="shared" si="94"/>
        <v>34</v>
      </c>
      <c r="D1698" t="str">
        <f>"27"</f>
        <v>27</v>
      </c>
      <c r="E1698" t="str">
        <f>"1-34-27"</f>
        <v>1-34-27</v>
      </c>
      <c r="F1698" t="s">
        <v>65</v>
      </c>
      <c r="G1698" t="s">
        <v>66</v>
      </c>
      <c r="H1698" t="s">
        <v>67</v>
      </c>
      <c r="S1698">
        <v>1</v>
      </c>
      <c r="T1698">
        <v>0</v>
      </c>
      <c r="U1698">
        <v>0</v>
      </c>
      <c r="V1698">
        <v>0</v>
      </c>
      <c r="W1698">
        <v>1</v>
      </c>
      <c r="X1698">
        <v>0</v>
      </c>
      <c r="Y1698">
        <v>1</v>
      </c>
      <c r="Z1698">
        <v>0</v>
      </c>
      <c r="AA1698">
        <v>1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1</v>
      </c>
      <c r="AH1698">
        <v>1</v>
      </c>
      <c r="AI1698">
        <v>1</v>
      </c>
      <c r="AJ1698">
        <v>1</v>
      </c>
      <c r="AK1698">
        <v>1</v>
      </c>
      <c r="AL1698">
        <v>1</v>
      </c>
      <c r="AM1698">
        <v>0</v>
      </c>
    </row>
    <row r="1699" spans="1:39" x14ac:dyDescent="0.2">
      <c r="A1699" t="str">
        <f>"1695"</f>
        <v>1695</v>
      </c>
      <c r="B1699" t="str">
        <f t="shared" si="92"/>
        <v>1</v>
      </c>
      <c r="C1699" t="str">
        <f t="shared" si="94"/>
        <v>34</v>
      </c>
      <c r="D1699" t="str">
        <f>"9"</f>
        <v>9</v>
      </c>
      <c r="E1699" t="str">
        <f>"1-34-9"</f>
        <v>1-34-9</v>
      </c>
      <c r="F1699" t="s">
        <v>65</v>
      </c>
      <c r="G1699" t="s">
        <v>66</v>
      </c>
      <c r="H1699" t="s">
        <v>67</v>
      </c>
      <c r="S1699">
        <v>1</v>
      </c>
      <c r="T1699">
        <v>0</v>
      </c>
      <c r="U1699">
        <v>0</v>
      </c>
      <c r="V1699">
        <v>0</v>
      </c>
      <c r="W1699">
        <v>0</v>
      </c>
      <c r="X1699">
        <v>1</v>
      </c>
      <c r="Y1699">
        <v>1</v>
      </c>
      <c r="Z1699">
        <v>0</v>
      </c>
      <c r="AA1699">
        <v>0</v>
      </c>
      <c r="AB1699">
        <v>1</v>
      </c>
      <c r="AC1699">
        <v>0</v>
      </c>
      <c r="AD1699">
        <v>1</v>
      </c>
      <c r="AE1699">
        <v>1</v>
      </c>
      <c r="AF1699">
        <v>1</v>
      </c>
      <c r="AG1699">
        <v>1</v>
      </c>
      <c r="AH1699">
        <v>1</v>
      </c>
      <c r="AI1699">
        <v>1</v>
      </c>
      <c r="AJ1699">
        <v>1</v>
      </c>
      <c r="AK1699">
        <v>1</v>
      </c>
      <c r="AL1699">
        <v>1</v>
      </c>
      <c r="AM1699">
        <v>1</v>
      </c>
    </row>
    <row r="1700" spans="1:39" x14ac:dyDescent="0.2">
      <c r="A1700" t="str">
        <f>"1696"</f>
        <v>1696</v>
      </c>
      <c r="B1700" t="str">
        <f t="shared" si="92"/>
        <v>1</v>
      </c>
      <c r="C1700" t="str">
        <f t="shared" si="94"/>
        <v>34</v>
      </c>
      <c r="D1700" t="str">
        <f>"50"</f>
        <v>50</v>
      </c>
      <c r="E1700" t="str">
        <f>"1-34-50"</f>
        <v>1-34-50</v>
      </c>
      <c r="F1700" t="s">
        <v>65</v>
      </c>
      <c r="G1700" t="s">
        <v>66</v>
      </c>
      <c r="H1700" t="s">
        <v>67</v>
      </c>
      <c r="S1700">
        <v>0</v>
      </c>
      <c r="T1700">
        <v>0</v>
      </c>
      <c r="U1700">
        <v>0</v>
      </c>
      <c r="V1700">
        <v>0</v>
      </c>
      <c r="W1700">
        <v>1</v>
      </c>
      <c r="X1700">
        <v>0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1</v>
      </c>
      <c r="AH1700">
        <v>0</v>
      </c>
      <c r="AI1700">
        <v>1</v>
      </c>
      <c r="AJ1700">
        <v>1</v>
      </c>
      <c r="AK1700">
        <v>0</v>
      </c>
      <c r="AL1700">
        <v>1</v>
      </c>
      <c r="AM1700">
        <v>0</v>
      </c>
    </row>
    <row r="1701" spans="1:39" x14ac:dyDescent="0.2">
      <c r="A1701" t="str">
        <f>"1697"</f>
        <v>1697</v>
      </c>
      <c r="B1701" t="str">
        <f t="shared" si="92"/>
        <v>1</v>
      </c>
      <c r="C1701" t="str">
        <f t="shared" si="94"/>
        <v>34</v>
      </c>
      <c r="D1701" t="str">
        <f>"28"</f>
        <v>28</v>
      </c>
      <c r="E1701" t="str">
        <f>"1-34-28"</f>
        <v>1-34-28</v>
      </c>
      <c r="F1701" t="s">
        <v>65</v>
      </c>
      <c r="G1701" t="s">
        <v>66</v>
      </c>
      <c r="H1701" t="s">
        <v>67</v>
      </c>
      <c r="S1701">
        <v>0</v>
      </c>
      <c r="T1701">
        <v>1</v>
      </c>
      <c r="U1701">
        <v>0</v>
      </c>
      <c r="V1701">
        <v>0</v>
      </c>
      <c r="W1701">
        <v>0</v>
      </c>
      <c r="X1701">
        <v>1</v>
      </c>
      <c r="Y1701">
        <v>0</v>
      </c>
      <c r="Z1701">
        <v>1</v>
      </c>
      <c r="AA1701">
        <v>0</v>
      </c>
      <c r="AB1701">
        <v>0</v>
      </c>
      <c r="AC1701">
        <v>1</v>
      </c>
      <c r="AD1701">
        <v>1</v>
      </c>
      <c r="AE1701">
        <v>1</v>
      </c>
      <c r="AF1701">
        <v>1</v>
      </c>
      <c r="AG1701">
        <v>1</v>
      </c>
      <c r="AH1701">
        <v>1</v>
      </c>
      <c r="AI1701">
        <v>1</v>
      </c>
      <c r="AJ1701">
        <v>1</v>
      </c>
      <c r="AK1701">
        <v>1</v>
      </c>
      <c r="AL1701">
        <v>1</v>
      </c>
      <c r="AM1701">
        <v>0</v>
      </c>
    </row>
    <row r="1702" spans="1:39" x14ac:dyDescent="0.2">
      <c r="A1702" t="str">
        <f>"1698"</f>
        <v>1698</v>
      </c>
      <c r="B1702" t="str">
        <f t="shared" si="92"/>
        <v>1</v>
      </c>
      <c r="C1702" t="str">
        <f t="shared" si="94"/>
        <v>34</v>
      </c>
      <c r="D1702" t="str">
        <f>"3"</f>
        <v>3</v>
      </c>
      <c r="E1702" t="str">
        <f>"1-34-3"</f>
        <v>1-34-3</v>
      </c>
      <c r="F1702" t="s">
        <v>65</v>
      </c>
      <c r="G1702" t="s">
        <v>66</v>
      </c>
      <c r="H1702" t="s">
        <v>67</v>
      </c>
      <c r="S1702">
        <v>1</v>
      </c>
      <c r="T1702">
        <v>0</v>
      </c>
      <c r="U1702">
        <v>0</v>
      </c>
      <c r="V1702">
        <v>0</v>
      </c>
      <c r="W1702">
        <v>1</v>
      </c>
      <c r="X1702">
        <v>0</v>
      </c>
      <c r="Y1702">
        <v>1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1</v>
      </c>
      <c r="AF1702">
        <v>1</v>
      </c>
      <c r="AG1702">
        <v>1</v>
      </c>
      <c r="AH1702">
        <v>1</v>
      </c>
      <c r="AI1702">
        <v>1</v>
      </c>
      <c r="AJ1702">
        <v>1</v>
      </c>
      <c r="AK1702">
        <v>1</v>
      </c>
      <c r="AL1702">
        <v>1</v>
      </c>
      <c r="AM1702">
        <v>1</v>
      </c>
    </row>
    <row r="1703" spans="1:39" x14ac:dyDescent="0.2">
      <c r="A1703" t="str">
        <f>"1699"</f>
        <v>1699</v>
      </c>
      <c r="B1703" t="str">
        <f t="shared" si="92"/>
        <v>1</v>
      </c>
      <c r="C1703" t="str">
        <f t="shared" si="94"/>
        <v>34</v>
      </c>
      <c r="D1703" t="str">
        <f>"29"</f>
        <v>29</v>
      </c>
      <c r="E1703" t="str">
        <f>"1-34-29"</f>
        <v>1-34-29</v>
      </c>
      <c r="F1703" t="s">
        <v>65</v>
      </c>
      <c r="G1703" t="s">
        <v>66</v>
      </c>
      <c r="H1703" t="s">
        <v>67</v>
      </c>
      <c r="S1703">
        <v>0</v>
      </c>
      <c r="T1703">
        <v>1</v>
      </c>
      <c r="U1703">
        <v>0</v>
      </c>
      <c r="V1703">
        <v>0</v>
      </c>
      <c r="W1703">
        <v>1</v>
      </c>
      <c r="X1703">
        <v>0</v>
      </c>
      <c r="Y1703">
        <v>0</v>
      </c>
      <c r="Z1703">
        <v>1</v>
      </c>
      <c r="AA1703">
        <v>1</v>
      </c>
      <c r="AB1703">
        <v>0</v>
      </c>
      <c r="AC1703">
        <v>0</v>
      </c>
      <c r="AD1703">
        <v>1</v>
      </c>
      <c r="AE1703">
        <v>1</v>
      </c>
      <c r="AF1703">
        <v>1</v>
      </c>
      <c r="AG1703">
        <v>1</v>
      </c>
      <c r="AH1703">
        <v>1</v>
      </c>
      <c r="AI1703">
        <v>1</v>
      </c>
      <c r="AJ1703">
        <v>1</v>
      </c>
      <c r="AK1703">
        <v>1</v>
      </c>
      <c r="AL1703">
        <v>1</v>
      </c>
      <c r="AM1703">
        <v>1</v>
      </c>
    </row>
    <row r="1704" spans="1:39" x14ac:dyDescent="0.2">
      <c r="A1704" t="str">
        <f>"1700"</f>
        <v>1700</v>
      </c>
      <c r="B1704" t="str">
        <f t="shared" si="92"/>
        <v>1</v>
      </c>
      <c r="C1704" t="str">
        <f t="shared" si="94"/>
        <v>34</v>
      </c>
      <c r="D1704" t="str">
        <f>"11"</f>
        <v>11</v>
      </c>
      <c r="E1704" t="str">
        <f>"1-34-11"</f>
        <v>1-34-11</v>
      </c>
      <c r="F1704" t="s">
        <v>65</v>
      </c>
      <c r="G1704" t="s">
        <v>66</v>
      </c>
      <c r="H1704" t="s">
        <v>67</v>
      </c>
      <c r="S1704">
        <v>1</v>
      </c>
      <c r="T1704">
        <v>0</v>
      </c>
      <c r="U1704">
        <v>0</v>
      </c>
      <c r="V1704">
        <v>0</v>
      </c>
      <c r="W1704">
        <v>1</v>
      </c>
      <c r="X1704">
        <v>0</v>
      </c>
      <c r="Y1704">
        <v>1</v>
      </c>
      <c r="Z1704">
        <v>0</v>
      </c>
      <c r="AA1704">
        <v>0</v>
      </c>
      <c r="AB1704">
        <v>1</v>
      </c>
      <c r="AC1704">
        <v>0</v>
      </c>
      <c r="AD1704">
        <v>1</v>
      </c>
      <c r="AE1704">
        <v>1</v>
      </c>
      <c r="AF1704">
        <v>1</v>
      </c>
      <c r="AG1704">
        <v>1</v>
      </c>
      <c r="AH1704">
        <v>1</v>
      </c>
      <c r="AI1704">
        <v>1</v>
      </c>
      <c r="AJ1704">
        <v>1</v>
      </c>
      <c r="AK1704">
        <v>1</v>
      </c>
      <c r="AL1704">
        <v>1</v>
      </c>
      <c r="AM1704">
        <v>1</v>
      </c>
    </row>
    <row r="1705" spans="1:39" x14ac:dyDescent="0.2">
      <c r="A1705" t="str">
        <f>"1701"</f>
        <v>1701</v>
      </c>
      <c r="B1705" t="str">
        <f t="shared" si="92"/>
        <v>1</v>
      </c>
      <c r="C1705" t="str">
        <f t="shared" ref="C1705:C1736" si="95">"35"</f>
        <v>35</v>
      </c>
      <c r="D1705" t="str">
        <f>"38"</f>
        <v>38</v>
      </c>
      <c r="E1705" t="str">
        <f>"1-35-38"</f>
        <v>1-35-38</v>
      </c>
      <c r="F1705" t="s">
        <v>65</v>
      </c>
      <c r="G1705" t="s">
        <v>66</v>
      </c>
      <c r="H1705" t="s">
        <v>68</v>
      </c>
      <c r="I1705">
        <v>1</v>
      </c>
      <c r="J1705">
        <v>1</v>
      </c>
      <c r="K1705">
        <v>0</v>
      </c>
      <c r="L1705">
        <v>0</v>
      </c>
      <c r="M1705">
        <v>1</v>
      </c>
      <c r="N1705">
        <v>1</v>
      </c>
      <c r="O1705">
        <v>1</v>
      </c>
      <c r="P1705">
        <v>1</v>
      </c>
      <c r="Q1705">
        <v>1</v>
      </c>
      <c r="R1705">
        <v>1</v>
      </c>
    </row>
    <row r="1706" spans="1:39" x14ac:dyDescent="0.2">
      <c r="A1706" t="str">
        <f>"1702"</f>
        <v>1702</v>
      </c>
      <c r="B1706" t="str">
        <f t="shared" si="92"/>
        <v>1</v>
      </c>
      <c r="C1706" t="str">
        <f t="shared" si="95"/>
        <v>35</v>
      </c>
      <c r="D1706" t="str">
        <f>"37"</f>
        <v>37</v>
      </c>
      <c r="E1706" t="str">
        <f>"1-35-37"</f>
        <v>1-35-37</v>
      </c>
      <c r="F1706" t="s">
        <v>65</v>
      </c>
      <c r="G1706" t="s">
        <v>66</v>
      </c>
      <c r="H1706" t="s">
        <v>68</v>
      </c>
      <c r="I1706">
        <v>1</v>
      </c>
      <c r="J1706">
        <v>1</v>
      </c>
      <c r="K1706">
        <v>0</v>
      </c>
      <c r="L1706">
        <v>0</v>
      </c>
      <c r="M1706">
        <v>1</v>
      </c>
      <c r="N1706">
        <v>1</v>
      </c>
      <c r="O1706">
        <v>1</v>
      </c>
      <c r="P1706">
        <v>1</v>
      </c>
      <c r="Q1706">
        <v>1</v>
      </c>
      <c r="R1706">
        <v>1</v>
      </c>
    </row>
    <row r="1707" spans="1:39" x14ac:dyDescent="0.2">
      <c r="A1707" t="str">
        <f>"1703"</f>
        <v>1703</v>
      </c>
      <c r="B1707" t="str">
        <f t="shared" si="92"/>
        <v>1</v>
      </c>
      <c r="C1707" t="str">
        <f t="shared" si="95"/>
        <v>35</v>
      </c>
      <c r="D1707" t="str">
        <f>"24"</f>
        <v>24</v>
      </c>
      <c r="E1707" t="str">
        <f>"1-35-24"</f>
        <v>1-35-24</v>
      </c>
      <c r="F1707" t="s">
        <v>65</v>
      </c>
      <c r="G1707" t="s">
        <v>66</v>
      </c>
      <c r="H1707" t="s">
        <v>68</v>
      </c>
      <c r="I1707">
        <v>1</v>
      </c>
      <c r="J1707">
        <v>0</v>
      </c>
      <c r="K1707">
        <v>1</v>
      </c>
      <c r="L1707">
        <v>0</v>
      </c>
      <c r="M1707">
        <v>1</v>
      </c>
      <c r="N1707">
        <v>1</v>
      </c>
      <c r="O1707">
        <v>1</v>
      </c>
      <c r="P1707">
        <v>1</v>
      </c>
      <c r="Q1707">
        <v>1</v>
      </c>
      <c r="R1707">
        <v>1</v>
      </c>
    </row>
    <row r="1708" spans="1:39" x14ac:dyDescent="0.2">
      <c r="A1708" t="str">
        <f>"1704"</f>
        <v>1704</v>
      </c>
      <c r="B1708" t="str">
        <f t="shared" si="92"/>
        <v>1</v>
      </c>
      <c r="C1708" t="str">
        <f t="shared" si="95"/>
        <v>35</v>
      </c>
      <c r="D1708" t="str">
        <f>"23"</f>
        <v>23</v>
      </c>
      <c r="E1708" t="str">
        <f>"1-35-23"</f>
        <v>1-35-23</v>
      </c>
      <c r="F1708" t="s">
        <v>65</v>
      </c>
      <c r="G1708" t="s">
        <v>66</v>
      </c>
      <c r="H1708" t="s">
        <v>68</v>
      </c>
      <c r="I1708">
        <v>1</v>
      </c>
      <c r="J1708">
        <v>0</v>
      </c>
      <c r="K1708">
        <v>1</v>
      </c>
      <c r="L1708">
        <v>0</v>
      </c>
      <c r="M1708">
        <v>1</v>
      </c>
      <c r="N1708">
        <v>1</v>
      </c>
      <c r="O1708">
        <v>0</v>
      </c>
      <c r="P1708">
        <v>1</v>
      </c>
      <c r="Q1708">
        <v>1</v>
      </c>
      <c r="R1708">
        <v>1</v>
      </c>
    </row>
    <row r="1709" spans="1:39" x14ac:dyDescent="0.2">
      <c r="A1709" t="str">
        <f>"1705"</f>
        <v>1705</v>
      </c>
      <c r="B1709" t="str">
        <f t="shared" si="92"/>
        <v>1</v>
      </c>
      <c r="C1709" t="str">
        <f t="shared" si="95"/>
        <v>35</v>
      </c>
      <c r="D1709" t="str">
        <f>"19"</f>
        <v>19</v>
      </c>
      <c r="E1709" t="str">
        <f>"1-35-19"</f>
        <v>1-35-19</v>
      </c>
      <c r="F1709" t="s">
        <v>65</v>
      </c>
      <c r="G1709" t="s">
        <v>66</v>
      </c>
      <c r="H1709" t="s">
        <v>68</v>
      </c>
      <c r="I1709">
        <v>1</v>
      </c>
      <c r="J1709">
        <v>1</v>
      </c>
      <c r="K1709">
        <v>0</v>
      </c>
      <c r="L1709">
        <v>0</v>
      </c>
      <c r="M1709">
        <v>1</v>
      </c>
      <c r="N1709">
        <v>1</v>
      </c>
      <c r="O1709">
        <v>1</v>
      </c>
      <c r="P1709">
        <v>1</v>
      </c>
      <c r="Q1709">
        <v>1</v>
      </c>
      <c r="R1709">
        <v>1</v>
      </c>
    </row>
    <row r="1710" spans="1:39" x14ac:dyDescent="0.2">
      <c r="A1710" t="str">
        <f>"1706"</f>
        <v>1706</v>
      </c>
      <c r="B1710" t="str">
        <f t="shared" si="92"/>
        <v>1</v>
      </c>
      <c r="C1710" t="str">
        <f t="shared" si="95"/>
        <v>35</v>
      </c>
      <c r="D1710" t="str">
        <f>"15"</f>
        <v>15</v>
      </c>
      <c r="E1710" t="str">
        <f>"1-35-15"</f>
        <v>1-35-15</v>
      </c>
      <c r="F1710" t="s">
        <v>65</v>
      </c>
      <c r="G1710" t="s">
        <v>66</v>
      </c>
      <c r="H1710" t="s">
        <v>68</v>
      </c>
      <c r="I1710">
        <v>1</v>
      </c>
      <c r="J1710">
        <v>0</v>
      </c>
      <c r="K1710">
        <v>0</v>
      </c>
      <c r="L1710">
        <v>1</v>
      </c>
      <c r="M1710">
        <v>1</v>
      </c>
      <c r="N1710">
        <v>1</v>
      </c>
      <c r="O1710">
        <v>1</v>
      </c>
      <c r="P1710">
        <v>1</v>
      </c>
      <c r="Q1710">
        <v>1</v>
      </c>
      <c r="R1710">
        <v>1</v>
      </c>
    </row>
    <row r="1711" spans="1:39" x14ac:dyDescent="0.2">
      <c r="A1711" t="str">
        <f>"1707"</f>
        <v>1707</v>
      </c>
      <c r="B1711" t="str">
        <f t="shared" si="92"/>
        <v>1</v>
      </c>
      <c r="C1711" t="str">
        <f t="shared" si="95"/>
        <v>35</v>
      </c>
      <c r="D1711" t="str">
        <f>"2"</f>
        <v>2</v>
      </c>
      <c r="E1711" t="str">
        <f>"1-35-2"</f>
        <v>1-35-2</v>
      </c>
      <c r="F1711" t="s">
        <v>65</v>
      </c>
      <c r="G1711" t="s">
        <v>66</v>
      </c>
      <c r="H1711" t="s">
        <v>68</v>
      </c>
      <c r="I1711">
        <v>1</v>
      </c>
      <c r="J1711">
        <v>0</v>
      </c>
      <c r="K1711">
        <v>1</v>
      </c>
      <c r="L1711">
        <v>0</v>
      </c>
      <c r="M1711">
        <v>1</v>
      </c>
      <c r="N1711">
        <v>1</v>
      </c>
      <c r="O1711">
        <v>0</v>
      </c>
      <c r="P1711">
        <v>1</v>
      </c>
      <c r="Q1711">
        <v>1</v>
      </c>
      <c r="R1711">
        <v>1</v>
      </c>
    </row>
    <row r="1712" spans="1:39" x14ac:dyDescent="0.2">
      <c r="A1712" t="str">
        <f>"1708"</f>
        <v>1708</v>
      </c>
      <c r="B1712" t="str">
        <f t="shared" si="92"/>
        <v>1</v>
      </c>
      <c r="C1712" t="str">
        <f t="shared" si="95"/>
        <v>35</v>
      </c>
      <c r="D1712" t="str">
        <f>"36"</f>
        <v>36</v>
      </c>
      <c r="E1712" t="str">
        <f>"1-35-36"</f>
        <v>1-35-36</v>
      </c>
      <c r="F1712" t="s">
        <v>65</v>
      </c>
      <c r="G1712" t="s">
        <v>66</v>
      </c>
      <c r="H1712" t="s">
        <v>68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1</v>
      </c>
      <c r="O1712">
        <v>1</v>
      </c>
      <c r="P1712">
        <v>1</v>
      </c>
      <c r="Q1712">
        <v>1</v>
      </c>
      <c r="R1712">
        <v>1</v>
      </c>
    </row>
    <row r="1713" spans="1:18" x14ac:dyDescent="0.2">
      <c r="A1713" t="str">
        <f>"1709"</f>
        <v>1709</v>
      </c>
      <c r="B1713" t="str">
        <f t="shared" si="92"/>
        <v>1</v>
      </c>
      <c r="C1713" t="str">
        <f t="shared" si="95"/>
        <v>35</v>
      </c>
      <c r="D1713" t="str">
        <f>"35"</f>
        <v>35</v>
      </c>
      <c r="E1713" t="str">
        <f>"1-35-35"</f>
        <v>1-35-35</v>
      </c>
      <c r="F1713" t="s">
        <v>65</v>
      </c>
      <c r="G1713" t="s">
        <v>66</v>
      </c>
      <c r="H1713" t="s">
        <v>68</v>
      </c>
      <c r="I1713">
        <v>1</v>
      </c>
      <c r="J1713">
        <v>0</v>
      </c>
      <c r="K1713">
        <v>0</v>
      </c>
      <c r="L1713">
        <v>1</v>
      </c>
      <c r="M1713">
        <v>1</v>
      </c>
      <c r="N1713">
        <v>1</v>
      </c>
      <c r="O1713">
        <v>1</v>
      </c>
      <c r="P1713">
        <v>1</v>
      </c>
      <c r="Q1713">
        <v>1</v>
      </c>
      <c r="R1713">
        <v>1</v>
      </c>
    </row>
    <row r="1714" spans="1:18" x14ac:dyDescent="0.2">
      <c r="A1714" t="str">
        <f>"1710"</f>
        <v>1710</v>
      </c>
      <c r="B1714" t="str">
        <f t="shared" si="92"/>
        <v>1</v>
      </c>
      <c r="C1714" t="str">
        <f t="shared" si="95"/>
        <v>35</v>
      </c>
      <c r="D1714" t="str">
        <f>"22"</f>
        <v>22</v>
      </c>
      <c r="E1714" t="str">
        <f>"1-35-22"</f>
        <v>1-35-22</v>
      </c>
      <c r="F1714" t="s">
        <v>65</v>
      </c>
      <c r="G1714" t="s">
        <v>66</v>
      </c>
      <c r="H1714" t="s">
        <v>68</v>
      </c>
      <c r="I1714">
        <v>1</v>
      </c>
      <c r="J1714">
        <v>1</v>
      </c>
      <c r="K1714">
        <v>0</v>
      </c>
      <c r="L1714">
        <v>0</v>
      </c>
      <c r="M1714">
        <v>1</v>
      </c>
      <c r="N1714">
        <v>1</v>
      </c>
      <c r="O1714">
        <v>1</v>
      </c>
      <c r="P1714">
        <v>1</v>
      </c>
      <c r="Q1714">
        <v>1</v>
      </c>
      <c r="R1714">
        <v>1</v>
      </c>
    </row>
    <row r="1715" spans="1:18" x14ac:dyDescent="0.2">
      <c r="A1715" t="str">
        <f>"1711"</f>
        <v>1711</v>
      </c>
      <c r="B1715" t="str">
        <f t="shared" si="92"/>
        <v>1</v>
      </c>
      <c r="C1715" t="str">
        <f t="shared" si="95"/>
        <v>35</v>
      </c>
      <c r="D1715" t="str">
        <f>"16"</f>
        <v>16</v>
      </c>
      <c r="E1715" t="str">
        <f>"1-35-16"</f>
        <v>1-35-16</v>
      </c>
      <c r="F1715" t="s">
        <v>65</v>
      </c>
      <c r="G1715" t="s">
        <v>66</v>
      </c>
      <c r="H1715" t="s">
        <v>68</v>
      </c>
      <c r="I1715">
        <v>1</v>
      </c>
      <c r="J1715">
        <v>0</v>
      </c>
      <c r="K1715">
        <v>0</v>
      </c>
      <c r="L1715">
        <v>1</v>
      </c>
      <c r="M1715">
        <v>1</v>
      </c>
      <c r="N1715">
        <v>1</v>
      </c>
      <c r="O1715">
        <v>1</v>
      </c>
      <c r="P1715">
        <v>1</v>
      </c>
      <c r="Q1715">
        <v>1</v>
      </c>
      <c r="R1715">
        <v>1</v>
      </c>
    </row>
    <row r="1716" spans="1:18" x14ac:dyDescent="0.2">
      <c r="A1716" t="str">
        <f>"1712"</f>
        <v>1712</v>
      </c>
      <c r="B1716" t="str">
        <f t="shared" si="92"/>
        <v>1</v>
      </c>
      <c r="C1716" t="str">
        <f t="shared" si="95"/>
        <v>35</v>
      </c>
      <c r="D1716" t="str">
        <f>"9"</f>
        <v>9</v>
      </c>
      <c r="E1716" t="str">
        <f>"1-35-9"</f>
        <v>1-35-9</v>
      </c>
      <c r="F1716" t="s">
        <v>65</v>
      </c>
      <c r="G1716" t="s">
        <v>66</v>
      </c>
      <c r="H1716" t="s">
        <v>68</v>
      </c>
      <c r="I1716">
        <v>1</v>
      </c>
      <c r="J1716">
        <v>1</v>
      </c>
      <c r="K1716">
        <v>0</v>
      </c>
      <c r="L1716">
        <v>0</v>
      </c>
      <c r="M1716">
        <v>1</v>
      </c>
      <c r="N1716">
        <v>1</v>
      </c>
      <c r="O1716">
        <v>1</v>
      </c>
      <c r="P1716">
        <v>1</v>
      </c>
      <c r="Q1716">
        <v>1</v>
      </c>
      <c r="R1716">
        <v>1</v>
      </c>
    </row>
    <row r="1717" spans="1:18" x14ac:dyDescent="0.2">
      <c r="A1717" t="str">
        <f>"1713"</f>
        <v>1713</v>
      </c>
      <c r="B1717" t="str">
        <f t="shared" si="92"/>
        <v>1</v>
      </c>
      <c r="C1717" t="str">
        <f t="shared" si="95"/>
        <v>35</v>
      </c>
      <c r="D1717" t="str">
        <f>"43"</f>
        <v>43</v>
      </c>
      <c r="E1717" t="str">
        <f>"1-35-43"</f>
        <v>1-35-43</v>
      </c>
      <c r="F1717" t="s">
        <v>65</v>
      </c>
      <c r="G1717" t="s">
        <v>66</v>
      </c>
      <c r="H1717" t="s">
        <v>68</v>
      </c>
      <c r="I1717">
        <v>1</v>
      </c>
      <c r="J1717">
        <v>1</v>
      </c>
      <c r="K1717">
        <v>0</v>
      </c>
      <c r="L1717">
        <v>0</v>
      </c>
      <c r="M1717">
        <v>1</v>
      </c>
      <c r="N1717">
        <v>1</v>
      </c>
      <c r="O1717">
        <v>1</v>
      </c>
      <c r="P1717">
        <v>1</v>
      </c>
      <c r="Q1717">
        <v>1</v>
      </c>
      <c r="R1717">
        <v>1</v>
      </c>
    </row>
    <row r="1718" spans="1:18" x14ac:dyDescent="0.2">
      <c r="A1718" t="str">
        <f>"1714"</f>
        <v>1714</v>
      </c>
      <c r="B1718" t="str">
        <f t="shared" si="92"/>
        <v>1</v>
      </c>
      <c r="C1718" t="str">
        <f t="shared" si="95"/>
        <v>35</v>
      </c>
      <c r="D1718" t="str">
        <f>"42"</f>
        <v>42</v>
      </c>
      <c r="E1718" t="str">
        <f>"1-35-42"</f>
        <v>1-35-42</v>
      </c>
      <c r="F1718" t="s">
        <v>65</v>
      </c>
      <c r="G1718" t="s">
        <v>66</v>
      </c>
      <c r="H1718" t="s">
        <v>68</v>
      </c>
      <c r="I1718">
        <v>1</v>
      </c>
      <c r="J1718">
        <v>0</v>
      </c>
      <c r="K1718">
        <v>0</v>
      </c>
      <c r="L1718">
        <v>1</v>
      </c>
      <c r="M1718">
        <v>1</v>
      </c>
      <c r="N1718">
        <v>1</v>
      </c>
      <c r="O1718">
        <v>1</v>
      </c>
      <c r="P1718">
        <v>1</v>
      </c>
      <c r="Q1718">
        <v>1</v>
      </c>
      <c r="R1718">
        <v>1</v>
      </c>
    </row>
    <row r="1719" spans="1:18" x14ac:dyDescent="0.2">
      <c r="A1719" t="str">
        <f>"1715"</f>
        <v>1715</v>
      </c>
      <c r="B1719" t="str">
        <f t="shared" ref="B1719:B1782" si="96">"1"</f>
        <v>1</v>
      </c>
      <c r="C1719" t="str">
        <f t="shared" si="95"/>
        <v>35</v>
      </c>
      <c r="D1719" t="str">
        <f>"32"</f>
        <v>32</v>
      </c>
      <c r="E1719" t="str">
        <f>"1-35-32"</f>
        <v>1-35-32</v>
      </c>
      <c r="F1719" t="s">
        <v>65</v>
      </c>
      <c r="G1719" t="s">
        <v>66</v>
      </c>
      <c r="H1719" t="s">
        <v>68</v>
      </c>
      <c r="I1719">
        <v>1</v>
      </c>
      <c r="J1719">
        <v>0</v>
      </c>
      <c r="K1719">
        <v>0</v>
      </c>
      <c r="L1719">
        <v>1</v>
      </c>
      <c r="M1719">
        <v>1</v>
      </c>
      <c r="N1719">
        <v>1</v>
      </c>
      <c r="O1719">
        <v>1</v>
      </c>
      <c r="P1719">
        <v>1</v>
      </c>
      <c r="Q1719">
        <v>1</v>
      </c>
      <c r="R1719">
        <v>1</v>
      </c>
    </row>
    <row r="1720" spans="1:18" x14ac:dyDescent="0.2">
      <c r="A1720" t="str">
        <f>"1716"</f>
        <v>1716</v>
      </c>
      <c r="B1720" t="str">
        <f t="shared" si="96"/>
        <v>1</v>
      </c>
      <c r="C1720" t="str">
        <f t="shared" si="95"/>
        <v>35</v>
      </c>
      <c r="D1720" t="str">
        <f>"17"</f>
        <v>17</v>
      </c>
      <c r="E1720" t="str">
        <f>"1-35-17"</f>
        <v>1-35-17</v>
      </c>
      <c r="F1720" t="s">
        <v>65</v>
      </c>
      <c r="G1720" t="s">
        <v>66</v>
      </c>
      <c r="H1720" t="s">
        <v>68</v>
      </c>
      <c r="I1720">
        <v>1</v>
      </c>
      <c r="J1720">
        <v>1</v>
      </c>
      <c r="K1720">
        <v>0</v>
      </c>
      <c r="L1720">
        <v>0</v>
      </c>
      <c r="M1720">
        <v>1</v>
      </c>
      <c r="N1720">
        <v>1</v>
      </c>
      <c r="O1720">
        <v>1</v>
      </c>
      <c r="P1720">
        <v>1</v>
      </c>
      <c r="Q1720">
        <v>1</v>
      </c>
      <c r="R1720">
        <v>1</v>
      </c>
    </row>
    <row r="1721" spans="1:18" x14ac:dyDescent="0.2">
      <c r="A1721" t="str">
        <f>"1717"</f>
        <v>1717</v>
      </c>
      <c r="B1721" t="str">
        <f t="shared" si="96"/>
        <v>1</v>
      </c>
      <c r="C1721" t="str">
        <f t="shared" si="95"/>
        <v>35</v>
      </c>
      <c r="D1721" t="str">
        <f>"41"</f>
        <v>41</v>
      </c>
      <c r="E1721" t="str">
        <f>"1-35-41"</f>
        <v>1-35-41</v>
      </c>
      <c r="F1721" t="s">
        <v>65</v>
      </c>
      <c r="G1721" t="s">
        <v>66</v>
      </c>
      <c r="H1721" t="s">
        <v>68</v>
      </c>
      <c r="I1721">
        <v>1</v>
      </c>
      <c r="J1721">
        <v>0</v>
      </c>
      <c r="K1721">
        <v>0</v>
      </c>
      <c r="L1721">
        <v>1</v>
      </c>
      <c r="M1721">
        <v>1</v>
      </c>
      <c r="N1721">
        <v>1</v>
      </c>
      <c r="O1721">
        <v>1</v>
      </c>
      <c r="P1721">
        <v>1</v>
      </c>
      <c r="Q1721">
        <v>1</v>
      </c>
      <c r="R1721">
        <v>1</v>
      </c>
    </row>
    <row r="1722" spans="1:18" x14ac:dyDescent="0.2">
      <c r="A1722" t="str">
        <f>"1718"</f>
        <v>1718</v>
      </c>
      <c r="B1722" t="str">
        <f t="shared" si="96"/>
        <v>1</v>
      </c>
      <c r="C1722" t="str">
        <f t="shared" si="95"/>
        <v>35</v>
      </c>
      <c r="D1722" t="str">
        <f>"40"</f>
        <v>40</v>
      </c>
      <c r="E1722" t="str">
        <f>"1-35-40"</f>
        <v>1-35-40</v>
      </c>
      <c r="F1722" t="s">
        <v>65</v>
      </c>
      <c r="G1722" t="s">
        <v>66</v>
      </c>
      <c r="H1722" t="s">
        <v>68</v>
      </c>
      <c r="I1722">
        <v>1</v>
      </c>
      <c r="J1722">
        <v>1</v>
      </c>
      <c r="K1722">
        <v>0</v>
      </c>
      <c r="L1722">
        <v>0</v>
      </c>
      <c r="M1722">
        <v>1</v>
      </c>
      <c r="N1722">
        <v>1</v>
      </c>
      <c r="O1722">
        <v>1</v>
      </c>
      <c r="P1722">
        <v>1</v>
      </c>
      <c r="Q1722">
        <v>1</v>
      </c>
      <c r="R1722">
        <v>1</v>
      </c>
    </row>
    <row r="1723" spans="1:18" x14ac:dyDescent="0.2">
      <c r="A1723" t="str">
        <f>"1719"</f>
        <v>1719</v>
      </c>
      <c r="B1723" t="str">
        <f t="shared" si="96"/>
        <v>1</v>
      </c>
      <c r="C1723" t="str">
        <f t="shared" si="95"/>
        <v>35</v>
      </c>
      <c r="D1723" t="str">
        <f>"33"</f>
        <v>33</v>
      </c>
      <c r="E1723" t="str">
        <f>"1-35-33"</f>
        <v>1-35-33</v>
      </c>
      <c r="F1723" t="s">
        <v>65</v>
      </c>
      <c r="G1723" t="s">
        <v>66</v>
      </c>
      <c r="H1723" t="s">
        <v>68</v>
      </c>
      <c r="I1723">
        <v>1</v>
      </c>
      <c r="J1723">
        <v>1</v>
      </c>
      <c r="K1723">
        <v>0</v>
      </c>
      <c r="L1723">
        <v>0</v>
      </c>
      <c r="M1723">
        <v>1</v>
      </c>
      <c r="N1723">
        <v>1</v>
      </c>
      <c r="O1723">
        <v>1</v>
      </c>
      <c r="P1723">
        <v>1</v>
      </c>
      <c r="Q1723">
        <v>1</v>
      </c>
      <c r="R1723">
        <v>1</v>
      </c>
    </row>
    <row r="1724" spans="1:18" x14ac:dyDescent="0.2">
      <c r="A1724" t="str">
        <f>"1720"</f>
        <v>1720</v>
      </c>
      <c r="B1724" t="str">
        <f t="shared" si="96"/>
        <v>1</v>
      </c>
      <c r="C1724" t="str">
        <f t="shared" si="95"/>
        <v>35</v>
      </c>
      <c r="D1724" t="str">
        <f>"18"</f>
        <v>18</v>
      </c>
      <c r="E1724" t="str">
        <f>"1-35-18"</f>
        <v>1-35-18</v>
      </c>
      <c r="F1724" t="s">
        <v>65</v>
      </c>
      <c r="G1724" t="s">
        <v>66</v>
      </c>
      <c r="H1724" t="s">
        <v>68</v>
      </c>
      <c r="I1724">
        <v>1</v>
      </c>
      <c r="J1724">
        <v>1</v>
      </c>
      <c r="K1724">
        <v>0</v>
      </c>
      <c r="L1724">
        <v>0</v>
      </c>
      <c r="M1724">
        <v>1</v>
      </c>
      <c r="N1724">
        <v>1</v>
      </c>
      <c r="O1724">
        <v>1</v>
      </c>
      <c r="P1724">
        <v>1</v>
      </c>
      <c r="Q1724">
        <v>1</v>
      </c>
      <c r="R1724">
        <v>1</v>
      </c>
    </row>
    <row r="1725" spans="1:18" x14ac:dyDescent="0.2">
      <c r="A1725" t="str">
        <f>"1721"</f>
        <v>1721</v>
      </c>
      <c r="B1725" t="str">
        <f t="shared" si="96"/>
        <v>1</v>
      </c>
      <c r="C1725" t="str">
        <f t="shared" si="95"/>
        <v>35</v>
      </c>
      <c r="D1725" t="str">
        <f>"12"</f>
        <v>12</v>
      </c>
      <c r="E1725" t="str">
        <f>"1-35-12"</f>
        <v>1-35-12</v>
      </c>
      <c r="F1725" t="s">
        <v>65</v>
      </c>
      <c r="G1725" t="s">
        <v>66</v>
      </c>
      <c r="H1725" t="s">
        <v>68</v>
      </c>
      <c r="I1725">
        <v>1</v>
      </c>
      <c r="J1725">
        <v>0</v>
      </c>
      <c r="K1725">
        <v>0</v>
      </c>
      <c r="L1725">
        <v>1</v>
      </c>
      <c r="M1725">
        <v>1</v>
      </c>
      <c r="N1725">
        <v>1</v>
      </c>
      <c r="O1725">
        <v>1</v>
      </c>
      <c r="P1725">
        <v>1</v>
      </c>
      <c r="Q1725">
        <v>0</v>
      </c>
      <c r="R1725">
        <v>1</v>
      </c>
    </row>
    <row r="1726" spans="1:18" x14ac:dyDescent="0.2">
      <c r="A1726" t="str">
        <f>"1722"</f>
        <v>1722</v>
      </c>
      <c r="B1726" t="str">
        <f t="shared" si="96"/>
        <v>1</v>
      </c>
      <c r="C1726" t="str">
        <f t="shared" si="95"/>
        <v>35</v>
      </c>
      <c r="D1726" t="str">
        <f>"39"</f>
        <v>39</v>
      </c>
      <c r="E1726" t="str">
        <f>"1-35-39"</f>
        <v>1-35-39</v>
      </c>
      <c r="F1726" t="s">
        <v>65</v>
      </c>
      <c r="G1726" t="s">
        <v>66</v>
      </c>
      <c r="H1726" t="s">
        <v>68</v>
      </c>
      <c r="I1726">
        <v>1</v>
      </c>
      <c r="J1726">
        <v>0</v>
      </c>
      <c r="K1726">
        <v>1</v>
      </c>
      <c r="L1726">
        <v>0</v>
      </c>
      <c r="M1726">
        <v>1</v>
      </c>
      <c r="N1726">
        <v>1</v>
      </c>
      <c r="O1726">
        <v>1</v>
      </c>
      <c r="P1726">
        <v>1</v>
      </c>
      <c r="Q1726">
        <v>1</v>
      </c>
      <c r="R1726">
        <v>1</v>
      </c>
    </row>
    <row r="1727" spans="1:18" x14ac:dyDescent="0.2">
      <c r="A1727" t="str">
        <f>"1723"</f>
        <v>1723</v>
      </c>
      <c r="B1727" t="str">
        <f t="shared" si="96"/>
        <v>1</v>
      </c>
      <c r="C1727" t="str">
        <f t="shared" si="95"/>
        <v>35</v>
      </c>
      <c r="D1727" t="str">
        <f>"20"</f>
        <v>20</v>
      </c>
      <c r="E1727" t="str">
        <f>"1-35-20"</f>
        <v>1-35-20</v>
      </c>
      <c r="F1727" t="s">
        <v>65</v>
      </c>
      <c r="G1727" t="s">
        <v>66</v>
      </c>
      <c r="H1727" t="s">
        <v>68</v>
      </c>
      <c r="I1727">
        <v>1</v>
      </c>
      <c r="J1727">
        <v>1</v>
      </c>
      <c r="K1727">
        <v>0</v>
      </c>
      <c r="L1727">
        <v>0</v>
      </c>
      <c r="M1727">
        <v>1</v>
      </c>
      <c r="N1727">
        <v>1</v>
      </c>
      <c r="O1727">
        <v>1</v>
      </c>
      <c r="P1727">
        <v>1</v>
      </c>
      <c r="Q1727">
        <v>1</v>
      </c>
      <c r="R1727">
        <v>1</v>
      </c>
    </row>
    <row r="1728" spans="1:18" x14ac:dyDescent="0.2">
      <c r="A1728" t="str">
        <f>"1724"</f>
        <v>1724</v>
      </c>
      <c r="B1728" t="str">
        <f t="shared" si="96"/>
        <v>1</v>
      </c>
      <c r="C1728" t="str">
        <f t="shared" si="95"/>
        <v>35</v>
      </c>
      <c r="D1728" t="str">
        <f>"14"</f>
        <v>14</v>
      </c>
      <c r="E1728" t="str">
        <f>"1-35-14"</f>
        <v>1-35-14</v>
      </c>
      <c r="F1728" t="s">
        <v>65</v>
      </c>
      <c r="G1728" t="s">
        <v>66</v>
      </c>
      <c r="H1728" t="s">
        <v>68</v>
      </c>
      <c r="I1728">
        <v>1</v>
      </c>
      <c r="J1728">
        <v>0</v>
      </c>
      <c r="K1728">
        <v>1</v>
      </c>
      <c r="L1728">
        <v>0</v>
      </c>
      <c r="M1728">
        <v>1</v>
      </c>
      <c r="N1728">
        <v>1</v>
      </c>
      <c r="O1728">
        <v>1</v>
      </c>
      <c r="P1728">
        <v>1</v>
      </c>
      <c r="Q1728">
        <v>1</v>
      </c>
      <c r="R1728">
        <v>1</v>
      </c>
    </row>
    <row r="1729" spans="1:18" x14ac:dyDescent="0.2">
      <c r="A1729" t="str">
        <f>"1725"</f>
        <v>1725</v>
      </c>
      <c r="B1729" t="str">
        <f t="shared" si="96"/>
        <v>1</v>
      </c>
      <c r="C1729" t="str">
        <f t="shared" si="95"/>
        <v>35</v>
      </c>
      <c r="D1729" t="str">
        <f>"44"</f>
        <v>44</v>
      </c>
      <c r="E1729" t="str">
        <f>"1-35-44"</f>
        <v>1-35-44</v>
      </c>
      <c r="F1729" t="s">
        <v>65</v>
      </c>
      <c r="G1729" t="s">
        <v>66</v>
      </c>
      <c r="H1729" t="s">
        <v>68</v>
      </c>
      <c r="I1729">
        <v>1</v>
      </c>
      <c r="J1729">
        <v>0</v>
      </c>
      <c r="K1729">
        <v>0</v>
      </c>
      <c r="L1729">
        <v>1</v>
      </c>
      <c r="M1729">
        <v>1</v>
      </c>
      <c r="N1729">
        <v>1</v>
      </c>
      <c r="O1729">
        <v>1</v>
      </c>
      <c r="P1729">
        <v>1</v>
      </c>
      <c r="Q1729">
        <v>1</v>
      </c>
      <c r="R1729">
        <v>1</v>
      </c>
    </row>
    <row r="1730" spans="1:18" x14ac:dyDescent="0.2">
      <c r="A1730" t="str">
        <f>"1726"</f>
        <v>1726</v>
      </c>
      <c r="B1730" t="str">
        <f t="shared" si="96"/>
        <v>1</v>
      </c>
      <c r="C1730" t="str">
        <f t="shared" si="95"/>
        <v>35</v>
      </c>
      <c r="D1730" t="str">
        <f>"21"</f>
        <v>21</v>
      </c>
      <c r="E1730" t="str">
        <f>"1-35-21"</f>
        <v>1-35-21</v>
      </c>
      <c r="F1730" t="s">
        <v>65</v>
      </c>
      <c r="G1730" t="s">
        <v>66</v>
      </c>
      <c r="H1730" t="s">
        <v>68</v>
      </c>
      <c r="I1730">
        <v>1</v>
      </c>
      <c r="J1730">
        <v>0</v>
      </c>
      <c r="K1730">
        <v>1</v>
      </c>
      <c r="L1730">
        <v>0</v>
      </c>
      <c r="M1730">
        <v>1</v>
      </c>
      <c r="N1730">
        <v>1</v>
      </c>
      <c r="O1730">
        <v>1</v>
      </c>
      <c r="P1730">
        <v>1</v>
      </c>
      <c r="Q1730">
        <v>0</v>
      </c>
      <c r="R1730">
        <v>0</v>
      </c>
    </row>
    <row r="1731" spans="1:18" x14ac:dyDescent="0.2">
      <c r="A1731" t="str">
        <f>"1727"</f>
        <v>1727</v>
      </c>
      <c r="B1731" t="str">
        <f t="shared" si="96"/>
        <v>1</v>
      </c>
      <c r="C1731" t="str">
        <f t="shared" si="95"/>
        <v>35</v>
      </c>
      <c r="D1731" t="str">
        <f>"10"</f>
        <v>10</v>
      </c>
      <c r="E1731" t="str">
        <f>"1-35-10"</f>
        <v>1-35-10</v>
      </c>
      <c r="F1731" t="s">
        <v>65</v>
      </c>
      <c r="G1731" t="s">
        <v>66</v>
      </c>
      <c r="H1731" t="s">
        <v>68</v>
      </c>
      <c r="I1731">
        <v>1</v>
      </c>
      <c r="J1731">
        <v>0</v>
      </c>
      <c r="K1731">
        <v>1</v>
      </c>
      <c r="L1731">
        <v>0</v>
      </c>
      <c r="M1731">
        <v>1</v>
      </c>
      <c r="N1731">
        <v>1</v>
      </c>
      <c r="O1731">
        <v>1</v>
      </c>
      <c r="P1731">
        <v>1</v>
      </c>
      <c r="Q1731">
        <v>1</v>
      </c>
      <c r="R1731">
        <v>1</v>
      </c>
    </row>
    <row r="1732" spans="1:18" x14ac:dyDescent="0.2">
      <c r="A1732" t="str">
        <f>"1728"</f>
        <v>1728</v>
      </c>
      <c r="B1732" t="str">
        <f t="shared" si="96"/>
        <v>1</v>
      </c>
      <c r="C1732" t="str">
        <f t="shared" si="95"/>
        <v>35</v>
      </c>
      <c r="D1732" t="str">
        <f>"45"</f>
        <v>45</v>
      </c>
      <c r="E1732" t="str">
        <f>"1-35-45"</f>
        <v>1-35-45</v>
      </c>
      <c r="F1732" t="s">
        <v>65</v>
      </c>
      <c r="G1732" t="s">
        <v>66</v>
      </c>
      <c r="H1732" t="s">
        <v>68</v>
      </c>
      <c r="I1732">
        <v>1</v>
      </c>
      <c r="J1732">
        <v>0</v>
      </c>
      <c r="K1732">
        <v>0</v>
      </c>
      <c r="L1732">
        <v>1</v>
      </c>
      <c r="M1732">
        <v>1</v>
      </c>
      <c r="N1732">
        <v>1</v>
      </c>
      <c r="O1732">
        <v>1</v>
      </c>
      <c r="P1732">
        <v>1</v>
      </c>
      <c r="Q1732">
        <v>1</v>
      </c>
      <c r="R1732">
        <v>1</v>
      </c>
    </row>
    <row r="1733" spans="1:18" x14ac:dyDescent="0.2">
      <c r="A1733" t="str">
        <f>"1729"</f>
        <v>1729</v>
      </c>
      <c r="B1733" t="str">
        <f t="shared" si="96"/>
        <v>1</v>
      </c>
      <c r="C1733" t="str">
        <f t="shared" si="95"/>
        <v>35</v>
      </c>
      <c r="D1733" t="str">
        <f>"25"</f>
        <v>25</v>
      </c>
      <c r="E1733" t="str">
        <f>"1-35-25"</f>
        <v>1-35-25</v>
      </c>
      <c r="F1733" t="s">
        <v>65</v>
      </c>
      <c r="G1733" t="s">
        <v>66</v>
      </c>
      <c r="H1733" t="s">
        <v>68</v>
      </c>
      <c r="I1733">
        <v>1</v>
      </c>
      <c r="J1733">
        <v>0</v>
      </c>
      <c r="K1733">
        <v>0</v>
      </c>
      <c r="L1733">
        <v>1</v>
      </c>
      <c r="M1733">
        <v>1</v>
      </c>
      <c r="N1733">
        <v>1</v>
      </c>
      <c r="O1733">
        <v>1</v>
      </c>
      <c r="P1733">
        <v>1</v>
      </c>
      <c r="Q1733">
        <v>1</v>
      </c>
      <c r="R1733">
        <v>1</v>
      </c>
    </row>
    <row r="1734" spans="1:18" x14ac:dyDescent="0.2">
      <c r="A1734" t="str">
        <f>"1730"</f>
        <v>1730</v>
      </c>
      <c r="B1734" t="str">
        <f t="shared" si="96"/>
        <v>1</v>
      </c>
      <c r="C1734" t="str">
        <f t="shared" si="95"/>
        <v>35</v>
      </c>
      <c r="D1734" t="str">
        <f>"7"</f>
        <v>7</v>
      </c>
      <c r="E1734" t="str">
        <f>"1-35-7"</f>
        <v>1-35-7</v>
      </c>
      <c r="F1734" t="s">
        <v>65</v>
      </c>
      <c r="G1734" t="s">
        <v>66</v>
      </c>
      <c r="H1734" t="s">
        <v>68</v>
      </c>
      <c r="I1734">
        <v>1</v>
      </c>
      <c r="J1734">
        <v>0</v>
      </c>
      <c r="K1734">
        <v>0</v>
      </c>
      <c r="L1734">
        <v>0</v>
      </c>
      <c r="M1734">
        <v>1</v>
      </c>
      <c r="N1734">
        <v>1</v>
      </c>
      <c r="O1734">
        <v>1</v>
      </c>
      <c r="P1734">
        <v>1</v>
      </c>
      <c r="Q1734">
        <v>1</v>
      </c>
      <c r="R1734">
        <v>1</v>
      </c>
    </row>
    <row r="1735" spans="1:18" x14ac:dyDescent="0.2">
      <c r="A1735" t="str">
        <f>"1731"</f>
        <v>1731</v>
      </c>
      <c r="B1735" t="str">
        <f t="shared" si="96"/>
        <v>1</v>
      </c>
      <c r="C1735" t="str">
        <f t="shared" si="95"/>
        <v>35</v>
      </c>
      <c r="D1735" t="str">
        <f>"46"</f>
        <v>46</v>
      </c>
      <c r="E1735" t="str">
        <f>"1-35-46"</f>
        <v>1-35-46</v>
      </c>
      <c r="F1735" t="s">
        <v>65</v>
      </c>
      <c r="G1735" t="s">
        <v>66</v>
      </c>
      <c r="H1735" t="s">
        <v>68</v>
      </c>
      <c r="I1735">
        <v>0</v>
      </c>
      <c r="J1735">
        <v>0</v>
      </c>
      <c r="K1735">
        <v>1</v>
      </c>
      <c r="L1735">
        <v>0</v>
      </c>
      <c r="M1735">
        <v>1</v>
      </c>
      <c r="N1735">
        <v>0</v>
      </c>
      <c r="O1735">
        <v>0</v>
      </c>
      <c r="P1735">
        <v>1</v>
      </c>
      <c r="Q1735">
        <v>1</v>
      </c>
      <c r="R1735">
        <v>1</v>
      </c>
    </row>
    <row r="1736" spans="1:18" x14ac:dyDescent="0.2">
      <c r="A1736" t="str">
        <f>"1732"</f>
        <v>1732</v>
      </c>
      <c r="B1736" t="str">
        <f t="shared" si="96"/>
        <v>1</v>
      </c>
      <c r="C1736" t="str">
        <f t="shared" si="95"/>
        <v>35</v>
      </c>
      <c r="D1736" t="str">
        <f>"26"</f>
        <v>26</v>
      </c>
      <c r="E1736" t="str">
        <f>"1-35-26"</f>
        <v>1-35-26</v>
      </c>
      <c r="F1736" t="s">
        <v>65</v>
      </c>
      <c r="G1736" t="s">
        <v>66</v>
      </c>
      <c r="H1736" t="s">
        <v>68</v>
      </c>
      <c r="I1736">
        <v>1</v>
      </c>
      <c r="J1736">
        <v>1</v>
      </c>
      <c r="K1736">
        <v>0</v>
      </c>
      <c r="L1736">
        <v>0</v>
      </c>
      <c r="M1736">
        <v>1</v>
      </c>
      <c r="N1736">
        <v>1</v>
      </c>
      <c r="O1736">
        <v>1</v>
      </c>
      <c r="P1736">
        <v>1</v>
      </c>
      <c r="Q1736">
        <v>1</v>
      </c>
      <c r="R1736">
        <v>1</v>
      </c>
    </row>
    <row r="1737" spans="1:18" x14ac:dyDescent="0.2">
      <c r="A1737" t="str">
        <f>"1733"</f>
        <v>1733</v>
      </c>
      <c r="B1737" t="str">
        <f t="shared" si="96"/>
        <v>1</v>
      </c>
      <c r="C1737" t="str">
        <f t="shared" ref="C1737:C1754" si="97">"35"</f>
        <v>35</v>
      </c>
      <c r="D1737" t="str">
        <f>"4"</f>
        <v>4</v>
      </c>
      <c r="E1737" t="str">
        <f>"1-35-4"</f>
        <v>1-35-4</v>
      </c>
      <c r="F1737" t="s">
        <v>65</v>
      </c>
      <c r="G1737" t="s">
        <v>66</v>
      </c>
      <c r="H1737" t="s">
        <v>68</v>
      </c>
      <c r="I1737">
        <v>1</v>
      </c>
      <c r="J1737">
        <v>0</v>
      </c>
      <c r="K1737">
        <v>0</v>
      </c>
      <c r="L1737">
        <v>1</v>
      </c>
      <c r="M1737">
        <v>1</v>
      </c>
      <c r="N1737">
        <v>1</v>
      </c>
      <c r="O1737">
        <v>1</v>
      </c>
      <c r="P1737">
        <v>1</v>
      </c>
      <c r="Q1737">
        <v>1</v>
      </c>
      <c r="R1737">
        <v>0</v>
      </c>
    </row>
    <row r="1738" spans="1:18" x14ac:dyDescent="0.2">
      <c r="A1738" t="str">
        <f>"1734"</f>
        <v>1734</v>
      </c>
      <c r="B1738" t="str">
        <f t="shared" si="96"/>
        <v>1</v>
      </c>
      <c r="C1738" t="str">
        <f t="shared" si="97"/>
        <v>35</v>
      </c>
      <c r="D1738" t="str">
        <f>"27"</f>
        <v>27</v>
      </c>
      <c r="E1738" t="str">
        <f>"1-35-27"</f>
        <v>1-35-27</v>
      </c>
      <c r="F1738" t="s">
        <v>65</v>
      </c>
      <c r="G1738" t="s">
        <v>66</v>
      </c>
      <c r="H1738" t="s">
        <v>68</v>
      </c>
      <c r="I1738">
        <v>1</v>
      </c>
      <c r="J1738">
        <v>0</v>
      </c>
      <c r="K1738">
        <v>0</v>
      </c>
      <c r="L1738">
        <v>1</v>
      </c>
      <c r="M1738">
        <v>1</v>
      </c>
      <c r="N1738">
        <v>1</v>
      </c>
      <c r="O1738">
        <v>1</v>
      </c>
      <c r="P1738">
        <v>1</v>
      </c>
      <c r="Q1738">
        <v>1</v>
      </c>
      <c r="R1738">
        <v>1</v>
      </c>
    </row>
    <row r="1739" spans="1:18" x14ac:dyDescent="0.2">
      <c r="A1739" t="str">
        <f>"1735"</f>
        <v>1735</v>
      </c>
      <c r="B1739" t="str">
        <f t="shared" si="96"/>
        <v>1</v>
      </c>
      <c r="C1739" t="str">
        <f t="shared" si="97"/>
        <v>35</v>
      </c>
      <c r="D1739" t="str">
        <f>"5"</f>
        <v>5</v>
      </c>
      <c r="E1739" t="str">
        <f>"1-35-5"</f>
        <v>1-35-5</v>
      </c>
      <c r="F1739" t="s">
        <v>65</v>
      </c>
      <c r="G1739" t="s">
        <v>66</v>
      </c>
      <c r="H1739" t="s">
        <v>68</v>
      </c>
      <c r="I1739">
        <v>1</v>
      </c>
      <c r="J1739">
        <v>0</v>
      </c>
      <c r="K1739">
        <v>0</v>
      </c>
      <c r="L1739">
        <v>1</v>
      </c>
      <c r="M1739">
        <v>1</v>
      </c>
      <c r="N1739">
        <v>1</v>
      </c>
      <c r="O1739">
        <v>1</v>
      </c>
      <c r="P1739">
        <v>1</v>
      </c>
      <c r="Q1739">
        <v>1</v>
      </c>
      <c r="R1739">
        <v>0</v>
      </c>
    </row>
    <row r="1740" spans="1:18" x14ac:dyDescent="0.2">
      <c r="A1740" t="str">
        <f>"1736"</f>
        <v>1736</v>
      </c>
      <c r="B1740" t="str">
        <f t="shared" si="96"/>
        <v>1</v>
      </c>
      <c r="C1740" t="str">
        <f t="shared" si="97"/>
        <v>35</v>
      </c>
      <c r="D1740" t="str">
        <f>"47"</f>
        <v>47</v>
      </c>
      <c r="E1740" t="str">
        <f>"1-35-47"</f>
        <v>1-35-47</v>
      </c>
      <c r="F1740" t="s">
        <v>65</v>
      </c>
      <c r="G1740" t="s">
        <v>66</v>
      </c>
      <c r="H1740" t="s">
        <v>68</v>
      </c>
      <c r="I1740">
        <v>1</v>
      </c>
      <c r="J1740">
        <v>1</v>
      </c>
      <c r="K1740">
        <v>0</v>
      </c>
      <c r="L1740">
        <v>0</v>
      </c>
      <c r="M1740">
        <v>1</v>
      </c>
      <c r="N1740">
        <v>1</v>
      </c>
      <c r="O1740">
        <v>1</v>
      </c>
      <c r="P1740">
        <v>1</v>
      </c>
      <c r="Q1740">
        <v>1</v>
      </c>
      <c r="R1740">
        <v>1</v>
      </c>
    </row>
    <row r="1741" spans="1:18" x14ac:dyDescent="0.2">
      <c r="A1741" t="str">
        <f>"1737"</f>
        <v>1737</v>
      </c>
      <c r="B1741" t="str">
        <f t="shared" si="96"/>
        <v>1</v>
      </c>
      <c r="C1741" t="str">
        <f t="shared" si="97"/>
        <v>35</v>
      </c>
      <c r="D1741" t="str">
        <f>"28"</f>
        <v>28</v>
      </c>
      <c r="E1741" t="str">
        <f>"1-35-28"</f>
        <v>1-35-28</v>
      </c>
      <c r="F1741" t="s">
        <v>65</v>
      </c>
      <c r="G1741" t="s">
        <v>66</v>
      </c>
      <c r="H1741" t="s">
        <v>68</v>
      </c>
      <c r="I1741">
        <v>1</v>
      </c>
      <c r="J1741">
        <v>0</v>
      </c>
      <c r="K1741">
        <v>0</v>
      </c>
      <c r="L1741">
        <v>1</v>
      </c>
      <c r="M1741">
        <v>1</v>
      </c>
      <c r="N1741">
        <v>1</v>
      </c>
      <c r="O1741">
        <v>1</v>
      </c>
      <c r="P1741">
        <v>1</v>
      </c>
      <c r="Q1741">
        <v>1</v>
      </c>
      <c r="R1741">
        <v>1</v>
      </c>
    </row>
    <row r="1742" spans="1:18" x14ac:dyDescent="0.2">
      <c r="A1742" t="str">
        <f>"1738"</f>
        <v>1738</v>
      </c>
      <c r="B1742" t="str">
        <f t="shared" si="96"/>
        <v>1</v>
      </c>
      <c r="C1742" t="str">
        <f t="shared" si="97"/>
        <v>35</v>
      </c>
      <c r="D1742" t="str">
        <f>"11"</f>
        <v>11</v>
      </c>
      <c r="E1742" t="str">
        <f>"1-35-11"</f>
        <v>1-35-11</v>
      </c>
      <c r="F1742" t="s">
        <v>65</v>
      </c>
      <c r="G1742" t="s">
        <v>66</v>
      </c>
      <c r="H1742" t="s">
        <v>68</v>
      </c>
      <c r="I1742">
        <v>1</v>
      </c>
      <c r="J1742">
        <v>1</v>
      </c>
      <c r="K1742">
        <v>0</v>
      </c>
      <c r="L1742">
        <v>0</v>
      </c>
      <c r="M1742">
        <v>1</v>
      </c>
      <c r="N1742">
        <v>1</v>
      </c>
      <c r="O1742">
        <v>1</v>
      </c>
      <c r="P1742">
        <v>1</v>
      </c>
      <c r="Q1742">
        <v>1</v>
      </c>
      <c r="R1742">
        <v>1</v>
      </c>
    </row>
    <row r="1743" spans="1:18" x14ac:dyDescent="0.2">
      <c r="A1743" t="str">
        <f>"1739"</f>
        <v>1739</v>
      </c>
      <c r="B1743" t="str">
        <f t="shared" si="96"/>
        <v>1</v>
      </c>
      <c r="C1743" t="str">
        <f t="shared" si="97"/>
        <v>35</v>
      </c>
      <c r="D1743" t="str">
        <f>"48"</f>
        <v>48</v>
      </c>
      <c r="E1743" t="str">
        <f>"1-35-48"</f>
        <v>1-35-48</v>
      </c>
      <c r="F1743" t="s">
        <v>65</v>
      </c>
      <c r="G1743" t="s">
        <v>66</v>
      </c>
      <c r="H1743" t="s">
        <v>68</v>
      </c>
      <c r="I1743">
        <v>1</v>
      </c>
      <c r="J1743">
        <v>0</v>
      </c>
      <c r="K1743">
        <v>0</v>
      </c>
      <c r="L1743">
        <v>1</v>
      </c>
      <c r="M1743">
        <v>1</v>
      </c>
      <c r="N1743">
        <v>1</v>
      </c>
      <c r="O1743">
        <v>1</v>
      </c>
      <c r="P1743">
        <v>1</v>
      </c>
      <c r="Q1743">
        <v>1</v>
      </c>
      <c r="R1743">
        <v>1</v>
      </c>
    </row>
    <row r="1744" spans="1:18" x14ac:dyDescent="0.2">
      <c r="A1744" t="str">
        <f>"1740"</f>
        <v>1740</v>
      </c>
      <c r="B1744" t="str">
        <f t="shared" si="96"/>
        <v>1</v>
      </c>
      <c r="C1744" t="str">
        <f t="shared" si="97"/>
        <v>35</v>
      </c>
      <c r="D1744" t="str">
        <f>"29"</f>
        <v>29</v>
      </c>
      <c r="E1744" t="str">
        <f>"1-35-29"</f>
        <v>1-35-29</v>
      </c>
      <c r="F1744" t="s">
        <v>65</v>
      </c>
      <c r="G1744" t="s">
        <v>66</v>
      </c>
      <c r="H1744" t="s">
        <v>68</v>
      </c>
      <c r="I1744">
        <v>1</v>
      </c>
      <c r="J1744">
        <v>0</v>
      </c>
      <c r="K1744">
        <v>0</v>
      </c>
      <c r="L1744">
        <v>1</v>
      </c>
      <c r="M1744">
        <v>0</v>
      </c>
      <c r="N1744">
        <v>1</v>
      </c>
      <c r="O1744">
        <v>1</v>
      </c>
      <c r="P1744">
        <v>1</v>
      </c>
      <c r="Q1744">
        <v>1</v>
      </c>
      <c r="R1744">
        <v>1</v>
      </c>
    </row>
    <row r="1745" spans="1:39" x14ac:dyDescent="0.2">
      <c r="A1745" t="str">
        <f>"1741"</f>
        <v>1741</v>
      </c>
      <c r="B1745" t="str">
        <f t="shared" si="96"/>
        <v>1</v>
      </c>
      <c r="C1745" t="str">
        <f t="shared" si="97"/>
        <v>35</v>
      </c>
      <c r="D1745" t="str">
        <f>"1"</f>
        <v>1</v>
      </c>
      <c r="E1745" t="str">
        <f>"1-35-1"</f>
        <v>1-35-1</v>
      </c>
      <c r="F1745" t="s">
        <v>65</v>
      </c>
      <c r="G1745" t="s">
        <v>66</v>
      </c>
      <c r="H1745" t="s">
        <v>68</v>
      </c>
      <c r="I1745">
        <v>1</v>
      </c>
      <c r="J1745">
        <v>0</v>
      </c>
      <c r="K1745">
        <v>0</v>
      </c>
      <c r="L1745">
        <v>1</v>
      </c>
      <c r="M1745">
        <v>1</v>
      </c>
      <c r="N1745">
        <v>1</v>
      </c>
      <c r="O1745">
        <v>1</v>
      </c>
      <c r="P1745">
        <v>1</v>
      </c>
      <c r="Q1745">
        <v>1</v>
      </c>
      <c r="R1745">
        <v>1</v>
      </c>
    </row>
    <row r="1746" spans="1:39" x14ac:dyDescent="0.2">
      <c r="A1746" t="str">
        <f>"1742"</f>
        <v>1742</v>
      </c>
      <c r="B1746" t="str">
        <f t="shared" si="96"/>
        <v>1</v>
      </c>
      <c r="C1746" t="str">
        <f t="shared" si="97"/>
        <v>35</v>
      </c>
      <c r="D1746" t="str">
        <f>"30"</f>
        <v>30</v>
      </c>
      <c r="E1746" t="str">
        <f>"1-35-30"</f>
        <v>1-35-30</v>
      </c>
      <c r="F1746" t="s">
        <v>65</v>
      </c>
      <c r="G1746" t="s">
        <v>66</v>
      </c>
      <c r="H1746" t="s">
        <v>68</v>
      </c>
      <c r="I1746">
        <v>1</v>
      </c>
      <c r="J1746">
        <v>0</v>
      </c>
      <c r="K1746">
        <v>0</v>
      </c>
      <c r="L1746">
        <v>1</v>
      </c>
      <c r="M1746">
        <v>1</v>
      </c>
      <c r="N1746">
        <v>1</v>
      </c>
      <c r="O1746">
        <v>1</v>
      </c>
      <c r="P1746">
        <v>1</v>
      </c>
      <c r="Q1746">
        <v>1</v>
      </c>
      <c r="R1746">
        <v>1</v>
      </c>
    </row>
    <row r="1747" spans="1:39" x14ac:dyDescent="0.2">
      <c r="A1747" t="str">
        <f>"1743"</f>
        <v>1743</v>
      </c>
      <c r="B1747" t="str">
        <f t="shared" si="96"/>
        <v>1</v>
      </c>
      <c r="C1747" t="str">
        <f t="shared" si="97"/>
        <v>35</v>
      </c>
      <c r="D1747" t="str">
        <f>"13"</f>
        <v>13</v>
      </c>
      <c r="E1747" t="str">
        <f>"1-35-13"</f>
        <v>1-35-13</v>
      </c>
      <c r="F1747" t="s">
        <v>65</v>
      </c>
      <c r="G1747" t="s">
        <v>66</v>
      </c>
      <c r="H1747" t="s">
        <v>68</v>
      </c>
      <c r="I1747">
        <v>1</v>
      </c>
      <c r="J1747">
        <v>0</v>
      </c>
      <c r="K1747">
        <v>0</v>
      </c>
      <c r="L1747">
        <v>1</v>
      </c>
      <c r="M1747">
        <v>1</v>
      </c>
      <c r="N1747">
        <v>1</v>
      </c>
      <c r="O1747">
        <v>1</v>
      </c>
      <c r="P1747">
        <v>1</v>
      </c>
      <c r="Q1747">
        <v>1</v>
      </c>
      <c r="R1747">
        <v>1</v>
      </c>
    </row>
    <row r="1748" spans="1:39" x14ac:dyDescent="0.2">
      <c r="A1748" t="str">
        <f>"1744"</f>
        <v>1744</v>
      </c>
      <c r="B1748" t="str">
        <f t="shared" si="96"/>
        <v>1</v>
      </c>
      <c r="C1748" t="str">
        <f t="shared" si="97"/>
        <v>35</v>
      </c>
      <c r="D1748" t="str">
        <f>"49"</f>
        <v>49</v>
      </c>
      <c r="E1748" t="str">
        <f>"1-35-49"</f>
        <v>1-35-49</v>
      </c>
      <c r="F1748" t="s">
        <v>65</v>
      </c>
      <c r="G1748" t="s">
        <v>66</v>
      </c>
      <c r="H1748" t="s">
        <v>68</v>
      </c>
      <c r="I1748">
        <v>1</v>
      </c>
      <c r="J1748">
        <v>0</v>
      </c>
      <c r="K1748">
        <v>0</v>
      </c>
      <c r="L1748">
        <v>1</v>
      </c>
      <c r="M1748">
        <v>1</v>
      </c>
      <c r="N1748">
        <v>1</v>
      </c>
      <c r="O1748">
        <v>1</v>
      </c>
      <c r="P1748">
        <v>1</v>
      </c>
      <c r="Q1748">
        <v>1</v>
      </c>
      <c r="R1748">
        <v>1</v>
      </c>
    </row>
    <row r="1749" spans="1:39" x14ac:dyDescent="0.2">
      <c r="A1749" t="str">
        <f>"1745"</f>
        <v>1745</v>
      </c>
      <c r="B1749" t="str">
        <f t="shared" si="96"/>
        <v>1</v>
      </c>
      <c r="C1749" t="str">
        <f t="shared" si="97"/>
        <v>35</v>
      </c>
      <c r="D1749" t="str">
        <f>"31"</f>
        <v>31</v>
      </c>
      <c r="E1749" t="str">
        <f>"1-35-31"</f>
        <v>1-35-31</v>
      </c>
      <c r="F1749" t="s">
        <v>65</v>
      </c>
      <c r="G1749" t="s">
        <v>66</v>
      </c>
      <c r="H1749" t="s">
        <v>68</v>
      </c>
      <c r="I1749">
        <v>1</v>
      </c>
      <c r="J1749">
        <v>0</v>
      </c>
      <c r="K1749">
        <v>1</v>
      </c>
      <c r="L1749">
        <v>0</v>
      </c>
      <c r="M1749">
        <v>1</v>
      </c>
      <c r="N1749">
        <v>1</v>
      </c>
      <c r="O1749">
        <v>1</v>
      </c>
      <c r="P1749">
        <v>1</v>
      </c>
      <c r="Q1749">
        <v>1</v>
      </c>
      <c r="R1749">
        <v>0</v>
      </c>
    </row>
    <row r="1750" spans="1:39" x14ac:dyDescent="0.2">
      <c r="A1750" t="str">
        <f>"1746"</f>
        <v>1746</v>
      </c>
      <c r="B1750" t="str">
        <f t="shared" si="96"/>
        <v>1</v>
      </c>
      <c r="C1750" t="str">
        <f t="shared" si="97"/>
        <v>35</v>
      </c>
      <c r="D1750" t="str">
        <f>"6"</f>
        <v>6</v>
      </c>
      <c r="E1750" t="str">
        <f>"1-35-6"</f>
        <v>1-35-6</v>
      </c>
      <c r="F1750" t="s">
        <v>65</v>
      </c>
      <c r="G1750" t="s">
        <v>66</v>
      </c>
      <c r="H1750" t="s">
        <v>68</v>
      </c>
      <c r="I1750">
        <v>1</v>
      </c>
      <c r="J1750">
        <v>1</v>
      </c>
      <c r="K1750">
        <v>0</v>
      </c>
      <c r="L1750">
        <v>0</v>
      </c>
      <c r="M1750">
        <v>1</v>
      </c>
      <c r="N1750">
        <v>1</v>
      </c>
      <c r="O1750">
        <v>1</v>
      </c>
      <c r="P1750">
        <v>1</v>
      </c>
      <c r="Q1750">
        <v>1</v>
      </c>
      <c r="R1750">
        <v>1</v>
      </c>
    </row>
    <row r="1751" spans="1:39" x14ac:dyDescent="0.2">
      <c r="A1751" t="str">
        <f>"1747"</f>
        <v>1747</v>
      </c>
      <c r="B1751" t="str">
        <f t="shared" si="96"/>
        <v>1</v>
      </c>
      <c r="C1751" t="str">
        <f t="shared" si="97"/>
        <v>35</v>
      </c>
      <c r="D1751" t="str">
        <f>"50"</f>
        <v>50</v>
      </c>
      <c r="E1751" t="str">
        <f>"1-35-50"</f>
        <v>1-35-50</v>
      </c>
      <c r="F1751" t="s">
        <v>65</v>
      </c>
      <c r="G1751" t="s">
        <v>66</v>
      </c>
      <c r="H1751" t="s">
        <v>68</v>
      </c>
      <c r="I1751">
        <v>1</v>
      </c>
      <c r="J1751">
        <v>0</v>
      </c>
      <c r="K1751">
        <v>0</v>
      </c>
      <c r="L1751">
        <v>1</v>
      </c>
      <c r="M1751">
        <v>1</v>
      </c>
      <c r="N1751">
        <v>1</v>
      </c>
      <c r="O1751">
        <v>1</v>
      </c>
      <c r="P1751">
        <v>1</v>
      </c>
      <c r="Q1751">
        <v>1</v>
      </c>
      <c r="R1751">
        <v>1</v>
      </c>
    </row>
    <row r="1752" spans="1:39" x14ac:dyDescent="0.2">
      <c r="A1752" t="str">
        <f>"1748"</f>
        <v>1748</v>
      </c>
      <c r="B1752" t="str">
        <f t="shared" si="96"/>
        <v>1</v>
      </c>
      <c r="C1752" t="str">
        <f t="shared" si="97"/>
        <v>35</v>
      </c>
      <c r="D1752" t="str">
        <f>"34"</f>
        <v>34</v>
      </c>
      <c r="E1752" t="str">
        <f>"1-35-34"</f>
        <v>1-35-34</v>
      </c>
      <c r="F1752" t="s">
        <v>65</v>
      </c>
      <c r="G1752" t="s">
        <v>66</v>
      </c>
      <c r="H1752" t="s">
        <v>68</v>
      </c>
      <c r="I1752">
        <v>1</v>
      </c>
      <c r="J1752">
        <v>0</v>
      </c>
      <c r="K1752">
        <v>0</v>
      </c>
      <c r="L1752">
        <v>1</v>
      </c>
      <c r="M1752">
        <v>1</v>
      </c>
      <c r="N1752">
        <v>1</v>
      </c>
      <c r="O1752">
        <v>1</v>
      </c>
      <c r="P1752">
        <v>1</v>
      </c>
      <c r="Q1752">
        <v>1</v>
      </c>
      <c r="R1752">
        <v>1</v>
      </c>
    </row>
    <row r="1753" spans="1:39" x14ac:dyDescent="0.2">
      <c r="A1753" t="str">
        <f>"1749"</f>
        <v>1749</v>
      </c>
      <c r="B1753" t="str">
        <f t="shared" si="96"/>
        <v>1</v>
      </c>
      <c r="C1753" t="str">
        <f t="shared" si="97"/>
        <v>35</v>
      </c>
      <c r="D1753" t="str">
        <f>"8"</f>
        <v>8</v>
      </c>
      <c r="E1753" t="str">
        <f>"1-35-8"</f>
        <v>1-35-8</v>
      </c>
      <c r="F1753" t="s">
        <v>65</v>
      </c>
      <c r="G1753" t="s">
        <v>66</v>
      </c>
      <c r="H1753" t="s">
        <v>68</v>
      </c>
      <c r="I1753">
        <v>1</v>
      </c>
      <c r="J1753">
        <v>1</v>
      </c>
      <c r="K1753">
        <v>0</v>
      </c>
      <c r="L1753">
        <v>0</v>
      </c>
      <c r="M1753">
        <v>1</v>
      </c>
      <c r="N1753">
        <v>1</v>
      </c>
      <c r="O1753">
        <v>1</v>
      </c>
      <c r="P1753">
        <v>1</v>
      </c>
      <c r="Q1753">
        <v>1</v>
      </c>
      <c r="R1753">
        <v>1</v>
      </c>
    </row>
    <row r="1754" spans="1:39" x14ac:dyDescent="0.2">
      <c r="A1754" t="str">
        <f>"1750"</f>
        <v>1750</v>
      </c>
      <c r="B1754" t="str">
        <f t="shared" si="96"/>
        <v>1</v>
      </c>
      <c r="C1754" t="str">
        <f t="shared" si="97"/>
        <v>35</v>
      </c>
      <c r="D1754" t="str">
        <f>"3"</f>
        <v>3</v>
      </c>
      <c r="E1754" t="str">
        <f>"1-35-3"</f>
        <v>1-35-3</v>
      </c>
      <c r="F1754" t="s">
        <v>65</v>
      </c>
      <c r="G1754" t="s">
        <v>66</v>
      </c>
      <c r="H1754" t="s">
        <v>68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</row>
    <row r="1755" spans="1:39" x14ac:dyDescent="0.2">
      <c r="A1755" t="str">
        <f>"1751"</f>
        <v>1751</v>
      </c>
      <c r="B1755" t="str">
        <f t="shared" si="96"/>
        <v>1</v>
      </c>
      <c r="C1755" t="str">
        <f>"36"</f>
        <v>36</v>
      </c>
      <c r="D1755" t="str">
        <f>"36"</f>
        <v>36</v>
      </c>
      <c r="E1755" t="str">
        <f>"1-36-36"</f>
        <v>1-36-36</v>
      </c>
      <c r="F1755" t="s">
        <v>65</v>
      </c>
      <c r="G1755" t="s">
        <v>66</v>
      </c>
      <c r="H1755" t="s">
        <v>67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1</v>
      </c>
      <c r="AH1755">
        <v>1</v>
      </c>
      <c r="AI1755">
        <v>1</v>
      </c>
      <c r="AJ1755">
        <v>1</v>
      </c>
      <c r="AK1755">
        <v>0</v>
      </c>
      <c r="AL1755">
        <v>0</v>
      </c>
      <c r="AM1755">
        <v>0</v>
      </c>
    </row>
    <row r="1756" spans="1:39" x14ac:dyDescent="0.2">
      <c r="A1756" t="str">
        <f>"1752"</f>
        <v>1752</v>
      </c>
      <c r="B1756" t="str">
        <f t="shared" si="96"/>
        <v>1</v>
      </c>
      <c r="C1756" t="str">
        <f t="shared" ref="C1756:C1787" si="98">"36"</f>
        <v>36</v>
      </c>
      <c r="D1756" t="str">
        <f>"25"</f>
        <v>25</v>
      </c>
      <c r="E1756" t="str">
        <f>"1-36-25"</f>
        <v>1-36-25</v>
      </c>
      <c r="F1756" t="s">
        <v>65</v>
      </c>
      <c r="G1756" t="s">
        <v>66</v>
      </c>
      <c r="H1756" t="s">
        <v>67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0</v>
      </c>
      <c r="AB1756">
        <v>0</v>
      </c>
      <c r="AC1756">
        <v>1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</row>
    <row r="1757" spans="1:39" x14ac:dyDescent="0.2">
      <c r="A1757" t="str">
        <f>"1753"</f>
        <v>1753</v>
      </c>
      <c r="B1757" t="str">
        <f t="shared" si="96"/>
        <v>1</v>
      </c>
      <c r="C1757" t="str">
        <f t="shared" si="98"/>
        <v>36</v>
      </c>
      <c r="D1757" t="str">
        <f>"15"</f>
        <v>15</v>
      </c>
      <c r="E1757" t="str">
        <f>"1-36-15"</f>
        <v>1-36-15</v>
      </c>
      <c r="F1757" t="s">
        <v>65</v>
      </c>
      <c r="G1757" t="s">
        <v>66</v>
      </c>
      <c r="H1757" t="s">
        <v>67</v>
      </c>
      <c r="S1757">
        <v>1</v>
      </c>
      <c r="T1757">
        <v>0</v>
      </c>
      <c r="U1757">
        <v>0</v>
      </c>
      <c r="V1757">
        <v>0</v>
      </c>
      <c r="W1757">
        <v>0</v>
      </c>
      <c r="X1757">
        <v>1</v>
      </c>
      <c r="Y1757">
        <v>0</v>
      </c>
      <c r="Z1757">
        <v>1</v>
      </c>
      <c r="AA1757">
        <v>0</v>
      </c>
      <c r="AB1757">
        <v>0</v>
      </c>
      <c r="AC1757">
        <v>1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1</v>
      </c>
      <c r="AM1757">
        <v>0</v>
      </c>
    </row>
    <row r="1758" spans="1:39" x14ac:dyDescent="0.2">
      <c r="A1758" t="str">
        <f>"1754"</f>
        <v>1754</v>
      </c>
      <c r="B1758" t="str">
        <f t="shared" si="96"/>
        <v>1</v>
      </c>
      <c r="C1758" t="str">
        <f t="shared" si="98"/>
        <v>36</v>
      </c>
      <c r="D1758" t="str">
        <f>"3"</f>
        <v>3</v>
      </c>
      <c r="E1758" t="str">
        <f>"1-36-3"</f>
        <v>1-36-3</v>
      </c>
      <c r="F1758" t="s">
        <v>65</v>
      </c>
      <c r="G1758" t="s">
        <v>66</v>
      </c>
      <c r="H1758" t="s">
        <v>67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0</v>
      </c>
      <c r="AB1758">
        <v>0</v>
      </c>
      <c r="AC1758">
        <v>1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</row>
    <row r="1759" spans="1:39" x14ac:dyDescent="0.2">
      <c r="A1759" t="str">
        <f>"1755"</f>
        <v>1755</v>
      </c>
      <c r="B1759" t="str">
        <f t="shared" si="96"/>
        <v>1</v>
      </c>
      <c r="C1759" t="str">
        <f t="shared" si="98"/>
        <v>36</v>
      </c>
      <c r="D1759" t="str">
        <f>"38"</f>
        <v>38</v>
      </c>
      <c r="E1759" t="str">
        <f>"1-36-38"</f>
        <v>1-36-38</v>
      </c>
      <c r="F1759" t="s">
        <v>65</v>
      </c>
      <c r="G1759" t="s">
        <v>66</v>
      </c>
      <c r="H1759" t="s">
        <v>67</v>
      </c>
      <c r="S1759">
        <v>1</v>
      </c>
      <c r="T1759">
        <v>0</v>
      </c>
      <c r="U1759">
        <v>0</v>
      </c>
      <c r="V1759">
        <v>0</v>
      </c>
      <c r="W1759">
        <v>1</v>
      </c>
      <c r="X1759">
        <v>0</v>
      </c>
      <c r="Y1759">
        <v>1</v>
      </c>
      <c r="Z1759">
        <v>0</v>
      </c>
      <c r="AA1759">
        <v>0</v>
      </c>
      <c r="AB1759">
        <v>1</v>
      </c>
      <c r="AC1759">
        <v>0</v>
      </c>
      <c r="AD1759">
        <v>1</v>
      </c>
      <c r="AE1759">
        <v>1</v>
      </c>
      <c r="AF1759">
        <v>1</v>
      </c>
      <c r="AG1759">
        <v>1</v>
      </c>
      <c r="AH1759">
        <v>1</v>
      </c>
      <c r="AI1759">
        <v>1</v>
      </c>
      <c r="AJ1759">
        <v>1</v>
      </c>
      <c r="AK1759">
        <v>1</v>
      </c>
      <c r="AL1759">
        <v>1</v>
      </c>
      <c r="AM1759">
        <v>1</v>
      </c>
    </row>
    <row r="1760" spans="1:39" x14ac:dyDescent="0.2">
      <c r="A1760" t="str">
        <f>"1756"</f>
        <v>1756</v>
      </c>
      <c r="B1760" t="str">
        <f t="shared" si="96"/>
        <v>1</v>
      </c>
      <c r="C1760" t="str">
        <f t="shared" si="98"/>
        <v>36</v>
      </c>
      <c r="D1760" t="str">
        <f>"37"</f>
        <v>37</v>
      </c>
      <c r="E1760" t="str">
        <f>"1-36-37"</f>
        <v>1-36-37</v>
      </c>
      <c r="F1760" t="s">
        <v>65</v>
      </c>
      <c r="G1760" t="s">
        <v>66</v>
      </c>
      <c r="H1760" t="s">
        <v>67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1</v>
      </c>
      <c r="Y1760">
        <v>0</v>
      </c>
      <c r="Z1760">
        <v>1</v>
      </c>
      <c r="AA1760">
        <v>0</v>
      </c>
      <c r="AB1760">
        <v>1</v>
      </c>
      <c r="AC1760">
        <v>0</v>
      </c>
      <c r="AD1760">
        <v>1</v>
      </c>
      <c r="AE1760">
        <v>1</v>
      </c>
      <c r="AF1760">
        <v>1</v>
      </c>
      <c r="AG1760">
        <v>1</v>
      </c>
      <c r="AH1760">
        <v>0</v>
      </c>
      <c r="AI1760">
        <v>1</v>
      </c>
      <c r="AJ1760">
        <v>1</v>
      </c>
      <c r="AK1760">
        <v>1</v>
      </c>
      <c r="AL1760">
        <v>1</v>
      </c>
      <c r="AM1760">
        <v>0</v>
      </c>
    </row>
    <row r="1761" spans="1:39" x14ac:dyDescent="0.2">
      <c r="A1761" t="str">
        <f>"1757"</f>
        <v>1757</v>
      </c>
      <c r="B1761" t="str">
        <f t="shared" si="96"/>
        <v>1</v>
      </c>
      <c r="C1761" t="str">
        <f t="shared" si="98"/>
        <v>36</v>
      </c>
      <c r="D1761" t="str">
        <f>"28"</f>
        <v>28</v>
      </c>
      <c r="E1761" t="str">
        <f>"1-36-28"</f>
        <v>1-36-28</v>
      </c>
      <c r="F1761" t="s">
        <v>65</v>
      </c>
      <c r="G1761" t="s">
        <v>66</v>
      </c>
      <c r="H1761" t="s">
        <v>67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1</v>
      </c>
      <c r="Y1761">
        <v>0</v>
      </c>
      <c r="Z1761">
        <v>1</v>
      </c>
      <c r="AA1761">
        <v>0</v>
      </c>
      <c r="AB1761">
        <v>0</v>
      </c>
      <c r="AC1761">
        <v>1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</row>
    <row r="1762" spans="1:39" x14ac:dyDescent="0.2">
      <c r="A1762" t="str">
        <f>"1758"</f>
        <v>1758</v>
      </c>
      <c r="B1762" t="str">
        <f t="shared" si="96"/>
        <v>1</v>
      </c>
      <c r="C1762" t="str">
        <f t="shared" si="98"/>
        <v>36</v>
      </c>
      <c r="D1762" t="str">
        <f>"16"</f>
        <v>16</v>
      </c>
      <c r="E1762" t="str">
        <f>"1-36-16"</f>
        <v>1-36-16</v>
      </c>
      <c r="F1762" t="s">
        <v>65</v>
      </c>
      <c r="G1762" t="s">
        <v>66</v>
      </c>
      <c r="H1762" t="s">
        <v>67</v>
      </c>
      <c r="S1762">
        <v>0</v>
      </c>
      <c r="T1762">
        <v>1</v>
      </c>
      <c r="U1762">
        <v>0</v>
      </c>
      <c r="V1762">
        <v>0</v>
      </c>
      <c r="W1762">
        <v>1</v>
      </c>
      <c r="X1762">
        <v>0</v>
      </c>
      <c r="Y1762">
        <v>1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1</v>
      </c>
      <c r="AF1762">
        <v>1</v>
      </c>
      <c r="AG1762">
        <v>1</v>
      </c>
      <c r="AH1762">
        <v>1</v>
      </c>
      <c r="AI1762">
        <v>1</v>
      </c>
      <c r="AJ1762">
        <v>1</v>
      </c>
      <c r="AK1762">
        <v>1</v>
      </c>
      <c r="AL1762">
        <v>1</v>
      </c>
      <c r="AM1762">
        <v>1</v>
      </c>
    </row>
    <row r="1763" spans="1:39" x14ac:dyDescent="0.2">
      <c r="A1763" t="str">
        <f>"1759"</f>
        <v>1759</v>
      </c>
      <c r="B1763" t="str">
        <f t="shared" si="96"/>
        <v>1</v>
      </c>
      <c r="C1763" t="str">
        <f t="shared" si="98"/>
        <v>36</v>
      </c>
      <c r="D1763" t="str">
        <f>"2"</f>
        <v>2</v>
      </c>
      <c r="E1763" t="str">
        <f>"1-36-2"</f>
        <v>1-36-2</v>
      </c>
      <c r="F1763" t="s">
        <v>65</v>
      </c>
      <c r="G1763" t="s">
        <v>66</v>
      </c>
      <c r="H1763" t="s">
        <v>67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</row>
    <row r="1764" spans="1:39" x14ac:dyDescent="0.2">
      <c r="A1764" t="str">
        <f>"1760"</f>
        <v>1760</v>
      </c>
      <c r="B1764" t="str">
        <f t="shared" si="96"/>
        <v>1</v>
      </c>
      <c r="C1764" t="str">
        <f t="shared" si="98"/>
        <v>36</v>
      </c>
      <c r="D1764" t="str">
        <f>"43"</f>
        <v>43</v>
      </c>
      <c r="E1764" t="str">
        <f>"1-36-43"</f>
        <v>1-36-43</v>
      </c>
      <c r="F1764" t="s">
        <v>65</v>
      </c>
      <c r="G1764" t="s">
        <v>66</v>
      </c>
      <c r="H1764" t="s">
        <v>67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0</v>
      </c>
      <c r="AB1764">
        <v>0</v>
      </c>
      <c r="AC1764">
        <v>1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</row>
    <row r="1765" spans="1:39" x14ac:dyDescent="0.2">
      <c r="A1765" t="str">
        <f>"1761"</f>
        <v>1761</v>
      </c>
      <c r="B1765" t="str">
        <f t="shared" si="96"/>
        <v>1</v>
      </c>
      <c r="C1765" t="str">
        <f t="shared" si="98"/>
        <v>36</v>
      </c>
      <c r="D1765" t="str">
        <f>"42"</f>
        <v>42</v>
      </c>
      <c r="E1765" t="str">
        <f>"1-36-42"</f>
        <v>1-36-42</v>
      </c>
      <c r="F1765" t="s">
        <v>65</v>
      </c>
      <c r="G1765" t="s">
        <v>66</v>
      </c>
      <c r="H1765" t="s">
        <v>67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1</v>
      </c>
      <c r="AH1765">
        <v>1</v>
      </c>
      <c r="AI1765">
        <v>1</v>
      </c>
      <c r="AJ1765">
        <v>1</v>
      </c>
      <c r="AK1765">
        <v>1</v>
      </c>
      <c r="AL1765">
        <v>1</v>
      </c>
      <c r="AM1765">
        <v>1</v>
      </c>
    </row>
    <row r="1766" spans="1:39" x14ac:dyDescent="0.2">
      <c r="A1766" t="str">
        <f>"1762"</f>
        <v>1762</v>
      </c>
      <c r="B1766" t="str">
        <f t="shared" si="96"/>
        <v>1</v>
      </c>
      <c r="C1766" t="str">
        <f t="shared" si="98"/>
        <v>36</v>
      </c>
      <c r="D1766" t="str">
        <f>"31"</f>
        <v>31</v>
      </c>
      <c r="E1766" t="str">
        <f>"1-36-31"</f>
        <v>1-36-31</v>
      </c>
      <c r="F1766" t="s">
        <v>65</v>
      </c>
      <c r="G1766" t="s">
        <v>66</v>
      </c>
      <c r="H1766" t="s">
        <v>67</v>
      </c>
      <c r="S1766">
        <v>1</v>
      </c>
      <c r="T1766">
        <v>0</v>
      </c>
      <c r="U1766">
        <v>0</v>
      </c>
      <c r="V1766">
        <v>0</v>
      </c>
      <c r="W1766">
        <v>0</v>
      </c>
      <c r="X1766">
        <v>1</v>
      </c>
      <c r="Y1766">
        <v>1</v>
      </c>
      <c r="Z1766">
        <v>0</v>
      </c>
      <c r="AA1766">
        <v>0</v>
      </c>
      <c r="AB1766">
        <v>0</v>
      </c>
      <c r="AC1766">
        <v>1</v>
      </c>
      <c r="AD1766">
        <v>1</v>
      </c>
      <c r="AE1766">
        <v>0</v>
      </c>
      <c r="AF1766">
        <v>0</v>
      </c>
      <c r="AG1766">
        <v>1</v>
      </c>
      <c r="AH1766">
        <v>0</v>
      </c>
      <c r="AI1766">
        <v>1</v>
      </c>
      <c r="AJ1766">
        <v>1</v>
      </c>
      <c r="AK1766">
        <v>0</v>
      </c>
      <c r="AL1766">
        <v>1</v>
      </c>
      <c r="AM1766">
        <v>0</v>
      </c>
    </row>
    <row r="1767" spans="1:39" x14ac:dyDescent="0.2">
      <c r="A1767" t="str">
        <f>"1763"</f>
        <v>1763</v>
      </c>
      <c r="B1767" t="str">
        <f t="shared" si="96"/>
        <v>1</v>
      </c>
      <c r="C1767" t="str">
        <f t="shared" si="98"/>
        <v>36</v>
      </c>
      <c r="D1767" t="str">
        <f>"17"</f>
        <v>17</v>
      </c>
      <c r="E1767" t="str">
        <f>"1-36-17"</f>
        <v>1-36-17</v>
      </c>
      <c r="F1767" t="s">
        <v>65</v>
      </c>
      <c r="G1767" t="s">
        <v>66</v>
      </c>
      <c r="H1767" t="s">
        <v>67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</row>
    <row r="1768" spans="1:39" x14ac:dyDescent="0.2">
      <c r="A1768" t="str">
        <f>"1764"</f>
        <v>1764</v>
      </c>
      <c r="B1768" t="str">
        <f t="shared" si="96"/>
        <v>1</v>
      </c>
      <c r="C1768" t="str">
        <f t="shared" si="98"/>
        <v>36</v>
      </c>
      <c r="D1768" t="str">
        <f>"7"</f>
        <v>7</v>
      </c>
      <c r="E1768" t="str">
        <f>"1-36-7"</f>
        <v>1-36-7</v>
      </c>
      <c r="F1768" t="s">
        <v>65</v>
      </c>
      <c r="G1768" t="s">
        <v>66</v>
      </c>
      <c r="H1768" t="s">
        <v>67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1</v>
      </c>
      <c r="AJ1768">
        <v>1</v>
      </c>
      <c r="AK1768">
        <v>1</v>
      </c>
      <c r="AL1768">
        <v>1</v>
      </c>
      <c r="AM1768">
        <v>0</v>
      </c>
    </row>
    <row r="1769" spans="1:39" x14ac:dyDescent="0.2">
      <c r="A1769" t="str">
        <f>"1765"</f>
        <v>1765</v>
      </c>
      <c r="B1769" t="str">
        <f t="shared" si="96"/>
        <v>1</v>
      </c>
      <c r="C1769" t="str">
        <f t="shared" si="98"/>
        <v>36</v>
      </c>
      <c r="D1769" t="str">
        <f>"45"</f>
        <v>45</v>
      </c>
      <c r="E1769" t="str">
        <f>"1-36-45"</f>
        <v>1-36-45</v>
      </c>
      <c r="F1769" t="s">
        <v>65</v>
      </c>
      <c r="G1769" t="s">
        <v>66</v>
      </c>
      <c r="H1769" t="s">
        <v>67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1</v>
      </c>
      <c r="Y1769">
        <v>0</v>
      </c>
      <c r="Z1769">
        <v>1</v>
      </c>
      <c r="AA1769">
        <v>0</v>
      </c>
      <c r="AB1769">
        <v>0</v>
      </c>
      <c r="AC1769">
        <v>1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</row>
    <row r="1770" spans="1:39" x14ac:dyDescent="0.2">
      <c r="A1770" t="str">
        <f>"1766"</f>
        <v>1766</v>
      </c>
      <c r="B1770" t="str">
        <f t="shared" si="96"/>
        <v>1</v>
      </c>
      <c r="C1770" t="str">
        <f t="shared" si="98"/>
        <v>36</v>
      </c>
      <c r="D1770" t="str">
        <f>"44"</f>
        <v>44</v>
      </c>
      <c r="E1770" t="str">
        <f>"1-36-44"</f>
        <v>1-36-44</v>
      </c>
      <c r="F1770" t="s">
        <v>65</v>
      </c>
      <c r="G1770" t="s">
        <v>66</v>
      </c>
      <c r="H1770" t="s">
        <v>67</v>
      </c>
      <c r="S1770">
        <v>0</v>
      </c>
      <c r="T1770">
        <v>1</v>
      </c>
      <c r="U1770">
        <v>0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0</v>
      </c>
      <c r="AB1770">
        <v>0</v>
      </c>
      <c r="AC1770">
        <v>1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</row>
    <row r="1771" spans="1:39" x14ac:dyDescent="0.2">
      <c r="A1771" t="str">
        <f>"1767"</f>
        <v>1767</v>
      </c>
      <c r="B1771" t="str">
        <f t="shared" si="96"/>
        <v>1</v>
      </c>
      <c r="C1771" t="str">
        <f t="shared" si="98"/>
        <v>36</v>
      </c>
      <c r="D1771" t="str">
        <f>"32"</f>
        <v>32</v>
      </c>
      <c r="E1771" t="str">
        <f>"1-36-32"</f>
        <v>1-36-32</v>
      </c>
      <c r="F1771" t="s">
        <v>65</v>
      </c>
      <c r="G1771" t="s">
        <v>66</v>
      </c>
      <c r="H1771" t="s">
        <v>67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</row>
    <row r="1772" spans="1:39" x14ac:dyDescent="0.2">
      <c r="A1772" t="str">
        <f>"1768"</f>
        <v>1768</v>
      </c>
      <c r="B1772" t="str">
        <f t="shared" si="96"/>
        <v>1</v>
      </c>
      <c r="C1772" t="str">
        <f t="shared" si="98"/>
        <v>36</v>
      </c>
      <c r="D1772" t="str">
        <f>"18"</f>
        <v>18</v>
      </c>
      <c r="E1772" t="str">
        <f>"1-36-18"</f>
        <v>1-36-18</v>
      </c>
      <c r="F1772" t="s">
        <v>65</v>
      </c>
      <c r="G1772" t="s">
        <v>66</v>
      </c>
      <c r="H1772" t="s">
        <v>67</v>
      </c>
      <c r="S1772">
        <v>0</v>
      </c>
      <c r="T1772">
        <v>1</v>
      </c>
      <c r="U1772">
        <v>0</v>
      </c>
      <c r="V1772">
        <v>0</v>
      </c>
      <c r="W1772">
        <v>0</v>
      </c>
      <c r="X1772">
        <v>1</v>
      </c>
      <c r="Y1772">
        <v>0</v>
      </c>
      <c r="Z1772">
        <v>1</v>
      </c>
      <c r="AA1772">
        <v>0</v>
      </c>
      <c r="AB1772">
        <v>0</v>
      </c>
      <c r="AC1772">
        <v>1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</row>
    <row r="1773" spans="1:39" x14ac:dyDescent="0.2">
      <c r="A1773" t="str">
        <f>"1769"</f>
        <v>1769</v>
      </c>
      <c r="B1773" t="str">
        <f t="shared" si="96"/>
        <v>1</v>
      </c>
      <c r="C1773" t="str">
        <f t="shared" si="98"/>
        <v>36</v>
      </c>
      <c r="D1773" t="str">
        <f>"13"</f>
        <v>13</v>
      </c>
      <c r="E1773" t="str">
        <f>"1-36-13"</f>
        <v>1-36-13</v>
      </c>
      <c r="F1773" t="s">
        <v>65</v>
      </c>
      <c r="G1773" t="s">
        <v>66</v>
      </c>
      <c r="H1773" t="s">
        <v>67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1</v>
      </c>
      <c r="AI1773">
        <v>1</v>
      </c>
      <c r="AJ1773">
        <v>1</v>
      </c>
      <c r="AK1773">
        <v>0</v>
      </c>
      <c r="AL1773">
        <v>0</v>
      </c>
      <c r="AM1773">
        <v>0</v>
      </c>
    </row>
    <row r="1774" spans="1:39" x14ac:dyDescent="0.2">
      <c r="A1774" t="str">
        <f>"1770"</f>
        <v>1770</v>
      </c>
      <c r="B1774" t="str">
        <f t="shared" si="96"/>
        <v>1</v>
      </c>
      <c r="C1774" t="str">
        <f t="shared" si="98"/>
        <v>36</v>
      </c>
      <c r="D1774" t="str">
        <f>"49"</f>
        <v>49</v>
      </c>
      <c r="E1774" t="str">
        <f>"1-36-49"</f>
        <v>1-36-49</v>
      </c>
      <c r="F1774" t="s">
        <v>65</v>
      </c>
      <c r="G1774" t="s">
        <v>66</v>
      </c>
      <c r="H1774" t="s">
        <v>67</v>
      </c>
      <c r="S1774">
        <v>0</v>
      </c>
      <c r="T1774">
        <v>0</v>
      </c>
      <c r="U1774">
        <v>0</v>
      </c>
      <c r="V1774">
        <v>0</v>
      </c>
      <c r="W1774">
        <v>1</v>
      </c>
      <c r="X1774">
        <v>0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1</v>
      </c>
      <c r="AH1774">
        <v>1</v>
      </c>
      <c r="AI1774">
        <v>1</v>
      </c>
      <c r="AJ1774">
        <v>1</v>
      </c>
      <c r="AK1774">
        <v>0</v>
      </c>
      <c r="AL1774">
        <v>0</v>
      </c>
      <c r="AM1774">
        <v>0</v>
      </c>
    </row>
    <row r="1775" spans="1:39" x14ac:dyDescent="0.2">
      <c r="A1775" t="str">
        <f>"1771"</f>
        <v>1771</v>
      </c>
      <c r="B1775" t="str">
        <f t="shared" si="96"/>
        <v>1</v>
      </c>
      <c r="C1775" t="str">
        <f t="shared" si="98"/>
        <v>36</v>
      </c>
      <c r="D1775" t="str">
        <f>"48"</f>
        <v>48</v>
      </c>
      <c r="E1775" t="str">
        <f>"1-36-48"</f>
        <v>1-36-48</v>
      </c>
      <c r="F1775" t="s">
        <v>65</v>
      </c>
      <c r="G1775" t="s">
        <v>66</v>
      </c>
      <c r="H1775" t="s">
        <v>67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1</v>
      </c>
      <c r="Y1775">
        <v>0</v>
      </c>
      <c r="Z1775">
        <v>1</v>
      </c>
      <c r="AA1775">
        <v>0</v>
      </c>
      <c r="AB1775">
        <v>0</v>
      </c>
      <c r="AC1775">
        <v>1</v>
      </c>
      <c r="AD1775">
        <v>1</v>
      </c>
      <c r="AE1775">
        <v>1</v>
      </c>
      <c r="AF1775">
        <v>1</v>
      </c>
      <c r="AG1775">
        <v>1</v>
      </c>
      <c r="AH1775">
        <v>1</v>
      </c>
      <c r="AI1775">
        <v>1</v>
      </c>
      <c r="AJ1775">
        <v>1</v>
      </c>
      <c r="AK1775">
        <v>1</v>
      </c>
      <c r="AL1775">
        <v>1</v>
      </c>
      <c r="AM1775">
        <v>1</v>
      </c>
    </row>
    <row r="1776" spans="1:39" x14ac:dyDescent="0.2">
      <c r="A1776" t="str">
        <f>"1772"</f>
        <v>1772</v>
      </c>
      <c r="B1776" t="str">
        <f t="shared" si="96"/>
        <v>1</v>
      </c>
      <c r="C1776" t="str">
        <f t="shared" si="98"/>
        <v>36</v>
      </c>
      <c r="D1776" t="str">
        <f>"33"</f>
        <v>33</v>
      </c>
      <c r="E1776" t="str">
        <f>"1-36-33"</f>
        <v>1-36-33</v>
      </c>
      <c r="F1776" t="s">
        <v>65</v>
      </c>
      <c r="G1776" t="s">
        <v>66</v>
      </c>
      <c r="H1776" t="s">
        <v>67</v>
      </c>
      <c r="S1776">
        <v>1</v>
      </c>
      <c r="T1776">
        <v>0</v>
      </c>
      <c r="U1776">
        <v>0</v>
      </c>
      <c r="V1776">
        <v>0</v>
      </c>
      <c r="W1776">
        <v>0</v>
      </c>
      <c r="X1776">
        <v>1</v>
      </c>
      <c r="Y1776">
        <v>1</v>
      </c>
      <c r="Z1776">
        <v>0</v>
      </c>
      <c r="AA1776">
        <v>0</v>
      </c>
      <c r="AB1776">
        <v>0</v>
      </c>
      <c r="AC1776">
        <v>1</v>
      </c>
      <c r="AD1776">
        <v>0</v>
      </c>
      <c r="AE1776">
        <v>0</v>
      </c>
      <c r="AF1776">
        <v>0</v>
      </c>
      <c r="AG1776">
        <v>1</v>
      </c>
      <c r="AH1776">
        <v>0</v>
      </c>
      <c r="AI1776">
        <v>1</v>
      </c>
      <c r="AJ1776">
        <v>1</v>
      </c>
      <c r="AK1776">
        <v>1</v>
      </c>
      <c r="AL1776">
        <v>1</v>
      </c>
      <c r="AM1776">
        <v>0</v>
      </c>
    </row>
    <row r="1777" spans="1:39" x14ac:dyDescent="0.2">
      <c r="A1777" t="str">
        <f>"1773"</f>
        <v>1773</v>
      </c>
      <c r="B1777" t="str">
        <f t="shared" si="96"/>
        <v>1</v>
      </c>
      <c r="C1777" t="str">
        <f t="shared" si="98"/>
        <v>36</v>
      </c>
      <c r="D1777" t="str">
        <f>"19"</f>
        <v>19</v>
      </c>
      <c r="E1777" t="str">
        <f>"1-36-19"</f>
        <v>1-36-19</v>
      </c>
      <c r="F1777" t="s">
        <v>65</v>
      </c>
      <c r="G1777" t="s">
        <v>66</v>
      </c>
      <c r="H1777" t="s">
        <v>67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0</v>
      </c>
      <c r="AB1777">
        <v>1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</row>
    <row r="1778" spans="1:39" x14ac:dyDescent="0.2">
      <c r="A1778" t="str">
        <f>"1774"</f>
        <v>1774</v>
      </c>
      <c r="B1778" t="str">
        <f t="shared" si="96"/>
        <v>1</v>
      </c>
      <c r="C1778" t="str">
        <f t="shared" si="98"/>
        <v>36</v>
      </c>
      <c r="D1778" t="str">
        <f>"14"</f>
        <v>14</v>
      </c>
      <c r="E1778" t="str">
        <f>"1-36-14"</f>
        <v>1-36-14</v>
      </c>
      <c r="F1778" t="s">
        <v>65</v>
      </c>
      <c r="G1778" t="s">
        <v>66</v>
      </c>
      <c r="H1778" t="s">
        <v>67</v>
      </c>
      <c r="S1778">
        <v>1</v>
      </c>
      <c r="T1778">
        <v>0</v>
      </c>
      <c r="U1778">
        <v>0</v>
      </c>
      <c r="V1778">
        <v>0</v>
      </c>
      <c r="W1778">
        <v>0</v>
      </c>
      <c r="X1778">
        <v>1</v>
      </c>
      <c r="Y1778">
        <v>0</v>
      </c>
      <c r="Z1778">
        <v>1</v>
      </c>
      <c r="AA1778">
        <v>0</v>
      </c>
      <c r="AB1778">
        <v>0</v>
      </c>
      <c r="AC1778">
        <v>1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1</v>
      </c>
      <c r="AK1778">
        <v>0</v>
      </c>
      <c r="AL1778">
        <v>1</v>
      </c>
      <c r="AM1778">
        <v>0</v>
      </c>
    </row>
    <row r="1779" spans="1:39" x14ac:dyDescent="0.2">
      <c r="A1779" t="str">
        <f>"1775"</f>
        <v>1775</v>
      </c>
      <c r="B1779" t="str">
        <f t="shared" si="96"/>
        <v>1</v>
      </c>
      <c r="C1779" t="str">
        <f t="shared" si="98"/>
        <v>36</v>
      </c>
      <c r="D1779" t="str">
        <f>"34"</f>
        <v>34</v>
      </c>
      <c r="E1779" t="str">
        <f>"1-36-34"</f>
        <v>1-36-34</v>
      </c>
      <c r="F1779" t="s">
        <v>65</v>
      </c>
      <c r="G1779" t="s">
        <v>66</v>
      </c>
      <c r="H1779" t="s">
        <v>67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0</v>
      </c>
      <c r="AB1779">
        <v>1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</row>
    <row r="1780" spans="1:39" x14ac:dyDescent="0.2">
      <c r="A1780" t="str">
        <f>"1776"</f>
        <v>1776</v>
      </c>
      <c r="B1780" t="str">
        <f t="shared" si="96"/>
        <v>1</v>
      </c>
      <c r="C1780" t="str">
        <f t="shared" si="98"/>
        <v>36</v>
      </c>
      <c r="D1780" t="str">
        <f>"20"</f>
        <v>20</v>
      </c>
      <c r="E1780" t="str">
        <f>"1-36-20"</f>
        <v>1-36-20</v>
      </c>
      <c r="F1780" t="s">
        <v>65</v>
      </c>
      <c r="G1780" t="s">
        <v>66</v>
      </c>
      <c r="H1780" t="s">
        <v>67</v>
      </c>
      <c r="S1780">
        <v>0</v>
      </c>
      <c r="T1780">
        <v>1</v>
      </c>
      <c r="U1780">
        <v>0</v>
      </c>
      <c r="V1780">
        <v>0</v>
      </c>
      <c r="W1780">
        <v>0</v>
      </c>
      <c r="X1780">
        <v>1</v>
      </c>
      <c r="Y1780">
        <v>1</v>
      </c>
      <c r="Z1780">
        <v>0</v>
      </c>
      <c r="AA1780">
        <v>0</v>
      </c>
      <c r="AB1780">
        <v>1</v>
      </c>
      <c r="AC1780">
        <v>0</v>
      </c>
      <c r="AD1780">
        <v>0</v>
      </c>
      <c r="AE1780">
        <v>0</v>
      </c>
      <c r="AF1780">
        <v>0</v>
      </c>
      <c r="AG1780">
        <v>1</v>
      </c>
      <c r="AH1780">
        <v>1</v>
      </c>
      <c r="AI1780">
        <v>1</v>
      </c>
      <c r="AJ1780">
        <v>1</v>
      </c>
      <c r="AK1780">
        <v>1</v>
      </c>
      <c r="AL1780">
        <v>1</v>
      </c>
      <c r="AM1780">
        <v>1</v>
      </c>
    </row>
    <row r="1781" spans="1:39" x14ac:dyDescent="0.2">
      <c r="A1781" t="str">
        <f>"1777"</f>
        <v>1777</v>
      </c>
      <c r="B1781" t="str">
        <f t="shared" si="96"/>
        <v>1</v>
      </c>
      <c r="C1781" t="str">
        <f t="shared" si="98"/>
        <v>36</v>
      </c>
      <c r="D1781" t="str">
        <f>"5"</f>
        <v>5</v>
      </c>
      <c r="E1781" t="str">
        <f>"1-36-5"</f>
        <v>1-36-5</v>
      </c>
      <c r="F1781" t="s">
        <v>65</v>
      </c>
      <c r="G1781" t="s">
        <v>66</v>
      </c>
      <c r="H1781" t="s">
        <v>67</v>
      </c>
      <c r="S1781">
        <v>0</v>
      </c>
      <c r="T1781">
        <v>1</v>
      </c>
      <c r="U1781">
        <v>0</v>
      </c>
      <c r="V1781">
        <v>0</v>
      </c>
      <c r="W1781">
        <v>0</v>
      </c>
      <c r="X1781">
        <v>1</v>
      </c>
      <c r="Y1781">
        <v>1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1</v>
      </c>
      <c r="AF1781">
        <v>1</v>
      </c>
      <c r="AG1781">
        <v>1</v>
      </c>
      <c r="AH1781">
        <v>1</v>
      </c>
      <c r="AI1781">
        <v>1</v>
      </c>
      <c r="AJ1781">
        <v>1</v>
      </c>
      <c r="AK1781">
        <v>1</v>
      </c>
      <c r="AL1781">
        <v>1</v>
      </c>
      <c r="AM1781">
        <v>1</v>
      </c>
    </row>
    <row r="1782" spans="1:39" x14ac:dyDescent="0.2">
      <c r="A1782" t="str">
        <f>"1778"</f>
        <v>1778</v>
      </c>
      <c r="B1782" t="str">
        <f t="shared" si="96"/>
        <v>1</v>
      </c>
      <c r="C1782" t="str">
        <f t="shared" si="98"/>
        <v>36</v>
      </c>
      <c r="D1782" t="str">
        <f>"39"</f>
        <v>39</v>
      </c>
      <c r="E1782" t="str">
        <f>"1-36-39"</f>
        <v>1-36-39</v>
      </c>
      <c r="F1782" t="s">
        <v>65</v>
      </c>
      <c r="G1782" t="s">
        <v>66</v>
      </c>
      <c r="H1782" t="s">
        <v>67</v>
      </c>
      <c r="S1782">
        <v>0</v>
      </c>
      <c r="T1782">
        <v>1</v>
      </c>
      <c r="U1782">
        <v>0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</row>
    <row r="1783" spans="1:39" x14ac:dyDescent="0.2">
      <c r="A1783" t="str">
        <f>"1779"</f>
        <v>1779</v>
      </c>
      <c r="B1783" t="str">
        <f t="shared" ref="B1783:B1846" si="99">"1"</f>
        <v>1</v>
      </c>
      <c r="C1783" t="str">
        <f t="shared" si="98"/>
        <v>36</v>
      </c>
      <c r="D1783" t="str">
        <f>"21"</f>
        <v>21</v>
      </c>
      <c r="E1783" t="str">
        <f>"1-36-21"</f>
        <v>1-36-21</v>
      </c>
      <c r="F1783" t="s">
        <v>65</v>
      </c>
      <c r="G1783" t="s">
        <v>66</v>
      </c>
      <c r="H1783" t="s">
        <v>67</v>
      </c>
      <c r="S1783">
        <v>1</v>
      </c>
      <c r="T1783">
        <v>0</v>
      </c>
      <c r="U1783">
        <v>0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0</v>
      </c>
      <c r="AB1783">
        <v>0</v>
      </c>
      <c r="AC1783">
        <v>1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1</v>
      </c>
      <c r="AJ1783">
        <v>0</v>
      </c>
      <c r="AK1783">
        <v>0</v>
      </c>
      <c r="AL1783">
        <v>0</v>
      </c>
      <c r="AM1783">
        <v>0</v>
      </c>
    </row>
    <row r="1784" spans="1:39" x14ac:dyDescent="0.2">
      <c r="A1784" t="str">
        <f>"1780"</f>
        <v>1780</v>
      </c>
      <c r="B1784" t="str">
        <f t="shared" si="99"/>
        <v>1</v>
      </c>
      <c r="C1784" t="str">
        <f t="shared" si="98"/>
        <v>36</v>
      </c>
      <c r="D1784" t="str">
        <f>"1"</f>
        <v>1</v>
      </c>
      <c r="E1784" t="str">
        <f>"1-36-1"</f>
        <v>1-36-1</v>
      </c>
      <c r="F1784" t="s">
        <v>65</v>
      </c>
      <c r="G1784" t="s">
        <v>66</v>
      </c>
      <c r="H1784" t="s">
        <v>67</v>
      </c>
      <c r="S1784">
        <v>0</v>
      </c>
      <c r="T1784">
        <v>1</v>
      </c>
      <c r="U1784">
        <v>0</v>
      </c>
      <c r="V1784">
        <v>0</v>
      </c>
      <c r="W1784">
        <v>0</v>
      </c>
      <c r="X1784">
        <v>1</v>
      </c>
      <c r="Y1784">
        <v>0</v>
      </c>
      <c r="Z1784">
        <v>1</v>
      </c>
      <c r="AA1784">
        <v>0</v>
      </c>
      <c r="AB1784">
        <v>0</v>
      </c>
      <c r="AC1784">
        <v>1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</row>
    <row r="1785" spans="1:39" x14ac:dyDescent="0.2">
      <c r="A1785" t="str">
        <f>"1781"</f>
        <v>1781</v>
      </c>
      <c r="B1785" t="str">
        <f t="shared" si="99"/>
        <v>1</v>
      </c>
      <c r="C1785" t="str">
        <f t="shared" si="98"/>
        <v>36</v>
      </c>
      <c r="D1785" t="str">
        <f>"47"</f>
        <v>47</v>
      </c>
      <c r="E1785" t="str">
        <f>"1-36-47"</f>
        <v>1-36-47</v>
      </c>
      <c r="F1785" t="s">
        <v>65</v>
      </c>
      <c r="G1785" t="s">
        <v>66</v>
      </c>
      <c r="H1785" t="s">
        <v>67</v>
      </c>
      <c r="S1785">
        <v>0</v>
      </c>
      <c r="T1785">
        <v>1</v>
      </c>
      <c r="U1785">
        <v>0</v>
      </c>
      <c r="V1785">
        <v>0</v>
      </c>
      <c r="W1785">
        <v>0</v>
      </c>
      <c r="X1785">
        <v>1</v>
      </c>
      <c r="Y1785">
        <v>0</v>
      </c>
      <c r="Z1785">
        <v>1</v>
      </c>
      <c r="AA1785">
        <v>0</v>
      </c>
      <c r="AB1785">
        <v>1</v>
      </c>
      <c r="AC1785">
        <v>0</v>
      </c>
      <c r="AD1785">
        <v>1</v>
      </c>
      <c r="AE1785">
        <v>1</v>
      </c>
      <c r="AF1785">
        <v>1</v>
      </c>
      <c r="AG1785">
        <v>1</v>
      </c>
      <c r="AH1785">
        <v>1</v>
      </c>
      <c r="AI1785">
        <v>1</v>
      </c>
      <c r="AJ1785">
        <v>1</v>
      </c>
      <c r="AK1785">
        <v>1</v>
      </c>
      <c r="AL1785">
        <v>1</v>
      </c>
      <c r="AM1785">
        <v>1</v>
      </c>
    </row>
    <row r="1786" spans="1:39" x14ac:dyDescent="0.2">
      <c r="A1786" t="str">
        <f>"1782"</f>
        <v>1782</v>
      </c>
      <c r="B1786" t="str">
        <f t="shared" si="99"/>
        <v>1</v>
      </c>
      <c r="C1786" t="str">
        <f t="shared" si="98"/>
        <v>36</v>
      </c>
      <c r="D1786" t="str">
        <f>"22"</f>
        <v>22</v>
      </c>
      <c r="E1786" t="str">
        <f>"1-36-22"</f>
        <v>1-36-22</v>
      </c>
      <c r="F1786" t="s">
        <v>65</v>
      </c>
      <c r="G1786" t="s">
        <v>66</v>
      </c>
      <c r="H1786" t="s">
        <v>67</v>
      </c>
      <c r="S1786">
        <v>1</v>
      </c>
      <c r="T1786">
        <v>0</v>
      </c>
      <c r="U1786">
        <v>0</v>
      </c>
      <c r="V1786">
        <v>0</v>
      </c>
      <c r="W1786">
        <v>0</v>
      </c>
      <c r="X1786">
        <v>1</v>
      </c>
      <c r="Y1786">
        <v>1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1</v>
      </c>
      <c r="AI1786">
        <v>1</v>
      </c>
      <c r="AJ1786">
        <v>1</v>
      </c>
      <c r="AK1786">
        <v>1</v>
      </c>
      <c r="AL1786">
        <v>1</v>
      </c>
      <c r="AM1786">
        <v>1</v>
      </c>
    </row>
    <row r="1787" spans="1:39" x14ac:dyDescent="0.2">
      <c r="A1787" t="str">
        <f>"1783"</f>
        <v>1783</v>
      </c>
      <c r="B1787" t="str">
        <f t="shared" si="99"/>
        <v>1</v>
      </c>
      <c r="C1787" t="str">
        <f t="shared" si="98"/>
        <v>36</v>
      </c>
      <c r="D1787" t="str">
        <f>"12"</f>
        <v>12</v>
      </c>
      <c r="E1787" t="str">
        <f>"1-36-12"</f>
        <v>1-36-12</v>
      </c>
      <c r="F1787" t="s">
        <v>65</v>
      </c>
      <c r="G1787" t="s">
        <v>66</v>
      </c>
      <c r="H1787" t="s">
        <v>67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0</v>
      </c>
      <c r="AB1787">
        <v>0</v>
      </c>
      <c r="AC1787">
        <v>1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</row>
    <row r="1788" spans="1:39" x14ac:dyDescent="0.2">
      <c r="A1788" t="str">
        <f>"1784"</f>
        <v>1784</v>
      </c>
      <c r="B1788" t="str">
        <f t="shared" si="99"/>
        <v>1</v>
      </c>
      <c r="C1788" t="str">
        <f t="shared" ref="C1788:C1804" si="100">"36"</f>
        <v>36</v>
      </c>
      <c r="D1788" t="str">
        <f>"41"</f>
        <v>41</v>
      </c>
      <c r="E1788" t="str">
        <f>"1-36-41"</f>
        <v>1-36-41</v>
      </c>
      <c r="F1788" t="s">
        <v>65</v>
      </c>
      <c r="G1788" t="s">
        <v>66</v>
      </c>
      <c r="H1788" t="s">
        <v>67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1</v>
      </c>
      <c r="Y1788">
        <v>0</v>
      </c>
      <c r="Z1788">
        <v>1</v>
      </c>
      <c r="AA1788">
        <v>0</v>
      </c>
      <c r="AB1788">
        <v>1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</row>
    <row r="1789" spans="1:39" x14ac:dyDescent="0.2">
      <c r="A1789" t="str">
        <f>"1785"</f>
        <v>1785</v>
      </c>
      <c r="B1789" t="str">
        <f t="shared" si="99"/>
        <v>1</v>
      </c>
      <c r="C1789" t="str">
        <f t="shared" si="100"/>
        <v>36</v>
      </c>
      <c r="D1789" t="str">
        <f>"23"</f>
        <v>23</v>
      </c>
      <c r="E1789" t="str">
        <f>"1-36-23"</f>
        <v>1-36-23</v>
      </c>
      <c r="F1789" t="s">
        <v>65</v>
      </c>
      <c r="G1789" t="s">
        <v>66</v>
      </c>
      <c r="H1789" t="s">
        <v>67</v>
      </c>
      <c r="S1789">
        <v>0</v>
      </c>
      <c r="T1789">
        <v>1</v>
      </c>
      <c r="U1789">
        <v>0</v>
      </c>
      <c r="V1789">
        <v>0</v>
      </c>
      <c r="W1789">
        <v>1</v>
      </c>
      <c r="X1789">
        <v>0</v>
      </c>
      <c r="Y1789">
        <v>0</v>
      </c>
      <c r="Z1789">
        <v>1</v>
      </c>
      <c r="AA1789">
        <v>0</v>
      </c>
      <c r="AB1789">
        <v>1</v>
      </c>
      <c r="AC1789">
        <v>0</v>
      </c>
      <c r="AD1789">
        <v>1</v>
      </c>
      <c r="AE1789">
        <v>1</v>
      </c>
      <c r="AF1789">
        <v>1</v>
      </c>
      <c r="AG1789">
        <v>1</v>
      </c>
      <c r="AH1789">
        <v>1</v>
      </c>
      <c r="AI1789">
        <v>1</v>
      </c>
      <c r="AJ1789">
        <v>1</v>
      </c>
      <c r="AK1789">
        <v>1</v>
      </c>
      <c r="AL1789">
        <v>1</v>
      </c>
      <c r="AM1789">
        <v>1</v>
      </c>
    </row>
    <row r="1790" spans="1:39" x14ac:dyDescent="0.2">
      <c r="A1790" t="str">
        <f>"1786"</f>
        <v>1786</v>
      </c>
      <c r="B1790" t="str">
        <f t="shared" si="99"/>
        <v>1</v>
      </c>
      <c r="C1790" t="str">
        <f t="shared" si="100"/>
        <v>36</v>
      </c>
      <c r="D1790" t="str">
        <f>"4"</f>
        <v>4</v>
      </c>
      <c r="E1790" t="str">
        <f>"1-36-4"</f>
        <v>1-36-4</v>
      </c>
      <c r="F1790" t="s">
        <v>65</v>
      </c>
      <c r="G1790" t="s">
        <v>66</v>
      </c>
      <c r="H1790" t="s">
        <v>67</v>
      </c>
      <c r="S1790">
        <v>0</v>
      </c>
      <c r="T1790">
        <v>1</v>
      </c>
      <c r="U1790">
        <v>0</v>
      </c>
      <c r="V1790">
        <v>0</v>
      </c>
      <c r="W1790">
        <v>0</v>
      </c>
      <c r="X1790">
        <v>1</v>
      </c>
      <c r="Y1790">
        <v>0</v>
      </c>
      <c r="Z1790">
        <v>1</v>
      </c>
      <c r="AA1790">
        <v>0</v>
      </c>
      <c r="AB1790">
        <v>0</v>
      </c>
      <c r="AC1790">
        <v>1</v>
      </c>
      <c r="AD1790">
        <v>1</v>
      </c>
      <c r="AE1790">
        <v>1</v>
      </c>
      <c r="AF1790">
        <v>1</v>
      </c>
      <c r="AG1790">
        <v>1</v>
      </c>
      <c r="AH1790">
        <v>1</v>
      </c>
      <c r="AI1790">
        <v>1</v>
      </c>
      <c r="AJ1790">
        <v>1</v>
      </c>
      <c r="AK1790">
        <v>1</v>
      </c>
      <c r="AL1790">
        <v>1</v>
      </c>
      <c r="AM1790">
        <v>1</v>
      </c>
    </row>
    <row r="1791" spans="1:39" x14ac:dyDescent="0.2">
      <c r="A1791" t="str">
        <f>"1787"</f>
        <v>1787</v>
      </c>
      <c r="B1791" t="str">
        <f t="shared" si="99"/>
        <v>1</v>
      </c>
      <c r="C1791" t="str">
        <f t="shared" si="100"/>
        <v>36</v>
      </c>
      <c r="D1791" t="str">
        <f>"40"</f>
        <v>40</v>
      </c>
      <c r="E1791" t="str">
        <f>"1-36-40"</f>
        <v>1-36-40</v>
      </c>
      <c r="F1791" t="s">
        <v>65</v>
      </c>
      <c r="G1791" t="s">
        <v>66</v>
      </c>
      <c r="H1791" t="s">
        <v>67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1</v>
      </c>
      <c r="Y1791">
        <v>0</v>
      </c>
      <c r="Z1791">
        <v>1</v>
      </c>
      <c r="AA1791">
        <v>0</v>
      </c>
      <c r="AB1791">
        <v>0</v>
      </c>
      <c r="AC1791">
        <v>1</v>
      </c>
      <c r="AD1791">
        <v>0</v>
      </c>
      <c r="AE1791">
        <v>0</v>
      </c>
      <c r="AF1791">
        <v>0</v>
      </c>
      <c r="AG1791">
        <v>0</v>
      </c>
      <c r="AH1791">
        <v>1</v>
      </c>
      <c r="AI1791">
        <v>0</v>
      </c>
      <c r="AJ1791">
        <v>1</v>
      </c>
      <c r="AK1791">
        <v>1</v>
      </c>
      <c r="AL1791">
        <v>1</v>
      </c>
      <c r="AM1791">
        <v>0</v>
      </c>
    </row>
    <row r="1792" spans="1:39" x14ac:dyDescent="0.2">
      <c r="A1792" t="str">
        <f>"1788"</f>
        <v>1788</v>
      </c>
      <c r="B1792" t="str">
        <f t="shared" si="99"/>
        <v>1</v>
      </c>
      <c r="C1792" t="str">
        <f t="shared" si="100"/>
        <v>36</v>
      </c>
      <c r="D1792" t="str">
        <f>"24"</f>
        <v>24</v>
      </c>
      <c r="E1792" t="str">
        <f>"1-36-24"</f>
        <v>1-36-24</v>
      </c>
      <c r="F1792" t="s">
        <v>65</v>
      </c>
      <c r="G1792" t="s">
        <v>66</v>
      </c>
      <c r="H1792" t="s">
        <v>67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1</v>
      </c>
      <c r="Y1792">
        <v>0</v>
      </c>
      <c r="Z1792">
        <v>1</v>
      </c>
      <c r="AA1792">
        <v>0</v>
      </c>
      <c r="AB1792">
        <v>1</v>
      </c>
      <c r="AC1792">
        <v>0</v>
      </c>
      <c r="AD1792">
        <v>0</v>
      </c>
      <c r="AE1792">
        <v>0</v>
      </c>
      <c r="AF1792">
        <v>1</v>
      </c>
      <c r="AG1792">
        <v>1</v>
      </c>
      <c r="AH1792">
        <v>0</v>
      </c>
      <c r="AI1792">
        <v>1</v>
      </c>
      <c r="AJ1792">
        <v>1</v>
      </c>
      <c r="AK1792">
        <v>0</v>
      </c>
      <c r="AL1792">
        <v>1</v>
      </c>
      <c r="AM1792">
        <v>1</v>
      </c>
    </row>
    <row r="1793" spans="1:39" x14ac:dyDescent="0.2">
      <c r="A1793" t="str">
        <f>"1789"</f>
        <v>1789</v>
      </c>
      <c r="B1793" t="str">
        <f t="shared" si="99"/>
        <v>1</v>
      </c>
      <c r="C1793" t="str">
        <f t="shared" si="100"/>
        <v>36</v>
      </c>
      <c r="D1793" t="str">
        <f>"6"</f>
        <v>6</v>
      </c>
      <c r="E1793" t="str">
        <f>"1-36-6"</f>
        <v>1-36-6</v>
      </c>
      <c r="F1793" t="s">
        <v>65</v>
      </c>
      <c r="G1793" t="s">
        <v>66</v>
      </c>
      <c r="H1793" t="s">
        <v>67</v>
      </c>
      <c r="S1793">
        <v>1</v>
      </c>
      <c r="T1793">
        <v>0</v>
      </c>
      <c r="U1793">
        <v>0</v>
      </c>
      <c r="V1793">
        <v>0</v>
      </c>
      <c r="W1793">
        <v>1</v>
      </c>
      <c r="X1793">
        <v>0</v>
      </c>
      <c r="Y1793">
        <v>0</v>
      </c>
      <c r="Z1793">
        <v>1</v>
      </c>
      <c r="AA1793">
        <v>1</v>
      </c>
      <c r="AB1793">
        <v>0</v>
      </c>
      <c r="AC1793">
        <v>0</v>
      </c>
      <c r="AD1793">
        <v>1</v>
      </c>
      <c r="AE1793">
        <v>1</v>
      </c>
      <c r="AF1793">
        <v>1</v>
      </c>
      <c r="AG1793">
        <v>1</v>
      </c>
      <c r="AH1793">
        <v>1</v>
      </c>
      <c r="AI1793">
        <v>1</v>
      </c>
      <c r="AJ1793">
        <v>1</v>
      </c>
      <c r="AK1793">
        <v>1</v>
      </c>
      <c r="AL1793">
        <v>1</v>
      </c>
      <c r="AM1793">
        <v>1</v>
      </c>
    </row>
    <row r="1794" spans="1:39" x14ac:dyDescent="0.2">
      <c r="A1794" t="str">
        <f>"1790"</f>
        <v>1790</v>
      </c>
      <c r="B1794" t="str">
        <f t="shared" si="99"/>
        <v>1</v>
      </c>
      <c r="C1794" t="str">
        <f t="shared" si="100"/>
        <v>36</v>
      </c>
      <c r="D1794" t="str">
        <f>"50"</f>
        <v>50</v>
      </c>
      <c r="E1794" t="str">
        <f>"1-36-50"</f>
        <v>1-36-50</v>
      </c>
      <c r="F1794" t="s">
        <v>65</v>
      </c>
      <c r="G1794" t="s">
        <v>66</v>
      </c>
      <c r="H1794" t="s">
        <v>67</v>
      </c>
      <c r="S1794">
        <v>1</v>
      </c>
      <c r="T1794">
        <v>0</v>
      </c>
      <c r="U1794">
        <v>0</v>
      </c>
      <c r="V1794">
        <v>0</v>
      </c>
      <c r="W1794">
        <v>1</v>
      </c>
      <c r="X1794">
        <v>0</v>
      </c>
      <c r="Y1794">
        <v>1</v>
      </c>
      <c r="Z1794">
        <v>0</v>
      </c>
      <c r="AA1794">
        <v>0</v>
      </c>
      <c r="AB1794">
        <v>1</v>
      </c>
      <c r="AC1794">
        <v>0</v>
      </c>
      <c r="AD1794">
        <v>1</v>
      </c>
      <c r="AE1794">
        <v>1</v>
      </c>
      <c r="AF1794">
        <v>1</v>
      </c>
      <c r="AG1794">
        <v>1</v>
      </c>
      <c r="AH1794">
        <v>1</v>
      </c>
      <c r="AI1794">
        <v>1</v>
      </c>
      <c r="AJ1794">
        <v>1</v>
      </c>
      <c r="AK1794">
        <v>1</v>
      </c>
      <c r="AL1794">
        <v>1</v>
      </c>
      <c r="AM1794">
        <v>1</v>
      </c>
    </row>
    <row r="1795" spans="1:39" x14ac:dyDescent="0.2">
      <c r="A1795" t="str">
        <f>"1791"</f>
        <v>1791</v>
      </c>
      <c r="B1795" t="str">
        <f t="shared" si="99"/>
        <v>1</v>
      </c>
      <c r="C1795" t="str">
        <f t="shared" si="100"/>
        <v>36</v>
      </c>
      <c r="D1795" t="str">
        <f>"10"</f>
        <v>10</v>
      </c>
      <c r="E1795" t="str">
        <f>"1-36-10"</f>
        <v>1-36-10</v>
      </c>
      <c r="F1795" t="s">
        <v>65</v>
      </c>
      <c r="G1795" t="s">
        <v>66</v>
      </c>
      <c r="H1795" t="s">
        <v>67</v>
      </c>
      <c r="S1795">
        <v>1</v>
      </c>
      <c r="T1795">
        <v>0</v>
      </c>
      <c r="U1795">
        <v>0</v>
      </c>
      <c r="V1795">
        <v>0</v>
      </c>
      <c r="W1795">
        <v>1</v>
      </c>
      <c r="X1795">
        <v>0</v>
      </c>
      <c r="Y1795">
        <v>0</v>
      </c>
      <c r="Z1795">
        <v>1</v>
      </c>
      <c r="AA1795">
        <v>1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1</v>
      </c>
      <c r="AI1795">
        <v>1</v>
      </c>
      <c r="AJ1795">
        <v>0</v>
      </c>
      <c r="AK1795">
        <v>0</v>
      </c>
      <c r="AL1795">
        <v>1</v>
      </c>
      <c r="AM1795">
        <v>0</v>
      </c>
    </row>
    <row r="1796" spans="1:39" x14ac:dyDescent="0.2">
      <c r="A1796" t="str">
        <f>"1792"</f>
        <v>1792</v>
      </c>
      <c r="B1796" t="str">
        <f t="shared" si="99"/>
        <v>1</v>
      </c>
      <c r="C1796" t="str">
        <f t="shared" si="100"/>
        <v>36</v>
      </c>
      <c r="D1796" t="str">
        <f>"46"</f>
        <v>46</v>
      </c>
      <c r="E1796" t="str">
        <f>"1-36-46"</f>
        <v>1-36-46</v>
      </c>
      <c r="F1796" t="s">
        <v>65</v>
      </c>
      <c r="G1796" t="s">
        <v>66</v>
      </c>
      <c r="H1796" t="s">
        <v>67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1</v>
      </c>
      <c r="AJ1796">
        <v>1</v>
      </c>
      <c r="AK1796">
        <v>1</v>
      </c>
      <c r="AL1796">
        <v>0</v>
      </c>
      <c r="AM1796">
        <v>0</v>
      </c>
    </row>
    <row r="1797" spans="1:39" x14ac:dyDescent="0.2">
      <c r="A1797" t="str">
        <f>"1793"</f>
        <v>1793</v>
      </c>
      <c r="B1797" t="str">
        <f t="shared" si="99"/>
        <v>1</v>
      </c>
      <c r="C1797" t="str">
        <f t="shared" si="100"/>
        <v>36</v>
      </c>
      <c r="D1797" t="str">
        <f>"27"</f>
        <v>27</v>
      </c>
      <c r="E1797" t="str">
        <f>"1-36-27"</f>
        <v>1-36-27</v>
      </c>
      <c r="F1797" t="s">
        <v>65</v>
      </c>
      <c r="G1797" t="s">
        <v>66</v>
      </c>
      <c r="H1797" t="s">
        <v>67</v>
      </c>
      <c r="S1797">
        <v>0</v>
      </c>
      <c r="T1797">
        <v>1</v>
      </c>
      <c r="U1797">
        <v>0</v>
      </c>
      <c r="V1797">
        <v>0</v>
      </c>
      <c r="W1797">
        <v>0</v>
      </c>
      <c r="X1797">
        <v>1</v>
      </c>
      <c r="Y1797">
        <v>1</v>
      </c>
      <c r="Z1797">
        <v>0</v>
      </c>
      <c r="AA1797">
        <v>0</v>
      </c>
      <c r="AB1797">
        <v>0</v>
      </c>
      <c r="AC1797">
        <v>1</v>
      </c>
      <c r="AD1797">
        <v>1</v>
      </c>
      <c r="AE1797">
        <v>1</v>
      </c>
      <c r="AF1797">
        <v>1</v>
      </c>
      <c r="AG1797">
        <v>1</v>
      </c>
      <c r="AH1797">
        <v>1</v>
      </c>
      <c r="AI1797">
        <v>1</v>
      </c>
      <c r="AJ1797">
        <v>1</v>
      </c>
      <c r="AK1797">
        <v>1</v>
      </c>
      <c r="AL1797">
        <v>1</v>
      </c>
      <c r="AM1797">
        <v>1</v>
      </c>
    </row>
    <row r="1798" spans="1:39" x14ac:dyDescent="0.2">
      <c r="A1798" t="str">
        <f>"1794"</f>
        <v>1794</v>
      </c>
      <c r="B1798" t="str">
        <f t="shared" si="99"/>
        <v>1</v>
      </c>
      <c r="C1798" t="str">
        <f t="shared" si="100"/>
        <v>36</v>
      </c>
      <c r="D1798" t="str">
        <f>"9"</f>
        <v>9</v>
      </c>
      <c r="E1798" t="str">
        <f>"1-36-9"</f>
        <v>1-36-9</v>
      </c>
      <c r="F1798" t="s">
        <v>65</v>
      </c>
      <c r="G1798" t="s">
        <v>66</v>
      </c>
      <c r="H1798" t="s">
        <v>67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</row>
    <row r="1799" spans="1:39" x14ac:dyDescent="0.2">
      <c r="A1799" t="str">
        <f>"1795"</f>
        <v>1795</v>
      </c>
      <c r="B1799" t="str">
        <f t="shared" si="99"/>
        <v>1</v>
      </c>
      <c r="C1799" t="str">
        <f t="shared" si="100"/>
        <v>36</v>
      </c>
      <c r="D1799" t="str">
        <f>"29"</f>
        <v>29</v>
      </c>
      <c r="E1799" t="str">
        <f>"1-36-29"</f>
        <v>1-36-29</v>
      </c>
      <c r="F1799" t="s">
        <v>65</v>
      </c>
      <c r="G1799" t="s">
        <v>66</v>
      </c>
      <c r="H1799" t="s">
        <v>67</v>
      </c>
      <c r="S1799">
        <v>0</v>
      </c>
      <c r="T1799">
        <v>1</v>
      </c>
      <c r="U1799">
        <v>0</v>
      </c>
      <c r="V1799">
        <v>0</v>
      </c>
      <c r="W1799">
        <v>0</v>
      </c>
      <c r="X1799">
        <v>1</v>
      </c>
      <c r="Y1799">
        <v>0</v>
      </c>
      <c r="Z1799">
        <v>1</v>
      </c>
      <c r="AA1799">
        <v>0</v>
      </c>
      <c r="AB1799">
        <v>0</v>
      </c>
      <c r="AC1799">
        <v>1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</row>
    <row r="1800" spans="1:39" x14ac:dyDescent="0.2">
      <c r="A1800" t="str">
        <f>"1796"</f>
        <v>1796</v>
      </c>
      <c r="B1800" t="str">
        <f t="shared" si="99"/>
        <v>1</v>
      </c>
      <c r="C1800" t="str">
        <f t="shared" si="100"/>
        <v>36</v>
      </c>
      <c r="D1800" t="str">
        <f>"11"</f>
        <v>11</v>
      </c>
      <c r="E1800" t="str">
        <f>"1-36-11"</f>
        <v>1-36-11</v>
      </c>
      <c r="F1800" t="s">
        <v>65</v>
      </c>
      <c r="G1800" t="s">
        <v>66</v>
      </c>
      <c r="H1800" t="s">
        <v>67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0</v>
      </c>
      <c r="AB1800">
        <v>0</v>
      </c>
      <c r="AC1800">
        <v>1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1</v>
      </c>
      <c r="AJ1800">
        <v>0</v>
      </c>
      <c r="AK1800">
        <v>0</v>
      </c>
      <c r="AL1800">
        <v>0</v>
      </c>
      <c r="AM1800">
        <v>0</v>
      </c>
    </row>
    <row r="1801" spans="1:39" x14ac:dyDescent="0.2">
      <c r="A1801" t="str">
        <f>"1797"</f>
        <v>1797</v>
      </c>
      <c r="B1801" t="str">
        <f t="shared" si="99"/>
        <v>1</v>
      </c>
      <c r="C1801" t="str">
        <f t="shared" si="100"/>
        <v>36</v>
      </c>
      <c r="D1801" t="str">
        <f>"30"</f>
        <v>30</v>
      </c>
      <c r="E1801" t="str">
        <f>"1-36-30"</f>
        <v>1-36-30</v>
      </c>
      <c r="F1801" t="s">
        <v>65</v>
      </c>
      <c r="G1801" t="s">
        <v>66</v>
      </c>
      <c r="H1801" t="s">
        <v>67</v>
      </c>
      <c r="S1801">
        <v>0</v>
      </c>
      <c r="T1801">
        <v>1</v>
      </c>
      <c r="U1801">
        <v>0</v>
      </c>
      <c r="V1801">
        <v>0</v>
      </c>
      <c r="W1801">
        <v>0</v>
      </c>
      <c r="X1801">
        <v>1</v>
      </c>
      <c r="Y1801">
        <v>0</v>
      </c>
      <c r="Z1801">
        <v>1</v>
      </c>
      <c r="AA1801">
        <v>0</v>
      </c>
      <c r="AB1801">
        <v>0</v>
      </c>
      <c r="AC1801">
        <v>1</v>
      </c>
      <c r="AD1801">
        <v>1</v>
      </c>
      <c r="AE1801">
        <v>1</v>
      </c>
      <c r="AF1801">
        <v>1</v>
      </c>
      <c r="AG1801">
        <v>1</v>
      </c>
      <c r="AH1801">
        <v>1</v>
      </c>
      <c r="AI1801">
        <v>1</v>
      </c>
      <c r="AJ1801">
        <v>1</v>
      </c>
      <c r="AK1801">
        <v>1</v>
      </c>
      <c r="AL1801">
        <v>1</v>
      </c>
      <c r="AM1801">
        <v>1</v>
      </c>
    </row>
    <row r="1802" spans="1:39" x14ac:dyDescent="0.2">
      <c r="A1802" t="str">
        <f>"1798"</f>
        <v>1798</v>
      </c>
      <c r="B1802" t="str">
        <f t="shared" si="99"/>
        <v>1</v>
      </c>
      <c r="C1802" t="str">
        <f t="shared" si="100"/>
        <v>36</v>
      </c>
      <c r="D1802" t="str">
        <f>"8"</f>
        <v>8</v>
      </c>
      <c r="E1802" t="str">
        <f>"1-36-8"</f>
        <v>1-36-8</v>
      </c>
      <c r="F1802" t="s">
        <v>65</v>
      </c>
      <c r="G1802" t="s">
        <v>66</v>
      </c>
      <c r="H1802" t="s">
        <v>67</v>
      </c>
      <c r="S1802">
        <v>1</v>
      </c>
      <c r="T1802">
        <v>0</v>
      </c>
      <c r="U1802">
        <v>0</v>
      </c>
      <c r="V1802">
        <v>0</v>
      </c>
      <c r="W1802">
        <v>1</v>
      </c>
      <c r="X1802">
        <v>0</v>
      </c>
      <c r="Y1802">
        <v>0</v>
      </c>
      <c r="Z1802">
        <v>1</v>
      </c>
      <c r="AA1802">
        <v>1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1</v>
      </c>
      <c r="AI1802">
        <v>1</v>
      </c>
      <c r="AJ1802">
        <v>0</v>
      </c>
      <c r="AK1802">
        <v>0</v>
      </c>
      <c r="AL1802">
        <v>1</v>
      </c>
      <c r="AM1802">
        <v>0</v>
      </c>
    </row>
    <row r="1803" spans="1:39" x14ac:dyDescent="0.2">
      <c r="A1803" t="str">
        <f>"1799"</f>
        <v>1799</v>
      </c>
      <c r="B1803" t="str">
        <f t="shared" si="99"/>
        <v>1</v>
      </c>
      <c r="C1803" t="str">
        <f t="shared" si="100"/>
        <v>36</v>
      </c>
      <c r="D1803" t="str">
        <f>"26"</f>
        <v>26</v>
      </c>
      <c r="E1803" t="str">
        <f>"1-36-26"</f>
        <v>1-36-26</v>
      </c>
      <c r="F1803" t="s">
        <v>65</v>
      </c>
      <c r="G1803" t="s">
        <v>66</v>
      </c>
      <c r="H1803" t="s">
        <v>67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0</v>
      </c>
      <c r="AB1803">
        <v>0</v>
      </c>
      <c r="AC1803">
        <v>1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</row>
    <row r="1804" spans="1:39" x14ac:dyDescent="0.2">
      <c r="A1804" t="str">
        <f>"1800"</f>
        <v>1800</v>
      </c>
      <c r="B1804" t="str">
        <f t="shared" si="99"/>
        <v>1</v>
      </c>
      <c r="C1804" t="str">
        <f t="shared" si="100"/>
        <v>36</v>
      </c>
      <c r="D1804" t="str">
        <f>"35"</f>
        <v>35</v>
      </c>
      <c r="E1804" t="str">
        <f>"1-36-35"</f>
        <v>1-36-35</v>
      </c>
      <c r="F1804" t="s">
        <v>65</v>
      </c>
      <c r="G1804" t="s">
        <v>66</v>
      </c>
      <c r="H1804" t="s">
        <v>67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1</v>
      </c>
      <c r="Y1804">
        <v>1</v>
      </c>
      <c r="Z1804">
        <v>0</v>
      </c>
      <c r="AA1804">
        <v>0</v>
      </c>
      <c r="AB1804">
        <v>0</v>
      </c>
      <c r="AC1804">
        <v>1</v>
      </c>
      <c r="AD1804">
        <v>1</v>
      </c>
      <c r="AE1804">
        <v>1</v>
      </c>
      <c r="AF1804">
        <v>1</v>
      </c>
      <c r="AG1804">
        <v>1</v>
      </c>
      <c r="AH1804">
        <v>1</v>
      </c>
      <c r="AI1804">
        <v>1</v>
      </c>
      <c r="AJ1804">
        <v>1</v>
      </c>
      <c r="AK1804">
        <v>1</v>
      </c>
      <c r="AL1804">
        <v>1</v>
      </c>
      <c r="AM1804">
        <v>1</v>
      </c>
    </row>
    <row r="1805" spans="1:39" x14ac:dyDescent="0.2">
      <c r="A1805" t="str">
        <f>"1801"</f>
        <v>1801</v>
      </c>
      <c r="B1805" t="str">
        <f t="shared" si="99"/>
        <v>1</v>
      </c>
      <c r="C1805" t="str">
        <f t="shared" ref="C1805:C1836" si="101">"37"</f>
        <v>37</v>
      </c>
      <c r="D1805" t="str">
        <f>"36"</f>
        <v>36</v>
      </c>
      <c r="E1805" t="str">
        <f>"1-37-36"</f>
        <v>1-37-36</v>
      </c>
      <c r="F1805" t="s">
        <v>65</v>
      </c>
      <c r="G1805" t="s">
        <v>66</v>
      </c>
      <c r="H1805" t="s">
        <v>67</v>
      </c>
      <c r="S1805">
        <v>1</v>
      </c>
      <c r="T1805">
        <v>0</v>
      </c>
      <c r="U1805">
        <v>0</v>
      </c>
      <c r="V1805">
        <v>0</v>
      </c>
      <c r="W1805">
        <v>1</v>
      </c>
      <c r="X1805">
        <v>0</v>
      </c>
      <c r="Y1805">
        <v>1</v>
      </c>
      <c r="Z1805">
        <v>0</v>
      </c>
      <c r="AA1805">
        <v>0</v>
      </c>
      <c r="AB1805">
        <v>1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</row>
    <row r="1806" spans="1:39" x14ac:dyDescent="0.2">
      <c r="A1806" t="str">
        <f>"1802"</f>
        <v>1802</v>
      </c>
      <c r="B1806" t="str">
        <f t="shared" si="99"/>
        <v>1</v>
      </c>
      <c r="C1806" t="str">
        <f t="shared" si="101"/>
        <v>37</v>
      </c>
      <c r="D1806" t="str">
        <f>"35"</f>
        <v>35</v>
      </c>
      <c r="E1806" t="str">
        <f>"1-37-35"</f>
        <v>1-37-35</v>
      </c>
      <c r="F1806" t="s">
        <v>65</v>
      </c>
      <c r="G1806" t="s">
        <v>66</v>
      </c>
      <c r="H1806" t="s">
        <v>67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1</v>
      </c>
      <c r="Y1806">
        <v>0</v>
      </c>
      <c r="Z1806">
        <v>1</v>
      </c>
      <c r="AA1806">
        <v>0</v>
      </c>
      <c r="AB1806">
        <v>1</v>
      </c>
      <c r="AC1806">
        <v>0</v>
      </c>
      <c r="AD1806">
        <v>0</v>
      </c>
      <c r="AE1806">
        <v>0</v>
      </c>
      <c r="AF1806">
        <v>0</v>
      </c>
      <c r="AG1806">
        <v>1</v>
      </c>
      <c r="AH1806">
        <v>1</v>
      </c>
      <c r="AI1806">
        <v>1</v>
      </c>
      <c r="AJ1806">
        <v>1</v>
      </c>
      <c r="AK1806">
        <v>0</v>
      </c>
      <c r="AL1806">
        <v>1</v>
      </c>
      <c r="AM1806">
        <v>0</v>
      </c>
    </row>
    <row r="1807" spans="1:39" x14ac:dyDescent="0.2">
      <c r="A1807" t="str">
        <f>"1803"</f>
        <v>1803</v>
      </c>
      <c r="B1807" t="str">
        <f t="shared" si="99"/>
        <v>1</v>
      </c>
      <c r="C1807" t="str">
        <f t="shared" si="101"/>
        <v>37</v>
      </c>
      <c r="D1807" t="str">
        <f>"27"</f>
        <v>27</v>
      </c>
      <c r="E1807" t="str">
        <f>"1-37-27"</f>
        <v>1-37-27</v>
      </c>
      <c r="F1807" t="s">
        <v>65</v>
      </c>
      <c r="G1807" t="s">
        <v>66</v>
      </c>
      <c r="H1807" t="s">
        <v>67</v>
      </c>
      <c r="S1807">
        <v>0</v>
      </c>
      <c r="T1807">
        <v>1</v>
      </c>
      <c r="U1807">
        <v>0</v>
      </c>
      <c r="V1807">
        <v>0</v>
      </c>
      <c r="W1807">
        <v>0</v>
      </c>
      <c r="X1807">
        <v>1</v>
      </c>
      <c r="Y1807">
        <v>0</v>
      </c>
      <c r="Z1807">
        <v>1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1</v>
      </c>
      <c r="AH1807">
        <v>1</v>
      </c>
      <c r="AI1807">
        <v>1</v>
      </c>
      <c r="AJ1807">
        <v>1</v>
      </c>
      <c r="AK1807">
        <v>1</v>
      </c>
      <c r="AL1807">
        <v>1</v>
      </c>
      <c r="AM1807">
        <v>0</v>
      </c>
    </row>
    <row r="1808" spans="1:39" x14ac:dyDescent="0.2">
      <c r="A1808" t="str">
        <f>"1804"</f>
        <v>1804</v>
      </c>
      <c r="B1808" t="str">
        <f t="shared" si="99"/>
        <v>1</v>
      </c>
      <c r="C1808" t="str">
        <f t="shared" si="101"/>
        <v>37</v>
      </c>
      <c r="D1808" t="str">
        <f>"15"</f>
        <v>15</v>
      </c>
      <c r="E1808" t="str">
        <f>"1-37-15"</f>
        <v>1-37-15</v>
      </c>
      <c r="F1808" t="s">
        <v>65</v>
      </c>
      <c r="G1808" t="s">
        <v>66</v>
      </c>
      <c r="H1808" t="s">
        <v>67</v>
      </c>
      <c r="S1808">
        <v>1</v>
      </c>
      <c r="T1808">
        <v>0</v>
      </c>
      <c r="U1808">
        <v>0</v>
      </c>
      <c r="V1808">
        <v>0</v>
      </c>
      <c r="W1808">
        <v>1</v>
      </c>
      <c r="X1808">
        <v>0</v>
      </c>
      <c r="Y1808">
        <v>0</v>
      </c>
      <c r="Z1808">
        <v>1</v>
      </c>
      <c r="AA1808">
        <v>0</v>
      </c>
      <c r="AB1808">
        <v>1</v>
      </c>
      <c r="AC1808">
        <v>0</v>
      </c>
      <c r="AD1808">
        <v>1</v>
      </c>
      <c r="AE1808">
        <v>1</v>
      </c>
      <c r="AF1808">
        <v>1</v>
      </c>
      <c r="AG1808">
        <v>1</v>
      </c>
      <c r="AH1808">
        <v>1</v>
      </c>
      <c r="AI1808">
        <v>1</v>
      </c>
      <c r="AJ1808">
        <v>1</v>
      </c>
      <c r="AK1808">
        <v>1</v>
      </c>
      <c r="AL1808">
        <v>1</v>
      </c>
      <c r="AM1808">
        <v>1</v>
      </c>
    </row>
    <row r="1809" spans="1:39" x14ac:dyDescent="0.2">
      <c r="A1809" t="str">
        <f>"1805"</f>
        <v>1805</v>
      </c>
      <c r="B1809" t="str">
        <f t="shared" si="99"/>
        <v>1</v>
      </c>
      <c r="C1809" t="str">
        <f t="shared" si="101"/>
        <v>37</v>
      </c>
      <c r="D1809" t="str">
        <f>"5"</f>
        <v>5</v>
      </c>
      <c r="E1809" t="str">
        <f>"1-37-5"</f>
        <v>1-37-5</v>
      </c>
      <c r="F1809" t="s">
        <v>65</v>
      </c>
      <c r="G1809" t="s">
        <v>66</v>
      </c>
      <c r="H1809" t="s">
        <v>67</v>
      </c>
      <c r="S1809">
        <v>0</v>
      </c>
      <c r="T1809">
        <v>1</v>
      </c>
      <c r="U1809">
        <v>0</v>
      </c>
      <c r="V1809">
        <v>0</v>
      </c>
      <c r="W1809">
        <v>0</v>
      </c>
      <c r="X1809">
        <v>1</v>
      </c>
      <c r="Y1809">
        <v>0</v>
      </c>
      <c r="Z1809">
        <v>1</v>
      </c>
      <c r="AA1809">
        <v>0</v>
      </c>
      <c r="AB1809">
        <v>0</v>
      </c>
      <c r="AC1809">
        <v>1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</row>
    <row r="1810" spans="1:39" x14ac:dyDescent="0.2">
      <c r="A1810" t="str">
        <f>"1806"</f>
        <v>1806</v>
      </c>
      <c r="B1810" t="str">
        <f t="shared" si="99"/>
        <v>1</v>
      </c>
      <c r="C1810" t="str">
        <f t="shared" si="101"/>
        <v>37</v>
      </c>
      <c r="D1810" t="str">
        <f>"38"</f>
        <v>38</v>
      </c>
      <c r="E1810" t="str">
        <f>"1-37-38"</f>
        <v>1-37-38</v>
      </c>
      <c r="F1810" t="s">
        <v>65</v>
      </c>
      <c r="G1810" t="s">
        <v>66</v>
      </c>
      <c r="H1810" t="s">
        <v>67</v>
      </c>
      <c r="S1810">
        <v>1</v>
      </c>
      <c r="T1810">
        <v>0</v>
      </c>
      <c r="U1810">
        <v>0</v>
      </c>
      <c r="V1810">
        <v>0</v>
      </c>
      <c r="W1810">
        <v>0</v>
      </c>
      <c r="X1810">
        <v>1</v>
      </c>
      <c r="Y1810">
        <v>1</v>
      </c>
      <c r="Z1810">
        <v>0</v>
      </c>
      <c r="AA1810">
        <v>0</v>
      </c>
      <c r="AB1810">
        <v>1</v>
      </c>
      <c r="AC1810">
        <v>0</v>
      </c>
      <c r="AD1810">
        <v>1</v>
      </c>
      <c r="AE1810">
        <v>1</v>
      </c>
      <c r="AF1810">
        <v>1</v>
      </c>
      <c r="AG1810">
        <v>1</v>
      </c>
      <c r="AH1810">
        <v>1</v>
      </c>
      <c r="AI1810">
        <v>1</v>
      </c>
      <c r="AJ1810">
        <v>1</v>
      </c>
      <c r="AK1810">
        <v>1</v>
      </c>
      <c r="AL1810">
        <v>1</v>
      </c>
      <c r="AM1810">
        <v>1</v>
      </c>
    </row>
    <row r="1811" spans="1:39" x14ac:dyDescent="0.2">
      <c r="A1811" t="str">
        <f>"1807"</f>
        <v>1807</v>
      </c>
      <c r="B1811" t="str">
        <f t="shared" si="99"/>
        <v>1</v>
      </c>
      <c r="C1811" t="str">
        <f t="shared" si="101"/>
        <v>37</v>
      </c>
      <c r="D1811" t="str">
        <f>"37"</f>
        <v>37</v>
      </c>
      <c r="E1811" t="str">
        <f>"1-37-37"</f>
        <v>1-37-37</v>
      </c>
      <c r="F1811" t="s">
        <v>65</v>
      </c>
      <c r="G1811" t="s">
        <v>66</v>
      </c>
      <c r="H1811" t="s">
        <v>67</v>
      </c>
      <c r="S1811">
        <v>0</v>
      </c>
      <c r="T1811">
        <v>0</v>
      </c>
      <c r="U1811">
        <v>0</v>
      </c>
      <c r="V1811">
        <v>0</v>
      </c>
      <c r="W1811">
        <v>1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</row>
    <row r="1812" spans="1:39" x14ac:dyDescent="0.2">
      <c r="A1812" t="str">
        <f>"1808"</f>
        <v>1808</v>
      </c>
      <c r="B1812" t="str">
        <f t="shared" si="99"/>
        <v>1</v>
      </c>
      <c r="C1812" t="str">
        <f t="shared" si="101"/>
        <v>37</v>
      </c>
      <c r="D1812" t="str">
        <f>"29"</f>
        <v>29</v>
      </c>
      <c r="E1812" t="str">
        <f>"1-37-29"</f>
        <v>1-37-29</v>
      </c>
      <c r="F1812" t="s">
        <v>65</v>
      </c>
      <c r="G1812" t="s">
        <v>66</v>
      </c>
      <c r="H1812" t="s">
        <v>67</v>
      </c>
      <c r="S1812">
        <v>0</v>
      </c>
      <c r="T1812">
        <v>0</v>
      </c>
      <c r="U1812">
        <v>0</v>
      </c>
      <c r="V1812">
        <v>0</v>
      </c>
      <c r="W1812">
        <v>1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1</v>
      </c>
      <c r="AH1812">
        <v>0</v>
      </c>
      <c r="AI1812">
        <v>0</v>
      </c>
      <c r="AJ1812">
        <v>0</v>
      </c>
      <c r="AK1812">
        <v>0</v>
      </c>
      <c r="AL1812">
        <v>1</v>
      </c>
      <c r="AM1812">
        <v>0</v>
      </c>
    </row>
    <row r="1813" spans="1:39" x14ac:dyDescent="0.2">
      <c r="A1813" t="str">
        <f>"1809"</f>
        <v>1809</v>
      </c>
      <c r="B1813" t="str">
        <f t="shared" si="99"/>
        <v>1</v>
      </c>
      <c r="C1813" t="str">
        <f t="shared" si="101"/>
        <v>37</v>
      </c>
      <c r="D1813" t="str">
        <f>"16"</f>
        <v>16</v>
      </c>
      <c r="E1813" t="str">
        <f>"1-37-16"</f>
        <v>1-37-16</v>
      </c>
      <c r="F1813" t="s">
        <v>65</v>
      </c>
      <c r="G1813" t="s">
        <v>66</v>
      </c>
      <c r="H1813" t="s">
        <v>67</v>
      </c>
      <c r="S1813">
        <v>1</v>
      </c>
      <c r="T1813">
        <v>0</v>
      </c>
      <c r="U1813">
        <v>0</v>
      </c>
      <c r="V1813">
        <v>0</v>
      </c>
      <c r="W1813">
        <v>1</v>
      </c>
      <c r="X1813">
        <v>0</v>
      </c>
      <c r="Y1813">
        <v>0</v>
      </c>
      <c r="Z1813">
        <v>1</v>
      </c>
      <c r="AA1813">
        <v>1</v>
      </c>
      <c r="AB1813">
        <v>0</v>
      </c>
      <c r="AC1813">
        <v>0</v>
      </c>
      <c r="AD1813">
        <v>1</v>
      </c>
      <c r="AE1813">
        <v>1</v>
      </c>
      <c r="AF1813">
        <v>1</v>
      </c>
      <c r="AG1813">
        <v>1</v>
      </c>
      <c r="AH1813">
        <v>1</v>
      </c>
      <c r="AI1813">
        <v>1</v>
      </c>
      <c r="AJ1813">
        <v>1</v>
      </c>
      <c r="AK1813">
        <v>1</v>
      </c>
      <c r="AL1813">
        <v>1</v>
      </c>
      <c r="AM1813">
        <v>1</v>
      </c>
    </row>
    <row r="1814" spans="1:39" x14ac:dyDescent="0.2">
      <c r="A1814" t="str">
        <f>"1810"</f>
        <v>1810</v>
      </c>
      <c r="B1814" t="str">
        <f t="shared" si="99"/>
        <v>1</v>
      </c>
      <c r="C1814" t="str">
        <f t="shared" si="101"/>
        <v>37</v>
      </c>
      <c r="D1814" t="str">
        <f>"3"</f>
        <v>3</v>
      </c>
      <c r="E1814" t="str">
        <f>"1-37-3"</f>
        <v>1-37-3</v>
      </c>
      <c r="F1814" t="s">
        <v>65</v>
      </c>
      <c r="G1814" t="s">
        <v>66</v>
      </c>
      <c r="H1814" t="s">
        <v>67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</row>
    <row r="1815" spans="1:39" x14ac:dyDescent="0.2">
      <c r="A1815" t="str">
        <f>"1811"</f>
        <v>1811</v>
      </c>
      <c r="B1815" t="str">
        <f t="shared" si="99"/>
        <v>1</v>
      </c>
      <c r="C1815" t="str">
        <f t="shared" si="101"/>
        <v>37</v>
      </c>
      <c r="D1815" t="str">
        <f>"49"</f>
        <v>49</v>
      </c>
      <c r="E1815" t="str">
        <f>"1-37-49"</f>
        <v>1-37-49</v>
      </c>
      <c r="F1815" t="s">
        <v>65</v>
      </c>
      <c r="G1815" t="s">
        <v>66</v>
      </c>
      <c r="H1815" t="s">
        <v>67</v>
      </c>
      <c r="S1815">
        <v>0</v>
      </c>
      <c r="T1815">
        <v>1</v>
      </c>
      <c r="U1815">
        <v>0</v>
      </c>
      <c r="V1815">
        <v>0</v>
      </c>
      <c r="W1815">
        <v>1</v>
      </c>
      <c r="X1815">
        <v>0</v>
      </c>
      <c r="Y1815">
        <v>1</v>
      </c>
      <c r="Z1815">
        <v>0</v>
      </c>
      <c r="AA1815">
        <v>0</v>
      </c>
      <c r="AB1815">
        <v>0</v>
      </c>
      <c r="AC1815">
        <v>1</v>
      </c>
      <c r="AD1815">
        <v>1</v>
      </c>
      <c r="AE1815">
        <v>1</v>
      </c>
      <c r="AF1815">
        <v>1</v>
      </c>
      <c r="AG1815">
        <v>1</v>
      </c>
      <c r="AH1815">
        <v>1</v>
      </c>
      <c r="AI1815">
        <v>1</v>
      </c>
      <c r="AJ1815">
        <v>1</v>
      </c>
      <c r="AK1815">
        <v>1</v>
      </c>
      <c r="AL1815">
        <v>1</v>
      </c>
      <c r="AM1815">
        <v>0</v>
      </c>
    </row>
    <row r="1816" spans="1:39" x14ac:dyDescent="0.2">
      <c r="A1816" t="str">
        <f>"1812"</f>
        <v>1812</v>
      </c>
      <c r="B1816" t="str">
        <f t="shared" si="99"/>
        <v>1</v>
      </c>
      <c r="C1816" t="str">
        <f t="shared" si="101"/>
        <v>37</v>
      </c>
      <c r="D1816" t="str">
        <f>"17"</f>
        <v>17</v>
      </c>
      <c r="E1816" t="str">
        <f>"1-37-17"</f>
        <v>1-37-17</v>
      </c>
      <c r="F1816" t="s">
        <v>65</v>
      </c>
      <c r="G1816" t="s">
        <v>66</v>
      </c>
      <c r="H1816" t="s">
        <v>67</v>
      </c>
      <c r="S1816">
        <v>0</v>
      </c>
      <c r="T1816">
        <v>1</v>
      </c>
      <c r="U1816">
        <v>0</v>
      </c>
      <c r="V1816">
        <v>0</v>
      </c>
      <c r="W1816">
        <v>1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1</v>
      </c>
      <c r="AH1816">
        <v>1</v>
      </c>
      <c r="AI1816">
        <v>1</v>
      </c>
      <c r="AJ1816">
        <v>1</v>
      </c>
      <c r="AK1816">
        <v>1</v>
      </c>
      <c r="AL1816">
        <v>1</v>
      </c>
      <c r="AM1816">
        <v>0</v>
      </c>
    </row>
    <row r="1817" spans="1:39" x14ac:dyDescent="0.2">
      <c r="A1817" t="str">
        <f>"1813"</f>
        <v>1813</v>
      </c>
      <c r="B1817" t="str">
        <f t="shared" si="99"/>
        <v>1</v>
      </c>
      <c r="C1817" t="str">
        <f t="shared" si="101"/>
        <v>37</v>
      </c>
      <c r="D1817" t="str">
        <f>"9"</f>
        <v>9</v>
      </c>
      <c r="E1817" t="str">
        <f>"1-37-9"</f>
        <v>1-37-9</v>
      </c>
      <c r="F1817" t="s">
        <v>65</v>
      </c>
      <c r="G1817" t="s">
        <v>66</v>
      </c>
      <c r="H1817" t="s">
        <v>67</v>
      </c>
      <c r="S1817">
        <v>1</v>
      </c>
      <c r="T1817">
        <v>0</v>
      </c>
      <c r="U1817">
        <v>0</v>
      </c>
      <c r="V1817">
        <v>0</v>
      </c>
      <c r="W1817">
        <v>0</v>
      </c>
      <c r="X1817">
        <v>1</v>
      </c>
      <c r="Y1817">
        <v>0</v>
      </c>
      <c r="Z1817">
        <v>1</v>
      </c>
      <c r="AA1817">
        <v>1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1</v>
      </c>
      <c r="AJ1817">
        <v>0</v>
      </c>
      <c r="AK1817">
        <v>0</v>
      </c>
      <c r="AL1817">
        <v>0</v>
      </c>
      <c r="AM1817">
        <v>0</v>
      </c>
    </row>
    <row r="1818" spans="1:39" x14ac:dyDescent="0.2">
      <c r="A1818" t="str">
        <f>"1814"</f>
        <v>1814</v>
      </c>
      <c r="B1818" t="str">
        <f t="shared" si="99"/>
        <v>1</v>
      </c>
      <c r="C1818" t="str">
        <f t="shared" si="101"/>
        <v>37</v>
      </c>
      <c r="D1818" t="str">
        <f>"50"</f>
        <v>50</v>
      </c>
      <c r="E1818" t="str">
        <f>"1-37-50"</f>
        <v>1-37-50</v>
      </c>
      <c r="F1818" t="s">
        <v>65</v>
      </c>
      <c r="G1818" t="s">
        <v>66</v>
      </c>
      <c r="H1818" t="s">
        <v>67</v>
      </c>
      <c r="S1818">
        <v>1</v>
      </c>
      <c r="T1818">
        <v>0</v>
      </c>
      <c r="U1818">
        <v>0</v>
      </c>
      <c r="V1818">
        <v>0</v>
      </c>
      <c r="W1818">
        <v>1</v>
      </c>
      <c r="X1818">
        <v>0</v>
      </c>
      <c r="Y1818">
        <v>0</v>
      </c>
      <c r="Z1818">
        <v>1</v>
      </c>
      <c r="AA1818">
        <v>1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1</v>
      </c>
      <c r="AH1818">
        <v>0</v>
      </c>
      <c r="AI1818">
        <v>1</v>
      </c>
      <c r="AJ1818">
        <v>1</v>
      </c>
      <c r="AK1818">
        <v>1</v>
      </c>
      <c r="AL1818">
        <v>1</v>
      </c>
      <c r="AM1818">
        <v>1</v>
      </c>
    </row>
    <row r="1819" spans="1:39" x14ac:dyDescent="0.2">
      <c r="A1819" t="str">
        <f>"1815"</f>
        <v>1815</v>
      </c>
      <c r="B1819" t="str">
        <f t="shared" si="99"/>
        <v>1</v>
      </c>
      <c r="C1819" t="str">
        <f t="shared" si="101"/>
        <v>37</v>
      </c>
      <c r="D1819" t="str">
        <f>"33"</f>
        <v>33</v>
      </c>
      <c r="E1819" t="str">
        <f>"1-37-33"</f>
        <v>1-37-33</v>
      </c>
      <c r="F1819" t="s">
        <v>65</v>
      </c>
      <c r="G1819" t="s">
        <v>66</v>
      </c>
      <c r="H1819" t="s">
        <v>67</v>
      </c>
      <c r="S1819">
        <v>1</v>
      </c>
      <c r="T1819">
        <v>0</v>
      </c>
      <c r="U1819">
        <v>0</v>
      </c>
      <c r="V1819">
        <v>0</v>
      </c>
      <c r="W1819">
        <v>1</v>
      </c>
      <c r="X1819">
        <v>0</v>
      </c>
      <c r="Y1819">
        <v>1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1</v>
      </c>
      <c r="AF1819">
        <v>1</v>
      </c>
      <c r="AG1819">
        <v>1</v>
      </c>
      <c r="AH1819">
        <v>1</v>
      </c>
      <c r="AI1819">
        <v>1</v>
      </c>
      <c r="AJ1819">
        <v>1</v>
      </c>
      <c r="AK1819">
        <v>1</v>
      </c>
      <c r="AL1819">
        <v>1</v>
      </c>
      <c r="AM1819">
        <v>1</v>
      </c>
    </row>
    <row r="1820" spans="1:39" x14ac:dyDescent="0.2">
      <c r="A1820" t="str">
        <f>"1816"</f>
        <v>1816</v>
      </c>
      <c r="B1820" t="str">
        <f t="shared" si="99"/>
        <v>1</v>
      </c>
      <c r="C1820" t="str">
        <f t="shared" si="101"/>
        <v>37</v>
      </c>
      <c r="D1820" t="str">
        <f>"18"</f>
        <v>18</v>
      </c>
      <c r="E1820" t="str">
        <f>"1-37-18"</f>
        <v>1-37-18</v>
      </c>
      <c r="F1820" t="s">
        <v>65</v>
      </c>
      <c r="G1820" t="s">
        <v>66</v>
      </c>
      <c r="H1820" t="s">
        <v>67</v>
      </c>
      <c r="S1820">
        <v>1</v>
      </c>
      <c r="T1820">
        <v>0</v>
      </c>
      <c r="U1820">
        <v>0</v>
      </c>
      <c r="V1820">
        <v>0</v>
      </c>
      <c r="W1820">
        <v>1</v>
      </c>
      <c r="X1820">
        <v>0</v>
      </c>
      <c r="Y1820">
        <v>1</v>
      </c>
      <c r="Z1820">
        <v>0</v>
      </c>
      <c r="AA1820">
        <v>1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1</v>
      </c>
      <c r="AH1820">
        <v>1</v>
      </c>
      <c r="AI1820">
        <v>1</v>
      </c>
      <c r="AJ1820">
        <v>1</v>
      </c>
      <c r="AK1820">
        <v>1</v>
      </c>
      <c r="AL1820">
        <v>1</v>
      </c>
      <c r="AM1820">
        <v>0</v>
      </c>
    </row>
    <row r="1821" spans="1:39" x14ac:dyDescent="0.2">
      <c r="A1821" t="str">
        <f>"1817"</f>
        <v>1817</v>
      </c>
      <c r="B1821" t="str">
        <f t="shared" si="99"/>
        <v>1</v>
      </c>
      <c r="C1821" t="str">
        <f t="shared" si="101"/>
        <v>37</v>
      </c>
      <c r="D1821" t="str">
        <f>"13"</f>
        <v>13</v>
      </c>
      <c r="E1821" t="str">
        <f>"1-37-13"</f>
        <v>1-37-13</v>
      </c>
      <c r="F1821" t="s">
        <v>65</v>
      </c>
      <c r="G1821" t="s">
        <v>66</v>
      </c>
      <c r="H1821" t="s">
        <v>67</v>
      </c>
      <c r="S1821">
        <v>0</v>
      </c>
      <c r="T1821">
        <v>1</v>
      </c>
      <c r="U1821">
        <v>0</v>
      </c>
      <c r="V1821">
        <v>0</v>
      </c>
      <c r="W1821">
        <v>0</v>
      </c>
      <c r="X1821">
        <v>1</v>
      </c>
      <c r="Y1821">
        <v>0</v>
      </c>
      <c r="Z1821">
        <v>1</v>
      </c>
      <c r="AA1821">
        <v>0</v>
      </c>
      <c r="AB1821">
        <v>0</v>
      </c>
      <c r="AC1821">
        <v>1</v>
      </c>
      <c r="AD1821">
        <v>0</v>
      </c>
      <c r="AE1821">
        <v>0</v>
      </c>
      <c r="AF1821">
        <v>0</v>
      </c>
      <c r="AG1821">
        <v>1</v>
      </c>
      <c r="AH1821">
        <v>0</v>
      </c>
      <c r="AI1821">
        <v>0</v>
      </c>
      <c r="AJ1821">
        <v>0</v>
      </c>
      <c r="AK1821">
        <v>0</v>
      </c>
      <c r="AL1821">
        <v>1</v>
      </c>
      <c r="AM1821">
        <v>0</v>
      </c>
    </row>
    <row r="1822" spans="1:39" x14ac:dyDescent="0.2">
      <c r="A1822" t="str">
        <f>"1818"</f>
        <v>1818</v>
      </c>
      <c r="B1822" t="str">
        <f t="shared" si="99"/>
        <v>1</v>
      </c>
      <c r="C1822" t="str">
        <f t="shared" si="101"/>
        <v>37</v>
      </c>
      <c r="D1822" t="str">
        <f>"45"</f>
        <v>45</v>
      </c>
      <c r="E1822" t="str">
        <f>"1-37-45"</f>
        <v>1-37-45</v>
      </c>
      <c r="F1822" t="s">
        <v>65</v>
      </c>
      <c r="G1822" t="s">
        <v>66</v>
      </c>
      <c r="H1822" t="s">
        <v>67</v>
      </c>
      <c r="S1822">
        <v>0</v>
      </c>
      <c r="T1822">
        <v>1</v>
      </c>
      <c r="U1822">
        <v>0</v>
      </c>
      <c r="V1822">
        <v>0</v>
      </c>
      <c r="W1822">
        <v>1</v>
      </c>
      <c r="X1822">
        <v>0</v>
      </c>
      <c r="Y1822">
        <v>0</v>
      </c>
      <c r="Z1822">
        <v>1</v>
      </c>
      <c r="AA1822">
        <v>0</v>
      </c>
      <c r="AB1822">
        <v>0</v>
      </c>
      <c r="AC1822">
        <v>1</v>
      </c>
      <c r="AD1822">
        <v>1</v>
      </c>
      <c r="AE1822">
        <v>1</v>
      </c>
      <c r="AF1822">
        <v>1</v>
      </c>
      <c r="AG1822">
        <v>1</v>
      </c>
      <c r="AH1822">
        <v>1</v>
      </c>
      <c r="AI1822">
        <v>1</v>
      </c>
      <c r="AJ1822">
        <v>1</v>
      </c>
      <c r="AK1822">
        <v>1</v>
      </c>
      <c r="AL1822">
        <v>1</v>
      </c>
      <c r="AM1822">
        <v>1</v>
      </c>
    </row>
    <row r="1823" spans="1:39" x14ac:dyDescent="0.2">
      <c r="A1823" t="str">
        <f>"1819"</f>
        <v>1819</v>
      </c>
      <c r="B1823" t="str">
        <f t="shared" si="99"/>
        <v>1</v>
      </c>
      <c r="C1823" t="str">
        <f t="shared" si="101"/>
        <v>37</v>
      </c>
      <c r="D1823" t="str">
        <f>"19"</f>
        <v>19</v>
      </c>
      <c r="E1823" t="str">
        <f>"1-37-19"</f>
        <v>1-37-19</v>
      </c>
      <c r="F1823" t="s">
        <v>65</v>
      </c>
      <c r="G1823" t="s">
        <v>66</v>
      </c>
      <c r="H1823" t="s">
        <v>67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1</v>
      </c>
      <c r="AK1823">
        <v>1</v>
      </c>
      <c r="AL1823">
        <v>1</v>
      </c>
      <c r="AM1823">
        <v>0</v>
      </c>
    </row>
    <row r="1824" spans="1:39" x14ac:dyDescent="0.2">
      <c r="A1824" t="str">
        <f>"1820"</f>
        <v>1820</v>
      </c>
      <c r="B1824" t="str">
        <f t="shared" si="99"/>
        <v>1</v>
      </c>
      <c r="C1824" t="str">
        <f t="shared" si="101"/>
        <v>37</v>
      </c>
      <c r="D1824" t="str">
        <f>"6"</f>
        <v>6</v>
      </c>
      <c r="E1824" t="str">
        <f>"1-37-6"</f>
        <v>1-37-6</v>
      </c>
      <c r="F1824" t="s">
        <v>65</v>
      </c>
      <c r="G1824" t="s">
        <v>66</v>
      </c>
      <c r="H1824" t="s">
        <v>67</v>
      </c>
      <c r="S1824">
        <v>1</v>
      </c>
      <c r="T1824">
        <v>0</v>
      </c>
      <c r="U1824">
        <v>0</v>
      </c>
      <c r="V1824">
        <v>0</v>
      </c>
      <c r="W1824">
        <v>1</v>
      </c>
      <c r="X1824">
        <v>0</v>
      </c>
      <c r="Y1824">
        <v>1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1</v>
      </c>
      <c r="AF1824">
        <v>1</v>
      </c>
      <c r="AG1824">
        <v>1</v>
      </c>
      <c r="AH1824">
        <v>1</v>
      </c>
      <c r="AI1824">
        <v>1</v>
      </c>
      <c r="AJ1824">
        <v>1</v>
      </c>
      <c r="AK1824">
        <v>1</v>
      </c>
      <c r="AL1824">
        <v>1</v>
      </c>
      <c r="AM1824">
        <v>1</v>
      </c>
    </row>
    <row r="1825" spans="1:39" x14ac:dyDescent="0.2">
      <c r="A1825" t="str">
        <f>"1821"</f>
        <v>1821</v>
      </c>
      <c r="B1825" t="str">
        <f t="shared" si="99"/>
        <v>1</v>
      </c>
      <c r="C1825" t="str">
        <f t="shared" si="101"/>
        <v>37</v>
      </c>
      <c r="D1825" t="str">
        <f>"40"</f>
        <v>40</v>
      </c>
      <c r="E1825" t="str">
        <f>"1-37-40"</f>
        <v>1-37-40</v>
      </c>
      <c r="F1825" t="s">
        <v>65</v>
      </c>
      <c r="G1825" t="s">
        <v>66</v>
      </c>
      <c r="H1825" t="s">
        <v>67</v>
      </c>
      <c r="S1825">
        <v>0</v>
      </c>
      <c r="T1825">
        <v>1</v>
      </c>
      <c r="U1825">
        <v>0</v>
      </c>
      <c r="V1825">
        <v>0</v>
      </c>
      <c r="W1825">
        <v>1</v>
      </c>
      <c r="X1825">
        <v>0</v>
      </c>
      <c r="Y1825">
        <v>0</v>
      </c>
      <c r="Z1825">
        <v>1</v>
      </c>
      <c r="AA1825">
        <v>1</v>
      </c>
      <c r="AB1825">
        <v>0</v>
      </c>
      <c r="AC1825">
        <v>0</v>
      </c>
      <c r="AD1825">
        <v>1</v>
      </c>
      <c r="AE1825">
        <v>1</v>
      </c>
      <c r="AF1825">
        <v>1</v>
      </c>
      <c r="AG1825">
        <v>1</v>
      </c>
      <c r="AH1825">
        <v>1</v>
      </c>
      <c r="AI1825">
        <v>1</v>
      </c>
      <c r="AJ1825">
        <v>1</v>
      </c>
      <c r="AK1825">
        <v>1</v>
      </c>
      <c r="AL1825">
        <v>1</v>
      </c>
      <c r="AM1825">
        <v>1</v>
      </c>
    </row>
    <row r="1826" spans="1:39" x14ac:dyDescent="0.2">
      <c r="A1826" t="str">
        <f>"1822"</f>
        <v>1822</v>
      </c>
      <c r="B1826" t="str">
        <f t="shared" si="99"/>
        <v>1</v>
      </c>
      <c r="C1826" t="str">
        <f t="shared" si="101"/>
        <v>37</v>
      </c>
      <c r="D1826" t="str">
        <f>"39"</f>
        <v>39</v>
      </c>
      <c r="E1826" t="str">
        <f>"1-37-39"</f>
        <v>1-37-39</v>
      </c>
      <c r="F1826" t="s">
        <v>65</v>
      </c>
      <c r="G1826" t="s">
        <v>66</v>
      </c>
      <c r="H1826" t="s">
        <v>67</v>
      </c>
      <c r="S1826">
        <v>0</v>
      </c>
      <c r="T1826">
        <v>1</v>
      </c>
      <c r="U1826">
        <v>0</v>
      </c>
      <c r="V1826">
        <v>0</v>
      </c>
      <c r="W1826">
        <v>1</v>
      </c>
      <c r="X1826">
        <v>0</v>
      </c>
      <c r="Y1826">
        <v>0</v>
      </c>
      <c r="Z1826">
        <v>1</v>
      </c>
      <c r="AA1826">
        <v>0</v>
      </c>
      <c r="AB1826">
        <v>1</v>
      </c>
      <c r="AC1826">
        <v>0</v>
      </c>
      <c r="AD1826">
        <v>1</v>
      </c>
      <c r="AE1826">
        <v>1</v>
      </c>
      <c r="AF1826">
        <v>1</v>
      </c>
      <c r="AG1826">
        <v>1</v>
      </c>
      <c r="AH1826">
        <v>1</v>
      </c>
      <c r="AI1826">
        <v>1</v>
      </c>
      <c r="AJ1826">
        <v>1</v>
      </c>
      <c r="AK1826">
        <v>1</v>
      </c>
      <c r="AL1826">
        <v>1</v>
      </c>
      <c r="AM1826">
        <v>1</v>
      </c>
    </row>
    <row r="1827" spans="1:39" x14ac:dyDescent="0.2">
      <c r="A1827" t="str">
        <f>"1823"</f>
        <v>1823</v>
      </c>
      <c r="B1827" t="str">
        <f t="shared" si="99"/>
        <v>1</v>
      </c>
      <c r="C1827" t="str">
        <f t="shared" si="101"/>
        <v>37</v>
      </c>
      <c r="D1827" t="str">
        <f>"32"</f>
        <v>32</v>
      </c>
      <c r="E1827" t="str">
        <f>"1-37-32"</f>
        <v>1-37-32</v>
      </c>
      <c r="F1827" t="s">
        <v>65</v>
      </c>
      <c r="G1827" t="s">
        <v>66</v>
      </c>
      <c r="H1827" t="s">
        <v>67</v>
      </c>
      <c r="S1827">
        <v>0</v>
      </c>
      <c r="T1827">
        <v>1</v>
      </c>
      <c r="U1827">
        <v>0</v>
      </c>
      <c r="V1827">
        <v>0</v>
      </c>
      <c r="W1827">
        <v>1</v>
      </c>
      <c r="X1827">
        <v>0</v>
      </c>
      <c r="Y1827">
        <v>1</v>
      </c>
      <c r="Z1827">
        <v>0</v>
      </c>
      <c r="AA1827">
        <v>0</v>
      </c>
      <c r="AB1827">
        <v>1</v>
      </c>
      <c r="AC1827">
        <v>0</v>
      </c>
      <c r="AD1827">
        <v>1</v>
      </c>
      <c r="AE1827">
        <v>1</v>
      </c>
      <c r="AF1827">
        <v>0</v>
      </c>
      <c r="AG1827">
        <v>1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</row>
    <row r="1828" spans="1:39" x14ac:dyDescent="0.2">
      <c r="A1828" t="str">
        <f>"1824"</f>
        <v>1824</v>
      </c>
      <c r="B1828" t="str">
        <f t="shared" si="99"/>
        <v>1</v>
      </c>
      <c r="C1828" t="str">
        <f t="shared" si="101"/>
        <v>37</v>
      </c>
      <c r="D1828" t="str">
        <f>"20"</f>
        <v>20</v>
      </c>
      <c r="E1828" t="str">
        <f>"1-37-20"</f>
        <v>1-37-20</v>
      </c>
      <c r="F1828" t="s">
        <v>65</v>
      </c>
      <c r="G1828" t="s">
        <v>66</v>
      </c>
      <c r="H1828" t="s">
        <v>67</v>
      </c>
      <c r="S1828">
        <v>1</v>
      </c>
      <c r="T1828">
        <v>0</v>
      </c>
      <c r="U1828">
        <v>0</v>
      </c>
      <c r="V1828">
        <v>0</v>
      </c>
      <c r="W1828">
        <v>1</v>
      </c>
      <c r="X1828">
        <v>0</v>
      </c>
      <c r="Y1828">
        <v>1</v>
      </c>
      <c r="Z1828">
        <v>0</v>
      </c>
      <c r="AA1828">
        <v>0</v>
      </c>
      <c r="AB1828">
        <v>1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</row>
    <row r="1829" spans="1:39" x14ac:dyDescent="0.2">
      <c r="A1829" t="str">
        <f>"1825"</f>
        <v>1825</v>
      </c>
      <c r="B1829" t="str">
        <f t="shared" si="99"/>
        <v>1</v>
      </c>
      <c r="C1829" t="str">
        <f t="shared" si="101"/>
        <v>37</v>
      </c>
      <c r="D1829" t="str">
        <f>"7"</f>
        <v>7</v>
      </c>
      <c r="E1829" t="str">
        <f>"1-37-7"</f>
        <v>1-37-7</v>
      </c>
      <c r="F1829" t="s">
        <v>65</v>
      </c>
      <c r="G1829" t="s">
        <v>66</v>
      </c>
      <c r="H1829" t="s">
        <v>67</v>
      </c>
      <c r="S1829">
        <v>0</v>
      </c>
      <c r="T1829">
        <v>1</v>
      </c>
      <c r="U1829">
        <v>0</v>
      </c>
      <c r="V1829">
        <v>0</v>
      </c>
      <c r="W1829">
        <v>0</v>
      </c>
      <c r="X1829">
        <v>1</v>
      </c>
      <c r="Y1829">
        <v>0</v>
      </c>
      <c r="Z1829">
        <v>1</v>
      </c>
      <c r="AA1829">
        <v>0</v>
      </c>
      <c r="AB1829">
        <v>0</v>
      </c>
      <c r="AC1829">
        <v>1</v>
      </c>
      <c r="AD1829">
        <v>1</v>
      </c>
      <c r="AE1829">
        <v>1</v>
      </c>
      <c r="AF1829">
        <v>1</v>
      </c>
      <c r="AG1829">
        <v>1</v>
      </c>
      <c r="AH1829">
        <v>1</v>
      </c>
      <c r="AI1829">
        <v>1</v>
      </c>
      <c r="AJ1829">
        <v>1</v>
      </c>
      <c r="AK1829">
        <v>1</v>
      </c>
      <c r="AL1829">
        <v>1</v>
      </c>
      <c r="AM1829">
        <v>1</v>
      </c>
    </row>
    <row r="1830" spans="1:39" x14ac:dyDescent="0.2">
      <c r="A1830" t="str">
        <f>"1826"</f>
        <v>1826</v>
      </c>
      <c r="B1830" t="str">
        <f t="shared" si="99"/>
        <v>1</v>
      </c>
      <c r="C1830" t="str">
        <f t="shared" si="101"/>
        <v>37</v>
      </c>
      <c r="D1830" t="str">
        <f>"42"</f>
        <v>42</v>
      </c>
      <c r="E1830" t="str">
        <f>"1-37-42"</f>
        <v>1-37-42</v>
      </c>
      <c r="F1830" t="s">
        <v>65</v>
      </c>
      <c r="G1830" t="s">
        <v>66</v>
      </c>
      <c r="H1830" t="s">
        <v>67</v>
      </c>
      <c r="S1830">
        <v>0</v>
      </c>
      <c r="T1830">
        <v>1</v>
      </c>
      <c r="U1830">
        <v>0</v>
      </c>
      <c r="V1830">
        <v>0</v>
      </c>
      <c r="W1830">
        <v>0</v>
      </c>
      <c r="X1830">
        <v>1</v>
      </c>
      <c r="Y1830">
        <v>0</v>
      </c>
      <c r="Z1830">
        <v>1</v>
      </c>
      <c r="AA1830">
        <v>0</v>
      </c>
      <c r="AB1830">
        <v>0</v>
      </c>
      <c r="AC1830">
        <v>1</v>
      </c>
      <c r="AD1830">
        <v>1</v>
      </c>
      <c r="AE1830">
        <v>1</v>
      </c>
      <c r="AF1830">
        <v>1</v>
      </c>
      <c r="AG1830">
        <v>1</v>
      </c>
      <c r="AH1830">
        <v>1</v>
      </c>
      <c r="AI1830">
        <v>1</v>
      </c>
      <c r="AJ1830">
        <v>1</v>
      </c>
      <c r="AK1830">
        <v>1</v>
      </c>
      <c r="AL1830">
        <v>1</v>
      </c>
      <c r="AM1830">
        <v>1</v>
      </c>
    </row>
    <row r="1831" spans="1:39" x14ac:dyDescent="0.2">
      <c r="A1831" t="str">
        <f>"1827"</f>
        <v>1827</v>
      </c>
      <c r="B1831" t="str">
        <f t="shared" si="99"/>
        <v>1</v>
      </c>
      <c r="C1831" t="str">
        <f t="shared" si="101"/>
        <v>37</v>
      </c>
      <c r="D1831" t="str">
        <f>"21"</f>
        <v>21</v>
      </c>
      <c r="E1831" t="str">
        <f>"1-37-21"</f>
        <v>1-37-21</v>
      </c>
      <c r="F1831" t="s">
        <v>65</v>
      </c>
      <c r="G1831" t="s">
        <v>66</v>
      </c>
      <c r="H1831" t="s">
        <v>67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1</v>
      </c>
      <c r="AI1831">
        <v>1</v>
      </c>
      <c r="AJ1831">
        <v>1</v>
      </c>
      <c r="AK1831">
        <v>1</v>
      </c>
      <c r="AL1831">
        <v>1</v>
      </c>
      <c r="AM1831">
        <v>1</v>
      </c>
    </row>
    <row r="1832" spans="1:39" x14ac:dyDescent="0.2">
      <c r="A1832" t="str">
        <f>"1828"</f>
        <v>1828</v>
      </c>
      <c r="B1832" t="str">
        <f t="shared" si="99"/>
        <v>1</v>
      </c>
      <c r="C1832" t="str">
        <f t="shared" si="101"/>
        <v>37</v>
      </c>
      <c r="D1832" t="str">
        <f>"1"</f>
        <v>1</v>
      </c>
      <c r="E1832" t="str">
        <f>"1-37-1"</f>
        <v>1-37-1</v>
      </c>
      <c r="F1832" t="s">
        <v>65</v>
      </c>
      <c r="G1832" t="s">
        <v>66</v>
      </c>
      <c r="H1832" t="s">
        <v>67</v>
      </c>
      <c r="S1832">
        <v>1</v>
      </c>
      <c r="T1832">
        <v>0</v>
      </c>
      <c r="U1832">
        <v>0</v>
      </c>
      <c r="V1832">
        <v>0</v>
      </c>
      <c r="W1832">
        <v>0</v>
      </c>
      <c r="X1832">
        <v>1</v>
      </c>
      <c r="Y1832">
        <v>1</v>
      </c>
      <c r="Z1832">
        <v>0</v>
      </c>
      <c r="AA1832">
        <v>0</v>
      </c>
      <c r="AB1832">
        <v>1</v>
      </c>
      <c r="AC1832">
        <v>0</v>
      </c>
      <c r="AD1832">
        <v>1</v>
      </c>
      <c r="AE1832">
        <v>1</v>
      </c>
      <c r="AF1832">
        <v>1</v>
      </c>
      <c r="AG1832">
        <v>1</v>
      </c>
      <c r="AH1832">
        <v>1</v>
      </c>
      <c r="AI1832">
        <v>1</v>
      </c>
      <c r="AJ1832">
        <v>1</v>
      </c>
      <c r="AK1832">
        <v>1</v>
      </c>
      <c r="AL1832">
        <v>1</v>
      </c>
      <c r="AM1832">
        <v>1</v>
      </c>
    </row>
    <row r="1833" spans="1:39" x14ac:dyDescent="0.2">
      <c r="A1833" t="str">
        <f>"1829"</f>
        <v>1829</v>
      </c>
      <c r="B1833" t="str">
        <f t="shared" si="99"/>
        <v>1</v>
      </c>
      <c r="C1833" t="str">
        <f t="shared" si="101"/>
        <v>37</v>
      </c>
      <c r="D1833" t="str">
        <f>"47"</f>
        <v>47</v>
      </c>
      <c r="E1833" t="str">
        <f>"1-37-47"</f>
        <v>1-37-47</v>
      </c>
      <c r="F1833" t="s">
        <v>65</v>
      </c>
      <c r="G1833" t="s">
        <v>66</v>
      </c>
      <c r="H1833" t="s">
        <v>67</v>
      </c>
      <c r="S1833">
        <v>0</v>
      </c>
      <c r="T1833">
        <v>1</v>
      </c>
      <c r="U1833">
        <v>0</v>
      </c>
      <c r="V1833">
        <v>0</v>
      </c>
      <c r="W1833">
        <v>1</v>
      </c>
      <c r="X1833">
        <v>0</v>
      </c>
      <c r="Y1833">
        <v>1</v>
      </c>
      <c r="Z1833">
        <v>0</v>
      </c>
      <c r="AA1833">
        <v>1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1</v>
      </c>
      <c r="AM1833">
        <v>0</v>
      </c>
    </row>
    <row r="1834" spans="1:39" x14ac:dyDescent="0.2">
      <c r="A1834" t="str">
        <f>"1830"</f>
        <v>1830</v>
      </c>
      <c r="B1834" t="str">
        <f t="shared" si="99"/>
        <v>1</v>
      </c>
      <c r="C1834" t="str">
        <f t="shared" si="101"/>
        <v>37</v>
      </c>
      <c r="D1834" t="str">
        <f>"46"</f>
        <v>46</v>
      </c>
      <c r="E1834" t="str">
        <f>"1-37-46"</f>
        <v>1-37-46</v>
      </c>
      <c r="F1834" t="s">
        <v>65</v>
      </c>
      <c r="G1834" t="s">
        <v>66</v>
      </c>
      <c r="H1834" t="s">
        <v>67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0</v>
      </c>
      <c r="AB1834">
        <v>1</v>
      </c>
      <c r="AC1834">
        <v>0</v>
      </c>
      <c r="AD1834">
        <v>0</v>
      </c>
      <c r="AE1834">
        <v>0</v>
      </c>
      <c r="AF1834">
        <v>0</v>
      </c>
      <c r="AG1834">
        <v>1</v>
      </c>
      <c r="AH1834">
        <v>1</v>
      </c>
      <c r="AI1834">
        <v>1</v>
      </c>
      <c r="AJ1834">
        <v>1</v>
      </c>
      <c r="AK1834">
        <v>1</v>
      </c>
      <c r="AL1834">
        <v>1</v>
      </c>
      <c r="AM1834">
        <v>1</v>
      </c>
    </row>
    <row r="1835" spans="1:39" x14ac:dyDescent="0.2">
      <c r="A1835" t="str">
        <f>"1831"</f>
        <v>1831</v>
      </c>
      <c r="B1835" t="str">
        <f t="shared" si="99"/>
        <v>1</v>
      </c>
      <c r="C1835" t="str">
        <f t="shared" si="101"/>
        <v>37</v>
      </c>
      <c r="D1835" t="str">
        <f>"34"</f>
        <v>34</v>
      </c>
      <c r="E1835" t="str">
        <f>"1-37-34"</f>
        <v>1-37-34</v>
      </c>
      <c r="F1835" t="s">
        <v>65</v>
      </c>
      <c r="G1835" t="s">
        <v>66</v>
      </c>
      <c r="H1835" t="s">
        <v>67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</row>
    <row r="1836" spans="1:39" x14ac:dyDescent="0.2">
      <c r="A1836" t="str">
        <f>"1832"</f>
        <v>1832</v>
      </c>
      <c r="B1836" t="str">
        <f t="shared" si="99"/>
        <v>1</v>
      </c>
      <c r="C1836" t="str">
        <f t="shared" si="101"/>
        <v>37</v>
      </c>
      <c r="D1836" t="str">
        <f>"22"</f>
        <v>22</v>
      </c>
      <c r="E1836" t="str">
        <f>"1-37-22"</f>
        <v>1-37-22</v>
      </c>
      <c r="F1836" t="s">
        <v>65</v>
      </c>
      <c r="G1836" t="s">
        <v>66</v>
      </c>
      <c r="H1836" t="s">
        <v>67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1</v>
      </c>
      <c r="AI1836">
        <v>1</v>
      </c>
      <c r="AJ1836">
        <v>1</v>
      </c>
      <c r="AK1836">
        <v>0</v>
      </c>
      <c r="AL1836">
        <v>1</v>
      </c>
      <c r="AM1836">
        <v>0</v>
      </c>
    </row>
    <row r="1837" spans="1:39" x14ac:dyDescent="0.2">
      <c r="A1837" t="str">
        <f>"1833"</f>
        <v>1833</v>
      </c>
      <c r="B1837" t="str">
        <f t="shared" si="99"/>
        <v>1</v>
      </c>
      <c r="C1837" t="str">
        <f t="shared" ref="C1837:C1854" si="102">"37"</f>
        <v>37</v>
      </c>
      <c r="D1837" t="str">
        <f>"4"</f>
        <v>4</v>
      </c>
      <c r="E1837" t="str">
        <f>"1-37-4"</f>
        <v>1-37-4</v>
      </c>
      <c r="F1837" t="s">
        <v>65</v>
      </c>
      <c r="G1837" t="s">
        <v>66</v>
      </c>
      <c r="H1837" t="s">
        <v>67</v>
      </c>
      <c r="S1837">
        <v>0</v>
      </c>
      <c r="T1837">
        <v>1</v>
      </c>
      <c r="U1837">
        <v>0</v>
      </c>
      <c r="V1837">
        <v>0</v>
      </c>
      <c r="W1837">
        <v>0</v>
      </c>
      <c r="X1837">
        <v>1</v>
      </c>
      <c r="Y1837">
        <v>0</v>
      </c>
      <c r="Z1837">
        <v>1</v>
      </c>
      <c r="AA1837">
        <v>0</v>
      </c>
      <c r="AB1837">
        <v>0</v>
      </c>
      <c r="AC1837">
        <v>1</v>
      </c>
      <c r="AD1837">
        <v>1</v>
      </c>
      <c r="AE1837">
        <v>1</v>
      </c>
      <c r="AF1837">
        <v>1</v>
      </c>
      <c r="AG1837">
        <v>1</v>
      </c>
      <c r="AH1837">
        <v>1</v>
      </c>
      <c r="AI1837">
        <v>1</v>
      </c>
      <c r="AJ1837">
        <v>1</v>
      </c>
      <c r="AK1837">
        <v>1</v>
      </c>
      <c r="AL1837">
        <v>1</v>
      </c>
      <c r="AM1837">
        <v>1</v>
      </c>
    </row>
    <row r="1838" spans="1:39" x14ac:dyDescent="0.2">
      <c r="A1838" t="str">
        <f>"1834"</f>
        <v>1834</v>
      </c>
      <c r="B1838" t="str">
        <f t="shared" si="99"/>
        <v>1</v>
      </c>
      <c r="C1838" t="str">
        <f t="shared" si="102"/>
        <v>37</v>
      </c>
      <c r="D1838" t="str">
        <f>"41"</f>
        <v>41</v>
      </c>
      <c r="E1838" t="str">
        <f>"1-37-41"</f>
        <v>1-37-41</v>
      </c>
      <c r="F1838" t="s">
        <v>65</v>
      </c>
      <c r="G1838" t="s">
        <v>66</v>
      </c>
      <c r="H1838" t="s">
        <v>67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1</v>
      </c>
      <c r="AI1838">
        <v>0</v>
      </c>
      <c r="AJ1838">
        <v>0</v>
      </c>
      <c r="AK1838">
        <v>0</v>
      </c>
      <c r="AL1838">
        <v>1</v>
      </c>
      <c r="AM1838">
        <v>0</v>
      </c>
    </row>
    <row r="1839" spans="1:39" x14ac:dyDescent="0.2">
      <c r="A1839" t="str">
        <f>"1835"</f>
        <v>1835</v>
      </c>
      <c r="B1839" t="str">
        <f t="shared" si="99"/>
        <v>1</v>
      </c>
      <c r="C1839" t="str">
        <f t="shared" si="102"/>
        <v>37</v>
      </c>
      <c r="D1839" t="str">
        <f>"23"</f>
        <v>23</v>
      </c>
      <c r="E1839" t="str">
        <f>"1-37-23"</f>
        <v>1-37-23</v>
      </c>
      <c r="F1839" t="s">
        <v>65</v>
      </c>
      <c r="G1839" t="s">
        <v>66</v>
      </c>
      <c r="H1839" t="s">
        <v>67</v>
      </c>
      <c r="S1839">
        <v>0</v>
      </c>
      <c r="T1839">
        <v>1</v>
      </c>
      <c r="U1839">
        <v>0</v>
      </c>
      <c r="V1839">
        <v>0</v>
      </c>
      <c r="W1839">
        <v>1</v>
      </c>
      <c r="X1839">
        <v>0</v>
      </c>
      <c r="Y1839">
        <v>1</v>
      </c>
      <c r="Z1839">
        <v>0</v>
      </c>
      <c r="AA1839">
        <v>0</v>
      </c>
      <c r="AB1839">
        <v>0</v>
      </c>
      <c r="AC1839">
        <v>1</v>
      </c>
      <c r="AD1839">
        <v>1</v>
      </c>
      <c r="AE1839">
        <v>1</v>
      </c>
      <c r="AF1839">
        <v>1</v>
      </c>
      <c r="AG1839">
        <v>1</v>
      </c>
      <c r="AH1839">
        <v>1</v>
      </c>
      <c r="AI1839">
        <v>1</v>
      </c>
      <c r="AJ1839">
        <v>1</v>
      </c>
      <c r="AK1839">
        <v>1</v>
      </c>
      <c r="AL1839">
        <v>1</v>
      </c>
      <c r="AM1839">
        <v>1</v>
      </c>
    </row>
    <row r="1840" spans="1:39" x14ac:dyDescent="0.2">
      <c r="A1840" t="str">
        <f>"1836"</f>
        <v>1836</v>
      </c>
      <c r="B1840" t="str">
        <f t="shared" si="99"/>
        <v>1</v>
      </c>
      <c r="C1840" t="str">
        <f t="shared" si="102"/>
        <v>37</v>
      </c>
      <c r="D1840" t="str">
        <f>"11"</f>
        <v>11</v>
      </c>
      <c r="E1840" t="str">
        <f>"1-37-11"</f>
        <v>1-37-11</v>
      </c>
      <c r="F1840" t="s">
        <v>65</v>
      </c>
      <c r="G1840" t="s">
        <v>66</v>
      </c>
      <c r="H1840" t="s">
        <v>67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0</v>
      </c>
      <c r="AB1840">
        <v>0</v>
      </c>
      <c r="AC1840">
        <v>1</v>
      </c>
      <c r="AD1840">
        <v>0</v>
      </c>
      <c r="AE1840">
        <v>0</v>
      </c>
      <c r="AF1840">
        <v>0</v>
      </c>
      <c r="AG1840">
        <v>1</v>
      </c>
      <c r="AH1840">
        <v>1</v>
      </c>
      <c r="AI1840">
        <v>1</v>
      </c>
      <c r="AJ1840">
        <v>1</v>
      </c>
      <c r="AK1840">
        <v>1</v>
      </c>
      <c r="AL1840">
        <v>1</v>
      </c>
      <c r="AM1840">
        <v>1</v>
      </c>
    </row>
    <row r="1841" spans="1:39" x14ac:dyDescent="0.2">
      <c r="A1841" t="str">
        <f>"1837"</f>
        <v>1837</v>
      </c>
      <c r="B1841" t="str">
        <f t="shared" si="99"/>
        <v>1</v>
      </c>
      <c r="C1841" t="str">
        <f t="shared" si="102"/>
        <v>37</v>
      </c>
      <c r="D1841" t="str">
        <f>"24"</f>
        <v>24</v>
      </c>
      <c r="E1841" t="str">
        <f>"1-37-24"</f>
        <v>1-37-24</v>
      </c>
      <c r="F1841" t="s">
        <v>65</v>
      </c>
      <c r="G1841" t="s">
        <v>66</v>
      </c>
      <c r="H1841" t="s">
        <v>67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</row>
    <row r="1842" spans="1:39" x14ac:dyDescent="0.2">
      <c r="A1842" t="str">
        <f>"1838"</f>
        <v>1838</v>
      </c>
      <c r="B1842" t="str">
        <f t="shared" si="99"/>
        <v>1</v>
      </c>
      <c r="C1842" t="str">
        <f t="shared" si="102"/>
        <v>37</v>
      </c>
      <c r="D1842" t="str">
        <f>"43"</f>
        <v>43</v>
      </c>
      <c r="E1842" t="str">
        <f>"1-37-43"</f>
        <v>1-37-43</v>
      </c>
      <c r="F1842" t="s">
        <v>65</v>
      </c>
      <c r="G1842" t="s">
        <v>66</v>
      </c>
      <c r="H1842" t="s">
        <v>67</v>
      </c>
      <c r="S1842">
        <v>0</v>
      </c>
      <c r="T1842">
        <v>1</v>
      </c>
      <c r="U1842">
        <v>0</v>
      </c>
      <c r="V1842">
        <v>0</v>
      </c>
      <c r="W1842">
        <v>0</v>
      </c>
      <c r="X1842">
        <v>1</v>
      </c>
      <c r="Y1842">
        <v>0</v>
      </c>
      <c r="Z1842">
        <v>1</v>
      </c>
      <c r="AA1842">
        <v>0</v>
      </c>
      <c r="AB1842">
        <v>0</v>
      </c>
      <c r="AC1842">
        <v>1</v>
      </c>
      <c r="AD1842">
        <v>1</v>
      </c>
      <c r="AE1842">
        <v>1</v>
      </c>
      <c r="AF1842">
        <v>1</v>
      </c>
      <c r="AG1842">
        <v>1</v>
      </c>
      <c r="AH1842">
        <v>1</v>
      </c>
      <c r="AI1842">
        <v>1</v>
      </c>
      <c r="AJ1842">
        <v>1</v>
      </c>
      <c r="AK1842">
        <v>1</v>
      </c>
      <c r="AL1842">
        <v>1</v>
      </c>
      <c r="AM1842">
        <v>1</v>
      </c>
    </row>
    <row r="1843" spans="1:39" x14ac:dyDescent="0.2">
      <c r="A1843" t="str">
        <f>"1839"</f>
        <v>1839</v>
      </c>
      <c r="B1843" t="str">
        <f t="shared" si="99"/>
        <v>1</v>
      </c>
      <c r="C1843" t="str">
        <f t="shared" si="102"/>
        <v>37</v>
      </c>
      <c r="D1843" t="str">
        <f>"25"</f>
        <v>25</v>
      </c>
      <c r="E1843" t="str">
        <f>"1-37-25"</f>
        <v>1-37-25</v>
      </c>
      <c r="F1843" t="s">
        <v>65</v>
      </c>
      <c r="G1843" t="s">
        <v>66</v>
      </c>
      <c r="H1843" t="s">
        <v>67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1</v>
      </c>
      <c r="AK1843">
        <v>0</v>
      </c>
      <c r="AL1843">
        <v>1</v>
      </c>
      <c r="AM1843">
        <v>0</v>
      </c>
    </row>
    <row r="1844" spans="1:39" x14ac:dyDescent="0.2">
      <c r="A1844" t="str">
        <f>"1840"</f>
        <v>1840</v>
      </c>
      <c r="B1844" t="str">
        <f t="shared" si="99"/>
        <v>1</v>
      </c>
      <c r="C1844" t="str">
        <f t="shared" si="102"/>
        <v>37</v>
      </c>
      <c r="D1844" t="str">
        <f>"8"</f>
        <v>8</v>
      </c>
      <c r="E1844" t="str">
        <f>"1-37-8"</f>
        <v>1-37-8</v>
      </c>
      <c r="F1844" t="s">
        <v>65</v>
      </c>
      <c r="G1844" t="s">
        <v>66</v>
      </c>
      <c r="H1844" t="s">
        <v>67</v>
      </c>
      <c r="S1844">
        <v>0</v>
      </c>
      <c r="T1844">
        <v>1</v>
      </c>
      <c r="U1844">
        <v>0</v>
      </c>
      <c r="V1844">
        <v>0</v>
      </c>
      <c r="W1844">
        <v>1</v>
      </c>
      <c r="X1844">
        <v>0</v>
      </c>
      <c r="Y1844">
        <v>0</v>
      </c>
      <c r="Z1844">
        <v>1</v>
      </c>
      <c r="AA1844">
        <v>1</v>
      </c>
      <c r="AB1844">
        <v>0</v>
      </c>
      <c r="AC1844">
        <v>0</v>
      </c>
      <c r="AD1844">
        <v>1</v>
      </c>
      <c r="AE1844">
        <v>1</v>
      </c>
      <c r="AF1844">
        <v>1</v>
      </c>
      <c r="AG1844">
        <v>1</v>
      </c>
      <c r="AH1844">
        <v>1</v>
      </c>
      <c r="AI1844">
        <v>1</v>
      </c>
      <c r="AJ1844">
        <v>1</v>
      </c>
      <c r="AK1844">
        <v>1</v>
      </c>
      <c r="AL1844">
        <v>1</v>
      </c>
      <c r="AM1844">
        <v>1</v>
      </c>
    </row>
    <row r="1845" spans="1:39" x14ac:dyDescent="0.2">
      <c r="A1845" t="str">
        <f>"1841"</f>
        <v>1841</v>
      </c>
      <c r="B1845" t="str">
        <f t="shared" si="99"/>
        <v>1</v>
      </c>
      <c r="C1845" t="str">
        <f t="shared" si="102"/>
        <v>37</v>
      </c>
      <c r="D1845" t="str">
        <f>"44"</f>
        <v>44</v>
      </c>
      <c r="E1845" t="str">
        <f>"1-37-44"</f>
        <v>1-37-44</v>
      </c>
      <c r="F1845" t="s">
        <v>65</v>
      </c>
      <c r="G1845" t="s">
        <v>66</v>
      </c>
      <c r="H1845" t="s">
        <v>67</v>
      </c>
      <c r="S1845">
        <v>0</v>
      </c>
      <c r="T1845">
        <v>1</v>
      </c>
      <c r="U1845">
        <v>0</v>
      </c>
      <c r="V1845">
        <v>0</v>
      </c>
      <c r="W1845">
        <v>1</v>
      </c>
      <c r="X1845">
        <v>0</v>
      </c>
      <c r="Y1845">
        <v>1</v>
      </c>
      <c r="Z1845">
        <v>0</v>
      </c>
      <c r="AA1845">
        <v>0</v>
      </c>
      <c r="AB1845">
        <v>1</v>
      </c>
      <c r="AC1845">
        <v>0</v>
      </c>
      <c r="AD1845">
        <v>1</v>
      </c>
      <c r="AE1845">
        <v>1</v>
      </c>
      <c r="AF1845">
        <v>1</v>
      </c>
      <c r="AG1845">
        <v>1</v>
      </c>
      <c r="AH1845">
        <v>1</v>
      </c>
      <c r="AI1845">
        <v>1</v>
      </c>
      <c r="AJ1845">
        <v>1</v>
      </c>
      <c r="AK1845">
        <v>1</v>
      </c>
      <c r="AL1845">
        <v>1</v>
      </c>
      <c r="AM1845">
        <v>1</v>
      </c>
    </row>
    <row r="1846" spans="1:39" x14ac:dyDescent="0.2">
      <c r="A1846" t="str">
        <f>"1842"</f>
        <v>1842</v>
      </c>
      <c r="B1846" t="str">
        <f t="shared" si="99"/>
        <v>1</v>
      </c>
      <c r="C1846" t="str">
        <f t="shared" si="102"/>
        <v>37</v>
      </c>
      <c r="D1846" t="str">
        <f>"26"</f>
        <v>26</v>
      </c>
      <c r="E1846" t="str">
        <f>"1-37-26"</f>
        <v>1-37-26</v>
      </c>
      <c r="F1846" t="s">
        <v>65</v>
      </c>
      <c r="G1846" t="s">
        <v>66</v>
      </c>
      <c r="H1846" t="s">
        <v>67</v>
      </c>
      <c r="S1846">
        <v>1</v>
      </c>
      <c r="T1846">
        <v>0</v>
      </c>
      <c r="U1846">
        <v>0</v>
      </c>
      <c r="V1846">
        <v>0</v>
      </c>
      <c r="W1846">
        <v>1</v>
      </c>
      <c r="X1846">
        <v>0</v>
      </c>
      <c r="Y1846">
        <v>0</v>
      </c>
      <c r="Z1846">
        <v>1</v>
      </c>
      <c r="AA1846">
        <v>0</v>
      </c>
      <c r="AB1846">
        <v>0</v>
      </c>
      <c r="AC1846">
        <v>1</v>
      </c>
      <c r="AD1846">
        <v>1</v>
      </c>
      <c r="AE1846">
        <v>1</v>
      </c>
      <c r="AF1846">
        <v>1</v>
      </c>
      <c r="AG1846">
        <v>1</v>
      </c>
      <c r="AH1846">
        <v>1</v>
      </c>
      <c r="AI1846">
        <v>1</v>
      </c>
      <c r="AJ1846">
        <v>1</v>
      </c>
      <c r="AK1846">
        <v>1</v>
      </c>
      <c r="AL1846">
        <v>1</v>
      </c>
      <c r="AM1846">
        <v>1</v>
      </c>
    </row>
    <row r="1847" spans="1:39" x14ac:dyDescent="0.2">
      <c r="A1847" t="str">
        <f>"1843"</f>
        <v>1843</v>
      </c>
      <c r="B1847" t="str">
        <f t="shared" ref="B1847:B1910" si="103">"1"</f>
        <v>1</v>
      </c>
      <c r="C1847" t="str">
        <f t="shared" si="102"/>
        <v>37</v>
      </c>
      <c r="D1847" t="str">
        <f>"12"</f>
        <v>12</v>
      </c>
      <c r="E1847" t="str">
        <f>"1-37-12"</f>
        <v>1-37-12</v>
      </c>
      <c r="F1847" t="s">
        <v>65</v>
      </c>
      <c r="G1847" t="s">
        <v>66</v>
      </c>
      <c r="H1847" t="s">
        <v>67</v>
      </c>
      <c r="S1847">
        <v>1</v>
      </c>
      <c r="T1847">
        <v>0</v>
      </c>
      <c r="U1847">
        <v>0</v>
      </c>
      <c r="V1847">
        <v>0</v>
      </c>
      <c r="W1847">
        <v>0</v>
      </c>
      <c r="X1847">
        <v>1</v>
      </c>
      <c r="Y1847">
        <v>0</v>
      </c>
      <c r="Z1847">
        <v>1</v>
      </c>
      <c r="AA1847">
        <v>1</v>
      </c>
      <c r="AB1847">
        <v>0</v>
      </c>
      <c r="AC1847">
        <v>0</v>
      </c>
      <c r="AD1847">
        <v>1</v>
      </c>
      <c r="AE1847">
        <v>1</v>
      </c>
      <c r="AF1847">
        <v>1</v>
      </c>
      <c r="AG1847">
        <v>1</v>
      </c>
      <c r="AH1847">
        <v>1</v>
      </c>
      <c r="AI1847">
        <v>1</v>
      </c>
      <c r="AJ1847">
        <v>1</v>
      </c>
      <c r="AK1847">
        <v>1</v>
      </c>
      <c r="AL1847">
        <v>1</v>
      </c>
      <c r="AM1847">
        <v>1</v>
      </c>
    </row>
    <row r="1848" spans="1:39" x14ac:dyDescent="0.2">
      <c r="A1848" t="str">
        <f>"1844"</f>
        <v>1844</v>
      </c>
      <c r="B1848" t="str">
        <f t="shared" si="103"/>
        <v>1</v>
      </c>
      <c r="C1848" t="str">
        <f t="shared" si="102"/>
        <v>37</v>
      </c>
      <c r="D1848" t="str">
        <f>"28"</f>
        <v>28</v>
      </c>
      <c r="E1848" t="str">
        <f>"1-37-28"</f>
        <v>1-37-28</v>
      </c>
      <c r="F1848" t="s">
        <v>65</v>
      </c>
      <c r="G1848" t="s">
        <v>66</v>
      </c>
      <c r="H1848" t="s">
        <v>67</v>
      </c>
      <c r="S1848">
        <v>0</v>
      </c>
      <c r="T1848">
        <v>1</v>
      </c>
      <c r="U1848">
        <v>0</v>
      </c>
      <c r="V1848">
        <v>0</v>
      </c>
      <c r="W1848">
        <v>0</v>
      </c>
      <c r="X1848">
        <v>1</v>
      </c>
      <c r="Y1848">
        <v>0</v>
      </c>
      <c r="Z1848">
        <v>1</v>
      </c>
      <c r="AA1848">
        <v>0</v>
      </c>
      <c r="AB1848">
        <v>0</v>
      </c>
      <c r="AC1848">
        <v>1</v>
      </c>
      <c r="AD1848">
        <v>1</v>
      </c>
      <c r="AE1848">
        <v>1</v>
      </c>
      <c r="AF1848">
        <v>1</v>
      </c>
      <c r="AG1848">
        <v>1</v>
      </c>
      <c r="AH1848">
        <v>1</v>
      </c>
      <c r="AI1848">
        <v>1</v>
      </c>
      <c r="AJ1848">
        <v>1</v>
      </c>
      <c r="AK1848">
        <v>1</v>
      </c>
      <c r="AL1848">
        <v>1</v>
      </c>
      <c r="AM1848">
        <v>1</v>
      </c>
    </row>
    <row r="1849" spans="1:39" x14ac:dyDescent="0.2">
      <c r="A1849" t="str">
        <f>"1845"</f>
        <v>1845</v>
      </c>
      <c r="B1849" t="str">
        <f t="shared" si="103"/>
        <v>1</v>
      </c>
      <c r="C1849" t="str">
        <f t="shared" si="102"/>
        <v>37</v>
      </c>
      <c r="D1849" t="str">
        <f>"2"</f>
        <v>2</v>
      </c>
      <c r="E1849" t="str">
        <f>"1-37-2"</f>
        <v>1-37-2</v>
      </c>
      <c r="F1849" t="s">
        <v>65</v>
      </c>
      <c r="G1849" t="s">
        <v>66</v>
      </c>
      <c r="H1849" t="s">
        <v>67</v>
      </c>
      <c r="S1849">
        <v>1</v>
      </c>
      <c r="T1849">
        <v>0</v>
      </c>
      <c r="U1849">
        <v>0</v>
      </c>
      <c r="V1849">
        <v>0</v>
      </c>
      <c r="W1849">
        <v>0</v>
      </c>
      <c r="X1849">
        <v>1</v>
      </c>
      <c r="Y1849">
        <v>1</v>
      </c>
      <c r="Z1849">
        <v>0</v>
      </c>
      <c r="AA1849">
        <v>0</v>
      </c>
      <c r="AB1849">
        <v>0</v>
      </c>
      <c r="AC1849">
        <v>1</v>
      </c>
      <c r="AD1849">
        <v>0</v>
      </c>
      <c r="AE1849">
        <v>0</v>
      </c>
      <c r="AF1849">
        <v>0</v>
      </c>
      <c r="AG1849">
        <v>1</v>
      </c>
      <c r="AH1849">
        <v>1</v>
      </c>
      <c r="AI1849">
        <v>0</v>
      </c>
      <c r="AJ1849">
        <v>0</v>
      </c>
      <c r="AK1849">
        <v>0</v>
      </c>
      <c r="AL1849">
        <v>0</v>
      </c>
      <c r="AM1849">
        <v>0</v>
      </c>
    </row>
    <row r="1850" spans="1:39" x14ac:dyDescent="0.2">
      <c r="A1850" t="str">
        <f>"1846"</f>
        <v>1846</v>
      </c>
      <c r="B1850" t="str">
        <f t="shared" si="103"/>
        <v>1</v>
      </c>
      <c r="C1850" t="str">
        <f t="shared" si="102"/>
        <v>37</v>
      </c>
      <c r="D1850" t="str">
        <f>"30"</f>
        <v>30</v>
      </c>
      <c r="E1850" t="str">
        <f>"1-37-30"</f>
        <v>1-37-30</v>
      </c>
      <c r="F1850" t="s">
        <v>65</v>
      </c>
      <c r="G1850" t="s">
        <v>66</v>
      </c>
      <c r="H1850" t="s">
        <v>67</v>
      </c>
      <c r="S1850">
        <v>0</v>
      </c>
      <c r="T1850">
        <v>0</v>
      </c>
      <c r="U1850">
        <v>0</v>
      </c>
      <c r="V1850">
        <v>0</v>
      </c>
      <c r="W1850">
        <v>1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1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</row>
    <row r="1851" spans="1:39" x14ac:dyDescent="0.2">
      <c r="A1851" t="str">
        <f>"1847"</f>
        <v>1847</v>
      </c>
      <c r="B1851" t="str">
        <f t="shared" si="103"/>
        <v>1</v>
      </c>
      <c r="C1851" t="str">
        <f t="shared" si="102"/>
        <v>37</v>
      </c>
      <c r="D1851" t="str">
        <f>"10"</f>
        <v>10</v>
      </c>
      <c r="E1851" t="str">
        <f>"1-37-10"</f>
        <v>1-37-10</v>
      </c>
      <c r="F1851" t="s">
        <v>65</v>
      </c>
      <c r="G1851" t="s">
        <v>66</v>
      </c>
      <c r="H1851" t="s">
        <v>67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1</v>
      </c>
      <c r="Y1851">
        <v>1</v>
      </c>
      <c r="Z1851">
        <v>0</v>
      </c>
      <c r="AA1851">
        <v>1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1</v>
      </c>
      <c r="AH1851">
        <v>0</v>
      </c>
      <c r="AI1851">
        <v>1</v>
      </c>
      <c r="AJ1851">
        <v>1</v>
      </c>
      <c r="AK1851">
        <v>0</v>
      </c>
      <c r="AL1851">
        <v>1</v>
      </c>
      <c r="AM1851">
        <v>0</v>
      </c>
    </row>
    <row r="1852" spans="1:39" x14ac:dyDescent="0.2">
      <c r="A1852" t="str">
        <f>"1848"</f>
        <v>1848</v>
      </c>
      <c r="B1852" t="str">
        <f t="shared" si="103"/>
        <v>1</v>
      </c>
      <c r="C1852" t="str">
        <f t="shared" si="102"/>
        <v>37</v>
      </c>
      <c r="D1852" t="str">
        <f>"48"</f>
        <v>48</v>
      </c>
      <c r="E1852" t="str">
        <f>"1-37-48"</f>
        <v>1-37-48</v>
      </c>
      <c r="F1852" t="s">
        <v>65</v>
      </c>
      <c r="G1852" t="s">
        <v>66</v>
      </c>
      <c r="H1852" t="s">
        <v>67</v>
      </c>
      <c r="S1852">
        <v>1</v>
      </c>
      <c r="T1852">
        <v>0</v>
      </c>
      <c r="U1852">
        <v>0</v>
      </c>
      <c r="V1852">
        <v>0</v>
      </c>
      <c r="W1852">
        <v>0</v>
      </c>
      <c r="X1852">
        <v>1</v>
      </c>
      <c r="Y1852">
        <v>1</v>
      </c>
      <c r="Z1852">
        <v>0</v>
      </c>
      <c r="AA1852">
        <v>0</v>
      </c>
      <c r="AB1852">
        <v>1</v>
      </c>
      <c r="AC1852">
        <v>0</v>
      </c>
      <c r="AD1852">
        <v>1</v>
      </c>
      <c r="AE1852">
        <v>1</v>
      </c>
      <c r="AF1852">
        <v>1</v>
      </c>
      <c r="AG1852">
        <v>1</v>
      </c>
      <c r="AH1852">
        <v>1</v>
      </c>
      <c r="AI1852">
        <v>1</v>
      </c>
      <c r="AJ1852">
        <v>1</v>
      </c>
      <c r="AK1852">
        <v>1</v>
      </c>
      <c r="AL1852">
        <v>1</v>
      </c>
      <c r="AM1852">
        <v>1</v>
      </c>
    </row>
    <row r="1853" spans="1:39" x14ac:dyDescent="0.2">
      <c r="A1853" t="str">
        <f>"1849"</f>
        <v>1849</v>
      </c>
      <c r="B1853" t="str">
        <f t="shared" si="103"/>
        <v>1</v>
      </c>
      <c r="C1853" t="str">
        <f t="shared" si="102"/>
        <v>37</v>
      </c>
      <c r="D1853" t="str">
        <f>"31"</f>
        <v>31</v>
      </c>
      <c r="E1853" t="str">
        <f>"1-37-31"</f>
        <v>1-37-31</v>
      </c>
      <c r="F1853" t="s">
        <v>65</v>
      </c>
      <c r="G1853" t="s">
        <v>66</v>
      </c>
      <c r="H1853" t="s">
        <v>67</v>
      </c>
      <c r="S1853">
        <v>0</v>
      </c>
      <c r="T1853">
        <v>1</v>
      </c>
      <c r="U1853">
        <v>0</v>
      </c>
      <c r="V1853">
        <v>0</v>
      </c>
      <c r="W1853">
        <v>0</v>
      </c>
      <c r="X1853">
        <v>1</v>
      </c>
      <c r="Y1853">
        <v>0</v>
      </c>
      <c r="Z1853">
        <v>1</v>
      </c>
      <c r="AA1853">
        <v>0</v>
      </c>
      <c r="AB1853">
        <v>0</v>
      </c>
      <c r="AC1853">
        <v>1</v>
      </c>
      <c r="AD1853">
        <v>1</v>
      </c>
      <c r="AE1853">
        <v>1</v>
      </c>
      <c r="AF1853">
        <v>1</v>
      </c>
      <c r="AG1853">
        <v>1</v>
      </c>
      <c r="AH1853">
        <v>1</v>
      </c>
      <c r="AI1853">
        <v>1</v>
      </c>
      <c r="AJ1853">
        <v>1</v>
      </c>
      <c r="AK1853">
        <v>1</v>
      </c>
      <c r="AL1853">
        <v>1</v>
      </c>
      <c r="AM1853">
        <v>1</v>
      </c>
    </row>
    <row r="1854" spans="1:39" x14ac:dyDescent="0.2">
      <c r="A1854" t="str">
        <f>"1850"</f>
        <v>1850</v>
      </c>
      <c r="B1854" t="str">
        <f t="shared" si="103"/>
        <v>1</v>
      </c>
      <c r="C1854" t="str">
        <f t="shared" si="102"/>
        <v>37</v>
      </c>
      <c r="D1854" t="str">
        <f>"14"</f>
        <v>14</v>
      </c>
      <c r="E1854" t="str">
        <f>"1-37-14"</f>
        <v>1-37-14</v>
      </c>
      <c r="F1854" t="s">
        <v>65</v>
      </c>
      <c r="G1854" t="s">
        <v>66</v>
      </c>
      <c r="H1854" t="s">
        <v>67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1</v>
      </c>
      <c r="Y1854">
        <v>0</v>
      </c>
      <c r="Z1854">
        <v>1</v>
      </c>
      <c r="AA1854">
        <v>0</v>
      </c>
      <c r="AB1854">
        <v>0</v>
      </c>
      <c r="AC1854">
        <v>1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</row>
    <row r="1855" spans="1:39" x14ac:dyDescent="0.2">
      <c r="A1855" t="str">
        <f>"1851"</f>
        <v>1851</v>
      </c>
      <c r="B1855" t="str">
        <f t="shared" si="103"/>
        <v>1</v>
      </c>
      <c r="C1855" t="str">
        <f t="shared" ref="C1855:C1886" si="104">"38"</f>
        <v>38</v>
      </c>
      <c r="D1855" t="str">
        <f>"36"</f>
        <v>36</v>
      </c>
      <c r="E1855" t="str">
        <f>"1-38-36"</f>
        <v>1-38-36</v>
      </c>
      <c r="F1855" t="s">
        <v>65</v>
      </c>
      <c r="G1855" t="s">
        <v>66</v>
      </c>
      <c r="H1855" t="s">
        <v>67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0</v>
      </c>
      <c r="AB1855">
        <v>0</v>
      </c>
      <c r="AC1855">
        <v>1</v>
      </c>
      <c r="AD1855">
        <v>0</v>
      </c>
      <c r="AE1855">
        <v>0</v>
      </c>
      <c r="AF1855">
        <v>0</v>
      </c>
      <c r="AG1855">
        <v>1</v>
      </c>
      <c r="AH1855">
        <v>1</v>
      </c>
      <c r="AI1855">
        <v>1</v>
      </c>
      <c r="AJ1855">
        <v>1</v>
      </c>
      <c r="AK1855">
        <v>1</v>
      </c>
      <c r="AL1855">
        <v>0</v>
      </c>
      <c r="AM1855">
        <v>1</v>
      </c>
    </row>
    <row r="1856" spans="1:39" x14ac:dyDescent="0.2">
      <c r="A1856" t="str">
        <f>"1852"</f>
        <v>1852</v>
      </c>
      <c r="B1856" t="str">
        <f t="shared" si="103"/>
        <v>1</v>
      </c>
      <c r="C1856" t="str">
        <f t="shared" si="104"/>
        <v>38</v>
      </c>
      <c r="D1856" t="str">
        <f>"35"</f>
        <v>35</v>
      </c>
      <c r="E1856" t="str">
        <f>"1-38-35"</f>
        <v>1-38-35</v>
      </c>
      <c r="F1856" t="s">
        <v>65</v>
      </c>
      <c r="G1856" t="s">
        <v>66</v>
      </c>
      <c r="H1856" t="s">
        <v>67</v>
      </c>
      <c r="S1856">
        <v>1</v>
      </c>
      <c r="T1856">
        <v>0</v>
      </c>
      <c r="U1856">
        <v>0</v>
      </c>
      <c r="V1856">
        <v>0</v>
      </c>
      <c r="W1856">
        <v>1</v>
      </c>
      <c r="X1856">
        <v>0</v>
      </c>
      <c r="Y1856">
        <v>0</v>
      </c>
      <c r="Z1856">
        <v>1</v>
      </c>
      <c r="AA1856">
        <v>1</v>
      </c>
      <c r="AB1856">
        <v>0</v>
      </c>
      <c r="AC1856">
        <v>0</v>
      </c>
      <c r="AD1856">
        <v>1</v>
      </c>
      <c r="AE1856">
        <v>1</v>
      </c>
      <c r="AF1856">
        <v>1</v>
      </c>
      <c r="AG1856">
        <v>1</v>
      </c>
      <c r="AH1856">
        <v>1</v>
      </c>
      <c r="AI1856">
        <v>1</v>
      </c>
      <c r="AJ1856">
        <v>1</v>
      </c>
      <c r="AK1856">
        <v>1</v>
      </c>
      <c r="AL1856">
        <v>1</v>
      </c>
      <c r="AM1856">
        <v>1</v>
      </c>
    </row>
    <row r="1857" spans="1:39" x14ac:dyDescent="0.2">
      <c r="A1857" t="str">
        <f>"1853"</f>
        <v>1853</v>
      </c>
      <c r="B1857" t="str">
        <f t="shared" si="103"/>
        <v>1</v>
      </c>
      <c r="C1857" t="str">
        <f t="shared" si="104"/>
        <v>38</v>
      </c>
      <c r="D1857" t="str">
        <f>"24"</f>
        <v>24</v>
      </c>
      <c r="E1857" t="str">
        <f>"1-38-24"</f>
        <v>1-38-24</v>
      </c>
      <c r="F1857" t="s">
        <v>65</v>
      </c>
      <c r="G1857" t="s">
        <v>66</v>
      </c>
      <c r="H1857" t="s">
        <v>67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0</v>
      </c>
      <c r="AB1857">
        <v>0</v>
      </c>
      <c r="AC1857">
        <v>1</v>
      </c>
      <c r="AD1857">
        <v>0</v>
      </c>
      <c r="AE1857">
        <v>0</v>
      </c>
      <c r="AF1857">
        <v>0</v>
      </c>
      <c r="AG1857">
        <v>0</v>
      </c>
      <c r="AH1857">
        <v>1</v>
      </c>
      <c r="AI1857">
        <v>1</v>
      </c>
      <c r="AJ1857">
        <v>1</v>
      </c>
      <c r="AK1857">
        <v>1</v>
      </c>
      <c r="AL1857">
        <v>1</v>
      </c>
      <c r="AM1857">
        <v>1</v>
      </c>
    </row>
    <row r="1858" spans="1:39" x14ac:dyDescent="0.2">
      <c r="A1858" t="str">
        <f>"1854"</f>
        <v>1854</v>
      </c>
      <c r="B1858" t="str">
        <f t="shared" si="103"/>
        <v>1</v>
      </c>
      <c r="C1858" t="str">
        <f t="shared" si="104"/>
        <v>38</v>
      </c>
      <c r="D1858" t="str">
        <f>"15"</f>
        <v>15</v>
      </c>
      <c r="E1858" t="str">
        <f>"1-38-15"</f>
        <v>1-38-15</v>
      </c>
      <c r="F1858" t="s">
        <v>65</v>
      </c>
      <c r="G1858" t="s">
        <v>66</v>
      </c>
      <c r="H1858" t="s">
        <v>67</v>
      </c>
      <c r="S1858">
        <v>1</v>
      </c>
      <c r="T1858">
        <v>0</v>
      </c>
      <c r="U1858">
        <v>0</v>
      </c>
      <c r="V1858">
        <v>0</v>
      </c>
      <c r="W1858">
        <v>1</v>
      </c>
      <c r="X1858">
        <v>0</v>
      </c>
      <c r="Y1858">
        <v>0</v>
      </c>
      <c r="Z1858">
        <v>1</v>
      </c>
      <c r="AA1858">
        <v>0</v>
      </c>
      <c r="AB1858">
        <v>0</v>
      </c>
      <c r="AC1858">
        <v>1</v>
      </c>
      <c r="AD1858">
        <v>0</v>
      </c>
      <c r="AE1858">
        <v>1</v>
      </c>
      <c r="AF1858">
        <v>1</v>
      </c>
      <c r="AG1858">
        <v>1</v>
      </c>
      <c r="AH1858">
        <v>1</v>
      </c>
      <c r="AI1858">
        <v>1</v>
      </c>
      <c r="AJ1858">
        <v>1</v>
      </c>
      <c r="AK1858">
        <v>1</v>
      </c>
      <c r="AL1858">
        <v>1</v>
      </c>
      <c r="AM1858">
        <v>1</v>
      </c>
    </row>
    <row r="1859" spans="1:39" x14ac:dyDescent="0.2">
      <c r="A1859" t="str">
        <f>"1855"</f>
        <v>1855</v>
      </c>
      <c r="B1859" t="str">
        <f t="shared" si="103"/>
        <v>1</v>
      </c>
      <c r="C1859" t="str">
        <f t="shared" si="104"/>
        <v>38</v>
      </c>
      <c r="D1859" t="str">
        <f>"6"</f>
        <v>6</v>
      </c>
      <c r="E1859" t="str">
        <f>"1-38-6"</f>
        <v>1-38-6</v>
      </c>
      <c r="F1859" t="s">
        <v>65</v>
      </c>
      <c r="G1859" t="s">
        <v>66</v>
      </c>
      <c r="H1859" t="s">
        <v>67</v>
      </c>
      <c r="S1859">
        <v>1</v>
      </c>
      <c r="T1859">
        <v>0</v>
      </c>
      <c r="U1859">
        <v>0</v>
      </c>
      <c r="V1859">
        <v>0</v>
      </c>
      <c r="W1859">
        <v>1</v>
      </c>
      <c r="X1859">
        <v>0</v>
      </c>
      <c r="Y1859">
        <v>1</v>
      </c>
      <c r="Z1859">
        <v>0</v>
      </c>
      <c r="AA1859">
        <v>0</v>
      </c>
      <c r="AB1859">
        <v>1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</row>
    <row r="1860" spans="1:39" x14ac:dyDescent="0.2">
      <c r="A1860" t="str">
        <f>"1856"</f>
        <v>1856</v>
      </c>
      <c r="B1860" t="str">
        <f t="shared" si="103"/>
        <v>1</v>
      </c>
      <c r="C1860" t="str">
        <f t="shared" si="104"/>
        <v>38</v>
      </c>
      <c r="D1860" t="str">
        <f>"37"</f>
        <v>37</v>
      </c>
      <c r="E1860" t="str">
        <f>"1-38-37"</f>
        <v>1-38-37</v>
      </c>
      <c r="F1860" t="s">
        <v>65</v>
      </c>
      <c r="G1860" t="s">
        <v>66</v>
      </c>
      <c r="H1860" t="s">
        <v>67</v>
      </c>
      <c r="S1860">
        <v>1</v>
      </c>
      <c r="T1860">
        <v>0</v>
      </c>
      <c r="U1860">
        <v>0</v>
      </c>
      <c r="V1860">
        <v>0</v>
      </c>
      <c r="W1860">
        <v>0</v>
      </c>
      <c r="X1860">
        <v>1</v>
      </c>
      <c r="Y1860">
        <v>1</v>
      </c>
      <c r="Z1860">
        <v>0</v>
      </c>
      <c r="AA1860">
        <v>0</v>
      </c>
      <c r="AB1860">
        <v>0</v>
      </c>
      <c r="AC1860">
        <v>1</v>
      </c>
      <c r="AD1860">
        <v>0</v>
      </c>
      <c r="AE1860">
        <v>0</v>
      </c>
      <c r="AF1860">
        <v>0</v>
      </c>
      <c r="AG1860">
        <v>1</v>
      </c>
      <c r="AH1860">
        <v>1</v>
      </c>
      <c r="AI1860">
        <v>0</v>
      </c>
      <c r="AJ1860">
        <v>1</v>
      </c>
      <c r="AK1860">
        <v>1</v>
      </c>
      <c r="AL1860">
        <v>1</v>
      </c>
      <c r="AM1860">
        <v>1</v>
      </c>
    </row>
    <row r="1861" spans="1:39" x14ac:dyDescent="0.2">
      <c r="A1861" t="str">
        <f>"1857"</f>
        <v>1857</v>
      </c>
      <c r="B1861" t="str">
        <f t="shared" si="103"/>
        <v>1</v>
      </c>
      <c r="C1861" t="str">
        <f t="shared" si="104"/>
        <v>38</v>
      </c>
      <c r="D1861" t="str">
        <f>"25"</f>
        <v>25</v>
      </c>
      <c r="E1861" t="str">
        <f>"1-38-25"</f>
        <v>1-38-25</v>
      </c>
      <c r="F1861" t="s">
        <v>65</v>
      </c>
      <c r="G1861" t="s">
        <v>66</v>
      </c>
      <c r="H1861" t="s">
        <v>67</v>
      </c>
      <c r="S1861">
        <v>1</v>
      </c>
      <c r="T1861">
        <v>0</v>
      </c>
      <c r="U1861">
        <v>0</v>
      </c>
      <c r="V1861">
        <v>0</v>
      </c>
      <c r="W1861">
        <v>1</v>
      </c>
      <c r="X1861">
        <v>0</v>
      </c>
      <c r="Y1861">
        <v>1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1</v>
      </c>
      <c r="AF1861">
        <v>1</v>
      </c>
      <c r="AG1861">
        <v>1</v>
      </c>
      <c r="AH1861">
        <v>1</v>
      </c>
      <c r="AI1861">
        <v>1</v>
      </c>
      <c r="AJ1861">
        <v>1</v>
      </c>
      <c r="AK1861">
        <v>1</v>
      </c>
      <c r="AL1861">
        <v>1</v>
      </c>
      <c r="AM1861">
        <v>1</v>
      </c>
    </row>
    <row r="1862" spans="1:39" x14ac:dyDescent="0.2">
      <c r="A1862" t="str">
        <f>"1858"</f>
        <v>1858</v>
      </c>
      <c r="B1862" t="str">
        <f t="shared" si="103"/>
        <v>1</v>
      </c>
      <c r="C1862" t="str">
        <f t="shared" si="104"/>
        <v>38</v>
      </c>
      <c r="D1862" t="str">
        <f>"16"</f>
        <v>16</v>
      </c>
      <c r="E1862" t="str">
        <f>"1-38-16"</f>
        <v>1-38-16</v>
      </c>
      <c r="F1862" t="s">
        <v>65</v>
      </c>
      <c r="G1862" t="s">
        <v>66</v>
      </c>
      <c r="H1862" t="s">
        <v>67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1</v>
      </c>
      <c r="Y1862">
        <v>1</v>
      </c>
      <c r="Z1862">
        <v>0</v>
      </c>
      <c r="AA1862">
        <v>0</v>
      </c>
      <c r="AB1862">
        <v>1</v>
      </c>
      <c r="AC1862">
        <v>0</v>
      </c>
      <c r="AD1862">
        <v>1</v>
      </c>
      <c r="AE1862">
        <v>1</v>
      </c>
      <c r="AF1862">
        <v>1</v>
      </c>
      <c r="AG1862">
        <v>1</v>
      </c>
      <c r="AH1862">
        <v>1</v>
      </c>
      <c r="AI1862">
        <v>1</v>
      </c>
      <c r="AJ1862">
        <v>1</v>
      </c>
      <c r="AK1862">
        <v>1</v>
      </c>
      <c r="AL1862">
        <v>1</v>
      </c>
      <c r="AM1862">
        <v>1</v>
      </c>
    </row>
    <row r="1863" spans="1:39" x14ac:dyDescent="0.2">
      <c r="A1863" t="str">
        <f>"1859"</f>
        <v>1859</v>
      </c>
      <c r="B1863" t="str">
        <f t="shared" si="103"/>
        <v>1</v>
      </c>
      <c r="C1863" t="str">
        <f t="shared" si="104"/>
        <v>38</v>
      </c>
      <c r="D1863" t="str">
        <f>"2"</f>
        <v>2</v>
      </c>
      <c r="E1863" t="str">
        <f>"1-38-2"</f>
        <v>1-38-2</v>
      </c>
      <c r="F1863" t="s">
        <v>65</v>
      </c>
      <c r="G1863" t="s">
        <v>66</v>
      </c>
      <c r="H1863" t="s">
        <v>67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1</v>
      </c>
      <c r="Y1863">
        <v>0</v>
      </c>
      <c r="Z1863">
        <v>1</v>
      </c>
      <c r="AA1863">
        <v>0</v>
      </c>
      <c r="AB1863">
        <v>1</v>
      </c>
      <c r="AC1863">
        <v>0</v>
      </c>
      <c r="AD1863">
        <v>1</v>
      </c>
      <c r="AE1863">
        <v>1</v>
      </c>
      <c r="AF1863">
        <v>1</v>
      </c>
      <c r="AG1863">
        <v>1</v>
      </c>
      <c r="AH1863">
        <v>1</v>
      </c>
      <c r="AI1863">
        <v>1</v>
      </c>
      <c r="AJ1863">
        <v>1</v>
      </c>
      <c r="AK1863">
        <v>1</v>
      </c>
      <c r="AL1863">
        <v>1</v>
      </c>
      <c r="AM1863">
        <v>1</v>
      </c>
    </row>
    <row r="1864" spans="1:39" x14ac:dyDescent="0.2">
      <c r="A1864" t="str">
        <f>"1860"</f>
        <v>1860</v>
      </c>
      <c r="B1864" t="str">
        <f t="shared" si="103"/>
        <v>1</v>
      </c>
      <c r="C1864" t="str">
        <f t="shared" si="104"/>
        <v>38</v>
      </c>
      <c r="D1864" t="str">
        <f>"45"</f>
        <v>45</v>
      </c>
      <c r="E1864" t="str">
        <f>"1-38-45"</f>
        <v>1-38-45</v>
      </c>
      <c r="F1864" t="s">
        <v>65</v>
      </c>
      <c r="G1864" t="s">
        <v>66</v>
      </c>
      <c r="H1864" t="s">
        <v>67</v>
      </c>
      <c r="S1864">
        <v>1</v>
      </c>
      <c r="T1864">
        <v>0</v>
      </c>
      <c r="U1864">
        <v>0</v>
      </c>
      <c r="V1864">
        <v>0</v>
      </c>
      <c r="W1864">
        <v>0</v>
      </c>
      <c r="X1864">
        <v>1</v>
      </c>
      <c r="Y1864">
        <v>1</v>
      </c>
      <c r="Z1864">
        <v>0</v>
      </c>
      <c r="AA1864">
        <v>0</v>
      </c>
      <c r="AB1864">
        <v>1</v>
      </c>
      <c r="AC1864">
        <v>0</v>
      </c>
      <c r="AD1864">
        <v>1</v>
      </c>
      <c r="AE1864">
        <v>1</v>
      </c>
      <c r="AF1864">
        <v>1</v>
      </c>
      <c r="AG1864">
        <v>1</v>
      </c>
      <c r="AH1864">
        <v>1</v>
      </c>
      <c r="AI1864">
        <v>1</v>
      </c>
      <c r="AJ1864">
        <v>1</v>
      </c>
      <c r="AK1864">
        <v>1</v>
      </c>
      <c r="AL1864">
        <v>1</v>
      </c>
      <c r="AM1864">
        <v>1</v>
      </c>
    </row>
    <row r="1865" spans="1:39" x14ac:dyDescent="0.2">
      <c r="A1865" t="str">
        <f>"1861"</f>
        <v>1861</v>
      </c>
      <c r="B1865" t="str">
        <f t="shared" si="103"/>
        <v>1</v>
      </c>
      <c r="C1865" t="str">
        <f t="shared" si="104"/>
        <v>38</v>
      </c>
      <c r="D1865" t="str">
        <f>"44"</f>
        <v>44</v>
      </c>
      <c r="E1865" t="str">
        <f>"1-38-44"</f>
        <v>1-38-44</v>
      </c>
      <c r="F1865" t="s">
        <v>65</v>
      </c>
      <c r="G1865" t="s">
        <v>66</v>
      </c>
      <c r="H1865" t="s">
        <v>67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</row>
    <row r="1866" spans="1:39" x14ac:dyDescent="0.2">
      <c r="A1866" t="str">
        <f>"1862"</f>
        <v>1862</v>
      </c>
      <c r="B1866" t="str">
        <f t="shared" si="103"/>
        <v>1</v>
      </c>
      <c r="C1866" t="str">
        <f t="shared" si="104"/>
        <v>38</v>
      </c>
      <c r="D1866" t="str">
        <f>"32"</f>
        <v>32</v>
      </c>
      <c r="E1866" t="str">
        <f>"1-38-32"</f>
        <v>1-38-32</v>
      </c>
      <c r="F1866" t="s">
        <v>65</v>
      </c>
      <c r="G1866" t="s">
        <v>66</v>
      </c>
      <c r="H1866" t="s">
        <v>67</v>
      </c>
      <c r="S1866">
        <v>0</v>
      </c>
      <c r="T1866">
        <v>1</v>
      </c>
      <c r="U1866">
        <v>0</v>
      </c>
      <c r="V1866">
        <v>0</v>
      </c>
      <c r="W1866">
        <v>0</v>
      </c>
      <c r="X1866">
        <v>1</v>
      </c>
      <c r="Y1866">
        <v>0</v>
      </c>
      <c r="Z1866">
        <v>1</v>
      </c>
      <c r="AA1866">
        <v>0</v>
      </c>
      <c r="AB1866">
        <v>0</v>
      </c>
      <c r="AC1866">
        <v>1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</row>
    <row r="1867" spans="1:39" x14ac:dyDescent="0.2">
      <c r="A1867" t="str">
        <f>"1863"</f>
        <v>1863</v>
      </c>
      <c r="B1867" t="str">
        <f t="shared" si="103"/>
        <v>1</v>
      </c>
      <c r="C1867" t="str">
        <f t="shared" si="104"/>
        <v>38</v>
      </c>
      <c r="D1867" t="str">
        <f>"17"</f>
        <v>17</v>
      </c>
      <c r="E1867" t="str">
        <f>"1-38-17"</f>
        <v>1-38-17</v>
      </c>
      <c r="F1867" t="s">
        <v>65</v>
      </c>
      <c r="G1867" t="s">
        <v>66</v>
      </c>
      <c r="H1867" t="s">
        <v>67</v>
      </c>
      <c r="S1867">
        <v>1</v>
      </c>
      <c r="T1867">
        <v>0</v>
      </c>
      <c r="U1867">
        <v>0</v>
      </c>
      <c r="V1867">
        <v>0</v>
      </c>
      <c r="W1867">
        <v>0</v>
      </c>
      <c r="X1867">
        <v>1</v>
      </c>
      <c r="Y1867">
        <v>0</v>
      </c>
      <c r="Z1867">
        <v>1</v>
      </c>
      <c r="AA1867">
        <v>0</v>
      </c>
      <c r="AB1867">
        <v>1</v>
      </c>
      <c r="AC1867">
        <v>0</v>
      </c>
      <c r="AD1867">
        <v>1</v>
      </c>
      <c r="AE1867">
        <v>1</v>
      </c>
      <c r="AF1867">
        <v>1</v>
      </c>
      <c r="AG1867">
        <v>1</v>
      </c>
      <c r="AH1867">
        <v>1</v>
      </c>
      <c r="AI1867">
        <v>1</v>
      </c>
      <c r="AJ1867">
        <v>1</v>
      </c>
      <c r="AK1867">
        <v>1</v>
      </c>
      <c r="AL1867">
        <v>1</v>
      </c>
      <c r="AM1867">
        <v>1</v>
      </c>
    </row>
    <row r="1868" spans="1:39" x14ac:dyDescent="0.2">
      <c r="A1868" t="str">
        <f>"1864"</f>
        <v>1864</v>
      </c>
      <c r="B1868" t="str">
        <f t="shared" si="103"/>
        <v>1</v>
      </c>
      <c r="C1868" t="str">
        <f t="shared" si="104"/>
        <v>38</v>
      </c>
      <c r="D1868" t="str">
        <f>"8"</f>
        <v>8</v>
      </c>
      <c r="E1868" t="str">
        <f>"1-38-8"</f>
        <v>1-38-8</v>
      </c>
      <c r="F1868" t="s">
        <v>65</v>
      </c>
      <c r="G1868" t="s">
        <v>66</v>
      </c>
      <c r="H1868" t="s">
        <v>67</v>
      </c>
      <c r="S1868">
        <v>0</v>
      </c>
      <c r="T1868">
        <v>1</v>
      </c>
      <c r="U1868">
        <v>0</v>
      </c>
      <c r="V1868">
        <v>0</v>
      </c>
      <c r="W1868">
        <v>0</v>
      </c>
      <c r="X1868">
        <v>1</v>
      </c>
      <c r="Y1868">
        <v>1</v>
      </c>
      <c r="Z1868">
        <v>0</v>
      </c>
      <c r="AA1868">
        <v>0</v>
      </c>
      <c r="AB1868">
        <v>1</v>
      </c>
      <c r="AC1868">
        <v>0</v>
      </c>
      <c r="AD1868">
        <v>1</v>
      </c>
      <c r="AE1868">
        <v>1</v>
      </c>
      <c r="AF1868">
        <v>1</v>
      </c>
      <c r="AG1868">
        <v>1</v>
      </c>
      <c r="AH1868">
        <v>1</v>
      </c>
      <c r="AI1868">
        <v>1</v>
      </c>
      <c r="AJ1868">
        <v>1</v>
      </c>
      <c r="AK1868">
        <v>1</v>
      </c>
      <c r="AL1868">
        <v>1</v>
      </c>
      <c r="AM1868">
        <v>1</v>
      </c>
    </row>
    <row r="1869" spans="1:39" x14ac:dyDescent="0.2">
      <c r="A1869" t="str">
        <f>"1865"</f>
        <v>1865</v>
      </c>
      <c r="B1869" t="str">
        <f t="shared" si="103"/>
        <v>1</v>
      </c>
      <c r="C1869" t="str">
        <f t="shared" si="104"/>
        <v>38</v>
      </c>
      <c r="D1869" t="str">
        <f>"43"</f>
        <v>43</v>
      </c>
      <c r="E1869" t="str">
        <f>"1-38-43"</f>
        <v>1-38-43</v>
      </c>
      <c r="F1869" t="s">
        <v>65</v>
      </c>
      <c r="G1869" t="s">
        <v>66</v>
      </c>
      <c r="H1869" t="s">
        <v>67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0</v>
      </c>
      <c r="AB1869">
        <v>0</v>
      </c>
      <c r="AC1869">
        <v>1</v>
      </c>
      <c r="AD1869">
        <v>0</v>
      </c>
      <c r="AE1869">
        <v>0</v>
      </c>
      <c r="AF1869">
        <v>0</v>
      </c>
      <c r="AG1869">
        <v>1</v>
      </c>
      <c r="AH1869">
        <v>1</v>
      </c>
      <c r="AI1869">
        <v>1</v>
      </c>
      <c r="AJ1869">
        <v>1</v>
      </c>
      <c r="AK1869">
        <v>1</v>
      </c>
      <c r="AL1869">
        <v>1</v>
      </c>
      <c r="AM1869">
        <v>0</v>
      </c>
    </row>
    <row r="1870" spans="1:39" x14ac:dyDescent="0.2">
      <c r="A1870" t="str">
        <f>"1866"</f>
        <v>1866</v>
      </c>
      <c r="B1870" t="str">
        <f t="shared" si="103"/>
        <v>1</v>
      </c>
      <c r="C1870" t="str">
        <f t="shared" si="104"/>
        <v>38</v>
      </c>
      <c r="D1870" t="str">
        <f>"42"</f>
        <v>42</v>
      </c>
      <c r="E1870" t="str">
        <f>"1-38-42"</f>
        <v>1-38-42</v>
      </c>
      <c r="F1870" t="s">
        <v>65</v>
      </c>
      <c r="G1870" t="s">
        <v>66</v>
      </c>
      <c r="H1870" t="s">
        <v>67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</row>
    <row r="1871" spans="1:39" x14ac:dyDescent="0.2">
      <c r="A1871" t="str">
        <f>"1867"</f>
        <v>1867</v>
      </c>
      <c r="B1871" t="str">
        <f t="shared" si="103"/>
        <v>1</v>
      </c>
      <c r="C1871" t="str">
        <f t="shared" si="104"/>
        <v>38</v>
      </c>
      <c r="D1871" t="str">
        <f>"31"</f>
        <v>31</v>
      </c>
      <c r="E1871" t="str">
        <f>"1-38-31"</f>
        <v>1-38-31</v>
      </c>
      <c r="F1871" t="s">
        <v>65</v>
      </c>
      <c r="G1871" t="s">
        <v>66</v>
      </c>
      <c r="H1871" t="s">
        <v>67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1</v>
      </c>
      <c r="AH1871">
        <v>1</v>
      </c>
      <c r="AI1871">
        <v>1</v>
      </c>
      <c r="AJ1871">
        <v>1</v>
      </c>
      <c r="AK1871">
        <v>1</v>
      </c>
      <c r="AL1871">
        <v>1</v>
      </c>
      <c r="AM1871">
        <v>1</v>
      </c>
    </row>
    <row r="1872" spans="1:39" x14ac:dyDescent="0.2">
      <c r="A1872" t="str">
        <f>"1868"</f>
        <v>1868</v>
      </c>
      <c r="B1872" t="str">
        <f t="shared" si="103"/>
        <v>1</v>
      </c>
      <c r="C1872" t="str">
        <f t="shared" si="104"/>
        <v>38</v>
      </c>
      <c r="D1872" t="str">
        <f>"18"</f>
        <v>18</v>
      </c>
      <c r="E1872" t="str">
        <f>"1-38-18"</f>
        <v>1-38-18</v>
      </c>
      <c r="F1872" t="s">
        <v>65</v>
      </c>
      <c r="G1872" t="s">
        <v>66</v>
      </c>
      <c r="H1872" t="s">
        <v>67</v>
      </c>
      <c r="S1872">
        <v>1</v>
      </c>
      <c r="T1872">
        <v>0</v>
      </c>
      <c r="U1872">
        <v>0</v>
      </c>
      <c r="V1872">
        <v>0</v>
      </c>
      <c r="W1872">
        <v>1</v>
      </c>
      <c r="X1872">
        <v>0</v>
      </c>
      <c r="Y1872">
        <v>1</v>
      </c>
      <c r="Z1872">
        <v>0</v>
      </c>
      <c r="AA1872">
        <v>0</v>
      </c>
      <c r="AB1872">
        <v>0</v>
      </c>
      <c r="AC1872">
        <v>1</v>
      </c>
      <c r="AD1872">
        <v>1</v>
      </c>
      <c r="AE1872">
        <v>1</v>
      </c>
      <c r="AF1872">
        <v>1</v>
      </c>
      <c r="AG1872">
        <v>0</v>
      </c>
      <c r="AH1872">
        <v>1</v>
      </c>
      <c r="AI1872">
        <v>0</v>
      </c>
      <c r="AJ1872">
        <v>1</v>
      </c>
      <c r="AK1872">
        <v>1</v>
      </c>
      <c r="AL1872">
        <v>1</v>
      </c>
      <c r="AM1872">
        <v>1</v>
      </c>
    </row>
    <row r="1873" spans="1:39" x14ac:dyDescent="0.2">
      <c r="A1873" t="str">
        <f>"1869"</f>
        <v>1869</v>
      </c>
      <c r="B1873" t="str">
        <f t="shared" si="103"/>
        <v>1</v>
      </c>
      <c r="C1873" t="str">
        <f t="shared" si="104"/>
        <v>38</v>
      </c>
      <c r="D1873" t="str">
        <f>"5"</f>
        <v>5</v>
      </c>
      <c r="E1873" t="str">
        <f>"1-38-5"</f>
        <v>1-38-5</v>
      </c>
      <c r="F1873" t="s">
        <v>65</v>
      </c>
      <c r="G1873" t="s">
        <v>66</v>
      </c>
      <c r="H1873" t="s">
        <v>67</v>
      </c>
      <c r="S1873">
        <v>0</v>
      </c>
      <c r="T1873">
        <v>1</v>
      </c>
      <c r="U1873">
        <v>0</v>
      </c>
      <c r="V1873">
        <v>0</v>
      </c>
      <c r="W1873">
        <v>0</v>
      </c>
      <c r="X1873">
        <v>1</v>
      </c>
      <c r="Y1873">
        <v>0</v>
      </c>
      <c r="Z1873">
        <v>1</v>
      </c>
      <c r="AA1873">
        <v>0</v>
      </c>
      <c r="AB1873">
        <v>1</v>
      </c>
      <c r="AC1873">
        <v>0</v>
      </c>
      <c r="AD1873">
        <v>1</v>
      </c>
      <c r="AE1873">
        <v>1</v>
      </c>
      <c r="AF1873">
        <v>1</v>
      </c>
      <c r="AG1873">
        <v>1</v>
      </c>
      <c r="AH1873">
        <v>1</v>
      </c>
      <c r="AI1873">
        <v>1</v>
      </c>
      <c r="AJ1873">
        <v>1</v>
      </c>
      <c r="AK1873">
        <v>1</v>
      </c>
      <c r="AL1873">
        <v>1</v>
      </c>
      <c r="AM1873">
        <v>1</v>
      </c>
    </row>
    <row r="1874" spans="1:39" x14ac:dyDescent="0.2">
      <c r="A1874" t="str">
        <f>"1870"</f>
        <v>1870</v>
      </c>
      <c r="B1874" t="str">
        <f t="shared" si="103"/>
        <v>1</v>
      </c>
      <c r="C1874" t="str">
        <f t="shared" si="104"/>
        <v>38</v>
      </c>
      <c r="D1874" t="str">
        <f>"50"</f>
        <v>50</v>
      </c>
      <c r="E1874" t="str">
        <f>"1-38-50"</f>
        <v>1-38-50</v>
      </c>
      <c r="F1874" t="s">
        <v>65</v>
      </c>
      <c r="G1874" t="s">
        <v>66</v>
      </c>
      <c r="H1874" t="s">
        <v>67</v>
      </c>
      <c r="S1874">
        <v>1</v>
      </c>
      <c r="T1874">
        <v>0</v>
      </c>
      <c r="U1874">
        <v>0</v>
      </c>
      <c r="V1874">
        <v>0</v>
      </c>
      <c r="W1874">
        <v>1</v>
      </c>
      <c r="X1874">
        <v>0</v>
      </c>
      <c r="Y1874">
        <v>0</v>
      </c>
      <c r="Z1874">
        <v>1</v>
      </c>
      <c r="AA1874">
        <v>0</v>
      </c>
      <c r="AB1874">
        <v>1</v>
      </c>
      <c r="AC1874">
        <v>0</v>
      </c>
      <c r="AD1874">
        <v>1</v>
      </c>
      <c r="AE1874">
        <v>1</v>
      </c>
      <c r="AF1874">
        <v>1</v>
      </c>
      <c r="AG1874">
        <v>1</v>
      </c>
      <c r="AH1874">
        <v>1</v>
      </c>
      <c r="AI1874">
        <v>1</v>
      </c>
      <c r="AJ1874">
        <v>1</v>
      </c>
      <c r="AK1874">
        <v>1</v>
      </c>
      <c r="AL1874">
        <v>1</v>
      </c>
      <c r="AM1874">
        <v>1</v>
      </c>
    </row>
    <row r="1875" spans="1:39" x14ac:dyDescent="0.2">
      <c r="A1875" t="str">
        <f>"1871"</f>
        <v>1871</v>
      </c>
      <c r="B1875" t="str">
        <f t="shared" si="103"/>
        <v>1</v>
      </c>
      <c r="C1875" t="str">
        <f t="shared" si="104"/>
        <v>38</v>
      </c>
      <c r="D1875" t="str">
        <f>"33"</f>
        <v>33</v>
      </c>
      <c r="E1875" t="str">
        <f>"1-38-33"</f>
        <v>1-38-33</v>
      </c>
      <c r="F1875" t="s">
        <v>65</v>
      </c>
      <c r="G1875" t="s">
        <v>66</v>
      </c>
      <c r="H1875" t="s">
        <v>67</v>
      </c>
      <c r="S1875">
        <v>0</v>
      </c>
      <c r="T1875">
        <v>1</v>
      </c>
      <c r="U1875">
        <v>0</v>
      </c>
      <c r="V1875">
        <v>0</v>
      </c>
      <c r="W1875">
        <v>0</v>
      </c>
      <c r="X1875">
        <v>1</v>
      </c>
      <c r="Y1875">
        <v>1</v>
      </c>
      <c r="Z1875">
        <v>0</v>
      </c>
      <c r="AA1875">
        <v>0</v>
      </c>
      <c r="AB1875">
        <v>1</v>
      </c>
      <c r="AC1875">
        <v>0</v>
      </c>
      <c r="AD1875">
        <v>1</v>
      </c>
      <c r="AE1875">
        <v>1</v>
      </c>
      <c r="AF1875">
        <v>1</v>
      </c>
      <c r="AG1875">
        <v>1</v>
      </c>
      <c r="AH1875">
        <v>1</v>
      </c>
      <c r="AI1875">
        <v>1</v>
      </c>
      <c r="AJ1875">
        <v>1</v>
      </c>
      <c r="AK1875">
        <v>1</v>
      </c>
      <c r="AL1875">
        <v>1</v>
      </c>
      <c r="AM1875">
        <v>1</v>
      </c>
    </row>
    <row r="1876" spans="1:39" x14ac:dyDescent="0.2">
      <c r="A1876" t="str">
        <f>"1872"</f>
        <v>1872</v>
      </c>
      <c r="B1876" t="str">
        <f t="shared" si="103"/>
        <v>1</v>
      </c>
      <c r="C1876" t="str">
        <f t="shared" si="104"/>
        <v>38</v>
      </c>
      <c r="D1876" t="str">
        <f>"19"</f>
        <v>19</v>
      </c>
      <c r="E1876" t="str">
        <f>"1-38-19"</f>
        <v>1-38-19</v>
      </c>
      <c r="F1876" t="s">
        <v>65</v>
      </c>
      <c r="G1876" t="s">
        <v>66</v>
      </c>
      <c r="H1876" t="s">
        <v>67</v>
      </c>
      <c r="S1876">
        <v>0</v>
      </c>
      <c r="T1876">
        <v>1</v>
      </c>
      <c r="U1876">
        <v>0</v>
      </c>
      <c r="V1876">
        <v>0</v>
      </c>
      <c r="W1876">
        <v>1</v>
      </c>
      <c r="X1876">
        <v>0</v>
      </c>
      <c r="Y1876">
        <v>1</v>
      </c>
      <c r="Z1876">
        <v>0</v>
      </c>
      <c r="AA1876">
        <v>0</v>
      </c>
      <c r="AB1876">
        <v>1</v>
      </c>
      <c r="AC1876">
        <v>0</v>
      </c>
      <c r="AD1876">
        <v>0</v>
      </c>
      <c r="AE1876">
        <v>0</v>
      </c>
      <c r="AF1876">
        <v>0</v>
      </c>
      <c r="AG1876">
        <v>1</v>
      </c>
      <c r="AH1876">
        <v>1</v>
      </c>
      <c r="AI1876">
        <v>1</v>
      </c>
      <c r="AJ1876">
        <v>1</v>
      </c>
      <c r="AK1876">
        <v>1</v>
      </c>
      <c r="AL1876">
        <v>1</v>
      </c>
      <c r="AM1876">
        <v>1</v>
      </c>
    </row>
    <row r="1877" spans="1:39" x14ac:dyDescent="0.2">
      <c r="A1877" t="str">
        <f>"1873"</f>
        <v>1873</v>
      </c>
      <c r="B1877" t="str">
        <f t="shared" si="103"/>
        <v>1</v>
      </c>
      <c r="C1877" t="str">
        <f t="shared" si="104"/>
        <v>38</v>
      </c>
      <c r="D1877" t="str">
        <f>"14"</f>
        <v>14</v>
      </c>
      <c r="E1877" t="str">
        <f>"1-38-14"</f>
        <v>1-38-14</v>
      </c>
      <c r="F1877" t="s">
        <v>65</v>
      </c>
      <c r="G1877" t="s">
        <v>66</v>
      </c>
      <c r="H1877" t="s">
        <v>67</v>
      </c>
      <c r="S1877">
        <v>0</v>
      </c>
      <c r="T1877">
        <v>1</v>
      </c>
      <c r="U1877">
        <v>0</v>
      </c>
      <c r="V1877">
        <v>0</v>
      </c>
      <c r="W1877">
        <v>0</v>
      </c>
      <c r="X1877">
        <v>1</v>
      </c>
      <c r="Y1877">
        <v>0</v>
      </c>
      <c r="Z1877">
        <v>1</v>
      </c>
      <c r="AA1877">
        <v>0</v>
      </c>
      <c r="AB1877">
        <v>0</v>
      </c>
      <c r="AC1877">
        <v>1</v>
      </c>
      <c r="AD1877">
        <v>1</v>
      </c>
      <c r="AE1877">
        <v>1</v>
      </c>
      <c r="AF1877">
        <v>1</v>
      </c>
      <c r="AG1877">
        <v>1</v>
      </c>
      <c r="AH1877">
        <v>1</v>
      </c>
      <c r="AI1877">
        <v>1</v>
      </c>
      <c r="AJ1877">
        <v>1</v>
      </c>
      <c r="AK1877">
        <v>1</v>
      </c>
      <c r="AL1877">
        <v>1</v>
      </c>
      <c r="AM1877">
        <v>1</v>
      </c>
    </row>
    <row r="1878" spans="1:39" x14ac:dyDescent="0.2">
      <c r="A1878" t="str">
        <f>"1874"</f>
        <v>1874</v>
      </c>
      <c r="B1878" t="str">
        <f t="shared" si="103"/>
        <v>1</v>
      </c>
      <c r="C1878" t="str">
        <f t="shared" si="104"/>
        <v>38</v>
      </c>
      <c r="D1878" t="str">
        <f>"47"</f>
        <v>47</v>
      </c>
      <c r="E1878" t="str">
        <f>"1-38-47"</f>
        <v>1-38-47</v>
      </c>
      <c r="F1878" t="s">
        <v>65</v>
      </c>
      <c r="G1878" t="s">
        <v>66</v>
      </c>
      <c r="H1878" t="s">
        <v>67</v>
      </c>
      <c r="S1878">
        <v>0</v>
      </c>
      <c r="T1878">
        <v>1</v>
      </c>
      <c r="U1878">
        <v>0</v>
      </c>
      <c r="V1878">
        <v>0</v>
      </c>
      <c r="W1878">
        <v>1</v>
      </c>
      <c r="X1878">
        <v>0</v>
      </c>
      <c r="Y1878">
        <v>0</v>
      </c>
      <c r="Z1878">
        <v>1</v>
      </c>
      <c r="AA1878">
        <v>1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</row>
    <row r="1879" spans="1:39" x14ac:dyDescent="0.2">
      <c r="A1879" t="str">
        <f>"1875"</f>
        <v>1875</v>
      </c>
      <c r="B1879" t="str">
        <f t="shared" si="103"/>
        <v>1</v>
      </c>
      <c r="C1879" t="str">
        <f t="shared" si="104"/>
        <v>38</v>
      </c>
      <c r="D1879" t="str">
        <f>"46"</f>
        <v>46</v>
      </c>
      <c r="E1879" t="str">
        <f>"1-38-46"</f>
        <v>1-38-46</v>
      </c>
      <c r="F1879" t="s">
        <v>65</v>
      </c>
      <c r="G1879" t="s">
        <v>66</v>
      </c>
      <c r="H1879" t="s">
        <v>67</v>
      </c>
      <c r="S1879">
        <v>0</v>
      </c>
      <c r="T1879">
        <v>1</v>
      </c>
      <c r="U1879">
        <v>0</v>
      </c>
      <c r="V1879">
        <v>0</v>
      </c>
      <c r="W1879">
        <v>0</v>
      </c>
      <c r="X1879">
        <v>0</v>
      </c>
      <c r="Y1879">
        <v>1</v>
      </c>
      <c r="Z1879">
        <v>0</v>
      </c>
      <c r="AA1879">
        <v>0</v>
      </c>
      <c r="AB1879">
        <v>1</v>
      </c>
      <c r="AC1879">
        <v>0</v>
      </c>
      <c r="AD1879">
        <v>1</v>
      </c>
      <c r="AE1879">
        <v>1</v>
      </c>
      <c r="AF1879">
        <v>1</v>
      </c>
      <c r="AG1879">
        <v>1</v>
      </c>
      <c r="AH1879">
        <v>1</v>
      </c>
      <c r="AI1879">
        <v>1</v>
      </c>
      <c r="AJ1879">
        <v>1</v>
      </c>
      <c r="AK1879">
        <v>1</v>
      </c>
      <c r="AL1879">
        <v>1</v>
      </c>
      <c r="AM1879">
        <v>1</v>
      </c>
    </row>
    <row r="1880" spans="1:39" x14ac:dyDescent="0.2">
      <c r="A1880" t="str">
        <f>"1876"</f>
        <v>1876</v>
      </c>
      <c r="B1880" t="str">
        <f t="shared" si="103"/>
        <v>1</v>
      </c>
      <c r="C1880" t="str">
        <f t="shared" si="104"/>
        <v>38</v>
      </c>
      <c r="D1880" t="str">
        <f>"34"</f>
        <v>34</v>
      </c>
      <c r="E1880" t="str">
        <f>"1-38-34"</f>
        <v>1-38-34</v>
      </c>
      <c r="F1880" t="s">
        <v>65</v>
      </c>
      <c r="G1880" t="s">
        <v>66</v>
      </c>
      <c r="H1880" t="s">
        <v>67</v>
      </c>
      <c r="S1880">
        <v>1</v>
      </c>
      <c r="T1880">
        <v>0</v>
      </c>
      <c r="U1880">
        <v>0</v>
      </c>
      <c r="V1880">
        <v>0</v>
      </c>
      <c r="W1880">
        <v>0</v>
      </c>
      <c r="X1880">
        <v>1</v>
      </c>
      <c r="Y1880">
        <v>0</v>
      </c>
      <c r="Z1880">
        <v>1</v>
      </c>
      <c r="AA1880">
        <v>0</v>
      </c>
      <c r="AB1880">
        <v>1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1</v>
      </c>
      <c r="AI1880">
        <v>0</v>
      </c>
      <c r="AJ1880">
        <v>0</v>
      </c>
      <c r="AK1880">
        <v>0</v>
      </c>
      <c r="AL1880">
        <v>0</v>
      </c>
      <c r="AM1880">
        <v>0</v>
      </c>
    </row>
    <row r="1881" spans="1:39" x14ac:dyDescent="0.2">
      <c r="A1881" t="str">
        <f>"1877"</f>
        <v>1877</v>
      </c>
      <c r="B1881" t="str">
        <f t="shared" si="103"/>
        <v>1</v>
      </c>
      <c r="C1881" t="str">
        <f t="shared" si="104"/>
        <v>38</v>
      </c>
      <c r="D1881" t="str">
        <f>"20"</f>
        <v>20</v>
      </c>
      <c r="E1881" t="str">
        <f>"1-38-20"</f>
        <v>1-38-20</v>
      </c>
      <c r="F1881" t="s">
        <v>65</v>
      </c>
      <c r="G1881" t="s">
        <v>66</v>
      </c>
      <c r="H1881" t="s">
        <v>67</v>
      </c>
      <c r="S1881">
        <v>0</v>
      </c>
      <c r="T1881">
        <v>1</v>
      </c>
      <c r="U1881">
        <v>0</v>
      </c>
      <c r="V1881">
        <v>0</v>
      </c>
      <c r="W1881">
        <v>1</v>
      </c>
      <c r="X1881">
        <v>0</v>
      </c>
      <c r="Y1881">
        <v>0</v>
      </c>
      <c r="Z1881">
        <v>1</v>
      </c>
      <c r="AA1881">
        <v>0</v>
      </c>
      <c r="AB1881">
        <v>1</v>
      </c>
      <c r="AC1881">
        <v>0</v>
      </c>
      <c r="AD1881">
        <v>1</v>
      </c>
      <c r="AE1881">
        <v>1</v>
      </c>
      <c r="AF1881">
        <v>1</v>
      </c>
      <c r="AG1881">
        <v>1</v>
      </c>
      <c r="AH1881">
        <v>1</v>
      </c>
      <c r="AI1881">
        <v>1</v>
      </c>
      <c r="AJ1881">
        <v>1</v>
      </c>
      <c r="AK1881">
        <v>1</v>
      </c>
      <c r="AL1881">
        <v>1</v>
      </c>
      <c r="AM1881">
        <v>1</v>
      </c>
    </row>
    <row r="1882" spans="1:39" x14ac:dyDescent="0.2">
      <c r="A1882" t="str">
        <f>"1878"</f>
        <v>1878</v>
      </c>
      <c r="B1882" t="str">
        <f t="shared" si="103"/>
        <v>1</v>
      </c>
      <c r="C1882" t="str">
        <f t="shared" si="104"/>
        <v>38</v>
      </c>
      <c r="D1882" t="str">
        <f>"4"</f>
        <v>4</v>
      </c>
      <c r="E1882" t="str">
        <f>"1-38-4"</f>
        <v>1-38-4</v>
      </c>
      <c r="F1882" t="s">
        <v>65</v>
      </c>
      <c r="G1882" t="s">
        <v>66</v>
      </c>
      <c r="H1882" t="s">
        <v>67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1</v>
      </c>
      <c r="Y1882">
        <v>0</v>
      </c>
      <c r="Z1882">
        <v>1</v>
      </c>
      <c r="AA1882">
        <v>0</v>
      </c>
      <c r="AB1882">
        <v>0</v>
      </c>
      <c r="AC1882">
        <v>1</v>
      </c>
      <c r="AD1882">
        <v>1</v>
      </c>
      <c r="AE1882">
        <v>1</v>
      </c>
      <c r="AF1882">
        <v>1</v>
      </c>
      <c r="AG1882">
        <v>1</v>
      </c>
      <c r="AH1882">
        <v>1</v>
      </c>
      <c r="AI1882">
        <v>1</v>
      </c>
      <c r="AJ1882">
        <v>1</v>
      </c>
      <c r="AK1882">
        <v>1</v>
      </c>
      <c r="AL1882">
        <v>1</v>
      </c>
      <c r="AM1882">
        <v>1</v>
      </c>
    </row>
    <row r="1883" spans="1:39" x14ac:dyDescent="0.2">
      <c r="A1883" t="str">
        <f>"1879"</f>
        <v>1879</v>
      </c>
      <c r="B1883" t="str">
        <f t="shared" si="103"/>
        <v>1</v>
      </c>
      <c r="C1883" t="str">
        <f t="shared" si="104"/>
        <v>38</v>
      </c>
      <c r="D1883" t="str">
        <f>"39"</f>
        <v>39</v>
      </c>
      <c r="E1883" t="str">
        <f>"1-38-39"</f>
        <v>1-38-39</v>
      </c>
      <c r="F1883" t="s">
        <v>65</v>
      </c>
      <c r="G1883" t="s">
        <v>66</v>
      </c>
      <c r="H1883" t="s">
        <v>67</v>
      </c>
      <c r="S1883">
        <v>1</v>
      </c>
      <c r="T1883">
        <v>0</v>
      </c>
      <c r="U1883">
        <v>0</v>
      </c>
      <c r="V1883">
        <v>0</v>
      </c>
      <c r="W1883">
        <v>0</v>
      </c>
      <c r="X1883">
        <v>1</v>
      </c>
      <c r="Y1883">
        <v>0</v>
      </c>
      <c r="Z1883">
        <v>1</v>
      </c>
      <c r="AA1883">
        <v>0</v>
      </c>
      <c r="AB1883">
        <v>0</v>
      </c>
      <c r="AC1883">
        <v>1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</row>
    <row r="1884" spans="1:39" x14ac:dyDescent="0.2">
      <c r="A1884" t="str">
        <f>"1880"</f>
        <v>1880</v>
      </c>
      <c r="B1884" t="str">
        <f t="shared" si="103"/>
        <v>1</v>
      </c>
      <c r="C1884" t="str">
        <f t="shared" si="104"/>
        <v>38</v>
      </c>
      <c r="D1884" t="str">
        <f>"21"</f>
        <v>21</v>
      </c>
      <c r="E1884" t="str">
        <f>"1-38-21"</f>
        <v>1-38-21</v>
      </c>
      <c r="F1884" t="s">
        <v>65</v>
      </c>
      <c r="G1884" t="s">
        <v>66</v>
      </c>
      <c r="H1884" t="s">
        <v>67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1</v>
      </c>
      <c r="AH1884">
        <v>0</v>
      </c>
      <c r="AI1884">
        <v>1</v>
      </c>
      <c r="AJ1884">
        <v>1</v>
      </c>
      <c r="AK1884">
        <v>1</v>
      </c>
      <c r="AL1884">
        <v>1</v>
      </c>
      <c r="AM1884">
        <v>0</v>
      </c>
    </row>
    <row r="1885" spans="1:39" x14ac:dyDescent="0.2">
      <c r="A1885" t="str">
        <f>"1881"</f>
        <v>1881</v>
      </c>
      <c r="B1885" t="str">
        <f t="shared" si="103"/>
        <v>1</v>
      </c>
      <c r="C1885" t="str">
        <f t="shared" si="104"/>
        <v>38</v>
      </c>
      <c r="D1885" t="str">
        <f>"1"</f>
        <v>1</v>
      </c>
      <c r="E1885" t="str">
        <f>"1-38-1"</f>
        <v>1-38-1</v>
      </c>
      <c r="F1885" t="s">
        <v>65</v>
      </c>
      <c r="G1885" t="s">
        <v>66</v>
      </c>
      <c r="H1885" t="s">
        <v>67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0</v>
      </c>
      <c r="AB1885">
        <v>0</v>
      </c>
      <c r="AC1885">
        <v>1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1</v>
      </c>
      <c r="AJ1885">
        <v>0</v>
      </c>
      <c r="AK1885">
        <v>0</v>
      </c>
      <c r="AL1885">
        <v>0</v>
      </c>
      <c r="AM1885">
        <v>0</v>
      </c>
    </row>
    <row r="1886" spans="1:39" x14ac:dyDescent="0.2">
      <c r="A1886" t="str">
        <f>"1882"</f>
        <v>1882</v>
      </c>
      <c r="B1886" t="str">
        <f t="shared" si="103"/>
        <v>1</v>
      </c>
      <c r="C1886" t="str">
        <f t="shared" si="104"/>
        <v>38</v>
      </c>
      <c r="D1886" t="str">
        <f>"40"</f>
        <v>40</v>
      </c>
      <c r="E1886" t="str">
        <f>"1-38-40"</f>
        <v>1-38-40</v>
      </c>
      <c r="F1886" t="s">
        <v>65</v>
      </c>
      <c r="G1886" t="s">
        <v>66</v>
      </c>
      <c r="H1886" t="s">
        <v>67</v>
      </c>
      <c r="S1886">
        <v>1</v>
      </c>
      <c r="T1886">
        <v>0</v>
      </c>
      <c r="U1886">
        <v>0</v>
      </c>
      <c r="V1886">
        <v>0</v>
      </c>
      <c r="W1886">
        <v>0</v>
      </c>
      <c r="X1886">
        <v>1</v>
      </c>
      <c r="Y1886">
        <v>1</v>
      </c>
      <c r="Z1886">
        <v>0</v>
      </c>
      <c r="AA1886">
        <v>0</v>
      </c>
      <c r="AB1886">
        <v>1</v>
      </c>
      <c r="AC1886">
        <v>0</v>
      </c>
      <c r="AD1886">
        <v>1</v>
      </c>
      <c r="AE1886">
        <v>1</v>
      </c>
      <c r="AF1886">
        <v>1</v>
      </c>
      <c r="AG1886">
        <v>1</v>
      </c>
      <c r="AH1886">
        <v>1</v>
      </c>
      <c r="AI1886">
        <v>1</v>
      </c>
      <c r="AJ1886">
        <v>1</v>
      </c>
      <c r="AK1886">
        <v>1</v>
      </c>
      <c r="AL1886">
        <v>1</v>
      </c>
      <c r="AM1886">
        <v>1</v>
      </c>
    </row>
    <row r="1887" spans="1:39" x14ac:dyDescent="0.2">
      <c r="A1887" t="str">
        <f>"1883"</f>
        <v>1883</v>
      </c>
      <c r="B1887" t="str">
        <f t="shared" si="103"/>
        <v>1</v>
      </c>
      <c r="C1887" t="str">
        <f t="shared" ref="C1887:C1904" si="105">"38"</f>
        <v>38</v>
      </c>
      <c r="D1887" t="str">
        <f>"22"</f>
        <v>22</v>
      </c>
      <c r="E1887" t="str">
        <f>"1-38-22"</f>
        <v>1-38-22</v>
      </c>
      <c r="F1887" t="s">
        <v>65</v>
      </c>
      <c r="G1887" t="s">
        <v>66</v>
      </c>
      <c r="H1887" t="s">
        <v>67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1</v>
      </c>
      <c r="Y1887">
        <v>0</v>
      </c>
      <c r="Z1887">
        <v>1</v>
      </c>
      <c r="AA1887">
        <v>0</v>
      </c>
      <c r="AB1887">
        <v>0</v>
      </c>
      <c r="AC1887">
        <v>1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</row>
    <row r="1888" spans="1:39" x14ac:dyDescent="0.2">
      <c r="A1888" t="str">
        <f>"1884"</f>
        <v>1884</v>
      </c>
      <c r="B1888" t="str">
        <f t="shared" si="103"/>
        <v>1</v>
      </c>
      <c r="C1888" t="str">
        <f t="shared" si="105"/>
        <v>38</v>
      </c>
      <c r="D1888" t="str">
        <f>"7"</f>
        <v>7</v>
      </c>
      <c r="E1888" t="str">
        <f>"1-38-7"</f>
        <v>1-38-7</v>
      </c>
      <c r="F1888" t="s">
        <v>65</v>
      </c>
      <c r="G1888" t="s">
        <v>66</v>
      </c>
      <c r="H1888" t="s">
        <v>67</v>
      </c>
      <c r="S1888">
        <v>1</v>
      </c>
      <c r="T1888">
        <v>0</v>
      </c>
      <c r="U1888">
        <v>0</v>
      </c>
      <c r="V1888">
        <v>0</v>
      </c>
      <c r="W1888">
        <v>1</v>
      </c>
      <c r="X1888">
        <v>0</v>
      </c>
      <c r="Y1888">
        <v>1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1</v>
      </c>
      <c r="AF1888">
        <v>1</v>
      </c>
      <c r="AG1888">
        <v>1</v>
      </c>
      <c r="AH1888">
        <v>1</v>
      </c>
      <c r="AI1888">
        <v>1</v>
      </c>
      <c r="AJ1888">
        <v>1</v>
      </c>
      <c r="AK1888">
        <v>1</v>
      </c>
      <c r="AL1888">
        <v>1</v>
      </c>
      <c r="AM1888">
        <v>1</v>
      </c>
    </row>
    <row r="1889" spans="1:39" x14ac:dyDescent="0.2">
      <c r="A1889" t="str">
        <f>"1885"</f>
        <v>1885</v>
      </c>
      <c r="B1889" t="str">
        <f t="shared" si="103"/>
        <v>1</v>
      </c>
      <c r="C1889" t="str">
        <f t="shared" si="105"/>
        <v>38</v>
      </c>
      <c r="D1889" t="str">
        <f>"41"</f>
        <v>41</v>
      </c>
      <c r="E1889" t="str">
        <f>"1-38-41"</f>
        <v>1-38-41</v>
      </c>
      <c r="F1889" t="s">
        <v>65</v>
      </c>
      <c r="G1889" t="s">
        <v>66</v>
      </c>
      <c r="H1889" t="s">
        <v>67</v>
      </c>
      <c r="S1889">
        <v>0</v>
      </c>
      <c r="T1889">
        <v>1</v>
      </c>
      <c r="U1889">
        <v>0</v>
      </c>
      <c r="V1889">
        <v>0</v>
      </c>
      <c r="W1889">
        <v>0</v>
      </c>
      <c r="X1889">
        <v>1</v>
      </c>
      <c r="Y1889">
        <v>0</v>
      </c>
      <c r="Z1889">
        <v>1</v>
      </c>
      <c r="AA1889">
        <v>0</v>
      </c>
      <c r="AB1889">
        <v>0</v>
      </c>
      <c r="AC1889">
        <v>1</v>
      </c>
      <c r="AD1889">
        <v>1</v>
      </c>
      <c r="AE1889">
        <v>1</v>
      </c>
      <c r="AF1889">
        <v>1</v>
      </c>
      <c r="AG1889">
        <v>1</v>
      </c>
      <c r="AH1889">
        <v>1</v>
      </c>
      <c r="AI1889">
        <v>1</v>
      </c>
      <c r="AJ1889">
        <v>1</v>
      </c>
      <c r="AK1889">
        <v>1</v>
      </c>
      <c r="AL1889">
        <v>1</v>
      </c>
      <c r="AM1889">
        <v>1</v>
      </c>
    </row>
    <row r="1890" spans="1:39" x14ac:dyDescent="0.2">
      <c r="A1890" t="str">
        <f>"1886"</f>
        <v>1886</v>
      </c>
      <c r="B1890" t="str">
        <f t="shared" si="103"/>
        <v>1</v>
      </c>
      <c r="C1890" t="str">
        <f t="shared" si="105"/>
        <v>38</v>
      </c>
      <c r="D1890" t="str">
        <f>"23"</f>
        <v>23</v>
      </c>
      <c r="E1890" t="str">
        <f>"1-38-23"</f>
        <v>1-38-23</v>
      </c>
      <c r="F1890" t="s">
        <v>65</v>
      </c>
      <c r="G1890" t="s">
        <v>66</v>
      </c>
      <c r="H1890" t="s">
        <v>67</v>
      </c>
      <c r="S1890">
        <v>1</v>
      </c>
      <c r="T1890">
        <v>0</v>
      </c>
      <c r="U1890">
        <v>0</v>
      </c>
      <c r="V1890">
        <v>0</v>
      </c>
      <c r="W1890">
        <v>1</v>
      </c>
      <c r="X1890">
        <v>0</v>
      </c>
      <c r="Y1890">
        <v>1</v>
      </c>
      <c r="Z1890">
        <v>0</v>
      </c>
      <c r="AA1890">
        <v>0</v>
      </c>
      <c r="AB1890">
        <v>1</v>
      </c>
      <c r="AC1890">
        <v>0</v>
      </c>
      <c r="AD1890">
        <v>1</v>
      </c>
      <c r="AE1890">
        <v>1</v>
      </c>
      <c r="AF1890">
        <v>1</v>
      </c>
      <c r="AG1890">
        <v>1</v>
      </c>
      <c r="AH1890">
        <v>1</v>
      </c>
      <c r="AI1890">
        <v>1</v>
      </c>
      <c r="AJ1890">
        <v>1</v>
      </c>
      <c r="AK1890">
        <v>1</v>
      </c>
      <c r="AL1890">
        <v>1</v>
      </c>
      <c r="AM1890">
        <v>1</v>
      </c>
    </row>
    <row r="1891" spans="1:39" x14ac:dyDescent="0.2">
      <c r="A1891" t="str">
        <f>"1887"</f>
        <v>1887</v>
      </c>
      <c r="B1891" t="str">
        <f t="shared" si="103"/>
        <v>1</v>
      </c>
      <c r="C1891" t="str">
        <f t="shared" si="105"/>
        <v>38</v>
      </c>
      <c r="D1891" t="str">
        <f>"3"</f>
        <v>3</v>
      </c>
      <c r="E1891" t="str">
        <f>"1-38-3"</f>
        <v>1-38-3</v>
      </c>
      <c r="F1891" t="s">
        <v>65</v>
      </c>
      <c r="G1891" t="s">
        <v>66</v>
      </c>
      <c r="H1891" t="s">
        <v>67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1</v>
      </c>
      <c r="Y1891">
        <v>0</v>
      </c>
      <c r="Z1891">
        <v>1</v>
      </c>
      <c r="AA1891">
        <v>0</v>
      </c>
      <c r="AB1891">
        <v>0</v>
      </c>
      <c r="AC1891">
        <v>1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</row>
    <row r="1892" spans="1:39" x14ac:dyDescent="0.2">
      <c r="A1892" t="str">
        <f>"1888"</f>
        <v>1888</v>
      </c>
      <c r="B1892" t="str">
        <f t="shared" si="103"/>
        <v>1</v>
      </c>
      <c r="C1892" t="str">
        <f t="shared" si="105"/>
        <v>38</v>
      </c>
      <c r="D1892" t="str">
        <f>"48"</f>
        <v>48</v>
      </c>
      <c r="E1892" t="str">
        <f>"1-38-48"</f>
        <v>1-38-48</v>
      </c>
      <c r="F1892" t="s">
        <v>65</v>
      </c>
      <c r="G1892" t="s">
        <v>66</v>
      </c>
      <c r="H1892" t="s">
        <v>67</v>
      </c>
      <c r="S1892">
        <v>0</v>
      </c>
      <c r="T1892">
        <v>1</v>
      </c>
      <c r="U1892">
        <v>0</v>
      </c>
      <c r="V1892">
        <v>0</v>
      </c>
      <c r="W1892">
        <v>0</v>
      </c>
      <c r="X1892">
        <v>1</v>
      </c>
      <c r="Y1892">
        <v>0</v>
      </c>
      <c r="Z1892">
        <v>1</v>
      </c>
      <c r="AA1892">
        <v>0</v>
      </c>
      <c r="AB1892">
        <v>0</v>
      </c>
      <c r="AC1892">
        <v>1</v>
      </c>
      <c r="AD1892">
        <v>1</v>
      </c>
      <c r="AE1892">
        <v>1</v>
      </c>
      <c r="AF1892">
        <v>1</v>
      </c>
      <c r="AG1892">
        <v>1</v>
      </c>
      <c r="AH1892">
        <v>1</v>
      </c>
      <c r="AI1892">
        <v>1</v>
      </c>
      <c r="AJ1892">
        <v>1</v>
      </c>
      <c r="AK1892">
        <v>1</v>
      </c>
      <c r="AL1892">
        <v>1</v>
      </c>
      <c r="AM1892">
        <v>1</v>
      </c>
    </row>
    <row r="1893" spans="1:39" x14ac:dyDescent="0.2">
      <c r="A1893" t="str">
        <f>"1889"</f>
        <v>1889</v>
      </c>
      <c r="B1893" t="str">
        <f t="shared" si="103"/>
        <v>1</v>
      </c>
      <c r="C1893" t="str">
        <f t="shared" si="105"/>
        <v>38</v>
      </c>
      <c r="D1893" t="str">
        <f>"26"</f>
        <v>26</v>
      </c>
      <c r="E1893" t="str">
        <f>"1-38-26"</f>
        <v>1-38-26</v>
      </c>
      <c r="F1893" t="s">
        <v>65</v>
      </c>
      <c r="G1893" t="s">
        <v>66</v>
      </c>
      <c r="H1893" t="s">
        <v>67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1</v>
      </c>
      <c r="Y1893">
        <v>0</v>
      </c>
      <c r="Z1893">
        <v>1</v>
      </c>
      <c r="AA1893">
        <v>0</v>
      </c>
      <c r="AB1893">
        <v>1</v>
      </c>
      <c r="AC1893">
        <v>0</v>
      </c>
      <c r="AD1893">
        <v>1</v>
      </c>
      <c r="AE1893">
        <v>1</v>
      </c>
      <c r="AF1893">
        <v>1</v>
      </c>
      <c r="AG1893">
        <v>1</v>
      </c>
      <c r="AH1893">
        <v>1</v>
      </c>
      <c r="AI1893">
        <v>1</v>
      </c>
      <c r="AJ1893">
        <v>1</v>
      </c>
      <c r="AK1893">
        <v>1</v>
      </c>
      <c r="AL1893">
        <v>1</v>
      </c>
      <c r="AM1893">
        <v>1</v>
      </c>
    </row>
    <row r="1894" spans="1:39" x14ac:dyDescent="0.2">
      <c r="A1894" t="str">
        <f>"1890"</f>
        <v>1890</v>
      </c>
      <c r="B1894" t="str">
        <f t="shared" si="103"/>
        <v>1</v>
      </c>
      <c r="C1894" t="str">
        <f t="shared" si="105"/>
        <v>38</v>
      </c>
      <c r="D1894" t="str">
        <f>"11"</f>
        <v>11</v>
      </c>
      <c r="E1894" t="str">
        <f>"1-38-11"</f>
        <v>1-38-11</v>
      </c>
      <c r="F1894" t="s">
        <v>65</v>
      </c>
      <c r="G1894" t="s">
        <v>66</v>
      </c>
      <c r="H1894" t="s">
        <v>67</v>
      </c>
      <c r="S1894">
        <v>0</v>
      </c>
      <c r="T1894">
        <v>1</v>
      </c>
      <c r="U1894">
        <v>0</v>
      </c>
      <c r="V1894">
        <v>0</v>
      </c>
      <c r="W1894">
        <v>1</v>
      </c>
      <c r="X1894">
        <v>0</v>
      </c>
      <c r="Y1894">
        <v>1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1</v>
      </c>
      <c r="AF1894">
        <v>1</v>
      </c>
      <c r="AG1894">
        <v>1</v>
      </c>
      <c r="AH1894">
        <v>1</v>
      </c>
      <c r="AI1894">
        <v>1</v>
      </c>
      <c r="AJ1894">
        <v>1</v>
      </c>
      <c r="AK1894">
        <v>1</v>
      </c>
      <c r="AL1894">
        <v>1</v>
      </c>
      <c r="AM1894">
        <v>1</v>
      </c>
    </row>
    <row r="1895" spans="1:39" x14ac:dyDescent="0.2">
      <c r="A1895" t="str">
        <f>"1891"</f>
        <v>1891</v>
      </c>
      <c r="B1895" t="str">
        <f t="shared" si="103"/>
        <v>1</v>
      </c>
      <c r="C1895" t="str">
        <f t="shared" si="105"/>
        <v>38</v>
      </c>
      <c r="D1895" t="str">
        <f>"49"</f>
        <v>49</v>
      </c>
      <c r="E1895" t="str">
        <f>"1-38-49"</f>
        <v>1-38-49</v>
      </c>
      <c r="F1895" t="s">
        <v>65</v>
      </c>
      <c r="G1895" t="s">
        <v>66</v>
      </c>
      <c r="H1895" t="s">
        <v>67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0</v>
      </c>
      <c r="AB1895">
        <v>0</v>
      </c>
      <c r="AC1895">
        <v>1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1</v>
      </c>
      <c r="AJ1895">
        <v>0</v>
      </c>
      <c r="AK1895">
        <v>0</v>
      </c>
      <c r="AL1895">
        <v>0</v>
      </c>
      <c r="AM1895">
        <v>0</v>
      </c>
    </row>
    <row r="1896" spans="1:39" x14ac:dyDescent="0.2">
      <c r="A1896" t="str">
        <f>"1892"</f>
        <v>1892</v>
      </c>
      <c r="B1896" t="str">
        <f t="shared" si="103"/>
        <v>1</v>
      </c>
      <c r="C1896" t="str">
        <f t="shared" si="105"/>
        <v>38</v>
      </c>
      <c r="D1896" t="str">
        <f>"27"</f>
        <v>27</v>
      </c>
      <c r="E1896" t="str">
        <f>"1-38-27"</f>
        <v>1-38-27</v>
      </c>
      <c r="F1896" t="s">
        <v>65</v>
      </c>
      <c r="G1896" t="s">
        <v>66</v>
      </c>
      <c r="H1896" t="s">
        <v>67</v>
      </c>
      <c r="S1896">
        <v>1</v>
      </c>
      <c r="T1896">
        <v>0</v>
      </c>
      <c r="U1896">
        <v>0</v>
      </c>
      <c r="V1896">
        <v>0</v>
      </c>
      <c r="W1896">
        <v>1</v>
      </c>
      <c r="X1896">
        <v>0</v>
      </c>
      <c r="Y1896">
        <v>1</v>
      </c>
      <c r="Z1896">
        <v>0</v>
      </c>
      <c r="AA1896">
        <v>0</v>
      </c>
      <c r="AB1896">
        <v>0</v>
      </c>
      <c r="AC1896">
        <v>1</v>
      </c>
      <c r="AD1896">
        <v>1</v>
      </c>
      <c r="AE1896">
        <v>1</v>
      </c>
      <c r="AF1896">
        <v>1</v>
      </c>
      <c r="AG1896">
        <v>1</v>
      </c>
      <c r="AH1896">
        <v>1</v>
      </c>
      <c r="AI1896">
        <v>1</v>
      </c>
      <c r="AJ1896">
        <v>1</v>
      </c>
      <c r="AK1896">
        <v>1</v>
      </c>
      <c r="AL1896">
        <v>1</v>
      </c>
      <c r="AM1896">
        <v>1</v>
      </c>
    </row>
    <row r="1897" spans="1:39" x14ac:dyDescent="0.2">
      <c r="A1897" t="str">
        <f>"1893"</f>
        <v>1893</v>
      </c>
      <c r="B1897" t="str">
        <f t="shared" si="103"/>
        <v>1</v>
      </c>
      <c r="C1897" t="str">
        <f t="shared" si="105"/>
        <v>38</v>
      </c>
      <c r="D1897" t="str">
        <f>"10"</f>
        <v>10</v>
      </c>
      <c r="E1897" t="str">
        <f>"1-38-10"</f>
        <v>1-38-10</v>
      </c>
      <c r="F1897" t="s">
        <v>65</v>
      </c>
      <c r="G1897" t="s">
        <v>66</v>
      </c>
      <c r="H1897" t="s">
        <v>67</v>
      </c>
      <c r="S1897">
        <v>0</v>
      </c>
      <c r="T1897">
        <v>1</v>
      </c>
      <c r="U1897">
        <v>0</v>
      </c>
      <c r="V1897">
        <v>0</v>
      </c>
      <c r="W1897">
        <v>1</v>
      </c>
      <c r="X1897">
        <v>0</v>
      </c>
      <c r="Y1897">
        <v>1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1</v>
      </c>
      <c r="AF1897">
        <v>1</v>
      </c>
      <c r="AG1897">
        <v>1</v>
      </c>
      <c r="AH1897">
        <v>1</v>
      </c>
      <c r="AI1897">
        <v>1</v>
      </c>
      <c r="AJ1897">
        <v>1</v>
      </c>
      <c r="AK1897">
        <v>1</v>
      </c>
      <c r="AL1897">
        <v>1</v>
      </c>
      <c r="AM1897">
        <v>1</v>
      </c>
    </row>
    <row r="1898" spans="1:39" x14ac:dyDescent="0.2">
      <c r="A1898" t="str">
        <f>"1894"</f>
        <v>1894</v>
      </c>
      <c r="B1898" t="str">
        <f t="shared" si="103"/>
        <v>1</v>
      </c>
      <c r="C1898" t="str">
        <f t="shared" si="105"/>
        <v>38</v>
      </c>
      <c r="D1898" t="str">
        <f>"28"</f>
        <v>28</v>
      </c>
      <c r="E1898" t="str">
        <f>"1-38-28"</f>
        <v>1-38-28</v>
      </c>
      <c r="F1898" t="s">
        <v>65</v>
      </c>
      <c r="G1898" t="s">
        <v>66</v>
      </c>
      <c r="H1898" t="s">
        <v>67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1</v>
      </c>
      <c r="Y1898">
        <v>1</v>
      </c>
      <c r="Z1898">
        <v>0</v>
      </c>
      <c r="AA1898">
        <v>0</v>
      </c>
      <c r="AB1898">
        <v>1</v>
      </c>
      <c r="AC1898">
        <v>0</v>
      </c>
      <c r="AD1898">
        <v>0</v>
      </c>
      <c r="AE1898">
        <v>0</v>
      </c>
      <c r="AF1898">
        <v>0</v>
      </c>
      <c r="AG1898">
        <v>1</v>
      </c>
      <c r="AH1898">
        <v>1</v>
      </c>
      <c r="AI1898">
        <v>1</v>
      </c>
      <c r="AJ1898">
        <v>1</v>
      </c>
      <c r="AK1898">
        <v>1</v>
      </c>
      <c r="AL1898">
        <v>1</v>
      </c>
      <c r="AM1898">
        <v>0</v>
      </c>
    </row>
    <row r="1899" spans="1:39" x14ac:dyDescent="0.2">
      <c r="A1899" t="str">
        <f>"1895"</f>
        <v>1895</v>
      </c>
      <c r="B1899" t="str">
        <f t="shared" si="103"/>
        <v>1</v>
      </c>
      <c r="C1899" t="str">
        <f t="shared" si="105"/>
        <v>38</v>
      </c>
      <c r="D1899" t="str">
        <f>"13"</f>
        <v>13</v>
      </c>
      <c r="E1899" t="str">
        <f>"1-38-13"</f>
        <v>1-38-13</v>
      </c>
      <c r="F1899" t="s">
        <v>65</v>
      </c>
      <c r="G1899" t="s">
        <v>66</v>
      </c>
      <c r="H1899" t="s">
        <v>67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1</v>
      </c>
      <c r="Y1899">
        <v>0</v>
      </c>
      <c r="Z1899">
        <v>1</v>
      </c>
      <c r="AA1899">
        <v>0</v>
      </c>
      <c r="AB1899">
        <v>1</v>
      </c>
      <c r="AC1899">
        <v>0</v>
      </c>
      <c r="AD1899">
        <v>1</v>
      </c>
      <c r="AE1899">
        <v>1</v>
      </c>
      <c r="AF1899">
        <v>1</v>
      </c>
      <c r="AG1899">
        <v>1</v>
      </c>
      <c r="AH1899">
        <v>1</v>
      </c>
      <c r="AI1899">
        <v>1</v>
      </c>
      <c r="AJ1899">
        <v>1</v>
      </c>
      <c r="AK1899">
        <v>1</v>
      </c>
      <c r="AL1899">
        <v>1</v>
      </c>
      <c r="AM1899">
        <v>1</v>
      </c>
    </row>
    <row r="1900" spans="1:39" x14ac:dyDescent="0.2">
      <c r="A1900" t="str">
        <f>"1896"</f>
        <v>1896</v>
      </c>
      <c r="B1900" t="str">
        <f t="shared" si="103"/>
        <v>1</v>
      </c>
      <c r="C1900" t="str">
        <f t="shared" si="105"/>
        <v>38</v>
      </c>
      <c r="D1900" t="str">
        <f>"29"</f>
        <v>29</v>
      </c>
      <c r="E1900" t="str">
        <f>"1-38-29"</f>
        <v>1-38-29</v>
      </c>
      <c r="F1900" t="s">
        <v>65</v>
      </c>
      <c r="G1900" t="s">
        <v>66</v>
      </c>
      <c r="H1900" t="s">
        <v>67</v>
      </c>
      <c r="S1900">
        <v>1</v>
      </c>
      <c r="T1900">
        <v>0</v>
      </c>
      <c r="U1900">
        <v>0</v>
      </c>
      <c r="V1900">
        <v>0</v>
      </c>
      <c r="W1900">
        <v>1</v>
      </c>
      <c r="X1900">
        <v>0</v>
      </c>
      <c r="Y1900">
        <v>1</v>
      </c>
      <c r="Z1900">
        <v>0</v>
      </c>
      <c r="AA1900">
        <v>0</v>
      </c>
      <c r="AB1900">
        <v>0</v>
      </c>
      <c r="AC1900">
        <v>1</v>
      </c>
      <c r="AD1900">
        <v>1</v>
      </c>
      <c r="AE1900">
        <v>1</v>
      </c>
      <c r="AF1900">
        <v>1</v>
      </c>
      <c r="AG1900">
        <v>0</v>
      </c>
      <c r="AH1900">
        <v>1</v>
      </c>
      <c r="AI1900">
        <v>0</v>
      </c>
      <c r="AJ1900">
        <v>1</v>
      </c>
      <c r="AK1900">
        <v>1</v>
      </c>
      <c r="AL1900">
        <v>1</v>
      </c>
      <c r="AM1900">
        <v>1</v>
      </c>
    </row>
    <row r="1901" spans="1:39" x14ac:dyDescent="0.2">
      <c r="A1901" t="str">
        <f>"1897"</f>
        <v>1897</v>
      </c>
      <c r="B1901" t="str">
        <f t="shared" si="103"/>
        <v>1</v>
      </c>
      <c r="C1901" t="str">
        <f t="shared" si="105"/>
        <v>38</v>
      </c>
      <c r="D1901" t="str">
        <f>"12"</f>
        <v>12</v>
      </c>
      <c r="E1901" t="str">
        <f>"1-38-12"</f>
        <v>1-38-12</v>
      </c>
      <c r="F1901" t="s">
        <v>65</v>
      </c>
      <c r="G1901" t="s">
        <v>66</v>
      </c>
      <c r="H1901" t="s">
        <v>67</v>
      </c>
      <c r="S1901">
        <v>1</v>
      </c>
      <c r="T1901">
        <v>0</v>
      </c>
      <c r="U1901">
        <v>0</v>
      </c>
      <c r="V1901">
        <v>0</v>
      </c>
      <c r="W1901">
        <v>1</v>
      </c>
      <c r="X1901">
        <v>0</v>
      </c>
      <c r="Y1901">
        <v>1</v>
      </c>
      <c r="Z1901">
        <v>0</v>
      </c>
      <c r="AA1901">
        <v>0</v>
      </c>
      <c r="AB1901">
        <v>1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1</v>
      </c>
      <c r="AK1901">
        <v>0</v>
      </c>
      <c r="AL1901">
        <v>1</v>
      </c>
      <c r="AM1901">
        <v>0</v>
      </c>
    </row>
    <row r="1902" spans="1:39" x14ac:dyDescent="0.2">
      <c r="A1902" t="str">
        <f>"1898"</f>
        <v>1898</v>
      </c>
      <c r="B1902" t="str">
        <f t="shared" si="103"/>
        <v>1</v>
      </c>
      <c r="C1902" t="str">
        <f t="shared" si="105"/>
        <v>38</v>
      </c>
      <c r="D1902" t="str">
        <f>"30"</f>
        <v>30</v>
      </c>
      <c r="E1902" t="str">
        <f>"1-38-30"</f>
        <v>1-38-30</v>
      </c>
      <c r="F1902" t="s">
        <v>65</v>
      </c>
      <c r="G1902" t="s">
        <v>66</v>
      </c>
      <c r="H1902" t="s">
        <v>67</v>
      </c>
      <c r="S1902">
        <v>0</v>
      </c>
      <c r="T1902">
        <v>1</v>
      </c>
      <c r="U1902">
        <v>0</v>
      </c>
      <c r="V1902">
        <v>0</v>
      </c>
      <c r="W1902">
        <v>1</v>
      </c>
      <c r="X1902">
        <v>0</v>
      </c>
      <c r="Y1902">
        <v>1</v>
      </c>
      <c r="Z1902">
        <v>0</v>
      </c>
      <c r="AA1902">
        <v>0</v>
      </c>
      <c r="AB1902">
        <v>1</v>
      </c>
      <c r="AC1902">
        <v>0</v>
      </c>
      <c r="AD1902">
        <v>1</v>
      </c>
      <c r="AE1902">
        <v>1</v>
      </c>
      <c r="AF1902">
        <v>1</v>
      </c>
      <c r="AG1902">
        <v>1</v>
      </c>
      <c r="AH1902">
        <v>1</v>
      </c>
      <c r="AI1902">
        <v>1</v>
      </c>
      <c r="AJ1902">
        <v>1</v>
      </c>
      <c r="AK1902">
        <v>1</v>
      </c>
      <c r="AL1902">
        <v>1</v>
      </c>
      <c r="AM1902">
        <v>1</v>
      </c>
    </row>
    <row r="1903" spans="1:39" x14ac:dyDescent="0.2">
      <c r="A1903" t="str">
        <f>"1899"</f>
        <v>1899</v>
      </c>
      <c r="B1903" t="str">
        <f t="shared" si="103"/>
        <v>1</v>
      </c>
      <c r="C1903" t="str">
        <f t="shared" si="105"/>
        <v>38</v>
      </c>
      <c r="D1903" t="str">
        <f>"9"</f>
        <v>9</v>
      </c>
      <c r="E1903" t="str">
        <f>"1-38-9"</f>
        <v>1-38-9</v>
      </c>
      <c r="F1903" t="s">
        <v>65</v>
      </c>
      <c r="G1903" t="s">
        <v>66</v>
      </c>
      <c r="H1903" t="s">
        <v>67</v>
      </c>
      <c r="S1903">
        <v>0</v>
      </c>
      <c r="T1903">
        <v>1</v>
      </c>
      <c r="U1903">
        <v>0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1</v>
      </c>
      <c r="AE1903">
        <v>1</v>
      </c>
      <c r="AF1903">
        <v>0</v>
      </c>
      <c r="AG1903">
        <v>1</v>
      </c>
      <c r="AH1903">
        <v>1</v>
      </c>
      <c r="AI1903">
        <v>1</v>
      </c>
      <c r="AJ1903">
        <v>1</v>
      </c>
      <c r="AK1903">
        <v>1</v>
      </c>
      <c r="AL1903">
        <v>1</v>
      </c>
      <c r="AM1903">
        <v>0</v>
      </c>
    </row>
    <row r="1904" spans="1:39" x14ac:dyDescent="0.2">
      <c r="A1904" t="str">
        <f>"1900"</f>
        <v>1900</v>
      </c>
      <c r="B1904" t="str">
        <f t="shared" si="103"/>
        <v>1</v>
      </c>
      <c r="C1904" t="str">
        <f t="shared" si="105"/>
        <v>38</v>
      </c>
      <c r="D1904" t="str">
        <f>"38"</f>
        <v>38</v>
      </c>
      <c r="E1904" t="str">
        <f>"1-38-38"</f>
        <v>1-38-38</v>
      </c>
      <c r="F1904" t="s">
        <v>65</v>
      </c>
      <c r="G1904" t="s">
        <v>66</v>
      </c>
      <c r="H1904" t="s">
        <v>67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0</v>
      </c>
      <c r="AB1904">
        <v>1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</row>
    <row r="1905" spans="1:39" x14ac:dyDescent="0.2">
      <c r="A1905" t="str">
        <f>"1901"</f>
        <v>1901</v>
      </c>
      <c r="B1905" t="str">
        <f t="shared" si="103"/>
        <v>1</v>
      </c>
      <c r="C1905" t="str">
        <f t="shared" ref="C1905:C1936" si="106">"39"</f>
        <v>39</v>
      </c>
      <c r="D1905" t="str">
        <f>"36"</f>
        <v>36</v>
      </c>
      <c r="E1905" t="str">
        <f>"1-39-36"</f>
        <v>1-39-36</v>
      </c>
      <c r="F1905" t="s">
        <v>65</v>
      </c>
      <c r="G1905" t="s">
        <v>66</v>
      </c>
      <c r="H1905" t="s">
        <v>67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1</v>
      </c>
      <c r="AJ1905">
        <v>1</v>
      </c>
      <c r="AK1905">
        <v>1</v>
      </c>
      <c r="AL1905">
        <v>1</v>
      </c>
      <c r="AM1905">
        <v>1</v>
      </c>
    </row>
    <row r="1906" spans="1:39" x14ac:dyDescent="0.2">
      <c r="A1906" t="str">
        <f>"1902"</f>
        <v>1902</v>
      </c>
      <c r="B1906" t="str">
        <f t="shared" si="103"/>
        <v>1</v>
      </c>
      <c r="C1906" t="str">
        <f t="shared" si="106"/>
        <v>39</v>
      </c>
      <c r="D1906" t="str">
        <f>"35"</f>
        <v>35</v>
      </c>
      <c r="E1906" t="str">
        <f>"1-39-35"</f>
        <v>1-39-35</v>
      </c>
      <c r="F1906" t="s">
        <v>65</v>
      </c>
      <c r="G1906" t="s">
        <v>66</v>
      </c>
      <c r="H1906" t="s">
        <v>67</v>
      </c>
      <c r="S1906">
        <v>0</v>
      </c>
      <c r="T1906">
        <v>1</v>
      </c>
      <c r="U1906">
        <v>0</v>
      </c>
      <c r="V1906">
        <v>0</v>
      </c>
      <c r="W1906">
        <v>0</v>
      </c>
      <c r="X1906">
        <v>1</v>
      </c>
      <c r="Y1906">
        <v>1</v>
      </c>
      <c r="Z1906">
        <v>0</v>
      </c>
      <c r="AA1906">
        <v>0</v>
      </c>
      <c r="AB1906">
        <v>0</v>
      </c>
      <c r="AC1906">
        <v>1</v>
      </c>
      <c r="AD1906">
        <v>1</v>
      </c>
      <c r="AE1906">
        <v>1</v>
      </c>
      <c r="AF1906">
        <v>1</v>
      </c>
      <c r="AG1906">
        <v>1</v>
      </c>
      <c r="AH1906">
        <v>1</v>
      </c>
      <c r="AI1906">
        <v>1</v>
      </c>
      <c r="AJ1906">
        <v>1</v>
      </c>
      <c r="AK1906">
        <v>1</v>
      </c>
      <c r="AL1906">
        <v>1</v>
      </c>
      <c r="AM1906">
        <v>1</v>
      </c>
    </row>
    <row r="1907" spans="1:39" x14ac:dyDescent="0.2">
      <c r="A1907" t="str">
        <f>"1903"</f>
        <v>1903</v>
      </c>
      <c r="B1907" t="str">
        <f t="shared" si="103"/>
        <v>1</v>
      </c>
      <c r="C1907" t="str">
        <f t="shared" si="106"/>
        <v>39</v>
      </c>
      <c r="D1907" t="str">
        <f>"24"</f>
        <v>24</v>
      </c>
      <c r="E1907" t="str">
        <f>"1-39-24"</f>
        <v>1-39-24</v>
      </c>
      <c r="F1907" t="s">
        <v>65</v>
      </c>
      <c r="G1907" t="s">
        <v>66</v>
      </c>
      <c r="H1907" t="s">
        <v>67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1</v>
      </c>
      <c r="Y1907">
        <v>0</v>
      </c>
      <c r="Z1907">
        <v>1</v>
      </c>
      <c r="AA1907">
        <v>0</v>
      </c>
      <c r="AB1907">
        <v>1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</row>
    <row r="1908" spans="1:39" x14ac:dyDescent="0.2">
      <c r="A1908" t="str">
        <f>"1904"</f>
        <v>1904</v>
      </c>
      <c r="B1908" t="str">
        <f t="shared" si="103"/>
        <v>1</v>
      </c>
      <c r="C1908" t="str">
        <f t="shared" si="106"/>
        <v>39</v>
      </c>
      <c r="D1908" t="str">
        <f>"15"</f>
        <v>15</v>
      </c>
      <c r="E1908" t="str">
        <f>"1-39-15"</f>
        <v>1-39-15</v>
      </c>
      <c r="F1908" t="s">
        <v>65</v>
      </c>
      <c r="G1908" t="s">
        <v>66</v>
      </c>
      <c r="H1908" t="s">
        <v>67</v>
      </c>
      <c r="S1908">
        <v>1</v>
      </c>
      <c r="T1908">
        <v>0</v>
      </c>
      <c r="U1908">
        <v>0</v>
      </c>
      <c r="V1908">
        <v>0</v>
      </c>
      <c r="W1908">
        <v>0</v>
      </c>
      <c r="X1908">
        <v>1</v>
      </c>
      <c r="Y1908">
        <v>0</v>
      </c>
      <c r="Z1908">
        <v>1</v>
      </c>
      <c r="AA1908">
        <v>0</v>
      </c>
      <c r="AB1908">
        <v>1</v>
      </c>
      <c r="AC1908">
        <v>0</v>
      </c>
      <c r="AD1908">
        <v>1</v>
      </c>
      <c r="AE1908">
        <v>1</v>
      </c>
      <c r="AF1908">
        <v>1</v>
      </c>
      <c r="AG1908">
        <v>1</v>
      </c>
      <c r="AH1908">
        <v>1</v>
      </c>
      <c r="AI1908">
        <v>1</v>
      </c>
      <c r="AJ1908">
        <v>1</v>
      </c>
      <c r="AK1908">
        <v>1</v>
      </c>
      <c r="AL1908">
        <v>1</v>
      </c>
      <c r="AM1908">
        <v>1</v>
      </c>
    </row>
    <row r="1909" spans="1:39" x14ac:dyDescent="0.2">
      <c r="A1909" t="str">
        <f>"1905"</f>
        <v>1905</v>
      </c>
      <c r="B1909" t="str">
        <f t="shared" si="103"/>
        <v>1</v>
      </c>
      <c r="C1909" t="str">
        <f t="shared" si="106"/>
        <v>39</v>
      </c>
      <c r="D1909" t="str">
        <f>"12"</f>
        <v>12</v>
      </c>
      <c r="E1909" t="str">
        <f>"1-39-12"</f>
        <v>1-39-12</v>
      </c>
      <c r="F1909" t="s">
        <v>65</v>
      </c>
      <c r="G1909" t="s">
        <v>66</v>
      </c>
      <c r="H1909" t="s">
        <v>67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</row>
    <row r="1910" spans="1:39" x14ac:dyDescent="0.2">
      <c r="A1910" t="str">
        <f>"1906"</f>
        <v>1906</v>
      </c>
      <c r="B1910" t="str">
        <f t="shared" si="103"/>
        <v>1</v>
      </c>
      <c r="C1910" t="str">
        <f t="shared" si="106"/>
        <v>39</v>
      </c>
      <c r="D1910" t="str">
        <f>"38"</f>
        <v>38</v>
      </c>
      <c r="E1910" t="str">
        <f>"1-39-38"</f>
        <v>1-39-38</v>
      </c>
      <c r="F1910" t="s">
        <v>65</v>
      </c>
      <c r="G1910" t="s">
        <v>66</v>
      </c>
      <c r="H1910" t="s">
        <v>67</v>
      </c>
      <c r="S1910">
        <v>0</v>
      </c>
      <c r="T1910">
        <v>1</v>
      </c>
      <c r="U1910">
        <v>0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0</v>
      </c>
      <c r="AB1910">
        <v>0</v>
      </c>
      <c r="AC1910">
        <v>1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</row>
    <row r="1911" spans="1:39" x14ac:dyDescent="0.2">
      <c r="A1911" t="str">
        <f>"1907"</f>
        <v>1907</v>
      </c>
      <c r="B1911" t="str">
        <f t="shared" ref="B1911:B1974" si="107">"1"</f>
        <v>1</v>
      </c>
      <c r="C1911" t="str">
        <f t="shared" si="106"/>
        <v>39</v>
      </c>
      <c r="D1911" t="str">
        <f>"37"</f>
        <v>37</v>
      </c>
      <c r="E1911" t="str">
        <f>"1-39-37"</f>
        <v>1-39-37</v>
      </c>
      <c r="F1911" t="s">
        <v>65</v>
      </c>
      <c r="G1911" t="s">
        <v>66</v>
      </c>
      <c r="H1911" t="s">
        <v>67</v>
      </c>
      <c r="S1911">
        <v>0</v>
      </c>
      <c r="T1911">
        <v>1</v>
      </c>
      <c r="U1911">
        <v>0</v>
      </c>
      <c r="V1911">
        <v>0</v>
      </c>
      <c r="W1911">
        <v>1</v>
      </c>
      <c r="X1911">
        <v>0</v>
      </c>
      <c r="Y1911">
        <v>1</v>
      </c>
      <c r="Z1911">
        <v>0</v>
      </c>
      <c r="AA1911">
        <v>0</v>
      </c>
      <c r="AB1911">
        <v>0</v>
      </c>
      <c r="AC1911">
        <v>1</v>
      </c>
      <c r="AD1911">
        <v>1</v>
      </c>
      <c r="AE1911">
        <v>1</v>
      </c>
      <c r="AF1911">
        <v>1</v>
      </c>
      <c r="AG1911">
        <v>1</v>
      </c>
      <c r="AH1911">
        <v>1</v>
      </c>
      <c r="AI1911">
        <v>1</v>
      </c>
      <c r="AJ1911">
        <v>1</v>
      </c>
      <c r="AK1911">
        <v>1</v>
      </c>
      <c r="AL1911">
        <v>1</v>
      </c>
      <c r="AM1911">
        <v>1</v>
      </c>
    </row>
    <row r="1912" spans="1:39" x14ac:dyDescent="0.2">
      <c r="A1912" t="str">
        <f>"1908"</f>
        <v>1908</v>
      </c>
      <c r="B1912" t="str">
        <f t="shared" si="107"/>
        <v>1</v>
      </c>
      <c r="C1912" t="str">
        <f t="shared" si="106"/>
        <v>39</v>
      </c>
      <c r="D1912" t="str">
        <f>"26"</f>
        <v>26</v>
      </c>
      <c r="E1912" t="str">
        <f>"1-39-26"</f>
        <v>1-39-26</v>
      </c>
      <c r="F1912" t="s">
        <v>65</v>
      </c>
      <c r="G1912" t="s">
        <v>66</v>
      </c>
      <c r="H1912" t="s">
        <v>67</v>
      </c>
      <c r="S1912">
        <v>0</v>
      </c>
      <c r="T1912">
        <v>1</v>
      </c>
      <c r="U1912">
        <v>0</v>
      </c>
      <c r="V1912">
        <v>0</v>
      </c>
      <c r="W1912">
        <v>0</v>
      </c>
      <c r="X1912">
        <v>1</v>
      </c>
      <c r="Y1912">
        <v>0</v>
      </c>
      <c r="Z1912">
        <v>1</v>
      </c>
      <c r="AA1912">
        <v>0</v>
      </c>
      <c r="AB1912">
        <v>0</v>
      </c>
      <c r="AC1912">
        <v>1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</row>
    <row r="1913" spans="1:39" x14ac:dyDescent="0.2">
      <c r="A1913" t="str">
        <f>"1909"</f>
        <v>1909</v>
      </c>
      <c r="B1913" t="str">
        <f t="shared" si="107"/>
        <v>1</v>
      </c>
      <c r="C1913" t="str">
        <f t="shared" si="106"/>
        <v>39</v>
      </c>
      <c r="D1913" t="str">
        <f>"16"</f>
        <v>16</v>
      </c>
      <c r="E1913" t="str">
        <f>"1-39-16"</f>
        <v>1-39-16</v>
      </c>
      <c r="F1913" t="s">
        <v>65</v>
      </c>
      <c r="G1913" t="s">
        <v>66</v>
      </c>
      <c r="H1913" t="s">
        <v>67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1</v>
      </c>
      <c r="AH1913">
        <v>1</v>
      </c>
      <c r="AI1913">
        <v>1</v>
      </c>
      <c r="AJ1913">
        <v>1</v>
      </c>
      <c r="AK1913">
        <v>0</v>
      </c>
      <c r="AL1913">
        <v>1</v>
      </c>
      <c r="AM1913">
        <v>0</v>
      </c>
    </row>
    <row r="1914" spans="1:39" x14ac:dyDescent="0.2">
      <c r="A1914" t="str">
        <f>"1910"</f>
        <v>1910</v>
      </c>
      <c r="B1914" t="str">
        <f t="shared" si="107"/>
        <v>1</v>
      </c>
      <c r="C1914" t="str">
        <f t="shared" si="106"/>
        <v>39</v>
      </c>
      <c r="D1914" t="str">
        <f>"45"</f>
        <v>45</v>
      </c>
      <c r="E1914" t="str">
        <f>"1-39-45"</f>
        <v>1-39-45</v>
      </c>
      <c r="F1914" t="s">
        <v>65</v>
      </c>
      <c r="G1914" t="s">
        <v>66</v>
      </c>
      <c r="H1914" t="s">
        <v>67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1</v>
      </c>
      <c r="Y1914">
        <v>1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1</v>
      </c>
      <c r="AF1914">
        <v>1</v>
      </c>
      <c r="AG1914">
        <v>1</v>
      </c>
      <c r="AH1914">
        <v>1</v>
      </c>
      <c r="AI1914">
        <v>1</v>
      </c>
      <c r="AJ1914">
        <v>1</v>
      </c>
      <c r="AK1914">
        <v>1</v>
      </c>
      <c r="AL1914">
        <v>1</v>
      </c>
      <c r="AM1914">
        <v>1</v>
      </c>
    </row>
    <row r="1915" spans="1:39" x14ac:dyDescent="0.2">
      <c r="A1915" t="str">
        <f>"1911"</f>
        <v>1911</v>
      </c>
      <c r="B1915" t="str">
        <f t="shared" si="107"/>
        <v>1</v>
      </c>
      <c r="C1915" t="str">
        <f t="shared" si="106"/>
        <v>39</v>
      </c>
      <c r="D1915" t="str">
        <f>"44"</f>
        <v>44</v>
      </c>
      <c r="E1915" t="str">
        <f>"1-39-44"</f>
        <v>1-39-44</v>
      </c>
      <c r="F1915" t="s">
        <v>65</v>
      </c>
      <c r="G1915" t="s">
        <v>66</v>
      </c>
      <c r="H1915" t="s">
        <v>67</v>
      </c>
      <c r="S1915">
        <v>0</v>
      </c>
      <c r="T1915">
        <v>1</v>
      </c>
      <c r="U1915">
        <v>0</v>
      </c>
      <c r="V1915">
        <v>0</v>
      </c>
      <c r="W1915">
        <v>1</v>
      </c>
      <c r="X1915">
        <v>0</v>
      </c>
      <c r="Y1915">
        <v>0</v>
      </c>
      <c r="Z1915">
        <v>1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</row>
    <row r="1916" spans="1:39" x14ac:dyDescent="0.2">
      <c r="A1916" t="str">
        <f>"1912"</f>
        <v>1912</v>
      </c>
      <c r="B1916" t="str">
        <f t="shared" si="107"/>
        <v>1</v>
      </c>
      <c r="C1916" t="str">
        <f t="shared" si="106"/>
        <v>39</v>
      </c>
      <c r="D1916" t="str">
        <f>"31"</f>
        <v>31</v>
      </c>
      <c r="E1916" t="str">
        <f>"1-39-31"</f>
        <v>1-39-31</v>
      </c>
      <c r="F1916" t="s">
        <v>65</v>
      </c>
      <c r="G1916" t="s">
        <v>66</v>
      </c>
      <c r="H1916" t="s">
        <v>67</v>
      </c>
      <c r="S1916">
        <v>0</v>
      </c>
      <c r="T1916">
        <v>1</v>
      </c>
      <c r="U1916">
        <v>0</v>
      </c>
      <c r="V1916">
        <v>0</v>
      </c>
      <c r="W1916">
        <v>0</v>
      </c>
      <c r="X1916">
        <v>1</v>
      </c>
      <c r="Y1916">
        <v>0</v>
      </c>
      <c r="Z1916">
        <v>1</v>
      </c>
      <c r="AA1916">
        <v>0</v>
      </c>
      <c r="AB1916">
        <v>0</v>
      </c>
      <c r="AC1916">
        <v>1</v>
      </c>
      <c r="AD1916">
        <v>1</v>
      </c>
      <c r="AE1916">
        <v>1</v>
      </c>
      <c r="AF1916">
        <v>1</v>
      </c>
      <c r="AG1916">
        <v>1</v>
      </c>
      <c r="AH1916">
        <v>1</v>
      </c>
      <c r="AI1916">
        <v>1</v>
      </c>
      <c r="AJ1916">
        <v>1</v>
      </c>
      <c r="AK1916">
        <v>1</v>
      </c>
      <c r="AL1916">
        <v>0</v>
      </c>
      <c r="AM1916">
        <v>1</v>
      </c>
    </row>
    <row r="1917" spans="1:39" x14ac:dyDescent="0.2">
      <c r="A1917" t="str">
        <f>"1913"</f>
        <v>1913</v>
      </c>
      <c r="B1917" t="str">
        <f t="shared" si="107"/>
        <v>1</v>
      </c>
      <c r="C1917" t="str">
        <f t="shared" si="106"/>
        <v>39</v>
      </c>
      <c r="D1917" t="str">
        <f>"17"</f>
        <v>17</v>
      </c>
      <c r="E1917" t="str">
        <f>"1-39-17"</f>
        <v>1-39-17</v>
      </c>
      <c r="F1917" t="s">
        <v>65</v>
      </c>
      <c r="G1917" t="s">
        <v>66</v>
      </c>
      <c r="H1917" t="s">
        <v>67</v>
      </c>
      <c r="S1917">
        <v>0</v>
      </c>
      <c r="T1917">
        <v>1</v>
      </c>
      <c r="U1917">
        <v>0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0</v>
      </c>
      <c r="AB1917">
        <v>0</v>
      </c>
      <c r="AC1917">
        <v>1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</row>
    <row r="1918" spans="1:39" x14ac:dyDescent="0.2">
      <c r="A1918" t="str">
        <f>"1914"</f>
        <v>1914</v>
      </c>
      <c r="B1918" t="str">
        <f t="shared" si="107"/>
        <v>1</v>
      </c>
      <c r="C1918" t="str">
        <f t="shared" si="106"/>
        <v>39</v>
      </c>
      <c r="D1918" t="str">
        <f>"5"</f>
        <v>5</v>
      </c>
      <c r="E1918" t="str">
        <f>"1-39-5"</f>
        <v>1-39-5</v>
      </c>
      <c r="F1918" t="s">
        <v>65</v>
      </c>
      <c r="G1918" t="s">
        <v>66</v>
      </c>
      <c r="H1918" t="s">
        <v>67</v>
      </c>
      <c r="S1918">
        <v>0</v>
      </c>
      <c r="T1918">
        <v>1</v>
      </c>
      <c r="U1918">
        <v>0</v>
      </c>
      <c r="V1918">
        <v>0</v>
      </c>
      <c r="W1918">
        <v>1</v>
      </c>
      <c r="X1918">
        <v>0</v>
      </c>
      <c r="Y1918">
        <v>0</v>
      </c>
      <c r="Z1918">
        <v>1</v>
      </c>
      <c r="AA1918">
        <v>1</v>
      </c>
      <c r="AB1918">
        <v>0</v>
      </c>
      <c r="AC1918">
        <v>0</v>
      </c>
      <c r="AD1918">
        <v>1</v>
      </c>
      <c r="AE1918">
        <v>1</v>
      </c>
      <c r="AF1918">
        <v>1</v>
      </c>
      <c r="AG1918">
        <v>1</v>
      </c>
      <c r="AH1918">
        <v>1</v>
      </c>
      <c r="AI1918">
        <v>1</v>
      </c>
      <c r="AJ1918">
        <v>1</v>
      </c>
      <c r="AK1918">
        <v>1</v>
      </c>
      <c r="AL1918">
        <v>1</v>
      </c>
      <c r="AM1918">
        <v>1</v>
      </c>
    </row>
    <row r="1919" spans="1:39" x14ac:dyDescent="0.2">
      <c r="A1919" t="str">
        <f>"1915"</f>
        <v>1915</v>
      </c>
      <c r="B1919" t="str">
        <f t="shared" si="107"/>
        <v>1</v>
      </c>
      <c r="C1919" t="str">
        <f t="shared" si="106"/>
        <v>39</v>
      </c>
      <c r="D1919" t="str">
        <f>"49"</f>
        <v>49</v>
      </c>
      <c r="E1919" t="str">
        <f>"1-39-49"</f>
        <v>1-39-49</v>
      </c>
      <c r="F1919" t="s">
        <v>65</v>
      </c>
      <c r="G1919" t="s">
        <v>66</v>
      </c>
      <c r="H1919" t="s">
        <v>67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</row>
    <row r="1920" spans="1:39" x14ac:dyDescent="0.2">
      <c r="A1920" t="str">
        <f>"1916"</f>
        <v>1916</v>
      </c>
      <c r="B1920" t="str">
        <f t="shared" si="107"/>
        <v>1</v>
      </c>
      <c r="C1920" t="str">
        <f t="shared" si="106"/>
        <v>39</v>
      </c>
      <c r="D1920" t="str">
        <f>"32"</f>
        <v>32</v>
      </c>
      <c r="E1920" t="str">
        <f>"1-39-32"</f>
        <v>1-39-32</v>
      </c>
      <c r="F1920" t="s">
        <v>65</v>
      </c>
      <c r="G1920" t="s">
        <v>66</v>
      </c>
      <c r="H1920" t="s">
        <v>67</v>
      </c>
      <c r="S1920">
        <v>0</v>
      </c>
      <c r="T1920">
        <v>1</v>
      </c>
      <c r="U1920">
        <v>0</v>
      </c>
      <c r="V1920">
        <v>0</v>
      </c>
      <c r="W1920">
        <v>0</v>
      </c>
      <c r="X1920">
        <v>1</v>
      </c>
      <c r="Y1920">
        <v>0</v>
      </c>
      <c r="Z1920">
        <v>1</v>
      </c>
      <c r="AA1920">
        <v>0</v>
      </c>
      <c r="AB1920">
        <v>1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1</v>
      </c>
      <c r="AJ1920">
        <v>0</v>
      </c>
      <c r="AK1920">
        <v>1</v>
      </c>
      <c r="AL1920">
        <v>1</v>
      </c>
      <c r="AM1920">
        <v>0</v>
      </c>
    </row>
    <row r="1921" spans="1:39" x14ac:dyDescent="0.2">
      <c r="A1921" t="str">
        <f>"1917"</f>
        <v>1917</v>
      </c>
      <c r="B1921" t="str">
        <f t="shared" si="107"/>
        <v>1</v>
      </c>
      <c r="C1921" t="str">
        <f t="shared" si="106"/>
        <v>39</v>
      </c>
      <c r="D1921" t="str">
        <f>"18"</f>
        <v>18</v>
      </c>
      <c r="E1921" t="str">
        <f>"1-39-18"</f>
        <v>1-39-18</v>
      </c>
      <c r="F1921" t="s">
        <v>65</v>
      </c>
      <c r="G1921" t="s">
        <v>66</v>
      </c>
      <c r="H1921" t="s">
        <v>67</v>
      </c>
      <c r="S1921">
        <v>0</v>
      </c>
      <c r="T1921">
        <v>1</v>
      </c>
      <c r="U1921">
        <v>0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0</v>
      </c>
      <c r="AB1921">
        <v>0</v>
      </c>
      <c r="AC1921">
        <v>1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</row>
    <row r="1922" spans="1:39" x14ac:dyDescent="0.2">
      <c r="A1922" t="str">
        <f>"1918"</f>
        <v>1918</v>
      </c>
      <c r="B1922" t="str">
        <f t="shared" si="107"/>
        <v>1</v>
      </c>
      <c r="C1922" t="str">
        <f t="shared" si="106"/>
        <v>39</v>
      </c>
      <c r="D1922" t="str">
        <f>"11"</f>
        <v>11</v>
      </c>
      <c r="E1922" t="str">
        <f>"1-39-11"</f>
        <v>1-39-11</v>
      </c>
      <c r="F1922" t="s">
        <v>65</v>
      </c>
      <c r="G1922" t="s">
        <v>66</v>
      </c>
      <c r="H1922" t="s">
        <v>67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0</v>
      </c>
      <c r="AB1922">
        <v>0</v>
      </c>
      <c r="AC1922">
        <v>1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</row>
    <row r="1923" spans="1:39" x14ac:dyDescent="0.2">
      <c r="A1923" t="str">
        <f>"1919"</f>
        <v>1919</v>
      </c>
      <c r="B1923" t="str">
        <f t="shared" si="107"/>
        <v>1</v>
      </c>
      <c r="C1923" t="str">
        <f t="shared" si="106"/>
        <v>39</v>
      </c>
      <c r="D1923" t="str">
        <f>"48"</f>
        <v>48</v>
      </c>
      <c r="E1923" t="str">
        <f>"1-39-48"</f>
        <v>1-39-48</v>
      </c>
      <c r="F1923" t="s">
        <v>65</v>
      </c>
      <c r="G1923" t="s">
        <v>66</v>
      </c>
      <c r="H1923" t="s">
        <v>67</v>
      </c>
      <c r="S1923">
        <v>1</v>
      </c>
      <c r="T1923">
        <v>0</v>
      </c>
      <c r="U1923">
        <v>0</v>
      </c>
      <c r="V1923">
        <v>0</v>
      </c>
      <c r="W1923">
        <v>0</v>
      </c>
      <c r="X1923">
        <v>1</v>
      </c>
      <c r="Y1923">
        <v>1</v>
      </c>
      <c r="Z1923">
        <v>0</v>
      </c>
      <c r="AA1923">
        <v>1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</row>
    <row r="1924" spans="1:39" x14ac:dyDescent="0.2">
      <c r="A1924" t="str">
        <f>"1920"</f>
        <v>1920</v>
      </c>
      <c r="B1924" t="str">
        <f t="shared" si="107"/>
        <v>1</v>
      </c>
      <c r="C1924" t="str">
        <f t="shared" si="106"/>
        <v>39</v>
      </c>
      <c r="D1924" t="str">
        <f>"47"</f>
        <v>47</v>
      </c>
      <c r="E1924" t="str">
        <f>"1-39-47"</f>
        <v>1-39-47</v>
      </c>
      <c r="F1924" t="s">
        <v>65</v>
      </c>
      <c r="G1924" t="s">
        <v>66</v>
      </c>
      <c r="H1924" t="s">
        <v>67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1</v>
      </c>
      <c r="Y1924">
        <v>0</v>
      </c>
      <c r="Z1924">
        <v>1</v>
      </c>
      <c r="AA1924">
        <v>0</v>
      </c>
      <c r="AB1924">
        <v>0</v>
      </c>
      <c r="AC1924">
        <v>1</v>
      </c>
      <c r="AD1924">
        <v>1</v>
      </c>
      <c r="AE1924">
        <v>1</v>
      </c>
      <c r="AF1924">
        <v>1</v>
      </c>
      <c r="AG1924">
        <v>1</v>
      </c>
      <c r="AH1924">
        <v>1</v>
      </c>
      <c r="AI1924">
        <v>1</v>
      </c>
      <c r="AJ1924">
        <v>1</v>
      </c>
      <c r="AK1924">
        <v>1</v>
      </c>
      <c r="AL1924">
        <v>1</v>
      </c>
      <c r="AM1924">
        <v>1</v>
      </c>
    </row>
    <row r="1925" spans="1:39" x14ac:dyDescent="0.2">
      <c r="A1925" t="str">
        <f>"1921"</f>
        <v>1921</v>
      </c>
      <c r="B1925" t="str">
        <f t="shared" si="107"/>
        <v>1</v>
      </c>
      <c r="C1925" t="str">
        <f t="shared" si="106"/>
        <v>39</v>
      </c>
      <c r="D1925" t="str">
        <f>"33"</f>
        <v>33</v>
      </c>
      <c r="E1925" t="str">
        <f>"1-39-33"</f>
        <v>1-39-33</v>
      </c>
      <c r="F1925" t="s">
        <v>65</v>
      </c>
      <c r="G1925" t="s">
        <v>66</v>
      </c>
      <c r="H1925" t="s">
        <v>67</v>
      </c>
      <c r="S1925">
        <v>1</v>
      </c>
      <c r="T1925">
        <v>0</v>
      </c>
      <c r="U1925">
        <v>0</v>
      </c>
      <c r="V1925">
        <v>0</v>
      </c>
      <c r="W1925">
        <v>1</v>
      </c>
      <c r="X1925">
        <v>0</v>
      </c>
      <c r="Y1925">
        <v>1</v>
      </c>
      <c r="Z1925">
        <v>0</v>
      </c>
      <c r="AA1925">
        <v>0</v>
      </c>
      <c r="AB1925">
        <v>1</v>
      </c>
      <c r="AC1925">
        <v>0</v>
      </c>
      <c r="AD1925">
        <v>0</v>
      </c>
      <c r="AE1925">
        <v>0</v>
      </c>
      <c r="AF1925">
        <v>0</v>
      </c>
      <c r="AG1925">
        <v>1</v>
      </c>
      <c r="AH1925">
        <v>0</v>
      </c>
      <c r="AI1925">
        <v>1</v>
      </c>
      <c r="AJ1925">
        <v>1</v>
      </c>
      <c r="AK1925">
        <v>0</v>
      </c>
      <c r="AL1925">
        <v>0</v>
      </c>
      <c r="AM1925">
        <v>0</v>
      </c>
    </row>
    <row r="1926" spans="1:39" x14ac:dyDescent="0.2">
      <c r="A1926" t="str">
        <f>"1922"</f>
        <v>1922</v>
      </c>
      <c r="B1926" t="str">
        <f t="shared" si="107"/>
        <v>1</v>
      </c>
      <c r="C1926" t="str">
        <f t="shared" si="106"/>
        <v>39</v>
      </c>
      <c r="D1926" t="str">
        <f>"19"</f>
        <v>19</v>
      </c>
      <c r="E1926" t="str">
        <f>"1-39-19"</f>
        <v>1-39-19</v>
      </c>
      <c r="F1926" t="s">
        <v>65</v>
      </c>
      <c r="G1926" t="s">
        <v>66</v>
      </c>
      <c r="H1926" t="s">
        <v>67</v>
      </c>
      <c r="S1926">
        <v>0</v>
      </c>
      <c r="T1926">
        <v>1</v>
      </c>
      <c r="U1926">
        <v>0</v>
      </c>
      <c r="V1926">
        <v>0</v>
      </c>
      <c r="W1926">
        <v>0</v>
      </c>
      <c r="X1926">
        <v>1</v>
      </c>
      <c r="Y1926">
        <v>1</v>
      </c>
      <c r="Z1926">
        <v>0</v>
      </c>
      <c r="AA1926">
        <v>0</v>
      </c>
      <c r="AB1926">
        <v>1</v>
      </c>
      <c r="AC1926">
        <v>0</v>
      </c>
      <c r="AD1926">
        <v>1</v>
      </c>
      <c r="AE1926">
        <v>1</v>
      </c>
      <c r="AF1926">
        <v>1</v>
      </c>
      <c r="AG1926">
        <v>1</v>
      </c>
      <c r="AH1926">
        <v>1</v>
      </c>
      <c r="AI1926">
        <v>1</v>
      </c>
      <c r="AJ1926">
        <v>1</v>
      </c>
      <c r="AK1926">
        <v>1</v>
      </c>
      <c r="AL1926">
        <v>1</v>
      </c>
      <c r="AM1926">
        <v>1</v>
      </c>
    </row>
    <row r="1927" spans="1:39" x14ac:dyDescent="0.2">
      <c r="A1927" t="str">
        <f>"1923"</f>
        <v>1923</v>
      </c>
      <c r="B1927" t="str">
        <f t="shared" si="107"/>
        <v>1</v>
      </c>
      <c r="C1927" t="str">
        <f t="shared" si="106"/>
        <v>39</v>
      </c>
      <c r="D1927" t="str">
        <f>"9"</f>
        <v>9</v>
      </c>
      <c r="E1927" t="str">
        <f>"1-39-9"</f>
        <v>1-39-9</v>
      </c>
      <c r="F1927" t="s">
        <v>65</v>
      </c>
      <c r="G1927" t="s">
        <v>66</v>
      </c>
      <c r="H1927" t="s">
        <v>67</v>
      </c>
      <c r="S1927">
        <v>1</v>
      </c>
      <c r="T1927">
        <v>0</v>
      </c>
      <c r="U1927">
        <v>0</v>
      </c>
      <c r="V1927">
        <v>0</v>
      </c>
      <c r="W1927">
        <v>1</v>
      </c>
      <c r="X1927">
        <v>0</v>
      </c>
      <c r="Y1927">
        <v>0</v>
      </c>
      <c r="Z1927">
        <v>1</v>
      </c>
      <c r="AA1927">
        <v>1</v>
      </c>
      <c r="AB1927">
        <v>0</v>
      </c>
      <c r="AC1927">
        <v>0</v>
      </c>
      <c r="AD1927">
        <v>1</v>
      </c>
      <c r="AE1927">
        <v>1</v>
      </c>
      <c r="AF1927">
        <v>1</v>
      </c>
      <c r="AG1927">
        <v>1</v>
      </c>
      <c r="AH1927">
        <v>1</v>
      </c>
      <c r="AI1927">
        <v>1</v>
      </c>
      <c r="AJ1927">
        <v>1</v>
      </c>
      <c r="AK1927">
        <v>1</v>
      </c>
      <c r="AL1927">
        <v>1</v>
      </c>
      <c r="AM1927">
        <v>1</v>
      </c>
    </row>
    <row r="1928" spans="1:39" x14ac:dyDescent="0.2">
      <c r="A1928" t="str">
        <f>"1924"</f>
        <v>1924</v>
      </c>
      <c r="B1928" t="str">
        <f t="shared" si="107"/>
        <v>1</v>
      </c>
      <c r="C1928" t="str">
        <f t="shared" si="106"/>
        <v>39</v>
      </c>
      <c r="D1928" t="str">
        <f>"42"</f>
        <v>42</v>
      </c>
      <c r="E1928" t="str">
        <f>"1-39-42"</f>
        <v>1-39-42</v>
      </c>
      <c r="F1928" t="s">
        <v>65</v>
      </c>
      <c r="G1928" t="s">
        <v>66</v>
      </c>
      <c r="H1928" t="s">
        <v>67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1</v>
      </c>
      <c r="Y1928">
        <v>0</v>
      </c>
      <c r="Z1928">
        <v>1</v>
      </c>
      <c r="AA1928">
        <v>0</v>
      </c>
      <c r="AB1928">
        <v>0</v>
      </c>
      <c r="AC1928">
        <v>1</v>
      </c>
      <c r="AD1928">
        <v>1</v>
      </c>
      <c r="AE1928">
        <v>1</v>
      </c>
      <c r="AF1928">
        <v>1</v>
      </c>
      <c r="AG1928">
        <v>1</v>
      </c>
      <c r="AH1928">
        <v>1</v>
      </c>
      <c r="AI1928">
        <v>1</v>
      </c>
      <c r="AJ1928">
        <v>1</v>
      </c>
      <c r="AK1928">
        <v>1</v>
      </c>
      <c r="AL1928">
        <v>1</v>
      </c>
      <c r="AM1928">
        <v>1</v>
      </c>
    </row>
    <row r="1929" spans="1:39" x14ac:dyDescent="0.2">
      <c r="A1929" t="str">
        <f>"1925"</f>
        <v>1925</v>
      </c>
      <c r="B1929" t="str">
        <f t="shared" si="107"/>
        <v>1</v>
      </c>
      <c r="C1929" t="str">
        <f t="shared" si="106"/>
        <v>39</v>
      </c>
      <c r="D1929" t="str">
        <f>"41"</f>
        <v>41</v>
      </c>
      <c r="E1929" t="str">
        <f>"1-39-41"</f>
        <v>1-39-41</v>
      </c>
      <c r="F1929" t="s">
        <v>65</v>
      </c>
      <c r="G1929" t="s">
        <v>66</v>
      </c>
      <c r="H1929" t="s">
        <v>67</v>
      </c>
      <c r="S1929">
        <v>0</v>
      </c>
      <c r="T1929">
        <v>0</v>
      </c>
      <c r="U1929">
        <v>0</v>
      </c>
      <c r="V1929">
        <v>0</v>
      </c>
      <c r="W1929">
        <v>1</v>
      </c>
      <c r="X1929">
        <v>0</v>
      </c>
      <c r="Y1929">
        <v>0</v>
      </c>
      <c r="Z1929">
        <v>1</v>
      </c>
      <c r="AA1929">
        <v>1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</row>
    <row r="1930" spans="1:39" x14ac:dyDescent="0.2">
      <c r="A1930" t="str">
        <f>"1926"</f>
        <v>1926</v>
      </c>
      <c r="B1930" t="str">
        <f t="shared" si="107"/>
        <v>1</v>
      </c>
      <c r="C1930" t="str">
        <f t="shared" si="106"/>
        <v>39</v>
      </c>
      <c r="D1930" t="str">
        <f>"34"</f>
        <v>34</v>
      </c>
      <c r="E1930" t="str">
        <f>"1-39-34"</f>
        <v>1-39-34</v>
      </c>
      <c r="F1930" t="s">
        <v>65</v>
      </c>
      <c r="G1930" t="s">
        <v>66</v>
      </c>
      <c r="H1930" t="s">
        <v>67</v>
      </c>
      <c r="S1930">
        <v>1</v>
      </c>
      <c r="T1930">
        <v>0</v>
      </c>
      <c r="U1930">
        <v>0</v>
      </c>
      <c r="V1930">
        <v>0</v>
      </c>
      <c r="W1930">
        <v>1</v>
      </c>
      <c r="X1930">
        <v>0</v>
      </c>
      <c r="Y1930">
        <v>0</v>
      </c>
      <c r="Z1930">
        <v>1</v>
      </c>
      <c r="AA1930">
        <v>0</v>
      </c>
      <c r="AB1930">
        <v>1</v>
      </c>
      <c r="AC1930">
        <v>0</v>
      </c>
      <c r="AD1930">
        <v>1</v>
      </c>
      <c r="AE1930">
        <v>1</v>
      </c>
      <c r="AF1930">
        <v>1</v>
      </c>
      <c r="AG1930">
        <v>1</v>
      </c>
      <c r="AH1930">
        <v>1</v>
      </c>
      <c r="AI1930">
        <v>1</v>
      </c>
      <c r="AJ1930">
        <v>1</v>
      </c>
      <c r="AK1930">
        <v>1</v>
      </c>
      <c r="AL1930">
        <v>1</v>
      </c>
      <c r="AM1930">
        <v>1</v>
      </c>
    </row>
    <row r="1931" spans="1:39" x14ac:dyDescent="0.2">
      <c r="A1931" t="str">
        <f>"1927"</f>
        <v>1927</v>
      </c>
      <c r="B1931" t="str">
        <f t="shared" si="107"/>
        <v>1</v>
      </c>
      <c r="C1931" t="str">
        <f t="shared" si="106"/>
        <v>39</v>
      </c>
      <c r="D1931" t="str">
        <f>"20"</f>
        <v>20</v>
      </c>
      <c r="E1931" t="str">
        <f>"1-39-20"</f>
        <v>1-39-20</v>
      </c>
      <c r="F1931" t="s">
        <v>65</v>
      </c>
      <c r="G1931" t="s">
        <v>66</v>
      </c>
      <c r="H1931" t="s">
        <v>67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1</v>
      </c>
      <c r="AK1931">
        <v>0</v>
      </c>
      <c r="AL1931">
        <v>0</v>
      </c>
      <c r="AM1931">
        <v>0</v>
      </c>
    </row>
    <row r="1932" spans="1:39" x14ac:dyDescent="0.2">
      <c r="A1932" t="str">
        <f>"1928"</f>
        <v>1928</v>
      </c>
      <c r="B1932" t="str">
        <f t="shared" si="107"/>
        <v>1</v>
      </c>
      <c r="C1932" t="str">
        <f t="shared" si="106"/>
        <v>39</v>
      </c>
      <c r="D1932" t="str">
        <f>"6"</f>
        <v>6</v>
      </c>
      <c r="E1932" t="str">
        <f>"1-39-6"</f>
        <v>1-39-6</v>
      </c>
      <c r="F1932" t="s">
        <v>65</v>
      </c>
      <c r="G1932" t="s">
        <v>66</v>
      </c>
      <c r="H1932" t="s">
        <v>67</v>
      </c>
      <c r="S1932">
        <v>0</v>
      </c>
      <c r="T1932">
        <v>1</v>
      </c>
      <c r="U1932">
        <v>0</v>
      </c>
      <c r="V1932">
        <v>0</v>
      </c>
      <c r="W1932">
        <v>1</v>
      </c>
      <c r="X1932">
        <v>0</v>
      </c>
      <c r="Y1932">
        <v>0</v>
      </c>
      <c r="Z1932">
        <v>1</v>
      </c>
      <c r="AA1932">
        <v>1</v>
      </c>
      <c r="AB1932">
        <v>0</v>
      </c>
      <c r="AC1932">
        <v>0</v>
      </c>
      <c r="AD1932">
        <v>1</v>
      </c>
      <c r="AE1932">
        <v>1</v>
      </c>
      <c r="AF1932">
        <v>1</v>
      </c>
      <c r="AG1932">
        <v>1</v>
      </c>
      <c r="AH1932">
        <v>1</v>
      </c>
      <c r="AI1932">
        <v>1</v>
      </c>
      <c r="AJ1932">
        <v>1</v>
      </c>
      <c r="AK1932">
        <v>1</v>
      </c>
      <c r="AL1932">
        <v>1</v>
      </c>
      <c r="AM1932">
        <v>1</v>
      </c>
    </row>
    <row r="1933" spans="1:39" x14ac:dyDescent="0.2">
      <c r="A1933" t="str">
        <f>"1929"</f>
        <v>1929</v>
      </c>
      <c r="B1933" t="str">
        <f t="shared" si="107"/>
        <v>1</v>
      </c>
      <c r="C1933" t="str">
        <f t="shared" si="106"/>
        <v>39</v>
      </c>
      <c r="D1933" t="str">
        <f>"39"</f>
        <v>39</v>
      </c>
      <c r="E1933" t="str">
        <f>"1-39-39"</f>
        <v>1-39-39</v>
      </c>
      <c r="F1933" t="s">
        <v>65</v>
      </c>
      <c r="G1933" t="s">
        <v>66</v>
      </c>
      <c r="H1933" t="s">
        <v>67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1</v>
      </c>
      <c r="Y1933">
        <v>0</v>
      </c>
      <c r="Z1933">
        <v>1</v>
      </c>
      <c r="AA1933">
        <v>0</v>
      </c>
      <c r="AB1933">
        <v>1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</row>
    <row r="1934" spans="1:39" x14ac:dyDescent="0.2">
      <c r="A1934" t="str">
        <f>"1930"</f>
        <v>1930</v>
      </c>
      <c r="B1934" t="str">
        <f t="shared" si="107"/>
        <v>1</v>
      </c>
      <c r="C1934" t="str">
        <f t="shared" si="106"/>
        <v>39</v>
      </c>
      <c r="D1934" t="str">
        <f>"21"</f>
        <v>21</v>
      </c>
      <c r="E1934" t="str">
        <f>"1-39-21"</f>
        <v>1-39-21</v>
      </c>
      <c r="F1934" t="s">
        <v>65</v>
      </c>
      <c r="G1934" t="s">
        <v>66</v>
      </c>
      <c r="H1934" t="s">
        <v>67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1</v>
      </c>
      <c r="AJ1934">
        <v>1</v>
      </c>
      <c r="AK1934">
        <v>0</v>
      </c>
      <c r="AL1934">
        <v>0</v>
      </c>
      <c r="AM1934">
        <v>0</v>
      </c>
    </row>
    <row r="1935" spans="1:39" x14ac:dyDescent="0.2">
      <c r="A1935" t="str">
        <f>"1931"</f>
        <v>1931</v>
      </c>
      <c r="B1935" t="str">
        <f t="shared" si="107"/>
        <v>1</v>
      </c>
      <c r="C1935" t="str">
        <f t="shared" si="106"/>
        <v>39</v>
      </c>
      <c r="D1935" t="str">
        <f>"14"</f>
        <v>14</v>
      </c>
      <c r="E1935" t="str">
        <f>"1-39-14"</f>
        <v>1-39-14</v>
      </c>
      <c r="F1935" t="s">
        <v>65</v>
      </c>
      <c r="G1935" t="s">
        <v>66</v>
      </c>
      <c r="H1935" t="s">
        <v>67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0</v>
      </c>
      <c r="AB1935">
        <v>1</v>
      </c>
      <c r="AC1935">
        <v>0</v>
      </c>
      <c r="AD1935">
        <v>0</v>
      </c>
      <c r="AE1935">
        <v>0</v>
      </c>
      <c r="AF1935">
        <v>0</v>
      </c>
      <c r="AG1935">
        <v>1</v>
      </c>
      <c r="AH1935">
        <v>1</v>
      </c>
      <c r="AI1935">
        <v>1</v>
      </c>
      <c r="AJ1935">
        <v>1</v>
      </c>
      <c r="AK1935">
        <v>1</v>
      </c>
      <c r="AL1935">
        <v>1</v>
      </c>
      <c r="AM1935">
        <v>0</v>
      </c>
    </row>
    <row r="1936" spans="1:39" x14ac:dyDescent="0.2">
      <c r="A1936" t="str">
        <f>"1932"</f>
        <v>1932</v>
      </c>
      <c r="B1936" t="str">
        <f t="shared" si="107"/>
        <v>1</v>
      </c>
      <c r="C1936" t="str">
        <f t="shared" si="106"/>
        <v>39</v>
      </c>
      <c r="D1936" t="str">
        <f>"22"</f>
        <v>22</v>
      </c>
      <c r="E1936" t="str">
        <f>"1-39-22"</f>
        <v>1-39-22</v>
      </c>
      <c r="F1936" t="s">
        <v>65</v>
      </c>
      <c r="G1936" t="s">
        <v>66</v>
      </c>
      <c r="H1936" t="s">
        <v>67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1</v>
      </c>
    </row>
    <row r="1937" spans="1:39" x14ac:dyDescent="0.2">
      <c r="A1937" t="str">
        <f>"1933"</f>
        <v>1933</v>
      </c>
      <c r="B1937" t="str">
        <f t="shared" si="107"/>
        <v>1</v>
      </c>
      <c r="C1937" t="str">
        <f t="shared" ref="C1937:C1954" si="108">"39"</f>
        <v>39</v>
      </c>
      <c r="D1937" t="str">
        <f>"13"</f>
        <v>13</v>
      </c>
      <c r="E1937" t="str">
        <f>"1-39-13"</f>
        <v>1-39-13</v>
      </c>
      <c r="F1937" t="s">
        <v>65</v>
      </c>
      <c r="G1937" t="s">
        <v>66</v>
      </c>
      <c r="H1937" t="s">
        <v>67</v>
      </c>
      <c r="S1937">
        <v>0</v>
      </c>
      <c r="T1937">
        <v>1</v>
      </c>
      <c r="U1937">
        <v>0</v>
      </c>
      <c r="V1937">
        <v>0</v>
      </c>
      <c r="W1937">
        <v>0</v>
      </c>
      <c r="X1937">
        <v>1</v>
      </c>
      <c r="Y1937">
        <v>0</v>
      </c>
      <c r="Z1937">
        <v>1</v>
      </c>
      <c r="AA1937">
        <v>0</v>
      </c>
      <c r="AB1937">
        <v>0</v>
      </c>
      <c r="AC1937">
        <v>1</v>
      </c>
      <c r="AD1937">
        <v>1</v>
      </c>
      <c r="AE1937">
        <v>1</v>
      </c>
      <c r="AF1937">
        <v>1</v>
      </c>
      <c r="AG1937">
        <v>1</v>
      </c>
      <c r="AH1937">
        <v>1</v>
      </c>
      <c r="AI1937">
        <v>1</v>
      </c>
      <c r="AJ1937">
        <v>1</v>
      </c>
      <c r="AK1937">
        <v>1</v>
      </c>
      <c r="AL1937">
        <v>1</v>
      </c>
      <c r="AM1937">
        <v>1</v>
      </c>
    </row>
    <row r="1938" spans="1:39" x14ac:dyDescent="0.2">
      <c r="A1938" t="str">
        <f>"1934"</f>
        <v>1934</v>
      </c>
      <c r="B1938" t="str">
        <f t="shared" si="107"/>
        <v>1</v>
      </c>
      <c r="C1938" t="str">
        <f t="shared" si="108"/>
        <v>39</v>
      </c>
      <c r="D1938" t="str">
        <f>"40"</f>
        <v>40</v>
      </c>
      <c r="E1938" t="str">
        <f>"1-39-40"</f>
        <v>1-39-40</v>
      </c>
      <c r="F1938" t="s">
        <v>65</v>
      </c>
      <c r="G1938" t="s">
        <v>66</v>
      </c>
      <c r="H1938" t="s">
        <v>67</v>
      </c>
      <c r="S1938">
        <v>1</v>
      </c>
      <c r="T1938">
        <v>0</v>
      </c>
      <c r="U1938">
        <v>0</v>
      </c>
      <c r="V1938">
        <v>0</v>
      </c>
      <c r="W1938">
        <v>1</v>
      </c>
      <c r="X1938">
        <v>0</v>
      </c>
      <c r="Y1938">
        <v>1</v>
      </c>
      <c r="Z1938">
        <v>0</v>
      </c>
      <c r="AA1938">
        <v>0</v>
      </c>
      <c r="AB1938">
        <v>0</v>
      </c>
      <c r="AC1938">
        <v>1</v>
      </c>
      <c r="AD1938">
        <v>1</v>
      </c>
      <c r="AE1938">
        <v>1</v>
      </c>
      <c r="AF1938">
        <v>0</v>
      </c>
      <c r="AG1938">
        <v>1</v>
      </c>
      <c r="AH1938">
        <v>1</v>
      </c>
      <c r="AI1938">
        <v>1</v>
      </c>
      <c r="AJ1938">
        <v>0</v>
      </c>
      <c r="AK1938">
        <v>1</v>
      </c>
      <c r="AL1938">
        <v>1</v>
      </c>
      <c r="AM1938">
        <v>1</v>
      </c>
    </row>
    <row r="1939" spans="1:39" x14ac:dyDescent="0.2">
      <c r="A1939" t="str">
        <f>"1935"</f>
        <v>1935</v>
      </c>
      <c r="B1939" t="str">
        <f t="shared" si="107"/>
        <v>1</v>
      </c>
      <c r="C1939" t="str">
        <f t="shared" si="108"/>
        <v>39</v>
      </c>
      <c r="D1939" t="str">
        <f>"23"</f>
        <v>23</v>
      </c>
      <c r="E1939" t="str">
        <f>"1-39-23"</f>
        <v>1-39-23</v>
      </c>
      <c r="F1939" t="s">
        <v>65</v>
      </c>
      <c r="G1939" t="s">
        <v>66</v>
      </c>
      <c r="H1939" t="s">
        <v>67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1</v>
      </c>
      <c r="Y1939">
        <v>0</v>
      </c>
      <c r="Z1939">
        <v>1</v>
      </c>
      <c r="AA1939">
        <v>0</v>
      </c>
      <c r="AB1939">
        <v>0</v>
      </c>
      <c r="AC1939">
        <v>1</v>
      </c>
      <c r="AD1939">
        <v>1</v>
      </c>
      <c r="AE1939">
        <v>1</v>
      </c>
      <c r="AF1939">
        <v>1</v>
      </c>
      <c r="AG1939">
        <v>1</v>
      </c>
      <c r="AH1939">
        <v>1</v>
      </c>
      <c r="AI1939">
        <v>1</v>
      </c>
      <c r="AJ1939">
        <v>1</v>
      </c>
      <c r="AK1939">
        <v>1</v>
      </c>
      <c r="AL1939">
        <v>1</v>
      </c>
      <c r="AM1939">
        <v>1</v>
      </c>
    </row>
    <row r="1940" spans="1:39" x14ac:dyDescent="0.2">
      <c r="A1940" t="str">
        <f>"1936"</f>
        <v>1936</v>
      </c>
      <c r="B1940" t="str">
        <f t="shared" si="107"/>
        <v>1</v>
      </c>
      <c r="C1940" t="str">
        <f t="shared" si="108"/>
        <v>39</v>
      </c>
      <c r="D1940" t="str">
        <f>"4"</f>
        <v>4</v>
      </c>
      <c r="E1940" t="str">
        <f>"1-39-4"</f>
        <v>1-39-4</v>
      </c>
      <c r="F1940" t="s">
        <v>65</v>
      </c>
      <c r="G1940" t="s">
        <v>66</v>
      </c>
      <c r="H1940" t="s">
        <v>67</v>
      </c>
      <c r="S1940">
        <v>1</v>
      </c>
      <c r="T1940">
        <v>0</v>
      </c>
      <c r="U1940">
        <v>0</v>
      </c>
      <c r="V1940">
        <v>0</v>
      </c>
      <c r="W1940">
        <v>1</v>
      </c>
      <c r="X1940">
        <v>0</v>
      </c>
      <c r="Y1940">
        <v>1</v>
      </c>
      <c r="Z1940">
        <v>0</v>
      </c>
      <c r="AA1940">
        <v>0</v>
      </c>
      <c r="AB1940">
        <v>1</v>
      </c>
      <c r="AC1940">
        <v>0</v>
      </c>
      <c r="AD1940">
        <v>1</v>
      </c>
      <c r="AE1940">
        <v>1</v>
      </c>
      <c r="AF1940">
        <v>1</v>
      </c>
      <c r="AG1940">
        <v>1</v>
      </c>
      <c r="AH1940">
        <v>1</v>
      </c>
      <c r="AI1940">
        <v>1</v>
      </c>
      <c r="AJ1940">
        <v>1</v>
      </c>
      <c r="AK1940">
        <v>1</v>
      </c>
      <c r="AL1940">
        <v>1</v>
      </c>
      <c r="AM1940">
        <v>1</v>
      </c>
    </row>
    <row r="1941" spans="1:39" x14ac:dyDescent="0.2">
      <c r="A1941" t="str">
        <f>"1937"</f>
        <v>1937</v>
      </c>
      <c r="B1941" t="str">
        <f t="shared" si="107"/>
        <v>1</v>
      </c>
      <c r="C1941" t="str">
        <f t="shared" si="108"/>
        <v>39</v>
      </c>
      <c r="D1941" t="str">
        <f>"43"</f>
        <v>43</v>
      </c>
      <c r="E1941" t="str">
        <f>"1-39-43"</f>
        <v>1-39-43</v>
      </c>
      <c r="F1941" t="s">
        <v>65</v>
      </c>
      <c r="G1941" t="s">
        <v>66</v>
      </c>
      <c r="H1941" t="s">
        <v>67</v>
      </c>
      <c r="S1941">
        <v>0</v>
      </c>
      <c r="T1941">
        <v>1</v>
      </c>
      <c r="U1941">
        <v>0</v>
      </c>
      <c r="V1941">
        <v>0</v>
      </c>
      <c r="W1941">
        <v>0</v>
      </c>
      <c r="X1941">
        <v>1</v>
      </c>
      <c r="Y1941">
        <v>0</v>
      </c>
      <c r="Z1941">
        <v>1</v>
      </c>
      <c r="AA1941">
        <v>0</v>
      </c>
      <c r="AB1941">
        <v>0</v>
      </c>
      <c r="AC1941">
        <v>1</v>
      </c>
      <c r="AD1941">
        <v>0</v>
      </c>
      <c r="AE1941">
        <v>0</v>
      </c>
      <c r="AF1941">
        <v>0</v>
      </c>
      <c r="AG1941">
        <v>1</v>
      </c>
      <c r="AH1941">
        <v>1</v>
      </c>
      <c r="AI1941">
        <v>1</v>
      </c>
      <c r="AJ1941">
        <v>1</v>
      </c>
      <c r="AK1941">
        <v>1</v>
      </c>
      <c r="AL1941">
        <v>1</v>
      </c>
      <c r="AM1941">
        <v>1</v>
      </c>
    </row>
    <row r="1942" spans="1:39" x14ac:dyDescent="0.2">
      <c r="A1942" t="str">
        <f>"1938"</f>
        <v>1938</v>
      </c>
      <c r="B1942" t="str">
        <f t="shared" si="107"/>
        <v>1</v>
      </c>
      <c r="C1942" t="str">
        <f t="shared" si="108"/>
        <v>39</v>
      </c>
      <c r="D1942" t="str">
        <f>"25"</f>
        <v>25</v>
      </c>
      <c r="E1942" t="str">
        <f>"1-39-25"</f>
        <v>1-39-25</v>
      </c>
      <c r="F1942" t="s">
        <v>65</v>
      </c>
      <c r="G1942" t="s">
        <v>66</v>
      </c>
      <c r="H1942" t="s">
        <v>67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0</v>
      </c>
      <c r="AB1942">
        <v>1</v>
      </c>
      <c r="AC1942">
        <v>0</v>
      </c>
      <c r="AD1942">
        <v>0</v>
      </c>
      <c r="AE1942">
        <v>0</v>
      </c>
      <c r="AF1942">
        <v>0</v>
      </c>
      <c r="AG1942">
        <v>1</v>
      </c>
      <c r="AH1942">
        <v>1</v>
      </c>
      <c r="AI1942">
        <v>1</v>
      </c>
      <c r="AJ1942">
        <v>0</v>
      </c>
      <c r="AK1942">
        <v>0</v>
      </c>
      <c r="AL1942">
        <v>1</v>
      </c>
      <c r="AM1942">
        <v>0</v>
      </c>
    </row>
    <row r="1943" spans="1:39" x14ac:dyDescent="0.2">
      <c r="A1943" t="str">
        <f>"1939"</f>
        <v>1939</v>
      </c>
      <c r="B1943" t="str">
        <f t="shared" si="107"/>
        <v>1</v>
      </c>
      <c r="C1943" t="str">
        <f t="shared" si="108"/>
        <v>39</v>
      </c>
      <c r="D1943" t="str">
        <f>"8"</f>
        <v>8</v>
      </c>
      <c r="E1943" t="str">
        <f>"1-39-8"</f>
        <v>1-39-8</v>
      </c>
      <c r="F1943" t="s">
        <v>65</v>
      </c>
      <c r="G1943" t="s">
        <v>66</v>
      </c>
      <c r="H1943" t="s">
        <v>67</v>
      </c>
      <c r="S1943">
        <v>0</v>
      </c>
      <c r="T1943">
        <v>1</v>
      </c>
      <c r="U1943">
        <v>0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0</v>
      </c>
      <c r="AB1943">
        <v>0</v>
      </c>
      <c r="AC1943">
        <v>1</v>
      </c>
      <c r="AD1943">
        <v>1</v>
      </c>
      <c r="AE1943">
        <v>1</v>
      </c>
      <c r="AF1943">
        <v>1</v>
      </c>
      <c r="AG1943">
        <v>1</v>
      </c>
      <c r="AH1943">
        <v>1</v>
      </c>
      <c r="AI1943">
        <v>1</v>
      </c>
      <c r="AJ1943">
        <v>1</v>
      </c>
      <c r="AK1943">
        <v>1</v>
      </c>
      <c r="AL1943">
        <v>1</v>
      </c>
      <c r="AM1943">
        <v>1</v>
      </c>
    </row>
    <row r="1944" spans="1:39" x14ac:dyDescent="0.2">
      <c r="A1944" t="str">
        <f>"1940"</f>
        <v>1940</v>
      </c>
      <c r="B1944" t="str">
        <f t="shared" si="107"/>
        <v>1</v>
      </c>
      <c r="C1944" t="str">
        <f t="shared" si="108"/>
        <v>39</v>
      </c>
      <c r="D1944" t="str">
        <f>"46"</f>
        <v>46</v>
      </c>
      <c r="E1944" t="str">
        <f>"1-39-46"</f>
        <v>1-39-46</v>
      </c>
      <c r="F1944" t="s">
        <v>65</v>
      </c>
      <c r="G1944" t="s">
        <v>66</v>
      </c>
      <c r="H1944" t="s">
        <v>67</v>
      </c>
      <c r="S1944">
        <v>1</v>
      </c>
      <c r="T1944">
        <v>0</v>
      </c>
      <c r="U1944">
        <v>0</v>
      </c>
      <c r="V1944">
        <v>0</v>
      </c>
      <c r="W1944">
        <v>1</v>
      </c>
      <c r="X1944">
        <v>0</v>
      </c>
      <c r="Y1944">
        <v>0</v>
      </c>
      <c r="Z1944">
        <v>1</v>
      </c>
      <c r="AA1944">
        <v>0</v>
      </c>
      <c r="AB1944">
        <v>0</v>
      </c>
      <c r="AC1944">
        <v>1</v>
      </c>
      <c r="AD1944">
        <v>1</v>
      </c>
      <c r="AE1944">
        <v>1</v>
      </c>
      <c r="AF1944">
        <v>1</v>
      </c>
      <c r="AG1944">
        <v>1</v>
      </c>
      <c r="AH1944">
        <v>1</v>
      </c>
      <c r="AI1944">
        <v>1</v>
      </c>
      <c r="AJ1944">
        <v>1</v>
      </c>
      <c r="AK1944">
        <v>1</v>
      </c>
      <c r="AL1944">
        <v>1</v>
      </c>
      <c r="AM1944">
        <v>1</v>
      </c>
    </row>
    <row r="1945" spans="1:39" x14ac:dyDescent="0.2">
      <c r="A1945" t="str">
        <f>"1941"</f>
        <v>1941</v>
      </c>
      <c r="B1945" t="str">
        <f t="shared" si="107"/>
        <v>1</v>
      </c>
      <c r="C1945" t="str">
        <f t="shared" si="108"/>
        <v>39</v>
      </c>
      <c r="D1945" t="str">
        <f>"27"</f>
        <v>27</v>
      </c>
      <c r="E1945" t="str">
        <f>"1-39-27"</f>
        <v>1-39-27</v>
      </c>
      <c r="F1945" t="s">
        <v>65</v>
      </c>
      <c r="G1945" t="s">
        <v>66</v>
      </c>
      <c r="H1945" t="s">
        <v>67</v>
      </c>
      <c r="S1945">
        <v>0</v>
      </c>
      <c r="T1945">
        <v>1</v>
      </c>
      <c r="U1945">
        <v>0</v>
      </c>
      <c r="V1945">
        <v>0</v>
      </c>
      <c r="W1945">
        <v>0</v>
      </c>
      <c r="X1945">
        <v>1</v>
      </c>
      <c r="Y1945">
        <v>0</v>
      </c>
      <c r="Z1945">
        <v>1</v>
      </c>
      <c r="AA1945">
        <v>0</v>
      </c>
      <c r="AB1945">
        <v>0</v>
      </c>
      <c r="AC1945">
        <v>1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</row>
    <row r="1946" spans="1:39" x14ac:dyDescent="0.2">
      <c r="A1946" t="str">
        <f>"1942"</f>
        <v>1942</v>
      </c>
      <c r="B1946" t="str">
        <f t="shared" si="107"/>
        <v>1</v>
      </c>
      <c r="C1946" t="str">
        <f t="shared" si="108"/>
        <v>39</v>
      </c>
      <c r="D1946" t="str">
        <f>"7"</f>
        <v>7</v>
      </c>
      <c r="E1946" t="str">
        <f>"1-39-7"</f>
        <v>1-39-7</v>
      </c>
      <c r="F1946" t="s">
        <v>65</v>
      </c>
      <c r="G1946" t="s">
        <v>66</v>
      </c>
      <c r="H1946" t="s">
        <v>67</v>
      </c>
      <c r="S1946">
        <v>0</v>
      </c>
      <c r="T1946">
        <v>1</v>
      </c>
      <c r="U1946">
        <v>0</v>
      </c>
      <c r="V1946">
        <v>0</v>
      </c>
      <c r="W1946">
        <v>0</v>
      </c>
      <c r="X1946">
        <v>1</v>
      </c>
      <c r="Y1946">
        <v>1</v>
      </c>
      <c r="Z1946">
        <v>0</v>
      </c>
      <c r="AA1946">
        <v>0</v>
      </c>
      <c r="AB1946">
        <v>0</v>
      </c>
      <c r="AC1946">
        <v>1</v>
      </c>
      <c r="AD1946">
        <v>1</v>
      </c>
      <c r="AE1946">
        <v>1</v>
      </c>
      <c r="AF1946">
        <v>1</v>
      </c>
      <c r="AG1946">
        <v>1</v>
      </c>
      <c r="AH1946">
        <v>1</v>
      </c>
      <c r="AI1946">
        <v>1</v>
      </c>
      <c r="AJ1946">
        <v>1</v>
      </c>
      <c r="AK1946">
        <v>1</v>
      </c>
      <c r="AL1946">
        <v>1</v>
      </c>
      <c r="AM1946">
        <v>1</v>
      </c>
    </row>
    <row r="1947" spans="1:39" x14ac:dyDescent="0.2">
      <c r="A1947" t="str">
        <f>"1943"</f>
        <v>1943</v>
      </c>
      <c r="B1947" t="str">
        <f t="shared" si="107"/>
        <v>1</v>
      </c>
      <c r="C1947" t="str">
        <f t="shared" si="108"/>
        <v>39</v>
      </c>
      <c r="D1947" t="str">
        <f>"28"</f>
        <v>28</v>
      </c>
      <c r="E1947" t="str">
        <f>"1-39-28"</f>
        <v>1-39-28</v>
      </c>
      <c r="F1947" t="s">
        <v>65</v>
      </c>
      <c r="G1947" t="s">
        <v>66</v>
      </c>
      <c r="H1947" t="s">
        <v>67</v>
      </c>
      <c r="S1947">
        <v>0</v>
      </c>
      <c r="T1947">
        <v>1</v>
      </c>
      <c r="U1947">
        <v>0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0</v>
      </c>
      <c r="AB1947">
        <v>0</v>
      </c>
      <c r="AC1947">
        <v>1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</row>
    <row r="1948" spans="1:39" x14ac:dyDescent="0.2">
      <c r="A1948" t="str">
        <f>"1944"</f>
        <v>1944</v>
      </c>
      <c r="B1948" t="str">
        <f t="shared" si="107"/>
        <v>1</v>
      </c>
      <c r="C1948" t="str">
        <f t="shared" si="108"/>
        <v>39</v>
      </c>
      <c r="D1948" t="str">
        <f>"29"</f>
        <v>29</v>
      </c>
      <c r="E1948" t="str">
        <f>"1-39-29"</f>
        <v>1-39-29</v>
      </c>
      <c r="F1948" t="s">
        <v>65</v>
      </c>
      <c r="G1948" t="s">
        <v>66</v>
      </c>
      <c r="H1948" t="s">
        <v>67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1</v>
      </c>
      <c r="AI1948">
        <v>1</v>
      </c>
      <c r="AJ1948">
        <v>1</v>
      </c>
      <c r="AK1948">
        <v>1</v>
      </c>
      <c r="AL1948">
        <v>0</v>
      </c>
      <c r="AM1948">
        <v>0</v>
      </c>
    </row>
    <row r="1949" spans="1:39" x14ac:dyDescent="0.2">
      <c r="A1949" t="str">
        <f>"1945"</f>
        <v>1945</v>
      </c>
      <c r="B1949" t="str">
        <f t="shared" si="107"/>
        <v>1</v>
      </c>
      <c r="C1949" t="str">
        <f t="shared" si="108"/>
        <v>39</v>
      </c>
      <c r="D1949" t="str">
        <f>"10"</f>
        <v>10</v>
      </c>
      <c r="E1949" t="str">
        <f>"1-39-10"</f>
        <v>1-39-10</v>
      </c>
      <c r="F1949" t="s">
        <v>65</v>
      </c>
      <c r="G1949" t="s">
        <v>66</v>
      </c>
      <c r="H1949" t="s">
        <v>67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0</v>
      </c>
      <c r="AB1949">
        <v>0</v>
      </c>
      <c r="AC1949">
        <v>1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</row>
    <row r="1950" spans="1:39" x14ac:dyDescent="0.2">
      <c r="A1950" t="str">
        <f>"1946"</f>
        <v>1946</v>
      </c>
      <c r="B1950" t="str">
        <f t="shared" si="107"/>
        <v>1</v>
      </c>
      <c r="C1950" t="str">
        <f t="shared" si="108"/>
        <v>39</v>
      </c>
      <c r="D1950" t="str">
        <f>"30"</f>
        <v>30</v>
      </c>
      <c r="E1950" t="str">
        <f>"1-39-30"</f>
        <v>1-39-30</v>
      </c>
      <c r="F1950" t="s">
        <v>65</v>
      </c>
      <c r="G1950" t="s">
        <v>66</v>
      </c>
      <c r="H1950" t="s">
        <v>67</v>
      </c>
      <c r="S1950">
        <v>0</v>
      </c>
      <c r="T1950">
        <v>1</v>
      </c>
      <c r="U1950">
        <v>0</v>
      </c>
      <c r="V1950">
        <v>0</v>
      </c>
      <c r="W1950">
        <v>0</v>
      </c>
      <c r="X1950">
        <v>1</v>
      </c>
      <c r="Y1950">
        <v>0</v>
      </c>
      <c r="Z1950">
        <v>1</v>
      </c>
      <c r="AA1950">
        <v>0</v>
      </c>
      <c r="AB1950">
        <v>0</v>
      </c>
      <c r="AC1950">
        <v>1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</row>
    <row r="1951" spans="1:39" x14ac:dyDescent="0.2">
      <c r="A1951" t="str">
        <f>"1947"</f>
        <v>1947</v>
      </c>
      <c r="B1951" t="str">
        <f t="shared" si="107"/>
        <v>1</v>
      </c>
      <c r="C1951" t="str">
        <f t="shared" si="108"/>
        <v>39</v>
      </c>
      <c r="D1951" t="str">
        <f>"3"</f>
        <v>3</v>
      </c>
      <c r="E1951" t="str">
        <f>"1-39-3"</f>
        <v>1-39-3</v>
      </c>
      <c r="F1951" t="s">
        <v>65</v>
      </c>
      <c r="G1951" t="s">
        <v>66</v>
      </c>
      <c r="H1951" t="s">
        <v>67</v>
      </c>
      <c r="S1951">
        <v>1</v>
      </c>
      <c r="T1951">
        <v>0</v>
      </c>
      <c r="U1951">
        <v>0</v>
      </c>
      <c r="V1951">
        <v>0</v>
      </c>
      <c r="W1951">
        <v>1</v>
      </c>
      <c r="X1951">
        <v>0</v>
      </c>
      <c r="Y1951">
        <v>1</v>
      </c>
      <c r="Z1951">
        <v>0</v>
      </c>
      <c r="AA1951">
        <v>0</v>
      </c>
      <c r="AB1951">
        <v>0</v>
      </c>
      <c r="AC1951">
        <v>1</v>
      </c>
      <c r="AD1951">
        <v>1</v>
      </c>
      <c r="AE1951">
        <v>1</v>
      </c>
      <c r="AF1951">
        <v>1</v>
      </c>
      <c r="AG1951">
        <v>1</v>
      </c>
      <c r="AH1951">
        <v>1</v>
      </c>
      <c r="AI1951">
        <v>1</v>
      </c>
      <c r="AJ1951">
        <v>1</v>
      </c>
      <c r="AK1951">
        <v>1</v>
      </c>
      <c r="AL1951">
        <v>1</v>
      </c>
      <c r="AM1951">
        <v>1</v>
      </c>
    </row>
    <row r="1952" spans="1:39" x14ac:dyDescent="0.2">
      <c r="A1952" t="str">
        <f>"1948"</f>
        <v>1948</v>
      </c>
      <c r="B1952" t="str">
        <f t="shared" si="107"/>
        <v>1</v>
      </c>
      <c r="C1952" t="str">
        <f t="shared" si="108"/>
        <v>39</v>
      </c>
      <c r="D1952" t="str">
        <f>"1"</f>
        <v>1</v>
      </c>
      <c r="E1952" t="str">
        <f>"1-39-1"</f>
        <v>1-39-1</v>
      </c>
      <c r="F1952" t="s">
        <v>65</v>
      </c>
      <c r="G1952" t="s">
        <v>66</v>
      </c>
      <c r="H1952" t="s">
        <v>67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1</v>
      </c>
      <c r="Y1952">
        <v>0</v>
      </c>
      <c r="Z1952">
        <v>1</v>
      </c>
      <c r="AA1952">
        <v>0</v>
      </c>
      <c r="AB1952">
        <v>1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</row>
    <row r="1953" spans="1:39" x14ac:dyDescent="0.2">
      <c r="A1953" t="str">
        <f>"1949"</f>
        <v>1949</v>
      </c>
      <c r="B1953" t="str">
        <f t="shared" si="107"/>
        <v>1</v>
      </c>
      <c r="C1953" t="str">
        <f t="shared" si="108"/>
        <v>39</v>
      </c>
      <c r="D1953" t="str">
        <f>"50"</f>
        <v>50</v>
      </c>
      <c r="E1953" t="str">
        <f>"1-39-50"</f>
        <v>1-39-50</v>
      </c>
      <c r="F1953" t="s">
        <v>65</v>
      </c>
      <c r="G1953" t="s">
        <v>66</v>
      </c>
      <c r="H1953" t="s">
        <v>67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</row>
    <row r="1954" spans="1:39" x14ac:dyDescent="0.2">
      <c r="A1954" t="str">
        <f>"1950"</f>
        <v>1950</v>
      </c>
      <c r="B1954" t="str">
        <f t="shared" si="107"/>
        <v>1</v>
      </c>
      <c r="C1954" t="str">
        <f t="shared" si="108"/>
        <v>39</v>
      </c>
      <c r="D1954" t="str">
        <f>"2"</f>
        <v>2</v>
      </c>
      <c r="E1954" t="str">
        <f>"1-39-2"</f>
        <v>1-39-2</v>
      </c>
      <c r="F1954" t="s">
        <v>65</v>
      </c>
      <c r="G1954" t="s">
        <v>66</v>
      </c>
      <c r="H1954" t="s">
        <v>67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1</v>
      </c>
      <c r="Y1954">
        <v>0</v>
      </c>
      <c r="Z1954">
        <v>1</v>
      </c>
      <c r="AA1954">
        <v>0</v>
      </c>
      <c r="AB1954">
        <v>0</v>
      </c>
      <c r="AC1954">
        <v>1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</row>
    <row r="1955" spans="1:39" x14ac:dyDescent="0.2">
      <c r="A1955" t="str">
        <f>"1951"</f>
        <v>1951</v>
      </c>
      <c r="B1955" t="str">
        <f t="shared" si="107"/>
        <v>1</v>
      </c>
      <c r="C1955" t="str">
        <f t="shared" ref="C1955:C1986" si="109">"40"</f>
        <v>40</v>
      </c>
      <c r="D1955" t="str">
        <f>"36"</f>
        <v>36</v>
      </c>
      <c r="E1955" t="str">
        <f>"1-40-36"</f>
        <v>1-40-36</v>
      </c>
      <c r="F1955" t="s">
        <v>65</v>
      </c>
      <c r="G1955" t="s">
        <v>66</v>
      </c>
      <c r="H1955" t="s">
        <v>67</v>
      </c>
      <c r="S1955">
        <v>0</v>
      </c>
      <c r="T1955">
        <v>1</v>
      </c>
      <c r="U1955">
        <v>0</v>
      </c>
      <c r="V1955">
        <v>0</v>
      </c>
      <c r="W1955">
        <v>1</v>
      </c>
      <c r="X1955">
        <v>0</v>
      </c>
      <c r="Y1955">
        <v>0</v>
      </c>
      <c r="Z1955">
        <v>1</v>
      </c>
      <c r="AA1955">
        <v>0</v>
      </c>
      <c r="AB1955">
        <v>1</v>
      </c>
      <c r="AC1955">
        <v>0</v>
      </c>
      <c r="AD1955">
        <v>1</v>
      </c>
      <c r="AE1955">
        <v>1</v>
      </c>
      <c r="AF1955">
        <v>1</v>
      </c>
      <c r="AG1955">
        <v>1</v>
      </c>
      <c r="AH1955">
        <v>1</v>
      </c>
      <c r="AI1955">
        <v>1</v>
      </c>
      <c r="AJ1955">
        <v>1</v>
      </c>
      <c r="AK1955">
        <v>1</v>
      </c>
      <c r="AL1955">
        <v>1</v>
      </c>
      <c r="AM1955">
        <v>1</v>
      </c>
    </row>
    <row r="1956" spans="1:39" x14ac:dyDescent="0.2">
      <c r="A1956" t="str">
        <f>"1952"</f>
        <v>1952</v>
      </c>
      <c r="B1956" t="str">
        <f t="shared" si="107"/>
        <v>1</v>
      </c>
      <c r="C1956" t="str">
        <f t="shared" si="109"/>
        <v>40</v>
      </c>
      <c r="D1956" t="str">
        <f>"35"</f>
        <v>35</v>
      </c>
      <c r="E1956" t="str">
        <f>"1-40-35"</f>
        <v>1-40-35</v>
      </c>
      <c r="F1956" t="s">
        <v>65</v>
      </c>
      <c r="G1956" t="s">
        <v>66</v>
      </c>
      <c r="H1956" t="s">
        <v>67</v>
      </c>
      <c r="S1956">
        <v>0</v>
      </c>
      <c r="T1956">
        <v>1</v>
      </c>
      <c r="U1956">
        <v>0</v>
      </c>
      <c r="V1956">
        <v>0</v>
      </c>
      <c r="W1956">
        <v>0</v>
      </c>
      <c r="X1956">
        <v>1</v>
      </c>
      <c r="Y1956">
        <v>0</v>
      </c>
      <c r="Z1956">
        <v>1</v>
      </c>
      <c r="AA1956">
        <v>0</v>
      </c>
      <c r="AB1956">
        <v>0</v>
      </c>
      <c r="AC1956">
        <v>1</v>
      </c>
      <c r="AD1956">
        <v>1</v>
      </c>
      <c r="AE1956">
        <v>1</v>
      </c>
      <c r="AF1956">
        <v>1</v>
      </c>
      <c r="AG1956">
        <v>1</v>
      </c>
      <c r="AH1956">
        <v>1</v>
      </c>
      <c r="AI1956">
        <v>1</v>
      </c>
      <c r="AJ1956">
        <v>1</v>
      </c>
      <c r="AK1956">
        <v>1</v>
      </c>
      <c r="AL1956">
        <v>1</v>
      </c>
      <c r="AM1956">
        <v>1</v>
      </c>
    </row>
    <row r="1957" spans="1:39" x14ac:dyDescent="0.2">
      <c r="A1957" t="str">
        <f>"1953"</f>
        <v>1953</v>
      </c>
      <c r="B1957" t="str">
        <f t="shared" si="107"/>
        <v>1</v>
      </c>
      <c r="C1957" t="str">
        <f t="shared" si="109"/>
        <v>40</v>
      </c>
      <c r="D1957" t="str">
        <f>"22"</f>
        <v>22</v>
      </c>
      <c r="E1957" t="str">
        <f>"1-40-22"</f>
        <v>1-40-22</v>
      </c>
      <c r="F1957" t="s">
        <v>65</v>
      </c>
      <c r="G1957" t="s">
        <v>66</v>
      </c>
      <c r="H1957" t="s">
        <v>67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0</v>
      </c>
      <c r="AB1957">
        <v>1</v>
      </c>
      <c r="AC1957">
        <v>0</v>
      </c>
      <c r="AD1957">
        <v>0</v>
      </c>
      <c r="AE1957">
        <v>0</v>
      </c>
      <c r="AF1957">
        <v>0</v>
      </c>
      <c r="AG1957">
        <v>1</v>
      </c>
      <c r="AH1957">
        <v>0</v>
      </c>
      <c r="AI1957">
        <v>0</v>
      </c>
      <c r="AJ1957">
        <v>1</v>
      </c>
      <c r="AK1957">
        <v>0</v>
      </c>
      <c r="AL1957">
        <v>1</v>
      </c>
      <c r="AM1957">
        <v>0</v>
      </c>
    </row>
    <row r="1958" spans="1:39" x14ac:dyDescent="0.2">
      <c r="A1958" t="str">
        <f>"1954"</f>
        <v>1954</v>
      </c>
      <c r="B1958" t="str">
        <f t="shared" si="107"/>
        <v>1</v>
      </c>
      <c r="C1958" t="str">
        <f t="shared" si="109"/>
        <v>40</v>
      </c>
      <c r="D1958" t="str">
        <f>"15"</f>
        <v>15</v>
      </c>
      <c r="E1958" t="str">
        <f>"1-40-15"</f>
        <v>1-40-15</v>
      </c>
      <c r="F1958" t="s">
        <v>65</v>
      </c>
      <c r="G1958" t="s">
        <v>66</v>
      </c>
      <c r="H1958" t="s">
        <v>67</v>
      </c>
      <c r="S1958">
        <v>0</v>
      </c>
      <c r="T1958">
        <v>1</v>
      </c>
      <c r="U1958">
        <v>0</v>
      </c>
      <c r="V1958">
        <v>0</v>
      </c>
      <c r="W1958">
        <v>1</v>
      </c>
      <c r="X1958">
        <v>0</v>
      </c>
      <c r="Y1958">
        <v>0</v>
      </c>
      <c r="Z1958">
        <v>1</v>
      </c>
      <c r="AA1958">
        <v>0</v>
      </c>
      <c r="AB1958">
        <v>0</v>
      </c>
      <c r="AC1958">
        <v>1</v>
      </c>
      <c r="AD1958">
        <v>1</v>
      </c>
      <c r="AE1958">
        <v>1</v>
      </c>
      <c r="AF1958">
        <v>1</v>
      </c>
      <c r="AG1958">
        <v>1</v>
      </c>
      <c r="AH1958">
        <v>1</v>
      </c>
      <c r="AI1958">
        <v>1</v>
      </c>
      <c r="AJ1958">
        <v>1</v>
      </c>
      <c r="AK1958">
        <v>1</v>
      </c>
      <c r="AL1958">
        <v>1</v>
      </c>
      <c r="AM1958">
        <v>1</v>
      </c>
    </row>
    <row r="1959" spans="1:39" x14ac:dyDescent="0.2">
      <c r="A1959" t="str">
        <f>"1955"</f>
        <v>1955</v>
      </c>
      <c r="B1959" t="str">
        <f t="shared" si="107"/>
        <v>1</v>
      </c>
      <c r="C1959" t="str">
        <f t="shared" si="109"/>
        <v>40</v>
      </c>
      <c r="D1959" t="str">
        <f>"9"</f>
        <v>9</v>
      </c>
      <c r="E1959" t="str">
        <f>"1-40-9"</f>
        <v>1-40-9</v>
      </c>
      <c r="F1959" t="s">
        <v>65</v>
      </c>
      <c r="G1959" t="s">
        <v>66</v>
      </c>
      <c r="H1959" t="s">
        <v>67</v>
      </c>
      <c r="S1959">
        <v>0</v>
      </c>
      <c r="T1959">
        <v>1</v>
      </c>
      <c r="U1959">
        <v>0</v>
      </c>
      <c r="V1959">
        <v>0</v>
      </c>
      <c r="W1959">
        <v>1</v>
      </c>
      <c r="X1959">
        <v>0</v>
      </c>
      <c r="Y1959">
        <v>1</v>
      </c>
      <c r="Z1959">
        <v>0</v>
      </c>
      <c r="AA1959">
        <v>0</v>
      </c>
      <c r="AB1959">
        <v>1</v>
      </c>
      <c r="AC1959">
        <v>0</v>
      </c>
      <c r="AD1959">
        <v>1</v>
      </c>
      <c r="AE1959">
        <v>1</v>
      </c>
      <c r="AF1959">
        <v>1</v>
      </c>
      <c r="AG1959">
        <v>1</v>
      </c>
      <c r="AH1959">
        <v>1</v>
      </c>
      <c r="AI1959">
        <v>1</v>
      </c>
      <c r="AJ1959">
        <v>1</v>
      </c>
      <c r="AK1959">
        <v>1</v>
      </c>
      <c r="AL1959">
        <v>1</v>
      </c>
      <c r="AM1959">
        <v>1</v>
      </c>
    </row>
    <row r="1960" spans="1:39" x14ac:dyDescent="0.2">
      <c r="A1960" t="str">
        <f>"1956"</f>
        <v>1956</v>
      </c>
      <c r="B1960" t="str">
        <f t="shared" si="107"/>
        <v>1</v>
      </c>
      <c r="C1960" t="str">
        <f t="shared" si="109"/>
        <v>40</v>
      </c>
      <c r="D1960" t="str">
        <f>"38"</f>
        <v>38</v>
      </c>
      <c r="E1960" t="str">
        <f>"1-40-38"</f>
        <v>1-40-38</v>
      </c>
      <c r="F1960" t="s">
        <v>65</v>
      </c>
      <c r="G1960" t="s">
        <v>66</v>
      </c>
      <c r="H1960" t="s">
        <v>67</v>
      </c>
      <c r="S1960">
        <v>0</v>
      </c>
      <c r="T1960">
        <v>1</v>
      </c>
      <c r="U1960">
        <v>0</v>
      </c>
      <c r="V1960">
        <v>0</v>
      </c>
      <c r="W1960">
        <v>0</v>
      </c>
      <c r="X1960">
        <v>1</v>
      </c>
      <c r="Y1960">
        <v>1</v>
      </c>
      <c r="Z1960">
        <v>0</v>
      </c>
      <c r="AA1960">
        <v>0</v>
      </c>
      <c r="AB1960">
        <v>1</v>
      </c>
      <c r="AC1960">
        <v>0</v>
      </c>
      <c r="AD1960">
        <v>1</v>
      </c>
      <c r="AE1960">
        <v>1</v>
      </c>
      <c r="AF1960">
        <v>1</v>
      </c>
      <c r="AG1960">
        <v>0</v>
      </c>
      <c r="AH1960">
        <v>1</v>
      </c>
      <c r="AI1960">
        <v>1</v>
      </c>
      <c r="AJ1960">
        <v>1</v>
      </c>
      <c r="AK1960">
        <v>1</v>
      </c>
      <c r="AL1960">
        <v>1</v>
      </c>
      <c r="AM1960">
        <v>1</v>
      </c>
    </row>
    <row r="1961" spans="1:39" x14ac:dyDescent="0.2">
      <c r="A1961" t="str">
        <f>"1957"</f>
        <v>1957</v>
      </c>
      <c r="B1961" t="str">
        <f t="shared" si="107"/>
        <v>1</v>
      </c>
      <c r="C1961" t="str">
        <f t="shared" si="109"/>
        <v>40</v>
      </c>
      <c r="D1961" t="str">
        <f>"37"</f>
        <v>37</v>
      </c>
      <c r="E1961" t="str">
        <f>"1-40-37"</f>
        <v>1-40-37</v>
      </c>
      <c r="F1961" t="s">
        <v>65</v>
      </c>
      <c r="G1961" t="s">
        <v>66</v>
      </c>
      <c r="H1961" t="s">
        <v>67</v>
      </c>
      <c r="S1961">
        <v>0</v>
      </c>
      <c r="T1961">
        <v>1</v>
      </c>
      <c r="U1961">
        <v>0</v>
      </c>
      <c r="V1961">
        <v>0</v>
      </c>
      <c r="W1961">
        <v>0</v>
      </c>
      <c r="X1961">
        <v>1</v>
      </c>
      <c r="Y1961">
        <v>0</v>
      </c>
      <c r="Z1961">
        <v>1</v>
      </c>
      <c r="AA1961">
        <v>1</v>
      </c>
      <c r="AB1961">
        <v>0</v>
      </c>
      <c r="AC1961">
        <v>0</v>
      </c>
      <c r="AD1961">
        <v>1</v>
      </c>
      <c r="AE1961">
        <v>1</v>
      </c>
      <c r="AF1961">
        <v>1</v>
      </c>
      <c r="AG1961">
        <v>1</v>
      </c>
      <c r="AH1961">
        <v>1</v>
      </c>
      <c r="AI1961">
        <v>1</v>
      </c>
      <c r="AJ1961">
        <v>1</v>
      </c>
      <c r="AK1961">
        <v>1</v>
      </c>
      <c r="AL1961">
        <v>1</v>
      </c>
      <c r="AM1961">
        <v>1</v>
      </c>
    </row>
    <row r="1962" spans="1:39" x14ac:dyDescent="0.2">
      <c r="A1962" t="str">
        <f>"1958"</f>
        <v>1958</v>
      </c>
      <c r="B1962" t="str">
        <f t="shared" si="107"/>
        <v>1</v>
      </c>
      <c r="C1962" t="str">
        <f t="shared" si="109"/>
        <v>40</v>
      </c>
      <c r="D1962" t="str">
        <f>"23"</f>
        <v>23</v>
      </c>
      <c r="E1962" t="str">
        <f>"1-40-23"</f>
        <v>1-40-23</v>
      </c>
      <c r="F1962" t="s">
        <v>65</v>
      </c>
      <c r="G1962" t="s">
        <v>66</v>
      </c>
      <c r="H1962" t="s">
        <v>67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1</v>
      </c>
      <c r="AH1962">
        <v>1</v>
      </c>
      <c r="AI1962">
        <v>1</v>
      </c>
      <c r="AJ1962">
        <v>1</v>
      </c>
      <c r="AK1962">
        <v>0</v>
      </c>
      <c r="AL1962">
        <v>1</v>
      </c>
      <c r="AM1962">
        <v>0</v>
      </c>
    </row>
    <row r="1963" spans="1:39" x14ac:dyDescent="0.2">
      <c r="A1963" t="str">
        <f>"1959"</f>
        <v>1959</v>
      </c>
      <c r="B1963" t="str">
        <f t="shared" si="107"/>
        <v>1</v>
      </c>
      <c r="C1963" t="str">
        <f t="shared" si="109"/>
        <v>40</v>
      </c>
      <c r="D1963" t="str">
        <f>"16"</f>
        <v>16</v>
      </c>
      <c r="E1963" t="str">
        <f>"1-40-16"</f>
        <v>1-40-16</v>
      </c>
      <c r="F1963" t="s">
        <v>65</v>
      </c>
      <c r="G1963" t="s">
        <v>66</v>
      </c>
      <c r="H1963" t="s">
        <v>67</v>
      </c>
      <c r="S1963">
        <v>1</v>
      </c>
      <c r="T1963">
        <v>0</v>
      </c>
      <c r="U1963">
        <v>0</v>
      </c>
      <c r="V1963">
        <v>0</v>
      </c>
      <c r="W1963">
        <v>1</v>
      </c>
      <c r="X1963">
        <v>0</v>
      </c>
      <c r="Y1963">
        <v>0</v>
      </c>
      <c r="Z1963">
        <v>1</v>
      </c>
      <c r="AA1963">
        <v>0</v>
      </c>
      <c r="AB1963">
        <v>0</v>
      </c>
      <c r="AC1963">
        <v>1</v>
      </c>
      <c r="AD1963">
        <v>1</v>
      </c>
      <c r="AE1963">
        <v>1</v>
      </c>
      <c r="AF1963">
        <v>1</v>
      </c>
      <c r="AG1963">
        <v>1</v>
      </c>
      <c r="AH1963">
        <v>1</v>
      </c>
      <c r="AI1963">
        <v>1</v>
      </c>
      <c r="AJ1963">
        <v>1</v>
      </c>
      <c r="AK1963">
        <v>1</v>
      </c>
      <c r="AL1963">
        <v>1</v>
      </c>
      <c r="AM1963">
        <v>1</v>
      </c>
    </row>
    <row r="1964" spans="1:39" x14ac:dyDescent="0.2">
      <c r="A1964" t="str">
        <f>"1960"</f>
        <v>1960</v>
      </c>
      <c r="B1964" t="str">
        <f t="shared" si="107"/>
        <v>1</v>
      </c>
      <c r="C1964" t="str">
        <f t="shared" si="109"/>
        <v>40</v>
      </c>
      <c r="D1964" t="str">
        <f>"3"</f>
        <v>3</v>
      </c>
      <c r="E1964" t="str">
        <f>"1-40-3"</f>
        <v>1-40-3</v>
      </c>
      <c r="F1964" t="s">
        <v>65</v>
      </c>
      <c r="G1964" t="s">
        <v>66</v>
      </c>
      <c r="H1964" t="s">
        <v>67</v>
      </c>
      <c r="S1964">
        <v>0</v>
      </c>
      <c r="T1964">
        <v>1</v>
      </c>
      <c r="U1964">
        <v>0</v>
      </c>
      <c r="V1964">
        <v>0</v>
      </c>
      <c r="W1964">
        <v>1</v>
      </c>
      <c r="X1964">
        <v>0</v>
      </c>
      <c r="Y1964">
        <v>1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1</v>
      </c>
      <c r="AF1964">
        <v>1</v>
      </c>
      <c r="AG1964">
        <v>1</v>
      </c>
      <c r="AH1964">
        <v>1</v>
      </c>
      <c r="AI1964">
        <v>1</v>
      </c>
      <c r="AJ1964">
        <v>1</v>
      </c>
      <c r="AK1964">
        <v>0</v>
      </c>
      <c r="AL1964">
        <v>1</v>
      </c>
      <c r="AM1964">
        <v>0</v>
      </c>
    </row>
    <row r="1965" spans="1:39" x14ac:dyDescent="0.2">
      <c r="A1965" t="str">
        <f>"1961"</f>
        <v>1961</v>
      </c>
      <c r="B1965" t="str">
        <f t="shared" si="107"/>
        <v>1</v>
      </c>
      <c r="C1965" t="str">
        <f t="shared" si="109"/>
        <v>40</v>
      </c>
      <c r="D1965" t="str">
        <f>"43"</f>
        <v>43</v>
      </c>
      <c r="E1965" t="str">
        <f>"1-40-43"</f>
        <v>1-40-43</v>
      </c>
      <c r="F1965" t="s">
        <v>65</v>
      </c>
      <c r="G1965" t="s">
        <v>66</v>
      </c>
      <c r="H1965" t="s">
        <v>67</v>
      </c>
      <c r="S1965">
        <v>0</v>
      </c>
      <c r="T1965">
        <v>1</v>
      </c>
      <c r="U1965">
        <v>0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0</v>
      </c>
      <c r="AB1965">
        <v>0</v>
      </c>
      <c r="AC1965">
        <v>1</v>
      </c>
      <c r="AD1965">
        <v>0</v>
      </c>
      <c r="AE1965">
        <v>0</v>
      </c>
      <c r="AF1965">
        <v>0</v>
      </c>
      <c r="AG1965">
        <v>0</v>
      </c>
      <c r="AH1965">
        <v>1</v>
      </c>
      <c r="AI1965">
        <v>1</v>
      </c>
      <c r="AJ1965">
        <v>1</v>
      </c>
      <c r="AK1965">
        <v>1</v>
      </c>
      <c r="AL1965">
        <v>0</v>
      </c>
      <c r="AM1965">
        <v>0</v>
      </c>
    </row>
    <row r="1966" spans="1:39" x14ac:dyDescent="0.2">
      <c r="A1966" t="str">
        <f>"1962"</f>
        <v>1962</v>
      </c>
      <c r="B1966" t="str">
        <f t="shared" si="107"/>
        <v>1</v>
      </c>
      <c r="C1966" t="str">
        <f t="shared" si="109"/>
        <v>40</v>
      </c>
      <c r="D1966" t="str">
        <f>"42"</f>
        <v>42</v>
      </c>
      <c r="E1966" t="str">
        <f>"1-40-42"</f>
        <v>1-40-42</v>
      </c>
      <c r="F1966" t="s">
        <v>65</v>
      </c>
      <c r="G1966" t="s">
        <v>66</v>
      </c>
      <c r="H1966" t="s">
        <v>67</v>
      </c>
      <c r="S1966">
        <v>0</v>
      </c>
      <c r="T1966">
        <v>1</v>
      </c>
      <c r="U1966">
        <v>0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0</v>
      </c>
      <c r="AB1966">
        <v>0</v>
      </c>
      <c r="AC1966">
        <v>1</v>
      </c>
      <c r="AD1966">
        <v>0</v>
      </c>
      <c r="AE1966">
        <v>0</v>
      </c>
      <c r="AF1966">
        <v>0</v>
      </c>
      <c r="AG1966">
        <v>0</v>
      </c>
      <c r="AH1966">
        <v>1</v>
      </c>
      <c r="AI1966">
        <v>1</v>
      </c>
      <c r="AJ1966">
        <v>0</v>
      </c>
      <c r="AK1966">
        <v>0</v>
      </c>
      <c r="AL1966">
        <v>1</v>
      </c>
      <c r="AM1966">
        <v>0</v>
      </c>
    </row>
    <row r="1967" spans="1:39" x14ac:dyDescent="0.2">
      <c r="A1967" t="str">
        <f>"1963"</f>
        <v>1963</v>
      </c>
      <c r="B1967" t="str">
        <f t="shared" si="107"/>
        <v>1</v>
      </c>
      <c r="C1967" t="str">
        <f t="shared" si="109"/>
        <v>40</v>
      </c>
      <c r="D1967" t="str">
        <f>"32"</f>
        <v>32</v>
      </c>
      <c r="E1967" t="str">
        <f>"1-40-32"</f>
        <v>1-40-32</v>
      </c>
      <c r="F1967" t="s">
        <v>65</v>
      </c>
      <c r="G1967" t="s">
        <v>66</v>
      </c>
      <c r="H1967" t="s">
        <v>67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1</v>
      </c>
      <c r="AJ1967">
        <v>0</v>
      </c>
      <c r="AK1967">
        <v>0</v>
      </c>
      <c r="AL1967">
        <v>0</v>
      </c>
      <c r="AM1967">
        <v>0</v>
      </c>
    </row>
    <row r="1968" spans="1:39" x14ac:dyDescent="0.2">
      <c r="A1968" t="str">
        <f>"1964"</f>
        <v>1964</v>
      </c>
      <c r="B1968" t="str">
        <f t="shared" si="107"/>
        <v>1</v>
      </c>
      <c r="C1968" t="str">
        <f t="shared" si="109"/>
        <v>40</v>
      </c>
      <c r="D1968" t="str">
        <f>"17"</f>
        <v>17</v>
      </c>
      <c r="E1968" t="str">
        <f>"1-40-17"</f>
        <v>1-40-17</v>
      </c>
      <c r="F1968" t="s">
        <v>65</v>
      </c>
      <c r="G1968" t="s">
        <v>66</v>
      </c>
      <c r="H1968" t="s">
        <v>67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0</v>
      </c>
      <c r="AB1968">
        <v>0</v>
      </c>
      <c r="AC1968">
        <v>1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</row>
    <row r="1969" spans="1:39" x14ac:dyDescent="0.2">
      <c r="A1969" t="str">
        <f>"1965"</f>
        <v>1965</v>
      </c>
      <c r="B1969" t="str">
        <f t="shared" si="107"/>
        <v>1</v>
      </c>
      <c r="C1969" t="str">
        <f t="shared" si="109"/>
        <v>40</v>
      </c>
      <c r="D1969" t="str">
        <f>"5"</f>
        <v>5</v>
      </c>
      <c r="E1969" t="str">
        <f>"1-40-5"</f>
        <v>1-40-5</v>
      </c>
      <c r="F1969" t="s">
        <v>65</v>
      </c>
      <c r="G1969" t="s">
        <v>66</v>
      </c>
      <c r="H1969" t="s">
        <v>67</v>
      </c>
      <c r="S1969">
        <v>0</v>
      </c>
      <c r="T1969">
        <v>1</v>
      </c>
      <c r="U1969">
        <v>0</v>
      </c>
      <c r="V1969">
        <v>0</v>
      </c>
      <c r="W1969">
        <v>0</v>
      </c>
      <c r="X1969">
        <v>1</v>
      </c>
      <c r="Y1969">
        <v>0</v>
      </c>
      <c r="Z1969">
        <v>1</v>
      </c>
      <c r="AA1969">
        <v>0</v>
      </c>
      <c r="AB1969">
        <v>0</v>
      </c>
      <c r="AC1969">
        <v>1</v>
      </c>
      <c r="AD1969">
        <v>1</v>
      </c>
      <c r="AE1969">
        <v>1</v>
      </c>
      <c r="AF1969">
        <v>1</v>
      </c>
      <c r="AG1969">
        <v>1</v>
      </c>
      <c r="AH1969">
        <v>1</v>
      </c>
      <c r="AI1969">
        <v>1</v>
      </c>
      <c r="AJ1969">
        <v>1</v>
      </c>
      <c r="AK1969">
        <v>1</v>
      </c>
      <c r="AL1969">
        <v>1</v>
      </c>
      <c r="AM1969">
        <v>1</v>
      </c>
    </row>
    <row r="1970" spans="1:39" x14ac:dyDescent="0.2">
      <c r="A1970" t="str">
        <f>"1966"</f>
        <v>1966</v>
      </c>
      <c r="B1970" t="str">
        <f t="shared" si="107"/>
        <v>1</v>
      </c>
      <c r="C1970" t="str">
        <f t="shared" si="109"/>
        <v>40</v>
      </c>
      <c r="D1970" t="str">
        <f>"50"</f>
        <v>50</v>
      </c>
      <c r="E1970" t="str">
        <f>"1-40-50"</f>
        <v>1-40-50</v>
      </c>
      <c r="F1970" t="s">
        <v>65</v>
      </c>
      <c r="G1970" t="s">
        <v>66</v>
      </c>
      <c r="H1970" t="s">
        <v>67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1</v>
      </c>
      <c r="Y1970">
        <v>0</v>
      </c>
      <c r="Z1970">
        <v>1</v>
      </c>
      <c r="AA1970">
        <v>0</v>
      </c>
      <c r="AB1970">
        <v>1</v>
      </c>
      <c r="AC1970">
        <v>0</v>
      </c>
      <c r="AD1970">
        <v>1</v>
      </c>
      <c r="AE1970">
        <v>1</v>
      </c>
      <c r="AF1970">
        <v>1</v>
      </c>
      <c r="AG1970">
        <v>1</v>
      </c>
      <c r="AH1970">
        <v>1</v>
      </c>
      <c r="AI1970">
        <v>1</v>
      </c>
      <c r="AJ1970">
        <v>1</v>
      </c>
      <c r="AK1970">
        <v>1</v>
      </c>
      <c r="AL1970">
        <v>1</v>
      </c>
      <c r="AM1970">
        <v>0</v>
      </c>
    </row>
    <row r="1971" spans="1:39" x14ac:dyDescent="0.2">
      <c r="A1971" t="str">
        <f>"1967"</f>
        <v>1967</v>
      </c>
      <c r="B1971" t="str">
        <f t="shared" si="107"/>
        <v>1</v>
      </c>
      <c r="C1971" t="str">
        <f t="shared" si="109"/>
        <v>40</v>
      </c>
      <c r="D1971" t="str">
        <f>"49"</f>
        <v>49</v>
      </c>
      <c r="E1971" t="str">
        <f>"1-40-49"</f>
        <v>1-40-49</v>
      </c>
      <c r="F1971" t="s">
        <v>65</v>
      </c>
      <c r="G1971" t="s">
        <v>66</v>
      </c>
      <c r="H1971" t="s">
        <v>67</v>
      </c>
      <c r="S1971">
        <v>0</v>
      </c>
      <c r="T1971">
        <v>1</v>
      </c>
      <c r="U1971">
        <v>0</v>
      </c>
      <c r="V1971">
        <v>0</v>
      </c>
      <c r="W1971">
        <v>1</v>
      </c>
      <c r="X1971">
        <v>0</v>
      </c>
      <c r="Y1971">
        <v>0</v>
      </c>
      <c r="Z1971">
        <v>1</v>
      </c>
      <c r="AA1971">
        <v>0</v>
      </c>
      <c r="AB1971">
        <v>1</v>
      </c>
      <c r="AC1971">
        <v>0</v>
      </c>
      <c r="AD1971">
        <v>1</v>
      </c>
      <c r="AE1971">
        <v>1</v>
      </c>
      <c r="AF1971">
        <v>1</v>
      </c>
      <c r="AG1971">
        <v>1</v>
      </c>
      <c r="AH1971">
        <v>1</v>
      </c>
      <c r="AI1971">
        <v>1</v>
      </c>
      <c r="AJ1971">
        <v>1</v>
      </c>
      <c r="AK1971">
        <v>1</v>
      </c>
      <c r="AL1971">
        <v>1</v>
      </c>
      <c r="AM1971">
        <v>1</v>
      </c>
    </row>
    <row r="1972" spans="1:39" x14ac:dyDescent="0.2">
      <c r="A1972" t="str">
        <f>"1968"</f>
        <v>1968</v>
      </c>
      <c r="B1972" t="str">
        <f t="shared" si="107"/>
        <v>1</v>
      </c>
      <c r="C1972" t="str">
        <f t="shared" si="109"/>
        <v>40</v>
      </c>
      <c r="D1972" t="str">
        <f>"31"</f>
        <v>31</v>
      </c>
      <c r="E1972" t="str">
        <f>"1-40-31"</f>
        <v>1-40-31</v>
      </c>
      <c r="F1972" t="s">
        <v>65</v>
      </c>
      <c r="G1972" t="s">
        <v>66</v>
      </c>
      <c r="H1972" t="s">
        <v>67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</row>
    <row r="1973" spans="1:39" x14ac:dyDescent="0.2">
      <c r="A1973" t="str">
        <f>"1969"</f>
        <v>1969</v>
      </c>
      <c r="B1973" t="str">
        <f t="shared" si="107"/>
        <v>1</v>
      </c>
      <c r="C1973" t="str">
        <f t="shared" si="109"/>
        <v>40</v>
      </c>
      <c r="D1973" t="str">
        <f>"18"</f>
        <v>18</v>
      </c>
      <c r="E1973" t="str">
        <f>"1-40-18"</f>
        <v>1-40-18</v>
      </c>
      <c r="F1973" t="s">
        <v>65</v>
      </c>
      <c r="G1973" t="s">
        <v>66</v>
      </c>
      <c r="H1973" t="s">
        <v>67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0</v>
      </c>
      <c r="AB1973">
        <v>0</v>
      </c>
      <c r="AC1973">
        <v>1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1</v>
      </c>
      <c r="AJ1973">
        <v>0</v>
      </c>
      <c r="AK1973">
        <v>0</v>
      </c>
      <c r="AL1973">
        <v>0</v>
      </c>
      <c r="AM1973">
        <v>0</v>
      </c>
    </row>
    <row r="1974" spans="1:39" x14ac:dyDescent="0.2">
      <c r="A1974" t="str">
        <f>"1970"</f>
        <v>1970</v>
      </c>
      <c r="B1974" t="str">
        <f t="shared" si="107"/>
        <v>1</v>
      </c>
      <c r="C1974" t="str">
        <f t="shared" si="109"/>
        <v>40</v>
      </c>
      <c r="D1974" t="str">
        <f>"12"</f>
        <v>12</v>
      </c>
      <c r="E1974" t="str">
        <f>"1-40-12"</f>
        <v>1-40-12</v>
      </c>
      <c r="F1974" t="s">
        <v>65</v>
      </c>
      <c r="G1974" t="s">
        <v>66</v>
      </c>
      <c r="H1974" t="s">
        <v>67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0</v>
      </c>
      <c r="AB1974">
        <v>0</v>
      </c>
      <c r="AC1974">
        <v>1</v>
      </c>
      <c r="AD1974">
        <v>0</v>
      </c>
      <c r="AE1974">
        <v>0</v>
      </c>
      <c r="AF1974">
        <v>0</v>
      </c>
      <c r="AG1974">
        <v>0</v>
      </c>
      <c r="AH1974">
        <v>1</v>
      </c>
      <c r="AI1974">
        <v>1</v>
      </c>
      <c r="AJ1974">
        <v>0</v>
      </c>
      <c r="AK1974">
        <v>0</v>
      </c>
      <c r="AL1974">
        <v>0</v>
      </c>
      <c r="AM1974">
        <v>0</v>
      </c>
    </row>
    <row r="1975" spans="1:39" x14ac:dyDescent="0.2">
      <c r="A1975" t="str">
        <f>"1971"</f>
        <v>1971</v>
      </c>
      <c r="B1975" t="str">
        <f t="shared" ref="B1975:B2038" si="110">"1"</f>
        <v>1</v>
      </c>
      <c r="C1975" t="str">
        <f t="shared" si="109"/>
        <v>40</v>
      </c>
      <c r="D1975" t="str">
        <f>"48"</f>
        <v>48</v>
      </c>
      <c r="E1975" t="str">
        <f>"1-40-48"</f>
        <v>1-40-48</v>
      </c>
      <c r="F1975" t="s">
        <v>65</v>
      </c>
      <c r="G1975" t="s">
        <v>66</v>
      </c>
      <c r="H1975" t="s">
        <v>67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1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</row>
    <row r="1976" spans="1:39" x14ac:dyDescent="0.2">
      <c r="A1976" t="str">
        <f>"1972"</f>
        <v>1972</v>
      </c>
      <c r="B1976" t="str">
        <f t="shared" si="110"/>
        <v>1</v>
      </c>
      <c r="C1976" t="str">
        <f t="shared" si="109"/>
        <v>40</v>
      </c>
      <c r="D1976" t="str">
        <f>"47"</f>
        <v>47</v>
      </c>
      <c r="E1976" t="str">
        <f>"1-40-47"</f>
        <v>1-40-47</v>
      </c>
      <c r="F1976" t="s">
        <v>65</v>
      </c>
      <c r="G1976" t="s">
        <v>66</v>
      </c>
      <c r="H1976" t="s">
        <v>67</v>
      </c>
      <c r="S1976">
        <v>0</v>
      </c>
      <c r="T1976">
        <v>1</v>
      </c>
      <c r="U1976">
        <v>0</v>
      </c>
      <c r="V1976">
        <v>0</v>
      </c>
      <c r="W1976">
        <v>0</v>
      </c>
      <c r="X1976">
        <v>1</v>
      </c>
      <c r="Y1976">
        <v>0</v>
      </c>
      <c r="Z1976">
        <v>1</v>
      </c>
      <c r="AA1976">
        <v>0</v>
      </c>
      <c r="AB1976">
        <v>0</v>
      </c>
      <c r="AC1976">
        <v>1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</row>
    <row r="1977" spans="1:39" x14ac:dyDescent="0.2">
      <c r="A1977" t="str">
        <f>"1973"</f>
        <v>1973</v>
      </c>
      <c r="B1977" t="str">
        <f t="shared" si="110"/>
        <v>1</v>
      </c>
      <c r="C1977" t="str">
        <f t="shared" si="109"/>
        <v>40</v>
      </c>
      <c r="D1977" t="str">
        <f>"34"</f>
        <v>34</v>
      </c>
      <c r="E1977" t="str">
        <f>"1-40-34"</f>
        <v>1-40-34</v>
      </c>
      <c r="F1977" t="s">
        <v>65</v>
      </c>
      <c r="G1977" t="s">
        <v>66</v>
      </c>
      <c r="H1977" t="s">
        <v>67</v>
      </c>
      <c r="S1977">
        <v>0</v>
      </c>
      <c r="T1977">
        <v>1</v>
      </c>
      <c r="U1977">
        <v>0</v>
      </c>
      <c r="V1977">
        <v>0</v>
      </c>
      <c r="W1977">
        <v>1</v>
      </c>
      <c r="X1977">
        <v>0</v>
      </c>
      <c r="Y1977">
        <v>1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1</v>
      </c>
      <c r="AF1977">
        <v>1</v>
      </c>
      <c r="AG1977">
        <v>1</v>
      </c>
      <c r="AH1977">
        <v>1</v>
      </c>
      <c r="AI1977">
        <v>1</v>
      </c>
      <c r="AJ1977">
        <v>1</v>
      </c>
      <c r="AK1977">
        <v>1</v>
      </c>
      <c r="AL1977">
        <v>1</v>
      </c>
      <c r="AM1977">
        <v>1</v>
      </c>
    </row>
    <row r="1978" spans="1:39" x14ac:dyDescent="0.2">
      <c r="A1978" t="str">
        <f>"1974"</f>
        <v>1974</v>
      </c>
      <c r="B1978" t="str">
        <f t="shared" si="110"/>
        <v>1</v>
      </c>
      <c r="C1978" t="str">
        <f t="shared" si="109"/>
        <v>40</v>
      </c>
      <c r="D1978" t="str">
        <f>"19"</f>
        <v>19</v>
      </c>
      <c r="E1978" t="str">
        <f>"1-40-19"</f>
        <v>1-40-19</v>
      </c>
      <c r="F1978" t="s">
        <v>65</v>
      </c>
      <c r="G1978" t="s">
        <v>66</v>
      </c>
      <c r="H1978" t="s">
        <v>67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</row>
    <row r="1979" spans="1:39" x14ac:dyDescent="0.2">
      <c r="A1979" t="str">
        <f>"1975"</f>
        <v>1975</v>
      </c>
      <c r="B1979" t="str">
        <f t="shared" si="110"/>
        <v>1</v>
      </c>
      <c r="C1979" t="str">
        <f t="shared" si="109"/>
        <v>40</v>
      </c>
      <c r="D1979" t="str">
        <f>"6"</f>
        <v>6</v>
      </c>
      <c r="E1979" t="str">
        <f>"1-40-6"</f>
        <v>1-40-6</v>
      </c>
      <c r="F1979" t="s">
        <v>65</v>
      </c>
      <c r="G1979" t="s">
        <v>66</v>
      </c>
      <c r="H1979" t="s">
        <v>67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1</v>
      </c>
      <c r="Y1979">
        <v>0</v>
      </c>
      <c r="Z1979">
        <v>1</v>
      </c>
      <c r="AA1979">
        <v>0</v>
      </c>
      <c r="AB1979">
        <v>0</v>
      </c>
      <c r="AC1979">
        <v>1</v>
      </c>
      <c r="AD1979">
        <v>1</v>
      </c>
      <c r="AE1979">
        <v>1</v>
      </c>
      <c r="AF1979">
        <v>1</v>
      </c>
      <c r="AG1979">
        <v>1</v>
      </c>
      <c r="AH1979">
        <v>1</v>
      </c>
      <c r="AI1979">
        <v>1</v>
      </c>
      <c r="AJ1979">
        <v>1</v>
      </c>
      <c r="AK1979">
        <v>1</v>
      </c>
      <c r="AL1979">
        <v>1</v>
      </c>
      <c r="AM1979">
        <v>1</v>
      </c>
    </row>
    <row r="1980" spans="1:39" x14ac:dyDescent="0.2">
      <c r="A1980" t="str">
        <f>"1976"</f>
        <v>1976</v>
      </c>
      <c r="B1980" t="str">
        <f t="shared" si="110"/>
        <v>1</v>
      </c>
      <c r="C1980" t="str">
        <f t="shared" si="109"/>
        <v>40</v>
      </c>
      <c r="D1980" t="str">
        <f>"45"</f>
        <v>45</v>
      </c>
      <c r="E1980" t="str">
        <f>"1-40-45"</f>
        <v>1-40-45</v>
      </c>
      <c r="F1980" t="s">
        <v>65</v>
      </c>
      <c r="G1980" t="s">
        <v>66</v>
      </c>
      <c r="H1980" t="s">
        <v>67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</row>
    <row r="1981" spans="1:39" x14ac:dyDescent="0.2">
      <c r="A1981" t="str">
        <f>"1977"</f>
        <v>1977</v>
      </c>
      <c r="B1981" t="str">
        <f t="shared" si="110"/>
        <v>1</v>
      </c>
      <c r="C1981" t="str">
        <f t="shared" si="109"/>
        <v>40</v>
      </c>
      <c r="D1981" t="str">
        <f>"44"</f>
        <v>44</v>
      </c>
      <c r="E1981" t="str">
        <f>"1-40-44"</f>
        <v>1-40-44</v>
      </c>
      <c r="F1981" t="s">
        <v>65</v>
      </c>
      <c r="G1981" t="s">
        <v>66</v>
      </c>
      <c r="H1981" t="s">
        <v>67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0</v>
      </c>
      <c r="AB1981">
        <v>0</v>
      </c>
      <c r="AC1981">
        <v>1</v>
      </c>
      <c r="AD1981">
        <v>0</v>
      </c>
      <c r="AE1981">
        <v>0</v>
      </c>
      <c r="AF1981">
        <v>0</v>
      </c>
      <c r="AG1981">
        <v>1</v>
      </c>
      <c r="AH1981">
        <v>1</v>
      </c>
      <c r="AI1981">
        <v>1</v>
      </c>
      <c r="AJ1981">
        <v>1</v>
      </c>
      <c r="AK1981">
        <v>1</v>
      </c>
      <c r="AL1981">
        <v>1</v>
      </c>
      <c r="AM1981">
        <v>0</v>
      </c>
    </row>
    <row r="1982" spans="1:39" x14ac:dyDescent="0.2">
      <c r="A1982" t="str">
        <f>"1978"</f>
        <v>1978</v>
      </c>
      <c r="B1982" t="str">
        <f t="shared" si="110"/>
        <v>1</v>
      </c>
      <c r="C1982" t="str">
        <f t="shared" si="109"/>
        <v>40</v>
      </c>
      <c r="D1982" t="str">
        <f>"20"</f>
        <v>20</v>
      </c>
      <c r="E1982" t="str">
        <f>"1-40-20"</f>
        <v>1-40-20</v>
      </c>
      <c r="F1982" t="s">
        <v>65</v>
      </c>
      <c r="G1982" t="s">
        <v>66</v>
      </c>
      <c r="H1982" t="s">
        <v>67</v>
      </c>
      <c r="S1982">
        <v>1</v>
      </c>
      <c r="T1982">
        <v>0</v>
      </c>
      <c r="U1982">
        <v>0</v>
      </c>
      <c r="V1982">
        <v>0</v>
      </c>
      <c r="W1982">
        <v>1</v>
      </c>
      <c r="X1982">
        <v>0</v>
      </c>
      <c r="Y1982">
        <v>0</v>
      </c>
      <c r="Z1982">
        <v>1</v>
      </c>
      <c r="AA1982">
        <v>1</v>
      </c>
      <c r="AB1982">
        <v>0</v>
      </c>
      <c r="AC1982">
        <v>0</v>
      </c>
      <c r="AD1982">
        <v>1</v>
      </c>
      <c r="AE1982">
        <v>1</v>
      </c>
      <c r="AF1982">
        <v>1</v>
      </c>
      <c r="AG1982">
        <v>1</v>
      </c>
      <c r="AH1982">
        <v>1</v>
      </c>
      <c r="AI1982">
        <v>1</v>
      </c>
      <c r="AJ1982">
        <v>1</v>
      </c>
      <c r="AK1982">
        <v>1</v>
      </c>
      <c r="AL1982">
        <v>1</v>
      </c>
      <c r="AM1982">
        <v>1</v>
      </c>
    </row>
    <row r="1983" spans="1:39" x14ac:dyDescent="0.2">
      <c r="A1983" t="str">
        <f>"1979"</f>
        <v>1979</v>
      </c>
      <c r="B1983" t="str">
        <f t="shared" si="110"/>
        <v>1</v>
      </c>
      <c r="C1983" t="str">
        <f t="shared" si="109"/>
        <v>40</v>
      </c>
      <c r="D1983" t="str">
        <f>"39"</f>
        <v>39</v>
      </c>
      <c r="E1983" t="str">
        <f>"1-40-39"</f>
        <v>1-40-39</v>
      </c>
      <c r="F1983" t="s">
        <v>65</v>
      </c>
      <c r="G1983" t="s">
        <v>66</v>
      </c>
      <c r="H1983" t="s">
        <v>67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0</v>
      </c>
      <c r="AB1983">
        <v>0</v>
      </c>
      <c r="AC1983">
        <v>1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1</v>
      </c>
      <c r="AK1983">
        <v>1</v>
      </c>
      <c r="AL1983">
        <v>1</v>
      </c>
      <c r="AM1983">
        <v>0</v>
      </c>
    </row>
    <row r="1984" spans="1:39" x14ac:dyDescent="0.2">
      <c r="A1984" t="str">
        <f>"1980"</f>
        <v>1980</v>
      </c>
      <c r="B1984" t="str">
        <f t="shared" si="110"/>
        <v>1</v>
      </c>
      <c r="C1984" t="str">
        <f t="shared" si="109"/>
        <v>40</v>
      </c>
      <c r="D1984" t="str">
        <f>"21"</f>
        <v>21</v>
      </c>
      <c r="E1984" t="str">
        <f>"1-40-21"</f>
        <v>1-40-21</v>
      </c>
      <c r="F1984" t="s">
        <v>65</v>
      </c>
      <c r="G1984" t="s">
        <v>66</v>
      </c>
      <c r="H1984" t="s">
        <v>67</v>
      </c>
      <c r="S1984">
        <v>0</v>
      </c>
      <c r="T1984">
        <v>1</v>
      </c>
      <c r="U1984">
        <v>0</v>
      </c>
      <c r="V1984">
        <v>0</v>
      </c>
      <c r="W1984">
        <v>1</v>
      </c>
      <c r="X1984">
        <v>0</v>
      </c>
      <c r="Y1984">
        <v>0</v>
      </c>
      <c r="Z1984">
        <v>1</v>
      </c>
      <c r="AA1984">
        <v>0</v>
      </c>
      <c r="AB1984">
        <v>1</v>
      </c>
      <c r="AC1984">
        <v>0</v>
      </c>
      <c r="AD1984">
        <v>1</v>
      </c>
      <c r="AE1984">
        <v>1</v>
      </c>
      <c r="AF1984">
        <v>1</v>
      </c>
      <c r="AG1984">
        <v>1</v>
      </c>
      <c r="AH1984">
        <v>1</v>
      </c>
      <c r="AI1984">
        <v>1</v>
      </c>
      <c r="AJ1984">
        <v>1</v>
      </c>
      <c r="AK1984">
        <v>1</v>
      </c>
      <c r="AL1984">
        <v>1</v>
      </c>
      <c r="AM1984">
        <v>1</v>
      </c>
    </row>
    <row r="1985" spans="1:39" x14ac:dyDescent="0.2">
      <c r="A1985" t="str">
        <f>"1981"</f>
        <v>1981</v>
      </c>
      <c r="B1985" t="str">
        <f t="shared" si="110"/>
        <v>1</v>
      </c>
      <c r="C1985" t="str">
        <f t="shared" si="109"/>
        <v>40</v>
      </c>
      <c r="D1985" t="str">
        <f>"1"</f>
        <v>1</v>
      </c>
      <c r="E1985" t="str">
        <f>"1-40-1"</f>
        <v>1-40-1</v>
      </c>
      <c r="F1985" t="s">
        <v>65</v>
      </c>
      <c r="G1985" t="s">
        <v>66</v>
      </c>
      <c r="H1985" t="s">
        <v>67</v>
      </c>
      <c r="S1985">
        <v>0</v>
      </c>
      <c r="T1985">
        <v>1</v>
      </c>
      <c r="U1985">
        <v>0</v>
      </c>
      <c r="V1985">
        <v>0</v>
      </c>
      <c r="W1985">
        <v>0</v>
      </c>
      <c r="X1985">
        <v>1</v>
      </c>
      <c r="Y1985">
        <v>0</v>
      </c>
      <c r="Z1985">
        <v>1</v>
      </c>
      <c r="AA1985">
        <v>0</v>
      </c>
      <c r="AB1985">
        <v>1</v>
      </c>
      <c r="AC1985">
        <v>0</v>
      </c>
      <c r="AD1985">
        <v>1</v>
      </c>
      <c r="AE1985">
        <v>1</v>
      </c>
      <c r="AF1985">
        <v>1</v>
      </c>
      <c r="AG1985">
        <v>1</v>
      </c>
      <c r="AH1985">
        <v>1</v>
      </c>
      <c r="AI1985">
        <v>1</v>
      </c>
      <c r="AJ1985">
        <v>1</v>
      </c>
      <c r="AK1985">
        <v>1</v>
      </c>
      <c r="AL1985">
        <v>1</v>
      </c>
      <c r="AM1985">
        <v>1</v>
      </c>
    </row>
    <row r="1986" spans="1:39" x14ac:dyDescent="0.2">
      <c r="A1986" t="str">
        <f>"1982"</f>
        <v>1982</v>
      </c>
      <c r="B1986" t="str">
        <f t="shared" si="110"/>
        <v>1</v>
      </c>
      <c r="C1986" t="str">
        <f t="shared" si="109"/>
        <v>40</v>
      </c>
      <c r="D1986" t="str">
        <f>"40"</f>
        <v>40</v>
      </c>
      <c r="E1986" t="str">
        <f>"1-40-40"</f>
        <v>1-40-40</v>
      </c>
      <c r="F1986" t="s">
        <v>65</v>
      </c>
      <c r="G1986" t="s">
        <v>66</v>
      </c>
      <c r="H1986" t="s">
        <v>67</v>
      </c>
      <c r="S1986">
        <v>0</v>
      </c>
      <c r="T1986">
        <v>1</v>
      </c>
      <c r="U1986">
        <v>0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0</v>
      </c>
      <c r="AB1986">
        <v>0</v>
      </c>
      <c r="AC1986">
        <v>1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1</v>
      </c>
      <c r="AK1986">
        <v>1</v>
      </c>
      <c r="AL1986">
        <v>1</v>
      </c>
      <c r="AM1986">
        <v>0</v>
      </c>
    </row>
    <row r="1987" spans="1:39" x14ac:dyDescent="0.2">
      <c r="A1987" t="str">
        <f>"1983"</f>
        <v>1983</v>
      </c>
      <c r="B1987" t="str">
        <f t="shared" si="110"/>
        <v>1</v>
      </c>
      <c r="C1987" t="str">
        <f t="shared" ref="C1987:C2004" si="111">"40"</f>
        <v>40</v>
      </c>
      <c r="D1987" t="str">
        <f>"24"</f>
        <v>24</v>
      </c>
      <c r="E1987" t="str">
        <f>"1-40-24"</f>
        <v>1-40-24</v>
      </c>
      <c r="F1987" t="s">
        <v>65</v>
      </c>
      <c r="G1987" t="s">
        <v>66</v>
      </c>
      <c r="H1987" t="s">
        <v>67</v>
      </c>
      <c r="S1987">
        <v>0</v>
      </c>
      <c r="T1987">
        <v>0</v>
      </c>
      <c r="U1987">
        <v>0</v>
      </c>
      <c r="V1987">
        <v>0</v>
      </c>
      <c r="W1987">
        <v>1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1</v>
      </c>
      <c r="AJ1987">
        <v>1</v>
      </c>
      <c r="AK1987">
        <v>0</v>
      </c>
      <c r="AL1987">
        <v>1</v>
      </c>
      <c r="AM1987">
        <v>1</v>
      </c>
    </row>
    <row r="1988" spans="1:39" x14ac:dyDescent="0.2">
      <c r="A1988" t="str">
        <f>"1984"</f>
        <v>1984</v>
      </c>
      <c r="B1988" t="str">
        <f t="shared" si="110"/>
        <v>1</v>
      </c>
      <c r="C1988" t="str">
        <f t="shared" si="111"/>
        <v>40</v>
      </c>
      <c r="D1988" t="str">
        <f>"14"</f>
        <v>14</v>
      </c>
      <c r="E1988" t="str">
        <f>"1-40-14"</f>
        <v>1-40-14</v>
      </c>
      <c r="F1988" t="s">
        <v>65</v>
      </c>
      <c r="G1988" t="s">
        <v>66</v>
      </c>
      <c r="H1988" t="s">
        <v>67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</row>
    <row r="1989" spans="1:39" x14ac:dyDescent="0.2">
      <c r="A1989" t="str">
        <f>"1985"</f>
        <v>1985</v>
      </c>
      <c r="B1989" t="str">
        <f t="shared" si="110"/>
        <v>1</v>
      </c>
      <c r="C1989" t="str">
        <f t="shared" si="111"/>
        <v>40</v>
      </c>
      <c r="D1989" t="str">
        <f>"41"</f>
        <v>41</v>
      </c>
      <c r="E1989" t="str">
        <f>"1-40-41"</f>
        <v>1-40-41</v>
      </c>
      <c r="F1989" t="s">
        <v>65</v>
      </c>
      <c r="G1989" t="s">
        <v>66</v>
      </c>
      <c r="H1989" t="s">
        <v>67</v>
      </c>
      <c r="S1989">
        <v>0</v>
      </c>
      <c r="T1989">
        <v>1</v>
      </c>
      <c r="U1989">
        <v>0</v>
      </c>
      <c r="V1989">
        <v>0</v>
      </c>
      <c r="W1989">
        <v>1</v>
      </c>
      <c r="X1989">
        <v>0</v>
      </c>
      <c r="Y1989">
        <v>0</v>
      </c>
      <c r="Z1989">
        <v>1</v>
      </c>
      <c r="AA1989">
        <v>0</v>
      </c>
      <c r="AB1989">
        <v>1</v>
      </c>
      <c r="AC1989">
        <v>0</v>
      </c>
      <c r="AD1989">
        <v>1</v>
      </c>
      <c r="AE1989">
        <v>1</v>
      </c>
      <c r="AF1989">
        <v>1</v>
      </c>
      <c r="AG1989">
        <v>1</v>
      </c>
      <c r="AH1989">
        <v>1</v>
      </c>
      <c r="AI1989">
        <v>1</v>
      </c>
      <c r="AJ1989">
        <v>1</v>
      </c>
      <c r="AK1989">
        <v>1</v>
      </c>
      <c r="AL1989">
        <v>1</v>
      </c>
      <c r="AM1989">
        <v>1</v>
      </c>
    </row>
    <row r="1990" spans="1:39" x14ac:dyDescent="0.2">
      <c r="A1990" t="str">
        <f>"1986"</f>
        <v>1986</v>
      </c>
      <c r="B1990" t="str">
        <f t="shared" si="110"/>
        <v>1</v>
      </c>
      <c r="C1990" t="str">
        <f t="shared" si="111"/>
        <v>40</v>
      </c>
      <c r="D1990" t="str">
        <f>"25"</f>
        <v>25</v>
      </c>
      <c r="E1990" t="str">
        <f>"1-40-25"</f>
        <v>1-40-25</v>
      </c>
      <c r="F1990" t="s">
        <v>65</v>
      </c>
      <c r="G1990" t="s">
        <v>66</v>
      </c>
      <c r="H1990" t="s">
        <v>67</v>
      </c>
      <c r="S1990">
        <v>0</v>
      </c>
      <c r="T1990">
        <v>1</v>
      </c>
      <c r="U1990">
        <v>0</v>
      </c>
      <c r="V1990">
        <v>0</v>
      </c>
      <c r="W1990">
        <v>1</v>
      </c>
      <c r="X1990">
        <v>0</v>
      </c>
      <c r="Y1990">
        <v>1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1</v>
      </c>
      <c r="AG1990">
        <v>1</v>
      </c>
      <c r="AH1990">
        <v>1</v>
      </c>
      <c r="AI1990">
        <v>1</v>
      </c>
      <c r="AJ1990">
        <v>1</v>
      </c>
      <c r="AK1990">
        <v>1</v>
      </c>
      <c r="AL1990">
        <v>1</v>
      </c>
      <c r="AM1990">
        <v>1</v>
      </c>
    </row>
    <row r="1991" spans="1:39" x14ac:dyDescent="0.2">
      <c r="A1991" t="str">
        <f>"1987"</f>
        <v>1987</v>
      </c>
      <c r="B1991" t="str">
        <f t="shared" si="110"/>
        <v>1</v>
      </c>
      <c r="C1991" t="str">
        <f t="shared" si="111"/>
        <v>40</v>
      </c>
      <c r="D1991" t="str">
        <f>"4"</f>
        <v>4</v>
      </c>
      <c r="E1991" t="str">
        <f>"1-40-4"</f>
        <v>1-40-4</v>
      </c>
      <c r="F1991" t="s">
        <v>65</v>
      </c>
      <c r="G1991" t="s">
        <v>66</v>
      </c>
      <c r="H1991" t="s">
        <v>67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</row>
    <row r="1992" spans="1:39" x14ac:dyDescent="0.2">
      <c r="A1992" t="str">
        <f>"1988"</f>
        <v>1988</v>
      </c>
      <c r="B1992" t="str">
        <f t="shared" si="110"/>
        <v>1</v>
      </c>
      <c r="C1992" t="str">
        <f t="shared" si="111"/>
        <v>40</v>
      </c>
      <c r="D1992" t="str">
        <f>"46"</f>
        <v>46</v>
      </c>
      <c r="E1992" t="str">
        <f>"1-40-46"</f>
        <v>1-40-46</v>
      </c>
      <c r="F1992" t="s">
        <v>65</v>
      </c>
      <c r="G1992" t="s">
        <v>66</v>
      </c>
      <c r="H1992" t="s">
        <v>67</v>
      </c>
      <c r="S1992">
        <v>0</v>
      </c>
      <c r="T1992">
        <v>1</v>
      </c>
      <c r="U1992">
        <v>0</v>
      </c>
      <c r="V1992">
        <v>0</v>
      </c>
      <c r="W1992">
        <v>0</v>
      </c>
      <c r="X1992">
        <v>1</v>
      </c>
      <c r="Y1992">
        <v>1</v>
      </c>
      <c r="Z1992">
        <v>0</v>
      </c>
      <c r="AA1992">
        <v>0</v>
      </c>
      <c r="AB1992">
        <v>0</v>
      </c>
      <c r="AC1992">
        <v>1</v>
      </c>
      <c r="AD1992">
        <v>1</v>
      </c>
      <c r="AE1992">
        <v>1</v>
      </c>
      <c r="AF1992">
        <v>1</v>
      </c>
      <c r="AG1992">
        <v>1</v>
      </c>
      <c r="AH1992">
        <v>1</v>
      </c>
      <c r="AI1992">
        <v>1</v>
      </c>
      <c r="AJ1992">
        <v>1</v>
      </c>
      <c r="AK1992">
        <v>1</v>
      </c>
      <c r="AL1992">
        <v>1</v>
      </c>
      <c r="AM1992">
        <v>1</v>
      </c>
    </row>
    <row r="1993" spans="1:39" x14ac:dyDescent="0.2">
      <c r="A1993" t="str">
        <f>"1989"</f>
        <v>1989</v>
      </c>
      <c r="B1993" t="str">
        <f t="shared" si="110"/>
        <v>1</v>
      </c>
      <c r="C1993" t="str">
        <f t="shared" si="111"/>
        <v>40</v>
      </c>
      <c r="D1993" t="str">
        <f>"26"</f>
        <v>26</v>
      </c>
      <c r="E1993" t="str">
        <f>"1-40-26"</f>
        <v>1-40-26</v>
      </c>
      <c r="F1993" t="s">
        <v>65</v>
      </c>
      <c r="G1993" t="s">
        <v>66</v>
      </c>
      <c r="H1993" t="s">
        <v>67</v>
      </c>
      <c r="S1993">
        <v>0</v>
      </c>
      <c r="T1993">
        <v>1</v>
      </c>
      <c r="U1993">
        <v>0</v>
      </c>
      <c r="V1993">
        <v>0</v>
      </c>
      <c r="W1993">
        <v>1</v>
      </c>
      <c r="X1993">
        <v>0</v>
      </c>
      <c r="Y1993">
        <v>1</v>
      </c>
      <c r="Z1993">
        <v>0</v>
      </c>
      <c r="AA1993">
        <v>0</v>
      </c>
      <c r="AB1993">
        <v>1</v>
      </c>
      <c r="AC1993">
        <v>0</v>
      </c>
      <c r="AD1993">
        <v>1</v>
      </c>
      <c r="AE1993">
        <v>1</v>
      </c>
      <c r="AF1993">
        <v>0</v>
      </c>
      <c r="AG1993">
        <v>1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</row>
    <row r="1994" spans="1:39" x14ac:dyDescent="0.2">
      <c r="A1994" t="str">
        <f>"1990"</f>
        <v>1990</v>
      </c>
      <c r="B1994" t="str">
        <f t="shared" si="110"/>
        <v>1</v>
      </c>
      <c r="C1994" t="str">
        <f t="shared" si="111"/>
        <v>40</v>
      </c>
      <c r="D1994" t="str">
        <f>"13"</f>
        <v>13</v>
      </c>
      <c r="E1994" t="str">
        <f>"1-40-13"</f>
        <v>1-40-13</v>
      </c>
      <c r="F1994" t="s">
        <v>65</v>
      </c>
      <c r="G1994" t="s">
        <v>66</v>
      </c>
      <c r="H1994" t="s">
        <v>67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1</v>
      </c>
      <c r="Y1994">
        <v>1</v>
      </c>
      <c r="Z1994">
        <v>0</v>
      </c>
      <c r="AA1994">
        <v>0</v>
      </c>
      <c r="AB1994">
        <v>0</v>
      </c>
      <c r="AC1994">
        <v>1</v>
      </c>
      <c r="AD1994">
        <v>1</v>
      </c>
      <c r="AE1994">
        <v>1</v>
      </c>
      <c r="AF1994">
        <v>1</v>
      </c>
      <c r="AG1994">
        <v>1</v>
      </c>
      <c r="AH1994">
        <v>1</v>
      </c>
      <c r="AI1994">
        <v>1</v>
      </c>
      <c r="AJ1994">
        <v>1</v>
      </c>
      <c r="AK1994">
        <v>1</v>
      </c>
      <c r="AL1994">
        <v>1</v>
      </c>
      <c r="AM1994">
        <v>1</v>
      </c>
    </row>
    <row r="1995" spans="1:39" x14ac:dyDescent="0.2">
      <c r="A1995" t="str">
        <f>"1991"</f>
        <v>1991</v>
      </c>
      <c r="B1995" t="str">
        <f t="shared" si="110"/>
        <v>1</v>
      </c>
      <c r="C1995" t="str">
        <f t="shared" si="111"/>
        <v>40</v>
      </c>
      <c r="D1995" t="str">
        <f>"27"</f>
        <v>27</v>
      </c>
      <c r="E1995" t="str">
        <f>"1-40-27"</f>
        <v>1-40-27</v>
      </c>
      <c r="F1995" t="s">
        <v>65</v>
      </c>
      <c r="G1995" t="s">
        <v>66</v>
      </c>
      <c r="H1995" t="s">
        <v>67</v>
      </c>
      <c r="S1995">
        <v>1</v>
      </c>
      <c r="T1995">
        <v>0</v>
      </c>
      <c r="U1995">
        <v>0</v>
      </c>
      <c r="V1995">
        <v>0</v>
      </c>
      <c r="W1995">
        <v>1</v>
      </c>
      <c r="X1995">
        <v>0</v>
      </c>
      <c r="Y1995">
        <v>1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1</v>
      </c>
      <c r="AF1995">
        <v>1</v>
      </c>
      <c r="AG1995">
        <v>0</v>
      </c>
      <c r="AH1995">
        <v>1</v>
      </c>
      <c r="AI1995">
        <v>1</v>
      </c>
      <c r="AJ1995">
        <v>1</v>
      </c>
      <c r="AK1995">
        <v>1</v>
      </c>
      <c r="AL1995">
        <v>1</v>
      </c>
      <c r="AM1995">
        <v>1</v>
      </c>
    </row>
    <row r="1996" spans="1:39" x14ac:dyDescent="0.2">
      <c r="A1996" t="str">
        <f>"1992"</f>
        <v>1992</v>
      </c>
      <c r="B1996" t="str">
        <f t="shared" si="110"/>
        <v>1</v>
      </c>
      <c r="C1996" t="str">
        <f t="shared" si="111"/>
        <v>40</v>
      </c>
      <c r="D1996" t="str">
        <f>"7"</f>
        <v>7</v>
      </c>
      <c r="E1996" t="str">
        <f>"1-40-7"</f>
        <v>1-40-7</v>
      </c>
      <c r="F1996" t="s">
        <v>65</v>
      </c>
      <c r="G1996" t="s">
        <v>66</v>
      </c>
      <c r="H1996" t="s">
        <v>67</v>
      </c>
      <c r="S1996">
        <v>0</v>
      </c>
      <c r="T1996">
        <v>1</v>
      </c>
      <c r="U1996">
        <v>0</v>
      </c>
      <c r="V1996">
        <v>0</v>
      </c>
      <c r="W1996">
        <v>0</v>
      </c>
      <c r="X1996">
        <v>1</v>
      </c>
      <c r="Y1996">
        <v>0</v>
      </c>
      <c r="Z1996">
        <v>1</v>
      </c>
      <c r="AA1996">
        <v>0</v>
      </c>
      <c r="AB1996">
        <v>0</v>
      </c>
      <c r="AC1996">
        <v>1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</row>
    <row r="1997" spans="1:39" x14ac:dyDescent="0.2">
      <c r="A1997" t="str">
        <f>"1993"</f>
        <v>1993</v>
      </c>
      <c r="B1997" t="str">
        <f t="shared" si="110"/>
        <v>1</v>
      </c>
      <c r="C1997" t="str">
        <f t="shared" si="111"/>
        <v>40</v>
      </c>
      <c r="D1997" t="str">
        <f>"28"</f>
        <v>28</v>
      </c>
      <c r="E1997" t="str">
        <f>"1-40-28"</f>
        <v>1-40-28</v>
      </c>
      <c r="F1997" t="s">
        <v>65</v>
      </c>
      <c r="G1997" t="s">
        <v>66</v>
      </c>
      <c r="H1997" t="s">
        <v>67</v>
      </c>
      <c r="S1997">
        <v>0</v>
      </c>
      <c r="T1997">
        <v>1</v>
      </c>
      <c r="U1997">
        <v>0</v>
      </c>
      <c r="V1997">
        <v>0</v>
      </c>
      <c r="W1997">
        <v>0</v>
      </c>
      <c r="X1997">
        <v>1</v>
      </c>
      <c r="Y1997">
        <v>0</v>
      </c>
      <c r="Z1997">
        <v>1</v>
      </c>
      <c r="AA1997">
        <v>0</v>
      </c>
      <c r="AB1997">
        <v>0</v>
      </c>
      <c r="AC1997">
        <v>1</v>
      </c>
      <c r="AD1997">
        <v>1</v>
      </c>
      <c r="AE1997">
        <v>1</v>
      </c>
      <c r="AF1997">
        <v>1</v>
      </c>
      <c r="AG1997">
        <v>1</v>
      </c>
      <c r="AH1997">
        <v>1</v>
      </c>
      <c r="AI1997">
        <v>1</v>
      </c>
      <c r="AJ1997">
        <v>1</v>
      </c>
      <c r="AK1997">
        <v>1</v>
      </c>
      <c r="AL1997">
        <v>1</v>
      </c>
      <c r="AM1997">
        <v>1</v>
      </c>
    </row>
    <row r="1998" spans="1:39" x14ac:dyDescent="0.2">
      <c r="A1998" t="str">
        <f>"1994"</f>
        <v>1994</v>
      </c>
      <c r="B1998" t="str">
        <f t="shared" si="110"/>
        <v>1</v>
      </c>
      <c r="C1998" t="str">
        <f t="shared" si="111"/>
        <v>40</v>
      </c>
      <c r="D1998" t="str">
        <f>"11"</f>
        <v>11</v>
      </c>
      <c r="E1998" t="str">
        <f>"1-40-11"</f>
        <v>1-40-11</v>
      </c>
      <c r="F1998" t="s">
        <v>65</v>
      </c>
      <c r="G1998" t="s">
        <v>66</v>
      </c>
      <c r="H1998" t="s">
        <v>67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0</v>
      </c>
      <c r="AB1998">
        <v>0</v>
      </c>
      <c r="AC1998">
        <v>1</v>
      </c>
      <c r="AD1998">
        <v>0</v>
      </c>
      <c r="AE1998">
        <v>0</v>
      </c>
      <c r="AF1998">
        <v>0</v>
      </c>
      <c r="AG1998">
        <v>0</v>
      </c>
      <c r="AH1998">
        <v>1</v>
      </c>
      <c r="AI1998">
        <v>0</v>
      </c>
      <c r="AJ1998">
        <v>0</v>
      </c>
      <c r="AK1998">
        <v>0</v>
      </c>
      <c r="AL1998">
        <v>0</v>
      </c>
      <c r="AM1998">
        <v>0</v>
      </c>
    </row>
    <row r="1999" spans="1:39" x14ac:dyDescent="0.2">
      <c r="A1999" t="str">
        <f>"1995"</f>
        <v>1995</v>
      </c>
      <c r="B1999" t="str">
        <f t="shared" si="110"/>
        <v>1</v>
      </c>
      <c r="C1999" t="str">
        <f t="shared" si="111"/>
        <v>40</v>
      </c>
      <c r="D1999" t="str">
        <f>"29"</f>
        <v>29</v>
      </c>
      <c r="E1999" t="str">
        <f>"1-40-29"</f>
        <v>1-40-29</v>
      </c>
      <c r="F1999" t="s">
        <v>65</v>
      </c>
      <c r="G1999" t="s">
        <v>66</v>
      </c>
      <c r="H1999" t="s">
        <v>67</v>
      </c>
      <c r="S1999">
        <v>0</v>
      </c>
      <c r="T1999">
        <v>1</v>
      </c>
      <c r="U1999">
        <v>0</v>
      </c>
      <c r="V1999">
        <v>0</v>
      </c>
      <c r="W1999">
        <v>0</v>
      </c>
      <c r="X1999">
        <v>1</v>
      </c>
      <c r="Y1999">
        <v>0</v>
      </c>
      <c r="Z1999">
        <v>1</v>
      </c>
      <c r="AA1999">
        <v>0</v>
      </c>
      <c r="AB1999">
        <v>0</v>
      </c>
      <c r="AC1999">
        <v>1</v>
      </c>
      <c r="AD1999">
        <v>1</v>
      </c>
      <c r="AE1999">
        <v>1</v>
      </c>
      <c r="AF1999">
        <v>1</v>
      </c>
      <c r="AG1999">
        <v>1</v>
      </c>
      <c r="AH1999">
        <v>1</v>
      </c>
      <c r="AI1999">
        <v>1</v>
      </c>
      <c r="AJ1999">
        <v>1</v>
      </c>
      <c r="AK1999">
        <v>1</v>
      </c>
      <c r="AL1999">
        <v>1</v>
      </c>
      <c r="AM1999">
        <v>1</v>
      </c>
    </row>
    <row r="2000" spans="1:39" x14ac:dyDescent="0.2">
      <c r="A2000" t="str">
        <f>"1996"</f>
        <v>1996</v>
      </c>
      <c r="B2000" t="str">
        <f t="shared" si="110"/>
        <v>1</v>
      </c>
      <c r="C2000" t="str">
        <f t="shared" si="111"/>
        <v>40</v>
      </c>
      <c r="D2000" t="str">
        <f>"2"</f>
        <v>2</v>
      </c>
      <c r="E2000" t="str">
        <f>"1-40-2"</f>
        <v>1-40-2</v>
      </c>
      <c r="F2000" t="s">
        <v>65</v>
      </c>
      <c r="G2000" t="s">
        <v>66</v>
      </c>
      <c r="H2000" t="s">
        <v>67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</row>
    <row r="2001" spans="1:39" x14ac:dyDescent="0.2">
      <c r="A2001" t="str">
        <f>"1997"</f>
        <v>1997</v>
      </c>
      <c r="B2001" t="str">
        <f t="shared" si="110"/>
        <v>1</v>
      </c>
      <c r="C2001" t="str">
        <f t="shared" si="111"/>
        <v>40</v>
      </c>
      <c r="D2001" t="str">
        <f>"30"</f>
        <v>30</v>
      </c>
      <c r="E2001" t="str">
        <f>"1-40-30"</f>
        <v>1-40-30</v>
      </c>
      <c r="F2001" t="s">
        <v>65</v>
      </c>
      <c r="G2001" t="s">
        <v>66</v>
      </c>
      <c r="H2001" t="s">
        <v>67</v>
      </c>
      <c r="S2001">
        <v>1</v>
      </c>
      <c r="T2001">
        <v>0</v>
      </c>
      <c r="U2001">
        <v>0</v>
      </c>
      <c r="V2001">
        <v>0</v>
      </c>
      <c r="W2001">
        <v>1</v>
      </c>
      <c r="X2001">
        <v>0</v>
      </c>
      <c r="Y2001">
        <v>1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1</v>
      </c>
      <c r="AF2001">
        <v>1</v>
      </c>
      <c r="AG2001">
        <v>1</v>
      </c>
      <c r="AH2001">
        <v>1</v>
      </c>
      <c r="AI2001">
        <v>1</v>
      </c>
      <c r="AJ2001">
        <v>1</v>
      </c>
      <c r="AK2001">
        <v>1</v>
      </c>
      <c r="AL2001">
        <v>1</v>
      </c>
      <c r="AM2001">
        <v>1</v>
      </c>
    </row>
    <row r="2002" spans="1:39" x14ac:dyDescent="0.2">
      <c r="A2002" t="str">
        <f>"1998"</f>
        <v>1998</v>
      </c>
      <c r="B2002" t="str">
        <f t="shared" si="110"/>
        <v>1</v>
      </c>
      <c r="C2002" t="str">
        <f t="shared" si="111"/>
        <v>40</v>
      </c>
      <c r="D2002" t="str">
        <f>"10"</f>
        <v>10</v>
      </c>
      <c r="E2002" t="str">
        <f>"1-40-10"</f>
        <v>1-40-10</v>
      </c>
      <c r="F2002" t="s">
        <v>65</v>
      </c>
      <c r="G2002" t="s">
        <v>66</v>
      </c>
      <c r="H2002" t="s">
        <v>67</v>
      </c>
      <c r="S2002">
        <v>0</v>
      </c>
      <c r="T2002">
        <v>1</v>
      </c>
      <c r="U2002">
        <v>0</v>
      </c>
      <c r="V2002">
        <v>0</v>
      </c>
      <c r="W2002">
        <v>0</v>
      </c>
      <c r="X2002">
        <v>1</v>
      </c>
      <c r="Y2002">
        <v>0</v>
      </c>
      <c r="Z2002">
        <v>1</v>
      </c>
      <c r="AA2002">
        <v>0</v>
      </c>
      <c r="AB2002">
        <v>0</v>
      </c>
      <c r="AC2002">
        <v>1</v>
      </c>
      <c r="AD2002">
        <v>1</v>
      </c>
      <c r="AE2002">
        <v>1</v>
      </c>
      <c r="AF2002">
        <v>1</v>
      </c>
      <c r="AG2002">
        <v>1</v>
      </c>
      <c r="AH2002">
        <v>1</v>
      </c>
      <c r="AI2002">
        <v>1</v>
      </c>
      <c r="AJ2002">
        <v>1</v>
      </c>
      <c r="AK2002">
        <v>1</v>
      </c>
      <c r="AL2002">
        <v>1</v>
      </c>
      <c r="AM2002">
        <v>1</v>
      </c>
    </row>
    <row r="2003" spans="1:39" x14ac:dyDescent="0.2">
      <c r="A2003" t="str">
        <f>"1999"</f>
        <v>1999</v>
      </c>
      <c r="B2003" t="str">
        <f t="shared" si="110"/>
        <v>1</v>
      </c>
      <c r="C2003" t="str">
        <f t="shared" si="111"/>
        <v>40</v>
      </c>
      <c r="D2003" t="str">
        <f>"8"</f>
        <v>8</v>
      </c>
      <c r="E2003" t="str">
        <f>"1-40-8"</f>
        <v>1-40-8</v>
      </c>
      <c r="F2003" t="s">
        <v>65</v>
      </c>
      <c r="G2003" t="s">
        <v>66</v>
      </c>
      <c r="H2003" t="s">
        <v>67</v>
      </c>
      <c r="S2003">
        <v>1</v>
      </c>
      <c r="T2003">
        <v>0</v>
      </c>
      <c r="U2003">
        <v>0</v>
      </c>
      <c r="V2003">
        <v>0</v>
      </c>
      <c r="W2003">
        <v>0</v>
      </c>
      <c r="X2003">
        <v>1</v>
      </c>
      <c r="Y2003">
        <v>1</v>
      </c>
      <c r="Z2003">
        <v>0</v>
      </c>
      <c r="AA2003">
        <v>0</v>
      </c>
      <c r="AB2003">
        <v>1</v>
      </c>
      <c r="AC2003">
        <v>0</v>
      </c>
      <c r="AD2003">
        <v>1</v>
      </c>
      <c r="AE2003">
        <v>1</v>
      </c>
      <c r="AF2003">
        <v>1</v>
      </c>
      <c r="AG2003">
        <v>1</v>
      </c>
      <c r="AH2003">
        <v>1</v>
      </c>
      <c r="AI2003">
        <v>1</v>
      </c>
      <c r="AJ2003">
        <v>1</v>
      </c>
      <c r="AK2003">
        <v>1</v>
      </c>
      <c r="AL2003">
        <v>1</v>
      </c>
      <c r="AM2003">
        <v>1</v>
      </c>
    </row>
    <row r="2004" spans="1:39" x14ac:dyDescent="0.2">
      <c r="A2004" t="str">
        <f>"2000"</f>
        <v>2000</v>
      </c>
      <c r="B2004" t="str">
        <f t="shared" si="110"/>
        <v>1</v>
      </c>
      <c r="C2004" t="str">
        <f t="shared" si="111"/>
        <v>40</v>
      </c>
      <c r="D2004" t="str">
        <f>"33"</f>
        <v>33</v>
      </c>
      <c r="E2004" t="str">
        <f>"1-40-33"</f>
        <v>1-40-33</v>
      </c>
      <c r="F2004" t="s">
        <v>65</v>
      </c>
      <c r="G2004" t="s">
        <v>66</v>
      </c>
      <c r="H2004" t="s">
        <v>67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1</v>
      </c>
      <c r="AI2004">
        <v>1</v>
      </c>
      <c r="AJ2004">
        <v>1</v>
      </c>
      <c r="AK2004">
        <v>1</v>
      </c>
      <c r="AL2004">
        <v>1</v>
      </c>
      <c r="AM2004">
        <v>0</v>
      </c>
    </row>
    <row r="2005" spans="1:39" x14ac:dyDescent="0.2">
      <c r="A2005" t="str">
        <f>"2001"</f>
        <v>2001</v>
      </c>
      <c r="B2005" t="str">
        <f t="shared" si="110"/>
        <v>1</v>
      </c>
      <c r="C2005" t="str">
        <f t="shared" ref="C2005:C2036" si="112">"41"</f>
        <v>41</v>
      </c>
      <c r="D2005" t="str">
        <f>"38"</f>
        <v>38</v>
      </c>
      <c r="E2005" t="str">
        <f>"1-41-38"</f>
        <v>1-41-38</v>
      </c>
      <c r="F2005" t="s">
        <v>65</v>
      </c>
      <c r="G2005" t="s">
        <v>66</v>
      </c>
      <c r="H2005" t="s">
        <v>67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1</v>
      </c>
      <c r="AG2005">
        <v>1</v>
      </c>
      <c r="AH2005">
        <v>1</v>
      </c>
      <c r="AI2005">
        <v>1</v>
      </c>
      <c r="AJ2005">
        <v>1</v>
      </c>
      <c r="AK2005">
        <v>1</v>
      </c>
      <c r="AL2005">
        <v>1</v>
      </c>
      <c r="AM2005">
        <v>1</v>
      </c>
    </row>
    <row r="2006" spans="1:39" x14ac:dyDescent="0.2">
      <c r="A2006" t="str">
        <f>"2002"</f>
        <v>2002</v>
      </c>
      <c r="B2006" t="str">
        <f t="shared" si="110"/>
        <v>1</v>
      </c>
      <c r="C2006" t="str">
        <f t="shared" si="112"/>
        <v>41</v>
      </c>
      <c r="D2006" t="str">
        <f>"37"</f>
        <v>37</v>
      </c>
      <c r="E2006" t="str">
        <f>"1-41-37"</f>
        <v>1-41-37</v>
      </c>
      <c r="F2006" t="s">
        <v>65</v>
      </c>
      <c r="G2006" t="s">
        <v>66</v>
      </c>
      <c r="H2006" t="s">
        <v>67</v>
      </c>
      <c r="S2006">
        <v>0</v>
      </c>
      <c r="T2006">
        <v>1</v>
      </c>
      <c r="U2006">
        <v>0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1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</row>
    <row r="2007" spans="1:39" x14ac:dyDescent="0.2">
      <c r="A2007" t="str">
        <f>"2003"</f>
        <v>2003</v>
      </c>
      <c r="B2007" t="str">
        <f t="shared" si="110"/>
        <v>1</v>
      </c>
      <c r="C2007" t="str">
        <f t="shared" si="112"/>
        <v>41</v>
      </c>
      <c r="D2007" t="str">
        <f>"23"</f>
        <v>23</v>
      </c>
      <c r="E2007" t="str">
        <f>"1-41-23"</f>
        <v>1-41-23</v>
      </c>
      <c r="F2007" t="s">
        <v>65</v>
      </c>
      <c r="G2007" t="s">
        <v>66</v>
      </c>
      <c r="H2007" t="s">
        <v>67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</row>
    <row r="2008" spans="1:39" x14ac:dyDescent="0.2">
      <c r="A2008" t="str">
        <f>"2004"</f>
        <v>2004</v>
      </c>
      <c r="B2008" t="str">
        <f t="shared" si="110"/>
        <v>1</v>
      </c>
      <c r="C2008" t="str">
        <f t="shared" si="112"/>
        <v>41</v>
      </c>
      <c r="D2008" t="str">
        <f>"22"</f>
        <v>22</v>
      </c>
      <c r="E2008" t="str">
        <f>"1-41-22"</f>
        <v>1-41-22</v>
      </c>
      <c r="F2008" t="s">
        <v>65</v>
      </c>
      <c r="G2008" t="s">
        <v>66</v>
      </c>
      <c r="H2008" t="s">
        <v>67</v>
      </c>
      <c r="S2008">
        <v>1</v>
      </c>
      <c r="T2008">
        <v>0</v>
      </c>
      <c r="U2008">
        <v>0</v>
      </c>
      <c r="V2008">
        <v>0</v>
      </c>
      <c r="W2008">
        <v>0</v>
      </c>
      <c r="X2008">
        <v>1</v>
      </c>
      <c r="Y2008">
        <v>1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1</v>
      </c>
      <c r="AI2008">
        <v>0</v>
      </c>
      <c r="AJ2008">
        <v>0</v>
      </c>
      <c r="AK2008">
        <v>0</v>
      </c>
      <c r="AL2008">
        <v>1</v>
      </c>
      <c r="AM2008">
        <v>0</v>
      </c>
    </row>
    <row r="2009" spans="1:39" x14ac:dyDescent="0.2">
      <c r="A2009" t="str">
        <f>"2005"</f>
        <v>2005</v>
      </c>
      <c r="B2009" t="str">
        <f t="shared" si="110"/>
        <v>1</v>
      </c>
      <c r="C2009" t="str">
        <f t="shared" si="112"/>
        <v>41</v>
      </c>
      <c r="D2009" t="str">
        <f>"19"</f>
        <v>19</v>
      </c>
      <c r="E2009" t="str">
        <f>"1-41-19"</f>
        <v>1-41-19</v>
      </c>
      <c r="F2009" t="s">
        <v>65</v>
      </c>
      <c r="G2009" t="s">
        <v>66</v>
      </c>
      <c r="H2009" t="s">
        <v>67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1</v>
      </c>
      <c r="AJ2009">
        <v>1</v>
      </c>
      <c r="AK2009">
        <v>1</v>
      </c>
      <c r="AL2009">
        <v>1</v>
      </c>
      <c r="AM2009">
        <v>0</v>
      </c>
    </row>
    <row r="2010" spans="1:39" x14ac:dyDescent="0.2">
      <c r="A2010" t="str">
        <f>"2006"</f>
        <v>2006</v>
      </c>
      <c r="B2010" t="str">
        <f t="shared" si="110"/>
        <v>1</v>
      </c>
      <c r="C2010" t="str">
        <f t="shared" si="112"/>
        <v>41</v>
      </c>
      <c r="D2010" t="str">
        <f>"15"</f>
        <v>15</v>
      </c>
      <c r="E2010" t="str">
        <f>"1-41-15"</f>
        <v>1-41-15</v>
      </c>
      <c r="F2010" t="s">
        <v>65</v>
      </c>
      <c r="G2010" t="s">
        <v>66</v>
      </c>
      <c r="H2010" t="s">
        <v>67</v>
      </c>
      <c r="S2010">
        <v>0</v>
      </c>
      <c r="T2010">
        <v>1</v>
      </c>
      <c r="U2010">
        <v>0</v>
      </c>
      <c r="V2010">
        <v>0</v>
      </c>
      <c r="W2010">
        <v>0</v>
      </c>
      <c r="X2010">
        <v>1</v>
      </c>
      <c r="Y2010">
        <v>0</v>
      </c>
      <c r="Z2010">
        <v>1</v>
      </c>
      <c r="AA2010">
        <v>0</v>
      </c>
      <c r="AB2010">
        <v>0</v>
      </c>
      <c r="AC2010">
        <v>1</v>
      </c>
      <c r="AD2010">
        <v>1</v>
      </c>
      <c r="AE2010">
        <v>1</v>
      </c>
      <c r="AF2010">
        <v>1</v>
      </c>
      <c r="AG2010">
        <v>1</v>
      </c>
      <c r="AH2010">
        <v>1</v>
      </c>
      <c r="AI2010">
        <v>1</v>
      </c>
      <c r="AJ2010">
        <v>1</v>
      </c>
      <c r="AK2010">
        <v>1</v>
      </c>
      <c r="AL2010">
        <v>1</v>
      </c>
      <c r="AM2010">
        <v>1</v>
      </c>
    </row>
    <row r="2011" spans="1:39" x14ac:dyDescent="0.2">
      <c r="A2011" t="str">
        <f>"2007"</f>
        <v>2007</v>
      </c>
      <c r="B2011" t="str">
        <f t="shared" si="110"/>
        <v>1</v>
      </c>
      <c r="C2011" t="str">
        <f t="shared" si="112"/>
        <v>41</v>
      </c>
      <c r="D2011" t="str">
        <f>"4"</f>
        <v>4</v>
      </c>
      <c r="E2011" t="str">
        <f>"1-41-4"</f>
        <v>1-41-4</v>
      </c>
      <c r="F2011" t="s">
        <v>65</v>
      </c>
      <c r="G2011" t="s">
        <v>66</v>
      </c>
      <c r="H2011" t="s">
        <v>67</v>
      </c>
      <c r="S2011">
        <v>0</v>
      </c>
      <c r="T2011">
        <v>1</v>
      </c>
      <c r="U2011">
        <v>0</v>
      </c>
      <c r="V2011">
        <v>0</v>
      </c>
      <c r="W2011">
        <v>1</v>
      </c>
      <c r="X2011">
        <v>0</v>
      </c>
      <c r="Y2011">
        <v>1</v>
      </c>
      <c r="Z2011">
        <v>0</v>
      </c>
      <c r="AA2011">
        <v>0</v>
      </c>
      <c r="AB2011">
        <v>1</v>
      </c>
      <c r="AC2011">
        <v>0</v>
      </c>
      <c r="AD2011">
        <v>1</v>
      </c>
      <c r="AE2011">
        <v>1</v>
      </c>
      <c r="AF2011">
        <v>1</v>
      </c>
      <c r="AG2011">
        <v>1</v>
      </c>
      <c r="AH2011">
        <v>1</v>
      </c>
      <c r="AI2011">
        <v>1</v>
      </c>
      <c r="AJ2011">
        <v>1</v>
      </c>
      <c r="AK2011">
        <v>1</v>
      </c>
      <c r="AL2011">
        <v>1</v>
      </c>
      <c r="AM2011">
        <v>1</v>
      </c>
    </row>
    <row r="2012" spans="1:39" x14ac:dyDescent="0.2">
      <c r="A2012" t="str">
        <f>"2008"</f>
        <v>2008</v>
      </c>
      <c r="B2012" t="str">
        <f t="shared" si="110"/>
        <v>1</v>
      </c>
      <c r="C2012" t="str">
        <f t="shared" si="112"/>
        <v>41</v>
      </c>
      <c r="D2012" t="str">
        <f>"36"</f>
        <v>36</v>
      </c>
      <c r="E2012" t="str">
        <f>"1-41-36"</f>
        <v>1-41-36</v>
      </c>
      <c r="F2012" t="s">
        <v>65</v>
      </c>
      <c r="G2012" t="s">
        <v>66</v>
      </c>
      <c r="H2012" t="s">
        <v>67</v>
      </c>
      <c r="S2012">
        <v>0</v>
      </c>
      <c r="T2012">
        <v>1</v>
      </c>
      <c r="U2012">
        <v>0</v>
      </c>
      <c r="V2012">
        <v>0</v>
      </c>
      <c r="W2012">
        <v>1</v>
      </c>
      <c r="X2012">
        <v>0</v>
      </c>
      <c r="Y2012">
        <v>0</v>
      </c>
      <c r="Z2012">
        <v>1</v>
      </c>
      <c r="AA2012">
        <v>1</v>
      </c>
      <c r="AB2012">
        <v>0</v>
      </c>
      <c r="AC2012">
        <v>0</v>
      </c>
      <c r="AD2012">
        <v>1</v>
      </c>
      <c r="AE2012">
        <v>1</v>
      </c>
      <c r="AF2012">
        <v>1</v>
      </c>
      <c r="AG2012">
        <v>1</v>
      </c>
      <c r="AH2012">
        <v>1</v>
      </c>
      <c r="AI2012">
        <v>1</v>
      </c>
      <c r="AJ2012">
        <v>1</v>
      </c>
      <c r="AK2012">
        <v>1</v>
      </c>
      <c r="AL2012">
        <v>1</v>
      </c>
      <c r="AM2012">
        <v>1</v>
      </c>
    </row>
    <row r="2013" spans="1:39" x14ac:dyDescent="0.2">
      <c r="A2013" t="str">
        <f>"2009"</f>
        <v>2009</v>
      </c>
      <c r="B2013" t="str">
        <f t="shared" si="110"/>
        <v>1</v>
      </c>
      <c r="C2013" t="str">
        <f t="shared" si="112"/>
        <v>41</v>
      </c>
      <c r="D2013" t="str">
        <f>"35"</f>
        <v>35</v>
      </c>
      <c r="E2013" t="str">
        <f>"1-41-35"</f>
        <v>1-41-35</v>
      </c>
      <c r="F2013" t="s">
        <v>65</v>
      </c>
      <c r="G2013" t="s">
        <v>66</v>
      </c>
      <c r="H2013" t="s">
        <v>67</v>
      </c>
      <c r="S2013">
        <v>0</v>
      </c>
      <c r="T2013">
        <v>1</v>
      </c>
      <c r="U2013">
        <v>0</v>
      </c>
      <c r="V2013">
        <v>0</v>
      </c>
      <c r="W2013">
        <v>0</v>
      </c>
      <c r="X2013">
        <v>1</v>
      </c>
      <c r="Y2013">
        <v>0</v>
      </c>
      <c r="Z2013">
        <v>1</v>
      </c>
      <c r="AA2013">
        <v>0</v>
      </c>
      <c r="AB2013">
        <v>1</v>
      </c>
      <c r="AC2013">
        <v>0</v>
      </c>
      <c r="AD2013">
        <v>1</v>
      </c>
      <c r="AE2013">
        <v>1</v>
      </c>
      <c r="AF2013">
        <v>1</v>
      </c>
      <c r="AG2013">
        <v>1</v>
      </c>
      <c r="AH2013">
        <v>1</v>
      </c>
      <c r="AI2013">
        <v>1</v>
      </c>
      <c r="AJ2013">
        <v>1</v>
      </c>
      <c r="AK2013">
        <v>1</v>
      </c>
      <c r="AL2013">
        <v>1</v>
      </c>
      <c r="AM2013">
        <v>1</v>
      </c>
    </row>
    <row r="2014" spans="1:39" x14ac:dyDescent="0.2">
      <c r="A2014" t="str">
        <f>"2010"</f>
        <v>2010</v>
      </c>
      <c r="B2014" t="str">
        <f t="shared" si="110"/>
        <v>1</v>
      </c>
      <c r="C2014" t="str">
        <f t="shared" si="112"/>
        <v>41</v>
      </c>
      <c r="D2014" t="str">
        <f>"24"</f>
        <v>24</v>
      </c>
      <c r="E2014" t="str">
        <f>"1-41-24"</f>
        <v>1-41-24</v>
      </c>
      <c r="F2014" t="s">
        <v>65</v>
      </c>
      <c r="G2014" t="s">
        <v>66</v>
      </c>
      <c r="H2014" t="s">
        <v>67</v>
      </c>
      <c r="S2014">
        <v>0</v>
      </c>
      <c r="T2014">
        <v>1</v>
      </c>
      <c r="U2014">
        <v>0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0</v>
      </c>
      <c r="AB2014">
        <v>0</v>
      </c>
      <c r="AC2014">
        <v>1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</row>
    <row r="2015" spans="1:39" x14ac:dyDescent="0.2">
      <c r="A2015" t="str">
        <f>"2011"</f>
        <v>2011</v>
      </c>
      <c r="B2015" t="str">
        <f t="shared" si="110"/>
        <v>1</v>
      </c>
      <c r="C2015" t="str">
        <f t="shared" si="112"/>
        <v>41</v>
      </c>
      <c r="D2015" t="str">
        <f>"16"</f>
        <v>16</v>
      </c>
      <c r="E2015" t="str">
        <f>"1-41-16"</f>
        <v>1-41-16</v>
      </c>
      <c r="F2015" t="s">
        <v>65</v>
      </c>
      <c r="G2015" t="s">
        <v>66</v>
      </c>
      <c r="H2015" t="s">
        <v>67</v>
      </c>
      <c r="S2015">
        <v>0</v>
      </c>
      <c r="T2015">
        <v>1</v>
      </c>
      <c r="U2015">
        <v>0</v>
      </c>
      <c r="V2015">
        <v>0</v>
      </c>
      <c r="W2015">
        <v>0</v>
      </c>
      <c r="X2015">
        <v>1</v>
      </c>
      <c r="Y2015">
        <v>0</v>
      </c>
      <c r="Z2015">
        <v>1</v>
      </c>
      <c r="AA2015">
        <v>0</v>
      </c>
      <c r="AB2015">
        <v>0</v>
      </c>
      <c r="AC2015">
        <v>1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</row>
    <row r="2016" spans="1:39" x14ac:dyDescent="0.2">
      <c r="A2016" t="str">
        <f>"2012"</f>
        <v>2012</v>
      </c>
      <c r="B2016" t="str">
        <f t="shared" si="110"/>
        <v>1</v>
      </c>
      <c r="C2016" t="str">
        <f t="shared" si="112"/>
        <v>41</v>
      </c>
      <c r="D2016" t="str">
        <f>"5"</f>
        <v>5</v>
      </c>
      <c r="E2016" t="str">
        <f>"1-41-5"</f>
        <v>1-41-5</v>
      </c>
      <c r="F2016" t="s">
        <v>65</v>
      </c>
      <c r="G2016" t="s">
        <v>66</v>
      </c>
      <c r="H2016" t="s">
        <v>67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0</v>
      </c>
      <c r="AB2016">
        <v>1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</row>
    <row r="2017" spans="1:39" x14ac:dyDescent="0.2">
      <c r="A2017" t="str">
        <f>"2013"</f>
        <v>2013</v>
      </c>
      <c r="B2017" t="str">
        <f t="shared" si="110"/>
        <v>1</v>
      </c>
      <c r="C2017" t="str">
        <f t="shared" si="112"/>
        <v>41</v>
      </c>
      <c r="D2017" t="str">
        <f>"42"</f>
        <v>42</v>
      </c>
      <c r="E2017" t="str">
        <f>"1-41-42"</f>
        <v>1-41-42</v>
      </c>
      <c r="F2017" t="s">
        <v>65</v>
      </c>
      <c r="G2017" t="s">
        <v>66</v>
      </c>
      <c r="H2017" t="s">
        <v>67</v>
      </c>
      <c r="S2017">
        <v>0</v>
      </c>
      <c r="T2017">
        <v>1</v>
      </c>
      <c r="U2017">
        <v>0</v>
      </c>
      <c r="V2017">
        <v>0</v>
      </c>
      <c r="W2017">
        <v>1</v>
      </c>
      <c r="X2017">
        <v>0</v>
      </c>
      <c r="Y2017">
        <v>1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1</v>
      </c>
      <c r="AF2017">
        <v>1</v>
      </c>
      <c r="AG2017">
        <v>1</v>
      </c>
      <c r="AH2017">
        <v>1</v>
      </c>
      <c r="AI2017">
        <v>1</v>
      </c>
      <c r="AJ2017">
        <v>1</v>
      </c>
      <c r="AK2017">
        <v>1</v>
      </c>
      <c r="AL2017">
        <v>1</v>
      </c>
      <c r="AM2017">
        <v>1</v>
      </c>
    </row>
    <row r="2018" spans="1:39" x14ac:dyDescent="0.2">
      <c r="A2018" t="str">
        <f>"2014"</f>
        <v>2014</v>
      </c>
      <c r="B2018" t="str">
        <f t="shared" si="110"/>
        <v>1</v>
      </c>
      <c r="C2018" t="str">
        <f t="shared" si="112"/>
        <v>41</v>
      </c>
      <c r="D2018" t="str">
        <f>"41"</f>
        <v>41</v>
      </c>
      <c r="E2018" t="str">
        <f>"1-41-41"</f>
        <v>1-41-41</v>
      </c>
      <c r="F2018" t="s">
        <v>65</v>
      </c>
      <c r="G2018" t="s">
        <v>66</v>
      </c>
      <c r="H2018" t="s">
        <v>67</v>
      </c>
      <c r="S2018">
        <v>0</v>
      </c>
      <c r="T2018">
        <v>1</v>
      </c>
      <c r="U2018">
        <v>0</v>
      </c>
      <c r="V2018">
        <v>0</v>
      </c>
      <c r="W2018">
        <v>0</v>
      </c>
      <c r="X2018">
        <v>1</v>
      </c>
      <c r="Y2018">
        <v>0</v>
      </c>
      <c r="Z2018">
        <v>1</v>
      </c>
      <c r="AA2018">
        <v>0</v>
      </c>
      <c r="AB2018">
        <v>1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</row>
    <row r="2019" spans="1:39" x14ac:dyDescent="0.2">
      <c r="A2019" t="str">
        <f>"2015"</f>
        <v>2015</v>
      </c>
      <c r="B2019" t="str">
        <f t="shared" si="110"/>
        <v>1</v>
      </c>
      <c r="C2019" t="str">
        <f t="shared" si="112"/>
        <v>41</v>
      </c>
      <c r="D2019" t="str">
        <f>"33"</f>
        <v>33</v>
      </c>
      <c r="E2019" t="str">
        <f>"1-41-33"</f>
        <v>1-41-33</v>
      </c>
      <c r="F2019" t="s">
        <v>65</v>
      </c>
      <c r="G2019" t="s">
        <v>66</v>
      </c>
      <c r="H2019" t="s">
        <v>67</v>
      </c>
      <c r="S2019">
        <v>0</v>
      </c>
      <c r="T2019">
        <v>1</v>
      </c>
      <c r="U2019">
        <v>0</v>
      </c>
      <c r="V2019">
        <v>0</v>
      </c>
      <c r="W2019">
        <v>1</v>
      </c>
      <c r="X2019">
        <v>0</v>
      </c>
      <c r="Y2019">
        <v>1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1</v>
      </c>
      <c r="AF2019">
        <v>1</v>
      </c>
      <c r="AG2019">
        <v>1</v>
      </c>
      <c r="AH2019">
        <v>1</v>
      </c>
      <c r="AI2019">
        <v>1</v>
      </c>
      <c r="AJ2019">
        <v>1</v>
      </c>
      <c r="AK2019">
        <v>1</v>
      </c>
      <c r="AL2019">
        <v>1</v>
      </c>
      <c r="AM2019">
        <v>1</v>
      </c>
    </row>
    <row r="2020" spans="1:39" x14ac:dyDescent="0.2">
      <c r="A2020" t="str">
        <f>"2016"</f>
        <v>2016</v>
      </c>
      <c r="B2020" t="str">
        <f t="shared" si="110"/>
        <v>1</v>
      </c>
      <c r="C2020" t="str">
        <f t="shared" si="112"/>
        <v>41</v>
      </c>
      <c r="D2020" t="str">
        <f>"17"</f>
        <v>17</v>
      </c>
      <c r="E2020" t="str">
        <f>"1-41-17"</f>
        <v>1-41-17</v>
      </c>
      <c r="F2020" t="s">
        <v>65</v>
      </c>
      <c r="G2020" t="s">
        <v>66</v>
      </c>
      <c r="H2020" t="s">
        <v>67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0</v>
      </c>
      <c r="AB2020">
        <v>1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</row>
    <row r="2021" spans="1:39" x14ac:dyDescent="0.2">
      <c r="A2021" t="str">
        <f>"2017"</f>
        <v>2017</v>
      </c>
      <c r="B2021" t="str">
        <f t="shared" si="110"/>
        <v>1</v>
      </c>
      <c r="C2021" t="str">
        <f t="shared" si="112"/>
        <v>41</v>
      </c>
      <c r="D2021" t="str">
        <f>"6"</f>
        <v>6</v>
      </c>
      <c r="E2021" t="str">
        <f>"1-41-6"</f>
        <v>1-41-6</v>
      </c>
      <c r="F2021" t="s">
        <v>65</v>
      </c>
      <c r="G2021" t="s">
        <v>66</v>
      </c>
      <c r="H2021" t="s">
        <v>67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0</v>
      </c>
      <c r="AB2021">
        <v>1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</row>
    <row r="2022" spans="1:39" x14ac:dyDescent="0.2">
      <c r="A2022" t="str">
        <f>"2018"</f>
        <v>2018</v>
      </c>
      <c r="B2022" t="str">
        <f t="shared" si="110"/>
        <v>1</v>
      </c>
      <c r="C2022" t="str">
        <f t="shared" si="112"/>
        <v>41</v>
      </c>
      <c r="D2022" t="str">
        <f>"44"</f>
        <v>44</v>
      </c>
      <c r="E2022" t="str">
        <f>"1-41-44"</f>
        <v>1-41-44</v>
      </c>
      <c r="F2022" t="s">
        <v>65</v>
      </c>
      <c r="G2022" t="s">
        <v>66</v>
      </c>
      <c r="H2022" t="s">
        <v>67</v>
      </c>
      <c r="S2022">
        <v>0</v>
      </c>
      <c r="T2022">
        <v>0</v>
      </c>
      <c r="U2022">
        <v>0</v>
      </c>
      <c r="V2022">
        <v>0</v>
      </c>
      <c r="W2022">
        <v>1</v>
      </c>
      <c r="X2022">
        <v>0</v>
      </c>
      <c r="Y2022">
        <v>0</v>
      </c>
      <c r="Z2022">
        <v>1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</row>
    <row r="2023" spans="1:39" x14ac:dyDescent="0.2">
      <c r="A2023" t="str">
        <f>"2019"</f>
        <v>2019</v>
      </c>
      <c r="B2023" t="str">
        <f t="shared" si="110"/>
        <v>1</v>
      </c>
      <c r="C2023" t="str">
        <f t="shared" si="112"/>
        <v>41</v>
      </c>
      <c r="D2023" t="str">
        <f>"43"</f>
        <v>43</v>
      </c>
      <c r="E2023" t="str">
        <f>"1-41-43"</f>
        <v>1-41-43</v>
      </c>
      <c r="F2023" t="s">
        <v>65</v>
      </c>
      <c r="G2023" t="s">
        <v>66</v>
      </c>
      <c r="H2023" t="s">
        <v>67</v>
      </c>
      <c r="S2023">
        <v>0</v>
      </c>
      <c r="T2023">
        <v>1</v>
      </c>
      <c r="U2023">
        <v>0</v>
      </c>
      <c r="V2023">
        <v>0</v>
      </c>
      <c r="W2023">
        <v>0</v>
      </c>
      <c r="X2023">
        <v>1</v>
      </c>
      <c r="Y2023">
        <v>1</v>
      </c>
      <c r="Z2023">
        <v>0</v>
      </c>
      <c r="AA2023">
        <v>0</v>
      </c>
      <c r="AB2023">
        <v>0</v>
      </c>
      <c r="AC2023">
        <v>1</v>
      </c>
      <c r="AD2023">
        <v>1</v>
      </c>
      <c r="AE2023">
        <v>1</v>
      </c>
      <c r="AF2023">
        <v>0</v>
      </c>
      <c r="AG2023">
        <v>1</v>
      </c>
      <c r="AH2023">
        <v>1</v>
      </c>
      <c r="AI2023">
        <v>1</v>
      </c>
      <c r="AJ2023">
        <v>1</v>
      </c>
      <c r="AK2023">
        <v>1</v>
      </c>
      <c r="AL2023">
        <v>1</v>
      </c>
      <c r="AM2023">
        <v>1</v>
      </c>
    </row>
    <row r="2024" spans="1:39" x14ac:dyDescent="0.2">
      <c r="A2024" t="str">
        <f>"2020"</f>
        <v>2020</v>
      </c>
      <c r="B2024" t="str">
        <f t="shared" si="110"/>
        <v>1</v>
      </c>
      <c r="C2024" t="str">
        <f t="shared" si="112"/>
        <v>41</v>
      </c>
      <c r="D2024" t="str">
        <f>"34"</f>
        <v>34</v>
      </c>
      <c r="E2024" t="str">
        <f>"1-41-34"</f>
        <v>1-41-34</v>
      </c>
      <c r="F2024" t="s">
        <v>65</v>
      </c>
      <c r="G2024" t="s">
        <v>66</v>
      </c>
      <c r="H2024" t="s">
        <v>67</v>
      </c>
      <c r="S2024">
        <v>0</v>
      </c>
      <c r="T2024">
        <v>1</v>
      </c>
      <c r="U2024">
        <v>0</v>
      </c>
      <c r="V2024">
        <v>0</v>
      </c>
      <c r="W2024">
        <v>1</v>
      </c>
      <c r="X2024">
        <v>0</v>
      </c>
      <c r="Y2024">
        <v>1</v>
      </c>
      <c r="Z2024">
        <v>0</v>
      </c>
      <c r="AA2024">
        <v>0</v>
      </c>
      <c r="AB2024">
        <v>1</v>
      </c>
      <c r="AC2024">
        <v>0</v>
      </c>
      <c r="AD2024">
        <v>1</v>
      </c>
      <c r="AE2024">
        <v>1</v>
      </c>
      <c r="AF2024">
        <v>1</v>
      </c>
      <c r="AG2024">
        <v>1</v>
      </c>
      <c r="AH2024">
        <v>1</v>
      </c>
      <c r="AI2024">
        <v>1</v>
      </c>
      <c r="AJ2024">
        <v>1</v>
      </c>
      <c r="AK2024">
        <v>1</v>
      </c>
      <c r="AL2024">
        <v>1</v>
      </c>
      <c r="AM2024">
        <v>1</v>
      </c>
    </row>
    <row r="2025" spans="1:39" x14ac:dyDescent="0.2">
      <c r="A2025" t="str">
        <f>"2021"</f>
        <v>2021</v>
      </c>
      <c r="B2025" t="str">
        <f t="shared" si="110"/>
        <v>1</v>
      </c>
      <c r="C2025" t="str">
        <f t="shared" si="112"/>
        <v>41</v>
      </c>
      <c r="D2025" t="str">
        <f>"18"</f>
        <v>18</v>
      </c>
      <c r="E2025" t="str">
        <f>"1-41-18"</f>
        <v>1-41-18</v>
      </c>
      <c r="F2025" t="s">
        <v>65</v>
      </c>
      <c r="G2025" t="s">
        <v>66</v>
      </c>
      <c r="H2025" t="s">
        <v>67</v>
      </c>
      <c r="S2025">
        <v>0</v>
      </c>
      <c r="T2025">
        <v>1</v>
      </c>
      <c r="U2025">
        <v>0</v>
      </c>
      <c r="V2025">
        <v>0</v>
      </c>
      <c r="W2025">
        <v>0</v>
      </c>
      <c r="X2025">
        <v>1</v>
      </c>
      <c r="Y2025">
        <v>0</v>
      </c>
      <c r="Z2025">
        <v>1</v>
      </c>
      <c r="AA2025">
        <v>0</v>
      </c>
      <c r="AB2025">
        <v>1</v>
      </c>
      <c r="AC2025">
        <v>0</v>
      </c>
      <c r="AD2025">
        <v>1</v>
      </c>
      <c r="AE2025">
        <v>1</v>
      </c>
      <c r="AF2025">
        <v>1</v>
      </c>
      <c r="AG2025">
        <v>1</v>
      </c>
      <c r="AH2025">
        <v>1</v>
      </c>
      <c r="AI2025">
        <v>1</v>
      </c>
      <c r="AJ2025">
        <v>1</v>
      </c>
      <c r="AK2025">
        <v>1</v>
      </c>
      <c r="AL2025">
        <v>1</v>
      </c>
      <c r="AM2025">
        <v>1</v>
      </c>
    </row>
    <row r="2026" spans="1:39" x14ac:dyDescent="0.2">
      <c r="A2026" t="str">
        <f>"2022"</f>
        <v>2022</v>
      </c>
      <c r="B2026" t="str">
        <f t="shared" si="110"/>
        <v>1</v>
      </c>
      <c r="C2026" t="str">
        <f t="shared" si="112"/>
        <v>41</v>
      </c>
      <c r="D2026" t="str">
        <f>"13"</f>
        <v>13</v>
      </c>
      <c r="E2026" t="str">
        <f>"1-41-13"</f>
        <v>1-41-13</v>
      </c>
      <c r="F2026" t="s">
        <v>65</v>
      </c>
      <c r="G2026" t="s">
        <v>66</v>
      </c>
      <c r="H2026" t="s">
        <v>67</v>
      </c>
      <c r="S2026">
        <v>0</v>
      </c>
      <c r="T2026">
        <v>1</v>
      </c>
      <c r="U2026">
        <v>0</v>
      </c>
      <c r="V2026">
        <v>0</v>
      </c>
      <c r="W2026">
        <v>0</v>
      </c>
      <c r="X2026">
        <v>1</v>
      </c>
      <c r="Y2026">
        <v>0</v>
      </c>
      <c r="Z2026">
        <v>1</v>
      </c>
      <c r="AA2026">
        <v>0</v>
      </c>
      <c r="AB2026">
        <v>0</v>
      </c>
      <c r="AC2026">
        <v>1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</row>
    <row r="2027" spans="1:39" x14ac:dyDescent="0.2">
      <c r="A2027" t="str">
        <f>"2023"</f>
        <v>2023</v>
      </c>
      <c r="B2027" t="str">
        <f t="shared" si="110"/>
        <v>1</v>
      </c>
      <c r="C2027" t="str">
        <f t="shared" si="112"/>
        <v>41</v>
      </c>
      <c r="D2027" t="str">
        <f>"39"</f>
        <v>39</v>
      </c>
      <c r="E2027" t="str">
        <f>"1-41-39"</f>
        <v>1-41-39</v>
      </c>
      <c r="F2027" t="s">
        <v>65</v>
      </c>
      <c r="G2027" t="s">
        <v>66</v>
      </c>
      <c r="H2027" t="s">
        <v>67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1</v>
      </c>
      <c r="AJ2027">
        <v>1</v>
      </c>
      <c r="AK2027">
        <v>1</v>
      </c>
      <c r="AL2027">
        <v>0</v>
      </c>
      <c r="AM2027">
        <v>1</v>
      </c>
    </row>
    <row r="2028" spans="1:39" x14ac:dyDescent="0.2">
      <c r="A2028" t="str">
        <f>"2024"</f>
        <v>2024</v>
      </c>
      <c r="B2028" t="str">
        <f t="shared" si="110"/>
        <v>1</v>
      </c>
      <c r="C2028" t="str">
        <f t="shared" si="112"/>
        <v>41</v>
      </c>
      <c r="D2028" t="str">
        <f>"20"</f>
        <v>20</v>
      </c>
      <c r="E2028" t="str">
        <f>"1-41-20"</f>
        <v>1-41-20</v>
      </c>
      <c r="F2028" t="s">
        <v>65</v>
      </c>
      <c r="G2028" t="s">
        <v>66</v>
      </c>
      <c r="H2028" t="s">
        <v>67</v>
      </c>
      <c r="S2028">
        <v>1</v>
      </c>
      <c r="T2028">
        <v>0</v>
      </c>
      <c r="U2028">
        <v>0</v>
      </c>
      <c r="V2028">
        <v>0</v>
      </c>
      <c r="W2028">
        <v>1</v>
      </c>
      <c r="X2028">
        <v>0</v>
      </c>
      <c r="Y2028">
        <v>0</v>
      </c>
      <c r="Z2028">
        <v>1</v>
      </c>
      <c r="AA2028">
        <v>1</v>
      </c>
      <c r="AB2028">
        <v>0</v>
      </c>
      <c r="AC2028">
        <v>0</v>
      </c>
      <c r="AD2028">
        <v>1</v>
      </c>
      <c r="AE2028">
        <v>1</v>
      </c>
      <c r="AF2028">
        <v>1</v>
      </c>
      <c r="AG2028">
        <v>1</v>
      </c>
      <c r="AH2028">
        <v>1</v>
      </c>
      <c r="AI2028">
        <v>1</v>
      </c>
      <c r="AJ2028">
        <v>1</v>
      </c>
      <c r="AK2028">
        <v>1</v>
      </c>
      <c r="AL2028">
        <v>1</v>
      </c>
      <c r="AM2028">
        <v>1</v>
      </c>
    </row>
    <row r="2029" spans="1:39" x14ac:dyDescent="0.2">
      <c r="A2029" t="str">
        <f>"2025"</f>
        <v>2025</v>
      </c>
      <c r="B2029" t="str">
        <f t="shared" si="110"/>
        <v>1</v>
      </c>
      <c r="C2029" t="str">
        <f t="shared" si="112"/>
        <v>41</v>
      </c>
      <c r="D2029" t="str">
        <f>"2"</f>
        <v>2</v>
      </c>
      <c r="E2029" t="str">
        <f>"1-41-2"</f>
        <v>1-41-2</v>
      </c>
      <c r="F2029" t="s">
        <v>65</v>
      </c>
      <c r="G2029" t="s">
        <v>66</v>
      </c>
      <c r="H2029" t="s">
        <v>67</v>
      </c>
      <c r="S2029">
        <v>1</v>
      </c>
      <c r="T2029">
        <v>0</v>
      </c>
      <c r="U2029">
        <v>0</v>
      </c>
      <c r="V2029">
        <v>0</v>
      </c>
      <c r="W2029">
        <v>0</v>
      </c>
      <c r="X2029">
        <v>1</v>
      </c>
      <c r="Y2029">
        <v>0</v>
      </c>
      <c r="Z2029">
        <v>1</v>
      </c>
      <c r="AA2029">
        <v>0</v>
      </c>
      <c r="AB2029">
        <v>0</v>
      </c>
      <c r="AC2029">
        <v>1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1</v>
      </c>
      <c r="AJ2029">
        <v>0</v>
      </c>
      <c r="AK2029">
        <v>0</v>
      </c>
      <c r="AL2029">
        <v>1</v>
      </c>
      <c r="AM2029">
        <v>0</v>
      </c>
    </row>
    <row r="2030" spans="1:39" x14ac:dyDescent="0.2">
      <c r="A2030" t="str">
        <f>"2026"</f>
        <v>2026</v>
      </c>
      <c r="B2030" t="str">
        <f t="shared" si="110"/>
        <v>1</v>
      </c>
      <c r="C2030" t="str">
        <f t="shared" si="112"/>
        <v>41</v>
      </c>
      <c r="D2030" t="str">
        <f>"40"</f>
        <v>40</v>
      </c>
      <c r="E2030" t="str">
        <f>"1-41-40"</f>
        <v>1-41-40</v>
      </c>
      <c r="F2030" t="s">
        <v>65</v>
      </c>
      <c r="G2030" t="s">
        <v>66</v>
      </c>
      <c r="H2030" t="s">
        <v>67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1</v>
      </c>
      <c r="AI2030">
        <v>1</v>
      </c>
      <c r="AJ2030">
        <v>1</v>
      </c>
      <c r="AK2030">
        <v>1</v>
      </c>
      <c r="AL2030">
        <v>1</v>
      </c>
      <c r="AM2030">
        <v>0</v>
      </c>
    </row>
    <row r="2031" spans="1:39" x14ac:dyDescent="0.2">
      <c r="A2031" t="str">
        <f>"2027"</f>
        <v>2027</v>
      </c>
      <c r="B2031" t="str">
        <f t="shared" si="110"/>
        <v>1</v>
      </c>
      <c r="C2031" t="str">
        <f t="shared" si="112"/>
        <v>41</v>
      </c>
      <c r="D2031" t="str">
        <f>"21"</f>
        <v>21</v>
      </c>
      <c r="E2031" t="str">
        <f>"1-41-21"</f>
        <v>1-41-21</v>
      </c>
      <c r="F2031" t="s">
        <v>65</v>
      </c>
      <c r="G2031" t="s">
        <v>66</v>
      </c>
      <c r="H2031" t="s">
        <v>67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0</v>
      </c>
      <c r="AB2031">
        <v>0</v>
      </c>
      <c r="AC2031">
        <v>1</v>
      </c>
      <c r="AD2031">
        <v>0</v>
      </c>
      <c r="AE2031">
        <v>0</v>
      </c>
      <c r="AF2031">
        <v>0</v>
      </c>
      <c r="AG2031">
        <v>0</v>
      </c>
      <c r="AH2031">
        <v>1</v>
      </c>
      <c r="AI2031">
        <v>0</v>
      </c>
      <c r="AJ2031">
        <v>0</v>
      </c>
      <c r="AK2031">
        <v>0</v>
      </c>
      <c r="AL2031">
        <v>0</v>
      </c>
      <c r="AM2031">
        <v>0</v>
      </c>
    </row>
    <row r="2032" spans="1:39" x14ac:dyDescent="0.2">
      <c r="A2032" t="str">
        <f>"2028"</f>
        <v>2028</v>
      </c>
      <c r="B2032" t="str">
        <f t="shared" si="110"/>
        <v>1</v>
      </c>
      <c r="C2032" t="str">
        <f t="shared" si="112"/>
        <v>41</v>
      </c>
      <c r="D2032" t="str">
        <f>"1"</f>
        <v>1</v>
      </c>
      <c r="E2032" t="str">
        <f>"1-41-1"</f>
        <v>1-41-1</v>
      </c>
      <c r="F2032" t="s">
        <v>65</v>
      </c>
      <c r="G2032" t="s">
        <v>66</v>
      </c>
      <c r="H2032" t="s">
        <v>67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0</v>
      </c>
      <c r="AB2032">
        <v>0</v>
      </c>
      <c r="AC2032">
        <v>1</v>
      </c>
      <c r="AD2032">
        <v>0</v>
      </c>
      <c r="AE2032">
        <v>0</v>
      </c>
      <c r="AF2032">
        <v>0</v>
      </c>
      <c r="AG2032">
        <v>1</v>
      </c>
      <c r="AH2032">
        <v>1</v>
      </c>
      <c r="AI2032">
        <v>1</v>
      </c>
      <c r="AJ2032">
        <v>1</v>
      </c>
      <c r="AK2032">
        <v>1</v>
      </c>
      <c r="AL2032">
        <v>1</v>
      </c>
      <c r="AM2032">
        <v>0</v>
      </c>
    </row>
    <row r="2033" spans="1:39" x14ac:dyDescent="0.2">
      <c r="A2033" t="str">
        <f>"2029"</f>
        <v>2029</v>
      </c>
      <c r="B2033" t="str">
        <f t="shared" si="110"/>
        <v>1</v>
      </c>
      <c r="C2033" t="str">
        <f t="shared" si="112"/>
        <v>41</v>
      </c>
      <c r="D2033" t="str">
        <f>"45"</f>
        <v>45</v>
      </c>
      <c r="E2033" t="str">
        <f>"1-41-45"</f>
        <v>1-41-45</v>
      </c>
      <c r="F2033" t="s">
        <v>65</v>
      </c>
      <c r="G2033" t="s">
        <v>66</v>
      </c>
      <c r="H2033" t="s">
        <v>67</v>
      </c>
      <c r="S2033">
        <v>0</v>
      </c>
      <c r="T2033">
        <v>1</v>
      </c>
      <c r="U2033">
        <v>0</v>
      </c>
      <c r="V2033">
        <v>0</v>
      </c>
      <c r="W2033">
        <v>1</v>
      </c>
      <c r="X2033">
        <v>0</v>
      </c>
      <c r="Y2033">
        <v>0</v>
      </c>
      <c r="Z2033">
        <v>1</v>
      </c>
      <c r="AA2033">
        <v>0</v>
      </c>
      <c r="AB2033">
        <v>0</v>
      </c>
      <c r="AC2033">
        <v>1</v>
      </c>
      <c r="AD2033">
        <v>1</v>
      </c>
      <c r="AE2033">
        <v>1</v>
      </c>
      <c r="AF2033">
        <v>1</v>
      </c>
      <c r="AG2033">
        <v>1</v>
      </c>
      <c r="AH2033">
        <v>1</v>
      </c>
      <c r="AI2033">
        <v>1</v>
      </c>
      <c r="AJ2033">
        <v>1</v>
      </c>
      <c r="AK2033">
        <v>1</v>
      </c>
      <c r="AL2033">
        <v>1</v>
      </c>
      <c r="AM2033">
        <v>1</v>
      </c>
    </row>
    <row r="2034" spans="1:39" x14ac:dyDescent="0.2">
      <c r="A2034" t="str">
        <f>"2030"</f>
        <v>2030</v>
      </c>
      <c r="B2034" t="str">
        <f t="shared" si="110"/>
        <v>1</v>
      </c>
      <c r="C2034" t="str">
        <f t="shared" si="112"/>
        <v>41</v>
      </c>
      <c r="D2034" t="str">
        <f>"14"</f>
        <v>14</v>
      </c>
      <c r="E2034" t="str">
        <f>"1-41-14"</f>
        <v>1-41-14</v>
      </c>
      <c r="F2034" t="s">
        <v>65</v>
      </c>
      <c r="G2034" t="s">
        <v>66</v>
      </c>
      <c r="H2034" t="s">
        <v>67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0</v>
      </c>
      <c r="AB2034">
        <v>0</v>
      </c>
      <c r="AC2034">
        <v>1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1</v>
      </c>
    </row>
    <row r="2035" spans="1:39" x14ac:dyDescent="0.2">
      <c r="A2035" t="str">
        <f>"2031"</f>
        <v>2031</v>
      </c>
      <c r="B2035" t="str">
        <f t="shared" si="110"/>
        <v>1</v>
      </c>
      <c r="C2035" t="str">
        <f t="shared" si="112"/>
        <v>41</v>
      </c>
      <c r="D2035" t="str">
        <f>"46"</f>
        <v>46</v>
      </c>
      <c r="E2035" t="str">
        <f>"1-41-46"</f>
        <v>1-41-46</v>
      </c>
      <c r="F2035" t="s">
        <v>65</v>
      </c>
      <c r="G2035" t="s">
        <v>66</v>
      </c>
      <c r="H2035" t="s">
        <v>67</v>
      </c>
      <c r="S2035">
        <v>0</v>
      </c>
      <c r="T2035">
        <v>1</v>
      </c>
      <c r="U2035">
        <v>0</v>
      </c>
      <c r="V2035">
        <v>0</v>
      </c>
      <c r="W2035">
        <v>1</v>
      </c>
      <c r="X2035">
        <v>0</v>
      </c>
      <c r="Y2035">
        <v>0</v>
      </c>
      <c r="Z2035">
        <v>1</v>
      </c>
      <c r="AA2035">
        <v>0</v>
      </c>
      <c r="AB2035">
        <v>0</v>
      </c>
      <c r="AC2035">
        <v>1</v>
      </c>
      <c r="AD2035">
        <v>1</v>
      </c>
      <c r="AE2035">
        <v>1</v>
      </c>
      <c r="AF2035">
        <v>1</v>
      </c>
      <c r="AG2035">
        <v>1</v>
      </c>
      <c r="AH2035">
        <v>1</v>
      </c>
      <c r="AI2035">
        <v>1</v>
      </c>
      <c r="AJ2035">
        <v>1</v>
      </c>
      <c r="AK2035">
        <v>1</v>
      </c>
      <c r="AL2035">
        <v>1</v>
      </c>
      <c r="AM2035">
        <v>1</v>
      </c>
    </row>
    <row r="2036" spans="1:39" x14ac:dyDescent="0.2">
      <c r="A2036" t="str">
        <f>"2032"</f>
        <v>2032</v>
      </c>
      <c r="B2036" t="str">
        <f t="shared" si="110"/>
        <v>1</v>
      </c>
      <c r="C2036" t="str">
        <f t="shared" si="112"/>
        <v>41</v>
      </c>
      <c r="D2036" t="str">
        <f>"26"</f>
        <v>26</v>
      </c>
      <c r="E2036" t="str">
        <f>"1-41-26"</f>
        <v>1-41-26</v>
      </c>
      <c r="F2036" t="s">
        <v>65</v>
      </c>
      <c r="G2036" t="s">
        <v>66</v>
      </c>
      <c r="H2036" t="s">
        <v>67</v>
      </c>
      <c r="S2036">
        <v>1</v>
      </c>
      <c r="T2036">
        <v>0</v>
      </c>
      <c r="U2036">
        <v>0</v>
      </c>
      <c r="V2036">
        <v>0</v>
      </c>
      <c r="W2036">
        <v>0</v>
      </c>
      <c r="X2036">
        <v>1</v>
      </c>
      <c r="Y2036">
        <v>1</v>
      </c>
      <c r="Z2036">
        <v>0</v>
      </c>
      <c r="AA2036">
        <v>0</v>
      </c>
      <c r="AB2036">
        <v>0</v>
      </c>
      <c r="AC2036">
        <v>1</v>
      </c>
      <c r="AD2036">
        <v>1</v>
      </c>
      <c r="AE2036">
        <v>1</v>
      </c>
      <c r="AF2036">
        <v>1</v>
      </c>
      <c r="AG2036">
        <v>1</v>
      </c>
      <c r="AH2036">
        <v>1</v>
      </c>
      <c r="AI2036">
        <v>1</v>
      </c>
      <c r="AJ2036">
        <v>1</v>
      </c>
      <c r="AK2036">
        <v>1</v>
      </c>
      <c r="AL2036">
        <v>1</v>
      </c>
      <c r="AM2036">
        <v>1</v>
      </c>
    </row>
    <row r="2037" spans="1:39" x14ac:dyDescent="0.2">
      <c r="A2037" t="str">
        <f>"2033"</f>
        <v>2033</v>
      </c>
      <c r="B2037" t="str">
        <f t="shared" si="110"/>
        <v>1</v>
      </c>
      <c r="C2037" t="str">
        <f t="shared" ref="C2037:C2054" si="113">"41"</f>
        <v>41</v>
      </c>
      <c r="D2037" t="str">
        <f>"9"</f>
        <v>9</v>
      </c>
      <c r="E2037" t="str">
        <f>"1-41-9"</f>
        <v>1-41-9</v>
      </c>
      <c r="F2037" t="s">
        <v>65</v>
      </c>
      <c r="G2037" t="s">
        <v>66</v>
      </c>
      <c r="H2037" t="s">
        <v>67</v>
      </c>
      <c r="S2037">
        <v>0</v>
      </c>
      <c r="T2037">
        <v>0</v>
      </c>
      <c r="U2037">
        <v>0</v>
      </c>
      <c r="V2037">
        <v>0</v>
      </c>
      <c r="W2037">
        <v>1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</row>
    <row r="2038" spans="1:39" x14ac:dyDescent="0.2">
      <c r="A2038" t="str">
        <f>"2034"</f>
        <v>2034</v>
      </c>
      <c r="B2038" t="str">
        <f t="shared" si="110"/>
        <v>1</v>
      </c>
      <c r="C2038" t="str">
        <f t="shared" si="113"/>
        <v>41</v>
      </c>
      <c r="D2038" t="str">
        <f>"50"</f>
        <v>50</v>
      </c>
      <c r="E2038" t="str">
        <f>"1-41-50"</f>
        <v>1-41-50</v>
      </c>
      <c r="F2038" t="s">
        <v>65</v>
      </c>
      <c r="G2038" t="s">
        <v>66</v>
      </c>
      <c r="H2038" t="s">
        <v>67</v>
      </c>
      <c r="S2038">
        <v>0</v>
      </c>
      <c r="T2038">
        <v>1</v>
      </c>
      <c r="U2038">
        <v>0</v>
      </c>
      <c r="V2038">
        <v>0</v>
      </c>
      <c r="W2038">
        <v>0</v>
      </c>
      <c r="X2038">
        <v>1</v>
      </c>
      <c r="Y2038">
        <v>0</v>
      </c>
      <c r="Z2038">
        <v>1</v>
      </c>
      <c r="AA2038">
        <v>0</v>
      </c>
      <c r="AB2038">
        <v>0</v>
      </c>
      <c r="AC2038">
        <v>1</v>
      </c>
      <c r="AD2038">
        <v>0</v>
      </c>
      <c r="AE2038">
        <v>0</v>
      </c>
      <c r="AF2038">
        <v>0</v>
      </c>
      <c r="AG2038">
        <v>1</v>
      </c>
      <c r="AH2038">
        <v>1</v>
      </c>
      <c r="AI2038">
        <v>1</v>
      </c>
      <c r="AJ2038">
        <v>1</v>
      </c>
      <c r="AK2038">
        <v>1</v>
      </c>
      <c r="AL2038">
        <v>1</v>
      </c>
      <c r="AM2038">
        <v>1</v>
      </c>
    </row>
    <row r="2039" spans="1:39" x14ac:dyDescent="0.2">
      <c r="A2039" t="str">
        <f>"2035"</f>
        <v>2035</v>
      </c>
      <c r="B2039" t="str">
        <f t="shared" ref="B2039:B2102" si="114">"1"</f>
        <v>1</v>
      </c>
      <c r="C2039" t="str">
        <f t="shared" si="113"/>
        <v>41</v>
      </c>
      <c r="D2039" t="str">
        <f>"27"</f>
        <v>27</v>
      </c>
      <c r="E2039" t="str">
        <f>"1-41-27"</f>
        <v>1-41-27</v>
      </c>
      <c r="F2039" t="s">
        <v>65</v>
      </c>
      <c r="G2039" t="s">
        <v>66</v>
      </c>
      <c r="H2039" t="s">
        <v>67</v>
      </c>
      <c r="S2039">
        <v>1</v>
      </c>
      <c r="T2039">
        <v>0</v>
      </c>
      <c r="U2039">
        <v>0</v>
      </c>
      <c r="V2039">
        <v>0</v>
      </c>
      <c r="W2039">
        <v>0</v>
      </c>
      <c r="X2039">
        <v>1</v>
      </c>
      <c r="Y2039">
        <v>1</v>
      </c>
      <c r="Z2039">
        <v>0</v>
      </c>
      <c r="AA2039">
        <v>0</v>
      </c>
      <c r="AB2039">
        <v>0</v>
      </c>
      <c r="AC2039">
        <v>1</v>
      </c>
      <c r="AD2039">
        <v>1</v>
      </c>
      <c r="AE2039">
        <v>1</v>
      </c>
      <c r="AF2039">
        <v>1</v>
      </c>
      <c r="AG2039">
        <v>1</v>
      </c>
      <c r="AH2039">
        <v>1</v>
      </c>
      <c r="AI2039">
        <v>1</v>
      </c>
      <c r="AJ2039">
        <v>1</v>
      </c>
      <c r="AK2039">
        <v>1</v>
      </c>
      <c r="AL2039">
        <v>1</v>
      </c>
      <c r="AM2039">
        <v>1</v>
      </c>
    </row>
    <row r="2040" spans="1:39" x14ac:dyDescent="0.2">
      <c r="A2040" t="str">
        <f>"2036"</f>
        <v>2036</v>
      </c>
      <c r="B2040" t="str">
        <f t="shared" si="114"/>
        <v>1</v>
      </c>
      <c r="C2040" t="str">
        <f t="shared" si="113"/>
        <v>41</v>
      </c>
      <c r="D2040" t="str">
        <f>"7"</f>
        <v>7</v>
      </c>
      <c r="E2040" t="str">
        <f>"1-41-7"</f>
        <v>1-41-7</v>
      </c>
      <c r="F2040" t="s">
        <v>65</v>
      </c>
      <c r="G2040" t="s">
        <v>66</v>
      </c>
      <c r="H2040" t="s">
        <v>67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0</v>
      </c>
      <c r="AB2040">
        <v>0</v>
      </c>
      <c r="AC2040">
        <v>1</v>
      </c>
      <c r="AD2040">
        <v>0</v>
      </c>
      <c r="AE2040">
        <v>0</v>
      </c>
      <c r="AF2040">
        <v>0</v>
      </c>
      <c r="AG2040">
        <v>0</v>
      </c>
      <c r="AH2040">
        <v>1</v>
      </c>
      <c r="AI2040">
        <v>0</v>
      </c>
      <c r="AJ2040">
        <v>0</v>
      </c>
      <c r="AK2040">
        <v>0</v>
      </c>
      <c r="AL2040">
        <v>0</v>
      </c>
      <c r="AM2040">
        <v>0</v>
      </c>
    </row>
    <row r="2041" spans="1:39" x14ac:dyDescent="0.2">
      <c r="A2041" t="str">
        <f>"2037"</f>
        <v>2037</v>
      </c>
      <c r="B2041" t="str">
        <f t="shared" si="114"/>
        <v>1</v>
      </c>
      <c r="C2041" t="str">
        <f t="shared" si="113"/>
        <v>41</v>
      </c>
      <c r="D2041" t="str">
        <f>"47"</f>
        <v>47</v>
      </c>
      <c r="E2041" t="str">
        <f>"1-41-47"</f>
        <v>1-41-47</v>
      </c>
      <c r="F2041" t="s">
        <v>65</v>
      </c>
      <c r="G2041" t="s">
        <v>66</v>
      </c>
      <c r="H2041" t="s">
        <v>67</v>
      </c>
      <c r="S2041">
        <v>1</v>
      </c>
      <c r="T2041">
        <v>0</v>
      </c>
      <c r="U2041">
        <v>0</v>
      </c>
      <c r="V2041">
        <v>0</v>
      </c>
      <c r="W2041">
        <v>0</v>
      </c>
      <c r="X2041">
        <v>1</v>
      </c>
      <c r="Y2041">
        <v>1</v>
      </c>
      <c r="Z2041">
        <v>0</v>
      </c>
      <c r="AA2041">
        <v>0</v>
      </c>
      <c r="AB2041">
        <v>1</v>
      </c>
      <c r="AC2041">
        <v>0</v>
      </c>
      <c r="AD2041">
        <v>1</v>
      </c>
      <c r="AE2041">
        <v>1</v>
      </c>
      <c r="AF2041">
        <v>1</v>
      </c>
      <c r="AG2041">
        <v>1</v>
      </c>
      <c r="AH2041">
        <v>1</v>
      </c>
      <c r="AI2041">
        <v>1</v>
      </c>
      <c r="AJ2041">
        <v>1</v>
      </c>
      <c r="AK2041">
        <v>1</v>
      </c>
      <c r="AL2041">
        <v>1</v>
      </c>
      <c r="AM2041">
        <v>1</v>
      </c>
    </row>
    <row r="2042" spans="1:39" x14ac:dyDescent="0.2">
      <c r="A2042" t="str">
        <f>"2038"</f>
        <v>2038</v>
      </c>
      <c r="B2042" t="str">
        <f t="shared" si="114"/>
        <v>1</v>
      </c>
      <c r="C2042" t="str">
        <f t="shared" si="113"/>
        <v>41</v>
      </c>
      <c r="D2042" t="str">
        <f>"28"</f>
        <v>28</v>
      </c>
      <c r="E2042" t="str">
        <f>"1-41-28"</f>
        <v>1-41-28</v>
      </c>
      <c r="F2042" t="s">
        <v>65</v>
      </c>
      <c r="G2042" t="s">
        <v>66</v>
      </c>
      <c r="H2042" t="s">
        <v>67</v>
      </c>
      <c r="S2042">
        <v>0</v>
      </c>
      <c r="T2042">
        <v>1</v>
      </c>
      <c r="U2042">
        <v>0</v>
      </c>
      <c r="V2042">
        <v>0</v>
      </c>
      <c r="W2042">
        <v>0</v>
      </c>
      <c r="X2042">
        <v>1</v>
      </c>
      <c r="Y2042">
        <v>0</v>
      </c>
      <c r="Z2042">
        <v>1</v>
      </c>
      <c r="AA2042">
        <v>0</v>
      </c>
      <c r="AB2042">
        <v>1</v>
      </c>
      <c r="AC2042">
        <v>0</v>
      </c>
      <c r="AD2042">
        <v>1</v>
      </c>
      <c r="AE2042">
        <v>1</v>
      </c>
      <c r="AF2042">
        <v>1</v>
      </c>
      <c r="AG2042">
        <v>1</v>
      </c>
      <c r="AH2042">
        <v>1</v>
      </c>
      <c r="AI2042">
        <v>1</v>
      </c>
      <c r="AJ2042">
        <v>1</v>
      </c>
      <c r="AK2042">
        <v>1</v>
      </c>
      <c r="AL2042">
        <v>1</v>
      </c>
      <c r="AM2042">
        <v>1</v>
      </c>
    </row>
    <row r="2043" spans="1:39" x14ac:dyDescent="0.2">
      <c r="A2043" t="str">
        <f>"2039"</f>
        <v>2039</v>
      </c>
      <c r="B2043" t="str">
        <f t="shared" si="114"/>
        <v>1</v>
      </c>
      <c r="C2043" t="str">
        <f t="shared" si="113"/>
        <v>41</v>
      </c>
      <c r="D2043" t="str">
        <f>"10"</f>
        <v>10</v>
      </c>
      <c r="E2043" t="str">
        <f>"1-41-10"</f>
        <v>1-41-10</v>
      </c>
      <c r="F2043" t="s">
        <v>65</v>
      </c>
      <c r="G2043" t="s">
        <v>66</v>
      </c>
      <c r="H2043" t="s">
        <v>67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1</v>
      </c>
      <c r="AH2043">
        <v>1</v>
      </c>
      <c r="AI2043">
        <v>1</v>
      </c>
      <c r="AJ2043">
        <v>1</v>
      </c>
      <c r="AK2043">
        <v>1</v>
      </c>
      <c r="AL2043">
        <v>1</v>
      </c>
      <c r="AM2043">
        <v>0</v>
      </c>
    </row>
    <row r="2044" spans="1:39" x14ac:dyDescent="0.2">
      <c r="A2044" t="str">
        <f>"2040"</f>
        <v>2040</v>
      </c>
      <c r="B2044" t="str">
        <f t="shared" si="114"/>
        <v>1</v>
      </c>
      <c r="C2044" t="str">
        <f t="shared" si="113"/>
        <v>41</v>
      </c>
      <c r="D2044" t="str">
        <f>"48"</f>
        <v>48</v>
      </c>
      <c r="E2044" t="str">
        <f>"1-41-48"</f>
        <v>1-41-48</v>
      </c>
      <c r="F2044" t="s">
        <v>65</v>
      </c>
      <c r="G2044" t="s">
        <v>66</v>
      </c>
      <c r="H2044" t="s">
        <v>67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0</v>
      </c>
      <c r="AB2044">
        <v>0</v>
      </c>
      <c r="AC2044">
        <v>1</v>
      </c>
      <c r="AD2044">
        <v>0</v>
      </c>
      <c r="AE2044">
        <v>0</v>
      </c>
      <c r="AF2044">
        <v>0</v>
      </c>
      <c r="AG2044">
        <v>1</v>
      </c>
      <c r="AH2044">
        <v>0</v>
      </c>
      <c r="AI2044">
        <v>1</v>
      </c>
      <c r="AJ2044">
        <v>0</v>
      </c>
      <c r="AK2044">
        <v>0</v>
      </c>
      <c r="AL2044">
        <v>1</v>
      </c>
      <c r="AM2044">
        <v>1</v>
      </c>
    </row>
    <row r="2045" spans="1:39" x14ac:dyDescent="0.2">
      <c r="A2045" t="str">
        <f>"2041"</f>
        <v>2041</v>
      </c>
      <c r="B2045" t="str">
        <f t="shared" si="114"/>
        <v>1</v>
      </c>
      <c r="C2045" t="str">
        <f t="shared" si="113"/>
        <v>41</v>
      </c>
      <c r="D2045" t="str">
        <f>"29"</f>
        <v>29</v>
      </c>
      <c r="E2045" t="str">
        <f>"1-41-29"</f>
        <v>1-41-29</v>
      </c>
      <c r="F2045" t="s">
        <v>65</v>
      </c>
      <c r="G2045" t="s">
        <v>66</v>
      </c>
      <c r="H2045" t="s">
        <v>67</v>
      </c>
      <c r="S2045">
        <v>0</v>
      </c>
      <c r="T2045">
        <v>1</v>
      </c>
      <c r="U2045">
        <v>0</v>
      </c>
      <c r="V2045">
        <v>0</v>
      </c>
      <c r="W2045">
        <v>1</v>
      </c>
      <c r="X2045">
        <v>0</v>
      </c>
      <c r="Y2045">
        <v>1</v>
      </c>
      <c r="Z2045">
        <v>0</v>
      </c>
      <c r="AA2045">
        <v>0</v>
      </c>
      <c r="AB2045">
        <v>0</v>
      </c>
      <c r="AC2045">
        <v>1</v>
      </c>
      <c r="AD2045">
        <v>1</v>
      </c>
      <c r="AE2045">
        <v>1</v>
      </c>
      <c r="AF2045">
        <v>1</v>
      </c>
      <c r="AG2045">
        <v>1</v>
      </c>
      <c r="AH2045">
        <v>1</v>
      </c>
      <c r="AI2045">
        <v>1</v>
      </c>
      <c r="AJ2045">
        <v>1</v>
      </c>
      <c r="AK2045">
        <v>1</v>
      </c>
      <c r="AL2045">
        <v>1</v>
      </c>
      <c r="AM2045">
        <v>1</v>
      </c>
    </row>
    <row r="2046" spans="1:39" x14ac:dyDescent="0.2">
      <c r="A2046" t="str">
        <f>"2042"</f>
        <v>2042</v>
      </c>
      <c r="B2046" t="str">
        <f t="shared" si="114"/>
        <v>1</v>
      </c>
      <c r="C2046" t="str">
        <f t="shared" si="113"/>
        <v>41</v>
      </c>
      <c r="D2046" t="str">
        <f>"12"</f>
        <v>12</v>
      </c>
      <c r="E2046" t="str">
        <f>"1-41-12"</f>
        <v>1-41-12</v>
      </c>
      <c r="F2046" t="s">
        <v>65</v>
      </c>
      <c r="G2046" t="s">
        <v>66</v>
      </c>
      <c r="H2046" t="s">
        <v>67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</row>
    <row r="2047" spans="1:39" x14ac:dyDescent="0.2">
      <c r="A2047" t="str">
        <f>"2043"</f>
        <v>2043</v>
      </c>
      <c r="B2047" t="str">
        <f t="shared" si="114"/>
        <v>1</v>
      </c>
      <c r="C2047" t="str">
        <f t="shared" si="113"/>
        <v>41</v>
      </c>
      <c r="D2047" t="str">
        <f>"30"</f>
        <v>30</v>
      </c>
      <c r="E2047" t="str">
        <f>"1-41-30"</f>
        <v>1-41-30</v>
      </c>
      <c r="F2047" t="s">
        <v>65</v>
      </c>
      <c r="G2047" t="s">
        <v>66</v>
      </c>
      <c r="H2047" t="s">
        <v>67</v>
      </c>
      <c r="S2047">
        <v>0</v>
      </c>
      <c r="T2047">
        <v>1</v>
      </c>
      <c r="U2047">
        <v>0</v>
      </c>
      <c r="V2047">
        <v>0</v>
      </c>
      <c r="W2047">
        <v>0</v>
      </c>
      <c r="X2047">
        <v>1</v>
      </c>
      <c r="Y2047">
        <v>0</v>
      </c>
      <c r="Z2047">
        <v>1</v>
      </c>
      <c r="AA2047">
        <v>0</v>
      </c>
      <c r="AB2047">
        <v>0</v>
      </c>
      <c r="AC2047">
        <v>1</v>
      </c>
      <c r="AD2047">
        <v>1</v>
      </c>
      <c r="AE2047">
        <v>1</v>
      </c>
      <c r="AF2047">
        <v>1</v>
      </c>
      <c r="AG2047">
        <v>1</v>
      </c>
      <c r="AH2047">
        <v>1</v>
      </c>
      <c r="AI2047">
        <v>1</v>
      </c>
      <c r="AJ2047">
        <v>1</v>
      </c>
      <c r="AK2047">
        <v>1</v>
      </c>
      <c r="AL2047">
        <v>1</v>
      </c>
      <c r="AM2047">
        <v>0</v>
      </c>
    </row>
    <row r="2048" spans="1:39" x14ac:dyDescent="0.2">
      <c r="A2048" t="str">
        <f>"2044"</f>
        <v>2044</v>
      </c>
      <c r="B2048" t="str">
        <f t="shared" si="114"/>
        <v>1</v>
      </c>
      <c r="C2048" t="str">
        <f t="shared" si="113"/>
        <v>41</v>
      </c>
      <c r="D2048" t="str">
        <f>"11"</f>
        <v>11</v>
      </c>
      <c r="E2048" t="str">
        <f>"1-41-11"</f>
        <v>1-41-11</v>
      </c>
      <c r="F2048" t="s">
        <v>65</v>
      </c>
      <c r="G2048" t="s">
        <v>66</v>
      </c>
      <c r="H2048" t="s">
        <v>67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1</v>
      </c>
    </row>
    <row r="2049" spans="1:39" x14ac:dyDescent="0.2">
      <c r="A2049" t="str">
        <f>"2045"</f>
        <v>2045</v>
      </c>
      <c r="B2049" t="str">
        <f t="shared" si="114"/>
        <v>1</v>
      </c>
      <c r="C2049" t="str">
        <f t="shared" si="113"/>
        <v>41</v>
      </c>
      <c r="D2049" t="str">
        <f>"31"</f>
        <v>31</v>
      </c>
      <c r="E2049" t="str">
        <f>"1-41-31"</f>
        <v>1-41-31</v>
      </c>
      <c r="F2049" t="s">
        <v>65</v>
      </c>
      <c r="G2049" t="s">
        <v>66</v>
      </c>
      <c r="H2049" t="s">
        <v>67</v>
      </c>
      <c r="S2049">
        <v>0</v>
      </c>
      <c r="T2049">
        <v>1</v>
      </c>
      <c r="U2049">
        <v>0</v>
      </c>
      <c r="V2049">
        <v>0</v>
      </c>
      <c r="W2049">
        <v>1</v>
      </c>
      <c r="X2049">
        <v>0</v>
      </c>
      <c r="Y2049">
        <v>1</v>
      </c>
      <c r="Z2049">
        <v>0</v>
      </c>
      <c r="AA2049">
        <v>0</v>
      </c>
      <c r="AB2049">
        <v>1</v>
      </c>
      <c r="AC2049">
        <v>0</v>
      </c>
      <c r="AD2049">
        <v>1</v>
      </c>
      <c r="AE2049">
        <v>1</v>
      </c>
      <c r="AF2049">
        <v>1</v>
      </c>
      <c r="AG2049">
        <v>1</v>
      </c>
      <c r="AH2049">
        <v>1</v>
      </c>
      <c r="AI2049">
        <v>1</v>
      </c>
      <c r="AJ2049">
        <v>1</v>
      </c>
      <c r="AK2049">
        <v>1</v>
      </c>
      <c r="AL2049">
        <v>1</v>
      </c>
      <c r="AM2049">
        <v>1</v>
      </c>
    </row>
    <row r="2050" spans="1:39" x14ac:dyDescent="0.2">
      <c r="A2050" t="str">
        <f>"2046"</f>
        <v>2046</v>
      </c>
      <c r="B2050" t="str">
        <f t="shared" si="114"/>
        <v>1</v>
      </c>
      <c r="C2050" t="str">
        <f t="shared" si="113"/>
        <v>41</v>
      </c>
      <c r="D2050" t="str">
        <f>"8"</f>
        <v>8</v>
      </c>
      <c r="E2050" t="str">
        <f>"1-41-8"</f>
        <v>1-41-8</v>
      </c>
      <c r="F2050" t="s">
        <v>65</v>
      </c>
      <c r="G2050" t="s">
        <v>66</v>
      </c>
      <c r="H2050" t="s">
        <v>67</v>
      </c>
      <c r="S2050">
        <v>0</v>
      </c>
      <c r="T2050">
        <v>1</v>
      </c>
      <c r="U2050">
        <v>0</v>
      </c>
      <c r="V2050">
        <v>0</v>
      </c>
      <c r="W2050">
        <v>0</v>
      </c>
      <c r="X2050">
        <v>1</v>
      </c>
      <c r="Y2050">
        <v>1</v>
      </c>
      <c r="Z2050">
        <v>0</v>
      </c>
      <c r="AA2050">
        <v>0</v>
      </c>
      <c r="AB2050">
        <v>1</v>
      </c>
      <c r="AC2050">
        <v>0</v>
      </c>
      <c r="AD2050">
        <v>1</v>
      </c>
      <c r="AE2050">
        <v>1</v>
      </c>
      <c r="AF2050">
        <v>1</v>
      </c>
      <c r="AG2050">
        <v>1</v>
      </c>
      <c r="AH2050">
        <v>1</v>
      </c>
      <c r="AI2050">
        <v>1</v>
      </c>
      <c r="AJ2050">
        <v>1</v>
      </c>
      <c r="AK2050">
        <v>1</v>
      </c>
      <c r="AL2050">
        <v>1</v>
      </c>
      <c r="AM2050">
        <v>1</v>
      </c>
    </row>
    <row r="2051" spans="1:39" x14ac:dyDescent="0.2">
      <c r="A2051" t="str">
        <f>"2047"</f>
        <v>2047</v>
      </c>
      <c r="B2051" t="str">
        <f t="shared" si="114"/>
        <v>1</v>
      </c>
      <c r="C2051" t="str">
        <f t="shared" si="113"/>
        <v>41</v>
      </c>
      <c r="D2051" t="str">
        <f>"49"</f>
        <v>49</v>
      </c>
      <c r="E2051" t="str">
        <f>"1-41-49"</f>
        <v>1-41-49</v>
      </c>
      <c r="F2051" t="s">
        <v>65</v>
      </c>
      <c r="G2051" t="s">
        <v>66</v>
      </c>
      <c r="H2051" t="s">
        <v>67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1</v>
      </c>
      <c r="Y2051">
        <v>0</v>
      </c>
      <c r="Z2051">
        <v>1</v>
      </c>
      <c r="AA2051">
        <v>0</v>
      </c>
      <c r="AB2051">
        <v>0</v>
      </c>
      <c r="AC2051">
        <v>1</v>
      </c>
      <c r="AD2051">
        <v>1</v>
      </c>
      <c r="AE2051">
        <v>1</v>
      </c>
      <c r="AF2051">
        <v>1</v>
      </c>
      <c r="AG2051">
        <v>1</v>
      </c>
      <c r="AH2051">
        <v>1</v>
      </c>
      <c r="AI2051">
        <v>1</v>
      </c>
      <c r="AJ2051">
        <v>1</v>
      </c>
      <c r="AK2051">
        <v>1</v>
      </c>
      <c r="AL2051">
        <v>1</v>
      </c>
      <c r="AM2051">
        <v>1</v>
      </c>
    </row>
    <row r="2052" spans="1:39" x14ac:dyDescent="0.2">
      <c r="A2052" t="str">
        <f>"2048"</f>
        <v>2048</v>
      </c>
      <c r="B2052" t="str">
        <f t="shared" si="114"/>
        <v>1</v>
      </c>
      <c r="C2052" t="str">
        <f t="shared" si="113"/>
        <v>41</v>
      </c>
      <c r="D2052" t="str">
        <f>"32"</f>
        <v>32</v>
      </c>
      <c r="E2052" t="str">
        <f>"1-41-32"</f>
        <v>1-41-32</v>
      </c>
      <c r="F2052" t="s">
        <v>65</v>
      </c>
      <c r="G2052" t="s">
        <v>66</v>
      </c>
      <c r="H2052" t="s">
        <v>67</v>
      </c>
      <c r="S2052">
        <v>0</v>
      </c>
      <c r="T2052">
        <v>1</v>
      </c>
      <c r="U2052">
        <v>0</v>
      </c>
      <c r="V2052">
        <v>0</v>
      </c>
      <c r="W2052">
        <v>1</v>
      </c>
      <c r="X2052">
        <v>0</v>
      </c>
      <c r="Y2052">
        <v>1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1</v>
      </c>
      <c r="AF2052">
        <v>1</v>
      </c>
      <c r="AG2052">
        <v>1</v>
      </c>
      <c r="AH2052">
        <v>1</v>
      </c>
      <c r="AI2052">
        <v>1</v>
      </c>
      <c r="AJ2052">
        <v>1</v>
      </c>
      <c r="AK2052">
        <v>1</v>
      </c>
      <c r="AL2052">
        <v>1</v>
      </c>
      <c r="AM2052">
        <v>1</v>
      </c>
    </row>
    <row r="2053" spans="1:39" x14ac:dyDescent="0.2">
      <c r="A2053" t="str">
        <f>"2049"</f>
        <v>2049</v>
      </c>
      <c r="B2053" t="str">
        <f t="shared" si="114"/>
        <v>1</v>
      </c>
      <c r="C2053" t="str">
        <f t="shared" si="113"/>
        <v>41</v>
      </c>
      <c r="D2053" t="str">
        <f>"3"</f>
        <v>3</v>
      </c>
      <c r="E2053" t="str">
        <f>"1-41-3"</f>
        <v>1-41-3</v>
      </c>
      <c r="F2053" t="s">
        <v>65</v>
      </c>
      <c r="G2053" t="s">
        <v>66</v>
      </c>
      <c r="H2053" t="s">
        <v>67</v>
      </c>
      <c r="S2053">
        <v>0</v>
      </c>
      <c r="T2053">
        <v>1</v>
      </c>
      <c r="U2053">
        <v>0</v>
      </c>
      <c r="V2053">
        <v>0</v>
      </c>
      <c r="W2053">
        <v>1</v>
      </c>
      <c r="X2053">
        <v>0</v>
      </c>
      <c r="Y2053">
        <v>1</v>
      </c>
      <c r="Z2053">
        <v>0</v>
      </c>
      <c r="AA2053">
        <v>0</v>
      </c>
      <c r="AB2053">
        <v>1</v>
      </c>
      <c r="AC2053">
        <v>0</v>
      </c>
      <c r="AD2053">
        <v>1</v>
      </c>
      <c r="AE2053">
        <v>1</v>
      </c>
      <c r="AF2053">
        <v>1</v>
      </c>
      <c r="AG2053">
        <v>1</v>
      </c>
      <c r="AH2053">
        <v>1</v>
      </c>
      <c r="AI2053">
        <v>1</v>
      </c>
      <c r="AJ2053">
        <v>1</v>
      </c>
      <c r="AK2053">
        <v>1</v>
      </c>
      <c r="AL2053">
        <v>1</v>
      </c>
      <c r="AM2053">
        <v>1</v>
      </c>
    </row>
    <row r="2054" spans="1:39" x14ac:dyDescent="0.2">
      <c r="A2054" t="str">
        <f>"2050"</f>
        <v>2050</v>
      </c>
      <c r="B2054" t="str">
        <f t="shared" si="114"/>
        <v>1</v>
      </c>
      <c r="C2054" t="str">
        <f t="shared" si="113"/>
        <v>41</v>
      </c>
      <c r="D2054" t="str">
        <f>"25"</f>
        <v>25</v>
      </c>
      <c r="E2054" t="str">
        <f>"1-41-25"</f>
        <v>1-41-25</v>
      </c>
      <c r="F2054" t="s">
        <v>65</v>
      </c>
      <c r="G2054" t="s">
        <v>66</v>
      </c>
      <c r="H2054" t="s">
        <v>67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0</v>
      </c>
      <c r="AB2054">
        <v>0</v>
      </c>
      <c r="AC2054">
        <v>1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</row>
    <row r="2055" spans="1:39" x14ac:dyDescent="0.2">
      <c r="A2055" t="str">
        <f>"2051"</f>
        <v>2051</v>
      </c>
      <c r="B2055" t="str">
        <f t="shared" si="114"/>
        <v>1</v>
      </c>
      <c r="C2055" t="str">
        <f t="shared" ref="C2055:C2086" si="115">"42"</f>
        <v>42</v>
      </c>
      <c r="D2055" t="str">
        <f>"38"</f>
        <v>38</v>
      </c>
      <c r="E2055" t="str">
        <f>"1-42-38"</f>
        <v>1-42-38</v>
      </c>
      <c r="F2055" t="s">
        <v>65</v>
      </c>
      <c r="G2055" t="s">
        <v>66</v>
      </c>
      <c r="H2055" t="s">
        <v>67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1</v>
      </c>
      <c r="AH2055">
        <v>1</v>
      </c>
      <c r="AI2055">
        <v>1</v>
      </c>
      <c r="AJ2055">
        <v>1</v>
      </c>
      <c r="AK2055">
        <v>1</v>
      </c>
      <c r="AL2055">
        <v>1</v>
      </c>
      <c r="AM2055">
        <v>1</v>
      </c>
    </row>
    <row r="2056" spans="1:39" x14ac:dyDescent="0.2">
      <c r="A2056" t="str">
        <f>"2052"</f>
        <v>2052</v>
      </c>
      <c r="B2056" t="str">
        <f t="shared" si="114"/>
        <v>1</v>
      </c>
      <c r="C2056" t="str">
        <f t="shared" si="115"/>
        <v>42</v>
      </c>
      <c r="D2056" t="str">
        <f>"37"</f>
        <v>37</v>
      </c>
      <c r="E2056" t="str">
        <f>"1-42-37"</f>
        <v>1-42-37</v>
      </c>
      <c r="F2056" t="s">
        <v>65</v>
      </c>
      <c r="G2056" t="s">
        <v>66</v>
      </c>
      <c r="H2056" t="s">
        <v>67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1</v>
      </c>
      <c r="AI2056">
        <v>1</v>
      </c>
      <c r="AJ2056">
        <v>1</v>
      </c>
      <c r="AK2056">
        <v>0</v>
      </c>
      <c r="AL2056">
        <v>1</v>
      </c>
      <c r="AM2056">
        <v>0</v>
      </c>
    </row>
    <row r="2057" spans="1:39" x14ac:dyDescent="0.2">
      <c r="A2057" t="str">
        <f>"2053"</f>
        <v>2053</v>
      </c>
      <c r="B2057" t="str">
        <f t="shared" si="114"/>
        <v>1</v>
      </c>
      <c r="C2057" t="str">
        <f t="shared" si="115"/>
        <v>42</v>
      </c>
      <c r="D2057" t="str">
        <f>"26"</f>
        <v>26</v>
      </c>
      <c r="E2057" t="str">
        <f>"1-42-26"</f>
        <v>1-42-26</v>
      </c>
      <c r="F2057" t="s">
        <v>65</v>
      </c>
      <c r="G2057" t="s">
        <v>66</v>
      </c>
      <c r="H2057" t="s">
        <v>67</v>
      </c>
      <c r="S2057">
        <v>0</v>
      </c>
      <c r="T2057">
        <v>0</v>
      </c>
      <c r="U2057">
        <v>0</v>
      </c>
      <c r="V2057">
        <v>0</v>
      </c>
      <c r="W2057">
        <v>1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1</v>
      </c>
    </row>
    <row r="2058" spans="1:39" x14ac:dyDescent="0.2">
      <c r="A2058" t="str">
        <f>"2054"</f>
        <v>2054</v>
      </c>
      <c r="B2058" t="str">
        <f t="shared" si="114"/>
        <v>1</v>
      </c>
      <c r="C2058" t="str">
        <f t="shared" si="115"/>
        <v>42</v>
      </c>
      <c r="D2058" t="str">
        <f>"15"</f>
        <v>15</v>
      </c>
      <c r="E2058" t="str">
        <f>"1-42-15"</f>
        <v>1-42-15</v>
      </c>
      <c r="F2058" t="s">
        <v>65</v>
      </c>
      <c r="G2058" t="s">
        <v>66</v>
      </c>
      <c r="H2058" t="s">
        <v>67</v>
      </c>
      <c r="S2058">
        <v>0</v>
      </c>
      <c r="T2058">
        <v>1</v>
      </c>
      <c r="U2058">
        <v>0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</row>
    <row r="2059" spans="1:39" x14ac:dyDescent="0.2">
      <c r="A2059" t="str">
        <f>"2055"</f>
        <v>2055</v>
      </c>
      <c r="B2059" t="str">
        <f t="shared" si="114"/>
        <v>1</v>
      </c>
      <c r="C2059" t="str">
        <f t="shared" si="115"/>
        <v>42</v>
      </c>
      <c r="D2059" t="str">
        <f>"5"</f>
        <v>5</v>
      </c>
      <c r="E2059" t="str">
        <f>"1-42-5"</f>
        <v>1-42-5</v>
      </c>
      <c r="F2059" t="s">
        <v>65</v>
      </c>
      <c r="G2059" t="s">
        <v>66</v>
      </c>
      <c r="H2059" t="s">
        <v>67</v>
      </c>
      <c r="S2059">
        <v>0</v>
      </c>
      <c r="T2059">
        <v>1</v>
      </c>
      <c r="U2059">
        <v>0</v>
      </c>
      <c r="V2059">
        <v>0</v>
      </c>
      <c r="W2059">
        <v>0</v>
      </c>
      <c r="X2059">
        <v>1</v>
      </c>
      <c r="Y2059">
        <v>0</v>
      </c>
      <c r="Z2059">
        <v>1</v>
      </c>
      <c r="AA2059">
        <v>0</v>
      </c>
      <c r="AB2059">
        <v>0</v>
      </c>
      <c r="AC2059">
        <v>1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</row>
    <row r="2060" spans="1:39" x14ac:dyDescent="0.2">
      <c r="A2060" t="str">
        <f>"2056"</f>
        <v>2056</v>
      </c>
      <c r="B2060" t="str">
        <f t="shared" si="114"/>
        <v>1</v>
      </c>
      <c r="C2060" t="str">
        <f t="shared" si="115"/>
        <v>42</v>
      </c>
      <c r="D2060" t="str">
        <f>"36"</f>
        <v>36</v>
      </c>
      <c r="E2060" t="str">
        <f>"1-42-36"</f>
        <v>1-42-36</v>
      </c>
      <c r="F2060" t="s">
        <v>65</v>
      </c>
      <c r="G2060" t="s">
        <v>66</v>
      </c>
      <c r="H2060" t="s">
        <v>67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1</v>
      </c>
      <c r="Y2060">
        <v>0</v>
      </c>
      <c r="Z2060">
        <v>1</v>
      </c>
      <c r="AA2060">
        <v>0</v>
      </c>
      <c r="AB2060">
        <v>1</v>
      </c>
      <c r="AC2060">
        <v>0</v>
      </c>
      <c r="AD2060">
        <v>1</v>
      </c>
      <c r="AE2060">
        <v>1</v>
      </c>
      <c r="AF2060">
        <v>1</v>
      </c>
      <c r="AG2060">
        <v>1</v>
      </c>
      <c r="AH2060">
        <v>1</v>
      </c>
      <c r="AI2060">
        <v>1</v>
      </c>
      <c r="AJ2060">
        <v>1</v>
      </c>
      <c r="AK2060">
        <v>1</v>
      </c>
      <c r="AL2060">
        <v>1</v>
      </c>
      <c r="AM2060">
        <v>1</v>
      </c>
    </row>
    <row r="2061" spans="1:39" x14ac:dyDescent="0.2">
      <c r="A2061" t="str">
        <f>"2057"</f>
        <v>2057</v>
      </c>
      <c r="B2061" t="str">
        <f t="shared" si="114"/>
        <v>1</v>
      </c>
      <c r="C2061" t="str">
        <f t="shared" si="115"/>
        <v>42</v>
      </c>
      <c r="D2061" t="str">
        <f>"35"</f>
        <v>35</v>
      </c>
      <c r="E2061" t="str">
        <f>"1-42-35"</f>
        <v>1-42-35</v>
      </c>
      <c r="F2061" t="s">
        <v>65</v>
      </c>
      <c r="G2061" t="s">
        <v>66</v>
      </c>
      <c r="H2061" t="s">
        <v>67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1</v>
      </c>
      <c r="AH2061">
        <v>0</v>
      </c>
      <c r="AI2061">
        <v>0</v>
      </c>
      <c r="AJ2061">
        <v>0</v>
      </c>
      <c r="AK2061">
        <v>0</v>
      </c>
      <c r="AL2061">
        <v>1</v>
      </c>
      <c r="AM2061">
        <v>0</v>
      </c>
    </row>
    <row r="2062" spans="1:39" x14ac:dyDescent="0.2">
      <c r="A2062" t="str">
        <f>"2058"</f>
        <v>2058</v>
      </c>
      <c r="B2062" t="str">
        <f t="shared" si="114"/>
        <v>1</v>
      </c>
      <c r="C2062" t="str">
        <f t="shared" si="115"/>
        <v>42</v>
      </c>
      <c r="D2062" t="str">
        <f>"25"</f>
        <v>25</v>
      </c>
      <c r="E2062" t="str">
        <f>"1-42-25"</f>
        <v>1-42-25</v>
      </c>
      <c r="F2062" t="s">
        <v>65</v>
      </c>
      <c r="G2062" t="s">
        <v>66</v>
      </c>
      <c r="H2062" t="s">
        <v>67</v>
      </c>
      <c r="S2062">
        <v>1</v>
      </c>
      <c r="T2062">
        <v>0</v>
      </c>
      <c r="U2062">
        <v>0</v>
      </c>
      <c r="V2062">
        <v>0</v>
      </c>
      <c r="W2062">
        <v>1</v>
      </c>
      <c r="X2062">
        <v>0</v>
      </c>
      <c r="Y2062">
        <v>1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1</v>
      </c>
      <c r="AF2062">
        <v>1</v>
      </c>
      <c r="AG2062">
        <v>0</v>
      </c>
      <c r="AH2062">
        <v>0</v>
      </c>
      <c r="AI2062">
        <v>1</v>
      </c>
      <c r="AJ2062">
        <v>0</v>
      </c>
      <c r="AK2062">
        <v>1</v>
      </c>
      <c r="AL2062">
        <v>0</v>
      </c>
      <c r="AM2062">
        <v>0</v>
      </c>
    </row>
    <row r="2063" spans="1:39" x14ac:dyDescent="0.2">
      <c r="A2063" t="str">
        <f>"2059"</f>
        <v>2059</v>
      </c>
      <c r="B2063" t="str">
        <f t="shared" si="114"/>
        <v>1</v>
      </c>
      <c r="C2063" t="str">
        <f t="shared" si="115"/>
        <v>42</v>
      </c>
      <c r="D2063" t="str">
        <f>"16"</f>
        <v>16</v>
      </c>
      <c r="E2063" t="str">
        <f>"1-42-16"</f>
        <v>1-42-16</v>
      </c>
      <c r="F2063" t="s">
        <v>65</v>
      </c>
      <c r="G2063" t="s">
        <v>66</v>
      </c>
      <c r="H2063" t="s">
        <v>67</v>
      </c>
      <c r="S2063">
        <v>1</v>
      </c>
      <c r="T2063">
        <v>0</v>
      </c>
      <c r="U2063">
        <v>0</v>
      </c>
      <c r="V2063">
        <v>0</v>
      </c>
      <c r="W2063">
        <v>0</v>
      </c>
      <c r="X2063">
        <v>1</v>
      </c>
      <c r="Y2063">
        <v>0</v>
      </c>
      <c r="Z2063">
        <v>1</v>
      </c>
      <c r="AA2063">
        <v>0</v>
      </c>
      <c r="AB2063">
        <v>0</v>
      </c>
      <c r="AC2063">
        <v>1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</row>
    <row r="2064" spans="1:39" x14ac:dyDescent="0.2">
      <c r="A2064" t="str">
        <f>"2060"</f>
        <v>2060</v>
      </c>
      <c r="B2064" t="str">
        <f t="shared" si="114"/>
        <v>1</v>
      </c>
      <c r="C2064" t="str">
        <f t="shared" si="115"/>
        <v>42</v>
      </c>
      <c r="D2064" t="str">
        <f>"2"</f>
        <v>2</v>
      </c>
      <c r="E2064" t="str">
        <f>"1-42-2"</f>
        <v>1-42-2</v>
      </c>
      <c r="F2064" t="s">
        <v>65</v>
      </c>
      <c r="G2064" t="s">
        <v>66</v>
      </c>
      <c r="H2064" t="s">
        <v>67</v>
      </c>
      <c r="S2064">
        <v>1</v>
      </c>
      <c r="T2064">
        <v>0</v>
      </c>
      <c r="U2064">
        <v>0</v>
      </c>
      <c r="V2064">
        <v>0</v>
      </c>
      <c r="W2064">
        <v>1</v>
      </c>
      <c r="X2064">
        <v>0</v>
      </c>
      <c r="Y2064">
        <v>1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1</v>
      </c>
      <c r="AF2064">
        <v>1</v>
      </c>
      <c r="AG2064">
        <v>1</v>
      </c>
      <c r="AH2064">
        <v>1</v>
      </c>
      <c r="AI2064">
        <v>1</v>
      </c>
      <c r="AJ2064">
        <v>1</v>
      </c>
      <c r="AK2064">
        <v>1</v>
      </c>
      <c r="AL2064">
        <v>1</v>
      </c>
      <c r="AM2064">
        <v>1</v>
      </c>
    </row>
    <row r="2065" spans="1:39" x14ac:dyDescent="0.2">
      <c r="A2065" t="str">
        <f>"2061"</f>
        <v>2061</v>
      </c>
      <c r="B2065" t="str">
        <f t="shared" si="114"/>
        <v>1</v>
      </c>
      <c r="C2065" t="str">
        <f t="shared" si="115"/>
        <v>42</v>
      </c>
      <c r="D2065" t="str">
        <f>"50"</f>
        <v>50</v>
      </c>
      <c r="E2065" t="str">
        <f>"1-42-50"</f>
        <v>1-42-50</v>
      </c>
      <c r="F2065" t="s">
        <v>65</v>
      </c>
      <c r="G2065" t="s">
        <v>66</v>
      </c>
      <c r="H2065" t="s">
        <v>67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1</v>
      </c>
      <c r="Y2065">
        <v>0</v>
      </c>
      <c r="Z2065">
        <v>1</v>
      </c>
      <c r="AA2065">
        <v>0</v>
      </c>
      <c r="AB2065">
        <v>0</v>
      </c>
      <c r="AC2065">
        <v>1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</row>
    <row r="2066" spans="1:39" x14ac:dyDescent="0.2">
      <c r="A2066" t="str">
        <f>"2062"</f>
        <v>2062</v>
      </c>
      <c r="B2066" t="str">
        <f t="shared" si="114"/>
        <v>1</v>
      </c>
      <c r="C2066" t="str">
        <f t="shared" si="115"/>
        <v>42</v>
      </c>
      <c r="D2066" t="str">
        <f>"31"</f>
        <v>31</v>
      </c>
      <c r="E2066" t="str">
        <f>"1-42-31"</f>
        <v>1-42-31</v>
      </c>
      <c r="F2066" t="s">
        <v>65</v>
      </c>
      <c r="G2066" t="s">
        <v>66</v>
      </c>
      <c r="H2066" t="s">
        <v>67</v>
      </c>
      <c r="S2066">
        <v>0</v>
      </c>
      <c r="T2066">
        <v>1</v>
      </c>
      <c r="U2066">
        <v>0</v>
      </c>
      <c r="V2066">
        <v>0</v>
      </c>
      <c r="W2066">
        <v>0</v>
      </c>
      <c r="X2066">
        <v>1</v>
      </c>
      <c r="Y2066">
        <v>0</v>
      </c>
      <c r="Z2066">
        <v>1</v>
      </c>
      <c r="AA2066">
        <v>0</v>
      </c>
      <c r="AB2066">
        <v>0</v>
      </c>
      <c r="AC2066">
        <v>1</v>
      </c>
      <c r="AD2066">
        <v>1</v>
      </c>
      <c r="AE2066">
        <v>1</v>
      </c>
      <c r="AF2066">
        <v>1</v>
      </c>
      <c r="AG2066">
        <v>1</v>
      </c>
      <c r="AH2066">
        <v>1</v>
      </c>
      <c r="AI2066">
        <v>1</v>
      </c>
      <c r="AJ2066">
        <v>1</v>
      </c>
      <c r="AK2066">
        <v>1</v>
      </c>
      <c r="AL2066">
        <v>1</v>
      </c>
      <c r="AM2066">
        <v>1</v>
      </c>
    </row>
    <row r="2067" spans="1:39" x14ac:dyDescent="0.2">
      <c r="A2067" t="str">
        <f>"2063"</f>
        <v>2063</v>
      </c>
      <c r="B2067" t="str">
        <f t="shared" si="114"/>
        <v>1</v>
      </c>
      <c r="C2067" t="str">
        <f t="shared" si="115"/>
        <v>42</v>
      </c>
      <c r="D2067" t="str">
        <f>"17"</f>
        <v>17</v>
      </c>
      <c r="E2067" t="str">
        <f>"1-42-17"</f>
        <v>1-42-17</v>
      </c>
      <c r="F2067" t="s">
        <v>65</v>
      </c>
      <c r="G2067" t="s">
        <v>66</v>
      </c>
      <c r="H2067" t="s">
        <v>67</v>
      </c>
      <c r="S2067">
        <v>0</v>
      </c>
      <c r="T2067">
        <v>1</v>
      </c>
      <c r="U2067">
        <v>0</v>
      </c>
      <c r="V2067">
        <v>0</v>
      </c>
      <c r="W2067">
        <v>0</v>
      </c>
      <c r="X2067">
        <v>1</v>
      </c>
      <c r="Y2067">
        <v>0</v>
      </c>
      <c r="Z2067">
        <v>1</v>
      </c>
      <c r="AA2067">
        <v>0</v>
      </c>
      <c r="AB2067">
        <v>0</v>
      </c>
      <c r="AC2067">
        <v>1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</row>
    <row r="2068" spans="1:39" x14ac:dyDescent="0.2">
      <c r="A2068" t="str">
        <f>"2064"</f>
        <v>2064</v>
      </c>
      <c r="B2068" t="str">
        <f t="shared" si="114"/>
        <v>1</v>
      </c>
      <c r="C2068" t="str">
        <f t="shared" si="115"/>
        <v>42</v>
      </c>
      <c r="D2068" t="str">
        <f>"10"</f>
        <v>10</v>
      </c>
      <c r="E2068" t="str">
        <f>"1-42-10"</f>
        <v>1-42-10</v>
      </c>
      <c r="F2068" t="s">
        <v>65</v>
      </c>
      <c r="G2068" t="s">
        <v>66</v>
      </c>
      <c r="H2068" t="s">
        <v>67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1</v>
      </c>
      <c r="Y2068">
        <v>0</v>
      </c>
      <c r="Z2068">
        <v>1</v>
      </c>
      <c r="AA2068">
        <v>0</v>
      </c>
      <c r="AB2068">
        <v>0</v>
      </c>
      <c r="AC2068">
        <v>1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</row>
    <row r="2069" spans="1:39" x14ac:dyDescent="0.2">
      <c r="A2069" t="str">
        <f>"2065"</f>
        <v>2065</v>
      </c>
      <c r="B2069" t="str">
        <f t="shared" si="114"/>
        <v>1</v>
      </c>
      <c r="C2069" t="str">
        <f t="shared" si="115"/>
        <v>42</v>
      </c>
      <c r="D2069" t="str">
        <f>"49"</f>
        <v>49</v>
      </c>
      <c r="E2069" t="str">
        <f>"1-42-49"</f>
        <v>1-42-49</v>
      </c>
      <c r="F2069" t="s">
        <v>65</v>
      </c>
      <c r="G2069" t="s">
        <v>66</v>
      </c>
      <c r="H2069" t="s">
        <v>67</v>
      </c>
      <c r="S2069">
        <v>0</v>
      </c>
      <c r="T2069">
        <v>1</v>
      </c>
      <c r="U2069">
        <v>0</v>
      </c>
      <c r="V2069">
        <v>0</v>
      </c>
      <c r="W2069">
        <v>0</v>
      </c>
      <c r="X2069">
        <v>1</v>
      </c>
      <c r="Y2069">
        <v>0</v>
      </c>
      <c r="Z2069">
        <v>1</v>
      </c>
      <c r="AA2069">
        <v>0</v>
      </c>
      <c r="AB2069">
        <v>0</v>
      </c>
      <c r="AC2069">
        <v>1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</row>
    <row r="2070" spans="1:39" x14ac:dyDescent="0.2">
      <c r="A2070" t="str">
        <f>"2066"</f>
        <v>2066</v>
      </c>
      <c r="B2070" t="str">
        <f t="shared" si="114"/>
        <v>1</v>
      </c>
      <c r="C2070" t="str">
        <f t="shared" si="115"/>
        <v>42</v>
      </c>
      <c r="D2070" t="str">
        <f>"48"</f>
        <v>48</v>
      </c>
      <c r="E2070" t="str">
        <f>"1-42-48"</f>
        <v>1-42-48</v>
      </c>
      <c r="F2070" t="s">
        <v>65</v>
      </c>
      <c r="G2070" t="s">
        <v>66</v>
      </c>
      <c r="H2070" t="s">
        <v>67</v>
      </c>
      <c r="S2070">
        <v>0</v>
      </c>
      <c r="T2070">
        <v>1</v>
      </c>
      <c r="U2070">
        <v>0</v>
      </c>
      <c r="V2070">
        <v>0</v>
      </c>
      <c r="W2070">
        <v>0</v>
      </c>
      <c r="X2070">
        <v>1</v>
      </c>
      <c r="Y2070">
        <v>0</v>
      </c>
      <c r="Z2070">
        <v>1</v>
      </c>
      <c r="AA2070">
        <v>0</v>
      </c>
      <c r="AB2070">
        <v>0</v>
      </c>
      <c r="AC2070">
        <v>1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</row>
    <row r="2071" spans="1:39" x14ac:dyDescent="0.2">
      <c r="A2071" t="str">
        <f>"2067"</f>
        <v>2067</v>
      </c>
      <c r="B2071" t="str">
        <f t="shared" si="114"/>
        <v>1</v>
      </c>
      <c r="C2071" t="str">
        <f t="shared" si="115"/>
        <v>42</v>
      </c>
      <c r="D2071" t="str">
        <f>"32"</f>
        <v>32</v>
      </c>
      <c r="E2071" t="str">
        <f>"1-42-32"</f>
        <v>1-42-32</v>
      </c>
      <c r="F2071" t="s">
        <v>65</v>
      </c>
      <c r="G2071" t="s">
        <v>66</v>
      </c>
      <c r="H2071" t="s">
        <v>67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0</v>
      </c>
      <c r="AB2071">
        <v>1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1</v>
      </c>
      <c r="AJ2071">
        <v>0</v>
      </c>
      <c r="AK2071">
        <v>0</v>
      </c>
      <c r="AL2071">
        <v>0</v>
      </c>
      <c r="AM2071">
        <v>0</v>
      </c>
    </row>
    <row r="2072" spans="1:39" x14ac:dyDescent="0.2">
      <c r="A2072" t="str">
        <f>"2068"</f>
        <v>2068</v>
      </c>
      <c r="B2072" t="str">
        <f t="shared" si="114"/>
        <v>1</v>
      </c>
      <c r="C2072" t="str">
        <f t="shared" si="115"/>
        <v>42</v>
      </c>
      <c r="D2072" t="str">
        <f>"18"</f>
        <v>18</v>
      </c>
      <c r="E2072" t="str">
        <f>"1-42-18"</f>
        <v>1-42-18</v>
      </c>
      <c r="F2072" t="s">
        <v>65</v>
      </c>
      <c r="G2072" t="s">
        <v>66</v>
      </c>
      <c r="H2072" t="s">
        <v>67</v>
      </c>
      <c r="S2072">
        <v>0</v>
      </c>
      <c r="T2072">
        <v>1</v>
      </c>
      <c r="U2072">
        <v>0</v>
      </c>
      <c r="V2072">
        <v>0</v>
      </c>
      <c r="W2072">
        <v>0</v>
      </c>
      <c r="X2072">
        <v>1</v>
      </c>
      <c r="Y2072">
        <v>1</v>
      </c>
      <c r="Z2072">
        <v>0</v>
      </c>
      <c r="AA2072">
        <v>0</v>
      </c>
      <c r="AB2072">
        <v>1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1</v>
      </c>
      <c r="AI2072">
        <v>0</v>
      </c>
      <c r="AJ2072">
        <v>0</v>
      </c>
      <c r="AK2072">
        <v>0</v>
      </c>
      <c r="AL2072">
        <v>0</v>
      </c>
      <c r="AM2072">
        <v>1</v>
      </c>
    </row>
    <row r="2073" spans="1:39" x14ac:dyDescent="0.2">
      <c r="A2073" t="str">
        <f>"2069"</f>
        <v>2069</v>
      </c>
      <c r="B2073" t="str">
        <f t="shared" si="114"/>
        <v>1</v>
      </c>
      <c r="C2073" t="str">
        <f t="shared" si="115"/>
        <v>42</v>
      </c>
      <c r="D2073" t="str">
        <f>"11"</f>
        <v>11</v>
      </c>
      <c r="E2073" t="str">
        <f>"1-42-11"</f>
        <v>1-42-11</v>
      </c>
      <c r="F2073" t="s">
        <v>65</v>
      </c>
      <c r="G2073" t="s">
        <v>66</v>
      </c>
      <c r="H2073" t="s">
        <v>67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1</v>
      </c>
      <c r="Y2073">
        <v>0</v>
      </c>
      <c r="Z2073">
        <v>1</v>
      </c>
      <c r="AA2073">
        <v>0</v>
      </c>
      <c r="AB2073">
        <v>1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1</v>
      </c>
      <c r="AJ2073">
        <v>1</v>
      </c>
      <c r="AK2073">
        <v>0</v>
      </c>
      <c r="AL2073">
        <v>0</v>
      </c>
      <c r="AM2073">
        <v>0</v>
      </c>
    </row>
    <row r="2074" spans="1:39" x14ac:dyDescent="0.2">
      <c r="A2074" t="str">
        <f>"2070"</f>
        <v>2070</v>
      </c>
      <c r="B2074" t="str">
        <f t="shared" si="114"/>
        <v>1</v>
      </c>
      <c r="C2074" t="str">
        <f t="shared" si="115"/>
        <v>42</v>
      </c>
      <c r="D2074" t="str">
        <f>"43"</f>
        <v>43</v>
      </c>
      <c r="E2074" t="str">
        <f>"1-42-43"</f>
        <v>1-42-43</v>
      </c>
      <c r="F2074" t="s">
        <v>65</v>
      </c>
      <c r="G2074" t="s">
        <v>66</v>
      </c>
      <c r="H2074" t="s">
        <v>67</v>
      </c>
      <c r="S2074">
        <v>1</v>
      </c>
      <c r="T2074">
        <v>0</v>
      </c>
      <c r="U2074">
        <v>0</v>
      </c>
      <c r="V2074">
        <v>0</v>
      </c>
      <c r="W2074">
        <v>0</v>
      </c>
      <c r="X2074">
        <v>1</v>
      </c>
      <c r="Y2074">
        <v>1</v>
      </c>
      <c r="Z2074">
        <v>0</v>
      </c>
      <c r="AA2074">
        <v>0</v>
      </c>
      <c r="AB2074">
        <v>0</v>
      </c>
      <c r="AC2074">
        <v>1</v>
      </c>
      <c r="AD2074">
        <v>0</v>
      </c>
      <c r="AE2074">
        <v>0</v>
      </c>
      <c r="AF2074">
        <v>0</v>
      </c>
      <c r="AG2074">
        <v>1</v>
      </c>
      <c r="AH2074">
        <v>1</v>
      </c>
      <c r="AI2074">
        <v>0</v>
      </c>
      <c r="AJ2074">
        <v>0</v>
      </c>
      <c r="AK2074">
        <v>0</v>
      </c>
      <c r="AL2074">
        <v>0</v>
      </c>
      <c r="AM2074">
        <v>0</v>
      </c>
    </row>
    <row r="2075" spans="1:39" x14ac:dyDescent="0.2">
      <c r="A2075" t="str">
        <f>"2071"</f>
        <v>2071</v>
      </c>
      <c r="B2075" t="str">
        <f t="shared" si="114"/>
        <v>1</v>
      </c>
      <c r="C2075" t="str">
        <f t="shared" si="115"/>
        <v>42</v>
      </c>
      <c r="D2075" t="str">
        <f>"42"</f>
        <v>42</v>
      </c>
      <c r="E2075" t="str">
        <f>"1-42-42"</f>
        <v>1-42-42</v>
      </c>
      <c r="F2075" t="s">
        <v>65</v>
      </c>
      <c r="G2075" t="s">
        <v>66</v>
      </c>
      <c r="H2075" t="s">
        <v>67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1</v>
      </c>
      <c r="AH2075">
        <v>1</v>
      </c>
      <c r="AI2075">
        <v>1</v>
      </c>
      <c r="AJ2075">
        <v>1</v>
      </c>
      <c r="AK2075">
        <v>1</v>
      </c>
      <c r="AL2075">
        <v>1</v>
      </c>
      <c r="AM2075">
        <v>0</v>
      </c>
    </row>
    <row r="2076" spans="1:39" x14ac:dyDescent="0.2">
      <c r="A2076" t="str">
        <f>"2072"</f>
        <v>2072</v>
      </c>
      <c r="B2076" t="str">
        <f t="shared" si="114"/>
        <v>1</v>
      </c>
      <c r="C2076" t="str">
        <f t="shared" si="115"/>
        <v>42</v>
      </c>
      <c r="D2076" t="str">
        <f>"33"</f>
        <v>33</v>
      </c>
      <c r="E2076" t="str">
        <f>"1-42-33"</f>
        <v>1-42-33</v>
      </c>
      <c r="F2076" t="s">
        <v>65</v>
      </c>
      <c r="G2076" t="s">
        <v>66</v>
      </c>
      <c r="H2076" t="s">
        <v>67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1</v>
      </c>
      <c r="AI2076">
        <v>1</v>
      </c>
      <c r="AJ2076">
        <v>1</v>
      </c>
      <c r="AK2076">
        <v>1</v>
      </c>
      <c r="AL2076">
        <v>1</v>
      </c>
      <c r="AM2076">
        <v>1</v>
      </c>
    </row>
    <row r="2077" spans="1:39" x14ac:dyDescent="0.2">
      <c r="A2077" t="str">
        <f>"2073"</f>
        <v>2073</v>
      </c>
      <c r="B2077" t="str">
        <f t="shared" si="114"/>
        <v>1</v>
      </c>
      <c r="C2077" t="str">
        <f t="shared" si="115"/>
        <v>42</v>
      </c>
      <c r="D2077" t="str">
        <f>"19"</f>
        <v>19</v>
      </c>
      <c r="E2077" t="str">
        <f>"1-42-19"</f>
        <v>1-42-19</v>
      </c>
      <c r="F2077" t="s">
        <v>65</v>
      </c>
      <c r="G2077" t="s">
        <v>66</v>
      </c>
      <c r="H2077" t="s">
        <v>67</v>
      </c>
      <c r="S2077">
        <v>0</v>
      </c>
      <c r="T2077">
        <v>1</v>
      </c>
      <c r="U2077">
        <v>0</v>
      </c>
      <c r="V2077">
        <v>0</v>
      </c>
      <c r="W2077">
        <v>0</v>
      </c>
      <c r="X2077">
        <v>1</v>
      </c>
      <c r="Y2077">
        <v>0</v>
      </c>
      <c r="Z2077">
        <v>1</v>
      </c>
      <c r="AA2077">
        <v>0</v>
      </c>
      <c r="AB2077">
        <v>0</v>
      </c>
      <c r="AC2077">
        <v>1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</row>
    <row r="2078" spans="1:39" x14ac:dyDescent="0.2">
      <c r="A2078" t="str">
        <f>"2074"</f>
        <v>2074</v>
      </c>
      <c r="B2078" t="str">
        <f t="shared" si="114"/>
        <v>1</v>
      </c>
      <c r="C2078" t="str">
        <f t="shared" si="115"/>
        <v>42</v>
      </c>
      <c r="D2078" t="str">
        <f>"7"</f>
        <v>7</v>
      </c>
      <c r="E2078" t="str">
        <f>"1-42-7"</f>
        <v>1-42-7</v>
      </c>
      <c r="F2078" t="s">
        <v>65</v>
      </c>
      <c r="G2078" t="s">
        <v>66</v>
      </c>
      <c r="H2078" t="s">
        <v>67</v>
      </c>
      <c r="S2078">
        <v>1</v>
      </c>
      <c r="T2078">
        <v>0</v>
      </c>
      <c r="U2078">
        <v>0</v>
      </c>
      <c r="V2078">
        <v>0</v>
      </c>
      <c r="W2078">
        <v>0</v>
      </c>
      <c r="X2078">
        <v>1</v>
      </c>
      <c r="Y2078">
        <v>0</v>
      </c>
      <c r="Z2078">
        <v>1</v>
      </c>
      <c r="AA2078">
        <v>1</v>
      </c>
      <c r="AB2078">
        <v>0</v>
      </c>
      <c r="AC2078">
        <v>0</v>
      </c>
      <c r="AD2078">
        <v>1</v>
      </c>
      <c r="AE2078">
        <v>1</v>
      </c>
      <c r="AF2078">
        <v>1</v>
      </c>
      <c r="AG2078">
        <v>1</v>
      </c>
      <c r="AH2078">
        <v>1</v>
      </c>
      <c r="AI2078">
        <v>1</v>
      </c>
      <c r="AJ2078">
        <v>1</v>
      </c>
      <c r="AK2078">
        <v>1</v>
      </c>
      <c r="AL2078">
        <v>1</v>
      </c>
      <c r="AM2078">
        <v>1</v>
      </c>
    </row>
    <row r="2079" spans="1:39" x14ac:dyDescent="0.2">
      <c r="A2079" t="str">
        <f>"2075"</f>
        <v>2075</v>
      </c>
      <c r="B2079" t="str">
        <f t="shared" si="114"/>
        <v>1</v>
      </c>
      <c r="C2079" t="str">
        <f t="shared" si="115"/>
        <v>42</v>
      </c>
      <c r="D2079" t="str">
        <f>"45"</f>
        <v>45</v>
      </c>
      <c r="E2079" t="str">
        <f>"1-42-45"</f>
        <v>1-42-45</v>
      </c>
      <c r="F2079" t="s">
        <v>65</v>
      </c>
      <c r="G2079" t="s">
        <v>66</v>
      </c>
      <c r="H2079" t="s">
        <v>67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0</v>
      </c>
      <c r="AB2079">
        <v>0</v>
      </c>
      <c r="AC2079">
        <v>1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</row>
    <row r="2080" spans="1:39" x14ac:dyDescent="0.2">
      <c r="A2080" t="str">
        <f>"2076"</f>
        <v>2076</v>
      </c>
      <c r="B2080" t="str">
        <f t="shared" si="114"/>
        <v>1</v>
      </c>
      <c r="C2080" t="str">
        <f t="shared" si="115"/>
        <v>42</v>
      </c>
      <c r="D2080" t="str">
        <f>"44"</f>
        <v>44</v>
      </c>
      <c r="E2080" t="str">
        <f>"1-42-44"</f>
        <v>1-42-44</v>
      </c>
      <c r="F2080" t="s">
        <v>65</v>
      </c>
      <c r="G2080" t="s">
        <v>66</v>
      </c>
      <c r="H2080" t="s">
        <v>67</v>
      </c>
      <c r="S2080">
        <v>1</v>
      </c>
      <c r="T2080">
        <v>0</v>
      </c>
      <c r="U2080">
        <v>0</v>
      </c>
      <c r="V2080">
        <v>0</v>
      </c>
      <c r="W2080">
        <v>1</v>
      </c>
      <c r="X2080">
        <v>0</v>
      </c>
      <c r="Y2080">
        <v>1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1</v>
      </c>
      <c r="AF2080">
        <v>1</v>
      </c>
      <c r="AG2080">
        <v>1</v>
      </c>
      <c r="AH2080">
        <v>1</v>
      </c>
      <c r="AI2080">
        <v>1</v>
      </c>
      <c r="AJ2080">
        <v>1</v>
      </c>
      <c r="AK2080">
        <v>1</v>
      </c>
      <c r="AL2080">
        <v>1</v>
      </c>
      <c r="AM2080">
        <v>0</v>
      </c>
    </row>
    <row r="2081" spans="1:39" x14ac:dyDescent="0.2">
      <c r="A2081" t="str">
        <f>"2077"</f>
        <v>2077</v>
      </c>
      <c r="B2081" t="str">
        <f t="shared" si="114"/>
        <v>1</v>
      </c>
      <c r="C2081" t="str">
        <f t="shared" si="115"/>
        <v>42</v>
      </c>
      <c r="D2081" t="str">
        <f>"34"</f>
        <v>34</v>
      </c>
      <c r="E2081" t="str">
        <f>"1-42-34"</f>
        <v>1-42-34</v>
      </c>
      <c r="F2081" t="s">
        <v>65</v>
      </c>
      <c r="G2081" t="s">
        <v>66</v>
      </c>
      <c r="H2081" t="s">
        <v>67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1</v>
      </c>
      <c r="AH2081">
        <v>0</v>
      </c>
      <c r="AI2081">
        <v>0</v>
      </c>
      <c r="AJ2081">
        <v>0</v>
      </c>
      <c r="AK2081">
        <v>0</v>
      </c>
      <c r="AL2081">
        <v>1</v>
      </c>
      <c r="AM2081">
        <v>0</v>
      </c>
    </row>
    <row r="2082" spans="1:39" x14ac:dyDescent="0.2">
      <c r="A2082" t="str">
        <f>"2078"</f>
        <v>2078</v>
      </c>
      <c r="B2082" t="str">
        <f t="shared" si="114"/>
        <v>1</v>
      </c>
      <c r="C2082" t="str">
        <f t="shared" si="115"/>
        <v>42</v>
      </c>
      <c r="D2082" t="str">
        <f>"20"</f>
        <v>20</v>
      </c>
      <c r="E2082" t="str">
        <f>"1-42-20"</f>
        <v>1-42-20</v>
      </c>
      <c r="F2082" t="s">
        <v>65</v>
      </c>
      <c r="G2082" t="s">
        <v>66</v>
      </c>
      <c r="H2082" t="s">
        <v>67</v>
      </c>
      <c r="S2082">
        <v>1</v>
      </c>
      <c r="T2082">
        <v>0</v>
      </c>
      <c r="U2082">
        <v>0</v>
      </c>
      <c r="V2082">
        <v>0</v>
      </c>
      <c r="W2082">
        <v>0</v>
      </c>
      <c r="X2082">
        <v>1</v>
      </c>
      <c r="Y2082">
        <v>1</v>
      </c>
      <c r="Z2082">
        <v>0</v>
      </c>
      <c r="AA2082">
        <v>0</v>
      </c>
      <c r="AB2082">
        <v>0</v>
      </c>
      <c r="AC2082">
        <v>1</v>
      </c>
      <c r="AD2082">
        <v>1</v>
      </c>
      <c r="AE2082">
        <v>1</v>
      </c>
      <c r="AF2082">
        <v>1</v>
      </c>
      <c r="AG2082">
        <v>1</v>
      </c>
      <c r="AH2082">
        <v>1</v>
      </c>
      <c r="AI2082">
        <v>1</v>
      </c>
      <c r="AJ2082">
        <v>0</v>
      </c>
      <c r="AK2082">
        <v>1</v>
      </c>
      <c r="AL2082">
        <v>1</v>
      </c>
      <c r="AM2082">
        <v>1</v>
      </c>
    </row>
    <row r="2083" spans="1:39" x14ac:dyDescent="0.2">
      <c r="A2083" t="str">
        <f>"2079"</f>
        <v>2079</v>
      </c>
      <c r="B2083" t="str">
        <f t="shared" si="114"/>
        <v>1</v>
      </c>
      <c r="C2083" t="str">
        <f t="shared" si="115"/>
        <v>42</v>
      </c>
      <c r="D2083" t="str">
        <f>"39"</f>
        <v>39</v>
      </c>
      <c r="E2083" t="str">
        <f>"1-42-39"</f>
        <v>1-42-39</v>
      </c>
      <c r="F2083" t="s">
        <v>65</v>
      </c>
      <c r="G2083" t="s">
        <v>66</v>
      </c>
      <c r="H2083" t="s">
        <v>67</v>
      </c>
      <c r="S2083">
        <v>0</v>
      </c>
      <c r="T2083">
        <v>1</v>
      </c>
      <c r="U2083">
        <v>0</v>
      </c>
      <c r="V2083">
        <v>0</v>
      </c>
      <c r="W2083">
        <v>0</v>
      </c>
      <c r="X2083">
        <v>1</v>
      </c>
      <c r="Y2083">
        <v>0</v>
      </c>
      <c r="Z2083">
        <v>1</v>
      </c>
      <c r="AA2083">
        <v>1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</row>
    <row r="2084" spans="1:39" x14ac:dyDescent="0.2">
      <c r="A2084" t="str">
        <f>"2080"</f>
        <v>2080</v>
      </c>
      <c r="B2084" t="str">
        <f t="shared" si="114"/>
        <v>1</v>
      </c>
      <c r="C2084" t="str">
        <f t="shared" si="115"/>
        <v>42</v>
      </c>
      <c r="D2084" t="str">
        <f>"21"</f>
        <v>21</v>
      </c>
      <c r="E2084" t="str">
        <f>"1-42-21"</f>
        <v>1-42-21</v>
      </c>
      <c r="F2084" t="s">
        <v>65</v>
      </c>
      <c r="G2084" t="s">
        <v>66</v>
      </c>
      <c r="H2084" t="s">
        <v>67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0</v>
      </c>
      <c r="AB2084">
        <v>1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</row>
    <row r="2085" spans="1:39" x14ac:dyDescent="0.2">
      <c r="A2085" t="str">
        <f>"2081"</f>
        <v>2081</v>
      </c>
      <c r="B2085" t="str">
        <f t="shared" si="114"/>
        <v>1</v>
      </c>
      <c r="C2085" t="str">
        <f t="shared" si="115"/>
        <v>42</v>
      </c>
      <c r="D2085" t="str">
        <f>"9"</f>
        <v>9</v>
      </c>
      <c r="E2085" t="str">
        <f>"1-42-9"</f>
        <v>1-42-9</v>
      </c>
      <c r="F2085" t="s">
        <v>65</v>
      </c>
      <c r="G2085" t="s">
        <v>66</v>
      </c>
      <c r="H2085" t="s">
        <v>67</v>
      </c>
      <c r="S2085">
        <v>1</v>
      </c>
      <c r="T2085">
        <v>0</v>
      </c>
      <c r="U2085">
        <v>0</v>
      </c>
      <c r="V2085">
        <v>0</v>
      </c>
      <c r="W2085">
        <v>0</v>
      </c>
      <c r="X2085">
        <v>1</v>
      </c>
      <c r="Y2085">
        <v>0</v>
      </c>
      <c r="Z2085">
        <v>1</v>
      </c>
      <c r="AA2085">
        <v>1</v>
      </c>
      <c r="AB2085">
        <v>0</v>
      </c>
      <c r="AC2085">
        <v>0</v>
      </c>
      <c r="AD2085">
        <v>1</v>
      </c>
      <c r="AE2085">
        <v>1</v>
      </c>
      <c r="AF2085">
        <v>1</v>
      </c>
      <c r="AG2085">
        <v>1</v>
      </c>
      <c r="AH2085">
        <v>1</v>
      </c>
      <c r="AI2085">
        <v>1</v>
      </c>
      <c r="AJ2085">
        <v>1</v>
      </c>
      <c r="AK2085">
        <v>1</v>
      </c>
      <c r="AL2085">
        <v>1</v>
      </c>
      <c r="AM2085">
        <v>1</v>
      </c>
    </row>
    <row r="2086" spans="1:39" x14ac:dyDescent="0.2">
      <c r="A2086" t="str">
        <f>"2082"</f>
        <v>2082</v>
      </c>
      <c r="B2086" t="str">
        <f t="shared" si="114"/>
        <v>1</v>
      </c>
      <c r="C2086" t="str">
        <f t="shared" si="115"/>
        <v>42</v>
      </c>
      <c r="D2086" t="str">
        <f>"40"</f>
        <v>40</v>
      </c>
      <c r="E2086" t="str">
        <f>"1-42-40"</f>
        <v>1-42-40</v>
      </c>
      <c r="F2086" t="s">
        <v>65</v>
      </c>
      <c r="G2086" t="s">
        <v>66</v>
      </c>
      <c r="H2086" t="s">
        <v>67</v>
      </c>
      <c r="S2086">
        <v>0</v>
      </c>
      <c r="T2086">
        <v>1</v>
      </c>
      <c r="U2086">
        <v>0</v>
      </c>
      <c r="V2086">
        <v>0</v>
      </c>
      <c r="W2086">
        <v>1</v>
      </c>
      <c r="X2086">
        <v>0</v>
      </c>
      <c r="Y2086">
        <v>1</v>
      </c>
      <c r="Z2086">
        <v>0</v>
      </c>
      <c r="AA2086">
        <v>0</v>
      </c>
      <c r="AB2086">
        <v>1</v>
      </c>
      <c r="AC2086">
        <v>0</v>
      </c>
      <c r="AD2086">
        <v>1</v>
      </c>
      <c r="AE2086">
        <v>1</v>
      </c>
      <c r="AF2086">
        <v>1</v>
      </c>
      <c r="AG2086">
        <v>1</v>
      </c>
      <c r="AH2086">
        <v>1</v>
      </c>
      <c r="AI2086">
        <v>1</v>
      </c>
      <c r="AJ2086">
        <v>1</v>
      </c>
      <c r="AK2086">
        <v>1</v>
      </c>
      <c r="AL2086">
        <v>1</v>
      </c>
      <c r="AM2086">
        <v>1</v>
      </c>
    </row>
    <row r="2087" spans="1:39" x14ac:dyDescent="0.2">
      <c r="A2087" t="str">
        <f>"2083"</f>
        <v>2083</v>
      </c>
      <c r="B2087" t="str">
        <f t="shared" si="114"/>
        <v>1</v>
      </c>
      <c r="C2087" t="str">
        <f t="shared" ref="C2087:C2104" si="116">"42"</f>
        <v>42</v>
      </c>
      <c r="D2087" t="str">
        <f>"22"</f>
        <v>22</v>
      </c>
      <c r="E2087" t="str">
        <f>"1-42-22"</f>
        <v>1-42-22</v>
      </c>
      <c r="F2087" t="s">
        <v>65</v>
      </c>
      <c r="G2087" t="s">
        <v>66</v>
      </c>
      <c r="H2087" t="s">
        <v>67</v>
      </c>
      <c r="S2087">
        <v>0</v>
      </c>
      <c r="T2087">
        <v>1</v>
      </c>
      <c r="U2087">
        <v>0</v>
      </c>
      <c r="V2087">
        <v>0</v>
      </c>
      <c r="W2087">
        <v>0</v>
      </c>
      <c r="X2087">
        <v>1</v>
      </c>
      <c r="Y2087">
        <v>0</v>
      </c>
      <c r="Z2087">
        <v>1</v>
      </c>
      <c r="AA2087">
        <v>0</v>
      </c>
      <c r="AB2087">
        <v>0</v>
      </c>
      <c r="AC2087">
        <v>1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</row>
    <row r="2088" spans="1:39" x14ac:dyDescent="0.2">
      <c r="A2088" t="str">
        <f>"2084"</f>
        <v>2084</v>
      </c>
      <c r="B2088" t="str">
        <f t="shared" si="114"/>
        <v>1</v>
      </c>
      <c r="C2088" t="str">
        <f t="shared" si="116"/>
        <v>42</v>
      </c>
      <c r="D2088" t="str">
        <f>"8"</f>
        <v>8</v>
      </c>
      <c r="E2088" t="str">
        <f>"1-42-8"</f>
        <v>1-42-8</v>
      </c>
      <c r="F2088" t="s">
        <v>65</v>
      </c>
      <c r="G2088" t="s">
        <v>66</v>
      </c>
      <c r="H2088" t="s">
        <v>67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0</v>
      </c>
      <c r="AB2088">
        <v>0</v>
      </c>
      <c r="AC2088">
        <v>1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</row>
    <row r="2089" spans="1:39" x14ac:dyDescent="0.2">
      <c r="A2089" t="str">
        <f>"2085"</f>
        <v>2085</v>
      </c>
      <c r="B2089" t="str">
        <f t="shared" si="114"/>
        <v>1</v>
      </c>
      <c r="C2089" t="str">
        <f t="shared" si="116"/>
        <v>42</v>
      </c>
      <c r="D2089" t="str">
        <f>"41"</f>
        <v>41</v>
      </c>
      <c r="E2089" t="str">
        <f>"1-42-41"</f>
        <v>1-42-41</v>
      </c>
      <c r="F2089" t="s">
        <v>65</v>
      </c>
      <c r="G2089" t="s">
        <v>66</v>
      </c>
      <c r="H2089" t="s">
        <v>67</v>
      </c>
      <c r="S2089">
        <v>1</v>
      </c>
      <c r="T2089">
        <v>0</v>
      </c>
      <c r="U2089">
        <v>0</v>
      </c>
      <c r="V2089">
        <v>0</v>
      </c>
      <c r="W2089">
        <v>1</v>
      </c>
      <c r="X2089">
        <v>0</v>
      </c>
      <c r="Y2089">
        <v>1</v>
      </c>
      <c r="Z2089">
        <v>0</v>
      </c>
      <c r="AA2089">
        <v>1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</row>
    <row r="2090" spans="1:39" x14ac:dyDescent="0.2">
      <c r="A2090" t="str">
        <f>"2086"</f>
        <v>2086</v>
      </c>
      <c r="B2090" t="str">
        <f t="shared" si="114"/>
        <v>1</v>
      </c>
      <c r="C2090" t="str">
        <f t="shared" si="116"/>
        <v>42</v>
      </c>
      <c r="D2090" t="str">
        <f>"23"</f>
        <v>23</v>
      </c>
      <c r="E2090" t="str">
        <f>"1-42-23"</f>
        <v>1-42-23</v>
      </c>
      <c r="F2090" t="s">
        <v>65</v>
      </c>
      <c r="G2090" t="s">
        <v>66</v>
      </c>
      <c r="H2090" t="s">
        <v>67</v>
      </c>
      <c r="S2090">
        <v>0</v>
      </c>
      <c r="T2090">
        <v>1</v>
      </c>
      <c r="U2090">
        <v>0</v>
      </c>
      <c r="V2090">
        <v>0</v>
      </c>
      <c r="W2090">
        <v>0</v>
      </c>
      <c r="X2090">
        <v>1</v>
      </c>
      <c r="Y2090">
        <v>0</v>
      </c>
      <c r="Z2090">
        <v>1</v>
      </c>
      <c r="AA2090">
        <v>0</v>
      </c>
      <c r="AB2090">
        <v>0</v>
      </c>
      <c r="AC2090">
        <v>1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</row>
    <row r="2091" spans="1:39" x14ac:dyDescent="0.2">
      <c r="A2091" t="str">
        <f>"2087"</f>
        <v>2087</v>
      </c>
      <c r="B2091" t="str">
        <f t="shared" si="114"/>
        <v>1</v>
      </c>
      <c r="C2091" t="str">
        <f t="shared" si="116"/>
        <v>42</v>
      </c>
      <c r="D2091" t="str">
        <f>"14"</f>
        <v>14</v>
      </c>
      <c r="E2091" t="str">
        <f>"1-42-14"</f>
        <v>1-42-14</v>
      </c>
      <c r="F2091" t="s">
        <v>65</v>
      </c>
      <c r="G2091" t="s">
        <v>66</v>
      </c>
      <c r="H2091" t="s">
        <v>67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</row>
    <row r="2092" spans="1:39" x14ac:dyDescent="0.2">
      <c r="A2092" t="str">
        <f>"2088"</f>
        <v>2088</v>
      </c>
      <c r="B2092" t="str">
        <f t="shared" si="114"/>
        <v>1</v>
      </c>
      <c r="C2092" t="str">
        <f t="shared" si="116"/>
        <v>42</v>
      </c>
      <c r="D2092" t="str">
        <f>"46"</f>
        <v>46</v>
      </c>
      <c r="E2092" t="str">
        <f>"1-42-46"</f>
        <v>1-42-46</v>
      </c>
      <c r="F2092" t="s">
        <v>65</v>
      </c>
      <c r="G2092" t="s">
        <v>66</v>
      </c>
      <c r="H2092" t="s">
        <v>67</v>
      </c>
      <c r="S2092">
        <v>0</v>
      </c>
      <c r="T2092">
        <v>1</v>
      </c>
      <c r="U2092">
        <v>0</v>
      </c>
      <c r="V2092">
        <v>0</v>
      </c>
      <c r="W2092">
        <v>0</v>
      </c>
      <c r="X2092">
        <v>1</v>
      </c>
      <c r="Y2092">
        <v>0</v>
      </c>
      <c r="Z2092">
        <v>1</v>
      </c>
      <c r="AA2092">
        <v>0</v>
      </c>
      <c r="AB2092">
        <v>0</v>
      </c>
      <c r="AC2092">
        <v>1</v>
      </c>
      <c r="AD2092">
        <v>1</v>
      </c>
      <c r="AE2092">
        <v>1</v>
      </c>
      <c r="AF2092">
        <v>1</v>
      </c>
      <c r="AG2092">
        <v>1</v>
      </c>
      <c r="AH2092">
        <v>1</v>
      </c>
      <c r="AI2092">
        <v>1</v>
      </c>
      <c r="AJ2092">
        <v>1</v>
      </c>
      <c r="AK2092">
        <v>1</v>
      </c>
      <c r="AL2092">
        <v>1</v>
      </c>
      <c r="AM2092">
        <v>1</v>
      </c>
    </row>
    <row r="2093" spans="1:39" x14ac:dyDescent="0.2">
      <c r="A2093" t="str">
        <f>"2089"</f>
        <v>2089</v>
      </c>
      <c r="B2093" t="str">
        <f t="shared" si="114"/>
        <v>1</v>
      </c>
      <c r="C2093" t="str">
        <f t="shared" si="116"/>
        <v>42</v>
      </c>
      <c r="D2093" t="str">
        <f>"24"</f>
        <v>24</v>
      </c>
      <c r="E2093" t="str">
        <f>"1-42-24"</f>
        <v>1-42-24</v>
      </c>
      <c r="F2093" t="s">
        <v>65</v>
      </c>
      <c r="G2093" t="s">
        <v>66</v>
      </c>
      <c r="H2093" t="s">
        <v>67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0</v>
      </c>
      <c r="AB2093">
        <v>0</v>
      </c>
      <c r="AC2093">
        <v>1</v>
      </c>
      <c r="AD2093">
        <v>0</v>
      </c>
      <c r="AE2093">
        <v>0</v>
      </c>
      <c r="AF2093">
        <v>0</v>
      </c>
      <c r="AG2093">
        <v>1</v>
      </c>
      <c r="AH2093">
        <v>1</v>
      </c>
      <c r="AI2093">
        <v>1</v>
      </c>
      <c r="AJ2093">
        <v>1</v>
      </c>
      <c r="AK2093">
        <v>1</v>
      </c>
      <c r="AL2093">
        <v>1</v>
      </c>
      <c r="AM2093">
        <v>1</v>
      </c>
    </row>
    <row r="2094" spans="1:39" x14ac:dyDescent="0.2">
      <c r="A2094" t="str">
        <f>"2090"</f>
        <v>2090</v>
      </c>
      <c r="B2094" t="str">
        <f t="shared" si="114"/>
        <v>1</v>
      </c>
      <c r="C2094" t="str">
        <f t="shared" si="116"/>
        <v>42</v>
      </c>
      <c r="D2094" t="str">
        <f>"12"</f>
        <v>12</v>
      </c>
      <c r="E2094" t="str">
        <f>"1-42-12"</f>
        <v>1-42-12</v>
      </c>
      <c r="F2094" t="s">
        <v>65</v>
      </c>
      <c r="G2094" t="s">
        <v>66</v>
      </c>
      <c r="H2094" t="s">
        <v>67</v>
      </c>
      <c r="S2094">
        <v>1</v>
      </c>
      <c r="T2094">
        <v>0</v>
      </c>
      <c r="U2094">
        <v>0</v>
      </c>
      <c r="V2094">
        <v>0</v>
      </c>
      <c r="W2094">
        <v>1</v>
      </c>
      <c r="X2094">
        <v>0</v>
      </c>
      <c r="Y2094">
        <v>1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1</v>
      </c>
      <c r="AF2094">
        <v>1</v>
      </c>
      <c r="AG2094">
        <v>1</v>
      </c>
      <c r="AH2094">
        <v>1</v>
      </c>
      <c r="AI2094">
        <v>1</v>
      </c>
      <c r="AJ2094">
        <v>1</v>
      </c>
      <c r="AK2094">
        <v>1</v>
      </c>
      <c r="AL2094">
        <v>1</v>
      </c>
      <c r="AM2094">
        <v>1</v>
      </c>
    </row>
    <row r="2095" spans="1:39" x14ac:dyDescent="0.2">
      <c r="A2095" t="str">
        <f>"2091"</f>
        <v>2091</v>
      </c>
      <c r="B2095" t="str">
        <f t="shared" si="114"/>
        <v>1</v>
      </c>
      <c r="C2095" t="str">
        <f t="shared" si="116"/>
        <v>42</v>
      </c>
      <c r="D2095" t="str">
        <f>"47"</f>
        <v>47</v>
      </c>
      <c r="E2095" t="str">
        <f>"1-42-47"</f>
        <v>1-42-47</v>
      </c>
      <c r="F2095" t="s">
        <v>65</v>
      </c>
      <c r="G2095" t="s">
        <v>66</v>
      </c>
      <c r="H2095" t="s">
        <v>67</v>
      </c>
      <c r="S2095">
        <v>0</v>
      </c>
      <c r="T2095">
        <v>1</v>
      </c>
      <c r="U2095">
        <v>0</v>
      </c>
      <c r="V2095">
        <v>0</v>
      </c>
      <c r="W2095">
        <v>0</v>
      </c>
      <c r="X2095">
        <v>1</v>
      </c>
      <c r="Y2095">
        <v>0</v>
      </c>
      <c r="Z2095">
        <v>1</v>
      </c>
      <c r="AA2095">
        <v>0</v>
      </c>
      <c r="AB2095">
        <v>1</v>
      </c>
      <c r="AC2095">
        <v>0</v>
      </c>
      <c r="AD2095">
        <v>1</v>
      </c>
      <c r="AE2095">
        <v>1</v>
      </c>
      <c r="AF2095">
        <v>1</v>
      </c>
      <c r="AG2095">
        <v>1</v>
      </c>
      <c r="AH2095">
        <v>1</v>
      </c>
      <c r="AI2095">
        <v>1</v>
      </c>
      <c r="AJ2095">
        <v>1</v>
      </c>
      <c r="AK2095">
        <v>1</v>
      </c>
      <c r="AL2095">
        <v>1</v>
      </c>
      <c r="AM2095">
        <v>1</v>
      </c>
    </row>
    <row r="2096" spans="1:39" x14ac:dyDescent="0.2">
      <c r="A2096" t="str">
        <f>"2092"</f>
        <v>2092</v>
      </c>
      <c r="B2096" t="str">
        <f t="shared" si="114"/>
        <v>1</v>
      </c>
      <c r="C2096" t="str">
        <f t="shared" si="116"/>
        <v>42</v>
      </c>
      <c r="D2096" t="str">
        <f>"27"</f>
        <v>27</v>
      </c>
      <c r="E2096" t="str">
        <f>"1-42-27"</f>
        <v>1-42-27</v>
      </c>
      <c r="F2096" t="s">
        <v>65</v>
      </c>
      <c r="G2096" t="s">
        <v>66</v>
      </c>
      <c r="H2096" t="s">
        <v>67</v>
      </c>
      <c r="S2096">
        <v>0</v>
      </c>
      <c r="T2096">
        <v>1</v>
      </c>
      <c r="U2096">
        <v>0</v>
      </c>
      <c r="V2096">
        <v>0</v>
      </c>
      <c r="W2096">
        <v>0</v>
      </c>
      <c r="X2096">
        <v>1</v>
      </c>
      <c r="Y2096">
        <v>1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1</v>
      </c>
      <c r="AF2096">
        <v>1</v>
      </c>
      <c r="AG2096">
        <v>1</v>
      </c>
      <c r="AH2096">
        <v>1</v>
      </c>
      <c r="AI2096">
        <v>1</v>
      </c>
      <c r="AJ2096">
        <v>1</v>
      </c>
      <c r="AK2096">
        <v>1</v>
      </c>
      <c r="AL2096">
        <v>1</v>
      </c>
      <c r="AM2096">
        <v>1</v>
      </c>
    </row>
    <row r="2097" spans="1:39" x14ac:dyDescent="0.2">
      <c r="A2097" t="str">
        <f>"2093"</f>
        <v>2093</v>
      </c>
      <c r="B2097" t="str">
        <f t="shared" si="114"/>
        <v>1</v>
      </c>
      <c r="C2097" t="str">
        <f t="shared" si="116"/>
        <v>42</v>
      </c>
      <c r="D2097" t="str">
        <f>"1"</f>
        <v>1</v>
      </c>
      <c r="E2097" t="str">
        <f>"1-42-1"</f>
        <v>1-42-1</v>
      </c>
      <c r="F2097" t="s">
        <v>65</v>
      </c>
      <c r="G2097" t="s">
        <v>66</v>
      </c>
      <c r="H2097" t="s">
        <v>67</v>
      </c>
      <c r="S2097">
        <v>1</v>
      </c>
      <c r="T2097">
        <v>0</v>
      </c>
      <c r="U2097">
        <v>0</v>
      </c>
      <c r="V2097">
        <v>0</v>
      </c>
      <c r="W2097">
        <v>0</v>
      </c>
      <c r="X2097">
        <v>1</v>
      </c>
      <c r="Y2097">
        <v>0</v>
      </c>
      <c r="Z2097">
        <v>1</v>
      </c>
      <c r="AA2097">
        <v>0</v>
      </c>
      <c r="AB2097">
        <v>1</v>
      </c>
      <c r="AC2097">
        <v>0</v>
      </c>
      <c r="AD2097">
        <v>1</v>
      </c>
      <c r="AE2097">
        <v>1</v>
      </c>
      <c r="AF2097">
        <v>1</v>
      </c>
      <c r="AG2097">
        <v>1</v>
      </c>
      <c r="AH2097">
        <v>1</v>
      </c>
      <c r="AI2097">
        <v>1</v>
      </c>
      <c r="AJ2097">
        <v>1</v>
      </c>
      <c r="AK2097">
        <v>1</v>
      </c>
      <c r="AL2097">
        <v>1</v>
      </c>
      <c r="AM2097">
        <v>1</v>
      </c>
    </row>
    <row r="2098" spans="1:39" x14ac:dyDescent="0.2">
      <c r="A2098" t="str">
        <f>"2094"</f>
        <v>2094</v>
      </c>
      <c r="B2098" t="str">
        <f t="shared" si="114"/>
        <v>1</v>
      </c>
      <c r="C2098" t="str">
        <f t="shared" si="116"/>
        <v>42</v>
      </c>
      <c r="D2098" t="str">
        <f>"28"</f>
        <v>28</v>
      </c>
      <c r="E2098" t="str">
        <f>"1-42-28"</f>
        <v>1-42-28</v>
      </c>
      <c r="F2098" t="s">
        <v>65</v>
      </c>
      <c r="G2098" t="s">
        <v>66</v>
      </c>
      <c r="H2098" t="s">
        <v>67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1</v>
      </c>
      <c r="Y2098">
        <v>0</v>
      </c>
      <c r="Z2098">
        <v>1</v>
      </c>
      <c r="AA2098">
        <v>0</v>
      </c>
      <c r="AB2098">
        <v>0</v>
      </c>
      <c r="AC2098">
        <v>1</v>
      </c>
      <c r="AD2098">
        <v>0</v>
      </c>
      <c r="AE2098">
        <v>0</v>
      </c>
      <c r="AF2098">
        <v>0</v>
      </c>
      <c r="AG2098">
        <v>1</v>
      </c>
      <c r="AH2098">
        <v>1</v>
      </c>
      <c r="AI2098">
        <v>1</v>
      </c>
      <c r="AJ2098">
        <v>0</v>
      </c>
      <c r="AK2098">
        <v>1</v>
      </c>
      <c r="AL2098">
        <v>1</v>
      </c>
      <c r="AM2098">
        <v>0</v>
      </c>
    </row>
    <row r="2099" spans="1:39" x14ac:dyDescent="0.2">
      <c r="A2099" t="str">
        <f>"2095"</f>
        <v>2095</v>
      </c>
      <c r="B2099" t="str">
        <f t="shared" si="114"/>
        <v>1</v>
      </c>
      <c r="C2099" t="str">
        <f t="shared" si="116"/>
        <v>42</v>
      </c>
      <c r="D2099" t="str">
        <f>"4"</f>
        <v>4</v>
      </c>
      <c r="E2099" t="str">
        <f>"1-42-4"</f>
        <v>1-42-4</v>
      </c>
      <c r="F2099" t="s">
        <v>65</v>
      </c>
      <c r="G2099" t="s">
        <v>66</v>
      </c>
      <c r="H2099" t="s">
        <v>67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</row>
    <row r="2100" spans="1:39" x14ac:dyDescent="0.2">
      <c r="A2100" t="str">
        <f>"2096"</f>
        <v>2096</v>
      </c>
      <c r="B2100" t="str">
        <f t="shared" si="114"/>
        <v>1</v>
      </c>
      <c r="C2100" t="str">
        <f t="shared" si="116"/>
        <v>42</v>
      </c>
      <c r="D2100" t="str">
        <f>"29"</f>
        <v>29</v>
      </c>
      <c r="E2100" t="str">
        <f>"1-42-29"</f>
        <v>1-42-29</v>
      </c>
      <c r="F2100" t="s">
        <v>65</v>
      </c>
      <c r="G2100" t="s">
        <v>66</v>
      </c>
      <c r="H2100" t="s">
        <v>67</v>
      </c>
      <c r="S2100">
        <v>0</v>
      </c>
      <c r="T2100">
        <v>1</v>
      </c>
      <c r="U2100">
        <v>0</v>
      </c>
      <c r="V2100">
        <v>0</v>
      </c>
      <c r="W2100">
        <v>0</v>
      </c>
      <c r="X2100">
        <v>1</v>
      </c>
      <c r="Y2100">
        <v>0</v>
      </c>
      <c r="Z2100">
        <v>1</v>
      </c>
      <c r="AA2100">
        <v>0</v>
      </c>
      <c r="AB2100">
        <v>0</v>
      </c>
      <c r="AC2100">
        <v>1</v>
      </c>
      <c r="AD2100">
        <v>1</v>
      </c>
      <c r="AE2100">
        <v>1</v>
      </c>
      <c r="AF2100">
        <v>1</v>
      </c>
      <c r="AG2100">
        <v>1</v>
      </c>
      <c r="AH2100">
        <v>1</v>
      </c>
      <c r="AI2100">
        <v>1</v>
      </c>
      <c r="AJ2100">
        <v>1</v>
      </c>
      <c r="AK2100">
        <v>1</v>
      </c>
      <c r="AL2100">
        <v>1</v>
      </c>
      <c r="AM2100">
        <v>1</v>
      </c>
    </row>
    <row r="2101" spans="1:39" x14ac:dyDescent="0.2">
      <c r="A2101" t="str">
        <f>"2097"</f>
        <v>2097</v>
      </c>
      <c r="B2101" t="str">
        <f t="shared" si="114"/>
        <v>1</v>
      </c>
      <c r="C2101" t="str">
        <f t="shared" si="116"/>
        <v>42</v>
      </c>
      <c r="D2101" t="str">
        <f>"6"</f>
        <v>6</v>
      </c>
      <c r="E2101" t="str">
        <f>"1-42-6"</f>
        <v>1-42-6</v>
      </c>
      <c r="F2101" t="s">
        <v>65</v>
      </c>
      <c r="G2101" t="s">
        <v>66</v>
      </c>
      <c r="H2101" t="s">
        <v>67</v>
      </c>
      <c r="S2101">
        <v>0</v>
      </c>
      <c r="T2101">
        <v>1</v>
      </c>
      <c r="U2101">
        <v>0</v>
      </c>
      <c r="V2101">
        <v>0</v>
      </c>
      <c r="W2101">
        <v>0</v>
      </c>
      <c r="X2101">
        <v>1</v>
      </c>
      <c r="Y2101">
        <v>0</v>
      </c>
      <c r="Z2101">
        <v>1</v>
      </c>
      <c r="AA2101">
        <v>0</v>
      </c>
      <c r="AB2101">
        <v>0</v>
      </c>
      <c r="AC2101">
        <v>1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</row>
    <row r="2102" spans="1:39" x14ac:dyDescent="0.2">
      <c r="A2102" t="str">
        <f>"2098"</f>
        <v>2098</v>
      </c>
      <c r="B2102" t="str">
        <f t="shared" si="114"/>
        <v>1</v>
      </c>
      <c r="C2102" t="str">
        <f t="shared" si="116"/>
        <v>42</v>
      </c>
      <c r="D2102" t="str">
        <f>"30"</f>
        <v>30</v>
      </c>
      <c r="E2102" t="str">
        <f>"1-42-30"</f>
        <v>1-42-30</v>
      </c>
      <c r="F2102" t="s">
        <v>65</v>
      </c>
      <c r="G2102" t="s">
        <v>66</v>
      </c>
      <c r="H2102" t="s">
        <v>67</v>
      </c>
      <c r="S2102">
        <v>0</v>
      </c>
      <c r="T2102">
        <v>1</v>
      </c>
      <c r="U2102">
        <v>0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</row>
    <row r="2103" spans="1:39" x14ac:dyDescent="0.2">
      <c r="A2103" t="str">
        <f>"2099"</f>
        <v>2099</v>
      </c>
      <c r="B2103" t="str">
        <f t="shared" ref="B2103:B2166" si="117">"1"</f>
        <v>1</v>
      </c>
      <c r="C2103" t="str">
        <f t="shared" si="116"/>
        <v>42</v>
      </c>
      <c r="D2103" t="str">
        <f>"13"</f>
        <v>13</v>
      </c>
      <c r="E2103" t="str">
        <f>"1-42-13"</f>
        <v>1-42-13</v>
      </c>
      <c r="F2103" t="s">
        <v>65</v>
      </c>
      <c r="G2103" t="s">
        <v>66</v>
      </c>
      <c r="H2103" t="s">
        <v>67</v>
      </c>
      <c r="S2103">
        <v>0</v>
      </c>
      <c r="T2103">
        <v>1</v>
      </c>
      <c r="U2103">
        <v>0</v>
      </c>
      <c r="V2103">
        <v>0</v>
      </c>
      <c r="W2103">
        <v>0</v>
      </c>
      <c r="X2103">
        <v>1</v>
      </c>
      <c r="Y2103">
        <v>0</v>
      </c>
      <c r="Z2103">
        <v>1</v>
      </c>
      <c r="AA2103">
        <v>0</v>
      </c>
      <c r="AB2103">
        <v>1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</row>
    <row r="2104" spans="1:39" x14ac:dyDescent="0.2">
      <c r="A2104" t="str">
        <f>"2100"</f>
        <v>2100</v>
      </c>
      <c r="B2104" t="str">
        <f t="shared" si="117"/>
        <v>1</v>
      </c>
      <c r="C2104" t="str">
        <f t="shared" si="116"/>
        <v>42</v>
      </c>
      <c r="D2104" t="str">
        <f>"3"</f>
        <v>3</v>
      </c>
      <c r="E2104" t="str">
        <f>"1-42-3"</f>
        <v>1-42-3</v>
      </c>
      <c r="F2104" t="s">
        <v>65</v>
      </c>
      <c r="G2104" t="s">
        <v>66</v>
      </c>
      <c r="H2104" t="s">
        <v>67</v>
      </c>
      <c r="S2104">
        <v>0</v>
      </c>
      <c r="T2104">
        <v>1</v>
      </c>
      <c r="U2104">
        <v>0</v>
      </c>
      <c r="V2104">
        <v>0</v>
      </c>
      <c r="W2104">
        <v>1</v>
      </c>
      <c r="X2104">
        <v>0</v>
      </c>
      <c r="Y2104">
        <v>0</v>
      </c>
      <c r="Z2104">
        <v>1</v>
      </c>
      <c r="AA2104">
        <v>1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1</v>
      </c>
      <c r="AM2104">
        <v>0</v>
      </c>
    </row>
    <row r="2105" spans="1:39" x14ac:dyDescent="0.2">
      <c r="A2105" t="str">
        <f>"2101"</f>
        <v>2101</v>
      </c>
      <c r="B2105" t="str">
        <f t="shared" si="117"/>
        <v>1</v>
      </c>
      <c r="C2105" t="str">
        <f t="shared" ref="C2105:C2136" si="118">"43"</f>
        <v>43</v>
      </c>
      <c r="D2105" t="str">
        <f>"38"</f>
        <v>38</v>
      </c>
      <c r="E2105" t="str">
        <f>"1-43-38"</f>
        <v>1-43-38</v>
      </c>
      <c r="F2105" t="s">
        <v>65</v>
      </c>
      <c r="G2105" t="s">
        <v>66</v>
      </c>
      <c r="H2105" t="s">
        <v>67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1</v>
      </c>
      <c r="Y2105">
        <v>0</v>
      </c>
      <c r="Z2105">
        <v>1</v>
      </c>
      <c r="AA2105">
        <v>0</v>
      </c>
      <c r="AB2105">
        <v>0</v>
      </c>
      <c r="AC2105">
        <v>1</v>
      </c>
      <c r="AD2105">
        <v>0</v>
      </c>
      <c r="AE2105">
        <v>0</v>
      </c>
      <c r="AF2105">
        <v>0</v>
      </c>
      <c r="AG2105">
        <v>1</v>
      </c>
      <c r="AH2105">
        <v>1</v>
      </c>
      <c r="AI2105">
        <v>1</v>
      </c>
      <c r="AJ2105">
        <v>1</v>
      </c>
      <c r="AK2105">
        <v>1</v>
      </c>
      <c r="AL2105">
        <v>1</v>
      </c>
      <c r="AM2105">
        <v>1</v>
      </c>
    </row>
    <row r="2106" spans="1:39" x14ac:dyDescent="0.2">
      <c r="A2106" t="str">
        <f>"2102"</f>
        <v>2102</v>
      </c>
      <c r="B2106" t="str">
        <f t="shared" si="117"/>
        <v>1</v>
      </c>
      <c r="C2106" t="str">
        <f t="shared" si="118"/>
        <v>43</v>
      </c>
      <c r="D2106" t="str">
        <f>"37"</f>
        <v>37</v>
      </c>
      <c r="E2106" t="str">
        <f>"1-43-37"</f>
        <v>1-43-37</v>
      </c>
      <c r="F2106" t="s">
        <v>65</v>
      </c>
      <c r="G2106" t="s">
        <v>66</v>
      </c>
      <c r="H2106" t="s">
        <v>67</v>
      </c>
      <c r="S2106">
        <v>0</v>
      </c>
      <c r="T2106">
        <v>1</v>
      </c>
      <c r="U2106">
        <v>0</v>
      </c>
      <c r="V2106">
        <v>0</v>
      </c>
      <c r="W2106">
        <v>0</v>
      </c>
      <c r="X2106">
        <v>1</v>
      </c>
      <c r="Y2106">
        <v>1</v>
      </c>
      <c r="Z2106">
        <v>0</v>
      </c>
      <c r="AA2106">
        <v>0</v>
      </c>
      <c r="AB2106">
        <v>0</v>
      </c>
      <c r="AC2106">
        <v>1</v>
      </c>
      <c r="AD2106">
        <v>1</v>
      </c>
      <c r="AE2106">
        <v>1</v>
      </c>
      <c r="AF2106">
        <v>0</v>
      </c>
      <c r="AG2106">
        <v>1</v>
      </c>
      <c r="AH2106">
        <v>1</v>
      </c>
      <c r="AI2106">
        <v>1</v>
      </c>
      <c r="AJ2106">
        <v>1</v>
      </c>
      <c r="AK2106">
        <v>1</v>
      </c>
      <c r="AL2106">
        <v>1</v>
      </c>
      <c r="AM2106">
        <v>1</v>
      </c>
    </row>
    <row r="2107" spans="1:39" x14ac:dyDescent="0.2">
      <c r="A2107" t="str">
        <f>"2103"</f>
        <v>2103</v>
      </c>
      <c r="B2107" t="str">
        <f t="shared" si="117"/>
        <v>1</v>
      </c>
      <c r="C2107" t="str">
        <f t="shared" si="118"/>
        <v>43</v>
      </c>
      <c r="D2107" t="str">
        <f>"25"</f>
        <v>25</v>
      </c>
      <c r="E2107" t="str">
        <f>"1-43-25"</f>
        <v>1-43-25</v>
      </c>
      <c r="F2107" t="s">
        <v>65</v>
      </c>
      <c r="G2107" t="s">
        <v>66</v>
      </c>
      <c r="H2107" t="s">
        <v>67</v>
      </c>
      <c r="S2107">
        <v>0</v>
      </c>
      <c r="T2107">
        <v>1</v>
      </c>
      <c r="U2107">
        <v>0</v>
      </c>
      <c r="V2107">
        <v>0</v>
      </c>
      <c r="W2107">
        <v>0</v>
      </c>
      <c r="X2107">
        <v>1</v>
      </c>
      <c r="Y2107">
        <v>1</v>
      </c>
      <c r="Z2107">
        <v>0</v>
      </c>
      <c r="AA2107">
        <v>0</v>
      </c>
      <c r="AB2107">
        <v>0</v>
      </c>
      <c r="AC2107">
        <v>1</v>
      </c>
      <c r="AD2107">
        <v>1</v>
      </c>
      <c r="AE2107">
        <v>1</v>
      </c>
      <c r="AF2107">
        <v>1</v>
      </c>
      <c r="AG2107">
        <v>1</v>
      </c>
      <c r="AH2107">
        <v>1</v>
      </c>
      <c r="AI2107">
        <v>1</v>
      </c>
      <c r="AJ2107">
        <v>1</v>
      </c>
      <c r="AK2107">
        <v>1</v>
      </c>
      <c r="AL2107">
        <v>1</v>
      </c>
      <c r="AM2107">
        <v>1</v>
      </c>
    </row>
    <row r="2108" spans="1:39" x14ac:dyDescent="0.2">
      <c r="A2108" t="str">
        <f>"2104"</f>
        <v>2104</v>
      </c>
      <c r="B2108" t="str">
        <f t="shared" si="117"/>
        <v>1</v>
      </c>
      <c r="C2108" t="str">
        <f t="shared" si="118"/>
        <v>43</v>
      </c>
      <c r="D2108" t="str">
        <f>"24"</f>
        <v>24</v>
      </c>
      <c r="E2108" t="str">
        <f>"1-43-24"</f>
        <v>1-43-24</v>
      </c>
      <c r="F2108" t="s">
        <v>65</v>
      </c>
      <c r="G2108" t="s">
        <v>66</v>
      </c>
      <c r="H2108" t="s">
        <v>67</v>
      </c>
      <c r="S2108">
        <v>1</v>
      </c>
      <c r="T2108">
        <v>0</v>
      </c>
      <c r="U2108">
        <v>0</v>
      </c>
      <c r="V2108">
        <v>0</v>
      </c>
      <c r="W2108">
        <v>1</v>
      </c>
      <c r="X2108">
        <v>0</v>
      </c>
      <c r="Y2108">
        <v>0</v>
      </c>
      <c r="Z2108">
        <v>1</v>
      </c>
      <c r="AA2108">
        <v>0</v>
      </c>
      <c r="AB2108">
        <v>0</v>
      </c>
      <c r="AC2108">
        <v>1</v>
      </c>
      <c r="AD2108">
        <v>1</v>
      </c>
      <c r="AE2108">
        <v>1</v>
      </c>
      <c r="AF2108">
        <v>1</v>
      </c>
      <c r="AG2108">
        <v>1</v>
      </c>
      <c r="AH2108">
        <v>1</v>
      </c>
      <c r="AI2108">
        <v>1</v>
      </c>
      <c r="AJ2108">
        <v>1</v>
      </c>
      <c r="AK2108">
        <v>1</v>
      </c>
      <c r="AL2108">
        <v>1</v>
      </c>
      <c r="AM2108">
        <v>1</v>
      </c>
    </row>
    <row r="2109" spans="1:39" x14ac:dyDescent="0.2">
      <c r="A2109" t="str">
        <f>"2105"</f>
        <v>2105</v>
      </c>
      <c r="B2109" t="str">
        <f t="shared" si="117"/>
        <v>1</v>
      </c>
      <c r="C2109" t="str">
        <f t="shared" si="118"/>
        <v>43</v>
      </c>
      <c r="D2109" t="str">
        <f>"18"</f>
        <v>18</v>
      </c>
      <c r="E2109" t="str">
        <f>"1-43-18"</f>
        <v>1-43-18</v>
      </c>
      <c r="F2109" t="s">
        <v>65</v>
      </c>
      <c r="G2109" t="s">
        <v>66</v>
      </c>
      <c r="H2109" t="s">
        <v>67</v>
      </c>
      <c r="S2109">
        <v>0</v>
      </c>
      <c r="T2109">
        <v>1</v>
      </c>
      <c r="U2109">
        <v>0</v>
      </c>
      <c r="V2109">
        <v>0</v>
      </c>
      <c r="W2109">
        <v>1</v>
      </c>
      <c r="X2109">
        <v>0</v>
      </c>
      <c r="Y2109">
        <v>1</v>
      </c>
      <c r="Z2109">
        <v>0</v>
      </c>
      <c r="AA2109">
        <v>0</v>
      </c>
      <c r="AB2109">
        <v>1</v>
      </c>
      <c r="AC2109">
        <v>0</v>
      </c>
      <c r="AD2109">
        <v>1</v>
      </c>
      <c r="AE2109">
        <v>1</v>
      </c>
      <c r="AF2109">
        <v>1</v>
      </c>
      <c r="AG2109">
        <v>1</v>
      </c>
      <c r="AH2109">
        <v>1</v>
      </c>
      <c r="AI2109">
        <v>1</v>
      </c>
      <c r="AJ2109">
        <v>1</v>
      </c>
      <c r="AK2109">
        <v>1</v>
      </c>
      <c r="AL2109">
        <v>1</v>
      </c>
      <c r="AM2109">
        <v>1</v>
      </c>
    </row>
    <row r="2110" spans="1:39" x14ac:dyDescent="0.2">
      <c r="A2110" t="str">
        <f>"2106"</f>
        <v>2106</v>
      </c>
      <c r="B2110" t="str">
        <f t="shared" si="117"/>
        <v>1</v>
      </c>
      <c r="C2110" t="str">
        <f t="shared" si="118"/>
        <v>43</v>
      </c>
      <c r="D2110" t="str">
        <f>"15"</f>
        <v>15</v>
      </c>
      <c r="E2110" t="str">
        <f>"1-43-15"</f>
        <v>1-43-15</v>
      </c>
      <c r="F2110" t="s">
        <v>65</v>
      </c>
      <c r="G2110" t="s">
        <v>66</v>
      </c>
      <c r="H2110" t="s">
        <v>67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1</v>
      </c>
      <c r="Y2110">
        <v>1</v>
      </c>
      <c r="Z2110">
        <v>0</v>
      </c>
      <c r="AA2110">
        <v>0</v>
      </c>
      <c r="AB2110">
        <v>0</v>
      </c>
      <c r="AC2110">
        <v>1</v>
      </c>
      <c r="AD2110">
        <v>0</v>
      </c>
      <c r="AE2110">
        <v>0</v>
      </c>
      <c r="AF2110">
        <v>0</v>
      </c>
      <c r="AG2110">
        <v>0</v>
      </c>
      <c r="AH2110">
        <v>1</v>
      </c>
      <c r="AI2110">
        <v>1</v>
      </c>
      <c r="AJ2110">
        <v>1</v>
      </c>
      <c r="AK2110">
        <v>1</v>
      </c>
      <c r="AL2110">
        <v>1</v>
      </c>
      <c r="AM2110">
        <v>1</v>
      </c>
    </row>
    <row r="2111" spans="1:39" x14ac:dyDescent="0.2">
      <c r="A2111" t="str">
        <f>"2107"</f>
        <v>2107</v>
      </c>
      <c r="B2111" t="str">
        <f t="shared" si="117"/>
        <v>1</v>
      </c>
      <c r="C2111" t="str">
        <f t="shared" si="118"/>
        <v>43</v>
      </c>
      <c r="D2111" t="str">
        <f>"2"</f>
        <v>2</v>
      </c>
      <c r="E2111" t="str">
        <f>"1-43-2"</f>
        <v>1-43-2</v>
      </c>
      <c r="F2111" t="s">
        <v>65</v>
      </c>
      <c r="G2111" t="s">
        <v>66</v>
      </c>
      <c r="H2111" t="s">
        <v>67</v>
      </c>
      <c r="S2111">
        <v>0</v>
      </c>
      <c r="T2111">
        <v>1</v>
      </c>
      <c r="U2111">
        <v>0</v>
      </c>
      <c r="V2111">
        <v>0</v>
      </c>
      <c r="W2111">
        <v>1</v>
      </c>
      <c r="X2111">
        <v>0</v>
      </c>
      <c r="Y2111">
        <v>1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1</v>
      </c>
      <c r="AF2111">
        <v>1</v>
      </c>
      <c r="AG2111">
        <v>1</v>
      </c>
      <c r="AH2111">
        <v>1</v>
      </c>
      <c r="AI2111">
        <v>1</v>
      </c>
      <c r="AJ2111">
        <v>1</v>
      </c>
      <c r="AK2111">
        <v>1</v>
      </c>
      <c r="AL2111">
        <v>1</v>
      </c>
      <c r="AM2111">
        <v>0</v>
      </c>
    </row>
    <row r="2112" spans="1:39" x14ac:dyDescent="0.2">
      <c r="A2112" t="str">
        <f>"2108"</f>
        <v>2108</v>
      </c>
      <c r="B2112" t="str">
        <f t="shared" si="117"/>
        <v>1</v>
      </c>
      <c r="C2112" t="str">
        <f t="shared" si="118"/>
        <v>43</v>
      </c>
      <c r="D2112" t="str">
        <f>"36"</f>
        <v>36</v>
      </c>
      <c r="E2112" t="str">
        <f>"1-43-36"</f>
        <v>1-43-36</v>
      </c>
      <c r="F2112" t="s">
        <v>65</v>
      </c>
      <c r="G2112" t="s">
        <v>66</v>
      </c>
      <c r="H2112" t="s">
        <v>67</v>
      </c>
      <c r="S2112">
        <v>1</v>
      </c>
      <c r="T2112">
        <v>0</v>
      </c>
      <c r="U2112">
        <v>0</v>
      </c>
      <c r="V2112">
        <v>0</v>
      </c>
      <c r="W2112">
        <v>1</v>
      </c>
      <c r="X2112">
        <v>0</v>
      </c>
      <c r="Y2112">
        <v>1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1</v>
      </c>
      <c r="AF2112">
        <v>1</v>
      </c>
      <c r="AG2112">
        <v>1</v>
      </c>
      <c r="AH2112">
        <v>1</v>
      </c>
      <c r="AI2112">
        <v>1</v>
      </c>
      <c r="AJ2112">
        <v>1</v>
      </c>
      <c r="AK2112">
        <v>1</v>
      </c>
      <c r="AL2112">
        <v>1</v>
      </c>
      <c r="AM2112">
        <v>1</v>
      </c>
    </row>
    <row r="2113" spans="1:39" x14ac:dyDescent="0.2">
      <c r="A2113" t="str">
        <f>"2109"</f>
        <v>2109</v>
      </c>
      <c r="B2113" t="str">
        <f t="shared" si="117"/>
        <v>1</v>
      </c>
      <c r="C2113" t="str">
        <f t="shared" si="118"/>
        <v>43</v>
      </c>
      <c r="D2113" t="str">
        <f>"35"</f>
        <v>35</v>
      </c>
      <c r="E2113" t="str">
        <f>"1-43-35"</f>
        <v>1-43-35</v>
      </c>
      <c r="F2113" t="s">
        <v>65</v>
      </c>
      <c r="G2113" t="s">
        <v>66</v>
      </c>
      <c r="H2113" t="s">
        <v>67</v>
      </c>
      <c r="S2113">
        <v>0</v>
      </c>
      <c r="T2113">
        <v>1</v>
      </c>
      <c r="U2113">
        <v>0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0</v>
      </c>
      <c r="AB2113">
        <v>0</v>
      </c>
      <c r="AC2113">
        <v>1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</row>
    <row r="2114" spans="1:39" x14ac:dyDescent="0.2">
      <c r="A2114" t="str">
        <f>"2110"</f>
        <v>2110</v>
      </c>
      <c r="B2114" t="str">
        <f t="shared" si="117"/>
        <v>1</v>
      </c>
      <c r="C2114" t="str">
        <f t="shared" si="118"/>
        <v>43</v>
      </c>
      <c r="D2114" t="str">
        <f>"27"</f>
        <v>27</v>
      </c>
      <c r="E2114" t="str">
        <f>"1-43-27"</f>
        <v>1-43-27</v>
      </c>
      <c r="F2114" t="s">
        <v>65</v>
      </c>
      <c r="G2114" t="s">
        <v>66</v>
      </c>
      <c r="H2114" t="s">
        <v>67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0</v>
      </c>
      <c r="AB2114">
        <v>1</v>
      </c>
      <c r="AC2114">
        <v>0</v>
      </c>
      <c r="AD2114">
        <v>0</v>
      </c>
      <c r="AE2114">
        <v>0</v>
      </c>
      <c r="AF2114">
        <v>0</v>
      </c>
      <c r="AG2114">
        <v>1</v>
      </c>
      <c r="AH2114">
        <v>1</v>
      </c>
      <c r="AI2114">
        <v>1</v>
      </c>
      <c r="AJ2114">
        <v>0</v>
      </c>
      <c r="AK2114">
        <v>0</v>
      </c>
      <c r="AL2114">
        <v>0</v>
      </c>
      <c r="AM2114">
        <v>0</v>
      </c>
    </row>
    <row r="2115" spans="1:39" x14ac:dyDescent="0.2">
      <c r="A2115" t="str">
        <f>"2111"</f>
        <v>2111</v>
      </c>
      <c r="B2115" t="str">
        <f t="shared" si="117"/>
        <v>1</v>
      </c>
      <c r="C2115" t="str">
        <f t="shared" si="118"/>
        <v>43</v>
      </c>
      <c r="D2115" t="str">
        <f>"16"</f>
        <v>16</v>
      </c>
      <c r="E2115" t="str">
        <f>"1-43-16"</f>
        <v>1-43-16</v>
      </c>
      <c r="F2115" t="s">
        <v>65</v>
      </c>
      <c r="G2115" t="s">
        <v>66</v>
      </c>
      <c r="H2115" t="s">
        <v>67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0</v>
      </c>
      <c r="AB2115">
        <v>0</v>
      </c>
      <c r="AC2115">
        <v>1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</row>
    <row r="2116" spans="1:39" x14ac:dyDescent="0.2">
      <c r="A2116" t="str">
        <f>"2112"</f>
        <v>2112</v>
      </c>
      <c r="B2116" t="str">
        <f t="shared" si="117"/>
        <v>1</v>
      </c>
      <c r="C2116" t="str">
        <f t="shared" si="118"/>
        <v>43</v>
      </c>
      <c r="D2116" t="str">
        <f>"5"</f>
        <v>5</v>
      </c>
      <c r="E2116" t="str">
        <f>"1-43-5"</f>
        <v>1-43-5</v>
      </c>
      <c r="F2116" t="s">
        <v>65</v>
      </c>
      <c r="G2116" t="s">
        <v>66</v>
      </c>
      <c r="H2116" t="s">
        <v>67</v>
      </c>
      <c r="S2116">
        <v>0</v>
      </c>
      <c r="T2116">
        <v>1</v>
      </c>
      <c r="U2116">
        <v>0</v>
      </c>
      <c r="V2116">
        <v>0</v>
      </c>
      <c r="W2116">
        <v>1</v>
      </c>
      <c r="X2116">
        <v>0</v>
      </c>
      <c r="Y2116">
        <v>1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1</v>
      </c>
      <c r="AF2116">
        <v>1</v>
      </c>
      <c r="AG2116">
        <v>1</v>
      </c>
      <c r="AH2116">
        <v>1</v>
      </c>
      <c r="AI2116">
        <v>1</v>
      </c>
      <c r="AJ2116">
        <v>1</v>
      </c>
      <c r="AK2116">
        <v>1</v>
      </c>
      <c r="AL2116">
        <v>1</v>
      </c>
      <c r="AM2116">
        <v>1</v>
      </c>
    </row>
    <row r="2117" spans="1:39" x14ac:dyDescent="0.2">
      <c r="A2117" t="str">
        <f>"2113"</f>
        <v>2113</v>
      </c>
      <c r="B2117" t="str">
        <f t="shared" si="117"/>
        <v>1</v>
      </c>
      <c r="C2117" t="str">
        <f t="shared" si="118"/>
        <v>43</v>
      </c>
      <c r="D2117" t="str">
        <f>"42"</f>
        <v>42</v>
      </c>
      <c r="E2117" t="str">
        <f>"1-43-42"</f>
        <v>1-43-42</v>
      </c>
      <c r="F2117" t="s">
        <v>65</v>
      </c>
      <c r="G2117" t="s">
        <v>66</v>
      </c>
      <c r="H2117" t="s">
        <v>67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1</v>
      </c>
      <c r="Y2117">
        <v>1</v>
      </c>
      <c r="Z2117">
        <v>0</v>
      </c>
      <c r="AA2117">
        <v>0</v>
      </c>
      <c r="AB2117">
        <v>1</v>
      </c>
      <c r="AC2117">
        <v>0</v>
      </c>
      <c r="AD2117">
        <v>1</v>
      </c>
      <c r="AE2117">
        <v>1</v>
      </c>
      <c r="AF2117">
        <v>1</v>
      </c>
      <c r="AG2117">
        <v>1</v>
      </c>
      <c r="AH2117">
        <v>1</v>
      </c>
      <c r="AI2117">
        <v>1</v>
      </c>
      <c r="AJ2117">
        <v>1</v>
      </c>
      <c r="AK2117">
        <v>1</v>
      </c>
      <c r="AL2117">
        <v>1</v>
      </c>
      <c r="AM2117">
        <v>1</v>
      </c>
    </row>
    <row r="2118" spans="1:39" x14ac:dyDescent="0.2">
      <c r="A2118" t="str">
        <f>"2114"</f>
        <v>2114</v>
      </c>
      <c r="B2118" t="str">
        <f t="shared" si="117"/>
        <v>1</v>
      </c>
      <c r="C2118" t="str">
        <f t="shared" si="118"/>
        <v>43</v>
      </c>
      <c r="D2118" t="str">
        <f>"34"</f>
        <v>34</v>
      </c>
      <c r="E2118" t="str">
        <f>"1-43-34"</f>
        <v>1-43-34</v>
      </c>
      <c r="F2118" t="s">
        <v>65</v>
      </c>
      <c r="G2118" t="s">
        <v>66</v>
      </c>
      <c r="H2118" t="s">
        <v>67</v>
      </c>
      <c r="S2118">
        <v>0</v>
      </c>
      <c r="T2118">
        <v>1</v>
      </c>
      <c r="U2118">
        <v>0</v>
      </c>
      <c r="V2118">
        <v>0</v>
      </c>
      <c r="W2118">
        <v>0</v>
      </c>
      <c r="X2118">
        <v>1</v>
      </c>
      <c r="Y2118">
        <v>0</v>
      </c>
      <c r="Z2118">
        <v>1</v>
      </c>
      <c r="AA2118">
        <v>0</v>
      </c>
      <c r="AB2118">
        <v>0</v>
      </c>
      <c r="AC2118">
        <v>1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</row>
    <row r="2119" spans="1:39" x14ac:dyDescent="0.2">
      <c r="A2119" t="str">
        <f>"2115"</f>
        <v>2115</v>
      </c>
      <c r="B2119" t="str">
        <f t="shared" si="117"/>
        <v>1</v>
      </c>
      <c r="C2119" t="str">
        <f t="shared" si="118"/>
        <v>43</v>
      </c>
      <c r="D2119" t="str">
        <f>"6"</f>
        <v>6</v>
      </c>
      <c r="E2119" t="str">
        <f>"1-43-6"</f>
        <v>1-43-6</v>
      </c>
      <c r="F2119" t="s">
        <v>65</v>
      </c>
      <c r="G2119" t="s">
        <v>66</v>
      </c>
      <c r="H2119" t="s">
        <v>67</v>
      </c>
      <c r="S2119">
        <v>0</v>
      </c>
      <c r="T2119">
        <v>1</v>
      </c>
      <c r="U2119">
        <v>0</v>
      </c>
      <c r="V2119">
        <v>0</v>
      </c>
      <c r="W2119">
        <v>0</v>
      </c>
      <c r="X2119">
        <v>1</v>
      </c>
      <c r="Y2119">
        <v>0</v>
      </c>
      <c r="Z2119">
        <v>1</v>
      </c>
      <c r="AA2119">
        <v>0</v>
      </c>
      <c r="AB2119">
        <v>0</v>
      </c>
      <c r="AC2119">
        <v>1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</row>
    <row r="2120" spans="1:39" x14ac:dyDescent="0.2">
      <c r="A2120" t="str">
        <f>"2116"</f>
        <v>2116</v>
      </c>
      <c r="B2120" t="str">
        <f t="shared" si="117"/>
        <v>1</v>
      </c>
      <c r="C2120" t="str">
        <f t="shared" si="118"/>
        <v>43</v>
      </c>
      <c r="D2120" t="str">
        <f>"45"</f>
        <v>45</v>
      </c>
      <c r="E2120" t="str">
        <f>"1-43-45"</f>
        <v>1-43-45</v>
      </c>
      <c r="F2120" t="s">
        <v>65</v>
      </c>
      <c r="G2120" t="s">
        <v>66</v>
      </c>
      <c r="H2120" t="s">
        <v>67</v>
      </c>
      <c r="S2120">
        <v>1</v>
      </c>
      <c r="T2120">
        <v>0</v>
      </c>
      <c r="U2120">
        <v>0</v>
      </c>
      <c r="V2120">
        <v>0</v>
      </c>
      <c r="W2120">
        <v>1</v>
      </c>
      <c r="X2120">
        <v>0</v>
      </c>
      <c r="Y2120">
        <v>1</v>
      </c>
      <c r="Z2120">
        <v>0</v>
      </c>
      <c r="AA2120">
        <v>0</v>
      </c>
      <c r="AB2120">
        <v>1</v>
      </c>
      <c r="AC2120">
        <v>0</v>
      </c>
      <c r="AD2120">
        <v>1</v>
      </c>
      <c r="AE2120">
        <v>1</v>
      </c>
      <c r="AF2120">
        <v>1</v>
      </c>
      <c r="AG2120">
        <v>1</v>
      </c>
      <c r="AH2120">
        <v>1</v>
      </c>
      <c r="AI2120">
        <v>1</v>
      </c>
      <c r="AJ2120">
        <v>1</v>
      </c>
      <c r="AK2120">
        <v>1</v>
      </c>
      <c r="AL2120">
        <v>1</v>
      </c>
      <c r="AM2120">
        <v>1</v>
      </c>
    </row>
    <row r="2121" spans="1:39" x14ac:dyDescent="0.2">
      <c r="A2121" t="str">
        <f>"2117"</f>
        <v>2117</v>
      </c>
      <c r="B2121" t="str">
        <f t="shared" si="117"/>
        <v>1</v>
      </c>
      <c r="C2121" t="str">
        <f t="shared" si="118"/>
        <v>43</v>
      </c>
      <c r="D2121" t="str">
        <f>"44"</f>
        <v>44</v>
      </c>
      <c r="E2121" t="str">
        <f>"1-43-44"</f>
        <v>1-43-44</v>
      </c>
      <c r="F2121" t="s">
        <v>65</v>
      </c>
      <c r="G2121" t="s">
        <v>66</v>
      </c>
      <c r="H2121" t="s">
        <v>67</v>
      </c>
      <c r="S2121">
        <v>0</v>
      </c>
      <c r="T2121">
        <v>1</v>
      </c>
      <c r="U2121">
        <v>0</v>
      </c>
      <c r="V2121">
        <v>0</v>
      </c>
      <c r="W2121">
        <v>1</v>
      </c>
      <c r="X2121">
        <v>0</v>
      </c>
      <c r="Y2121">
        <v>1</v>
      </c>
      <c r="Z2121">
        <v>0</v>
      </c>
      <c r="AA2121">
        <v>1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</row>
    <row r="2122" spans="1:39" x14ac:dyDescent="0.2">
      <c r="A2122" t="str">
        <f>"2118"</f>
        <v>2118</v>
      </c>
      <c r="B2122" t="str">
        <f t="shared" si="117"/>
        <v>1</v>
      </c>
      <c r="C2122" t="str">
        <f t="shared" si="118"/>
        <v>43</v>
      </c>
      <c r="D2122" t="str">
        <f>"33"</f>
        <v>33</v>
      </c>
      <c r="E2122" t="str">
        <f>"1-43-33"</f>
        <v>1-43-33</v>
      </c>
      <c r="F2122" t="s">
        <v>65</v>
      </c>
      <c r="G2122" t="s">
        <v>66</v>
      </c>
      <c r="H2122" t="s">
        <v>67</v>
      </c>
      <c r="S2122">
        <v>0</v>
      </c>
      <c r="T2122">
        <v>1</v>
      </c>
      <c r="U2122">
        <v>0</v>
      </c>
      <c r="V2122">
        <v>0</v>
      </c>
      <c r="W2122">
        <v>1</v>
      </c>
      <c r="X2122">
        <v>0</v>
      </c>
      <c r="Y2122">
        <v>1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1</v>
      </c>
      <c r="AF2122">
        <v>1</v>
      </c>
      <c r="AG2122">
        <v>1</v>
      </c>
      <c r="AH2122">
        <v>1</v>
      </c>
      <c r="AI2122">
        <v>1</v>
      </c>
      <c r="AJ2122">
        <v>1</v>
      </c>
      <c r="AK2122">
        <v>1</v>
      </c>
      <c r="AL2122">
        <v>1</v>
      </c>
      <c r="AM2122">
        <v>1</v>
      </c>
    </row>
    <row r="2123" spans="1:39" x14ac:dyDescent="0.2">
      <c r="A2123" t="str">
        <f>"2119"</f>
        <v>2119</v>
      </c>
      <c r="B2123" t="str">
        <f t="shared" si="117"/>
        <v>1</v>
      </c>
      <c r="C2123" t="str">
        <f t="shared" si="118"/>
        <v>43</v>
      </c>
      <c r="D2123" t="str">
        <f>"19"</f>
        <v>19</v>
      </c>
      <c r="E2123" t="str">
        <f>"1-43-19"</f>
        <v>1-43-19</v>
      </c>
      <c r="F2123" t="s">
        <v>65</v>
      </c>
      <c r="G2123" t="s">
        <v>66</v>
      </c>
      <c r="H2123" t="s">
        <v>67</v>
      </c>
      <c r="S2123">
        <v>0</v>
      </c>
      <c r="T2123">
        <v>1</v>
      </c>
      <c r="U2123">
        <v>0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0</v>
      </c>
      <c r="AB2123">
        <v>1</v>
      </c>
      <c r="AC2123">
        <v>0</v>
      </c>
      <c r="AD2123">
        <v>1</v>
      </c>
      <c r="AE2123">
        <v>1</v>
      </c>
      <c r="AF2123">
        <v>1</v>
      </c>
      <c r="AG2123">
        <v>1</v>
      </c>
      <c r="AH2123">
        <v>1</v>
      </c>
      <c r="AI2123">
        <v>1</v>
      </c>
      <c r="AJ2123">
        <v>1</v>
      </c>
      <c r="AK2123">
        <v>1</v>
      </c>
      <c r="AL2123">
        <v>1</v>
      </c>
      <c r="AM2123">
        <v>1</v>
      </c>
    </row>
    <row r="2124" spans="1:39" x14ac:dyDescent="0.2">
      <c r="A2124" t="str">
        <f>"2120"</f>
        <v>2120</v>
      </c>
      <c r="B2124" t="str">
        <f t="shared" si="117"/>
        <v>1</v>
      </c>
      <c r="C2124" t="str">
        <f t="shared" si="118"/>
        <v>43</v>
      </c>
      <c r="D2124" t="str">
        <f>"12"</f>
        <v>12</v>
      </c>
      <c r="E2124" t="str">
        <f>"1-43-12"</f>
        <v>1-43-12</v>
      </c>
      <c r="F2124" t="s">
        <v>65</v>
      </c>
      <c r="G2124" t="s">
        <v>66</v>
      </c>
      <c r="H2124" t="s">
        <v>67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1</v>
      </c>
      <c r="Y2124">
        <v>0</v>
      </c>
      <c r="Z2124">
        <v>1</v>
      </c>
      <c r="AA2124">
        <v>0</v>
      </c>
      <c r="AB2124">
        <v>1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</row>
    <row r="2125" spans="1:39" x14ac:dyDescent="0.2">
      <c r="A2125" t="str">
        <f>"2121"</f>
        <v>2121</v>
      </c>
      <c r="B2125" t="str">
        <f t="shared" si="117"/>
        <v>1</v>
      </c>
      <c r="C2125" t="str">
        <f t="shared" si="118"/>
        <v>43</v>
      </c>
      <c r="D2125" t="str">
        <f>"40"</f>
        <v>40</v>
      </c>
      <c r="E2125" t="str">
        <f>"1-43-40"</f>
        <v>1-43-40</v>
      </c>
      <c r="F2125" t="s">
        <v>65</v>
      </c>
      <c r="G2125" t="s">
        <v>66</v>
      </c>
      <c r="H2125" t="s">
        <v>67</v>
      </c>
      <c r="S2125">
        <v>1</v>
      </c>
      <c r="T2125">
        <v>0</v>
      </c>
      <c r="U2125">
        <v>0</v>
      </c>
      <c r="V2125">
        <v>0</v>
      </c>
      <c r="W2125">
        <v>1</v>
      </c>
      <c r="X2125">
        <v>0</v>
      </c>
      <c r="Y2125">
        <v>0</v>
      </c>
      <c r="Z2125">
        <v>1</v>
      </c>
      <c r="AA2125">
        <v>0</v>
      </c>
      <c r="AB2125">
        <v>0</v>
      </c>
      <c r="AC2125">
        <v>1</v>
      </c>
      <c r="AD2125">
        <v>1</v>
      </c>
      <c r="AE2125">
        <v>1</v>
      </c>
      <c r="AF2125">
        <v>1</v>
      </c>
      <c r="AG2125">
        <v>1</v>
      </c>
      <c r="AH2125">
        <v>1</v>
      </c>
      <c r="AI2125">
        <v>1</v>
      </c>
      <c r="AJ2125">
        <v>1</v>
      </c>
      <c r="AK2125">
        <v>1</v>
      </c>
      <c r="AL2125">
        <v>1</v>
      </c>
      <c r="AM2125">
        <v>1</v>
      </c>
    </row>
    <row r="2126" spans="1:39" x14ac:dyDescent="0.2">
      <c r="A2126" t="str">
        <f>"2122"</f>
        <v>2122</v>
      </c>
      <c r="B2126" t="str">
        <f t="shared" si="117"/>
        <v>1</v>
      </c>
      <c r="C2126" t="str">
        <f t="shared" si="118"/>
        <v>43</v>
      </c>
      <c r="D2126" t="str">
        <f>"20"</f>
        <v>20</v>
      </c>
      <c r="E2126" t="str">
        <f>"1-43-20"</f>
        <v>1-43-20</v>
      </c>
      <c r="F2126" t="s">
        <v>65</v>
      </c>
      <c r="G2126" t="s">
        <v>66</v>
      </c>
      <c r="H2126" t="s">
        <v>67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1</v>
      </c>
      <c r="Y2126">
        <v>1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1</v>
      </c>
      <c r="AH2126">
        <v>1</v>
      </c>
      <c r="AI2126">
        <v>1</v>
      </c>
      <c r="AJ2126">
        <v>1</v>
      </c>
      <c r="AK2126">
        <v>1</v>
      </c>
      <c r="AL2126">
        <v>1</v>
      </c>
      <c r="AM2126">
        <v>0</v>
      </c>
    </row>
    <row r="2127" spans="1:39" x14ac:dyDescent="0.2">
      <c r="A2127" t="str">
        <f>"2123"</f>
        <v>2123</v>
      </c>
      <c r="B2127" t="str">
        <f t="shared" si="117"/>
        <v>1</v>
      </c>
      <c r="C2127" t="str">
        <f t="shared" si="118"/>
        <v>43</v>
      </c>
      <c r="D2127" t="str">
        <f>"10"</f>
        <v>10</v>
      </c>
      <c r="E2127" t="str">
        <f>"1-43-10"</f>
        <v>1-43-10</v>
      </c>
      <c r="F2127" t="s">
        <v>65</v>
      </c>
      <c r="G2127" t="s">
        <v>66</v>
      </c>
      <c r="H2127" t="s">
        <v>67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0</v>
      </c>
      <c r="AB2127">
        <v>1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1</v>
      </c>
      <c r="AI2127">
        <v>0</v>
      </c>
      <c r="AJ2127">
        <v>0</v>
      </c>
      <c r="AK2127">
        <v>0</v>
      </c>
      <c r="AL2127">
        <v>0</v>
      </c>
      <c r="AM2127">
        <v>0</v>
      </c>
    </row>
    <row r="2128" spans="1:39" x14ac:dyDescent="0.2">
      <c r="A2128" t="str">
        <f>"2124"</f>
        <v>2124</v>
      </c>
      <c r="B2128" t="str">
        <f t="shared" si="117"/>
        <v>1</v>
      </c>
      <c r="C2128" t="str">
        <f t="shared" si="118"/>
        <v>43</v>
      </c>
      <c r="D2128" t="str">
        <f>"39"</f>
        <v>39</v>
      </c>
      <c r="E2128" t="str">
        <f>"1-43-39"</f>
        <v>1-43-39</v>
      </c>
      <c r="F2128" t="s">
        <v>65</v>
      </c>
      <c r="G2128" t="s">
        <v>66</v>
      </c>
      <c r="H2128" t="s">
        <v>67</v>
      </c>
      <c r="S2128">
        <v>0</v>
      </c>
      <c r="T2128">
        <v>1</v>
      </c>
      <c r="U2128">
        <v>0</v>
      </c>
      <c r="V2128">
        <v>0</v>
      </c>
      <c r="W2128">
        <v>1</v>
      </c>
      <c r="X2128">
        <v>0</v>
      </c>
      <c r="Y2128">
        <v>1</v>
      </c>
      <c r="Z2128">
        <v>0</v>
      </c>
      <c r="AA2128">
        <v>0</v>
      </c>
      <c r="AB2128">
        <v>1</v>
      </c>
      <c r="AC2128">
        <v>0</v>
      </c>
      <c r="AD2128">
        <v>1</v>
      </c>
      <c r="AE2128">
        <v>1</v>
      </c>
      <c r="AF2128">
        <v>1</v>
      </c>
      <c r="AG2128">
        <v>1</v>
      </c>
      <c r="AH2128">
        <v>1</v>
      </c>
      <c r="AI2128">
        <v>1</v>
      </c>
      <c r="AJ2128">
        <v>1</v>
      </c>
      <c r="AK2128">
        <v>1</v>
      </c>
      <c r="AL2128">
        <v>1</v>
      </c>
      <c r="AM2128">
        <v>1</v>
      </c>
    </row>
    <row r="2129" spans="1:39" x14ac:dyDescent="0.2">
      <c r="A2129" t="str">
        <f>"2125"</f>
        <v>2125</v>
      </c>
      <c r="B2129" t="str">
        <f t="shared" si="117"/>
        <v>1</v>
      </c>
      <c r="C2129" t="str">
        <f t="shared" si="118"/>
        <v>43</v>
      </c>
      <c r="D2129" t="str">
        <f>"21"</f>
        <v>21</v>
      </c>
      <c r="E2129" t="str">
        <f>"1-43-21"</f>
        <v>1-43-21</v>
      </c>
      <c r="F2129" t="s">
        <v>65</v>
      </c>
      <c r="G2129" t="s">
        <v>66</v>
      </c>
      <c r="H2129" t="s">
        <v>67</v>
      </c>
      <c r="S2129">
        <v>0</v>
      </c>
      <c r="T2129">
        <v>1</v>
      </c>
      <c r="U2129">
        <v>0</v>
      </c>
      <c r="V2129">
        <v>0</v>
      </c>
      <c r="W2129">
        <v>0</v>
      </c>
      <c r="X2129">
        <v>1</v>
      </c>
      <c r="Y2129">
        <v>0</v>
      </c>
      <c r="Z2129">
        <v>1</v>
      </c>
      <c r="AA2129">
        <v>0</v>
      </c>
      <c r="AB2129">
        <v>0</v>
      </c>
      <c r="AC2129">
        <v>1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</row>
    <row r="2130" spans="1:39" x14ac:dyDescent="0.2">
      <c r="A2130" t="str">
        <f>"2126"</f>
        <v>2126</v>
      </c>
      <c r="B2130" t="str">
        <f t="shared" si="117"/>
        <v>1</v>
      </c>
      <c r="C2130" t="str">
        <f t="shared" si="118"/>
        <v>43</v>
      </c>
      <c r="D2130" t="str">
        <f>"7"</f>
        <v>7</v>
      </c>
      <c r="E2130" t="str">
        <f>"1-43-7"</f>
        <v>1-43-7</v>
      </c>
      <c r="F2130" t="s">
        <v>65</v>
      </c>
      <c r="G2130" t="s">
        <v>66</v>
      </c>
      <c r="H2130" t="s">
        <v>67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0</v>
      </c>
      <c r="AB2130">
        <v>1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</row>
    <row r="2131" spans="1:39" x14ac:dyDescent="0.2">
      <c r="A2131" t="str">
        <f>"2127"</f>
        <v>2127</v>
      </c>
      <c r="B2131" t="str">
        <f t="shared" si="117"/>
        <v>1</v>
      </c>
      <c r="C2131" t="str">
        <f t="shared" si="118"/>
        <v>43</v>
      </c>
      <c r="D2131" t="str">
        <f>"41"</f>
        <v>41</v>
      </c>
      <c r="E2131" t="str">
        <f>"1-43-41"</f>
        <v>1-43-41</v>
      </c>
      <c r="F2131" t="s">
        <v>65</v>
      </c>
      <c r="G2131" t="s">
        <v>66</v>
      </c>
      <c r="H2131" t="s">
        <v>67</v>
      </c>
      <c r="S2131">
        <v>0</v>
      </c>
      <c r="T2131">
        <v>1</v>
      </c>
      <c r="U2131">
        <v>0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</row>
    <row r="2132" spans="1:39" x14ac:dyDescent="0.2">
      <c r="A2132" t="str">
        <f>"2128"</f>
        <v>2128</v>
      </c>
      <c r="B2132" t="str">
        <f t="shared" si="117"/>
        <v>1</v>
      </c>
      <c r="C2132" t="str">
        <f t="shared" si="118"/>
        <v>43</v>
      </c>
      <c r="D2132" t="str">
        <f>"22"</f>
        <v>22</v>
      </c>
      <c r="E2132" t="str">
        <f>"1-43-22"</f>
        <v>1-43-22</v>
      </c>
      <c r="F2132" t="s">
        <v>65</v>
      </c>
      <c r="G2132" t="s">
        <v>66</v>
      </c>
      <c r="H2132" t="s">
        <v>67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</row>
    <row r="2133" spans="1:39" x14ac:dyDescent="0.2">
      <c r="A2133" t="str">
        <f>"2129"</f>
        <v>2129</v>
      </c>
      <c r="B2133" t="str">
        <f t="shared" si="117"/>
        <v>1</v>
      </c>
      <c r="C2133" t="str">
        <f t="shared" si="118"/>
        <v>43</v>
      </c>
      <c r="D2133" t="str">
        <f>"1"</f>
        <v>1</v>
      </c>
      <c r="E2133" t="str">
        <f>"1-43-1"</f>
        <v>1-43-1</v>
      </c>
      <c r="F2133" t="s">
        <v>65</v>
      </c>
      <c r="G2133" t="s">
        <v>66</v>
      </c>
      <c r="H2133" t="s">
        <v>67</v>
      </c>
      <c r="S2133">
        <v>1</v>
      </c>
      <c r="T2133">
        <v>0</v>
      </c>
      <c r="U2133">
        <v>0</v>
      </c>
      <c r="V2133">
        <v>0</v>
      </c>
      <c r="W2133">
        <v>0</v>
      </c>
      <c r="X2133">
        <v>1</v>
      </c>
      <c r="Y2133">
        <v>0</v>
      </c>
      <c r="Z2133">
        <v>1</v>
      </c>
      <c r="AA2133">
        <v>0</v>
      </c>
      <c r="AB2133">
        <v>1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</row>
    <row r="2134" spans="1:39" x14ac:dyDescent="0.2">
      <c r="A2134" t="str">
        <f>"2130"</f>
        <v>2130</v>
      </c>
      <c r="B2134" t="str">
        <f t="shared" si="117"/>
        <v>1</v>
      </c>
      <c r="C2134" t="str">
        <f t="shared" si="118"/>
        <v>43</v>
      </c>
      <c r="D2134" t="str">
        <f>"46"</f>
        <v>46</v>
      </c>
      <c r="E2134" t="str">
        <f>"1-43-46"</f>
        <v>1-43-46</v>
      </c>
      <c r="F2134" t="s">
        <v>65</v>
      </c>
      <c r="G2134" t="s">
        <v>66</v>
      </c>
      <c r="H2134" t="s">
        <v>67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1</v>
      </c>
      <c r="Y2134">
        <v>0</v>
      </c>
      <c r="Z2134">
        <v>1</v>
      </c>
      <c r="AA2134">
        <v>0</v>
      </c>
      <c r="AB2134">
        <v>0</v>
      </c>
      <c r="AC2134">
        <v>1</v>
      </c>
      <c r="AD2134">
        <v>1</v>
      </c>
      <c r="AE2134">
        <v>1</v>
      </c>
      <c r="AF2134">
        <v>1</v>
      </c>
      <c r="AG2134">
        <v>1</v>
      </c>
      <c r="AH2134">
        <v>1</v>
      </c>
      <c r="AI2134">
        <v>1</v>
      </c>
      <c r="AJ2134">
        <v>1</v>
      </c>
      <c r="AK2134">
        <v>1</v>
      </c>
      <c r="AL2134">
        <v>1</v>
      </c>
      <c r="AM2134">
        <v>1</v>
      </c>
    </row>
    <row r="2135" spans="1:39" x14ac:dyDescent="0.2">
      <c r="A2135" t="str">
        <f>"2131"</f>
        <v>2131</v>
      </c>
      <c r="B2135" t="str">
        <f t="shared" si="117"/>
        <v>1</v>
      </c>
      <c r="C2135" t="str">
        <f t="shared" si="118"/>
        <v>43</v>
      </c>
      <c r="D2135" t="str">
        <f>"23"</f>
        <v>23</v>
      </c>
      <c r="E2135" t="str">
        <f>"1-43-23"</f>
        <v>1-43-23</v>
      </c>
      <c r="F2135" t="s">
        <v>65</v>
      </c>
      <c r="G2135" t="s">
        <v>66</v>
      </c>
      <c r="H2135" t="s">
        <v>67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0</v>
      </c>
      <c r="AB2135">
        <v>0</v>
      </c>
      <c r="AC2135">
        <v>1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</row>
    <row r="2136" spans="1:39" x14ac:dyDescent="0.2">
      <c r="A2136" t="str">
        <f>"2132"</f>
        <v>2132</v>
      </c>
      <c r="B2136" t="str">
        <f t="shared" si="117"/>
        <v>1</v>
      </c>
      <c r="C2136" t="str">
        <f t="shared" si="118"/>
        <v>43</v>
      </c>
      <c r="D2136" t="str">
        <f>"13"</f>
        <v>13</v>
      </c>
      <c r="E2136" t="str">
        <f>"1-43-13"</f>
        <v>1-43-13</v>
      </c>
      <c r="F2136" t="s">
        <v>65</v>
      </c>
      <c r="G2136" t="s">
        <v>66</v>
      </c>
      <c r="H2136" t="s">
        <v>67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1</v>
      </c>
      <c r="Y2136">
        <v>0</v>
      </c>
      <c r="Z2136">
        <v>1</v>
      </c>
      <c r="AA2136">
        <v>0</v>
      </c>
      <c r="AB2136">
        <v>1</v>
      </c>
      <c r="AC2136">
        <v>0</v>
      </c>
      <c r="AD2136">
        <v>1</v>
      </c>
      <c r="AE2136">
        <v>1</v>
      </c>
      <c r="AF2136">
        <v>1</v>
      </c>
      <c r="AG2136">
        <v>1</v>
      </c>
      <c r="AH2136">
        <v>1</v>
      </c>
      <c r="AI2136">
        <v>1</v>
      </c>
      <c r="AJ2136">
        <v>1</v>
      </c>
      <c r="AK2136">
        <v>1</v>
      </c>
      <c r="AL2136">
        <v>1</v>
      </c>
      <c r="AM2136">
        <v>1</v>
      </c>
    </row>
    <row r="2137" spans="1:39" x14ac:dyDescent="0.2">
      <c r="A2137" t="str">
        <f>"2133"</f>
        <v>2133</v>
      </c>
      <c r="B2137" t="str">
        <f t="shared" si="117"/>
        <v>1</v>
      </c>
      <c r="C2137" t="str">
        <f t="shared" ref="C2137:C2154" si="119">"43"</f>
        <v>43</v>
      </c>
      <c r="D2137" t="str">
        <f>"47"</f>
        <v>47</v>
      </c>
      <c r="E2137" t="str">
        <f>"1-43-47"</f>
        <v>1-43-47</v>
      </c>
      <c r="F2137" t="s">
        <v>65</v>
      </c>
      <c r="G2137" t="s">
        <v>66</v>
      </c>
      <c r="H2137" t="s">
        <v>67</v>
      </c>
      <c r="S2137">
        <v>0</v>
      </c>
      <c r="T2137">
        <v>1</v>
      </c>
      <c r="U2137">
        <v>0</v>
      </c>
      <c r="V2137">
        <v>0</v>
      </c>
      <c r="W2137">
        <v>1</v>
      </c>
      <c r="X2137">
        <v>0</v>
      </c>
      <c r="Y2137">
        <v>1</v>
      </c>
      <c r="Z2137">
        <v>0</v>
      </c>
      <c r="AA2137">
        <v>0</v>
      </c>
      <c r="AB2137">
        <v>1</v>
      </c>
      <c r="AC2137">
        <v>0</v>
      </c>
      <c r="AD2137">
        <v>1</v>
      </c>
      <c r="AE2137">
        <v>1</v>
      </c>
      <c r="AF2137">
        <v>1</v>
      </c>
      <c r="AG2137">
        <v>1</v>
      </c>
      <c r="AH2137">
        <v>1</v>
      </c>
      <c r="AI2137">
        <v>1</v>
      </c>
      <c r="AJ2137">
        <v>1</v>
      </c>
      <c r="AK2137">
        <v>1</v>
      </c>
      <c r="AL2137">
        <v>1</v>
      </c>
      <c r="AM2137">
        <v>1</v>
      </c>
    </row>
    <row r="2138" spans="1:39" x14ac:dyDescent="0.2">
      <c r="A2138" t="str">
        <f>"2134"</f>
        <v>2134</v>
      </c>
      <c r="B2138" t="str">
        <f t="shared" si="117"/>
        <v>1</v>
      </c>
      <c r="C2138" t="str">
        <f t="shared" si="119"/>
        <v>43</v>
      </c>
      <c r="D2138" t="str">
        <f>"26"</f>
        <v>26</v>
      </c>
      <c r="E2138" t="str">
        <f>"1-43-26"</f>
        <v>1-43-26</v>
      </c>
      <c r="F2138" t="s">
        <v>65</v>
      </c>
      <c r="G2138" t="s">
        <v>66</v>
      </c>
      <c r="H2138" t="s">
        <v>67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1</v>
      </c>
      <c r="Y2138">
        <v>0</v>
      </c>
      <c r="Z2138">
        <v>1</v>
      </c>
      <c r="AA2138">
        <v>0</v>
      </c>
      <c r="AB2138">
        <v>0</v>
      </c>
      <c r="AC2138">
        <v>1</v>
      </c>
      <c r="AD2138">
        <v>1</v>
      </c>
      <c r="AE2138">
        <v>1</v>
      </c>
      <c r="AF2138">
        <v>1</v>
      </c>
      <c r="AG2138">
        <v>1</v>
      </c>
      <c r="AH2138">
        <v>1</v>
      </c>
      <c r="AI2138">
        <v>1</v>
      </c>
      <c r="AJ2138">
        <v>1</v>
      </c>
      <c r="AK2138">
        <v>1</v>
      </c>
      <c r="AL2138">
        <v>1</v>
      </c>
      <c r="AM2138">
        <v>1</v>
      </c>
    </row>
    <row r="2139" spans="1:39" x14ac:dyDescent="0.2">
      <c r="A2139" t="str">
        <f>"2135"</f>
        <v>2135</v>
      </c>
      <c r="B2139" t="str">
        <f t="shared" si="117"/>
        <v>1</v>
      </c>
      <c r="C2139" t="str">
        <f t="shared" si="119"/>
        <v>43</v>
      </c>
      <c r="D2139" t="str">
        <f>"4"</f>
        <v>4</v>
      </c>
      <c r="E2139" t="str">
        <f>"1-43-4"</f>
        <v>1-43-4</v>
      </c>
      <c r="F2139" t="s">
        <v>65</v>
      </c>
      <c r="G2139" t="s">
        <v>66</v>
      </c>
      <c r="H2139" t="s">
        <v>67</v>
      </c>
      <c r="S2139">
        <v>0</v>
      </c>
      <c r="T2139">
        <v>1</v>
      </c>
      <c r="U2139">
        <v>0</v>
      </c>
      <c r="V2139">
        <v>0</v>
      </c>
      <c r="W2139">
        <v>1</v>
      </c>
      <c r="X2139">
        <v>0</v>
      </c>
      <c r="Y2139">
        <v>1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1</v>
      </c>
      <c r="AF2139">
        <v>1</v>
      </c>
      <c r="AG2139">
        <v>1</v>
      </c>
      <c r="AH2139">
        <v>1</v>
      </c>
      <c r="AI2139">
        <v>1</v>
      </c>
      <c r="AJ2139">
        <v>1</v>
      </c>
      <c r="AK2139">
        <v>1</v>
      </c>
      <c r="AL2139">
        <v>1</v>
      </c>
      <c r="AM2139">
        <v>1</v>
      </c>
    </row>
    <row r="2140" spans="1:39" x14ac:dyDescent="0.2">
      <c r="A2140" t="str">
        <f>"2136"</f>
        <v>2136</v>
      </c>
      <c r="B2140" t="str">
        <f t="shared" si="117"/>
        <v>1</v>
      </c>
      <c r="C2140" t="str">
        <f t="shared" si="119"/>
        <v>43</v>
      </c>
      <c r="D2140" t="str">
        <f>"49"</f>
        <v>49</v>
      </c>
      <c r="E2140" t="str">
        <f>"1-43-49"</f>
        <v>1-43-49</v>
      </c>
      <c r="F2140" t="s">
        <v>65</v>
      </c>
      <c r="G2140" t="s">
        <v>66</v>
      </c>
      <c r="H2140" t="s">
        <v>67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0</v>
      </c>
      <c r="AB2140">
        <v>0</v>
      </c>
      <c r="AC2140">
        <v>1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</row>
    <row r="2141" spans="1:39" x14ac:dyDescent="0.2">
      <c r="A2141" t="str">
        <f>"2137"</f>
        <v>2137</v>
      </c>
      <c r="B2141" t="str">
        <f t="shared" si="117"/>
        <v>1</v>
      </c>
      <c r="C2141" t="str">
        <f t="shared" si="119"/>
        <v>43</v>
      </c>
      <c r="D2141" t="str">
        <f>"28"</f>
        <v>28</v>
      </c>
      <c r="E2141" t="str">
        <f>"1-43-28"</f>
        <v>1-43-28</v>
      </c>
      <c r="F2141" t="s">
        <v>65</v>
      </c>
      <c r="G2141" t="s">
        <v>66</v>
      </c>
      <c r="H2141" t="s">
        <v>67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</row>
    <row r="2142" spans="1:39" x14ac:dyDescent="0.2">
      <c r="A2142" t="str">
        <f>"2138"</f>
        <v>2138</v>
      </c>
      <c r="B2142" t="str">
        <f t="shared" si="117"/>
        <v>1</v>
      </c>
      <c r="C2142" t="str">
        <f t="shared" si="119"/>
        <v>43</v>
      </c>
      <c r="D2142" t="str">
        <f>"14"</f>
        <v>14</v>
      </c>
      <c r="E2142" t="str">
        <f>"1-43-14"</f>
        <v>1-43-14</v>
      </c>
      <c r="F2142" t="s">
        <v>65</v>
      </c>
      <c r="G2142" t="s">
        <v>66</v>
      </c>
      <c r="H2142" t="s">
        <v>67</v>
      </c>
      <c r="S2142">
        <v>0</v>
      </c>
      <c r="T2142">
        <v>1</v>
      </c>
      <c r="U2142">
        <v>0</v>
      </c>
      <c r="V2142">
        <v>0</v>
      </c>
      <c r="W2142">
        <v>0</v>
      </c>
      <c r="X2142">
        <v>1</v>
      </c>
      <c r="Y2142">
        <v>1</v>
      </c>
      <c r="Z2142">
        <v>0</v>
      </c>
      <c r="AA2142">
        <v>0</v>
      </c>
      <c r="AB2142">
        <v>1</v>
      </c>
      <c r="AC2142">
        <v>0</v>
      </c>
      <c r="AD2142">
        <v>1</v>
      </c>
      <c r="AE2142">
        <v>1</v>
      </c>
      <c r="AF2142">
        <v>1</v>
      </c>
      <c r="AG2142">
        <v>1</v>
      </c>
      <c r="AH2142">
        <v>1</v>
      </c>
      <c r="AI2142">
        <v>1</v>
      </c>
      <c r="AJ2142">
        <v>1</v>
      </c>
      <c r="AK2142">
        <v>1</v>
      </c>
      <c r="AL2142">
        <v>1</v>
      </c>
      <c r="AM2142">
        <v>1</v>
      </c>
    </row>
    <row r="2143" spans="1:39" x14ac:dyDescent="0.2">
      <c r="A2143" t="str">
        <f>"2139"</f>
        <v>2139</v>
      </c>
      <c r="B2143" t="str">
        <f t="shared" si="117"/>
        <v>1</v>
      </c>
      <c r="C2143" t="str">
        <f t="shared" si="119"/>
        <v>43</v>
      </c>
      <c r="D2143" t="str">
        <f>"48"</f>
        <v>48</v>
      </c>
      <c r="E2143" t="str">
        <f>"1-43-48"</f>
        <v>1-43-48</v>
      </c>
      <c r="F2143" t="s">
        <v>65</v>
      </c>
      <c r="G2143" t="s">
        <v>66</v>
      </c>
      <c r="H2143" t="s">
        <v>67</v>
      </c>
      <c r="S2143">
        <v>0</v>
      </c>
      <c r="T2143">
        <v>1</v>
      </c>
      <c r="U2143">
        <v>0</v>
      </c>
      <c r="V2143">
        <v>0</v>
      </c>
      <c r="W2143">
        <v>1</v>
      </c>
      <c r="X2143">
        <v>0</v>
      </c>
      <c r="Y2143">
        <v>1</v>
      </c>
      <c r="Z2143">
        <v>0</v>
      </c>
      <c r="AA2143">
        <v>0</v>
      </c>
      <c r="AB2143">
        <v>1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1</v>
      </c>
      <c r="AI2143">
        <v>1</v>
      </c>
      <c r="AJ2143">
        <v>1</v>
      </c>
      <c r="AK2143">
        <v>0</v>
      </c>
      <c r="AL2143">
        <v>1</v>
      </c>
      <c r="AM2143">
        <v>1</v>
      </c>
    </row>
    <row r="2144" spans="1:39" x14ac:dyDescent="0.2">
      <c r="A2144" t="str">
        <f>"2140"</f>
        <v>2140</v>
      </c>
      <c r="B2144" t="str">
        <f t="shared" si="117"/>
        <v>1</v>
      </c>
      <c r="C2144" t="str">
        <f t="shared" si="119"/>
        <v>43</v>
      </c>
      <c r="D2144" t="str">
        <f>"29"</f>
        <v>29</v>
      </c>
      <c r="E2144" t="str">
        <f>"1-43-29"</f>
        <v>1-43-29</v>
      </c>
      <c r="F2144" t="s">
        <v>65</v>
      </c>
      <c r="G2144" t="s">
        <v>66</v>
      </c>
      <c r="H2144" t="s">
        <v>67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0</v>
      </c>
      <c r="AB2144">
        <v>1</v>
      </c>
      <c r="AC2144">
        <v>0</v>
      </c>
      <c r="AD2144">
        <v>1</v>
      </c>
      <c r="AE2144">
        <v>1</v>
      </c>
      <c r="AF2144">
        <v>1</v>
      </c>
      <c r="AG2144">
        <v>1</v>
      </c>
      <c r="AH2144">
        <v>1</v>
      </c>
      <c r="AI2144">
        <v>1</v>
      </c>
      <c r="AJ2144">
        <v>1</v>
      </c>
      <c r="AK2144">
        <v>1</v>
      </c>
      <c r="AL2144">
        <v>1</v>
      </c>
      <c r="AM2144">
        <v>1</v>
      </c>
    </row>
    <row r="2145" spans="1:39" x14ac:dyDescent="0.2">
      <c r="A2145" t="str">
        <f>"2141"</f>
        <v>2141</v>
      </c>
      <c r="B2145" t="str">
        <f t="shared" si="117"/>
        <v>1</v>
      </c>
      <c r="C2145" t="str">
        <f t="shared" si="119"/>
        <v>43</v>
      </c>
      <c r="D2145" t="str">
        <f>"9"</f>
        <v>9</v>
      </c>
      <c r="E2145" t="str">
        <f>"1-43-9"</f>
        <v>1-43-9</v>
      </c>
      <c r="F2145" t="s">
        <v>65</v>
      </c>
      <c r="G2145" t="s">
        <v>66</v>
      </c>
      <c r="H2145" t="s">
        <v>67</v>
      </c>
      <c r="S2145">
        <v>0</v>
      </c>
      <c r="T2145">
        <v>1</v>
      </c>
      <c r="U2145">
        <v>0</v>
      </c>
      <c r="V2145">
        <v>0</v>
      </c>
      <c r="W2145">
        <v>0</v>
      </c>
      <c r="X2145">
        <v>1</v>
      </c>
      <c r="Y2145">
        <v>0</v>
      </c>
      <c r="Z2145">
        <v>1</v>
      </c>
      <c r="AA2145">
        <v>0</v>
      </c>
      <c r="AB2145">
        <v>0</v>
      </c>
      <c r="AC2145">
        <v>1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1</v>
      </c>
      <c r="AJ2145">
        <v>0</v>
      </c>
      <c r="AK2145">
        <v>0</v>
      </c>
      <c r="AL2145">
        <v>0</v>
      </c>
      <c r="AM2145">
        <v>0</v>
      </c>
    </row>
    <row r="2146" spans="1:39" x14ac:dyDescent="0.2">
      <c r="A2146" t="str">
        <f>"2142"</f>
        <v>2142</v>
      </c>
      <c r="B2146" t="str">
        <f t="shared" si="117"/>
        <v>1</v>
      </c>
      <c r="C2146" t="str">
        <f t="shared" si="119"/>
        <v>43</v>
      </c>
      <c r="D2146" t="str">
        <f>"30"</f>
        <v>30</v>
      </c>
      <c r="E2146" t="str">
        <f>"1-43-30"</f>
        <v>1-43-30</v>
      </c>
      <c r="F2146" t="s">
        <v>65</v>
      </c>
      <c r="G2146" t="s">
        <v>66</v>
      </c>
      <c r="H2146" t="s">
        <v>67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0</v>
      </c>
      <c r="AB2146">
        <v>1</v>
      </c>
      <c r="AC2146">
        <v>0</v>
      </c>
      <c r="AD2146">
        <v>0</v>
      </c>
      <c r="AE2146">
        <v>0</v>
      </c>
      <c r="AF2146">
        <v>0</v>
      </c>
      <c r="AG2146">
        <v>1</v>
      </c>
      <c r="AH2146">
        <v>1</v>
      </c>
      <c r="AI2146">
        <v>1</v>
      </c>
      <c r="AJ2146">
        <v>1</v>
      </c>
      <c r="AK2146">
        <v>1</v>
      </c>
      <c r="AL2146">
        <v>1</v>
      </c>
      <c r="AM2146">
        <v>1</v>
      </c>
    </row>
    <row r="2147" spans="1:39" x14ac:dyDescent="0.2">
      <c r="A2147" t="str">
        <f>"2143"</f>
        <v>2143</v>
      </c>
      <c r="B2147" t="str">
        <f t="shared" si="117"/>
        <v>1</v>
      </c>
      <c r="C2147" t="str">
        <f t="shared" si="119"/>
        <v>43</v>
      </c>
      <c r="D2147" t="str">
        <f>"11"</f>
        <v>11</v>
      </c>
      <c r="E2147" t="str">
        <f>"1-43-11"</f>
        <v>1-43-11</v>
      </c>
      <c r="F2147" t="s">
        <v>65</v>
      </c>
      <c r="G2147" t="s">
        <v>66</v>
      </c>
      <c r="H2147" t="s">
        <v>67</v>
      </c>
      <c r="S2147">
        <v>0</v>
      </c>
      <c r="T2147">
        <v>1</v>
      </c>
      <c r="U2147">
        <v>0</v>
      </c>
      <c r="V2147">
        <v>0</v>
      </c>
      <c r="W2147">
        <v>0</v>
      </c>
      <c r="X2147">
        <v>1</v>
      </c>
      <c r="Y2147">
        <v>0</v>
      </c>
      <c r="Z2147">
        <v>1</v>
      </c>
      <c r="AA2147">
        <v>0</v>
      </c>
      <c r="AB2147">
        <v>0</v>
      </c>
      <c r="AC2147">
        <v>1</v>
      </c>
      <c r="AD2147">
        <v>1</v>
      </c>
      <c r="AE2147">
        <v>1</v>
      </c>
      <c r="AF2147">
        <v>1</v>
      </c>
      <c r="AG2147">
        <v>1</v>
      </c>
      <c r="AH2147">
        <v>1</v>
      </c>
      <c r="AI2147">
        <v>1</v>
      </c>
      <c r="AJ2147">
        <v>1</v>
      </c>
      <c r="AK2147">
        <v>1</v>
      </c>
      <c r="AL2147">
        <v>1</v>
      </c>
      <c r="AM2147">
        <v>1</v>
      </c>
    </row>
    <row r="2148" spans="1:39" x14ac:dyDescent="0.2">
      <c r="A2148" t="str">
        <f>"2144"</f>
        <v>2144</v>
      </c>
      <c r="B2148" t="str">
        <f t="shared" si="117"/>
        <v>1</v>
      </c>
      <c r="C2148" t="str">
        <f t="shared" si="119"/>
        <v>43</v>
      </c>
      <c r="D2148" t="str">
        <f>"31"</f>
        <v>31</v>
      </c>
      <c r="E2148" t="str">
        <f>"1-43-31"</f>
        <v>1-43-31</v>
      </c>
      <c r="F2148" t="s">
        <v>65</v>
      </c>
      <c r="G2148" t="s">
        <v>66</v>
      </c>
      <c r="H2148" t="s">
        <v>67</v>
      </c>
      <c r="S2148">
        <v>0</v>
      </c>
      <c r="T2148">
        <v>1</v>
      </c>
      <c r="U2148">
        <v>0</v>
      </c>
      <c r="V2148">
        <v>0</v>
      </c>
      <c r="W2148">
        <v>0</v>
      </c>
      <c r="X2148">
        <v>1</v>
      </c>
      <c r="Y2148">
        <v>0</v>
      </c>
      <c r="Z2148">
        <v>1</v>
      </c>
      <c r="AA2148">
        <v>0</v>
      </c>
      <c r="AB2148">
        <v>0</v>
      </c>
      <c r="AC2148">
        <v>1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</row>
    <row r="2149" spans="1:39" x14ac:dyDescent="0.2">
      <c r="A2149" t="str">
        <f>"2145"</f>
        <v>2145</v>
      </c>
      <c r="B2149" t="str">
        <f t="shared" si="117"/>
        <v>1</v>
      </c>
      <c r="C2149" t="str">
        <f t="shared" si="119"/>
        <v>43</v>
      </c>
      <c r="D2149" t="str">
        <f>"3"</f>
        <v>3</v>
      </c>
      <c r="E2149" t="str">
        <f>"1-43-3"</f>
        <v>1-43-3</v>
      </c>
      <c r="F2149" t="s">
        <v>65</v>
      </c>
      <c r="G2149" t="s">
        <v>66</v>
      </c>
      <c r="H2149" t="s">
        <v>67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1</v>
      </c>
      <c r="Y2149">
        <v>0</v>
      </c>
      <c r="Z2149">
        <v>1</v>
      </c>
      <c r="AA2149">
        <v>0</v>
      </c>
      <c r="AB2149">
        <v>0</v>
      </c>
      <c r="AC2149">
        <v>1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</row>
    <row r="2150" spans="1:39" x14ac:dyDescent="0.2">
      <c r="A2150" t="str">
        <f>"2146"</f>
        <v>2146</v>
      </c>
      <c r="B2150" t="str">
        <f t="shared" si="117"/>
        <v>1</v>
      </c>
      <c r="C2150" t="str">
        <f t="shared" si="119"/>
        <v>43</v>
      </c>
      <c r="D2150" t="str">
        <f>"50"</f>
        <v>50</v>
      </c>
      <c r="E2150" t="str">
        <f>"1-43-50"</f>
        <v>1-43-50</v>
      </c>
      <c r="F2150" t="s">
        <v>65</v>
      </c>
      <c r="G2150" t="s">
        <v>66</v>
      </c>
      <c r="H2150" t="s">
        <v>67</v>
      </c>
      <c r="S2150">
        <v>0</v>
      </c>
      <c r="T2150">
        <v>1</v>
      </c>
      <c r="U2150">
        <v>0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0</v>
      </c>
      <c r="AB2150">
        <v>0</v>
      </c>
      <c r="AC2150">
        <v>1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</row>
    <row r="2151" spans="1:39" x14ac:dyDescent="0.2">
      <c r="A2151" t="str">
        <f>"2147"</f>
        <v>2147</v>
      </c>
      <c r="B2151" t="str">
        <f t="shared" si="117"/>
        <v>1</v>
      </c>
      <c r="C2151" t="str">
        <f t="shared" si="119"/>
        <v>43</v>
      </c>
      <c r="D2151" t="str">
        <f>"32"</f>
        <v>32</v>
      </c>
      <c r="E2151" t="str">
        <f>"1-43-32"</f>
        <v>1-43-32</v>
      </c>
      <c r="F2151" t="s">
        <v>65</v>
      </c>
      <c r="G2151" t="s">
        <v>66</v>
      </c>
      <c r="H2151" t="s">
        <v>67</v>
      </c>
      <c r="S2151">
        <v>0</v>
      </c>
      <c r="T2151">
        <v>1</v>
      </c>
      <c r="U2151">
        <v>0</v>
      </c>
      <c r="V2151">
        <v>0</v>
      </c>
      <c r="W2151">
        <v>0</v>
      </c>
      <c r="X2151">
        <v>1</v>
      </c>
      <c r="Y2151">
        <v>0</v>
      </c>
      <c r="Z2151">
        <v>1</v>
      </c>
      <c r="AA2151">
        <v>0</v>
      </c>
      <c r="AB2151">
        <v>0</v>
      </c>
      <c r="AC2151">
        <v>1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</row>
    <row r="2152" spans="1:39" x14ac:dyDescent="0.2">
      <c r="A2152" t="str">
        <f>"2148"</f>
        <v>2148</v>
      </c>
      <c r="B2152" t="str">
        <f t="shared" si="117"/>
        <v>1</v>
      </c>
      <c r="C2152" t="str">
        <f t="shared" si="119"/>
        <v>43</v>
      </c>
      <c r="D2152" t="str">
        <f>"8"</f>
        <v>8</v>
      </c>
      <c r="E2152" t="str">
        <f>"1-43-8"</f>
        <v>1-43-8</v>
      </c>
      <c r="F2152" t="s">
        <v>65</v>
      </c>
      <c r="G2152" t="s">
        <v>66</v>
      </c>
      <c r="H2152" t="s">
        <v>67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</row>
    <row r="2153" spans="1:39" x14ac:dyDescent="0.2">
      <c r="A2153" t="str">
        <f>"2149"</f>
        <v>2149</v>
      </c>
      <c r="B2153" t="str">
        <f t="shared" si="117"/>
        <v>1</v>
      </c>
      <c r="C2153" t="str">
        <f t="shared" si="119"/>
        <v>43</v>
      </c>
      <c r="D2153" t="str">
        <f>"43"</f>
        <v>43</v>
      </c>
      <c r="E2153" t="str">
        <f>"1-43-43"</f>
        <v>1-43-43</v>
      </c>
      <c r="F2153" t="s">
        <v>65</v>
      </c>
      <c r="G2153" t="s">
        <v>66</v>
      </c>
      <c r="H2153" t="s">
        <v>67</v>
      </c>
      <c r="S2153">
        <v>1</v>
      </c>
      <c r="T2153">
        <v>0</v>
      </c>
      <c r="U2153">
        <v>0</v>
      </c>
      <c r="V2153">
        <v>0</v>
      </c>
      <c r="W2153">
        <v>1</v>
      </c>
      <c r="X2153">
        <v>0</v>
      </c>
      <c r="Y2153">
        <v>0</v>
      </c>
      <c r="Z2153">
        <v>1</v>
      </c>
      <c r="AA2153">
        <v>0</v>
      </c>
      <c r="AB2153">
        <v>0</v>
      </c>
      <c r="AC2153">
        <v>1</v>
      </c>
      <c r="AD2153">
        <v>0</v>
      </c>
      <c r="AE2153">
        <v>0</v>
      </c>
      <c r="AF2153">
        <v>0</v>
      </c>
      <c r="AG2153">
        <v>1</v>
      </c>
      <c r="AH2153">
        <v>0</v>
      </c>
      <c r="AI2153">
        <v>1</v>
      </c>
      <c r="AJ2153">
        <v>1</v>
      </c>
      <c r="AK2153">
        <v>1</v>
      </c>
      <c r="AL2153">
        <v>1</v>
      </c>
      <c r="AM2153">
        <v>0</v>
      </c>
    </row>
    <row r="2154" spans="1:39" x14ac:dyDescent="0.2">
      <c r="A2154" t="str">
        <f>"2150"</f>
        <v>2150</v>
      </c>
      <c r="B2154" t="str">
        <f t="shared" si="117"/>
        <v>1</v>
      </c>
      <c r="C2154" t="str">
        <f t="shared" si="119"/>
        <v>43</v>
      </c>
      <c r="D2154" t="str">
        <f>"17"</f>
        <v>17</v>
      </c>
      <c r="E2154" t="str">
        <f>"1-43-17"</f>
        <v>1-43-17</v>
      </c>
      <c r="F2154" t="s">
        <v>65</v>
      </c>
      <c r="G2154" t="s">
        <v>66</v>
      </c>
      <c r="H2154" t="s">
        <v>67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1</v>
      </c>
      <c r="Y2154">
        <v>0</v>
      </c>
      <c r="Z2154">
        <v>1</v>
      </c>
      <c r="AA2154">
        <v>0</v>
      </c>
      <c r="AB2154">
        <v>0</v>
      </c>
      <c r="AC2154">
        <v>1</v>
      </c>
      <c r="AD2154">
        <v>1</v>
      </c>
      <c r="AE2154">
        <v>1</v>
      </c>
      <c r="AF2154">
        <v>1</v>
      </c>
      <c r="AG2154">
        <v>1</v>
      </c>
      <c r="AH2154">
        <v>1</v>
      </c>
      <c r="AI2154">
        <v>1</v>
      </c>
      <c r="AJ2154">
        <v>1</v>
      </c>
      <c r="AK2154">
        <v>1</v>
      </c>
      <c r="AL2154">
        <v>1</v>
      </c>
      <c r="AM2154">
        <v>1</v>
      </c>
    </row>
    <row r="2155" spans="1:39" x14ac:dyDescent="0.2">
      <c r="A2155" t="str">
        <f>"2151"</f>
        <v>2151</v>
      </c>
      <c r="B2155" t="str">
        <f t="shared" si="117"/>
        <v>1</v>
      </c>
      <c r="C2155" t="str">
        <f t="shared" ref="C2155:C2186" si="120">"44"</f>
        <v>44</v>
      </c>
      <c r="D2155" t="str">
        <f>"36"</f>
        <v>36</v>
      </c>
      <c r="E2155" t="str">
        <f>"1-44-36"</f>
        <v>1-44-36</v>
      </c>
      <c r="F2155" t="s">
        <v>65</v>
      </c>
      <c r="G2155" t="s">
        <v>66</v>
      </c>
      <c r="H2155" t="s">
        <v>67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</row>
    <row r="2156" spans="1:39" x14ac:dyDescent="0.2">
      <c r="A2156" t="str">
        <f>"2152"</f>
        <v>2152</v>
      </c>
      <c r="B2156" t="str">
        <f t="shared" si="117"/>
        <v>1</v>
      </c>
      <c r="C2156" t="str">
        <f t="shared" si="120"/>
        <v>44</v>
      </c>
      <c r="D2156" t="str">
        <f>"35"</f>
        <v>35</v>
      </c>
      <c r="E2156" t="str">
        <f>"1-44-35"</f>
        <v>1-44-35</v>
      </c>
      <c r="F2156" t="s">
        <v>65</v>
      </c>
      <c r="G2156" t="s">
        <v>66</v>
      </c>
      <c r="H2156" t="s">
        <v>67</v>
      </c>
      <c r="S2156">
        <v>0</v>
      </c>
      <c r="T2156">
        <v>1</v>
      </c>
      <c r="U2156">
        <v>0</v>
      </c>
      <c r="V2156">
        <v>0</v>
      </c>
      <c r="W2156">
        <v>1</v>
      </c>
      <c r="X2156">
        <v>0</v>
      </c>
      <c r="Y2156">
        <v>0</v>
      </c>
      <c r="Z2156">
        <v>1</v>
      </c>
      <c r="AA2156">
        <v>1</v>
      </c>
      <c r="AB2156">
        <v>0</v>
      </c>
      <c r="AC2156">
        <v>0</v>
      </c>
      <c r="AD2156">
        <v>1</v>
      </c>
      <c r="AE2156">
        <v>1</v>
      </c>
      <c r="AF2156">
        <v>1</v>
      </c>
      <c r="AG2156">
        <v>1</v>
      </c>
      <c r="AH2156">
        <v>1</v>
      </c>
      <c r="AI2156">
        <v>1</v>
      </c>
      <c r="AJ2156">
        <v>1</v>
      </c>
      <c r="AK2156">
        <v>1</v>
      </c>
      <c r="AL2156">
        <v>1</v>
      </c>
      <c r="AM2156">
        <v>1</v>
      </c>
    </row>
    <row r="2157" spans="1:39" x14ac:dyDescent="0.2">
      <c r="A2157" t="str">
        <f>"2153"</f>
        <v>2153</v>
      </c>
      <c r="B2157" t="str">
        <f t="shared" si="117"/>
        <v>1</v>
      </c>
      <c r="C2157" t="str">
        <f t="shared" si="120"/>
        <v>44</v>
      </c>
      <c r="D2157" t="str">
        <f>"25"</f>
        <v>25</v>
      </c>
      <c r="E2157" t="str">
        <f>"1-44-25"</f>
        <v>1-44-25</v>
      </c>
      <c r="F2157" t="s">
        <v>65</v>
      </c>
      <c r="G2157" t="s">
        <v>66</v>
      </c>
      <c r="H2157" t="s">
        <v>67</v>
      </c>
      <c r="S2157">
        <v>1</v>
      </c>
      <c r="T2157">
        <v>0</v>
      </c>
      <c r="U2157">
        <v>0</v>
      </c>
      <c r="V2157">
        <v>0</v>
      </c>
      <c r="W2157">
        <v>0</v>
      </c>
      <c r="X2157">
        <v>1</v>
      </c>
      <c r="Y2157">
        <v>0</v>
      </c>
      <c r="Z2157">
        <v>1</v>
      </c>
      <c r="AA2157">
        <v>0</v>
      </c>
      <c r="AB2157">
        <v>0</v>
      </c>
      <c r="AC2157">
        <v>1</v>
      </c>
      <c r="AD2157">
        <v>1</v>
      </c>
      <c r="AE2157">
        <v>1</v>
      </c>
      <c r="AF2157">
        <v>1</v>
      </c>
      <c r="AG2157">
        <v>1</v>
      </c>
      <c r="AH2157">
        <v>1</v>
      </c>
      <c r="AI2157">
        <v>1</v>
      </c>
      <c r="AJ2157">
        <v>1</v>
      </c>
      <c r="AK2157">
        <v>1</v>
      </c>
      <c r="AL2157">
        <v>1</v>
      </c>
      <c r="AM2157">
        <v>1</v>
      </c>
    </row>
    <row r="2158" spans="1:39" x14ac:dyDescent="0.2">
      <c r="A2158" t="str">
        <f>"2154"</f>
        <v>2154</v>
      </c>
      <c r="B2158" t="str">
        <f t="shared" si="117"/>
        <v>1</v>
      </c>
      <c r="C2158" t="str">
        <f t="shared" si="120"/>
        <v>44</v>
      </c>
      <c r="D2158" t="str">
        <f>"15"</f>
        <v>15</v>
      </c>
      <c r="E2158" t="str">
        <f>"1-44-15"</f>
        <v>1-44-15</v>
      </c>
      <c r="F2158" t="s">
        <v>65</v>
      </c>
      <c r="G2158" t="s">
        <v>66</v>
      </c>
      <c r="H2158" t="s">
        <v>67</v>
      </c>
      <c r="S2158">
        <v>1</v>
      </c>
      <c r="T2158">
        <v>0</v>
      </c>
      <c r="U2158">
        <v>0</v>
      </c>
      <c r="V2158">
        <v>0</v>
      </c>
      <c r="W2158">
        <v>1</v>
      </c>
      <c r="X2158">
        <v>0</v>
      </c>
      <c r="Y2158">
        <v>1</v>
      </c>
      <c r="Z2158">
        <v>0</v>
      </c>
      <c r="AA2158">
        <v>0</v>
      </c>
      <c r="AB2158">
        <v>1</v>
      </c>
      <c r="AC2158">
        <v>0</v>
      </c>
      <c r="AD2158">
        <v>1</v>
      </c>
      <c r="AE2158">
        <v>1</v>
      </c>
      <c r="AF2158">
        <v>1</v>
      </c>
      <c r="AG2158">
        <v>1</v>
      </c>
      <c r="AH2158">
        <v>1</v>
      </c>
      <c r="AI2158">
        <v>1</v>
      </c>
      <c r="AJ2158">
        <v>1</v>
      </c>
      <c r="AK2158">
        <v>1</v>
      </c>
      <c r="AL2158">
        <v>1</v>
      </c>
      <c r="AM2158">
        <v>1</v>
      </c>
    </row>
    <row r="2159" spans="1:39" x14ac:dyDescent="0.2">
      <c r="A2159" t="str">
        <f>"2155"</f>
        <v>2155</v>
      </c>
      <c r="B2159" t="str">
        <f t="shared" si="117"/>
        <v>1</v>
      </c>
      <c r="C2159" t="str">
        <f t="shared" si="120"/>
        <v>44</v>
      </c>
      <c r="D2159" t="str">
        <f>"4"</f>
        <v>4</v>
      </c>
      <c r="E2159" t="str">
        <f>"1-44-4"</f>
        <v>1-44-4</v>
      </c>
      <c r="F2159" t="s">
        <v>65</v>
      </c>
      <c r="G2159" t="s">
        <v>66</v>
      </c>
      <c r="H2159" t="s">
        <v>67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0</v>
      </c>
      <c r="AB2159">
        <v>1</v>
      </c>
      <c r="AC2159">
        <v>0</v>
      </c>
      <c r="AD2159">
        <v>0</v>
      </c>
      <c r="AE2159">
        <v>0</v>
      </c>
      <c r="AF2159">
        <v>0</v>
      </c>
      <c r="AG2159">
        <v>1</v>
      </c>
      <c r="AH2159">
        <v>1</v>
      </c>
      <c r="AI2159">
        <v>1</v>
      </c>
      <c r="AJ2159">
        <v>1</v>
      </c>
      <c r="AK2159">
        <v>1</v>
      </c>
      <c r="AL2159">
        <v>1</v>
      </c>
      <c r="AM2159">
        <v>1</v>
      </c>
    </row>
    <row r="2160" spans="1:39" x14ac:dyDescent="0.2">
      <c r="A2160" t="str">
        <f>"2156"</f>
        <v>2156</v>
      </c>
      <c r="B2160" t="str">
        <f t="shared" si="117"/>
        <v>1</v>
      </c>
      <c r="C2160" t="str">
        <f t="shared" si="120"/>
        <v>44</v>
      </c>
      <c r="D2160" t="str">
        <f>"38"</f>
        <v>38</v>
      </c>
      <c r="E2160" t="str">
        <f>"1-44-38"</f>
        <v>1-44-38</v>
      </c>
      <c r="F2160" t="s">
        <v>65</v>
      </c>
      <c r="G2160" t="s">
        <v>66</v>
      </c>
      <c r="H2160" t="s">
        <v>67</v>
      </c>
      <c r="S2160">
        <v>0</v>
      </c>
      <c r="T2160">
        <v>1</v>
      </c>
      <c r="U2160">
        <v>0</v>
      </c>
      <c r="V2160">
        <v>0</v>
      </c>
      <c r="W2160">
        <v>1</v>
      </c>
      <c r="X2160">
        <v>0</v>
      </c>
      <c r="Y2160">
        <v>1</v>
      </c>
      <c r="Z2160">
        <v>0</v>
      </c>
      <c r="AA2160">
        <v>0</v>
      </c>
      <c r="AB2160">
        <v>0</v>
      </c>
      <c r="AC2160">
        <v>1</v>
      </c>
      <c r="AD2160">
        <v>1</v>
      </c>
      <c r="AE2160">
        <v>1</v>
      </c>
      <c r="AF2160">
        <v>1</v>
      </c>
      <c r="AG2160">
        <v>1</v>
      </c>
      <c r="AH2160">
        <v>1</v>
      </c>
      <c r="AI2160">
        <v>1</v>
      </c>
      <c r="AJ2160">
        <v>1</v>
      </c>
      <c r="AK2160">
        <v>1</v>
      </c>
      <c r="AL2160">
        <v>1</v>
      </c>
      <c r="AM2160">
        <v>1</v>
      </c>
    </row>
    <row r="2161" spans="1:39" x14ac:dyDescent="0.2">
      <c r="A2161" t="str">
        <f>"2157"</f>
        <v>2157</v>
      </c>
      <c r="B2161" t="str">
        <f t="shared" si="117"/>
        <v>1</v>
      </c>
      <c r="C2161" t="str">
        <f t="shared" si="120"/>
        <v>44</v>
      </c>
      <c r="D2161" t="str">
        <f>"37"</f>
        <v>37</v>
      </c>
      <c r="E2161" t="str">
        <f>"1-44-37"</f>
        <v>1-44-37</v>
      </c>
      <c r="F2161" t="s">
        <v>65</v>
      </c>
      <c r="G2161" t="s">
        <v>66</v>
      </c>
      <c r="H2161" t="s">
        <v>67</v>
      </c>
      <c r="S2161">
        <v>0</v>
      </c>
      <c r="T2161">
        <v>1</v>
      </c>
      <c r="U2161">
        <v>0</v>
      </c>
      <c r="V2161">
        <v>0</v>
      </c>
      <c r="W2161">
        <v>1</v>
      </c>
      <c r="X2161">
        <v>0</v>
      </c>
      <c r="Y2161">
        <v>0</v>
      </c>
      <c r="Z2161">
        <v>1</v>
      </c>
      <c r="AA2161">
        <v>0</v>
      </c>
      <c r="AB2161">
        <v>0</v>
      </c>
      <c r="AC2161">
        <v>1</v>
      </c>
      <c r="AD2161">
        <v>1</v>
      </c>
      <c r="AE2161">
        <v>1</v>
      </c>
      <c r="AF2161">
        <v>0</v>
      </c>
      <c r="AG2161">
        <v>1</v>
      </c>
      <c r="AH2161">
        <v>1</v>
      </c>
      <c r="AI2161">
        <v>1</v>
      </c>
      <c r="AJ2161">
        <v>1</v>
      </c>
      <c r="AK2161">
        <v>1</v>
      </c>
      <c r="AL2161">
        <v>1</v>
      </c>
      <c r="AM2161">
        <v>1</v>
      </c>
    </row>
    <row r="2162" spans="1:39" x14ac:dyDescent="0.2">
      <c r="A2162" t="str">
        <f>"2158"</f>
        <v>2158</v>
      </c>
      <c r="B2162" t="str">
        <f t="shared" si="117"/>
        <v>1</v>
      </c>
      <c r="C2162" t="str">
        <f t="shared" si="120"/>
        <v>44</v>
      </c>
      <c r="D2162" t="str">
        <f>"28"</f>
        <v>28</v>
      </c>
      <c r="E2162" t="str">
        <f>"1-44-28"</f>
        <v>1-44-28</v>
      </c>
      <c r="F2162" t="s">
        <v>65</v>
      </c>
      <c r="G2162" t="s">
        <v>66</v>
      </c>
      <c r="H2162" t="s">
        <v>67</v>
      </c>
      <c r="S2162">
        <v>0</v>
      </c>
      <c r="T2162">
        <v>1</v>
      </c>
      <c r="U2162">
        <v>0</v>
      </c>
      <c r="V2162">
        <v>0</v>
      </c>
      <c r="W2162">
        <v>1</v>
      </c>
      <c r="X2162">
        <v>0</v>
      </c>
      <c r="Y2162">
        <v>1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1</v>
      </c>
      <c r="AF2162">
        <v>1</v>
      </c>
      <c r="AG2162">
        <v>1</v>
      </c>
      <c r="AH2162">
        <v>1</v>
      </c>
      <c r="AI2162">
        <v>1</v>
      </c>
      <c r="AJ2162">
        <v>1</v>
      </c>
      <c r="AK2162">
        <v>1</v>
      </c>
      <c r="AL2162">
        <v>1</v>
      </c>
      <c r="AM2162">
        <v>1</v>
      </c>
    </row>
    <row r="2163" spans="1:39" x14ac:dyDescent="0.2">
      <c r="A2163" t="str">
        <f>"2159"</f>
        <v>2159</v>
      </c>
      <c r="B2163" t="str">
        <f t="shared" si="117"/>
        <v>1</v>
      </c>
      <c r="C2163" t="str">
        <f t="shared" si="120"/>
        <v>44</v>
      </c>
      <c r="D2163" t="str">
        <f>"16"</f>
        <v>16</v>
      </c>
      <c r="E2163" t="str">
        <f>"1-44-16"</f>
        <v>1-44-16</v>
      </c>
      <c r="F2163" t="s">
        <v>65</v>
      </c>
      <c r="G2163" t="s">
        <v>66</v>
      </c>
      <c r="H2163" t="s">
        <v>67</v>
      </c>
      <c r="S2163">
        <v>1</v>
      </c>
      <c r="T2163">
        <v>0</v>
      </c>
      <c r="U2163">
        <v>0</v>
      </c>
      <c r="V2163">
        <v>0</v>
      </c>
      <c r="W2163">
        <v>1</v>
      </c>
      <c r="X2163">
        <v>0</v>
      </c>
      <c r="Y2163">
        <v>1</v>
      </c>
      <c r="Z2163">
        <v>0</v>
      </c>
      <c r="AA2163">
        <v>0</v>
      </c>
      <c r="AB2163">
        <v>1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</row>
    <row r="2164" spans="1:39" x14ac:dyDescent="0.2">
      <c r="A2164" t="str">
        <f>"2160"</f>
        <v>2160</v>
      </c>
      <c r="B2164" t="str">
        <f t="shared" si="117"/>
        <v>1</v>
      </c>
      <c r="C2164" t="str">
        <f t="shared" si="120"/>
        <v>44</v>
      </c>
      <c r="D2164" t="str">
        <f>"7"</f>
        <v>7</v>
      </c>
      <c r="E2164" t="str">
        <f>"1-44-7"</f>
        <v>1-44-7</v>
      </c>
      <c r="F2164" t="s">
        <v>65</v>
      </c>
      <c r="G2164" t="s">
        <v>66</v>
      </c>
      <c r="H2164" t="s">
        <v>67</v>
      </c>
      <c r="S2164">
        <v>0</v>
      </c>
      <c r="T2164">
        <v>1</v>
      </c>
      <c r="U2164">
        <v>0</v>
      </c>
      <c r="V2164">
        <v>0</v>
      </c>
      <c r="W2164">
        <v>1</v>
      </c>
      <c r="X2164">
        <v>0</v>
      </c>
      <c r="Y2164">
        <v>1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</row>
    <row r="2165" spans="1:39" x14ac:dyDescent="0.2">
      <c r="A2165" t="str">
        <f>"2161"</f>
        <v>2161</v>
      </c>
      <c r="B2165" t="str">
        <f t="shared" si="117"/>
        <v>1</v>
      </c>
      <c r="C2165" t="str">
        <f t="shared" si="120"/>
        <v>44</v>
      </c>
      <c r="D2165" t="str">
        <f>"46"</f>
        <v>46</v>
      </c>
      <c r="E2165" t="str">
        <f>"1-44-46"</f>
        <v>1-44-46</v>
      </c>
      <c r="F2165" t="s">
        <v>65</v>
      </c>
      <c r="G2165" t="s">
        <v>66</v>
      </c>
      <c r="H2165" t="s">
        <v>67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0</v>
      </c>
      <c r="AB2165">
        <v>1</v>
      </c>
      <c r="AC2165">
        <v>0</v>
      </c>
      <c r="AD2165">
        <v>0</v>
      </c>
      <c r="AE2165">
        <v>0</v>
      </c>
      <c r="AF2165">
        <v>0</v>
      </c>
      <c r="AG2165">
        <v>1</v>
      </c>
      <c r="AH2165">
        <v>1</v>
      </c>
      <c r="AI2165">
        <v>1</v>
      </c>
      <c r="AJ2165">
        <v>0</v>
      </c>
      <c r="AK2165">
        <v>0</v>
      </c>
      <c r="AL2165">
        <v>0</v>
      </c>
      <c r="AM2165">
        <v>0</v>
      </c>
    </row>
    <row r="2166" spans="1:39" x14ac:dyDescent="0.2">
      <c r="A2166" t="str">
        <f>"2162"</f>
        <v>2162</v>
      </c>
      <c r="B2166" t="str">
        <f t="shared" si="117"/>
        <v>1</v>
      </c>
      <c r="C2166" t="str">
        <f t="shared" si="120"/>
        <v>44</v>
      </c>
      <c r="D2166" t="str">
        <f>"45"</f>
        <v>45</v>
      </c>
      <c r="E2166" t="str">
        <f>"1-44-45"</f>
        <v>1-44-45</v>
      </c>
      <c r="F2166" t="s">
        <v>65</v>
      </c>
      <c r="G2166" t="s">
        <v>66</v>
      </c>
      <c r="H2166" t="s">
        <v>67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0</v>
      </c>
      <c r="AB2166">
        <v>0</v>
      </c>
      <c r="AC2166">
        <v>1</v>
      </c>
      <c r="AD2166">
        <v>0</v>
      </c>
      <c r="AE2166">
        <v>0</v>
      </c>
      <c r="AF2166">
        <v>0</v>
      </c>
      <c r="AG2166">
        <v>0</v>
      </c>
      <c r="AH2166">
        <v>1</v>
      </c>
      <c r="AI2166">
        <v>0</v>
      </c>
      <c r="AJ2166">
        <v>0</v>
      </c>
      <c r="AK2166">
        <v>0</v>
      </c>
      <c r="AL2166">
        <v>0</v>
      </c>
      <c r="AM2166">
        <v>0</v>
      </c>
    </row>
    <row r="2167" spans="1:39" x14ac:dyDescent="0.2">
      <c r="A2167" t="str">
        <f>"2163"</f>
        <v>2163</v>
      </c>
      <c r="B2167" t="str">
        <f t="shared" ref="B2167:B2230" si="121">"1"</f>
        <v>1</v>
      </c>
      <c r="C2167" t="str">
        <f t="shared" si="120"/>
        <v>44</v>
      </c>
      <c r="D2167" t="str">
        <f>"32"</f>
        <v>32</v>
      </c>
      <c r="E2167" t="str">
        <f>"1-44-32"</f>
        <v>1-44-32</v>
      </c>
      <c r="F2167" t="s">
        <v>65</v>
      </c>
      <c r="G2167" t="s">
        <v>66</v>
      </c>
      <c r="H2167" t="s">
        <v>67</v>
      </c>
      <c r="S2167">
        <v>1</v>
      </c>
      <c r="T2167">
        <v>0</v>
      </c>
      <c r="U2167">
        <v>0</v>
      </c>
      <c r="V2167">
        <v>0</v>
      </c>
      <c r="W2167">
        <v>0</v>
      </c>
      <c r="X2167">
        <v>1</v>
      </c>
      <c r="Y2167">
        <v>1</v>
      </c>
      <c r="Z2167">
        <v>0</v>
      </c>
      <c r="AA2167">
        <v>1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</row>
    <row r="2168" spans="1:39" x14ac:dyDescent="0.2">
      <c r="A2168" t="str">
        <f>"2164"</f>
        <v>2164</v>
      </c>
      <c r="B2168" t="str">
        <f t="shared" si="121"/>
        <v>1</v>
      </c>
      <c r="C2168" t="str">
        <f t="shared" si="120"/>
        <v>44</v>
      </c>
      <c r="D2168" t="str">
        <f>"17"</f>
        <v>17</v>
      </c>
      <c r="E2168" t="str">
        <f>"1-44-17"</f>
        <v>1-44-17</v>
      </c>
      <c r="F2168" t="s">
        <v>65</v>
      </c>
      <c r="G2168" t="s">
        <v>66</v>
      </c>
      <c r="H2168" t="s">
        <v>67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0</v>
      </c>
      <c r="AB2168">
        <v>0</v>
      </c>
      <c r="AC2168">
        <v>1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</row>
    <row r="2169" spans="1:39" x14ac:dyDescent="0.2">
      <c r="A2169" t="str">
        <f>"2165"</f>
        <v>2165</v>
      </c>
      <c r="B2169" t="str">
        <f t="shared" si="121"/>
        <v>1</v>
      </c>
      <c r="C2169" t="str">
        <f t="shared" si="120"/>
        <v>44</v>
      </c>
      <c r="D2169" t="str">
        <f>"12"</f>
        <v>12</v>
      </c>
      <c r="E2169" t="str">
        <f>"1-44-12"</f>
        <v>1-44-12</v>
      </c>
      <c r="F2169" t="s">
        <v>65</v>
      </c>
      <c r="G2169" t="s">
        <v>66</v>
      </c>
      <c r="H2169" t="s">
        <v>67</v>
      </c>
      <c r="S2169">
        <v>0</v>
      </c>
      <c r="T2169">
        <v>1</v>
      </c>
      <c r="U2169">
        <v>0</v>
      </c>
      <c r="V2169">
        <v>0</v>
      </c>
      <c r="W2169">
        <v>0</v>
      </c>
      <c r="X2169">
        <v>1</v>
      </c>
      <c r="Y2169">
        <v>0</v>
      </c>
      <c r="Z2169">
        <v>1</v>
      </c>
      <c r="AA2169">
        <v>0</v>
      </c>
      <c r="AB2169">
        <v>0</v>
      </c>
      <c r="AC2169">
        <v>1</v>
      </c>
      <c r="AD2169">
        <v>0</v>
      </c>
      <c r="AE2169">
        <v>0</v>
      </c>
      <c r="AF2169">
        <v>0</v>
      </c>
      <c r="AG2169">
        <v>1</v>
      </c>
      <c r="AH2169">
        <v>1</v>
      </c>
      <c r="AI2169">
        <v>1</v>
      </c>
      <c r="AJ2169">
        <v>1</v>
      </c>
      <c r="AK2169">
        <v>0</v>
      </c>
      <c r="AL2169">
        <v>0</v>
      </c>
      <c r="AM2169">
        <v>1</v>
      </c>
    </row>
    <row r="2170" spans="1:39" x14ac:dyDescent="0.2">
      <c r="A2170" t="str">
        <f>"2166"</f>
        <v>2166</v>
      </c>
      <c r="B2170" t="str">
        <f t="shared" si="121"/>
        <v>1</v>
      </c>
      <c r="C2170" t="str">
        <f t="shared" si="120"/>
        <v>44</v>
      </c>
      <c r="D2170" t="str">
        <f>"50"</f>
        <v>50</v>
      </c>
      <c r="E2170" t="str">
        <f>"1-44-50"</f>
        <v>1-44-50</v>
      </c>
      <c r="F2170" t="s">
        <v>65</v>
      </c>
      <c r="G2170" t="s">
        <v>66</v>
      </c>
      <c r="H2170" t="s">
        <v>67</v>
      </c>
      <c r="S2170">
        <v>1</v>
      </c>
      <c r="T2170">
        <v>0</v>
      </c>
      <c r="U2170">
        <v>0</v>
      </c>
      <c r="V2170">
        <v>0</v>
      </c>
      <c r="W2170">
        <v>0</v>
      </c>
      <c r="X2170">
        <v>1</v>
      </c>
      <c r="Y2170">
        <v>0</v>
      </c>
      <c r="Z2170">
        <v>1</v>
      </c>
      <c r="AA2170">
        <v>0</v>
      </c>
      <c r="AB2170">
        <v>0</v>
      </c>
      <c r="AC2170">
        <v>1</v>
      </c>
      <c r="AD2170">
        <v>1</v>
      </c>
      <c r="AE2170">
        <v>1</v>
      </c>
      <c r="AF2170">
        <v>1</v>
      </c>
      <c r="AG2170">
        <v>1</v>
      </c>
      <c r="AH2170">
        <v>1</v>
      </c>
      <c r="AI2170">
        <v>1</v>
      </c>
      <c r="AJ2170">
        <v>1</v>
      </c>
      <c r="AK2170">
        <v>1</v>
      </c>
      <c r="AL2170">
        <v>1</v>
      </c>
      <c r="AM2170">
        <v>1</v>
      </c>
    </row>
    <row r="2171" spans="1:39" x14ac:dyDescent="0.2">
      <c r="A2171" t="str">
        <f>"2167"</f>
        <v>2167</v>
      </c>
      <c r="B2171" t="str">
        <f t="shared" si="121"/>
        <v>1</v>
      </c>
      <c r="C2171" t="str">
        <f t="shared" si="120"/>
        <v>44</v>
      </c>
      <c r="D2171" t="str">
        <f>"49"</f>
        <v>49</v>
      </c>
      <c r="E2171" t="str">
        <f>"1-44-49"</f>
        <v>1-44-49</v>
      </c>
      <c r="F2171" t="s">
        <v>65</v>
      </c>
      <c r="G2171" t="s">
        <v>66</v>
      </c>
      <c r="H2171" t="s">
        <v>67</v>
      </c>
      <c r="S2171">
        <v>1</v>
      </c>
      <c r="T2171">
        <v>0</v>
      </c>
      <c r="U2171">
        <v>0</v>
      </c>
      <c r="V2171">
        <v>0</v>
      </c>
      <c r="W2171">
        <v>1</v>
      </c>
      <c r="X2171">
        <v>0</v>
      </c>
      <c r="Y2171">
        <v>0</v>
      </c>
      <c r="Z2171">
        <v>1</v>
      </c>
      <c r="AA2171">
        <v>1</v>
      </c>
      <c r="AB2171">
        <v>0</v>
      </c>
      <c r="AC2171">
        <v>0</v>
      </c>
      <c r="AD2171">
        <v>1</v>
      </c>
      <c r="AE2171">
        <v>1</v>
      </c>
      <c r="AF2171">
        <v>1</v>
      </c>
      <c r="AG2171">
        <v>1</v>
      </c>
      <c r="AH2171">
        <v>1</v>
      </c>
      <c r="AI2171">
        <v>1</v>
      </c>
      <c r="AJ2171">
        <v>1</v>
      </c>
      <c r="AK2171">
        <v>1</v>
      </c>
      <c r="AL2171">
        <v>1</v>
      </c>
      <c r="AM2171">
        <v>1</v>
      </c>
    </row>
    <row r="2172" spans="1:39" x14ac:dyDescent="0.2">
      <c r="A2172" t="str">
        <f>"2168"</f>
        <v>2168</v>
      </c>
      <c r="B2172" t="str">
        <f t="shared" si="121"/>
        <v>1</v>
      </c>
      <c r="C2172" t="str">
        <f t="shared" si="120"/>
        <v>44</v>
      </c>
      <c r="D2172" t="str">
        <f>"33"</f>
        <v>33</v>
      </c>
      <c r="E2172" t="str">
        <f>"1-44-33"</f>
        <v>1-44-33</v>
      </c>
      <c r="F2172" t="s">
        <v>65</v>
      </c>
      <c r="G2172" t="s">
        <v>66</v>
      </c>
      <c r="H2172" t="s">
        <v>67</v>
      </c>
      <c r="S2172">
        <v>0</v>
      </c>
      <c r="T2172">
        <v>1</v>
      </c>
      <c r="U2172">
        <v>0</v>
      </c>
      <c r="V2172">
        <v>0</v>
      </c>
      <c r="W2172">
        <v>0</v>
      </c>
      <c r="X2172">
        <v>1</v>
      </c>
      <c r="Y2172">
        <v>0</v>
      </c>
      <c r="Z2172">
        <v>1</v>
      </c>
      <c r="AA2172">
        <v>0</v>
      </c>
      <c r="AB2172">
        <v>0</v>
      </c>
      <c r="AC2172">
        <v>1</v>
      </c>
      <c r="AD2172">
        <v>1</v>
      </c>
      <c r="AE2172">
        <v>1</v>
      </c>
      <c r="AF2172">
        <v>1</v>
      </c>
      <c r="AG2172">
        <v>1</v>
      </c>
      <c r="AH2172">
        <v>1</v>
      </c>
      <c r="AI2172">
        <v>1</v>
      </c>
      <c r="AJ2172">
        <v>1</v>
      </c>
      <c r="AK2172">
        <v>1</v>
      </c>
      <c r="AL2172">
        <v>1</v>
      </c>
      <c r="AM2172">
        <v>1</v>
      </c>
    </row>
    <row r="2173" spans="1:39" x14ac:dyDescent="0.2">
      <c r="A2173" t="str">
        <f>"2169"</f>
        <v>2169</v>
      </c>
      <c r="B2173" t="str">
        <f t="shared" si="121"/>
        <v>1</v>
      </c>
      <c r="C2173" t="str">
        <f t="shared" si="120"/>
        <v>44</v>
      </c>
      <c r="D2173" t="str">
        <f>"18"</f>
        <v>18</v>
      </c>
      <c r="E2173" t="str">
        <f>"1-44-18"</f>
        <v>1-44-18</v>
      </c>
      <c r="F2173" t="s">
        <v>65</v>
      </c>
      <c r="G2173" t="s">
        <v>66</v>
      </c>
      <c r="H2173" t="s">
        <v>67</v>
      </c>
      <c r="S2173">
        <v>0</v>
      </c>
      <c r="T2173">
        <v>1</v>
      </c>
      <c r="U2173">
        <v>0</v>
      </c>
      <c r="V2173">
        <v>0</v>
      </c>
      <c r="W2173">
        <v>1</v>
      </c>
      <c r="X2173">
        <v>0</v>
      </c>
      <c r="Y2173">
        <v>0</v>
      </c>
      <c r="Z2173">
        <v>1</v>
      </c>
      <c r="AA2173">
        <v>0</v>
      </c>
      <c r="AB2173">
        <v>0</v>
      </c>
      <c r="AC2173">
        <v>1</v>
      </c>
      <c r="AD2173">
        <v>1</v>
      </c>
      <c r="AE2173">
        <v>1</v>
      </c>
      <c r="AF2173">
        <v>1</v>
      </c>
      <c r="AG2173">
        <v>1</v>
      </c>
      <c r="AH2173">
        <v>1</v>
      </c>
      <c r="AI2173">
        <v>1</v>
      </c>
      <c r="AJ2173">
        <v>0</v>
      </c>
      <c r="AK2173">
        <v>1</v>
      </c>
      <c r="AL2173">
        <v>1</v>
      </c>
      <c r="AM2173">
        <v>0</v>
      </c>
    </row>
    <row r="2174" spans="1:39" x14ac:dyDescent="0.2">
      <c r="A2174" t="str">
        <f>"2170"</f>
        <v>2170</v>
      </c>
      <c r="B2174" t="str">
        <f t="shared" si="121"/>
        <v>1</v>
      </c>
      <c r="C2174" t="str">
        <f t="shared" si="120"/>
        <v>44</v>
      </c>
      <c r="D2174" t="str">
        <f>"6"</f>
        <v>6</v>
      </c>
      <c r="E2174" t="str">
        <f>"1-44-6"</f>
        <v>1-44-6</v>
      </c>
      <c r="F2174" t="s">
        <v>65</v>
      </c>
      <c r="G2174" t="s">
        <v>66</v>
      </c>
      <c r="H2174" t="s">
        <v>67</v>
      </c>
      <c r="S2174">
        <v>0</v>
      </c>
      <c r="T2174">
        <v>1</v>
      </c>
      <c r="U2174">
        <v>0</v>
      </c>
      <c r="V2174">
        <v>0</v>
      </c>
      <c r="W2174">
        <v>1</v>
      </c>
      <c r="X2174">
        <v>0</v>
      </c>
      <c r="Y2174">
        <v>1</v>
      </c>
      <c r="Z2174">
        <v>0</v>
      </c>
      <c r="AA2174">
        <v>0</v>
      </c>
      <c r="AB2174">
        <v>1</v>
      </c>
      <c r="AC2174">
        <v>0</v>
      </c>
      <c r="AD2174">
        <v>1</v>
      </c>
      <c r="AE2174">
        <v>1</v>
      </c>
      <c r="AF2174">
        <v>1</v>
      </c>
      <c r="AG2174">
        <v>1</v>
      </c>
      <c r="AH2174">
        <v>1</v>
      </c>
      <c r="AI2174">
        <v>1</v>
      </c>
      <c r="AJ2174">
        <v>1</v>
      </c>
      <c r="AK2174">
        <v>1</v>
      </c>
      <c r="AL2174">
        <v>1</v>
      </c>
      <c r="AM2174">
        <v>1</v>
      </c>
    </row>
    <row r="2175" spans="1:39" x14ac:dyDescent="0.2">
      <c r="A2175" t="str">
        <f>"2171"</f>
        <v>2171</v>
      </c>
      <c r="B2175" t="str">
        <f t="shared" si="121"/>
        <v>1</v>
      </c>
      <c r="C2175" t="str">
        <f t="shared" si="120"/>
        <v>44</v>
      </c>
      <c r="D2175" t="str">
        <f>"34"</f>
        <v>34</v>
      </c>
      <c r="E2175" t="str">
        <f>"1-44-34"</f>
        <v>1-44-34</v>
      </c>
      <c r="F2175" t="s">
        <v>65</v>
      </c>
      <c r="G2175" t="s">
        <v>66</v>
      </c>
      <c r="H2175" t="s">
        <v>67</v>
      </c>
      <c r="S2175">
        <v>0</v>
      </c>
      <c r="T2175">
        <v>1</v>
      </c>
      <c r="U2175">
        <v>0</v>
      </c>
      <c r="V2175">
        <v>0</v>
      </c>
      <c r="W2175">
        <v>0</v>
      </c>
      <c r="X2175">
        <v>1</v>
      </c>
      <c r="Y2175">
        <v>0</v>
      </c>
      <c r="Z2175">
        <v>1</v>
      </c>
      <c r="AA2175">
        <v>0</v>
      </c>
      <c r="AB2175">
        <v>0</v>
      </c>
      <c r="AC2175">
        <v>1</v>
      </c>
      <c r="AD2175">
        <v>1</v>
      </c>
      <c r="AE2175">
        <v>1</v>
      </c>
      <c r="AF2175">
        <v>1</v>
      </c>
      <c r="AG2175">
        <v>1</v>
      </c>
      <c r="AH2175">
        <v>1</v>
      </c>
      <c r="AI2175">
        <v>1</v>
      </c>
      <c r="AJ2175">
        <v>1</v>
      </c>
      <c r="AK2175">
        <v>1</v>
      </c>
      <c r="AL2175">
        <v>1</v>
      </c>
      <c r="AM2175">
        <v>1</v>
      </c>
    </row>
    <row r="2176" spans="1:39" x14ac:dyDescent="0.2">
      <c r="A2176" t="str">
        <f>"2172"</f>
        <v>2172</v>
      </c>
      <c r="B2176" t="str">
        <f t="shared" si="121"/>
        <v>1</v>
      </c>
      <c r="C2176" t="str">
        <f t="shared" si="120"/>
        <v>44</v>
      </c>
      <c r="D2176" t="str">
        <f>"19"</f>
        <v>19</v>
      </c>
      <c r="E2176" t="str">
        <f>"1-44-19"</f>
        <v>1-44-19</v>
      </c>
      <c r="F2176" t="s">
        <v>65</v>
      </c>
      <c r="G2176" t="s">
        <v>66</v>
      </c>
      <c r="H2176" t="s">
        <v>67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0</v>
      </c>
      <c r="AB2176">
        <v>0</v>
      </c>
      <c r="AC2176">
        <v>1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</row>
    <row r="2177" spans="1:39" x14ac:dyDescent="0.2">
      <c r="A2177" t="str">
        <f>"2173"</f>
        <v>2173</v>
      </c>
      <c r="B2177" t="str">
        <f t="shared" si="121"/>
        <v>1</v>
      </c>
      <c r="C2177" t="str">
        <f t="shared" si="120"/>
        <v>44</v>
      </c>
      <c r="D2177" t="str">
        <f>"11"</f>
        <v>11</v>
      </c>
      <c r="E2177" t="str">
        <f>"1-44-11"</f>
        <v>1-44-11</v>
      </c>
      <c r="F2177" t="s">
        <v>65</v>
      </c>
      <c r="G2177" t="s">
        <v>66</v>
      </c>
      <c r="H2177" t="s">
        <v>67</v>
      </c>
      <c r="S2177">
        <v>0</v>
      </c>
      <c r="T2177">
        <v>1</v>
      </c>
      <c r="U2177">
        <v>0</v>
      </c>
      <c r="V2177">
        <v>0</v>
      </c>
      <c r="W2177">
        <v>0</v>
      </c>
      <c r="X2177">
        <v>1</v>
      </c>
      <c r="Y2177">
        <v>0</v>
      </c>
      <c r="Z2177">
        <v>1</v>
      </c>
      <c r="AA2177">
        <v>0</v>
      </c>
      <c r="AB2177">
        <v>0</v>
      </c>
      <c r="AC2177">
        <v>1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</row>
    <row r="2178" spans="1:39" x14ac:dyDescent="0.2">
      <c r="A2178" t="str">
        <f>"2174"</f>
        <v>2174</v>
      </c>
      <c r="B2178" t="str">
        <f t="shared" si="121"/>
        <v>1</v>
      </c>
      <c r="C2178" t="str">
        <f t="shared" si="120"/>
        <v>44</v>
      </c>
      <c r="D2178" t="str">
        <f>"44"</f>
        <v>44</v>
      </c>
      <c r="E2178" t="str">
        <f>"1-44-44"</f>
        <v>1-44-44</v>
      </c>
      <c r="F2178" t="s">
        <v>65</v>
      </c>
      <c r="G2178" t="s">
        <v>66</v>
      </c>
      <c r="H2178" t="s">
        <v>67</v>
      </c>
      <c r="S2178">
        <v>0</v>
      </c>
      <c r="T2178">
        <v>1</v>
      </c>
      <c r="U2178">
        <v>0</v>
      </c>
      <c r="V2178">
        <v>0</v>
      </c>
      <c r="W2178">
        <v>1</v>
      </c>
      <c r="X2178">
        <v>0</v>
      </c>
      <c r="Y2178">
        <v>1</v>
      </c>
      <c r="Z2178">
        <v>0</v>
      </c>
      <c r="AA2178">
        <v>1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1</v>
      </c>
      <c r="AJ2178">
        <v>1</v>
      </c>
      <c r="AK2178">
        <v>0</v>
      </c>
      <c r="AL2178">
        <v>0</v>
      </c>
      <c r="AM2178">
        <v>0</v>
      </c>
    </row>
    <row r="2179" spans="1:39" x14ac:dyDescent="0.2">
      <c r="A2179" t="str">
        <f>"2175"</f>
        <v>2175</v>
      </c>
      <c r="B2179" t="str">
        <f t="shared" si="121"/>
        <v>1</v>
      </c>
      <c r="C2179" t="str">
        <f t="shared" si="120"/>
        <v>44</v>
      </c>
      <c r="D2179" t="str">
        <f>"43"</f>
        <v>43</v>
      </c>
      <c r="E2179" t="str">
        <f>"1-44-43"</f>
        <v>1-44-43</v>
      </c>
      <c r="F2179" t="s">
        <v>65</v>
      </c>
      <c r="G2179" t="s">
        <v>66</v>
      </c>
      <c r="H2179" t="s">
        <v>67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0</v>
      </c>
      <c r="AB2179">
        <v>0</v>
      </c>
      <c r="AC2179">
        <v>1</v>
      </c>
      <c r="AD2179">
        <v>0</v>
      </c>
      <c r="AE2179">
        <v>0</v>
      </c>
      <c r="AF2179">
        <v>0</v>
      </c>
      <c r="AG2179">
        <v>0</v>
      </c>
      <c r="AH2179">
        <v>1</v>
      </c>
      <c r="AI2179">
        <v>0</v>
      </c>
      <c r="AJ2179">
        <v>0</v>
      </c>
      <c r="AK2179">
        <v>0</v>
      </c>
      <c r="AL2179">
        <v>0</v>
      </c>
      <c r="AM2179">
        <v>0</v>
      </c>
    </row>
    <row r="2180" spans="1:39" x14ac:dyDescent="0.2">
      <c r="A2180" t="str">
        <f>"2176"</f>
        <v>2176</v>
      </c>
      <c r="B2180" t="str">
        <f t="shared" si="121"/>
        <v>1</v>
      </c>
      <c r="C2180" t="str">
        <f t="shared" si="120"/>
        <v>44</v>
      </c>
      <c r="D2180" t="str">
        <f>"31"</f>
        <v>31</v>
      </c>
      <c r="E2180" t="str">
        <f>"1-44-31"</f>
        <v>1-44-31</v>
      </c>
      <c r="F2180" t="s">
        <v>65</v>
      </c>
      <c r="G2180" t="s">
        <v>66</v>
      </c>
      <c r="H2180" t="s">
        <v>67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</row>
    <row r="2181" spans="1:39" x14ac:dyDescent="0.2">
      <c r="A2181" t="str">
        <f>"2177"</f>
        <v>2177</v>
      </c>
      <c r="B2181" t="str">
        <f t="shared" si="121"/>
        <v>1</v>
      </c>
      <c r="C2181" t="str">
        <f t="shared" si="120"/>
        <v>44</v>
      </c>
      <c r="D2181" t="str">
        <f>"20"</f>
        <v>20</v>
      </c>
      <c r="E2181" t="str">
        <f>"1-44-20"</f>
        <v>1-44-20</v>
      </c>
      <c r="F2181" t="s">
        <v>65</v>
      </c>
      <c r="G2181" t="s">
        <v>66</v>
      </c>
      <c r="H2181" t="s">
        <v>67</v>
      </c>
      <c r="S2181">
        <v>0</v>
      </c>
      <c r="T2181">
        <v>1</v>
      </c>
      <c r="U2181">
        <v>0</v>
      </c>
      <c r="V2181">
        <v>0</v>
      </c>
      <c r="W2181">
        <v>1</v>
      </c>
      <c r="X2181">
        <v>0</v>
      </c>
      <c r="Y2181">
        <v>1</v>
      </c>
      <c r="Z2181">
        <v>0</v>
      </c>
      <c r="AA2181">
        <v>0</v>
      </c>
      <c r="AB2181">
        <v>1</v>
      </c>
      <c r="AC2181">
        <v>0</v>
      </c>
      <c r="AD2181">
        <v>1</v>
      </c>
      <c r="AE2181">
        <v>1</v>
      </c>
      <c r="AF2181">
        <v>1</v>
      </c>
      <c r="AG2181">
        <v>1</v>
      </c>
      <c r="AH2181">
        <v>1</v>
      </c>
      <c r="AI2181">
        <v>1</v>
      </c>
      <c r="AJ2181">
        <v>1</v>
      </c>
      <c r="AK2181">
        <v>1</v>
      </c>
      <c r="AL2181">
        <v>1</v>
      </c>
      <c r="AM2181">
        <v>1</v>
      </c>
    </row>
    <row r="2182" spans="1:39" x14ac:dyDescent="0.2">
      <c r="A2182" t="str">
        <f>"2178"</f>
        <v>2178</v>
      </c>
      <c r="B2182" t="str">
        <f t="shared" si="121"/>
        <v>1</v>
      </c>
      <c r="C2182" t="str">
        <f t="shared" si="120"/>
        <v>44</v>
      </c>
      <c r="D2182" t="str">
        <f>"5"</f>
        <v>5</v>
      </c>
      <c r="E2182" t="str">
        <f>"1-44-5"</f>
        <v>1-44-5</v>
      </c>
      <c r="F2182" t="s">
        <v>65</v>
      </c>
      <c r="G2182" t="s">
        <v>66</v>
      </c>
      <c r="H2182" t="s">
        <v>67</v>
      </c>
      <c r="S2182">
        <v>0</v>
      </c>
      <c r="T2182">
        <v>1</v>
      </c>
      <c r="U2182">
        <v>0</v>
      </c>
      <c r="V2182">
        <v>0</v>
      </c>
      <c r="W2182">
        <v>0</v>
      </c>
      <c r="X2182">
        <v>1</v>
      </c>
      <c r="Y2182">
        <v>0</v>
      </c>
      <c r="Z2182">
        <v>1</v>
      </c>
      <c r="AA2182">
        <v>0</v>
      </c>
      <c r="AB2182">
        <v>0</v>
      </c>
      <c r="AC2182">
        <v>1</v>
      </c>
      <c r="AD2182">
        <v>1</v>
      </c>
      <c r="AE2182">
        <v>1</v>
      </c>
      <c r="AF2182">
        <v>1</v>
      </c>
      <c r="AG2182">
        <v>1</v>
      </c>
      <c r="AH2182">
        <v>1</v>
      </c>
      <c r="AI2182">
        <v>1</v>
      </c>
      <c r="AJ2182">
        <v>1</v>
      </c>
      <c r="AK2182">
        <v>1</v>
      </c>
      <c r="AL2182">
        <v>1</v>
      </c>
      <c r="AM2182">
        <v>1</v>
      </c>
    </row>
    <row r="2183" spans="1:39" x14ac:dyDescent="0.2">
      <c r="A2183" t="str">
        <f>"2179"</f>
        <v>2179</v>
      </c>
      <c r="B2183" t="str">
        <f t="shared" si="121"/>
        <v>1</v>
      </c>
      <c r="C2183" t="str">
        <f t="shared" si="120"/>
        <v>44</v>
      </c>
      <c r="D2183" t="str">
        <f>"39"</f>
        <v>39</v>
      </c>
      <c r="E2183" t="str">
        <f>"1-44-39"</f>
        <v>1-44-39</v>
      </c>
      <c r="F2183" t="s">
        <v>65</v>
      </c>
      <c r="G2183" t="s">
        <v>66</v>
      </c>
      <c r="H2183" t="s">
        <v>67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0</v>
      </c>
      <c r="AB2183">
        <v>0</v>
      </c>
      <c r="AC2183">
        <v>1</v>
      </c>
      <c r="AD2183">
        <v>0</v>
      </c>
      <c r="AE2183">
        <v>0</v>
      </c>
      <c r="AF2183">
        <v>0</v>
      </c>
      <c r="AG2183">
        <v>1</v>
      </c>
      <c r="AH2183">
        <v>0</v>
      </c>
      <c r="AI2183">
        <v>1</v>
      </c>
      <c r="AJ2183">
        <v>1</v>
      </c>
      <c r="AK2183">
        <v>0</v>
      </c>
      <c r="AL2183">
        <v>0</v>
      </c>
      <c r="AM2183">
        <v>0</v>
      </c>
    </row>
    <row r="2184" spans="1:39" x14ac:dyDescent="0.2">
      <c r="A2184" t="str">
        <f>"2180"</f>
        <v>2180</v>
      </c>
      <c r="B2184" t="str">
        <f t="shared" si="121"/>
        <v>1</v>
      </c>
      <c r="C2184" t="str">
        <f t="shared" si="120"/>
        <v>44</v>
      </c>
      <c r="D2184" t="str">
        <f>"21"</f>
        <v>21</v>
      </c>
      <c r="E2184" t="str">
        <f>"1-44-21"</f>
        <v>1-44-21</v>
      </c>
      <c r="F2184" t="s">
        <v>65</v>
      </c>
      <c r="G2184" t="s">
        <v>66</v>
      </c>
      <c r="H2184" t="s">
        <v>67</v>
      </c>
      <c r="S2184">
        <v>0</v>
      </c>
      <c r="T2184">
        <v>1</v>
      </c>
      <c r="U2184">
        <v>0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0</v>
      </c>
      <c r="AB2184">
        <v>1</v>
      </c>
      <c r="AC2184">
        <v>0</v>
      </c>
      <c r="AD2184">
        <v>1</v>
      </c>
      <c r="AE2184">
        <v>1</v>
      </c>
      <c r="AF2184">
        <v>1</v>
      </c>
      <c r="AG2184">
        <v>1</v>
      </c>
      <c r="AH2184">
        <v>1</v>
      </c>
      <c r="AI2184">
        <v>1</v>
      </c>
      <c r="AJ2184">
        <v>1</v>
      </c>
      <c r="AK2184">
        <v>1</v>
      </c>
      <c r="AL2184">
        <v>1</v>
      </c>
      <c r="AM2184">
        <v>1</v>
      </c>
    </row>
    <row r="2185" spans="1:39" x14ac:dyDescent="0.2">
      <c r="A2185" t="str">
        <f>"2181"</f>
        <v>2181</v>
      </c>
      <c r="B2185" t="str">
        <f t="shared" si="121"/>
        <v>1</v>
      </c>
      <c r="C2185" t="str">
        <f t="shared" si="120"/>
        <v>44</v>
      </c>
      <c r="D2185" t="str">
        <f>"3"</f>
        <v>3</v>
      </c>
      <c r="E2185" t="str">
        <f>"1-44-3"</f>
        <v>1-44-3</v>
      </c>
      <c r="F2185" t="s">
        <v>65</v>
      </c>
      <c r="G2185" t="s">
        <v>66</v>
      </c>
      <c r="H2185" t="s">
        <v>67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1</v>
      </c>
      <c r="Y2185">
        <v>0</v>
      </c>
      <c r="Z2185">
        <v>1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</row>
    <row r="2186" spans="1:39" x14ac:dyDescent="0.2">
      <c r="A2186" t="str">
        <f>"2182"</f>
        <v>2182</v>
      </c>
      <c r="B2186" t="str">
        <f t="shared" si="121"/>
        <v>1</v>
      </c>
      <c r="C2186" t="str">
        <f t="shared" si="120"/>
        <v>44</v>
      </c>
      <c r="D2186" t="str">
        <f>"40"</f>
        <v>40</v>
      </c>
      <c r="E2186" t="str">
        <f>"1-44-40"</f>
        <v>1-44-40</v>
      </c>
      <c r="F2186" t="s">
        <v>65</v>
      </c>
      <c r="G2186" t="s">
        <v>66</v>
      </c>
      <c r="H2186" t="s">
        <v>67</v>
      </c>
      <c r="S2186">
        <v>0</v>
      </c>
      <c r="T2186">
        <v>1</v>
      </c>
      <c r="U2186">
        <v>0</v>
      </c>
      <c r="V2186">
        <v>0</v>
      </c>
      <c r="W2186">
        <v>0</v>
      </c>
      <c r="X2186">
        <v>1</v>
      </c>
      <c r="Y2186">
        <v>0</v>
      </c>
      <c r="Z2186">
        <v>1</v>
      </c>
      <c r="AA2186">
        <v>0</v>
      </c>
      <c r="AB2186">
        <v>0</v>
      </c>
      <c r="AC2186">
        <v>1</v>
      </c>
      <c r="AD2186">
        <v>1</v>
      </c>
      <c r="AE2186">
        <v>0</v>
      </c>
      <c r="AF2186">
        <v>0</v>
      </c>
      <c r="AG2186">
        <v>1</v>
      </c>
      <c r="AH2186">
        <v>1</v>
      </c>
      <c r="AI2186">
        <v>1</v>
      </c>
      <c r="AJ2186">
        <v>1</v>
      </c>
      <c r="AK2186">
        <v>1</v>
      </c>
      <c r="AL2186">
        <v>1</v>
      </c>
      <c r="AM2186">
        <v>1</v>
      </c>
    </row>
    <row r="2187" spans="1:39" x14ac:dyDescent="0.2">
      <c r="A2187" t="str">
        <f>"2183"</f>
        <v>2183</v>
      </c>
      <c r="B2187" t="str">
        <f t="shared" si="121"/>
        <v>1</v>
      </c>
      <c r="C2187" t="str">
        <f t="shared" ref="C2187:C2204" si="122">"44"</f>
        <v>44</v>
      </c>
      <c r="D2187" t="str">
        <f>"22"</f>
        <v>22</v>
      </c>
      <c r="E2187" t="str">
        <f>"1-44-22"</f>
        <v>1-44-22</v>
      </c>
      <c r="F2187" t="s">
        <v>65</v>
      </c>
      <c r="G2187" t="s">
        <v>66</v>
      </c>
      <c r="H2187" t="s">
        <v>67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1</v>
      </c>
      <c r="Y2187">
        <v>0</v>
      </c>
      <c r="Z2187">
        <v>1</v>
      </c>
      <c r="AA2187">
        <v>0</v>
      </c>
      <c r="AB2187">
        <v>0</v>
      </c>
      <c r="AC2187">
        <v>1</v>
      </c>
      <c r="AD2187">
        <v>1</v>
      </c>
      <c r="AE2187">
        <v>1</v>
      </c>
      <c r="AF2187">
        <v>1</v>
      </c>
      <c r="AG2187">
        <v>1</v>
      </c>
      <c r="AH2187">
        <v>1</v>
      </c>
      <c r="AI2187">
        <v>1</v>
      </c>
      <c r="AJ2187">
        <v>1</v>
      </c>
      <c r="AK2187">
        <v>1</v>
      </c>
      <c r="AL2187">
        <v>1</v>
      </c>
      <c r="AM2187">
        <v>1</v>
      </c>
    </row>
    <row r="2188" spans="1:39" x14ac:dyDescent="0.2">
      <c r="A2188" t="str">
        <f>"2184"</f>
        <v>2184</v>
      </c>
      <c r="B2188" t="str">
        <f t="shared" si="121"/>
        <v>1</v>
      </c>
      <c r="C2188" t="str">
        <f t="shared" si="122"/>
        <v>44</v>
      </c>
      <c r="D2188" t="str">
        <f>"1"</f>
        <v>1</v>
      </c>
      <c r="E2188" t="str">
        <f>"1-44-1"</f>
        <v>1-44-1</v>
      </c>
      <c r="F2188" t="s">
        <v>65</v>
      </c>
      <c r="G2188" t="s">
        <v>66</v>
      </c>
      <c r="H2188" t="s">
        <v>67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1</v>
      </c>
      <c r="AH2188">
        <v>1</v>
      </c>
      <c r="AI2188">
        <v>1</v>
      </c>
      <c r="AJ2188">
        <v>1</v>
      </c>
      <c r="AK2188">
        <v>1</v>
      </c>
      <c r="AL2188">
        <v>1</v>
      </c>
      <c r="AM2188">
        <v>0</v>
      </c>
    </row>
    <row r="2189" spans="1:39" x14ac:dyDescent="0.2">
      <c r="A2189" t="str">
        <f>"2185"</f>
        <v>2185</v>
      </c>
      <c r="B2189" t="str">
        <f t="shared" si="121"/>
        <v>1</v>
      </c>
      <c r="C2189" t="str">
        <f t="shared" si="122"/>
        <v>44</v>
      </c>
      <c r="D2189" t="str">
        <f>"41"</f>
        <v>41</v>
      </c>
      <c r="E2189" t="str">
        <f>"1-44-41"</f>
        <v>1-44-41</v>
      </c>
      <c r="F2189" t="s">
        <v>65</v>
      </c>
      <c r="G2189" t="s">
        <v>66</v>
      </c>
      <c r="H2189" t="s">
        <v>67</v>
      </c>
      <c r="S2189">
        <v>1</v>
      </c>
      <c r="T2189">
        <v>0</v>
      </c>
      <c r="U2189">
        <v>0</v>
      </c>
      <c r="V2189">
        <v>0</v>
      </c>
      <c r="W2189">
        <v>0</v>
      </c>
      <c r="X2189">
        <v>1</v>
      </c>
      <c r="Y2189">
        <v>1</v>
      </c>
      <c r="Z2189">
        <v>0</v>
      </c>
      <c r="AA2189">
        <v>1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</row>
    <row r="2190" spans="1:39" x14ac:dyDescent="0.2">
      <c r="A2190" t="str">
        <f>"2186"</f>
        <v>2186</v>
      </c>
      <c r="B2190" t="str">
        <f t="shared" si="121"/>
        <v>1</v>
      </c>
      <c r="C2190" t="str">
        <f t="shared" si="122"/>
        <v>44</v>
      </c>
      <c r="D2190" t="str">
        <f>"23"</f>
        <v>23</v>
      </c>
      <c r="E2190" t="str">
        <f>"1-44-23"</f>
        <v>1-44-23</v>
      </c>
      <c r="F2190" t="s">
        <v>65</v>
      </c>
      <c r="G2190" t="s">
        <v>66</v>
      </c>
      <c r="H2190" t="s">
        <v>67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1</v>
      </c>
      <c r="Y2190">
        <v>1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1</v>
      </c>
      <c r="AI2190">
        <v>1</v>
      </c>
      <c r="AJ2190">
        <v>0</v>
      </c>
      <c r="AK2190">
        <v>0</v>
      </c>
      <c r="AL2190">
        <v>1</v>
      </c>
      <c r="AM2190">
        <v>0</v>
      </c>
    </row>
    <row r="2191" spans="1:39" x14ac:dyDescent="0.2">
      <c r="A2191" t="str">
        <f>"2187"</f>
        <v>2187</v>
      </c>
      <c r="B2191" t="str">
        <f t="shared" si="121"/>
        <v>1</v>
      </c>
      <c r="C2191" t="str">
        <f t="shared" si="122"/>
        <v>44</v>
      </c>
      <c r="D2191" t="str">
        <f>"10"</f>
        <v>10</v>
      </c>
      <c r="E2191" t="str">
        <f>"1-44-10"</f>
        <v>1-44-10</v>
      </c>
      <c r="F2191" t="s">
        <v>65</v>
      </c>
      <c r="G2191" t="s">
        <v>66</v>
      </c>
      <c r="H2191" t="s">
        <v>67</v>
      </c>
      <c r="S2191">
        <v>0</v>
      </c>
      <c r="T2191">
        <v>1</v>
      </c>
      <c r="U2191">
        <v>0</v>
      </c>
      <c r="V2191">
        <v>0</v>
      </c>
      <c r="W2191">
        <v>0</v>
      </c>
      <c r="X2191">
        <v>1</v>
      </c>
      <c r="Y2191">
        <v>0</v>
      </c>
      <c r="Z2191">
        <v>1</v>
      </c>
      <c r="AA2191">
        <v>0</v>
      </c>
      <c r="AB2191">
        <v>0</v>
      </c>
      <c r="AC2191">
        <v>1</v>
      </c>
      <c r="AD2191">
        <v>0</v>
      </c>
      <c r="AE2191">
        <v>0</v>
      </c>
      <c r="AF2191">
        <v>0</v>
      </c>
      <c r="AG2191">
        <v>1</v>
      </c>
      <c r="AH2191">
        <v>1</v>
      </c>
      <c r="AI2191">
        <v>1</v>
      </c>
      <c r="AJ2191">
        <v>1</v>
      </c>
      <c r="AK2191">
        <v>0</v>
      </c>
      <c r="AL2191">
        <v>0</v>
      </c>
      <c r="AM2191">
        <v>1</v>
      </c>
    </row>
    <row r="2192" spans="1:39" x14ac:dyDescent="0.2">
      <c r="A2192" t="str">
        <f>"2188"</f>
        <v>2188</v>
      </c>
      <c r="B2192" t="str">
        <f t="shared" si="121"/>
        <v>1</v>
      </c>
      <c r="C2192" t="str">
        <f t="shared" si="122"/>
        <v>44</v>
      </c>
      <c r="D2192" t="str">
        <f>"47"</f>
        <v>47</v>
      </c>
      <c r="E2192" t="str">
        <f>"1-44-47"</f>
        <v>1-44-47</v>
      </c>
      <c r="F2192" t="s">
        <v>65</v>
      </c>
      <c r="G2192" t="s">
        <v>66</v>
      </c>
      <c r="H2192" t="s">
        <v>67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1</v>
      </c>
      <c r="AI2192">
        <v>0</v>
      </c>
      <c r="AJ2192">
        <v>0</v>
      </c>
      <c r="AK2192">
        <v>0</v>
      </c>
      <c r="AL2192">
        <v>1</v>
      </c>
      <c r="AM2192">
        <v>1</v>
      </c>
    </row>
    <row r="2193" spans="1:39" x14ac:dyDescent="0.2">
      <c r="A2193" t="str">
        <f>"2189"</f>
        <v>2189</v>
      </c>
      <c r="B2193" t="str">
        <f t="shared" si="121"/>
        <v>1</v>
      </c>
      <c r="C2193" t="str">
        <f t="shared" si="122"/>
        <v>44</v>
      </c>
      <c r="D2193" t="str">
        <f>"24"</f>
        <v>24</v>
      </c>
      <c r="E2193" t="str">
        <f>"1-44-24"</f>
        <v>1-44-24</v>
      </c>
      <c r="F2193" t="s">
        <v>65</v>
      </c>
      <c r="G2193" t="s">
        <v>66</v>
      </c>
      <c r="H2193" t="s">
        <v>67</v>
      </c>
      <c r="S2193">
        <v>0</v>
      </c>
      <c r="T2193">
        <v>1</v>
      </c>
      <c r="U2193">
        <v>0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0</v>
      </c>
      <c r="AB2193">
        <v>0</v>
      </c>
      <c r="AC2193">
        <v>1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</row>
    <row r="2194" spans="1:39" x14ac:dyDescent="0.2">
      <c r="A2194" t="str">
        <f>"2190"</f>
        <v>2190</v>
      </c>
      <c r="B2194" t="str">
        <f t="shared" si="121"/>
        <v>1</v>
      </c>
      <c r="C2194" t="str">
        <f t="shared" si="122"/>
        <v>44</v>
      </c>
      <c r="D2194" t="str">
        <f>"9"</f>
        <v>9</v>
      </c>
      <c r="E2194" t="str">
        <f>"1-44-9"</f>
        <v>1-44-9</v>
      </c>
      <c r="F2194" t="s">
        <v>65</v>
      </c>
      <c r="G2194" t="s">
        <v>66</v>
      </c>
      <c r="H2194" t="s">
        <v>67</v>
      </c>
      <c r="S2194">
        <v>0</v>
      </c>
      <c r="T2194">
        <v>1</v>
      </c>
      <c r="U2194">
        <v>0</v>
      </c>
      <c r="V2194">
        <v>0</v>
      </c>
      <c r="W2194">
        <v>0</v>
      </c>
      <c r="X2194">
        <v>1</v>
      </c>
      <c r="Y2194">
        <v>0</v>
      </c>
      <c r="Z2194">
        <v>1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1</v>
      </c>
      <c r="AH2194">
        <v>1</v>
      </c>
      <c r="AI2194">
        <v>0</v>
      </c>
      <c r="AJ2194">
        <v>1</v>
      </c>
      <c r="AK2194">
        <v>1</v>
      </c>
      <c r="AL2194">
        <v>1</v>
      </c>
      <c r="AM2194">
        <v>0</v>
      </c>
    </row>
    <row r="2195" spans="1:39" x14ac:dyDescent="0.2">
      <c r="A2195" t="str">
        <f>"2191"</f>
        <v>2191</v>
      </c>
      <c r="B2195" t="str">
        <f t="shared" si="121"/>
        <v>1</v>
      </c>
      <c r="C2195" t="str">
        <f t="shared" si="122"/>
        <v>44</v>
      </c>
      <c r="D2195" t="str">
        <f>"42"</f>
        <v>42</v>
      </c>
      <c r="E2195" t="str">
        <f>"1-44-42"</f>
        <v>1-44-42</v>
      </c>
      <c r="F2195" t="s">
        <v>65</v>
      </c>
      <c r="G2195" t="s">
        <v>66</v>
      </c>
      <c r="H2195" t="s">
        <v>67</v>
      </c>
      <c r="S2195">
        <v>0</v>
      </c>
      <c r="T2195">
        <v>1</v>
      </c>
      <c r="U2195">
        <v>0</v>
      </c>
      <c r="V2195">
        <v>0</v>
      </c>
      <c r="W2195">
        <v>1</v>
      </c>
      <c r="X2195">
        <v>0</v>
      </c>
      <c r="Y2195">
        <v>1</v>
      </c>
      <c r="Z2195">
        <v>0</v>
      </c>
      <c r="AA2195">
        <v>1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1</v>
      </c>
      <c r="AJ2195">
        <v>1</v>
      </c>
      <c r="AK2195">
        <v>0</v>
      </c>
      <c r="AL2195">
        <v>0</v>
      </c>
      <c r="AM2195">
        <v>0</v>
      </c>
    </row>
    <row r="2196" spans="1:39" x14ac:dyDescent="0.2">
      <c r="A2196" t="str">
        <f>"2192"</f>
        <v>2192</v>
      </c>
      <c r="B2196" t="str">
        <f t="shared" si="121"/>
        <v>1</v>
      </c>
      <c r="C2196" t="str">
        <f t="shared" si="122"/>
        <v>44</v>
      </c>
      <c r="D2196" t="str">
        <f>"26"</f>
        <v>26</v>
      </c>
      <c r="E2196" t="str">
        <f>"1-44-26"</f>
        <v>1-44-26</v>
      </c>
      <c r="F2196" t="s">
        <v>65</v>
      </c>
      <c r="G2196" t="s">
        <v>66</v>
      </c>
      <c r="H2196" t="s">
        <v>67</v>
      </c>
      <c r="S2196">
        <v>1</v>
      </c>
      <c r="T2196">
        <v>0</v>
      </c>
      <c r="U2196">
        <v>0</v>
      </c>
      <c r="V2196">
        <v>0</v>
      </c>
      <c r="W2196">
        <v>0</v>
      </c>
      <c r="X2196">
        <v>1</v>
      </c>
      <c r="Y2196">
        <v>0</v>
      </c>
      <c r="Z2196">
        <v>1</v>
      </c>
      <c r="AA2196">
        <v>0</v>
      </c>
      <c r="AB2196">
        <v>0</v>
      </c>
      <c r="AC2196">
        <v>1</v>
      </c>
      <c r="AD2196">
        <v>1</v>
      </c>
      <c r="AE2196">
        <v>1</v>
      </c>
      <c r="AF2196">
        <v>1</v>
      </c>
      <c r="AG2196">
        <v>1</v>
      </c>
      <c r="AH2196">
        <v>1</v>
      </c>
      <c r="AI2196">
        <v>1</v>
      </c>
      <c r="AJ2196">
        <v>1</v>
      </c>
      <c r="AK2196">
        <v>1</v>
      </c>
      <c r="AL2196">
        <v>1</v>
      </c>
      <c r="AM2196">
        <v>1</v>
      </c>
    </row>
    <row r="2197" spans="1:39" x14ac:dyDescent="0.2">
      <c r="A2197" t="str">
        <f>"2193"</f>
        <v>2193</v>
      </c>
      <c r="B2197" t="str">
        <f t="shared" si="121"/>
        <v>1</v>
      </c>
      <c r="C2197" t="str">
        <f t="shared" si="122"/>
        <v>44</v>
      </c>
      <c r="D2197" t="str">
        <f>"8"</f>
        <v>8</v>
      </c>
      <c r="E2197" t="str">
        <f>"1-44-8"</f>
        <v>1-44-8</v>
      </c>
      <c r="F2197" t="s">
        <v>65</v>
      </c>
      <c r="G2197" t="s">
        <v>66</v>
      </c>
      <c r="H2197" t="s">
        <v>67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1</v>
      </c>
      <c r="Y2197">
        <v>1</v>
      </c>
      <c r="Z2197">
        <v>0</v>
      </c>
      <c r="AA2197">
        <v>0</v>
      </c>
      <c r="AB2197">
        <v>0</v>
      </c>
      <c r="AC2197">
        <v>1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1</v>
      </c>
      <c r="AJ2197">
        <v>0</v>
      </c>
      <c r="AK2197">
        <v>0</v>
      </c>
      <c r="AL2197">
        <v>0</v>
      </c>
      <c r="AM2197">
        <v>0</v>
      </c>
    </row>
    <row r="2198" spans="1:39" x14ac:dyDescent="0.2">
      <c r="A2198" t="str">
        <f>"2194"</f>
        <v>2194</v>
      </c>
      <c r="B2198" t="str">
        <f t="shared" si="121"/>
        <v>1</v>
      </c>
      <c r="C2198" t="str">
        <f t="shared" si="122"/>
        <v>44</v>
      </c>
      <c r="D2198" t="str">
        <f>"48"</f>
        <v>48</v>
      </c>
      <c r="E2198" t="str">
        <f>"1-44-48"</f>
        <v>1-44-48</v>
      </c>
      <c r="F2198" t="s">
        <v>65</v>
      </c>
      <c r="G2198" t="s">
        <v>66</v>
      </c>
      <c r="H2198" t="s">
        <v>67</v>
      </c>
      <c r="S2198">
        <v>1</v>
      </c>
      <c r="T2198">
        <v>0</v>
      </c>
      <c r="U2198">
        <v>0</v>
      </c>
      <c r="V2198">
        <v>0</v>
      </c>
      <c r="W2198">
        <v>1</v>
      </c>
      <c r="X2198">
        <v>0</v>
      </c>
      <c r="Y2198">
        <v>1</v>
      </c>
      <c r="Z2198">
        <v>0</v>
      </c>
      <c r="AA2198">
        <v>0</v>
      </c>
      <c r="AB2198">
        <v>1</v>
      </c>
      <c r="AC2198">
        <v>0</v>
      </c>
      <c r="AD2198">
        <v>1</v>
      </c>
      <c r="AE2198">
        <v>1</v>
      </c>
      <c r="AF2198">
        <v>1</v>
      </c>
      <c r="AG2198">
        <v>1</v>
      </c>
      <c r="AH2198">
        <v>1</v>
      </c>
      <c r="AI2198">
        <v>1</v>
      </c>
      <c r="AJ2198">
        <v>1</v>
      </c>
      <c r="AK2198">
        <v>1</v>
      </c>
      <c r="AL2198">
        <v>1</v>
      </c>
      <c r="AM2198">
        <v>1</v>
      </c>
    </row>
    <row r="2199" spans="1:39" x14ac:dyDescent="0.2">
      <c r="A2199" t="str">
        <f>"2195"</f>
        <v>2195</v>
      </c>
      <c r="B2199" t="str">
        <f t="shared" si="121"/>
        <v>1</v>
      </c>
      <c r="C2199" t="str">
        <f t="shared" si="122"/>
        <v>44</v>
      </c>
      <c r="D2199" t="str">
        <f>"27"</f>
        <v>27</v>
      </c>
      <c r="E2199" t="str">
        <f>"1-44-27"</f>
        <v>1-44-27</v>
      </c>
      <c r="F2199" t="s">
        <v>65</v>
      </c>
      <c r="G2199" t="s">
        <v>66</v>
      </c>
      <c r="H2199" t="s">
        <v>67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</row>
    <row r="2200" spans="1:39" x14ac:dyDescent="0.2">
      <c r="A2200" t="str">
        <f>"2196"</f>
        <v>2196</v>
      </c>
      <c r="B2200" t="str">
        <f t="shared" si="121"/>
        <v>1</v>
      </c>
      <c r="C2200" t="str">
        <f t="shared" si="122"/>
        <v>44</v>
      </c>
      <c r="D2200" t="str">
        <f>"14"</f>
        <v>14</v>
      </c>
      <c r="E2200" t="str">
        <f>"1-44-14"</f>
        <v>1-44-14</v>
      </c>
      <c r="F2200" t="s">
        <v>65</v>
      </c>
      <c r="G2200" t="s">
        <v>66</v>
      </c>
      <c r="H2200" t="s">
        <v>67</v>
      </c>
      <c r="S2200">
        <v>0</v>
      </c>
      <c r="T2200">
        <v>1</v>
      </c>
      <c r="U2200">
        <v>0</v>
      </c>
      <c r="V2200">
        <v>0</v>
      </c>
      <c r="W2200">
        <v>0</v>
      </c>
      <c r="X2200">
        <v>1</v>
      </c>
      <c r="Y2200">
        <v>0</v>
      </c>
      <c r="Z2200">
        <v>1</v>
      </c>
      <c r="AA2200">
        <v>0</v>
      </c>
      <c r="AB2200">
        <v>0</v>
      </c>
      <c r="AC2200">
        <v>1</v>
      </c>
      <c r="AD2200">
        <v>1</v>
      </c>
      <c r="AE2200">
        <v>1</v>
      </c>
      <c r="AF2200">
        <v>1</v>
      </c>
      <c r="AG2200">
        <v>1</v>
      </c>
      <c r="AH2200">
        <v>1</v>
      </c>
      <c r="AI2200">
        <v>1</v>
      </c>
      <c r="AJ2200">
        <v>1</v>
      </c>
      <c r="AK2200">
        <v>1</v>
      </c>
      <c r="AL2200">
        <v>1</v>
      </c>
      <c r="AM2200">
        <v>1</v>
      </c>
    </row>
    <row r="2201" spans="1:39" x14ac:dyDescent="0.2">
      <c r="A2201" t="str">
        <f>"2197"</f>
        <v>2197</v>
      </c>
      <c r="B2201" t="str">
        <f t="shared" si="121"/>
        <v>1</v>
      </c>
      <c r="C2201" t="str">
        <f t="shared" si="122"/>
        <v>44</v>
      </c>
      <c r="D2201" t="str">
        <f>"29"</f>
        <v>29</v>
      </c>
      <c r="E2201" t="str">
        <f>"1-44-29"</f>
        <v>1-44-29</v>
      </c>
      <c r="F2201" t="s">
        <v>65</v>
      </c>
      <c r="G2201" t="s">
        <v>66</v>
      </c>
      <c r="H2201" t="s">
        <v>67</v>
      </c>
      <c r="S2201">
        <v>1</v>
      </c>
      <c r="T2201">
        <v>0</v>
      </c>
      <c r="U2201">
        <v>0</v>
      </c>
      <c r="V2201">
        <v>0</v>
      </c>
      <c r="W2201">
        <v>1</v>
      </c>
      <c r="X2201">
        <v>0</v>
      </c>
      <c r="Y2201">
        <v>1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1</v>
      </c>
      <c r="AF2201">
        <v>1</v>
      </c>
      <c r="AG2201">
        <v>1</v>
      </c>
      <c r="AH2201">
        <v>1</v>
      </c>
      <c r="AI2201">
        <v>1</v>
      </c>
      <c r="AJ2201">
        <v>1</v>
      </c>
      <c r="AK2201">
        <v>1</v>
      </c>
      <c r="AL2201">
        <v>1</v>
      </c>
      <c r="AM2201">
        <v>1</v>
      </c>
    </row>
    <row r="2202" spans="1:39" x14ac:dyDescent="0.2">
      <c r="A2202" t="str">
        <f>"2198"</f>
        <v>2198</v>
      </c>
      <c r="B2202" t="str">
        <f t="shared" si="121"/>
        <v>1</v>
      </c>
      <c r="C2202" t="str">
        <f t="shared" si="122"/>
        <v>44</v>
      </c>
      <c r="D2202" t="str">
        <f>"2"</f>
        <v>2</v>
      </c>
      <c r="E2202" t="str">
        <f>"1-44-2"</f>
        <v>1-44-2</v>
      </c>
      <c r="F2202" t="s">
        <v>65</v>
      </c>
      <c r="G2202" t="s">
        <v>66</v>
      </c>
      <c r="H2202" t="s">
        <v>67</v>
      </c>
      <c r="S2202">
        <v>0</v>
      </c>
      <c r="T2202">
        <v>1</v>
      </c>
      <c r="U2202">
        <v>0</v>
      </c>
      <c r="V2202">
        <v>0</v>
      </c>
      <c r="W2202">
        <v>0</v>
      </c>
      <c r="X2202">
        <v>1</v>
      </c>
      <c r="Y2202">
        <v>0</v>
      </c>
      <c r="Z2202">
        <v>1</v>
      </c>
      <c r="AA2202">
        <v>0</v>
      </c>
      <c r="AB2202">
        <v>0</v>
      </c>
      <c r="AC2202">
        <v>1</v>
      </c>
      <c r="AD2202">
        <v>1</v>
      </c>
      <c r="AE2202">
        <v>1</v>
      </c>
      <c r="AF2202">
        <v>1</v>
      </c>
      <c r="AG2202">
        <v>1</v>
      </c>
      <c r="AH2202">
        <v>1</v>
      </c>
      <c r="AI2202">
        <v>1</v>
      </c>
      <c r="AJ2202">
        <v>1</v>
      </c>
      <c r="AK2202">
        <v>1</v>
      </c>
      <c r="AL2202">
        <v>1</v>
      </c>
      <c r="AM2202">
        <v>1</v>
      </c>
    </row>
    <row r="2203" spans="1:39" x14ac:dyDescent="0.2">
      <c r="A2203" t="str">
        <f>"2199"</f>
        <v>2199</v>
      </c>
      <c r="B2203" t="str">
        <f t="shared" si="121"/>
        <v>1</v>
      </c>
      <c r="C2203" t="str">
        <f t="shared" si="122"/>
        <v>44</v>
      </c>
      <c r="D2203" t="str">
        <f>"30"</f>
        <v>30</v>
      </c>
      <c r="E2203" t="str">
        <f>"1-44-30"</f>
        <v>1-44-30</v>
      </c>
      <c r="F2203" t="s">
        <v>65</v>
      </c>
      <c r="G2203" t="s">
        <v>66</v>
      </c>
      <c r="H2203" t="s">
        <v>67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0</v>
      </c>
      <c r="AB2203">
        <v>0</v>
      </c>
      <c r="AC2203">
        <v>1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</row>
    <row r="2204" spans="1:39" x14ac:dyDescent="0.2">
      <c r="A2204" t="str">
        <f>"2200"</f>
        <v>2200</v>
      </c>
      <c r="B2204" t="str">
        <f t="shared" si="121"/>
        <v>1</v>
      </c>
      <c r="C2204" t="str">
        <f t="shared" si="122"/>
        <v>44</v>
      </c>
      <c r="D2204" t="str">
        <f>"13"</f>
        <v>13</v>
      </c>
      <c r="E2204" t="str">
        <f>"1-44-13"</f>
        <v>1-44-13</v>
      </c>
      <c r="F2204" t="s">
        <v>65</v>
      </c>
      <c r="G2204" t="s">
        <v>66</v>
      </c>
      <c r="H2204" t="s">
        <v>67</v>
      </c>
      <c r="S2204">
        <v>0</v>
      </c>
      <c r="T2204">
        <v>1</v>
      </c>
      <c r="U2204">
        <v>0</v>
      </c>
      <c r="V2204">
        <v>0</v>
      </c>
      <c r="W2204">
        <v>0</v>
      </c>
      <c r="X2204">
        <v>1</v>
      </c>
      <c r="Y2204">
        <v>0</v>
      </c>
      <c r="Z2204">
        <v>1</v>
      </c>
      <c r="AA2204">
        <v>0</v>
      </c>
      <c r="AB2204">
        <v>0</v>
      </c>
      <c r="AC2204">
        <v>1</v>
      </c>
      <c r="AD2204">
        <v>1</v>
      </c>
      <c r="AE2204">
        <v>1</v>
      </c>
      <c r="AF2204">
        <v>1</v>
      </c>
      <c r="AG2204">
        <v>1</v>
      </c>
      <c r="AH2204">
        <v>1</v>
      </c>
      <c r="AI2204">
        <v>1</v>
      </c>
      <c r="AJ2204">
        <v>1</v>
      </c>
      <c r="AK2204">
        <v>1</v>
      </c>
      <c r="AL2204">
        <v>1</v>
      </c>
      <c r="AM2204">
        <v>1</v>
      </c>
    </row>
    <row r="2205" spans="1:39" x14ac:dyDescent="0.2">
      <c r="A2205" t="str">
        <f>"2201"</f>
        <v>2201</v>
      </c>
      <c r="B2205" t="str">
        <f t="shared" si="121"/>
        <v>1</v>
      </c>
      <c r="C2205" t="str">
        <f t="shared" ref="C2205:C2236" si="123">"45"</f>
        <v>45</v>
      </c>
      <c r="D2205" t="str">
        <f>"36"</f>
        <v>36</v>
      </c>
      <c r="E2205" t="str">
        <f>"1-45-36"</f>
        <v>1-45-36</v>
      </c>
      <c r="F2205" t="s">
        <v>65</v>
      </c>
      <c r="G2205" t="s">
        <v>66</v>
      </c>
      <c r="H2205" t="s">
        <v>67</v>
      </c>
      <c r="S2205">
        <v>0</v>
      </c>
      <c r="T2205">
        <v>1</v>
      </c>
      <c r="U2205">
        <v>0</v>
      </c>
      <c r="V2205">
        <v>0</v>
      </c>
      <c r="W2205">
        <v>0</v>
      </c>
      <c r="X2205">
        <v>1</v>
      </c>
      <c r="Y2205">
        <v>0</v>
      </c>
      <c r="Z2205">
        <v>1</v>
      </c>
      <c r="AA2205">
        <v>0</v>
      </c>
      <c r="AB2205">
        <v>1</v>
      </c>
      <c r="AC2205">
        <v>0</v>
      </c>
      <c r="AD2205">
        <v>1</v>
      </c>
      <c r="AE2205">
        <v>1</v>
      </c>
      <c r="AF2205">
        <v>1</v>
      </c>
      <c r="AG2205">
        <v>1</v>
      </c>
      <c r="AH2205">
        <v>1</v>
      </c>
      <c r="AI2205">
        <v>1</v>
      </c>
      <c r="AJ2205">
        <v>1</v>
      </c>
      <c r="AK2205">
        <v>1</v>
      </c>
      <c r="AL2205">
        <v>1</v>
      </c>
      <c r="AM2205">
        <v>1</v>
      </c>
    </row>
    <row r="2206" spans="1:39" x14ac:dyDescent="0.2">
      <c r="A2206" t="str">
        <f>"2202"</f>
        <v>2202</v>
      </c>
      <c r="B2206" t="str">
        <f t="shared" si="121"/>
        <v>1</v>
      </c>
      <c r="C2206" t="str">
        <f t="shared" si="123"/>
        <v>45</v>
      </c>
      <c r="D2206" t="str">
        <f>"35"</f>
        <v>35</v>
      </c>
      <c r="E2206" t="str">
        <f>"1-45-35"</f>
        <v>1-45-35</v>
      </c>
      <c r="F2206" t="s">
        <v>65</v>
      </c>
      <c r="G2206" t="s">
        <v>66</v>
      </c>
      <c r="H2206" t="s">
        <v>67</v>
      </c>
      <c r="S2206">
        <v>0</v>
      </c>
      <c r="T2206">
        <v>1</v>
      </c>
      <c r="U2206">
        <v>0</v>
      </c>
      <c r="V2206">
        <v>0</v>
      </c>
      <c r="W2206">
        <v>0</v>
      </c>
      <c r="X2206">
        <v>1</v>
      </c>
      <c r="Y2206">
        <v>0</v>
      </c>
      <c r="Z2206">
        <v>1</v>
      </c>
      <c r="AA2206">
        <v>0</v>
      </c>
      <c r="AB2206">
        <v>0</v>
      </c>
      <c r="AC2206">
        <v>1</v>
      </c>
      <c r="AD2206">
        <v>1</v>
      </c>
      <c r="AE2206">
        <v>1</v>
      </c>
      <c r="AF2206">
        <v>0</v>
      </c>
      <c r="AG2206">
        <v>1</v>
      </c>
      <c r="AH2206">
        <v>1</v>
      </c>
      <c r="AI2206">
        <v>1</v>
      </c>
      <c r="AJ2206">
        <v>1</v>
      </c>
      <c r="AK2206">
        <v>1</v>
      </c>
      <c r="AL2206">
        <v>1</v>
      </c>
      <c r="AM2206">
        <v>1</v>
      </c>
    </row>
    <row r="2207" spans="1:39" x14ac:dyDescent="0.2">
      <c r="A2207" t="str">
        <f>"2203"</f>
        <v>2203</v>
      </c>
      <c r="B2207" t="str">
        <f t="shared" si="121"/>
        <v>1</v>
      </c>
      <c r="C2207" t="str">
        <f t="shared" si="123"/>
        <v>45</v>
      </c>
      <c r="D2207" t="str">
        <f>"24"</f>
        <v>24</v>
      </c>
      <c r="E2207" t="str">
        <f>"1-45-24"</f>
        <v>1-45-24</v>
      </c>
      <c r="F2207" t="s">
        <v>65</v>
      </c>
      <c r="G2207" t="s">
        <v>66</v>
      </c>
      <c r="H2207" t="s">
        <v>67</v>
      </c>
      <c r="S2207">
        <v>0</v>
      </c>
      <c r="T2207">
        <v>1</v>
      </c>
      <c r="U2207">
        <v>0</v>
      </c>
      <c r="V2207">
        <v>0</v>
      </c>
      <c r="W2207">
        <v>0</v>
      </c>
      <c r="X2207">
        <v>1</v>
      </c>
      <c r="Y2207">
        <v>0</v>
      </c>
      <c r="Z2207">
        <v>1</v>
      </c>
      <c r="AA2207">
        <v>0</v>
      </c>
      <c r="AB2207">
        <v>0</v>
      </c>
      <c r="AC2207">
        <v>1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</row>
    <row r="2208" spans="1:39" x14ac:dyDescent="0.2">
      <c r="A2208" t="str">
        <f>"2204"</f>
        <v>2204</v>
      </c>
      <c r="B2208" t="str">
        <f t="shared" si="121"/>
        <v>1</v>
      </c>
      <c r="C2208" t="str">
        <f t="shared" si="123"/>
        <v>45</v>
      </c>
      <c r="D2208" t="str">
        <f>"15"</f>
        <v>15</v>
      </c>
      <c r="E2208" t="str">
        <f>"1-45-15"</f>
        <v>1-45-15</v>
      </c>
      <c r="F2208" t="s">
        <v>65</v>
      </c>
      <c r="G2208" t="s">
        <v>66</v>
      </c>
      <c r="H2208" t="s">
        <v>67</v>
      </c>
      <c r="S2208">
        <v>0</v>
      </c>
      <c r="T2208">
        <v>1</v>
      </c>
      <c r="U2208">
        <v>0</v>
      </c>
      <c r="V2208">
        <v>0</v>
      </c>
      <c r="W2208">
        <v>0</v>
      </c>
      <c r="X2208">
        <v>1</v>
      </c>
      <c r="Y2208">
        <v>1</v>
      </c>
      <c r="Z2208">
        <v>0</v>
      </c>
      <c r="AA2208">
        <v>0</v>
      </c>
      <c r="AB2208">
        <v>1</v>
      </c>
      <c r="AC2208">
        <v>0</v>
      </c>
      <c r="AD2208">
        <v>1</v>
      </c>
      <c r="AE2208">
        <v>1</v>
      </c>
      <c r="AF2208">
        <v>1</v>
      </c>
      <c r="AG2208">
        <v>1</v>
      </c>
      <c r="AH2208">
        <v>1</v>
      </c>
      <c r="AI2208">
        <v>1</v>
      </c>
      <c r="AJ2208">
        <v>1</v>
      </c>
      <c r="AK2208">
        <v>1</v>
      </c>
      <c r="AL2208">
        <v>1</v>
      </c>
      <c r="AM2208">
        <v>1</v>
      </c>
    </row>
    <row r="2209" spans="1:39" x14ac:dyDescent="0.2">
      <c r="A2209" t="str">
        <f>"2205"</f>
        <v>2205</v>
      </c>
      <c r="B2209" t="str">
        <f t="shared" si="121"/>
        <v>1</v>
      </c>
      <c r="C2209" t="str">
        <f t="shared" si="123"/>
        <v>45</v>
      </c>
      <c r="D2209" t="str">
        <f>"1"</f>
        <v>1</v>
      </c>
      <c r="E2209" t="str">
        <f>"1-45-1"</f>
        <v>1-45-1</v>
      </c>
      <c r="F2209" t="s">
        <v>65</v>
      </c>
      <c r="G2209" t="s">
        <v>66</v>
      </c>
      <c r="H2209" t="s">
        <v>67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1</v>
      </c>
      <c r="Y2209">
        <v>0</v>
      </c>
      <c r="Z2209">
        <v>1</v>
      </c>
      <c r="AA2209">
        <v>0</v>
      </c>
      <c r="AB2209">
        <v>0</v>
      </c>
      <c r="AC2209">
        <v>1</v>
      </c>
      <c r="AD2209">
        <v>1</v>
      </c>
      <c r="AE2209">
        <v>1</v>
      </c>
      <c r="AF2209">
        <v>1</v>
      </c>
      <c r="AG2209">
        <v>1</v>
      </c>
      <c r="AH2209">
        <v>1</v>
      </c>
      <c r="AI2209">
        <v>1</v>
      </c>
      <c r="AJ2209">
        <v>1</v>
      </c>
      <c r="AK2209">
        <v>1</v>
      </c>
      <c r="AL2209">
        <v>1</v>
      </c>
      <c r="AM2209">
        <v>1</v>
      </c>
    </row>
    <row r="2210" spans="1:39" x14ac:dyDescent="0.2">
      <c r="A2210" t="str">
        <f>"2206"</f>
        <v>2206</v>
      </c>
      <c r="B2210" t="str">
        <f t="shared" si="121"/>
        <v>1</v>
      </c>
      <c r="C2210" t="str">
        <f t="shared" si="123"/>
        <v>45</v>
      </c>
      <c r="D2210" t="str">
        <f>"42"</f>
        <v>42</v>
      </c>
      <c r="E2210" t="str">
        <f>"1-45-42"</f>
        <v>1-45-42</v>
      </c>
      <c r="F2210" t="s">
        <v>65</v>
      </c>
      <c r="G2210" t="s">
        <v>66</v>
      </c>
      <c r="H2210" t="s">
        <v>67</v>
      </c>
      <c r="S2210">
        <v>0</v>
      </c>
      <c r="T2210">
        <v>1</v>
      </c>
      <c r="U2210">
        <v>0</v>
      </c>
      <c r="V2210">
        <v>0</v>
      </c>
      <c r="W2210">
        <v>0</v>
      </c>
      <c r="X2210">
        <v>1</v>
      </c>
      <c r="Y2210">
        <v>0</v>
      </c>
      <c r="Z2210">
        <v>1</v>
      </c>
      <c r="AA2210">
        <v>0</v>
      </c>
      <c r="AB2210">
        <v>0</v>
      </c>
      <c r="AC2210">
        <v>1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1</v>
      </c>
      <c r="AJ2210">
        <v>1</v>
      </c>
      <c r="AK2210">
        <v>0</v>
      </c>
      <c r="AL2210">
        <v>1</v>
      </c>
      <c r="AM2210">
        <v>0</v>
      </c>
    </row>
    <row r="2211" spans="1:39" x14ac:dyDescent="0.2">
      <c r="A2211" t="str">
        <f>"2207"</f>
        <v>2207</v>
      </c>
      <c r="B2211" t="str">
        <f t="shared" si="121"/>
        <v>1</v>
      </c>
      <c r="C2211" t="str">
        <f t="shared" si="123"/>
        <v>45</v>
      </c>
      <c r="D2211" t="str">
        <f>"41"</f>
        <v>41</v>
      </c>
      <c r="E2211" t="str">
        <f>"1-45-41"</f>
        <v>1-45-41</v>
      </c>
      <c r="F2211" t="s">
        <v>65</v>
      </c>
      <c r="G2211" t="s">
        <v>66</v>
      </c>
      <c r="H2211" t="s">
        <v>67</v>
      </c>
      <c r="S2211">
        <v>0</v>
      </c>
      <c r="T2211">
        <v>1</v>
      </c>
      <c r="U2211">
        <v>0</v>
      </c>
      <c r="V2211">
        <v>0</v>
      </c>
      <c r="W2211">
        <v>1</v>
      </c>
      <c r="X2211">
        <v>0</v>
      </c>
      <c r="Y2211">
        <v>1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1</v>
      </c>
      <c r="AF2211">
        <v>1</v>
      </c>
      <c r="AG2211">
        <v>1</v>
      </c>
      <c r="AH2211">
        <v>1</v>
      </c>
      <c r="AI2211">
        <v>1</v>
      </c>
      <c r="AJ2211">
        <v>1</v>
      </c>
      <c r="AK2211">
        <v>1</v>
      </c>
      <c r="AL2211">
        <v>1</v>
      </c>
      <c r="AM2211">
        <v>1</v>
      </c>
    </row>
    <row r="2212" spans="1:39" x14ac:dyDescent="0.2">
      <c r="A2212" t="str">
        <f>"2208"</f>
        <v>2208</v>
      </c>
      <c r="B2212" t="str">
        <f t="shared" si="121"/>
        <v>1</v>
      </c>
      <c r="C2212" t="str">
        <f t="shared" si="123"/>
        <v>45</v>
      </c>
      <c r="D2212" t="str">
        <f>"31"</f>
        <v>31</v>
      </c>
      <c r="E2212" t="str">
        <f>"1-45-31"</f>
        <v>1-45-31</v>
      </c>
      <c r="F2212" t="s">
        <v>65</v>
      </c>
      <c r="G2212" t="s">
        <v>66</v>
      </c>
      <c r="H2212" t="s">
        <v>67</v>
      </c>
      <c r="S2212">
        <v>0</v>
      </c>
      <c r="T2212">
        <v>1</v>
      </c>
      <c r="U2212">
        <v>0</v>
      </c>
      <c r="V2212">
        <v>0</v>
      </c>
      <c r="W2212">
        <v>1</v>
      </c>
      <c r="X2212">
        <v>0</v>
      </c>
      <c r="Y2212">
        <v>0</v>
      </c>
      <c r="Z2212">
        <v>1</v>
      </c>
      <c r="AA2212">
        <v>0</v>
      </c>
      <c r="AB2212">
        <v>0</v>
      </c>
      <c r="AC2212">
        <v>1</v>
      </c>
      <c r="AD2212">
        <v>1</v>
      </c>
      <c r="AE2212">
        <v>1</v>
      </c>
      <c r="AF2212">
        <v>1</v>
      </c>
      <c r="AG2212">
        <v>1</v>
      </c>
      <c r="AH2212">
        <v>1</v>
      </c>
      <c r="AI2212">
        <v>1</v>
      </c>
      <c r="AJ2212">
        <v>1</v>
      </c>
      <c r="AK2212">
        <v>1</v>
      </c>
      <c r="AL2212">
        <v>1</v>
      </c>
      <c r="AM2212">
        <v>1</v>
      </c>
    </row>
    <row r="2213" spans="1:39" x14ac:dyDescent="0.2">
      <c r="A2213" t="str">
        <f>"2209"</f>
        <v>2209</v>
      </c>
      <c r="B2213" t="str">
        <f t="shared" si="121"/>
        <v>1</v>
      </c>
      <c r="C2213" t="str">
        <f t="shared" si="123"/>
        <v>45</v>
      </c>
      <c r="D2213" t="str">
        <f>"16"</f>
        <v>16</v>
      </c>
      <c r="E2213" t="str">
        <f>"1-45-16"</f>
        <v>1-45-16</v>
      </c>
      <c r="F2213" t="s">
        <v>65</v>
      </c>
      <c r="G2213" t="s">
        <v>66</v>
      </c>
      <c r="H2213" t="s">
        <v>67</v>
      </c>
      <c r="S2213">
        <v>1</v>
      </c>
      <c r="T2213">
        <v>0</v>
      </c>
      <c r="U2213">
        <v>0</v>
      </c>
      <c r="V2213">
        <v>0</v>
      </c>
      <c r="W2213">
        <v>0</v>
      </c>
      <c r="X2213">
        <v>1</v>
      </c>
      <c r="Y2213">
        <v>0</v>
      </c>
      <c r="Z2213">
        <v>1</v>
      </c>
      <c r="AA2213">
        <v>0</v>
      </c>
      <c r="AB2213">
        <v>0</v>
      </c>
      <c r="AC2213">
        <v>1</v>
      </c>
      <c r="AD2213">
        <v>1</v>
      </c>
      <c r="AE2213">
        <v>1</v>
      </c>
      <c r="AF2213">
        <v>1</v>
      </c>
      <c r="AG2213">
        <v>1</v>
      </c>
      <c r="AH2213">
        <v>1</v>
      </c>
      <c r="AI2213">
        <v>1</v>
      </c>
      <c r="AJ2213">
        <v>1</v>
      </c>
      <c r="AK2213">
        <v>1</v>
      </c>
      <c r="AL2213">
        <v>1</v>
      </c>
      <c r="AM2213">
        <v>1</v>
      </c>
    </row>
    <row r="2214" spans="1:39" x14ac:dyDescent="0.2">
      <c r="A2214" t="str">
        <f>"2210"</f>
        <v>2210</v>
      </c>
      <c r="B2214" t="str">
        <f t="shared" si="121"/>
        <v>1</v>
      </c>
      <c r="C2214" t="str">
        <f t="shared" si="123"/>
        <v>45</v>
      </c>
      <c r="D2214" t="str">
        <f>"2"</f>
        <v>2</v>
      </c>
      <c r="E2214" t="str">
        <f>"1-45-2"</f>
        <v>1-45-2</v>
      </c>
      <c r="F2214" t="s">
        <v>65</v>
      </c>
      <c r="G2214" t="s">
        <v>66</v>
      </c>
      <c r="H2214" t="s">
        <v>67</v>
      </c>
      <c r="S2214">
        <v>0</v>
      </c>
      <c r="T2214">
        <v>1</v>
      </c>
      <c r="U2214">
        <v>0</v>
      </c>
      <c r="V2214">
        <v>0</v>
      </c>
      <c r="W2214">
        <v>0</v>
      </c>
      <c r="X2214">
        <v>1</v>
      </c>
      <c r="Y2214">
        <v>0</v>
      </c>
      <c r="Z2214">
        <v>1</v>
      </c>
      <c r="AA2214">
        <v>0</v>
      </c>
      <c r="AB2214">
        <v>0</v>
      </c>
      <c r="AC2214">
        <v>1</v>
      </c>
      <c r="AD2214">
        <v>1</v>
      </c>
      <c r="AE2214">
        <v>1</v>
      </c>
      <c r="AF2214">
        <v>1</v>
      </c>
      <c r="AG2214">
        <v>1</v>
      </c>
      <c r="AH2214">
        <v>1</v>
      </c>
      <c r="AI2214">
        <v>1</v>
      </c>
      <c r="AJ2214">
        <v>1</v>
      </c>
      <c r="AK2214">
        <v>1</v>
      </c>
      <c r="AL2214">
        <v>1</v>
      </c>
      <c r="AM2214">
        <v>1</v>
      </c>
    </row>
    <row r="2215" spans="1:39" x14ac:dyDescent="0.2">
      <c r="A2215" t="str">
        <f>"2211"</f>
        <v>2211</v>
      </c>
      <c r="B2215" t="str">
        <f t="shared" si="121"/>
        <v>1</v>
      </c>
      <c r="C2215" t="str">
        <f t="shared" si="123"/>
        <v>45</v>
      </c>
      <c r="D2215" t="str">
        <f>"39"</f>
        <v>39</v>
      </c>
      <c r="E2215" t="str">
        <f>"1-45-39"</f>
        <v>1-45-39</v>
      </c>
      <c r="F2215" t="s">
        <v>65</v>
      </c>
      <c r="G2215" t="s">
        <v>66</v>
      </c>
      <c r="H2215" t="s">
        <v>67</v>
      </c>
      <c r="S2215">
        <v>0</v>
      </c>
      <c r="T2215">
        <v>1</v>
      </c>
      <c r="U2215">
        <v>0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0</v>
      </c>
      <c r="AB2215">
        <v>0</v>
      </c>
      <c r="AC2215">
        <v>1</v>
      </c>
      <c r="AD2215">
        <v>0</v>
      </c>
      <c r="AE2215">
        <v>0</v>
      </c>
      <c r="AF2215">
        <v>0</v>
      </c>
      <c r="AG2215">
        <v>0</v>
      </c>
      <c r="AH2215">
        <v>1</v>
      </c>
      <c r="AI2215">
        <v>1</v>
      </c>
      <c r="AJ2215">
        <v>1</v>
      </c>
      <c r="AK2215">
        <v>1</v>
      </c>
      <c r="AL2215">
        <v>1</v>
      </c>
      <c r="AM2215">
        <v>0</v>
      </c>
    </row>
    <row r="2216" spans="1:39" x14ac:dyDescent="0.2">
      <c r="A2216" t="str">
        <f>"2212"</f>
        <v>2212</v>
      </c>
      <c r="B2216" t="str">
        <f t="shared" si="121"/>
        <v>1</v>
      </c>
      <c r="C2216" t="str">
        <f t="shared" si="123"/>
        <v>45</v>
      </c>
      <c r="D2216" t="str">
        <f>"38"</f>
        <v>38</v>
      </c>
      <c r="E2216" t="str">
        <f>"1-45-38"</f>
        <v>1-45-38</v>
      </c>
      <c r="F2216" t="s">
        <v>65</v>
      </c>
      <c r="G2216" t="s">
        <v>66</v>
      </c>
      <c r="H2216" t="s">
        <v>67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</row>
    <row r="2217" spans="1:39" x14ac:dyDescent="0.2">
      <c r="A2217" t="str">
        <f>"2213"</f>
        <v>2213</v>
      </c>
      <c r="B2217" t="str">
        <f t="shared" si="121"/>
        <v>1</v>
      </c>
      <c r="C2217" t="str">
        <f t="shared" si="123"/>
        <v>45</v>
      </c>
      <c r="D2217" t="str">
        <f>"30"</f>
        <v>30</v>
      </c>
      <c r="E2217" t="str">
        <f>"1-45-30"</f>
        <v>1-45-30</v>
      </c>
      <c r="F2217" t="s">
        <v>65</v>
      </c>
      <c r="G2217" t="s">
        <v>66</v>
      </c>
      <c r="H2217" t="s">
        <v>67</v>
      </c>
      <c r="S2217">
        <v>0</v>
      </c>
      <c r="T2217">
        <v>1</v>
      </c>
      <c r="U2217">
        <v>0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0</v>
      </c>
      <c r="AB2217">
        <v>0</v>
      </c>
      <c r="AC2217">
        <v>1</v>
      </c>
      <c r="AD2217">
        <v>0</v>
      </c>
      <c r="AE2217">
        <v>0</v>
      </c>
      <c r="AF2217">
        <v>0</v>
      </c>
      <c r="AG2217">
        <v>0</v>
      </c>
      <c r="AH2217">
        <v>1</v>
      </c>
      <c r="AI2217">
        <v>1</v>
      </c>
      <c r="AJ2217">
        <v>1</v>
      </c>
      <c r="AK2217">
        <v>1</v>
      </c>
      <c r="AL2217">
        <v>1</v>
      </c>
      <c r="AM2217">
        <v>1</v>
      </c>
    </row>
    <row r="2218" spans="1:39" x14ac:dyDescent="0.2">
      <c r="A2218" t="str">
        <f>"2214"</f>
        <v>2214</v>
      </c>
      <c r="B2218" t="str">
        <f t="shared" si="121"/>
        <v>1</v>
      </c>
      <c r="C2218" t="str">
        <f t="shared" si="123"/>
        <v>45</v>
      </c>
      <c r="D2218" t="str">
        <f>"17"</f>
        <v>17</v>
      </c>
      <c r="E2218" t="str">
        <f>"1-45-17"</f>
        <v>1-45-17</v>
      </c>
      <c r="F2218" t="s">
        <v>65</v>
      </c>
      <c r="G2218" t="s">
        <v>66</v>
      </c>
      <c r="H2218" t="s">
        <v>67</v>
      </c>
      <c r="S2218">
        <v>1</v>
      </c>
      <c r="T2218">
        <v>0</v>
      </c>
      <c r="U2218">
        <v>0</v>
      </c>
      <c r="V2218">
        <v>0</v>
      </c>
      <c r="W2218">
        <v>1</v>
      </c>
      <c r="X2218">
        <v>0</v>
      </c>
      <c r="Y2218">
        <v>1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1</v>
      </c>
      <c r="AF2218">
        <v>1</v>
      </c>
      <c r="AG2218">
        <v>1</v>
      </c>
      <c r="AH2218">
        <v>0</v>
      </c>
      <c r="AI2218">
        <v>0</v>
      </c>
      <c r="AJ2218">
        <v>1</v>
      </c>
      <c r="AK2218">
        <v>1</v>
      </c>
      <c r="AL2218">
        <v>1</v>
      </c>
      <c r="AM2218">
        <v>1</v>
      </c>
    </row>
    <row r="2219" spans="1:39" x14ac:dyDescent="0.2">
      <c r="A2219" t="str">
        <f>"2215"</f>
        <v>2215</v>
      </c>
      <c r="B2219" t="str">
        <f t="shared" si="121"/>
        <v>1</v>
      </c>
      <c r="C2219" t="str">
        <f t="shared" si="123"/>
        <v>45</v>
      </c>
      <c r="D2219" t="str">
        <f>"3"</f>
        <v>3</v>
      </c>
      <c r="E2219" t="str">
        <f>"1-45-3"</f>
        <v>1-45-3</v>
      </c>
      <c r="F2219" t="s">
        <v>65</v>
      </c>
      <c r="G2219" t="s">
        <v>66</v>
      </c>
      <c r="H2219" t="s">
        <v>67</v>
      </c>
      <c r="S2219">
        <v>0</v>
      </c>
      <c r="T2219">
        <v>1</v>
      </c>
      <c r="U2219">
        <v>0</v>
      </c>
      <c r="V2219">
        <v>0</v>
      </c>
      <c r="W2219">
        <v>0</v>
      </c>
      <c r="X2219">
        <v>1</v>
      </c>
      <c r="Y2219">
        <v>0</v>
      </c>
      <c r="Z2219">
        <v>1</v>
      </c>
      <c r="AA2219">
        <v>0</v>
      </c>
      <c r="AB2219">
        <v>1</v>
      </c>
      <c r="AC2219">
        <v>0</v>
      </c>
      <c r="AD2219">
        <v>1</v>
      </c>
      <c r="AE2219">
        <v>1</v>
      </c>
      <c r="AF2219">
        <v>1</v>
      </c>
      <c r="AG2219">
        <v>1</v>
      </c>
      <c r="AH2219">
        <v>1</v>
      </c>
      <c r="AI2219">
        <v>1</v>
      </c>
      <c r="AJ2219">
        <v>1</v>
      </c>
      <c r="AK2219">
        <v>1</v>
      </c>
      <c r="AL2219">
        <v>1</v>
      </c>
      <c r="AM2219">
        <v>1</v>
      </c>
    </row>
    <row r="2220" spans="1:39" x14ac:dyDescent="0.2">
      <c r="A2220" t="str">
        <f>"2216"</f>
        <v>2216</v>
      </c>
      <c r="B2220" t="str">
        <f t="shared" si="121"/>
        <v>1</v>
      </c>
      <c r="C2220" t="str">
        <f t="shared" si="123"/>
        <v>45</v>
      </c>
      <c r="D2220" t="str">
        <f>"47"</f>
        <v>47</v>
      </c>
      <c r="E2220" t="str">
        <f>"1-45-47"</f>
        <v>1-45-47</v>
      </c>
      <c r="F2220" t="s">
        <v>65</v>
      </c>
      <c r="G2220" t="s">
        <v>66</v>
      </c>
      <c r="H2220" t="s">
        <v>67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0</v>
      </c>
      <c r="AB2220">
        <v>0</v>
      </c>
      <c r="AC2220">
        <v>1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1</v>
      </c>
      <c r="AJ2220">
        <v>0</v>
      </c>
      <c r="AK2220">
        <v>0</v>
      </c>
      <c r="AL2220">
        <v>0</v>
      </c>
      <c r="AM2220">
        <v>0</v>
      </c>
    </row>
    <row r="2221" spans="1:39" x14ac:dyDescent="0.2">
      <c r="A2221" t="str">
        <f>"2217"</f>
        <v>2217</v>
      </c>
      <c r="B2221" t="str">
        <f t="shared" si="121"/>
        <v>1</v>
      </c>
      <c r="C2221" t="str">
        <f t="shared" si="123"/>
        <v>45</v>
      </c>
      <c r="D2221" t="str">
        <f>"46"</f>
        <v>46</v>
      </c>
      <c r="E2221" t="str">
        <f>"1-45-46"</f>
        <v>1-45-46</v>
      </c>
      <c r="F2221" t="s">
        <v>65</v>
      </c>
      <c r="G2221" t="s">
        <v>66</v>
      </c>
      <c r="H2221" t="s">
        <v>67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1</v>
      </c>
      <c r="Y2221">
        <v>0</v>
      </c>
      <c r="Z2221">
        <v>1</v>
      </c>
      <c r="AA2221">
        <v>0</v>
      </c>
      <c r="AB2221">
        <v>0</v>
      </c>
      <c r="AC2221">
        <v>1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</row>
    <row r="2222" spans="1:39" x14ac:dyDescent="0.2">
      <c r="A2222" t="str">
        <f>"2218"</f>
        <v>2218</v>
      </c>
      <c r="B2222" t="str">
        <f t="shared" si="121"/>
        <v>1</v>
      </c>
      <c r="C2222" t="str">
        <f t="shared" si="123"/>
        <v>45</v>
      </c>
      <c r="D2222" t="str">
        <f>"33"</f>
        <v>33</v>
      </c>
      <c r="E2222" t="str">
        <f>"1-45-33"</f>
        <v>1-45-33</v>
      </c>
      <c r="F2222" t="s">
        <v>65</v>
      </c>
      <c r="G2222" t="s">
        <v>66</v>
      </c>
      <c r="H2222" t="s">
        <v>67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</row>
    <row r="2223" spans="1:39" x14ac:dyDescent="0.2">
      <c r="A2223" t="str">
        <f>"2219"</f>
        <v>2219</v>
      </c>
      <c r="B2223" t="str">
        <f t="shared" si="121"/>
        <v>1</v>
      </c>
      <c r="C2223" t="str">
        <f t="shared" si="123"/>
        <v>45</v>
      </c>
      <c r="D2223" t="str">
        <f>"18"</f>
        <v>18</v>
      </c>
      <c r="E2223" t="str">
        <f>"1-45-18"</f>
        <v>1-45-18</v>
      </c>
      <c r="F2223" t="s">
        <v>65</v>
      </c>
      <c r="G2223" t="s">
        <v>66</v>
      </c>
      <c r="H2223" t="s">
        <v>67</v>
      </c>
      <c r="S2223">
        <v>1</v>
      </c>
      <c r="T2223">
        <v>0</v>
      </c>
      <c r="U2223">
        <v>0</v>
      </c>
      <c r="V2223">
        <v>0</v>
      </c>
      <c r="W2223">
        <v>1</v>
      </c>
      <c r="X2223">
        <v>0</v>
      </c>
      <c r="Y2223">
        <v>1</v>
      </c>
      <c r="Z2223">
        <v>0</v>
      </c>
      <c r="AA2223">
        <v>0</v>
      </c>
      <c r="AB2223">
        <v>1</v>
      </c>
      <c r="AC2223">
        <v>0</v>
      </c>
      <c r="AD2223">
        <v>1</v>
      </c>
      <c r="AE2223">
        <v>1</v>
      </c>
      <c r="AF2223">
        <v>1</v>
      </c>
      <c r="AG2223">
        <v>1</v>
      </c>
      <c r="AH2223">
        <v>1</v>
      </c>
      <c r="AI2223">
        <v>1</v>
      </c>
      <c r="AJ2223">
        <v>1</v>
      </c>
      <c r="AK2223">
        <v>1</v>
      </c>
      <c r="AL2223">
        <v>1</v>
      </c>
      <c r="AM2223">
        <v>0</v>
      </c>
    </row>
    <row r="2224" spans="1:39" x14ac:dyDescent="0.2">
      <c r="A2224" t="str">
        <f>"2220"</f>
        <v>2220</v>
      </c>
      <c r="B2224" t="str">
        <f t="shared" si="121"/>
        <v>1</v>
      </c>
      <c r="C2224" t="str">
        <f t="shared" si="123"/>
        <v>45</v>
      </c>
      <c r="D2224" t="str">
        <f>"8"</f>
        <v>8</v>
      </c>
      <c r="E2224" t="str">
        <f>"1-45-8"</f>
        <v>1-45-8</v>
      </c>
      <c r="F2224" t="s">
        <v>65</v>
      </c>
      <c r="G2224" t="s">
        <v>66</v>
      </c>
      <c r="H2224" t="s">
        <v>67</v>
      </c>
      <c r="S2224">
        <v>1</v>
      </c>
      <c r="T2224">
        <v>0</v>
      </c>
      <c r="U2224">
        <v>0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0</v>
      </c>
      <c r="AB2224">
        <v>1</v>
      </c>
      <c r="AC2224">
        <v>0</v>
      </c>
      <c r="AD2224">
        <v>1</v>
      </c>
      <c r="AE2224">
        <v>1</v>
      </c>
      <c r="AF2224">
        <v>1</v>
      </c>
      <c r="AG2224">
        <v>1</v>
      </c>
      <c r="AH2224">
        <v>1</v>
      </c>
      <c r="AI2224">
        <v>1</v>
      </c>
      <c r="AJ2224">
        <v>1</v>
      </c>
      <c r="AK2224">
        <v>1</v>
      </c>
      <c r="AL2224">
        <v>1</v>
      </c>
      <c r="AM2224">
        <v>1</v>
      </c>
    </row>
    <row r="2225" spans="1:39" x14ac:dyDescent="0.2">
      <c r="A2225" t="str">
        <f>"2221"</f>
        <v>2221</v>
      </c>
      <c r="B2225" t="str">
        <f t="shared" si="121"/>
        <v>1</v>
      </c>
      <c r="C2225" t="str">
        <f t="shared" si="123"/>
        <v>45</v>
      </c>
      <c r="D2225" t="str">
        <f>"44"</f>
        <v>44</v>
      </c>
      <c r="E2225" t="str">
        <f>"1-45-44"</f>
        <v>1-45-44</v>
      </c>
      <c r="F2225" t="s">
        <v>65</v>
      </c>
      <c r="G2225" t="s">
        <v>66</v>
      </c>
      <c r="H2225" t="s">
        <v>67</v>
      </c>
      <c r="S2225">
        <v>0</v>
      </c>
      <c r="T2225">
        <v>1</v>
      </c>
      <c r="U2225">
        <v>0</v>
      </c>
      <c r="V2225">
        <v>0</v>
      </c>
      <c r="W2225">
        <v>1</v>
      </c>
      <c r="X2225">
        <v>0</v>
      </c>
      <c r="Y2225">
        <v>1</v>
      </c>
      <c r="Z2225">
        <v>0</v>
      </c>
      <c r="AA2225">
        <v>0</v>
      </c>
      <c r="AB2225">
        <v>1</v>
      </c>
      <c r="AC2225">
        <v>0</v>
      </c>
      <c r="AD2225">
        <v>1</v>
      </c>
      <c r="AE2225">
        <v>1</v>
      </c>
      <c r="AF2225">
        <v>1</v>
      </c>
      <c r="AG2225">
        <v>1</v>
      </c>
      <c r="AH2225">
        <v>1</v>
      </c>
      <c r="AI2225">
        <v>1</v>
      </c>
      <c r="AJ2225">
        <v>1</v>
      </c>
      <c r="AK2225">
        <v>1</v>
      </c>
      <c r="AL2225">
        <v>1</v>
      </c>
      <c r="AM2225">
        <v>1</v>
      </c>
    </row>
    <row r="2226" spans="1:39" x14ac:dyDescent="0.2">
      <c r="A2226" t="str">
        <f>"2222"</f>
        <v>2222</v>
      </c>
      <c r="B2226" t="str">
        <f t="shared" si="121"/>
        <v>1</v>
      </c>
      <c r="C2226" t="str">
        <f t="shared" si="123"/>
        <v>45</v>
      </c>
      <c r="D2226" t="str">
        <f>"43"</f>
        <v>43</v>
      </c>
      <c r="E2226" t="str">
        <f>"1-45-43"</f>
        <v>1-45-43</v>
      </c>
      <c r="F2226" t="s">
        <v>65</v>
      </c>
      <c r="G2226" t="s">
        <v>66</v>
      </c>
      <c r="H2226" t="s">
        <v>67</v>
      </c>
      <c r="S2226">
        <v>0</v>
      </c>
      <c r="T2226">
        <v>1</v>
      </c>
      <c r="U2226">
        <v>0</v>
      </c>
      <c r="V2226">
        <v>0</v>
      </c>
      <c r="W2226">
        <v>0</v>
      </c>
      <c r="X2226">
        <v>1</v>
      </c>
      <c r="Y2226">
        <v>0</v>
      </c>
      <c r="Z2226">
        <v>1</v>
      </c>
      <c r="AA2226">
        <v>0</v>
      </c>
      <c r="AB2226">
        <v>0</v>
      </c>
      <c r="AC2226">
        <v>1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1</v>
      </c>
      <c r="AJ2226">
        <v>1</v>
      </c>
      <c r="AK2226">
        <v>0</v>
      </c>
      <c r="AL2226">
        <v>1</v>
      </c>
      <c r="AM2226">
        <v>0</v>
      </c>
    </row>
    <row r="2227" spans="1:39" x14ac:dyDescent="0.2">
      <c r="A2227" t="str">
        <f>"2223"</f>
        <v>2223</v>
      </c>
      <c r="B2227" t="str">
        <f t="shared" si="121"/>
        <v>1</v>
      </c>
      <c r="C2227" t="str">
        <f t="shared" si="123"/>
        <v>45</v>
      </c>
      <c r="D2227" t="str">
        <f>"32"</f>
        <v>32</v>
      </c>
      <c r="E2227" t="str">
        <f>"1-45-32"</f>
        <v>1-45-32</v>
      </c>
      <c r="F2227" t="s">
        <v>65</v>
      </c>
      <c r="G2227" t="s">
        <v>66</v>
      </c>
      <c r="H2227" t="s">
        <v>67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1</v>
      </c>
      <c r="Y2227">
        <v>0</v>
      </c>
      <c r="Z2227">
        <v>1</v>
      </c>
      <c r="AA2227">
        <v>0</v>
      </c>
      <c r="AB2227">
        <v>0</v>
      </c>
      <c r="AC2227">
        <v>1</v>
      </c>
      <c r="AD2227">
        <v>1</v>
      </c>
      <c r="AE2227">
        <v>1</v>
      </c>
      <c r="AF2227">
        <v>1</v>
      </c>
      <c r="AG2227">
        <v>1</v>
      </c>
      <c r="AH2227">
        <v>1</v>
      </c>
      <c r="AI2227">
        <v>1</v>
      </c>
      <c r="AJ2227">
        <v>1</v>
      </c>
      <c r="AK2227">
        <v>1</v>
      </c>
      <c r="AL2227">
        <v>1</v>
      </c>
      <c r="AM2227">
        <v>1</v>
      </c>
    </row>
    <row r="2228" spans="1:39" x14ac:dyDescent="0.2">
      <c r="A2228" t="str">
        <f>"2224"</f>
        <v>2224</v>
      </c>
      <c r="B2228" t="str">
        <f t="shared" si="121"/>
        <v>1</v>
      </c>
      <c r="C2228" t="str">
        <f t="shared" si="123"/>
        <v>45</v>
      </c>
      <c r="D2228" t="str">
        <f>"19"</f>
        <v>19</v>
      </c>
      <c r="E2228" t="str">
        <f>"1-45-19"</f>
        <v>1-45-19</v>
      </c>
      <c r="F2228" t="s">
        <v>65</v>
      </c>
      <c r="G2228" t="s">
        <v>66</v>
      </c>
      <c r="H2228" t="s">
        <v>67</v>
      </c>
      <c r="S2228">
        <v>0</v>
      </c>
      <c r="T2228">
        <v>1</v>
      </c>
      <c r="U2228">
        <v>0</v>
      </c>
      <c r="V2228">
        <v>0</v>
      </c>
      <c r="W2228">
        <v>0</v>
      </c>
      <c r="X2228">
        <v>1</v>
      </c>
      <c r="Y2228">
        <v>1</v>
      </c>
      <c r="Z2228">
        <v>0</v>
      </c>
      <c r="AA2228">
        <v>0</v>
      </c>
      <c r="AB2228">
        <v>0</v>
      </c>
      <c r="AC2228">
        <v>1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1</v>
      </c>
      <c r="AJ2228">
        <v>1</v>
      </c>
      <c r="AK2228">
        <v>1</v>
      </c>
      <c r="AL2228">
        <v>1</v>
      </c>
      <c r="AM2228">
        <v>1</v>
      </c>
    </row>
    <row r="2229" spans="1:39" x14ac:dyDescent="0.2">
      <c r="A2229" t="str">
        <f>"2225"</f>
        <v>2225</v>
      </c>
      <c r="B2229" t="str">
        <f t="shared" si="121"/>
        <v>1</v>
      </c>
      <c r="C2229" t="str">
        <f t="shared" si="123"/>
        <v>45</v>
      </c>
      <c r="D2229" t="str">
        <f>"14"</f>
        <v>14</v>
      </c>
      <c r="E2229" t="str">
        <f>"1-45-14"</f>
        <v>1-45-14</v>
      </c>
      <c r="F2229" t="s">
        <v>65</v>
      </c>
      <c r="G2229" t="s">
        <v>66</v>
      </c>
      <c r="H2229" t="s">
        <v>67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1</v>
      </c>
      <c r="Y2229">
        <v>0</v>
      </c>
      <c r="Z2229">
        <v>1</v>
      </c>
      <c r="AA2229">
        <v>0</v>
      </c>
      <c r="AB2229">
        <v>0</v>
      </c>
      <c r="AC2229">
        <v>1</v>
      </c>
      <c r="AD2229">
        <v>0</v>
      </c>
      <c r="AE2229">
        <v>0</v>
      </c>
      <c r="AF2229">
        <v>0</v>
      </c>
      <c r="AG2229">
        <v>0</v>
      </c>
      <c r="AH2229">
        <v>1</v>
      </c>
      <c r="AI2229">
        <v>0</v>
      </c>
      <c r="AJ2229">
        <v>0</v>
      </c>
      <c r="AK2229">
        <v>0</v>
      </c>
      <c r="AL2229">
        <v>0</v>
      </c>
      <c r="AM2229">
        <v>0</v>
      </c>
    </row>
    <row r="2230" spans="1:39" x14ac:dyDescent="0.2">
      <c r="A2230" t="str">
        <f>"2226"</f>
        <v>2226</v>
      </c>
      <c r="B2230" t="str">
        <f t="shared" si="121"/>
        <v>1</v>
      </c>
      <c r="C2230" t="str">
        <f t="shared" si="123"/>
        <v>45</v>
      </c>
      <c r="D2230" t="str">
        <f>"34"</f>
        <v>34</v>
      </c>
      <c r="E2230" t="str">
        <f>"1-45-34"</f>
        <v>1-45-34</v>
      </c>
      <c r="F2230" t="s">
        <v>65</v>
      </c>
      <c r="G2230" t="s">
        <v>66</v>
      </c>
      <c r="H2230" t="s">
        <v>67</v>
      </c>
      <c r="S2230">
        <v>0</v>
      </c>
      <c r="T2230">
        <v>1</v>
      </c>
      <c r="U2230">
        <v>0</v>
      </c>
      <c r="V2230">
        <v>0</v>
      </c>
      <c r="W2230">
        <v>0</v>
      </c>
      <c r="X2230">
        <v>1</v>
      </c>
      <c r="Y2230">
        <v>0</v>
      </c>
      <c r="Z2230">
        <v>1</v>
      </c>
      <c r="AA2230">
        <v>0</v>
      </c>
      <c r="AB2230">
        <v>0</v>
      </c>
      <c r="AC2230">
        <v>1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</row>
    <row r="2231" spans="1:39" x14ac:dyDescent="0.2">
      <c r="A2231" t="str">
        <f>"2227"</f>
        <v>2227</v>
      </c>
      <c r="B2231" t="str">
        <f t="shared" ref="B2231:B2294" si="124">"1"</f>
        <v>1</v>
      </c>
      <c r="C2231" t="str">
        <f t="shared" si="123"/>
        <v>45</v>
      </c>
      <c r="D2231" t="str">
        <f>"20"</f>
        <v>20</v>
      </c>
      <c r="E2231" t="str">
        <f>"1-45-20"</f>
        <v>1-45-20</v>
      </c>
      <c r="F2231" t="s">
        <v>65</v>
      </c>
      <c r="G2231" t="s">
        <v>66</v>
      </c>
      <c r="H2231" t="s">
        <v>67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0</v>
      </c>
      <c r="AB2231">
        <v>0</v>
      </c>
      <c r="AC2231">
        <v>1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</row>
    <row r="2232" spans="1:39" x14ac:dyDescent="0.2">
      <c r="A2232" t="str">
        <f>"2228"</f>
        <v>2228</v>
      </c>
      <c r="B2232" t="str">
        <f t="shared" si="124"/>
        <v>1</v>
      </c>
      <c r="C2232" t="str">
        <f t="shared" si="123"/>
        <v>45</v>
      </c>
      <c r="D2232" t="str">
        <f>"6"</f>
        <v>6</v>
      </c>
      <c r="E2232" t="str">
        <f>"1-45-6"</f>
        <v>1-45-6</v>
      </c>
      <c r="F2232" t="s">
        <v>65</v>
      </c>
      <c r="G2232" t="s">
        <v>66</v>
      </c>
      <c r="H2232" t="s">
        <v>67</v>
      </c>
      <c r="S2232">
        <v>0</v>
      </c>
      <c r="T2232">
        <v>1</v>
      </c>
      <c r="U2232">
        <v>0</v>
      </c>
      <c r="V2232">
        <v>0</v>
      </c>
      <c r="W2232">
        <v>0</v>
      </c>
      <c r="X2232">
        <v>1</v>
      </c>
      <c r="Y2232">
        <v>1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1</v>
      </c>
      <c r="AF2232">
        <v>1</v>
      </c>
      <c r="AG2232">
        <v>1</v>
      </c>
      <c r="AH2232">
        <v>1</v>
      </c>
      <c r="AI2232">
        <v>0</v>
      </c>
      <c r="AJ2232">
        <v>0</v>
      </c>
      <c r="AK2232">
        <v>0</v>
      </c>
      <c r="AL2232">
        <v>0</v>
      </c>
      <c r="AM2232">
        <v>0</v>
      </c>
    </row>
    <row r="2233" spans="1:39" x14ac:dyDescent="0.2">
      <c r="A2233" t="str">
        <f>"2229"</f>
        <v>2229</v>
      </c>
      <c r="B2233" t="str">
        <f t="shared" si="124"/>
        <v>1</v>
      </c>
      <c r="C2233" t="str">
        <f t="shared" si="123"/>
        <v>45</v>
      </c>
      <c r="D2233" t="str">
        <f>"37"</f>
        <v>37</v>
      </c>
      <c r="E2233" t="str">
        <f>"1-45-37"</f>
        <v>1-45-37</v>
      </c>
      <c r="F2233" t="s">
        <v>65</v>
      </c>
      <c r="G2233" t="s">
        <v>66</v>
      </c>
      <c r="H2233" t="s">
        <v>67</v>
      </c>
      <c r="S2233">
        <v>1</v>
      </c>
      <c r="T2233">
        <v>0</v>
      </c>
      <c r="U2233">
        <v>0</v>
      </c>
      <c r="V2233">
        <v>0</v>
      </c>
      <c r="W2233">
        <v>1</v>
      </c>
      <c r="X2233">
        <v>0</v>
      </c>
      <c r="Y2233">
        <v>1</v>
      </c>
      <c r="Z2233">
        <v>0</v>
      </c>
      <c r="AA2233">
        <v>0</v>
      </c>
      <c r="AB2233">
        <v>0</v>
      </c>
      <c r="AC2233">
        <v>1</v>
      </c>
      <c r="AD2233">
        <v>1</v>
      </c>
      <c r="AE2233">
        <v>1</v>
      </c>
      <c r="AF2233">
        <v>1</v>
      </c>
      <c r="AG2233">
        <v>1</v>
      </c>
      <c r="AH2233">
        <v>1</v>
      </c>
      <c r="AI2233">
        <v>1</v>
      </c>
      <c r="AJ2233">
        <v>1</v>
      </c>
      <c r="AK2233">
        <v>1</v>
      </c>
      <c r="AL2233">
        <v>1</v>
      </c>
      <c r="AM2233">
        <v>1</v>
      </c>
    </row>
    <row r="2234" spans="1:39" x14ac:dyDescent="0.2">
      <c r="A2234" t="str">
        <f>"2230"</f>
        <v>2230</v>
      </c>
      <c r="B2234" t="str">
        <f t="shared" si="124"/>
        <v>1</v>
      </c>
      <c r="C2234" t="str">
        <f t="shared" si="123"/>
        <v>45</v>
      </c>
      <c r="D2234" t="str">
        <f>"21"</f>
        <v>21</v>
      </c>
      <c r="E2234" t="str">
        <f>"1-45-21"</f>
        <v>1-45-21</v>
      </c>
      <c r="F2234" t="s">
        <v>65</v>
      </c>
      <c r="G2234" t="s">
        <v>66</v>
      </c>
      <c r="H2234" t="s">
        <v>67</v>
      </c>
      <c r="S2234">
        <v>0</v>
      </c>
      <c r="T2234">
        <v>1</v>
      </c>
      <c r="U2234">
        <v>0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1</v>
      </c>
      <c r="AJ2234">
        <v>0</v>
      </c>
      <c r="AK2234">
        <v>0</v>
      </c>
      <c r="AL2234">
        <v>0</v>
      </c>
      <c r="AM2234">
        <v>0</v>
      </c>
    </row>
    <row r="2235" spans="1:39" x14ac:dyDescent="0.2">
      <c r="A2235" t="str">
        <f>"2231"</f>
        <v>2231</v>
      </c>
      <c r="B2235" t="str">
        <f t="shared" si="124"/>
        <v>1</v>
      </c>
      <c r="C2235" t="str">
        <f t="shared" si="123"/>
        <v>45</v>
      </c>
      <c r="D2235" t="str">
        <f>"9"</f>
        <v>9</v>
      </c>
      <c r="E2235" t="str">
        <f>"1-45-9"</f>
        <v>1-45-9</v>
      </c>
      <c r="F2235" t="s">
        <v>65</v>
      </c>
      <c r="G2235" t="s">
        <v>66</v>
      </c>
      <c r="H2235" t="s">
        <v>68</v>
      </c>
      <c r="I2235">
        <v>1</v>
      </c>
      <c r="J2235">
        <v>0</v>
      </c>
      <c r="K2235">
        <v>0</v>
      </c>
      <c r="L2235">
        <v>1</v>
      </c>
      <c r="M2235">
        <v>1</v>
      </c>
      <c r="N2235">
        <v>1</v>
      </c>
      <c r="O2235">
        <v>1</v>
      </c>
      <c r="P2235">
        <v>1</v>
      </c>
      <c r="Q2235">
        <v>1</v>
      </c>
      <c r="R2235">
        <v>1</v>
      </c>
    </row>
    <row r="2236" spans="1:39" x14ac:dyDescent="0.2">
      <c r="A2236" t="str">
        <f>"2232"</f>
        <v>2232</v>
      </c>
      <c r="B2236" t="str">
        <f t="shared" si="124"/>
        <v>1</v>
      </c>
      <c r="C2236" t="str">
        <f t="shared" si="123"/>
        <v>45</v>
      </c>
      <c r="D2236" t="str">
        <f>"40"</f>
        <v>40</v>
      </c>
      <c r="E2236" t="str">
        <f>"1-45-40"</f>
        <v>1-45-40</v>
      </c>
      <c r="F2236" t="s">
        <v>65</v>
      </c>
      <c r="G2236" t="s">
        <v>66</v>
      </c>
      <c r="H2236" t="s">
        <v>67</v>
      </c>
      <c r="S2236">
        <v>1</v>
      </c>
      <c r="T2236">
        <v>0</v>
      </c>
      <c r="U2236">
        <v>0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0</v>
      </c>
      <c r="AB2236">
        <v>1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</row>
    <row r="2237" spans="1:39" x14ac:dyDescent="0.2">
      <c r="A2237" t="str">
        <f>"2233"</f>
        <v>2233</v>
      </c>
      <c r="B2237" t="str">
        <f t="shared" si="124"/>
        <v>1</v>
      </c>
      <c r="C2237" t="str">
        <f t="shared" ref="C2237:C2254" si="125">"45"</f>
        <v>45</v>
      </c>
      <c r="D2237" t="str">
        <f>"22"</f>
        <v>22</v>
      </c>
      <c r="E2237" t="str">
        <f>"1-45-22"</f>
        <v>1-45-22</v>
      </c>
      <c r="F2237" t="s">
        <v>65</v>
      </c>
      <c r="G2237" t="s">
        <v>66</v>
      </c>
      <c r="H2237" t="s">
        <v>67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1</v>
      </c>
      <c r="Y2237">
        <v>0</v>
      </c>
      <c r="Z2237">
        <v>1</v>
      </c>
      <c r="AA2237">
        <v>0</v>
      </c>
      <c r="AB2237">
        <v>0</v>
      </c>
      <c r="AC2237">
        <v>1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1</v>
      </c>
      <c r="AJ2237">
        <v>1</v>
      </c>
      <c r="AK2237">
        <v>0</v>
      </c>
      <c r="AL2237">
        <v>1</v>
      </c>
      <c r="AM2237">
        <v>0</v>
      </c>
    </row>
    <row r="2238" spans="1:39" x14ac:dyDescent="0.2">
      <c r="A2238" t="str">
        <f>"2234"</f>
        <v>2234</v>
      </c>
      <c r="B2238" t="str">
        <f t="shared" si="124"/>
        <v>1</v>
      </c>
      <c r="C2238" t="str">
        <f t="shared" si="125"/>
        <v>45</v>
      </c>
      <c r="D2238" t="str">
        <f>"11"</f>
        <v>11</v>
      </c>
      <c r="E2238" t="str">
        <f>"1-45-11"</f>
        <v>1-45-11</v>
      </c>
      <c r="F2238" t="s">
        <v>65</v>
      </c>
      <c r="G2238" t="s">
        <v>66</v>
      </c>
      <c r="H2238" t="s">
        <v>67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0</v>
      </c>
      <c r="AB2238">
        <v>0</v>
      </c>
      <c r="AC2238">
        <v>1</v>
      </c>
      <c r="AD2238">
        <v>0</v>
      </c>
      <c r="AE2238">
        <v>0</v>
      </c>
      <c r="AF2238">
        <v>0</v>
      </c>
      <c r="AG2238">
        <v>0</v>
      </c>
      <c r="AH2238">
        <v>1</v>
      </c>
      <c r="AI2238">
        <v>1</v>
      </c>
      <c r="AJ2238">
        <v>1</v>
      </c>
      <c r="AK2238">
        <v>1</v>
      </c>
      <c r="AL2238">
        <v>1</v>
      </c>
      <c r="AM2238">
        <v>1</v>
      </c>
    </row>
    <row r="2239" spans="1:39" x14ac:dyDescent="0.2">
      <c r="A2239" t="str">
        <f>"2235"</f>
        <v>2235</v>
      </c>
      <c r="B2239" t="str">
        <f t="shared" si="124"/>
        <v>1</v>
      </c>
      <c r="C2239" t="str">
        <f t="shared" si="125"/>
        <v>45</v>
      </c>
      <c r="D2239" t="str">
        <f>"48"</f>
        <v>48</v>
      </c>
      <c r="E2239" t="str">
        <f>"1-45-48"</f>
        <v>1-45-48</v>
      </c>
      <c r="F2239" t="s">
        <v>65</v>
      </c>
      <c r="G2239" t="s">
        <v>66</v>
      </c>
      <c r="H2239" t="s">
        <v>67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</row>
    <row r="2240" spans="1:39" x14ac:dyDescent="0.2">
      <c r="A2240" t="str">
        <f>"2236"</f>
        <v>2236</v>
      </c>
      <c r="B2240" t="str">
        <f t="shared" si="124"/>
        <v>1</v>
      </c>
      <c r="C2240" t="str">
        <f t="shared" si="125"/>
        <v>45</v>
      </c>
      <c r="D2240" t="str">
        <f>"23"</f>
        <v>23</v>
      </c>
      <c r="E2240" t="str">
        <f>"1-45-23"</f>
        <v>1-45-23</v>
      </c>
      <c r="F2240" t="s">
        <v>65</v>
      </c>
      <c r="G2240" t="s">
        <v>66</v>
      </c>
      <c r="H2240" t="s">
        <v>67</v>
      </c>
      <c r="S2240">
        <v>0</v>
      </c>
      <c r="T2240">
        <v>1</v>
      </c>
      <c r="U2240">
        <v>0</v>
      </c>
      <c r="V2240">
        <v>0</v>
      </c>
      <c r="W2240">
        <v>0</v>
      </c>
      <c r="X2240">
        <v>1</v>
      </c>
      <c r="Y2240">
        <v>1</v>
      </c>
      <c r="Z2240">
        <v>0</v>
      </c>
      <c r="AA2240">
        <v>0</v>
      </c>
      <c r="AB2240">
        <v>0</v>
      </c>
      <c r="AC2240">
        <v>1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</row>
    <row r="2241" spans="1:39" x14ac:dyDescent="0.2">
      <c r="A2241" t="str">
        <f>"2237"</f>
        <v>2237</v>
      </c>
      <c r="B2241" t="str">
        <f t="shared" si="124"/>
        <v>1</v>
      </c>
      <c r="C2241" t="str">
        <f t="shared" si="125"/>
        <v>45</v>
      </c>
      <c r="D2241" t="str">
        <f>"12"</f>
        <v>12</v>
      </c>
      <c r="E2241" t="str">
        <f>"1-45-12"</f>
        <v>1-45-12</v>
      </c>
      <c r="F2241" t="s">
        <v>65</v>
      </c>
      <c r="G2241" t="s">
        <v>66</v>
      </c>
      <c r="H2241" t="s">
        <v>67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1</v>
      </c>
      <c r="Y2241">
        <v>1</v>
      </c>
      <c r="Z2241">
        <v>0</v>
      </c>
      <c r="AA2241">
        <v>0</v>
      </c>
      <c r="AB2241">
        <v>1</v>
      </c>
      <c r="AC2241">
        <v>0</v>
      </c>
      <c r="AD2241">
        <v>1</v>
      </c>
      <c r="AE2241">
        <v>1</v>
      </c>
      <c r="AF2241">
        <v>1</v>
      </c>
      <c r="AG2241">
        <v>1</v>
      </c>
      <c r="AH2241">
        <v>1</v>
      </c>
      <c r="AI2241">
        <v>1</v>
      </c>
      <c r="AJ2241">
        <v>1</v>
      </c>
      <c r="AK2241">
        <v>1</v>
      </c>
      <c r="AL2241">
        <v>1</v>
      </c>
      <c r="AM2241">
        <v>1</v>
      </c>
    </row>
    <row r="2242" spans="1:39" x14ac:dyDescent="0.2">
      <c r="A2242" t="str">
        <f>"2238"</f>
        <v>2238</v>
      </c>
      <c r="B2242" t="str">
        <f t="shared" si="124"/>
        <v>1</v>
      </c>
      <c r="C2242" t="str">
        <f t="shared" si="125"/>
        <v>45</v>
      </c>
      <c r="D2242" t="str">
        <f>"25"</f>
        <v>25</v>
      </c>
      <c r="E2242" t="str">
        <f>"1-45-25"</f>
        <v>1-45-25</v>
      </c>
      <c r="F2242" t="s">
        <v>65</v>
      </c>
      <c r="G2242" t="s">
        <v>66</v>
      </c>
      <c r="H2242" t="s">
        <v>67</v>
      </c>
      <c r="S2242">
        <v>0</v>
      </c>
      <c r="T2242">
        <v>1</v>
      </c>
      <c r="U2242">
        <v>0</v>
      </c>
      <c r="V2242">
        <v>0</v>
      </c>
      <c r="W2242">
        <v>0</v>
      </c>
      <c r="X2242">
        <v>1</v>
      </c>
      <c r="Y2242">
        <v>0</v>
      </c>
      <c r="Z2242">
        <v>1</v>
      </c>
      <c r="AA2242">
        <v>0</v>
      </c>
      <c r="AB2242">
        <v>0</v>
      </c>
      <c r="AC2242">
        <v>1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</row>
    <row r="2243" spans="1:39" x14ac:dyDescent="0.2">
      <c r="A2243" t="str">
        <f>"2239"</f>
        <v>2239</v>
      </c>
      <c r="B2243" t="str">
        <f t="shared" si="124"/>
        <v>1</v>
      </c>
      <c r="C2243" t="str">
        <f t="shared" si="125"/>
        <v>45</v>
      </c>
      <c r="D2243" t="str">
        <f>"5"</f>
        <v>5</v>
      </c>
      <c r="E2243" t="str">
        <f>"1-45-5"</f>
        <v>1-45-5</v>
      </c>
      <c r="F2243" t="s">
        <v>65</v>
      </c>
      <c r="G2243" t="s">
        <v>66</v>
      </c>
      <c r="H2243" t="s">
        <v>67</v>
      </c>
      <c r="S2243">
        <v>1</v>
      </c>
      <c r="T2243">
        <v>0</v>
      </c>
      <c r="U2243">
        <v>0</v>
      </c>
      <c r="V2243">
        <v>0</v>
      </c>
      <c r="W2243">
        <v>1</v>
      </c>
      <c r="X2243">
        <v>0</v>
      </c>
      <c r="Y2243">
        <v>0</v>
      </c>
      <c r="Z2243">
        <v>1</v>
      </c>
      <c r="AA2243">
        <v>1</v>
      </c>
      <c r="AB2243">
        <v>0</v>
      </c>
      <c r="AC2243">
        <v>0</v>
      </c>
      <c r="AD2243">
        <v>1</v>
      </c>
      <c r="AE2243">
        <v>1</v>
      </c>
      <c r="AF2243">
        <v>1</v>
      </c>
      <c r="AG2243">
        <v>1</v>
      </c>
      <c r="AH2243">
        <v>1</v>
      </c>
      <c r="AI2243">
        <v>1</v>
      </c>
      <c r="AJ2243">
        <v>1</v>
      </c>
      <c r="AK2243">
        <v>1</v>
      </c>
      <c r="AL2243">
        <v>1</v>
      </c>
      <c r="AM2243">
        <v>1</v>
      </c>
    </row>
    <row r="2244" spans="1:39" x14ac:dyDescent="0.2">
      <c r="A2244" t="str">
        <f>"2240"</f>
        <v>2240</v>
      </c>
      <c r="B2244" t="str">
        <f t="shared" si="124"/>
        <v>1</v>
      </c>
      <c r="C2244" t="str">
        <f t="shared" si="125"/>
        <v>45</v>
      </c>
      <c r="D2244" t="str">
        <f>"26"</f>
        <v>26</v>
      </c>
      <c r="E2244" t="str">
        <f>"1-45-26"</f>
        <v>1-45-26</v>
      </c>
      <c r="F2244" t="s">
        <v>65</v>
      </c>
      <c r="G2244" t="s">
        <v>66</v>
      </c>
      <c r="H2244" t="s">
        <v>67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1</v>
      </c>
      <c r="Y2244">
        <v>0</v>
      </c>
      <c r="Z2244">
        <v>1</v>
      </c>
      <c r="AA2244">
        <v>0</v>
      </c>
      <c r="AB2244">
        <v>0</v>
      </c>
      <c r="AC2244">
        <v>1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</row>
    <row r="2245" spans="1:39" x14ac:dyDescent="0.2">
      <c r="A2245" t="str">
        <f>"2241"</f>
        <v>2241</v>
      </c>
      <c r="B2245" t="str">
        <f t="shared" si="124"/>
        <v>1</v>
      </c>
      <c r="C2245" t="str">
        <f t="shared" si="125"/>
        <v>45</v>
      </c>
      <c r="D2245" t="str">
        <f>"7"</f>
        <v>7</v>
      </c>
      <c r="E2245" t="str">
        <f>"1-45-7"</f>
        <v>1-45-7</v>
      </c>
      <c r="F2245" t="s">
        <v>65</v>
      </c>
      <c r="G2245" t="s">
        <v>66</v>
      </c>
      <c r="H2245" t="s">
        <v>67</v>
      </c>
      <c r="S2245">
        <v>1</v>
      </c>
      <c r="T2245">
        <v>0</v>
      </c>
      <c r="U2245">
        <v>0</v>
      </c>
      <c r="V2245">
        <v>0</v>
      </c>
      <c r="W2245">
        <v>0</v>
      </c>
      <c r="X2245">
        <v>1</v>
      </c>
      <c r="Y2245">
        <v>1</v>
      </c>
      <c r="Z2245">
        <v>0</v>
      </c>
      <c r="AA2245">
        <v>1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</row>
    <row r="2246" spans="1:39" x14ac:dyDescent="0.2">
      <c r="A2246" t="str">
        <f>"2242"</f>
        <v>2242</v>
      </c>
      <c r="B2246" t="str">
        <f t="shared" si="124"/>
        <v>1</v>
      </c>
      <c r="C2246" t="str">
        <f t="shared" si="125"/>
        <v>45</v>
      </c>
      <c r="D2246" t="str">
        <f>"45"</f>
        <v>45</v>
      </c>
      <c r="E2246" t="str">
        <f>"1-45-45"</f>
        <v>1-45-45</v>
      </c>
      <c r="F2246" t="s">
        <v>65</v>
      </c>
      <c r="G2246" t="s">
        <v>66</v>
      </c>
      <c r="H2246" t="s">
        <v>67</v>
      </c>
      <c r="S2246">
        <v>1</v>
      </c>
      <c r="T2246">
        <v>0</v>
      </c>
      <c r="U2246">
        <v>0</v>
      </c>
      <c r="V2246">
        <v>0</v>
      </c>
      <c r="W2246">
        <v>1</v>
      </c>
      <c r="X2246">
        <v>0</v>
      </c>
      <c r="Y2246">
        <v>1</v>
      </c>
      <c r="Z2246">
        <v>0</v>
      </c>
      <c r="AA2246">
        <v>0</v>
      </c>
      <c r="AB2246">
        <v>1</v>
      </c>
      <c r="AC2246">
        <v>0</v>
      </c>
      <c r="AD2246">
        <v>1</v>
      </c>
      <c r="AE2246">
        <v>1</v>
      </c>
      <c r="AF2246">
        <v>1</v>
      </c>
      <c r="AG2246">
        <v>1</v>
      </c>
      <c r="AH2246">
        <v>1</v>
      </c>
      <c r="AI2246">
        <v>1</v>
      </c>
      <c r="AJ2246">
        <v>1</v>
      </c>
      <c r="AK2246">
        <v>1</v>
      </c>
      <c r="AL2246">
        <v>1</v>
      </c>
      <c r="AM2246">
        <v>1</v>
      </c>
    </row>
    <row r="2247" spans="1:39" x14ac:dyDescent="0.2">
      <c r="A2247" t="str">
        <f>"2243"</f>
        <v>2243</v>
      </c>
      <c r="B2247" t="str">
        <f t="shared" si="124"/>
        <v>1</v>
      </c>
      <c r="C2247" t="str">
        <f t="shared" si="125"/>
        <v>45</v>
      </c>
      <c r="D2247" t="str">
        <f>"13"</f>
        <v>13</v>
      </c>
      <c r="E2247" t="str">
        <f>"1-45-13"</f>
        <v>1-45-13</v>
      </c>
      <c r="F2247" t="s">
        <v>65</v>
      </c>
      <c r="G2247" t="s">
        <v>66</v>
      </c>
      <c r="H2247" t="s">
        <v>67</v>
      </c>
      <c r="S2247">
        <v>0</v>
      </c>
      <c r="T2247">
        <v>1</v>
      </c>
      <c r="U2247">
        <v>0</v>
      </c>
      <c r="V2247">
        <v>0</v>
      </c>
      <c r="W2247">
        <v>0</v>
      </c>
      <c r="X2247">
        <v>1</v>
      </c>
      <c r="Y2247">
        <v>1</v>
      </c>
      <c r="Z2247">
        <v>0</v>
      </c>
      <c r="AA2247">
        <v>0</v>
      </c>
      <c r="AB2247">
        <v>0</v>
      </c>
      <c r="AC2247">
        <v>1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1</v>
      </c>
      <c r="AM2247">
        <v>0</v>
      </c>
    </row>
    <row r="2248" spans="1:39" x14ac:dyDescent="0.2">
      <c r="A2248" t="str">
        <f>"2244"</f>
        <v>2244</v>
      </c>
      <c r="B2248" t="str">
        <f t="shared" si="124"/>
        <v>1</v>
      </c>
      <c r="C2248" t="str">
        <f t="shared" si="125"/>
        <v>45</v>
      </c>
      <c r="D2248" t="str">
        <f>"49"</f>
        <v>49</v>
      </c>
      <c r="E2248" t="str">
        <f>"1-45-49"</f>
        <v>1-45-49</v>
      </c>
      <c r="F2248" t="s">
        <v>65</v>
      </c>
      <c r="G2248" t="s">
        <v>66</v>
      </c>
      <c r="H2248" t="s">
        <v>67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</row>
    <row r="2249" spans="1:39" x14ac:dyDescent="0.2">
      <c r="A2249" t="str">
        <f>"2245"</f>
        <v>2245</v>
      </c>
      <c r="B2249" t="str">
        <f t="shared" si="124"/>
        <v>1</v>
      </c>
      <c r="C2249" t="str">
        <f t="shared" si="125"/>
        <v>45</v>
      </c>
      <c r="D2249" t="str">
        <f>"28"</f>
        <v>28</v>
      </c>
      <c r="E2249" t="str">
        <f>"1-45-28"</f>
        <v>1-45-28</v>
      </c>
      <c r="F2249" t="s">
        <v>65</v>
      </c>
      <c r="G2249" t="s">
        <v>66</v>
      </c>
      <c r="H2249" t="s">
        <v>67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1</v>
      </c>
      <c r="Y2249">
        <v>0</v>
      </c>
      <c r="Z2249">
        <v>1</v>
      </c>
      <c r="AA2249">
        <v>0</v>
      </c>
      <c r="AB2249">
        <v>1</v>
      </c>
      <c r="AC2249">
        <v>0</v>
      </c>
      <c r="AD2249">
        <v>1</v>
      </c>
      <c r="AE2249">
        <v>1</v>
      </c>
      <c r="AF2249">
        <v>1</v>
      </c>
      <c r="AG2249">
        <v>1</v>
      </c>
      <c r="AH2249">
        <v>1</v>
      </c>
      <c r="AI2249">
        <v>1</v>
      </c>
      <c r="AJ2249">
        <v>1</v>
      </c>
      <c r="AK2249">
        <v>1</v>
      </c>
      <c r="AL2249">
        <v>1</v>
      </c>
      <c r="AM2249">
        <v>1</v>
      </c>
    </row>
    <row r="2250" spans="1:39" x14ac:dyDescent="0.2">
      <c r="A2250" t="str">
        <f>"2246"</f>
        <v>2246</v>
      </c>
      <c r="B2250" t="str">
        <f t="shared" si="124"/>
        <v>1</v>
      </c>
      <c r="C2250" t="str">
        <f t="shared" si="125"/>
        <v>45</v>
      </c>
      <c r="D2250" t="str">
        <f>"4"</f>
        <v>4</v>
      </c>
      <c r="E2250" t="str">
        <f>"1-45-4"</f>
        <v>1-45-4</v>
      </c>
      <c r="F2250" t="s">
        <v>65</v>
      </c>
      <c r="G2250" t="s">
        <v>66</v>
      </c>
      <c r="H2250" t="s">
        <v>67</v>
      </c>
      <c r="S2250">
        <v>1</v>
      </c>
      <c r="T2250">
        <v>0</v>
      </c>
      <c r="U2250">
        <v>0</v>
      </c>
      <c r="V2250">
        <v>0</v>
      </c>
      <c r="W2250">
        <v>1</v>
      </c>
      <c r="X2250">
        <v>0</v>
      </c>
      <c r="Y2250">
        <v>1</v>
      </c>
      <c r="Z2250">
        <v>0</v>
      </c>
      <c r="AA2250">
        <v>1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</row>
    <row r="2251" spans="1:39" x14ac:dyDescent="0.2">
      <c r="A2251" t="str">
        <f>"2247"</f>
        <v>2247</v>
      </c>
      <c r="B2251" t="str">
        <f t="shared" si="124"/>
        <v>1</v>
      </c>
      <c r="C2251" t="str">
        <f t="shared" si="125"/>
        <v>45</v>
      </c>
      <c r="D2251" t="str">
        <f>"50"</f>
        <v>50</v>
      </c>
      <c r="E2251" t="str">
        <f>"1-45-50"</f>
        <v>1-45-50</v>
      </c>
      <c r="F2251" t="s">
        <v>65</v>
      </c>
      <c r="G2251" t="s">
        <v>66</v>
      </c>
      <c r="H2251" t="s">
        <v>67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</row>
    <row r="2252" spans="1:39" x14ac:dyDescent="0.2">
      <c r="A2252" t="str">
        <f>"2248"</f>
        <v>2248</v>
      </c>
      <c r="B2252" t="str">
        <f t="shared" si="124"/>
        <v>1</v>
      </c>
      <c r="C2252" t="str">
        <f t="shared" si="125"/>
        <v>45</v>
      </c>
      <c r="D2252" t="str">
        <f>"29"</f>
        <v>29</v>
      </c>
      <c r="E2252" t="str">
        <f>"1-45-29"</f>
        <v>1-45-29</v>
      </c>
      <c r="F2252" t="s">
        <v>65</v>
      </c>
      <c r="G2252" t="s">
        <v>66</v>
      </c>
      <c r="H2252" t="s">
        <v>67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1</v>
      </c>
      <c r="Y2252">
        <v>0</v>
      </c>
      <c r="Z2252">
        <v>1</v>
      </c>
      <c r="AA2252">
        <v>0</v>
      </c>
      <c r="AB2252">
        <v>0</v>
      </c>
      <c r="AC2252">
        <v>1</v>
      </c>
      <c r="AD2252">
        <v>1</v>
      </c>
      <c r="AE2252">
        <v>1</v>
      </c>
      <c r="AF2252">
        <v>1</v>
      </c>
      <c r="AG2252">
        <v>1</v>
      </c>
      <c r="AH2252">
        <v>1</v>
      </c>
      <c r="AI2252">
        <v>1</v>
      </c>
      <c r="AJ2252">
        <v>1</v>
      </c>
      <c r="AK2252">
        <v>1</v>
      </c>
      <c r="AL2252">
        <v>1</v>
      </c>
      <c r="AM2252">
        <v>1</v>
      </c>
    </row>
    <row r="2253" spans="1:39" x14ac:dyDescent="0.2">
      <c r="A2253" t="str">
        <f>"2249"</f>
        <v>2249</v>
      </c>
      <c r="B2253" t="str">
        <f t="shared" si="124"/>
        <v>1</v>
      </c>
      <c r="C2253" t="str">
        <f t="shared" si="125"/>
        <v>45</v>
      </c>
      <c r="D2253" t="str">
        <f>"10"</f>
        <v>10</v>
      </c>
      <c r="E2253" t="str">
        <f>"1-45-10"</f>
        <v>1-45-10</v>
      </c>
      <c r="F2253" t="s">
        <v>65</v>
      </c>
      <c r="G2253" t="s">
        <v>66</v>
      </c>
      <c r="H2253" t="s">
        <v>67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1</v>
      </c>
      <c r="Y2253">
        <v>0</v>
      </c>
      <c r="Z2253">
        <v>1</v>
      </c>
      <c r="AA2253">
        <v>0</v>
      </c>
      <c r="AB2253">
        <v>0</v>
      </c>
      <c r="AC2253">
        <v>1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1</v>
      </c>
      <c r="AJ2253">
        <v>0</v>
      </c>
      <c r="AK2253">
        <v>0</v>
      </c>
      <c r="AL2253">
        <v>0</v>
      </c>
      <c r="AM2253">
        <v>0</v>
      </c>
    </row>
    <row r="2254" spans="1:39" x14ac:dyDescent="0.2">
      <c r="A2254" t="str">
        <f>"2250"</f>
        <v>2250</v>
      </c>
      <c r="B2254" t="str">
        <f t="shared" si="124"/>
        <v>1</v>
      </c>
      <c r="C2254" t="str">
        <f t="shared" si="125"/>
        <v>45</v>
      </c>
      <c r="D2254" t="str">
        <f>"27"</f>
        <v>27</v>
      </c>
      <c r="E2254" t="str">
        <f>"1-45-27"</f>
        <v>1-45-27</v>
      </c>
      <c r="F2254" t="s">
        <v>65</v>
      </c>
      <c r="G2254" t="s">
        <v>66</v>
      </c>
      <c r="H2254" t="s">
        <v>67</v>
      </c>
      <c r="S2254">
        <v>0</v>
      </c>
      <c r="T2254">
        <v>1</v>
      </c>
      <c r="U2254">
        <v>0</v>
      </c>
      <c r="V2254">
        <v>0</v>
      </c>
      <c r="W2254">
        <v>1</v>
      </c>
      <c r="X2254">
        <v>0</v>
      </c>
      <c r="Y2254">
        <v>0</v>
      </c>
      <c r="Z2254">
        <v>1</v>
      </c>
      <c r="AA2254">
        <v>0</v>
      </c>
      <c r="AB2254">
        <v>0</v>
      </c>
      <c r="AC2254">
        <v>1</v>
      </c>
      <c r="AD2254">
        <v>1</v>
      </c>
      <c r="AE2254">
        <v>0</v>
      </c>
      <c r="AF2254">
        <v>1</v>
      </c>
      <c r="AG2254">
        <v>1</v>
      </c>
      <c r="AH2254">
        <v>0</v>
      </c>
      <c r="AI2254">
        <v>0</v>
      </c>
      <c r="AJ2254">
        <v>1</v>
      </c>
      <c r="AK2254">
        <v>1</v>
      </c>
      <c r="AL2254">
        <v>1</v>
      </c>
      <c r="AM2254">
        <v>1</v>
      </c>
    </row>
    <row r="2255" spans="1:39" x14ac:dyDescent="0.2">
      <c r="A2255" t="str">
        <f>"2251"</f>
        <v>2251</v>
      </c>
      <c r="B2255" t="str">
        <f t="shared" si="124"/>
        <v>1</v>
      </c>
      <c r="C2255" t="str">
        <f t="shared" ref="C2255:C2286" si="126">"46"</f>
        <v>46</v>
      </c>
      <c r="D2255" t="str">
        <f>"36"</f>
        <v>36</v>
      </c>
      <c r="E2255" t="str">
        <f>"1-46-36"</f>
        <v>1-46-36</v>
      </c>
      <c r="F2255" t="s">
        <v>65</v>
      </c>
      <c r="G2255" t="s">
        <v>66</v>
      </c>
      <c r="H2255" t="s">
        <v>67</v>
      </c>
      <c r="S2255">
        <v>1</v>
      </c>
      <c r="T2255">
        <v>0</v>
      </c>
      <c r="U2255">
        <v>0</v>
      </c>
      <c r="V2255">
        <v>0</v>
      </c>
      <c r="W2255">
        <v>1</v>
      </c>
      <c r="X2255">
        <v>0</v>
      </c>
      <c r="Y2255">
        <v>1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1</v>
      </c>
      <c r="AF2255">
        <v>1</v>
      </c>
      <c r="AG2255">
        <v>1</v>
      </c>
      <c r="AH2255">
        <v>1</v>
      </c>
      <c r="AI2255">
        <v>1</v>
      </c>
      <c r="AJ2255">
        <v>0</v>
      </c>
      <c r="AK2255">
        <v>1</v>
      </c>
      <c r="AL2255">
        <v>1</v>
      </c>
      <c r="AM2255">
        <v>1</v>
      </c>
    </row>
    <row r="2256" spans="1:39" x14ac:dyDescent="0.2">
      <c r="A2256" t="str">
        <f>"2252"</f>
        <v>2252</v>
      </c>
      <c r="B2256" t="str">
        <f t="shared" si="124"/>
        <v>1</v>
      </c>
      <c r="C2256" t="str">
        <f t="shared" si="126"/>
        <v>46</v>
      </c>
      <c r="D2256" t="str">
        <f>"35"</f>
        <v>35</v>
      </c>
      <c r="E2256" t="str">
        <f>"1-46-35"</f>
        <v>1-46-35</v>
      </c>
      <c r="F2256" t="s">
        <v>65</v>
      </c>
      <c r="G2256" t="s">
        <v>66</v>
      </c>
      <c r="H2256" t="s">
        <v>67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1</v>
      </c>
      <c r="Y2256">
        <v>0</v>
      </c>
      <c r="Z2256">
        <v>1</v>
      </c>
      <c r="AA2256">
        <v>0</v>
      </c>
      <c r="AB2256">
        <v>0</v>
      </c>
      <c r="AC2256">
        <v>1</v>
      </c>
      <c r="AD2256">
        <v>1</v>
      </c>
      <c r="AE2256">
        <v>1</v>
      </c>
      <c r="AF2256">
        <v>1</v>
      </c>
      <c r="AG2256">
        <v>1</v>
      </c>
      <c r="AH2256">
        <v>1</v>
      </c>
      <c r="AI2256">
        <v>1</v>
      </c>
      <c r="AJ2256">
        <v>1</v>
      </c>
      <c r="AK2256">
        <v>1</v>
      </c>
      <c r="AL2256">
        <v>1</v>
      </c>
      <c r="AM2256">
        <v>1</v>
      </c>
    </row>
    <row r="2257" spans="1:39" x14ac:dyDescent="0.2">
      <c r="A2257" t="str">
        <f>"2253"</f>
        <v>2253</v>
      </c>
      <c r="B2257" t="str">
        <f t="shared" si="124"/>
        <v>1</v>
      </c>
      <c r="C2257" t="str">
        <f t="shared" si="126"/>
        <v>46</v>
      </c>
      <c r="D2257" t="str">
        <f>"23"</f>
        <v>23</v>
      </c>
      <c r="E2257" t="str">
        <f>"1-46-23"</f>
        <v>1-46-23</v>
      </c>
      <c r="F2257" t="s">
        <v>65</v>
      </c>
      <c r="G2257" t="s">
        <v>66</v>
      </c>
      <c r="H2257" t="s">
        <v>68</v>
      </c>
      <c r="I2257">
        <v>1</v>
      </c>
      <c r="J2257">
        <v>1</v>
      </c>
      <c r="K2257">
        <v>0</v>
      </c>
      <c r="L2257">
        <v>0</v>
      </c>
      <c r="M2257">
        <v>1</v>
      </c>
      <c r="N2257">
        <v>1</v>
      </c>
      <c r="O2257">
        <v>1</v>
      </c>
      <c r="P2257">
        <v>1</v>
      </c>
      <c r="Q2257">
        <v>1</v>
      </c>
      <c r="R2257">
        <v>1</v>
      </c>
    </row>
    <row r="2258" spans="1:39" x14ac:dyDescent="0.2">
      <c r="A2258" t="str">
        <f>"2254"</f>
        <v>2254</v>
      </c>
      <c r="B2258" t="str">
        <f t="shared" si="124"/>
        <v>1</v>
      </c>
      <c r="C2258" t="str">
        <f t="shared" si="126"/>
        <v>46</v>
      </c>
      <c r="D2258" t="str">
        <f>"15"</f>
        <v>15</v>
      </c>
      <c r="E2258" t="str">
        <f>"1-46-15"</f>
        <v>1-46-15</v>
      </c>
      <c r="F2258" t="s">
        <v>65</v>
      </c>
      <c r="G2258" t="s">
        <v>66</v>
      </c>
      <c r="H2258" t="s">
        <v>68</v>
      </c>
      <c r="I2258">
        <v>1</v>
      </c>
      <c r="J2258">
        <v>0</v>
      </c>
      <c r="K2258">
        <v>1</v>
      </c>
      <c r="L2258">
        <v>0</v>
      </c>
      <c r="M2258">
        <v>1</v>
      </c>
      <c r="N2258">
        <v>1</v>
      </c>
      <c r="O2258">
        <v>1</v>
      </c>
      <c r="P2258">
        <v>1</v>
      </c>
      <c r="Q2258">
        <v>1</v>
      </c>
      <c r="R2258">
        <v>0</v>
      </c>
    </row>
    <row r="2259" spans="1:39" x14ac:dyDescent="0.2">
      <c r="A2259" t="str">
        <f>"2255"</f>
        <v>2255</v>
      </c>
      <c r="B2259" t="str">
        <f t="shared" si="124"/>
        <v>1</v>
      </c>
      <c r="C2259" t="str">
        <f t="shared" si="126"/>
        <v>46</v>
      </c>
      <c r="D2259" t="str">
        <f>"42"</f>
        <v>42</v>
      </c>
      <c r="E2259" t="str">
        <f>"1-46-42"</f>
        <v>1-46-42</v>
      </c>
      <c r="F2259" t="s">
        <v>65</v>
      </c>
      <c r="G2259" t="s">
        <v>66</v>
      </c>
      <c r="H2259" t="s">
        <v>67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1</v>
      </c>
      <c r="Y2259">
        <v>0</v>
      </c>
      <c r="Z2259">
        <v>1</v>
      </c>
      <c r="AA2259">
        <v>0</v>
      </c>
      <c r="AB2259">
        <v>0</v>
      </c>
      <c r="AC2259">
        <v>1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</row>
    <row r="2260" spans="1:39" x14ac:dyDescent="0.2">
      <c r="A2260" t="str">
        <f>"2256"</f>
        <v>2256</v>
      </c>
      <c r="B2260" t="str">
        <f t="shared" si="124"/>
        <v>1</v>
      </c>
      <c r="C2260" t="str">
        <f t="shared" si="126"/>
        <v>46</v>
      </c>
      <c r="D2260" t="str">
        <f>"41"</f>
        <v>41</v>
      </c>
      <c r="E2260" t="str">
        <f>"1-46-41"</f>
        <v>1-46-41</v>
      </c>
      <c r="F2260" t="s">
        <v>65</v>
      </c>
      <c r="G2260" t="s">
        <v>66</v>
      </c>
      <c r="H2260" t="s">
        <v>67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</row>
    <row r="2261" spans="1:39" x14ac:dyDescent="0.2">
      <c r="A2261" t="str">
        <f>"2257"</f>
        <v>2257</v>
      </c>
      <c r="B2261" t="str">
        <f t="shared" si="124"/>
        <v>1</v>
      </c>
      <c r="C2261" t="str">
        <f t="shared" si="126"/>
        <v>46</v>
      </c>
      <c r="D2261" t="str">
        <f>"28"</f>
        <v>28</v>
      </c>
      <c r="E2261" t="str">
        <f>"1-46-28"</f>
        <v>1-46-28</v>
      </c>
      <c r="F2261" t="s">
        <v>65</v>
      </c>
      <c r="G2261" t="s">
        <v>66</v>
      </c>
      <c r="H2261" t="s">
        <v>68</v>
      </c>
      <c r="I2261">
        <v>1</v>
      </c>
      <c r="J2261">
        <v>0</v>
      </c>
      <c r="K2261">
        <v>0</v>
      </c>
      <c r="L2261">
        <v>1</v>
      </c>
      <c r="M2261">
        <v>1</v>
      </c>
      <c r="N2261">
        <v>1</v>
      </c>
      <c r="O2261">
        <v>1</v>
      </c>
      <c r="P2261">
        <v>1</v>
      </c>
      <c r="Q2261">
        <v>1</v>
      </c>
      <c r="R2261">
        <v>1</v>
      </c>
    </row>
    <row r="2262" spans="1:39" x14ac:dyDescent="0.2">
      <c r="A2262" t="str">
        <f>"2258"</f>
        <v>2258</v>
      </c>
      <c r="B2262" t="str">
        <f t="shared" si="124"/>
        <v>1</v>
      </c>
      <c r="C2262" t="str">
        <f t="shared" si="126"/>
        <v>46</v>
      </c>
      <c r="D2262" t="str">
        <f>"16"</f>
        <v>16</v>
      </c>
      <c r="E2262" t="str">
        <f>"1-46-16"</f>
        <v>1-46-16</v>
      </c>
      <c r="F2262" t="s">
        <v>65</v>
      </c>
      <c r="G2262" t="s">
        <v>66</v>
      </c>
      <c r="H2262" t="s">
        <v>68</v>
      </c>
      <c r="I2262">
        <v>1</v>
      </c>
      <c r="J2262">
        <v>0</v>
      </c>
      <c r="K2262">
        <v>1</v>
      </c>
      <c r="L2262">
        <v>0</v>
      </c>
      <c r="M2262">
        <v>1</v>
      </c>
      <c r="N2262">
        <v>1</v>
      </c>
      <c r="O2262">
        <v>1</v>
      </c>
      <c r="P2262">
        <v>1</v>
      </c>
      <c r="Q2262">
        <v>1</v>
      </c>
      <c r="R2262">
        <v>1</v>
      </c>
    </row>
    <row r="2263" spans="1:39" x14ac:dyDescent="0.2">
      <c r="A2263" t="str">
        <f>"2259"</f>
        <v>2259</v>
      </c>
      <c r="B2263" t="str">
        <f t="shared" si="124"/>
        <v>1</v>
      </c>
      <c r="C2263" t="str">
        <f t="shared" si="126"/>
        <v>46</v>
      </c>
      <c r="D2263" t="str">
        <f>"4"</f>
        <v>4</v>
      </c>
      <c r="E2263" t="str">
        <f>"1-46-4"</f>
        <v>1-46-4</v>
      </c>
      <c r="F2263" t="s">
        <v>65</v>
      </c>
      <c r="G2263" t="s">
        <v>66</v>
      </c>
      <c r="H2263" t="s">
        <v>68</v>
      </c>
      <c r="I2263">
        <v>1</v>
      </c>
      <c r="J2263">
        <v>1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</row>
    <row r="2264" spans="1:39" x14ac:dyDescent="0.2">
      <c r="A2264" t="str">
        <f>"2260"</f>
        <v>2260</v>
      </c>
      <c r="B2264" t="str">
        <f t="shared" si="124"/>
        <v>1</v>
      </c>
      <c r="C2264" t="str">
        <f t="shared" si="126"/>
        <v>46</v>
      </c>
      <c r="D2264" t="str">
        <f>"40"</f>
        <v>40</v>
      </c>
      <c r="E2264" t="str">
        <f>"1-46-40"</f>
        <v>1-46-40</v>
      </c>
      <c r="F2264" t="s">
        <v>65</v>
      </c>
      <c r="G2264" t="s">
        <v>66</v>
      </c>
      <c r="H2264" t="s">
        <v>67</v>
      </c>
      <c r="S2264">
        <v>0</v>
      </c>
      <c r="T2264">
        <v>1</v>
      </c>
      <c r="U2264">
        <v>0</v>
      </c>
      <c r="V2264">
        <v>0</v>
      </c>
      <c r="W2264">
        <v>0</v>
      </c>
      <c r="X2264">
        <v>1</v>
      </c>
      <c r="Y2264">
        <v>0</v>
      </c>
      <c r="Z2264">
        <v>1</v>
      </c>
      <c r="AA2264">
        <v>0</v>
      </c>
      <c r="AB2264">
        <v>0</v>
      </c>
      <c r="AC2264">
        <v>1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</row>
    <row r="2265" spans="1:39" x14ac:dyDescent="0.2">
      <c r="A2265" t="str">
        <f>"2261"</f>
        <v>2261</v>
      </c>
      <c r="B2265" t="str">
        <f t="shared" si="124"/>
        <v>1</v>
      </c>
      <c r="C2265" t="str">
        <f t="shared" si="126"/>
        <v>46</v>
      </c>
      <c r="D2265" t="str">
        <f>"39"</f>
        <v>39</v>
      </c>
      <c r="E2265" t="str">
        <f>"1-46-39"</f>
        <v>1-46-39</v>
      </c>
      <c r="F2265" t="s">
        <v>65</v>
      </c>
      <c r="G2265" t="s">
        <v>66</v>
      </c>
      <c r="H2265" t="s">
        <v>67</v>
      </c>
      <c r="S2265">
        <v>0</v>
      </c>
      <c r="T2265">
        <v>1</v>
      </c>
      <c r="U2265">
        <v>0</v>
      </c>
      <c r="V2265">
        <v>0</v>
      </c>
      <c r="W2265">
        <v>0</v>
      </c>
      <c r="X2265">
        <v>1</v>
      </c>
      <c r="Y2265">
        <v>0</v>
      </c>
      <c r="Z2265">
        <v>1</v>
      </c>
      <c r="AA2265">
        <v>0</v>
      </c>
      <c r="AB2265">
        <v>0</v>
      </c>
      <c r="AC2265">
        <v>1</v>
      </c>
      <c r="AD2265">
        <v>1</v>
      </c>
      <c r="AE2265">
        <v>0</v>
      </c>
      <c r="AF2265">
        <v>1</v>
      </c>
      <c r="AG2265">
        <v>1</v>
      </c>
      <c r="AH2265">
        <v>1</v>
      </c>
      <c r="AI2265">
        <v>1</v>
      </c>
      <c r="AJ2265">
        <v>1</v>
      </c>
      <c r="AK2265">
        <v>1</v>
      </c>
      <c r="AL2265">
        <v>1</v>
      </c>
      <c r="AM2265">
        <v>0</v>
      </c>
    </row>
    <row r="2266" spans="1:39" x14ac:dyDescent="0.2">
      <c r="A2266" t="str">
        <f>"2262"</f>
        <v>2262</v>
      </c>
      <c r="B2266" t="str">
        <f t="shared" si="124"/>
        <v>1</v>
      </c>
      <c r="C2266" t="str">
        <f t="shared" si="126"/>
        <v>46</v>
      </c>
      <c r="D2266" t="str">
        <f>"27"</f>
        <v>27</v>
      </c>
      <c r="E2266" t="str">
        <f>"1-46-27"</f>
        <v>1-46-27</v>
      </c>
      <c r="F2266" t="s">
        <v>65</v>
      </c>
      <c r="G2266" t="s">
        <v>66</v>
      </c>
      <c r="H2266" t="s">
        <v>68</v>
      </c>
      <c r="I2266">
        <v>1</v>
      </c>
      <c r="J2266">
        <v>0</v>
      </c>
      <c r="K2266">
        <v>0</v>
      </c>
      <c r="L2266">
        <v>1</v>
      </c>
      <c r="M2266">
        <v>1</v>
      </c>
      <c r="N2266">
        <v>1</v>
      </c>
      <c r="O2266">
        <v>1</v>
      </c>
      <c r="P2266">
        <v>1</v>
      </c>
      <c r="Q2266">
        <v>1</v>
      </c>
      <c r="R2266">
        <v>1</v>
      </c>
    </row>
    <row r="2267" spans="1:39" x14ac:dyDescent="0.2">
      <c r="A2267" t="str">
        <f>"2263"</f>
        <v>2263</v>
      </c>
      <c r="B2267" t="str">
        <f t="shared" si="124"/>
        <v>1</v>
      </c>
      <c r="C2267" t="str">
        <f t="shared" si="126"/>
        <v>46</v>
      </c>
      <c r="D2267" t="str">
        <f>"17"</f>
        <v>17</v>
      </c>
      <c r="E2267" t="str">
        <f>"1-46-17"</f>
        <v>1-46-17</v>
      </c>
      <c r="F2267" t="s">
        <v>65</v>
      </c>
      <c r="G2267" t="s">
        <v>66</v>
      </c>
      <c r="H2267" t="s">
        <v>68</v>
      </c>
      <c r="I2267">
        <v>1</v>
      </c>
      <c r="J2267">
        <v>0</v>
      </c>
      <c r="K2267">
        <v>0</v>
      </c>
      <c r="L2267">
        <v>1</v>
      </c>
      <c r="M2267">
        <v>1</v>
      </c>
      <c r="N2267">
        <v>1</v>
      </c>
      <c r="O2267">
        <v>1</v>
      </c>
      <c r="P2267">
        <v>1</v>
      </c>
      <c r="Q2267">
        <v>1</v>
      </c>
      <c r="R2267">
        <v>1</v>
      </c>
    </row>
    <row r="2268" spans="1:39" x14ac:dyDescent="0.2">
      <c r="A2268" t="str">
        <f>"2264"</f>
        <v>2264</v>
      </c>
      <c r="B2268" t="str">
        <f t="shared" si="124"/>
        <v>1</v>
      </c>
      <c r="C2268" t="str">
        <f t="shared" si="126"/>
        <v>46</v>
      </c>
      <c r="D2268" t="str">
        <f>"13"</f>
        <v>13</v>
      </c>
      <c r="E2268" t="str">
        <f>"1-46-13"</f>
        <v>1-46-13</v>
      </c>
      <c r="F2268" t="s">
        <v>65</v>
      </c>
      <c r="G2268" t="s">
        <v>66</v>
      </c>
      <c r="H2268" t="s">
        <v>68</v>
      </c>
      <c r="I2268">
        <v>0</v>
      </c>
      <c r="J2268">
        <v>0</v>
      </c>
      <c r="K2268">
        <v>1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39" x14ac:dyDescent="0.2">
      <c r="A2269" t="str">
        <f>"2265"</f>
        <v>2265</v>
      </c>
      <c r="B2269" t="str">
        <f t="shared" si="124"/>
        <v>1</v>
      </c>
      <c r="C2269" t="str">
        <f t="shared" si="126"/>
        <v>46</v>
      </c>
      <c r="D2269" t="str">
        <f>"46"</f>
        <v>46</v>
      </c>
      <c r="E2269" t="str">
        <f>"1-46-46"</f>
        <v>1-46-46</v>
      </c>
      <c r="F2269" t="s">
        <v>65</v>
      </c>
      <c r="G2269" t="s">
        <v>66</v>
      </c>
      <c r="H2269" t="s">
        <v>67</v>
      </c>
      <c r="S2269">
        <v>0</v>
      </c>
      <c r="T2269">
        <v>1</v>
      </c>
      <c r="U2269">
        <v>0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</row>
    <row r="2270" spans="1:39" x14ac:dyDescent="0.2">
      <c r="A2270" t="str">
        <f>"2266"</f>
        <v>2266</v>
      </c>
      <c r="B2270" t="str">
        <f t="shared" si="124"/>
        <v>1</v>
      </c>
      <c r="C2270" t="str">
        <f t="shared" si="126"/>
        <v>46</v>
      </c>
      <c r="D2270" t="str">
        <f>"45"</f>
        <v>45</v>
      </c>
      <c r="E2270" t="str">
        <f>"1-46-45"</f>
        <v>1-46-45</v>
      </c>
      <c r="F2270" t="s">
        <v>65</v>
      </c>
      <c r="G2270" t="s">
        <v>66</v>
      </c>
      <c r="H2270" t="s">
        <v>67</v>
      </c>
      <c r="S2270">
        <v>0</v>
      </c>
      <c r="T2270">
        <v>0</v>
      </c>
      <c r="U2270">
        <v>0</v>
      </c>
      <c r="V2270">
        <v>0</v>
      </c>
      <c r="W2270">
        <v>1</v>
      </c>
      <c r="X2270">
        <v>0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1</v>
      </c>
      <c r="AF2270">
        <v>1</v>
      </c>
      <c r="AG2270">
        <v>1</v>
      </c>
      <c r="AH2270">
        <v>1</v>
      </c>
      <c r="AI2270">
        <v>1</v>
      </c>
      <c r="AJ2270">
        <v>1</v>
      </c>
      <c r="AK2270">
        <v>1</v>
      </c>
      <c r="AL2270">
        <v>1</v>
      </c>
      <c r="AM2270">
        <v>1</v>
      </c>
    </row>
    <row r="2271" spans="1:39" x14ac:dyDescent="0.2">
      <c r="A2271" t="str">
        <f>"2267"</f>
        <v>2267</v>
      </c>
      <c r="B2271" t="str">
        <f t="shared" si="124"/>
        <v>1</v>
      </c>
      <c r="C2271" t="str">
        <f t="shared" si="126"/>
        <v>46</v>
      </c>
      <c r="D2271" t="str">
        <f>"32"</f>
        <v>32</v>
      </c>
      <c r="E2271" t="str">
        <f>"1-46-32"</f>
        <v>1-46-32</v>
      </c>
      <c r="F2271" t="s">
        <v>65</v>
      </c>
      <c r="G2271" t="s">
        <v>66</v>
      </c>
      <c r="H2271" t="s">
        <v>67</v>
      </c>
      <c r="S2271">
        <v>0</v>
      </c>
      <c r="T2271">
        <v>1</v>
      </c>
      <c r="U2271">
        <v>0</v>
      </c>
      <c r="V2271">
        <v>0</v>
      </c>
      <c r="W2271">
        <v>0</v>
      </c>
      <c r="X2271">
        <v>1</v>
      </c>
      <c r="Y2271">
        <v>0</v>
      </c>
      <c r="Z2271">
        <v>1</v>
      </c>
      <c r="AA2271">
        <v>0</v>
      </c>
      <c r="AB2271">
        <v>0</v>
      </c>
      <c r="AC2271">
        <v>1</v>
      </c>
      <c r="AD2271">
        <v>1</v>
      </c>
      <c r="AE2271">
        <v>1</v>
      </c>
      <c r="AF2271">
        <v>1</v>
      </c>
      <c r="AG2271">
        <v>1</v>
      </c>
      <c r="AH2271">
        <v>1</v>
      </c>
      <c r="AI2271">
        <v>1</v>
      </c>
      <c r="AJ2271">
        <v>1</v>
      </c>
      <c r="AK2271">
        <v>1</v>
      </c>
      <c r="AL2271">
        <v>1</v>
      </c>
      <c r="AM2271">
        <v>1</v>
      </c>
    </row>
    <row r="2272" spans="1:39" x14ac:dyDescent="0.2">
      <c r="A2272" t="str">
        <f>"2268"</f>
        <v>2268</v>
      </c>
      <c r="B2272" t="str">
        <f t="shared" si="124"/>
        <v>1</v>
      </c>
      <c r="C2272" t="str">
        <f t="shared" si="126"/>
        <v>46</v>
      </c>
      <c r="D2272" t="str">
        <f>"18"</f>
        <v>18</v>
      </c>
      <c r="E2272" t="str">
        <f>"1-46-18"</f>
        <v>1-46-18</v>
      </c>
      <c r="F2272" t="s">
        <v>65</v>
      </c>
      <c r="G2272" t="s">
        <v>66</v>
      </c>
      <c r="H2272" t="s">
        <v>68</v>
      </c>
      <c r="I2272">
        <v>1</v>
      </c>
      <c r="J2272">
        <v>0</v>
      </c>
      <c r="K2272">
        <v>0</v>
      </c>
      <c r="L2272">
        <v>1</v>
      </c>
      <c r="M2272">
        <v>1</v>
      </c>
      <c r="N2272">
        <v>1</v>
      </c>
      <c r="O2272">
        <v>1</v>
      </c>
      <c r="P2272">
        <v>1</v>
      </c>
      <c r="Q2272">
        <v>1</v>
      </c>
      <c r="R2272">
        <v>1</v>
      </c>
    </row>
    <row r="2273" spans="1:39" x14ac:dyDescent="0.2">
      <c r="A2273" t="str">
        <f>"2269"</f>
        <v>2269</v>
      </c>
      <c r="B2273" t="str">
        <f t="shared" si="124"/>
        <v>1</v>
      </c>
      <c r="C2273" t="str">
        <f t="shared" si="126"/>
        <v>46</v>
      </c>
      <c r="D2273" t="str">
        <f>"3"</f>
        <v>3</v>
      </c>
      <c r="E2273" t="str">
        <f>"1-46-3"</f>
        <v>1-46-3</v>
      </c>
      <c r="F2273" t="s">
        <v>65</v>
      </c>
      <c r="G2273" t="s">
        <v>66</v>
      </c>
      <c r="H2273" t="s">
        <v>68</v>
      </c>
      <c r="I2273">
        <v>1</v>
      </c>
      <c r="J2273">
        <v>0</v>
      </c>
      <c r="K2273">
        <v>0</v>
      </c>
      <c r="L2273">
        <v>0</v>
      </c>
      <c r="M2273">
        <v>1</v>
      </c>
      <c r="N2273">
        <v>1</v>
      </c>
      <c r="O2273">
        <v>1</v>
      </c>
      <c r="P2273">
        <v>1</v>
      </c>
      <c r="Q2273">
        <v>1</v>
      </c>
      <c r="R2273">
        <v>1</v>
      </c>
    </row>
    <row r="2274" spans="1:39" x14ac:dyDescent="0.2">
      <c r="A2274" t="str">
        <f>"2270"</f>
        <v>2270</v>
      </c>
      <c r="B2274" t="str">
        <f t="shared" si="124"/>
        <v>1</v>
      </c>
      <c r="C2274" t="str">
        <f t="shared" si="126"/>
        <v>46</v>
      </c>
      <c r="D2274" t="str">
        <f>"48"</f>
        <v>48</v>
      </c>
      <c r="E2274" t="str">
        <f>"1-46-48"</f>
        <v>1-46-48</v>
      </c>
      <c r="F2274" t="s">
        <v>65</v>
      </c>
      <c r="G2274" t="s">
        <v>66</v>
      </c>
      <c r="H2274" t="s">
        <v>67</v>
      </c>
      <c r="S2274">
        <v>1</v>
      </c>
      <c r="T2274">
        <v>0</v>
      </c>
      <c r="U2274">
        <v>0</v>
      </c>
      <c r="V2274">
        <v>0</v>
      </c>
      <c r="W2274">
        <v>1</v>
      </c>
      <c r="X2274">
        <v>0</v>
      </c>
      <c r="Y2274">
        <v>1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1</v>
      </c>
      <c r="AF2274">
        <v>1</v>
      </c>
      <c r="AG2274">
        <v>1</v>
      </c>
      <c r="AH2274">
        <v>1</v>
      </c>
      <c r="AI2274">
        <v>1</v>
      </c>
      <c r="AJ2274">
        <v>1</v>
      </c>
      <c r="AK2274">
        <v>1</v>
      </c>
      <c r="AL2274">
        <v>1</v>
      </c>
      <c r="AM2274">
        <v>1</v>
      </c>
    </row>
    <row r="2275" spans="1:39" x14ac:dyDescent="0.2">
      <c r="A2275" t="str">
        <f>"2271"</f>
        <v>2271</v>
      </c>
      <c r="B2275" t="str">
        <f t="shared" si="124"/>
        <v>1</v>
      </c>
      <c r="C2275" t="str">
        <f t="shared" si="126"/>
        <v>46</v>
      </c>
      <c r="D2275" t="str">
        <f>"47"</f>
        <v>47</v>
      </c>
      <c r="E2275" t="str">
        <f>"1-46-47"</f>
        <v>1-46-47</v>
      </c>
      <c r="F2275" t="s">
        <v>65</v>
      </c>
      <c r="G2275" t="s">
        <v>66</v>
      </c>
      <c r="H2275" t="s">
        <v>67</v>
      </c>
      <c r="S2275">
        <v>0</v>
      </c>
      <c r="T2275">
        <v>1</v>
      </c>
      <c r="U2275">
        <v>0</v>
      </c>
      <c r="V2275">
        <v>0</v>
      </c>
      <c r="W2275">
        <v>1</v>
      </c>
      <c r="X2275">
        <v>0</v>
      </c>
      <c r="Y2275">
        <v>0</v>
      </c>
      <c r="Z2275">
        <v>1</v>
      </c>
      <c r="AA2275">
        <v>0</v>
      </c>
      <c r="AB2275">
        <v>1</v>
      </c>
      <c r="AC2275">
        <v>0</v>
      </c>
      <c r="AD2275">
        <v>1</v>
      </c>
      <c r="AE2275">
        <v>1</v>
      </c>
      <c r="AF2275">
        <v>1</v>
      </c>
      <c r="AG2275">
        <v>1</v>
      </c>
      <c r="AH2275">
        <v>1</v>
      </c>
      <c r="AI2275">
        <v>1</v>
      </c>
      <c r="AJ2275">
        <v>1</v>
      </c>
      <c r="AK2275">
        <v>1</v>
      </c>
      <c r="AL2275">
        <v>0</v>
      </c>
      <c r="AM2275">
        <v>1</v>
      </c>
    </row>
    <row r="2276" spans="1:39" x14ac:dyDescent="0.2">
      <c r="A2276" t="str">
        <f>"2272"</f>
        <v>2272</v>
      </c>
      <c r="B2276" t="str">
        <f t="shared" si="124"/>
        <v>1</v>
      </c>
      <c r="C2276" t="str">
        <f t="shared" si="126"/>
        <v>46</v>
      </c>
      <c r="D2276" t="str">
        <f>"31"</f>
        <v>31</v>
      </c>
      <c r="E2276" t="str">
        <f>"1-46-31"</f>
        <v>1-46-31</v>
      </c>
      <c r="F2276" t="s">
        <v>65</v>
      </c>
      <c r="G2276" t="s">
        <v>66</v>
      </c>
      <c r="H2276" t="s">
        <v>67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0</v>
      </c>
      <c r="AB2276">
        <v>0</v>
      </c>
      <c r="AC2276">
        <v>1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</row>
    <row r="2277" spans="1:39" x14ac:dyDescent="0.2">
      <c r="A2277" t="str">
        <f>"2273"</f>
        <v>2273</v>
      </c>
      <c r="B2277" t="str">
        <f t="shared" si="124"/>
        <v>1</v>
      </c>
      <c r="C2277" t="str">
        <f t="shared" si="126"/>
        <v>46</v>
      </c>
      <c r="D2277" t="str">
        <f>"19"</f>
        <v>19</v>
      </c>
      <c r="E2277" t="str">
        <f>"1-46-19"</f>
        <v>1-46-19</v>
      </c>
      <c r="F2277" t="s">
        <v>65</v>
      </c>
      <c r="G2277" t="s">
        <v>66</v>
      </c>
      <c r="H2277" t="s">
        <v>68</v>
      </c>
      <c r="I2277">
        <v>1</v>
      </c>
      <c r="J2277">
        <v>0</v>
      </c>
      <c r="K2277">
        <v>0</v>
      </c>
      <c r="L2277">
        <v>1</v>
      </c>
      <c r="M2277">
        <v>1</v>
      </c>
      <c r="N2277">
        <v>1</v>
      </c>
      <c r="O2277">
        <v>1</v>
      </c>
      <c r="P2277">
        <v>1</v>
      </c>
      <c r="Q2277">
        <v>1</v>
      </c>
      <c r="R2277">
        <v>1</v>
      </c>
    </row>
    <row r="2278" spans="1:39" x14ac:dyDescent="0.2">
      <c r="A2278" t="str">
        <f>"2274"</f>
        <v>2274</v>
      </c>
      <c r="B2278" t="str">
        <f t="shared" si="124"/>
        <v>1</v>
      </c>
      <c r="C2278" t="str">
        <f t="shared" si="126"/>
        <v>46</v>
      </c>
      <c r="D2278" t="str">
        <f>"12"</f>
        <v>12</v>
      </c>
      <c r="E2278" t="str">
        <f>"1-46-12"</f>
        <v>1-46-12</v>
      </c>
      <c r="F2278" t="s">
        <v>65</v>
      </c>
      <c r="G2278" t="s">
        <v>66</v>
      </c>
      <c r="H2278" t="s">
        <v>68</v>
      </c>
      <c r="I2278">
        <v>1</v>
      </c>
      <c r="J2278">
        <v>0</v>
      </c>
      <c r="K2278">
        <v>1</v>
      </c>
      <c r="L2278">
        <v>0</v>
      </c>
      <c r="M2278">
        <v>1</v>
      </c>
      <c r="N2278">
        <v>1</v>
      </c>
      <c r="O2278">
        <v>1</v>
      </c>
      <c r="P2278">
        <v>1</v>
      </c>
      <c r="Q2278">
        <v>1</v>
      </c>
      <c r="R2278">
        <v>1</v>
      </c>
    </row>
    <row r="2279" spans="1:39" x14ac:dyDescent="0.2">
      <c r="A2279" t="str">
        <f>"2275"</f>
        <v>2275</v>
      </c>
      <c r="B2279" t="str">
        <f t="shared" si="124"/>
        <v>1</v>
      </c>
      <c r="C2279" t="str">
        <f t="shared" si="126"/>
        <v>46</v>
      </c>
      <c r="D2279" t="str">
        <f>"38"</f>
        <v>38</v>
      </c>
      <c r="E2279" t="str">
        <f>"1-46-38"</f>
        <v>1-46-38</v>
      </c>
      <c r="F2279" t="s">
        <v>65</v>
      </c>
      <c r="G2279" t="s">
        <v>66</v>
      </c>
      <c r="H2279" t="s">
        <v>67</v>
      </c>
      <c r="S2279">
        <v>0</v>
      </c>
      <c r="T2279">
        <v>1</v>
      </c>
      <c r="U2279">
        <v>0</v>
      </c>
      <c r="V2279">
        <v>0</v>
      </c>
      <c r="W2279">
        <v>0</v>
      </c>
      <c r="X2279">
        <v>1</v>
      </c>
      <c r="Y2279">
        <v>1</v>
      </c>
      <c r="Z2279">
        <v>0</v>
      </c>
      <c r="AA2279">
        <v>0</v>
      </c>
      <c r="AB2279">
        <v>1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1</v>
      </c>
      <c r="AI2279">
        <v>1</v>
      </c>
      <c r="AJ2279">
        <v>1</v>
      </c>
      <c r="AK2279">
        <v>1</v>
      </c>
      <c r="AL2279">
        <v>1</v>
      </c>
      <c r="AM2279">
        <v>1</v>
      </c>
    </row>
    <row r="2280" spans="1:39" x14ac:dyDescent="0.2">
      <c r="A2280" t="str">
        <f>"2276"</f>
        <v>2276</v>
      </c>
      <c r="B2280" t="str">
        <f t="shared" si="124"/>
        <v>1</v>
      </c>
      <c r="C2280" t="str">
        <f t="shared" si="126"/>
        <v>46</v>
      </c>
      <c r="D2280" t="str">
        <f>"37"</f>
        <v>37</v>
      </c>
      <c r="E2280" t="str">
        <f>"1-46-37"</f>
        <v>1-46-37</v>
      </c>
      <c r="F2280" t="s">
        <v>65</v>
      </c>
      <c r="G2280" t="s">
        <v>66</v>
      </c>
      <c r="H2280" t="s">
        <v>67</v>
      </c>
      <c r="S2280">
        <v>0</v>
      </c>
      <c r="T2280">
        <v>1</v>
      </c>
      <c r="U2280">
        <v>0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0</v>
      </c>
      <c r="AB2280">
        <v>1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1</v>
      </c>
      <c r="AI2280">
        <v>0</v>
      </c>
      <c r="AJ2280">
        <v>0</v>
      </c>
      <c r="AK2280">
        <v>0</v>
      </c>
      <c r="AL2280">
        <v>0</v>
      </c>
      <c r="AM2280">
        <v>0</v>
      </c>
    </row>
    <row r="2281" spans="1:39" x14ac:dyDescent="0.2">
      <c r="A2281" t="str">
        <f>"2277"</f>
        <v>2277</v>
      </c>
      <c r="B2281" t="str">
        <f t="shared" si="124"/>
        <v>1</v>
      </c>
      <c r="C2281" t="str">
        <f t="shared" si="126"/>
        <v>46</v>
      </c>
      <c r="D2281" t="str">
        <f>"29"</f>
        <v>29</v>
      </c>
      <c r="E2281" t="str">
        <f>"1-46-29"</f>
        <v>1-46-29</v>
      </c>
      <c r="F2281" t="s">
        <v>65</v>
      </c>
      <c r="G2281" t="s">
        <v>66</v>
      </c>
      <c r="H2281" t="s">
        <v>68</v>
      </c>
      <c r="I2281">
        <v>1</v>
      </c>
      <c r="J2281">
        <v>0</v>
      </c>
      <c r="K2281">
        <v>1</v>
      </c>
      <c r="L2281">
        <v>0</v>
      </c>
      <c r="M2281">
        <v>1</v>
      </c>
      <c r="N2281">
        <v>1</v>
      </c>
      <c r="O2281">
        <v>1</v>
      </c>
      <c r="P2281">
        <v>1</v>
      </c>
      <c r="Q2281">
        <v>1</v>
      </c>
      <c r="R2281">
        <v>1</v>
      </c>
    </row>
    <row r="2282" spans="1:39" x14ac:dyDescent="0.2">
      <c r="A2282" t="str">
        <f>"2278"</f>
        <v>2278</v>
      </c>
      <c r="B2282" t="str">
        <f t="shared" si="124"/>
        <v>1</v>
      </c>
      <c r="C2282" t="str">
        <f t="shared" si="126"/>
        <v>46</v>
      </c>
      <c r="D2282" t="str">
        <f>"20"</f>
        <v>20</v>
      </c>
      <c r="E2282" t="str">
        <f>"1-46-20"</f>
        <v>1-46-20</v>
      </c>
      <c r="F2282" t="s">
        <v>65</v>
      </c>
      <c r="G2282" t="s">
        <v>66</v>
      </c>
      <c r="H2282" t="s">
        <v>68</v>
      </c>
      <c r="I2282">
        <v>0</v>
      </c>
      <c r="J2282">
        <v>0</v>
      </c>
      <c r="K2282">
        <v>0</v>
      </c>
      <c r="L2282">
        <v>1</v>
      </c>
      <c r="M2282">
        <v>1</v>
      </c>
      <c r="N2282">
        <v>1</v>
      </c>
      <c r="O2282">
        <v>1</v>
      </c>
      <c r="P2282">
        <v>1</v>
      </c>
      <c r="Q2282">
        <v>1</v>
      </c>
      <c r="R2282">
        <v>1</v>
      </c>
    </row>
    <row r="2283" spans="1:39" x14ac:dyDescent="0.2">
      <c r="A2283" t="str">
        <f>"2279"</f>
        <v>2279</v>
      </c>
      <c r="B2283" t="str">
        <f t="shared" si="124"/>
        <v>1</v>
      </c>
      <c r="C2283" t="str">
        <f t="shared" si="126"/>
        <v>46</v>
      </c>
      <c r="D2283" t="str">
        <f>"5"</f>
        <v>5</v>
      </c>
      <c r="E2283" t="str">
        <f>"1-46-5"</f>
        <v>1-46-5</v>
      </c>
      <c r="F2283" t="s">
        <v>65</v>
      </c>
      <c r="G2283" t="s">
        <v>66</v>
      </c>
      <c r="H2283" t="s">
        <v>68</v>
      </c>
      <c r="I2283">
        <v>1</v>
      </c>
      <c r="J2283">
        <v>0</v>
      </c>
      <c r="K2283">
        <v>0</v>
      </c>
      <c r="L2283">
        <v>1</v>
      </c>
      <c r="M2283">
        <v>1</v>
      </c>
      <c r="N2283">
        <v>1</v>
      </c>
      <c r="O2283">
        <v>1</v>
      </c>
      <c r="P2283">
        <v>1</v>
      </c>
      <c r="Q2283">
        <v>1</v>
      </c>
      <c r="R2283">
        <v>1</v>
      </c>
    </row>
    <row r="2284" spans="1:39" x14ac:dyDescent="0.2">
      <c r="A2284" t="str">
        <f>"2280"</f>
        <v>2280</v>
      </c>
      <c r="B2284" t="str">
        <f t="shared" si="124"/>
        <v>1</v>
      </c>
      <c r="C2284" t="str">
        <f t="shared" si="126"/>
        <v>46</v>
      </c>
      <c r="D2284" t="str">
        <f>"43"</f>
        <v>43</v>
      </c>
      <c r="E2284" t="str">
        <f>"1-46-43"</f>
        <v>1-46-43</v>
      </c>
      <c r="F2284" t="s">
        <v>65</v>
      </c>
      <c r="G2284" t="s">
        <v>66</v>
      </c>
      <c r="H2284" t="s">
        <v>67</v>
      </c>
      <c r="S2284">
        <v>1</v>
      </c>
      <c r="T2284">
        <v>0</v>
      </c>
      <c r="U2284">
        <v>0</v>
      </c>
      <c r="V2284">
        <v>0</v>
      </c>
      <c r="W2284">
        <v>1</v>
      </c>
      <c r="X2284">
        <v>0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</row>
    <row r="2285" spans="1:39" x14ac:dyDescent="0.2">
      <c r="A2285" t="str">
        <f>"2281"</f>
        <v>2281</v>
      </c>
      <c r="B2285" t="str">
        <f t="shared" si="124"/>
        <v>1</v>
      </c>
      <c r="C2285" t="str">
        <f t="shared" si="126"/>
        <v>46</v>
      </c>
      <c r="D2285" t="str">
        <f>"21"</f>
        <v>21</v>
      </c>
      <c r="E2285" t="str">
        <f>"1-46-21"</f>
        <v>1-46-21</v>
      </c>
      <c r="F2285" t="s">
        <v>65</v>
      </c>
      <c r="G2285" t="s">
        <v>66</v>
      </c>
      <c r="H2285" t="s">
        <v>68</v>
      </c>
      <c r="I2285">
        <v>1</v>
      </c>
      <c r="J2285">
        <v>1</v>
      </c>
      <c r="K2285">
        <v>0</v>
      </c>
      <c r="L2285">
        <v>0</v>
      </c>
      <c r="M2285">
        <v>1</v>
      </c>
      <c r="N2285">
        <v>1</v>
      </c>
      <c r="O2285">
        <v>1</v>
      </c>
      <c r="P2285">
        <v>1</v>
      </c>
      <c r="Q2285">
        <v>1</v>
      </c>
      <c r="R2285">
        <v>1</v>
      </c>
    </row>
    <row r="2286" spans="1:39" x14ac:dyDescent="0.2">
      <c r="A2286" t="str">
        <f>"2282"</f>
        <v>2282</v>
      </c>
      <c r="B2286" t="str">
        <f t="shared" si="124"/>
        <v>1</v>
      </c>
      <c r="C2286" t="str">
        <f t="shared" si="126"/>
        <v>46</v>
      </c>
      <c r="D2286" t="str">
        <f>"8"</f>
        <v>8</v>
      </c>
      <c r="E2286" t="str">
        <f>"1-46-8"</f>
        <v>1-46-8</v>
      </c>
      <c r="F2286" t="s">
        <v>65</v>
      </c>
      <c r="G2286" t="s">
        <v>66</v>
      </c>
      <c r="H2286" t="s">
        <v>68</v>
      </c>
      <c r="I2286">
        <v>1</v>
      </c>
      <c r="J2286">
        <v>0</v>
      </c>
      <c r="K2286">
        <v>0</v>
      </c>
      <c r="L2286">
        <v>1</v>
      </c>
      <c r="M2286">
        <v>1</v>
      </c>
      <c r="N2286">
        <v>1</v>
      </c>
      <c r="O2286">
        <v>1</v>
      </c>
      <c r="P2286">
        <v>1</v>
      </c>
      <c r="Q2286">
        <v>1</v>
      </c>
      <c r="R2286">
        <v>1</v>
      </c>
    </row>
    <row r="2287" spans="1:39" x14ac:dyDescent="0.2">
      <c r="A2287" t="str">
        <f>"2283"</f>
        <v>2283</v>
      </c>
      <c r="B2287" t="str">
        <f t="shared" si="124"/>
        <v>1</v>
      </c>
      <c r="C2287" t="str">
        <f t="shared" ref="C2287:C2304" si="127">"46"</f>
        <v>46</v>
      </c>
      <c r="D2287" t="str">
        <f>"44"</f>
        <v>44</v>
      </c>
      <c r="E2287" t="str">
        <f>"1-46-44"</f>
        <v>1-46-44</v>
      </c>
      <c r="F2287" t="s">
        <v>65</v>
      </c>
      <c r="G2287" t="s">
        <v>66</v>
      </c>
      <c r="H2287" t="s">
        <v>67</v>
      </c>
      <c r="S2287">
        <v>0</v>
      </c>
      <c r="T2287">
        <v>1</v>
      </c>
      <c r="U2287">
        <v>0</v>
      </c>
      <c r="V2287">
        <v>0</v>
      </c>
      <c r="W2287">
        <v>0</v>
      </c>
      <c r="X2287">
        <v>1</v>
      </c>
      <c r="Y2287">
        <v>1</v>
      </c>
      <c r="Z2287">
        <v>0</v>
      </c>
      <c r="AA2287">
        <v>0</v>
      </c>
      <c r="AB2287">
        <v>1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1</v>
      </c>
    </row>
    <row r="2288" spans="1:39" x14ac:dyDescent="0.2">
      <c r="A2288" t="str">
        <f>"2284"</f>
        <v>2284</v>
      </c>
      <c r="B2288" t="str">
        <f t="shared" si="124"/>
        <v>1</v>
      </c>
      <c r="C2288" t="str">
        <f t="shared" si="127"/>
        <v>46</v>
      </c>
      <c r="D2288" t="str">
        <f>"22"</f>
        <v>22</v>
      </c>
      <c r="E2288" t="str">
        <f>"1-46-22"</f>
        <v>1-46-22</v>
      </c>
      <c r="F2288" t="s">
        <v>65</v>
      </c>
      <c r="G2288" t="s">
        <v>66</v>
      </c>
      <c r="H2288" t="s">
        <v>68</v>
      </c>
      <c r="I2288">
        <v>1</v>
      </c>
      <c r="J2288">
        <v>0</v>
      </c>
      <c r="K2288">
        <v>1</v>
      </c>
      <c r="L2288">
        <v>0</v>
      </c>
      <c r="M2288">
        <v>1</v>
      </c>
      <c r="N2288">
        <v>1</v>
      </c>
      <c r="O2288">
        <v>1</v>
      </c>
      <c r="P2288">
        <v>1</v>
      </c>
      <c r="Q2288">
        <v>1</v>
      </c>
      <c r="R2288">
        <v>1</v>
      </c>
    </row>
    <row r="2289" spans="1:39" x14ac:dyDescent="0.2">
      <c r="A2289" t="str">
        <f>"2285"</f>
        <v>2285</v>
      </c>
      <c r="B2289" t="str">
        <f t="shared" si="124"/>
        <v>1</v>
      </c>
      <c r="C2289" t="str">
        <f t="shared" si="127"/>
        <v>46</v>
      </c>
      <c r="D2289" t="str">
        <f>"14"</f>
        <v>14</v>
      </c>
      <c r="E2289" t="str">
        <f>"1-46-14"</f>
        <v>1-46-14</v>
      </c>
      <c r="F2289" t="s">
        <v>65</v>
      </c>
      <c r="G2289" t="s">
        <v>66</v>
      </c>
      <c r="H2289" t="s">
        <v>68</v>
      </c>
      <c r="I2289">
        <v>1</v>
      </c>
      <c r="J2289">
        <v>0</v>
      </c>
      <c r="K2289">
        <v>0</v>
      </c>
      <c r="L2289">
        <v>1</v>
      </c>
      <c r="M2289">
        <v>1</v>
      </c>
      <c r="N2289">
        <v>1</v>
      </c>
      <c r="O2289">
        <v>0</v>
      </c>
      <c r="P2289">
        <v>1</v>
      </c>
      <c r="Q2289">
        <v>0</v>
      </c>
      <c r="R2289">
        <v>0</v>
      </c>
    </row>
    <row r="2290" spans="1:39" x14ac:dyDescent="0.2">
      <c r="A2290" t="str">
        <f>"2286"</f>
        <v>2286</v>
      </c>
      <c r="B2290" t="str">
        <f t="shared" si="124"/>
        <v>1</v>
      </c>
      <c r="C2290" t="str">
        <f t="shared" si="127"/>
        <v>46</v>
      </c>
      <c r="D2290" t="str">
        <f>"24"</f>
        <v>24</v>
      </c>
      <c r="E2290" t="str">
        <f>"1-46-24"</f>
        <v>1-46-24</v>
      </c>
      <c r="F2290" t="s">
        <v>65</v>
      </c>
      <c r="G2290" t="s">
        <v>66</v>
      </c>
      <c r="H2290" t="s">
        <v>68</v>
      </c>
      <c r="I2290">
        <v>1</v>
      </c>
      <c r="J2290">
        <v>0</v>
      </c>
      <c r="K2290">
        <v>0</v>
      </c>
      <c r="L2290">
        <v>1</v>
      </c>
      <c r="M2290">
        <v>1</v>
      </c>
      <c r="N2290">
        <v>1</v>
      </c>
      <c r="O2290">
        <v>1</v>
      </c>
      <c r="P2290">
        <v>1</v>
      </c>
      <c r="Q2290">
        <v>1</v>
      </c>
      <c r="R2290">
        <v>1</v>
      </c>
    </row>
    <row r="2291" spans="1:39" x14ac:dyDescent="0.2">
      <c r="A2291" t="str">
        <f>"2287"</f>
        <v>2287</v>
      </c>
      <c r="B2291" t="str">
        <f t="shared" si="124"/>
        <v>1</v>
      </c>
      <c r="C2291" t="str">
        <f t="shared" si="127"/>
        <v>46</v>
      </c>
      <c r="D2291" t="str">
        <f>"11"</f>
        <v>11</v>
      </c>
      <c r="E2291" t="str">
        <f>"1-46-11"</f>
        <v>1-46-11</v>
      </c>
      <c r="F2291" t="s">
        <v>65</v>
      </c>
      <c r="G2291" t="s">
        <v>66</v>
      </c>
      <c r="H2291" t="s">
        <v>68</v>
      </c>
      <c r="I2291">
        <v>1</v>
      </c>
      <c r="J2291">
        <v>0</v>
      </c>
      <c r="K2291">
        <v>0</v>
      </c>
      <c r="L2291">
        <v>1</v>
      </c>
      <c r="M2291">
        <v>1</v>
      </c>
      <c r="N2291">
        <v>1</v>
      </c>
      <c r="O2291">
        <v>1</v>
      </c>
      <c r="P2291">
        <v>1</v>
      </c>
      <c r="Q2291">
        <v>1</v>
      </c>
      <c r="R2291">
        <v>1</v>
      </c>
    </row>
    <row r="2292" spans="1:39" x14ac:dyDescent="0.2">
      <c r="A2292" t="str">
        <f>"2288"</f>
        <v>2288</v>
      </c>
      <c r="B2292" t="str">
        <f t="shared" si="124"/>
        <v>1</v>
      </c>
      <c r="C2292" t="str">
        <f t="shared" si="127"/>
        <v>46</v>
      </c>
      <c r="D2292" t="str">
        <f>"50"</f>
        <v>50</v>
      </c>
      <c r="E2292" t="str">
        <f>"1-46-50"</f>
        <v>1-46-50</v>
      </c>
      <c r="F2292" t="s">
        <v>65</v>
      </c>
      <c r="G2292" t="s">
        <v>66</v>
      </c>
      <c r="H2292" t="s">
        <v>67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0</v>
      </c>
      <c r="AB2292">
        <v>1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</row>
    <row r="2293" spans="1:39" x14ac:dyDescent="0.2">
      <c r="A2293" t="str">
        <f>"2289"</f>
        <v>2289</v>
      </c>
      <c r="B2293" t="str">
        <f t="shared" si="124"/>
        <v>1</v>
      </c>
      <c r="C2293" t="str">
        <f t="shared" si="127"/>
        <v>46</v>
      </c>
      <c r="D2293" t="str">
        <f>"25"</f>
        <v>25</v>
      </c>
      <c r="E2293" t="str">
        <f>"1-46-25"</f>
        <v>1-46-25</v>
      </c>
      <c r="F2293" t="s">
        <v>65</v>
      </c>
      <c r="G2293" t="s">
        <v>66</v>
      </c>
      <c r="H2293" t="s">
        <v>68</v>
      </c>
      <c r="I2293">
        <v>1</v>
      </c>
      <c r="J2293">
        <v>0</v>
      </c>
      <c r="K2293">
        <v>0</v>
      </c>
      <c r="L2293">
        <v>1</v>
      </c>
      <c r="M2293">
        <v>1</v>
      </c>
      <c r="N2293">
        <v>1</v>
      </c>
      <c r="O2293">
        <v>1</v>
      </c>
      <c r="P2293">
        <v>1</v>
      </c>
      <c r="Q2293">
        <v>1</v>
      </c>
      <c r="R2293">
        <v>1</v>
      </c>
    </row>
    <row r="2294" spans="1:39" x14ac:dyDescent="0.2">
      <c r="A2294" t="str">
        <f>"2290"</f>
        <v>2290</v>
      </c>
      <c r="B2294" t="str">
        <f t="shared" si="124"/>
        <v>1</v>
      </c>
      <c r="C2294" t="str">
        <f t="shared" si="127"/>
        <v>46</v>
      </c>
      <c r="D2294" t="str">
        <f>"7"</f>
        <v>7</v>
      </c>
      <c r="E2294" t="str">
        <f>"1-46-7"</f>
        <v>1-46-7</v>
      </c>
      <c r="F2294" t="s">
        <v>65</v>
      </c>
      <c r="G2294" t="s">
        <v>66</v>
      </c>
      <c r="H2294" t="s">
        <v>68</v>
      </c>
      <c r="I2294">
        <v>1</v>
      </c>
      <c r="J2294">
        <v>0</v>
      </c>
      <c r="K2294">
        <v>1</v>
      </c>
      <c r="L2294">
        <v>0</v>
      </c>
      <c r="M2294">
        <v>1</v>
      </c>
      <c r="N2294">
        <v>1</v>
      </c>
      <c r="O2294">
        <v>1</v>
      </c>
      <c r="P2294">
        <v>1</v>
      </c>
      <c r="Q2294">
        <v>1</v>
      </c>
      <c r="R2294">
        <v>1</v>
      </c>
    </row>
    <row r="2295" spans="1:39" x14ac:dyDescent="0.2">
      <c r="A2295" t="str">
        <f>"2291"</f>
        <v>2291</v>
      </c>
      <c r="B2295" t="str">
        <f t="shared" ref="B2295:B2358" si="128">"1"</f>
        <v>1</v>
      </c>
      <c r="C2295" t="str">
        <f t="shared" si="127"/>
        <v>46</v>
      </c>
      <c r="D2295" t="str">
        <f>"49"</f>
        <v>49</v>
      </c>
      <c r="E2295" t="str">
        <f>"1-46-49"</f>
        <v>1-46-49</v>
      </c>
      <c r="F2295" t="s">
        <v>65</v>
      </c>
      <c r="G2295" t="s">
        <v>66</v>
      </c>
      <c r="H2295" t="s">
        <v>67</v>
      </c>
      <c r="S2295">
        <v>0</v>
      </c>
      <c r="T2295">
        <v>1</v>
      </c>
      <c r="U2295">
        <v>0</v>
      </c>
      <c r="V2295">
        <v>0</v>
      </c>
      <c r="W2295">
        <v>0</v>
      </c>
      <c r="X2295">
        <v>1</v>
      </c>
      <c r="Y2295">
        <v>0</v>
      </c>
      <c r="Z2295">
        <v>1</v>
      </c>
      <c r="AA2295">
        <v>0</v>
      </c>
      <c r="AB2295">
        <v>1</v>
      </c>
      <c r="AC2295">
        <v>0</v>
      </c>
      <c r="AD2295">
        <v>1</v>
      </c>
      <c r="AE2295">
        <v>1</v>
      </c>
      <c r="AF2295">
        <v>1</v>
      </c>
      <c r="AG2295">
        <v>1</v>
      </c>
      <c r="AH2295">
        <v>1</v>
      </c>
      <c r="AI2295">
        <v>1</v>
      </c>
      <c r="AJ2295">
        <v>1</v>
      </c>
      <c r="AK2295">
        <v>1</v>
      </c>
      <c r="AL2295">
        <v>1</v>
      </c>
      <c r="AM2295">
        <v>1</v>
      </c>
    </row>
    <row r="2296" spans="1:39" x14ac:dyDescent="0.2">
      <c r="A2296" t="str">
        <f>"2292"</f>
        <v>2292</v>
      </c>
      <c r="B2296" t="str">
        <f t="shared" si="128"/>
        <v>1</v>
      </c>
      <c r="C2296" t="str">
        <f t="shared" si="127"/>
        <v>46</v>
      </c>
      <c r="D2296" t="str">
        <f>"26"</f>
        <v>26</v>
      </c>
      <c r="E2296" t="str">
        <f>"1-46-26"</f>
        <v>1-46-26</v>
      </c>
      <c r="F2296" t="s">
        <v>65</v>
      </c>
      <c r="G2296" t="s">
        <v>66</v>
      </c>
      <c r="H2296" t="s">
        <v>68</v>
      </c>
      <c r="I2296">
        <v>1</v>
      </c>
      <c r="J2296">
        <v>1</v>
      </c>
      <c r="K2296">
        <v>0</v>
      </c>
      <c r="L2296">
        <v>0</v>
      </c>
      <c r="M2296">
        <v>1</v>
      </c>
      <c r="N2296">
        <v>1</v>
      </c>
      <c r="O2296">
        <v>1</v>
      </c>
      <c r="P2296">
        <v>1</v>
      </c>
      <c r="Q2296">
        <v>1</v>
      </c>
      <c r="R2296">
        <v>1</v>
      </c>
    </row>
    <row r="2297" spans="1:39" x14ac:dyDescent="0.2">
      <c r="A2297" t="str">
        <f>"2293"</f>
        <v>2293</v>
      </c>
      <c r="B2297" t="str">
        <f t="shared" si="128"/>
        <v>1</v>
      </c>
      <c r="C2297" t="str">
        <f t="shared" si="127"/>
        <v>46</v>
      </c>
      <c r="D2297" t="str">
        <f>"10"</f>
        <v>10</v>
      </c>
      <c r="E2297" t="str">
        <f>"1-46-10"</f>
        <v>1-46-10</v>
      </c>
      <c r="F2297" t="s">
        <v>65</v>
      </c>
      <c r="G2297" t="s">
        <v>66</v>
      </c>
      <c r="H2297" t="s">
        <v>68</v>
      </c>
      <c r="I2297">
        <v>0</v>
      </c>
      <c r="J2297">
        <v>0</v>
      </c>
      <c r="K2297">
        <v>1</v>
      </c>
      <c r="L2297">
        <v>0</v>
      </c>
      <c r="M2297">
        <v>1</v>
      </c>
      <c r="N2297">
        <v>1</v>
      </c>
      <c r="O2297">
        <v>1</v>
      </c>
      <c r="P2297">
        <v>1</v>
      </c>
      <c r="Q2297">
        <v>1</v>
      </c>
      <c r="R2297">
        <v>1</v>
      </c>
    </row>
    <row r="2298" spans="1:39" x14ac:dyDescent="0.2">
      <c r="A2298" t="str">
        <f>"2294"</f>
        <v>2294</v>
      </c>
      <c r="B2298" t="str">
        <f t="shared" si="128"/>
        <v>1</v>
      </c>
      <c r="C2298" t="str">
        <f t="shared" si="127"/>
        <v>46</v>
      </c>
      <c r="D2298" t="str">
        <f>"30"</f>
        <v>30</v>
      </c>
      <c r="E2298" t="str">
        <f>"1-46-30"</f>
        <v>1-46-30</v>
      </c>
      <c r="F2298" t="s">
        <v>65</v>
      </c>
      <c r="G2298" t="s">
        <v>66</v>
      </c>
      <c r="H2298" t="s">
        <v>67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1</v>
      </c>
      <c r="Y2298">
        <v>0</v>
      </c>
      <c r="Z2298">
        <v>1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1</v>
      </c>
      <c r="AH2298">
        <v>0</v>
      </c>
      <c r="AI2298">
        <v>1</v>
      </c>
      <c r="AJ2298">
        <v>1</v>
      </c>
      <c r="AK2298">
        <v>1</v>
      </c>
      <c r="AL2298">
        <v>1</v>
      </c>
      <c r="AM2298">
        <v>1</v>
      </c>
    </row>
    <row r="2299" spans="1:39" x14ac:dyDescent="0.2">
      <c r="A2299" t="str">
        <f>"2295"</f>
        <v>2295</v>
      </c>
      <c r="B2299" t="str">
        <f t="shared" si="128"/>
        <v>1</v>
      </c>
      <c r="C2299" t="str">
        <f t="shared" si="127"/>
        <v>46</v>
      </c>
      <c r="D2299" t="str">
        <f>"9"</f>
        <v>9</v>
      </c>
      <c r="E2299" t="str">
        <f>"1-46-9"</f>
        <v>1-46-9</v>
      </c>
      <c r="F2299" t="s">
        <v>65</v>
      </c>
      <c r="G2299" t="s">
        <v>66</v>
      </c>
      <c r="H2299" t="s">
        <v>68</v>
      </c>
      <c r="I2299">
        <v>1</v>
      </c>
      <c r="J2299">
        <v>0</v>
      </c>
      <c r="K2299">
        <v>1</v>
      </c>
      <c r="L2299">
        <v>0</v>
      </c>
      <c r="M2299">
        <v>1</v>
      </c>
      <c r="N2299">
        <v>1</v>
      </c>
      <c r="O2299">
        <v>1</v>
      </c>
      <c r="P2299">
        <v>1</v>
      </c>
      <c r="Q2299">
        <v>1</v>
      </c>
      <c r="R2299">
        <v>1</v>
      </c>
    </row>
    <row r="2300" spans="1:39" x14ac:dyDescent="0.2">
      <c r="A2300" t="str">
        <f>"2296"</f>
        <v>2296</v>
      </c>
      <c r="B2300" t="str">
        <f t="shared" si="128"/>
        <v>1</v>
      </c>
      <c r="C2300" t="str">
        <f t="shared" si="127"/>
        <v>46</v>
      </c>
      <c r="D2300" t="str">
        <f>"6"</f>
        <v>6</v>
      </c>
      <c r="E2300" t="str">
        <f>"1-46-6"</f>
        <v>1-46-6</v>
      </c>
      <c r="F2300" t="s">
        <v>65</v>
      </c>
      <c r="G2300" t="s">
        <v>66</v>
      </c>
      <c r="H2300" t="s">
        <v>68</v>
      </c>
      <c r="I2300">
        <v>1</v>
      </c>
      <c r="J2300">
        <v>0</v>
      </c>
      <c r="K2300">
        <v>0</v>
      </c>
      <c r="L2300">
        <v>1</v>
      </c>
      <c r="M2300">
        <v>1</v>
      </c>
      <c r="N2300">
        <v>1</v>
      </c>
      <c r="O2300">
        <v>1</v>
      </c>
      <c r="P2300">
        <v>1</v>
      </c>
      <c r="Q2300">
        <v>1</v>
      </c>
      <c r="R2300">
        <v>1</v>
      </c>
    </row>
    <row r="2301" spans="1:39" x14ac:dyDescent="0.2">
      <c r="A2301" t="str">
        <f>"2297"</f>
        <v>2297</v>
      </c>
      <c r="B2301" t="str">
        <f t="shared" si="128"/>
        <v>1</v>
      </c>
      <c r="C2301" t="str">
        <f t="shared" si="127"/>
        <v>46</v>
      </c>
      <c r="D2301" t="str">
        <f>"34"</f>
        <v>34</v>
      </c>
      <c r="E2301" t="str">
        <f>"1-46-34"</f>
        <v>1-46-34</v>
      </c>
      <c r="F2301" t="s">
        <v>65</v>
      </c>
      <c r="G2301" t="s">
        <v>66</v>
      </c>
      <c r="H2301" t="s">
        <v>67</v>
      </c>
      <c r="S2301">
        <v>0</v>
      </c>
      <c r="T2301">
        <v>1</v>
      </c>
      <c r="U2301">
        <v>0</v>
      </c>
      <c r="V2301">
        <v>0</v>
      </c>
      <c r="W2301">
        <v>0</v>
      </c>
      <c r="X2301">
        <v>1</v>
      </c>
      <c r="Y2301">
        <v>1</v>
      </c>
      <c r="Z2301">
        <v>0</v>
      </c>
      <c r="AA2301">
        <v>0</v>
      </c>
      <c r="AB2301">
        <v>1</v>
      </c>
      <c r="AC2301">
        <v>0</v>
      </c>
      <c r="AD2301">
        <v>1</v>
      </c>
      <c r="AE2301">
        <v>1</v>
      </c>
      <c r="AF2301">
        <v>1</v>
      </c>
      <c r="AG2301">
        <v>1</v>
      </c>
      <c r="AH2301">
        <v>1</v>
      </c>
      <c r="AI2301">
        <v>1</v>
      </c>
      <c r="AJ2301">
        <v>1</v>
      </c>
      <c r="AK2301">
        <v>1</v>
      </c>
      <c r="AL2301">
        <v>1</v>
      </c>
      <c r="AM2301">
        <v>1</v>
      </c>
    </row>
    <row r="2302" spans="1:39" x14ac:dyDescent="0.2">
      <c r="A2302" t="str">
        <f>"2298"</f>
        <v>2298</v>
      </c>
      <c r="B2302" t="str">
        <f t="shared" si="128"/>
        <v>1</v>
      </c>
      <c r="C2302" t="str">
        <f t="shared" si="127"/>
        <v>46</v>
      </c>
      <c r="D2302" t="str">
        <f>"2"</f>
        <v>2</v>
      </c>
      <c r="E2302" t="str">
        <f>"1-46-2"</f>
        <v>1-46-2</v>
      </c>
      <c r="F2302" t="s">
        <v>65</v>
      </c>
      <c r="G2302" t="s">
        <v>66</v>
      </c>
      <c r="H2302" t="s">
        <v>68</v>
      </c>
      <c r="I2302">
        <v>1</v>
      </c>
      <c r="J2302">
        <v>0</v>
      </c>
      <c r="K2302">
        <v>0</v>
      </c>
      <c r="L2302">
        <v>1</v>
      </c>
      <c r="M2302">
        <v>1</v>
      </c>
      <c r="N2302">
        <v>1</v>
      </c>
      <c r="O2302">
        <v>1</v>
      </c>
      <c r="P2302">
        <v>1</v>
      </c>
      <c r="Q2302">
        <v>1</v>
      </c>
      <c r="R2302">
        <v>1</v>
      </c>
    </row>
    <row r="2303" spans="1:39" x14ac:dyDescent="0.2">
      <c r="A2303" t="str">
        <f>"2299"</f>
        <v>2299</v>
      </c>
      <c r="B2303" t="str">
        <f t="shared" si="128"/>
        <v>1</v>
      </c>
      <c r="C2303" t="str">
        <f t="shared" si="127"/>
        <v>46</v>
      </c>
      <c r="D2303" t="str">
        <f>"33"</f>
        <v>33</v>
      </c>
      <c r="E2303" t="str">
        <f>"1-46-33"</f>
        <v>1-46-33</v>
      </c>
      <c r="F2303" t="s">
        <v>65</v>
      </c>
      <c r="G2303" t="s">
        <v>66</v>
      </c>
      <c r="H2303" t="s">
        <v>67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1</v>
      </c>
      <c r="Y2303">
        <v>0</v>
      </c>
      <c r="Z2303">
        <v>1</v>
      </c>
      <c r="AA2303">
        <v>0</v>
      </c>
      <c r="AB2303">
        <v>0</v>
      </c>
      <c r="AC2303">
        <v>1</v>
      </c>
      <c r="AD2303">
        <v>1</v>
      </c>
      <c r="AE2303">
        <v>1</v>
      </c>
      <c r="AF2303">
        <v>1</v>
      </c>
      <c r="AG2303">
        <v>1</v>
      </c>
      <c r="AH2303">
        <v>1</v>
      </c>
      <c r="AI2303">
        <v>1</v>
      </c>
      <c r="AJ2303">
        <v>1</v>
      </c>
      <c r="AK2303">
        <v>1</v>
      </c>
      <c r="AL2303">
        <v>1</v>
      </c>
      <c r="AM2303">
        <v>1</v>
      </c>
    </row>
    <row r="2304" spans="1:39" x14ac:dyDescent="0.2">
      <c r="A2304" t="str">
        <f>"2300"</f>
        <v>2300</v>
      </c>
      <c r="B2304" t="str">
        <f t="shared" si="128"/>
        <v>1</v>
      </c>
      <c r="C2304" t="str">
        <f t="shared" si="127"/>
        <v>46</v>
      </c>
      <c r="D2304" t="str">
        <f>"1"</f>
        <v>1</v>
      </c>
      <c r="E2304" t="str">
        <f>"1-46-1"</f>
        <v>1-46-1</v>
      </c>
      <c r="F2304" t="s">
        <v>65</v>
      </c>
      <c r="G2304" t="s">
        <v>66</v>
      </c>
      <c r="H2304" t="s">
        <v>68</v>
      </c>
      <c r="I2304">
        <v>1</v>
      </c>
      <c r="J2304">
        <v>0</v>
      </c>
      <c r="K2304">
        <v>1</v>
      </c>
      <c r="L2304">
        <v>0</v>
      </c>
      <c r="M2304">
        <v>1</v>
      </c>
      <c r="N2304">
        <v>1</v>
      </c>
      <c r="O2304">
        <v>1</v>
      </c>
      <c r="P2304">
        <v>1</v>
      </c>
      <c r="Q2304">
        <v>1</v>
      </c>
      <c r="R2304">
        <v>1</v>
      </c>
    </row>
    <row r="2305" spans="1:39" x14ac:dyDescent="0.2">
      <c r="A2305" t="str">
        <f>"2301"</f>
        <v>2301</v>
      </c>
      <c r="B2305" t="str">
        <f t="shared" si="128"/>
        <v>1</v>
      </c>
      <c r="C2305" t="str">
        <f t="shared" ref="C2305:C2336" si="129">"47"</f>
        <v>47</v>
      </c>
      <c r="D2305" t="str">
        <f>"40"</f>
        <v>40</v>
      </c>
      <c r="E2305" t="str">
        <f>"1-47-40"</f>
        <v>1-47-40</v>
      </c>
      <c r="F2305" t="s">
        <v>65</v>
      </c>
      <c r="G2305" t="s">
        <v>66</v>
      </c>
      <c r="H2305" t="s">
        <v>67</v>
      </c>
      <c r="S2305">
        <v>0</v>
      </c>
      <c r="T2305">
        <v>1</v>
      </c>
      <c r="U2305">
        <v>0</v>
      </c>
      <c r="V2305">
        <v>0</v>
      </c>
      <c r="W2305">
        <v>1</v>
      </c>
      <c r="X2305">
        <v>0</v>
      </c>
      <c r="Y2305">
        <v>1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1</v>
      </c>
      <c r="AF2305">
        <v>1</v>
      </c>
      <c r="AG2305">
        <v>1</v>
      </c>
      <c r="AH2305">
        <v>1</v>
      </c>
      <c r="AI2305">
        <v>1</v>
      </c>
      <c r="AJ2305">
        <v>1</v>
      </c>
      <c r="AK2305">
        <v>1</v>
      </c>
      <c r="AL2305">
        <v>1</v>
      </c>
      <c r="AM2305">
        <v>1</v>
      </c>
    </row>
    <row r="2306" spans="1:39" x14ac:dyDescent="0.2">
      <c r="A2306" t="str">
        <f>"2302"</f>
        <v>2302</v>
      </c>
      <c r="B2306" t="str">
        <f t="shared" si="128"/>
        <v>1</v>
      </c>
      <c r="C2306" t="str">
        <f t="shared" si="129"/>
        <v>47</v>
      </c>
      <c r="D2306" t="str">
        <f>"39"</f>
        <v>39</v>
      </c>
      <c r="E2306" t="str">
        <f>"1-47-39"</f>
        <v>1-47-39</v>
      </c>
      <c r="F2306" t="s">
        <v>65</v>
      </c>
      <c r="G2306" t="s">
        <v>66</v>
      </c>
      <c r="H2306" t="s">
        <v>67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1</v>
      </c>
      <c r="AI2306">
        <v>1</v>
      </c>
      <c r="AJ2306">
        <v>1</v>
      </c>
      <c r="AK2306">
        <v>0</v>
      </c>
      <c r="AL2306">
        <v>1</v>
      </c>
      <c r="AM2306">
        <v>0</v>
      </c>
    </row>
    <row r="2307" spans="1:39" x14ac:dyDescent="0.2">
      <c r="A2307" t="str">
        <f>"2303"</f>
        <v>2303</v>
      </c>
      <c r="B2307" t="str">
        <f t="shared" si="128"/>
        <v>1</v>
      </c>
      <c r="C2307" t="str">
        <f t="shared" si="129"/>
        <v>47</v>
      </c>
      <c r="D2307" t="str">
        <f>"23"</f>
        <v>23</v>
      </c>
      <c r="E2307" t="str">
        <f>"1-47-23"</f>
        <v>1-47-23</v>
      </c>
      <c r="F2307" t="s">
        <v>65</v>
      </c>
      <c r="G2307" t="s">
        <v>66</v>
      </c>
      <c r="H2307" t="s">
        <v>67</v>
      </c>
      <c r="S2307">
        <v>0</v>
      </c>
      <c r="T2307">
        <v>1</v>
      </c>
      <c r="U2307">
        <v>0</v>
      </c>
      <c r="V2307">
        <v>0</v>
      </c>
      <c r="W2307">
        <v>0</v>
      </c>
      <c r="X2307">
        <v>1</v>
      </c>
      <c r="Y2307">
        <v>0</v>
      </c>
      <c r="Z2307">
        <v>1</v>
      </c>
      <c r="AA2307">
        <v>1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</row>
    <row r="2308" spans="1:39" x14ac:dyDescent="0.2">
      <c r="A2308" t="str">
        <f>"2304"</f>
        <v>2304</v>
      </c>
      <c r="B2308" t="str">
        <f t="shared" si="128"/>
        <v>1</v>
      </c>
      <c r="C2308" t="str">
        <f t="shared" si="129"/>
        <v>47</v>
      </c>
      <c r="D2308" t="str">
        <f>"22"</f>
        <v>22</v>
      </c>
      <c r="E2308" t="str">
        <f>"1-47-22"</f>
        <v>1-47-22</v>
      </c>
      <c r="F2308" t="s">
        <v>65</v>
      </c>
      <c r="G2308" t="s">
        <v>66</v>
      </c>
      <c r="H2308" t="s">
        <v>67</v>
      </c>
      <c r="S2308">
        <v>1</v>
      </c>
      <c r="T2308">
        <v>0</v>
      </c>
      <c r="U2308">
        <v>0</v>
      </c>
      <c r="V2308">
        <v>0</v>
      </c>
      <c r="W2308">
        <v>1</v>
      </c>
      <c r="X2308">
        <v>0</v>
      </c>
      <c r="Y2308">
        <v>1</v>
      </c>
      <c r="Z2308">
        <v>0</v>
      </c>
      <c r="AA2308">
        <v>0</v>
      </c>
      <c r="AB2308">
        <v>1</v>
      </c>
      <c r="AC2308">
        <v>0</v>
      </c>
      <c r="AD2308">
        <v>1</v>
      </c>
      <c r="AE2308">
        <v>1</v>
      </c>
      <c r="AF2308">
        <v>1</v>
      </c>
      <c r="AG2308">
        <v>1</v>
      </c>
      <c r="AH2308">
        <v>1</v>
      </c>
      <c r="AI2308">
        <v>1</v>
      </c>
      <c r="AJ2308">
        <v>1</v>
      </c>
      <c r="AK2308">
        <v>1</v>
      </c>
      <c r="AL2308">
        <v>1</v>
      </c>
      <c r="AM2308">
        <v>1</v>
      </c>
    </row>
    <row r="2309" spans="1:39" x14ac:dyDescent="0.2">
      <c r="A2309" t="str">
        <f>"2305"</f>
        <v>2305</v>
      </c>
      <c r="B2309" t="str">
        <f t="shared" si="128"/>
        <v>1</v>
      </c>
      <c r="C2309" t="str">
        <f t="shared" si="129"/>
        <v>47</v>
      </c>
      <c r="D2309" t="str">
        <f>"20"</f>
        <v>20</v>
      </c>
      <c r="E2309" t="str">
        <f>"1-47-20"</f>
        <v>1-47-20</v>
      </c>
      <c r="F2309" t="s">
        <v>65</v>
      </c>
      <c r="G2309" t="s">
        <v>66</v>
      </c>
      <c r="H2309" t="s">
        <v>67</v>
      </c>
      <c r="S2309">
        <v>1</v>
      </c>
      <c r="T2309">
        <v>0</v>
      </c>
      <c r="U2309">
        <v>0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0</v>
      </c>
      <c r="AB2309">
        <v>1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</row>
    <row r="2310" spans="1:39" x14ac:dyDescent="0.2">
      <c r="A2310" t="str">
        <f>"2306"</f>
        <v>2306</v>
      </c>
      <c r="B2310" t="str">
        <f t="shared" si="128"/>
        <v>1</v>
      </c>
      <c r="C2310" t="str">
        <f t="shared" si="129"/>
        <v>47</v>
      </c>
      <c r="D2310" t="str">
        <f>"15"</f>
        <v>15</v>
      </c>
      <c r="E2310" t="str">
        <f>"1-47-15"</f>
        <v>1-47-15</v>
      </c>
      <c r="F2310" t="s">
        <v>65</v>
      </c>
      <c r="G2310" t="s">
        <v>66</v>
      </c>
      <c r="H2310" t="s">
        <v>67</v>
      </c>
      <c r="S2310">
        <v>0</v>
      </c>
      <c r="T2310">
        <v>1</v>
      </c>
      <c r="U2310">
        <v>0</v>
      </c>
      <c r="V2310">
        <v>0</v>
      </c>
      <c r="W2310">
        <v>0</v>
      </c>
      <c r="X2310">
        <v>1</v>
      </c>
      <c r="Y2310">
        <v>1</v>
      </c>
      <c r="Z2310">
        <v>0</v>
      </c>
      <c r="AA2310">
        <v>0</v>
      </c>
      <c r="AB2310">
        <v>1</v>
      </c>
      <c r="AC2310">
        <v>0</v>
      </c>
      <c r="AD2310">
        <v>1</v>
      </c>
      <c r="AE2310">
        <v>1</v>
      </c>
      <c r="AF2310">
        <v>0</v>
      </c>
      <c r="AG2310">
        <v>1</v>
      </c>
      <c r="AH2310">
        <v>1</v>
      </c>
      <c r="AI2310">
        <v>1</v>
      </c>
      <c r="AJ2310">
        <v>0</v>
      </c>
      <c r="AK2310">
        <v>1</v>
      </c>
      <c r="AL2310">
        <v>0</v>
      </c>
      <c r="AM2310">
        <v>1</v>
      </c>
    </row>
    <row r="2311" spans="1:39" x14ac:dyDescent="0.2">
      <c r="A2311" t="str">
        <f>"2307"</f>
        <v>2307</v>
      </c>
      <c r="B2311" t="str">
        <f t="shared" si="128"/>
        <v>1</v>
      </c>
      <c r="C2311" t="str">
        <f t="shared" si="129"/>
        <v>47</v>
      </c>
      <c r="D2311" t="str">
        <f>"3"</f>
        <v>3</v>
      </c>
      <c r="E2311" t="str">
        <f>"1-47-3"</f>
        <v>1-47-3</v>
      </c>
      <c r="F2311" t="s">
        <v>65</v>
      </c>
      <c r="G2311" t="s">
        <v>66</v>
      </c>
      <c r="H2311" t="s">
        <v>67</v>
      </c>
      <c r="S2311">
        <v>1</v>
      </c>
      <c r="T2311">
        <v>0</v>
      </c>
      <c r="U2311">
        <v>0</v>
      </c>
      <c r="V2311">
        <v>0</v>
      </c>
      <c r="W2311">
        <v>0</v>
      </c>
      <c r="X2311">
        <v>1</v>
      </c>
      <c r="Y2311">
        <v>0</v>
      </c>
      <c r="Z2311">
        <v>1</v>
      </c>
      <c r="AA2311">
        <v>0</v>
      </c>
      <c r="AB2311">
        <v>0</v>
      </c>
      <c r="AC2311">
        <v>1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</row>
    <row r="2312" spans="1:39" x14ac:dyDescent="0.2">
      <c r="A2312" t="str">
        <f>"2308"</f>
        <v>2308</v>
      </c>
      <c r="B2312" t="str">
        <f t="shared" si="128"/>
        <v>1</v>
      </c>
      <c r="C2312" t="str">
        <f t="shared" si="129"/>
        <v>47</v>
      </c>
      <c r="D2312" t="str">
        <f>"42"</f>
        <v>42</v>
      </c>
      <c r="E2312" t="str">
        <f>"1-47-42"</f>
        <v>1-47-42</v>
      </c>
      <c r="F2312" t="s">
        <v>65</v>
      </c>
      <c r="G2312" t="s">
        <v>66</v>
      </c>
      <c r="H2312" t="s">
        <v>67</v>
      </c>
      <c r="S2312">
        <v>0</v>
      </c>
      <c r="T2312">
        <v>1</v>
      </c>
      <c r="U2312">
        <v>0</v>
      </c>
      <c r="V2312">
        <v>0</v>
      </c>
      <c r="W2312">
        <v>1</v>
      </c>
      <c r="X2312">
        <v>0</v>
      </c>
      <c r="Y2312">
        <v>0</v>
      </c>
      <c r="Z2312">
        <v>1</v>
      </c>
      <c r="AA2312">
        <v>0</v>
      </c>
      <c r="AB2312">
        <v>0</v>
      </c>
      <c r="AC2312">
        <v>1</v>
      </c>
      <c r="AD2312">
        <v>1</v>
      </c>
      <c r="AE2312">
        <v>1</v>
      </c>
      <c r="AF2312">
        <v>1</v>
      </c>
      <c r="AG2312">
        <v>1</v>
      </c>
      <c r="AH2312">
        <v>1</v>
      </c>
      <c r="AI2312">
        <v>1</v>
      </c>
      <c r="AJ2312">
        <v>1</v>
      </c>
      <c r="AK2312">
        <v>1</v>
      </c>
      <c r="AL2312">
        <v>1</v>
      </c>
      <c r="AM2312">
        <v>1</v>
      </c>
    </row>
    <row r="2313" spans="1:39" x14ac:dyDescent="0.2">
      <c r="A2313" t="str">
        <f>"2309"</f>
        <v>2309</v>
      </c>
      <c r="B2313" t="str">
        <f t="shared" si="128"/>
        <v>1</v>
      </c>
      <c r="C2313" t="str">
        <f t="shared" si="129"/>
        <v>47</v>
      </c>
      <c r="D2313" t="str">
        <f>"41"</f>
        <v>41</v>
      </c>
      <c r="E2313" t="str">
        <f>"1-47-41"</f>
        <v>1-47-41</v>
      </c>
      <c r="F2313" t="s">
        <v>65</v>
      </c>
      <c r="G2313" t="s">
        <v>66</v>
      </c>
      <c r="H2313" t="s">
        <v>67</v>
      </c>
      <c r="S2313">
        <v>1</v>
      </c>
      <c r="T2313">
        <v>0</v>
      </c>
      <c r="U2313">
        <v>0</v>
      </c>
      <c r="V2313">
        <v>0</v>
      </c>
      <c r="W2313">
        <v>1</v>
      </c>
      <c r="X2313">
        <v>0</v>
      </c>
      <c r="Y2313">
        <v>1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1</v>
      </c>
      <c r="AF2313">
        <v>1</v>
      </c>
      <c r="AG2313">
        <v>1</v>
      </c>
      <c r="AH2313">
        <v>1</v>
      </c>
      <c r="AI2313">
        <v>1</v>
      </c>
      <c r="AJ2313">
        <v>1</v>
      </c>
      <c r="AK2313">
        <v>1</v>
      </c>
      <c r="AL2313">
        <v>1</v>
      </c>
      <c r="AM2313">
        <v>1</v>
      </c>
    </row>
    <row r="2314" spans="1:39" x14ac:dyDescent="0.2">
      <c r="A2314" t="str">
        <f>"2310"</f>
        <v>2310</v>
      </c>
      <c r="B2314" t="str">
        <f t="shared" si="128"/>
        <v>1</v>
      </c>
      <c r="C2314" t="str">
        <f t="shared" si="129"/>
        <v>47</v>
      </c>
      <c r="D2314" t="str">
        <f>"30"</f>
        <v>30</v>
      </c>
      <c r="E2314" t="str">
        <f>"1-47-30"</f>
        <v>1-47-30</v>
      </c>
      <c r="F2314" t="s">
        <v>65</v>
      </c>
      <c r="G2314" t="s">
        <v>66</v>
      </c>
      <c r="H2314" t="s">
        <v>67</v>
      </c>
      <c r="S2314">
        <v>0</v>
      </c>
      <c r="T2314">
        <v>0</v>
      </c>
      <c r="U2314">
        <v>0</v>
      </c>
      <c r="V2314">
        <v>0</v>
      </c>
      <c r="W2314">
        <v>1</v>
      </c>
      <c r="X2314">
        <v>0</v>
      </c>
      <c r="Y2314">
        <v>1</v>
      </c>
      <c r="Z2314">
        <v>0</v>
      </c>
      <c r="AA2314">
        <v>1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1</v>
      </c>
      <c r="AH2314">
        <v>1</v>
      </c>
      <c r="AI2314">
        <v>0</v>
      </c>
      <c r="AJ2314">
        <v>1</v>
      </c>
      <c r="AK2314">
        <v>1</v>
      </c>
      <c r="AL2314">
        <v>1</v>
      </c>
      <c r="AM2314">
        <v>1</v>
      </c>
    </row>
    <row r="2315" spans="1:39" x14ac:dyDescent="0.2">
      <c r="A2315" t="str">
        <f>"2311"</f>
        <v>2311</v>
      </c>
      <c r="B2315" t="str">
        <f t="shared" si="128"/>
        <v>1</v>
      </c>
      <c r="C2315" t="str">
        <f t="shared" si="129"/>
        <v>47</v>
      </c>
      <c r="D2315" t="str">
        <f>"8"</f>
        <v>8</v>
      </c>
      <c r="E2315" t="str">
        <f>"1-47-8"</f>
        <v>1-47-8</v>
      </c>
      <c r="F2315" t="s">
        <v>65</v>
      </c>
      <c r="G2315" t="s">
        <v>66</v>
      </c>
      <c r="H2315" t="s">
        <v>67</v>
      </c>
      <c r="S2315">
        <v>1</v>
      </c>
      <c r="T2315">
        <v>0</v>
      </c>
      <c r="U2315">
        <v>0</v>
      </c>
      <c r="V2315">
        <v>0</v>
      </c>
      <c r="W2315">
        <v>0</v>
      </c>
      <c r="X2315">
        <v>1</v>
      </c>
      <c r="Y2315">
        <v>0</v>
      </c>
      <c r="Z2315">
        <v>1</v>
      </c>
      <c r="AA2315">
        <v>0</v>
      </c>
      <c r="AB2315">
        <v>1</v>
      </c>
      <c r="AC2315">
        <v>0</v>
      </c>
      <c r="AD2315">
        <v>1</v>
      </c>
      <c r="AE2315">
        <v>1</v>
      </c>
      <c r="AF2315">
        <v>1</v>
      </c>
      <c r="AG2315">
        <v>1</v>
      </c>
      <c r="AH2315">
        <v>1</v>
      </c>
      <c r="AI2315">
        <v>1</v>
      </c>
      <c r="AJ2315">
        <v>1</v>
      </c>
      <c r="AK2315">
        <v>1</v>
      </c>
      <c r="AL2315">
        <v>1</v>
      </c>
      <c r="AM2315">
        <v>1</v>
      </c>
    </row>
    <row r="2316" spans="1:39" x14ac:dyDescent="0.2">
      <c r="A2316" t="str">
        <f>"2312"</f>
        <v>2312</v>
      </c>
      <c r="B2316" t="str">
        <f t="shared" si="128"/>
        <v>1</v>
      </c>
      <c r="C2316" t="str">
        <f t="shared" si="129"/>
        <v>47</v>
      </c>
      <c r="D2316" t="str">
        <f>"38"</f>
        <v>38</v>
      </c>
      <c r="E2316" t="str">
        <f>"1-47-38"</f>
        <v>1-47-38</v>
      </c>
      <c r="F2316" t="s">
        <v>65</v>
      </c>
      <c r="G2316" t="s">
        <v>66</v>
      </c>
      <c r="H2316" t="s">
        <v>67</v>
      </c>
      <c r="S2316">
        <v>1</v>
      </c>
      <c r="T2316">
        <v>0</v>
      </c>
      <c r="U2316">
        <v>0</v>
      </c>
      <c r="V2316">
        <v>0</v>
      </c>
      <c r="W2316">
        <v>0</v>
      </c>
      <c r="X2316">
        <v>1</v>
      </c>
      <c r="Y2316">
        <v>0</v>
      </c>
      <c r="Z2316">
        <v>1</v>
      </c>
      <c r="AA2316">
        <v>1</v>
      </c>
      <c r="AB2316">
        <v>0</v>
      </c>
      <c r="AC2316">
        <v>0</v>
      </c>
      <c r="AD2316">
        <v>1</v>
      </c>
      <c r="AE2316">
        <v>1</v>
      </c>
      <c r="AF2316">
        <v>1</v>
      </c>
      <c r="AG2316">
        <v>1</v>
      </c>
      <c r="AH2316">
        <v>1</v>
      </c>
      <c r="AI2316">
        <v>1</v>
      </c>
      <c r="AJ2316">
        <v>1</v>
      </c>
      <c r="AK2316">
        <v>1</v>
      </c>
      <c r="AL2316">
        <v>1</v>
      </c>
      <c r="AM2316">
        <v>1</v>
      </c>
    </row>
    <row r="2317" spans="1:39" x14ac:dyDescent="0.2">
      <c r="A2317" t="str">
        <f>"2313"</f>
        <v>2313</v>
      </c>
      <c r="B2317" t="str">
        <f t="shared" si="128"/>
        <v>1</v>
      </c>
      <c r="C2317" t="str">
        <f t="shared" si="129"/>
        <v>47</v>
      </c>
      <c r="D2317" t="str">
        <f>"37"</f>
        <v>37</v>
      </c>
      <c r="E2317" t="str">
        <f>"1-47-37"</f>
        <v>1-47-37</v>
      </c>
      <c r="F2317" t="s">
        <v>65</v>
      </c>
      <c r="G2317" t="s">
        <v>66</v>
      </c>
      <c r="H2317" t="s">
        <v>67</v>
      </c>
      <c r="S2317">
        <v>0</v>
      </c>
      <c r="T2317">
        <v>1</v>
      </c>
      <c r="U2317">
        <v>0</v>
      </c>
      <c r="V2317">
        <v>0</v>
      </c>
      <c r="W2317">
        <v>1</v>
      </c>
      <c r="X2317">
        <v>0</v>
      </c>
      <c r="Y2317">
        <v>0</v>
      </c>
      <c r="Z2317">
        <v>1</v>
      </c>
      <c r="AA2317">
        <v>1</v>
      </c>
      <c r="AB2317">
        <v>0</v>
      </c>
      <c r="AC2317">
        <v>0</v>
      </c>
      <c r="AD2317">
        <v>1</v>
      </c>
      <c r="AE2317">
        <v>1</v>
      </c>
      <c r="AF2317">
        <v>1</v>
      </c>
      <c r="AG2317">
        <v>1</v>
      </c>
      <c r="AH2317">
        <v>1</v>
      </c>
      <c r="AI2317">
        <v>1</v>
      </c>
      <c r="AJ2317">
        <v>1</v>
      </c>
      <c r="AK2317">
        <v>1</v>
      </c>
      <c r="AL2317">
        <v>1</v>
      </c>
      <c r="AM2317">
        <v>1</v>
      </c>
    </row>
    <row r="2318" spans="1:39" x14ac:dyDescent="0.2">
      <c r="A2318" t="str">
        <f>"2314"</f>
        <v>2314</v>
      </c>
      <c r="B2318" t="str">
        <f t="shared" si="128"/>
        <v>1</v>
      </c>
      <c r="C2318" t="str">
        <f t="shared" si="129"/>
        <v>47</v>
      </c>
      <c r="D2318" t="str">
        <f>"31"</f>
        <v>31</v>
      </c>
      <c r="E2318" t="str">
        <f>"1-47-31"</f>
        <v>1-47-31</v>
      </c>
      <c r="F2318" t="s">
        <v>65</v>
      </c>
      <c r="G2318" t="s">
        <v>66</v>
      </c>
      <c r="H2318" t="s">
        <v>67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1</v>
      </c>
      <c r="Y2318">
        <v>0</v>
      </c>
      <c r="Z2318">
        <v>1</v>
      </c>
      <c r="AA2318">
        <v>0</v>
      </c>
      <c r="AB2318">
        <v>0</v>
      </c>
      <c r="AC2318">
        <v>1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</row>
    <row r="2319" spans="1:39" x14ac:dyDescent="0.2">
      <c r="A2319" t="str">
        <f>"2315"</f>
        <v>2315</v>
      </c>
      <c r="B2319" t="str">
        <f t="shared" si="128"/>
        <v>1</v>
      </c>
      <c r="C2319" t="str">
        <f t="shared" si="129"/>
        <v>47</v>
      </c>
      <c r="D2319" t="str">
        <f>"17"</f>
        <v>17</v>
      </c>
      <c r="E2319" t="str">
        <f>"1-47-17"</f>
        <v>1-47-17</v>
      </c>
      <c r="F2319" t="s">
        <v>65</v>
      </c>
      <c r="G2319" t="s">
        <v>66</v>
      </c>
      <c r="H2319" t="s">
        <v>67</v>
      </c>
      <c r="S2319">
        <v>1</v>
      </c>
      <c r="T2319">
        <v>0</v>
      </c>
      <c r="U2319">
        <v>0</v>
      </c>
      <c r="V2319">
        <v>0</v>
      </c>
      <c r="W2319">
        <v>0</v>
      </c>
      <c r="X2319">
        <v>1</v>
      </c>
      <c r="Y2319">
        <v>1</v>
      </c>
      <c r="Z2319">
        <v>0</v>
      </c>
      <c r="AA2319">
        <v>0</v>
      </c>
      <c r="AB2319">
        <v>1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</row>
    <row r="2320" spans="1:39" x14ac:dyDescent="0.2">
      <c r="A2320" t="str">
        <f>"2316"</f>
        <v>2316</v>
      </c>
      <c r="B2320" t="str">
        <f t="shared" si="128"/>
        <v>1</v>
      </c>
      <c r="C2320" t="str">
        <f t="shared" si="129"/>
        <v>47</v>
      </c>
      <c r="D2320" t="str">
        <f>"5"</f>
        <v>5</v>
      </c>
      <c r="E2320" t="str">
        <f>"1-47-5"</f>
        <v>1-47-5</v>
      </c>
      <c r="F2320" t="s">
        <v>65</v>
      </c>
      <c r="G2320" t="s">
        <v>66</v>
      </c>
      <c r="H2320" t="s">
        <v>67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1</v>
      </c>
      <c r="Y2320">
        <v>0</v>
      </c>
      <c r="Z2320">
        <v>1</v>
      </c>
      <c r="AA2320">
        <v>0</v>
      </c>
      <c r="AB2320">
        <v>1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</row>
    <row r="2321" spans="1:39" x14ac:dyDescent="0.2">
      <c r="A2321" t="str">
        <f>"2317"</f>
        <v>2317</v>
      </c>
      <c r="B2321" t="str">
        <f t="shared" si="128"/>
        <v>1</v>
      </c>
      <c r="C2321" t="str">
        <f t="shared" si="129"/>
        <v>47</v>
      </c>
      <c r="D2321" t="str">
        <f>"46"</f>
        <v>46</v>
      </c>
      <c r="E2321" t="str">
        <f>"1-47-46"</f>
        <v>1-47-46</v>
      </c>
      <c r="F2321" t="s">
        <v>65</v>
      </c>
      <c r="G2321" t="s">
        <v>66</v>
      </c>
      <c r="H2321" t="s">
        <v>67</v>
      </c>
      <c r="S2321">
        <v>0</v>
      </c>
      <c r="T2321">
        <v>1</v>
      </c>
      <c r="U2321">
        <v>0</v>
      </c>
      <c r="V2321">
        <v>0</v>
      </c>
      <c r="W2321">
        <v>1</v>
      </c>
      <c r="X2321">
        <v>0</v>
      </c>
      <c r="Y2321">
        <v>0</v>
      </c>
      <c r="Z2321">
        <v>1</v>
      </c>
      <c r="AA2321">
        <v>0</v>
      </c>
      <c r="AB2321">
        <v>0</v>
      </c>
      <c r="AC2321">
        <v>1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</row>
    <row r="2322" spans="1:39" x14ac:dyDescent="0.2">
      <c r="A2322" t="str">
        <f>"2318"</f>
        <v>2318</v>
      </c>
      <c r="B2322" t="str">
        <f t="shared" si="128"/>
        <v>1</v>
      </c>
      <c r="C2322" t="str">
        <f t="shared" si="129"/>
        <v>47</v>
      </c>
      <c r="D2322" t="str">
        <f>"33"</f>
        <v>33</v>
      </c>
      <c r="E2322" t="str">
        <f>"1-47-33"</f>
        <v>1-47-33</v>
      </c>
      <c r="F2322" t="s">
        <v>65</v>
      </c>
      <c r="G2322" t="s">
        <v>66</v>
      </c>
      <c r="H2322" t="s">
        <v>67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</row>
    <row r="2323" spans="1:39" x14ac:dyDescent="0.2">
      <c r="A2323" t="str">
        <f>"2319"</f>
        <v>2319</v>
      </c>
      <c r="B2323" t="str">
        <f t="shared" si="128"/>
        <v>1</v>
      </c>
      <c r="C2323" t="str">
        <f t="shared" si="129"/>
        <v>47</v>
      </c>
      <c r="D2323" t="str">
        <f>"2"</f>
        <v>2</v>
      </c>
      <c r="E2323" t="str">
        <f>"1-47-2"</f>
        <v>1-47-2</v>
      </c>
      <c r="F2323" t="s">
        <v>65</v>
      </c>
      <c r="G2323" t="s">
        <v>66</v>
      </c>
      <c r="H2323" t="s">
        <v>67</v>
      </c>
      <c r="S2323">
        <v>1</v>
      </c>
      <c r="T2323">
        <v>0</v>
      </c>
      <c r="U2323">
        <v>0</v>
      </c>
      <c r="V2323">
        <v>0</v>
      </c>
      <c r="W2323">
        <v>0</v>
      </c>
      <c r="X2323">
        <v>1</v>
      </c>
      <c r="Y2323">
        <v>0</v>
      </c>
      <c r="Z2323">
        <v>1</v>
      </c>
      <c r="AA2323">
        <v>0</v>
      </c>
      <c r="AB2323">
        <v>1</v>
      </c>
      <c r="AC2323">
        <v>0</v>
      </c>
      <c r="AD2323">
        <v>1</v>
      </c>
      <c r="AE2323">
        <v>1</v>
      </c>
      <c r="AF2323">
        <v>1</v>
      </c>
      <c r="AG2323">
        <v>1</v>
      </c>
      <c r="AH2323">
        <v>1</v>
      </c>
      <c r="AI2323">
        <v>1</v>
      </c>
      <c r="AJ2323">
        <v>1</v>
      </c>
      <c r="AK2323">
        <v>1</v>
      </c>
      <c r="AL2323">
        <v>1</v>
      </c>
      <c r="AM2323">
        <v>1</v>
      </c>
    </row>
    <row r="2324" spans="1:39" x14ac:dyDescent="0.2">
      <c r="A2324" t="str">
        <f>"2320"</f>
        <v>2320</v>
      </c>
      <c r="B2324" t="str">
        <f t="shared" si="128"/>
        <v>1</v>
      </c>
      <c r="C2324" t="str">
        <f t="shared" si="129"/>
        <v>47</v>
      </c>
      <c r="D2324" t="str">
        <f>"44"</f>
        <v>44</v>
      </c>
      <c r="E2324" t="str">
        <f>"1-47-44"</f>
        <v>1-47-44</v>
      </c>
      <c r="F2324" t="s">
        <v>65</v>
      </c>
      <c r="G2324" t="s">
        <v>66</v>
      </c>
      <c r="H2324" t="s">
        <v>67</v>
      </c>
      <c r="S2324">
        <v>0</v>
      </c>
      <c r="T2324">
        <v>1</v>
      </c>
      <c r="U2324">
        <v>0</v>
      </c>
      <c r="V2324">
        <v>0</v>
      </c>
      <c r="W2324">
        <v>0</v>
      </c>
      <c r="X2324">
        <v>1</v>
      </c>
      <c r="Y2324">
        <v>1</v>
      </c>
      <c r="Z2324">
        <v>0</v>
      </c>
      <c r="AA2324">
        <v>0</v>
      </c>
      <c r="AB2324">
        <v>0</v>
      </c>
      <c r="AC2324">
        <v>1</v>
      </c>
      <c r="AD2324">
        <v>1</v>
      </c>
      <c r="AE2324">
        <v>1</v>
      </c>
      <c r="AF2324">
        <v>1</v>
      </c>
      <c r="AG2324">
        <v>1</v>
      </c>
      <c r="AH2324">
        <v>1</v>
      </c>
      <c r="AI2324">
        <v>1</v>
      </c>
      <c r="AJ2324">
        <v>1</v>
      </c>
      <c r="AK2324">
        <v>1</v>
      </c>
      <c r="AL2324">
        <v>1</v>
      </c>
      <c r="AM2324">
        <v>1</v>
      </c>
    </row>
    <row r="2325" spans="1:39" x14ac:dyDescent="0.2">
      <c r="A2325" t="str">
        <f>"2321"</f>
        <v>2321</v>
      </c>
      <c r="B2325" t="str">
        <f t="shared" si="128"/>
        <v>1</v>
      </c>
      <c r="C2325" t="str">
        <f t="shared" si="129"/>
        <v>47</v>
      </c>
      <c r="D2325" t="str">
        <f>"43"</f>
        <v>43</v>
      </c>
      <c r="E2325" t="str">
        <f>"1-47-43"</f>
        <v>1-47-43</v>
      </c>
      <c r="F2325" t="s">
        <v>65</v>
      </c>
      <c r="G2325" t="s">
        <v>66</v>
      </c>
      <c r="H2325" t="s">
        <v>67</v>
      </c>
      <c r="S2325">
        <v>1</v>
      </c>
      <c r="T2325">
        <v>0</v>
      </c>
      <c r="U2325">
        <v>0</v>
      </c>
      <c r="V2325">
        <v>0</v>
      </c>
      <c r="W2325">
        <v>1</v>
      </c>
      <c r="X2325">
        <v>0</v>
      </c>
      <c r="Y2325">
        <v>1</v>
      </c>
      <c r="Z2325">
        <v>0</v>
      </c>
      <c r="AA2325">
        <v>0</v>
      </c>
      <c r="AB2325">
        <v>0</v>
      </c>
      <c r="AC2325">
        <v>1</v>
      </c>
      <c r="AD2325">
        <v>1</v>
      </c>
      <c r="AE2325">
        <v>1</v>
      </c>
      <c r="AF2325">
        <v>1</v>
      </c>
      <c r="AG2325">
        <v>1</v>
      </c>
      <c r="AH2325">
        <v>1</v>
      </c>
      <c r="AI2325">
        <v>1</v>
      </c>
      <c r="AJ2325">
        <v>1</v>
      </c>
      <c r="AK2325">
        <v>1</v>
      </c>
      <c r="AL2325">
        <v>1</v>
      </c>
      <c r="AM2325">
        <v>1</v>
      </c>
    </row>
    <row r="2326" spans="1:39" x14ac:dyDescent="0.2">
      <c r="A2326" t="str">
        <f>"2322"</f>
        <v>2322</v>
      </c>
      <c r="B2326" t="str">
        <f t="shared" si="128"/>
        <v>1</v>
      </c>
      <c r="C2326" t="str">
        <f t="shared" si="129"/>
        <v>47</v>
      </c>
      <c r="D2326" t="str">
        <f>"35"</f>
        <v>35</v>
      </c>
      <c r="E2326" t="str">
        <f>"1-47-35"</f>
        <v>1-47-35</v>
      </c>
      <c r="F2326" t="s">
        <v>65</v>
      </c>
      <c r="G2326" t="s">
        <v>66</v>
      </c>
      <c r="H2326" t="s">
        <v>67</v>
      </c>
      <c r="S2326">
        <v>1</v>
      </c>
      <c r="T2326">
        <v>0</v>
      </c>
      <c r="U2326">
        <v>0</v>
      </c>
      <c r="V2326">
        <v>0</v>
      </c>
      <c r="W2326">
        <v>1</v>
      </c>
      <c r="X2326">
        <v>0</v>
      </c>
      <c r="Y2326">
        <v>1</v>
      </c>
      <c r="Z2326">
        <v>0</v>
      </c>
      <c r="AA2326">
        <v>0</v>
      </c>
      <c r="AB2326">
        <v>0</v>
      </c>
      <c r="AC2326">
        <v>1</v>
      </c>
      <c r="AD2326">
        <v>1</v>
      </c>
      <c r="AE2326">
        <v>1</v>
      </c>
      <c r="AF2326">
        <v>1</v>
      </c>
      <c r="AG2326">
        <v>1</v>
      </c>
      <c r="AH2326">
        <v>1</v>
      </c>
      <c r="AI2326">
        <v>1</v>
      </c>
      <c r="AJ2326">
        <v>1</v>
      </c>
      <c r="AK2326">
        <v>1</v>
      </c>
      <c r="AL2326">
        <v>1</v>
      </c>
      <c r="AM2326">
        <v>1</v>
      </c>
    </row>
    <row r="2327" spans="1:39" x14ac:dyDescent="0.2">
      <c r="A2327" t="str">
        <f>"2323"</f>
        <v>2323</v>
      </c>
      <c r="B2327" t="str">
        <f t="shared" si="128"/>
        <v>1</v>
      </c>
      <c r="C2327" t="str">
        <f t="shared" si="129"/>
        <v>47</v>
      </c>
      <c r="D2327" t="str">
        <f>"19"</f>
        <v>19</v>
      </c>
      <c r="E2327" t="str">
        <f>"1-47-19"</f>
        <v>1-47-19</v>
      </c>
      <c r="F2327" t="s">
        <v>65</v>
      </c>
      <c r="G2327" t="s">
        <v>66</v>
      </c>
      <c r="H2327" t="s">
        <v>67</v>
      </c>
      <c r="S2327">
        <v>0</v>
      </c>
      <c r="T2327">
        <v>1</v>
      </c>
      <c r="U2327">
        <v>0</v>
      </c>
      <c r="V2327">
        <v>0</v>
      </c>
      <c r="W2327">
        <v>0</v>
      </c>
      <c r="X2327">
        <v>1</v>
      </c>
      <c r="Y2327">
        <v>0</v>
      </c>
      <c r="Z2327">
        <v>1</v>
      </c>
      <c r="AA2327">
        <v>0</v>
      </c>
      <c r="AB2327">
        <v>1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</row>
    <row r="2328" spans="1:39" x14ac:dyDescent="0.2">
      <c r="A2328" t="str">
        <f>"2324"</f>
        <v>2324</v>
      </c>
      <c r="B2328" t="str">
        <f t="shared" si="128"/>
        <v>1</v>
      </c>
      <c r="C2328" t="str">
        <f t="shared" si="129"/>
        <v>47</v>
      </c>
      <c r="D2328" t="str">
        <f>"14"</f>
        <v>14</v>
      </c>
      <c r="E2328" t="str">
        <f>"1-47-14"</f>
        <v>1-47-14</v>
      </c>
      <c r="F2328" t="s">
        <v>65</v>
      </c>
      <c r="G2328" t="s">
        <v>66</v>
      </c>
      <c r="H2328" t="s">
        <v>67</v>
      </c>
      <c r="S2328">
        <v>1</v>
      </c>
      <c r="T2328">
        <v>0</v>
      </c>
      <c r="U2328">
        <v>0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0</v>
      </c>
      <c r="AB2328">
        <v>0</v>
      </c>
      <c r="AC2328">
        <v>1</v>
      </c>
      <c r="AD2328">
        <v>1</v>
      </c>
      <c r="AE2328">
        <v>1</v>
      </c>
      <c r="AF2328">
        <v>1</v>
      </c>
      <c r="AG2328">
        <v>1</v>
      </c>
      <c r="AH2328">
        <v>1</v>
      </c>
      <c r="AI2328">
        <v>1</v>
      </c>
      <c r="AJ2328">
        <v>1</v>
      </c>
      <c r="AK2328">
        <v>1</v>
      </c>
      <c r="AL2328">
        <v>1</v>
      </c>
      <c r="AM2328">
        <v>1</v>
      </c>
    </row>
    <row r="2329" spans="1:39" x14ac:dyDescent="0.2">
      <c r="A2329" t="str">
        <f>"2325"</f>
        <v>2325</v>
      </c>
      <c r="B2329" t="str">
        <f t="shared" si="128"/>
        <v>1</v>
      </c>
      <c r="C2329" t="str">
        <f t="shared" si="129"/>
        <v>47</v>
      </c>
      <c r="D2329" t="str">
        <f>"48"</f>
        <v>48</v>
      </c>
      <c r="E2329" t="str">
        <f>"1-47-48"</f>
        <v>1-47-48</v>
      </c>
      <c r="F2329" t="s">
        <v>65</v>
      </c>
      <c r="G2329" t="s">
        <v>66</v>
      </c>
      <c r="H2329" t="s">
        <v>67</v>
      </c>
      <c r="S2329">
        <v>1</v>
      </c>
      <c r="T2329">
        <v>0</v>
      </c>
      <c r="U2329">
        <v>0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1</v>
      </c>
      <c r="AF2329">
        <v>1</v>
      </c>
      <c r="AG2329">
        <v>1</v>
      </c>
      <c r="AH2329">
        <v>1</v>
      </c>
      <c r="AI2329">
        <v>1</v>
      </c>
      <c r="AJ2329">
        <v>1</v>
      </c>
      <c r="AK2329">
        <v>1</v>
      </c>
      <c r="AL2329">
        <v>1</v>
      </c>
      <c r="AM2329">
        <v>1</v>
      </c>
    </row>
    <row r="2330" spans="1:39" x14ac:dyDescent="0.2">
      <c r="A2330" t="str">
        <f>"2326"</f>
        <v>2326</v>
      </c>
      <c r="B2330" t="str">
        <f t="shared" si="128"/>
        <v>1</v>
      </c>
      <c r="C2330" t="str">
        <f t="shared" si="129"/>
        <v>47</v>
      </c>
      <c r="D2330" t="str">
        <f>"47"</f>
        <v>47</v>
      </c>
      <c r="E2330" t="str">
        <f>"1-47-47"</f>
        <v>1-47-47</v>
      </c>
      <c r="F2330" t="s">
        <v>65</v>
      </c>
      <c r="G2330" t="s">
        <v>66</v>
      </c>
      <c r="H2330" t="s">
        <v>67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1</v>
      </c>
      <c r="Y2330">
        <v>1</v>
      </c>
      <c r="Z2330">
        <v>0</v>
      </c>
      <c r="AA2330">
        <v>0</v>
      </c>
      <c r="AB2330">
        <v>1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</row>
    <row r="2331" spans="1:39" x14ac:dyDescent="0.2">
      <c r="A2331" t="str">
        <f>"2327"</f>
        <v>2327</v>
      </c>
      <c r="B2331" t="str">
        <f t="shared" si="128"/>
        <v>1</v>
      </c>
      <c r="C2331" t="str">
        <f t="shared" si="129"/>
        <v>47</v>
      </c>
      <c r="D2331" t="str">
        <f>"36"</f>
        <v>36</v>
      </c>
      <c r="E2331" t="str">
        <f>"1-47-36"</f>
        <v>1-47-36</v>
      </c>
      <c r="F2331" t="s">
        <v>65</v>
      </c>
      <c r="G2331" t="s">
        <v>66</v>
      </c>
      <c r="H2331" t="s">
        <v>67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</row>
    <row r="2332" spans="1:39" x14ac:dyDescent="0.2">
      <c r="A2332" t="str">
        <f>"2328"</f>
        <v>2328</v>
      </c>
      <c r="B2332" t="str">
        <f t="shared" si="128"/>
        <v>1</v>
      </c>
      <c r="C2332" t="str">
        <f t="shared" si="129"/>
        <v>47</v>
      </c>
      <c r="D2332" t="str">
        <f>"21"</f>
        <v>21</v>
      </c>
      <c r="E2332" t="str">
        <f>"1-47-21"</f>
        <v>1-47-21</v>
      </c>
      <c r="F2332" t="s">
        <v>65</v>
      </c>
      <c r="G2332" t="s">
        <v>66</v>
      </c>
      <c r="H2332" t="s">
        <v>67</v>
      </c>
      <c r="S2332">
        <v>0</v>
      </c>
      <c r="T2332">
        <v>1</v>
      </c>
      <c r="U2332">
        <v>0</v>
      </c>
      <c r="V2332">
        <v>0</v>
      </c>
      <c r="W2332">
        <v>0</v>
      </c>
      <c r="X2332">
        <v>1</v>
      </c>
      <c r="Y2332">
        <v>0</v>
      </c>
      <c r="Z2332">
        <v>1</v>
      </c>
      <c r="AA2332">
        <v>0</v>
      </c>
      <c r="AB2332">
        <v>1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</row>
    <row r="2333" spans="1:39" x14ac:dyDescent="0.2">
      <c r="A2333" t="str">
        <f>"2329"</f>
        <v>2329</v>
      </c>
      <c r="B2333" t="str">
        <f t="shared" si="128"/>
        <v>1</v>
      </c>
      <c r="C2333" t="str">
        <f t="shared" si="129"/>
        <v>47</v>
      </c>
      <c r="D2333" t="str">
        <f>"4"</f>
        <v>4</v>
      </c>
      <c r="E2333" t="str">
        <f>"1-47-4"</f>
        <v>1-47-4</v>
      </c>
      <c r="F2333" t="s">
        <v>65</v>
      </c>
      <c r="G2333" t="s">
        <v>66</v>
      </c>
      <c r="H2333" t="s">
        <v>67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0</v>
      </c>
      <c r="AB2333">
        <v>1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</row>
    <row r="2334" spans="1:39" x14ac:dyDescent="0.2">
      <c r="A2334" t="str">
        <f>"2330"</f>
        <v>2330</v>
      </c>
      <c r="B2334" t="str">
        <f t="shared" si="128"/>
        <v>1</v>
      </c>
      <c r="C2334" t="str">
        <f t="shared" si="129"/>
        <v>47</v>
      </c>
      <c r="D2334" t="str">
        <f>"50"</f>
        <v>50</v>
      </c>
      <c r="E2334" t="str">
        <f>"1-47-50"</f>
        <v>1-47-50</v>
      </c>
      <c r="F2334" t="s">
        <v>65</v>
      </c>
      <c r="G2334" t="s">
        <v>66</v>
      </c>
      <c r="H2334" t="s">
        <v>67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</row>
    <row r="2335" spans="1:39" x14ac:dyDescent="0.2">
      <c r="A2335" t="str">
        <f>"2331"</f>
        <v>2331</v>
      </c>
      <c r="B2335" t="str">
        <f t="shared" si="128"/>
        <v>1</v>
      </c>
      <c r="C2335" t="str">
        <f t="shared" si="129"/>
        <v>47</v>
      </c>
      <c r="D2335" t="str">
        <f>"24"</f>
        <v>24</v>
      </c>
      <c r="E2335" t="str">
        <f>"1-47-24"</f>
        <v>1-47-24</v>
      </c>
      <c r="F2335" t="s">
        <v>65</v>
      </c>
      <c r="G2335" t="s">
        <v>66</v>
      </c>
      <c r="H2335" t="s">
        <v>67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1</v>
      </c>
      <c r="Y2335">
        <v>0</v>
      </c>
      <c r="Z2335">
        <v>1</v>
      </c>
      <c r="AA2335">
        <v>0</v>
      </c>
      <c r="AB2335">
        <v>0</v>
      </c>
      <c r="AC2335">
        <v>1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</row>
    <row r="2336" spans="1:39" x14ac:dyDescent="0.2">
      <c r="A2336" t="str">
        <f>"2332"</f>
        <v>2332</v>
      </c>
      <c r="B2336" t="str">
        <f t="shared" si="128"/>
        <v>1</v>
      </c>
      <c r="C2336" t="str">
        <f t="shared" si="129"/>
        <v>47</v>
      </c>
      <c r="D2336" t="str">
        <f>"10"</f>
        <v>10</v>
      </c>
      <c r="E2336" t="str">
        <f>"1-47-10"</f>
        <v>1-47-10</v>
      </c>
      <c r="F2336" t="s">
        <v>65</v>
      </c>
      <c r="G2336" t="s">
        <v>66</v>
      </c>
      <c r="H2336" t="s">
        <v>67</v>
      </c>
      <c r="S2336">
        <v>1</v>
      </c>
      <c r="T2336">
        <v>0</v>
      </c>
      <c r="U2336">
        <v>0</v>
      </c>
      <c r="V2336">
        <v>0</v>
      </c>
      <c r="W2336">
        <v>1</v>
      </c>
      <c r="X2336">
        <v>0</v>
      </c>
      <c r="Y2336">
        <v>0</v>
      </c>
      <c r="Z2336">
        <v>1</v>
      </c>
      <c r="AA2336">
        <v>1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</row>
    <row r="2337" spans="1:39" x14ac:dyDescent="0.2">
      <c r="A2337" t="str">
        <f>"2333"</f>
        <v>2333</v>
      </c>
      <c r="B2337" t="str">
        <f t="shared" si="128"/>
        <v>1</v>
      </c>
      <c r="C2337" t="str">
        <f t="shared" ref="C2337:C2354" si="130">"47"</f>
        <v>47</v>
      </c>
      <c r="D2337" t="str">
        <f>"49"</f>
        <v>49</v>
      </c>
      <c r="E2337" t="str">
        <f>"1-47-49"</f>
        <v>1-47-49</v>
      </c>
      <c r="F2337" t="s">
        <v>65</v>
      </c>
      <c r="G2337" t="s">
        <v>66</v>
      </c>
      <c r="H2337" t="s">
        <v>67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1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</row>
    <row r="2338" spans="1:39" x14ac:dyDescent="0.2">
      <c r="A2338" t="str">
        <f>"2334"</f>
        <v>2334</v>
      </c>
      <c r="B2338" t="str">
        <f t="shared" si="128"/>
        <v>1</v>
      </c>
      <c r="C2338" t="str">
        <f t="shared" si="130"/>
        <v>47</v>
      </c>
      <c r="D2338" t="str">
        <f>"25"</f>
        <v>25</v>
      </c>
      <c r="E2338" t="str">
        <f>"1-47-25"</f>
        <v>1-47-25</v>
      </c>
      <c r="F2338" t="s">
        <v>65</v>
      </c>
      <c r="G2338" t="s">
        <v>66</v>
      </c>
      <c r="H2338" t="s">
        <v>67</v>
      </c>
      <c r="S2338">
        <v>1</v>
      </c>
      <c r="T2338">
        <v>0</v>
      </c>
      <c r="U2338">
        <v>0</v>
      </c>
      <c r="V2338">
        <v>0</v>
      </c>
      <c r="W2338">
        <v>1</v>
      </c>
      <c r="X2338">
        <v>0</v>
      </c>
      <c r="Y2338">
        <v>1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1</v>
      </c>
      <c r="AF2338">
        <v>1</v>
      </c>
      <c r="AG2338">
        <v>1</v>
      </c>
      <c r="AH2338">
        <v>1</v>
      </c>
      <c r="AI2338">
        <v>1</v>
      </c>
      <c r="AJ2338">
        <v>1</v>
      </c>
      <c r="AK2338">
        <v>1</v>
      </c>
      <c r="AL2338">
        <v>1</v>
      </c>
      <c r="AM2338">
        <v>1</v>
      </c>
    </row>
    <row r="2339" spans="1:39" x14ac:dyDescent="0.2">
      <c r="A2339" t="str">
        <f>"2335"</f>
        <v>2335</v>
      </c>
      <c r="B2339" t="str">
        <f t="shared" si="128"/>
        <v>1</v>
      </c>
      <c r="C2339" t="str">
        <f t="shared" si="130"/>
        <v>47</v>
      </c>
      <c r="D2339" t="str">
        <f>"9"</f>
        <v>9</v>
      </c>
      <c r="E2339" t="str">
        <f>"1-47-9"</f>
        <v>1-47-9</v>
      </c>
      <c r="F2339" t="s">
        <v>65</v>
      </c>
      <c r="G2339" t="s">
        <v>66</v>
      </c>
      <c r="H2339" t="s">
        <v>67</v>
      </c>
      <c r="S2339">
        <v>1</v>
      </c>
      <c r="T2339">
        <v>0</v>
      </c>
      <c r="U2339">
        <v>0</v>
      </c>
      <c r="V2339">
        <v>0</v>
      </c>
      <c r="W2339">
        <v>1</v>
      </c>
      <c r="X2339">
        <v>0</v>
      </c>
      <c r="Y2339">
        <v>1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1</v>
      </c>
      <c r="AF2339">
        <v>1</v>
      </c>
      <c r="AG2339">
        <v>1</v>
      </c>
      <c r="AH2339">
        <v>1</v>
      </c>
      <c r="AI2339">
        <v>1</v>
      </c>
      <c r="AJ2339">
        <v>1</v>
      </c>
      <c r="AK2339">
        <v>1</v>
      </c>
      <c r="AL2339">
        <v>1</v>
      </c>
      <c r="AM2339">
        <v>1</v>
      </c>
    </row>
    <row r="2340" spans="1:39" x14ac:dyDescent="0.2">
      <c r="A2340" t="str">
        <f>"2336"</f>
        <v>2336</v>
      </c>
      <c r="B2340" t="str">
        <f t="shared" si="128"/>
        <v>1</v>
      </c>
      <c r="C2340" t="str">
        <f t="shared" si="130"/>
        <v>47</v>
      </c>
      <c r="D2340" t="str">
        <f>"26"</f>
        <v>26</v>
      </c>
      <c r="E2340" t="str">
        <f>"1-47-26"</f>
        <v>1-47-26</v>
      </c>
      <c r="F2340" t="s">
        <v>65</v>
      </c>
      <c r="G2340" t="s">
        <v>66</v>
      </c>
      <c r="H2340" t="s">
        <v>67</v>
      </c>
      <c r="S2340">
        <v>0</v>
      </c>
      <c r="T2340">
        <v>1</v>
      </c>
      <c r="U2340">
        <v>0</v>
      </c>
      <c r="V2340">
        <v>0</v>
      </c>
      <c r="W2340">
        <v>1</v>
      </c>
      <c r="X2340">
        <v>0</v>
      </c>
      <c r="Y2340">
        <v>1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1</v>
      </c>
      <c r="AF2340">
        <v>1</v>
      </c>
      <c r="AG2340">
        <v>1</v>
      </c>
      <c r="AH2340">
        <v>1</v>
      </c>
      <c r="AI2340">
        <v>1</v>
      </c>
      <c r="AJ2340">
        <v>1</v>
      </c>
      <c r="AK2340">
        <v>1</v>
      </c>
      <c r="AL2340">
        <v>1</v>
      </c>
      <c r="AM2340">
        <v>1</v>
      </c>
    </row>
    <row r="2341" spans="1:39" x14ac:dyDescent="0.2">
      <c r="A2341" t="str">
        <f>"2337"</f>
        <v>2337</v>
      </c>
      <c r="B2341" t="str">
        <f t="shared" si="128"/>
        <v>1</v>
      </c>
      <c r="C2341" t="str">
        <f t="shared" si="130"/>
        <v>47</v>
      </c>
      <c r="D2341" t="str">
        <f>"1"</f>
        <v>1</v>
      </c>
      <c r="E2341" t="str">
        <f>"1-47-1"</f>
        <v>1-47-1</v>
      </c>
      <c r="F2341" t="s">
        <v>65</v>
      </c>
      <c r="G2341" t="s">
        <v>66</v>
      </c>
      <c r="H2341" t="s">
        <v>67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1</v>
      </c>
      <c r="Y2341">
        <v>1</v>
      </c>
      <c r="Z2341">
        <v>0</v>
      </c>
      <c r="AA2341">
        <v>0</v>
      </c>
      <c r="AB2341">
        <v>0</v>
      </c>
      <c r="AC2341">
        <v>0</v>
      </c>
      <c r="AD2341">
        <v>1</v>
      </c>
      <c r="AE2341">
        <v>1</v>
      </c>
      <c r="AF2341">
        <v>1</v>
      </c>
      <c r="AG2341">
        <v>1</v>
      </c>
      <c r="AH2341">
        <v>0</v>
      </c>
      <c r="AI2341">
        <v>1</v>
      </c>
      <c r="AJ2341">
        <v>1</v>
      </c>
      <c r="AK2341">
        <v>1</v>
      </c>
      <c r="AL2341">
        <v>1</v>
      </c>
      <c r="AM2341">
        <v>1</v>
      </c>
    </row>
    <row r="2342" spans="1:39" x14ac:dyDescent="0.2">
      <c r="A2342" t="str">
        <f>"2338"</f>
        <v>2338</v>
      </c>
      <c r="B2342" t="str">
        <f t="shared" si="128"/>
        <v>1</v>
      </c>
      <c r="C2342" t="str">
        <f t="shared" si="130"/>
        <v>47</v>
      </c>
      <c r="D2342" t="str">
        <f>"27"</f>
        <v>27</v>
      </c>
      <c r="E2342" t="str">
        <f>"1-47-27"</f>
        <v>1-47-27</v>
      </c>
      <c r="F2342" t="s">
        <v>65</v>
      </c>
      <c r="G2342" t="s">
        <v>66</v>
      </c>
      <c r="H2342" t="s">
        <v>67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1</v>
      </c>
      <c r="AF2342">
        <v>0</v>
      </c>
      <c r="AG2342">
        <v>1</v>
      </c>
      <c r="AH2342">
        <v>1</v>
      </c>
      <c r="AI2342">
        <v>1</v>
      </c>
      <c r="AJ2342">
        <v>1</v>
      </c>
      <c r="AK2342">
        <v>0</v>
      </c>
      <c r="AL2342">
        <v>1</v>
      </c>
      <c r="AM2342">
        <v>1</v>
      </c>
    </row>
    <row r="2343" spans="1:39" x14ac:dyDescent="0.2">
      <c r="A2343" t="str">
        <f>"2339"</f>
        <v>2339</v>
      </c>
      <c r="B2343" t="str">
        <f t="shared" si="128"/>
        <v>1</v>
      </c>
      <c r="C2343" t="str">
        <f t="shared" si="130"/>
        <v>47</v>
      </c>
      <c r="D2343" t="str">
        <f>"11"</f>
        <v>11</v>
      </c>
      <c r="E2343" t="str">
        <f>"1-47-11"</f>
        <v>1-47-11</v>
      </c>
      <c r="F2343" t="s">
        <v>65</v>
      </c>
      <c r="G2343" t="s">
        <v>66</v>
      </c>
      <c r="H2343" t="s">
        <v>67</v>
      </c>
      <c r="S2343">
        <v>0</v>
      </c>
      <c r="T2343">
        <v>1</v>
      </c>
      <c r="U2343">
        <v>0</v>
      </c>
      <c r="V2343">
        <v>0</v>
      </c>
      <c r="W2343">
        <v>0</v>
      </c>
      <c r="X2343">
        <v>1</v>
      </c>
      <c r="Y2343">
        <v>1</v>
      </c>
      <c r="Z2343">
        <v>0</v>
      </c>
      <c r="AA2343">
        <v>0</v>
      </c>
      <c r="AB2343">
        <v>0</v>
      </c>
      <c r="AC2343">
        <v>1</v>
      </c>
      <c r="AD2343">
        <v>1</v>
      </c>
      <c r="AE2343">
        <v>1</v>
      </c>
      <c r="AF2343">
        <v>1</v>
      </c>
      <c r="AG2343">
        <v>1</v>
      </c>
      <c r="AH2343">
        <v>1</v>
      </c>
      <c r="AI2343">
        <v>1</v>
      </c>
      <c r="AJ2343">
        <v>1</v>
      </c>
      <c r="AK2343">
        <v>1</v>
      </c>
      <c r="AL2343">
        <v>1</v>
      </c>
      <c r="AM2343">
        <v>1</v>
      </c>
    </row>
    <row r="2344" spans="1:39" x14ac:dyDescent="0.2">
      <c r="A2344" t="str">
        <f>"2340"</f>
        <v>2340</v>
      </c>
      <c r="B2344" t="str">
        <f t="shared" si="128"/>
        <v>1</v>
      </c>
      <c r="C2344" t="str">
        <f t="shared" si="130"/>
        <v>47</v>
      </c>
      <c r="D2344" t="str">
        <f>"28"</f>
        <v>28</v>
      </c>
      <c r="E2344" t="str">
        <f>"1-47-28"</f>
        <v>1-47-28</v>
      </c>
      <c r="F2344" t="s">
        <v>65</v>
      </c>
      <c r="G2344" t="s">
        <v>66</v>
      </c>
      <c r="H2344" t="s">
        <v>67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1</v>
      </c>
      <c r="AE2344">
        <v>1</v>
      </c>
      <c r="AF2344">
        <v>1</v>
      </c>
      <c r="AG2344">
        <v>1</v>
      </c>
      <c r="AH2344">
        <v>1</v>
      </c>
      <c r="AI2344">
        <v>1</v>
      </c>
      <c r="AJ2344">
        <v>1</v>
      </c>
      <c r="AK2344">
        <v>1</v>
      </c>
      <c r="AL2344">
        <v>1</v>
      </c>
      <c r="AM2344">
        <v>1</v>
      </c>
    </row>
    <row r="2345" spans="1:39" x14ac:dyDescent="0.2">
      <c r="A2345" t="str">
        <f>"2341"</f>
        <v>2341</v>
      </c>
      <c r="B2345" t="str">
        <f t="shared" si="128"/>
        <v>1</v>
      </c>
      <c r="C2345" t="str">
        <f t="shared" si="130"/>
        <v>47</v>
      </c>
      <c r="D2345" t="str">
        <f>"12"</f>
        <v>12</v>
      </c>
      <c r="E2345" t="str">
        <f>"1-47-12"</f>
        <v>1-47-12</v>
      </c>
      <c r="F2345" t="s">
        <v>65</v>
      </c>
      <c r="G2345" t="s">
        <v>66</v>
      </c>
      <c r="H2345" t="s">
        <v>67</v>
      </c>
      <c r="S2345">
        <v>0</v>
      </c>
      <c r="T2345">
        <v>1</v>
      </c>
      <c r="U2345">
        <v>0</v>
      </c>
      <c r="V2345">
        <v>0</v>
      </c>
      <c r="W2345">
        <v>0</v>
      </c>
      <c r="X2345">
        <v>1</v>
      </c>
      <c r="Y2345">
        <v>1</v>
      </c>
      <c r="Z2345">
        <v>0</v>
      </c>
      <c r="AA2345">
        <v>0</v>
      </c>
      <c r="AB2345">
        <v>1</v>
      </c>
      <c r="AC2345">
        <v>0</v>
      </c>
      <c r="AD2345">
        <v>1</v>
      </c>
      <c r="AE2345">
        <v>1</v>
      </c>
      <c r="AF2345">
        <v>1</v>
      </c>
      <c r="AG2345">
        <v>1</v>
      </c>
      <c r="AH2345">
        <v>1</v>
      </c>
      <c r="AI2345">
        <v>1</v>
      </c>
      <c r="AJ2345">
        <v>1</v>
      </c>
      <c r="AK2345">
        <v>1</v>
      </c>
      <c r="AL2345">
        <v>1</v>
      </c>
      <c r="AM2345">
        <v>1</v>
      </c>
    </row>
    <row r="2346" spans="1:39" x14ac:dyDescent="0.2">
      <c r="A2346" t="str">
        <f>"2342"</f>
        <v>2342</v>
      </c>
      <c r="B2346" t="str">
        <f t="shared" si="128"/>
        <v>1</v>
      </c>
      <c r="C2346" t="str">
        <f t="shared" si="130"/>
        <v>47</v>
      </c>
      <c r="D2346" t="str">
        <f>"29"</f>
        <v>29</v>
      </c>
      <c r="E2346" t="str">
        <f>"1-47-29"</f>
        <v>1-47-29</v>
      </c>
      <c r="F2346" t="s">
        <v>65</v>
      </c>
      <c r="G2346" t="s">
        <v>66</v>
      </c>
      <c r="H2346" t="s">
        <v>67</v>
      </c>
      <c r="S2346">
        <v>1</v>
      </c>
      <c r="T2346">
        <v>0</v>
      </c>
      <c r="U2346">
        <v>0</v>
      </c>
      <c r="V2346">
        <v>0</v>
      </c>
      <c r="W2346">
        <v>0</v>
      </c>
      <c r="X2346">
        <v>1</v>
      </c>
      <c r="Y2346">
        <v>1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1</v>
      </c>
      <c r="AF2346">
        <v>1</v>
      </c>
      <c r="AG2346">
        <v>1</v>
      </c>
      <c r="AH2346">
        <v>1</v>
      </c>
      <c r="AI2346">
        <v>1</v>
      </c>
      <c r="AJ2346">
        <v>1</v>
      </c>
      <c r="AK2346">
        <v>1</v>
      </c>
      <c r="AL2346">
        <v>1</v>
      </c>
      <c r="AM2346">
        <v>1</v>
      </c>
    </row>
    <row r="2347" spans="1:39" x14ac:dyDescent="0.2">
      <c r="A2347" t="str">
        <f>"2343"</f>
        <v>2343</v>
      </c>
      <c r="B2347" t="str">
        <f t="shared" si="128"/>
        <v>1</v>
      </c>
      <c r="C2347" t="str">
        <f t="shared" si="130"/>
        <v>47</v>
      </c>
      <c r="D2347" t="str">
        <f>"7"</f>
        <v>7</v>
      </c>
      <c r="E2347" t="str">
        <f>"1-47-7"</f>
        <v>1-47-7</v>
      </c>
      <c r="F2347" t="s">
        <v>65</v>
      </c>
      <c r="G2347" t="s">
        <v>66</v>
      </c>
      <c r="H2347" t="s">
        <v>67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0</v>
      </c>
      <c r="AB2347">
        <v>0</v>
      </c>
      <c r="AC2347">
        <v>1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1</v>
      </c>
      <c r="AJ2347">
        <v>0</v>
      </c>
      <c r="AK2347">
        <v>0</v>
      </c>
      <c r="AL2347">
        <v>0</v>
      </c>
      <c r="AM2347">
        <v>0</v>
      </c>
    </row>
    <row r="2348" spans="1:39" x14ac:dyDescent="0.2">
      <c r="A2348" t="str">
        <f>"2344"</f>
        <v>2344</v>
      </c>
      <c r="B2348" t="str">
        <f t="shared" si="128"/>
        <v>1</v>
      </c>
      <c r="C2348" t="str">
        <f t="shared" si="130"/>
        <v>47</v>
      </c>
      <c r="D2348" t="str">
        <f>"32"</f>
        <v>32</v>
      </c>
      <c r="E2348" t="str">
        <f>"1-47-32"</f>
        <v>1-47-32</v>
      </c>
      <c r="F2348" t="s">
        <v>65</v>
      </c>
      <c r="G2348" t="s">
        <v>66</v>
      </c>
      <c r="H2348" t="s">
        <v>67</v>
      </c>
      <c r="S2348">
        <v>1</v>
      </c>
      <c r="T2348">
        <v>0</v>
      </c>
      <c r="U2348">
        <v>0</v>
      </c>
      <c r="V2348">
        <v>0</v>
      </c>
      <c r="W2348">
        <v>1</v>
      </c>
      <c r="X2348">
        <v>0</v>
      </c>
      <c r="Y2348">
        <v>0</v>
      </c>
      <c r="Z2348">
        <v>1</v>
      </c>
      <c r="AA2348">
        <v>1</v>
      </c>
      <c r="AB2348">
        <v>0</v>
      </c>
      <c r="AC2348">
        <v>0</v>
      </c>
      <c r="AD2348">
        <v>1</v>
      </c>
      <c r="AE2348">
        <v>1</v>
      </c>
      <c r="AF2348">
        <v>1</v>
      </c>
      <c r="AG2348">
        <v>1</v>
      </c>
      <c r="AH2348">
        <v>1</v>
      </c>
      <c r="AI2348">
        <v>1</v>
      </c>
      <c r="AJ2348">
        <v>1</v>
      </c>
      <c r="AK2348">
        <v>1</v>
      </c>
      <c r="AL2348">
        <v>1</v>
      </c>
      <c r="AM2348">
        <v>1</v>
      </c>
    </row>
    <row r="2349" spans="1:39" x14ac:dyDescent="0.2">
      <c r="A2349" t="str">
        <f>"2345"</f>
        <v>2345</v>
      </c>
      <c r="B2349" t="str">
        <f t="shared" si="128"/>
        <v>1</v>
      </c>
      <c r="C2349" t="str">
        <f t="shared" si="130"/>
        <v>47</v>
      </c>
      <c r="D2349" t="str">
        <f>"6"</f>
        <v>6</v>
      </c>
      <c r="E2349" t="str">
        <f>"1-47-6"</f>
        <v>1-47-6</v>
      </c>
      <c r="F2349" t="s">
        <v>65</v>
      </c>
      <c r="G2349" t="s">
        <v>66</v>
      </c>
      <c r="H2349" t="s">
        <v>67</v>
      </c>
      <c r="S2349">
        <v>0</v>
      </c>
      <c r="T2349">
        <v>1</v>
      </c>
      <c r="U2349">
        <v>0</v>
      </c>
      <c r="V2349">
        <v>0</v>
      </c>
      <c r="W2349">
        <v>0</v>
      </c>
      <c r="X2349">
        <v>1</v>
      </c>
      <c r="Y2349">
        <v>0</v>
      </c>
      <c r="Z2349">
        <v>1</v>
      </c>
      <c r="AA2349">
        <v>0</v>
      </c>
      <c r="AB2349">
        <v>0</v>
      </c>
      <c r="AC2349">
        <v>1</v>
      </c>
      <c r="AD2349">
        <v>1</v>
      </c>
      <c r="AE2349">
        <v>1</v>
      </c>
      <c r="AF2349">
        <v>1</v>
      </c>
      <c r="AG2349">
        <v>1</v>
      </c>
      <c r="AH2349">
        <v>1</v>
      </c>
      <c r="AI2349">
        <v>1</v>
      </c>
      <c r="AJ2349">
        <v>1</v>
      </c>
      <c r="AK2349">
        <v>1</v>
      </c>
      <c r="AL2349">
        <v>1</v>
      </c>
      <c r="AM2349">
        <v>1</v>
      </c>
    </row>
    <row r="2350" spans="1:39" x14ac:dyDescent="0.2">
      <c r="A2350" t="str">
        <f>"2346"</f>
        <v>2346</v>
      </c>
      <c r="B2350" t="str">
        <f t="shared" si="128"/>
        <v>1</v>
      </c>
      <c r="C2350" t="str">
        <f t="shared" si="130"/>
        <v>47</v>
      </c>
      <c r="D2350" t="str">
        <f>"34"</f>
        <v>34</v>
      </c>
      <c r="E2350" t="str">
        <f>"1-47-34"</f>
        <v>1-47-34</v>
      </c>
      <c r="F2350" t="s">
        <v>65</v>
      </c>
      <c r="G2350" t="s">
        <v>66</v>
      </c>
      <c r="H2350" t="s">
        <v>67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1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</row>
    <row r="2351" spans="1:39" x14ac:dyDescent="0.2">
      <c r="A2351" t="str">
        <f>"2347"</f>
        <v>2347</v>
      </c>
      <c r="B2351" t="str">
        <f t="shared" si="128"/>
        <v>1</v>
      </c>
      <c r="C2351" t="str">
        <f t="shared" si="130"/>
        <v>47</v>
      </c>
      <c r="D2351" t="str">
        <f>"13"</f>
        <v>13</v>
      </c>
      <c r="E2351" t="str">
        <f>"1-47-13"</f>
        <v>1-47-13</v>
      </c>
      <c r="F2351" t="s">
        <v>65</v>
      </c>
      <c r="G2351" t="s">
        <v>66</v>
      </c>
      <c r="H2351" t="s">
        <v>67</v>
      </c>
      <c r="S2351">
        <v>1</v>
      </c>
      <c r="T2351">
        <v>0</v>
      </c>
      <c r="U2351">
        <v>0</v>
      </c>
      <c r="V2351">
        <v>0</v>
      </c>
      <c r="W2351">
        <v>1</v>
      </c>
      <c r="X2351">
        <v>0</v>
      </c>
      <c r="Y2351">
        <v>1</v>
      </c>
      <c r="Z2351">
        <v>0</v>
      </c>
      <c r="AA2351">
        <v>0</v>
      </c>
      <c r="AB2351">
        <v>0</v>
      </c>
      <c r="AC2351">
        <v>1</v>
      </c>
      <c r="AD2351">
        <v>1</v>
      </c>
      <c r="AE2351">
        <v>1</v>
      </c>
      <c r="AF2351">
        <v>1</v>
      </c>
      <c r="AG2351">
        <v>1</v>
      </c>
      <c r="AH2351">
        <v>1</v>
      </c>
      <c r="AI2351">
        <v>1</v>
      </c>
      <c r="AJ2351">
        <v>1</v>
      </c>
      <c r="AK2351">
        <v>1</v>
      </c>
      <c r="AL2351">
        <v>1</v>
      </c>
      <c r="AM2351">
        <v>1</v>
      </c>
    </row>
    <row r="2352" spans="1:39" x14ac:dyDescent="0.2">
      <c r="A2352" t="str">
        <f>"2348"</f>
        <v>2348</v>
      </c>
      <c r="B2352" t="str">
        <f t="shared" si="128"/>
        <v>1</v>
      </c>
      <c r="C2352" t="str">
        <f t="shared" si="130"/>
        <v>47</v>
      </c>
      <c r="D2352" t="str">
        <f>"18"</f>
        <v>18</v>
      </c>
      <c r="E2352" t="str">
        <f>"1-47-18"</f>
        <v>1-47-18</v>
      </c>
      <c r="F2352" t="s">
        <v>65</v>
      </c>
      <c r="G2352" t="s">
        <v>66</v>
      </c>
      <c r="H2352" t="s">
        <v>67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</v>
      </c>
      <c r="Y2352">
        <v>0</v>
      </c>
      <c r="Z2352">
        <v>1</v>
      </c>
      <c r="AA2352">
        <v>0</v>
      </c>
      <c r="AB2352">
        <v>1</v>
      </c>
      <c r="AC2352">
        <v>0</v>
      </c>
      <c r="AD2352">
        <v>1</v>
      </c>
      <c r="AE2352">
        <v>1</v>
      </c>
      <c r="AF2352">
        <v>1</v>
      </c>
      <c r="AG2352">
        <v>1</v>
      </c>
      <c r="AH2352">
        <v>1</v>
      </c>
      <c r="AI2352">
        <v>1</v>
      </c>
      <c r="AJ2352">
        <v>1</v>
      </c>
      <c r="AK2352">
        <v>1</v>
      </c>
      <c r="AL2352">
        <v>1</v>
      </c>
      <c r="AM2352">
        <v>1</v>
      </c>
    </row>
    <row r="2353" spans="1:39" x14ac:dyDescent="0.2">
      <c r="A2353" t="str">
        <f>"2349"</f>
        <v>2349</v>
      </c>
      <c r="B2353" t="str">
        <f t="shared" si="128"/>
        <v>1</v>
      </c>
      <c r="C2353" t="str">
        <f t="shared" si="130"/>
        <v>47</v>
      </c>
      <c r="D2353" t="str">
        <f>"45"</f>
        <v>45</v>
      </c>
      <c r="E2353" t="str">
        <f>"1-47-45"</f>
        <v>1-47-45</v>
      </c>
      <c r="F2353" t="s">
        <v>65</v>
      </c>
      <c r="G2353" t="s">
        <v>66</v>
      </c>
      <c r="H2353" t="s">
        <v>67</v>
      </c>
      <c r="S2353">
        <v>0</v>
      </c>
      <c r="T2353">
        <v>0</v>
      </c>
      <c r="U2353">
        <v>0</v>
      </c>
      <c r="V2353">
        <v>0</v>
      </c>
      <c r="W2353">
        <v>1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1</v>
      </c>
      <c r="AH2353">
        <v>1</v>
      </c>
      <c r="AI2353">
        <v>1</v>
      </c>
      <c r="AJ2353">
        <v>1</v>
      </c>
      <c r="AK2353">
        <v>1</v>
      </c>
      <c r="AL2353">
        <v>0</v>
      </c>
      <c r="AM2353">
        <v>1</v>
      </c>
    </row>
    <row r="2354" spans="1:39" x14ac:dyDescent="0.2">
      <c r="A2354" t="str">
        <f>"2350"</f>
        <v>2350</v>
      </c>
      <c r="B2354" t="str">
        <f t="shared" si="128"/>
        <v>1</v>
      </c>
      <c r="C2354" t="str">
        <f t="shared" si="130"/>
        <v>47</v>
      </c>
      <c r="D2354" t="str">
        <f>"16"</f>
        <v>16</v>
      </c>
      <c r="E2354" t="str">
        <f>"1-47-16"</f>
        <v>1-47-16</v>
      </c>
      <c r="F2354" t="s">
        <v>65</v>
      </c>
      <c r="G2354" t="s">
        <v>66</v>
      </c>
      <c r="H2354" t="s">
        <v>67</v>
      </c>
      <c r="S2354">
        <v>0</v>
      </c>
      <c r="T2354">
        <v>1</v>
      </c>
      <c r="U2354">
        <v>0</v>
      </c>
      <c r="V2354">
        <v>0</v>
      </c>
      <c r="W2354">
        <v>0</v>
      </c>
      <c r="X2354">
        <v>1</v>
      </c>
      <c r="Y2354">
        <v>0</v>
      </c>
      <c r="Z2354">
        <v>1</v>
      </c>
      <c r="AA2354">
        <v>0</v>
      </c>
      <c r="AB2354">
        <v>0</v>
      </c>
      <c r="AC2354">
        <v>1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1</v>
      </c>
      <c r="AJ2354">
        <v>0</v>
      </c>
      <c r="AK2354">
        <v>1</v>
      </c>
      <c r="AL2354">
        <v>1</v>
      </c>
      <c r="AM2354">
        <v>0</v>
      </c>
    </row>
    <row r="2355" spans="1:39" x14ac:dyDescent="0.2">
      <c r="A2355" t="str">
        <f>"2351"</f>
        <v>2351</v>
      </c>
      <c r="B2355" t="str">
        <f t="shared" si="128"/>
        <v>1</v>
      </c>
      <c r="C2355" t="str">
        <f t="shared" ref="C2355:C2386" si="131">"48"</f>
        <v>48</v>
      </c>
      <c r="D2355" t="str">
        <f>"38"</f>
        <v>38</v>
      </c>
      <c r="E2355" t="str">
        <f>"1-48-38"</f>
        <v>1-48-38</v>
      </c>
      <c r="F2355" t="s">
        <v>65</v>
      </c>
      <c r="G2355" t="s">
        <v>66</v>
      </c>
      <c r="H2355" t="s">
        <v>67</v>
      </c>
      <c r="S2355">
        <v>0</v>
      </c>
      <c r="T2355">
        <v>1</v>
      </c>
      <c r="U2355">
        <v>0</v>
      </c>
      <c r="V2355">
        <v>0</v>
      </c>
      <c r="W2355">
        <v>1</v>
      </c>
      <c r="X2355">
        <v>0</v>
      </c>
      <c r="Y2355">
        <v>1</v>
      </c>
      <c r="Z2355">
        <v>0</v>
      </c>
      <c r="AA2355">
        <v>0</v>
      </c>
      <c r="AB2355">
        <v>0</v>
      </c>
      <c r="AC2355">
        <v>1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</row>
    <row r="2356" spans="1:39" x14ac:dyDescent="0.2">
      <c r="A2356" t="str">
        <f>"2352"</f>
        <v>2352</v>
      </c>
      <c r="B2356" t="str">
        <f t="shared" si="128"/>
        <v>1</v>
      </c>
      <c r="C2356" t="str">
        <f t="shared" si="131"/>
        <v>48</v>
      </c>
      <c r="D2356" t="str">
        <f>"37"</f>
        <v>37</v>
      </c>
      <c r="E2356" t="str">
        <f>"1-48-37"</f>
        <v>1-48-37</v>
      </c>
      <c r="F2356" t="s">
        <v>65</v>
      </c>
      <c r="G2356" t="s">
        <v>66</v>
      </c>
      <c r="H2356" t="s">
        <v>67</v>
      </c>
      <c r="S2356">
        <v>0</v>
      </c>
      <c r="T2356">
        <v>0</v>
      </c>
      <c r="U2356">
        <v>0</v>
      </c>
      <c r="V2356">
        <v>0</v>
      </c>
      <c r="W2356">
        <v>1</v>
      </c>
      <c r="X2356">
        <v>0</v>
      </c>
      <c r="Y2356">
        <v>0</v>
      </c>
      <c r="Z2356">
        <v>1</v>
      </c>
      <c r="AA2356">
        <v>0</v>
      </c>
      <c r="AB2356">
        <v>1</v>
      </c>
      <c r="AC2356">
        <v>0</v>
      </c>
      <c r="AD2356">
        <v>0</v>
      </c>
      <c r="AE2356">
        <v>1</v>
      </c>
      <c r="AF2356">
        <v>1</v>
      </c>
      <c r="AG2356">
        <v>0</v>
      </c>
      <c r="AH2356">
        <v>1</v>
      </c>
      <c r="AI2356">
        <v>0</v>
      </c>
      <c r="AJ2356">
        <v>0</v>
      </c>
      <c r="AK2356">
        <v>1</v>
      </c>
      <c r="AL2356">
        <v>1</v>
      </c>
      <c r="AM2356">
        <v>1</v>
      </c>
    </row>
    <row r="2357" spans="1:39" x14ac:dyDescent="0.2">
      <c r="A2357" t="str">
        <f>"2353"</f>
        <v>2353</v>
      </c>
      <c r="B2357" t="str">
        <f t="shared" si="128"/>
        <v>1</v>
      </c>
      <c r="C2357" t="str">
        <f t="shared" si="131"/>
        <v>48</v>
      </c>
      <c r="D2357" t="str">
        <f>"26"</f>
        <v>26</v>
      </c>
      <c r="E2357" t="str">
        <f>"1-48-26"</f>
        <v>1-48-26</v>
      </c>
      <c r="F2357" t="s">
        <v>65</v>
      </c>
      <c r="G2357" t="s">
        <v>66</v>
      </c>
      <c r="H2357" t="s">
        <v>67</v>
      </c>
      <c r="S2357">
        <v>1</v>
      </c>
      <c r="T2357">
        <v>0</v>
      </c>
      <c r="U2357">
        <v>0</v>
      </c>
      <c r="V2357">
        <v>0</v>
      </c>
      <c r="W2357">
        <v>0</v>
      </c>
      <c r="X2357">
        <v>1</v>
      </c>
      <c r="Y2357">
        <v>1</v>
      </c>
      <c r="Z2357">
        <v>0</v>
      </c>
      <c r="AA2357">
        <v>0</v>
      </c>
      <c r="AB2357">
        <v>1</v>
      </c>
      <c r="AC2357">
        <v>0</v>
      </c>
      <c r="AD2357">
        <v>1</v>
      </c>
      <c r="AE2357">
        <v>1</v>
      </c>
      <c r="AF2357">
        <v>1</v>
      </c>
      <c r="AG2357">
        <v>1</v>
      </c>
      <c r="AH2357">
        <v>1</v>
      </c>
      <c r="AI2357">
        <v>1</v>
      </c>
      <c r="AJ2357">
        <v>1</v>
      </c>
      <c r="AK2357">
        <v>1</v>
      </c>
      <c r="AL2357">
        <v>1</v>
      </c>
      <c r="AM2357">
        <v>1</v>
      </c>
    </row>
    <row r="2358" spans="1:39" x14ac:dyDescent="0.2">
      <c r="A2358" t="str">
        <f>"2354"</f>
        <v>2354</v>
      </c>
      <c r="B2358" t="str">
        <f t="shared" si="128"/>
        <v>1</v>
      </c>
      <c r="C2358" t="str">
        <f t="shared" si="131"/>
        <v>48</v>
      </c>
      <c r="D2358" t="str">
        <f>"15"</f>
        <v>15</v>
      </c>
      <c r="E2358" t="str">
        <f>"1-48-15"</f>
        <v>1-48-15</v>
      </c>
      <c r="F2358" t="s">
        <v>65</v>
      </c>
      <c r="G2358" t="s">
        <v>66</v>
      </c>
      <c r="H2358" t="s">
        <v>67</v>
      </c>
      <c r="S2358">
        <v>0</v>
      </c>
      <c r="T2358">
        <v>1</v>
      </c>
      <c r="U2358">
        <v>0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0</v>
      </c>
      <c r="AB2358">
        <v>0</v>
      </c>
      <c r="AC2358">
        <v>1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</row>
    <row r="2359" spans="1:39" x14ac:dyDescent="0.2">
      <c r="A2359" t="str">
        <f>"2355"</f>
        <v>2355</v>
      </c>
      <c r="B2359" t="str">
        <f t="shared" ref="B2359:B2422" si="132">"1"</f>
        <v>1</v>
      </c>
      <c r="C2359" t="str">
        <f t="shared" si="131"/>
        <v>48</v>
      </c>
      <c r="D2359" t="str">
        <f>"6"</f>
        <v>6</v>
      </c>
      <c r="E2359" t="str">
        <f>"1-48-6"</f>
        <v>1-48-6</v>
      </c>
      <c r="F2359" t="s">
        <v>65</v>
      </c>
      <c r="G2359" t="s">
        <v>66</v>
      </c>
      <c r="H2359" t="s">
        <v>67</v>
      </c>
      <c r="S2359">
        <v>1</v>
      </c>
      <c r="T2359">
        <v>0</v>
      </c>
      <c r="U2359">
        <v>0</v>
      </c>
      <c r="V2359">
        <v>0</v>
      </c>
      <c r="W2359">
        <v>1</v>
      </c>
      <c r="X2359">
        <v>0</v>
      </c>
      <c r="Y2359">
        <v>1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1</v>
      </c>
      <c r="AF2359">
        <v>1</v>
      </c>
      <c r="AG2359">
        <v>1</v>
      </c>
      <c r="AH2359">
        <v>1</v>
      </c>
      <c r="AI2359">
        <v>1</v>
      </c>
      <c r="AJ2359">
        <v>1</v>
      </c>
      <c r="AK2359">
        <v>1</v>
      </c>
      <c r="AL2359">
        <v>1</v>
      </c>
      <c r="AM2359">
        <v>1</v>
      </c>
    </row>
    <row r="2360" spans="1:39" x14ac:dyDescent="0.2">
      <c r="A2360" t="str">
        <f>"2356"</f>
        <v>2356</v>
      </c>
      <c r="B2360" t="str">
        <f t="shared" si="132"/>
        <v>1</v>
      </c>
      <c r="C2360" t="str">
        <f t="shared" si="131"/>
        <v>48</v>
      </c>
      <c r="D2360" t="str">
        <f>"40"</f>
        <v>40</v>
      </c>
      <c r="E2360" t="str">
        <f>"1-48-40"</f>
        <v>1-48-40</v>
      </c>
      <c r="F2360" t="s">
        <v>65</v>
      </c>
      <c r="G2360" t="s">
        <v>66</v>
      </c>
      <c r="H2360" t="s">
        <v>67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</row>
    <row r="2361" spans="1:39" x14ac:dyDescent="0.2">
      <c r="A2361" t="str">
        <f>"2357"</f>
        <v>2357</v>
      </c>
      <c r="B2361" t="str">
        <f t="shared" si="132"/>
        <v>1</v>
      </c>
      <c r="C2361" t="str">
        <f t="shared" si="131"/>
        <v>48</v>
      </c>
      <c r="D2361" t="str">
        <f>"39"</f>
        <v>39</v>
      </c>
      <c r="E2361" t="str">
        <f>"1-48-39"</f>
        <v>1-48-39</v>
      </c>
      <c r="F2361" t="s">
        <v>65</v>
      </c>
      <c r="G2361" t="s">
        <v>66</v>
      </c>
      <c r="H2361" t="s">
        <v>67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0</v>
      </c>
      <c r="AB2361">
        <v>1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</row>
    <row r="2362" spans="1:39" x14ac:dyDescent="0.2">
      <c r="A2362" t="str">
        <f>"2358"</f>
        <v>2358</v>
      </c>
      <c r="B2362" t="str">
        <f t="shared" si="132"/>
        <v>1</v>
      </c>
      <c r="C2362" t="str">
        <f t="shared" si="131"/>
        <v>48</v>
      </c>
      <c r="D2362" t="str">
        <f>"27"</f>
        <v>27</v>
      </c>
      <c r="E2362" t="str">
        <f>"1-48-27"</f>
        <v>1-48-27</v>
      </c>
      <c r="F2362" t="s">
        <v>65</v>
      </c>
      <c r="G2362" t="s">
        <v>66</v>
      </c>
      <c r="H2362" t="s">
        <v>67</v>
      </c>
      <c r="S2362">
        <v>1</v>
      </c>
      <c r="T2362">
        <v>0</v>
      </c>
      <c r="U2362">
        <v>0</v>
      </c>
      <c r="V2362">
        <v>0</v>
      </c>
      <c r="W2362">
        <v>0</v>
      </c>
      <c r="X2362">
        <v>1</v>
      </c>
      <c r="Y2362">
        <v>0</v>
      </c>
      <c r="Z2362">
        <v>1</v>
      </c>
      <c r="AA2362">
        <v>1</v>
      </c>
      <c r="AB2362">
        <v>0</v>
      </c>
      <c r="AC2362">
        <v>0</v>
      </c>
      <c r="AD2362">
        <v>0</v>
      </c>
      <c r="AE2362">
        <v>1</v>
      </c>
      <c r="AF2362">
        <v>0</v>
      </c>
      <c r="AG2362">
        <v>1</v>
      </c>
      <c r="AH2362">
        <v>1</v>
      </c>
      <c r="AI2362">
        <v>0</v>
      </c>
      <c r="AJ2362">
        <v>0</v>
      </c>
      <c r="AK2362">
        <v>0</v>
      </c>
      <c r="AL2362">
        <v>1</v>
      </c>
      <c r="AM2362">
        <v>0</v>
      </c>
    </row>
    <row r="2363" spans="1:39" x14ac:dyDescent="0.2">
      <c r="A2363" t="str">
        <f>"2359"</f>
        <v>2359</v>
      </c>
      <c r="B2363" t="str">
        <f t="shared" si="132"/>
        <v>1</v>
      </c>
      <c r="C2363" t="str">
        <f t="shared" si="131"/>
        <v>48</v>
      </c>
      <c r="D2363" t="str">
        <f>"16"</f>
        <v>16</v>
      </c>
      <c r="E2363" t="str">
        <f>"1-48-16"</f>
        <v>1-48-16</v>
      </c>
      <c r="F2363" t="s">
        <v>65</v>
      </c>
      <c r="G2363" t="s">
        <v>66</v>
      </c>
      <c r="H2363" t="s">
        <v>67</v>
      </c>
      <c r="S2363">
        <v>0</v>
      </c>
      <c r="T2363">
        <v>1</v>
      </c>
      <c r="U2363">
        <v>0</v>
      </c>
      <c r="V2363">
        <v>0</v>
      </c>
      <c r="W2363">
        <v>0</v>
      </c>
      <c r="X2363">
        <v>1</v>
      </c>
      <c r="Y2363">
        <v>0</v>
      </c>
      <c r="Z2363">
        <v>1</v>
      </c>
      <c r="AA2363">
        <v>0</v>
      </c>
      <c r="AB2363">
        <v>0</v>
      </c>
      <c r="AC2363">
        <v>1</v>
      </c>
      <c r="AD2363">
        <v>1</v>
      </c>
      <c r="AE2363">
        <v>1</v>
      </c>
      <c r="AF2363">
        <v>1</v>
      </c>
      <c r="AG2363">
        <v>1</v>
      </c>
      <c r="AH2363">
        <v>1</v>
      </c>
      <c r="AI2363">
        <v>1</v>
      </c>
      <c r="AJ2363">
        <v>1</v>
      </c>
      <c r="AK2363">
        <v>1</v>
      </c>
      <c r="AL2363">
        <v>1</v>
      </c>
      <c r="AM2363">
        <v>1</v>
      </c>
    </row>
    <row r="2364" spans="1:39" x14ac:dyDescent="0.2">
      <c r="A2364" t="str">
        <f>"2360"</f>
        <v>2360</v>
      </c>
      <c r="B2364" t="str">
        <f t="shared" si="132"/>
        <v>1</v>
      </c>
      <c r="C2364" t="str">
        <f t="shared" si="131"/>
        <v>48</v>
      </c>
      <c r="D2364" t="str">
        <f>"8"</f>
        <v>8</v>
      </c>
      <c r="E2364" t="str">
        <f>"1-48-8"</f>
        <v>1-48-8</v>
      </c>
      <c r="F2364" t="s">
        <v>65</v>
      </c>
      <c r="G2364" t="s">
        <v>66</v>
      </c>
      <c r="H2364" t="s">
        <v>67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1</v>
      </c>
      <c r="Y2364">
        <v>0</v>
      </c>
      <c r="Z2364">
        <v>1</v>
      </c>
      <c r="AA2364">
        <v>0</v>
      </c>
      <c r="AB2364">
        <v>0</v>
      </c>
      <c r="AC2364">
        <v>1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</row>
    <row r="2365" spans="1:39" x14ac:dyDescent="0.2">
      <c r="A2365" t="str">
        <f>"2361"</f>
        <v>2361</v>
      </c>
      <c r="B2365" t="str">
        <f t="shared" si="132"/>
        <v>1</v>
      </c>
      <c r="C2365" t="str">
        <f t="shared" si="131"/>
        <v>48</v>
      </c>
      <c r="D2365" t="str">
        <f>"44"</f>
        <v>44</v>
      </c>
      <c r="E2365" t="str">
        <f>"1-48-44"</f>
        <v>1-48-44</v>
      </c>
      <c r="F2365" t="s">
        <v>65</v>
      </c>
      <c r="G2365" t="s">
        <v>66</v>
      </c>
      <c r="H2365" t="s">
        <v>67</v>
      </c>
      <c r="S2365">
        <v>1</v>
      </c>
      <c r="T2365">
        <v>0</v>
      </c>
      <c r="U2365">
        <v>0</v>
      </c>
      <c r="V2365">
        <v>0</v>
      </c>
      <c r="W2365">
        <v>1</v>
      </c>
      <c r="X2365">
        <v>0</v>
      </c>
      <c r="Y2365">
        <v>1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1</v>
      </c>
      <c r="AF2365">
        <v>1</v>
      </c>
      <c r="AG2365">
        <v>1</v>
      </c>
      <c r="AH2365">
        <v>1</v>
      </c>
      <c r="AI2365">
        <v>1</v>
      </c>
      <c r="AJ2365">
        <v>1</v>
      </c>
      <c r="AK2365">
        <v>1</v>
      </c>
      <c r="AL2365">
        <v>1</v>
      </c>
      <c r="AM2365">
        <v>1</v>
      </c>
    </row>
    <row r="2366" spans="1:39" x14ac:dyDescent="0.2">
      <c r="A2366" t="str">
        <f>"2362"</f>
        <v>2362</v>
      </c>
      <c r="B2366" t="str">
        <f t="shared" si="132"/>
        <v>1</v>
      </c>
      <c r="C2366" t="str">
        <f t="shared" si="131"/>
        <v>48</v>
      </c>
      <c r="D2366" t="str">
        <f>"43"</f>
        <v>43</v>
      </c>
      <c r="E2366" t="str">
        <f>"1-48-43"</f>
        <v>1-48-43</v>
      </c>
      <c r="F2366" t="s">
        <v>65</v>
      </c>
      <c r="G2366" t="s">
        <v>66</v>
      </c>
      <c r="H2366" t="s">
        <v>67</v>
      </c>
      <c r="S2366">
        <v>1</v>
      </c>
      <c r="T2366">
        <v>0</v>
      </c>
      <c r="U2366">
        <v>0</v>
      </c>
      <c r="V2366">
        <v>0</v>
      </c>
      <c r="W2366">
        <v>1</v>
      </c>
      <c r="X2366">
        <v>0</v>
      </c>
      <c r="Y2366">
        <v>1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1</v>
      </c>
      <c r="AF2366">
        <v>1</v>
      </c>
      <c r="AG2366">
        <v>1</v>
      </c>
      <c r="AH2366">
        <v>1</v>
      </c>
      <c r="AI2366">
        <v>1</v>
      </c>
      <c r="AJ2366">
        <v>1</v>
      </c>
      <c r="AK2366">
        <v>1</v>
      </c>
      <c r="AL2366">
        <v>1</v>
      </c>
      <c r="AM2366">
        <v>0</v>
      </c>
    </row>
    <row r="2367" spans="1:39" x14ac:dyDescent="0.2">
      <c r="A2367" t="str">
        <f>"2363"</f>
        <v>2363</v>
      </c>
      <c r="B2367" t="str">
        <f t="shared" si="132"/>
        <v>1</v>
      </c>
      <c r="C2367" t="str">
        <f t="shared" si="131"/>
        <v>48</v>
      </c>
      <c r="D2367" t="str">
        <f>"29"</f>
        <v>29</v>
      </c>
      <c r="E2367" t="str">
        <f>"1-48-29"</f>
        <v>1-48-29</v>
      </c>
      <c r="F2367" t="s">
        <v>65</v>
      </c>
      <c r="G2367" t="s">
        <v>66</v>
      </c>
      <c r="H2367" t="s">
        <v>67</v>
      </c>
      <c r="S2367">
        <v>0</v>
      </c>
      <c r="T2367">
        <v>1</v>
      </c>
      <c r="U2367">
        <v>0</v>
      </c>
      <c r="V2367">
        <v>0</v>
      </c>
      <c r="W2367">
        <v>0</v>
      </c>
      <c r="X2367">
        <v>1</v>
      </c>
      <c r="Y2367">
        <v>0</v>
      </c>
      <c r="Z2367">
        <v>1</v>
      </c>
      <c r="AA2367">
        <v>0</v>
      </c>
      <c r="AB2367">
        <v>0</v>
      </c>
      <c r="AC2367">
        <v>1</v>
      </c>
      <c r="AD2367">
        <v>1</v>
      </c>
      <c r="AE2367">
        <v>1</v>
      </c>
      <c r="AF2367">
        <v>1</v>
      </c>
      <c r="AG2367">
        <v>1</v>
      </c>
      <c r="AH2367">
        <v>1</v>
      </c>
      <c r="AI2367">
        <v>1</v>
      </c>
      <c r="AJ2367">
        <v>1</v>
      </c>
      <c r="AK2367">
        <v>1</v>
      </c>
      <c r="AL2367">
        <v>1</v>
      </c>
      <c r="AM2367">
        <v>1</v>
      </c>
    </row>
    <row r="2368" spans="1:39" x14ac:dyDescent="0.2">
      <c r="A2368" t="str">
        <f>"2364"</f>
        <v>2364</v>
      </c>
      <c r="B2368" t="str">
        <f t="shared" si="132"/>
        <v>1</v>
      </c>
      <c r="C2368" t="str">
        <f t="shared" si="131"/>
        <v>48</v>
      </c>
      <c r="D2368" t="str">
        <f>"17"</f>
        <v>17</v>
      </c>
      <c r="E2368" t="str">
        <f>"1-48-17"</f>
        <v>1-48-17</v>
      </c>
      <c r="F2368" t="s">
        <v>65</v>
      </c>
      <c r="G2368" t="s">
        <v>66</v>
      </c>
      <c r="H2368" t="s">
        <v>67</v>
      </c>
      <c r="S2368">
        <v>0</v>
      </c>
      <c r="T2368">
        <v>1</v>
      </c>
      <c r="U2368">
        <v>0</v>
      </c>
      <c r="V2368">
        <v>0</v>
      </c>
      <c r="W2368">
        <v>0</v>
      </c>
      <c r="X2368">
        <v>1</v>
      </c>
      <c r="Y2368">
        <v>1</v>
      </c>
      <c r="Z2368">
        <v>0</v>
      </c>
      <c r="AA2368">
        <v>0</v>
      </c>
      <c r="AB2368">
        <v>1</v>
      </c>
      <c r="AC2368">
        <v>0</v>
      </c>
      <c r="AD2368">
        <v>1</v>
      </c>
      <c r="AE2368">
        <v>1</v>
      </c>
      <c r="AF2368">
        <v>1</v>
      </c>
      <c r="AG2368">
        <v>1</v>
      </c>
      <c r="AH2368">
        <v>1</v>
      </c>
      <c r="AI2368">
        <v>1</v>
      </c>
      <c r="AJ2368">
        <v>1</v>
      </c>
      <c r="AK2368">
        <v>1</v>
      </c>
      <c r="AL2368">
        <v>1</v>
      </c>
      <c r="AM2368">
        <v>1</v>
      </c>
    </row>
    <row r="2369" spans="1:39" x14ac:dyDescent="0.2">
      <c r="A2369" t="str">
        <f>"2365"</f>
        <v>2365</v>
      </c>
      <c r="B2369" t="str">
        <f t="shared" si="132"/>
        <v>1</v>
      </c>
      <c r="C2369" t="str">
        <f t="shared" si="131"/>
        <v>48</v>
      </c>
      <c r="D2369" t="str">
        <f>"4"</f>
        <v>4</v>
      </c>
      <c r="E2369" t="str">
        <f>"1-48-4"</f>
        <v>1-48-4</v>
      </c>
      <c r="F2369" t="s">
        <v>65</v>
      </c>
      <c r="G2369" t="s">
        <v>66</v>
      </c>
      <c r="H2369" t="s">
        <v>67</v>
      </c>
      <c r="S2369">
        <v>0</v>
      </c>
      <c r="T2369">
        <v>1</v>
      </c>
      <c r="U2369">
        <v>0</v>
      </c>
      <c r="V2369">
        <v>0</v>
      </c>
      <c r="W2369">
        <v>0</v>
      </c>
      <c r="X2369">
        <v>1</v>
      </c>
      <c r="Y2369">
        <v>1</v>
      </c>
      <c r="Z2369">
        <v>0</v>
      </c>
      <c r="AA2369">
        <v>0</v>
      </c>
      <c r="AB2369">
        <v>1</v>
      </c>
      <c r="AC2369">
        <v>0</v>
      </c>
      <c r="AD2369">
        <v>1</v>
      </c>
      <c r="AE2369">
        <v>1</v>
      </c>
      <c r="AF2369">
        <v>1</v>
      </c>
      <c r="AG2369">
        <v>1</v>
      </c>
      <c r="AH2369">
        <v>1</v>
      </c>
      <c r="AI2369">
        <v>1</v>
      </c>
      <c r="AJ2369">
        <v>1</v>
      </c>
      <c r="AK2369">
        <v>1</v>
      </c>
      <c r="AL2369">
        <v>1</v>
      </c>
      <c r="AM2369">
        <v>1</v>
      </c>
    </row>
    <row r="2370" spans="1:39" x14ac:dyDescent="0.2">
      <c r="A2370" t="str">
        <f>"2366"</f>
        <v>2366</v>
      </c>
      <c r="B2370" t="str">
        <f t="shared" si="132"/>
        <v>1</v>
      </c>
      <c r="C2370" t="str">
        <f t="shared" si="131"/>
        <v>48</v>
      </c>
      <c r="D2370" t="str">
        <f>"42"</f>
        <v>42</v>
      </c>
      <c r="E2370" t="str">
        <f>"1-48-42"</f>
        <v>1-48-42</v>
      </c>
      <c r="F2370" t="s">
        <v>65</v>
      </c>
      <c r="G2370" t="s">
        <v>66</v>
      </c>
      <c r="H2370" t="s">
        <v>67</v>
      </c>
      <c r="S2370">
        <v>1</v>
      </c>
      <c r="T2370">
        <v>0</v>
      </c>
      <c r="U2370">
        <v>0</v>
      </c>
      <c r="V2370">
        <v>0</v>
      </c>
      <c r="W2370">
        <v>1</v>
      </c>
      <c r="X2370">
        <v>0</v>
      </c>
      <c r="Y2370">
        <v>1</v>
      </c>
      <c r="Z2370">
        <v>0</v>
      </c>
      <c r="AA2370">
        <v>0</v>
      </c>
      <c r="AB2370">
        <v>1</v>
      </c>
      <c r="AC2370">
        <v>0</v>
      </c>
      <c r="AD2370">
        <v>1</v>
      </c>
      <c r="AE2370">
        <v>1</v>
      </c>
      <c r="AF2370">
        <v>1</v>
      </c>
      <c r="AG2370">
        <v>1</v>
      </c>
      <c r="AH2370">
        <v>1</v>
      </c>
      <c r="AI2370">
        <v>1</v>
      </c>
      <c r="AJ2370">
        <v>1</v>
      </c>
      <c r="AK2370">
        <v>1</v>
      </c>
      <c r="AL2370">
        <v>1</v>
      </c>
      <c r="AM2370">
        <v>1</v>
      </c>
    </row>
    <row r="2371" spans="1:39" x14ac:dyDescent="0.2">
      <c r="A2371" t="str">
        <f>"2367"</f>
        <v>2367</v>
      </c>
      <c r="B2371" t="str">
        <f t="shared" si="132"/>
        <v>1</v>
      </c>
      <c r="C2371" t="str">
        <f t="shared" si="131"/>
        <v>48</v>
      </c>
      <c r="D2371" t="str">
        <f>"41"</f>
        <v>41</v>
      </c>
      <c r="E2371" t="str">
        <f>"1-48-41"</f>
        <v>1-48-41</v>
      </c>
      <c r="F2371" t="s">
        <v>65</v>
      </c>
      <c r="G2371" t="s">
        <v>66</v>
      </c>
      <c r="H2371" t="s">
        <v>67</v>
      </c>
      <c r="S2371">
        <v>1</v>
      </c>
      <c r="T2371">
        <v>0</v>
      </c>
      <c r="U2371">
        <v>0</v>
      </c>
      <c r="V2371">
        <v>0</v>
      </c>
      <c r="W2371">
        <v>1</v>
      </c>
      <c r="X2371">
        <v>0</v>
      </c>
      <c r="Y2371">
        <v>1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1</v>
      </c>
      <c r="AF2371">
        <v>1</v>
      </c>
      <c r="AG2371">
        <v>1</v>
      </c>
      <c r="AH2371">
        <v>1</v>
      </c>
      <c r="AI2371">
        <v>1</v>
      </c>
      <c r="AJ2371">
        <v>1</v>
      </c>
      <c r="AK2371">
        <v>1</v>
      </c>
      <c r="AL2371">
        <v>1</v>
      </c>
      <c r="AM2371">
        <v>1</v>
      </c>
    </row>
    <row r="2372" spans="1:39" x14ac:dyDescent="0.2">
      <c r="A2372" t="str">
        <f>"2368"</f>
        <v>2368</v>
      </c>
      <c r="B2372" t="str">
        <f t="shared" si="132"/>
        <v>1</v>
      </c>
      <c r="C2372" t="str">
        <f t="shared" si="131"/>
        <v>48</v>
      </c>
      <c r="D2372" t="str">
        <f>"30"</f>
        <v>30</v>
      </c>
      <c r="E2372" t="str">
        <f>"1-48-30"</f>
        <v>1-48-30</v>
      </c>
      <c r="F2372" t="s">
        <v>65</v>
      </c>
      <c r="G2372" t="s">
        <v>66</v>
      </c>
      <c r="H2372" t="s">
        <v>67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0</v>
      </c>
      <c r="AB2372">
        <v>0</v>
      </c>
      <c r="AC2372">
        <v>1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</row>
    <row r="2373" spans="1:39" x14ac:dyDescent="0.2">
      <c r="A2373" t="str">
        <f>"2369"</f>
        <v>2369</v>
      </c>
      <c r="B2373" t="str">
        <f t="shared" si="132"/>
        <v>1</v>
      </c>
      <c r="C2373" t="str">
        <f t="shared" si="131"/>
        <v>48</v>
      </c>
      <c r="D2373" t="str">
        <f>"18"</f>
        <v>18</v>
      </c>
      <c r="E2373" t="str">
        <f>"1-48-18"</f>
        <v>1-48-18</v>
      </c>
      <c r="F2373" t="s">
        <v>65</v>
      </c>
      <c r="G2373" t="s">
        <v>66</v>
      </c>
      <c r="H2373" t="s">
        <v>67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0</v>
      </c>
      <c r="AB2373">
        <v>0</v>
      </c>
      <c r="AC2373">
        <v>1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</row>
    <row r="2374" spans="1:39" x14ac:dyDescent="0.2">
      <c r="A2374" t="str">
        <f>"2370"</f>
        <v>2370</v>
      </c>
      <c r="B2374" t="str">
        <f t="shared" si="132"/>
        <v>1</v>
      </c>
      <c r="C2374" t="str">
        <f t="shared" si="131"/>
        <v>48</v>
      </c>
      <c r="D2374" t="str">
        <f>"11"</f>
        <v>11</v>
      </c>
      <c r="E2374" t="str">
        <f>"1-48-11"</f>
        <v>1-48-11</v>
      </c>
      <c r="F2374" t="s">
        <v>65</v>
      </c>
      <c r="G2374" t="s">
        <v>66</v>
      </c>
      <c r="H2374" t="s">
        <v>67</v>
      </c>
      <c r="S2374">
        <v>0</v>
      </c>
      <c r="T2374">
        <v>1</v>
      </c>
      <c r="U2374">
        <v>0</v>
      </c>
      <c r="V2374">
        <v>0</v>
      </c>
      <c r="W2374">
        <v>0</v>
      </c>
      <c r="X2374">
        <v>0</v>
      </c>
      <c r="Y2374">
        <v>1</v>
      </c>
      <c r="Z2374">
        <v>0</v>
      </c>
      <c r="AA2374">
        <v>0</v>
      </c>
      <c r="AB2374">
        <v>0</v>
      </c>
      <c r="AC2374">
        <v>1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1</v>
      </c>
      <c r="AJ2374">
        <v>1</v>
      </c>
      <c r="AK2374">
        <v>1</v>
      </c>
      <c r="AL2374">
        <v>1</v>
      </c>
      <c r="AM2374">
        <v>0</v>
      </c>
    </row>
    <row r="2375" spans="1:39" x14ac:dyDescent="0.2">
      <c r="A2375" t="str">
        <f>"2371"</f>
        <v>2371</v>
      </c>
      <c r="B2375" t="str">
        <f t="shared" si="132"/>
        <v>1</v>
      </c>
      <c r="C2375" t="str">
        <f t="shared" si="131"/>
        <v>48</v>
      </c>
      <c r="D2375" t="str">
        <f>"48"</f>
        <v>48</v>
      </c>
      <c r="E2375" t="str">
        <f>"1-48-48"</f>
        <v>1-48-48</v>
      </c>
      <c r="F2375" t="s">
        <v>65</v>
      </c>
      <c r="G2375" t="s">
        <v>66</v>
      </c>
      <c r="H2375" t="s">
        <v>67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</row>
    <row r="2376" spans="1:39" x14ac:dyDescent="0.2">
      <c r="A2376" t="str">
        <f>"2372"</f>
        <v>2372</v>
      </c>
      <c r="B2376" t="str">
        <f t="shared" si="132"/>
        <v>1</v>
      </c>
      <c r="C2376" t="str">
        <f t="shared" si="131"/>
        <v>48</v>
      </c>
      <c r="D2376" t="str">
        <f>"47"</f>
        <v>47</v>
      </c>
      <c r="E2376" t="str">
        <f>"1-48-47"</f>
        <v>1-48-47</v>
      </c>
      <c r="F2376" t="s">
        <v>65</v>
      </c>
      <c r="G2376" t="s">
        <v>66</v>
      </c>
      <c r="H2376" t="s">
        <v>67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1</v>
      </c>
      <c r="AJ2376">
        <v>1</v>
      </c>
      <c r="AK2376">
        <v>1</v>
      </c>
      <c r="AL2376">
        <v>1</v>
      </c>
      <c r="AM2376">
        <v>1</v>
      </c>
    </row>
    <row r="2377" spans="1:39" x14ac:dyDescent="0.2">
      <c r="A2377" t="str">
        <f>"2373"</f>
        <v>2373</v>
      </c>
      <c r="B2377" t="str">
        <f t="shared" si="132"/>
        <v>1</v>
      </c>
      <c r="C2377" t="str">
        <f t="shared" si="131"/>
        <v>48</v>
      </c>
      <c r="D2377" t="str">
        <f>"33"</f>
        <v>33</v>
      </c>
      <c r="E2377" t="str">
        <f>"1-48-33"</f>
        <v>1-48-33</v>
      </c>
      <c r="F2377" t="s">
        <v>65</v>
      </c>
      <c r="G2377" t="s">
        <v>66</v>
      </c>
      <c r="H2377" t="s">
        <v>67</v>
      </c>
      <c r="S2377">
        <v>0</v>
      </c>
      <c r="T2377">
        <v>1</v>
      </c>
      <c r="U2377">
        <v>0</v>
      </c>
      <c r="V2377">
        <v>0</v>
      </c>
      <c r="W2377">
        <v>0</v>
      </c>
      <c r="X2377">
        <v>1</v>
      </c>
      <c r="Y2377">
        <v>1</v>
      </c>
      <c r="Z2377">
        <v>0</v>
      </c>
      <c r="AA2377">
        <v>0</v>
      </c>
      <c r="AB2377">
        <v>0</v>
      </c>
      <c r="AC2377">
        <v>1</v>
      </c>
      <c r="AD2377">
        <v>1</v>
      </c>
      <c r="AE2377">
        <v>1</v>
      </c>
      <c r="AF2377">
        <v>1</v>
      </c>
      <c r="AG2377">
        <v>1</v>
      </c>
      <c r="AH2377">
        <v>1</v>
      </c>
      <c r="AI2377">
        <v>1</v>
      </c>
      <c r="AJ2377">
        <v>1</v>
      </c>
      <c r="AK2377">
        <v>1</v>
      </c>
      <c r="AL2377">
        <v>1</v>
      </c>
      <c r="AM2377">
        <v>1</v>
      </c>
    </row>
    <row r="2378" spans="1:39" x14ac:dyDescent="0.2">
      <c r="A2378" t="str">
        <f>"2374"</f>
        <v>2374</v>
      </c>
      <c r="B2378" t="str">
        <f t="shared" si="132"/>
        <v>1</v>
      </c>
      <c r="C2378" t="str">
        <f t="shared" si="131"/>
        <v>48</v>
      </c>
      <c r="D2378" t="str">
        <f>"19"</f>
        <v>19</v>
      </c>
      <c r="E2378" t="str">
        <f>"1-48-19"</f>
        <v>1-48-19</v>
      </c>
      <c r="F2378" t="s">
        <v>65</v>
      </c>
      <c r="G2378" t="s">
        <v>66</v>
      </c>
      <c r="H2378" t="s">
        <v>67</v>
      </c>
      <c r="S2378">
        <v>1</v>
      </c>
      <c r="T2378">
        <v>0</v>
      </c>
      <c r="U2378">
        <v>0</v>
      </c>
      <c r="V2378">
        <v>0</v>
      </c>
      <c r="W2378">
        <v>1</v>
      </c>
      <c r="X2378">
        <v>0</v>
      </c>
      <c r="Y2378">
        <v>0</v>
      </c>
      <c r="Z2378">
        <v>1</v>
      </c>
      <c r="AA2378">
        <v>1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1</v>
      </c>
      <c r="AJ2378">
        <v>0</v>
      </c>
      <c r="AK2378">
        <v>0</v>
      </c>
      <c r="AL2378">
        <v>0</v>
      </c>
      <c r="AM2378">
        <v>0</v>
      </c>
    </row>
    <row r="2379" spans="1:39" x14ac:dyDescent="0.2">
      <c r="A2379" t="str">
        <f>"2375"</f>
        <v>2375</v>
      </c>
      <c r="B2379" t="str">
        <f t="shared" si="132"/>
        <v>1</v>
      </c>
      <c r="C2379" t="str">
        <f t="shared" si="131"/>
        <v>48</v>
      </c>
      <c r="D2379" t="str">
        <f>"9"</f>
        <v>9</v>
      </c>
      <c r="E2379" t="str">
        <f>"1-48-9"</f>
        <v>1-48-9</v>
      </c>
      <c r="F2379" t="s">
        <v>65</v>
      </c>
      <c r="G2379" t="s">
        <v>66</v>
      </c>
      <c r="H2379" t="s">
        <v>67</v>
      </c>
      <c r="S2379">
        <v>1</v>
      </c>
      <c r="T2379">
        <v>0</v>
      </c>
      <c r="U2379">
        <v>0</v>
      </c>
      <c r="V2379">
        <v>0</v>
      </c>
      <c r="W2379">
        <v>1</v>
      </c>
      <c r="X2379">
        <v>0</v>
      </c>
      <c r="Y2379">
        <v>1</v>
      </c>
      <c r="Z2379">
        <v>0</v>
      </c>
      <c r="AA2379">
        <v>1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</row>
    <row r="2380" spans="1:39" x14ac:dyDescent="0.2">
      <c r="A2380" t="str">
        <f>"2376"</f>
        <v>2376</v>
      </c>
      <c r="B2380" t="str">
        <f t="shared" si="132"/>
        <v>1</v>
      </c>
      <c r="C2380" t="str">
        <f t="shared" si="131"/>
        <v>48</v>
      </c>
      <c r="D2380" t="str">
        <f>"50"</f>
        <v>50</v>
      </c>
      <c r="E2380" t="str">
        <f>"1-48-50"</f>
        <v>1-48-50</v>
      </c>
      <c r="F2380" t="s">
        <v>65</v>
      </c>
      <c r="G2380" t="s">
        <v>66</v>
      </c>
      <c r="H2380" t="s">
        <v>67</v>
      </c>
      <c r="S2380">
        <v>0</v>
      </c>
      <c r="T2380">
        <v>1</v>
      </c>
      <c r="U2380">
        <v>0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0</v>
      </c>
      <c r="AB2380">
        <v>0</v>
      </c>
      <c r="AC2380">
        <v>1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</row>
    <row r="2381" spans="1:39" x14ac:dyDescent="0.2">
      <c r="A2381" t="str">
        <f>"2377"</f>
        <v>2377</v>
      </c>
      <c r="B2381" t="str">
        <f t="shared" si="132"/>
        <v>1</v>
      </c>
      <c r="C2381" t="str">
        <f t="shared" si="131"/>
        <v>48</v>
      </c>
      <c r="D2381" t="str">
        <f>"49"</f>
        <v>49</v>
      </c>
      <c r="E2381" t="str">
        <f>"1-48-49"</f>
        <v>1-48-49</v>
      </c>
      <c r="F2381" t="s">
        <v>65</v>
      </c>
      <c r="G2381" t="s">
        <v>66</v>
      </c>
      <c r="H2381" t="s">
        <v>67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</row>
    <row r="2382" spans="1:39" x14ac:dyDescent="0.2">
      <c r="A2382" t="str">
        <f>"2378"</f>
        <v>2378</v>
      </c>
      <c r="B2382" t="str">
        <f t="shared" si="132"/>
        <v>1</v>
      </c>
      <c r="C2382" t="str">
        <f t="shared" si="131"/>
        <v>48</v>
      </c>
      <c r="D2382" t="str">
        <f>"20"</f>
        <v>20</v>
      </c>
      <c r="E2382" t="str">
        <f>"1-48-20"</f>
        <v>1-48-20</v>
      </c>
      <c r="F2382" t="s">
        <v>65</v>
      </c>
      <c r="G2382" t="s">
        <v>66</v>
      </c>
      <c r="H2382" t="s">
        <v>67</v>
      </c>
      <c r="S2382">
        <v>1</v>
      </c>
      <c r="T2382">
        <v>0</v>
      </c>
      <c r="U2382">
        <v>0</v>
      </c>
      <c r="V2382">
        <v>0</v>
      </c>
      <c r="W2382">
        <v>1</v>
      </c>
      <c r="X2382">
        <v>0</v>
      </c>
      <c r="Y2382">
        <v>0</v>
      </c>
      <c r="Z2382">
        <v>1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1</v>
      </c>
      <c r="AH2382">
        <v>1</v>
      </c>
      <c r="AI2382">
        <v>1</v>
      </c>
      <c r="AJ2382">
        <v>1</v>
      </c>
      <c r="AK2382">
        <v>1</v>
      </c>
      <c r="AL2382">
        <v>1</v>
      </c>
      <c r="AM2382">
        <v>0</v>
      </c>
    </row>
    <row r="2383" spans="1:39" x14ac:dyDescent="0.2">
      <c r="A2383" t="str">
        <f>"2379"</f>
        <v>2379</v>
      </c>
      <c r="B2383" t="str">
        <f t="shared" si="132"/>
        <v>1</v>
      </c>
      <c r="C2383" t="str">
        <f t="shared" si="131"/>
        <v>48</v>
      </c>
      <c r="D2383" t="str">
        <f>"3"</f>
        <v>3</v>
      </c>
      <c r="E2383" t="str">
        <f>"1-48-3"</f>
        <v>1-48-3</v>
      </c>
      <c r="F2383" t="s">
        <v>65</v>
      </c>
      <c r="G2383" t="s">
        <v>66</v>
      </c>
      <c r="H2383" t="s">
        <v>67</v>
      </c>
      <c r="S2383">
        <v>1</v>
      </c>
      <c r="T2383">
        <v>0</v>
      </c>
      <c r="U2383">
        <v>0</v>
      </c>
      <c r="V2383">
        <v>0</v>
      </c>
      <c r="W2383">
        <v>1</v>
      </c>
      <c r="X2383">
        <v>0</v>
      </c>
      <c r="Y2383">
        <v>1</v>
      </c>
      <c r="Z2383">
        <v>0</v>
      </c>
      <c r="AA2383">
        <v>0</v>
      </c>
      <c r="AB2383">
        <v>1</v>
      </c>
      <c r="AC2383">
        <v>0</v>
      </c>
      <c r="AD2383">
        <v>1</v>
      </c>
      <c r="AE2383">
        <v>1</v>
      </c>
      <c r="AF2383">
        <v>1</v>
      </c>
      <c r="AG2383">
        <v>1</v>
      </c>
      <c r="AH2383">
        <v>1</v>
      </c>
      <c r="AI2383">
        <v>0</v>
      </c>
      <c r="AJ2383">
        <v>0</v>
      </c>
      <c r="AK2383">
        <v>0</v>
      </c>
      <c r="AL2383">
        <v>0</v>
      </c>
      <c r="AM2383">
        <v>0</v>
      </c>
    </row>
    <row r="2384" spans="1:39" x14ac:dyDescent="0.2">
      <c r="A2384" t="str">
        <f>"2380"</f>
        <v>2380</v>
      </c>
      <c r="B2384" t="str">
        <f t="shared" si="132"/>
        <v>1</v>
      </c>
      <c r="C2384" t="str">
        <f t="shared" si="131"/>
        <v>48</v>
      </c>
      <c r="D2384" t="str">
        <f>"46"</f>
        <v>46</v>
      </c>
      <c r="E2384" t="str">
        <f>"1-48-46"</f>
        <v>1-48-46</v>
      </c>
      <c r="F2384" t="s">
        <v>65</v>
      </c>
      <c r="G2384" t="s">
        <v>66</v>
      </c>
      <c r="H2384" t="s">
        <v>67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0</v>
      </c>
      <c r="AB2384">
        <v>0</v>
      </c>
      <c r="AC2384">
        <v>1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</row>
    <row r="2385" spans="1:39" x14ac:dyDescent="0.2">
      <c r="A2385" t="str">
        <f>"2381"</f>
        <v>2381</v>
      </c>
      <c r="B2385" t="str">
        <f t="shared" si="132"/>
        <v>1</v>
      </c>
      <c r="C2385" t="str">
        <f t="shared" si="131"/>
        <v>48</v>
      </c>
      <c r="D2385" t="str">
        <f>"45"</f>
        <v>45</v>
      </c>
      <c r="E2385" t="str">
        <f>"1-48-45"</f>
        <v>1-48-45</v>
      </c>
      <c r="F2385" t="s">
        <v>65</v>
      </c>
      <c r="G2385" t="s">
        <v>66</v>
      </c>
      <c r="H2385" t="s">
        <v>67</v>
      </c>
      <c r="S2385">
        <v>0</v>
      </c>
      <c r="T2385">
        <v>1</v>
      </c>
      <c r="U2385">
        <v>0</v>
      </c>
      <c r="V2385">
        <v>0</v>
      </c>
      <c r="W2385">
        <v>1</v>
      </c>
      <c r="X2385">
        <v>0</v>
      </c>
      <c r="Y2385">
        <v>1</v>
      </c>
      <c r="Z2385">
        <v>0</v>
      </c>
      <c r="AA2385">
        <v>0</v>
      </c>
      <c r="AB2385">
        <v>1</v>
      </c>
      <c r="AC2385">
        <v>0</v>
      </c>
      <c r="AD2385">
        <v>1</v>
      </c>
      <c r="AE2385">
        <v>1</v>
      </c>
      <c r="AF2385">
        <v>1</v>
      </c>
      <c r="AG2385">
        <v>1</v>
      </c>
      <c r="AH2385">
        <v>1</v>
      </c>
      <c r="AI2385">
        <v>1</v>
      </c>
      <c r="AJ2385">
        <v>1</v>
      </c>
      <c r="AK2385">
        <v>1</v>
      </c>
      <c r="AL2385">
        <v>1</v>
      </c>
      <c r="AM2385">
        <v>1</v>
      </c>
    </row>
    <row r="2386" spans="1:39" x14ac:dyDescent="0.2">
      <c r="A2386" t="str">
        <f>"2382"</f>
        <v>2382</v>
      </c>
      <c r="B2386" t="str">
        <f t="shared" si="132"/>
        <v>1</v>
      </c>
      <c r="C2386" t="str">
        <f t="shared" si="131"/>
        <v>48</v>
      </c>
      <c r="D2386" t="str">
        <f>"34"</f>
        <v>34</v>
      </c>
      <c r="E2386" t="str">
        <f>"1-48-34"</f>
        <v>1-48-34</v>
      </c>
      <c r="F2386" t="s">
        <v>65</v>
      </c>
      <c r="G2386" t="s">
        <v>66</v>
      </c>
      <c r="H2386" t="s">
        <v>67</v>
      </c>
      <c r="S2386">
        <v>0</v>
      </c>
      <c r="T2386">
        <v>1</v>
      </c>
      <c r="U2386">
        <v>0</v>
      </c>
      <c r="V2386">
        <v>0</v>
      </c>
      <c r="W2386">
        <v>0</v>
      </c>
      <c r="X2386">
        <v>1</v>
      </c>
      <c r="Y2386">
        <v>0</v>
      </c>
      <c r="Z2386">
        <v>1</v>
      </c>
      <c r="AA2386">
        <v>0</v>
      </c>
      <c r="AB2386">
        <v>1</v>
      </c>
      <c r="AC2386">
        <v>0</v>
      </c>
      <c r="AD2386">
        <v>1</v>
      </c>
      <c r="AE2386">
        <v>1</v>
      </c>
      <c r="AF2386">
        <v>1</v>
      </c>
      <c r="AG2386">
        <v>1</v>
      </c>
      <c r="AH2386">
        <v>1</v>
      </c>
      <c r="AI2386">
        <v>1</v>
      </c>
      <c r="AJ2386">
        <v>1</v>
      </c>
      <c r="AK2386">
        <v>1</v>
      </c>
      <c r="AL2386">
        <v>1</v>
      </c>
      <c r="AM2386">
        <v>1</v>
      </c>
    </row>
    <row r="2387" spans="1:39" x14ac:dyDescent="0.2">
      <c r="A2387" t="str">
        <f>"2383"</f>
        <v>2383</v>
      </c>
      <c r="B2387" t="str">
        <f t="shared" si="132"/>
        <v>1</v>
      </c>
      <c r="C2387" t="str">
        <f t="shared" ref="C2387:C2404" si="133">"48"</f>
        <v>48</v>
      </c>
      <c r="D2387" t="str">
        <f>"21"</f>
        <v>21</v>
      </c>
      <c r="E2387" t="str">
        <f>"1-48-21"</f>
        <v>1-48-21</v>
      </c>
      <c r="F2387" t="s">
        <v>65</v>
      </c>
      <c r="G2387" t="s">
        <v>66</v>
      </c>
      <c r="H2387" t="s">
        <v>67</v>
      </c>
      <c r="S2387">
        <v>0</v>
      </c>
      <c r="T2387">
        <v>1</v>
      </c>
      <c r="U2387">
        <v>0</v>
      </c>
      <c r="V2387">
        <v>0</v>
      </c>
      <c r="W2387">
        <v>1</v>
      </c>
      <c r="X2387">
        <v>0</v>
      </c>
      <c r="Y2387">
        <v>0</v>
      </c>
      <c r="Z2387">
        <v>1</v>
      </c>
      <c r="AA2387">
        <v>1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1</v>
      </c>
      <c r="AJ2387">
        <v>0</v>
      </c>
      <c r="AK2387">
        <v>0</v>
      </c>
      <c r="AL2387">
        <v>0</v>
      </c>
      <c r="AM2387">
        <v>0</v>
      </c>
    </row>
    <row r="2388" spans="1:39" x14ac:dyDescent="0.2">
      <c r="A2388" t="str">
        <f>"2384"</f>
        <v>2384</v>
      </c>
      <c r="B2388" t="str">
        <f t="shared" si="132"/>
        <v>1</v>
      </c>
      <c r="C2388" t="str">
        <f t="shared" si="133"/>
        <v>48</v>
      </c>
      <c r="D2388" t="str">
        <f>"7"</f>
        <v>7</v>
      </c>
      <c r="E2388" t="str">
        <f>"1-48-7"</f>
        <v>1-48-7</v>
      </c>
      <c r="F2388" t="s">
        <v>65</v>
      </c>
      <c r="G2388" t="s">
        <v>66</v>
      </c>
      <c r="H2388" t="s">
        <v>67</v>
      </c>
      <c r="S2388">
        <v>1</v>
      </c>
      <c r="T2388">
        <v>0</v>
      </c>
      <c r="U2388">
        <v>0</v>
      </c>
      <c r="V2388">
        <v>0</v>
      </c>
      <c r="W2388">
        <v>1</v>
      </c>
      <c r="X2388">
        <v>0</v>
      </c>
      <c r="Y2388">
        <v>1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1</v>
      </c>
      <c r="AF2388">
        <v>1</v>
      </c>
      <c r="AG2388">
        <v>1</v>
      </c>
      <c r="AH2388">
        <v>1</v>
      </c>
      <c r="AI2388">
        <v>1</v>
      </c>
      <c r="AJ2388">
        <v>1</v>
      </c>
      <c r="AK2388">
        <v>1</v>
      </c>
      <c r="AL2388">
        <v>1</v>
      </c>
      <c r="AM2388">
        <v>1</v>
      </c>
    </row>
    <row r="2389" spans="1:39" x14ac:dyDescent="0.2">
      <c r="A2389" t="str">
        <f>"2385"</f>
        <v>2385</v>
      </c>
      <c r="B2389" t="str">
        <f t="shared" si="132"/>
        <v>1</v>
      </c>
      <c r="C2389" t="str">
        <f t="shared" si="133"/>
        <v>48</v>
      </c>
      <c r="D2389" t="str">
        <f>"36"</f>
        <v>36</v>
      </c>
      <c r="E2389" t="str">
        <f>"1-48-36"</f>
        <v>1-48-36</v>
      </c>
      <c r="F2389" t="s">
        <v>65</v>
      </c>
      <c r="G2389" t="s">
        <v>66</v>
      </c>
      <c r="H2389" t="s">
        <v>67</v>
      </c>
      <c r="S2389">
        <v>1</v>
      </c>
      <c r="T2389">
        <v>0</v>
      </c>
      <c r="U2389">
        <v>0</v>
      </c>
      <c r="V2389">
        <v>0</v>
      </c>
      <c r="W2389">
        <v>1</v>
      </c>
      <c r="X2389">
        <v>0</v>
      </c>
      <c r="Y2389">
        <v>0</v>
      </c>
      <c r="Z2389">
        <v>1</v>
      </c>
      <c r="AA2389">
        <v>0</v>
      </c>
      <c r="AB2389">
        <v>1</v>
      </c>
      <c r="AC2389">
        <v>0</v>
      </c>
      <c r="AD2389">
        <v>0</v>
      </c>
      <c r="AE2389">
        <v>1</v>
      </c>
      <c r="AF2389">
        <v>1</v>
      </c>
      <c r="AG2389">
        <v>0</v>
      </c>
      <c r="AH2389">
        <v>1</v>
      </c>
      <c r="AI2389">
        <v>1</v>
      </c>
      <c r="AJ2389">
        <v>1</v>
      </c>
      <c r="AK2389">
        <v>1</v>
      </c>
      <c r="AL2389">
        <v>1</v>
      </c>
      <c r="AM2389">
        <v>1</v>
      </c>
    </row>
    <row r="2390" spans="1:39" x14ac:dyDescent="0.2">
      <c r="A2390" t="str">
        <f>"2386"</f>
        <v>2386</v>
      </c>
      <c r="B2390" t="str">
        <f t="shared" si="132"/>
        <v>1</v>
      </c>
      <c r="C2390" t="str">
        <f t="shared" si="133"/>
        <v>48</v>
      </c>
      <c r="D2390" t="str">
        <f>"22"</f>
        <v>22</v>
      </c>
      <c r="E2390" t="str">
        <f>"1-48-22"</f>
        <v>1-48-22</v>
      </c>
      <c r="F2390" t="s">
        <v>65</v>
      </c>
      <c r="G2390" t="s">
        <v>66</v>
      </c>
      <c r="H2390" t="s">
        <v>67</v>
      </c>
      <c r="S2390">
        <v>1</v>
      </c>
      <c r="T2390">
        <v>0</v>
      </c>
      <c r="U2390">
        <v>0</v>
      </c>
      <c r="V2390">
        <v>0</v>
      </c>
      <c r="W2390">
        <v>1</v>
      </c>
      <c r="X2390">
        <v>0</v>
      </c>
      <c r="Y2390">
        <v>1</v>
      </c>
      <c r="Z2390">
        <v>0</v>
      </c>
      <c r="AA2390">
        <v>1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</row>
    <row r="2391" spans="1:39" x14ac:dyDescent="0.2">
      <c r="A2391" t="str">
        <f>"2387"</f>
        <v>2387</v>
      </c>
      <c r="B2391" t="str">
        <f t="shared" si="132"/>
        <v>1</v>
      </c>
      <c r="C2391" t="str">
        <f t="shared" si="133"/>
        <v>48</v>
      </c>
      <c r="D2391" t="str">
        <f>"10"</f>
        <v>10</v>
      </c>
      <c r="E2391" t="str">
        <f>"1-48-10"</f>
        <v>1-48-10</v>
      </c>
      <c r="F2391" t="s">
        <v>65</v>
      </c>
      <c r="G2391" t="s">
        <v>66</v>
      </c>
      <c r="H2391" t="s">
        <v>67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0</v>
      </c>
      <c r="AB2391">
        <v>0</v>
      </c>
      <c r="AC2391">
        <v>1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</row>
    <row r="2392" spans="1:39" x14ac:dyDescent="0.2">
      <c r="A2392" t="str">
        <f>"2388"</f>
        <v>2388</v>
      </c>
      <c r="B2392" t="str">
        <f t="shared" si="132"/>
        <v>1</v>
      </c>
      <c r="C2392" t="str">
        <f t="shared" si="133"/>
        <v>48</v>
      </c>
      <c r="D2392" t="str">
        <f>"23"</f>
        <v>23</v>
      </c>
      <c r="E2392" t="str">
        <f>"1-48-23"</f>
        <v>1-48-23</v>
      </c>
      <c r="F2392" t="s">
        <v>65</v>
      </c>
      <c r="G2392" t="s">
        <v>66</v>
      </c>
      <c r="H2392" t="s">
        <v>67</v>
      </c>
      <c r="S2392">
        <v>1</v>
      </c>
      <c r="T2392">
        <v>0</v>
      </c>
      <c r="U2392">
        <v>0</v>
      </c>
      <c r="V2392">
        <v>0</v>
      </c>
      <c r="W2392">
        <v>1</v>
      </c>
      <c r="X2392">
        <v>0</v>
      </c>
      <c r="Y2392">
        <v>1</v>
      </c>
      <c r="Z2392">
        <v>0</v>
      </c>
      <c r="AA2392">
        <v>1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</row>
    <row r="2393" spans="1:39" x14ac:dyDescent="0.2">
      <c r="A2393" t="str">
        <f>"2389"</f>
        <v>2389</v>
      </c>
      <c r="B2393" t="str">
        <f t="shared" si="132"/>
        <v>1</v>
      </c>
      <c r="C2393" t="str">
        <f t="shared" si="133"/>
        <v>48</v>
      </c>
      <c r="D2393" t="str">
        <f>"1"</f>
        <v>1</v>
      </c>
      <c r="E2393" t="str">
        <f>"1-48-1"</f>
        <v>1-48-1</v>
      </c>
      <c r="F2393" t="s">
        <v>65</v>
      </c>
      <c r="G2393" t="s">
        <v>66</v>
      </c>
      <c r="H2393" t="s">
        <v>67</v>
      </c>
      <c r="S2393">
        <v>1</v>
      </c>
      <c r="T2393">
        <v>0</v>
      </c>
      <c r="U2393">
        <v>0</v>
      </c>
      <c r="V2393">
        <v>0</v>
      </c>
      <c r="W2393">
        <v>1</v>
      </c>
      <c r="X2393">
        <v>0</v>
      </c>
      <c r="Y2393">
        <v>1</v>
      </c>
      <c r="Z2393">
        <v>0</v>
      </c>
      <c r="AA2393">
        <v>0</v>
      </c>
      <c r="AB2393">
        <v>0</v>
      </c>
      <c r="AC2393">
        <v>1</v>
      </c>
      <c r="AD2393">
        <v>1</v>
      </c>
      <c r="AE2393">
        <v>1</v>
      </c>
      <c r="AF2393">
        <v>1</v>
      </c>
      <c r="AG2393">
        <v>1</v>
      </c>
      <c r="AH2393">
        <v>1</v>
      </c>
      <c r="AI2393">
        <v>1</v>
      </c>
      <c r="AJ2393">
        <v>1</v>
      </c>
      <c r="AK2393">
        <v>1</v>
      </c>
      <c r="AL2393">
        <v>1</v>
      </c>
      <c r="AM2393">
        <v>1</v>
      </c>
    </row>
    <row r="2394" spans="1:39" x14ac:dyDescent="0.2">
      <c r="A2394" t="str">
        <f>"2390"</f>
        <v>2390</v>
      </c>
      <c r="B2394" t="str">
        <f t="shared" si="132"/>
        <v>1</v>
      </c>
      <c r="C2394" t="str">
        <f t="shared" si="133"/>
        <v>48</v>
      </c>
      <c r="D2394" t="str">
        <f>"24"</f>
        <v>24</v>
      </c>
      <c r="E2394" t="str">
        <f>"1-48-24"</f>
        <v>1-48-24</v>
      </c>
      <c r="F2394" t="s">
        <v>65</v>
      </c>
      <c r="G2394" t="s">
        <v>66</v>
      </c>
      <c r="H2394" t="s">
        <v>67</v>
      </c>
      <c r="S2394">
        <v>1</v>
      </c>
      <c r="T2394">
        <v>0</v>
      </c>
      <c r="U2394">
        <v>0</v>
      </c>
      <c r="V2394">
        <v>0</v>
      </c>
      <c r="W2394">
        <v>1</v>
      </c>
      <c r="X2394">
        <v>0</v>
      </c>
      <c r="Y2394">
        <v>1</v>
      </c>
      <c r="Z2394">
        <v>0</v>
      </c>
      <c r="AA2394">
        <v>1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</row>
    <row r="2395" spans="1:39" x14ac:dyDescent="0.2">
      <c r="A2395" t="str">
        <f>"2391"</f>
        <v>2391</v>
      </c>
      <c r="B2395" t="str">
        <f t="shared" si="132"/>
        <v>1</v>
      </c>
      <c r="C2395" t="str">
        <f t="shared" si="133"/>
        <v>48</v>
      </c>
      <c r="D2395" t="str">
        <f>"12"</f>
        <v>12</v>
      </c>
      <c r="E2395" t="str">
        <f>"1-48-12"</f>
        <v>1-48-12</v>
      </c>
      <c r="F2395" t="s">
        <v>65</v>
      </c>
      <c r="G2395" t="s">
        <v>66</v>
      </c>
      <c r="H2395" t="s">
        <v>67</v>
      </c>
      <c r="S2395">
        <v>0</v>
      </c>
      <c r="T2395">
        <v>1</v>
      </c>
      <c r="U2395">
        <v>0</v>
      </c>
      <c r="V2395">
        <v>0</v>
      </c>
      <c r="W2395">
        <v>0</v>
      </c>
      <c r="X2395">
        <v>1</v>
      </c>
      <c r="Y2395">
        <v>0</v>
      </c>
      <c r="Z2395">
        <v>1</v>
      </c>
      <c r="AA2395">
        <v>0</v>
      </c>
      <c r="AB2395">
        <v>0</v>
      </c>
      <c r="AC2395">
        <v>1</v>
      </c>
      <c r="AD2395">
        <v>1</v>
      </c>
      <c r="AE2395">
        <v>1</v>
      </c>
      <c r="AF2395">
        <v>1</v>
      </c>
      <c r="AG2395">
        <v>1</v>
      </c>
      <c r="AH2395">
        <v>1</v>
      </c>
      <c r="AI2395">
        <v>1</v>
      </c>
      <c r="AJ2395">
        <v>1</v>
      </c>
      <c r="AK2395">
        <v>1</v>
      </c>
      <c r="AL2395">
        <v>1</v>
      </c>
      <c r="AM2395">
        <v>1</v>
      </c>
    </row>
    <row r="2396" spans="1:39" x14ac:dyDescent="0.2">
      <c r="A2396" t="str">
        <f>"2392"</f>
        <v>2392</v>
      </c>
      <c r="B2396" t="str">
        <f t="shared" si="132"/>
        <v>1</v>
      </c>
      <c r="C2396" t="str">
        <f t="shared" si="133"/>
        <v>48</v>
      </c>
      <c r="D2396" t="str">
        <f>"25"</f>
        <v>25</v>
      </c>
      <c r="E2396" t="str">
        <f>"1-48-25"</f>
        <v>1-48-25</v>
      </c>
      <c r="F2396" t="s">
        <v>65</v>
      </c>
      <c r="G2396" t="s">
        <v>66</v>
      </c>
      <c r="H2396" t="s">
        <v>67</v>
      </c>
      <c r="S2396">
        <v>1</v>
      </c>
      <c r="T2396">
        <v>0</v>
      </c>
      <c r="U2396">
        <v>0</v>
      </c>
      <c r="V2396">
        <v>0</v>
      </c>
      <c r="W2396">
        <v>1</v>
      </c>
      <c r="X2396">
        <v>0</v>
      </c>
      <c r="Y2396">
        <v>1</v>
      </c>
      <c r="Z2396">
        <v>0</v>
      </c>
      <c r="AA2396">
        <v>1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</row>
    <row r="2397" spans="1:39" x14ac:dyDescent="0.2">
      <c r="A2397" t="str">
        <f>"2393"</f>
        <v>2393</v>
      </c>
      <c r="B2397" t="str">
        <f t="shared" si="132"/>
        <v>1</v>
      </c>
      <c r="C2397" t="str">
        <f t="shared" si="133"/>
        <v>48</v>
      </c>
      <c r="D2397" t="str">
        <f>"13"</f>
        <v>13</v>
      </c>
      <c r="E2397" t="str">
        <f>"1-48-13"</f>
        <v>1-48-13</v>
      </c>
      <c r="F2397" t="s">
        <v>65</v>
      </c>
      <c r="G2397" t="s">
        <v>66</v>
      </c>
      <c r="H2397" t="s">
        <v>67</v>
      </c>
      <c r="S2397">
        <v>0</v>
      </c>
      <c r="T2397">
        <v>1</v>
      </c>
      <c r="U2397">
        <v>0</v>
      </c>
      <c r="V2397">
        <v>0</v>
      </c>
      <c r="W2397">
        <v>0</v>
      </c>
      <c r="X2397">
        <v>1</v>
      </c>
      <c r="Y2397">
        <v>0</v>
      </c>
      <c r="Z2397">
        <v>1</v>
      </c>
      <c r="AA2397">
        <v>0</v>
      </c>
      <c r="AB2397">
        <v>1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</row>
    <row r="2398" spans="1:39" x14ac:dyDescent="0.2">
      <c r="A2398" t="str">
        <f>"2394"</f>
        <v>2394</v>
      </c>
      <c r="B2398" t="str">
        <f t="shared" si="132"/>
        <v>1</v>
      </c>
      <c r="C2398" t="str">
        <f t="shared" si="133"/>
        <v>48</v>
      </c>
      <c r="D2398" t="str">
        <f>"28"</f>
        <v>28</v>
      </c>
      <c r="E2398" t="str">
        <f>"1-48-28"</f>
        <v>1-48-28</v>
      </c>
      <c r="F2398" t="s">
        <v>65</v>
      </c>
      <c r="G2398" t="s">
        <v>66</v>
      </c>
      <c r="H2398" t="s">
        <v>67</v>
      </c>
      <c r="S2398">
        <v>1</v>
      </c>
      <c r="T2398">
        <v>0</v>
      </c>
      <c r="U2398">
        <v>0</v>
      </c>
      <c r="V2398">
        <v>0</v>
      </c>
      <c r="W2398">
        <v>1</v>
      </c>
      <c r="X2398">
        <v>0</v>
      </c>
      <c r="Y2398">
        <v>1</v>
      </c>
      <c r="Z2398">
        <v>0</v>
      </c>
      <c r="AA2398">
        <v>0</v>
      </c>
      <c r="AB2398">
        <v>0</v>
      </c>
      <c r="AC2398">
        <v>0</v>
      </c>
      <c r="AD2398">
        <v>1</v>
      </c>
      <c r="AE2398">
        <v>1</v>
      </c>
      <c r="AF2398">
        <v>1</v>
      </c>
      <c r="AG2398">
        <v>1</v>
      </c>
      <c r="AH2398">
        <v>1</v>
      </c>
      <c r="AI2398">
        <v>1</v>
      </c>
      <c r="AJ2398">
        <v>1</v>
      </c>
      <c r="AK2398">
        <v>1</v>
      </c>
      <c r="AL2398">
        <v>1</v>
      </c>
      <c r="AM2398">
        <v>1</v>
      </c>
    </row>
    <row r="2399" spans="1:39" x14ac:dyDescent="0.2">
      <c r="A2399" t="str">
        <f>"2395"</f>
        <v>2395</v>
      </c>
      <c r="B2399" t="str">
        <f t="shared" si="132"/>
        <v>1</v>
      </c>
      <c r="C2399" t="str">
        <f t="shared" si="133"/>
        <v>48</v>
      </c>
      <c r="D2399" t="str">
        <f>"14"</f>
        <v>14</v>
      </c>
      <c r="E2399" t="str">
        <f>"1-48-14"</f>
        <v>1-48-14</v>
      </c>
      <c r="F2399" t="s">
        <v>65</v>
      </c>
      <c r="G2399" t="s">
        <v>66</v>
      </c>
      <c r="H2399" t="s">
        <v>67</v>
      </c>
      <c r="S2399">
        <v>1</v>
      </c>
      <c r="T2399">
        <v>0</v>
      </c>
      <c r="U2399">
        <v>0</v>
      </c>
      <c r="V2399">
        <v>0</v>
      </c>
      <c r="W2399">
        <v>1</v>
      </c>
      <c r="X2399">
        <v>0</v>
      </c>
      <c r="Y2399">
        <v>1</v>
      </c>
      <c r="Z2399">
        <v>0</v>
      </c>
      <c r="AA2399">
        <v>0</v>
      </c>
      <c r="AB2399">
        <v>1</v>
      </c>
      <c r="AC2399">
        <v>0</v>
      </c>
      <c r="AD2399">
        <v>1</v>
      </c>
      <c r="AE2399">
        <v>1</v>
      </c>
      <c r="AF2399">
        <v>1</v>
      </c>
      <c r="AG2399">
        <v>1</v>
      </c>
      <c r="AH2399">
        <v>1</v>
      </c>
      <c r="AI2399">
        <v>1</v>
      </c>
      <c r="AJ2399">
        <v>0</v>
      </c>
      <c r="AK2399">
        <v>1</v>
      </c>
      <c r="AL2399">
        <v>1</v>
      </c>
      <c r="AM2399">
        <v>1</v>
      </c>
    </row>
    <row r="2400" spans="1:39" x14ac:dyDescent="0.2">
      <c r="A2400" t="str">
        <f>"2396"</f>
        <v>2396</v>
      </c>
      <c r="B2400" t="str">
        <f t="shared" si="132"/>
        <v>1</v>
      </c>
      <c r="C2400" t="str">
        <f t="shared" si="133"/>
        <v>48</v>
      </c>
      <c r="D2400" t="str">
        <f>"31"</f>
        <v>31</v>
      </c>
      <c r="E2400" t="str">
        <f>"1-48-31"</f>
        <v>1-48-31</v>
      </c>
      <c r="F2400" t="s">
        <v>65</v>
      </c>
      <c r="G2400" t="s">
        <v>66</v>
      </c>
      <c r="H2400" t="s">
        <v>67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1</v>
      </c>
      <c r="Y2400">
        <v>0</v>
      </c>
      <c r="Z2400">
        <v>1</v>
      </c>
      <c r="AA2400">
        <v>0</v>
      </c>
      <c r="AB2400">
        <v>0</v>
      </c>
      <c r="AC2400">
        <v>1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1</v>
      </c>
      <c r="AJ2400">
        <v>0</v>
      </c>
      <c r="AK2400">
        <v>0</v>
      </c>
      <c r="AL2400">
        <v>1</v>
      </c>
      <c r="AM2400">
        <v>0</v>
      </c>
    </row>
    <row r="2401" spans="1:39" x14ac:dyDescent="0.2">
      <c r="A2401" t="str">
        <f>"2397"</f>
        <v>2397</v>
      </c>
      <c r="B2401" t="str">
        <f t="shared" si="132"/>
        <v>1</v>
      </c>
      <c r="C2401" t="str">
        <f t="shared" si="133"/>
        <v>48</v>
      </c>
      <c r="D2401" t="str">
        <f>"2"</f>
        <v>2</v>
      </c>
      <c r="E2401" t="str">
        <f>"1-48-2"</f>
        <v>1-48-2</v>
      </c>
      <c r="F2401" t="s">
        <v>65</v>
      </c>
      <c r="G2401" t="s">
        <v>66</v>
      </c>
      <c r="H2401" t="s">
        <v>67</v>
      </c>
      <c r="S2401">
        <v>1</v>
      </c>
      <c r="T2401">
        <v>0</v>
      </c>
      <c r="U2401">
        <v>0</v>
      </c>
      <c r="V2401">
        <v>0</v>
      </c>
      <c r="W2401">
        <v>1</v>
      </c>
      <c r="X2401">
        <v>0</v>
      </c>
      <c r="Y2401">
        <v>0</v>
      </c>
      <c r="Z2401">
        <v>1</v>
      </c>
      <c r="AA2401">
        <v>1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</row>
    <row r="2402" spans="1:39" x14ac:dyDescent="0.2">
      <c r="A2402" t="str">
        <f>"2398"</f>
        <v>2398</v>
      </c>
      <c r="B2402" t="str">
        <f t="shared" si="132"/>
        <v>1</v>
      </c>
      <c r="C2402" t="str">
        <f t="shared" si="133"/>
        <v>48</v>
      </c>
      <c r="D2402" t="str">
        <f>"32"</f>
        <v>32</v>
      </c>
      <c r="E2402" t="str">
        <f>"1-48-32"</f>
        <v>1-48-32</v>
      </c>
      <c r="F2402" t="s">
        <v>65</v>
      </c>
      <c r="G2402" t="s">
        <v>66</v>
      </c>
      <c r="H2402" t="s">
        <v>67</v>
      </c>
      <c r="S2402">
        <v>1</v>
      </c>
      <c r="T2402">
        <v>0</v>
      </c>
      <c r="U2402">
        <v>0</v>
      </c>
      <c r="V2402">
        <v>0</v>
      </c>
      <c r="W2402">
        <v>0</v>
      </c>
      <c r="X2402">
        <v>1</v>
      </c>
      <c r="Y2402">
        <v>0</v>
      </c>
      <c r="Z2402">
        <v>1</v>
      </c>
      <c r="AA2402">
        <v>0</v>
      </c>
      <c r="AB2402">
        <v>0</v>
      </c>
      <c r="AC2402">
        <v>1</v>
      </c>
      <c r="AD2402">
        <v>1</v>
      </c>
      <c r="AE2402">
        <v>1</v>
      </c>
      <c r="AF2402">
        <v>1</v>
      </c>
      <c r="AG2402">
        <v>1</v>
      </c>
      <c r="AH2402">
        <v>1</v>
      </c>
      <c r="AI2402">
        <v>1</v>
      </c>
      <c r="AJ2402">
        <v>1</v>
      </c>
      <c r="AK2402">
        <v>1</v>
      </c>
      <c r="AL2402">
        <v>1</v>
      </c>
      <c r="AM2402">
        <v>1</v>
      </c>
    </row>
    <row r="2403" spans="1:39" x14ac:dyDescent="0.2">
      <c r="A2403" t="str">
        <f>"2399"</f>
        <v>2399</v>
      </c>
      <c r="B2403" t="str">
        <f t="shared" si="132"/>
        <v>1</v>
      </c>
      <c r="C2403" t="str">
        <f t="shared" si="133"/>
        <v>48</v>
      </c>
      <c r="D2403" t="str">
        <f>"5"</f>
        <v>5</v>
      </c>
      <c r="E2403" t="str">
        <f>"1-48-5"</f>
        <v>1-48-5</v>
      </c>
      <c r="F2403" t="s">
        <v>65</v>
      </c>
      <c r="G2403" t="s">
        <v>66</v>
      </c>
      <c r="H2403" t="s">
        <v>67</v>
      </c>
      <c r="S2403">
        <v>0</v>
      </c>
      <c r="T2403">
        <v>1</v>
      </c>
      <c r="U2403">
        <v>0</v>
      </c>
      <c r="V2403">
        <v>0</v>
      </c>
      <c r="W2403">
        <v>0</v>
      </c>
      <c r="X2403">
        <v>1</v>
      </c>
      <c r="Y2403">
        <v>1</v>
      </c>
      <c r="Z2403">
        <v>0</v>
      </c>
      <c r="AA2403">
        <v>0</v>
      </c>
      <c r="AB2403">
        <v>0</v>
      </c>
      <c r="AC2403">
        <v>1</v>
      </c>
      <c r="AD2403">
        <v>1</v>
      </c>
      <c r="AE2403">
        <v>1</v>
      </c>
      <c r="AF2403">
        <v>1</v>
      </c>
      <c r="AG2403">
        <v>1</v>
      </c>
      <c r="AH2403">
        <v>1</v>
      </c>
      <c r="AI2403">
        <v>1</v>
      </c>
      <c r="AJ2403">
        <v>1</v>
      </c>
      <c r="AK2403">
        <v>1</v>
      </c>
      <c r="AL2403">
        <v>1</v>
      </c>
      <c r="AM2403">
        <v>1</v>
      </c>
    </row>
    <row r="2404" spans="1:39" x14ac:dyDescent="0.2">
      <c r="A2404" t="str">
        <f>"2400"</f>
        <v>2400</v>
      </c>
      <c r="B2404" t="str">
        <f t="shared" si="132"/>
        <v>1</v>
      </c>
      <c r="C2404" t="str">
        <f t="shared" si="133"/>
        <v>48</v>
      </c>
      <c r="D2404" t="str">
        <f>"35"</f>
        <v>35</v>
      </c>
      <c r="E2404" t="str">
        <f>"1-48-35"</f>
        <v>1-48-35</v>
      </c>
      <c r="F2404" t="s">
        <v>65</v>
      </c>
      <c r="G2404" t="s">
        <v>66</v>
      </c>
      <c r="H2404" t="s">
        <v>67</v>
      </c>
      <c r="S2404">
        <v>0</v>
      </c>
      <c r="T2404">
        <v>1</v>
      </c>
      <c r="U2404">
        <v>0</v>
      </c>
      <c r="V2404">
        <v>0</v>
      </c>
      <c r="W2404">
        <v>1</v>
      </c>
      <c r="X2404">
        <v>0</v>
      </c>
      <c r="Y2404">
        <v>0</v>
      </c>
      <c r="Z2404">
        <v>1</v>
      </c>
      <c r="AA2404">
        <v>0</v>
      </c>
      <c r="AB2404">
        <v>0</v>
      </c>
      <c r="AC2404">
        <v>1</v>
      </c>
      <c r="AD2404">
        <v>1</v>
      </c>
      <c r="AE2404">
        <v>1</v>
      </c>
      <c r="AF2404">
        <v>1</v>
      </c>
      <c r="AG2404">
        <v>1</v>
      </c>
      <c r="AH2404">
        <v>1</v>
      </c>
      <c r="AI2404">
        <v>1</v>
      </c>
      <c r="AJ2404">
        <v>1</v>
      </c>
      <c r="AK2404">
        <v>1</v>
      </c>
      <c r="AL2404">
        <v>1</v>
      </c>
      <c r="AM2404">
        <v>1</v>
      </c>
    </row>
    <row r="2405" spans="1:39" x14ac:dyDescent="0.2">
      <c r="A2405" t="str">
        <f>"2401"</f>
        <v>2401</v>
      </c>
      <c r="B2405" t="str">
        <f t="shared" si="132"/>
        <v>1</v>
      </c>
      <c r="C2405" t="str">
        <f t="shared" ref="C2405:C2436" si="134">"49"</f>
        <v>49</v>
      </c>
      <c r="D2405" t="str">
        <f>"44"</f>
        <v>44</v>
      </c>
      <c r="E2405" t="str">
        <f>"1-49-44"</f>
        <v>1-49-44</v>
      </c>
      <c r="F2405" t="s">
        <v>65</v>
      </c>
      <c r="G2405" t="s">
        <v>66</v>
      </c>
      <c r="H2405" t="s">
        <v>67</v>
      </c>
      <c r="S2405">
        <v>1</v>
      </c>
      <c r="T2405">
        <v>0</v>
      </c>
      <c r="U2405">
        <v>0</v>
      </c>
      <c r="V2405">
        <v>0</v>
      </c>
      <c r="W2405">
        <v>0</v>
      </c>
      <c r="X2405">
        <v>1</v>
      </c>
      <c r="Y2405">
        <v>1</v>
      </c>
      <c r="Z2405">
        <v>0</v>
      </c>
      <c r="AA2405">
        <v>0</v>
      </c>
      <c r="AB2405">
        <v>0</v>
      </c>
      <c r="AC2405">
        <v>1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</row>
    <row r="2406" spans="1:39" x14ac:dyDescent="0.2">
      <c r="A2406" t="str">
        <f>"2402"</f>
        <v>2402</v>
      </c>
      <c r="B2406" t="str">
        <f t="shared" si="132"/>
        <v>1</v>
      </c>
      <c r="C2406" t="str">
        <f t="shared" si="134"/>
        <v>49</v>
      </c>
      <c r="D2406" t="str">
        <f>"43"</f>
        <v>43</v>
      </c>
      <c r="E2406" t="str">
        <f>"1-49-43"</f>
        <v>1-49-43</v>
      </c>
      <c r="F2406" t="s">
        <v>65</v>
      </c>
      <c r="G2406" t="s">
        <v>66</v>
      </c>
      <c r="H2406" t="s">
        <v>67</v>
      </c>
      <c r="S2406">
        <v>0</v>
      </c>
      <c r="T2406">
        <v>1</v>
      </c>
      <c r="U2406">
        <v>0</v>
      </c>
      <c r="V2406">
        <v>0</v>
      </c>
      <c r="W2406">
        <v>1</v>
      </c>
      <c r="X2406">
        <v>0</v>
      </c>
      <c r="Y2406">
        <v>1</v>
      </c>
      <c r="Z2406">
        <v>0</v>
      </c>
      <c r="AA2406">
        <v>0</v>
      </c>
      <c r="AB2406">
        <v>0</v>
      </c>
      <c r="AC2406">
        <v>1</v>
      </c>
      <c r="AD2406">
        <v>1</v>
      </c>
      <c r="AE2406">
        <v>1</v>
      </c>
      <c r="AF2406">
        <v>1</v>
      </c>
      <c r="AG2406">
        <v>1</v>
      </c>
      <c r="AH2406">
        <v>1</v>
      </c>
      <c r="AI2406">
        <v>1</v>
      </c>
      <c r="AJ2406">
        <v>1</v>
      </c>
      <c r="AK2406">
        <v>1</v>
      </c>
      <c r="AL2406">
        <v>1</v>
      </c>
      <c r="AM2406">
        <v>1</v>
      </c>
    </row>
    <row r="2407" spans="1:39" x14ac:dyDescent="0.2">
      <c r="A2407" t="str">
        <f>"2403"</f>
        <v>2403</v>
      </c>
      <c r="B2407" t="str">
        <f t="shared" si="132"/>
        <v>1</v>
      </c>
      <c r="C2407" t="str">
        <f t="shared" si="134"/>
        <v>49</v>
      </c>
      <c r="D2407" t="str">
        <f>"28"</f>
        <v>28</v>
      </c>
      <c r="E2407" t="str">
        <f>"1-49-28"</f>
        <v>1-49-28</v>
      </c>
      <c r="F2407" t="s">
        <v>65</v>
      </c>
      <c r="G2407" t="s">
        <v>66</v>
      </c>
      <c r="H2407" t="s">
        <v>67</v>
      </c>
      <c r="S2407">
        <v>1</v>
      </c>
      <c r="T2407">
        <v>0</v>
      </c>
      <c r="U2407">
        <v>0</v>
      </c>
      <c r="V2407">
        <v>0</v>
      </c>
      <c r="W2407">
        <v>1</v>
      </c>
      <c r="X2407">
        <v>0</v>
      </c>
      <c r="Y2407">
        <v>0</v>
      </c>
      <c r="Z2407">
        <v>1</v>
      </c>
      <c r="AA2407">
        <v>0</v>
      </c>
      <c r="AB2407">
        <v>0</v>
      </c>
      <c r="AC2407">
        <v>0</v>
      </c>
      <c r="AD2407">
        <v>0</v>
      </c>
      <c r="AE2407">
        <v>1</v>
      </c>
      <c r="AF2407">
        <v>0</v>
      </c>
      <c r="AG2407">
        <v>0</v>
      </c>
      <c r="AH2407">
        <v>1</v>
      </c>
      <c r="AI2407">
        <v>1</v>
      </c>
      <c r="AJ2407">
        <v>1</v>
      </c>
      <c r="AK2407">
        <v>1</v>
      </c>
      <c r="AL2407">
        <v>1</v>
      </c>
      <c r="AM2407">
        <v>1</v>
      </c>
    </row>
    <row r="2408" spans="1:39" x14ac:dyDescent="0.2">
      <c r="A2408" t="str">
        <f>"2404"</f>
        <v>2404</v>
      </c>
      <c r="B2408" t="str">
        <f t="shared" si="132"/>
        <v>1</v>
      </c>
      <c r="C2408" t="str">
        <f t="shared" si="134"/>
        <v>49</v>
      </c>
      <c r="D2408" t="str">
        <f>"27"</f>
        <v>27</v>
      </c>
      <c r="E2408" t="str">
        <f>"1-49-27"</f>
        <v>1-49-27</v>
      </c>
      <c r="F2408" t="s">
        <v>65</v>
      </c>
      <c r="G2408" t="s">
        <v>66</v>
      </c>
      <c r="H2408" t="s">
        <v>67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1</v>
      </c>
      <c r="AH2408">
        <v>1</v>
      </c>
      <c r="AI2408">
        <v>1</v>
      </c>
      <c r="AJ2408">
        <v>1</v>
      </c>
      <c r="AK2408">
        <v>1</v>
      </c>
      <c r="AL2408">
        <v>1</v>
      </c>
      <c r="AM2408">
        <v>1</v>
      </c>
    </row>
    <row r="2409" spans="1:39" x14ac:dyDescent="0.2">
      <c r="A2409" t="str">
        <f>"2405"</f>
        <v>2405</v>
      </c>
      <c r="B2409" t="str">
        <f t="shared" si="132"/>
        <v>1</v>
      </c>
      <c r="C2409" t="str">
        <f t="shared" si="134"/>
        <v>49</v>
      </c>
      <c r="D2409" t="str">
        <f>"21"</f>
        <v>21</v>
      </c>
      <c r="E2409" t="str">
        <f>"1-49-21"</f>
        <v>1-49-21</v>
      </c>
      <c r="F2409" t="s">
        <v>65</v>
      </c>
      <c r="G2409" t="s">
        <v>66</v>
      </c>
      <c r="H2409" t="s">
        <v>67</v>
      </c>
      <c r="S2409">
        <v>0</v>
      </c>
      <c r="T2409">
        <v>1</v>
      </c>
      <c r="U2409">
        <v>0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0</v>
      </c>
      <c r="AB2409">
        <v>0</v>
      </c>
      <c r="AC2409">
        <v>1</v>
      </c>
      <c r="AD2409">
        <v>0</v>
      </c>
      <c r="AE2409">
        <v>0</v>
      </c>
      <c r="AF2409">
        <v>0</v>
      </c>
      <c r="AG2409">
        <v>0</v>
      </c>
      <c r="AH2409">
        <v>1</v>
      </c>
      <c r="AI2409">
        <v>1</v>
      </c>
      <c r="AJ2409">
        <v>1</v>
      </c>
      <c r="AK2409">
        <v>1</v>
      </c>
      <c r="AL2409">
        <v>0</v>
      </c>
      <c r="AM2409">
        <v>0</v>
      </c>
    </row>
    <row r="2410" spans="1:39" x14ac:dyDescent="0.2">
      <c r="A2410" t="str">
        <f>"2406"</f>
        <v>2406</v>
      </c>
      <c r="B2410" t="str">
        <f t="shared" si="132"/>
        <v>1</v>
      </c>
      <c r="C2410" t="str">
        <f t="shared" si="134"/>
        <v>49</v>
      </c>
      <c r="D2410" t="str">
        <f>"15"</f>
        <v>15</v>
      </c>
      <c r="E2410" t="str">
        <f>"1-49-15"</f>
        <v>1-49-15</v>
      </c>
      <c r="F2410" t="s">
        <v>65</v>
      </c>
      <c r="G2410" t="s">
        <v>66</v>
      </c>
      <c r="H2410" t="s">
        <v>67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1</v>
      </c>
      <c r="Y2410">
        <v>1</v>
      </c>
      <c r="Z2410">
        <v>0</v>
      </c>
      <c r="AA2410">
        <v>0</v>
      </c>
      <c r="AB2410">
        <v>1</v>
      </c>
      <c r="AC2410">
        <v>0</v>
      </c>
      <c r="AD2410">
        <v>1</v>
      </c>
      <c r="AE2410">
        <v>1</v>
      </c>
      <c r="AF2410">
        <v>1</v>
      </c>
      <c r="AG2410">
        <v>1</v>
      </c>
      <c r="AH2410">
        <v>1</v>
      </c>
      <c r="AI2410">
        <v>1</v>
      </c>
      <c r="AJ2410">
        <v>1</v>
      </c>
      <c r="AK2410">
        <v>1</v>
      </c>
      <c r="AL2410">
        <v>1</v>
      </c>
      <c r="AM2410">
        <v>1</v>
      </c>
    </row>
    <row r="2411" spans="1:39" x14ac:dyDescent="0.2">
      <c r="A2411" t="str">
        <f>"2407"</f>
        <v>2407</v>
      </c>
      <c r="B2411" t="str">
        <f t="shared" si="132"/>
        <v>1</v>
      </c>
      <c r="C2411" t="str">
        <f t="shared" si="134"/>
        <v>49</v>
      </c>
      <c r="D2411" t="str">
        <f>"2"</f>
        <v>2</v>
      </c>
      <c r="E2411" t="str">
        <f>"1-49-2"</f>
        <v>1-49-2</v>
      </c>
      <c r="F2411" t="s">
        <v>65</v>
      </c>
      <c r="G2411" t="s">
        <v>66</v>
      </c>
      <c r="H2411" t="s">
        <v>67</v>
      </c>
      <c r="S2411">
        <v>1</v>
      </c>
      <c r="T2411">
        <v>0</v>
      </c>
      <c r="U2411">
        <v>0</v>
      </c>
      <c r="V2411">
        <v>0</v>
      </c>
      <c r="W2411">
        <v>0</v>
      </c>
      <c r="X2411">
        <v>1</v>
      </c>
      <c r="Y2411">
        <v>0</v>
      </c>
      <c r="Z2411">
        <v>1</v>
      </c>
      <c r="AA2411">
        <v>0</v>
      </c>
      <c r="AB2411">
        <v>1</v>
      </c>
      <c r="AC2411">
        <v>0</v>
      </c>
      <c r="AD2411">
        <v>1</v>
      </c>
      <c r="AE2411">
        <v>1</v>
      </c>
      <c r="AF2411">
        <v>1</v>
      </c>
      <c r="AG2411">
        <v>1</v>
      </c>
      <c r="AH2411">
        <v>1</v>
      </c>
      <c r="AI2411">
        <v>1</v>
      </c>
      <c r="AJ2411">
        <v>1</v>
      </c>
      <c r="AK2411">
        <v>1</v>
      </c>
      <c r="AL2411">
        <v>1</v>
      </c>
      <c r="AM2411">
        <v>1</v>
      </c>
    </row>
    <row r="2412" spans="1:39" x14ac:dyDescent="0.2">
      <c r="A2412" t="str">
        <f>"2408"</f>
        <v>2408</v>
      </c>
      <c r="B2412" t="str">
        <f t="shared" si="132"/>
        <v>1</v>
      </c>
      <c r="C2412" t="str">
        <f t="shared" si="134"/>
        <v>49</v>
      </c>
      <c r="D2412" t="str">
        <f>"38"</f>
        <v>38</v>
      </c>
      <c r="E2412" t="str">
        <f>"1-49-38"</f>
        <v>1-49-38</v>
      </c>
      <c r="F2412" t="s">
        <v>65</v>
      </c>
      <c r="G2412" t="s">
        <v>66</v>
      </c>
      <c r="H2412" t="s">
        <v>67</v>
      </c>
      <c r="S2412">
        <v>1</v>
      </c>
      <c r="T2412">
        <v>0</v>
      </c>
      <c r="U2412">
        <v>0</v>
      </c>
      <c r="V2412">
        <v>0</v>
      </c>
      <c r="W2412">
        <v>1</v>
      </c>
      <c r="X2412">
        <v>0</v>
      </c>
      <c r="Y2412">
        <v>0</v>
      </c>
      <c r="Z2412">
        <v>1</v>
      </c>
      <c r="AA2412">
        <v>0</v>
      </c>
      <c r="AB2412">
        <v>1</v>
      </c>
      <c r="AC2412">
        <v>0</v>
      </c>
      <c r="AD2412">
        <v>1</v>
      </c>
      <c r="AE2412">
        <v>1</v>
      </c>
      <c r="AF2412">
        <v>1</v>
      </c>
      <c r="AG2412">
        <v>1</v>
      </c>
      <c r="AH2412">
        <v>1</v>
      </c>
      <c r="AI2412">
        <v>1</v>
      </c>
      <c r="AJ2412">
        <v>1</v>
      </c>
      <c r="AK2412">
        <v>1</v>
      </c>
      <c r="AL2412">
        <v>1</v>
      </c>
      <c r="AM2412">
        <v>1</v>
      </c>
    </row>
    <row r="2413" spans="1:39" x14ac:dyDescent="0.2">
      <c r="A2413" t="str">
        <f>"2409"</f>
        <v>2409</v>
      </c>
      <c r="B2413" t="str">
        <f t="shared" si="132"/>
        <v>1</v>
      </c>
      <c r="C2413" t="str">
        <f t="shared" si="134"/>
        <v>49</v>
      </c>
      <c r="D2413" t="str">
        <f>"37"</f>
        <v>37</v>
      </c>
      <c r="E2413" t="str">
        <f>"1-49-37"</f>
        <v>1-49-37</v>
      </c>
      <c r="F2413" t="s">
        <v>65</v>
      </c>
      <c r="G2413" t="s">
        <v>66</v>
      </c>
      <c r="H2413" t="s">
        <v>67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1</v>
      </c>
      <c r="Y2413">
        <v>0</v>
      </c>
      <c r="Z2413">
        <v>1</v>
      </c>
      <c r="AA2413">
        <v>0</v>
      </c>
      <c r="AB2413">
        <v>0</v>
      </c>
      <c r="AC2413">
        <v>0</v>
      </c>
      <c r="AD2413">
        <v>1</v>
      </c>
      <c r="AE2413">
        <v>1</v>
      </c>
      <c r="AF2413">
        <v>1</v>
      </c>
      <c r="AG2413">
        <v>1</v>
      </c>
      <c r="AH2413">
        <v>1</v>
      </c>
      <c r="AI2413">
        <v>1</v>
      </c>
      <c r="AJ2413">
        <v>1</v>
      </c>
      <c r="AK2413">
        <v>0</v>
      </c>
      <c r="AL2413">
        <v>1</v>
      </c>
      <c r="AM2413">
        <v>0</v>
      </c>
    </row>
    <row r="2414" spans="1:39" x14ac:dyDescent="0.2">
      <c r="A2414" t="str">
        <f>"2410"</f>
        <v>2410</v>
      </c>
      <c r="B2414" t="str">
        <f t="shared" si="132"/>
        <v>1</v>
      </c>
      <c r="C2414" t="str">
        <f t="shared" si="134"/>
        <v>49</v>
      </c>
      <c r="D2414" t="str">
        <f>"22"</f>
        <v>22</v>
      </c>
      <c r="E2414" t="str">
        <f>"1-49-22"</f>
        <v>1-49-22</v>
      </c>
      <c r="F2414" t="s">
        <v>65</v>
      </c>
      <c r="G2414" t="s">
        <v>66</v>
      </c>
      <c r="H2414" t="s">
        <v>67</v>
      </c>
      <c r="S2414">
        <v>0</v>
      </c>
      <c r="T2414">
        <v>1</v>
      </c>
      <c r="U2414">
        <v>0</v>
      </c>
      <c r="V2414">
        <v>0</v>
      </c>
      <c r="W2414">
        <v>0</v>
      </c>
      <c r="X2414">
        <v>1</v>
      </c>
      <c r="Y2414">
        <v>0</v>
      </c>
      <c r="Z2414">
        <v>1</v>
      </c>
      <c r="AA2414">
        <v>0</v>
      </c>
      <c r="AB2414">
        <v>0</v>
      </c>
      <c r="AC2414">
        <v>1</v>
      </c>
      <c r="AD2414">
        <v>1</v>
      </c>
      <c r="AE2414">
        <v>1</v>
      </c>
      <c r="AF2414">
        <v>1</v>
      </c>
      <c r="AG2414">
        <v>1</v>
      </c>
      <c r="AH2414">
        <v>1</v>
      </c>
      <c r="AI2414">
        <v>1</v>
      </c>
      <c r="AJ2414">
        <v>1</v>
      </c>
      <c r="AK2414">
        <v>1</v>
      </c>
      <c r="AL2414">
        <v>1</v>
      </c>
      <c r="AM2414">
        <v>1</v>
      </c>
    </row>
    <row r="2415" spans="1:39" x14ac:dyDescent="0.2">
      <c r="A2415" t="str">
        <f>"2411"</f>
        <v>2411</v>
      </c>
      <c r="B2415" t="str">
        <f t="shared" si="132"/>
        <v>1</v>
      </c>
      <c r="C2415" t="str">
        <f t="shared" si="134"/>
        <v>49</v>
      </c>
      <c r="D2415" t="str">
        <f>"16"</f>
        <v>16</v>
      </c>
      <c r="E2415" t="str">
        <f>"1-49-16"</f>
        <v>1-49-16</v>
      </c>
      <c r="F2415" t="s">
        <v>65</v>
      </c>
      <c r="G2415" t="s">
        <v>66</v>
      </c>
      <c r="H2415" t="s">
        <v>67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</row>
    <row r="2416" spans="1:39" x14ac:dyDescent="0.2">
      <c r="A2416" t="str">
        <f>"2412"</f>
        <v>2412</v>
      </c>
      <c r="B2416" t="str">
        <f t="shared" si="132"/>
        <v>1</v>
      </c>
      <c r="C2416" t="str">
        <f t="shared" si="134"/>
        <v>49</v>
      </c>
      <c r="D2416" t="str">
        <f>"1"</f>
        <v>1</v>
      </c>
      <c r="E2416" t="str">
        <f>"1-49-1"</f>
        <v>1-49-1</v>
      </c>
      <c r="F2416" t="s">
        <v>65</v>
      </c>
      <c r="G2416" t="s">
        <v>66</v>
      </c>
      <c r="H2416" t="s">
        <v>67</v>
      </c>
      <c r="S2416">
        <v>1</v>
      </c>
      <c r="T2416">
        <v>0</v>
      </c>
      <c r="U2416">
        <v>0</v>
      </c>
      <c r="V2416">
        <v>0</v>
      </c>
      <c r="W2416">
        <v>1</v>
      </c>
      <c r="X2416">
        <v>0</v>
      </c>
      <c r="Y2416">
        <v>1</v>
      </c>
      <c r="Z2416">
        <v>0</v>
      </c>
      <c r="AA2416">
        <v>0</v>
      </c>
      <c r="AB2416">
        <v>0</v>
      </c>
      <c r="AC2416">
        <v>1</v>
      </c>
      <c r="AD2416">
        <v>1</v>
      </c>
      <c r="AE2416">
        <v>1</v>
      </c>
      <c r="AF2416">
        <v>1</v>
      </c>
      <c r="AG2416">
        <v>1</v>
      </c>
      <c r="AH2416">
        <v>1</v>
      </c>
      <c r="AI2416">
        <v>1</v>
      </c>
      <c r="AJ2416">
        <v>1</v>
      </c>
      <c r="AK2416">
        <v>1</v>
      </c>
      <c r="AL2416">
        <v>1</v>
      </c>
      <c r="AM2416">
        <v>1</v>
      </c>
    </row>
    <row r="2417" spans="1:39" x14ac:dyDescent="0.2">
      <c r="A2417" t="str">
        <f>"2413"</f>
        <v>2413</v>
      </c>
      <c r="B2417" t="str">
        <f t="shared" si="132"/>
        <v>1</v>
      </c>
      <c r="C2417" t="str">
        <f t="shared" si="134"/>
        <v>49</v>
      </c>
      <c r="D2417" t="str">
        <f>"42"</f>
        <v>42</v>
      </c>
      <c r="E2417" t="str">
        <f>"1-49-42"</f>
        <v>1-49-42</v>
      </c>
      <c r="F2417" t="s">
        <v>65</v>
      </c>
      <c r="G2417" t="s">
        <v>66</v>
      </c>
      <c r="H2417" t="s">
        <v>67</v>
      </c>
      <c r="S2417">
        <v>1</v>
      </c>
      <c r="T2417">
        <v>0</v>
      </c>
      <c r="U2417">
        <v>0</v>
      </c>
      <c r="V2417">
        <v>0</v>
      </c>
      <c r="W2417">
        <v>0</v>
      </c>
      <c r="X2417">
        <v>1</v>
      </c>
      <c r="Y2417">
        <v>1</v>
      </c>
      <c r="Z2417">
        <v>0</v>
      </c>
      <c r="AA2417">
        <v>1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1</v>
      </c>
      <c r="AH2417">
        <v>0</v>
      </c>
      <c r="AI2417">
        <v>0</v>
      </c>
      <c r="AJ2417">
        <v>0</v>
      </c>
      <c r="AK2417">
        <v>0</v>
      </c>
      <c r="AL2417">
        <v>1</v>
      </c>
      <c r="AM2417">
        <v>0</v>
      </c>
    </row>
    <row r="2418" spans="1:39" x14ac:dyDescent="0.2">
      <c r="A2418" t="str">
        <f>"2414"</f>
        <v>2414</v>
      </c>
      <c r="B2418" t="str">
        <f t="shared" si="132"/>
        <v>1</v>
      </c>
      <c r="C2418" t="str">
        <f t="shared" si="134"/>
        <v>49</v>
      </c>
      <c r="D2418" t="str">
        <f>"41"</f>
        <v>41</v>
      </c>
      <c r="E2418" t="str">
        <f>"1-49-41"</f>
        <v>1-49-41</v>
      </c>
      <c r="F2418" t="s">
        <v>65</v>
      </c>
      <c r="G2418" t="s">
        <v>66</v>
      </c>
      <c r="H2418" t="s">
        <v>67</v>
      </c>
      <c r="S2418">
        <v>0</v>
      </c>
      <c r="T2418">
        <v>1</v>
      </c>
      <c r="U2418">
        <v>0</v>
      </c>
      <c r="V2418">
        <v>0</v>
      </c>
      <c r="W2418">
        <v>0</v>
      </c>
      <c r="X2418">
        <v>1</v>
      </c>
      <c r="Y2418">
        <v>0</v>
      </c>
      <c r="Z2418">
        <v>1</v>
      </c>
      <c r="AA2418">
        <v>0</v>
      </c>
      <c r="AB2418">
        <v>1</v>
      </c>
      <c r="AC2418">
        <v>0</v>
      </c>
      <c r="AD2418">
        <v>1</v>
      </c>
      <c r="AE2418">
        <v>1</v>
      </c>
      <c r="AF2418">
        <v>1</v>
      </c>
      <c r="AG2418">
        <v>1</v>
      </c>
      <c r="AH2418">
        <v>1</v>
      </c>
      <c r="AI2418">
        <v>1</v>
      </c>
      <c r="AJ2418">
        <v>1</v>
      </c>
      <c r="AK2418">
        <v>1</v>
      </c>
      <c r="AL2418">
        <v>1</v>
      </c>
      <c r="AM2418">
        <v>1</v>
      </c>
    </row>
    <row r="2419" spans="1:39" x14ac:dyDescent="0.2">
      <c r="A2419" t="str">
        <f>"2415"</f>
        <v>2415</v>
      </c>
      <c r="B2419" t="str">
        <f t="shared" si="132"/>
        <v>1</v>
      </c>
      <c r="C2419" t="str">
        <f t="shared" si="134"/>
        <v>49</v>
      </c>
      <c r="D2419" t="str">
        <f>"31"</f>
        <v>31</v>
      </c>
      <c r="E2419" t="str">
        <f>"1-49-31"</f>
        <v>1-49-31</v>
      </c>
      <c r="F2419" t="s">
        <v>65</v>
      </c>
      <c r="G2419" t="s">
        <v>66</v>
      </c>
      <c r="H2419" t="s">
        <v>67</v>
      </c>
      <c r="S2419">
        <v>1</v>
      </c>
      <c r="T2419">
        <v>0</v>
      </c>
      <c r="U2419">
        <v>0</v>
      </c>
      <c r="V2419">
        <v>0</v>
      </c>
      <c r="W2419">
        <v>0</v>
      </c>
      <c r="X2419">
        <v>1</v>
      </c>
      <c r="Y2419">
        <v>1</v>
      </c>
      <c r="Z2419">
        <v>0</v>
      </c>
      <c r="AA2419">
        <v>0</v>
      </c>
      <c r="AB2419">
        <v>1</v>
      </c>
      <c r="AC2419">
        <v>0</v>
      </c>
      <c r="AD2419">
        <v>1</v>
      </c>
      <c r="AE2419">
        <v>1</v>
      </c>
      <c r="AF2419">
        <v>1</v>
      </c>
      <c r="AG2419">
        <v>1</v>
      </c>
      <c r="AH2419">
        <v>1</v>
      </c>
      <c r="AI2419">
        <v>1</v>
      </c>
      <c r="AJ2419">
        <v>1</v>
      </c>
      <c r="AK2419">
        <v>1</v>
      </c>
      <c r="AL2419">
        <v>1</v>
      </c>
      <c r="AM2419">
        <v>1</v>
      </c>
    </row>
    <row r="2420" spans="1:39" x14ac:dyDescent="0.2">
      <c r="A2420" t="str">
        <f>"2416"</f>
        <v>2416</v>
      </c>
      <c r="B2420" t="str">
        <f t="shared" si="132"/>
        <v>1</v>
      </c>
      <c r="C2420" t="str">
        <f t="shared" si="134"/>
        <v>49</v>
      </c>
      <c r="D2420" t="str">
        <f>"17"</f>
        <v>17</v>
      </c>
      <c r="E2420" t="str">
        <f>"1-49-17"</f>
        <v>1-49-17</v>
      </c>
      <c r="F2420" t="s">
        <v>65</v>
      </c>
      <c r="G2420" t="s">
        <v>66</v>
      </c>
      <c r="H2420" t="s">
        <v>67</v>
      </c>
      <c r="S2420">
        <v>0</v>
      </c>
      <c r="T2420">
        <v>1</v>
      </c>
      <c r="U2420">
        <v>0</v>
      </c>
      <c r="V2420">
        <v>0</v>
      </c>
      <c r="W2420">
        <v>1</v>
      </c>
      <c r="X2420">
        <v>0</v>
      </c>
      <c r="Y2420">
        <v>0</v>
      </c>
      <c r="Z2420">
        <v>1</v>
      </c>
      <c r="AA2420">
        <v>0</v>
      </c>
      <c r="AB2420">
        <v>0</v>
      </c>
      <c r="AC2420">
        <v>1</v>
      </c>
      <c r="AD2420">
        <v>1</v>
      </c>
      <c r="AE2420">
        <v>1</v>
      </c>
      <c r="AF2420">
        <v>1</v>
      </c>
      <c r="AG2420">
        <v>1</v>
      </c>
      <c r="AH2420">
        <v>1</v>
      </c>
      <c r="AI2420">
        <v>1</v>
      </c>
      <c r="AJ2420">
        <v>1</v>
      </c>
      <c r="AK2420">
        <v>1</v>
      </c>
      <c r="AL2420">
        <v>1</v>
      </c>
      <c r="AM2420">
        <v>1</v>
      </c>
    </row>
    <row r="2421" spans="1:39" x14ac:dyDescent="0.2">
      <c r="A2421" t="str">
        <f>"2417"</f>
        <v>2417</v>
      </c>
      <c r="B2421" t="str">
        <f t="shared" si="132"/>
        <v>1</v>
      </c>
      <c r="C2421" t="str">
        <f t="shared" si="134"/>
        <v>49</v>
      </c>
      <c r="D2421" t="str">
        <f>"7"</f>
        <v>7</v>
      </c>
      <c r="E2421" t="str">
        <f>"1-49-7"</f>
        <v>1-49-7</v>
      </c>
      <c r="F2421" t="s">
        <v>65</v>
      </c>
      <c r="G2421" t="s">
        <v>66</v>
      </c>
      <c r="H2421" t="s">
        <v>67</v>
      </c>
      <c r="S2421">
        <v>0</v>
      </c>
      <c r="T2421">
        <v>1</v>
      </c>
      <c r="U2421">
        <v>0</v>
      </c>
      <c r="V2421">
        <v>0</v>
      </c>
      <c r="W2421">
        <v>1</v>
      </c>
      <c r="X2421">
        <v>0</v>
      </c>
      <c r="Y2421">
        <v>1</v>
      </c>
      <c r="Z2421">
        <v>0</v>
      </c>
      <c r="AA2421">
        <v>0</v>
      </c>
      <c r="AB2421">
        <v>0</v>
      </c>
      <c r="AC2421">
        <v>0</v>
      </c>
      <c r="AD2421">
        <v>1</v>
      </c>
      <c r="AE2421">
        <v>1</v>
      </c>
      <c r="AF2421">
        <v>1</v>
      </c>
      <c r="AG2421">
        <v>1</v>
      </c>
      <c r="AH2421">
        <v>1</v>
      </c>
      <c r="AI2421">
        <v>1</v>
      </c>
      <c r="AJ2421">
        <v>1</v>
      </c>
      <c r="AK2421">
        <v>1</v>
      </c>
      <c r="AL2421">
        <v>1</v>
      </c>
      <c r="AM2421">
        <v>1</v>
      </c>
    </row>
    <row r="2422" spans="1:39" x14ac:dyDescent="0.2">
      <c r="A2422" t="str">
        <f>"2418"</f>
        <v>2418</v>
      </c>
      <c r="B2422" t="str">
        <f t="shared" si="132"/>
        <v>1</v>
      </c>
      <c r="C2422" t="str">
        <f t="shared" si="134"/>
        <v>49</v>
      </c>
      <c r="D2422" t="str">
        <f>"40"</f>
        <v>40</v>
      </c>
      <c r="E2422" t="str">
        <f>"1-49-40"</f>
        <v>1-49-40</v>
      </c>
      <c r="F2422" t="s">
        <v>65</v>
      </c>
      <c r="G2422" t="s">
        <v>66</v>
      </c>
      <c r="H2422" t="s">
        <v>67</v>
      </c>
      <c r="S2422">
        <v>0</v>
      </c>
      <c r="T2422">
        <v>1</v>
      </c>
      <c r="U2422">
        <v>0</v>
      </c>
      <c r="V2422">
        <v>0</v>
      </c>
      <c r="W2422">
        <v>0</v>
      </c>
      <c r="X2422">
        <v>1</v>
      </c>
      <c r="Y2422">
        <v>0</v>
      </c>
      <c r="Z2422">
        <v>1</v>
      </c>
      <c r="AA2422">
        <v>0</v>
      </c>
      <c r="AB2422">
        <v>0</v>
      </c>
      <c r="AC2422">
        <v>1</v>
      </c>
      <c r="AD2422">
        <v>1</v>
      </c>
      <c r="AE2422">
        <v>1</v>
      </c>
      <c r="AF2422">
        <v>1</v>
      </c>
      <c r="AG2422">
        <v>1</v>
      </c>
      <c r="AH2422">
        <v>1</v>
      </c>
      <c r="AI2422">
        <v>1</v>
      </c>
      <c r="AJ2422">
        <v>1</v>
      </c>
      <c r="AK2422">
        <v>1</v>
      </c>
      <c r="AL2422">
        <v>1</v>
      </c>
      <c r="AM2422">
        <v>1</v>
      </c>
    </row>
    <row r="2423" spans="1:39" x14ac:dyDescent="0.2">
      <c r="A2423" t="str">
        <f>"2419"</f>
        <v>2419</v>
      </c>
      <c r="B2423" t="str">
        <f t="shared" ref="B2423:B2486" si="135">"1"</f>
        <v>1</v>
      </c>
      <c r="C2423" t="str">
        <f t="shared" si="134"/>
        <v>49</v>
      </c>
      <c r="D2423" t="str">
        <f>"39"</f>
        <v>39</v>
      </c>
      <c r="E2423" t="str">
        <f>"1-49-39"</f>
        <v>1-49-39</v>
      </c>
      <c r="F2423" t="s">
        <v>65</v>
      </c>
      <c r="G2423" t="s">
        <v>66</v>
      </c>
      <c r="H2423" t="s">
        <v>67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1</v>
      </c>
      <c r="AE2423">
        <v>1</v>
      </c>
      <c r="AF2423">
        <v>1</v>
      </c>
      <c r="AG2423">
        <v>1</v>
      </c>
      <c r="AH2423">
        <v>1</v>
      </c>
      <c r="AI2423">
        <v>1</v>
      </c>
      <c r="AJ2423">
        <v>1</v>
      </c>
      <c r="AK2423">
        <v>1</v>
      </c>
      <c r="AL2423">
        <v>1</v>
      </c>
      <c r="AM2423">
        <v>1</v>
      </c>
    </row>
    <row r="2424" spans="1:39" x14ac:dyDescent="0.2">
      <c r="A2424" t="str">
        <f>"2420"</f>
        <v>2420</v>
      </c>
      <c r="B2424" t="str">
        <f t="shared" si="135"/>
        <v>1</v>
      </c>
      <c r="C2424" t="str">
        <f t="shared" si="134"/>
        <v>49</v>
      </c>
      <c r="D2424" t="str">
        <f>"30"</f>
        <v>30</v>
      </c>
      <c r="E2424" t="str">
        <f>"1-49-30"</f>
        <v>1-49-30</v>
      </c>
      <c r="F2424" t="s">
        <v>65</v>
      </c>
      <c r="G2424" t="s">
        <v>66</v>
      </c>
      <c r="H2424" t="s">
        <v>67</v>
      </c>
      <c r="S2424">
        <v>0</v>
      </c>
      <c r="T2424">
        <v>1</v>
      </c>
      <c r="U2424">
        <v>0</v>
      </c>
      <c r="V2424">
        <v>0</v>
      </c>
      <c r="W2424">
        <v>0</v>
      </c>
      <c r="X2424">
        <v>1</v>
      </c>
      <c r="Y2424">
        <v>0</v>
      </c>
      <c r="Z2424">
        <v>1</v>
      </c>
      <c r="AA2424">
        <v>0</v>
      </c>
      <c r="AB2424">
        <v>0</v>
      </c>
      <c r="AC2424">
        <v>1</v>
      </c>
      <c r="AD2424">
        <v>1</v>
      </c>
      <c r="AE2424">
        <v>1</v>
      </c>
      <c r="AF2424">
        <v>1</v>
      </c>
      <c r="AG2424">
        <v>1</v>
      </c>
      <c r="AH2424">
        <v>1</v>
      </c>
      <c r="AI2424">
        <v>1</v>
      </c>
      <c r="AJ2424">
        <v>1</v>
      </c>
      <c r="AK2424">
        <v>1</v>
      </c>
      <c r="AL2424">
        <v>1</v>
      </c>
      <c r="AM2424">
        <v>1</v>
      </c>
    </row>
    <row r="2425" spans="1:39" x14ac:dyDescent="0.2">
      <c r="A2425" t="str">
        <f>"2421"</f>
        <v>2421</v>
      </c>
      <c r="B2425" t="str">
        <f t="shared" si="135"/>
        <v>1</v>
      </c>
      <c r="C2425" t="str">
        <f t="shared" si="134"/>
        <v>49</v>
      </c>
      <c r="D2425" t="str">
        <f>"18"</f>
        <v>18</v>
      </c>
      <c r="E2425" t="str">
        <f>"1-49-18"</f>
        <v>1-49-18</v>
      </c>
      <c r="F2425" t="s">
        <v>65</v>
      </c>
      <c r="G2425" t="s">
        <v>66</v>
      </c>
      <c r="H2425" t="s">
        <v>67</v>
      </c>
      <c r="S2425">
        <v>0</v>
      </c>
      <c r="T2425">
        <v>1</v>
      </c>
      <c r="U2425">
        <v>0</v>
      </c>
      <c r="V2425">
        <v>0</v>
      </c>
      <c r="W2425">
        <v>0</v>
      </c>
      <c r="X2425">
        <v>1</v>
      </c>
      <c r="Y2425">
        <v>0</v>
      </c>
      <c r="Z2425">
        <v>1</v>
      </c>
      <c r="AA2425">
        <v>0</v>
      </c>
      <c r="AB2425">
        <v>0</v>
      </c>
      <c r="AC2425">
        <v>1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</row>
    <row r="2426" spans="1:39" x14ac:dyDescent="0.2">
      <c r="A2426" t="str">
        <f>"2422"</f>
        <v>2422</v>
      </c>
      <c r="B2426" t="str">
        <f t="shared" si="135"/>
        <v>1</v>
      </c>
      <c r="C2426" t="str">
        <f t="shared" si="134"/>
        <v>49</v>
      </c>
      <c r="D2426" t="str">
        <f>"5"</f>
        <v>5</v>
      </c>
      <c r="E2426" t="str">
        <f>"1-49-5"</f>
        <v>1-49-5</v>
      </c>
      <c r="F2426" t="s">
        <v>65</v>
      </c>
      <c r="G2426" t="s">
        <v>66</v>
      </c>
      <c r="H2426" t="s">
        <v>67</v>
      </c>
      <c r="S2426">
        <v>1</v>
      </c>
      <c r="T2426">
        <v>0</v>
      </c>
      <c r="U2426">
        <v>0</v>
      </c>
      <c r="V2426">
        <v>0</v>
      </c>
      <c r="W2426">
        <v>1</v>
      </c>
      <c r="X2426">
        <v>0</v>
      </c>
      <c r="Y2426">
        <v>1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1</v>
      </c>
      <c r="AF2426">
        <v>1</v>
      </c>
      <c r="AG2426">
        <v>1</v>
      </c>
      <c r="AH2426">
        <v>1</v>
      </c>
      <c r="AI2426">
        <v>1</v>
      </c>
      <c r="AJ2426">
        <v>1</v>
      </c>
      <c r="AK2426">
        <v>1</v>
      </c>
      <c r="AL2426">
        <v>1</v>
      </c>
      <c r="AM2426">
        <v>1</v>
      </c>
    </row>
    <row r="2427" spans="1:39" x14ac:dyDescent="0.2">
      <c r="A2427" t="str">
        <f>"2423"</f>
        <v>2423</v>
      </c>
      <c r="B2427" t="str">
        <f t="shared" si="135"/>
        <v>1</v>
      </c>
      <c r="C2427" t="str">
        <f t="shared" si="134"/>
        <v>49</v>
      </c>
      <c r="D2427" t="str">
        <f>"46"</f>
        <v>46</v>
      </c>
      <c r="E2427" t="str">
        <f>"1-49-46"</f>
        <v>1-49-46</v>
      </c>
      <c r="F2427" t="s">
        <v>65</v>
      </c>
      <c r="G2427" t="s">
        <v>66</v>
      </c>
      <c r="H2427" t="s">
        <v>67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</row>
    <row r="2428" spans="1:39" x14ac:dyDescent="0.2">
      <c r="A2428" t="str">
        <f>"2424"</f>
        <v>2424</v>
      </c>
      <c r="B2428" t="str">
        <f t="shared" si="135"/>
        <v>1</v>
      </c>
      <c r="C2428" t="str">
        <f t="shared" si="134"/>
        <v>49</v>
      </c>
      <c r="D2428" t="str">
        <f>"45"</f>
        <v>45</v>
      </c>
      <c r="E2428" t="str">
        <f>"1-49-45"</f>
        <v>1-49-45</v>
      </c>
      <c r="F2428" t="s">
        <v>65</v>
      </c>
      <c r="G2428" t="s">
        <v>66</v>
      </c>
      <c r="H2428" t="s">
        <v>67</v>
      </c>
      <c r="S2428">
        <v>0</v>
      </c>
      <c r="T2428">
        <v>1</v>
      </c>
      <c r="U2428">
        <v>0</v>
      </c>
      <c r="V2428">
        <v>0</v>
      </c>
      <c r="W2428">
        <v>0</v>
      </c>
      <c r="X2428">
        <v>1</v>
      </c>
      <c r="Y2428">
        <v>0</v>
      </c>
      <c r="Z2428">
        <v>1</v>
      </c>
      <c r="AA2428">
        <v>0</v>
      </c>
      <c r="AB2428">
        <v>0</v>
      </c>
      <c r="AC2428">
        <v>1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</row>
    <row r="2429" spans="1:39" x14ac:dyDescent="0.2">
      <c r="A2429" t="str">
        <f>"2425"</f>
        <v>2425</v>
      </c>
      <c r="B2429" t="str">
        <f t="shared" si="135"/>
        <v>1</v>
      </c>
      <c r="C2429" t="str">
        <f t="shared" si="134"/>
        <v>49</v>
      </c>
      <c r="D2429" t="str">
        <f>"33"</f>
        <v>33</v>
      </c>
      <c r="E2429" t="str">
        <f>"1-49-33"</f>
        <v>1-49-33</v>
      </c>
      <c r="F2429" t="s">
        <v>65</v>
      </c>
      <c r="G2429" t="s">
        <v>66</v>
      </c>
      <c r="H2429" t="s">
        <v>67</v>
      </c>
      <c r="S2429">
        <v>0</v>
      </c>
      <c r="T2429">
        <v>1</v>
      </c>
      <c r="U2429">
        <v>0</v>
      </c>
      <c r="V2429">
        <v>0</v>
      </c>
      <c r="W2429">
        <v>0</v>
      </c>
      <c r="X2429">
        <v>1</v>
      </c>
      <c r="Y2429">
        <v>0</v>
      </c>
      <c r="Z2429">
        <v>1</v>
      </c>
      <c r="AA2429">
        <v>0</v>
      </c>
      <c r="AB2429">
        <v>0</v>
      </c>
      <c r="AC2429">
        <v>1</v>
      </c>
      <c r="AD2429">
        <v>1</v>
      </c>
      <c r="AE2429">
        <v>1</v>
      </c>
      <c r="AF2429">
        <v>1</v>
      </c>
      <c r="AG2429">
        <v>1</v>
      </c>
      <c r="AH2429">
        <v>1</v>
      </c>
      <c r="AI2429">
        <v>1</v>
      </c>
      <c r="AJ2429">
        <v>1</v>
      </c>
      <c r="AK2429">
        <v>1</v>
      </c>
      <c r="AL2429">
        <v>1</v>
      </c>
      <c r="AM2429">
        <v>1</v>
      </c>
    </row>
    <row r="2430" spans="1:39" x14ac:dyDescent="0.2">
      <c r="A2430" t="str">
        <f>"2426"</f>
        <v>2426</v>
      </c>
      <c r="B2430" t="str">
        <f t="shared" si="135"/>
        <v>1</v>
      </c>
      <c r="C2430" t="str">
        <f t="shared" si="134"/>
        <v>49</v>
      </c>
      <c r="D2430" t="str">
        <f>"19"</f>
        <v>19</v>
      </c>
      <c r="E2430" t="str">
        <f>"1-49-19"</f>
        <v>1-49-19</v>
      </c>
      <c r="F2430" t="s">
        <v>65</v>
      </c>
      <c r="G2430" t="s">
        <v>66</v>
      </c>
      <c r="H2430" t="s">
        <v>67</v>
      </c>
      <c r="S2430">
        <v>0</v>
      </c>
      <c r="T2430">
        <v>1</v>
      </c>
      <c r="U2430">
        <v>0</v>
      </c>
      <c r="V2430">
        <v>0</v>
      </c>
      <c r="W2430">
        <v>0</v>
      </c>
      <c r="X2430">
        <v>1</v>
      </c>
      <c r="Y2430">
        <v>0</v>
      </c>
      <c r="Z2430">
        <v>1</v>
      </c>
      <c r="AA2430">
        <v>0</v>
      </c>
      <c r="AB2430">
        <v>1</v>
      </c>
      <c r="AC2430">
        <v>0</v>
      </c>
      <c r="AD2430">
        <v>1</v>
      </c>
      <c r="AE2430">
        <v>1</v>
      </c>
      <c r="AF2430">
        <v>1</v>
      </c>
      <c r="AG2430">
        <v>1</v>
      </c>
      <c r="AH2430">
        <v>1</v>
      </c>
      <c r="AI2430">
        <v>1</v>
      </c>
      <c r="AJ2430">
        <v>1</v>
      </c>
      <c r="AK2430">
        <v>1</v>
      </c>
      <c r="AL2430">
        <v>1</v>
      </c>
      <c r="AM2430">
        <v>1</v>
      </c>
    </row>
    <row r="2431" spans="1:39" x14ac:dyDescent="0.2">
      <c r="A2431" t="str">
        <f>"2427"</f>
        <v>2427</v>
      </c>
      <c r="B2431" t="str">
        <f t="shared" si="135"/>
        <v>1</v>
      </c>
      <c r="C2431" t="str">
        <f t="shared" si="134"/>
        <v>49</v>
      </c>
      <c r="D2431" t="str">
        <f>"6"</f>
        <v>6</v>
      </c>
      <c r="E2431" t="str">
        <f>"1-49-6"</f>
        <v>1-49-6</v>
      </c>
      <c r="F2431" t="s">
        <v>65</v>
      </c>
      <c r="G2431" t="s">
        <v>66</v>
      </c>
      <c r="H2431" t="s">
        <v>67</v>
      </c>
      <c r="S2431">
        <v>0</v>
      </c>
      <c r="T2431">
        <v>1</v>
      </c>
      <c r="U2431">
        <v>0</v>
      </c>
      <c r="V2431">
        <v>0</v>
      </c>
      <c r="W2431">
        <v>0</v>
      </c>
      <c r="X2431">
        <v>1</v>
      </c>
      <c r="Y2431">
        <v>0</v>
      </c>
      <c r="Z2431">
        <v>1</v>
      </c>
      <c r="AA2431">
        <v>0</v>
      </c>
      <c r="AB2431">
        <v>1</v>
      </c>
      <c r="AC2431">
        <v>0</v>
      </c>
      <c r="AD2431">
        <v>1</v>
      </c>
      <c r="AE2431">
        <v>1</v>
      </c>
      <c r="AF2431">
        <v>1</v>
      </c>
      <c r="AG2431">
        <v>1</v>
      </c>
      <c r="AH2431">
        <v>1</v>
      </c>
      <c r="AI2431">
        <v>1</v>
      </c>
      <c r="AJ2431">
        <v>1</v>
      </c>
      <c r="AK2431">
        <v>1</v>
      </c>
      <c r="AL2431">
        <v>1</v>
      </c>
      <c r="AM2431">
        <v>1</v>
      </c>
    </row>
    <row r="2432" spans="1:39" x14ac:dyDescent="0.2">
      <c r="A2432" t="str">
        <f>"2428"</f>
        <v>2428</v>
      </c>
      <c r="B2432" t="str">
        <f t="shared" si="135"/>
        <v>1</v>
      </c>
      <c r="C2432" t="str">
        <f t="shared" si="134"/>
        <v>49</v>
      </c>
      <c r="D2432" t="str">
        <f>"48"</f>
        <v>48</v>
      </c>
      <c r="E2432" t="str">
        <f>"1-49-48"</f>
        <v>1-49-48</v>
      </c>
      <c r="F2432" t="s">
        <v>65</v>
      </c>
      <c r="G2432" t="s">
        <v>66</v>
      </c>
      <c r="H2432" t="s">
        <v>67</v>
      </c>
      <c r="S2432">
        <v>1</v>
      </c>
      <c r="T2432">
        <v>0</v>
      </c>
      <c r="U2432">
        <v>0</v>
      </c>
      <c r="V2432">
        <v>0</v>
      </c>
      <c r="W2432">
        <v>1</v>
      </c>
      <c r="X2432">
        <v>0</v>
      </c>
      <c r="Y2432">
        <v>0</v>
      </c>
      <c r="Z2432">
        <v>1</v>
      </c>
      <c r="AA2432">
        <v>1</v>
      </c>
      <c r="AB2432">
        <v>0</v>
      </c>
      <c r="AC2432">
        <v>0</v>
      </c>
      <c r="AD2432">
        <v>1</v>
      </c>
      <c r="AE2432">
        <v>1</v>
      </c>
      <c r="AF2432">
        <v>1</v>
      </c>
      <c r="AG2432">
        <v>1</v>
      </c>
      <c r="AH2432">
        <v>1</v>
      </c>
      <c r="AI2432">
        <v>1</v>
      </c>
      <c r="AJ2432">
        <v>1</v>
      </c>
      <c r="AK2432">
        <v>1</v>
      </c>
      <c r="AL2432">
        <v>1</v>
      </c>
      <c r="AM2432">
        <v>1</v>
      </c>
    </row>
    <row r="2433" spans="1:39" x14ac:dyDescent="0.2">
      <c r="A2433" t="str">
        <f>"2429"</f>
        <v>2429</v>
      </c>
      <c r="B2433" t="str">
        <f t="shared" si="135"/>
        <v>1</v>
      </c>
      <c r="C2433" t="str">
        <f t="shared" si="134"/>
        <v>49</v>
      </c>
      <c r="D2433" t="str">
        <f>"47"</f>
        <v>47</v>
      </c>
      <c r="E2433" t="str">
        <f>"1-49-47"</f>
        <v>1-49-47</v>
      </c>
      <c r="F2433" t="s">
        <v>65</v>
      </c>
      <c r="G2433" t="s">
        <v>66</v>
      </c>
      <c r="H2433" t="s">
        <v>67</v>
      </c>
      <c r="S2433">
        <v>0</v>
      </c>
      <c r="T2433">
        <v>1</v>
      </c>
      <c r="U2433">
        <v>0</v>
      </c>
      <c r="V2433">
        <v>0</v>
      </c>
      <c r="W2433">
        <v>1</v>
      </c>
      <c r="X2433">
        <v>0</v>
      </c>
      <c r="Y2433">
        <v>1</v>
      </c>
      <c r="Z2433">
        <v>0</v>
      </c>
      <c r="AA2433">
        <v>0</v>
      </c>
      <c r="AB2433">
        <v>0</v>
      </c>
      <c r="AC2433">
        <v>1</v>
      </c>
      <c r="AD2433">
        <v>1</v>
      </c>
      <c r="AE2433">
        <v>1</v>
      </c>
      <c r="AF2433">
        <v>1</v>
      </c>
      <c r="AG2433">
        <v>1</v>
      </c>
      <c r="AH2433">
        <v>1</v>
      </c>
      <c r="AI2433">
        <v>1</v>
      </c>
      <c r="AJ2433">
        <v>1</v>
      </c>
      <c r="AK2433">
        <v>1</v>
      </c>
      <c r="AL2433">
        <v>1</v>
      </c>
      <c r="AM2433">
        <v>1</v>
      </c>
    </row>
    <row r="2434" spans="1:39" x14ac:dyDescent="0.2">
      <c r="A2434" t="str">
        <f>"2430"</f>
        <v>2430</v>
      </c>
      <c r="B2434" t="str">
        <f t="shared" si="135"/>
        <v>1</v>
      </c>
      <c r="C2434" t="str">
        <f t="shared" si="134"/>
        <v>49</v>
      </c>
      <c r="D2434" t="str">
        <f>"35"</f>
        <v>35</v>
      </c>
      <c r="E2434" t="str">
        <f>"1-49-35"</f>
        <v>1-49-35</v>
      </c>
      <c r="F2434" t="s">
        <v>65</v>
      </c>
      <c r="G2434" t="s">
        <v>66</v>
      </c>
      <c r="H2434" t="s">
        <v>67</v>
      </c>
      <c r="S2434">
        <v>1</v>
      </c>
      <c r="T2434">
        <v>0</v>
      </c>
      <c r="U2434">
        <v>0</v>
      </c>
      <c r="V2434">
        <v>0</v>
      </c>
      <c r="W2434">
        <v>1</v>
      </c>
      <c r="X2434">
        <v>0</v>
      </c>
      <c r="Y2434">
        <v>1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1</v>
      </c>
      <c r="AF2434">
        <v>1</v>
      </c>
      <c r="AG2434">
        <v>1</v>
      </c>
      <c r="AH2434">
        <v>1</v>
      </c>
      <c r="AI2434">
        <v>1</v>
      </c>
      <c r="AJ2434">
        <v>1</v>
      </c>
      <c r="AK2434">
        <v>1</v>
      </c>
      <c r="AL2434">
        <v>1</v>
      </c>
      <c r="AM2434">
        <v>1</v>
      </c>
    </row>
    <row r="2435" spans="1:39" x14ac:dyDescent="0.2">
      <c r="A2435" t="str">
        <f>"2431"</f>
        <v>2431</v>
      </c>
      <c r="B2435" t="str">
        <f t="shared" si="135"/>
        <v>1</v>
      </c>
      <c r="C2435" t="str">
        <f t="shared" si="134"/>
        <v>49</v>
      </c>
      <c r="D2435" t="str">
        <f>"20"</f>
        <v>20</v>
      </c>
      <c r="E2435" t="str">
        <f>"1-49-20"</f>
        <v>1-49-20</v>
      </c>
      <c r="F2435" t="s">
        <v>65</v>
      </c>
      <c r="G2435" t="s">
        <v>66</v>
      </c>
      <c r="H2435" t="s">
        <v>67</v>
      </c>
      <c r="S2435">
        <v>0</v>
      </c>
      <c r="T2435">
        <v>1</v>
      </c>
      <c r="U2435">
        <v>0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0</v>
      </c>
      <c r="AB2435">
        <v>0</v>
      </c>
      <c r="AC2435">
        <v>1</v>
      </c>
      <c r="AD2435">
        <v>0</v>
      </c>
      <c r="AE2435">
        <v>0</v>
      </c>
      <c r="AF2435">
        <v>0</v>
      </c>
      <c r="AG2435">
        <v>0</v>
      </c>
      <c r="AH2435">
        <v>1</v>
      </c>
      <c r="AI2435">
        <v>1</v>
      </c>
      <c r="AJ2435">
        <v>1</v>
      </c>
      <c r="AK2435">
        <v>1</v>
      </c>
      <c r="AL2435">
        <v>0</v>
      </c>
      <c r="AM2435">
        <v>0</v>
      </c>
    </row>
    <row r="2436" spans="1:39" x14ac:dyDescent="0.2">
      <c r="A2436" t="str">
        <f>"2432"</f>
        <v>2432</v>
      </c>
      <c r="B2436" t="str">
        <f t="shared" si="135"/>
        <v>1</v>
      </c>
      <c r="C2436" t="str">
        <f t="shared" si="134"/>
        <v>49</v>
      </c>
      <c r="D2436" t="str">
        <f>"14"</f>
        <v>14</v>
      </c>
      <c r="E2436" t="str">
        <f>"1-49-14"</f>
        <v>1-49-14</v>
      </c>
      <c r="F2436" t="s">
        <v>65</v>
      </c>
      <c r="G2436" t="s">
        <v>66</v>
      </c>
      <c r="H2436" t="s">
        <v>67</v>
      </c>
      <c r="S2436">
        <v>1</v>
      </c>
      <c r="T2436">
        <v>0</v>
      </c>
      <c r="U2436">
        <v>0</v>
      </c>
      <c r="V2436">
        <v>0</v>
      </c>
      <c r="W2436">
        <v>1</v>
      </c>
      <c r="X2436">
        <v>0</v>
      </c>
      <c r="Y2436">
        <v>0</v>
      </c>
      <c r="Z2436">
        <v>1</v>
      </c>
      <c r="AA2436">
        <v>1</v>
      </c>
      <c r="AB2436">
        <v>0</v>
      </c>
      <c r="AC2436">
        <v>0</v>
      </c>
      <c r="AD2436">
        <v>1</v>
      </c>
      <c r="AE2436">
        <v>1</v>
      </c>
      <c r="AF2436">
        <v>1</v>
      </c>
      <c r="AG2436">
        <v>1</v>
      </c>
      <c r="AH2436">
        <v>1</v>
      </c>
      <c r="AI2436">
        <v>1</v>
      </c>
      <c r="AJ2436">
        <v>1</v>
      </c>
      <c r="AK2436">
        <v>1</v>
      </c>
      <c r="AL2436">
        <v>1</v>
      </c>
      <c r="AM2436">
        <v>1</v>
      </c>
    </row>
    <row r="2437" spans="1:39" x14ac:dyDescent="0.2">
      <c r="A2437" t="str">
        <f>"2433"</f>
        <v>2433</v>
      </c>
      <c r="B2437" t="str">
        <f t="shared" si="135"/>
        <v>1</v>
      </c>
      <c r="C2437" t="str">
        <f t="shared" ref="C2437:C2454" si="136">"49"</f>
        <v>49</v>
      </c>
      <c r="D2437" t="str">
        <f>"23"</f>
        <v>23</v>
      </c>
      <c r="E2437" t="str">
        <f>"1-49-23"</f>
        <v>1-49-23</v>
      </c>
      <c r="F2437" t="s">
        <v>65</v>
      </c>
      <c r="G2437" t="s">
        <v>66</v>
      </c>
      <c r="H2437" t="s">
        <v>67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</row>
    <row r="2438" spans="1:39" x14ac:dyDescent="0.2">
      <c r="A2438" t="str">
        <f>"2434"</f>
        <v>2434</v>
      </c>
      <c r="B2438" t="str">
        <f t="shared" si="135"/>
        <v>1</v>
      </c>
      <c r="C2438" t="str">
        <f t="shared" si="136"/>
        <v>49</v>
      </c>
      <c r="D2438" t="str">
        <f>"9"</f>
        <v>9</v>
      </c>
      <c r="E2438" t="str">
        <f>"1-49-9"</f>
        <v>1-49-9</v>
      </c>
      <c r="F2438" t="s">
        <v>65</v>
      </c>
      <c r="G2438" t="s">
        <v>66</v>
      </c>
      <c r="H2438" t="s">
        <v>67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</row>
    <row r="2439" spans="1:39" x14ac:dyDescent="0.2">
      <c r="A2439" t="str">
        <f>"2435"</f>
        <v>2435</v>
      </c>
      <c r="B2439" t="str">
        <f t="shared" si="135"/>
        <v>1</v>
      </c>
      <c r="C2439" t="str">
        <f t="shared" si="136"/>
        <v>49</v>
      </c>
      <c r="D2439" t="str">
        <f>"24"</f>
        <v>24</v>
      </c>
      <c r="E2439" t="str">
        <f>"1-49-24"</f>
        <v>1-49-24</v>
      </c>
      <c r="F2439" t="s">
        <v>65</v>
      </c>
      <c r="G2439" t="s">
        <v>66</v>
      </c>
      <c r="H2439" t="s">
        <v>67</v>
      </c>
      <c r="S2439">
        <v>0</v>
      </c>
      <c r="T2439">
        <v>1</v>
      </c>
      <c r="U2439">
        <v>0</v>
      </c>
      <c r="V2439">
        <v>0</v>
      </c>
      <c r="W2439">
        <v>0</v>
      </c>
      <c r="X2439">
        <v>1</v>
      </c>
      <c r="Y2439">
        <v>0</v>
      </c>
      <c r="Z2439">
        <v>1</v>
      </c>
      <c r="AA2439">
        <v>0</v>
      </c>
      <c r="AB2439">
        <v>0</v>
      </c>
      <c r="AC2439">
        <v>1</v>
      </c>
      <c r="AD2439">
        <v>1</v>
      </c>
      <c r="AE2439">
        <v>1</v>
      </c>
      <c r="AF2439">
        <v>1</v>
      </c>
      <c r="AG2439">
        <v>1</v>
      </c>
      <c r="AH2439">
        <v>0</v>
      </c>
      <c r="AI2439">
        <v>1</v>
      </c>
      <c r="AJ2439">
        <v>1</v>
      </c>
      <c r="AK2439">
        <v>1</v>
      </c>
      <c r="AL2439">
        <v>1</v>
      </c>
      <c r="AM2439">
        <v>1</v>
      </c>
    </row>
    <row r="2440" spans="1:39" x14ac:dyDescent="0.2">
      <c r="A2440" t="str">
        <f>"2436"</f>
        <v>2436</v>
      </c>
      <c r="B2440" t="str">
        <f t="shared" si="135"/>
        <v>1</v>
      </c>
      <c r="C2440" t="str">
        <f t="shared" si="136"/>
        <v>49</v>
      </c>
      <c r="D2440" t="str">
        <f>"3"</f>
        <v>3</v>
      </c>
      <c r="E2440" t="str">
        <f>"1-49-3"</f>
        <v>1-49-3</v>
      </c>
      <c r="F2440" t="s">
        <v>65</v>
      </c>
      <c r="G2440" t="s">
        <v>66</v>
      </c>
      <c r="H2440" t="s">
        <v>67</v>
      </c>
      <c r="S2440">
        <v>1</v>
      </c>
      <c r="T2440">
        <v>0</v>
      </c>
      <c r="U2440">
        <v>0</v>
      </c>
      <c r="V2440">
        <v>0</v>
      </c>
      <c r="W2440">
        <v>1</v>
      </c>
      <c r="X2440">
        <v>0</v>
      </c>
      <c r="Y2440">
        <v>1</v>
      </c>
      <c r="Z2440">
        <v>0</v>
      </c>
      <c r="AA2440">
        <v>0</v>
      </c>
      <c r="AB2440">
        <v>0</v>
      </c>
      <c r="AC2440">
        <v>1</v>
      </c>
      <c r="AD2440">
        <v>1</v>
      </c>
      <c r="AE2440">
        <v>1</v>
      </c>
      <c r="AF2440">
        <v>1</v>
      </c>
      <c r="AG2440">
        <v>1</v>
      </c>
      <c r="AH2440">
        <v>1</v>
      </c>
      <c r="AI2440">
        <v>1</v>
      </c>
      <c r="AJ2440">
        <v>1</v>
      </c>
      <c r="AK2440">
        <v>1</v>
      </c>
      <c r="AL2440">
        <v>1</v>
      </c>
      <c r="AM2440">
        <v>1</v>
      </c>
    </row>
    <row r="2441" spans="1:39" x14ac:dyDescent="0.2">
      <c r="A2441" t="str">
        <f>"2437"</f>
        <v>2437</v>
      </c>
      <c r="B2441" t="str">
        <f t="shared" si="135"/>
        <v>1</v>
      </c>
      <c r="C2441" t="str">
        <f t="shared" si="136"/>
        <v>49</v>
      </c>
      <c r="D2441" t="str">
        <f>"25"</f>
        <v>25</v>
      </c>
      <c r="E2441" t="str">
        <f>"1-49-25"</f>
        <v>1-49-25</v>
      </c>
      <c r="F2441" t="s">
        <v>65</v>
      </c>
      <c r="G2441" t="s">
        <v>66</v>
      </c>
      <c r="H2441" t="s">
        <v>67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1</v>
      </c>
      <c r="Y2441">
        <v>0</v>
      </c>
      <c r="Z2441">
        <v>1</v>
      </c>
      <c r="AA2441">
        <v>0</v>
      </c>
      <c r="AB2441">
        <v>0</v>
      </c>
      <c r="AC2441">
        <v>1</v>
      </c>
      <c r="AD2441">
        <v>1</v>
      </c>
      <c r="AE2441">
        <v>1</v>
      </c>
      <c r="AF2441">
        <v>1</v>
      </c>
      <c r="AG2441">
        <v>1</v>
      </c>
      <c r="AH2441">
        <v>1</v>
      </c>
      <c r="AI2441">
        <v>1</v>
      </c>
      <c r="AJ2441">
        <v>1</v>
      </c>
      <c r="AK2441">
        <v>1</v>
      </c>
      <c r="AL2441">
        <v>1</v>
      </c>
      <c r="AM2441">
        <v>1</v>
      </c>
    </row>
    <row r="2442" spans="1:39" x14ac:dyDescent="0.2">
      <c r="A2442" t="str">
        <f>"2438"</f>
        <v>2438</v>
      </c>
      <c r="B2442" t="str">
        <f t="shared" si="135"/>
        <v>1</v>
      </c>
      <c r="C2442" t="str">
        <f t="shared" si="136"/>
        <v>49</v>
      </c>
      <c r="D2442" t="str">
        <f>"11"</f>
        <v>11</v>
      </c>
      <c r="E2442" t="str">
        <f>"1-49-11"</f>
        <v>1-49-11</v>
      </c>
      <c r="F2442" t="s">
        <v>65</v>
      </c>
      <c r="G2442" t="s">
        <v>66</v>
      </c>
      <c r="H2442" t="s">
        <v>67</v>
      </c>
      <c r="S2442">
        <v>0</v>
      </c>
      <c r="T2442">
        <v>1</v>
      </c>
      <c r="U2442">
        <v>0</v>
      </c>
      <c r="V2442">
        <v>0</v>
      </c>
      <c r="W2442">
        <v>1</v>
      </c>
      <c r="X2442">
        <v>0</v>
      </c>
      <c r="Y2442">
        <v>0</v>
      </c>
      <c r="Z2442">
        <v>1</v>
      </c>
      <c r="AA2442">
        <v>0</v>
      </c>
      <c r="AB2442">
        <v>0</v>
      </c>
      <c r="AC2442">
        <v>1</v>
      </c>
      <c r="AD2442">
        <v>1</v>
      </c>
      <c r="AE2442">
        <v>1</v>
      </c>
      <c r="AF2442">
        <v>1</v>
      </c>
      <c r="AG2442">
        <v>1</v>
      </c>
      <c r="AH2442">
        <v>1</v>
      </c>
      <c r="AI2442">
        <v>1</v>
      </c>
      <c r="AJ2442">
        <v>1</v>
      </c>
      <c r="AK2442">
        <v>1</v>
      </c>
      <c r="AL2442">
        <v>1</v>
      </c>
      <c r="AM2442">
        <v>1</v>
      </c>
    </row>
    <row r="2443" spans="1:39" x14ac:dyDescent="0.2">
      <c r="A2443" t="str">
        <f>"2439"</f>
        <v>2439</v>
      </c>
      <c r="B2443" t="str">
        <f t="shared" si="135"/>
        <v>1</v>
      </c>
      <c r="C2443" t="str">
        <f t="shared" si="136"/>
        <v>49</v>
      </c>
      <c r="D2443" t="str">
        <f>"26"</f>
        <v>26</v>
      </c>
      <c r="E2443" t="str">
        <f>"1-49-26"</f>
        <v>1-49-26</v>
      </c>
      <c r="F2443" t="s">
        <v>65</v>
      </c>
      <c r="G2443" t="s">
        <v>66</v>
      </c>
      <c r="H2443" t="s">
        <v>67</v>
      </c>
      <c r="S2443">
        <v>0</v>
      </c>
      <c r="T2443">
        <v>1</v>
      </c>
      <c r="U2443">
        <v>0</v>
      </c>
      <c r="V2443">
        <v>0</v>
      </c>
      <c r="W2443">
        <v>0</v>
      </c>
      <c r="X2443">
        <v>1</v>
      </c>
      <c r="Y2443">
        <v>0</v>
      </c>
      <c r="Z2443">
        <v>1</v>
      </c>
      <c r="AA2443">
        <v>0</v>
      </c>
      <c r="AB2443">
        <v>0</v>
      </c>
      <c r="AC2443">
        <v>1</v>
      </c>
      <c r="AD2443">
        <v>0</v>
      </c>
      <c r="AE2443">
        <v>0</v>
      </c>
      <c r="AF2443">
        <v>0</v>
      </c>
      <c r="AG2443">
        <v>1</v>
      </c>
      <c r="AH2443">
        <v>0</v>
      </c>
      <c r="AI2443">
        <v>1</v>
      </c>
      <c r="AJ2443">
        <v>1</v>
      </c>
      <c r="AK2443">
        <v>0</v>
      </c>
      <c r="AL2443">
        <v>1</v>
      </c>
      <c r="AM2443">
        <v>0</v>
      </c>
    </row>
    <row r="2444" spans="1:39" x14ac:dyDescent="0.2">
      <c r="A2444" t="str">
        <f>"2440"</f>
        <v>2440</v>
      </c>
      <c r="B2444" t="str">
        <f t="shared" si="135"/>
        <v>1</v>
      </c>
      <c r="C2444" t="str">
        <f t="shared" si="136"/>
        <v>49</v>
      </c>
      <c r="D2444" t="str">
        <f>"4"</f>
        <v>4</v>
      </c>
      <c r="E2444" t="str">
        <f>"1-49-4"</f>
        <v>1-49-4</v>
      </c>
      <c r="F2444" t="s">
        <v>65</v>
      </c>
      <c r="G2444" t="s">
        <v>66</v>
      </c>
      <c r="H2444" t="s">
        <v>67</v>
      </c>
      <c r="S2444">
        <v>0</v>
      </c>
      <c r="T2444">
        <v>1</v>
      </c>
      <c r="U2444">
        <v>0</v>
      </c>
      <c r="V2444">
        <v>0</v>
      </c>
      <c r="W2444">
        <v>1</v>
      </c>
      <c r="X2444">
        <v>0</v>
      </c>
      <c r="Y2444">
        <v>0</v>
      </c>
      <c r="Z2444">
        <v>1</v>
      </c>
      <c r="AA2444">
        <v>1</v>
      </c>
      <c r="AB2444">
        <v>0</v>
      </c>
      <c r="AC2444">
        <v>0</v>
      </c>
      <c r="AD2444">
        <v>1</v>
      </c>
      <c r="AE2444">
        <v>1</v>
      </c>
      <c r="AF2444">
        <v>1</v>
      </c>
      <c r="AG2444">
        <v>1</v>
      </c>
      <c r="AH2444">
        <v>1</v>
      </c>
      <c r="AI2444">
        <v>1</v>
      </c>
      <c r="AJ2444">
        <v>1</v>
      </c>
      <c r="AK2444">
        <v>1</v>
      </c>
      <c r="AL2444">
        <v>1</v>
      </c>
      <c r="AM2444">
        <v>1</v>
      </c>
    </row>
    <row r="2445" spans="1:39" x14ac:dyDescent="0.2">
      <c r="A2445" t="str">
        <f>"2441"</f>
        <v>2441</v>
      </c>
      <c r="B2445" t="str">
        <f t="shared" si="135"/>
        <v>1</v>
      </c>
      <c r="C2445" t="str">
        <f t="shared" si="136"/>
        <v>49</v>
      </c>
      <c r="D2445" t="str">
        <f>"29"</f>
        <v>29</v>
      </c>
      <c r="E2445" t="str">
        <f>"1-49-29"</f>
        <v>1-49-29</v>
      </c>
      <c r="F2445" t="s">
        <v>65</v>
      </c>
      <c r="G2445" t="s">
        <v>66</v>
      </c>
      <c r="H2445" t="s">
        <v>67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</row>
    <row r="2446" spans="1:39" x14ac:dyDescent="0.2">
      <c r="A2446" t="str">
        <f>"2442"</f>
        <v>2442</v>
      </c>
      <c r="B2446" t="str">
        <f t="shared" si="135"/>
        <v>1</v>
      </c>
      <c r="C2446" t="str">
        <f t="shared" si="136"/>
        <v>49</v>
      </c>
      <c r="D2446" t="str">
        <f>"10"</f>
        <v>10</v>
      </c>
      <c r="E2446" t="str">
        <f>"1-49-10"</f>
        <v>1-49-10</v>
      </c>
      <c r="F2446" t="s">
        <v>65</v>
      </c>
      <c r="G2446" t="s">
        <v>66</v>
      </c>
      <c r="H2446" t="s">
        <v>67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</row>
    <row r="2447" spans="1:39" x14ac:dyDescent="0.2">
      <c r="A2447" t="str">
        <f>"2443"</f>
        <v>2443</v>
      </c>
      <c r="B2447" t="str">
        <f t="shared" si="135"/>
        <v>1</v>
      </c>
      <c r="C2447" t="str">
        <f t="shared" si="136"/>
        <v>49</v>
      </c>
      <c r="D2447" t="str">
        <f>"32"</f>
        <v>32</v>
      </c>
      <c r="E2447" t="str">
        <f>"1-49-32"</f>
        <v>1-49-32</v>
      </c>
      <c r="F2447" t="s">
        <v>65</v>
      </c>
      <c r="G2447" t="s">
        <v>66</v>
      </c>
      <c r="H2447" t="s">
        <v>67</v>
      </c>
      <c r="S2447">
        <v>0</v>
      </c>
      <c r="T2447">
        <v>1</v>
      </c>
      <c r="U2447">
        <v>0</v>
      </c>
      <c r="V2447">
        <v>0</v>
      </c>
      <c r="W2447">
        <v>0</v>
      </c>
      <c r="X2447">
        <v>1</v>
      </c>
      <c r="Y2447">
        <v>0</v>
      </c>
      <c r="Z2447">
        <v>1</v>
      </c>
      <c r="AA2447">
        <v>0</v>
      </c>
      <c r="AB2447">
        <v>0</v>
      </c>
      <c r="AC2447">
        <v>1</v>
      </c>
      <c r="AD2447">
        <v>1</v>
      </c>
      <c r="AE2447">
        <v>1</v>
      </c>
      <c r="AF2447">
        <v>1</v>
      </c>
      <c r="AG2447">
        <v>1</v>
      </c>
      <c r="AH2447">
        <v>1</v>
      </c>
      <c r="AI2447">
        <v>0</v>
      </c>
      <c r="AJ2447">
        <v>1</v>
      </c>
      <c r="AK2447">
        <v>1</v>
      </c>
      <c r="AL2447">
        <v>1</v>
      </c>
      <c r="AM2447">
        <v>1</v>
      </c>
    </row>
    <row r="2448" spans="1:39" x14ac:dyDescent="0.2">
      <c r="A2448" t="str">
        <f>"2444"</f>
        <v>2444</v>
      </c>
      <c r="B2448" t="str">
        <f t="shared" si="135"/>
        <v>1</v>
      </c>
      <c r="C2448" t="str">
        <f t="shared" si="136"/>
        <v>49</v>
      </c>
      <c r="D2448" t="str">
        <f>"12"</f>
        <v>12</v>
      </c>
      <c r="E2448" t="str">
        <f>"1-49-12"</f>
        <v>1-49-12</v>
      </c>
      <c r="F2448" t="s">
        <v>65</v>
      </c>
      <c r="G2448" t="s">
        <v>66</v>
      </c>
      <c r="H2448" t="s">
        <v>67</v>
      </c>
      <c r="S2448">
        <v>0</v>
      </c>
      <c r="T2448">
        <v>1</v>
      </c>
      <c r="U2448">
        <v>0</v>
      </c>
      <c r="V2448">
        <v>0</v>
      </c>
      <c r="W2448">
        <v>0</v>
      </c>
      <c r="X2448">
        <v>1</v>
      </c>
      <c r="Y2448">
        <v>0</v>
      </c>
      <c r="Z2448">
        <v>1</v>
      </c>
      <c r="AA2448">
        <v>0</v>
      </c>
      <c r="AB2448">
        <v>0</v>
      </c>
      <c r="AC2448">
        <v>1</v>
      </c>
      <c r="AD2448">
        <v>1</v>
      </c>
      <c r="AE2448">
        <v>1</v>
      </c>
      <c r="AF2448">
        <v>1</v>
      </c>
      <c r="AG2448">
        <v>1</v>
      </c>
      <c r="AH2448">
        <v>1</v>
      </c>
      <c r="AI2448">
        <v>1</v>
      </c>
      <c r="AJ2448">
        <v>1</v>
      </c>
      <c r="AK2448">
        <v>1</v>
      </c>
      <c r="AL2448">
        <v>1</v>
      </c>
      <c r="AM2448">
        <v>1</v>
      </c>
    </row>
    <row r="2449" spans="1:39" x14ac:dyDescent="0.2">
      <c r="A2449" t="str">
        <f>"2445"</f>
        <v>2445</v>
      </c>
      <c r="B2449" t="str">
        <f t="shared" si="135"/>
        <v>1</v>
      </c>
      <c r="C2449" t="str">
        <f t="shared" si="136"/>
        <v>49</v>
      </c>
      <c r="D2449" t="str">
        <f>"34"</f>
        <v>34</v>
      </c>
      <c r="E2449" t="str">
        <f>"1-49-34"</f>
        <v>1-49-34</v>
      </c>
      <c r="F2449" t="s">
        <v>65</v>
      </c>
      <c r="G2449" t="s">
        <v>66</v>
      </c>
      <c r="H2449" t="s">
        <v>67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</row>
    <row r="2450" spans="1:39" x14ac:dyDescent="0.2">
      <c r="A2450" t="str">
        <f>"2446"</f>
        <v>2446</v>
      </c>
      <c r="B2450" t="str">
        <f t="shared" si="135"/>
        <v>1</v>
      </c>
      <c r="C2450" t="str">
        <f t="shared" si="136"/>
        <v>49</v>
      </c>
      <c r="D2450" t="str">
        <f>"8"</f>
        <v>8</v>
      </c>
      <c r="E2450" t="str">
        <f>"1-49-8"</f>
        <v>1-49-8</v>
      </c>
      <c r="F2450" t="s">
        <v>65</v>
      </c>
      <c r="G2450" t="s">
        <v>66</v>
      </c>
      <c r="H2450" t="s">
        <v>67</v>
      </c>
      <c r="S2450">
        <v>0</v>
      </c>
      <c r="T2450">
        <v>1</v>
      </c>
      <c r="U2450">
        <v>0</v>
      </c>
      <c r="V2450">
        <v>0</v>
      </c>
      <c r="W2450">
        <v>0</v>
      </c>
      <c r="X2450">
        <v>1</v>
      </c>
      <c r="Y2450">
        <v>0</v>
      </c>
      <c r="Z2450">
        <v>1</v>
      </c>
      <c r="AA2450">
        <v>0</v>
      </c>
      <c r="AB2450">
        <v>0</v>
      </c>
      <c r="AC2450">
        <v>1</v>
      </c>
      <c r="AD2450">
        <v>1</v>
      </c>
      <c r="AE2450">
        <v>1</v>
      </c>
      <c r="AF2450">
        <v>1</v>
      </c>
      <c r="AG2450">
        <v>1</v>
      </c>
      <c r="AH2450">
        <v>1</v>
      </c>
      <c r="AI2450">
        <v>1</v>
      </c>
      <c r="AJ2450">
        <v>1</v>
      </c>
      <c r="AK2450">
        <v>1</v>
      </c>
      <c r="AL2450">
        <v>1</v>
      </c>
      <c r="AM2450">
        <v>1</v>
      </c>
    </row>
    <row r="2451" spans="1:39" x14ac:dyDescent="0.2">
      <c r="A2451" t="str">
        <f>"2447"</f>
        <v>2447</v>
      </c>
      <c r="B2451" t="str">
        <f t="shared" si="135"/>
        <v>1</v>
      </c>
      <c r="C2451" t="str">
        <f t="shared" si="136"/>
        <v>49</v>
      </c>
      <c r="D2451" t="str">
        <f>"13"</f>
        <v>13</v>
      </c>
      <c r="E2451" t="str">
        <f>"1-49-13"</f>
        <v>1-49-13</v>
      </c>
      <c r="F2451" t="s">
        <v>65</v>
      </c>
      <c r="G2451" t="s">
        <v>66</v>
      </c>
      <c r="H2451" t="s">
        <v>67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</row>
    <row r="2452" spans="1:39" x14ac:dyDescent="0.2">
      <c r="A2452" t="str">
        <f>"2448"</f>
        <v>2448</v>
      </c>
      <c r="B2452" t="str">
        <f t="shared" si="135"/>
        <v>1</v>
      </c>
      <c r="C2452" t="str">
        <f t="shared" si="136"/>
        <v>49</v>
      </c>
      <c r="D2452" t="str">
        <f>"50"</f>
        <v>50</v>
      </c>
      <c r="E2452" t="str">
        <f>"1-49-50"</f>
        <v>1-49-50</v>
      </c>
      <c r="F2452" t="s">
        <v>65</v>
      </c>
      <c r="G2452" t="s">
        <v>66</v>
      </c>
      <c r="H2452" t="s">
        <v>67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1</v>
      </c>
      <c r="Y2452">
        <v>0</v>
      </c>
      <c r="Z2452">
        <v>1</v>
      </c>
      <c r="AA2452">
        <v>0</v>
      </c>
      <c r="AB2452">
        <v>1</v>
      </c>
      <c r="AC2452">
        <v>0</v>
      </c>
      <c r="AD2452">
        <v>1</v>
      </c>
      <c r="AE2452">
        <v>1</v>
      </c>
      <c r="AF2452">
        <v>1</v>
      </c>
      <c r="AG2452">
        <v>1</v>
      </c>
      <c r="AH2452">
        <v>1</v>
      </c>
      <c r="AI2452">
        <v>1</v>
      </c>
      <c r="AJ2452">
        <v>1</v>
      </c>
      <c r="AK2452">
        <v>1</v>
      </c>
      <c r="AL2452">
        <v>1</v>
      </c>
      <c r="AM2452">
        <v>1</v>
      </c>
    </row>
    <row r="2453" spans="1:39" x14ac:dyDescent="0.2">
      <c r="A2453" t="str">
        <f>"2449"</f>
        <v>2449</v>
      </c>
      <c r="B2453" t="str">
        <f t="shared" si="135"/>
        <v>1</v>
      </c>
      <c r="C2453" t="str">
        <f t="shared" si="136"/>
        <v>49</v>
      </c>
      <c r="D2453" t="str">
        <f>"36"</f>
        <v>36</v>
      </c>
      <c r="E2453" t="str">
        <f>"1-49-36"</f>
        <v>1-49-36</v>
      </c>
      <c r="F2453" t="s">
        <v>65</v>
      </c>
      <c r="G2453" t="s">
        <v>66</v>
      </c>
      <c r="H2453" t="s">
        <v>67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0</v>
      </c>
      <c r="AB2453">
        <v>0</v>
      </c>
      <c r="AC2453">
        <v>1</v>
      </c>
      <c r="AD2453">
        <v>0</v>
      </c>
      <c r="AE2453">
        <v>0</v>
      </c>
      <c r="AF2453">
        <v>0</v>
      </c>
      <c r="AG2453">
        <v>0</v>
      </c>
      <c r="AH2453">
        <v>1</v>
      </c>
      <c r="AI2453">
        <v>1</v>
      </c>
      <c r="AJ2453">
        <v>1</v>
      </c>
      <c r="AK2453">
        <v>1</v>
      </c>
      <c r="AL2453">
        <v>1</v>
      </c>
      <c r="AM2453">
        <v>1</v>
      </c>
    </row>
    <row r="2454" spans="1:39" x14ac:dyDescent="0.2">
      <c r="A2454" t="str">
        <f>"2450"</f>
        <v>2450</v>
      </c>
      <c r="B2454" t="str">
        <f t="shared" si="135"/>
        <v>1</v>
      </c>
      <c r="C2454" t="str">
        <f t="shared" si="136"/>
        <v>49</v>
      </c>
      <c r="D2454" t="str">
        <f>"49"</f>
        <v>49</v>
      </c>
      <c r="E2454" t="str">
        <f>"1-49-49"</f>
        <v>1-49-49</v>
      </c>
      <c r="F2454" t="s">
        <v>65</v>
      </c>
      <c r="G2454" t="s">
        <v>66</v>
      </c>
      <c r="H2454" t="s">
        <v>67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0</v>
      </c>
      <c r="AB2454">
        <v>1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1</v>
      </c>
      <c r="AI2454">
        <v>1</v>
      </c>
      <c r="AJ2454">
        <v>1</v>
      </c>
      <c r="AK2454">
        <v>1</v>
      </c>
      <c r="AL2454">
        <v>1</v>
      </c>
      <c r="AM2454">
        <v>0</v>
      </c>
    </row>
    <row r="2455" spans="1:39" x14ac:dyDescent="0.2">
      <c r="A2455" t="str">
        <f>"2451"</f>
        <v>2451</v>
      </c>
      <c r="B2455" t="str">
        <f t="shared" si="135"/>
        <v>1</v>
      </c>
      <c r="C2455" t="str">
        <f t="shared" ref="C2455:C2486" si="137">"50"</f>
        <v>50</v>
      </c>
      <c r="D2455" t="str">
        <f>"42"</f>
        <v>42</v>
      </c>
      <c r="E2455" t="str">
        <f>"1-50-42"</f>
        <v>1-50-42</v>
      </c>
      <c r="F2455" t="s">
        <v>65</v>
      </c>
      <c r="G2455" t="s">
        <v>66</v>
      </c>
      <c r="H2455" t="s">
        <v>67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0</v>
      </c>
      <c r="AB2455">
        <v>0</v>
      </c>
      <c r="AC2455">
        <v>1</v>
      </c>
      <c r="AD2455">
        <v>0</v>
      </c>
      <c r="AE2455">
        <v>0</v>
      </c>
      <c r="AF2455">
        <v>0</v>
      </c>
      <c r="AG2455">
        <v>0</v>
      </c>
      <c r="AH2455">
        <v>1</v>
      </c>
      <c r="AI2455">
        <v>1</v>
      </c>
      <c r="AJ2455">
        <v>0</v>
      </c>
      <c r="AK2455">
        <v>0</v>
      </c>
      <c r="AL2455">
        <v>0</v>
      </c>
      <c r="AM2455">
        <v>0</v>
      </c>
    </row>
    <row r="2456" spans="1:39" x14ac:dyDescent="0.2">
      <c r="A2456" t="str">
        <f>"2452"</f>
        <v>2452</v>
      </c>
      <c r="B2456" t="str">
        <f t="shared" si="135"/>
        <v>1</v>
      </c>
      <c r="C2456" t="str">
        <f t="shared" si="137"/>
        <v>50</v>
      </c>
      <c r="D2456" t="str">
        <f>"41"</f>
        <v>41</v>
      </c>
      <c r="E2456" t="str">
        <f>"1-50-41"</f>
        <v>1-50-41</v>
      </c>
      <c r="F2456" t="s">
        <v>65</v>
      </c>
      <c r="G2456" t="s">
        <v>66</v>
      </c>
      <c r="H2456" t="s">
        <v>67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0</v>
      </c>
      <c r="AB2456">
        <v>0</v>
      </c>
      <c r="AC2456">
        <v>1</v>
      </c>
      <c r="AD2456">
        <v>0</v>
      </c>
      <c r="AE2456">
        <v>0</v>
      </c>
      <c r="AF2456">
        <v>0</v>
      </c>
      <c r="AG2456">
        <v>0</v>
      </c>
      <c r="AH2456">
        <v>1</v>
      </c>
      <c r="AI2456">
        <v>1</v>
      </c>
      <c r="AJ2456">
        <v>0</v>
      </c>
      <c r="AK2456">
        <v>0</v>
      </c>
      <c r="AL2456">
        <v>0</v>
      </c>
      <c r="AM2456">
        <v>0</v>
      </c>
    </row>
    <row r="2457" spans="1:39" x14ac:dyDescent="0.2">
      <c r="A2457" t="str">
        <f>"2453"</f>
        <v>2453</v>
      </c>
      <c r="B2457" t="str">
        <f t="shared" si="135"/>
        <v>1</v>
      </c>
      <c r="C2457" t="str">
        <f t="shared" si="137"/>
        <v>50</v>
      </c>
      <c r="D2457" t="str">
        <f>"25"</f>
        <v>25</v>
      </c>
      <c r="E2457" t="str">
        <f>"1-50-25"</f>
        <v>1-50-25</v>
      </c>
      <c r="F2457" t="s">
        <v>65</v>
      </c>
      <c r="G2457" t="s">
        <v>66</v>
      </c>
      <c r="H2457" t="s">
        <v>67</v>
      </c>
      <c r="S2457">
        <v>0</v>
      </c>
      <c r="T2457">
        <v>1</v>
      </c>
      <c r="U2457">
        <v>0</v>
      </c>
      <c r="V2457">
        <v>0</v>
      </c>
      <c r="W2457">
        <v>0</v>
      </c>
      <c r="X2457">
        <v>1</v>
      </c>
      <c r="Y2457">
        <v>0</v>
      </c>
      <c r="Z2457">
        <v>1</v>
      </c>
      <c r="AA2457">
        <v>0</v>
      </c>
      <c r="AB2457">
        <v>0</v>
      </c>
      <c r="AC2457">
        <v>1</v>
      </c>
      <c r="AD2457">
        <v>1</v>
      </c>
      <c r="AE2457">
        <v>1</v>
      </c>
      <c r="AF2457">
        <v>1</v>
      </c>
      <c r="AG2457">
        <v>1</v>
      </c>
      <c r="AH2457">
        <v>1</v>
      </c>
      <c r="AI2457">
        <v>1</v>
      </c>
      <c r="AJ2457">
        <v>1</v>
      </c>
      <c r="AK2457">
        <v>1</v>
      </c>
      <c r="AL2457">
        <v>1</v>
      </c>
      <c r="AM2457">
        <v>1</v>
      </c>
    </row>
    <row r="2458" spans="1:39" x14ac:dyDescent="0.2">
      <c r="A2458" t="str">
        <f>"2454"</f>
        <v>2454</v>
      </c>
      <c r="B2458" t="str">
        <f t="shared" si="135"/>
        <v>1</v>
      </c>
      <c r="C2458" t="str">
        <f t="shared" si="137"/>
        <v>50</v>
      </c>
      <c r="D2458" t="str">
        <f>"24"</f>
        <v>24</v>
      </c>
      <c r="E2458" t="str">
        <f>"1-50-24"</f>
        <v>1-50-24</v>
      </c>
      <c r="F2458" t="s">
        <v>65</v>
      </c>
      <c r="G2458" t="s">
        <v>66</v>
      </c>
      <c r="H2458" t="s">
        <v>67</v>
      </c>
      <c r="S2458">
        <v>0</v>
      </c>
      <c r="T2458">
        <v>1</v>
      </c>
      <c r="U2458">
        <v>0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0</v>
      </c>
      <c r="AB2458">
        <v>0</v>
      </c>
      <c r="AC2458">
        <v>1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</row>
    <row r="2459" spans="1:39" x14ac:dyDescent="0.2">
      <c r="A2459" t="str">
        <f>"2455"</f>
        <v>2455</v>
      </c>
      <c r="B2459" t="str">
        <f t="shared" si="135"/>
        <v>1</v>
      </c>
      <c r="C2459" t="str">
        <f t="shared" si="137"/>
        <v>50</v>
      </c>
      <c r="D2459" t="str">
        <f>"19"</f>
        <v>19</v>
      </c>
      <c r="E2459" t="str">
        <f>"1-50-19"</f>
        <v>1-50-19</v>
      </c>
      <c r="F2459" t="s">
        <v>65</v>
      </c>
      <c r="G2459" t="s">
        <v>66</v>
      </c>
      <c r="H2459" t="s">
        <v>67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1</v>
      </c>
      <c r="Y2459">
        <v>1</v>
      </c>
      <c r="Z2459">
        <v>0</v>
      </c>
      <c r="AA2459">
        <v>0</v>
      </c>
      <c r="AB2459">
        <v>1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1</v>
      </c>
      <c r="AJ2459">
        <v>1</v>
      </c>
      <c r="AK2459">
        <v>0</v>
      </c>
      <c r="AL2459">
        <v>0</v>
      </c>
      <c r="AM2459">
        <v>0</v>
      </c>
    </row>
    <row r="2460" spans="1:39" x14ac:dyDescent="0.2">
      <c r="A2460" t="str">
        <f>"2456"</f>
        <v>2456</v>
      </c>
      <c r="B2460" t="str">
        <f t="shared" si="135"/>
        <v>1</v>
      </c>
      <c r="C2460" t="str">
        <f t="shared" si="137"/>
        <v>50</v>
      </c>
      <c r="D2460" t="str">
        <f>"15"</f>
        <v>15</v>
      </c>
      <c r="E2460" t="str">
        <f>"1-50-15"</f>
        <v>1-50-15</v>
      </c>
      <c r="F2460" t="s">
        <v>65</v>
      </c>
      <c r="G2460" t="s">
        <v>66</v>
      </c>
      <c r="H2460" t="s">
        <v>67</v>
      </c>
      <c r="S2460">
        <v>1</v>
      </c>
      <c r="T2460">
        <v>0</v>
      </c>
      <c r="U2460">
        <v>0</v>
      </c>
      <c r="V2460">
        <v>0</v>
      </c>
      <c r="W2460">
        <v>1</v>
      </c>
      <c r="X2460">
        <v>0</v>
      </c>
      <c r="Y2460">
        <v>0</v>
      </c>
      <c r="Z2460">
        <v>1</v>
      </c>
      <c r="AA2460">
        <v>0</v>
      </c>
      <c r="AB2460">
        <v>1</v>
      </c>
      <c r="AC2460">
        <v>0</v>
      </c>
      <c r="AD2460">
        <v>1</v>
      </c>
      <c r="AE2460">
        <v>1</v>
      </c>
      <c r="AF2460">
        <v>1</v>
      </c>
      <c r="AG2460">
        <v>1</v>
      </c>
      <c r="AH2460">
        <v>1</v>
      </c>
      <c r="AI2460">
        <v>1</v>
      </c>
      <c r="AJ2460">
        <v>1</v>
      </c>
      <c r="AK2460">
        <v>1</v>
      </c>
      <c r="AL2460">
        <v>1</v>
      </c>
      <c r="AM2460">
        <v>0</v>
      </c>
    </row>
    <row r="2461" spans="1:39" x14ac:dyDescent="0.2">
      <c r="A2461" t="str">
        <f>"2457"</f>
        <v>2457</v>
      </c>
      <c r="B2461" t="str">
        <f t="shared" si="135"/>
        <v>1</v>
      </c>
      <c r="C2461" t="str">
        <f t="shared" si="137"/>
        <v>50</v>
      </c>
      <c r="D2461" t="str">
        <f>"5"</f>
        <v>5</v>
      </c>
      <c r="E2461" t="str">
        <f>"1-50-5"</f>
        <v>1-50-5</v>
      </c>
      <c r="F2461" t="s">
        <v>65</v>
      </c>
      <c r="G2461" t="s">
        <v>66</v>
      </c>
      <c r="H2461" t="s">
        <v>67</v>
      </c>
      <c r="S2461">
        <v>0</v>
      </c>
      <c r="T2461">
        <v>1</v>
      </c>
      <c r="U2461">
        <v>0</v>
      </c>
      <c r="V2461">
        <v>0</v>
      </c>
      <c r="W2461">
        <v>0</v>
      </c>
      <c r="X2461">
        <v>1</v>
      </c>
      <c r="Y2461">
        <v>0</v>
      </c>
      <c r="Z2461">
        <v>1</v>
      </c>
      <c r="AA2461">
        <v>0</v>
      </c>
      <c r="AB2461">
        <v>0</v>
      </c>
      <c r="AC2461">
        <v>1</v>
      </c>
      <c r="AD2461">
        <v>0</v>
      </c>
      <c r="AE2461">
        <v>0</v>
      </c>
      <c r="AF2461">
        <v>0</v>
      </c>
      <c r="AG2461">
        <v>1</v>
      </c>
      <c r="AH2461">
        <v>1</v>
      </c>
      <c r="AI2461">
        <v>1</v>
      </c>
      <c r="AJ2461">
        <v>1</v>
      </c>
      <c r="AK2461">
        <v>1</v>
      </c>
      <c r="AL2461">
        <v>1</v>
      </c>
      <c r="AM2461">
        <v>0</v>
      </c>
    </row>
    <row r="2462" spans="1:39" x14ac:dyDescent="0.2">
      <c r="A2462" t="str">
        <f>"2458"</f>
        <v>2458</v>
      </c>
      <c r="B2462" t="str">
        <f t="shared" si="135"/>
        <v>1</v>
      </c>
      <c r="C2462" t="str">
        <f t="shared" si="137"/>
        <v>50</v>
      </c>
      <c r="D2462" t="str">
        <f>"44"</f>
        <v>44</v>
      </c>
      <c r="E2462" t="str">
        <f>"1-50-44"</f>
        <v>1-50-44</v>
      </c>
      <c r="F2462" t="s">
        <v>65</v>
      </c>
      <c r="G2462" t="s">
        <v>66</v>
      </c>
      <c r="H2462" t="s">
        <v>67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1</v>
      </c>
      <c r="Y2462">
        <v>0</v>
      </c>
      <c r="Z2462">
        <v>1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1</v>
      </c>
      <c r="AI2462">
        <v>1</v>
      </c>
      <c r="AJ2462">
        <v>0</v>
      </c>
      <c r="AK2462">
        <v>0</v>
      </c>
      <c r="AL2462">
        <v>0</v>
      </c>
      <c r="AM2462">
        <v>0</v>
      </c>
    </row>
    <row r="2463" spans="1:39" x14ac:dyDescent="0.2">
      <c r="A2463" t="str">
        <f>"2459"</f>
        <v>2459</v>
      </c>
      <c r="B2463" t="str">
        <f t="shared" si="135"/>
        <v>1</v>
      </c>
      <c r="C2463" t="str">
        <f t="shared" si="137"/>
        <v>50</v>
      </c>
      <c r="D2463" t="str">
        <f>"43"</f>
        <v>43</v>
      </c>
      <c r="E2463" t="str">
        <f>"1-50-43"</f>
        <v>1-50-43</v>
      </c>
      <c r="F2463" t="s">
        <v>65</v>
      </c>
      <c r="G2463" t="s">
        <v>66</v>
      </c>
      <c r="H2463" t="s">
        <v>67</v>
      </c>
      <c r="S2463">
        <v>0</v>
      </c>
      <c r="T2463">
        <v>1</v>
      </c>
      <c r="U2463">
        <v>0</v>
      </c>
      <c r="V2463">
        <v>0</v>
      </c>
      <c r="W2463">
        <v>0</v>
      </c>
      <c r="X2463">
        <v>1</v>
      </c>
      <c r="Y2463">
        <v>0</v>
      </c>
      <c r="Z2463">
        <v>1</v>
      </c>
      <c r="AA2463">
        <v>0</v>
      </c>
      <c r="AB2463">
        <v>0</v>
      </c>
      <c r="AC2463">
        <v>1</v>
      </c>
      <c r="AD2463">
        <v>1</v>
      </c>
      <c r="AE2463">
        <v>1</v>
      </c>
      <c r="AF2463">
        <v>1</v>
      </c>
      <c r="AG2463">
        <v>1</v>
      </c>
      <c r="AH2463">
        <v>1</v>
      </c>
      <c r="AI2463">
        <v>1</v>
      </c>
      <c r="AJ2463">
        <v>1</v>
      </c>
      <c r="AK2463">
        <v>1</v>
      </c>
      <c r="AL2463">
        <v>1</v>
      </c>
      <c r="AM2463">
        <v>1</v>
      </c>
    </row>
    <row r="2464" spans="1:39" x14ac:dyDescent="0.2">
      <c r="A2464" t="str">
        <f>"2460"</f>
        <v>2460</v>
      </c>
      <c r="B2464" t="str">
        <f t="shared" si="135"/>
        <v>1</v>
      </c>
      <c r="C2464" t="str">
        <f t="shared" si="137"/>
        <v>50</v>
      </c>
      <c r="D2464" t="str">
        <f>"32"</f>
        <v>32</v>
      </c>
      <c r="E2464" t="str">
        <f>"1-50-32"</f>
        <v>1-50-32</v>
      </c>
      <c r="F2464" t="s">
        <v>65</v>
      </c>
      <c r="G2464" t="s">
        <v>66</v>
      </c>
      <c r="H2464" t="s">
        <v>67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</row>
    <row r="2465" spans="1:39" x14ac:dyDescent="0.2">
      <c r="A2465" t="str">
        <f>"2461"</f>
        <v>2461</v>
      </c>
      <c r="B2465" t="str">
        <f t="shared" si="135"/>
        <v>1</v>
      </c>
      <c r="C2465" t="str">
        <f t="shared" si="137"/>
        <v>50</v>
      </c>
      <c r="D2465" t="str">
        <f>"16"</f>
        <v>16</v>
      </c>
      <c r="E2465" t="str">
        <f>"1-50-16"</f>
        <v>1-50-16</v>
      </c>
      <c r="F2465" t="s">
        <v>65</v>
      </c>
      <c r="G2465" t="s">
        <v>66</v>
      </c>
      <c r="H2465" t="s">
        <v>67</v>
      </c>
      <c r="S2465">
        <v>0</v>
      </c>
      <c r="T2465">
        <v>1</v>
      </c>
      <c r="U2465">
        <v>0</v>
      </c>
      <c r="V2465">
        <v>0</v>
      </c>
      <c r="W2465">
        <v>0</v>
      </c>
      <c r="X2465">
        <v>1</v>
      </c>
      <c r="Y2465">
        <v>0</v>
      </c>
      <c r="Z2465">
        <v>1</v>
      </c>
      <c r="AA2465">
        <v>0</v>
      </c>
      <c r="AB2465">
        <v>0</v>
      </c>
      <c r="AC2465">
        <v>1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</row>
    <row r="2466" spans="1:39" x14ac:dyDescent="0.2">
      <c r="A2466" t="str">
        <f>"2462"</f>
        <v>2462</v>
      </c>
      <c r="B2466" t="str">
        <f t="shared" si="135"/>
        <v>1</v>
      </c>
      <c r="C2466" t="str">
        <f t="shared" si="137"/>
        <v>50</v>
      </c>
      <c r="D2466" t="str">
        <f>"1"</f>
        <v>1</v>
      </c>
      <c r="E2466" t="str">
        <f>"1-50-1"</f>
        <v>1-50-1</v>
      </c>
      <c r="F2466" t="s">
        <v>65</v>
      </c>
      <c r="G2466" t="s">
        <v>66</v>
      </c>
      <c r="H2466" t="s">
        <v>67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1</v>
      </c>
      <c r="Y2466">
        <v>1</v>
      </c>
      <c r="Z2466">
        <v>0</v>
      </c>
      <c r="AA2466">
        <v>0</v>
      </c>
      <c r="AB2466">
        <v>1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</row>
    <row r="2467" spans="1:39" x14ac:dyDescent="0.2">
      <c r="A2467" t="str">
        <f>"2463"</f>
        <v>2463</v>
      </c>
      <c r="B2467" t="str">
        <f t="shared" si="135"/>
        <v>1</v>
      </c>
      <c r="C2467" t="str">
        <f t="shared" si="137"/>
        <v>50</v>
      </c>
      <c r="D2467" t="str">
        <f>"38"</f>
        <v>38</v>
      </c>
      <c r="E2467" t="str">
        <f>"1-50-38"</f>
        <v>1-50-38</v>
      </c>
      <c r="F2467" t="s">
        <v>65</v>
      </c>
      <c r="G2467" t="s">
        <v>66</v>
      </c>
      <c r="H2467" t="s">
        <v>67</v>
      </c>
      <c r="S2467">
        <v>1</v>
      </c>
      <c r="T2467">
        <v>0</v>
      </c>
      <c r="U2467">
        <v>0</v>
      </c>
      <c r="V2467">
        <v>0</v>
      </c>
      <c r="W2467">
        <v>1</v>
      </c>
      <c r="X2467">
        <v>0</v>
      </c>
      <c r="Y2467">
        <v>0</v>
      </c>
      <c r="Z2467">
        <v>1</v>
      </c>
      <c r="AA2467">
        <v>1</v>
      </c>
      <c r="AB2467">
        <v>0</v>
      </c>
      <c r="AC2467">
        <v>0</v>
      </c>
      <c r="AD2467">
        <v>1</v>
      </c>
      <c r="AE2467">
        <v>1</v>
      </c>
      <c r="AF2467">
        <v>1</v>
      </c>
      <c r="AG2467">
        <v>1</v>
      </c>
      <c r="AH2467">
        <v>1</v>
      </c>
      <c r="AI2467">
        <v>1</v>
      </c>
      <c r="AJ2467">
        <v>1</v>
      </c>
      <c r="AK2467">
        <v>1</v>
      </c>
      <c r="AL2467">
        <v>1</v>
      </c>
      <c r="AM2467">
        <v>1</v>
      </c>
    </row>
    <row r="2468" spans="1:39" x14ac:dyDescent="0.2">
      <c r="A2468" t="str">
        <f>"2464"</f>
        <v>2464</v>
      </c>
      <c r="B2468" t="str">
        <f t="shared" si="135"/>
        <v>1</v>
      </c>
      <c r="C2468" t="str">
        <f t="shared" si="137"/>
        <v>50</v>
      </c>
      <c r="D2468" t="str">
        <f>"37"</f>
        <v>37</v>
      </c>
      <c r="E2468" t="str">
        <f>"1-50-37"</f>
        <v>1-50-37</v>
      </c>
      <c r="F2468" t="s">
        <v>65</v>
      </c>
      <c r="G2468" t="s">
        <v>66</v>
      </c>
      <c r="H2468" t="s">
        <v>67</v>
      </c>
      <c r="S2468">
        <v>1</v>
      </c>
      <c r="T2468">
        <v>0</v>
      </c>
      <c r="U2468">
        <v>0</v>
      </c>
      <c r="V2468">
        <v>0</v>
      </c>
      <c r="W2468">
        <v>0</v>
      </c>
      <c r="X2468">
        <v>1</v>
      </c>
      <c r="Y2468">
        <v>0</v>
      </c>
      <c r="Z2468">
        <v>1</v>
      </c>
      <c r="AA2468">
        <v>0</v>
      </c>
      <c r="AB2468">
        <v>1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</row>
    <row r="2469" spans="1:39" x14ac:dyDescent="0.2">
      <c r="A2469" t="str">
        <f>"2465"</f>
        <v>2465</v>
      </c>
      <c r="B2469" t="str">
        <f t="shared" si="135"/>
        <v>1</v>
      </c>
      <c r="C2469" t="str">
        <f t="shared" si="137"/>
        <v>50</v>
      </c>
      <c r="D2469" t="str">
        <f>"27"</f>
        <v>27</v>
      </c>
      <c r="E2469" t="str">
        <f>"1-50-27"</f>
        <v>1-50-27</v>
      </c>
      <c r="F2469" t="s">
        <v>65</v>
      </c>
      <c r="G2469" t="s">
        <v>66</v>
      </c>
      <c r="H2469" t="s">
        <v>67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0</v>
      </c>
      <c r="AB2469">
        <v>1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</row>
    <row r="2470" spans="1:39" x14ac:dyDescent="0.2">
      <c r="A2470" t="str">
        <f>"2466"</f>
        <v>2466</v>
      </c>
      <c r="B2470" t="str">
        <f t="shared" si="135"/>
        <v>1</v>
      </c>
      <c r="C2470" t="str">
        <f t="shared" si="137"/>
        <v>50</v>
      </c>
      <c r="D2470" t="str">
        <f>"17"</f>
        <v>17</v>
      </c>
      <c r="E2470" t="str">
        <f>"1-50-17"</f>
        <v>1-50-17</v>
      </c>
      <c r="F2470" t="s">
        <v>65</v>
      </c>
      <c r="G2470" t="s">
        <v>66</v>
      </c>
      <c r="H2470" t="s">
        <v>67</v>
      </c>
      <c r="S2470">
        <v>0</v>
      </c>
      <c r="T2470">
        <v>1</v>
      </c>
      <c r="U2470">
        <v>0</v>
      </c>
      <c r="V2470">
        <v>0</v>
      </c>
      <c r="W2470">
        <v>1</v>
      </c>
      <c r="X2470">
        <v>0</v>
      </c>
      <c r="Y2470">
        <v>0</v>
      </c>
      <c r="Z2470">
        <v>1</v>
      </c>
      <c r="AA2470">
        <v>1</v>
      </c>
      <c r="AB2470">
        <v>0</v>
      </c>
      <c r="AC2470">
        <v>0</v>
      </c>
      <c r="AD2470">
        <v>1</v>
      </c>
      <c r="AE2470">
        <v>1</v>
      </c>
      <c r="AF2470">
        <v>1</v>
      </c>
      <c r="AG2470">
        <v>1</v>
      </c>
      <c r="AH2470">
        <v>1</v>
      </c>
      <c r="AI2470">
        <v>1</v>
      </c>
      <c r="AJ2470">
        <v>1</v>
      </c>
      <c r="AK2470">
        <v>1</v>
      </c>
      <c r="AL2470">
        <v>1</v>
      </c>
      <c r="AM2470">
        <v>1</v>
      </c>
    </row>
    <row r="2471" spans="1:39" x14ac:dyDescent="0.2">
      <c r="A2471" t="str">
        <f>"2467"</f>
        <v>2467</v>
      </c>
      <c r="B2471" t="str">
        <f t="shared" si="135"/>
        <v>1</v>
      </c>
      <c r="C2471" t="str">
        <f t="shared" si="137"/>
        <v>50</v>
      </c>
      <c r="D2471" t="str">
        <f>"3"</f>
        <v>3</v>
      </c>
      <c r="E2471" t="str">
        <f>"1-50-3"</f>
        <v>1-50-3</v>
      </c>
      <c r="F2471" t="s">
        <v>65</v>
      </c>
      <c r="G2471" t="s">
        <v>66</v>
      </c>
      <c r="H2471" t="s">
        <v>67</v>
      </c>
      <c r="S2471">
        <v>0</v>
      </c>
      <c r="T2471">
        <v>1</v>
      </c>
      <c r="U2471">
        <v>0</v>
      </c>
      <c r="V2471">
        <v>0</v>
      </c>
      <c r="W2471">
        <v>1</v>
      </c>
      <c r="X2471">
        <v>0</v>
      </c>
      <c r="Y2471">
        <v>0</v>
      </c>
      <c r="Z2471">
        <v>1</v>
      </c>
      <c r="AA2471">
        <v>0</v>
      </c>
      <c r="AB2471">
        <v>0</v>
      </c>
      <c r="AC2471">
        <v>1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</row>
    <row r="2472" spans="1:39" x14ac:dyDescent="0.2">
      <c r="A2472" t="str">
        <f>"2468"</f>
        <v>2468</v>
      </c>
      <c r="B2472" t="str">
        <f t="shared" si="135"/>
        <v>1</v>
      </c>
      <c r="C2472" t="str">
        <f t="shared" si="137"/>
        <v>50</v>
      </c>
      <c r="D2472" t="str">
        <f>"40"</f>
        <v>40</v>
      </c>
      <c r="E2472" t="str">
        <f>"1-50-40"</f>
        <v>1-50-40</v>
      </c>
      <c r="F2472" t="s">
        <v>65</v>
      </c>
      <c r="G2472" t="s">
        <v>66</v>
      </c>
      <c r="H2472" t="s">
        <v>67</v>
      </c>
      <c r="S2472">
        <v>1</v>
      </c>
      <c r="T2472">
        <v>0</v>
      </c>
      <c r="U2472">
        <v>0</v>
      </c>
      <c r="V2472">
        <v>0</v>
      </c>
      <c r="W2472">
        <v>0</v>
      </c>
      <c r="X2472">
        <v>1</v>
      </c>
      <c r="Y2472">
        <v>0</v>
      </c>
      <c r="Z2472">
        <v>1</v>
      </c>
      <c r="AA2472">
        <v>1</v>
      </c>
      <c r="AB2472">
        <v>0</v>
      </c>
      <c r="AC2472">
        <v>0</v>
      </c>
      <c r="AD2472">
        <v>1</v>
      </c>
      <c r="AE2472">
        <v>1</v>
      </c>
      <c r="AF2472">
        <v>1</v>
      </c>
      <c r="AG2472">
        <v>1</v>
      </c>
      <c r="AH2472">
        <v>1</v>
      </c>
      <c r="AI2472">
        <v>1</v>
      </c>
      <c r="AJ2472">
        <v>1</v>
      </c>
      <c r="AK2472">
        <v>1</v>
      </c>
      <c r="AL2472">
        <v>1</v>
      </c>
      <c r="AM2472">
        <v>1</v>
      </c>
    </row>
    <row r="2473" spans="1:39" x14ac:dyDescent="0.2">
      <c r="A2473" t="str">
        <f>"2469"</f>
        <v>2469</v>
      </c>
      <c r="B2473" t="str">
        <f t="shared" si="135"/>
        <v>1</v>
      </c>
      <c r="C2473" t="str">
        <f t="shared" si="137"/>
        <v>50</v>
      </c>
      <c r="D2473" t="str">
        <f>"39"</f>
        <v>39</v>
      </c>
      <c r="E2473" t="str">
        <f>"1-50-39"</f>
        <v>1-50-39</v>
      </c>
      <c r="F2473" t="s">
        <v>65</v>
      </c>
      <c r="G2473" t="s">
        <v>66</v>
      </c>
      <c r="H2473" t="s">
        <v>67</v>
      </c>
      <c r="S2473">
        <v>1</v>
      </c>
      <c r="T2473">
        <v>0</v>
      </c>
      <c r="U2473">
        <v>0</v>
      </c>
      <c r="V2473">
        <v>0</v>
      </c>
      <c r="W2473">
        <v>1</v>
      </c>
      <c r="X2473">
        <v>0</v>
      </c>
      <c r="Y2473">
        <v>0</v>
      </c>
      <c r="Z2473">
        <v>1</v>
      </c>
      <c r="AA2473">
        <v>1</v>
      </c>
      <c r="AB2473">
        <v>0</v>
      </c>
      <c r="AC2473">
        <v>0</v>
      </c>
      <c r="AD2473">
        <v>1</v>
      </c>
      <c r="AE2473">
        <v>1</v>
      </c>
      <c r="AF2473">
        <v>1</v>
      </c>
      <c r="AG2473">
        <v>1</v>
      </c>
      <c r="AH2473">
        <v>1</v>
      </c>
      <c r="AI2473">
        <v>1</v>
      </c>
      <c r="AJ2473">
        <v>1</v>
      </c>
      <c r="AK2473">
        <v>1</v>
      </c>
      <c r="AL2473">
        <v>1</v>
      </c>
      <c r="AM2473">
        <v>1</v>
      </c>
    </row>
    <row r="2474" spans="1:39" x14ac:dyDescent="0.2">
      <c r="A2474" t="str">
        <f>"2470"</f>
        <v>2470</v>
      </c>
      <c r="B2474" t="str">
        <f t="shared" si="135"/>
        <v>1</v>
      </c>
      <c r="C2474" t="str">
        <f t="shared" si="137"/>
        <v>50</v>
      </c>
      <c r="D2474" t="str">
        <f>"28"</f>
        <v>28</v>
      </c>
      <c r="E2474" t="str">
        <f>"1-50-28"</f>
        <v>1-50-28</v>
      </c>
      <c r="F2474" t="s">
        <v>65</v>
      </c>
      <c r="G2474" t="s">
        <v>66</v>
      </c>
      <c r="H2474" t="s">
        <v>67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1</v>
      </c>
      <c r="Y2474">
        <v>0</v>
      </c>
      <c r="Z2474">
        <v>1</v>
      </c>
      <c r="AA2474">
        <v>0</v>
      </c>
      <c r="AB2474">
        <v>0</v>
      </c>
      <c r="AC2474">
        <v>1</v>
      </c>
      <c r="AD2474">
        <v>1</v>
      </c>
      <c r="AE2474">
        <v>1</v>
      </c>
      <c r="AF2474">
        <v>1</v>
      </c>
      <c r="AG2474">
        <v>1</v>
      </c>
      <c r="AH2474">
        <v>1</v>
      </c>
      <c r="AI2474">
        <v>1</v>
      </c>
      <c r="AJ2474">
        <v>1</v>
      </c>
      <c r="AK2474">
        <v>1</v>
      </c>
      <c r="AL2474">
        <v>1</v>
      </c>
      <c r="AM2474">
        <v>1</v>
      </c>
    </row>
    <row r="2475" spans="1:39" x14ac:dyDescent="0.2">
      <c r="A2475" t="str">
        <f>"2471"</f>
        <v>2471</v>
      </c>
      <c r="B2475" t="str">
        <f t="shared" si="135"/>
        <v>1</v>
      </c>
      <c r="C2475" t="str">
        <f t="shared" si="137"/>
        <v>50</v>
      </c>
      <c r="D2475" t="str">
        <f>"18"</f>
        <v>18</v>
      </c>
      <c r="E2475" t="str">
        <f>"1-50-18"</f>
        <v>1-50-18</v>
      </c>
      <c r="F2475" t="s">
        <v>65</v>
      </c>
      <c r="G2475" t="s">
        <v>66</v>
      </c>
      <c r="H2475" t="s">
        <v>67</v>
      </c>
      <c r="S2475">
        <v>1</v>
      </c>
      <c r="T2475">
        <v>0</v>
      </c>
      <c r="U2475">
        <v>0</v>
      </c>
      <c r="V2475">
        <v>0</v>
      </c>
      <c r="W2475">
        <v>0</v>
      </c>
      <c r="X2475">
        <v>1</v>
      </c>
      <c r="Y2475">
        <v>0</v>
      </c>
      <c r="Z2475">
        <v>1</v>
      </c>
      <c r="AA2475">
        <v>0</v>
      </c>
      <c r="AB2475">
        <v>0</v>
      </c>
      <c r="AC2475">
        <v>1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</row>
    <row r="2476" spans="1:39" x14ac:dyDescent="0.2">
      <c r="A2476" t="str">
        <f>"2472"</f>
        <v>2472</v>
      </c>
      <c r="B2476" t="str">
        <f t="shared" si="135"/>
        <v>1</v>
      </c>
      <c r="C2476" t="str">
        <f t="shared" si="137"/>
        <v>50</v>
      </c>
      <c r="D2476" t="str">
        <f>"14"</f>
        <v>14</v>
      </c>
      <c r="E2476" t="str">
        <f>"1-50-14"</f>
        <v>1-50-14</v>
      </c>
      <c r="F2476" t="s">
        <v>65</v>
      </c>
      <c r="G2476" t="s">
        <v>66</v>
      </c>
      <c r="H2476" t="s">
        <v>67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1</v>
      </c>
      <c r="AJ2476">
        <v>0</v>
      </c>
      <c r="AK2476">
        <v>0</v>
      </c>
      <c r="AL2476">
        <v>0</v>
      </c>
      <c r="AM2476">
        <v>0</v>
      </c>
    </row>
    <row r="2477" spans="1:39" x14ac:dyDescent="0.2">
      <c r="A2477" t="str">
        <f>"2473"</f>
        <v>2473</v>
      </c>
      <c r="B2477" t="str">
        <f t="shared" si="135"/>
        <v>1</v>
      </c>
      <c r="C2477" t="str">
        <f t="shared" si="137"/>
        <v>50</v>
      </c>
      <c r="D2477" t="str">
        <f>"46"</f>
        <v>46</v>
      </c>
      <c r="E2477" t="str">
        <f>"1-50-46"</f>
        <v>1-50-46</v>
      </c>
      <c r="F2477" t="s">
        <v>65</v>
      </c>
      <c r="G2477" t="s">
        <v>66</v>
      </c>
      <c r="H2477" t="s">
        <v>67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0</v>
      </c>
      <c r="AB2477">
        <v>0</v>
      </c>
      <c r="AC2477">
        <v>1</v>
      </c>
      <c r="AD2477">
        <v>1</v>
      </c>
      <c r="AE2477">
        <v>1</v>
      </c>
      <c r="AF2477">
        <v>1</v>
      </c>
      <c r="AG2477">
        <v>1</v>
      </c>
      <c r="AH2477">
        <v>1</v>
      </c>
      <c r="AI2477">
        <v>1</v>
      </c>
      <c r="AJ2477">
        <v>1</v>
      </c>
      <c r="AK2477">
        <v>1</v>
      </c>
      <c r="AL2477">
        <v>1</v>
      </c>
      <c r="AM2477">
        <v>1</v>
      </c>
    </row>
    <row r="2478" spans="1:39" x14ac:dyDescent="0.2">
      <c r="A2478" t="str">
        <f>"2474"</f>
        <v>2474</v>
      </c>
      <c r="B2478" t="str">
        <f t="shared" si="135"/>
        <v>1</v>
      </c>
      <c r="C2478" t="str">
        <f t="shared" si="137"/>
        <v>50</v>
      </c>
      <c r="D2478" t="str">
        <f>"45"</f>
        <v>45</v>
      </c>
      <c r="E2478" t="str">
        <f>"1-50-45"</f>
        <v>1-50-45</v>
      </c>
      <c r="F2478" t="s">
        <v>65</v>
      </c>
      <c r="G2478" t="s">
        <v>66</v>
      </c>
      <c r="H2478" t="s">
        <v>67</v>
      </c>
      <c r="S2478">
        <v>1</v>
      </c>
      <c r="T2478">
        <v>0</v>
      </c>
      <c r="U2478">
        <v>0</v>
      </c>
      <c r="V2478">
        <v>0</v>
      </c>
      <c r="W2478">
        <v>1</v>
      </c>
      <c r="X2478">
        <v>0</v>
      </c>
      <c r="Y2478">
        <v>1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1</v>
      </c>
      <c r="AF2478">
        <v>1</v>
      </c>
      <c r="AG2478">
        <v>0</v>
      </c>
      <c r="AH2478">
        <v>1</v>
      </c>
      <c r="AI2478">
        <v>1</v>
      </c>
      <c r="AJ2478">
        <v>1</v>
      </c>
      <c r="AK2478">
        <v>1</v>
      </c>
      <c r="AL2478">
        <v>1</v>
      </c>
      <c r="AM2478">
        <v>1</v>
      </c>
    </row>
    <row r="2479" spans="1:39" x14ac:dyDescent="0.2">
      <c r="A2479" t="str">
        <f>"2475"</f>
        <v>2475</v>
      </c>
      <c r="B2479" t="str">
        <f t="shared" si="135"/>
        <v>1</v>
      </c>
      <c r="C2479" t="str">
        <f t="shared" si="137"/>
        <v>50</v>
      </c>
      <c r="D2479" t="str">
        <f>"35"</f>
        <v>35</v>
      </c>
      <c r="E2479" t="str">
        <f>"1-50-35"</f>
        <v>1-50-35</v>
      </c>
      <c r="F2479" t="s">
        <v>65</v>
      </c>
      <c r="G2479" t="s">
        <v>66</v>
      </c>
      <c r="H2479" t="s">
        <v>67</v>
      </c>
      <c r="S2479">
        <v>0</v>
      </c>
      <c r="T2479">
        <v>1</v>
      </c>
      <c r="U2479">
        <v>0</v>
      </c>
      <c r="V2479">
        <v>0</v>
      </c>
      <c r="W2479">
        <v>0</v>
      </c>
      <c r="X2479">
        <v>1</v>
      </c>
      <c r="Y2479">
        <v>1</v>
      </c>
      <c r="Z2479">
        <v>0</v>
      </c>
      <c r="AA2479">
        <v>0</v>
      </c>
      <c r="AB2479">
        <v>0</v>
      </c>
      <c r="AC2479">
        <v>1</v>
      </c>
      <c r="AD2479">
        <v>1</v>
      </c>
      <c r="AE2479">
        <v>1</v>
      </c>
      <c r="AF2479">
        <v>1</v>
      </c>
      <c r="AG2479">
        <v>1</v>
      </c>
      <c r="AH2479">
        <v>1</v>
      </c>
      <c r="AI2479">
        <v>1</v>
      </c>
      <c r="AJ2479">
        <v>1</v>
      </c>
      <c r="AK2479">
        <v>1</v>
      </c>
      <c r="AL2479">
        <v>1</v>
      </c>
      <c r="AM2479">
        <v>1</v>
      </c>
    </row>
    <row r="2480" spans="1:39" x14ac:dyDescent="0.2">
      <c r="A2480" t="str">
        <f>"2476"</f>
        <v>2476</v>
      </c>
      <c r="B2480" t="str">
        <f t="shared" si="135"/>
        <v>1</v>
      </c>
      <c r="C2480" t="str">
        <f t="shared" si="137"/>
        <v>50</v>
      </c>
      <c r="D2480" t="str">
        <f>"20"</f>
        <v>20</v>
      </c>
      <c r="E2480" t="str">
        <f>"1-50-20"</f>
        <v>1-50-20</v>
      </c>
      <c r="F2480" t="s">
        <v>65</v>
      </c>
      <c r="G2480" t="s">
        <v>66</v>
      </c>
      <c r="H2480" t="s">
        <v>67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</v>
      </c>
      <c r="Y2480">
        <v>1</v>
      </c>
      <c r="Z2480">
        <v>0</v>
      </c>
      <c r="AA2480">
        <v>0</v>
      </c>
      <c r="AB2480">
        <v>0</v>
      </c>
      <c r="AC2480">
        <v>1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1</v>
      </c>
      <c r="AJ2480">
        <v>1</v>
      </c>
      <c r="AK2480">
        <v>0</v>
      </c>
      <c r="AL2480">
        <v>0</v>
      </c>
      <c r="AM2480">
        <v>0</v>
      </c>
    </row>
    <row r="2481" spans="1:39" x14ac:dyDescent="0.2">
      <c r="A2481" t="str">
        <f>"2477"</f>
        <v>2477</v>
      </c>
      <c r="B2481" t="str">
        <f t="shared" si="135"/>
        <v>1</v>
      </c>
      <c r="C2481" t="str">
        <f t="shared" si="137"/>
        <v>50</v>
      </c>
      <c r="D2481" t="str">
        <f>"6"</f>
        <v>6</v>
      </c>
      <c r="E2481" t="str">
        <f>"1-50-6"</f>
        <v>1-50-6</v>
      </c>
      <c r="F2481" t="s">
        <v>65</v>
      </c>
      <c r="G2481" t="s">
        <v>66</v>
      </c>
      <c r="H2481" t="s">
        <v>67</v>
      </c>
      <c r="S2481">
        <v>0</v>
      </c>
      <c r="T2481">
        <v>1</v>
      </c>
      <c r="U2481">
        <v>0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0</v>
      </c>
      <c r="AB2481">
        <v>1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</row>
    <row r="2482" spans="1:39" x14ac:dyDescent="0.2">
      <c r="A2482" t="str">
        <f>"2478"</f>
        <v>2478</v>
      </c>
      <c r="B2482" t="str">
        <f t="shared" si="135"/>
        <v>1</v>
      </c>
      <c r="C2482" t="str">
        <f t="shared" si="137"/>
        <v>50</v>
      </c>
      <c r="D2482" t="str">
        <f>"48"</f>
        <v>48</v>
      </c>
      <c r="E2482" t="str">
        <f>"1-50-48"</f>
        <v>1-50-48</v>
      </c>
      <c r="F2482" t="s">
        <v>65</v>
      </c>
      <c r="G2482" t="s">
        <v>66</v>
      </c>
      <c r="H2482" t="s">
        <v>67</v>
      </c>
      <c r="S2482">
        <v>0</v>
      </c>
      <c r="T2482">
        <v>1</v>
      </c>
      <c r="U2482">
        <v>0</v>
      </c>
      <c r="V2482">
        <v>0</v>
      </c>
      <c r="W2482">
        <v>1</v>
      </c>
      <c r="X2482">
        <v>0</v>
      </c>
      <c r="Y2482">
        <v>0</v>
      </c>
      <c r="Z2482">
        <v>1</v>
      </c>
      <c r="AA2482">
        <v>1</v>
      </c>
      <c r="AB2482">
        <v>0</v>
      </c>
      <c r="AC2482">
        <v>0</v>
      </c>
      <c r="AD2482">
        <v>1</v>
      </c>
      <c r="AE2482">
        <v>1</v>
      </c>
      <c r="AF2482">
        <v>1</v>
      </c>
      <c r="AG2482">
        <v>1</v>
      </c>
      <c r="AH2482">
        <v>1</v>
      </c>
      <c r="AI2482">
        <v>1</v>
      </c>
      <c r="AJ2482">
        <v>1</v>
      </c>
      <c r="AK2482">
        <v>1</v>
      </c>
      <c r="AL2482">
        <v>1</v>
      </c>
      <c r="AM2482">
        <v>1</v>
      </c>
    </row>
    <row r="2483" spans="1:39" x14ac:dyDescent="0.2">
      <c r="A2483" t="str">
        <f>"2479"</f>
        <v>2479</v>
      </c>
      <c r="B2483" t="str">
        <f t="shared" si="135"/>
        <v>1</v>
      </c>
      <c r="C2483" t="str">
        <f t="shared" si="137"/>
        <v>50</v>
      </c>
      <c r="D2483" t="str">
        <f>"47"</f>
        <v>47</v>
      </c>
      <c r="E2483" t="str">
        <f>"1-50-47"</f>
        <v>1-50-47</v>
      </c>
      <c r="F2483" t="s">
        <v>65</v>
      </c>
      <c r="G2483" t="s">
        <v>66</v>
      </c>
      <c r="H2483" t="s">
        <v>67</v>
      </c>
      <c r="S2483">
        <v>1</v>
      </c>
      <c r="T2483">
        <v>0</v>
      </c>
      <c r="U2483">
        <v>0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1</v>
      </c>
      <c r="AH2483">
        <v>1</v>
      </c>
      <c r="AI2483">
        <v>1</v>
      </c>
      <c r="AJ2483">
        <v>0</v>
      </c>
      <c r="AK2483">
        <v>0</v>
      </c>
      <c r="AL2483">
        <v>1</v>
      </c>
      <c r="AM2483">
        <v>0</v>
      </c>
    </row>
    <row r="2484" spans="1:39" x14ac:dyDescent="0.2">
      <c r="A2484" t="str">
        <f>"2480"</f>
        <v>2480</v>
      </c>
      <c r="B2484" t="str">
        <f t="shared" si="135"/>
        <v>1</v>
      </c>
      <c r="C2484" t="str">
        <f t="shared" si="137"/>
        <v>50</v>
      </c>
      <c r="D2484" t="str">
        <f>"36"</f>
        <v>36</v>
      </c>
      <c r="E2484" t="str">
        <f>"1-50-36"</f>
        <v>1-50-36</v>
      </c>
      <c r="F2484" t="s">
        <v>65</v>
      </c>
      <c r="G2484" t="s">
        <v>66</v>
      </c>
      <c r="H2484" t="s">
        <v>67</v>
      </c>
      <c r="S2484">
        <v>0</v>
      </c>
      <c r="T2484">
        <v>1</v>
      </c>
      <c r="U2484">
        <v>0</v>
      </c>
      <c r="V2484">
        <v>0</v>
      </c>
      <c r="W2484">
        <v>0</v>
      </c>
      <c r="X2484">
        <v>1</v>
      </c>
      <c r="Y2484">
        <v>0</v>
      </c>
      <c r="Z2484">
        <v>1</v>
      </c>
      <c r="AA2484">
        <v>0</v>
      </c>
      <c r="AB2484">
        <v>0</v>
      </c>
      <c r="AC2484">
        <v>1</v>
      </c>
      <c r="AD2484">
        <v>1</v>
      </c>
      <c r="AE2484">
        <v>1</v>
      </c>
      <c r="AF2484">
        <v>0</v>
      </c>
      <c r="AG2484">
        <v>1</v>
      </c>
      <c r="AH2484">
        <v>1</v>
      </c>
      <c r="AI2484">
        <v>1</v>
      </c>
      <c r="AJ2484">
        <v>1</v>
      </c>
      <c r="AK2484">
        <v>0</v>
      </c>
      <c r="AL2484">
        <v>1</v>
      </c>
      <c r="AM2484">
        <v>1</v>
      </c>
    </row>
    <row r="2485" spans="1:39" x14ac:dyDescent="0.2">
      <c r="A2485" t="str">
        <f>"2481"</f>
        <v>2481</v>
      </c>
      <c r="B2485" t="str">
        <f t="shared" si="135"/>
        <v>1</v>
      </c>
      <c r="C2485" t="str">
        <f t="shared" si="137"/>
        <v>50</v>
      </c>
      <c r="D2485" t="str">
        <f>"21"</f>
        <v>21</v>
      </c>
      <c r="E2485" t="str">
        <f>"1-50-21"</f>
        <v>1-50-21</v>
      </c>
      <c r="F2485" t="s">
        <v>65</v>
      </c>
      <c r="G2485" t="s">
        <v>66</v>
      </c>
      <c r="H2485" t="s">
        <v>67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</row>
    <row r="2486" spans="1:39" x14ac:dyDescent="0.2">
      <c r="A2486" t="str">
        <f>"2482"</f>
        <v>2482</v>
      </c>
      <c r="B2486" t="str">
        <f t="shared" si="135"/>
        <v>1</v>
      </c>
      <c r="C2486" t="str">
        <f t="shared" si="137"/>
        <v>50</v>
      </c>
      <c r="D2486" t="str">
        <f>"12"</f>
        <v>12</v>
      </c>
      <c r="E2486" t="str">
        <f>"1-50-12"</f>
        <v>1-50-12</v>
      </c>
      <c r="F2486" t="s">
        <v>65</v>
      </c>
      <c r="G2486" t="s">
        <v>66</v>
      </c>
      <c r="H2486" t="s">
        <v>67</v>
      </c>
      <c r="S2486">
        <v>1</v>
      </c>
      <c r="T2486">
        <v>0</v>
      </c>
      <c r="U2486">
        <v>0</v>
      </c>
      <c r="V2486">
        <v>0</v>
      </c>
      <c r="W2486">
        <v>1</v>
      </c>
      <c r="X2486">
        <v>0</v>
      </c>
      <c r="Y2486">
        <v>1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1</v>
      </c>
      <c r="AF2486">
        <v>1</v>
      </c>
      <c r="AG2486">
        <v>1</v>
      </c>
      <c r="AH2486">
        <v>1</v>
      </c>
      <c r="AI2486">
        <v>1</v>
      </c>
      <c r="AJ2486">
        <v>1</v>
      </c>
      <c r="AK2486">
        <v>1</v>
      </c>
      <c r="AL2486">
        <v>1</v>
      </c>
      <c r="AM2486">
        <v>1</v>
      </c>
    </row>
    <row r="2487" spans="1:39" x14ac:dyDescent="0.2">
      <c r="A2487" t="str">
        <f>"2483"</f>
        <v>2483</v>
      </c>
      <c r="B2487" t="str">
        <f t="shared" ref="B2487:B2550" si="138">"1"</f>
        <v>1</v>
      </c>
      <c r="C2487" t="str">
        <f t="shared" ref="C2487:C2504" si="139">"50"</f>
        <v>50</v>
      </c>
      <c r="D2487" t="str">
        <f>"49"</f>
        <v>49</v>
      </c>
      <c r="E2487" t="str">
        <f>"1-50-49"</f>
        <v>1-50-49</v>
      </c>
      <c r="F2487" t="s">
        <v>65</v>
      </c>
      <c r="G2487" t="s">
        <v>66</v>
      </c>
      <c r="H2487" t="s">
        <v>67</v>
      </c>
      <c r="S2487">
        <v>1</v>
      </c>
      <c r="T2487">
        <v>0</v>
      </c>
      <c r="U2487">
        <v>0</v>
      </c>
      <c r="V2487">
        <v>0</v>
      </c>
      <c r="W2487">
        <v>1</v>
      </c>
      <c r="X2487">
        <v>0</v>
      </c>
      <c r="Y2487">
        <v>1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1</v>
      </c>
      <c r="AF2487">
        <v>1</v>
      </c>
      <c r="AG2487">
        <v>1</v>
      </c>
      <c r="AH2487">
        <v>1</v>
      </c>
      <c r="AI2487">
        <v>1</v>
      </c>
      <c r="AJ2487">
        <v>1</v>
      </c>
      <c r="AK2487">
        <v>1</v>
      </c>
      <c r="AL2487">
        <v>1</v>
      </c>
      <c r="AM2487">
        <v>1</v>
      </c>
    </row>
    <row r="2488" spans="1:39" x14ac:dyDescent="0.2">
      <c r="A2488" t="str">
        <f>"2484"</f>
        <v>2484</v>
      </c>
      <c r="B2488" t="str">
        <f t="shared" si="138"/>
        <v>1</v>
      </c>
      <c r="C2488" t="str">
        <f t="shared" si="139"/>
        <v>50</v>
      </c>
      <c r="D2488" t="str">
        <f>"22"</f>
        <v>22</v>
      </c>
      <c r="E2488" t="str">
        <f>"1-50-22"</f>
        <v>1-50-22</v>
      </c>
      <c r="F2488" t="s">
        <v>65</v>
      </c>
      <c r="G2488" t="s">
        <v>66</v>
      </c>
      <c r="H2488" t="s">
        <v>67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1</v>
      </c>
      <c r="Y2488">
        <v>0</v>
      </c>
      <c r="Z2488">
        <v>1</v>
      </c>
      <c r="AA2488">
        <v>0</v>
      </c>
      <c r="AB2488">
        <v>0</v>
      </c>
      <c r="AC2488">
        <v>1</v>
      </c>
      <c r="AD2488">
        <v>1</v>
      </c>
      <c r="AE2488">
        <v>1</v>
      </c>
      <c r="AF2488">
        <v>1</v>
      </c>
      <c r="AG2488">
        <v>1</v>
      </c>
      <c r="AH2488">
        <v>1</v>
      </c>
      <c r="AI2488">
        <v>1</v>
      </c>
      <c r="AJ2488">
        <v>1</v>
      </c>
      <c r="AK2488">
        <v>1</v>
      </c>
      <c r="AL2488">
        <v>1</v>
      </c>
      <c r="AM2488">
        <v>1</v>
      </c>
    </row>
    <row r="2489" spans="1:39" x14ac:dyDescent="0.2">
      <c r="A2489" t="str">
        <f>"2485"</f>
        <v>2485</v>
      </c>
      <c r="B2489" t="str">
        <f t="shared" si="138"/>
        <v>1</v>
      </c>
      <c r="C2489" t="str">
        <f t="shared" si="139"/>
        <v>50</v>
      </c>
      <c r="D2489" t="str">
        <f>"13"</f>
        <v>13</v>
      </c>
      <c r="E2489" t="str">
        <f>"1-50-13"</f>
        <v>1-50-13</v>
      </c>
      <c r="F2489" t="s">
        <v>65</v>
      </c>
      <c r="G2489" t="s">
        <v>66</v>
      </c>
      <c r="H2489" t="s">
        <v>67</v>
      </c>
      <c r="S2489">
        <v>0</v>
      </c>
      <c r="T2489">
        <v>1</v>
      </c>
      <c r="U2489">
        <v>0</v>
      </c>
      <c r="V2489">
        <v>0</v>
      </c>
      <c r="W2489">
        <v>0</v>
      </c>
      <c r="X2489">
        <v>1</v>
      </c>
      <c r="Y2489">
        <v>0</v>
      </c>
      <c r="Z2489">
        <v>1</v>
      </c>
      <c r="AA2489">
        <v>0</v>
      </c>
      <c r="AB2489">
        <v>0</v>
      </c>
      <c r="AC2489">
        <v>1</v>
      </c>
      <c r="AD2489">
        <v>1</v>
      </c>
      <c r="AE2489">
        <v>1</v>
      </c>
      <c r="AF2489">
        <v>1</v>
      </c>
      <c r="AG2489">
        <v>1</v>
      </c>
      <c r="AH2489">
        <v>1</v>
      </c>
      <c r="AI2489">
        <v>1</v>
      </c>
      <c r="AJ2489">
        <v>1</v>
      </c>
      <c r="AK2489">
        <v>1</v>
      </c>
      <c r="AL2489">
        <v>1</v>
      </c>
      <c r="AM2489">
        <v>1</v>
      </c>
    </row>
    <row r="2490" spans="1:39" x14ac:dyDescent="0.2">
      <c r="A2490" t="str">
        <f>"2486"</f>
        <v>2486</v>
      </c>
      <c r="B2490" t="str">
        <f t="shared" si="138"/>
        <v>1</v>
      </c>
      <c r="C2490" t="str">
        <f t="shared" si="139"/>
        <v>50</v>
      </c>
      <c r="D2490" t="str">
        <f>"50"</f>
        <v>50</v>
      </c>
      <c r="E2490" t="str">
        <f>"1-50-50"</f>
        <v>1-50-50</v>
      </c>
      <c r="F2490" t="s">
        <v>65</v>
      </c>
      <c r="G2490" t="s">
        <v>66</v>
      </c>
      <c r="H2490" t="s">
        <v>67</v>
      </c>
      <c r="S2490">
        <v>1</v>
      </c>
      <c r="T2490">
        <v>0</v>
      </c>
      <c r="U2490">
        <v>0</v>
      </c>
      <c r="V2490">
        <v>0</v>
      </c>
      <c r="W2490">
        <v>1</v>
      </c>
      <c r="X2490">
        <v>0</v>
      </c>
      <c r="Y2490">
        <v>1</v>
      </c>
      <c r="Z2490">
        <v>0</v>
      </c>
      <c r="AA2490">
        <v>0</v>
      </c>
      <c r="AB2490">
        <v>1</v>
      </c>
      <c r="AC2490">
        <v>0</v>
      </c>
      <c r="AD2490">
        <v>1</v>
      </c>
      <c r="AE2490">
        <v>1</v>
      </c>
      <c r="AF2490">
        <v>1</v>
      </c>
      <c r="AG2490">
        <v>1</v>
      </c>
      <c r="AH2490">
        <v>1</v>
      </c>
      <c r="AI2490">
        <v>1</v>
      </c>
      <c r="AJ2490">
        <v>1</v>
      </c>
      <c r="AK2490">
        <v>1</v>
      </c>
      <c r="AL2490">
        <v>1</v>
      </c>
      <c r="AM2490">
        <v>1</v>
      </c>
    </row>
    <row r="2491" spans="1:39" x14ac:dyDescent="0.2">
      <c r="A2491" t="str">
        <f>"2487"</f>
        <v>2487</v>
      </c>
      <c r="B2491" t="str">
        <f t="shared" si="138"/>
        <v>1</v>
      </c>
      <c r="C2491" t="str">
        <f t="shared" si="139"/>
        <v>50</v>
      </c>
      <c r="D2491" t="str">
        <f>"23"</f>
        <v>23</v>
      </c>
      <c r="E2491" t="str">
        <f>"1-50-23"</f>
        <v>1-50-23</v>
      </c>
      <c r="F2491" t="s">
        <v>65</v>
      </c>
      <c r="G2491" t="s">
        <v>66</v>
      </c>
      <c r="H2491" t="s">
        <v>67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</row>
    <row r="2492" spans="1:39" x14ac:dyDescent="0.2">
      <c r="A2492" t="str">
        <f>"2488"</f>
        <v>2488</v>
      </c>
      <c r="B2492" t="str">
        <f t="shared" si="138"/>
        <v>1</v>
      </c>
      <c r="C2492" t="str">
        <f t="shared" si="139"/>
        <v>50</v>
      </c>
      <c r="D2492" t="str">
        <f>"7"</f>
        <v>7</v>
      </c>
      <c r="E2492" t="str">
        <f>"1-50-7"</f>
        <v>1-50-7</v>
      </c>
      <c r="F2492" t="s">
        <v>65</v>
      </c>
      <c r="G2492" t="s">
        <v>66</v>
      </c>
      <c r="H2492" t="s">
        <v>67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</row>
    <row r="2493" spans="1:39" x14ac:dyDescent="0.2">
      <c r="A2493" t="str">
        <f>"2489"</f>
        <v>2489</v>
      </c>
      <c r="B2493" t="str">
        <f t="shared" si="138"/>
        <v>1</v>
      </c>
      <c r="C2493" t="str">
        <f t="shared" si="139"/>
        <v>50</v>
      </c>
      <c r="D2493" t="str">
        <f>"26"</f>
        <v>26</v>
      </c>
      <c r="E2493" t="str">
        <f>"1-50-26"</f>
        <v>1-50-26</v>
      </c>
      <c r="F2493" t="s">
        <v>65</v>
      </c>
      <c r="G2493" t="s">
        <v>66</v>
      </c>
      <c r="H2493" t="s">
        <v>67</v>
      </c>
      <c r="S2493">
        <v>0</v>
      </c>
      <c r="T2493">
        <v>1</v>
      </c>
      <c r="U2493">
        <v>0</v>
      </c>
      <c r="V2493">
        <v>0</v>
      </c>
      <c r="W2493">
        <v>0</v>
      </c>
      <c r="X2493">
        <v>1</v>
      </c>
      <c r="Y2493">
        <v>0</v>
      </c>
      <c r="Z2493">
        <v>1</v>
      </c>
      <c r="AA2493">
        <v>0</v>
      </c>
      <c r="AB2493">
        <v>0</v>
      </c>
      <c r="AC2493">
        <v>1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</row>
    <row r="2494" spans="1:39" x14ac:dyDescent="0.2">
      <c r="A2494" t="str">
        <f>"2490"</f>
        <v>2490</v>
      </c>
      <c r="B2494" t="str">
        <f t="shared" si="138"/>
        <v>1</v>
      </c>
      <c r="C2494" t="str">
        <f t="shared" si="139"/>
        <v>50</v>
      </c>
      <c r="D2494" t="str">
        <f>"9"</f>
        <v>9</v>
      </c>
      <c r="E2494" t="str">
        <f>"1-50-9"</f>
        <v>1-50-9</v>
      </c>
      <c r="F2494" t="s">
        <v>65</v>
      </c>
      <c r="G2494" t="s">
        <v>66</v>
      </c>
      <c r="H2494" t="s">
        <v>67</v>
      </c>
      <c r="S2494">
        <v>1</v>
      </c>
      <c r="T2494">
        <v>0</v>
      </c>
      <c r="U2494">
        <v>0</v>
      </c>
      <c r="V2494">
        <v>0</v>
      </c>
      <c r="W2494">
        <v>1</v>
      </c>
      <c r="X2494">
        <v>0</v>
      </c>
      <c r="Y2494">
        <v>1</v>
      </c>
      <c r="Z2494">
        <v>0</v>
      </c>
      <c r="AA2494">
        <v>1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</row>
    <row r="2495" spans="1:39" x14ac:dyDescent="0.2">
      <c r="A2495" t="str">
        <f>"2491"</f>
        <v>2491</v>
      </c>
      <c r="B2495" t="str">
        <f t="shared" si="138"/>
        <v>1</v>
      </c>
      <c r="C2495" t="str">
        <f t="shared" si="139"/>
        <v>50</v>
      </c>
      <c r="D2495" t="str">
        <f>"29"</f>
        <v>29</v>
      </c>
      <c r="E2495" t="str">
        <f>"1-50-29"</f>
        <v>1-50-29</v>
      </c>
      <c r="F2495" t="s">
        <v>65</v>
      </c>
      <c r="G2495" t="s">
        <v>66</v>
      </c>
      <c r="H2495" t="s">
        <v>67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</row>
    <row r="2496" spans="1:39" x14ac:dyDescent="0.2">
      <c r="A2496" t="str">
        <f>"2492"</f>
        <v>2492</v>
      </c>
      <c r="B2496" t="str">
        <f t="shared" si="138"/>
        <v>1</v>
      </c>
      <c r="C2496" t="str">
        <f t="shared" si="139"/>
        <v>50</v>
      </c>
      <c r="D2496" t="str">
        <f>"4"</f>
        <v>4</v>
      </c>
      <c r="E2496" t="str">
        <f>"1-50-4"</f>
        <v>1-50-4</v>
      </c>
      <c r="F2496" t="s">
        <v>65</v>
      </c>
      <c r="G2496" t="s">
        <v>66</v>
      </c>
      <c r="H2496" t="s">
        <v>67</v>
      </c>
      <c r="S2496">
        <v>0</v>
      </c>
      <c r="T2496">
        <v>1</v>
      </c>
      <c r="U2496">
        <v>0</v>
      </c>
      <c r="V2496">
        <v>0</v>
      </c>
      <c r="W2496">
        <v>0</v>
      </c>
      <c r="X2496">
        <v>1</v>
      </c>
      <c r="Y2496">
        <v>0</v>
      </c>
      <c r="Z2496">
        <v>1</v>
      </c>
      <c r="AA2496">
        <v>0</v>
      </c>
      <c r="AB2496">
        <v>0</v>
      </c>
      <c r="AC2496">
        <v>1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</row>
    <row r="2497" spans="1:39" x14ac:dyDescent="0.2">
      <c r="A2497" t="str">
        <f>"2493"</f>
        <v>2493</v>
      </c>
      <c r="B2497" t="str">
        <f t="shared" si="138"/>
        <v>1</v>
      </c>
      <c r="C2497" t="str">
        <f t="shared" si="139"/>
        <v>50</v>
      </c>
      <c r="D2497" t="str">
        <f>"30"</f>
        <v>30</v>
      </c>
      <c r="E2497" t="str">
        <f>"1-50-30"</f>
        <v>1-50-30</v>
      </c>
      <c r="F2497" t="s">
        <v>65</v>
      </c>
      <c r="G2497" t="s">
        <v>66</v>
      </c>
      <c r="H2497" t="s">
        <v>67</v>
      </c>
      <c r="S2497">
        <v>0</v>
      </c>
      <c r="T2497">
        <v>1</v>
      </c>
      <c r="U2497">
        <v>0</v>
      </c>
      <c r="V2497">
        <v>0</v>
      </c>
      <c r="W2497">
        <v>1</v>
      </c>
      <c r="X2497">
        <v>0</v>
      </c>
      <c r="Y2497">
        <v>1</v>
      </c>
      <c r="Z2497">
        <v>0</v>
      </c>
      <c r="AA2497">
        <v>0</v>
      </c>
      <c r="AB2497">
        <v>1</v>
      </c>
      <c r="AC2497">
        <v>0</v>
      </c>
      <c r="AD2497">
        <v>1</v>
      </c>
      <c r="AE2497">
        <v>1</v>
      </c>
      <c r="AF2497">
        <v>1</v>
      </c>
      <c r="AG2497">
        <v>1</v>
      </c>
      <c r="AH2497">
        <v>1</v>
      </c>
      <c r="AI2497">
        <v>1</v>
      </c>
      <c r="AJ2497">
        <v>1</v>
      </c>
      <c r="AK2497">
        <v>1</v>
      </c>
      <c r="AL2497">
        <v>1</v>
      </c>
      <c r="AM2497">
        <v>1</v>
      </c>
    </row>
    <row r="2498" spans="1:39" x14ac:dyDescent="0.2">
      <c r="A2498" t="str">
        <f>"2494"</f>
        <v>2494</v>
      </c>
      <c r="B2498" t="str">
        <f t="shared" si="138"/>
        <v>1</v>
      </c>
      <c r="C2498" t="str">
        <f t="shared" si="139"/>
        <v>50</v>
      </c>
      <c r="D2498" t="str">
        <f>"2"</f>
        <v>2</v>
      </c>
      <c r="E2498" t="str">
        <f>"1-50-2"</f>
        <v>1-50-2</v>
      </c>
      <c r="F2498" t="s">
        <v>65</v>
      </c>
      <c r="G2498" t="s">
        <v>66</v>
      </c>
      <c r="H2498" t="s">
        <v>67</v>
      </c>
      <c r="S2498">
        <v>1</v>
      </c>
      <c r="T2498">
        <v>0</v>
      </c>
      <c r="U2498">
        <v>0</v>
      </c>
      <c r="V2498">
        <v>0</v>
      </c>
      <c r="W2498">
        <v>1</v>
      </c>
      <c r="X2498">
        <v>0</v>
      </c>
      <c r="Y2498">
        <v>1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1</v>
      </c>
      <c r="AF2498">
        <v>1</v>
      </c>
      <c r="AG2498">
        <v>1</v>
      </c>
      <c r="AH2498">
        <v>1</v>
      </c>
      <c r="AI2498">
        <v>1</v>
      </c>
      <c r="AJ2498">
        <v>1</v>
      </c>
      <c r="AK2498">
        <v>1</v>
      </c>
      <c r="AL2498">
        <v>1</v>
      </c>
      <c r="AM2498">
        <v>1</v>
      </c>
    </row>
    <row r="2499" spans="1:39" x14ac:dyDescent="0.2">
      <c r="A2499" t="str">
        <f>"2495"</f>
        <v>2495</v>
      </c>
      <c r="B2499" t="str">
        <f t="shared" si="138"/>
        <v>1</v>
      </c>
      <c r="C2499" t="str">
        <f t="shared" si="139"/>
        <v>50</v>
      </c>
      <c r="D2499" t="str">
        <f>"31"</f>
        <v>31</v>
      </c>
      <c r="E2499" t="str">
        <f>"1-50-31"</f>
        <v>1-50-31</v>
      </c>
      <c r="F2499" t="s">
        <v>65</v>
      </c>
      <c r="G2499" t="s">
        <v>66</v>
      </c>
      <c r="H2499" t="s">
        <v>67</v>
      </c>
      <c r="S2499">
        <v>0</v>
      </c>
      <c r="T2499">
        <v>1</v>
      </c>
      <c r="U2499">
        <v>0</v>
      </c>
      <c r="V2499">
        <v>0</v>
      </c>
      <c r="W2499">
        <v>0</v>
      </c>
      <c r="X2499">
        <v>1</v>
      </c>
      <c r="Y2499">
        <v>0</v>
      </c>
      <c r="Z2499">
        <v>1</v>
      </c>
      <c r="AA2499">
        <v>0</v>
      </c>
      <c r="AB2499">
        <v>0</v>
      </c>
      <c r="AC2499">
        <v>1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1</v>
      </c>
      <c r="AJ2499">
        <v>1</v>
      </c>
      <c r="AK2499">
        <v>1</v>
      </c>
      <c r="AL2499">
        <v>1</v>
      </c>
      <c r="AM2499">
        <v>1</v>
      </c>
    </row>
    <row r="2500" spans="1:39" x14ac:dyDescent="0.2">
      <c r="A2500" t="str">
        <f>"2496"</f>
        <v>2496</v>
      </c>
      <c r="B2500" t="str">
        <f t="shared" si="138"/>
        <v>1</v>
      </c>
      <c r="C2500" t="str">
        <f t="shared" si="139"/>
        <v>50</v>
      </c>
      <c r="D2500" t="str">
        <f>"11"</f>
        <v>11</v>
      </c>
      <c r="E2500" t="str">
        <f>"1-50-11"</f>
        <v>1-50-11</v>
      </c>
      <c r="F2500" t="s">
        <v>65</v>
      </c>
      <c r="G2500" t="s">
        <v>66</v>
      </c>
      <c r="H2500" t="s">
        <v>67</v>
      </c>
      <c r="S2500">
        <v>0</v>
      </c>
      <c r="T2500">
        <v>1</v>
      </c>
      <c r="U2500">
        <v>0</v>
      </c>
      <c r="V2500">
        <v>0</v>
      </c>
      <c r="W2500">
        <v>0</v>
      </c>
      <c r="X2500">
        <v>1</v>
      </c>
      <c r="Y2500">
        <v>0</v>
      </c>
      <c r="Z2500">
        <v>1</v>
      </c>
      <c r="AA2500">
        <v>0</v>
      </c>
      <c r="AB2500">
        <v>1</v>
      </c>
      <c r="AC2500">
        <v>0</v>
      </c>
      <c r="AD2500">
        <v>1</v>
      </c>
      <c r="AE2500">
        <v>1</v>
      </c>
      <c r="AF2500">
        <v>1</v>
      </c>
      <c r="AG2500">
        <v>1</v>
      </c>
      <c r="AH2500">
        <v>1</v>
      </c>
      <c r="AI2500">
        <v>1</v>
      </c>
      <c r="AJ2500">
        <v>1</v>
      </c>
      <c r="AK2500">
        <v>1</v>
      </c>
      <c r="AL2500">
        <v>1</v>
      </c>
      <c r="AM2500">
        <v>1</v>
      </c>
    </row>
    <row r="2501" spans="1:39" x14ac:dyDescent="0.2">
      <c r="A2501" t="str">
        <f>"2497"</f>
        <v>2497</v>
      </c>
      <c r="B2501" t="str">
        <f t="shared" si="138"/>
        <v>1</v>
      </c>
      <c r="C2501" t="str">
        <f t="shared" si="139"/>
        <v>50</v>
      </c>
      <c r="D2501" t="str">
        <f>"33"</f>
        <v>33</v>
      </c>
      <c r="E2501" t="str">
        <f>"1-50-33"</f>
        <v>1-50-33</v>
      </c>
      <c r="F2501" t="s">
        <v>65</v>
      </c>
      <c r="G2501" t="s">
        <v>66</v>
      </c>
      <c r="H2501" t="s">
        <v>67</v>
      </c>
      <c r="S2501">
        <v>0</v>
      </c>
      <c r="T2501">
        <v>1</v>
      </c>
      <c r="U2501">
        <v>0</v>
      </c>
      <c r="V2501">
        <v>0</v>
      </c>
      <c r="W2501">
        <v>1</v>
      </c>
      <c r="X2501">
        <v>0</v>
      </c>
      <c r="Y2501">
        <v>0</v>
      </c>
      <c r="Z2501">
        <v>1</v>
      </c>
      <c r="AA2501">
        <v>0</v>
      </c>
      <c r="AB2501">
        <v>0</v>
      </c>
      <c r="AC2501">
        <v>1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</row>
    <row r="2502" spans="1:39" x14ac:dyDescent="0.2">
      <c r="A2502" t="str">
        <f>"2498"</f>
        <v>2498</v>
      </c>
      <c r="B2502" t="str">
        <f t="shared" si="138"/>
        <v>1</v>
      </c>
      <c r="C2502" t="str">
        <f t="shared" si="139"/>
        <v>50</v>
      </c>
      <c r="D2502" t="str">
        <f>"10"</f>
        <v>10</v>
      </c>
      <c r="E2502" t="str">
        <f>"1-50-10"</f>
        <v>1-50-10</v>
      </c>
      <c r="F2502" t="s">
        <v>65</v>
      </c>
      <c r="G2502" t="s">
        <v>66</v>
      </c>
      <c r="H2502" t="s">
        <v>67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1</v>
      </c>
      <c r="Y2502">
        <v>0</v>
      </c>
      <c r="Z2502">
        <v>1</v>
      </c>
      <c r="AA2502">
        <v>0</v>
      </c>
      <c r="AB2502">
        <v>0</v>
      </c>
      <c r="AC2502">
        <v>1</v>
      </c>
      <c r="AD2502">
        <v>1</v>
      </c>
      <c r="AE2502">
        <v>1</v>
      </c>
      <c r="AF2502">
        <v>1</v>
      </c>
      <c r="AG2502">
        <v>1</v>
      </c>
      <c r="AH2502">
        <v>1</v>
      </c>
      <c r="AI2502">
        <v>1</v>
      </c>
      <c r="AJ2502">
        <v>1</v>
      </c>
      <c r="AK2502">
        <v>1</v>
      </c>
      <c r="AL2502">
        <v>1</v>
      </c>
      <c r="AM2502">
        <v>1</v>
      </c>
    </row>
    <row r="2503" spans="1:39" x14ac:dyDescent="0.2">
      <c r="A2503" t="str">
        <f>"2499"</f>
        <v>2499</v>
      </c>
      <c r="B2503" t="str">
        <f t="shared" si="138"/>
        <v>1</v>
      </c>
      <c r="C2503" t="str">
        <f t="shared" si="139"/>
        <v>50</v>
      </c>
      <c r="D2503" t="str">
        <f>"34"</f>
        <v>34</v>
      </c>
      <c r="E2503" t="str">
        <f>"1-50-34"</f>
        <v>1-50-34</v>
      </c>
      <c r="F2503" t="s">
        <v>65</v>
      </c>
      <c r="G2503" t="s">
        <v>66</v>
      </c>
      <c r="H2503" t="s">
        <v>67</v>
      </c>
      <c r="S2503">
        <v>0</v>
      </c>
      <c r="T2503">
        <v>1</v>
      </c>
      <c r="U2503">
        <v>0</v>
      </c>
      <c r="V2503">
        <v>0</v>
      </c>
      <c r="W2503">
        <v>0</v>
      </c>
      <c r="X2503">
        <v>1</v>
      </c>
      <c r="Y2503">
        <v>0</v>
      </c>
      <c r="Z2503">
        <v>1</v>
      </c>
      <c r="AA2503">
        <v>0</v>
      </c>
      <c r="AB2503">
        <v>0</v>
      </c>
      <c r="AC2503">
        <v>1</v>
      </c>
      <c r="AD2503">
        <v>0</v>
      </c>
      <c r="AE2503">
        <v>0</v>
      </c>
      <c r="AF2503">
        <v>0</v>
      </c>
      <c r="AG2503">
        <v>1</v>
      </c>
      <c r="AH2503">
        <v>1</v>
      </c>
      <c r="AI2503">
        <v>1</v>
      </c>
      <c r="AJ2503">
        <v>1</v>
      </c>
      <c r="AK2503">
        <v>1</v>
      </c>
      <c r="AL2503">
        <v>1</v>
      </c>
      <c r="AM2503">
        <v>1</v>
      </c>
    </row>
    <row r="2504" spans="1:39" x14ac:dyDescent="0.2">
      <c r="A2504" t="str">
        <f>"2500"</f>
        <v>2500</v>
      </c>
      <c r="B2504" t="str">
        <f t="shared" si="138"/>
        <v>1</v>
      </c>
      <c r="C2504" t="str">
        <f t="shared" si="139"/>
        <v>50</v>
      </c>
      <c r="D2504" t="str">
        <f>"8"</f>
        <v>8</v>
      </c>
      <c r="E2504" t="str">
        <f>"1-50-8"</f>
        <v>1-50-8</v>
      </c>
      <c r="F2504" t="s">
        <v>65</v>
      </c>
      <c r="G2504" t="s">
        <v>66</v>
      </c>
      <c r="H2504" t="s">
        <v>67</v>
      </c>
      <c r="S2504">
        <v>1</v>
      </c>
      <c r="T2504">
        <v>0</v>
      </c>
      <c r="U2504">
        <v>0</v>
      </c>
      <c r="V2504">
        <v>0</v>
      </c>
      <c r="W2504">
        <v>1</v>
      </c>
      <c r="X2504">
        <v>0</v>
      </c>
      <c r="Y2504">
        <v>1</v>
      </c>
      <c r="Z2504">
        <v>0</v>
      </c>
      <c r="AA2504">
        <v>0</v>
      </c>
      <c r="AB2504">
        <v>1</v>
      </c>
      <c r="AC2504">
        <v>0</v>
      </c>
      <c r="AD2504">
        <v>1</v>
      </c>
      <c r="AE2504">
        <v>1</v>
      </c>
      <c r="AF2504">
        <v>1</v>
      </c>
      <c r="AG2504">
        <v>1</v>
      </c>
      <c r="AH2504">
        <v>1</v>
      </c>
      <c r="AI2504">
        <v>1</v>
      </c>
      <c r="AJ2504">
        <v>1</v>
      </c>
      <c r="AK2504">
        <v>1</v>
      </c>
      <c r="AL2504">
        <v>1</v>
      </c>
      <c r="AM2504">
        <v>1</v>
      </c>
    </row>
    <row r="2505" spans="1:39" x14ac:dyDescent="0.2">
      <c r="A2505" t="str">
        <f>"2501"</f>
        <v>2501</v>
      </c>
      <c r="B2505" t="str">
        <f t="shared" si="138"/>
        <v>1</v>
      </c>
      <c r="C2505" t="str">
        <f t="shared" ref="C2505:C2536" si="140">"51"</f>
        <v>51</v>
      </c>
      <c r="D2505" t="str">
        <f>"40"</f>
        <v>40</v>
      </c>
      <c r="E2505" t="str">
        <f>"1-51-40"</f>
        <v>1-51-40</v>
      </c>
      <c r="F2505" t="s">
        <v>65</v>
      </c>
      <c r="G2505" t="s">
        <v>66</v>
      </c>
      <c r="H2505" t="s">
        <v>67</v>
      </c>
      <c r="S2505">
        <v>1</v>
      </c>
      <c r="T2505">
        <v>0</v>
      </c>
      <c r="U2505">
        <v>0</v>
      </c>
      <c r="V2505">
        <v>0</v>
      </c>
      <c r="W2505">
        <v>1</v>
      </c>
      <c r="X2505">
        <v>0</v>
      </c>
      <c r="Y2505">
        <v>1</v>
      </c>
      <c r="Z2505">
        <v>0</v>
      </c>
      <c r="AA2505">
        <v>0</v>
      </c>
      <c r="AB2505">
        <v>0</v>
      </c>
      <c r="AC2505">
        <v>1</v>
      </c>
      <c r="AD2505">
        <v>1</v>
      </c>
      <c r="AE2505">
        <v>1</v>
      </c>
      <c r="AF2505">
        <v>1</v>
      </c>
      <c r="AG2505">
        <v>1</v>
      </c>
      <c r="AH2505">
        <v>1</v>
      </c>
      <c r="AI2505">
        <v>1</v>
      </c>
      <c r="AJ2505">
        <v>0</v>
      </c>
      <c r="AK2505">
        <v>1</v>
      </c>
      <c r="AL2505">
        <v>1</v>
      </c>
      <c r="AM2505">
        <v>1</v>
      </c>
    </row>
    <row r="2506" spans="1:39" x14ac:dyDescent="0.2">
      <c r="A2506" t="str">
        <f>"2502"</f>
        <v>2502</v>
      </c>
      <c r="B2506" t="str">
        <f t="shared" si="138"/>
        <v>1</v>
      </c>
      <c r="C2506" t="str">
        <f t="shared" si="140"/>
        <v>51</v>
      </c>
      <c r="D2506" t="str">
        <f>"39"</f>
        <v>39</v>
      </c>
      <c r="E2506" t="str">
        <f>"1-51-39"</f>
        <v>1-51-39</v>
      </c>
      <c r="F2506" t="s">
        <v>65</v>
      </c>
      <c r="G2506" t="s">
        <v>66</v>
      </c>
      <c r="H2506" t="s">
        <v>67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1</v>
      </c>
      <c r="AI2506">
        <v>0</v>
      </c>
      <c r="AJ2506">
        <v>0</v>
      </c>
      <c r="AK2506">
        <v>0</v>
      </c>
      <c r="AL2506">
        <v>1</v>
      </c>
      <c r="AM2506">
        <v>0</v>
      </c>
    </row>
    <row r="2507" spans="1:39" x14ac:dyDescent="0.2">
      <c r="A2507" t="str">
        <f>"2503"</f>
        <v>2503</v>
      </c>
      <c r="B2507" t="str">
        <f t="shared" si="138"/>
        <v>1</v>
      </c>
      <c r="C2507" t="str">
        <f t="shared" si="140"/>
        <v>51</v>
      </c>
      <c r="D2507" t="str">
        <f>"28"</f>
        <v>28</v>
      </c>
      <c r="E2507" t="str">
        <f>"1-51-28"</f>
        <v>1-51-28</v>
      </c>
      <c r="F2507" t="s">
        <v>65</v>
      </c>
      <c r="G2507" t="s">
        <v>66</v>
      </c>
      <c r="H2507" t="s">
        <v>67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0</v>
      </c>
      <c r="AB2507">
        <v>0</v>
      </c>
      <c r="AC2507">
        <v>1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</row>
    <row r="2508" spans="1:39" x14ac:dyDescent="0.2">
      <c r="A2508" t="str">
        <f>"2504"</f>
        <v>2504</v>
      </c>
      <c r="B2508" t="str">
        <f t="shared" si="138"/>
        <v>1</v>
      </c>
      <c r="C2508" t="str">
        <f t="shared" si="140"/>
        <v>51</v>
      </c>
      <c r="D2508" t="str">
        <f>"15"</f>
        <v>15</v>
      </c>
      <c r="E2508" t="str">
        <f>"1-51-15"</f>
        <v>1-51-15</v>
      </c>
      <c r="F2508" t="s">
        <v>65</v>
      </c>
      <c r="G2508" t="s">
        <v>66</v>
      </c>
      <c r="H2508" t="s">
        <v>67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1</v>
      </c>
      <c r="Y2508">
        <v>0</v>
      </c>
      <c r="Z2508">
        <v>1</v>
      </c>
      <c r="AA2508">
        <v>0</v>
      </c>
      <c r="AB2508">
        <v>0</v>
      </c>
      <c r="AC2508">
        <v>1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</row>
    <row r="2509" spans="1:39" x14ac:dyDescent="0.2">
      <c r="A2509" t="str">
        <f>"2505"</f>
        <v>2505</v>
      </c>
      <c r="B2509" t="str">
        <f t="shared" si="138"/>
        <v>1</v>
      </c>
      <c r="C2509" t="str">
        <f t="shared" si="140"/>
        <v>51</v>
      </c>
      <c r="D2509" t="str">
        <f>"6"</f>
        <v>6</v>
      </c>
      <c r="E2509" t="str">
        <f>"1-51-6"</f>
        <v>1-51-6</v>
      </c>
      <c r="F2509" t="s">
        <v>65</v>
      </c>
      <c r="G2509" t="s">
        <v>66</v>
      </c>
      <c r="H2509" t="s">
        <v>67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1</v>
      </c>
      <c r="Y2509">
        <v>0</v>
      </c>
      <c r="Z2509">
        <v>1</v>
      </c>
      <c r="AA2509">
        <v>0</v>
      </c>
      <c r="AB2509">
        <v>1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1</v>
      </c>
      <c r="AI2509">
        <v>1</v>
      </c>
      <c r="AJ2509">
        <v>1</v>
      </c>
      <c r="AK2509">
        <v>1</v>
      </c>
      <c r="AL2509">
        <v>1</v>
      </c>
      <c r="AM2509">
        <v>1</v>
      </c>
    </row>
    <row r="2510" spans="1:39" x14ac:dyDescent="0.2">
      <c r="A2510" t="str">
        <f>"2506"</f>
        <v>2506</v>
      </c>
      <c r="B2510" t="str">
        <f t="shared" si="138"/>
        <v>1</v>
      </c>
      <c r="C2510" t="str">
        <f t="shared" si="140"/>
        <v>51</v>
      </c>
      <c r="D2510" t="str">
        <f>"38"</f>
        <v>38</v>
      </c>
      <c r="E2510" t="str">
        <f>"1-51-38"</f>
        <v>1-51-38</v>
      </c>
      <c r="F2510" t="s">
        <v>65</v>
      </c>
      <c r="G2510" t="s">
        <v>66</v>
      </c>
      <c r="H2510" t="s">
        <v>67</v>
      </c>
      <c r="S2510">
        <v>1</v>
      </c>
      <c r="T2510">
        <v>0</v>
      </c>
      <c r="U2510">
        <v>0</v>
      </c>
      <c r="V2510">
        <v>0</v>
      </c>
      <c r="W2510">
        <v>1</v>
      </c>
      <c r="X2510">
        <v>0</v>
      </c>
      <c r="Y2510">
        <v>1</v>
      </c>
      <c r="Z2510">
        <v>0</v>
      </c>
      <c r="AA2510">
        <v>0</v>
      </c>
      <c r="AB2510">
        <v>1</v>
      </c>
      <c r="AC2510">
        <v>0</v>
      </c>
      <c r="AD2510">
        <v>1</v>
      </c>
      <c r="AE2510">
        <v>1</v>
      </c>
      <c r="AF2510">
        <v>1</v>
      </c>
      <c r="AG2510">
        <v>1</v>
      </c>
      <c r="AH2510">
        <v>1</v>
      </c>
      <c r="AI2510">
        <v>1</v>
      </c>
      <c r="AJ2510">
        <v>1</v>
      </c>
      <c r="AK2510">
        <v>1</v>
      </c>
      <c r="AL2510">
        <v>1</v>
      </c>
      <c r="AM2510">
        <v>0</v>
      </c>
    </row>
    <row r="2511" spans="1:39" x14ac:dyDescent="0.2">
      <c r="A2511" t="str">
        <f>"2507"</f>
        <v>2507</v>
      </c>
      <c r="B2511" t="str">
        <f t="shared" si="138"/>
        <v>1</v>
      </c>
      <c r="C2511" t="str">
        <f t="shared" si="140"/>
        <v>51</v>
      </c>
      <c r="D2511" t="str">
        <f>"37"</f>
        <v>37</v>
      </c>
      <c r="E2511" t="str">
        <f>"1-51-37"</f>
        <v>1-51-37</v>
      </c>
      <c r="F2511" t="s">
        <v>65</v>
      </c>
      <c r="G2511" t="s">
        <v>66</v>
      </c>
      <c r="H2511" t="s">
        <v>67</v>
      </c>
      <c r="S2511">
        <v>1</v>
      </c>
      <c r="T2511">
        <v>0</v>
      </c>
      <c r="U2511">
        <v>0</v>
      </c>
      <c r="V2511">
        <v>0</v>
      </c>
      <c r="W2511">
        <v>1</v>
      </c>
      <c r="X2511">
        <v>0</v>
      </c>
      <c r="Y2511">
        <v>0</v>
      </c>
      <c r="Z2511">
        <v>1</v>
      </c>
      <c r="AA2511">
        <v>1</v>
      </c>
      <c r="AB2511">
        <v>0</v>
      </c>
      <c r="AC2511">
        <v>0</v>
      </c>
      <c r="AD2511">
        <v>1</v>
      </c>
      <c r="AE2511">
        <v>1</v>
      </c>
      <c r="AF2511">
        <v>1</v>
      </c>
      <c r="AG2511">
        <v>1</v>
      </c>
      <c r="AH2511">
        <v>1</v>
      </c>
      <c r="AI2511">
        <v>1</v>
      </c>
      <c r="AJ2511">
        <v>1</v>
      </c>
      <c r="AK2511">
        <v>1</v>
      </c>
      <c r="AL2511">
        <v>1</v>
      </c>
      <c r="AM2511">
        <v>1</v>
      </c>
    </row>
    <row r="2512" spans="1:39" x14ac:dyDescent="0.2">
      <c r="A2512" t="str">
        <f>"2508"</f>
        <v>2508</v>
      </c>
      <c r="B2512" t="str">
        <f t="shared" si="138"/>
        <v>1</v>
      </c>
      <c r="C2512" t="str">
        <f t="shared" si="140"/>
        <v>51</v>
      </c>
      <c r="D2512" t="str">
        <f>"25"</f>
        <v>25</v>
      </c>
      <c r="E2512" t="str">
        <f>"1-51-25"</f>
        <v>1-51-25</v>
      </c>
      <c r="F2512" t="s">
        <v>65</v>
      </c>
      <c r="G2512" t="s">
        <v>66</v>
      </c>
      <c r="H2512" t="s">
        <v>67</v>
      </c>
      <c r="S2512">
        <v>1</v>
      </c>
      <c r="T2512">
        <v>0</v>
      </c>
      <c r="U2512">
        <v>0</v>
      </c>
      <c r="V2512">
        <v>0</v>
      </c>
      <c r="W2512">
        <v>0</v>
      </c>
      <c r="X2512">
        <v>1</v>
      </c>
      <c r="Y2512">
        <v>1</v>
      </c>
      <c r="Z2512">
        <v>0</v>
      </c>
      <c r="AA2512">
        <v>0</v>
      </c>
      <c r="AB2512">
        <v>1</v>
      </c>
      <c r="AC2512">
        <v>0</v>
      </c>
      <c r="AD2512">
        <v>1</v>
      </c>
      <c r="AE2512">
        <v>1</v>
      </c>
      <c r="AF2512">
        <v>1</v>
      </c>
      <c r="AG2512">
        <v>1</v>
      </c>
      <c r="AH2512">
        <v>1</v>
      </c>
      <c r="AI2512">
        <v>1</v>
      </c>
      <c r="AJ2512">
        <v>1</v>
      </c>
      <c r="AK2512">
        <v>1</v>
      </c>
      <c r="AL2512">
        <v>1</v>
      </c>
      <c r="AM2512">
        <v>1</v>
      </c>
    </row>
    <row r="2513" spans="1:39" x14ac:dyDescent="0.2">
      <c r="A2513" t="str">
        <f>"2509"</f>
        <v>2509</v>
      </c>
      <c r="B2513" t="str">
        <f t="shared" si="138"/>
        <v>1</v>
      </c>
      <c r="C2513" t="str">
        <f t="shared" si="140"/>
        <v>51</v>
      </c>
      <c r="D2513" t="str">
        <f>"16"</f>
        <v>16</v>
      </c>
      <c r="E2513" t="str">
        <f>"1-51-16"</f>
        <v>1-51-16</v>
      </c>
      <c r="F2513" t="s">
        <v>65</v>
      </c>
      <c r="G2513" t="s">
        <v>66</v>
      </c>
      <c r="H2513" t="s">
        <v>67</v>
      </c>
      <c r="S2513">
        <v>1</v>
      </c>
      <c r="T2513">
        <v>0</v>
      </c>
      <c r="U2513">
        <v>0</v>
      </c>
      <c r="V2513">
        <v>0</v>
      </c>
      <c r="W2513">
        <v>0</v>
      </c>
      <c r="X2513">
        <v>1</v>
      </c>
      <c r="Y2513">
        <v>1</v>
      </c>
      <c r="Z2513">
        <v>0</v>
      </c>
      <c r="AA2513">
        <v>1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1</v>
      </c>
      <c r="AJ2513">
        <v>0</v>
      </c>
      <c r="AK2513">
        <v>0</v>
      </c>
      <c r="AL2513">
        <v>0</v>
      </c>
      <c r="AM2513">
        <v>0</v>
      </c>
    </row>
    <row r="2514" spans="1:39" x14ac:dyDescent="0.2">
      <c r="A2514" t="str">
        <f>"2510"</f>
        <v>2510</v>
      </c>
      <c r="B2514" t="str">
        <f t="shared" si="138"/>
        <v>1</v>
      </c>
      <c r="C2514" t="str">
        <f t="shared" si="140"/>
        <v>51</v>
      </c>
      <c r="D2514" t="str">
        <f>"3"</f>
        <v>3</v>
      </c>
      <c r="E2514" t="str">
        <f>"1-51-3"</f>
        <v>1-51-3</v>
      </c>
      <c r="F2514" t="s">
        <v>65</v>
      </c>
      <c r="G2514" t="s">
        <v>66</v>
      </c>
      <c r="H2514" t="s">
        <v>67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</row>
    <row r="2515" spans="1:39" x14ac:dyDescent="0.2">
      <c r="A2515" t="str">
        <f>"2511"</f>
        <v>2511</v>
      </c>
      <c r="B2515" t="str">
        <f t="shared" si="138"/>
        <v>1</v>
      </c>
      <c r="C2515" t="str">
        <f t="shared" si="140"/>
        <v>51</v>
      </c>
      <c r="D2515" t="str">
        <f>"44"</f>
        <v>44</v>
      </c>
      <c r="E2515" t="str">
        <f>"1-51-44"</f>
        <v>1-51-44</v>
      </c>
      <c r="F2515" t="s">
        <v>65</v>
      </c>
      <c r="G2515" t="s">
        <v>66</v>
      </c>
      <c r="H2515" t="s">
        <v>67</v>
      </c>
      <c r="S2515">
        <v>1</v>
      </c>
      <c r="T2515">
        <v>0</v>
      </c>
      <c r="U2515">
        <v>0</v>
      </c>
      <c r="V2515">
        <v>0</v>
      </c>
      <c r="W2515">
        <v>1</v>
      </c>
      <c r="X2515">
        <v>0</v>
      </c>
      <c r="Y2515">
        <v>1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1</v>
      </c>
      <c r="AF2515">
        <v>1</v>
      </c>
      <c r="AG2515">
        <v>1</v>
      </c>
      <c r="AH2515">
        <v>1</v>
      </c>
      <c r="AI2515">
        <v>1</v>
      </c>
      <c r="AJ2515">
        <v>1</v>
      </c>
      <c r="AK2515">
        <v>1</v>
      </c>
      <c r="AL2515">
        <v>1</v>
      </c>
      <c r="AM2515">
        <v>0</v>
      </c>
    </row>
    <row r="2516" spans="1:39" x14ac:dyDescent="0.2">
      <c r="A2516" t="str">
        <f>"2512"</f>
        <v>2512</v>
      </c>
      <c r="B2516" t="str">
        <f t="shared" si="138"/>
        <v>1</v>
      </c>
      <c r="C2516" t="str">
        <f t="shared" si="140"/>
        <v>51</v>
      </c>
      <c r="D2516" t="str">
        <f>"43"</f>
        <v>43</v>
      </c>
      <c r="E2516" t="str">
        <f>"1-51-43"</f>
        <v>1-51-43</v>
      </c>
      <c r="F2516" t="s">
        <v>65</v>
      </c>
      <c r="G2516" t="s">
        <v>66</v>
      </c>
      <c r="H2516" t="s">
        <v>67</v>
      </c>
      <c r="S2516">
        <v>1</v>
      </c>
      <c r="T2516">
        <v>0</v>
      </c>
      <c r="U2516">
        <v>0</v>
      </c>
      <c r="V2516">
        <v>0</v>
      </c>
      <c r="W2516">
        <v>1</v>
      </c>
      <c r="X2516">
        <v>0</v>
      </c>
      <c r="Y2516">
        <v>1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1</v>
      </c>
      <c r="AF2516">
        <v>1</v>
      </c>
      <c r="AG2516">
        <v>1</v>
      </c>
      <c r="AH2516">
        <v>1</v>
      </c>
      <c r="AI2516">
        <v>1</v>
      </c>
      <c r="AJ2516">
        <v>1</v>
      </c>
      <c r="AK2516">
        <v>1</v>
      </c>
      <c r="AL2516">
        <v>1</v>
      </c>
      <c r="AM2516">
        <v>0</v>
      </c>
    </row>
    <row r="2517" spans="1:39" x14ac:dyDescent="0.2">
      <c r="A2517" t="str">
        <f>"2513"</f>
        <v>2513</v>
      </c>
      <c r="B2517" t="str">
        <f t="shared" si="138"/>
        <v>1</v>
      </c>
      <c r="C2517" t="str">
        <f t="shared" si="140"/>
        <v>51</v>
      </c>
      <c r="D2517" t="str">
        <f>"31"</f>
        <v>31</v>
      </c>
      <c r="E2517" t="str">
        <f>"1-51-31"</f>
        <v>1-51-31</v>
      </c>
      <c r="F2517" t="s">
        <v>65</v>
      </c>
      <c r="G2517" t="s">
        <v>66</v>
      </c>
      <c r="H2517" t="s">
        <v>67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0</v>
      </c>
      <c r="AB2517">
        <v>1</v>
      </c>
      <c r="AC2517">
        <v>0</v>
      </c>
      <c r="AD2517">
        <v>1</v>
      </c>
      <c r="AE2517">
        <v>1</v>
      </c>
      <c r="AF2517">
        <v>1</v>
      </c>
      <c r="AG2517">
        <v>1</v>
      </c>
      <c r="AH2517">
        <v>1</v>
      </c>
      <c r="AI2517">
        <v>1</v>
      </c>
      <c r="AJ2517">
        <v>1</v>
      </c>
      <c r="AK2517">
        <v>1</v>
      </c>
      <c r="AL2517">
        <v>1</v>
      </c>
      <c r="AM2517">
        <v>1</v>
      </c>
    </row>
    <row r="2518" spans="1:39" x14ac:dyDescent="0.2">
      <c r="A2518" t="str">
        <f>"2514"</f>
        <v>2514</v>
      </c>
      <c r="B2518" t="str">
        <f t="shared" si="138"/>
        <v>1</v>
      </c>
      <c r="C2518" t="str">
        <f t="shared" si="140"/>
        <v>51</v>
      </c>
      <c r="D2518" t="str">
        <f>"17"</f>
        <v>17</v>
      </c>
      <c r="E2518" t="str">
        <f>"1-51-17"</f>
        <v>1-51-17</v>
      </c>
      <c r="F2518" t="s">
        <v>65</v>
      </c>
      <c r="G2518" t="s">
        <v>66</v>
      </c>
      <c r="H2518" t="s">
        <v>67</v>
      </c>
      <c r="S2518">
        <v>1</v>
      </c>
      <c r="T2518">
        <v>0</v>
      </c>
      <c r="U2518">
        <v>0</v>
      </c>
      <c r="V2518">
        <v>0</v>
      </c>
      <c r="W2518">
        <v>0</v>
      </c>
      <c r="X2518">
        <v>1</v>
      </c>
      <c r="Y2518">
        <v>1</v>
      </c>
      <c r="Z2518">
        <v>0</v>
      </c>
      <c r="AA2518">
        <v>1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1</v>
      </c>
      <c r="AJ2518">
        <v>0</v>
      </c>
      <c r="AK2518">
        <v>0</v>
      </c>
      <c r="AL2518">
        <v>0</v>
      </c>
      <c r="AM2518">
        <v>0</v>
      </c>
    </row>
    <row r="2519" spans="1:39" x14ac:dyDescent="0.2">
      <c r="A2519" t="str">
        <f>"2515"</f>
        <v>2515</v>
      </c>
      <c r="B2519" t="str">
        <f t="shared" si="138"/>
        <v>1</v>
      </c>
      <c r="C2519" t="str">
        <f t="shared" si="140"/>
        <v>51</v>
      </c>
      <c r="D2519" t="str">
        <f>"7"</f>
        <v>7</v>
      </c>
      <c r="E2519" t="str">
        <f>"1-51-7"</f>
        <v>1-51-7</v>
      </c>
      <c r="F2519" t="s">
        <v>65</v>
      </c>
      <c r="G2519" t="s">
        <v>66</v>
      </c>
      <c r="H2519" t="s">
        <v>67</v>
      </c>
      <c r="S2519">
        <v>0</v>
      </c>
      <c r="T2519">
        <v>1</v>
      </c>
      <c r="U2519">
        <v>0</v>
      </c>
      <c r="V2519">
        <v>0</v>
      </c>
      <c r="W2519">
        <v>1</v>
      </c>
      <c r="X2519">
        <v>0</v>
      </c>
      <c r="Y2519">
        <v>1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1</v>
      </c>
      <c r="AF2519">
        <v>1</v>
      </c>
      <c r="AG2519">
        <v>1</v>
      </c>
      <c r="AH2519">
        <v>1</v>
      </c>
      <c r="AI2519">
        <v>1</v>
      </c>
      <c r="AJ2519">
        <v>1</v>
      </c>
      <c r="AK2519">
        <v>1</v>
      </c>
      <c r="AL2519">
        <v>1</v>
      </c>
      <c r="AM2519">
        <v>1</v>
      </c>
    </row>
    <row r="2520" spans="1:39" x14ac:dyDescent="0.2">
      <c r="A2520" t="str">
        <f>"2516"</f>
        <v>2516</v>
      </c>
      <c r="B2520" t="str">
        <f t="shared" si="138"/>
        <v>1</v>
      </c>
      <c r="C2520" t="str">
        <f t="shared" si="140"/>
        <v>51</v>
      </c>
      <c r="D2520" t="str">
        <f>"42"</f>
        <v>42</v>
      </c>
      <c r="E2520" t="str">
        <f>"1-51-42"</f>
        <v>1-51-42</v>
      </c>
      <c r="F2520" t="s">
        <v>65</v>
      </c>
      <c r="G2520" t="s">
        <v>66</v>
      </c>
      <c r="H2520" t="s">
        <v>67</v>
      </c>
      <c r="S2520">
        <v>0</v>
      </c>
      <c r="T2520">
        <v>1</v>
      </c>
      <c r="U2520">
        <v>0</v>
      </c>
      <c r="V2520">
        <v>0</v>
      </c>
      <c r="W2520">
        <v>1</v>
      </c>
      <c r="X2520">
        <v>0</v>
      </c>
      <c r="Y2520">
        <v>0</v>
      </c>
      <c r="Z2520">
        <v>1</v>
      </c>
      <c r="AA2520">
        <v>0</v>
      </c>
      <c r="AB2520">
        <v>0</v>
      </c>
      <c r="AC2520">
        <v>1</v>
      </c>
      <c r="AD2520">
        <v>1</v>
      </c>
      <c r="AE2520">
        <v>1</v>
      </c>
      <c r="AF2520">
        <v>1</v>
      </c>
      <c r="AG2520">
        <v>1</v>
      </c>
      <c r="AH2520">
        <v>1</v>
      </c>
      <c r="AI2520">
        <v>1</v>
      </c>
      <c r="AJ2520">
        <v>1</v>
      </c>
      <c r="AK2520">
        <v>1</v>
      </c>
      <c r="AL2520">
        <v>1</v>
      </c>
      <c r="AM2520">
        <v>1</v>
      </c>
    </row>
    <row r="2521" spans="1:39" x14ac:dyDescent="0.2">
      <c r="A2521" t="str">
        <f>"2517"</f>
        <v>2517</v>
      </c>
      <c r="B2521" t="str">
        <f t="shared" si="138"/>
        <v>1</v>
      </c>
      <c r="C2521" t="str">
        <f t="shared" si="140"/>
        <v>51</v>
      </c>
      <c r="D2521" t="str">
        <f>"41"</f>
        <v>41</v>
      </c>
      <c r="E2521" t="str">
        <f>"1-51-41"</f>
        <v>1-51-41</v>
      </c>
      <c r="F2521" t="s">
        <v>65</v>
      </c>
      <c r="G2521" t="s">
        <v>66</v>
      </c>
      <c r="H2521" t="s">
        <v>67</v>
      </c>
      <c r="S2521">
        <v>1</v>
      </c>
      <c r="T2521">
        <v>0</v>
      </c>
      <c r="U2521">
        <v>0</v>
      </c>
      <c r="V2521">
        <v>0</v>
      </c>
      <c r="W2521">
        <v>1</v>
      </c>
      <c r="X2521">
        <v>0</v>
      </c>
      <c r="Y2521">
        <v>1</v>
      </c>
      <c r="Z2521">
        <v>0</v>
      </c>
      <c r="AA2521">
        <v>0</v>
      </c>
      <c r="AB2521">
        <v>0</v>
      </c>
      <c r="AC2521">
        <v>1</v>
      </c>
      <c r="AD2521">
        <v>1</v>
      </c>
      <c r="AE2521">
        <v>1</v>
      </c>
      <c r="AF2521">
        <v>0</v>
      </c>
      <c r="AG2521">
        <v>1</v>
      </c>
      <c r="AH2521">
        <v>1</v>
      </c>
      <c r="AI2521">
        <v>1</v>
      </c>
      <c r="AJ2521">
        <v>1</v>
      </c>
      <c r="AK2521">
        <v>1</v>
      </c>
      <c r="AL2521">
        <v>1</v>
      </c>
      <c r="AM2521">
        <v>1</v>
      </c>
    </row>
    <row r="2522" spans="1:39" x14ac:dyDescent="0.2">
      <c r="A2522" t="str">
        <f>"2518"</f>
        <v>2518</v>
      </c>
      <c r="B2522" t="str">
        <f t="shared" si="138"/>
        <v>1</v>
      </c>
      <c r="C2522" t="str">
        <f t="shared" si="140"/>
        <v>51</v>
      </c>
      <c r="D2522" t="str">
        <f>"32"</f>
        <v>32</v>
      </c>
      <c r="E2522" t="str">
        <f>"1-51-32"</f>
        <v>1-51-32</v>
      </c>
      <c r="F2522" t="s">
        <v>65</v>
      </c>
      <c r="G2522" t="s">
        <v>66</v>
      </c>
      <c r="H2522" t="s">
        <v>67</v>
      </c>
      <c r="S2522">
        <v>0</v>
      </c>
      <c r="T2522">
        <v>1</v>
      </c>
      <c r="U2522">
        <v>0</v>
      </c>
      <c r="V2522">
        <v>0</v>
      </c>
      <c r="W2522">
        <v>0</v>
      </c>
      <c r="X2522">
        <v>1</v>
      </c>
      <c r="Y2522">
        <v>0</v>
      </c>
      <c r="Z2522">
        <v>1</v>
      </c>
      <c r="AA2522">
        <v>0</v>
      </c>
      <c r="AB2522">
        <v>0</v>
      </c>
      <c r="AC2522">
        <v>1</v>
      </c>
      <c r="AD2522">
        <v>1</v>
      </c>
      <c r="AE2522">
        <v>1</v>
      </c>
      <c r="AF2522">
        <v>1</v>
      </c>
      <c r="AG2522">
        <v>1</v>
      </c>
      <c r="AH2522">
        <v>1</v>
      </c>
      <c r="AI2522">
        <v>1</v>
      </c>
      <c r="AJ2522">
        <v>1</v>
      </c>
      <c r="AK2522">
        <v>1</v>
      </c>
      <c r="AL2522">
        <v>1</v>
      </c>
      <c r="AM2522">
        <v>1</v>
      </c>
    </row>
    <row r="2523" spans="1:39" x14ac:dyDescent="0.2">
      <c r="A2523" t="str">
        <f>"2519"</f>
        <v>2519</v>
      </c>
      <c r="B2523" t="str">
        <f t="shared" si="138"/>
        <v>1</v>
      </c>
      <c r="C2523" t="str">
        <f t="shared" si="140"/>
        <v>51</v>
      </c>
      <c r="D2523" t="str">
        <f>"18"</f>
        <v>18</v>
      </c>
      <c r="E2523" t="str">
        <f>"1-51-18"</f>
        <v>1-51-18</v>
      </c>
      <c r="F2523" t="s">
        <v>65</v>
      </c>
      <c r="G2523" t="s">
        <v>66</v>
      </c>
      <c r="H2523" t="s">
        <v>67</v>
      </c>
      <c r="S2523">
        <v>1</v>
      </c>
      <c r="T2523">
        <v>0</v>
      </c>
      <c r="U2523">
        <v>0</v>
      </c>
      <c r="V2523">
        <v>0</v>
      </c>
      <c r="W2523">
        <v>1</v>
      </c>
      <c r="X2523">
        <v>0</v>
      </c>
      <c r="Y2523">
        <v>1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1</v>
      </c>
      <c r="AF2523">
        <v>1</v>
      </c>
      <c r="AG2523">
        <v>1</v>
      </c>
      <c r="AH2523">
        <v>1</v>
      </c>
      <c r="AI2523">
        <v>1</v>
      </c>
      <c r="AJ2523">
        <v>1</v>
      </c>
      <c r="AK2523">
        <v>1</v>
      </c>
      <c r="AL2523">
        <v>1</v>
      </c>
      <c r="AM2523">
        <v>1</v>
      </c>
    </row>
    <row r="2524" spans="1:39" x14ac:dyDescent="0.2">
      <c r="A2524" t="str">
        <f>"2520"</f>
        <v>2520</v>
      </c>
      <c r="B2524" t="str">
        <f t="shared" si="138"/>
        <v>1</v>
      </c>
      <c r="C2524" t="str">
        <f t="shared" si="140"/>
        <v>51</v>
      </c>
      <c r="D2524" t="str">
        <f>"5"</f>
        <v>5</v>
      </c>
      <c r="E2524" t="str">
        <f>"1-51-5"</f>
        <v>1-51-5</v>
      </c>
      <c r="F2524" t="s">
        <v>65</v>
      </c>
      <c r="G2524" t="s">
        <v>66</v>
      </c>
      <c r="H2524" t="s">
        <v>67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0</v>
      </c>
      <c r="AB2524">
        <v>0</v>
      </c>
      <c r="AC2524">
        <v>1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</row>
    <row r="2525" spans="1:39" x14ac:dyDescent="0.2">
      <c r="A2525" t="str">
        <f>"2521"</f>
        <v>2521</v>
      </c>
      <c r="B2525" t="str">
        <f t="shared" si="138"/>
        <v>1</v>
      </c>
      <c r="C2525" t="str">
        <f t="shared" si="140"/>
        <v>51</v>
      </c>
      <c r="D2525" t="str">
        <f>"35"</f>
        <v>35</v>
      </c>
      <c r="E2525" t="str">
        <f>"1-51-35"</f>
        <v>1-51-35</v>
      </c>
      <c r="F2525" t="s">
        <v>65</v>
      </c>
      <c r="G2525" t="s">
        <v>66</v>
      </c>
      <c r="H2525" t="s">
        <v>67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1</v>
      </c>
      <c r="AH2525">
        <v>1</v>
      </c>
      <c r="AI2525">
        <v>1</v>
      </c>
      <c r="AJ2525">
        <v>1</v>
      </c>
      <c r="AK2525">
        <v>1</v>
      </c>
      <c r="AL2525">
        <v>1</v>
      </c>
      <c r="AM2525">
        <v>1</v>
      </c>
    </row>
    <row r="2526" spans="1:39" x14ac:dyDescent="0.2">
      <c r="A2526" t="str">
        <f>"2522"</f>
        <v>2522</v>
      </c>
      <c r="B2526" t="str">
        <f t="shared" si="138"/>
        <v>1</v>
      </c>
      <c r="C2526" t="str">
        <f t="shared" si="140"/>
        <v>51</v>
      </c>
      <c r="D2526" t="str">
        <f>"19"</f>
        <v>19</v>
      </c>
      <c r="E2526" t="str">
        <f>"1-51-19"</f>
        <v>1-51-19</v>
      </c>
      <c r="F2526" t="s">
        <v>65</v>
      </c>
      <c r="G2526" t="s">
        <v>66</v>
      </c>
      <c r="H2526" t="s">
        <v>67</v>
      </c>
      <c r="S2526">
        <v>0</v>
      </c>
      <c r="T2526">
        <v>1</v>
      </c>
      <c r="U2526">
        <v>0</v>
      </c>
      <c r="V2526">
        <v>0</v>
      </c>
      <c r="W2526">
        <v>0</v>
      </c>
      <c r="X2526">
        <v>1</v>
      </c>
      <c r="Y2526">
        <v>0</v>
      </c>
      <c r="Z2526">
        <v>1</v>
      </c>
      <c r="AA2526">
        <v>0</v>
      </c>
      <c r="AB2526">
        <v>1</v>
      </c>
      <c r="AC2526">
        <v>0</v>
      </c>
      <c r="AD2526">
        <v>1</v>
      </c>
      <c r="AE2526">
        <v>1</v>
      </c>
      <c r="AF2526">
        <v>1</v>
      </c>
      <c r="AG2526">
        <v>1</v>
      </c>
      <c r="AH2526">
        <v>1</v>
      </c>
      <c r="AI2526">
        <v>1</v>
      </c>
      <c r="AJ2526">
        <v>1</v>
      </c>
      <c r="AK2526">
        <v>1</v>
      </c>
      <c r="AL2526">
        <v>1</v>
      </c>
      <c r="AM2526">
        <v>1</v>
      </c>
    </row>
    <row r="2527" spans="1:39" x14ac:dyDescent="0.2">
      <c r="A2527" t="str">
        <f>"2523"</f>
        <v>2523</v>
      </c>
      <c r="B2527" t="str">
        <f t="shared" si="138"/>
        <v>1</v>
      </c>
      <c r="C2527" t="str">
        <f t="shared" si="140"/>
        <v>51</v>
      </c>
      <c r="D2527" t="str">
        <f>"2"</f>
        <v>2</v>
      </c>
      <c r="E2527" t="str">
        <f>"1-51-2"</f>
        <v>1-51-2</v>
      </c>
      <c r="F2527" t="s">
        <v>65</v>
      </c>
      <c r="G2527" t="s">
        <v>66</v>
      </c>
      <c r="H2527" t="s">
        <v>67</v>
      </c>
      <c r="S2527">
        <v>1</v>
      </c>
      <c r="T2527">
        <v>0</v>
      </c>
      <c r="U2527">
        <v>0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0</v>
      </c>
      <c r="AB2527">
        <v>0</v>
      </c>
      <c r="AC2527">
        <v>1</v>
      </c>
      <c r="AD2527">
        <v>0</v>
      </c>
      <c r="AE2527">
        <v>0</v>
      </c>
      <c r="AF2527">
        <v>0</v>
      </c>
      <c r="AG2527">
        <v>1</v>
      </c>
      <c r="AH2527">
        <v>1</v>
      </c>
      <c r="AI2527">
        <v>1</v>
      </c>
      <c r="AJ2527">
        <v>1</v>
      </c>
      <c r="AK2527">
        <v>0</v>
      </c>
      <c r="AL2527">
        <v>1</v>
      </c>
      <c r="AM2527">
        <v>0</v>
      </c>
    </row>
    <row r="2528" spans="1:39" x14ac:dyDescent="0.2">
      <c r="A2528" t="str">
        <f>"2524"</f>
        <v>2524</v>
      </c>
      <c r="B2528" t="str">
        <f t="shared" si="138"/>
        <v>1</v>
      </c>
      <c r="C2528" t="str">
        <f t="shared" si="140"/>
        <v>51</v>
      </c>
      <c r="D2528" t="str">
        <f>"46"</f>
        <v>46</v>
      </c>
      <c r="E2528" t="str">
        <f>"1-51-46"</f>
        <v>1-51-46</v>
      </c>
      <c r="F2528" t="s">
        <v>65</v>
      </c>
      <c r="G2528" t="s">
        <v>66</v>
      </c>
      <c r="H2528" t="s">
        <v>67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1</v>
      </c>
      <c r="Y2528">
        <v>0</v>
      </c>
      <c r="Z2528">
        <v>1</v>
      </c>
      <c r="AA2528">
        <v>0</v>
      </c>
      <c r="AB2528">
        <v>0</v>
      </c>
      <c r="AC2528">
        <v>1</v>
      </c>
      <c r="AD2528">
        <v>1</v>
      </c>
      <c r="AE2528">
        <v>1</v>
      </c>
      <c r="AF2528">
        <v>1</v>
      </c>
      <c r="AG2528">
        <v>1</v>
      </c>
      <c r="AH2528">
        <v>1</v>
      </c>
      <c r="AI2528">
        <v>1</v>
      </c>
      <c r="AJ2528">
        <v>1</v>
      </c>
      <c r="AK2528">
        <v>1</v>
      </c>
      <c r="AL2528">
        <v>1</v>
      </c>
      <c r="AM2528">
        <v>1</v>
      </c>
    </row>
    <row r="2529" spans="1:39" x14ac:dyDescent="0.2">
      <c r="A2529" t="str">
        <f>"2525"</f>
        <v>2525</v>
      </c>
      <c r="B2529" t="str">
        <f t="shared" si="138"/>
        <v>1</v>
      </c>
      <c r="C2529" t="str">
        <f t="shared" si="140"/>
        <v>51</v>
      </c>
      <c r="D2529" t="str">
        <f>"45"</f>
        <v>45</v>
      </c>
      <c r="E2529" t="str">
        <f>"1-51-45"</f>
        <v>1-51-45</v>
      </c>
      <c r="F2529" t="s">
        <v>65</v>
      </c>
      <c r="G2529" t="s">
        <v>66</v>
      </c>
      <c r="H2529" t="s">
        <v>67</v>
      </c>
      <c r="S2529">
        <v>1</v>
      </c>
      <c r="T2529">
        <v>0</v>
      </c>
      <c r="U2529">
        <v>0</v>
      </c>
      <c r="V2529">
        <v>0</v>
      </c>
      <c r="W2529">
        <v>1</v>
      </c>
      <c r="X2529">
        <v>0</v>
      </c>
      <c r="Y2529">
        <v>1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1</v>
      </c>
      <c r="AF2529">
        <v>1</v>
      </c>
      <c r="AG2529">
        <v>1</v>
      </c>
      <c r="AH2529">
        <v>1</v>
      </c>
      <c r="AI2529">
        <v>1</v>
      </c>
      <c r="AJ2529">
        <v>1</v>
      </c>
      <c r="AK2529">
        <v>1</v>
      </c>
      <c r="AL2529">
        <v>1</v>
      </c>
      <c r="AM2529">
        <v>1</v>
      </c>
    </row>
    <row r="2530" spans="1:39" x14ac:dyDescent="0.2">
      <c r="A2530" t="str">
        <f>"2526"</f>
        <v>2526</v>
      </c>
      <c r="B2530" t="str">
        <f t="shared" si="138"/>
        <v>1</v>
      </c>
      <c r="C2530" t="str">
        <f t="shared" si="140"/>
        <v>51</v>
      </c>
      <c r="D2530" t="str">
        <f>"33"</f>
        <v>33</v>
      </c>
      <c r="E2530" t="str">
        <f>"1-51-33"</f>
        <v>1-51-33</v>
      </c>
      <c r="F2530" t="s">
        <v>65</v>
      </c>
      <c r="G2530" t="s">
        <v>66</v>
      </c>
      <c r="H2530" t="s">
        <v>67</v>
      </c>
      <c r="S2530">
        <v>0</v>
      </c>
      <c r="T2530">
        <v>1</v>
      </c>
      <c r="U2530">
        <v>0</v>
      </c>
      <c r="V2530">
        <v>0</v>
      </c>
      <c r="W2530">
        <v>0</v>
      </c>
      <c r="X2530">
        <v>1</v>
      </c>
      <c r="Y2530">
        <v>0</v>
      </c>
      <c r="Z2530">
        <v>1</v>
      </c>
      <c r="AA2530">
        <v>0</v>
      </c>
      <c r="AB2530">
        <v>0</v>
      </c>
      <c r="AC2530">
        <v>1</v>
      </c>
      <c r="AD2530">
        <v>0</v>
      </c>
      <c r="AE2530">
        <v>0</v>
      </c>
      <c r="AF2530">
        <v>0</v>
      </c>
      <c r="AG2530">
        <v>1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</row>
    <row r="2531" spans="1:39" x14ac:dyDescent="0.2">
      <c r="A2531" t="str">
        <f>"2527"</f>
        <v>2527</v>
      </c>
      <c r="B2531" t="str">
        <f t="shared" si="138"/>
        <v>1</v>
      </c>
      <c r="C2531" t="str">
        <f t="shared" si="140"/>
        <v>51</v>
      </c>
      <c r="D2531" t="str">
        <f>"20"</f>
        <v>20</v>
      </c>
      <c r="E2531" t="str">
        <f>"1-51-20"</f>
        <v>1-51-20</v>
      </c>
      <c r="F2531" t="s">
        <v>65</v>
      </c>
      <c r="G2531" t="s">
        <v>66</v>
      </c>
      <c r="H2531" t="s">
        <v>67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1</v>
      </c>
      <c r="Y2531">
        <v>0</v>
      </c>
      <c r="Z2531">
        <v>1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1</v>
      </c>
      <c r="AH2531">
        <v>1</v>
      </c>
      <c r="AI2531">
        <v>1</v>
      </c>
      <c r="AJ2531">
        <v>1</v>
      </c>
      <c r="AK2531">
        <v>1</v>
      </c>
      <c r="AL2531">
        <v>1</v>
      </c>
      <c r="AM2531">
        <v>0</v>
      </c>
    </row>
    <row r="2532" spans="1:39" x14ac:dyDescent="0.2">
      <c r="A2532" t="str">
        <f>"2528"</f>
        <v>2528</v>
      </c>
      <c r="B2532" t="str">
        <f t="shared" si="138"/>
        <v>1</v>
      </c>
      <c r="C2532" t="str">
        <f t="shared" si="140"/>
        <v>51</v>
      </c>
      <c r="D2532" t="str">
        <f>"8"</f>
        <v>8</v>
      </c>
      <c r="E2532" t="str">
        <f>"1-51-8"</f>
        <v>1-51-8</v>
      </c>
      <c r="F2532" t="s">
        <v>65</v>
      </c>
      <c r="G2532" t="s">
        <v>66</v>
      </c>
      <c r="H2532" t="s">
        <v>67</v>
      </c>
      <c r="S2532">
        <v>0</v>
      </c>
      <c r="T2532">
        <v>1</v>
      </c>
      <c r="U2532">
        <v>0</v>
      </c>
      <c r="V2532">
        <v>0</v>
      </c>
      <c r="W2532">
        <v>0</v>
      </c>
      <c r="X2532">
        <v>1</v>
      </c>
      <c r="Y2532">
        <v>0</v>
      </c>
      <c r="Z2532">
        <v>1</v>
      </c>
      <c r="AA2532">
        <v>0</v>
      </c>
      <c r="AB2532">
        <v>0</v>
      </c>
      <c r="AC2532">
        <v>1</v>
      </c>
      <c r="AD2532">
        <v>1</v>
      </c>
      <c r="AE2532">
        <v>1</v>
      </c>
      <c r="AF2532">
        <v>1</v>
      </c>
      <c r="AG2532">
        <v>1</v>
      </c>
      <c r="AH2532">
        <v>1</v>
      </c>
      <c r="AI2532">
        <v>1</v>
      </c>
      <c r="AJ2532">
        <v>1</v>
      </c>
      <c r="AK2532">
        <v>1</v>
      </c>
      <c r="AL2532">
        <v>1</v>
      </c>
      <c r="AM2532">
        <v>1</v>
      </c>
    </row>
    <row r="2533" spans="1:39" x14ac:dyDescent="0.2">
      <c r="A2533" t="str">
        <f>"2529"</f>
        <v>2529</v>
      </c>
      <c r="B2533" t="str">
        <f t="shared" si="138"/>
        <v>1</v>
      </c>
      <c r="C2533" t="str">
        <f t="shared" si="140"/>
        <v>51</v>
      </c>
      <c r="D2533" t="str">
        <f>"36"</f>
        <v>36</v>
      </c>
      <c r="E2533" t="str">
        <f>"1-51-36"</f>
        <v>1-51-36</v>
      </c>
      <c r="F2533" t="s">
        <v>65</v>
      </c>
      <c r="G2533" t="s">
        <v>66</v>
      </c>
      <c r="H2533" t="s">
        <v>67</v>
      </c>
      <c r="S2533">
        <v>0</v>
      </c>
      <c r="T2533">
        <v>1</v>
      </c>
      <c r="U2533">
        <v>0</v>
      </c>
      <c r="V2533">
        <v>0</v>
      </c>
      <c r="W2533">
        <v>0</v>
      </c>
      <c r="X2533">
        <v>1</v>
      </c>
      <c r="Y2533">
        <v>0</v>
      </c>
      <c r="Z2533">
        <v>1</v>
      </c>
      <c r="AA2533">
        <v>0</v>
      </c>
      <c r="AB2533">
        <v>0</v>
      </c>
      <c r="AC2533">
        <v>1</v>
      </c>
      <c r="AD2533">
        <v>1</v>
      </c>
      <c r="AE2533">
        <v>1</v>
      </c>
      <c r="AF2533">
        <v>1</v>
      </c>
      <c r="AG2533">
        <v>1</v>
      </c>
      <c r="AH2533">
        <v>1</v>
      </c>
      <c r="AI2533">
        <v>1</v>
      </c>
      <c r="AJ2533">
        <v>1</v>
      </c>
      <c r="AK2533">
        <v>1</v>
      </c>
      <c r="AL2533">
        <v>1</v>
      </c>
      <c r="AM2533">
        <v>1</v>
      </c>
    </row>
    <row r="2534" spans="1:39" x14ac:dyDescent="0.2">
      <c r="A2534" t="str">
        <f>"2530"</f>
        <v>2530</v>
      </c>
      <c r="B2534" t="str">
        <f t="shared" si="138"/>
        <v>1</v>
      </c>
      <c r="C2534" t="str">
        <f t="shared" si="140"/>
        <v>51</v>
      </c>
      <c r="D2534" t="str">
        <f>"21"</f>
        <v>21</v>
      </c>
      <c r="E2534" t="str">
        <f>"1-51-21"</f>
        <v>1-51-21</v>
      </c>
      <c r="F2534" t="s">
        <v>65</v>
      </c>
      <c r="G2534" t="s">
        <v>66</v>
      </c>
      <c r="H2534" t="s">
        <v>67</v>
      </c>
      <c r="S2534">
        <v>1</v>
      </c>
      <c r="T2534">
        <v>0</v>
      </c>
      <c r="U2534">
        <v>0</v>
      </c>
      <c r="V2534">
        <v>0</v>
      </c>
      <c r="W2534">
        <v>0</v>
      </c>
      <c r="X2534">
        <v>1</v>
      </c>
      <c r="Y2534">
        <v>1</v>
      </c>
      <c r="Z2534">
        <v>0</v>
      </c>
      <c r="AA2534">
        <v>0</v>
      </c>
      <c r="AB2534">
        <v>1</v>
      </c>
      <c r="AC2534">
        <v>0</v>
      </c>
      <c r="AD2534">
        <v>1</v>
      </c>
      <c r="AE2534">
        <v>1</v>
      </c>
      <c r="AF2534">
        <v>1</v>
      </c>
      <c r="AG2534">
        <v>1</v>
      </c>
      <c r="AH2534">
        <v>1</v>
      </c>
      <c r="AI2534">
        <v>1</v>
      </c>
      <c r="AJ2534">
        <v>1</v>
      </c>
      <c r="AK2534">
        <v>1</v>
      </c>
      <c r="AL2534">
        <v>1</v>
      </c>
      <c r="AM2534">
        <v>1</v>
      </c>
    </row>
    <row r="2535" spans="1:39" x14ac:dyDescent="0.2">
      <c r="A2535" t="str">
        <f>"2531"</f>
        <v>2531</v>
      </c>
      <c r="B2535" t="str">
        <f t="shared" si="138"/>
        <v>1</v>
      </c>
      <c r="C2535" t="str">
        <f t="shared" si="140"/>
        <v>51</v>
      </c>
      <c r="D2535" t="str">
        <f>"14"</f>
        <v>14</v>
      </c>
      <c r="E2535" t="str">
        <f>"1-51-14"</f>
        <v>1-51-14</v>
      </c>
      <c r="F2535" t="s">
        <v>65</v>
      </c>
      <c r="G2535" t="s">
        <v>66</v>
      </c>
      <c r="H2535" t="s">
        <v>67</v>
      </c>
      <c r="S2535">
        <v>0</v>
      </c>
      <c r="T2535">
        <v>1</v>
      </c>
      <c r="U2535">
        <v>0</v>
      </c>
      <c r="V2535">
        <v>0</v>
      </c>
      <c r="W2535">
        <v>0</v>
      </c>
      <c r="X2535">
        <v>1</v>
      </c>
      <c r="Y2535">
        <v>1</v>
      </c>
      <c r="Z2535">
        <v>0</v>
      </c>
      <c r="AA2535">
        <v>0</v>
      </c>
      <c r="AB2535">
        <v>0</v>
      </c>
      <c r="AC2535">
        <v>1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</row>
    <row r="2536" spans="1:39" x14ac:dyDescent="0.2">
      <c r="A2536" t="str">
        <f>"2532"</f>
        <v>2532</v>
      </c>
      <c r="B2536" t="str">
        <f t="shared" si="138"/>
        <v>1</v>
      </c>
      <c r="C2536" t="str">
        <f t="shared" si="140"/>
        <v>51</v>
      </c>
      <c r="D2536" t="str">
        <f>"48"</f>
        <v>48</v>
      </c>
      <c r="E2536" t="str">
        <f>"1-51-48"</f>
        <v>1-51-48</v>
      </c>
      <c r="F2536" t="s">
        <v>65</v>
      </c>
      <c r="G2536" t="s">
        <v>66</v>
      </c>
      <c r="H2536" t="s">
        <v>67</v>
      </c>
      <c r="S2536">
        <v>1</v>
      </c>
      <c r="T2536">
        <v>0</v>
      </c>
      <c r="U2536">
        <v>0</v>
      </c>
      <c r="V2536">
        <v>0</v>
      </c>
      <c r="W2536">
        <v>1</v>
      </c>
      <c r="X2536">
        <v>0</v>
      </c>
      <c r="Y2536">
        <v>1</v>
      </c>
      <c r="Z2536">
        <v>0</v>
      </c>
      <c r="AA2536">
        <v>0</v>
      </c>
      <c r="AB2536">
        <v>1</v>
      </c>
      <c r="AC2536">
        <v>0</v>
      </c>
      <c r="AD2536">
        <v>1</v>
      </c>
      <c r="AE2536">
        <v>1</v>
      </c>
      <c r="AF2536">
        <v>1</v>
      </c>
      <c r="AG2536">
        <v>1</v>
      </c>
      <c r="AH2536">
        <v>1</v>
      </c>
      <c r="AI2536">
        <v>1</v>
      </c>
      <c r="AJ2536">
        <v>1</v>
      </c>
      <c r="AK2536">
        <v>1</v>
      </c>
      <c r="AL2536">
        <v>1</v>
      </c>
      <c r="AM2536">
        <v>1</v>
      </c>
    </row>
    <row r="2537" spans="1:39" x14ac:dyDescent="0.2">
      <c r="A2537" t="str">
        <f>"2533"</f>
        <v>2533</v>
      </c>
      <c r="B2537" t="str">
        <f t="shared" si="138"/>
        <v>1</v>
      </c>
      <c r="C2537" t="str">
        <f t="shared" ref="C2537:C2554" si="141">"51"</f>
        <v>51</v>
      </c>
      <c r="D2537" t="str">
        <f>"47"</f>
        <v>47</v>
      </c>
      <c r="E2537" t="str">
        <f>"1-51-47"</f>
        <v>1-51-47</v>
      </c>
      <c r="F2537" t="s">
        <v>65</v>
      </c>
      <c r="G2537" t="s">
        <v>66</v>
      </c>
      <c r="H2537" t="s">
        <v>67</v>
      </c>
      <c r="S2537">
        <v>1</v>
      </c>
      <c r="T2537">
        <v>0</v>
      </c>
      <c r="U2537">
        <v>0</v>
      </c>
      <c r="V2537">
        <v>0</v>
      </c>
      <c r="W2537">
        <v>0</v>
      </c>
      <c r="X2537">
        <v>1</v>
      </c>
      <c r="Y2537">
        <v>1</v>
      </c>
      <c r="Z2537">
        <v>0</v>
      </c>
      <c r="AA2537">
        <v>0</v>
      </c>
      <c r="AB2537">
        <v>0</v>
      </c>
      <c r="AC2537">
        <v>1</v>
      </c>
      <c r="AD2537">
        <v>1</v>
      </c>
      <c r="AE2537">
        <v>1</v>
      </c>
      <c r="AF2537">
        <v>1</v>
      </c>
      <c r="AG2537">
        <v>1</v>
      </c>
      <c r="AH2537">
        <v>1</v>
      </c>
      <c r="AI2537">
        <v>1</v>
      </c>
      <c r="AJ2537">
        <v>1</v>
      </c>
      <c r="AK2537">
        <v>1</v>
      </c>
      <c r="AL2537">
        <v>1</v>
      </c>
      <c r="AM2537">
        <v>1</v>
      </c>
    </row>
    <row r="2538" spans="1:39" x14ac:dyDescent="0.2">
      <c r="A2538" t="str">
        <f>"2534"</f>
        <v>2534</v>
      </c>
      <c r="B2538" t="str">
        <f t="shared" si="138"/>
        <v>1</v>
      </c>
      <c r="C2538" t="str">
        <f t="shared" si="141"/>
        <v>51</v>
      </c>
      <c r="D2538" t="str">
        <f>"34"</f>
        <v>34</v>
      </c>
      <c r="E2538" t="str">
        <f>"1-51-34"</f>
        <v>1-51-34</v>
      </c>
      <c r="F2538" t="s">
        <v>65</v>
      </c>
      <c r="G2538" t="s">
        <v>66</v>
      </c>
      <c r="H2538" t="s">
        <v>67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1</v>
      </c>
      <c r="AH2538">
        <v>1</v>
      </c>
      <c r="AI2538">
        <v>1</v>
      </c>
      <c r="AJ2538">
        <v>1</v>
      </c>
      <c r="AK2538">
        <v>1</v>
      </c>
      <c r="AL2538">
        <v>1</v>
      </c>
      <c r="AM2538">
        <v>1</v>
      </c>
    </row>
    <row r="2539" spans="1:39" x14ac:dyDescent="0.2">
      <c r="A2539" t="str">
        <f>"2535"</f>
        <v>2535</v>
      </c>
      <c r="B2539" t="str">
        <f t="shared" si="138"/>
        <v>1</v>
      </c>
      <c r="C2539" t="str">
        <f t="shared" si="141"/>
        <v>51</v>
      </c>
      <c r="D2539" t="str">
        <f>"22"</f>
        <v>22</v>
      </c>
      <c r="E2539" t="str">
        <f>"1-51-22"</f>
        <v>1-51-22</v>
      </c>
      <c r="F2539" t="s">
        <v>65</v>
      </c>
      <c r="G2539" t="s">
        <v>66</v>
      </c>
      <c r="H2539" t="s">
        <v>67</v>
      </c>
      <c r="S2539">
        <v>1</v>
      </c>
      <c r="T2539">
        <v>0</v>
      </c>
      <c r="U2539">
        <v>0</v>
      </c>
      <c r="V2539">
        <v>0</v>
      </c>
      <c r="W2539">
        <v>1</v>
      </c>
      <c r="X2539">
        <v>0</v>
      </c>
      <c r="Y2539">
        <v>1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1</v>
      </c>
      <c r="AF2539">
        <v>1</v>
      </c>
      <c r="AG2539">
        <v>1</v>
      </c>
      <c r="AH2539">
        <v>1</v>
      </c>
      <c r="AI2539">
        <v>1</v>
      </c>
      <c r="AJ2539">
        <v>1</v>
      </c>
      <c r="AK2539">
        <v>1</v>
      </c>
      <c r="AL2539">
        <v>1</v>
      </c>
      <c r="AM2539">
        <v>1</v>
      </c>
    </row>
    <row r="2540" spans="1:39" x14ac:dyDescent="0.2">
      <c r="A2540" t="str">
        <f>"2536"</f>
        <v>2536</v>
      </c>
      <c r="B2540" t="str">
        <f t="shared" si="138"/>
        <v>1</v>
      </c>
      <c r="C2540" t="str">
        <f t="shared" si="141"/>
        <v>51</v>
      </c>
      <c r="D2540" t="str">
        <f>"11"</f>
        <v>11</v>
      </c>
      <c r="E2540" t="str">
        <f>"1-51-11"</f>
        <v>1-51-11</v>
      </c>
      <c r="F2540" t="s">
        <v>65</v>
      </c>
      <c r="G2540" t="s">
        <v>66</v>
      </c>
      <c r="H2540" t="s">
        <v>67</v>
      </c>
      <c r="S2540">
        <v>0</v>
      </c>
      <c r="T2540">
        <v>1</v>
      </c>
      <c r="U2540">
        <v>0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0</v>
      </c>
      <c r="AB2540">
        <v>0</v>
      </c>
      <c r="AC2540">
        <v>1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</row>
    <row r="2541" spans="1:39" x14ac:dyDescent="0.2">
      <c r="A2541" t="str">
        <f>"2537"</f>
        <v>2537</v>
      </c>
      <c r="B2541" t="str">
        <f t="shared" si="138"/>
        <v>1</v>
      </c>
      <c r="C2541" t="str">
        <f t="shared" si="141"/>
        <v>51</v>
      </c>
      <c r="D2541" t="str">
        <f>"23"</f>
        <v>23</v>
      </c>
      <c r="E2541" t="str">
        <f>"1-51-23"</f>
        <v>1-51-23</v>
      </c>
      <c r="F2541" t="s">
        <v>65</v>
      </c>
      <c r="G2541" t="s">
        <v>66</v>
      </c>
      <c r="H2541" t="s">
        <v>67</v>
      </c>
      <c r="S2541">
        <v>0</v>
      </c>
      <c r="T2541">
        <v>1</v>
      </c>
      <c r="U2541">
        <v>0</v>
      </c>
      <c r="V2541">
        <v>0</v>
      </c>
      <c r="W2541">
        <v>0</v>
      </c>
      <c r="X2541">
        <v>1</v>
      </c>
      <c r="Y2541">
        <v>0</v>
      </c>
      <c r="Z2541">
        <v>1</v>
      </c>
      <c r="AA2541">
        <v>0</v>
      </c>
      <c r="AB2541">
        <v>0</v>
      </c>
      <c r="AC2541">
        <v>1</v>
      </c>
      <c r="AD2541">
        <v>1</v>
      </c>
      <c r="AE2541">
        <v>1</v>
      </c>
      <c r="AF2541">
        <v>1</v>
      </c>
      <c r="AG2541">
        <v>1</v>
      </c>
      <c r="AH2541">
        <v>1</v>
      </c>
      <c r="AI2541">
        <v>1</v>
      </c>
      <c r="AJ2541">
        <v>1</v>
      </c>
      <c r="AK2541">
        <v>1</v>
      </c>
      <c r="AL2541">
        <v>1</v>
      </c>
      <c r="AM2541">
        <v>1</v>
      </c>
    </row>
    <row r="2542" spans="1:39" x14ac:dyDescent="0.2">
      <c r="A2542" t="str">
        <f>"2538"</f>
        <v>2538</v>
      </c>
      <c r="B2542" t="str">
        <f t="shared" si="138"/>
        <v>1</v>
      </c>
      <c r="C2542" t="str">
        <f t="shared" si="141"/>
        <v>51</v>
      </c>
      <c r="D2542" t="str">
        <f>"4"</f>
        <v>4</v>
      </c>
      <c r="E2542" t="str">
        <f>"1-51-4"</f>
        <v>1-51-4</v>
      </c>
      <c r="F2542" t="s">
        <v>65</v>
      </c>
      <c r="G2542" t="s">
        <v>66</v>
      </c>
      <c r="H2542" t="s">
        <v>67</v>
      </c>
      <c r="S2542">
        <v>0</v>
      </c>
      <c r="T2542">
        <v>1</v>
      </c>
      <c r="U2542">
        <v>0</v>
      </c>
      <c r="V2542">
        <v>0</v>
      </c>
      <c r="W2542">
        <v>1</v>
      </c>
      <c r="X2542">
        <v>0</v>
      </c>
      <c r="Y2542">
        <v>1</v>
      </c>
      <c r="Z2542">
        <v>0</v>
      </c>
      <c r="AA2542">
        <v>0</v>
      </c>
      <c r="AB2542">
        <v>1</v>
      </c>
      <c r="AC2542">
        <v>0</v>
      </c>
      <c r="AD2542">
        <v>1</v>
      </c>
      <c r="AE2542">
        <v>1</v>
      </c>
      <c r="AF2542">
        <v>1</v>
      </c>
      <c r="AG2542">
        <v>1</v>
      </c>
      <c r="AH2542">
        <v>1</v>
      </c>
      <c r="AI2542">
        <v>1</v>
      </c>
      <c r="AJ2542">
        <v>1</v>
      </c>
      <c r="AK2542">
        <v>1</v>
      </c>
      <c r="AL2542">
        <v>1</v>
      </c>
      <c r="AM2542">
        <v>1</v>
      </c>
    </row>
    <row r="2543" spans="1:39" x14ac:dyDescent="0.2">
      <c r="A2543" t="str">
        <f>"2539"</f>
        <v>2539</v>
      </c>
      <c r="B2543" t="str">
        <f t="shared" si="138"/>
        <v>1</v>
      </c>
      <c r="C2543" t="str">
        <f t="shared" si="141"/>
        <v>51</v>
      </c>
      <c r="D2543" t="str">
        <f>"24"</f>
        <v>24</v>
      </c>
      <c r="E2543" t="str">
        <f>"1-51-24"</f>
        <v>1-51-24</v>
      </c>
      <c r="F2543" t="s">
        <v>65</v>
      </c>
      <c r="G2543" t="s">
        <v>66</v>
      </c>
      <c r="H2543" t="s">
        <v>67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</row>
    <row r="2544" spans="1:39" x14ac:dyDescent="0.2">
      <c r="A2544" t="str">
        <f>"2540"</f>
        <v>2540</v>
      </c>
      <c r="B2544" t="str">
        <f t="shared" si="138"/>
        <v>1</v>
      </c>
      <c r="C2544" t="str">
        <f t="shared" si="141"/>
        <v>51</v>
      </c>
      <c r="D2544" t="str">
        <f>"12"</f>
        <v>12</v>
      </c>
      <c r="E2544" t="str">
        <f>"1-51-12"</f>
        <v>1-51-12</v>
      </c>
      <c r="F2544" t="s">
        <v>65</v>
      </c>
      <c r="G2544" t="s">
        <v>66</v>
      </c>
      <c r="H2544" t="s">
        <v>67</v>
      </c>
      <c r="S2544">
        <v>0</v>
      </c>
      <c r="T2544">
        <v>1</v>
      </c>
      <c r="U2544">
        <v>0</v>
      </c>
      <c r="V2544">
        <v>0</v>
      </c>
      <c r="W2544">
        <v>1</v>
      </c>
      <c r="X2544">
        <v>0</v>
      </c>
      <c r="Y2544">
        <v>0</v>
      </c>
      <c r="Z2544">
        <v>1</v>
      </c>
      <c r="AA2544">
        <v>1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</row>
    <row r="2545" spans="1:39" x14ac:dyDescent="0.2">
      <c r="A2545" t="str">
        <f>"2541"</f>
        <v>2541</v>
      </c>
      <c r="B2545" t="str">
        <f t="shared" si="138"/>
        <v>1</v>
      </c>
      <c r="C2545" t="str">
        <f t="shared" si="141"/>
        <v>51</v>
      </c>
      <c r="D2545" t="str">
        <f>"26"</f>
        <v>26</v>
      </c>
      <c r="E2545" t="str">
        <f>"1-51-26"</f>
        <v>1-51-26</v>
      </c>
      <c r="F2545" t="s">
        <v>65</v>
      </c>
      <c r="G2545" t="s">
        <v>66</v>
      </c>
      <c r="H2545" t="s">
        <v>67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1</v>
      </c>
      <c r="Y2545">
        <v>0</v>
      </c>
      <c r="Z2545">
        <v>1</v>
      </c>
      <c r="AA2545">
        <v>0</v>
      </c>
      <c r="AB2545">
        <v>0</v>
      </c>
      <c r="AC2545">
        <v>1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</row>
    <row r="2546" spans="1:39" x14ac:dyDescent="0.2">
      <c r="A2546" t="str">
        <f>"2542"</f>
        <v>2542</v>
      </c>
      <c r="B2546" t="str">
        <f t="shared" si="138"/>
        <v>1</v>
      </c>
      <c r="C2546" t="str">
        <f t="shared" si="141"/>
        <v>51</v>
      </c>
      <c r="D2546" t="str">
        <f>"1"</f>
        <v>1</v>
      </c>
      <c r="E2546" t="str">
        <f>"1-51-1"</f>
        <v>1-51-1</v>
      </c>
      <c r="F2546" t="s">
        <v>65</v>
      </c>
      <c r="G2546" t="s">
        <v>66</v>
      </c>
      <c r="H2546" t="s">
        <v>67</v>
      </c>
      <c r="S2546">
        <v>1</v>
      </c>
      <c r="T2546">
        <v>0</v>
      </c>
      <c r="U2546">
        <v>0</v>
      </c>
      <c r="V2546">
        <v>0</v>
      </c>
      <c r="W2546">
        <v>1</v>
      </c>
      <c r="X2546">
        <v>0</v>
      </c>
      <c r="Y2546">
        <v>1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1</v>
      </c>
      <c r="AF2546">
        <v>1</v>
      </c>
      <c r="AG2546">
        <v>1</v>
      </c>
      <c r="AH2546">
        <v>1</v>
      </c>
      <c r="AI2546">
        <v>1</v>
      </c>
      <c r="AJ2546">
        <v>1</v>
      </c>
      <c r="AK2546">
        <v>1</v>
      </c>
      <c r="AL2546">
        <v>1</v>
      </c>
      <c r="AM2546">
        <v>0</v>
      </c>
    </row>
    <row r="2547" spans="1:39" x14ac:dyDescent="0.2">
      <c r="A2547" t="str">
        <f>"2543"</f>
        <v>2543</v>
      </c>
      <c r="B2547" t="str">
        <f t="shared" si="138"/>
        <v>1</v>
      </c>
      <c r="C2547" t="str">
        <f t="shared" si="141"/>
        <v>51</v>
      </c>
      <c r="D2547" t="str">
        <f>"27"</f>
        <v>27</v>
      </c>
      <c r="E2547" t="str">
        <f>"1-51-27"</f>
        <v>1-51-27</v>
      </c>
      <c r="F2547" t="s">
        <v>65</v>
      </c>
      <c r="G2547" t="s">
        <v>66</v>
      </c>
      <c r="H2547" t="s">
        <v>67</v>
      </c>
      <c r="S2547">
        <v>0</v>
      </c>
      <c r="T2547">
        <v>1</v>
      </c>
      <c r="U2547">
        <v>0</v>
      </c>
      <c r="V2547">
        <v>0</v>
      </c>
      <c r="W2547">
        <v>0</v>
      </c>
      <c r="X2547">
        <v>1</v>
      </c>
      <c r="Y2547">
        <v>0</v>
      </c>
      <c r="Z2547">
        <v>1</v>
      </c>
      <c r="AA2547">
        <v>0</v>
      </c>
      <c r="AB2547">
        <v>0</v>
      </c>
      <c r="AC2547">
        <v>1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</row>
    <row r="2548" spans="1:39" x14ac:dyDescent="0.2">
      <c r="A2548" t="str">
        <f>"2544"</f>
        <v>2544</v>
      </c>
      <c r="B2548" t="str">
        <f t="shared" si="138"/>
        <v>1</v>
      </c>
      <c r="C2548" t="str">
        <f t="shared" si="141"/>
        <v>51</v>
      </c>
      <c r="D2548" t="str">
        <f>"10"</f>
        <v>10</v>
      </c>
      <c r="E2548" t="str">
        <f>"1-51-10"</f>
        <v>1-51-10</v>
      </c>
      <c r="F2548" t="s">
        <v>65</v>
      </c>
      <c r="G2548" t="s">
        <v>66</v>
      </c>
      <c r="H2548" t="s">
        <v>67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1</v>
      </c>
      <c r="AI2548">
        <v>0</v>
      </c>
      <c r="AJ2548">
        <v>0</v>
      </c>
      <c r="AK2548">
        <v>1</v>
      </c>
      <c r="AL2548">
        <v>1</v>
      </c>
      <c r="AM2548">
        <v>1</v>
      </c>
    </row>
    <row r="2549" spans="1:39" x14ac:dyDescent="0.2">
      <c r="A2549" t="str">
        <f>"2545"</f>
        <v>2545</v>
      </c>
      <c r="B2549" t="str">
        <f t="shared" si="138"/>
        <v>1</v>
      </c>
      <c r="C2549" t="str">
        <f t="shared" si="141"/>
        <v>51</v>
      </c>
      <c r="D2549" t="str">
        <f>"29"</f>
        <v>29</v>
      </c>
      <c r="E2549" t="str">
        <f>"1-51-29"</f>
        <v>1-51-29</v>
      </c>
      <c r="F2549" t="s">
        <v>65</v>
      </c>
      <c r="G2549" t="s">
        <v>66</v>
      </c>
      <c r="H2549" t="s">
        <v>67</v>
      </c>
      <c r="S2549">
        <v>0</v>
      </c>
      <c r="T2549">
        <v>1</v>
      </c>
      <c r="U2549">
        <v>0</v>
      </c>
      <c r="V2549">
        <v>0</v>
      </c>
      <c r="W2549">
        <v>0</v>
      </c>
      <c r="X2549">
        <v>1</v>
      </c>
      <c r="Y2549">
        <v>0</v>
      </c>
      <c r="Z2549">
        <v>1</v>
      </c>
      <c r="AA2549">
        <v>0</v>
      </c>
      <c r="AB2549">
        <v>0</v>
      </c>
      <c r="AC2549">
        <v>1</v>
      </c>
      <c r="AD2549">
        <v>1</v>
      </c>
      <c r="AE2549">
        <v>1</v>
      </c>
      <c r="AF2549">
        <v>1</v>
      </c>
      <c r="AG2549">
        <v>1</v>
      </c>
      <c r="AH2549">
        <v>1</v>
      </c>
      <c r="AI2549">
        <v>1</v>
      </c>
      <c r="AJ2549">
        <v>1</v>
      </c>
      <c r="AK2549">
        <v>1</v>
      </c>
      <c r="AL2549">
        <v>1</v>
      </c>
      <c r="AM2549">
        <v>1</v>
      </c>
    </row>
    <row r="2550" spans="1:39" x14ac:dyDescent="0.2">
      <c r="A2550" t="str">
        <f>"2546"</f>
        <v>2546</v>
      </c>
      <c r="B2550" t="str">
        <f t="shared" si="138"/>
        <v>1</v>
      </c>
      <c r="C2550" t="str">
        <f t="shared" si="141"/>
        <v>51</v>
      </c>
      <c r="D2550" t="str">
        <f>"9"</f>
        <v>9</v>
      </c>
      <c r="E2550" t="str">
        <f>"1-51-9"</f>
        <v>1-51-9</v>
      </c>
      <c r="F2550" t="s">
        <v>65</v>
      </c>
      <c r="G2550" t="s">
        <v>66</v>
      </c>
      <c r="H2550" t="s">
        <v>67</v>
      </c>
      <c r="S2550">
        <v>0</v>
      </c>
      <c r="T2550">
        <v>1</v>
      </c>
      <c r="U2550">
        <v>0</v>
      </c>
      <c r="V2550">
        <v>0</v>
      </c>
      <c r="W2550">
        <v>0</v>
      </c>
      <c r="X2550">
        <v>1</v>
      </c>
      <c r="Y2550">
        <v>0</v>
      </c>
      <c r="Z2550">
        <v>1</v>
      </c>
      <c r="AA2550">
        <v>0</v>
      </c>
      <c r="AB2550">
        <v>0</v>
      </c>
      <c r="AC2550">
        <v>1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</row>
    <row r="2551" spans="1:39" x14ac:dyDescent="0.2">
      <c r="A2551" t="str">
        <f>"2547"</f>
        <v>2547</v>
      </c>
      <c r="B2551" t="str">
        <f t="shared" ref="B2551:B2614" si="142">"1"</f>
        <v>1</v>
      </c>
      <c r="C2551" t="str">
        <f t="shared" si="141"/>
        <v>51</v>
      </c>
      <c r="D2551" t="str">
        <f>"30"</f>
        <v>30</v>
      </c>
      <c r="E2551" t="str">
        <f>"1-51-30"</f>
        <v>1-51-30</v>
      </c>
      <c r="F2551" t="s">
        <v>65</v>
      </c>
      <c r="G2551" t="s">
        <v>66</v>
      </c>
      <c r="H2551" t="s">
        <v>67</v>
      </c>
      <c r="S2551">
        <v>0</v>
      </c>
      <c r="T2551">
        <v>1</v>
      </c>
      <c r="U2551">
        <v>0</v>
      </c>
      <c r="V2551">
        <v>0</v>
      </c>
      <c r="W2551">
        <v>0</v>
      </c>
      <c r="X2551">
        <v>1</v>
      </c>
      <c r="Y2551">
        <v>0</v>
      </c>
      <c r="Z2551">
        <v>1</v>
      </c>
      <c r="AA2551">
        <v>0</v>
      </c>
      <c r="AB2551">
        <v>0</v>
      </c>
      <c r="AC2551">
        <v>1</v>
      </c>
      <c r="AD2551">
        <v>1</v>
      </c>
      <c r="AE2551">
        <v>1</v>
      </c>
      <c r="AF2551">
        <v>1</v>
      </c>
      <c r="AG2551">
        <v>1</v>
      </c>
      <c r="AH2551">
        <v>1</v>
      </c>
      <c r="AI2551">
        <v>1</v>
      </c>
      <c r="AJ2551">
        <v>1</v>
      </c>
      <c r="AK2551">
        <v>1</v>
      </c>
      <c r="AL2551">
        <v>1</v>
      </c>
      <c r="AM2551">
        <v>1</v>
      </c>
    </row>
    <row r="2552" spans="1:39" x14ac:dyDescent="0.2">
      <c r="A2552" t="str">
        <f>"2548"</f>
        <v>2548</v>
      </c>
      <c r="B2552" t="str">
        <f t="shared" si="142"/>
        <v>1</v>
      </c>
      <c r="C2552" t="str">
        <f t="shared" si="141"/>
        <v>51</v>
      </c>
      <c r="D2552" t="str">
        <f>"13"</f>
        <v>13</v>
      </c>
      <c r="E2552" t="str">
        <f>"1-51-13"</f>
        <v>1-51-13</v>
      </c>
      <c r="F2552" t="s">
        <v>65</v>
      </c>
      <c r="G2552" t="s">
        <v>66</v>
      </c>
      <c r="H2552" t="s">
        <v>67</v>
      </c>
      <c r="S2552">
        <v>0</v>
      </c>
      <c r="T2552">
        <v>1</v>
      </c>
      <c r="U2552">
        <v>0</v>
      </c>
      <c r="V2552">
        <v>0</v>
      </c>
      <c r="W2552">
        <v>0</v>
      </c>
      <c r="X2552">
        <v>1</v>
      </c>
      <c r="Y2552">
        <v>0</v>
      </c>
      <c r="Z2552">
        <v>1</v>
      </c>
      <c r="AA2552">
        <v>0</v>
      </c>
      <c r="AB2552">
        <v>1</v>
      </c>
      <c r="AC2552">
        <v>0</v>
      </c>
      <c r="AD2552">
        <v>1</v>
      </c>
      <c r="AE2552">
        <v>1</v>
      </c>
      <c r="AF2552">
        <v>1</v>
      </c>
      <c r="AG2552">
        <v>1</v>
      </c>
      <c r="AH2552">
        <v>1</v>
      </c>
      <c r="AI2552">
        <v>1</v>
      </c>
      <c r="AJ2552">
        <v>1</v>
      </c>
      <c r="AK2552">
        <v>1</v>
      </c>
      <c r="AL2552">
        <v>1</v>
      </c>
      <c r="AM2552">
        <v>1</v>
      </c>
    </row>
    <row r="2553" spans="1:39" x14ac:dyDescent="0.2">
      <c r="A2553" t="str">
        <f>"2549"</f>
        <v>2549</v>
      </c>
      <c r="B2553" t="str">
        <f t="shared" si="142"/>
        <v>1</v>
      </c>
      <c r="C2553" t="str">
        <f t="shared" si="141"/>
        <v>51</v>
      </c>
      <c r="D2553" t="str">
        <f>"49"</f>
        <v>49</v>
      </c>
      <c r="E2553" t="str">
        <f>"1-51-49"</f>
        <v>1-51-49</v>
      </c>
      <c r="F2553" t="s">
        <v>65</v>
      </c>
      <c r="G2553" t="s">
        <v>66</v>
      </c>
      <c r="H2553" t="s">
        <v>67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1</v>
      </c>
      <c r="AE2553">
        <v>1</v>
      </c>
      <c r="AF2553">
        <v>1</v>
      </c>
      <c r="AG2553">
        <v>1</v>
      </c>
      <c r="AH2553">
        <v>1</v>
      </c>
      <c r="AI2553">
        <v>1</v>
      </c>
      <c r="AJ2553">
        <v>1</v>
      </c>
      <c r="AK2553">
        <v>1</v>
      </c>
      <c r="AL2553">
        <v>1</v>
      </c>
      <c r="AM2553">
        <v>1</v>
      </c>
    </row>
    <row r="2554" spans="1:39" x14ac:dyDescent="0.2">
      <c r="A2554" t="str">
        <f>"2550"</f>
        <v>2550</v>
      </c>
      <c r="B2554" t="str">
        <f t="shared" si="142"/>
        <v>1</v>
      </c>
      <c r="C2554" t="str">
        <f t="shared" si="141"/>
        <v>51</v>
      </c>
      <c r="D2554" t="str">
        <f>"50"</f>
        <v>50</v>
      </c>
      <c r="E2554" t="str">
        <f>"1-51-50"</f>
        <v>1-51-50</v>
      </c>
      <c r="F2554" t="s">
        <v>65</v>
      </c>
      <c r="G2554" t="s">
        <v>66</v>
      </c>
      <c r="H2554" t="s">
        <v>67</v>
      </c>
      <c r="S2554">
        <v>0</v>
      </c>
      <c r="T2554">
        <v>0</v>
      </c>
      <c r="U2554">
        <v>0</v>
      </c>
      <c r="V2554">
        <v>1</v>
      </c>
      <c r="W2554">
        <v>0</v>
      </c>
      <c r="X2554">
        <v>1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1</v>
      </c>
      <c r="AE2554">
        <v>1</v>
      </c>
      <c r="AF2554">
        <v>1</v>
      </c>
      <c r="AG2554">
        <v>1</v>
      </c>
      <c r="AH2554">
        <v>1</v>
      </c>
      <c r="AI2554">
        <v>1</v>
      </c>
      <c r="AJ2554">
        <v>1</v>
      </c>
      <c r="AK2554">
        <v>1</v>
      </c>
      <c r="AL2554">
        <v>0</v>
      </c>
      <c r="AM2554">
        <v>1</v>
      </c>
    </row>
    <row r="2555" spans="1:39" x14ac:dyDescent="0.2">
      <c r="A2555" t="str">
        <f>"2551"</f>
        <v>2551</v>
      </c>
      <c r="B2555" t="str">
        <f t="shared" si="142"/>
        <v>1</v>
      </c>
      <c r="C2555" t="str">
        <f t="shared" ref="C2555:C2586" si="143">"52"</f>
        <v>52</v>
      </c>
      <c r="D2555" t="str">
        <f>"40"</f>
        <v>40</v>
      </c>
      <c r="E2555" t="str">
        <f>"1-52-40"</f>
        <v>1-52-40</v>
      </c>
      <c r="F2555" t="s">
        <v>65</v>
      </c>
      <c r="G2555" t="s">
        <v>66</v>
      </c>
      <c r="H2555" t="s">
        <v>67</v>
      </c>
      <c r="S2555">
        <v>0</v>
      </c>
      <c r="T2555">
        <v>1</v>
      </c>
      <c r="U2555">
        <v>0</v>
      </c>
      <c r="V2555">
        <v>0</v>
      </c>
      <c r="W2555">
        <v>0</v>
      </c>
      <c r="X2555">
        <v>1</v>
      </c>
      <c r="Y2555">
        <v>0</v>
      </c>
      <c r="Z2555">
        <v>1</v>
      </c>
      <c r="AA2555">
        <v>0</v>
      </c>
      <c r="AB2555">
        <v>0</v>
      </c>
      <c r="AC2555">
        <v>1</v>
      </c>
      <c r="AD2555">
        <v>1</v>
      </c>
      <c r="AE2555">
        <v>1</v>
      </c>
      <c r="AF2555">
        <v>1</v>
      </c>
      <c r="AG2555">
        <v>1</v>
      </c>
      <c r="AH2555">
        <v>1</v>
      </c>
      <c r="AI2555">
        <v>1</v>
      </c>
      <c r="AJ2555">
        <v>1</v>
      </c>
      <c r="AK2555">
        <v>1</v>
      </c>
      <c r="AL2555">
        <v>1</v>
      </c>
      <c r="AM2555">
        <v>1</v>
      </c>
    </row>
    <row r="2556" spans="1:39" x14ac:dyDescent="0.2">
      <c r="A2556" t="str">
        <f>"2552"</f>
        <v>2552</v>
      </c>
      <c r="B2556" t="str">
        <f t="shared" si="142"/>
        <v>1</v>
      </c>
      <c r="C2556" t="str">
        <f t="shared" si="143"/>
        <v>52</v>
      </c>
      <c r="D2556" t="str">
        <f>"39"</f>
        <v>39</v>
      </c>
      <c r="E2556" t="str">
        <f>"1-52-39"</f>
        <v>1-52-39</v>
      </c>
      <c r="F2556" t="s">
        <v>65</v>
      </c>
      <c r="G2556" t="s">
        <v>66</v>
      </c>
      <c r="H2556" t="s">
        <v>67</v>
      </c>
      <c r="S2556">
        <v>1</v>
      </c>
      <c r="T2556">
        <v>0</v>
      </c>
      <c r="U2556">
        <v>0</v>
      </c>
      <c r="V2556">
        <v>0</v>
      </c>
      <c r="W2556">
        <v>1</v>
      </c>
      <c r="X2556">
        <v>0</v>
      </c>
      <c r="Y2556">
        <v>1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</row>
    <row r="2557" spans="1:39" x14ac:dyDescent="0.2">
      <c r="A2557" t="str">
        <f>"2553"</f>
        <v>2553</v>
      </c>
      <c r="B2557" t="str">
        <f t="shared" si="142"/>
        <v>1</v>
      </c>
      <c r="C2557" t="str">
        <f t="shared" si="143"/>
        <v>52</v>
      </c>
      <c r="D2557" t="str">
        <f>"27"</f>
        <v>27</v>
      </c>
      <c r="E2557" t="str">
        <f>"1-52-27"</f>
        <v>1-52-27</v>
      </c>
      <c r="F2557" t="s">
        <v>65</v>
      </c>
      <c r="G2557" t="s">
        <v>66</v>
      </c>
      <c r="H2557" t="s">
        <v>67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1</v>
      </c>
      <c r="Y2557">
        <v>0</v>
      </c>
      <c r="Z2557">
        <v>1</v>
      </c>
      <c r="AA2557">
        <v>0</v>
      </c>
      <c r="AB2557">
        <v>0</v>
      </c>
      <c r="AC2557">
        <v>1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1</v>
      </c>
      <c r="AJ2557">
        <v>1</v>
      </c>
      <c r="AK2557">
        <v>0</v>
      </c>
      <c r="AL2557">
        <v>1</v>
      </c>
      <c r="AM2557">
        <v>0</v>
      </c>
    </row>
    <row r="2558" spans="1:39" x14ac:dyDescent="0.2">
      <c r="A2558" t="str">
        <f>"2554"</f>
        <v>2554</v>
      </c>
      <c r="B2558" t="str">
        <f t="shared" si="142"/>
        <v>1</v>
      </c>
      <c r="C2558" t="str">
        <f t="shared" si="143"/>
        <v>52</v>
      </c>
      <c r="D2558" t="str">
        <f>"15"</f>
        <v>15</v>
      </c>
      <c r="E2558" t="str">
        <f>"1-52-15"</f>
        <v>1-52-15</v>
      </c>
      <c r="F2558" t="s">
        <v>65</v>
      </c>
      <c r="G2558" t="s">
        <v>66</v>
      </c>
      <c r="H2558" t="s">
        <v>67</v>
      </c>
      <c r="S2558">
        <v>0</v>
      </c>
      <c r="T2558">
        <v>1</v>
      </c>
      <c r="U2558">
        <v>0</v>
      </c>
      <c r="V2558">
        <v>0</v>
      </c>
      <c r="W2558">
        <v>0</v>
      </c>
      <c r="X2558">
        <v>1</v>
      </c>
      <c r="Y2558">
        <v>1</v>
      </c>
      <c r="Z2558">
        <v>0</v>
      </c>
      <c r="AA2558">
        <v>0</v>
      </c>
      <c r="AB2558">
        <v>1</v>
      </c>
      <c r="AC2558">
        <v>0</v>
      </c>
      <c r="AD2558">
        <v>0</v>
      </c>
      <c r="AE2558">
        <v>1</v>
      </c>
      <c r="AF2558">
        <v>1</v>
      </c>
      <c r="AG2558">
        <v>1</v>
      </c>
      <c r="AH2558">
        <v>1</v>
      </c>
      <c r="AI2558">
        <v>1</v>
      </c>
      <c r="AJ2558">
        <v>1</v>
      </c>
      <c r="AK2558">
        <v>1</v>
      </c>
      <c r="AL2558">
        <v>1</v>
      </c>
      <c r="AM2558">
        <v>1</v>
      </c>
    </row>
    <row r="2559" spans="1:39" x14ac:dyDescent="0.2">
      <c r="A2559" t="str">
        <f>"2555"</f>
        <v>2555</v>
      </c>
      <c r="B2559" t="str">
        <f t="shared" si="142"/>
        <v>1</v>
      </c>
      <c r="C2559" t="str">
        <f t="shared" si="143"/>
        <v>52</v>
      </c>
      <c r="D2559" t="str">
        <f>"1"</f>
        <v>1</v>
      </c>
      <c r="E2559" t="str">
        <f>"1-52-1"</f>
        <v>1-52-1</v>
      </c>
      <c r="F2559" t="s">
        <v>65</v>
      </c>
      <c r="G2559" t="s">
        <v>66</v>
      </c>
      <c r="H2559" t="s">
        <v>67</v>
      </c>
      <c r="S2559">
        <v>1</v>
      </c>
      <c r="T2559">
        <v>0</v>
      </c>
      <c r="U2559">
        <v>0</v>
      </c>
      <c r="V2559">
        <v>0</v>
      </c>
      <c r="W2559">
        <v>0</v>
      </c>
      <c r="X2559">
        <v>1</v>
      </c>
      <c r="Y2559">
        <v>1</v>
      </c>
      <c r="Z2559">
        <v>0</v>
      </c>
      <c r="AA2559">
        <v>0</v>
      </c>
      <c r="AB2559">
        <v>0</v>
      </c>
      <c r="AC2559">
        <v>1</v>
      </c>
      <c r="AD2559">
        <v>1</v>
      </c>
      <c r="AE2559">
        <v>1</v>
      </c>
      <c r="AF2559">
        <v>1</v>
      </c>
      <c r="AG2559">
        <v>1</v>
      </c>
      <c r="AH2559">
        <v>1</v>
      </c>
      <c r="AI2559">
        <v>1</v>
      </c>
      <c r="AJ2559">
        <v>1</v>
      </c>
      <c r="AK2559">
        <v>1</v>
      </c>
      <c r="AL2559">
        <v>1</v>
      </c>
      <c r="AM2559">
        <v>1</v>
      </c>
    </row>
    <row r="2560" spans="1:39" x14ac:dyDescent="0.2">
      <c r="A2560" t="str">
        <f>"2556"</f>
        <v>2556</v>
      </c>
      <c r="B2560" t="str">
        <f t="shared" si="142"/>
        <v>1</v>
      </c>
      <c r="C2560" t="str">
        <f t="shared" si="143"/>
        <v>52</v>
      </c>
      <c r="D2560" t="str">
        <f>"38"</f>
        <v>38</v>
      </c>
      <c r="E2560" t="str">
        <f>"1-52-38"</f>
        <v>1-52-38</v>
      </c>
      <c r="F2560" t="s">
        <v>65</v>
      </c>
      <c r="G2560" t="s">
        <v>66</v>
      </c>
      <c r="H2560" t="s">
        <v>67</v>
      </c>
      <c r="S2560">
        <v>1</v>
      </c>
      <c r="T2560">
        <v>0</v>
      </c>
      <c r="U2560">
        <v>0</v>
      </c>
      <c r="V2560">
        <v>0</v>
      </c>
      <c r="W2560">
        <v>1</v>
      </c>
      <c r="X2560">
        <v>0</v>
      </c>
      <c r="Y2560">
        <v>1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1</v>
      </c>
      <c r="AF2560">
        <v>1</v>
      </c>
      <c r="AG2560">
        <v>1</v>
      </c>
      <c r="AH2560">
        <v>1</v>
      </c>
      <c r="AI2560">
        <v>1</v>
      </c>
      <c r="AJ2560">
        <v>1</v>
      </c>
      <c r="AK2560">
        <v>1</v>
      </c>
      <c r="AL2560">
        <v>1</v>
      </c>
      <c r="AM2560">
        <v>1</v>
      </c>
    </row>
    <row r="2561" spans="1:39" x14ac:dyDescent="0.2">
      <c r="A2561" t="str">
        <f>"2557"</f>
        <v>2557</v>
      </c>
      <c r="B2561" t="str">
        <f t="shared" si="142"/>
        <v>1</v>
      </c>
      <c r="C2561" t="str">
        <f t="shared" si="143"/>
        <v>52</v>
      </c>
      <c r="D2561" t="str">
        <f>"37"</f>
        <v>37</v>
      </c>
      <c r="E2561" t="str">
        <f>"1-52-37"</f>
        <v>1-52-37</v>
      </c>
      <c r="F2561" t="s">
        <v>65</v>
      </c>
      <c r="G2561" t="s">
        <v>66</v>
      </c>
      <c r="H2561" t="s">
        <v>67</v>
      </c>
      <c r="S2561">
        <v>1</v>
      </c>
      <c r="T2561">
        <v>0</v>
      </c>
      <c r="U2561">
        <v>0</v>
      </c>
      <c r="V2561">
        <v>0</v>
      </c>
      <c r="W2561">
        <v>0</v>
      </c>
      <c r="X2561">
        <v>1</v>
      </c>
      <c r="Y2561">
        <v>1</v>
      </c>
      <c r="Z2561">
        <v>0</v>
      </c>
      <c r="AA2561">
        <v>0</v>
      </c>
      <c r="AB2561">
        <v>1</v>
      </c>
      <c r="AC2561">
        <v>0</v>
      </c>
      <c r="AD2561">
        <v>1</v>
      </c>
      <c r="AE2561">
        <v>1</v>
      </c>
      <c r="AF2561">
        <v>1</v>
      </c>
      <c r="AG2561">
        <v>1</v>
      </c>
      <c r="AH2561">
        <v>1</v>
      </c>
      <c r="AI2561">
        <v>1</v>
      </c>
      <c r="AJ2561">
        <v>1</v>
      </c>
      <c r="AK2561">
        <v>1</v>
      </c>
      <c r="AL2561">
        <v>1</v>
      </c>
      <c r="AM2561">
        <v>1</v>
      </c>
    </row>
    <row r="2562" spans="1:39" x14ac:dyDescent="0.2">
      <c r="A2562" t="str">
        <f>"2558"</f>
        <v>2558</v>
      </c>
      <c r="B2562" t="str">
        <f t="shared" si="142"/>
        <v>1</v>
      </c>
      <c r="C2562" t="str">
        <f t="shared" si="143"/>
        <v>52</v>
      </c>
      <c r="D2562" t="str">
        <f>"26"</f>
        <v>26</v>
      </c>
      <c r="E2562" t="str">
        <f>"1-52-26"</f>
        <v>1-52-26</v>
      </c>
      <c r="F2562" t="s">
        <v>65</v>
      </c>
      <c r="G2562" t="s">
        <v>66</v>
      </c>
      <c r="H2562" t="s">
        <v>67</v>
      </c>
      <c r="S2562">
        <v>1</v>
      </c>
      <c r="T2562">
        <v>0</v>
      </c>
      <c r="U2562">
        <v>0</v>
      </c>
      <c r="V2562">
        <v>0</v>
      </c>
      <c r="W2562">
        <v>1</v>
      </c>
      <c r="X2562">
        <v>0</v>
      </c>
      <c r="Y2562">
        <v>0</v>
      </c>
      <c r="Z2562">
        <v>1</v>
      </c>
      <c r="AA2562">
        <v>1</v>
      </c>
      <c r="AB2562">
        <v>0</v>
      </c>
      <c r="AC2562">
        <v>0</v>
      </c>
      <c r="AD2562">
        <v>1</v>
      </c>
      <c r="AE2562">
        <v>1</v>
      </c>
      <c r="AF2562">
        <v>1</v>
      </c>
      <c r="AG2562">
        <v>1</v>
      </c>
      <c r="AH2562">
        <v>1</v>
      </c>
      <c r="AI2562">
        <v>1</v>
      </c>
      <c r="AJ2562">
        <v>1</v>
      </c>
      <c r="AK2562">
        <v>1</v>
      </c>
      <c r="AL2562">
        <v>1</v>
      </c>
      <c r="AM2562">
        <v>1</v>
      </c>
    </row>
    <row r="2563" spans="1:39" x14ac:dyDescent="0.2">
      <c r="A2563" t="str">
        <f>"2559"</f>
        <v>2559</v>
      </c>
      <c r="B2563" t="str">
        <f t="shared" si="142"/>
        <v>1</v>
      </c>
      <c r="C2563" t="str">
        <f t="shared" si="143"/>
        <v>52</v>
      </c>
      <c r="D2563" t="str">
        <f>"16"</f>
        <v>16</v>
      </c>
      <c r="E2563" t="str">
        <f>"1-52-16"</f>
        <v>1-52-16</v>
      </c>
      <c r="F2563" t="s">
        <v>65</v>
      </c>
      <c r="G2563" t="s">
        <v>66</v>
      </c>
      <c r="H2563" t="s">
        <v>67</v>
      </c>
      <c r="S2563">
        <v>1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1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</row>
    <row r="2564" spans="1:39" x14ac:dyDescent="0.2">
      <c r="A2564" t="str">
        <f>"2560"</f>
        <v>2560</v>
      </c>
      <c r="B2564" t="str">
        <f t="shared" si="142"/>
        <v>1</v>
      </c>
      <c r="C2564" t="str">
        <f t="shared" si="143"/>
        <v>52</v>
      </c>
      <c r="D2564" t="str">
        <f>"8"</f>
        <v>8</v>
      </c>
      <c r="E2564" t="str">
        <f>"1-52-8"</f>
        <v>1-52-8</v>
      </c>
      <c r="F2564" t="s">
        <v>65</v>
      </c>
      <c r="G2564" t="s">
        <v>66</v>
      </c>
      <c r="H2564" t="s">
        <v>67</v>
      </c>
      <c r="S2564">
        <v>1</v>
      </c>
      <c r="T2564">
        <v>0</v>
      </c>
      <c r="U2564">
        <v>0</v>
      </c>
      <c r="V2564">
        <v>0</v>
      </c>
      <c r="W2564">
        <v>1</v>
      </c>
      <c r="X2564">
        <v>0</v>
      </c>
      <c r="Y2564">
        <v>1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1</v>
      </c>
      <c r="AF2564">
        <v>1</v>
      </c>
      <c r="AG2564">
        <v>1</v>
      </c>
      <c r="AH2564">
        <v>1</v>
      </c>
      <c r="AI2564">
        <v>1</v>
      </c>
      <c r="AJ2564">
        <v>1</v>
      </c>
      <c r="AK2564">
        <v>1</v>
      </c>
      <c r="AL2564">
        <v>1</v>
      </c>
      <c r="AM2564">
        <v>1</v>
      </c>
    </row>
    <row r="2565" spans="1:39" x14ac:dyDescent="0.2">
      <c r="A2565" t="str">
        <f>"2561"</f>
        <v>2561</v>
      </c>
      <c r="B2565" t="str">
        <f t="shared" si="142"/>
        <v>1</v>
      </c>
      <c r="C2565" t="str">
        <f t="shared" si="143"/>
        <v>52</v>
      </c>
      <c r="D2565" t="str">
        <f>"44"</f>
        <v>44</v>
      </c>
      <c r="E2565" t="str">
        <f>"1-52-44"</f>
        <v>1-52-44</v>
      </c>
      <c r="F2565" t="s">
        <v>65</v>
      </c>
      <c r="G2565" t="s">
        <v>66</v>
      </c>
      <c r="H2565" t="s">
        <v>67</v>
      </c>
      <c r="S2565">
        <v>1</v>
      </c>
      <c r="T2565">
        <v>0</v>
      </c>
      <c r="U2565">
        <v>0</v>
      </c>
      <c r="V2565">
        <v>0</v>
      </c>
      <c r="W2565">
        <v>0</v>
      </c>
      <c r="X2565">
        <v>1</v>
      </c>
      <c r="Y2565">
        <v>1</v>
      </c>
      <c r="Z2565">
        <v>0</v>
      </c>
      <c r="AA2565">
        <v>0</v>
      </c>
      <c r="AB2565">
        <v>1</v>
      </c>
      <c r="AC2565">
        <v>0</v>
      </c>
      <c r="AD2565">
        <v>1</v>
      </c>
      <c r="AE2565">
        <v>1</v>
      </c>
      <c r="AF2565">
        <v>1</v>
      </c>
      <c r="AG2565">
        <v>1</v>
      </c>
      <c r="AH2565">
        <v>1</v>
      </c>
      <c r="AI2565">
        <v>1</v>
      </c>
      <c r="AJ2565">
        <v>1</v>
      </c>
      <c r="AK2565">
        <v>1</v>
      </c>
      <c r="AL2565">
        <v>1</v>
      </c>
      <c r="AM2565">
        <v>1</v>
      </c>
    </row>
    <row r="2566" spans="1:39" x14ac:dyDescent="0.2">
      <c r="A2566" t="str">
        <f>"2562"</f>
        <v>2562</v>
      </c>
      <c r="B2566" t="str">
        <f t="shared" si="142"/>
        <v>1</v>
      </c>
      <c r="C2566" t="str">
        <f t="shared" si="143"/>
        <v>52</v>
      </c>
      <c r="D2566" t="str">
        <f>"43"</f>
        <v>43</v>
      </c>
      <c r="E2566" t="str">
        <f>"1-52-43"</f>
        <v>1-52-43</v>
      </c>
      <c r="F2566" t="s">
        <v>65</v>
      </c>
      <c r="G2566" t="s">
        <v>66</v>
      </c>
      <c r="H2566" t="s">
        <v>67</v>
      </c>
      <c r="S2566">
        <v>0</v>
      </c>
      <c r="T2566">
        <v>1</v>
      </c>
      <c r="U2566">
        <v>0</v>
      </c>
      <c r="V2566">
        <v>0</v>
      </c>
      <c r="W2566">
        <v>1</v>
      </c>
      <c r="X2566">
        <v>0</v>
      </c>
      <c r="Y2566">
        <v>1</v>
      </c>
      <c r="Z2566">
        <v>0</v>
      </c>
      <c r="AA2566">
        <v>0</v>
      </c>
      <c r="AB2566">
        <v>1</v>
      </c>
      <c r="AC2566">
        <v>0</v>
      </c>
      <c r="AD2566">
        <v>1</v>
      </c>
      <c r="AE2566">
        <v>1</v>
      </c>
      <c r="AF2566">
        <v>1</v>
      </c>
      <c r="AG2566">
        <v>1</v>
      </c>
      <c r="AH2566">
        <v>0</v>
      </c>
      <c r="AI2566">
        <v>1</v>
      </c>
      <c r="AJ2566">
        <v>1</v>
      </c>
      <c r="AK2566">
        <v>1</v>
      </c>
      <c r="AL2566">
        <v>1</v>
      </c>
      <c r="AM2566">
        <v>1</v>
      </c>
    </row>
    <row r="2567" spans="1:39" x14ac:dyDescent="0.2">
      <c r="A2567" t="str">
        <f>"2563"</f>
        <v>2563</v>
      </c>
      <c r="B2567" t="str">
        <f t="shared" si="142"/>
        <v>1</v>
      </c>
      <c r="C2567" t="str">
        <f t="shared" si="143"/>
        <v>52</v>
      </c>
      <c r="D2567" t="str">
        <f>"30"</f>
        <v>30</v>
      </c>
      <c r="E2567" t="str">
        <f>"1-52-30"</f>
        <v>1-52-30</v>
      </c>
      <c r="F2567" t="s">
        <v>65</v>
      </c>
      <c r="G2567" t="s">
        <v>66</v>
      </c>
      <c r="H2567" t="s">
        <v>67</v>
      </c>
      <c r="S2567">
        <v>1</v>
      </c>
      <c r="T2567">
        <v>0</v>
      </c>
      <c r="U2567">
        <v>0</v>
      </c>
      <c r="V2567">
        <v>0</v>
      </c>
      <c r="W2567">
        <v>0</v>
      </c>
      <c r="X2567">
        <v>1</v>
      </c>
      <c r="Y2567">
        <v>0</v>
      </c>
      <c r="Z2567">
        <v>1</v>
      </c>
      <c r="AA2567">
        <v>0</v>
      </c>
      <c r="AB2567">
        <v>1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1</v>
      </c>
    </row>
    <row r="2568" spans="1:39" x14ac:dyDescent="0.2">
      <c r="A2568" t="str">
        <f>"2564"</f>
        <v>2564</v>
      </c>
      <c r="B2568" t="str">
        <f t="shared" si="142"/>
        <v>1</v>
      </c>
      <c r="C2568" t="str">
        <f t="shared" si="143"/>
        <v>52</v>
      </c>
      <c r="D2568" t="str">
        <f>"17"</f>
        <v>17</v>
      </c>
      <c r="E2568" t="str">
        <f>"1-52-17"</f>
        <v>1-52-17</v>
      </c>
      <c r="F2568" t="s">
        <v>65</v>
      </c>
      <c r="G2568" t="s">
        <v>66</v>
      </c>
      <c r="H2568" t="s">
        <v>67</v>
      </c>
      <c r="S2568">
        <v>0</v>
      </c>
      <c r="T2568">
        <v>1</v>
      </c>
      <c r="U2568">
        <v>0</v>
      </c>
      <c r="V2568">
        <v>0</v>
      </c>
      <c r="W2568">
        <v>1</v>
      </c>
      <c r="X2568">
        <v>0</v>
      </c>
      <c r="Y2568">
        <v>1</v>
      </c>
      <c r="Z2568">
        <v>0</v>
      </c>
      <c r="AA2568">
        <v>0</v>
      </c>
      <c r="AB2568">
        <v>1</v>
      </c>
      <c r="AC2568">
        <v>0</v>
      </c>
      <c r="AD2568">
        <v>1</v>
      </c>
      <c r="AE2568">
        <v>1</v>
      </c>
      <c r="AF2568">
        <v>1</v>
      </c>
      <c r="AG2568">
        <v>1</v>
      </c>
      <c r="AH2568">
        <v>1</v>
      </c>
      <c r="AI2568">
        <v>1</v>
      </c>
      <c r="AJ2568">
        <v>1</v>
      </c>
      <c r="AK2568">
        <v>1</v>
      </c>
      <c r="AL2568">
        <v>1</v>
      </c>
      <c r="AM2568">
        <v>1</v>
      </c>
    </row>
    <row r="2569" spans="1:39" x14ac:dyDescent="0.2">
      <c r="A2569" t="str">
        <f>"2565"</f>
        <v>2565</v>
      </c>
      <c r="B2569" t="str">
        <f t="shared" si="142"/>
        <v>1</v>
      </c>
      <c r="C2569" t="str">
        <f t="shared" si="143"/>
        <v>52</v>
      </c>
      <c r="D2569" t="str">
        <f>"14"</f>
        <v>14</v>
      </c>
      <c r="E2569" t="str">
        <f>"1-52-14"</f>
        <v>1-52-14</v>
      </c>
      <c r="F2569" t="s">
        <v>65</v>
      </c>
      <c r="G2569" t="s">
        <v>66</v>
      </c>
      <c r="H2569" t="s">
        <v>67</v>
      </c>
      <c r="S2569">
        <v>1</v>
      </c>
      <c r="T2569">
        <v>0</v>
      </c>
      <c r="U2569">
        <v>0</v>
      </c>
      <c r="V2569">
        <v>0</v>
      </c>
      <c r="W2569">
        <v>0</v>
      </c>
      <c r="X2569">
        <v>1</v>
      </c>
      <c r="Y2569">
        <v>0</v>
      </c>
      <c r="Z2569">
        <v>1</v>
      </c>
      <c r="AA2569">
        <v>0</v>
      </c>
      <c r="AB2569">
        <v>0</v>
      </c>
      <c r="AC2569">
        <v>1</v>
      </c>
      <c r="AD2569">
        <v>0</v>
      </c>
      <c r="AE2569">
        <v>0</v>
      </c>
      <c r="AF2569">
        <v>0</v>
      </c>
      <c r="AG2569">
        <v>1</v>
      </c>
      <c r="AH2569">
        <v>0</v>
      </c>
      <c r="AI2569">
        <v>0</v>
      </c>
      <c r="AJ2569">
        <v>1</v>
      </c>
      <c r="AK2569">
        <v>0</v>
      </c>
      <c r="AL2569">
        <v>1</v>
      </c>
      <c r="AM2569">
        <v>0</v>
      </c>
    </row>
    <row r="2570" spans="1:39" x14ac:dyDescent="0.2">
      <c r="A2570" t="str">
        <f>"2566"</f>
        <v>2566</v>
      </c>
      <c r="B2570" t="str">
        <f t="shared" si="142"/>
        <v>1</v>
      </c>
      <c r="C2570" t="str">
        <f t="shared" si="143"/>
        <v>52</v>
      </c>
      <c r="D2570" t="str">
        <f>"42"</f>
        <v>42</v>
      </c>
      <c r="E2570" t="str">
        <f>"1-52-42"</f>
        <v>1-52-42</v>
      </c>
      <c r="F2570" t="s">
        <v>65</v>
      </c>
      <c r="G2570" t="s">
        <v>66</v>
      </c>
      <c r="H2570" t="s">
        <v>67</v>
      </c>
      <c r="S2570">
        <v>0</v>
      </c>
      <c r="T2570">
        <v>1</v>
      </c>
      <c r="U2570">
        <v>0</v>
      </c>
      <c r="V2570">
        <v>0</v>
      </c>
      <c r="W2570">
        <v>0</v>
      </c>
      <c r="X2570">
        <v>1</v>
      </c>
      <c r="Y2570">
        <v>1</v>
      </c>
      <c r="Z2570">
        <v>0</v>
      </c>
      <c r="AA2570">
        <v>0</v>
      </c>
      <c r="AB2570">
        <v>1</v>
      </c>
      <c r="AC2570">
        <v>0</v>
      </c>
      <c r="AD2570">
        <v>1</v>
      </c>
      <c r="AE2570">
        <v>1</v>
      </c>
      <c r="AF2570">
        <v>1</v>
      </c>
      <c r="AG2570">
        <v>1</v>
      </c>
      <c r="AH2570">
        <v>1</v>
      </c>
      <c r="AI2570">
        <v>1</v>
      </c>
      <c r="AJ2570">
        <v>1</v>
      </c>
      <c r="AK2570">
        <v>1</v>
      </c>
      <c r="AL2570">
        <v>1</v>
      </c>
      <c r="AM2570">
        <v>1</v>
      </c>
    </row>
    <row r="2571" spans="1:39" x14ac:dyDescent="0.2">
      <c r="A2571" t="str">
        <f>"2567"</f>
        <v>2567</v>
      </c>
      <c r="B2571" t="str">
        <f t="shared" si="142"/>
        <v>1</v>
      </c>
      <c r="C2571" t="str">
        <f t="shared" si="143"/>
        <v>52</v>
      </c>
      <c r="D2571" t="str">
        <f>"41"</f>
        <v>41</v>
      </c>
      <c r="E2571" t="str">
        <f>"1-52-41"</f>
        <v>1-52-41</v>
      </c>
      <c r="F2571" t="s">
        <v>65</v>
      </c>
      <c r="G2571" t="s">
        <v>66</v>
      </c>
      <c r="H2571" t="s">
        <v>67</v>
      </c>
      <c r="S2571">
        <v>1</v>
      </c>
      <c r="T2571">
        <v>0</v>
      </c>
      <c r="U2571">
        <v>0</v>
      </c>
      <c r="V2571">
        <v>0</v>
      </c>
      <c r="W2571">
        <v>1</v>
      </c>
      <c r="X2571">
        <v>0</v>
      </c>
      <c r="Y2571">
        <v>1</v>
      </c>
      <c r="Z2571">
        <v>0</v>
      </c>
      <c r="AA2571">
        <v>0</v>
      </c>
      <c r="AB2571">
        <v>0</v>
      </c>
      <c r="AC2571">
        <v>1</v>
      </c>
      <c r="AD2571">
        <v>1</v>
      </c>
      <c r="AE2571">
        <v>1</v>
      </c>
      <c r="AF2571">
        <v>1</v>
      </c>
      <c r="AG2571">
        <v>1</v>
      </c>
      <c r="AH2571">
        <v>1</v>
      </c>
      <c r="AI2571">
        <v>1</v>
      </c>
      <c r="AJ2571">
        <v>1</v>
      </c>
      <c r="AK2571">
        <v>1</v>
      </c>
      <c r="AL2571">
        <v>1</v>
      </c>
      <c r="AM2571">
        <v>1</v>
      </c>
    </row>
    <row r="2572" spans="1:39" x14ac:dyDescent="0.2">
      <c r="A2572" t="str">
        <f>"2568"</f>
        <v>2568</v>
      </c>
      <c r="B2572" t="str">
        <f t="shared" si="142"/>
        <v>1</v>
      </c>
      <c r="C2572" t="str">
        <f t="shared" si="143"/>
        <v>52</v>
      </c>
      <c r="D2572" t="str">
        <f>"29"</f>
        <v>29</v>
      </c>
      <c r="E2572" t="str">
        <f>"1-52-29"</f>
        <v>1-52-29</v>
      </c>
      <c r="F2572" t="s">
        <v>65</v>
      </c>
      <c r="G2572" t="s">
        <v>66</v>
      </c>
      <c r="H2572" t="s">
        <v>67</v>
      </c>
      <c r="S2572">
        <v>0</v>
      </c>
      <c r="T2572">
        <v>1</v>
      </c>
      <c r="U2572">
        <v>0</v>
      </c>
      <c r="V2572">
        <v>0</v>
      </c>
      <c r="W2572">
        <v>1</v>
      </c>
      <c r="X2572">
        <v>0</v>
      </c>
      <c r="Y2572">
        <v>0</v>
      </c>
      <c r="Z2572">
        <v>1</v>
      </c>
      <c r="AA2572">
        <v>0</v>
      </c>
      <c r="AB2572">
        <v>1</v>
      </c>
      <c r="AC2572">
        <v>0</v>
      </c>
      <c r="AD2572">
        <v>1</v>
      </c>
      <c r="AE2572">
        <v>1</v>
      </c>
      <c r="AF2572">
        <v>1</v>
      </c>
      <c r="AG2572">
        <v>1</v>
      </c>
      <c r="AH2572">
        <v>1</v>
      </c>
      <c r="AI2572">
        <v>1</v>
      </c>
      <c r="AJ2572">
        <v>1</v>
      </c>
      <c r="AK2572">
        <v>1</v>
      </c>
      <c r="AL2572">
        <v>1</v>
      </c>
      <c r="AM2572">
        <v>1</v>
      </c>
    </row>
    <row r="2573" spans="1:39" x14ac:dyDescent="0.2">
      <c r="A2573" t="str">
        <f>"2569"</f>
        <v>2569</v>
      </c>
      <c r="B2573" t="str">
        <f t="shared" si="142"/>
        <v>1</v>
      </c>
      <c r="C2573" t="str">
        <f t="shared" si="143"/>
        <v>52</v>
      </c>
      <c r="D2573" t="str">
        <f>"18"</f>
        <v>18</v>
      </c>
      <c r="E2573" t="str">
        <f>"1-52-18"</f>
        <v>1-52-18</v>
      </c>
      <c r="F2573" t="s">
        <v>65</v>
      </c>
      <c r="G2573" t="s">
        <v>66</v>
      </c>
      <c r="H2573" t="s">
        <v>67</v>
      </c>
      <c r="S2573">
        <v>1</v>
      </c>
      <c r="T2573">
        <v>0</v>
      </c>
      <c r="U2573">
        <v>0</v>
      </c>
      <c r="V2573">
        <v>0</v>
      </c>
      <c r="W2573">
        <v>1</v>
      </c>
      <c r="X2573">
        <v>0</v>
      </c>
      <c r="Y2573">
        <v>1</v>
      </c>
      <c r="Z2573">
        <v>0</v>
      </c>
      <c r="AA2573">
        <v>0</v>
      </c>
      <c r="AB2573">
        <v>1</v>
      </c>
      <c r="AC2573">
        <v>0</v>
      </c>
      <c r="AD2573">
        <v>1</v>
      </c>
      <c r="AE2573">
        <v>1</v>
      </c>
      <c r="AF2573">
        <v>1</v>
      </c>
      <c r="AG2573">
        <v>1</v>
      </c>
      <c r="AH2573">
        <v>1</v>
      </c>
      <c r="AI2573">
        <v>1</v>
      </c>
      <c r="AJ2573">
        <v>1</v>
      </c>
      <c r="AK2573">
        <v>1</v>
      </c>
      <c r="AL2573">
        <v>1</v>
      </c>
      <c r="AM2573">
        <v>1</v>
      </c>
    </row>
    <row r="2574" spans="1:39" x14ac:dyDescent="0.2">
      <c r="A2574" t="str">
        <f>"2570"</f>
        <v>2570</v>
      </c>
      <c r="B2574" t="str">
        <f t="shared" si="142"/>
        <v>1</v>
      </c>
      <c r="C2574" t="str">
        <f t="shared" si="143"/>
        <v>52</v>
      </c>
      <c r="D2574" t="str">
        <f>"9"</f>
        <v>9</v>
      </c>
      <c r="E2574" t="str">
        <f>"1-52-9"</f>
        <v>1-52-9</v>
      </c>
      <c r="F2574" t="s">
        <v>65</v>
      </c>
      <c r="G2574" t="s">
        <v>66</v>
      </c>
      <c r="H2574" t="s">
        <v>67</v>
      </c>
      <c r="S2574">
        <v>0</v>
      </c>
      <c r="T2574">
        <v>1</v>
      </c>
      <c r="U2574">
        <v>0</v>
      </c>
      <c r="V2574">
        <v>0</v>
      </c>
      <c r="W2574">
        <v>1</v>
      </c>
      <c r="X2574">
        <v>0</v>
      </c>
      <c r="Y2574">
        <v>0</v>
      </c>
      <c r="Z2574">
        <v>1</v>
      </c>
      <c r="AA2574">
        <v>0</v>
      </c>
      <c r="AB2574">
        <v>1</v>
      </c>
      <c r="AC2574">
        <v>0</v>
      </c>
      <c r="AD2574">
        <v>1</v>
      </c>
      <c r="AE2574">
        <v>1</v>
      </c>
      <c r="AF2574">
        <v>1</v>
      </c>
      <c r="AG2574">
        <v>1</v>
      </c>
      <c r="AH2574">
        <v>1</v>
      </c>
      <c r="AI2574">
        <v>1</v>
      </c>
      <c r="AJ2574">
        <v>1</v>
      </c>
      <c r="AK2574">
        <v>1</v>
      </c>
      <c r="AL2574">
        <v>1</v>
      </c>
      <c r="AM2574">
        <v>1</v>
      </c>
    </row>
    <row r="2575" spans="1:39" x14ac:dyDescent="0.2">
      <c r="A2575" t="str">
        <f>"2571"</f>
        <v>2571</v>
      </c>
      <c r="B2575" t="str">
        <f t="shared" si="142"/>
        <v>1</v>
      </c>
      <c r="C2575" t="str">
        <f t="shared" si="143"/>
        <v>52</v>
      </c>
      <c r="D2575" t="str">
        <f>"35"</f>
        <v>35</v>
      </c>
      <c r="E2575" t="str">
        <f>"1-52-35"</f>
        <v>1-52-35</v>
      </c>
      <c r="F2575" t="s">
        <v>65</v>
      </c>
      <c r="G2575" t="s">
        <v>66</v>
      </c>
      <c r="H2575" t="s">
        <v>67</v>
      </c>
      <c r="S2575">
        <v>1</v>
      </c>
      <c r="T2575">
        <v>0</v>
      </c>
      <c r="U2575">
        <v>0</v>
      </c>
      <c r="V2575">
        <v>0</v>
      </c>
      <c r="W2575">
        <v>1</v>
      </c>
      <c r="X2575">
        <v>0</v>
      </c>
      <c r="Y2575">
        <v>1</v>
      </c>
      <c r="Z2575">
        <v>0</v>
      </c>
      <c r="AA2575">
        <v>0</v>
      </c>
      <c r="AB2575">
        <v>1</v>
      </c>
      <c r="AC2575">
        <v>0</v>
      </c>
      <c r="AD2575">
        <v>1</v>
      </c>
      <c r="AE2575">
        <v>1</v>
      </c>
      <c r="AF2575">
        <v>1</v>
      </c>
      <c r="AG2575">
        <v>1</v>
      </c>
      <c r="AH2575">
        <v>1</v>
      </c>
      <c r="AI2575">
        <v>1</v>
      </c>
      <c r="AJ2575">
        <v>1</v>
      </c>
      <c r="AK2575">
        <v>1</v>
      </c>
      <c r="AL2575">
        <v>1</v>
      </c>
      <c r="AM2575">
        <v>1</v>
      </c>
    </row>
    <row r="2576" spans="1:39" x14ac:dyDescent="0.2">
      <c r="A2576" t="str">
        <f>"2572"</f>
        <v>2572</v>
      </c>
      <c r="B2576" t="str">
        <f t="shared" si="142"/>
        <v>1</v>
      </c>
      <c r="C2576" t="str">
        <f t="shared" si="143"/>
        <v>52</v>
      </c>
      <c r="D2576" t="str">
        <f>"19"</f>
        <v>19</v>
      </c>
      <c r="E2576" t="str">
        <f>"1-52-19"</f>
        <v>1-52-19</v>
      </c>
      <c r="F2576" t="s">
        <v>65</v>
      </c>
      <c r="G2576" t="s">
        <v>66</v>
      </c>
      <c r="H2576" t="s">
        <v>67</v>
      </c>
      <c r="S2576">
        <v>0</v>
      </c>
      <c r="T2576">
        <v>1</v>
      </c>
      <c r="U2576">
        <v>0</v>
      </c>
      <c r="V2576">
        <v>0</v>
      </c>
      <c r="W2576">
        <v>0</v>
      </c>
      <c r="X2576">
        <v>1</v>
      </c>
      <c r="Y2576">
        <v>0</v>
      </c>
      <c r="Z2576">
        <v>1</v>
      </c>
      <c r="AA2576">
        <v>0</v>
      </c>
      <c r="AB2576">
        <v>1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1</v>
      </c>
      <c r="AJ2576">
        <v>0</v>
      </c>
      <c r="AK2576">
        <v>0</v>
      </c>
      <c r="AL2576">
        <v>0</v>
      </c>
      <c r="AM2576">
        <v>0</v>
      </c>
    </row>
    <row r="2577" spans="1:39" x14ac:dyDescent="0.2">
      <c r="A2577" t="str">
        <f>"2573"</f>
        <v>2573</v>
      </c>
      <c r="B2577" t="str">
        <f t="shared" si="142"/>
        <v>1</v>
      </c>
      <c r="C2577" t="str">
        <f t="shared" si="143"/>
        <v>52</v>
      </c>
      <c r="D2577" t="str">
        <f>"7"</f>
        <v>7</v>
      </c>
      <c r="E2577" t="str">
        <f>"1-52-7"</f>
        <v>1-52-7</v>
      </c>
      <c r="F2577" t="s">
        <v>65</v>
      </c>
      <c r="G2577" t="s">
        <v>66</v>
      </c>
      <c r="H2577" t="s">
        <v>67</v>
      </c>
      <c r="S2577">
        <v>0</v>
      </c>
      <c r="T2577">
        <v>1</v>
      </c>
      <c r="U2577">
        <v>0</v>
      </c>
      <c r="V2577">
        <v>0</v>
      </c>
      <c r="W2577">
        <v>1</v>
      </c>
      <c r="X2577">
        <v>0</v>
      </c>
      <c r="Y2577">
        <v>1</v>
      </c>
      <c r="Z2577">
        <v>0</v>
      </c>
      <c r="AA2577">
        <v>0</v>
      </c>
      <c r="AB2577">
        <v>1</v>
      </c>
      <c r="AC2577">
        <v>0</v>
      </c>
      <c r="AD2577">
        <v>1</v>
      </c>
      <c r="AE2577">
        <v>1</v>
      </c>
      <c r="AF2577">
        <v>1</v>
      </c>
      <c r="AG2577">
        <v>1</v>
      </c>
      <c r="AH2577">
        <v>1</v>
      </c>
      <c r="AI2577">
        <v>1</v>
      </c>
      <c r="AJ2577">
        <v>1</v>
      </c>
      <c r="AK2577">
        <v>1</v>
      </c>
      <c r="AL2577">
        <v>0</v>
      </c>
      <c r="AM2577">
        <v>1</v>
      </c>
    </row>
    <row r="2578" spans="1:39" x14ac:dyDescent="0.2">
      <c r="A2578" t="str">
        <f>"2574"</f>
        <v>2574</v>
      </c>
      <c r="B2578" t="str">
        <f t="shared" si="142"/>
        <v>1</v>
      </c>
      <c r="C2578" t="str">
        <f t="shared" si="143"/>
        <v>52</v>
      </c>
      <c r="D2578" t="str">
        <f>"48"</f>
        <v>48</v>
      </c>
      <c r="E2578" t="str">
        <f>"1-52-48"</f>
        <v>1-52-48</v>
      </c>
      <c r="F2578" t="s">
        <v>65</v>
      </c>
      <c r="G2578" t="s">
        <v>66</v>
      </c>
      <c r="H2578" t="s">
        <v>67</v>
      </c>
      <c r="S2578">
        <v>1</v>
      </c>
      <c r="T2578">
        <v>0</v>
      </c>
      <c r="U2578">
        <v>0</v>
      </c>
      <c r="V2578">
        <v>0</v>
      </c>
      <c r="W2578">
        <v>1</v>
      </c>
      <c r="X2578">
        <v>0</v>
      </c>
      <c r="Y2578">
        <v>0</v>
      </c>
      <c r="Z2578">
        <v>1</v>
      </c>
      <c r="AA2578">
        <v>0</v>
      </c>
      <c r="AB2578">
        <v>0</v>
      </c>
      <c r="AC2578">
        <v>1</v>
      </c>
      <c r="AD2578">
        <v>1</v>
      </c>
      <c r="AE2578">
        <v>1</v>
      </c>
      <c r="AF2578">
        <v>1</v>
      </c>
      <c r="AG2578">
        <v>1</v>
      </c>
      <c r="AH2578">
        <v>1</v>
      </c>
      <c r="AI2578">
        <v>1</v>
      </c>
      <c r="AJ2578">
        <v>1</v>
      </c>
      <c r="AK2578">
        <v>1</v>
      </c>
      <c r="AL2578">
        <v>1</v>
      </c>
      <c r="AM2578">
        <v>1</v>
      </c>
    </row>
    <row r="2579" spans="1:39" x14ac:dyDescent="0.2">
      <c r="A2579" t="str">
        <f>"2575"</f>
        <v>2575</v>
      </c>
      <c r="B2579" t="str">
        <f t="shared" si="142"/>
        <v>1</v>
      </c>
      <c r="C2579" t="str">
        <f t="shared" si="143"/>
        <v>52</v>
      </c>
      <c r="D2579" t="str">
        <f>"47"</f>
        <v>47</v>
      </c>
      <c r="E2579" t="str">
        <f>"1-52-47"</f>
        <v>1-52-47</v>
      </c>
      <c r="F2579" t="s">
        <v>65</v>
      </c>
      <c r="G2579" t="s">
        <v>66</v>
      </c>
      <c r="H2579" t="s">
        <v>67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</row>
    <row r="2580" spans="1:39" x14ac:dyDescent="0.2">
      <c r="A2580" t="str">
        <f>"2576"</f>
        <v>2576</v>
      </c>
      <c r="B2580" t="str">
        <f t="shared" si="142"/>
        <v>1</v>
      </c>
      <c r="C2580" t="str">
        <f t="shared" si="143"/>
        <v>52</v>
      </c>
      <c r="D2580" t="str">
        <f>"33"</f>
        <v>33</v>
      </c>
      <c r="E2580" t="str">
        <f>"1-52-33"</f>
        <v>1-52-33</v>
      </c>
      <c r="F2580" t="s">
        <v>65</v>
      </c>
      <c r="G2580" t="s">
        <v>66</v>
      </c>
      <c r="H2580" t="s">
        <v>67</v>
      </c>
      <c r="S2580">
        <v>0</v>
      </c>
      <c r="T2580">
        <v>1</v>
      </c>
      <c r="U2580">
        <v>0</v>
      </c>
      <c r="V2580">
        <v>0</v>
      </c>
      <c r="W2580">
        <v>0</v>
      </c>
      <c r="X2580">
        <v>1</v>
      </c>
      <c r="Y2580">
        <v>0</v>
      </c>
      <c r="Z2580">
        <v>1</v>
      </c>
      <c r="AA2580">
        <v>0</v>
      </c>
      <c r="AB2580">
        <v>0</v>
      </c>
      <c r="AC2580">
        <v>1</v>
      </c>
      <c r="AD2580">
        <v>1</v>
      </c>
      <c r="AE2580">
        <v>1</v>
      </c>
      <c r="AF2580">
        <v>1</v>
      </c>
      <c r="AG2580">
        <v>1</v>
      </c>
      <c r="AH2580">
        <v>1</v>
      </c>
      <c r="AI2580">
        <v>1</v>
      </c>
      <c r="AJ2580">
        <v>1</v>
      </c>
      <c r="AK2580">
        <v>1</v>
      </c>
      <c r="AL2580">
        <v>1</v>
      </c>
      <c r="AM2580">
        <v>1</v>
      </c>
    </row>
    <row r="2581" spans="1:39" x14ac:dyDescent="0.2">
      <c r="A2581" t="str">
        <f>"2577"</f>
        <v>2577</v>
      </c>
      <c r="B2581" t="str">
        <f t="shared" si="142"/>
        <v>1</v>
      </c>
      <c r="C2581" t="str">
        <f t="shared" si="143"/>
        <v>52</v>
      </c>
      <c r="D2581" t="str">
        <f>"20"</f>
        <v>20</v>
      </c>
      <c r="E2581" t="str">
        <f>"1-52-20"</f>
        <v>1-52-20</v>
      </c>
      <c r="F2581" t="s">
        <v>65</v>
      </c>
      <c r="G2581" t="s">
        <v>66</v>
      </c>
      <c r="H2581" t="s">
        <v>67</v>
      </c>
      <c r="S2581">
        <v>0</v>
      </c>
      <c r="T2581">
        <v>1</v>
      </c>
      <c r="U2581">
        <v>0</v>
      </c>
      <c r="V2581">
        <v>0</v>
      </c>
      <c r="W2581">
        <v>0</v>
      </c>
      <c r="X2581">
        <v>1</v>
      </c>
      <c r="Y2581">
        <v>1</v>
      </c>
      <c r="Z2581">
        <v>0</v>
      </c>
      <c r="AA2581">
        <v>0</v>
      </c>
      <c r="AB2581">
        <v>1</v>
      </c>
      <c r="AC2581">
        <v>0</v>
      </c>
      <c r="AD2581">
        <v>1</v>
      </c>
      <c r="AE2581">
        <v>1</v>
      </c>
      <c r="AF2581">
        <v>1</v>
      </c>
      <c r="AG2581">
        <v>1</v>
      </c>
      <c r="AH2581">
        <v>1</v>
      </c>
      <c r="AI2581">
        <v>1</v>
      </c>
      <c r="AJ2581">
        <v>1</v>
      </c>
      <c r="AK2581">
        <v>1</v>
      </c>
      <c r="AL2581">
        <v>1</v>
      </c>
      <c r="AM2581">
        <v>1</v>
      </c>
    </row>
    <row r="2582" spans="1:39" x14ac:dyDescent="0.2">
      <c r="A2582" t="str">
        <f>"2578"</f>
        <v>2578</v>
      </c>
      <c r="B2582" t="str">
        <f t="shared" si="142"/>
        <v>1</v>
      </c>
      <c r="C2582" t="str">
        <f t="shared" si="143"/>
        <v>52</v>
      </c>
      <c r="D2582" t="str">
        <f>"3"</f>
        <v>3</v>
      </c>
      <c r="E2582" t="str">
        <f>"1-52-3"</f>
        <v>1-52-3</v>
      </c>
      <c r="F2582" t="s">
        <v>65</v>
      </c>
      <c r="G2582" t="s">
        <v>66</v>
      </c>
      <c r="H2582" t="s">
        <v>67</v>
      </c>
      <c r="S2582">
        <v>0</v>
      </c>
      <c r="T2582">
        <v>1</v>
      </c>
      <c r="U2582">
        <v>0</v>
      </c>
      <c r="V2582">
        <v>0</v>
      </c>
      <c r="W2582">
        <v>1</v>
      </c>
      <c r="X2582">
        <v>0</v>
      </c>
      <c r="Y2582">
        <v>0</v>
      </c>
      <c r="Z2582">
        <v>1</v>
      </c>
      <c r="AA2582">
        <v>0</v>
      </c>
      <c r="AB2582">
        <v>1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</row>
    <row r="2583" spans="1:39" x14ac:dyDescent="0.2">
      <c r="A2583" t="str">
        <f>"2579"</f>
        <v>2579</v>
      </c>
      <c r="B2583" t="str">
        <f t="shared" si="142"/>
        <v>1</v>
      </c>
      <c r="C2583" t="str">
        <f t="shared" si="143"/>
        <v>52</v>
      </c>
      <c r="D2583" t="str">
        <f>"36"</f>
        <v>36</v>
      </c>
      <c r="E2583" t="str">
        <f>"1-52-36"</f>
        <v>1-52-36</v>
      </c>
      <c r="F2583" t="s">
        <v>65</v>
      </c>
      <c r="G2583" t="s">
        <v>66</v>
      </c>
      <c r="H2583" t="s">
        <v>67</v>
      </c>
      <c r="S2583">
        <v>0</v>
      </c>
      <c r="T2583">
        <v>1</v>
      </c>
      <c r="U2583">
        <v>0</v>
      </c>
      <c r="V2583">
        <v>0</v>
      </c>
      <c r="W2583">
        <v>0</v>
      </c>
      <c r="X2583">
        <v>1</v>
      </c>
      <c r="Y2583">
        <v>0</v>
      </c>
      <c r="Z2583">
        <v>1</v>
      </c>
      <c r="AA2583">
        <v>0</v>
      </c>
      <c r="AB2583">
        <v>0</v>
      </c>
      <c r="AC2583">
        <v>1</v>
      </c>
      <c r="AD2583">
        <v>1</v>
      </c>
      <c r="AE2583">
        <v>1</v>
      </c>
      <c r="AF2583">
        <v>1</v>
      </c>
      <c r="AG2583">
        <v>1</v>
      </c>
      <c r="AH2583">
        <v>1</v>
      </c>
      <c r="AI2583">
        <v>1</v>
      </c>
      <c r="AJ2583">
        <v>1</v>
      </c>
      <c r="AK2583">
        <v>1</v>
      </c>
      <c r="AL2583">
        <v>1</v>
      </c>
      <c r="AM2583">
        <v>1</v>
      </c>
    </row>
    <row r="2584" spans="1:39" x14ac:dyDescent="0.2">
      <c r="A2584" t="str">
        <f>"2580"</f>
        <v>2580</v>
      </c>
      <c r="B2584" t="str">
        <f t="shared" si="142"/>
        <v>1</v>
      </c>
      <c r="C2584" t="str">
        <f t="shared" si="143"/>
        <v>52</v>
      </c>
      <c r="D2584" t="str">
        <f>"21"</f>
        <v>21</v>
      </c>
      <c r="E2584" t="str">
        <f>"1-52-21"</f>
        <v>1-52-21</v>
      </c>
      <c r="F2584" t="s">
        <v>65</v>
      </c>
      <c r="G2584" t="s">
        <v>66</v>
      </c>
      <c r="H2584" t="s">
        <v>67</v>
      </c>
      <c r="S2584">
        <v>0</v>
      </c>
      <c r="T2584">
        <v>1</v>
      </c>
      <c r="U2584">
        <v>0</v>
      </c>
      <c r="V2584">
        <v>0</v>
      </c>
      <c r="W2584">
        <v>1</v>
      </c>
      <c r="X2584">
        <v>0</v>
      </c>
      <c r="Y2584">
        <v>1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1</v>
      </c>
      <c r="AF2584">
        <v>1</v>
      </c>
      <c r="AG2584">
        <v>1</v>
      </c>
      <c r="AH2584">
        <v>1</v>
      </c>
      <c r="AI2584">
        <v>1</v>
      </c>
      <c r="AJ2584">
        <v>1</v>
      </c>
      <c r="AK2584">
        <v>1</v>
      </c>
      <c r="AL2584">
        <v>1</v>
      </c>
      <c r="AM2584">
        <v>1</v>
      </c>
    </row>
    <row r="2585" spans="1:39" x14ac:dyDescent="0.2">
      <c r="A2585" t="str">
        <f>"2581"</f>
        <v>2581</v>
      </c>
      <c r="B2585" t="str">
        <f t="shared" si="142"/>
        <v>1</v>
      </c>
      <c r="C2585" t="str">
        <f t="shared" si="143"/>
        <v>52</v>
      </c>
      <c r="D2585" t="str">
        <f>"10"</f>
        <v>10</v>
      </c>
      <c r="E2585" t="str">
        <f>"1-52-10"</f>
        <v>1-52-10</v>
      </c>
      <c r="F2585" t="s">
        <v>65</v>
      </c>
      <c r="G2585" t="s">
        <v>66</v>
      </c>
      <c r="H2585" t="s">
        <v>67</v>
      </c>
      <c r="S2585">
        <v>0</v>
      </c>
      <c r="T2585">
        <v>1</v>
      </c>
      <c r="U2585">
        <v>0</v>
      </c>
      <c r="V2585">
        <v>0</v>
      </c>
      <c r="W2585">
        <v>1</v>
      </c>
      <c r="X2585">
        <v>0</v>
      </c>
      <c r="Y2585">
        <v>1</v>
      </c>
      <c r="Z2585">
        <v>0</v>
      </c>
      <c r="AA2585">
        <v>0</v>
      </c>
      <c r="AB2585">
        <v>1</v>
      </c>
      <c r="AC2585">
        <v>0</v>
      </c>
      <c r="AD2585">
        <v>1</v>
      </c>
      <c r="AE2585">
        <v>1</v>
      </c>
      <c r="AF2585">
        <v>1</v>
      </c>
      <c r="AG2585">
        <v>1</v>
      </c>
      <c r="AH2585">
        <v>1</v>
      </c>
      <c r="AI2585">
        <v>1</v>
      </c>
      <c r="AJ2585">
        <v>1</v>
      </c>
      <c r="AK2585">
        <v>1</v>
      </c>
      <c r="AL2585">
        <v>1</v>
      </c>
      <c r="AM2585">
        <v>1</v>
      </c>
    </row>
    <row r="2586" spans="1:39" x14ac:dyDescent="0.2">
      <c r="A2586" t="str">
        <f>"2582"</f>
        <v>2582</v>
      </c>
      <c r="B2586" t="str">
        <f t="shared" si="142"/>
        <v>1</v>
      </c>
      <c r="C2586" t="str">
        <f t="shared" si="143"/>
        <v>52</v>
      </c>
      <c r="D2586" t="str">
        <f>"46"</f>
        <v>46</v>
      </c>
      <c r="E2586" t="str">
        <f>"1-52-46"</f>
        <v>1-52-46</v>
      </c>
      <c r="F2586" t="s">
        <v>65</v>
      </c>
      <c r="G2586" t="s">
        <v>66</v>
      </c>
      <c r="H2586" t="s">
        <v>67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1</v>
      </c>
      <c r="Y2586">
        <v>0</v>
      </c>
      <c r="Z2586">
        <v>1</v>
      </c>
      <c r="AA2586">
        <v>0</v>
      </c>
      <c r="AB2586">
        <v>0</v>
      </c>
      <c r="AC2586">
        <v>1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1</v>
      </c>
      <c r="AK2586">
        <v>0</v>
      </c>
      <c r="AL2586">
        <v>1</v>
      </c>
      <c r="AM2586">
        <v>0</v>
      </c>
    </row>
    <row r="2587" spans="1:39" x14ac:dyDescent="0.2">
      <c r="A2587" t="str">
        <f>"2583"</f>
        <v>2583</v>
      </c>
      <c r="B2587" t="str">
        <f t="shared" si="142"/>
        <v>1</v>
      </c>
      <c r="C2587" t="str">
        <f t="shared" ref="C2587:C2604" si="144">"52"</f>
        <v>52</v>
      </c>
      <c r="D2587" t="str">
        <f>"45"</f>
        <v>45</v>
      </c>
      <c r="E2587" t="str">
        <f>"1-52-45"</f>
        <v>1-52-45</v>
      </c>
      <c r="F2587" t="s">
        <v>65</v>
      </c>
      <c r="G2587" t="s">
        <v>66</v>
      </c>
      <c r="H2587" t="s">
        <v>67</v>
      </c>
      <c r="S2587">
        <v>1</v>
      </c>
      <c r="T2587">
        <v>0</v>
      </c>
      <c r="U2587">
        <v>0</v>
      </c>
      <c r="V2587">
        <v>0</v>
      </c>
      <c r="W2587">
        <v>0</v>
      </c>
      <c r="X2587">
        <v>1</v>
      </c>
      <c r="Y2587">
        <v>0</v>
      </c>
      <c r="Z2587">
        <v>1</v>
      </c>
      <c r="AA2587">
        <v>0</v>
      </c>
      <c r="AB2587">
        <v>0</v>
      </c>
      <c r="AC2587">
        <v>1</v>
      </c>
      <c r="AD2587">
        <v>1</v>
      </c>
      <c r="AE2587">
        <v>1</v>
      </c>
      <c r="AF2587">
        <v>1</v>
      </c>
      <c r="AG2587">
        <v>1</v>
      </c>
      <c r="AH2587">
        <v>1</v>
      </c>
      <c r="AI2587">
        <v>1</v>
      </c>
      <c r="AJ2587">
        <v>1</v>
      </c>
      <c r="AK2587">
        <v>1</v>
      </c>
      <c r="AL2587">
        <v>1</v>
      </c>
      <c r="AM2587">
        <v>1</v>
      </c>
    </row>
    <row r="2588" spans="1:39" x14ac:dyDescent="0.2">
      <c r="A2588" t="str">
        <f>"2584"</f>
        <v>2584</v>
      </c>
      <c r="B2588" t="str">
        <f t="shared" si="142"/>
        <v>1</v>
      </c>
      <c r="C2588" t="str">
        <f t="shared" si="144"/>
        <v>52</v>
      </c>
      <c r="D2588" t="str">
        <f>"34"</f>
        <v>34</v>
      </c>
      <c r="E2588" t="str">
        <f>"1-52-34"</f>
        <v>1-52-34</v>
      </c>
      <c r="F2588" t="s">
        <v>65</v>
      </c>
      <c r="G2588" t="s">
        <v>66</v>
      </c>
      <c r="H2588" t="s">
        <v>67</v>
      </c>
      <c r="S2588">
        <v>0</v>
      </c>
      <c r="T2588">
        <v>1</v>
      </c>
      <c r="U2588">
        <v>0</v>
      </c>
      <c r="V2588">
        <v>0</v>
      </c>
      <c r="W2588">
        <v>0</v>
      </c>
      <c r="X2588">
        <v>1</v>
      </c>
      <c r="Y2588">
        <v>0</v>
      </c>
      <c r="Z2588">
        <v>1</v>
      </c>
      <c r="AA2588">
        <v>0</v>
      </c>
      <c r="AB2588">
        <v>0</v>
      </c>
      <c r="AC2588">
        <v>1</v>
      </c>
      <c r="AD2588">
        <v>1</v>
      </c>
      <c r="AE2588">
        <v>1</v>
      </c>
      <c r="AF2588">
        <v>1</v>
      </c>
      <c r="AG2588">
        <v>1</v>
      </c>
      <c r="AH2588">
        <v>1</v>
      </c>
      <c r="AI2588">
        <v>1</v>
      </c>
      <c r="AJ2588">
        <v>1</v>
      </c>
      <c r="AK2588">
        <v>1</v>
      </c>
      <c r="AL2588">
        <v>1</v>
      </c>
      <c r="AM2588">
        <v>1</v>
      </c>
    </row>
    <row r="2589" spans="1:39" x14ac:dyDescent="0.2">
      <c r="A2589" t="str">
        <f>"2585"</f>
        <v>2585</v>
      </c>
      <c r="B2589" t="str">
        <f t="shared" si="142"/>
        <v>1</v>
      </c>
      <c r="C2589" t="str">
        <f t="shared" si="144"/>
        <v>52</v>
      </c>
      <c r="D2589" t="str">
        <f>"22"</f>
        <v>22</v>
      </c>
      <c r="E2589" t="str">
        <f>"1-52-22"</f>
        <v>1-52-22</v>
      </c>
      <c r="F2589" t="s">
        <v>65</v>
      </c>
      <c r="G2589" t="s">
        <v>66</v>
      </c>
      <c r="H2589" t="s">
        <v>67</v>
      </c>
      <c r="S2589">
        <v>0</v>
      </c>
      <c r="T2589">
        <v>0</v>
      </c>
      <c r="U2589">
        <v>0</v>
      </c>
      <c r="V2589">
        <v>0</v>
      </c>
      <c r="W2589">
        <v>1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1</v>
      </c>
      <c r="AI2589">
        <v>1</v>
      </c>
      <c r="AJ2589">
        <v>1</v>
      </c>
      <c r="AK2589">
        <v>1</v>
      </c>
      <c r="AL2589">
        <v>0</v>
      </c>
      <c r="AM2589">
        <v>0</v>
      </c>
    </row>
    <row r="2590" spans="1:39" x14ac:dyDescent="0.2">
      <c r="A2590" t="str">
        <f>"2586"</f>
        <v>2586</v>
      </c>
      <c r="B2590" t="str">
        <f t="shared" si="142"/>
        <v>1</v>
      </c>
      <c r="C2590" t="str">
        <f t="shared" si="144"/>
        <v>52</v>
      </c>
      <c r="D2590" t="str">
        <f>"6"</f>
        <v>6</v>
      </c>
      <c r="E2590" t="str">
        <f>"1-52-6"</f>
        <v>1-52-6</v>
      </c>
      <c r="F2590" t="s">
        <v>65</v>
      </c>
      <c r="G2590" t="s">
        <v>66</v>
      </c>
      <c r="H2590" t="s">
        <v>67</v>
      </c>
      <c r="S2590">
        <v>0</v>
      </c>
      <c r="T2590">
        <v>1</v>
      </c>
      <c r="U2590">
        <v>0</v>
      </c>
      <c r="V2590">
        <v>0</v>
      </c>
      <c r="W2590">
        <v>1</v>
      </c>
      <c r="X2590">
        <v>0</v>
      </c>
      <c r="Y2590">
        <v>1</v>
      </c>
      <c r="Z2590">
        <v>0</v>
      </c>
      <c r="AA2590">
        <v>0</v>
      </c>
      <c r="AB2590">
        <v>1</v>
      </c>
      <c r="AC2590">
        <v>0</v>
      </c>
      <c r="AD2590">
        <v>1</v>
      </c>
      <c r="AE2590">
        <v>1</v>
      </c>
      <c r="AF2590">
        <v>1</v>
      </c>
      <c r="AG2590">
        <v>1</v>
      </c>
      <c r="AH2590">
        <v>1</v>
      </c>
      <c r="AI2590">
        <v>1</v>
      </c>
      <c r="AJ2590">
        <v>1</v>
      </c>
      <c r="AK2590">
        <v>1</v>
      </c>
      <c r="AL2590">
        <v>0</v>
      </c>
      <c r="AM2590">
        <v>1</v>
      </c>
    </row>
    <row r="2591" spans="1:39" x14ac:dyDescent="0.2">
      <c r="A2591" t="str">
        <f>"2587"</f>
        <v>2587</v>
      </c>
      <c r="B2591" t="str">
        <f t="shared" si="142"/>
        <v>1</v>
      </c>
      <c r="C2591" t="str">
        <f t="shared" si="144"/>
        <v>52</v>
      </c>
      <c r="D2591" t="str">
        <f>"23"</f>
        <v>23</v>
      </c>
      <c r="E2591" t="str">
        <f>"1-52-23"</f>
        <v>1-52-23</v>
      </c>
      <c r="F2591" t="s">
        <v>65</v>
      </c>
      <c r="G2591" t="s">
        <v>66</v>
      </c>
      <c r="H2591" t="s">
        <v>67</v>
      </c>
      <c r="S2591">
        <v>0</v>
      </c>
      <c r="T2591">
        <v>0</v>
      </c>
      <c r="U2591">
        <v>0</v>
      </c>
      <c r="V2591">
        <v>0</v>
      </c>
      <c r="W2591">
        <v>1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1</v>
      </c>
      <c r="AE2591">
        <v>1</v>
      </c>
      <c r="AF2591">
        <v>1</v>
      </c>
      <c r="AG2591">
        <v>1</v>
      </c>
      <c r="AH2591">
        <v>1</v>
      </c>
      <c r="AI2591">
        <v>1</v>
      </c>
      <c r="AJ2591">
        <v>1</v>
      </c>
      <c r="AK2591">
        <v>1</v>
      </c>
      <c r="AL2591">
        <v>1</v>
      </c>
      <c r="AM2591">
        <v>1</v>
      </c>
    </row>
    <row r="2592" spans="1:39" x14ac:dyDescent="0.2">
      <c r="A2592" t="str">
        <f>"2588"</f>
        <v>2588</v>
      </c>
      <c r="B2592" t="str">
        <f t="shared" si="142"/>
        <v>1</v>
      </c>
      <c r="C2592" t="str">
        <f t="shared" si="144"/>
        <v>52</v>
      </c>
      <c r="D2592" t="str">
        <f>"11"</f>
        <v>11</v>
      </c>
      <c r="E2592" t="str">
        <f>"1-52-11"</f>
        <v>1-52-11</v>
      </c>
      <c r="F2592" t="s">
        <v>65</v>
      </c>
      <c r="G2592" t="s">
        <v>66</v>
      </c>
      <c r="H2592" t="s">
        <v>67</v>
      </c>
      <c r="S2592">
        <v>0</v>
      </c>
      <c r="T2592">
        <v>1</v>
      </c>
      <c r="U2592">
        <v>0</v>
      </c>
      <c r="V2592">
        <v>0</v>
      </c>
      <c r="W2592">
        <v>1</v>
      </c>
      <c r="X2592">
        <v>0</v>
      </c>
      <c r="Y2592">
        <v>0</v>
      </c>
      <c r="Z2592">
        <v>1</v>
      </c>
      <c r="AA2592">
        <v>1</v>
      </c>
      <c r="AB2592">
        <v>0</v>
      </c>
      <c r="AC2592">
        <v>0</v>
      </c>
      <c r="AD2592">
        <v>1</v>
      </c>
      <c r="AE2592">
        <v>1</v>
      </c>
      <c r="AF2592">
        <v>1</v>
      </c>
      <c r="AG2592">
        <v>1</v>
      </c>
      <c r="AH2592">
        <v>1</v>
      </c>
      <c r="AI2592">
        <v>1</v>
      </c>
      <c r="AJ2592">
        <v>1</v>
      </c>
      <c r="AK2592">
        <v>1</v>
      </c>
      <c r="AL2592">
        <v>1</v>
      </c>
      <c r="AM2592">
        <v>0</v>
      </c>
    </row>
    <row r="2593" spans="1:39" x14ac:dyDescent="0.2">
      <c r="A2593" t="str">
        <f>"2589"</f>
        <v>2589</v>
      </c>
      <c r="B2593" t="str">
        <f t="shared" si="142"/>
        <v>1</v>
      </c>
      <c r="C2593" t="str">
        <f t="shared" si="144"/>
        <v>52</v>
      </c>
      <c r="D2593" t="str">
        <f>"24"</f>
        <v>24</v>
      </c>
      <c r="E2593" t="str">
        <f>"1-52-24"</f>
        <v>1-52-24</v>
      </c>
      <c r="F2593" t="s">
        <v>65</v>
      </c>
      <c r="G2593" t="s">
        <v>66</v>
      </c>
      <c r="H2593" t="s">
        <v>67</v>
      </c>
      <c r="S2593">
        <v>0</v>
      </c>
      <c r="T2593">
        <v>1</v>
      </c>
      <c r="U2593">
        <v>0</v>
      </c>
      <c r="V2593">
        <v>0</v>
      </c>
      <c r="W2593">
        <v>1</v>
      </c>
      <c r="X2593">
        <v>0</v>
      </c>
      <c r="Y2593">
        <v>1</v>
      </c>
      <c r="Z2593">
        <v>0</v>
      </c>
      <c r="AA2593">
        <v>0</v>
      </c>
      <c r="AB2593">
        <v>1</v>
      </c>
      <c r="AC2593">
        <v>0</v>
      </c>
      <c r="AD2593">
        <v>1</v>
      </c>
      <c r="AE2593">
        <v>1</v>
      </c>
      <c r="AF2593">
        <v>1</v>
      </c>
      <c r="AG2593">
        <v>1</v>
      </c>
      <c r="AH2593">
        <v>1</v>
      </c>
      <c r="AI2593">
        <v>1</v>
      </c>
      <c r="AJ2593">
        <v>1</v>
      </c>
      <c r="AK2593">
        <v>1</v>
      </c>
      <c r="AL2593">
        <v>1</v>
      </c>
      <c r="AM2593">
        <v>1</v>
      </c>
    </row>
    <row r="2594" spans="1:39" x14ac:dyDescent="0.2">
      <c r="A2594" t="str">
        <f>"2590"</f>
        <v>2590</v>
      </c>
      <c r="B2594" t="str">
        <f t="shared" si="142"/>
        <v>1</v>
      </c>
      <c r="C2594" t="str">
        <f t="shared" si="144"/>
        <v>52</v>
      </c>
      <c r="D2594" t="str">
        <f>"13"</f>
        <v>13</v>
      </c>
      <c r="E2594" t="str">
        <f>"1-52-13"</f>
        <v>1-52-13</v>
      </c>
      <c r="F2594" t="s">
        <v>65</v>
      </c>
      <c r="G2594" t="s">
        <v>66</v>
      </c>
      <c r="H2594" t="s">
        <v>67</v>
      </c>
      <c r="S2594">
        <v>0</v>
      </c>
      <c r="T2594">
        <v>1</v>
      </c>
      <c r="U2594">
        <v>0</v>
      </c>
      <c r="V2594">
        <v>0</v>
      </c>
      <c r="W2594">
        <v>1</v>
      </c>
      <c r="X2594">
        <v>0</v>
      </c>
      <c r="Y2594">
        <v>0</v>
      </c>
      <c r="Z2594">
        <v>1</v>
      </c>
      <c r="AA2594">
        <v>0</v>
      </c>
      <c r="AB2594">
        <v>0</v>
      </c>
      <c r="AC2594">
        <v>1</v>
      </c>
      <c r="AD2594">
        <v>1</v>
      </c>
      <c r="AE2594">
        <v>1</v>
      </c>
      <c r="AF2594">
        <v>1</v>
      </c>
      <c r="AG2594">
        <v>1</v>
      </c>
      <c r="AH2594">
        <v>1</v>
      </c>
      <c r="AI2594">
        <v>1</v>
      </c>
      <c r="AJ2594">
        <v>1</v>
      </c>
      <c r="AK2594">
        <v>1</v>
      </c>
      <c r="AL2594">
        <v>1</v>
      </c>
      <c r="AM2594">
        <v>1</v>
      </c>
    </row>
    <row r="2595" spans="1:39" x14ac:dyDescent="0.2">
      <c r="A2595" t="str">
        <f>"2591"</f>
        <v>2591</v>
      </c>
      <c r="B2595" t="str">
        <f t="shared" si="142"/>
        <v>1</v>
      </c>
      <c r="C2595" t="str">
        <f t="shared" si="144"/>
        <v>52</v>
      </c>
      <c r="D2595" t="str">
        <f>"25"</f>
        <v>25</v>
      </c>
      <c r="E2595" t="str">
        <f>"1-52-25"</f>
        <v>1-52-25</v>
      </c>
      <c r="F2595" t="s">
        <v>65</v>
      </c>
      <c r="G2595" t="s">
        <v>66</v>
      </c>
      <c r="H2595" t="s">
        <v>67</v>
      </c>
      <c r="S2595">
        <v>0</v>
      </c>
      <c r="T2595">
        <v>1</v>
      </c>
      <c r="U2595">
        <v>0</v>
      </c>
      <c r="V2595">
        <v>0</v>
      </c>
      <c r="W2595">
        <v>1</v>
      </c>
      <c r="X2595">
        <v>0</v>
      </c>
      <c r="Y2595">
        <v>0</v>
      </c>
      <c r="Z2595">
        <v>1</v>
      </c>
      <c r="AA2595">
        <v>1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1</v>
      </c>
      <c r="AH2595">
        <v>0</v>
      </c>
      <c r="AI2595">
        <v>1</v>
      </c>
      <c r="AJ2595">
        <v>1</v>
      </c>
      <c r="AK2595">
        <v>1</v>
      </c>
      <c r="AL2595">
        <v>0</v>
      </c>
      <c r="AM2595">
        <v>1</v>
      </c>
    </row>
    <row r="2596" spans="1:39" x14ac:dyDescent="0.2">
      <c r="A2596" t="str">
        <f>"2592"</f>
        <v>2592</v>
      </c>
      <c r="B2596" t="str">
        <f t="shared" si="142"/>
        <v>1</v>
      </c>
      <c r="C2596" t="str">
        <f t="shared" si="144"/>
        <v>52</v>
      </c>
      <c r="D2596" t="str">
        <f>"4"</f>
        <v>4</v>
      </c>
      <c r="E2596" t="str">
        <f>"1-52-4"</f>
        <v>1-52-4</v>
      </c>
      <c r="F2596" t="s">
        <v>65</v>
      </c>
      <c r="G2596" t="s">
        <v>66</v>
      </c>
      <c r="H2596" t="s">
        <v>67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1</v>
      </c>
      <c r="Y2596">
        <v>0</v>
      </c>
      <c r="Z2596">
        <v>1</v>
      </c>
      <c r="AA2596">
        <v>0</v>
      </c>
      <c r="AB2596">
        <v>1</v>
      </c>
      <c r="AC2596">
        <v>0</v>
      </c>
      <c r="AD2596">
        <v>1</v>
      </c>
      <c r="AE2596">
        <v>1</v>
      </c>
      <c r="AF2596">
        <v>1</v>
      </c>
      <c r="AG2596">
        <v>1</v>
      </c>
      <c r="AH2596">
        <v>1</v>
      </c>
      <c r="AI2596">
        <v>1</v>
      </c>
      <c r="AJ2596">
        <v>1</v>
      </c>
      <c r="AK2596">
        <v>1</v>
      </c>
      <c r="AL2596">
        <v>1</v>
      </c>
      <c r="AM2596">
        <v>1</v>
      </c>
    </row>
    <row r="2597" spans="1:39" x14ac:dyDescent="0.2">
      <c r="A2597" t="str">
        <f>"2593"</f>
        <v>2593</v>
      </c>
      <c r="B2597" t="str">
        <f t="shared" si="142"/>
        <v>1</v>
      </c>
      <c r="C2597" t="str">
        <f t="shared" si="144"/>
        <v>52</v>
      </c>
      <c r="D2597" t="str">
        <f>"28"</f>
        <v>28</v>
      </c>
      <c r="E2597" t="str">
        <f>"1-52-28"</f>
        <v>1-52-28</v>
      </c>
      <c r="F2597" t="s">
        <v>65</v>
      </c>
      <c r="G2597" t="s">
        <v>66</v>
      </c>
      <c r="H2597" t="s">
        <v>67</v>
      </c>
      <c r="S2597">
        <v>0</v>
      </c>
      <c r="T2597">
        <v>1</v>
      </c>
      <c r="U2597">
        <v>0</v>
      </c>
      <c r="V2597">
        <v>0</v>
      </c>
      <c r="W2597">
        <v>0</v>
      </c>
      <c r="X2597">
        <v>1</v>
      </c>
      <c r="Y2597">
        <v>0</v>
      </c>
      <c r="Z2597">
        <v>1</v>
      </c>
      <c r="AA2597">
        <v>0</v>
      </c>
      <c r="AB2597">
        <v>1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</row>
    <row r="2598" spans="1:39" x14ac:dyDescent="0.2">
      <c r="A2598" t="str">
        <f>"2594"</f>
        <v>2594</v>
      </c>
      <c r="B2598" t="str">
        <f t="shared" si="142"/>
        <v>1</v>
      </c>
      <c r="C2598" t="str">
        <f t="shared" si="144"/>
        <v>52</v>
      </c>
      <c r="D2598" t="str">
        <f>"2"</f>
        <v>2</v>
      </c>
      <c r="E2598" t="str">
        <f>"1-52-2"</f>
        <v>1-52-2</v>
      </c>
      <c r="F2598" t="s">
        <v>65</v>
      </c>
      <c r="G2598" t="s">
        <v>66</v>
      </c>
      <c r="H2598" t="s">
        <v>67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0</v>
      </c>
      <c r="AB2598">
        <v>0</v>
      </c>
      <c r="AC2598">
        <v>1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</row>
    <row r="2599" spans="1:39" x14ac:dyDescent="0.2">
      <c r="A2599" t="str">
        <f>"2595"</f>
        <v>2595</v>
      </c>
      <c r="B2599" t="str">
        <f t="shared" si="142"/>
        <v>1</v>
      </c>
      <c r="C2599" t="str">
        <f t="shared" si="144"/>
        <v>52</v>
      </c>
      <c r="D2599" t="str">
        <f>"31"</f>
        <v>31</v>
      </c>
      <c r="E2599" t="str">
        <f>"1-52-31"</f>
        <v>1-52-31</v>
      </c>
      <c r="F2599" t="s">
        <v>65</v>
      </c>
      <c r="G2599" t="s">
        <v>66</v>
      </c>
      <c r="H2599" t="s">
        <v>67</v>
      </c>
      <c r="S2599">
        <v>0</v>
      </c>
      <c r="T2599">
        <v>1</v>
      </c>
      <c r="U2599">
        <v>0</v>
      </c>
      <c r="V2599">
        <v>0</v>
      </c>
      <c r="W2599">
        <v>0</v>
      </c>
      <c r="X2599">
        <v>1</v>
      </c>
      <c r="Y2599">
        <v>1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1</v>
      </c>
      <c r="AF2599">
        <v>1</v>
      </c>
      <c r="AG2599">
        <v>1</v>
      </c>
      <c r="AH2599">
        <v>1</v>
      </c>
      <c r="AI2599">
        <v>1</v>
      </c>
      <c r="AJ2599">
        <v>1</v>
      </c>
      <c r="AK2599">
        <v>1</v>
      </c>
      <c r="AL2599">
        <v>1</v>
      </c>
      <c r="AM2599">
        <v>1</v>
      </c>
    </row>
    <row r="2600" spans="1:39" x14ac:dyDescent="0.2">
      <c r="A2600" t="str">
        <f>"2596"</f>
        <v>2596</v>
      </c>
      <c r="B2600" t="str">
        <f t="shared" si="142"/>
        <v>1</v>
      </c>
      <c r="C2600" t="str">
        <f t="shared" si="144"/>
        <v>52</v>
      </c>
      <c r="D2600" t="str">
        <f>"5"</f>
        <v>5</v>
      </c>
      <c r="E2600" t="str">
        <f>"1-52-5"</f>
        <v>1-52-5</v>
      </c>
      <c r="F2600" t="s">
        <v>65</v>
      </c>
      <c r="G2600" t="s">
        <v>66</v>
      </c>
      <c r="H2600" t="s">
        <v>67</v>
      </c>
      <c r="S2600">
        <v>1</v>
      </c>
      <c r="T2600">
        <v>0</v>
      </c>
      <c r="U2600">
        <v>0</v>
      </c>
      <c r="V2600">
        <v>0</v>
      </c>
      <c r="W2600">
        <v>1</v>
      </c>
      <c r="X2600">
        <v>0</v>
      </c>
      <c r="Y2600">
        <v>1</v>
      </c>
      <c r="Z2600">
        <v>0</v>
      </c>
      <c r="AA2600">
        <v>1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1</v>
      </c>
      <c r="AH2600">
        <v>1</v>
      </c>
      <c r="AI2600">
        <v>1</v>
      </c>
      <c r="AJ2600">
        <v>1</v>
      </c>
      <c r="AK2600">
        <v>1</v>
      </c>
      <c r="AL2600">
        <v>1</v>
      </c>
      <c r="AM2600">
        <v>1</v>
      </c>
    </row>
    <row r="2601" spans="1:39" x14ac:dyDescent="0.2">
      <c r="A2601" t="str">
        <f>"2597"</f>
        <v>2597</v>
      </c>
      <c r="B2601" t="str">
        <f t="shared" si="142"/>
        <v>1</v>
      </c>
      <c r="C2601" t="str">
        <f t="shared" si="144"/>
        <v>52</v>
      </c>
      <c r="D2601" t="str">
        <f>"32"</f>
        <v>32</v>
      </c>
      <c r="E2601" t="str">
        <f>"1-52-32"</f>
        <v>1-52-32</v>
      </c>
      <c r="F2601" t="s">
        <v>65</v>
      </c>
      <c r="G2601" t="s">
        <v>66</v>
      </c>
      <c r="H2601" t="s">
        <v>67</v>
      </c>
      <c r="S2601">
        <v>1</v>
      </c>
      <c r="T2601">
        <v>0</v>
      </c>
      <c r="U2601">
        <v>0</v>
      </c>
      <c r="V2601">
        <v>0</v>
      </c>
      <c r="W2601">
        <v>1</v>
      </c>
      <c r="X2601">
        <v>0</v>
      </c>
      <c r="Y2601">
        <v>1</v>
      </c>
      <c r="Z2601">
        <v>0</v>
      </c>
      <c r="AA2601">
        <v>1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</row>
    <row r="2602" spans="1:39" x14ac:dyDescent="0.2">
      <c r="A2602" t="str">
        <f>"2598"</f>
        <v>2598</v>
      </c>
      <c r="B2602" t="str">
        <f t="shared" si="142"/>
        <v>1</v>
      </c>
      <c r="C2602" t="str">
        <f t="shared" si="144"/>
        <v>52</v>
      </c>
      <c r="D2602" t="str">
        <f>"12"</f>
        <v>12</v>
      </c>
      <c r="E2602" t="str">
        <f>"1-52-12"</f>
        <v>1-52-12</v>
      </c>
      <c r="F2602" t="s">
        <v>65</v>
      </c>
      <c r="G2602" t="s">
        <v>66</v>
      </c>
      <c r="H2602" t="s">
        <v>67</v>
      </c>
      <c r="S2602">
        <v>0</v>
      </c>
      <c r="T2602">
        <v>1</v>
      </c>
      <c r="U2602">
        <v>0</v>
      </c>
      <c r="V2602">
        <v>0</v>
      </c>
      <c r="W2602">
        <v>1</v>
      </c>
      <c r="X2602">
        <v>0</v>
      </c>
      <c r="Y2602">
        <v>0</v>
      </c>
      <c r="Z2602">
        <v>1</v>
      </c>
      <c r="AA2602">
        <v>0</v>
      </c>
      <c r="AB2602">
        <v>0</v>
      </c>
      <c r="AC2602">
        <v>1</v>
      </c>
      <c r="AD2602">
        <v>1</v>
      </c>
      <c r="AE2602">
        <v>1</v>
      </c>
      <c r="AF2602">
        <v>1</v>
      </c>
      <c r="AG2602">
        <v>1</v>
      </c>
      <c r="AH2602">
        <v>1</v>
      </c>
      <c r="AI2602">
        <v>1</v>
      </c>
      <c r="AJ2602">
        <v>1</v>
      </c>
      <c r="AK2602">
        <v>1</v>
      </c>
      <c r="AL2602">
        <v>1</v>
      </c>
      <c r="AM2602">
        <v>1</v>
      </c>
    </row>
    <row r="2603" spans="1:39" x14ac:dyDescent="0.2">
      <c r="A2603" t="str">
        <f>"2599"</f>
        <v>2599</v>
      </c>
      <c r="B2603" t="str">
        <f t="shared" si="142"/>
        <v>1</v>
      </c>
      <c r="C2603" t="str">
        <f t="shared" si="144"/>
        <v>52</v>
      </c>
      <c r="D2603" t="str">
        <f>"50"</f>
        <v>50</v>
      </c>
      <c r="E2603" t="str">
        <f>"1-52-50"</f>
        <v>1-52-50</v>
      </c>
      <c r="F2603" t="s">
        <v>65</v>
      </c>
      <c r="G2603" t="s">
        <v>66</v>
      </c>
      <c r="H2603" t="s">
        <v>67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1</v>
      </c>
      <c r="Y2603">
        <v>0</v>
      </c>
      <c r="Z2603">
        <v>1</v>
      </c>
      <c r="AA2603">
        <v>0</v>
      </c>
      <c r="AB2603">
        <v>0</v>
      </c>
      <c r="AC2603">
        <v>1</v>
      </c>
      <c r="AD2603">
        <v>1</v>
      </c>
      <c r="AE2603">
        <v>1</v>
      </c>
      <c r="AF2603">
        <v>1</v>
      </c>
      <c r="AG2603">
        <v>1</v>
      </c>
      <c r="AH2603">
        <v>1</v>
      </c>
      <c r="AI2603">
        <v>1</v>
      </c>
      <c r="AJ2603">
        <v>1</v>
      </c>
      <c r="AK2603">
        <v>1</v>
      </c>
      <c r="AL2603">
        <v>1</v>
      </c>
      <c r="AM2603">
        <v>0</v>
      </c>
    </row>
    <row r="2604" spans="1:39" x14ac:dyDescent="0.2">
      <c r="A2604" t="str">
        <f>"2600"</f>
        <v>2600</v>
      </c>
      <c r="B2604" t="str">
        <f t="shared" si="142"/>
        <v>1</v>
      </c>
      <c r="C2604" t="str">
        <f t="shared" si="144"/>
        <v>52</v>
      </c>
      <c r="D2604" t="str">
        <f>"49"</f>
        <v>49</v>
      </c>
      <c r="E2604" t="str">
        <f>"1-52-49"</f>
        <v>1-52-49</v>
      </c>
      <c r="F2604" t="s">
        <v>65</v>
      </c>
      <c r="G2604" t="s">
        <v>66</v>
      </c>
      <c r="H2604" t="s">
        <v>67</v>
      </c>
      <c r="S2604">
        <v>0</v>
      </c>
      <c r="T2604">
        <v>1</v>
      </c>
      <c r="U2604">
        <v>0</v>
      </c>
      <c r="V2604">
        <v>0</v>
      </c>
      <c r="W2604">
        <v>0</v>
      </c>
      <c r="X2604">
        <v>1</v>
      </c>
      <c r="Y2604">
        <v>0</v>
      </c>
      <c r="Z2604">
        <v>1</v>
      </c>
      <c r="AA2604">
        <v>0</v>
      </c>
      <c r="AB2604">
        <v>0</v>
      </c>
      <c r="AC2604">
        <v>1</v>
      </c>
      <c r="AD2604">
        <v>1</v>
      </c>
      <c r="AE2604">
        <v>1</v>
      </c>
      <c r="AF2604">
        <v>1</v>
      </c>
      <c r="AG2604">
        <v>1</v>
      </c>
      <c r="AH2604">
        <v>1</v>
      </c>
      <c r="AI2604">
        <v>1</v>
      </c>
      <c r="AJ2604">
        <v>1</v>
      </c>
      <c r="AK2604">
        <v>1</v>
      </c>
      <c r="AL2604">
        <v>1</v>
      </c>
      <c r="AM2604">
        <v>1</v>
      </c>
    </row>
    <row r="2605" spans="1:39" x14ac:dyDescent="0.2">
      <c r="A2605" t="str">
        <f>"2601"</f>
        <v>2601</v>
      </c>
      <c r="B2605" t="str">
        <f t="shared" si="142"/>
        <v>1</v>
      </c>
      <c r="C2605" t="str">
        <f t="shared" ref="C2605:C2636" si="145">"53"</f>
        <v>53</v>
      </c>
      <c r="D2605" t="str">
        <f>"37"</f>
        <v>37</v>
      </c>
      <c r="E2605" t="str">
        <f>"1-53-37"</f>
        <v>1-53-37</v>
      </c>
      <c r="F2605" t="s">
        <v>65</v>
      </c>
      <c r="G2605" t="s">
        <v>66</v>
      </c>
      <c r="H2605" t="s">
        <v>67</v>
      </c>
      <c r="S2605">
        <v>0</v>
      </c>
      <c r="T2605">
        <v>1</v>
      </c>
      <c r="U2605">
        <v>0</v>
      </c>
      <c r="V2605">
        <v>0</v>
      </c>
      <c r="W2605">
        <v>0</v>
      </c>
      <c r="X2605">
        <v>1</v>
      </c>
      <c r="Y2605">
        <v>0</v>
      </c>
      <c r="Z2605">
        <v>1</v>
      </c>
      <c r="AA2605">
        <v>0</v>
      </c>
      <c r="AB2605">
        <v>0</v>
      </c>
      <c r="AC2605">
        <v>1</v>
      </c>
      <c r="AD2605">
        <v>1</v>
      </c>
      <c r="AE2605">
        <v>1</v>
      </c>
      <c r="AF2605">
        <v>1</v>
      </c>
      <c r="AG2605">
        <v>1</v>
      </c>
      <c r="AH2605">
        <v>1</v>
      </c>
      <c r="AI2605">
        <v>1</v>
      </c>
      <c r="AJ2605">
        <v>1</v>
      </c>
      <c r="AK2605">
        <v>1</v>
      </c>
      <c r="AL2605">
        <v>1</v>
      </c>
      <c r="AM2605">
        <v>1</v>
      </c>
    </row>
    <row r="2606" spans="1:39" x14ac:dyDescent="0.2">
      <c r="A2606" t="str">
        <f>"2602"</f>
        <v>2602</v>
      </c>
      <c r="B2606" t="str">
        <f t="shared" si="142"/>
        <v>1</v>
      </c>
      <c r="C2606" t="str">
        <f t="shared" si="145"/>
        <v>53</v>
      </c>
      <c r="D2606" t="str">
        <f>"36"</f>
        <v>36</v>
      </c>
      <c r="E2606" t="str">
        <f>"1-53-36"</f>
        <v>1-53-36</v>
      </c>
      <c r="F2606" t="s">
        <v>65</v>
      </c>
      <c r="G2606" t="s">
        <v>66</v>
      </c>
      <c r="H2606" t="s">
        <v>67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0</v>
      </c>
      <c r="AB2606">
        <v>1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</row>
    <row r="2607" spans="1:39" x14ac:dyDescent="0.2">
      <c r="A2607" t="str">
        <f>"2603"</f>
        <v>2603</v>
      </c>
      <c r="B2607" t="str">
        <f t="shared" si="142"/>
        <v>1</v>
      </c>
      <c r="C2607" t="str">
        <f t="shared" si="145"/>
        <v>53</v>
      </c>
      <c r="D2607" t="str">
        <f>"24"</f>
        <v>24</v>
      </c>
      <c r="E2607" t="str">
        <f>"1-53-24"</f>
        <v>1-53-24</v>
      </c>
      <c r="F2607" t="s">
        <v>65</v>
      </c>
      <c r="G2607" t="s">
        <v>66</v>
      </c>
      <c r="H2607" t="s">
        <v>67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1</v>
      </c>
      <c r="Y2607">
        <v>1</v>
      </c>
      <c r="Z2607">
        <v>0</v>
      </c>
      <c r="AA2607">
        <v>0</v>
      </c>
      <c r="AB2607">
        <v>1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1</v>
      </c>
      <c r="AJ2607">
        <v>0</v>
      </c>
      <c r="AK2607">
        <v>0</v>
      </c>
      <c r="AL2607">
        <v>0</v>
      </c>
      <c r="AM2607">
        <v>0</v>
      </c>
    </row>
    <row r="2608" spans="1:39" x14ac:dyDescent="0.2">
      <c r="A2608" t="str">
        <f>"2604"</f>
        <v>2604</v>
      </c>
      <c r="B2608" t="str">
        <f t="shared" si="142"/>
        <v>1</v>
      </c>
      <c r="C2608" t="str">
        <f t="shared" si="145"/>
        <v>53</v>
      </c>
      <c r="D2608" t="str">
        <f>"15"</f>
        <v>15</v>
      </c>
      <c r="E2608" t="str">
        <f>"1-53-15"</f>
        <v>1-53-15</v>
      </c>
      <c r="F2608" t="s">
        <v>65</v>
      </c>
      <c r="G2608" t="s">
        <v>66</v>
      </c>
      <c r="H2608" t="s">
        <v>67</v>
      </c>
      <c r="S2608">
        <v>0</v>
      </c>
      <c r="T2608">
        <v>1</v>
      </c>
      <c r="U2608">
        <v>0</v>
      </c>
      <c r="V2608">
        <v>0</v>
      </c>
      <c r="W2608">
        <v>0</v>
      </c>
      <c r="X2608">
        <v>1</v>
      </c>
      <c r="Y2608">
        <v>1</v>
      </c>
      <c r="Z2608">
        <v>0</v>
      </c>
      <c r="AA2608">
        <v>0</v>
      </c>
      <c r="AB2608">
        <v>0</v>
      </c>
      <c r="AC2608">
        <v>1</v>
      </c>
      <c r="AD2608">
        <v>1</v>
      </c>
      <c r="AE2608">
        <v>1</v>
      </c>
      <c r="AF2608">
        <v>1</v>
      </c>
      <c r="AG2608">
        <v>1</v>
      </c>
      <c r="AH2608">
        <v>1</v>
      </c>
      <c r="AI2608">
        <v>1</v>
      </c>
      <c r="AJ2608">
        <v>1</v>
      </c>
      <c r="AK2608">
        <v>1</v>
      </c>
      <c r="AL2608">
        <v>1</v>
      </c>
      <c r="AM2608">
        <v>1</v>
      </c>
    </row>
    <row r="2609" spans="1:39" x14ac:dyDescent="0.2">
      <c r="A2609" t="str">
        <f>"2605"</f>
        <v>2605</v>
      </c>
      <c r="B2609" t="str">
        <f t="shared" si="142"/>
        <v>1</v>
      </c>
      <c r="C2609" t="str">
        <f t="shared" si="145"/>
        <v>53</v>
      </c>
      <c r="D2609" t="str">
        <f>"7"</f>
        <v>7</v>
      </c>
      <c r="E2609" t="str">
        <f>"1-53-7"</f>
        <v>1-53-7</v>
      </c>
      <c r="F2609" t="s">
        <v>65</v>
      </c>
      <c r="G2609" t="s">
        <v>66</v>
      </c>
      <c r="H2609" t="s">
        <v>67</v>
      </c>
      <c r="S2609">
        <v>0</v>
      </c>
      <c r="T2609">
        <v>1</v>
      </c>
      <c r="U2609">
        <v>0</v>
      </c>
      <c r="V2609">
        <v>0</v>
      </c>
      <c r="W2609">
        <v>1</v>
      </c>
      <c r="X2609">
        <v>0</v>
      </c>
      <c r="Y2609">
        <v>0</v>
      </c>
      <c r="Z2609">
        <v>1</v>
      </c>
      <c r="AA2609">
        <v>0</v>
      </c>
      <c r="AB2609">
        <v>0</v>
      </c>
      <c r="AC2609">
        <v>1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</row>
    <row r="2610" spans="1:39" x14ac:dyDescent="0.2">
      <c r="A2610" t="str">
        <f>"2606"</f>
        <v>2606</v>
      </c>
      <c r="B2610" t="str">
        <f t="shared" si="142"/>
        <v>1</v>
      </c>
      <c r="C2610" t="str">
        <f t="shared" si="145"/>
        <v>53</v>
      </c>
      <c r="D2610" t="str">
        <f>"43"</f>
        <v>43</v>
      </c>
      <c r="E2610" t="str">
        <f>"1-53-43"</f>
        <v>1-53-43</v>
      </c>
      <c r="F2610" t="s">
        <v>65</v>
      </c>
      <c r="G2610" t="s">
        <v>66</v>
      </c>
      <c r="H2610" t="s">
        <v>67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1</v>
      </c>
      <c r="AJ2610">
        <v>1</v>
      </c>
      <c r="AK2610">
        <v>0</v>
      </c>
      <c r="AL2610">
        <v>0</v>
      </c>
      <c r="AM2610">
        <v>1</v>
      </c>
    </row>
    <row r="2611" spans="1:39" x14ac:dyDescent="0.2">
      <c r="A2611" t="str">
        <f>"2607"</f>
        <v>2607</v>
      </c>
      <c r="B2611" t="str">
        <f t="shared" si="142"/>
        <v>1</v>
      </c>
      <c r="C2611" t="str">
        <f t="shared" si="145"/>
        <v>53</v>
      </c>
      <c r="D2611" t="str">
        <f>"42"</f>
        <v>42</v>
      </c>
      <c r="E2611" t="str">
        <f>"1-53-42"</f>
        <v>1-53-42</v>
      </c>
      <c r="F2611" t="s">
        <v>65</v>
      </c>
      <c r="G2611" t="s">
        <v>66</v>
      </c>
      <c r="H2611" t="s">
        <v>67</v>
      </c>
      <c r="S2611">
        <v>0</v>
      </c>
      <c r="T2611">
        <v>1</v>
      </c>
      <c r="U2611">
        <v>0</v>
      </c>
      <c r="V2611">
        <v>0</v>
      </c>
      <c r="W2611">
        <v>1</v>
      </c>
      <c r="X2611">
        <v>0</v>
      </c>
      <c r="Y2611">
        <v>1</v>
      </c>
      <c r="Z2611">
        <v>0</v>
      </c>
      <c r="AA2611">
        <v>0</v>
      </c>
      <c r="AB2611">
        <v>0</v>
      </c>
      <c r="AC2611">
        <v>1</v>
      </c>
      <c r="AD2611">
        <v>1</v>
      </c>
      <c r="AE2611">
        <v>1</v>
      </c>
      <c r="AF2611">
        <v>1</v>
      </c>
      <c r="AG2611">
        <v>1</v>
      </c>
      <c r="AH2611">
        <v>1</v>
      </c>
      <c r="AI2611">
        <v>1</v>
      </c>
      <c r="AJ2611">
        <v>1</v>
      </c>
      <c r="AK2611">
        <v>1</v>
      </c>
      <c r="AL2611">
        <v>1</v>
      </c>
      <c r="AM2611">
        <v>1</v>
      </c>
    </row>
    <row r="2612" spans="1:39" x14ac:dyDescent="0.2">
      <c r="A2612" t="str">
        <f>"2608"</f>
        <v>2608</v>
      </c>
      <c r="B2612" t="str">
        <f t="shared" si="142"/>
        <v>1</v>
      </c>
      <c r="C2612" t="str">
        <f t="shared" si="145"/>
        <v>53</v>
      </c>
      <c r="D2612" t="str">
        <f>"31"</f>
        <v>31</v>
      </c>
      <c r="E2612" t="str">
        <f>"1-53-31"</f>
        <v>1-53-31</v>
      </c>
      <c r="F2612" t="s">
        <v>65</v>
      </c>
      <c r="G2612" t="s">
        <v>66</v>
      </c>
      <c r="H2612" t="s">
        <v>67</v>
      </c>
      <c r="S2612">
        <v>1</v>
      </c>
      <c r="T2612">
        <v>0</v>
      </c>
      <c r="U2612">
        <v>0</v>
      </c>
      <c r="V2612">
        <v>0</v>
      </c>
      <c r="W2612">
        <v>1</v>
      </c>
      <c r="X2612">
        <v>0</v>
      </c>
      <c r="Y2612">
        <v>1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1</v>
      </c>
      <c r="AF2612">
        <v>1</v>
      </c>
      <c r="AG2612">
        <v>1</v>
      </c>
      <c r="AH2612">
        <v>1</v>
      </c>
      <c r="AI2612">
        <v>1</v>
      </c>
      <c r="AJ2612">
        <v>1</v>
      </c>
      <c r="AK2612">
        <v>1</v>
      </c>
      <c r="AL2612">
        <v>1</v>
      </c>
      <c r="AM2612">
        <v>1</v>
      </c>
    </row>
    <row r="2613" spans="1:39" x14ac:dyDescent="0.2">
      <c r="A2613" t="str">
        <f>"2609"</f>
        <v>2609</v>
      </c>
      <c r="B2613" t="str">
        <f t="shared" si="142"/>
        <v>1</v>
      </c>
      <c r="C2613" t="str">
        <f t="shared" si="145"/>
        <v>53</v>
      </c>
      <c r="D2613" t="str">
        <f>"16"</f>
        <v>16</v>
      </c>
      <c r="E2613" t="str">
        <f>"1-53-16"</f>
        <v>1-53-16</v>
      </c>
      <c r="F2613" t="s">
        <v>65</v>
      </c>
      <c r="G2613" t="s">
        <v>66</v>
      </c>
      <c r="H2613" t="s">
        <v>67</v>
      </c>
      <c r="S2613">
        <v>0</v>
      </c>
      <c r="T2613">
        <v>1</v>
      </c>
      <c r="U2613">
        <v>0</v>
      </c>
      <c r="V2613">
        <v>0</v>
      </c>
      <c r="W2613">
        <v>0</v>
      </c>
      <c r="X2613">
        <v>1</v>
      </c>
      <c r="Y2613">
        <v>0</v>
      </c>
      <c r="Z2613">
        <v>1</v>
      </c>
      <c r="AA2613">
        <v>0</v>
      </c>
      <c r="AB2613">
        <v>0</v>
      </c>
      <c r="AC2613">
        <v>1</v>
      </c>
      <c r="AD2613">
        <v>1</v>
      </c>
      <c r="AE2613">
        <v>1</v>
      </c>
      <c r="AF2613">
        <v>1</v>
      </c>
      <c r="AG2613">
        <v>1</v>
      </c>
      <c r="AH2613">
        <v>1</v>
      </c>
      <c r="AI2613">
        <v>1</v>
      </c>
      <c r="AJ2613">
        <v>1</v>
      </c>
      <c r="AK2613">
        <v>1</v>
      </c>
      <c r="AL2613">
        <v>1</v>
      </c>
      <c r="AM2613">
        <v>1</v>
      </c>
    </row>
    <row r="2614" spans="1:39" x14ac:dyDescent="0.2">
      <c r="A2614" t="str">
        <f>"2610"</f>
        <v>2610</v>
      </c>
      <c r="B2614" t="str">
        <f t="shared" si="142"/>
        <v>1</v>
      </c>
      <c r="C2614" t="str">
        <f t="shared" si="145"/>
        <v>53</v>
      </c>
      <c r="D2614" t="str">
        <f>"3"</f>
        <v>3</v>
      </c>
      <c r="E2614" t="str">
        <f>"1-53-3"</f>
        <v>1-53-3</v>
      </c>
      <c r="F2614" t="s">
        <v>65</v>
      </c>
      <c r="G2614" t="s">
        <v>66</v>
      </c>
      <c r="H2614" t="s">
        <v>67</v>
      </c>
      <c r="S2614">
        <v>1</v>
      </c>
      <c r="T2614">
        <v>0</v>
      </c>
      <c r="U2614">
        <v>0</v>
      </c>
      <c r="V2614">
        <v>0</v>
      </c>
      <c r="W2614">
        <v>1</v>
      </c>
      <c r="X2614">
        <v>0</v>
      </c>
      <c r="Y2614">
        <v>1</v>
      </c>
      <c r="Z2614">
        <v>0</v>
      </c>
      <c r="AA2614">
        <v>0</v>
      </c>
      <c r="AB2614">
        <v>0</v>
      </c>
      <c r="AC2614">
        <v>1</v>
      </c>
      <c r="AD2614">
        <v>1</v>
      </c>
      <c r="AE2614">
        <v>1</v>
      </c>
      <c r="AF2614">
        <v>1</v>
      </c>
      <c r="AG2614">
        <v>1</v>
      </c>
      <c r="AH2614">
        <v>1</v>
      </c>
      <c r="AI2614">
        <v>1</v>
      </c>
      <c r="AJ2614">
        <v>1</v>
      </c>
      <c r="AK2614">
        <v>1</v>
      </c>
      <c r="AL2614">
        <v>1</v>
      </c>
      <c r="AM2614">
        <v>1</v>
      </c>
    </row>
    <row r="2615" spans="1:39" x14ac:dyDescent="0.2">
      <c r="A2615" t="str">
        <f>"2611"</f>
        <v>2611</v>
      </c>
      <c r="B2615" t="str">
        <f t="shared" ref="B2615:B2678" si="146">"1"</f>
        <v>1</v>
      </c>
      <c r="C2615" t="str">
        <f t="shared" si="145"/>
        <v>53</v>
      </c>
      <c r="D2615" t="str">
        <f>"40"</f>
        <v>40</v>
      </c>
      <c r="E2615" t="str">
        <f>"1-53-40"</f>
        <v>1-53-40</v>
      </c>
      <c r="F2615" t="s">
        <v>65</v>
      </c>
      <c r="G2615" t="s">
        <v>66</v>
      </c>
      <c r="H2615" t="s">
        <v>67</v>
      </c>
      <c r="S2615">
        <v>0</v>
      </c>
      <c r="T2615">
        <v>0</v>
      </c>
      <c r="U2615">
        <v>0</v>
      </c>
      <c r="V2615">
        <v>0</v>
      </c>
      <c r="W2615">
        <v>1</v>
      </c>
      <c r="X2615">
        <v>0</v>
      </c>
      <c r="Y2615">
        <v>0</v>
      </c>
      <c r="Z2615">
        <v>1</v>
      </c>
      <c r="AA2615">
        <v>1</v>
      </c>
      <c r="AB2615">
        <v>0</v>
      </c>
      <c r="AC2615">
        <v>0</v>
      </c>
      <c r="AD2615">
        <v>0</v>
      </c>
      <c r="AE2615">
        <v>1</v>
      </c>
      <c r="AF2615">
        <v>1</v>
      </c>
      <c r="AG2615">
        <v>1</v>
      </c>
      <c r="AH2615">
        <v>1</v>
      </c>
      <c r="AI2615">
        <v>1</v>
      </c>
      <c r="AJ2615">
        <v>1</v>
      </c>
      <c r="AK2615">
        <v>1</v>
      </c>
      <c r="AL2615">
        <v>1</v>
      </c>
      <c r="AM2615">
        <v>0</v>
      </c>
    </row>
    <row r="2616" spans="1:39" x14ac:dyDescent="0.2">
      <c r="A2616" t="str">
        <f>"2612"</f>
        <v>2612</v>
      </c>
      <c r="B2616" t="str">
        <f t="shared" si="146"/>
        <v>1</v>
      </c>
      <c r="C2616" t="str">
        <f t="shared" si="145"/>
        <v>53</v>
      </c>
      <c r="D2616" t="str">
        <f>"39"</f>
        <v>39</v>
      </c>
      <c r="E2616" t="str">
        <f>"1-53-39"</f>
        <v>1-53-39</v>
      </c>
      <c r="F2616" t="s">
        <v>65</v>
      </c>
      <c r="G2616" t="s">
        <v>66</v>
      </c>
      <c r="H2616" t="s">
        <v>67</v>
      </c>
      <c r="S2616">
        <v>1</v>
      </c>
      <c r="T2616">
        <v>0</v>
      </c>
      <c r="U2616">
        <v>0</v>
      </c>
      <c r="V2616">
        <v>0</v>
      </c>
      <c r="W2616">
        <v>1</v>
      </c>
      <c r="X2616">
        <v>0</v>
      </c>
      <c r="Y2616">
        <v>0</v>
      </c>
      <c r="Z2616">
        <v>1</v>
      </c>
      <c r="AA2616">
        <v>1</v>
      </c>
      <c r="AB2616">
        <v>0</v>
      </c>
      <c r="AC2616">
        <v>0</v>
      </c>
      <c r="AD2616">
        <v>1</v>
      </c>
      <c r="AE2616">
        <v>1</v>
      </c>
      <c r="AF2616">
        <v>1</v>
      </c>
      <c r="AG2616">
        <v>1</v>
      </c>
      <c r="AH2616">
        <v>1</v>
      </c>
      <c r="AI2616">
        <v>1</v>
      </c>
      <c r="AJ2616">
        <v>1</v>
      </c>
      <c r="AK2616">
        <v>1</v>
      </c>
      <c r="AL2616">
        <v>1</v>
      </c>
      <c r="AM2616">
        <v>1</v>
      </c>
    </row>
    <row r="2617" spans="1:39" x14ac:dyDescent="0.2">
      <c r="A2617" t="str">
        <f>"2613"</f>
        <v>2613</v>
      </c>
      <c r="B2617" t="str">
        <f t="shared" si="146"/>
        <v>1</v>
      </c>
      <c r="C2617" t="str">
        <f t="shared" si="145"/>
        <v>53</v>
      </c>
      <c r="D2617" t="str">
        <f>"30"</f>
        <v>30</v>
      </c>
      <c r="E2617" t="str">
        <f>"1-53-30"</f>
        <v>1-53-30</v>
      </c>
      <c r="F2617" t="s">
        <v>65</v>
      </c>
      <c r="G2617" t="s">
        <v>66</v>
      </c>
      <c r="H2617" t="s">
        <v>67</v>
      </c>
      <c r="S2617">
        <v>0</v>
      </c>
      <c r="T2617">
        <v>1</v>
      </c>
      <c r="U2617">
        <v>0</v>
      </c>
      <c r="V2617">
        <v>0</v>
      </c>
      <c r="W2617">
        <v>1</v>
      </c>
      <c r="X2617">
        <v>0</v>
      </c>
      <c r="Y2617">
        <v>1</v>
      </c>
      <c r="Z2617">
        <v>0</v>
      </c>
      <c r="AA2617">
        <v>0</v>
      </c>
      <c r="AB2617">
        <v>0</v>
      </c>
      <c r="AC2617">
        <v>1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1</v>
      </c>
      <c r="AM2617">
        <v>0</v>
      </c>
    </row>
    <row r="2618" spans="1:39" x14ac:dyDescent="0.2">
      <c r="A2618" t="str">
        <f>"2614"</f>
        <v>2614</v>
      </c>
      <c r="B2618" t="str">
        <f t="shared" si="146"/>
        <v>1</v>
      </c>
      <c r="C2618" t="str">
        <f t="shared" si="145"/>
        <v>53</v>
      </c>
      <c r="D2618" t="str">
        <f>"17"</f>
        <v>17</v>
      </c>
      <c r="E2618" t="str">
        <f>"1-53-17"</f>
        <v>1-53-17</v>
      </c>
      <c r="F2618" t="s">
        <v>65</v>
      </c>
      <c r="G2618" t="s">
        <v>66</v>
      </c>
      <c r="H2618" t="s">
        <v>67</v>
      </c>
      <c r="S2618">
        <v>0</v>
      </c>
      <c r="T2618">
        <v>1</v>
      </c>
      <c r="U2618">
        <v>0</v>
      </c>
      <c r="V2618">
        <v>0</v>
      </c>
      <c r="W2618">
        <v>1</v>
      </c>
      <c r="X2618">
        <v>0</v>
      </c>
      <c r="Y2618">
        <v>0</v>
      </c>
      <c r="Z2618">
        <v>1</v>
      </c>
      <c r="AA2618">
        <v>0</v>
      </c>
      <c r="AB2618">
        <v>0</v>
      </c>
      <c r="AC2618">
        <v>1</v>
      </c>
      <c r="AD2618">
        <v>1</v>
      </c>
      <c r="AE2618">
        <v>1</v>
      </c>
      <c r="AF2618">
        <v>1</v>
      </c>
      <c r="AG2618">
        <v>1</v>
      </c>
      <c r="AH2618">
        <v>1</v>
      </c>
      <c r="AI2618">
        <v>1</v>
      </c>
      <c r="AJ2618">
        <v>1</v>
      </c>
      <c r="AK2618">
        <v>1</v>
      </c>
      <c r="AL2618">
        <v>1</v>
      </c>
      <c r="AM2618">
        <v>1</v>
      </c>
    </row>
    <row r="2619" spans="1:39" x14ac:dyDescent="0.2">
      <c r="A2619" t="str">
        <f>"2615"</f>
        <v>2615</v>
      </c>
      <c r="B2619" t="str">
        <f t="shared" si="146"/>
        <v>1</v>
      </c>
      <c r="C2619" t="str">
        <f t="shared" si="145"/>
        <v>53</v>
      </c>
      <c r="D2619" t="str">
        <f>"9"</f>
        <v>9</v>
      </c>
      <c r="E2619" t="str">
        <f>"1-53-9"</f>
        <v>1-53-9</v>
      </c>
      <c r="F2619" t="s">
        <v>65</v>
      </c>
      <c r="G2619" t="s">
        <v>66</v>
      </c>
      <c r="H2619" t="s">
        <v>67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</row>
    <row r="2620" spans="1:39" x14ac:dyDescent="0.2">
      <c r="A2620" t="str">
        <f>"2616"</f>
        <v>2616</v>
      </c>
      <c r="B2620" t="str">
        <f t="shared" si="146"/>
        <v>1</v>
      </c>
      <c r="C2620" t="str">
        <f t="shared" si="145"/>
        <v>53</v>
      </c>
      <c r="D2620" t="str">
        <f>"33"</f>
        <v>33</v>
      </c>
      <c r="E2620" t="str">
        <f>"1-53-33"</f>
        <v>1-53-33</v>
      </c>
      <c r="F2620" t="s">
        <v>65</v>
      </c>
      <c r="G2620" t="s">
        <v>66</v>
      </c>
      <c r="H2620" t="s">
        <v>67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</row>
    <row r="2621" spans="1:39" x14ac:dyDescent="0.2">
      <c r="A2621" t="str">
        <f>"2617"</f>
        <v>2617</v>
      </c>
      <c r="B2621" t="str">
        <f t="shared" si="146"/>
        <v>1</v>
      </c>
      <c r="C2621" t="str">
        <f t="shared" si="145"/>
        <v>53</v>
      </c>
      <c r="D2621" t="str">
        <f>"18"</f>
        <v>18</v>
      </c>
      <c r="E2621" t="str">
        <f>"1-53-18"</f>
        <v>1-53-18</v>
      </c>
      <c r="F2621" t="s">
        <v>65</v>
      </c>
      <c r="G2621" t="s">
        <v>66</v>
      </c>
      <c r="H2621" t="s">
        <v>67</v>
      </c>
      <c r="S2621">
        <v>0</v>
      </c>
      <c r="T2621">
        <v>1</v>
      </c>
      <c r="U2621">
        <v>0</v>
      </c>
      <c r="V2621">
        <v>0</v>
      </c>
      <c r="W2621">
        <v>1</v>
      </c>
      <c r="X2621">
        <v>0</v>
      </c>
      <c r="Y2621">
        <v>0</v>
      </c>
      <c r="Z2621">
        <v>1</v>
      </c>
      <c r="AA2621">
        <v>1</v>
      </c>
      <c r="AB2621">
        <v>0</v>
      </c>
      <c r="AC2621">
        <v>0</v>
      </c>
      <c r="AD2621">
        <v>1</v>
      </c>
      <c r="AE2621">
        <v>1</v>
      </c>
      <c r="AF2621">
        <v>1</v>
      </c>
      <c r="AG2621">
        <v>1</v>
      </c>
      <c r="AH2621">
        <v>1</v>
      </c>
      <c r="AI2621">
        <v>1</v>
      </c>
      <c r="AJ2621">
        <v>1</v>
      </c>
      <c r="AK2621">
        <v>1</v>
      </c>
      <c r="AL2621">
        <v>1</v>
      </c>
      <c r="AM2621">
        <v>1</v>
      </c>
    </row>
    <row r="2622" spans="1:39" x14ac:dyDescent="0.2">
      <c r="A2622" t="str">
        <f>"2618"</f>
        <v>2618</v>
      </c>
      <c r="B2622" t="str">
        <f t="shared" si="146"/>
        <v>1</v>
      </c>
      <c r="C2622" t="str">
        <f t="shared" si="145"/>
        <v>53</v>
      </c>
      <c r="D2622" t="str">
        <f>"6"</f>
        <v>6</v>
      </c>
      <c r="E2622" t="str">
        <f>"1-53-6"</f>
        <v>1-53-6</v>
      </c>
      <c r="F2622" t="s">
        <v>65</v>
      </c>
      <c r="G2622" t="s">
        <v>66</v>
      </c>
      <c r="H2622" t="s">
        <v>67</v>
      </c>
      <c r="S2622">
        <v>1</v>
      </c>
      <c r="T2622">
        <v>0</v>
      </c>
      <c r="U2622">
        <v>0</v>
      </c>
      <c r="V2622">
        <v>0</v>
      </c>
      <c r="W2622">
        <v>0</v>
      </c>
      <c r="X2622">
        <v>1</v>
      </c>
      <c r="Y2622">
        <v>1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1</v>
      </c>
      <c r="AF2622">
        <v>1</v>
      </c>
      <c r="AG2622">
        <v>1</v>
      </c>
      <c r="AH2622">
        <v>1</v>
      </c>
      <c r="AI2622">
        <v>1</v>
      </c>
      <c r="AJ2622">
        <v>1</v>
      </c>
      <c r="AK2622">
        <v>1</v>
      </c>
      <c r="AL2622">
        <v>1</v>
      </c>
      <c r="AM2622">
        <v>1</v>
      </c>
    </row>
    <row r="2623" spans="1:39" x14ac:dyDescent="0.2">
      <c r="A2623" t="str">
        <f>"2619"</f>
        <v>2619</v>
      </c>
      <c r="B2623" t="str">
        <f t="shared" si="146"/>
        <v>1</v>
      </c>
      <c r="C2623" t="str">
        <f t="shared" si="145"/>
        <v>53</v>
      </c>
      <c r="D2623" t="str">
        <f>"45"</f>
        <v>45</v>
      </c>
      <c r="E2623" t="str">
        <f>"1-53-45"</f>
        <v>1-53-45</v>
      </c>
      <c r="F2623" t="s">
        <v>65</v>
      </c>
      <c r="G2623" t="s">
        <v>66</v>
      </c>
      <c r="H2623" t="s">
        <v>67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0</v>
      </c>
      <c r="AB2623">
        <v>1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</row>
    <row r="2624" spans="1:39" x14ac:dyDescent="0.2">
      <c r="A2624" t="str">
        <f>"2620"</f>
        <v>2620</v>
      </c>
      <c r="B2624" t="str">
        <f t="shared" si="146"/>
        <v>1</v>
      </c>
      <c r="C2624" t="str">
        <f t="shared" si="145"/>
        <v>53</v>
      </c>
      <c r="D2624" t="str">
        <f>"44"</f>
        <v>44</v>
      </c>
      <c r="E2624" t="str">
        <f>"1-53-44"</f>
        <v>1-53-44</v>
      </c>
      <c r="F2624" t="s">
        <v>65</v>
      </c>
      <c r="G2624" t="s">
        <v>66</v>
      </c>
      <c r="H2624" t="s">
        <v>67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0</v>
      </c>
      <c r="AB2624">
        <v>1</v>
      </c>
      <c r="AC2624">
        <v>0</v>
      </c>
      <c r="AD2624">
        <v>1</v>
      </c>
      <c r="AE2624">
        <v>1</v>
      </c>
      <c r="AF2624">
        <v>1</v>
      </c>
      <c r="AG2624">
        <v>1</v>
      </c>
      <c r="AH2624">
        <v>1</v>
      </c>
      <c r="AI2624">
        <v>1</v>
      </c>
      <c r="AJ2624">
        <v>1</v>
      </c>
      <c r="AK2624">
        <v>1</v>
      </c>
      <c r="AL2624">
        <v>1</v>
      </c>
      <c r="AM2624">
        <v>1</v>
      </c>
    </row>
    <row r="2625" spans="1:39" x14ac:dyDescent="0.2">
      <c r="A2625" t="str">
        <f>"2621"</f>
        <v>2621</v>
      </c>
      <c r="B2625" t="str">
        <f t="shared" si="146"/>
        <v>1</v>
      </c>
      <c r="C2625" t="str">
        <f t="shared" si="145"/>
        <v>53</v>
      </c>
      <c r="D2625" t="str">
        <f>"32"</f>
        <v>32</v>
      </c>
      <c r="E2625" t="str">
        <f>"1-53-32"</f>
        <v>1-53-32</v>
      </c>
      <c r="F2625" t="s">
        <v>65</v>
      </c>
      <c r="G2625" t="s">
        <v>66</v>
      </c>
      <c r="H2625" t="s">
        <v>67</v>
      </c>
      <c r="S2625">
        <v>0</v>
      </c>
      <c r="T2625">
        <v>1</v>
      </c>
      <c r="U2625">
        <v>0</v>
      </c>
      <c r="V2625">
        <v>0</v>
      </c>
      <c r="W2625">
        <v>0</v>
      </c>
      <c r="X2625">
        <v>1</v>
      </c>
      <c r="Y2625">
        <v>0</v>
      </c>
      <c r="Z2625">
        <v>1</v>
      </c>
      <c r="AA2625">
        <v>1</v>
      </c>
      <c r="AB2625">
        <v>0</v>
      </c>
      <c r="AC2625">
        <v>0</v>
      </c>
      <c r="AD2625">
        <v>1</v>
      </c>
      <c r="AE2625">
        <v>1</v>
      </c>
      <c r="AF2625">
        <v>1</v>
      </c>
      <c r="AG2625">
        <v>1</v>
      </c>
      <c r="AH2625">
        <v>1</v>
      </c>
      <c r="AI2625">
        <v>1</v>
      </c>
      <c r="AJ2625">
        <v>1</v>
      </c>
      <c r="AK2625">
        <v>1</v>
      </c>
      <c r="AL2625">
        <v>1</v>
      </c>
      <c r="AM2625">
        <v>1</v>
      </c>
    </row>
    <row r="2626" spans="1:39" x14ac:dyDescent="0.2">
      <c r="A2626" t="str">
        <f>"2622"</f>
        <v>2622</v>
      </c>
      <c r="B2626" t="str">
        <f t="shared" si="146"/>
        <v>1</v>
      </c>
      <c r="C2626" t="str">
        <f t="shared" si="145"/>
        <v>53</v>
      </c>
      <c r="D2626" t="str">
        <f>"19"</f>
        <v>19</v>
      </c>
      <c r="E2626" t="str">
        <f>"1-53-19"</f>
        <v>1-53-19</v>
      </c>
      <c r="F2626" t="s">
        <v>65</v>
      </c>
      <c r="G2626" t="s">
        <v>66</v>
      </c>
      <c r="H2626" t="s">
        <v>67</v>
      </c>
      <c r="S2626">
        <v>0</v>
      </c>
      <c r="T2626">
        <v>1</v>
      </c>
      <c r="U2626">
        <v>0</v>
      </c>
      <c r="V2626">
        <v>0</v>
      </c>
      <c r="W2626">
        <v>0</v>
      </c>
      <c r="X2626">
        <v>1</v>
      </c>
      <c r="Y2626">
        <v>0</v>
      </c>
      <c r="Z2626">
        <v>1</v>
      </c>
      <c r="AA2626">
        <v>0</v>
      </c>
      <c r="AB2626">
        <v>1</v>
      </c>
      <c r="AC2626">
        <v>0</v>
      </c>
      <c r="AD2626">
        <v>1</v>
      </c>
      <c r="AE2626">
        <v>1</v>
      </c>
      <c r="AF2626">
        <v>1</v>
      </c>
      <c r="AG2626">
        <v>1</v>
      </c>
      <c r="AH2626">
        <v>1</v>
      </c>
      <c r="AI2626">
        <v>1</v>
      </c>
      <c r="AJ2626">
        <v>1</v>
      </c>
      <c r="AK2626">
        <v>1</v>
      </c>
      <c r="AL2626">
        <v>1</v>
      </c>
      <c r="AM2626">
        <v>1</v>
      </c>
    </row>
    <row r="2627" spans="1:39" x14ac:dyDescent="0.2">
      <c r="A2627" t="str">
        <f>"2623"</f>
        <v>2623</v>
      </c>
      <c r="B2627" t="str">
        <f t="shared" si="146"/>
        <v>1</v>
      </c>
      <c r="C2627" t="str">
        <f t="shared" si="145"/>
        <v>53</v>
      </c>
      <c r="D2627" t="str">
        <f>"12"</f>
        <v>12</v>
      </c>
      <c r="E2627" t="str">
        <f>"1-53-12"</f>
        <v>1-53-12</v>
      </c>
      <c r="F2627" t="s">
        <v>65</v>
      </c>
      <c r="G2627" t="s">
        <v>66</v>
      </c>
      <c r="H2627" t="s">
        <v>67</v>
      </c>
      <c r="S2627">
        <v>0</v>
      </c>
      <c r="T2627">
        <v>1</v>
      </c>
      <c r="U2627">
        <v>0</v>
      </c>
      <c r="V2627">
        <v>0</v>
      </c>
      <c r="W2627">
        <v>1</v>
      </c>
      <c r="X2627">
        <v>0</v>
      </c>
      <c r="Y2627">
        <v>1</v>
      </c>
      <c r="Z2627">
        <v>0</v>
      </c>
      <c r="AA2627">
        <v>0</v>
      </c>
      <c r="AB2627">
        <v>1</v>
      </c>
      <c r="AC2627">
        <v>0</v>
      </c>
      <c r="AD2627">
        <v>1</v>
      </c>
      <c r="AE2627">
        <v>1</v>
      </c>
      <c r="AF2627">
        <v>1</v>
      </c>
      <c r="AG2627">
        <v>1</v>
      </c>
      <c r="AH2627">
        <v>1</v>
      </c>
      <c r="AI2627">
        <v>1</v>
      </c>
      <c r="AJ2627">
        <v>1</v>
      </c>
      <c r="AK2627">
        <v>1</v>
      </c>
      <c r="AL2627">
        <v>1</v>
      </c>
      <c r="AM2627">
        <v>1</v>
      </c>
    </row>
    <row r="2628" spans="1:39" x14ac:dyDescent="0.2">
      <c r="A2628" t="str">
        <f>"2624"</f>
        <v>2624</v>
      </c>
      <c r="B2628" t="str">
        <f t="shared" si="146"/>
        <v>1</v>
      </c>
      <c r="C2628" t="str">
        <f t="shared" si="145"/>
        <v>53</v>
      </c>
      <c r="D2628" t="str">
        <f>"38"</f>
        <v>38</v>
      </c>
      <c r="E2628" t="str">
        <f>"1-53-38"</f>
        <v>1-53-38</v>
      </c>
      <c r="F2628" t="s">
        <v>65</v>
      </c>
      <c r="G2628" t="s">
        <v>66</v>
      </c>
      <c r="H2628" t="s">
        <v>67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1</v>
      </c>
      <c r="AE2628">
        <v>1</v>
      </c>
      <c r="AF2628">
        <v>1</v>
      </c>
      <c r="AG2628">
        <v>1</v>
      </c>
      <c r="AH2628">
        <v>1</v>
      </c>
      <c r="AI2628">
        <v>1</v>
      </c>
      <c r="AJ2628">
        <v>0</v>
      </c>
      <c r="AK2628">
        <v>1</v>
      </c>
      <c r="AL2628">
        <v>1</v>
      </c>
      <c r="AM2628">
        <v>1</v>
      </c>
    </row>
    <row r="2629" spans="1:39" x14ac:dyDescent="0.2">
      <c r="A2629" t="str">
        <f>"2625"</f>
        <v>2625</v>
      </c>
      <c r="B2629" t="str">
        <f t="shared" si="146"/>
        <v>1</v>
      </c>
      <c r="C2629" t="str">
        <f t="shared" si="145"/>
        <v>53</v>
      </c>
      <c r="D2629" t="str">
        <f>"20"</f>
        <v>20</v>
      </c>
      <c r="E2629" t="str">
        <f>"1-53-20"</f>
        <v>1-53-20</v>
      </c>
      <c r="F2629" t="s">
        <v>65</v>
      </c>
      <c r="G2629" t="s">
        <v>66</v>
      </c>
      <c r="H2629" t="s">
        <v>67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1</v>
      </c>
      <c r="Y2629">
        <v>1</v>
      </c>
      <c r="Z2629">
        <v>0</v>
      </c>
      <c r="AA2629">
        <v>0</v>
      </c>
      <c r="AB2629">
        <v>0</v>
      </c>
      <c r="AC2629">
        <v>1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1</v>
      </c>
      <c r="AJ2629">
        <v>0</v>
      </c>
      <c r="AK2629">
        <v>0</v>
      </c>
      <c r="AL2629">
        <v>0</v>
      </c>
      <c r="AM2629">
        <v>0</v>
      </c>
    </row>
    <row r="2630" spans="1:39" x14ac:dyDescent="0.2">
      <c r="A2630" t="str">
        <f>"2626"</f>
        <v>2626</v>
      </c>
      <c r="B2630" t="str">
        <f t="shared" si="146"/>
        <v>1</v>
      </c>
      <c r="C2630" t="str">
        <f t="shared" si="145"/>
        <v>53</v>
      </c>
      <c r="D2630" t="str">
        <f>"8"</f>
        <v>8</v>
      </c>
      <c r="E2630" t="str">
        <f>"1-53-8"</f>
        <v>1-53-8</v>
      </c>
      <c r="F2630" t="s">
        <v>65</v>
      </c>
      <c r="G2630" t="s">
        <v>66</v>
      </c>
      <c r="H2630" t="s">
        <v>67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1</v>
      </c>
      <c r="Y2630">
        <v>0</v>
      </c>
      <c r="Z2630">
        <v>1</v>
      </c>
      <c r="AA2630">
        <v>0</v>
      </c>
      <c r="AB2630">
        <v>0</v>
      </c>
      <c r="AC2630">
        <v>1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1</v>
      </c>
      <c r="AJ2630">
        <v>0</v>
      </c>
      <c r="AK2630">
        <v>0</v>
      </c>
      <c r="AL2630">
        <v>0</v>
      </c>
      <c r="AM2630">
        <v>0</v>
      </c>
    </row>
    <row r="2631" spans="1:39" x14ac:dyDescent="0.2">
      <c r="A2631" t="str">
        <f>"2627"</f>
        <v>2627</v>
      </c>
      <c r="B2631" t="str">
        <f t="shared" si="146"/>
        <v>1</v>
      </c>
      <c r="C2631" t="str">
        <f t="shared" si="145"/>
        <v>53</v>
      </c>
      <c r="D2631" t="str">
        <f>"34"</f>
        <v>34</v>
      </c>
      <c r="E2631" t="str">
        <f>"1-53-34"</f>
        <v>1-53-34</v>
      </c>
      <c r="F2631" t="s">
        <v>65</v>
      </c>
      <c r="G2631" t="s">
        <v>66</v>
      </c>
      <c r="H2631" t="s">
        <v>67</v>
      </c>
      <c r="S2631">
        <v>0</v>
      </c>
      <c r="T2631">
        <v>1</v>
      </c>
      <c r="U2631">
        <v>0</v>
      </c>
      <c r="V2631">
        <v>0</v>
      </c>
      <c r="W2631">
        <v>1</v>
      </c>
      <c r="X2631">
        <v>0</v>
      </c>
      <c r="Y2631">
        <v>1</v>
      </c>
      <c r="Z2631">
        <v>0</v>
      </c>
      <c r="AA2631">
        <v>0</v>
      </c>
      <c r="AB2631">
        <v>1</v>
      </c>
      <c r="AC2631">
        <v>0</v>
      </c>
      <c r="AD2631">
        <v>1</v>
      </c>
      <c r="AE2631">
        <v>1</v>
      </c>
      <c r="AF2631">
        <v>1</v>
      </c>
      <c r="AG2631">
        <v>1</v>
      </c>
      <c r="AH2631">
        <v>1</v>
      </c>
      <c r="AI2631">
        <v>1</v>
      </c>
      <c r="AJ2631">
        <v>1</v>
      </c>
      <c r="AK2631">
        <v>1</v>
      </c>
      <c r="AL2631">
        <v>1</v>
      </c>
      <c r="AM2631">
        <v>1</v>
      </c>
    </row>
    <row r="2632" spans="1:39" x14ac:dyDescent="0.2">
      <c r="A2632" t="str">
        <f>"2628"</f>
        <v>2628</v>
      </c>
      <c r="B2632" t="str">
        <f t="shared" si="146"/>
        <v>1</v>
      </c>
      <c r="C2632" t="str">
        <f t="shared" si="145"/>
        <v>53</v>
      </c>
      <c r="D2632" t="str">
        <f>"21"</f>
        <v>21</v>
      </c>
      <c r="E2632" t="str">
        <f>"1-53-21"</f>
        <v>1-53-21</v>
      </c>
      <c r="F2632" t="s">
        <v>65</v>
      </c>
      <c r="G2632" t="s">
        <v>66</v>
      </c>
      <c r="H2632" t="s">
        <v>67</v>
      </c>
      <c r="S2632">
        <v>1</v>
      </c>
      <c r="T2632">
        <v>0</v>
      </c>
      <c r="U2632">
        <v>0</v>
      </c>
      <c r="V2632">
        <v>0</v>
      </c>
      <c r="W2632">
        <v>1</v>
      </c>
      <c r="X2632">
        <v>0</v>
      </c>
      <c r="Y2632">
        <v>0</v>
      </c>
      <c r="Z2632">
        <v>1</v>
      </c>
      <c r="AA2632">
        <v>0</v>
      </c>
      <c r="AB2632">
        <v>1</v>
      </c>
      <c r="AC2632">
        <v>0</v>
      </c>
      <c r="AD2632">
        <v>1</v>
      </c>
      <c r="AE2632">
        <v>1</v>
      </c>
      <c r="AF2632">
        <v>1</v>
      </c>
      <c r="AG2632">
        <v>1</v>
      </c>
      <c r="AH2632">
        <v>1</v>
      </c>
      <c r="AI2632">
        <v>1</v>
      </c>
      <c r="AJ2632">
        <v>1</v>
      </c>
      <c r="AK2632">
        <v>1</v>
      </c>
      <c r="AL2632">
        <v>1</v>
      </c>
      <c r="AM2632">
        <v>1</v>
      </c>
    </row>
    <row r="2633" spans="1:39" x14ac:dyDescent="0.2">
      <c r="A2633" t="str">
        <f>"2629"</f>
        <v>2629</v>
      </c>
      <c r="B2633" t="str">
        <f t="shared" si="146"/>
        <v>1</v>
      </c>
      <c r="C2633" t="str">
        <f t="shared" si="145"/>
        <v>53</v>
      </c>
      <c r="D2633" t="str">
        <f>"5"</f>
        <v>5</v>
      </c>
      <c r="E2633" t="str">
        <f>"1-53-5"</f>
        <v>1-53-5</v>
      </c>
      <c r="F2633" t="s">
        <v>65</v>
      </c>
      <c r="G2633" t="s">
        <v>66</v>
      </c>
      <c r="H2633" t="s">
        <v>67</v>
      </c>
      <c r="S2633">
        <v>0</v>
      </c>
      <c r="T2633">
        <v>1</v>
      </c>
      <c r="U2633">
        <v>0</v>
      </c>
      <c r="V2633">
        <v>0</v>
      </c>
      <c r="W2633">
        <v>0</v>
      </c>
      <c r="X2633">
        <v>1</v>
      </c>
      <c r="Y2633">
        <v>0</v>
      </c>
      <c r="Z2633">
        <v>1</v>
      </c>
      <c r="AA2633">
        <v>0</v>
      </c>
      <c r="AB2633">
        <v>0</v>
      </c>
      <c r="AC2633">
        <v>1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1</v>
      </c>
      <c r="AJ2633">
        <v>0</v>
      </c>
      <c r="AK2633">
        <v>0</v>
      </c>
      <c r="AL2633">
        <v>0</v>
      </c>
      <c r="AM2633">
        <v>0</v>
      </c>
    </row>
    <row r="2634" spans="1:39" x14ac:dyDescent="0.2">
      <c r="A2634" t="str">
        <f>"2630"</f>
        <v>2630</v>
      </c>
      <c r="B2634" t="str">
        <f t="shared" si="146"/>
        <v>1</v>
      </c>
      <c r="C2634" t="str">
        <f t="shared" si="145"/>
        <v>53</v>
      </c>
      <c r="D2634" t="str">
        <f>"47"</f>
        <v>47</v>
      </c>
      <c r="E2634" t="str">
        <f>"1-53-47"</f>
        <v>1-53-47</v>
      </c>
      <c r="F2634" t="s">
        <v>65</v>
      </c>
      <c r="G2634" t="s">
        <v>66</v>
      </c>
      <c r="H2634" t="s">
        <v>67</v>
      </c>
      <c r="S2634">
        <v>0</v>
      </c>
      <c r="T2634">
        <v>1</v>
      </c>
      <c r="U2634">
        <v>0</v>
      </c>
      <c r="V2634">
        <v>0</v>
      </c>
      <c r="W2634">
        <v>0</v>
      </c>
      <c r="X2634">
        <v>1</v>
      </c>
      <c r="Y2634">
        <v>0</v>
      </c>
      <c r="Z2634">
        <v>1</v>
      </c>
      <c r="AA2634">
        <v>0</v>
      </c>
      <c r="AB2634">
        <v>0</v>
      </c>
      <c r="AC2634">
        <v>1</v>
      </c>
      <c r="AD2634">
        <v>1</v>
      </c>
      <c r="AE2634">
        <v>1</v>
      </c>
      <c r="AF2634">
        <v>1</v>
      </c>
      <c r="AG2634">
        <v>1</v>
      </c>
      <c r="AH2634">
        <v>1</v>
      </c>
      <c r="AI2634">
        <v>1</v>
      </c>
      <c r="AJ2634">
        <v>1</v>
      </c>
      <c r="AK2634">
        <v>1</v>
      </c>
      <c r="AL2634">
        <v>1</v>
      </c>
      <c r="AM2634">
        <v>1</v>
      </c>
    </row>
    <row r="2635" spans="1:39" x14ac:dyDescent="0.2">
      <c r="A2635" t="str">
        <f>"2631"</f>
        <v>2631</v>
      </c>
      <c r="B2635" t="str">
        <f t="shared" si="146"/>
        <v>1</v>
      </c>
      <c r="C2635" t="str">
        <f t="shared" si="145"/>
        <v>53</v>
      </c>
      <c r="D2635" t="str">
        <f>"46"</f>
        <v>46</v>
      </c>
      <c r="E2635" t="str">
        <f>"1-53-46"</f>
        <v>1-53-46</v>
      </c>
      <c r="F2635" t="s">
        <v>65</v>
      </c>
      <c r="G2635" t="s">
        <v>66</v>
      </c>
      <c r="H2635" t="s">
        <v>67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0</v>
      </c>
      <c r="AB2635">
        <v>1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</row>
    <row r="2636" spans="1:39" x14ac:dyDescent="0.2">
      <c r="A2636" t="str">
        <f>"2632"</f>
        <v>2632</v>
      </c>
      <c r="B2636" t="str">
        <f t="shared" si="146"/>
        <v>1</v>
      </c>
      <c r="C2636" t="str">
        <f t="shared" si="145"/>
        <v>53</v>
      </c>
      <c r="D2636" t="str">
        <f>"35"</f>
        <v>35</v>
      </c>
      <c r="E2636" t="str">
        <f>"1-53-35"</f>
        <v>1-53-35</v>
      </c>
      <c r="F2636" t="s">
        <v>65</v>
      </c>
      <c r="G2636" t="s">
        <v>66</v>
      </c>
      <c r="H2636" t="s">
        <v>67</v>
      </c>
      <c r="S2636">
        <v>1</v>
      </c>
      <c r="T2636">
        <v>0</v>
      </c>
      <c r="U2636">
        <v>0</v>
      </c>
      <c r="V2636">
        <v>0</v>
      </c>
      <c r="W2636">
        <v>1</v>
      </c>
      <c r="X2636">
        <v>0</v>
      </c>
      <c r="Y2636">
        <v>1</v>
      </c>
      <c r="Z2636">
        <v>0</v>
      </c>
      <c r="AA2636">
        <v>1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</row>
    <row r="2637" spans="1:39" x14ac:dyDescent="0.2">
      <c r="A2637" t="str">
        <f>"2633"</f>
        <v>2633</v>
      </c>
      <c r="B2637" t="str">
        <f t="shared" si="146"/>
        <v>1</v>
      </c>
      <c r="C2637" t="str">
        <f t="shared" ref="C2637:C2654" si="147">"53"</f>
        <v>53</v>
      </c>
      <c r="D2637" t="str">
        <f>"22"</f>
        <v>22</v>
      </c>
      <c r="E2637" t="str">
        <f>"1-53-22"</f>
        <v>1-53-22</v>
      </c>
      <c r="F2637" t="s">
        <v>65</v>
      </c>
      <c r="G2637" t="s">
        <v>66</v>
      </c>
      <c r="H2637" t="s">
        <v>67</v>
      </c>
      <c r="S2637">
        <v>0</v>
      </c>
      <c r="T2637">
        <v>1</v>
      </c>
      <c r="U2637">
        <v>0</v>
      </c>
      <c r="V2637">
        <v>0</v>
      </c>
      <c r="W2637">
        <v>1</v>
      </c>
      <c r="X2637">
        <v>0</v>
      </c>
      <c r="Y2637">
        <v>1</v>
      </c>
      <c r="Z2637">
        <v>0</v>
      </c>
      <c r="AA2637">
        <v>0</v>
      </c>
      <c r="AB2637">
        <v>1</v>
      </c>
      <c r="AC2637">
        <v>0</v>
      </c>
      <c r="AD2637">
        <v>1</v>
      </c>
      <c r="AE2637">
        <v>1</v>
      </c>
      <c r="AF2637">
        <v>1</v>
      </c>
      <c r="AG2637">
        <v>1</v>
      </c>
      <c r="AH2637">
        <v>1</v>
      </c>
      <c r="AI2637">
        <v>1</v>
      </c>
      <c r="AJ2637">
        <v>1</v>
      </c>
      <c r="AK2637">
        <v>1</v>
      </c>
      <c r="AL2637">
        <v>1</v>
      </c>
      <c r="AM2637">
        <v>1</v>
      </c>
    </row>
    <row r="2638" spans="1:39" x14ac:dyDescent="0.2">
      <c r="A2638" t="str">
        <f>"2634"</f>
        <v>2634</v>
      </c>
      <c r="B2638" t="str">
        <f t="shared" si="146"/>
        <v>1</v>
      </c>
      <c r="C2638" t="str">
        <f t="shared" si="147"/>
        <v>53</v>
      </c>
      <c r="D2638" t="str">
        <f>"13"</f>
        <v>13</v>
      </c>
      <c r="E2638" t="str">
        <f>"1-53-13"</f>
        <v>1-53-13</v>
      </c>
      <c r="F2638" t="s">
        <v>65</v>
      </c>
      <c r="G2638" t="s">
        <v>66</v>
      </c>
      <c r="H2638" t="s">
        <v>67</v>
      </c>
      <c r="S2638">
        <v>0</v>
      </c>
      <c r="T2638">
        <v>1</v>
      </c>
      <c r="U2638">
        <v>0</v>
      </c>
      <c r="V2638">
        <v>0</v>
      </c>
      <c r="W2638">
        <v>1</v>
      </c>
      <c r="X2638">
        <v>0</v>
      </c>
      <c r="Y2638">
        <v>0</v>
      </c>
      <c r="Z2638">
        <v>1</v>
      </c>
      <c r="AA2638">
        <v>0</v>
      </c>
      <c r="AB2638">
        <v>1</v>
      </c>
      <c r="AC2638">
        <v>0</v>
      </c>
      <c r="AD2638">
        <v>1</v>
      </c>
      <c r="AE2638">
        <v>1</v>
      </c>
      <c r="AF2638">
        <v>1</v>
      </c>
      <c r="AG2638">
        <v>1</v>
      </c>
      <c r="AH2638">
        <v>1</v>
      </c>
      <c r="AI2638">
        <v>1</v>
      </c>
      <c r="AJ2638">
        <v>1</v>
      </c>
      <c r="AK2638">
        <v>1</v>
      </c>
      <c r="AL2638">
        <v>1</v>
      </c>
      <c r="AM2638">
        <v>1</v>
      </c>
    </row>
    <row r="2639" spans="1:39" x14ac:dyDescent="0.2">
      <c r="A2639" t="str">
        <f>"2635"</f>
        <v>2635</v>
      </c>
      <c r="B2639" t="str">
        <f t="shared" si="146"/>
        <v>1</v>
      </c>
      <c r="C2639" t="str">
        <f t="shared" si="147"/>
        <v>53</v>
      </c>
      <c r="D2639" t="str">
        <f>"41"</f>
        <v>41</v>
      </c>
      <c r="E2639" t="str">
        <f>"1-53-41"</f>
        <v>1-53-41</v>
      </c>
      <c r="F2639" t="s">
        <v>65</v>
      </c>
      <c r="G2639" t="s">
        <v>66</v>
      </c>
      <c r="H2639" t="s">
        <v>67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1</v>
      </c>
      <c r="AJ2639">
        <v>0</v>
      </c>
      <c r="AK2639">
        <v>0</v>
      </c>
      <c r="AL2639">
        <v>0</v>
      </c>
      <c r="AM2639">
        <v>0</v>
      </c>
    </row>
    <row r="2640" spans="1:39" x14ac:dyDescent="0.2">
      <c r="A2640" t="str">
        <f>"2636"</f>
        <v>2636</v>
      </c>
      <c r="B2640" t="str">
        <f t="shared" si="146"/>
        <v>1</v>
      </c>
      <c r="C2640" t="str">
        <f t="shared" si="147"/>
        <v>53</v>
      </c>
      <c r="D2640" t="str">
        <f>"23"</f>
        <v>23</v>
      </c>
      <c r="E2640" t="str">
        <f>"1-53-23"</f>
        <v>1-53-23</v>
      </c>
      <c r="F2640" t="s">
        <v>65</v>
      </c>
      <c r="G2640" t="s">
        <v>66</v>
      </c>
      <c r="H2640" t="s">
        <v>67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1</v>
      </c>
      <c r="Y2640">
        <v>1</v>
      </c>
      <c r="Z2640">
        <v>0</v>
      </c>
      <c r="AA2640">
        <v>0</v>
      </c>
      <c r="AB2640">
        <v>1</v>
      </c>
      <c r="AC2640">
        <v>0</v>
      </c>
      <c r="AD2640">
        <v>1</v>
      </c>
      <c r="AE2640">
        <v>1</v>
      </c>
      <c r="AF2640">
        <v>1</v>
      </c>
      <c r="AG2640">
        <v>1</v>
      </c>
      <c r="AH2640">
        <v>1</v>
      </c>
      <c r="AI2640">
        <v>1</v>
      </c>
      <c r="AJ2640">
        <v>1</v>
      </c>
      <c r="AK2640">
        <v>1</v>
      </c>
      <c r="AL2640">
        <v>1</v>
      </c>
      <c r="AM2640">
        <v>1</v>
      </c>
    </row>
    <row r="2641" spans="1:39" x14ac:dyDescent="0.2">
      <c r="A2641" t="str">
        <f>"2637"</f>
        <v>2637</v>
      </c>
      <c r="B2641" t="str">
        <f t="shared" si="146"/>
        <v>1</v>
      </c>
      <c r="C2641" t="str">
        <f t="shared" si="147"/>
        <v>53</v>
      </c>
      <c r="D2641" t="str">
        <f>"1"</f>
        <v>1</v>
      </c>
      <c r="E2641" t="str">
        <f>"1-53-1"</f>
        <v>1-53-1</v>
      </c>
      <c r="F2641" t="s">
        <v>65</v>
      </c>
      <c r="G2641" t="s">
        <v>66</v>
      </c>
      <c r="H2641" t="s">
        <v>67</v>
      </c>
      <c r="S2641">
        <v>1</v>
      </c>
      <c r="T2641">
        <v>0</v>
      </c>
      <c r="U2641">
        <v>0</v>
      </c>
      <c r="V2641">
        <v>0</v>
      </c>
      <c r="W2641">
        <v>1</v>
      </c>
      <c r="X2641">
        <v>0</v>
      </c>
      <c r="Y2641">
        <v>0</v>
      </c>
      <c r="Z2641">
        <v>1</v>
      </c>
      <c r="AA2641">
        <v>1</v>
      </c>
      <c r="AB2641">
        <v>0</v>
      </c>
      <c r="AC2641">
        <v>0</v>
      </c>
      <c r="AD2641">
        <v>1</v>
      </c>
      <c r="AE2641">
        <v>1</v>
      </c>
      <c r="AF2641">
        <v>1</v>
      </c>
      <c r="AG2641">
        <v>1</v>
      </c>
      <c r="AH2641">
        <v>1</v>
      </c>
      <c r="AI2641">
        <v>1</v>
      </c>
      <c r="AJ2641">
        <v>1</v>
      </c>
      <c r="AK2641">
        <v>1</v>
      </c>
      <c r="AL2641">
        <v>1</v>
      </c>
      <c r="AM2641">
        <v>1</v>
      </c>
    </row>
    <row r="2642" spans="1:39" x14ac:dyDescent="0.2">
      <c r="A2642" t="str">
        <f>"2638"</f>
        <v>2638</v>
      </c>
      <c r="B2642" t="str">
        <f t="shared" si="146"/>
        <v>1</v>
      </c>
      <c r="C2642" t="str">
        <f t="shared" si="147"/>
        <v>53</v>
      </c>
      <c r="D2642" t="str">
        <f>"25"</f>
        <v>25</v>
      </c>
      <c r="E2642" t="str">
        <f>"1-53-25"</f>
        <v>1-53-25</v>
      </c>
      <c r="F2642" t="s">
        <v>65</v>
      </c>
      <c r="G2642" t="s">
        <v>66</v>
      </c>
      <c r="H2642" t="s">
        <v>67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0</v>
      </c>
      <c r="AB2642">
        <v>0</v>
      </c>
      <c r="AC2642">
        <v>1</v>
      </c>
      <c r="AD2642">
        <v>0</v>
      </c>
      <c r="AE2642">
        <v>0</v>
      </c>
      <c r="AF2642">
        <v>0</v>
      </c>
      <c r="AG2642">
        <v>0</v>
      </c>
      <c r="AH2642">
        <v>1</v>
      </c>
      <c r="AI2642">
        <v>1</v>
      </c>
      <c r="AJ2642">
        <v>1</v>
      </c>
      <c r="AK2642">
        <v>1</v>
      </c>
      <c r="AL2642">
        <v>1</v>
      </c>
      <c r="AM2642">
        <v>1</v>
      </c>
    </row>
    <row r="2643" spans="1:39" x14ac:dyDescent="0.2">
      <c r="A2643" t="str">
        <f>"2639"</f>
        <v>2639</v>
      </c>
      <c r="B2643" t="str">
        <f t="shared" si="146"/>
        <v>1</v>
      </c>
      <c r="C2643" t="str">
        <f t="shared" si="147"/>
        <v>53</v>
      </c>
      <c r="D2643" t="str">
        <f>"2"</f>
        <v>2</v>
      </c>
      <c r="E2643" t="str">
        <f>"1-53-2"</f>
        <v>1-53-2</v>
      </c>
      <c r="F2643" t="s">
        <v>65</v>
      </c>
      <c r="G2643" t="s">
        <v>66</v>
      </c>
      <c r="H2643" t="s">
        <v>67</v>
      </c>
      <c r="S2643">
        <v>0</v>
      </c>
      <c r="T2643">
        <v>1</v>
      </c>
      <c r="U2643">
        <v>0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0</v>
      </c>
      <c r="AB2643">
        <v>0</v>
      </c>
      <c r="AC2643">
        <v>1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1</v>
      </c>
      <c r="AJ2643">
        <v>0</v>
      </c>
      <c r="AK2643">
        <v>0</v>
      </c>
      <c r="AL2643">
        <v>1</v>
      </c>
      <c r="AM2643">
        <v>0</v>
      </c>
    </row>
    <row r="2644" spans="1:39" x14ac:dyDescent="0.2">
      <c r="A2644" t="str">
        <f>"2640"</f>
        <v>2640</v>
      </c>
      <c r="B2644" t="str">
        <f t="shared" si="146"/>
        <v>1</v>
      </c>
      <c r="C2644" t="str">
        <f t="shared" si="147"/>
        <v>53</v>
      </c>
      <c r="D2644" t="str">
        <f>"49"</f>
        <v>49</v>
      </c>
      <c r="E2644" t="str">
        <f>"1-53-49"</f>
        <v>1-53-49</v>
      </c>
      <c r="F2644" t="s">
        <v>65</v>
      </c>
      <c r="G2644" t="s">
        <v>66</v>
      </c>
      <c r="H2644" t="s">
        <v>67</v>
      </c>
      <c r="S2644">
        <v>0</v>
      </c>
      <c r="T2644">
        <v>1</v>
      </c>
      <c r="U2644">
        <v>0</v>
      </c>
      <c r="V2644">
        <v>0</v>
      </c>
      <c r="W2644">
        <v>0</v>
      </c>
      <c r="X2644">
        <v>1</v>
      </c>
      <c r="Y2644">
        <v>0</v>
      </c>
      <c r="Z2644">
        <v>1</v>
      </c>
      <c r="AA2644">
        <v>0</v>
      </c>
      <c r="AB2644">
        <v>0</v>
      </c>
      <c r="AC2644">
        <v>1</v>
      </c>
      <c r="AD2644">
        <v>1</v>
      </c>
      <c r="AE2644">
        <v>0</v>
      </c>
      <c r="AF2644">
        <v>1</v>
      </c>
      <c r="AG2644">
        <v>1</v>
      </c>
      <c r="AH2644">
        <v>1</v>
      </c>
      <c r="AI2644">
        <v>1</v>
      </c>
      <c r="AJ2644">
        <v>1</v>
      </c>
      <c r="AK2644">
        <v>1</v>
      </c>
      <c r="AL2644">
        <v>1</v>
      </c>
      <c r="AM2644">
        <v>1</v>
      </c>
    </row>
    <row r="2645" spans="1:39" x14ac:dyDescent="0.2">
      <c r="A2645" t="str">
        <f>"2641"</f>
        <v>2641</v>
      </c>
      <c r="B2645" t="str">
        <f t="shared" si="146"/>
        <v>1</v>
      </c>
      <c r="C2645" t="str">
        <f t="shared" si="147"/>
        <v>53</v>
      </c>
      <c r="D2645" t="str">
        <f>"26"</f>
        <v>26</v>
      </c>
      <c r="E2645" t="str">
        <f>"1-53-26"</f>
        <v>1-53-26</v>
      </c>
      <c r="F2645" t="s">
        <v>65</v>
      </c>
      <c r="G2645" t="s">
        <v>66</v>
      </c>
      <c r="H2645" t="s">
        <v>67</v>
      </c>
      <c r="S2645">
        <v>0</v>
      </c>
      <c r="T2645">
        <v>1</v>
      </c>
      <c r="U2645">
        <v>0</v>
      </c>
      <c r="V2645">
        <v>0</v>
      </c>
      <c r="W2645">
        <v>0</v>
      </c>
      <c r="X2645">
        <v>1</v>
      </c>
      <c r="Y2645">
        <v>0</v>
      </c>
      <c r="Z2645">
        <v>1</v>
      </c>
      <c r="AA2645">
        <v>0</v>
      </c>
      <c r="AB2645">
        <v>0</v>
      </c>
      <c r="AC2645">
        <v>1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1</v>
      </c>
      <c r="AJ2645">
        <v>0</v>
      </c>
      <c r="AK2645">
        <v>0</v>
      </c>
      <c r="AL2645">
        <v>0</v>
      </c>
      <c r="AM2645">
        <v>0</v>
      </c>
    </row>
    <row r="2646" spans="1:39" x14ac:dyDescent="0.2">
      <c r="A2646" t="str">
        <f>"2642"</f>
        <v>2642</v>
      </c>
      <c r="B2646" t="str">
        <f t="shared" si="146"/>
        <v>1</v>
      </c>
      <c r="C2646" t="str">
        <f t="shared" si="147"/>
        <v>53</v>
      </c>
      <c r="D2646" t="str">
        <f>"4"</f>
        <v>4</v>
      </c>
      <c r="E2646" t="str">
        <f>"1-53-4"</f>
        <v>1-53-4</v>
      </c>
      <c r="F2646" t="s">
        <v>65</v>
      </c>
      <c r="G2646" t="s">
        <v>66</v>
      </c>
      <c r="H2646" t="s">
        <v>67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1</v>
      </c>
      <c r="AJ2646">
        <v>0</v>
      </c>
      <c r="AK2646">
        <v>0</v>
      </c>
      <c r="AL2646">
        <v>0</v>
      </c>
      <c r="AM2646">
        <v>1</v>
      </c>
    </row>
    <row r="2647" spans="1:39" x14ac:dyDescent="0.2">
      <c r="A2647" t="str">
        <f>"2643"</f>
        <v>2643</v>
      </c>
      <c r="B2647" t="str">
        <f t="shared" si="146"/>
        <v>1</v>
      </c>
      <c r="C2647" t="str">
        <f t="shared" si="147"/>
        <v>53</v>
      </c>
      <c r="D2647" t="str">
        <f>"50"</f>
        <v>50</v>
      </c>
      <c r="E2647" t="str">
        <f>"1-53-50"</f>
        <v>1-53-50</v>
      </c>
      <c r="F2647" t="s">
        <v>65</v>
      </c>
      <c r="G2647" t="s">
        <v>66</v>
      </c>
      <c r="H2647" t="s">
        <v>67</v>
      </c>
      <c r="S2647">
        <v>1</v>
      </c>
      <c r="T2647">
        <v>0</v>
      </c>
      <c r="U2647">
        <v>0</v>
      </c>
      <c r="V2647">
        <v>0</v>
      </c>
      <c r="W2647">
        <v>1</v>
      </c>
      <c r="X2647">
        <v>0</v>
      </c>
      <c r="Y2647">
        <v>0</v>
      </c>
      <c r="Z2647">
        <v>1</v>
      </c>
      <c r="AA2647">
        <v>0</v>
      </c>
      <c r="AB2647">
        <v>1</v>
      </c>
      <c r="AC2647">
        <v>0</v>
      </c>
      <c r="AD2647">
        <v>1</v>
      </c>
      <c r="AE2647">
        <v>1</v>
      </c>
      <c r="AF2647">
        <v>1</v>
      </c>
      <c r="AG2647">
        <v>1</v>
      </c>
      <c r="AH2647">
        <v>1</v>
      </c>
      <c r="AI2647">
        <v>1</v>
      </c>
      <c r="AJ2647">
        <v>1</v>
      </c>
      <c r="AK2647">
        <v>1</v>
      </c>
      <c r="AL2647">
        <v>1</v>
      </c>
      <c r="AM2647">
        <v>1</v>
      </c>
    </row>
    <row r="2648" spans="1:39" x14ac:dyDescent="0.2">
      <c r="A2648" t="str">
        <f>"2644"</f>
        <v>2644</v>
      </c>
      <c r="B2648" t="str">
        <f t="shared" si="146"/>
        <v>1</v>
      </c>
      <c r="C2648" t="str">
        <f t="shared" si="147"/>
        <v>53</v>
      </c>
      <c r="D2648" t="str">
        <f>"27"</f>
        <v>27</v>
      </c>
      <c r="E2648" t="str">
        <f>"1-53-27"</f>
        <v>1-53-27</v>
      </c>
      <c r="F2648" t="s">
        <v>65</v>
      </c>
      <c r="G2648" t="s">
        <v>66</v>
      </c>
      <c r="H2648" t="s">
        <v>67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1</v>
      </c>
      <c r="Y2648">
        <v>1</v>
      </c>
      <c r="Z2648">
        <v>0</v>
      </c>
      <c r="AA2648">
        <v>0</v>
      </c>
      <c r="AB2648">
        <v>0</v>
      </c>
      <c r="AC2648">
        <v>1</v>
      </c>
      <c r="AD2648">
        <v>1</v>
      </c>
      <c r="AE2648">
        <v>1</v>
      </c>
      <c r="AF2648">
        <v>1</v>
      </c>
      <c r="AG2648">
        <v>1</v>
      </c>
      <c r="AH2648">
        <v>1</v>
      </c>
      <c r="AI2648">
        <v>1</v>
      </c>
      <c r="AJ2648">
        <v>1</v>
      </c>
      <c r="AK2648">
        <v>1</v>
      </c>
      <c r="AL2648">
        <v>0</v>
      </c>
      <c r="AM2648">
        <v>1</v>
      </c>
    </row>
    <row r="2649" spans="1:39" x14ac:dyDescent="0.2">
      <c r="A2649" t="str">
        <f>"2645"</f>
        <v>2645</v>
      </c>
      <c r="B2649" t="str">
        <f t="shared" si="146"/>
        <v>1</v>
      </c>
      <c r="C2649" t="str">
        <f t="shared" si="147"/>
        <v>53</v>
      </c>
      <c r="D2649" t="str">
        <f>"14"</f>
        <v>14</v>
      </c>
      <c r="E2649" t="str">
        <f>"1-53-14"</f>
        <v>1-53-14</v>
      </c>
      <c r="F2649" t="s">
        <v>65</v>
      </c>
      <c r="G2649" t="s">
        <v>66</v>
      </c>
      <c r="H2649" t="s">
        <v>67</v>
      </c>
      <c r="S2649">
        <v>0</v>
      </c>
      <c r="T2649">
        <v>1</v>
      </c>
      <c r="U2649">
        <v>0</v>
      </c>
      <c r="V2649">
        <v>0</v>
      </c>
      <c r="W2649">
        <v>1</v>
      </c>
      <c r="X2649">
        <v>0</v>
      </c>
      <c r="Y2649">
        <v>0</v>
      </c>
      <c r="Z2649">
        <v>1</v>
      </c>
      <c r="AA2649">
        <v>0</v>
      </c>
      <c r="AB2649">
        <v>1</v>
      </c>
      <c r="AC2649">
        <v>0</v>
      </c>
      <c r="AD2649">
        <v>1</v>
      </c>
      <c r="AE2649">
        <v>1</v>
      </c>
      <c r="AF2649">
        <v>1</v>
      </c>
      <c r="AG2649">
        <v>1</v>
      </c>
      <c r="AH2649">
        <v>1</v>
      </c>
      <c r="AI2649">
        <v>1</v>
      </c>
      <c r="AJ2649">
        <v>1</v>
      </c>
      <c r="AK2649">
        <v>1</v>
      </c>
      <c r="AL2649">
        <v>1</v>
      </c>
      <c r="AM2649">
        <v>1</v>
      </c>
    </row>
    <row r="2650" spans="1:39" x14ac:dyDescent="0.2">
      <c r="A2650" t="str">
        <f>"2646"</f>
        <v>2646</v>
      </c>
      <c r="B2650" t="str">
        <f t="shared" si="146"/>
        <v>1</v>
      </c>
      <c r="C2650" t="str">
        <f t="shared" si="147"/>
        <v>53</v>
      </c>
      <c r="D2650" t="str">
        <f>"48"</f>
        <v>48</v>
      </c>
      <c r="E2650" t="str">
        <f>"1-53-48"</f>
        <v>1-53-48</v>
      </c>
      <c r="F2650" t="s">
        <v>65</v>
      </c>
      <c r="G2650" t="s">
        <v>66</v>
      </c>
      <c r="H2650" t="s">
        <v>67</v>
      </c>
      <c r="S2650">
        <v>0</v>
      </c>
      <c r="T2650">
        <v>1</v>
      </c>
      <c r="U2650">
        <v>0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1</v>
      </c>
      <c r="AI2650">
        <v>1</v>
      </c>
      <c r="AJ2650">
        <v>1</v>
      </c>
      <c r="AK2650">
        <v>0</v>
      </c>
      <c r="AL2650">
        <v>1</v>
      </c>
      <c r="AM2650">
        <v>0</v>
      </c>
    </row>
    <row r="2651" spans="1:39" x14ac:dyDescent="0.2">
      <c r="A2651" t="str">
        <f>"2647"</f>
        <v>2647</v>
      </c>
      <c r="B2651" t="str">
        <f t="shared" si="146"/>
        <v>1</v>
      </c>
      <c r="C2651" t="str">
        <f t="shared" si="147"/>
        <v>53</v>
      </c>
      <c r="D2651" t="str">
        <f>"28"</f>
        <v>28</v>
      </c>
      <c r="E2651" t="str">
        <f>"1-53-28"</f>
        <v>1-53-28</v>
      </c>
      <c r="F2651" t="s">
        <v>65</v>
      </c>
      <c r="G2651" t="s">
        <v>66</v>
      </c>
      <c r="H2651" t="s">
        <v>67</v>
      </c>
      <c r="S2651">
        <v>0</v>
      </c>
      <c r="T2651">
        <v>1</v>
      </c>
      <c r="U2651">
        <v>0</v>
      </c>
      <c r="V2651">
        <v>0</v>
      </c>
      <c r="W2651">
        <v>0</v>
      </c>
      <c r="X2651">
        <v>1</v>
      </c>
      <c r="Y2651">
        <v>0</v>
      </c>
      <c r="Z2651">
        <v>1</v>
      </c>
      <c r="AA2651">
        <v>0</v>
      </c>
      <c r="AB2651">
        <v>0</v>
      </c>
      <c r="AC2651">
        <v>1</v>
      </c>
      <c r="AD2651">
        <v>1</v>
      </c>
      <c r="AE2651">
        <v>1</v>
      </c>
      <c r="AF2651">
        <v>1</v>
      </c>
      <c r="AG2651">
        <v>1</v>
      </c>
      <c r="AH2651">
        <v>1</v>
      </c>
      <c r="AI2651">
        <v>1</v>
      </c>
      <c r="AJ2651">
        <v>1</v>
      </c>
      <c r="AK2651">
        <v>1</v>
      </c>
      <c r="AL2651">
        <v>1</v>
      </c>
      <c r="AM2651">
        <v>1</v>
      </c>
    </row>
    <row r="2652" spans="1:39" x14ac:dyDescent="0.2">
      <c r="A2652" t="str">
        <f>"2648"</f>
        <v>2648</v>
      </c>
      <c r="B2652" t="str">
        <f t="shared" si="146"/>
        <v>1</v>
      </c>
      <c r="C2652" t="str">
        <f t="shared" si="147"/>
        <v>53</v>
      </c>
      <c r="D2652" t="str">
        <f>"10"</f>
        <v>10</v>
      </c>
      <c r="E2652" t="str">
        <f>"1-53-10"</f>
        <v>1-53-10</v>
      </c>
      <c r="F2652" t="s">
        <v>65</v>
      </c>
      <c r="G2652" t="s">
        <v>66</v>
      </c>
      <c r="H2652" t="s">
        <v>67</v>
      </c>
      <c r="S2652">
        <v>0</v>
      </c>
      <c r="T2652">
        <v>1</v>
      </c>
      <c r="U2652">
        <v>0</v>
      </c>
      <c r="V2652">
        <v>0</v>
      </c>
      <c r="W2652">
        <v>0</v>
      </c>
      <c r="X2652">
        <v>1</v>
      </c>
      <c r="Y2652">
        <v>0</v>
      </c>
      <c r="Z2652">
        <v>1</v>
      </c>
      <c r="AA2652">
        <v>0</v>
      </c>
      <c r="AB2652">
        <v>0</v>
      </c>
      <c r="AC2652">
        <v>1</v>
      </c>
      <c r="AD2652">
        <v>1</v>
      </c>
      <c r="AE2652">
        <v>1</v>
      </c>
      <c r="AF2652">
        <v>0</v>
      </c>
      <c r="AG2652">
        <v>1</v>
      </c>
      <c r="AH2652">
        <v>1</v>
      </c>
      <c r="AI2652">
        <v>1</v>
      </c>
      <c r="AJ2652">
        <v>1</v>
      </c>
      <c r="AK2652">
        <v>1</v>
      </c>
      <c r="AL2652">
        <v>1</v>
      </c>
      <c r="AM2652">
        <v>1</v>
      </c>
    </row>
    <row r="2653" spans="1:39" x14ac:dyDescent="0.2">
      <c r="A2653" t="str">
        <f>"2649"</f>
        <v>2649</v>
      </c>
      <c r="B2653" t="str">
        <f t="shared" si="146"/>
        <v>1</v>
      </c>
      <c r="C2653" t="str">
        <f t="shared" si="147"/>
        <v>53</v>
      </c>
      <c r="D2653" t="str">
        <f>"29"</f>
        <v>29</v>
      </c>
      <c r="E2653" t="str">
        <f>"1-53-29"</f>
        <v>1-53-29</v>
      </c>
      <c r="F2653" t="s">
        <v>65</v>
      </c>
      <c r="G2653" t="s">
        <v>66</v>
      </c>
      <c r="H2653" t="s">
        <v>67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1</v>
      </c>
      <c r="AJ2653">
        <v>1</v>
      </c>
      <c r="AK2653">
        <v>0</v>
      </c>
      <c r="AL2653">
        <v>0</v>
      </c>
      <c r="AM2653">
        <v>1</v>
      </c>
    </row>
    <row r="2654" spans="1:39" x14ac:dyDescent="0.2">
      <c r="A2654" t="str">
        <f>"2650"</f>
        <v>2650</v>
      </c>
      <c r="B2654" t="str">
        <f t="shared" si="146"/>
        <v>1</v>
      </c>
      <c r="C2654" t="str">
        <f t="shared" si="147"/>
        <v>53</v>
      </c>
      <c r="D2654" t="str">
        <f>"11"</f>
        <v>11</v>
      </c>
      <c r="E2654" t="str">
        <f>"1-53-11"</f>
        <v>1-53-11</v>
      </c>
      <c r="F2654" t="s">
        <v>65</v>
      </c>
      <c r="G2654" t="s">
        <v>66</v>
      </c>
      <c r="H2654" t="s">
        <v>67</v>
      </c>
      <c r="S2654">
        <v>1</v>
      </c>
      <c r="T2654">
        <v>0</v>
      </c>
      <c r="U2654">
        <v>0</v>
      </c>
      <c r="V2654">
        <v>0</v>
      </c>
      <c r="W2654">
        <v>1</v>
      </c>
      <c r="X2654">
        <v>0</v>
      </c>
      <c r="Y2654">
        <v>0</v>
      </c>
      <c r="Z2654">
        <v>1</v>
      </c>
      <c r="AA2654">
        <v>1</v>
      </c>
      <c r="AB2654">
        <v>0</v>
      </c>
      <c r="AC2654">
        <v>0</v>
      </c>
      <c r="AD2654">
        <v>1</v>
      </c>
      <c r="AE2654">
        <v>1</v>
      </c>
      <c r="AF2654">
        <v>1</v>
      </c>
      <c r="AG2654">
        <v>1</v>
      </c>
      <c r="AH2654">
        <v>1</v>
      </c>
      <c r="AI2654">
        <v>1</v>
      </c>
      <c r="AJ2654">
        <v>1</v>
      </c>
      <c r="AK2654">
        <v>1</v>
      </c>
      <c r="AL2654">
        <v>1</v>
      </c>
      <c r="AM2654">
        <v>1</v>
      </c>
    </row>
    <row r="2655" spans="1:39" x14ac:dyDescent="0.2">
      <c r="A2655" t="str">
        <f>"2651"</f>
        <v>2651</v>
      </c>
      <c r="B2655" t="str">
        <f t="shared" si="146"/>
        <v>1</v>
      </c>
      <c r="C2655" t="str">
        <f t="shared" ref="C2655:C2686" si="148">"54"</f>
        <v>54</v>
      </c>
      <c r="D2655" t="str">
        <f>"42"</f>
        <v>42</v>
      </c>
      <c r="E2655" t="str">
        <f>"1-54-42"</f>
        <v>1-54-42</v>
      </c>
      <c r="F2655" t="s">
        <v>65</v>
      </c>
      <c r="G2655" t="s">
        <v>66</v>
      </c>
      <c r="H2655" t="s">
        <v>68</v>
      </c>
      <c r="I2655">
        <v>1</v>
      </c>
      <c r="J2655">
        <v>0</v>
      </c>
      <c r="K2655">
        <v>0</v>
      </c>
      <c r="L2655">
        <v>1</v>
      </c>
      <c r="M2655">
        <v>1</v>
      </c>
      <c r="N2655">
        <v>1</v>
      </c>
      <c r="O2655">
        <v>1</v>
      </c>
      <c r="P2655">
        <v>1</v>
      </c>
      <c r="Q2655">
        <v>1</v>
      </c>
      <c r="R2655">
        <v>1</v>
      </c>
    </row>
    <row r="2656" spans="1:39" x14ac:dyDescent="0.2">
      <c r="A2656" t="str">
        <f>"2652"</f>
        <v>2652</v>
      </c>
      <c r="B2656" t="str">
        <f t="shared" si="146"/>
        <v>1</v>
      </c>
      <c r="C2656" t="str">
        <f t="shared" si="148"/>
        <v>54</v>
      </c>
      <c r="D2656" t="str">
        <f>"41"</f>
        <v>41</v>
      </c>
      <c r="E2656" t="str">
        <f>"1-54-41"</f>
        <v>1-54-41</v>
      </c>
      <c r="F2656" t="s">
        <v>65</v>
      </c>
      <c r="G2656" t="s">
        <v>66</v>
      </c>
      <c r="H2656" t="s">
        <v>68</v>
      </c>
      <c r="I2656">
        <v>1</v>
      </c>
      <c r="J2656">
        <v>0</v>
      </c>
      <c r="K2656">
        <v>1</v>
      </c>
      <c r="L2656">
        <v>0</v>
      </c>
      <c r="M2656">
        <v>1</v>
      </c>
      <c r="N2656">
        <v>1</v>
      </c>
      <c r="O2656">
        <v>1</v>
      </c>
      <c r="P2656">
        <v>1</v>
      </c>
      <c r="Q2656">
        <v>1</v>
      </c>
      <c r="R2656">
        <v>1</v>
      </c>
    </row>
    <row r="2657" spans="1:18" x14ac:dyDescent="0.2">
      <c r="A2657" t="str">
        <f>"2653"</f>
        <v>2653</v>
      </c>
      <c r="B2657" t="str">
        <f t="shared" si="146"/>
        <v>1</v>
      </c>
      <c r="C2657" t="str">
        <f t="shared" si="148"/>
        <v>54</v>
      </c>
      <c r="D2657" t="str">
        <f>"25"</f>
        <v>25</v>
      </c>
      <c r="E2657" t="str">
        <f>"1-54-25"</f>
        <v>1-54-25</v>
      </c>
      <c r="F2657" t="s">
        <v>65</v>
      </c>
      <c r="G2657" t="s">
        <v>66</v>
      </c>
      <c r="H2657" t="s">
        <v>68</v>
      </c>
      <c r="I2657">
        <v>1</v>
      </c>
      <c r="J2657">
        <v>1</v>
      </c>
      <c r="K2657">
        <v>0</v>
      </c>
      <c r="L2657">
        <v>0</v>
      </c>
      <c r="M2657">
        <v>1</v>
      </c>
      <c r="N2657">
        <v>1</v>
      </c>
      <c r="O2657">
        <v>1</v>
      </c>
      <c r="P2657">
        <v>1</v>
      </c>
      <c r="Q2657">
        <v>1</v>
      </c>
      <c r="R2657">
        <v>1</v>
      </c>
    </row>
    <row r="2658" spans="1:18" x14ac:dyDescent="0.2">
      <c r="A2658" t="str">
        <f>"2654"</f>
        <v>2654</v>
      </c>
      <c r="B2658" t="str">
        <f t="shared" si="146"/>
        <v>1</v>
      </c>
      <c r="C2658" t="str">
        <f t="shared" si="148"/>
        <v>54</v>
      </c>
      <c r="D2658" t="str">
        <f>"24"</f>
        <v>24</v>
      </c>
      <c r="E2658" t="str">
        <f>"1-54-24"</f>
        <v>1-54-24</v>
      </c>
      <c r="F2658" t="s">
        <v>65</v>
      </c>
      <c r="G2658" t="s">
        <v>66</v>
      </c>
      <c r="H2658" t="s">
        <v>68</v>
      </c>
      <c r="I2658">
        <v>1</v>
      </c>
      <c r="J2658">
        <v>0</v>
      </c>
      <c r="K2658">
        <v>0</v>
      </c>
      <c r="L2658">
        <v>1</v>
      </c>
      <c r="M2658">
        <v>1</v>
      </c>
      <c r="N2658">
        <v>1</v>
      </c>
      <c r="O2658">
        <v>1</v>
      </c>
      <c r="P2658">
        <v>1</v>
      </c>
      <c r="Q2658">
        <v>1</v>
      </c>
      <c r="R2658">
        <v>1</v>
      </c>
    </row>
    <row r="2659" spans="1:18" x14ac:dyDescent="0.2">
      <c r="A2659" t="str">
        <f>"2655"</f>
        <v>2655</v>
      </c>
      <c r="B2659" t="str">
        <f t="shared" si="146"/>
        <v>1</v>
      </c>
      <c r="C2659" t="str">
        <f t="shared" si="148"/>
        <v>54</v>
      </c>
      <c r="D2659" t="str">
        <f>"21"</f>
        <v>21</v>
      </c>
      <c r="E2659" t="str">
        <f>"1-54-21"</f>
        <v>1-54-21</v>
      </c>
      <c r="F2659" t="s">
        <v>65</v>
      </c>
      <c r="G2659" t="s">
        <v>66</v>
      </c>
      <c r="H2659" t="s">
        <v>68</v>
      </c>
      <c r="I2659">
        <v>1</v>
      </c>
      <c r="J2659">
        <v>0</v>
      </c>
      <c r="K2659">
        <v>0</v>
      </c>
      <c r="L2659">
        <v>1</v>
      </c>
      <c r="M2659">
        <v>1</v>
      </c>
      <c r="N2659">
        <v>1</v>
      </c>
      <c r="O2659">
        <v>1</v>
      </c>
      <c r="P2659">
        <v>1</v>
      </c>
      <c r="Q2659">
        <v>1</v>
      </c>
      <c r="R2659">
        <v>1</v>
      </c>
    </row>
    <row r="2660" spans="1:18" x14ac:dyDescent="0.2">
      <c r="A2660" t="str">
        <f>"2656"</f>
        <v>2656</v>
      </c>
      <c r="B2660" t="str">
        <f t="shared" si="146"/>
        <v>1</v>
      </c>
      <c r="C2660" t="str">
        <f t="shared" si="148"/>
        <v>54</v>
      </c>
      <c r="D2660" t="str">
        <f>"15"</f>
        <v>15</v>
      </c>
      <c r="E2660" t="str">
        <f>"1-54-15"</f>
        <v>1-54-15</v>
      </c>
      <c r="F2660" t="s">
        <v>65</v>
      </c>
      <c r="G2660" t="s">
        <v>66</v>
      </c>
      <c r="H2660" t="s">
        <v>68</v>
      </c>
      <c r="I2660">
        <v>1</v>
      </c>
      <c r="J2660">
        <v>1</v>
      </c>
      <c r="K2660">
        <v>0</v>
      </c>
      <c r="L2660">
        <v>0</v>
      </c>
      <c r="M2660">
        <v>1</v>
      </c>
      <c r="N2660">
        <v>1</v>
      </c>
      <c r="O2660">
        <v>1</v>
      </c>
      <c r="P2660">
        <v>1</v>
      </c>
      <c r="Q2660">
        <v>1</v>
      </c>
      <c r="R2660">
        <v>1</v>
      </c>
    </row>
    <row r="2661" spans="1:18" x14ac:dyDescent="0.2">
      <c r="A2661" t="str">
        <f>"2657"</f>
        <v>2657</v>
      </c>
      <c r="B2661" t="str">
        <f t="shared" si="146"/>
        <v>1</v>
      </c>
      <c r="C2661" t="str">
        <f t="shared" si="148"/>
        <v>54</v>
      </c>
      <c r="D2661" t="str">
        <f>"7"</f>
        <v>7</v>
      </c>
      <c r="E2661" t="str">
        <f>"1-54-7"</f>
        <v>1-54-7</v>
      </c>
      <c r="F2661" t="s">
        <v>65</v>
      </c>
      <c r="G2661" t="s">
        <v>66</v>
      </c>
      <c r="H2661" t="s">
        <v>68</v>
      </c>
      <c r="I2661">
        <v>1</v>
      </c>
      <c r="J2661">
        <v>0</v>
      </c>
      <c r="K2661">
        <v>1</v>
      </c>
      <c r="L2661">
        <v>0</v>
      </c>
      <c r="M2661">
        <v>1</v>
      </c>
      <c r="N2661">
        <v>1</v>
      </c>
      <c r="O2661">
        <v>1</v>
      </c>
      <c r="P2661">
        <v>1</v>
      </c>
      <c r="Q2661">
        <v>1</v>
      </c>
      <c r="R2661">
        <v>1</v>
      </c>
    </row>
    <row r="2662" spans="1:18" x14ac:dyDescent="0.2">
      <c r="A2662" t="str">
        <f>"2658"</f>
        <v>2658</v>
      </c>
      <c r="B2662" t="str">
        <f t="shared" si="146"/>
        <v>1</v>
      </c>
      <c r="C2662" t="str">
        <f t="shared" si="148"/>
        <v>54</v>
      </c>
      <c r="D2662" t="str">
        <f>"38"</f>
        <v>38</v>
      </c>
      <c r="E2662" t="str">
        <f>"1-54-38"</f>
        <v>1-54-38</v>
      </c>
      <c r="F2662" t="s">
        <v>65</v>
      </c>
      <c r="G2662" t="s">
        <v>66</v>
      </c>
      <c r="H2662" t="s">
        <v>68</v>
      </c>
      <c r="I2662">
        <v>0</v>
      </c>
      <c r="J2662">
        <v>0</v>
      </c>
      <c r="K2662">
        <v>0</v>
      </c>
      <c r="L2662">
        <v>1</v>
      </c>
      <c r="M2662">
        <v>1</v>
      </c>
      <c r="N2662">
        <v>1</v>
      </c>
      <c r="O2662">
        <v>1</v>
      </c>
      <c r="P2662">
        <v>1</v>
      </c>
      <c r="Q2662">
        <v>1</v>
      </c>
      <c r="R2662">
        <v>1</v>
      </c>
    </row>
    <row r="2663" spans="1:18" x14ac:dyDescent="0.2">
      <c r="A2663" t="str">
        <f>"2659"</f>
        <v>2659</v>
      </c>
      <c r="B2663" t="str">
        <f t="shared" si="146"/>
        <v>1</v>
      </c>
      <c r="C2663" t="str">
        <f t="shared" si="148"/>
        <v>54</v>
      </c>
      <c r="D2663" t="str">
        <f>"37"</f>
        <v>37</v>
      </c>
      <c r="E2663" t="str">
        <f>"1-54-37"</f>
        <v>1-54-37</v>
      </c>
      <c r="F2663" t="s">
        <v>65</v>
      </c>
      <c r="G2663" t="s">
        <v>66</v>
      </c>
      <c r="H2663" t="s">
        <v>68</v>
      </c>
      <c r="I2663">
        <v>1</v>
      </c>
      <c r="J2663">
        <v>0</v>
      </c>
      <c r="K2663">
        <v>0</v>
      </c>
      <c r="L2663">
        <v>1</v>
      </c>
      <c r="M2663">
        <v>1</v>
      </c>
      <c r="N2663">
        <v>1</v>
      </c>
      <c r="O2663">
        <v>1</v>
      </c>
      <c r="P2663">
        <v>1</v>
      </c>
      <c r="Q2663">
        <v>1</v>
      </c>
      <c r="R2663">
        <v>1</v>
      </c>
    </row>
    <row r="2664" spans="1:18" x14ac:dyDescent="0.2">
      <c r="A2664" t="str">
        <f>"2660"</f>
        <v>2660</v>
      </c>
      <c r="B2664" t="str">
        <f t="shared" si="146"/>
        <v>1</v>
      </c>
      <c r="C2664" t="str">
        <f t="shared" si="148"/>
        <v>54</v>
      </c>
      <c r="D2664" t="str">
        <f>"26"</f>
        <v>26</v>
      </c>
      <c r="E2664" t="str">
        <f>"1-54-26"</f>
        <v>1-54-26</v>
      </c>
      <c r="F2664" t="s">
        <v>65</v>
      </c>
      <c r="G2664" t="s">
        <v>66</v>
      </c>
      <c r="H2664" t="s">
        <v>68</v>
      </c>
      <c r="I2664">
        <v>1</v>
      </c>
      <c r="J2664">
        <v>0</v>
      </c>
      <c r="K2664">
        <v>0</v>
      </c>
      <c r="L2664">
        <v>1</v>
      </c>
      <c r="M2664">
        <v>1</v>
      </c>
      <c r="N2664">
        <v>1</v>
      </c>
      <c r="O2664">
        <v>1</v>
      </c>
      <c r="P2664">
        <v>1</v>
      </c>
      <c r="Q2664">
        <v>1</v>
      </c>
      <c r="R2664">
        <v>1</v>
      </c>
    </row>
    <row r="2665" spans="1:18" x14ac:dyDescent="0.2">
      <c r="A2665" t="str">
        <f>"2661"</f>
        <v>2661</v>
      </c>
      <c r="B2665" t="str">
        <f t="shared" si="146"/>
        <v>1</v>
      </c>
      <c r="C2665" t="str">
        <f t="shared" si="148"/>
        <v>54</v>
      </c>
      <c r="D2665" t="str">
        <f>"16"</f>
        <v>16</v>
      </c>
      <c r="E2665" t="str">
        <f>"1-54-16"</f>
        <v>1-54-16</v>
      </c>
      <c r="F2665" t="s">
        <v>65</v>
      </c>
      <c r="G2665" t="s">
        <v>66</v>
      </c>
      <c r="H2665" t="s">
        <v>68</v>
      </c>
      <c r="I2665">
        <v>1</v>
      </c>
      <c r="J2665">
        <v>0</v>
      </c>
      <c r="K2665">
        <v>1</v>
      </c>
      <c r="L2665">
        <v>0</v>
      </c>
      <c r="M2665">
        <v>1</v>
      </c>
      <c r="N2665">
        <v>1</v>
      </c>
      <c r="O2665">
        <v>1</v>
      </c>
      <c r="P2665">
        <v>1</v>
      </c>
      <c r="Q2665">
        <v>1</v>
      </c>
      <c r="R2665">
        <v>1</v>
      </c>
    </row>
    <row r="2666" spans="1:18" x14ac:dyDescent="0.2">
      <c r="A2666" t="str">
        <f>"2662"</f>
        <v>2662</v>
      </c>
      <c r="B2666" t="str">
        <f t="shared" si="146"/>
        <v>1</v>
      </c>
      <c r="C2666" t="str">
        <f t="shared" si="148"/>
        <v>54</v>
      </c>
      <c r="D2666" t="str">
        <f>"2"</f>
        <v>2</v>
      </c>
      <c r="E2666" t="str">
        <f>"1-54-2"</f>
        <v>1-54-2</v>
      </c>
      <c r="F2666" t="s">
        <v>65</v>
      </c>
      <c r="G2666" t="s">
        <v>66</v>
      </c>
      <c r="H2666" t="s">
        <v>68</v>
      </c>
      <c r="I2666">
        <v>1</v>
      </c>
      <c r="J2666">
        <v>0</v>
      </c>
      <c r="K2666">
        <v>0</v>
      </c>
      <c r="L2666">
        <v>1</v>
      </c>
      <c r="M2666">
        <v>1</v>
      </c>
      <c r="N2666">
        <v>1</v>
      </c>
      <c r="O2666">
        <v>1</v>
      </c>
      <c r="P2666">
        <v>1</v>
      </c>
      <c r="Q2666">
        <v>1</v>
      </c>
      <c r="R2666">
        <v>1</v>
      </c>
    </row>
    <row r="2667" spans="1:18" x14ac:dyDescent="0.2">
      <c r="A2667" t="str">
        <f>"2663"</f>
        <v>2663</v>
      </c>
      <c r="B2667" t="str">
        <f t="shared" si="146"/>
        <v>1</v>
      </c>
      <c r="C2667" t="str">
        <f t="shared" si="148"/>
        <v>54</v>
      </c>
      <c r="D2667" t="str">
        <f>"40"</f>
        <v>40</v>
      </c>
      <c r="E2667" t="str">
        <f>"1-54-40"</f>
        <v>1-54-40</v>
      </c>
      <c r="F2667" t="s">
        <v>65</v>
      </c>
      <c r="G2667" t="s">
        <v>66</v>
      </c>
      <c r="H2667" t="s">
        <v>68</v>
      </c>
      <c r="I2667">
        <v>1</v>
      </c>
      <c r="J2667">
        <v>0</v>
      </c>
      <c r="K2667">
        <v>1</v>
      </c>
      <c r="L2667">
        <v>0</v>
      </c>
      <c r="M2667">
        <v>0</v>
      </c>
      <c r="N2667">
        <v>1</v>
      </c>
      <c r="O2667">
        <v>1</v>
      </c>
      <c r="P2667">
        <v>1</v>
      </c>
      <c r="Q2667">
        <v>1</v>
      </c>
      <c r="R2667">
        <v>1</v>
      </c>
    </row>
    <row r="2668" spans="1:18" x14ac:dyDescent="0.2">
      <c r="A2668" t="str">
        <f>"2664"</f>
        <v>2664</v>
      </c>
      <c r="B2668" t="str">
        <f t="shared" si="146"/>
        <v>1</v>
      </c>
      <c r="C2668" t="str">
        <f t="shared" si="148"/>
        <v>54</v>
      </c>
      <c r="D2668" t="str">
        <f>"39"</f>
        <v>39</v>
      </c>
      <c r="E2668" t="str">
        <f>"1-54-39"</f>
        <v>1-54-39</v>
      </c>
      <c r="F2668" t="s">
        <v>65</v>
      </c>
      <c r="G2668" t="s">
        <v>66</v>
      </c>
      <c r="H2668" t="s">
        <v>68</v>
      </c>
      <c r="I2668">
        <v>1</v>
      </c>
      <c r="J2668">
        <v>0</v>
      </c>
      <c r="K2668">
        <v>1</v>
      </c>
      <c r="L2668">
        <v>0</v>
      </c>
      <c r="M2668">
        <v>1</v>
      </c>
      <c r="N2668">
        <v>1</v>
      </c>
      <c r="O2668">
        <v>1</v>
      </c>
      <c r="P2668">
        <v>1</v>
      </c>
      <c r="Q2668">
        <v>1</v>
      </c>
      <c r="R2668">
        <v>1</v>
      </c>
    </row>
    <row r="2669" spans="1:18" x14ac:dyDescent="0.2">
      <c r="A2669" t="str">
        <f>"2665"</f>
        <v>2665</v>
      </c>
      <c r="B2669" t="str">
        <f t="shared" si="146"/>
        <v>1</v>
      </c>
      <c r="C2669" t="str">
        <f t="shared" si="148"/>
        <v>54</v>
      </c>
      <c r="D2669" t="str">
        <f>"28"</f>
        <v>28</v>
      </c>
      <c r="E2669" t="str">
        <f>"1-54-28"</f>
        <v>1-54-28</v>
      </c>
      <c r="F2669" t="s">
        <v>65</v>
      </c>
      <c r="G2669" t="s">
        <v>66</v>
      </c>
      <c r="H2669" t="s">
        <v>68</v>
      </c>
      <c r="I2669">
        <v>1</v>
      </c>
      <c r="J2669">
        <v>1</v>
      </c>
      <c r="K2669">
        <v>0</v>
      </c>
      <c r="L2669">
        <v>0</v>
      </c>
      <c r="M2669">
        <v>1</v>
      </c>
      <c r="N2669">
        <v>1</v>
      </c>
      <c r="O2669">
        <v>0</v>
      </c>
      <c r="P2669">
        <v>1</v>
      </c>
      <c r="Q2669">
        <v>1</v>
      </c>
      <c r="R2669">
        <v>0</v>
      </c>
    </row>
    <row r="2670" spans="1:18" x14ac:dyDescent="0.2">
      <c r="A2670" t="str">
        <f>"2666"</f>
        <v>2666</v>
      </c>
      <c r="B2670" t="str">
        <f t="shared" si="146"/>
        <v>1</v>
      </c>
      <c r="C2670" t="str">
        <f t="shared" si="148"/>
        <v>54</v>
      </c>
      <c r="D2670" t="str">
        <f>"17"</f>
        <v>17</v>
      </c>
      <c r="E2670" t="str">
        <f>"1-54-17"</f>
        <v>1-54-17</v>
      </c>
      <c r="F2670" t="s">
        <v>65</v>
      </c>
      <c r="G2670" t="s">
        <v>66</v>
      </c>
      <c r="H2670" t="s">
        <v>68</v>
      </c>
      <c r="I2670">
        <v>1</v>
      </c>
      <c r="J2670">
        <v>0</v>
      </c>
      <c r="K2670">
        <v>1</v>
      </c>
      <c r="L2670">
        <v>0</v>
      </c>
      <c r="M2670">
        <v>1</v>
      </c>
      <c r="N2670">
        <v>1</v>
      </c>
      <c r="O2670">
        <v>0</v>
      </c>
      <c r="P2670">
        <v>1</v>
      </c>
      <c r="Q2670">
        <v>1</v>
      </c>
      <c r="R2670">
        <v>0</v>
      </c>
    </row>
    <row r="2671" spans="1:18" x14ac:dyDescent="0.2">
      <c r="A2671" t="str">
        <f>"2667"</f>
        <v>2667</v>
      </c>
      <c r="B2671" t="str">
        <f t="shared" si="146"/>
        <v>1</v>
      </c>
      <c r="C2671" t="str">
        <f t="shared" si="148"/>
        <v>54</v>
      </c>
      <c r="D2671" t="str">
        <f>"5"</f>
        <v>5</v>
      </c>
      <c r="E2671" t="str">
        <f>"1-54-5"</f>
        <v>1-54-5</v>
      </c>
      <c r="F2671" t="s">
        <v>65</v>
      </c>
      <c r="G2671" t="s">
        <v>66</v>
      </c>
      <c r="H2671" t="s">
        <v>68</v>
      </c>
      <c r="I2671">
        <v>1</v>
      </c>
      <c r="J2671">
        <v>1</v>
      </c>
      <c r="K2671">
        <v>0</v>
      </c>
      <c r="L2671">
        <v>0</v>
      </c>
      <c r="M2671">
        <v>1</v>
      </c>
      <c r="N2671">
        <v>1</v>
      </c>
      <c r="O2671">
        <v>1</v>
      </c>
      <c r="P2671">
        <v>1</v>
      </c>
      <c r="Q2671">
        <v>1</v>
      </c>
      <c r="R2671">
        <v>1</v>
      </c>
    </row>
    <row r="2672" spans="1:18" x14ac:dyDescent="0.2">
      <c r="A2672" t="str">
        <f>"2668"</f>
        <v>2668</v>
      </c>
      <c r="B2672" t="str">
        <f t="shared" si="146"/>
        <v>1</v>
      </c>
      <c r="C2672" t="str">
        <f t="shared" si="148"/>
        <v>54</v>
      </c>
      <c r="D2672" t="str">
        <f>"44"</f>
        <v>44</v>
      </c>
      <c r="E2672" t="str">
        <f>"1-54-44"</f>
        <v>1-54-44</v>
      </c>
      <c r="F2672" t="s">
        <v>65</v>
      </c>
      <c r="G2672" t="s">
        <v>66</v>
      </c>
      <c r="H2672" t="s">
        <v>68</v>
      </c>
      <c r="I2672">
        <v>1</v>
      </c>
      <c r="J2672">
        <v>0</v>
      </c>
      <c r="K2672">
        <v>0</v>
      </c>
      <c r="L2672">
        <v>1</v>
      </c>
      <c r="M2672">
        <v>1</v>
      </c>
      <c r="N2672">
        <v>1</v>
      </c>
      <c r="O2672">
        <v>1</v>
      </c>
      <c r="P2672">
        <v>1</v>
      </c>
      <c r="Q2672">
        <v>1</v>
      </c>
      <c r="R2672">
        <v>1</v>
      </c>
    </row>
    <row r="2673" spans="1:18" x14ac:dyDescent="0.2">
      <c r="A2673" t="str">
        <f>"2669"</f>
        <v>2669</v>
      </c>
      <c r="B2673" t="str">
        <f t="shared" si="146"/>
        <v>1</v>
      </c>
      <c r="C2673" t="str">
        <f t="shared" si="148"/>
        <v>54</v>
      </c>
      <c r="D2673" t="str">
        <f>"43"</f>
        <v>43</v>
      </c>
      <c r="E2673" t="str">
        <f>"1-54-43"</f>
        <v>1-54-43</v>
      </c>
      <c r="F2673" t="s">
        <v>65</v>
      </c>
      <c r="G2673" t="s">
        <v>66</v>
      </c>
      <c r="H2673" t="s">
        <v>68</v>
      </c>
      <c r="I2673">
        <v>1</v>
      </c>
      <c r="J2673">
        <v>0</v>
      </c>
      <c r="K2673">
        <v>0</v>
      </c>
      <c r="L2673">
        <v>1</v>
      </c>
      <c r="M2673">
        <v>1</v>
      </c>
      <c r="N2673">
        <v>1</v>
      </c>
      <c r="O2673">
        <v>1</v>
      </c>
      <c r="P2673">
        <v>1</v>
      </c>
      <c r="Q2673">
        <v>1</v>
      </c>
      <c r="R2673">
        <v>1</v>
      </c>
    </row>
    <row r="2674" spans="1:18" x14ac:dyDescent="0.2">
      <c r="A2674" t="str">
        <f>"2670"</f>
        <v>2670</v>
      </c>
      <c r="B2674" t="str">
        <f t="shared" si="146"/>
        <v>1</v>
      </c>
      <c r="C2674" t="str">
        <f t="shared" si="148"/>
        <v>54</v>
      </c>
      <c r="D2674" t="str">
        <f>"31"</f>
        <v>31</v>
      </c>
      <c r="E2674" t="str">
        <f>"1-54-31"</f>
        <v>1-54-31</v>
      </c>
      <c r="F2674" t="s">
        <v>65</v>
      </c>
      <c r="G2674" t="s">
        <v>66</v>
      </c>
      <c r="H2674" t="s">
        <v>68</v>
      </c>
      <c r="I2674">
        <v>0</v>
      </c>
      <c r="J2674">
        <v>0</v>
      </c>
      <c r="K2674">
        <v>0</v>
      </c>
      <c r="L2674">
        <v>1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</row>
    <row r="2675" spans="1:18" x14ac:dyDescent="0.2">
      <c r="A2675" t="str">
        <f>"2671"</f>
        <v>2671</v>
      </c>
      <c r="B2675" t="str">
        <f t="shared" si="146"/>
        <v>1</v>
      </c>
      <c r="C2675" t="str">
        <f t="shared" si="148"/>
        <v>54</v>
      </c>
      <c r="D2675" t="str">
        <f>"18"</f>
        <v>18</v>
      </c>
      <c r="E2675" t="str">
        <f>"1-54-18"</f>
        <v>1-54-18</v>
      </c>
      <c r="F2675" t="s">
        <v>65</v>
      </c>
      <c r="G2675" t="s">
        <v>66</v>
      </c>
      <c r="H2675" t="s">
        <v>68</v>
      </c>
      <c r="I2675">
        <v>1</v>
      </c>
      <c r="J2675">
        <v>1</v>
      </c>
      <c r="K2675">
        <v>0</v>
      </c>
      <c r="L2675">
        <v>0</v>
      </c>
      <c r="M2675">
        <v>1</v>
      </c>
      <c r="N2675">
        <v>1</v>
      </c>
      <c r="O2675">
        <v>1</v>
      </c>
      <c r="P2675">
        <v>1</v>
      </c>
      <c r="Q2675">
        <v>1</v>
      </c>
      <c r="R2675">
        <v>1</v>
      </c>
    </row>
    <row r="2676" spans="1:18" x14ac:dyDescent="0.2">
      <c r="A2676" t="str">
        <f>"2672"</f>
        <v>2672</v>
      </c>
      <c r="B2676" t="str">
        <f t="shared" si="146"/>
        <v>1</v>
      </c>
      <c r="C2676" t="str">
        <f t="shared" si="148"/>
        <v>54</v>
      </c>
      <c r="D2676" t="str">
        <f>"10"</f>
        <v>10</v>
      </c>
      <c r="E2676" t="str">
        <f>"1-54-10"</f>
        <v>1-54-10</v>
      </c>
      <c r="F2676" t="s">
        <v>65</v>
      </c>
      <c r="G2676" t="s">
        <v>66</v>
      </c>
      <c r="H2676" t="s">
        <v>68</v>
      </c>
      <c r="I2676">
        <v>1</v>
      </c>
      <c r="J2676">
        <v>0</v>
      </c>
      <c r="K2676">
        <v>0</v>
      </c>
      <c r="L2676">
        <v>1</v>
      </c>
      <c r="M2676">
        <v>1</v>
      </c>
      <c r="N2676">
        <v>1</v>
      </c>
      <c r="O2676">
        <v>1</v>
      </c>
      <c r="P2676">
        <v>1</v>
      </c>
      <c r="Q2676">
        <v>0</v>
      </c>
      <c r="R2676">
        <v>1</v>
      </c>
    </row>
    <row r="2677" spans="1:18" x14ac:dyDescent="0.2">
      <c r="A2677" t="str">
        <f>"2673"</f>
        <v>2673</v>
      </c>
      <c r="B2677" t="str">
        <f t="shared" si="146"/>
        <v>1</v>
      </c>
      <c r="C2677" t="str">
        <f t="shared" si="148"/>
        <v>54</v>
      </c>
      <c r="D2677" t="str">
        <f>"48"</f>
        <v>48</v>
      </c>
      <c r="E2677" t="str">
        <f>"1-54-48"</f>
        <v>1-54-48</v>
      </c>
      <c r="F2677" t="s">
        <v>65</v>
      </c>
      <c r="G2677" t="s">
        <v>66</v>
      </c>
      <c r="H2677" t="s">
        <v>68</v>
      </c>
      <c r="I2677">
        <v>1</v>
      </c>
      <c r="J2677">
        <v>1</v>
      </c>
      <c r="K2677">
        <v>0</v>
      </c>
      <c r="L2677">
        <v>0</v>
      </c>
      <c r="M2677">
        <v>1</v>
      </c>
      <c r="N2677">
        <v>1</v>
      </c>
      <c r="O2677">
        <v>1</v>
      </c>
      <c r="P2677">
        <v>1</v>
      </c>
      <c r="Q2677">
        <v>1</v>
      </c>
      <c r="R2677">
        <v>1</v>
      </c>
    </row>
    <row r="2678" spans="1:18" x14ac:dyDescent="0.2">
      <c r="A2678" t="str">
        <f>"2674"</f>
        <v>2674</v>
      </c>
      <c r="B2678" t="str">
        <f t="shared" si="146"/>
        <v>1</v>
      </c>
      <c r="C2678" t="str">
        <f t="shared" si="148"/>
        <v>54</v>
      </c>
      <c r="D2678" t="str">
        <f>"47"</f>
        <v>47</v>
      </c>
      <c r="E2678" t="str">
        <f>"1-54-47"</f>
        <v>1-54-47</v>
      </c>
      <c r="F2678" t="s">
        <v>65</v>
      </c>
      <c r="G2678" t="s">
        <v>66</v>
      </c>
      <c r="H2678" t="s">
        <v>68</v>
      </c>
      <c r="I2678">
        <v>1</v>
      </c>
      <c r="J2678">
        <v>0</v>
      </c>
      <c r="K2678">
        <v>0</v>
      </c>
      <c r="L2678">
        <v>1</v>
      </c>
      <c r="M2678">
        <v>1</v>
      </c>
      <c r="N2678">
        <v>1</v>
      </c>
      <c r="O2678">
        <v>1</v>
      </c>
      <c r="P2678">
        <v>1</v>
      </c>
      <c r="Q2678">
        <v>1</v>
      </c>
      <c r="R2678">
        <v>1</v>
      </c>
    </row>
    <row r="2679" spans="1:18" x14ac:dyDescent="0.2">
      <c r="A2679" t="str">
        <f>"2675"</f>
        <v>2675</v>
      </c>
      <c r="B2679" t="str">
        <f t="shared" ref="B2679:B2742" si="149">"1"</f>
        <v>1</v>
      </c>
      <c r="C2679" t="str">
        <f t="shared" si="148"/>
        <v>54</v>
      </c>
      <c r="D2679" t="str">
        <f>"32"</f>
        <v>32</v>
      </c>
      <c r="E2679" t="str">
        <f>"1-54-32"</f>
        <v>1-54-32</v>
      </c>
      <c r="F2679" t="s">
        <v>65</v>
      </c>
      <c r="G2679" t="s">
        <v>66</v>
      </c>
      <c r="H2679" t="s">
        <v>68</v>
      </c>
      <c r="I2679">
        <v>1</v>
      </c>
      <c r="J2679">
        <v>0</v>
      </c>
      <c r="K2679">
        <v>0</v>
      </c>
      <c r="L2679">
        <v>1</v>
      </c>
      <c r="M2679">
        <v>1</v>
      </c>
      <c r="N2679">
        <v>1</v>
      </c>
      <c r="O2679">
        <v>1</v>
      </c>
      <c r="P2679">
        <v>1</v>
      </c>
      <c r="Q2679">
        <v>1</v>
      </c>
      <c r="R2679">
        <v>1</v>
      </c>
    </row>
    <row r="2680" spans="1:18" x14ac:dyDescent="0.2">
      <c r="A2680" t="str">
        <f>"2676"</f>
        <v>2676</v>
      </c>
      <c r="B2680" t="str">
        <f t="shared" si="149"/>
        <v>1</v>
      </c>
      <c r="C2680" t="str">
        <f t="shared" si="148"/>
        <v>54</v>
      </c>
      <c r="D2680" t="str">
        <f>"19"</f>
        <v>19</v>
      </c>
      <c r="E2680" t="str">
        <f>"1-54-19"</f>
        <v>1-54-19</v>
      </c>
      <c r="F2680" t="s">
        <v>65</v>
      </c>
      <c r="G2680" t="s">
        <v>66</v>
      </c>
      <c r="H2680" t="s">
        <v>68</v>
      </c>
      <c r="I2680">
        <v>1</v>
      </c>
      <c r="J2680">
        <v>0</v>
      </c>
      <c r="K2680">
        <v>0</v>
      </c>
      <c r="L2680">
        <v>1</v>
      </c>
      <c r="M2680">
        <v>1</v>
      </c>
      <c r="N2680">
        <v>1</v>
      </c>
      <c r="O2680">
        <v>1</v>
      </c>
      <c r="P2680">
        <v>1</v>
      </c>
      <c r="Q2680">
        <v>1</v>
      </c>
      <c r="R2680">
        <v>1</v>
      </c>
    </row>
    <row r="2681" spans="1:18" x14ac:dyDescent="0.2">
      <c r="A2681" t="str">
        <f>"2677"</f>
        <v>2677</v>
      </c>
      <c r="B2681" t="str">
        <f t="shared" si="149"/>
        <v>1</v>
      </c>
      <c r="C2681" t="str">
        <f t="shared" si="148"/>
        <v>54</v>
      </c>
      <c r="D2681" t="str">
        <f>"4"</f>
        <v>4</v>
      </c>
      <c r="E2681" t="str">
        <f>"1-54-4"</f>
        <v>1-54-4</v>
      </c>
      <c r="F2681" t="s">
        <v>65</v>
      </c>
      <c r="G2681" t="s">
        <v>66</v>
      </c>
      <c r="H2681" t="s">
        <v>68</v>
      </c>
      <c r="I2681">
        <v>1</v>
      </c>
      <c r="J2681">
        <v>0</v>
      </c>
      <c r="K2681">
        <v>0</v>
      </c>
      <c r="L2681">
        <v>1</v>
      </c>
      <c r="M2681">
        <v>1</v>
      </c>
      <c r="N2681">
        <v>1</v>
      </c>
      <c r="O2681">
        <v>1</v>
      </c>
      <c r="P2681">
        <v>1</v>
      </c>
      <c r="Q2681">
        <v>1</v>
      </c>
      <c r="R2681">
        <v>1</v>
      </c>
    </row>
    <row r="2682" spans="1:18" x14ac:dyDescent="0.2">
      <c r="A2682" t="str">
        <f>"2678"</f>
        <v>2678</v>
      </c>
      <c r="B2682" t="str">
        <f t="shared" si="149"/>
        <v>1</v>
      </c>
      <c r="C2682" t="str">
        <f t="shared" si="148"/>
        <v>54</v>
      </c>
      <c r="D2682" t="str">
        <f>"46"</f>
        <v>46</v>
      </c>
      <c r="E2682" t="str">
        <f>"1-54-46"</f>
        <v>1-54-46</v>
      </c>
      <c r="F2682" t="s">
        <v>65</v>
      </c>
      <c r="G2682" t="s">
        <v>66</v>
      </c>
      <c r="H2682" t="s">
        <v>68</v>
      </c>
      <c r="I2682">
        <v>1</v>
      </c>
      <c r="J2682">
        <v>1</v>
      </c>
      <c r="K2682">
        <v>0</v>
      </c>
      <c r="L2682">
        <v>0</v>
      </c>
      <c r="M2682">
        <v>1</v>
      </c>
      <c r="N2682">
        <v>1</v>
      </c>
      <c r="O2682">
        <v>1</v>
      </c>
      <c r="P2682">
        <v>1</v>
      </c>
      <c r="Q2682">
        <v>1</v>
      </c>
      <c r="R2682">
        <v>1</v>
      </c>
    </row>
    <row r="2683" spans="1:18" x14ac:dyDescent="0.2">
      <c r="A2683" t="str">
        <f>"2679"</f>
        <v>2679</v>
      </c>
      <c r="B2683" t="str">
        <f t="shared" si="149"/>
        <v>1</v>
      </c>
      <c r="C2683" t="str">
        <f t="shared" si="148"/>
        <v>54</v>
      </c>
      <c r="D2683" t="str">
        <f>"45"</f>
        <v>45</v>
      </c>
      <c r="E2683" t="str">
        <f>"1-54-45"</f>
        <v>1-54-45</v>
      </c>
      <c r="F2683" t="s">
        <v>65</v>
      </c>
      <c r="G2683" t="s">
        <v>66</v>
      </c>
      <c r="H2683" t="s">
        <v>68</v>
      </c>
      <c r="I2683">
        <v>1</v>
      </c>
      <c r="J2683">
        <v>0</v>
      </c>
      <c r="K2683">
        <v>0</v>
      </c>
      <c r="L2683">
        <v>1</v>
      </c>
      <c r="M2683">
        <v>1</v>
      </c>
      <c r="N2683">
        <v>0</v>
      </c>
      <c r="O2683">
        <v>1</v>
      </c>
      <c r="P2683">
        <v>1</v>
      </c>
      <c r="Q2683">
        <v>1</v>
      </c>
      <c r="R2683">
        <v>1</v>
      </c>
    </row>
    <row r="2684" spans="1:18" x14ac:dyDescent="0.2">
      <c r="A2684" t="str">
        <f>"2680"</f>
        <v>2680</v>
      </c>
      <c r="B2684" t="str">
        <f t="shared" si="149"/>
        <v>1</v>
      </c>
      <c r="C2684" t="str">
        <f t="shared" si="148"/>
        <v>54</v>
      </c>
      <c r="D2684" t="str">
        <f>"33"</f>
        <v>33</v>
      </c>
      <c r="E2684" t="str">
        <f>"1-54-33"</f>
        <v>1-54-33</v>
      </c>
      <c r="F2684" t="s">
        <v>65</v>
      </c>
      <c r="G2684" t="s">
        <v>66</v>
      </c>
      <c r="H2684" t="s">
        <v>68</v>
      </c>
      <c r="I2684">
        <v>1</v>
      </c>
      <c r="J2684">
        <v>0</v>
      </c>
      <c r="K2684">
        <v>0</v>
      </c>
      <c r="L2684">
        <v>1</v>
      </c>
      <c r="M2684">
        <v>1</v>
      </c>
      <c r="N2684">
        <v>1</v>
      </c>
      <c r="O2684">
        <v>1</v>
      </c>
      <c r="P2684">
        <v>1</v>
      </c>
      <c r="Q2684">
        <v>1</v>
      </c>
      <c r="R2684">
        <v>1</v>
      </c>
    </row>
    <row r="2685" spans="1:18" x14ac:dyDescent="0.2">
      <c r="A2685" t="str">
        <f>"2681"</f>
        <v>2681</v>
      </c>
      <c r="B2685" t="str">
        <f t="shared" si="149"/>
        <v>1</v>
      </c>
      <c r="C2685" t="str">
        <f t="shared" si="148"/>
        <v>54</v>
      </c>
      <c r="D2685" t="str">
        <f>"20"</f>
        <v>20</v>
      </c>
      <c r="E2685" t="str">
        <f>"1-54-20"</f>
        <v>1-54-20</v>
      </c>
      <c r="F2685" t="s">
        <v>65</v>
      </c>
      <c r="G2685" t="s">
        <v>66</v>
      </c>
      <c r="H2685" t="s">
        <v>68</v>
      </c>
      <c r="I2685">
        <v>1</v>
      </c>
      <c r="J2685">
        <v>1</v>
      </c>
      <c r="K2685">
        <v>0</v>
      </c>
      <c r="L2685">
        <v>0</v>
      </c>
      <c r="M2685">
        <v>1</v>
      </c>
      <c r="N2685">
        <v>1</v>
      </c>
      <c r="O2685">
        <v>1</v>
      </c>
      <c r="P2685">
        <v>1</v>
      </c>
      <c r="Q2685">
        <v>1</v>
      </c>
      <c r="R2685">
        <v>1</v>
      </c>
    </row>
    <row r="2686" spans="1:18" x14ac:dyDescent="0.2">
      <c r="A2686" t="str">
        <f>"2682"</f>
        <v>2682</v>
      </c>
      <c r="B2686" t="str">
        <f t="shared" si="149"/>
        <v>1</v>
      </c>
      <c r="C2686" t="str">
        <f t="shared" si="148"/>
        <v>54</v>
      </c>
      <c r="D2686" t="str">
        <f>"13"</f>
        <v>13</v>
      </c>
      <c r="E2686" t="str">
        <f>"1-54-13"</f>
        <v>1-54-13</v>
      </c>
      <c r="F2686" t="s">
        <v>65</v>
      </c>
      <c r="G2686" t="s">
        <v>66</v>
      </c>
      <c r="H2686" t="s">
        <v>68</v>
      </c>
      <c r="I2686">
        <v>1</v>
      </c>
      <c r="J2686">
        <v>0</v>
      </c>
      <c r="K2686">
        <v>0</v>
      </c>
      <c r="L2686">
        <v>0</v>
      </c>
      <c r="M2686">
        <v>1</v>
      </c>
      <c r="N2686">
        <v>1</v>
      </c>
      <c r="O2686">
        <v>1</v>
      </c>
      <c r="P2686">
        <v>1</v>
      </c>
      <c r="Q2686">
        <v>1</v>
      </c>
      <c r="R2686">
        <v>1</v>
      </c>
    </row>
    <row r="2687" spans="1:18" x14ac:dyDescent="0.2">
      <c r="A2687" t="str">
        <f>"2683"</f>
        <v>2683</v>
      </c>
      <c r="B2687" t="str">
        <f t="shared" si="149"/>
        <v>1</v>
      </c>
      <c r="C2687" t="str">
        <f t="shared" ref="C2687:C2704" si="150">"54"</f>
        <v>54</v>
      </c>
      <c r="D2687" t="str">
        <f>"49"</f>
        <v>49</v>
      </c>
      <c r="E2687" t="str">
        <f>"1-54-49"</f>
        <v>1-54-49</v>
      </c>
      <c r="F2687" t="s">
        <v>65</v>
      </c>
      <c r="G2687" t="s">
        <v>66</v>
      </c>
      <c r="H2687" t="s">
        <v>68</v>
      </c>
      <c r="I2687">
        <v>1</v>
      </c>
      <c r="J2687">
        <v>0</v>
      </c>
      <c r="K2687">
        <v>0</v>
      </c>
      <c r="L2687">
        <v>1</v>
      </c>
      <c r="M2687">
        <v>1</v>
      </c>
      <c r="N2687">
        <v>1</v>
      </c>
      <c r="O2687">
        <v>1</v>
      </c>
      <c r="P2687">
        <v>1</v>
      </c>
      <c r="Q2687">
        <v>1</v>
      </c>
      <c r="R2687">
        <v>1</v>
      </c>
    </row>
    <row r="2688" spans="1:18" x14ac:dyDescent="0.2">
      <c r="A2688" t="str">
        <f>"2684"</f>
        <v>2684</v>
      </c>
      <c r="B2688" t="str">
        <f t="shared" si="149"/>
        <v>1</v>
      </c>
      <c r="C2688" t="str">
        <f t="shared" si="150"/>
        <v>54</v>
      </c>
      <c r="D2688" t="str">
        <f>"22"</f>
        <v>22</v>
      </c>
      <c r="E2688" t="str">
        <f>"1-54-22"</f>
        <v>1-54-22</v>
      </c>
      <c r="F2688" t="s">
        <v>65</v>
      </c>
      <c r="G2688" t="s">
        <v>66</v>
      </c>
      <c r="H2688" t="s">
        <v>68</v>
      </c>
      <c r="I2688">
        <v>0</v>
      </c>
      <c r="J2688">
        <v>1</v>
      </c>
      <c r="K2688">
        <v>0</v>
      </c>
      <c r="L2688">
        <v>0</v>
      </c>
      <c r="M2688">
        <v>1</v>
      </c>
      <c r="N2688">
        <v>1</v>
      </c>
      <c r="O2688">
        <v>1</v>
      </c>
      <c r="P2688">
        <v>1</v>
      </c>
      <c r="Q2688">
        <v>1</v>
      </c>
      <c r="R2688">
        <v>1</v>
      </c>
    </row>
    <row r="2689" spans="1:18" x14ac:dyDescent="0.2">
      <c r="A2689" t="str">
        <f>"2685"</f>
        <v>2685</v>
      </c>
      <c r="B2689" t="str">
        <f t="shared" si="149"/>
        <v>1</v>
      </c>
      <c r="C2689" t="str">
        <f t="shared" si="150"/>
        <v>54</v>
      </c>
      <c r="D2689" t="str">
        <f>"1"</f>
        <v>1</v>
      </c>
      <c r="E2689" t="str">
        <f>"1-54-1"</f>
        <v>1-54-1</v>
      </c>
      <c r="F2689" t="s">
        <v>65</v>
      </c>
      <c r="G2689" t="s">
        <v>66</v>
      </c>
      <c r="H2689" t="s">
        <v>68</v>
      </c>
      <c r="I2689">
        <v>0</v>
      </c>
      <c r="J2689">
        <v>1</v>
      </c>
      <c r="K2689">
        <v>0</v>
      </c>
      <c r="L2689">
        <v>0</v>
      </c>
      <c r="M2689">
        <v>1</v>
      </c>
      <c r="N2689">
        <v>1</v>
      </c>
      <c r="O2689">
        <v>1</v>
      </c>
      <c r="P2689">
        <v>1</v>
      </c>
      <c r="Q2689">
        <v>1</v>
      </c>
      <c r="R2689">
        <v>1</v>
      </c>
    </row>
    <row r="2690" spans="1:18" x14ac:dyDescent="0.2">
      <c r="A2690" t="str">
        <f>"2686"</f>
        <v>2686</v>
      </c>
      <c r="B2690" t="str">
        <f t="shared" si="149"/>
        <v>1</v>
      </c>
      <c r="C2690" t="str">
        <f t="shared" si="150"/>
        <v>54</v>
      </c>
      <c r="D2690" t="str">
        <f>"50"</f>
        <v>50</v>
      </c>
      <c r="E2690" t="str">
        <f>"1-54-50"</f>
        <v>1-54-50</v>
      </c>
      <c r="F2690" t="s">
        <v>65</v>
      </c>
      <c r="G2690" t="s">
        <v>66</v>
      </c>
      <c r="H2690" t="s">
        <v>68</v>
      </c>
      <c r="I2690">
        <v>1</v>
      </c>
      <c r="J2690">
        <v>0</v>
      </c>
      <c r="K2690">
        <v>1</v>
      </c>
      <c r="L2690">
        <v>0</v>
      </c>
      <c r="M2690">
        <v>1</v>
      </c>
      <c r="N2690">
        <v>1</v>
      </c>
      <c r="O2690">
        <v>1</v>
      </c>
      <c r="P2690">
        <v>1</v>
      </c>
      <c r="Q2690">
        <v>1</v>
      </c>
      <c r="R2690">
        <v>1</v>
      </c>
    </row>
    <row r="2691" spans="1:18" x14ac:dyDescent="0.2">
      <c r="A2691" t="str">
        <f>"2687"</f>
        <v>2687</v>
      </c>
      <c r="B2691" t="str">
        <f t="shared" si="149"/>
        <v>1</v>
      </c>
      <c r="C2691" t="str">
        <f t="shared" si="150"/>
        <v>54</v>
      </c>
      <c r="D2691" t="str">
        <f>"23"</f>
        <v>23</v>
      </c>
      <c r="E2691" t="str">
        <f>"1-54-23"</f>
        <v>1-54-23</v>
      </c>
      <c r="F2691" t="s">
        <v>65</v>
      </c>
      <c r="G2691" t="s">
        <v>66</v>
      </c>
      <c r="H2691" t="s">
        <v>68</v>
      </c>
      <c r="I2691">
        <v>1</v>
      </c>
      <c r="J2691">
        <v>0</v>
      </c>
      <c r="K2691">
        <v>1</v>
      </c>
      <c r="L2691">
        <v>0</v>
      </c>
      <c r="M2691">
        <v>1</v>
      </c>
      <c r="N2691">
        <v>1</v>
      </c>
      <c r="O2691">
        <v>1</v>
      </c>
      <c r="P2691">
        <v>1</v>
      </c>
      <c r="Q2691">
        <v>1</v>
      </c>
      <c r="R2691">
        <v>1</v>
      </c>
    </row>
    <row r="2692" spans="1:18" x14ac:dyDescent="0.2">
      <c r="A2692" t="str">
        <f>"2688"</f>
        <v>2688</v>
      </c>
      <c r="B2692" t="str">
        <f t="shared" si="149"/>
        <v>1</v>
      </c>
      <c r="C2692" t="str">
        <f t="shared" si="150"/>
        <v>54</v>
      </c>
      <c r="D2692" t="str">
        <f>"8"</f>
        <v>8</v>
      </c>
      <c r="E2692" t="str">
        <f>"1-54-8"</f>
        <v>1-54-8</v>
      </c>
      <c r="F2692" t="s">
        <v>65</v>
      </c>
      <c r="G2692" t="s">
        <v>66</v>
      </c>
      <c r="H2692" t="s">
        <v>68</v>
      </c>
      <c r="I2692">
        <v>1</v>
      </c>
      <c r="J2692">
        <v>1</v>
      </c>
      <c r="K2692">
        <v>0</v>
      </c>
      <c r="L2692">
        <v>0</v>
      </c>
      <c r="M2692">
        <v>1</v>
      </c>
      <c r="N2692">
        <v>1</v>
      </c>
      <c r="O2692">
        <v>1</v>
      </c>
      <c r="P2692">
        <v>1</v>
      </c>
      <c r="Q2692">
        <v>1</v>
      </c>
      <c r="R2692">
        <v>1</v>
      </c>
    </row>
    <row r="2693" spans="1:18" x14ac:dyDescent="0.2">
      <c r="A2693" t="str">
        <f>"2689"</f>
        <v>2689</v>
      </c>
      <c r="B2693" t="str">
        <f t="shared" si="149"/>
        <v>1</v>
      </c>
      <c r="C2693" t="str">
        <f t="shared" si="150"/>
        <v>54</v>
      </c>
      <c r="D2693" t="str">
        <f>"27"</f>
        <v>27</v>
      </c>
      <c r="E2693" t="str">
        <f>"1-54-27"</f>
        <v>1-54-27</v>
      </c>
      <c r="F2693" t="s">
        <v>65</v>
      </c>
      <c r="G2693" t="s">
        <v>66</v>
      </c>
      <c r="H2693" t="s">
        <v>68</v>
      </c>
      <c r="I2693">
        <v>1</v>
      </c>
      <c r="J2693">
        <v>0</v>
      </c>
      <c r="K2693">
        <v>0</v>
      </c>
      <c r="L2693">
        <v>1</v>
      </c>
      <c r="M2693">
        <v>1</v>
      </c>
      <c r="N2693">
        <v>1</v>
      </c>
      <c r="O2693">
        <v>1</v>
      </c>
      <c r="P2693">
        <v>1</v>
      </c>
      <c r="Q2693">
        <v>1</v>
      </c>
      <c r="R2693">
        <v>1</v>
      </c>
    </row>
    <row r="2694" spans="1:18" x14ac:dyDescent="0.2">
      <c r="A2694" t="str">
        <f>"2690"</f>
        <v>2690</v>
      </c>
      <c r="B2694" t="str">
        <f t="shared" si="149"/>
        <v>1</v>
      </c>
      <c r="C2694" t="str">
        <f t="shared" si="150"/>
        <v>54</v>
      </c>
      <c r="D2694" t="str">
        <f>"14"</f>
        <v>14</v>
      </c>
      <c r="E2694" t="str">
        <f>"1-54-14"</f>
        <v>1-54-14</v>
      </c>
      <c r="F2694" t="s">
        <v>65</v>
      </c>
      <c r="G2694" t="s">
        <v>66</v>
      </c>
      <c r="H2694" t="s">
        <v>68</v>
      </c>
      <c r="I2694">
        <v>1</v>
      </c>
      <c r="J2694">
        <v>1</v>
      </c>
      <c r="K2694">
        <v>0</v>
      </c>
      <c r="L2694">
        <v>0</v>
      </c>
      <c r="M2694">
        <v>1</v>
      </c>
      <c r="N2694">
        <v>1</v>
      </c>
      <c r="O2694">
        <v>1</v>
      </c>
      <c r="P2694">
        <v>1</v>
      </c>
      <c r="Q2694">
        <v>1</v>
      </c>
      <c r="R2694">
        <v>1</v>
      </c>
    </row>
    <row r="2695" spans="1:18" x14ac:dyDescent="0.2">
      <c r="A2695" t="str">
        <f>"2691"</f>
        <v>2691</v>
      </c>
      <c r="B2695" t="str">
        <f t="shared" si="149"/>
        <v>1</v>
      </c>
      <c r="C2695" t="str">
        <f t="shared" si="150"/>
        <v>54</v>
      </c>
      <c r="D2695" t="str">
        <f>"29"</f>
        <v>29</v>
      </c>
      <c r="E2695" t="str">
        <f>"1-54-29"</f>
        <v>1-54-29</v>
      </c>
      <c r="F2695" t="s">
        <v>65</v>
      </c>
      <c r="G2695" t="s">
        <v>66</v>
      </c>
      <c r="H2695" t="s">
        <v>68</v>
      </c>
      <c r="I2695">
        <v>1</v>
      </c>
      <c r="J2695">
        <v>1</v>
      </c>
      <c r="K2695">
        <v>0</v>
      </c>
      <c r="L2695">
        <v>0</v>
      </c>
      <c r="M2695">
        <v>1</v>
      </c>
      <c r="N2695">
        <v>1</v>
      </c>
      <c r="O2695">
        <v>1</v>
      </c>
      <c r="P2695">
        <v>1</v>
      </c>
      <c r="Q2695">
        <v>1</v>
      </c>
      <c r="R2695">
        <v>1</v>
      </c>
    </row>
    <row r="2696" spans="1:18" x14ac:dyDescent="0.2">
      <c r="A2696" t="str">
        <f>"2692"</f>
        <v>2692</v>
      </c>
      <c r="B2696" t="str">
        <f t="shared" si="149"/>
        <v>1</v>
      </c>
      <c r="C2696" t="str">
        <f t="shared" si="150"/>
        <v>54</v>
      </c>
      <c r="D2696" t="str">
        <f>"12"</f>
        <v>12</v>
      </c>
      <c r="E2696" t="str">
        <f>"1-54-12"</f>
        <v>1-54-12</v>
      </c>
      <c r="F2696" t="s">
        <v>65</v>
      </c>
      <c r="G2696" t="s">
        <v>66</v>
      </c>
      <c r="H2696" t="s">
        <v>68</v>
      </c>
      <c r="I2696">
        <v>1</v>
      </c>
      <c r="J2696">
        <v>0</v>
      </c>
      <c r="K2696">
        <v>0</v>
      </c>
      <c r="L2696">
        <v>1</v>
      </c>
      <c r="M2696">
        <v>1</v>
      </c>
      <c r="N2696">
        <v>1</v>
      </c>
      <c r="O2696">
        <v>1</v>
      </c>
      <c r="P2696">
        <v>1</v>
      </c>
      <c r="Q2696">
        <v>1</v>
      </c>
      <c r="R2696">
        <v>1</v>
      </c>
    </row>
    <row r="2697" spans="1:18" x14ac:dyDescent="0.2">
      <c r="A2697" t="str">
        <f>"2693"</f>
        <v>2693</v>
      </c>
      <c r="B2697" t="str">
        <f t="shared" si="149"/>
        <v>1</v>
      </c>
      <c r="C2697" t="str">
        <f t="shared" si="150"/>
        <v>54</v>
      </c>
      <c r="D2697" t="str">
        <f>"30"</f>
        <v>30</v>
      </c>
      <c r="E2697" t="str">
        <f>"1-54-30"</f>
        <v>1-54-30</v>
      </c>
      <c r="F2697" t="s">
        <v>65</v>
      </c>
      <c r="G2697" t="s">
        <v>66</v>
      </c>
      <c r="H2697" t="s">
        <v>68</v>
      </c>
      <c r="I2697">
        <v>1</v>
      </c>
      <c r="J2697">
        <v>0</v>
      </c>
      <c r="K2697">
        <v>1</v>
      </c>
      <c r="L2697">
        <v>0</v>
      </c>
      <c r="M2697">
        <v>1</v>
      </c>
      <c r="N2697">
        <v>1</v>
      </c>
      <c r="O2697">
        <v>1</v>
      </c>
      <c r="P2697">
        <v>1</v>
      </c>
      <c r="Q2697">
        <v>1</v>
      </c>
      <c r="R2697">
        <v>1</v>
      </c>
    </row>
    <row r="2698" spans="1:18" x14ac:dyDescent="0.2">
      <c r="A2698" t="str">
        <f>"2694"</f>
        <v>2694</v>
      </c>
      <c r="B2698" t="str">
        <f t="shared" si="149"/>
        <v>1</v>
      </c>
      <c r="C2698" t="str">
        <f t="shared" si="150"/>
        <v>54</v>
      </c>
      <c r="D2698" t="str">
        <f>"11"</f>
        <v>11</v>
      </c>
      <c r="E2698" t="str">
        <f>"1-54-11"</f>
        <v>1-54-11</v>
      </c>
      <c r="F2698" t="s">
        <v>65</v>
      </c>
      <c r="G2698" t="s">
        <v>66</v>
      </c>
      <c r="H2698" t="s">
        <v>68</v>
      </c>
      <c r="I2698">
        <v>0</v>
      </c>
      <c r="J2698">
        <v>0</v>
      </c>
      <c r="K2698">
        <v>0</v>
      </c>
      <c r="L2698">
        <v>1</v>
      </c>
      <c r="M2698">
        <v>1</v>
      </c>
      <c r="N2698">
        <v>1</v>
      </c>
      <c r="O2698">
        <v>1</v>
      </c>
      <c r="P2698">
        <v>1</v>
      </c>
      <c r="Q2698">
        <v>1</v>
      </c>
      <c r="R2698">
        <v>1</v>
      </c>
    </row>
    <row r="2699" spans="1:18" x14ac:dyDescent="0.2">
      <c r="A2699" t="str">
        <f>"2695"</f>
        <v>2695</v>
      </c>
      <c r="B2699" t="str">
        <f t="shared" si="149"/>
        <v>1</v>
      </c>
      <c r="C2699" t="str">
        <f t="shared" si="150"/>
        <v>54</v>
      </c>
      <c r="D2699" t="str">
        <f>"34"</f>
        <v>34</v>
      </c>
      <c r="E2699" t="str">
        <f>"1-54-34"</f>
        <v>1-54-34</v>
      </c>
      <c r="F2699" t="s">
        <v>65</v>
      </c>
      <c r="G2699" t="s">
        <v>66</v>
      </c>
      <c r="H2699" t="s">
        <v>68</v>
      </c>
      <c r="I2699">
        <v>1</v>
      </c>
      <c r="J2699">
        <v>0</v>
      </c>
      <c r="K2699">
        <v>0</v>
      </c>
      <c r="L2699">
        <v>1</v>
      </c>
      <c r="M2699">
        <v>1</v>
      </c>
      <c r="N2699">
        <v>1</v>
      </c>
      <c r="O2699">
        <v>1</v>
      </c>
      <c r="P2699">
        <v>1</v>
      </c>
      <c r="Q2699">
        <v>1</v>
      </c>
      <c r="R2699">
        <v>1</v>
      </c>
    </row>
    <row r="2700" spans="1:18" x14ac:dyDescent="0.2">
      <c r="A2700" t="str">
        <f>"2696"</f>
        <v>2696</v>
      </c>
      <c r="B2700" t="str">
        <f t="shared" si="149"/>
        <v>1</v>
      </c>
      <c r="C2700" t="str">
        <f t="shared" si="150"/>
        <v>54</v>
      </c>
      <c r="D2700" t="str">
        <f>"3"</f>
        <v>3</v>
      </c>
      <c r="E2700" t="str">
        <f>"1-54-3"</f>
        <v>1-54-3</v>
      </c>
      <c r="F2700" t="s">
        <v>65</v>
      </c>
      <c r="G2700" t="s">
        <v>66</v>
      </c>
      <c r="H2700" t="s">
        <v>68</v>
      </c>
      <c r="I2700">
        <v>1</v>
      </c>
      <c r="J2700">
        <v>1</v>
      </c>
      <c r="K2700">
        <v>0</v>
      </c>
      <c r="L2700">
        <v>0</v>
      </c>
      <c r="M2700">
        <v>1</v>
      </c>
      <c r="N2700">
        <v>1</v>
      </c>
      <c r="O2700">
        <v>1</v>
      </c>
      <c r="P2700">
        <v>1</v>
      </c>
      <c r="Q2700">
        <v>1</v>
      </c>
      <c r="R2700">
        <v>1</v>
      </c>
    </row>
    <row r="2701" spans="1:18" x14ac:dyDescent="0.2">
      <c r="A2701" t="str">
        <f>"2697"</f>
        <v>2697</v>
      </c>
      <c r="B2701" t="str">
        <f t="shared" si="149"/>
        <v>1</v>
      </c>
      <c r="C2701" t="str">
        <f t="shared" si="150"/>
        <v>54</v>
      </c>
      <c r="D2701" t="str">
        <f>"35"</f>
        <v>35</v>
      </c>
      <c r="E2701" t="str">
        <f>"1-54-35"</f>
        <v>1-54-35</v>
      </c>
      <c r="F2701" t="s">
        <v>65</v>
      </c>
      <c r="G2701" t="s">
        <v>66</v>
      </c>
      <c r="H2701" t="s">
        <v>68</v>
      </c>
      <c r="I2701">
        <v>1</v>
      </c>
      <c r="J2701">
        <v>1</v>
      </c>
      <c r="K2701">
        <v>0</v>
      </c>
      <c r="L2701">
        <v>0</v>
      </c>
      <c r="M2701">
        <v>1</v>
      </c>
      <c r="N2701">
        <v>1</v>
      </c>
      <c r="O2701">
        <v>1</v>
      </c>
      <c r="P2701">
        <v>1</v>
      </c>
      <c r="Q2701">
        <v>1</v>
      </c>
      <c r="R2701">
        <v>1</v>
      </c>
    </row>
    <row r="2702" spans="1:18" x14ac:dyDescent="0.2">
      <c r="A2702" t="str">
        <f>"2698"</f>
        <v>2698</v>
      </c>
      <c r="B2702" t="str">
        <f t="shared" si="149"/>
        <v>1</v>
      </c>
      <c r="C2702" t="str">
        <f t="shared" si="150"/>
        <v>54</v>
      </c>
      <c r="D2702" t="str">
        <f>"9"</f>
        <v>9</v>
      </c>
      <c r="E2702" t="str">
        <f>"1-54-9"</f>
        <v>1-54-9</v>
      </c>
      <c r="F2702" t="s">
        <v>65</v>
      </c>
      <c r="G2702" t="s">
        <v>66</v>
      </c>
      <c r="H2702" t="s">
        <v>68</v>
      </c>
      <c r="I2702">
        <v>0</v>
      </c>
      <c r="J2702">
        <v>0</v>
      </c>
      <c r="K2702">
        <v>0</v>
      </c>
      <c r="L2702">
        <v>0</v>
      </c>
      <c r="M2702">
        <v>1</v>
      </c>
      <c r="N2702">
        <v>0</v>
      </c>
      <c r="O2702">
        <v>0</v>
      </c>
      <c r="P2702">
        <v>0</v>
      </c>
      <c r="Q2702">
        <v>0</v>
      </c>
      <c r="R2702">
        <v>1</v>
      </c>
    </row>
    <row r="2703" spans="1:18" x14ac:dyDescent="0.2">
      <c r="A2703" t="str">
        <f>"2699"</f>
        <v>2699</v>
      </c>
      <c r="B2703" t="str">
        <f t="shared" si="149"/>
        <v>1</v>
      </c>
      <c r="C2703" t="str">
        <f t="shared" si="150"/>
        <v>54</v>
      </c>
      <c r="D2703" t="str">
        <f>"36"</f>
        <v>36</v>
      </c>
      <c r="E2703" t="str">
        <f>"1-54-36"</f>
        <v>1-54-36</v>
      </c>
      <c r="F2703" t="s">
        <v>65</v>
      </c>
      <c r="G2703" t="s">
        <v>66</v>
      </c>
      <c r="H2703" t="s">
        <v>68</v>
      </c>
      <c r="I2703">
        <v>1</v>
      </c>
      <c r="J2703">
        <v>0</v>
      </c>
      <c r="K2703">
        <v>0</v>
      </c>
      <c r="L2703">
        <v>1</v>
      </c>
      <c r="M2703">
        <v>1</v>
      </c>
      <c r="N2703">
        <v>1</v>
      </c>
      <c r="O2703">
        <v>1</v>
      </c>
      <c r="P2703">
        <v>1</v>
      </c>
      <c r="Q2703">
        <v>1</v>
      </c>
      <c r="R2703">
        <v>0</v>
      </c>
    </row>
    <row r="2704" spans="1:18" x14ac:dyDescent="0.2">
      <c r="A2704" t="str">
        <f>"2700"</f>
        <v>2700</v>
      </c>
      <c r="B2704" t="str">
        <f t="shared" si="149"/>
        <v>1</v>
      </c>
      <c r="C2704" t="str">
        <f t="shared" si="150"/>
        <v>54</v>
      </c>
      <c r="D2704" t="str">
        <f>"6"</f>
        <v>6</v>
      </c>
      <c r="E2704" t="str">
        <f>"1-54-6"</f>
        <v>1-54-6</v>
      </c>
      <c r="F2704" t="s">
        <v>65</v>
      </c>
      <c r="G2704" t="s">
        <v>66</v>
      </c>
      <c r="H2704" t="s">
        <v>68</v>
      </c>
      <c r="I2704">
        <v>1</v>
      </c>
      <c r="J2704">
        <v>1</v>
      </c>
      <c r="K2704">
        <v>0</v>
      </c>
      <c r="L2704">
        <v>0</v>
      </c>
      <c r="M2704">
        <v>1</v>
      </c>
      <c r="N2704">
        <v>1</v>
      </c>
      <c r="O2704">
        <v>1</v>
      </c>
      <c r="P2704">
        <v>1</v>
      </c>
      <c r="Q2704">
        <v>1</v>
      </c>
      <c r="R2704">
        <v>1</v>
      </c>
    </row>
    <row r="2705" spans="1:39" x14ac:dyDescent="0.2">
      <c r="A2705" t="str">
        <f>"2701"</f>
        <v>2701</v>
      </c>
      <c r="B2705" t="str">
        <f t="shared" si="149"/>
        <v>1</v>
      </c>
      <c r="C2705" t="str">
        <f t="shared" ref="C2705:C2736" si="151">"55"</f>
        <v>55</v>
      </c>
      <c r="D2705" t="str">
        <f>"40"</f>
        <v>40</v>
      </c>
      <c r="E2705" t="str">
        <f>"1-55-40"</f>
        <v>1-55-40</v>
      </c>
      <c r="F2705" t="s">
        <v>65</v>
      </c>
      <c r="G2705" t="s">
        <v>66</v>
      </c>
      <c r="H2705" t="s">
        <v>67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</row>
    <row r="2706" spans="1:39" x14ac:dyDescent="0.2">
      <c r="A2706" t="str">
        <f>"2702"</f>
        <v>2702</v>
      </c>
      <c r="B2706" t="str">
        <f t="shared" si="149"/>
        <v>1</v>
      </c>
      <c r="C2706" t="str">
        <f t="shared" si="151"/>
        <v>55</v>
      </c>
      <c r="D2706" t="str">
        <f>"39"</f>
        <v>39</v>
      </c>
      <c r="E2706" t="str">
        <f>"1-55-39"</f>
        <v>1-55-39</v>
      </c>
      <c r="F2706" t="s">
        <v>65</v>
      </c>
      <c r="G2706" t="s">
        <v>66</v>
      </c>
      <c r="H2706" t="s">
        <v>67</v>
      </c>
      <c r="S2706">
        <v>1</v>
      </c>
      <c r="T2706">
        <v>0</v>
      </c>
      <c r="U2706">
        <v>0</v>
      </c>
      <c r="V2706">
        <v>0</v>
      </c>
      <c r="W2706">
        <v>1</v>
      </c>
      <c r="X2706">
        <v>0</v>
      </c>
      <c r="Y2706">
        <v>0</v>
      </c>
      <c r="Z2706">
        <v>1</v>
      </c>
      <c r="AA2706">
        <v>1</v>
      </c>
      <c r="AB2706">
        <v>0</v>
      </c>
      <c r="AC2706">
        <v>0</v>
      </c>
      <c r="AD2706">
        <v>1</v>
      </c>
      <c r="AE2706">
        <v>1</v>
      </c>
      <c r="AF2706">
        <v>1</v>
      </c>
      <c r="AG2706">
        <v>1</v>
      </c>
      <c r="AH2706">
        <v>1</v>
      </c>
      <c r="AI2706">
        <v>1</v>
      </c>
      <c r="AJ2706">
        <v>1</v>
      </c>
      <c r="AK2706">
        <v>1</v>
      </c>
      <c r="AL2706">
        <v>1</v>
      </c>
      <c r="AM2706">
        <v>1</v>
      </c>
    </row>
    <row r="2707" spans="1:39" x14ac:dyDescent="0.2">
      <c r="A2707" t="str">
        <f>"2703"</f>
        <v>2703</v>
      </c>
      <c r="B2707" t="str">
        <f t="shared" si="149"/>
        <v>1</v>
      </c>
      <c r="C2707" t="str">
        <f t="shared" si="151"/>
        <v>55</v>
      </c>
      <c r="D2707" t="str">
        <f>"27"</f>
        <v>27</v>
      </c>
      <c r="E2707" t="str">
        <f>"1-55-27"</f>
        <v>1-55-27</v>
      </c>
      <c r="F2707" t="s">
        <v>65</v>
      </c>
      <c r="G2707" t="s">
        <v>66</v>
      </c>
      <c r="H2707" t="s">
        <v>67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1</v>
      </c>
      <c r="Y2707">
        <v>1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1</v>
      </c>
      <c r="AH2707">
        <v>0</v>
      </c>
      <c r="AI2707">
        <v>1</v>
      </c>
      <c r="AJ2707">
        <v>1</v>
      </c>
      <c r="AK2707">
        <v>1</v>
      </c>
      <c r="AL2707">
        <v>1</v>
      </c>
      <c r="AM2707">
        <v>0</v>
      </c>
    </row>
    <row r="2708" spans="1:39" x14ac:dyDescent="0.2">
      <c r="A2708" t="str">
        <f>"2704"</f>
        <v>2704</v>
      </c>
      <c r="B2708" t="str">
        <f t="shared" si="149"/>
        <v>1</v>
      </c>
      <c r="C2708" t="str">
        <f t="shared" si="151"/>
        <v>55</v>
      </c>
      <c r="D2708" t="str">
        <f>"15"</f>
        <v>15</v>
      </c>
      <c r="E2708" t="str">
        <f>"1-55-15"</f>
        <v>1-55-15</v>
      </c>
      <c r="F2708" t="s">
        <v>65</v>
      </c>
      <c r="G2708" t="s">
        <v>66</v>
      </c>
      <c r="H2708" t="s">
        <v>67</v>
      </c>
      <c r="S2708">
        <v>0</v>
      </c>
      <c r="T2708">
        <v>0</v>
      </c>
      <c r="U2708">
        <v>0</v>
      </c>
      <c r="V2708">
        <v>0</v>
      </c>
      <c r="W2708">
        <v>1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1</v>
      </c>
      <c r="AJ2708">
        <v>0</v>
      </c>
      <c r="AK2708">
        <v>0</v>
      </c>
      <c r="AL2708">
        <v>0</v>
      </c>
      <c r="AM2708">
        <v>0</v>
      </c>
    </row>
    <row r="2709" spans="1:39" x14ac:dyDescent="0.2">
      <c r="A2709" t="str">
        <f>"2705"</f>
        <v>2705</v>
      </c>
      <c r="B2709" t="str">
        <f t="shared" si="149"/>
        <v>1</v>
      </c>
      <c r="C2709" t="str">
        <f t="shared" si="151"/>
        <v>55</v>
      </c>
      <c r="D2709" t="str">
        <f>"2"</f>
        <v>2</v>
      </c>
      <c r="E2709" t="str">
        <f>"1-55-2"</f>
        <v>1-55-2</v>
      </c>
      <c r="F2709" t="s">
        <v>65</v>
      </c>
      <c r="G2709" t="s">
        <v>66</v>
      </c>
      <c r="H2709" t="s">
        <v>67</v>
      </c>
      <c r="S2709">
        <v>1</v>
      </c>
      <c r="T2709">
        <v>0</v>
      </c>
      <c r="U2709">
        <v>0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0</v>
      </c>
      <c r="AB2709">
        <v>0</v>
      </c>
      <c r="AC2709">
        <v>1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</row>
    <row r="2710" spans="1:39" x14ac:dyDescent="0.2">
      <c r="A2710" t="str">
        <f>"2706"</f>
        <v>2706</v>
      </c>
      <c r="B2710" t="str">
        <f t="shared" si="149"/>
        <v>1</v>
      </c>
      <c r="C2710" t="str">
        <f t="shared" si="151"/>
        <v>55</v>
      </c>
      <c r="D2710" t="str">
        <f>"38"</f>
        <v>38</v>
      </c>
      <c r="E2710" t="str">
        <f>"1-55-38"</f>
        <v>1-55-38</v>
      </c>
      <c r="F2710" t="s">
        <v>65</v>
      </c>
      <c r="G2710" t="s">
        <v>66</v>
      </c>
      <c r="H2710" t="s">
        <v>67</v>
      </c>
      <c r="S2710">
        <v>1</v>
      </c>
      <c r="T2710">
        <v>0</v>
      </c>
      <c r="U2710">
        <v>0</v>
      </c>
      <c r="V2710">
        <v>0</v>
      </c>
      <c r="W2710">
        <v>1</v>
      </c>
      <c r="X2710">
        <v>0</v>
      </c>
      <c r="Y2710">
        <v>1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1</v>
      </c>
      <c r="AF2710">
        <v>1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</row>
    <row r="2711" spans="1:39" x14ac:dyDescent="0.2">
      <c r="A2711" t="str">
        <f>"2707"</f>
        <v>2707</v>
      </c>
      <c r="B2711" t="str">
        <f t="shared" si="149"/>
        <v>1</v>
      </c>
      <c r="C2711" t="str">
        <f t="shared" si="151"/>
        <v>55</v>
      </c>
      <c r="D2711" t="str">
        <f>"37"</f>
        <v>37</v>
      </c>
      <c r="E2711" t="str">
        <f>"1-55-37"</f>
        <v>1-55-37</v>
      </c>
      <c r="F2711" t="s">
        <v>65</v>
      </c>
      <c r="G2711" t="s">
        <v>66</v>
      </c>
      <c r="H2711" t="s">
        <v>67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1</v>
      </c>
      <c r="Y2711">
        <v>1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1</v>
      </c>
      <c r="AH2711">
        <v>1</v>
      </c>
      <c r="AI2711">
        <v>0</v>
      </c>
      <c r="AJ2711">
        <v>0</v>
      </c>
      <c r="AK2711">
        <v>0</v>
      </c>
      <c r="AL2711">
        <v>0</v>
      </c>
      <c r="AM2711">
        <v>0</v>
      </c>
    </row>
    <row r="2712" spans="1:39" x14ac:dyDescent="0.2">
      <c r="A2712" t="str">
        <f>"2708"</f>
        <v>2708</v>
      </c>
      <c r="B2712" t="str">
        <f t="shared" si="149"/>
        <v>1</v>
      </c>
      <c r="C2712" t="str">
        <f t="shared" si="151"/>
        <v>55</v>
      </c>
      <c r="D2712" t="str">
        <f>"25"</f>
        <v>25</v>
      </c>
      <c r="E2712" t="str">
        <f>"1-55-25"</f>
        <v>1-55-25</v>
      </c>
      <c r="F2712" t="s">
        <v>65</v>
      </c>
      <c r="G2712" t="s">
        <v>66</v>
      </c>
      <c r="H2712" t="s">
        <v>67</v>
      </c>
      <c r="S2712">
        <v>1</v>
      </c>
      <c r="T2712">
        <v>0</v>
      </c>
      <c r="U2712">
        <v>0</v>
      </c>
      <c r="V2712">
        <v>0</v>
      </c>
      <c r="W2712">
        <v>1</v>
      </c>
      <c r="X2712">
        <v>0</v>
      </c>
      <c r="Y2712">
        <v>1</v>
      </c>
      <c r="Z2712">
        <v>0</v>
      </c>
      <c r="AA2712">
        <v>0</v>
      </c>
      <c r="AB2712">
        <v>0</v>
      </c>
      <c r="AC2712">
        <v>1</v>
      </c>
      <c r="AD2712">
        <v>1</v>
      </c>
      <c r="AE2712">
        <v>1</v>
      </c>
      <c r="AF2712">
        <v>1</v>
      </c>
      <c r="AG2712">
        <v>1</v>
      </c>
      <c r="AH2712">
        <v>1</v>
      </c>
      <c r="AI2712">
        <v>1</v>
      </c>
      <c r="AJ2712">
        <v>1</v>
      </c>
      <c r="AK2712">
        <v>1</v>
      </c>
      <c r="AL2712">
        <v>1</v>
      </c>
      <c r="AM2712">
        <v>1</v>
      </c>
    </row>
    <row r="2713" spans="1:39" x14ac:dyDescent="0.2">
      <c r="A2713" t="str">
        <f>"2709"</f>
        <v>2709</v>
      </c>
      <c r="B2713" t="str">
        <f t="shared" si="149"/>
        <v>1</v>
      </c>
      <c r="C2713" t="str">
        <f t="shared" si="151"/>
        <v>55</v>
      </c>
      <c r="D2713" t="str">
        <f>"16"</f>
        <v>16</v>
      </c>
      <c r="E2713" t="str">
        <f>"1-55-16"</f>
        <v>1-55-16</v>
      </c>
      <c r="F2713" t="s">
        <v>65</v>
      </c>
      <c r="G2713" t="s">
        <v>66</v>
      </c>
      <c r="H2713" t="s">
        <v>67</v>
      </c>
      <c r="S2713">
        <v>1</v>
      </c>
      <c r="T2713">
        <v>0</v>
      </c>
      <c r="U2713">
        <v>0</v>
      </c>
      <c r="V2713">
        <v>0</v>
      </c>
      <c r="W2713">
        <v>0</v>
      </c>
      <c r="X2713">
        <v>1</v>
      </c>
      <c r="Y2713">
        <v>0</v>
      </c>
      <c r="Z2713">
        <v>1</v>
      </c>
      <c r="AA2713">
        <v>0</v>
      </c>
      <c r="AB2713">
        <v>0</v>
      </c>
      <c r="AC2713">
        <v>1</v>
      </c>
      <c r="AD2713">
        <v>1</v>
      </c>
      <c r="AE2713">
        <v>1</v>
      </c>
      <c r="AF2713">
        <v>1</v>
      </c>
      <c r="AG2713">
        <v>1</v>
      </c>
      <c r="AH2713">
        <v>1</v>
      </c>
      <c r="AI2713">
        <v>1</v>
      </c>
      <c r="AJ2713">
        <v>1</v>
      </c>
      <c r="AK2713">
        <v>1</v>
      </c>
      <c r="AL2713">
        <v>1</v>
      </c>
      <c r="AM2713">
        <v>1</v>
      </c>
    </row>
    <row r="2714" spans="1:39" x14ac:dyDescent="0.2">
      <c r="A2714" t="str">
        <f>"2710"</f>
        <v>2710</v>
      </c>
      <c r="B2714" t="str">
        <f t="shared" si="149"/>
        <v>1</v>
      </c>
      <c r="C2714" t="str">
        <f t="shared" si="151"/>
        <v>55</v>
      </c>
      <c r="D2714" t="str">
        <f>"1"</f>
        <v>1</v>
      </c>
      <c r="E2714" t="str">
        <f>"1-55-1"</f>
        <v>1-55-1</v>
      </c>
      <c r="F2714" t="s">
        <v>65</v>
      </c>
      <c r="G2714" t="s">
        <v>66</v>
      </c>
      <c r="H2714" t="s">
        <v>67</v>
      </c>
      <c r="S2714">
        <v>0</v>
      </c>
      <c r="T2714">
        <v>1</v>
      </c>
      <c r="U2714">
        <v>0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0</v>
      </c>
      <c r="AB2714">
        <v>0</v>
      </c>
      <c r="AC2714">
        <v>1</v>
      </c>
      <c r="AD2714">
        <v>0</v>
      </c>
      <c r="AE2714">
        <v>0</v>
      </c>
      <c r="AF2714">
        <v>0</v>
      </c>
      <c r="AG2714">
        <v>0</v>
      </c>
      <c r="AH2714">
        <v>1</v>
      </c>
      <c r="AI2714">
        <v>1</v>
      </c>
      <c r="AJ2714">
        <v>0</v>
      </c>
      <c r="AK2714">
        <v>0</v>
      </c>
      <c r="AL2714">
        <v>1</v>
      </c>
      <c r="AM2714">
        <v>0</v>
      </c>
    </row>
    <row r="2715" spans="1:39" x14ac:dyDescent="0.2">
      <c r="A2715" t="str">
        <f>"2711"</f>
        <v>2711</v>
      </c>
      <c r="B2715" t="str">
        <f t="shared" si="149"/>
        <v>1</v>
      </c>
      <c r="C2715" t="str">
        <f t="shared" si="151"/>
        <v>55</v>
      </c>
      <c r="D2715" t="str">
        <f>"44"</f>
        <v>44</v>
      </c>
      <c r="E2715" t="str">
        <f>"1-55-44"</f>
        <v>1-55-44</v>
      </c>
      <c r="F2715" t="s">
        <v>65</v>
      </c>
      <c r="G2715" t="s">
        <v>66</v>
      </c>
      <c r="H2715" t="s">
        <v>67</v>
      </c>
      <c r="S2715">
        <v>0</v>
      </c>
      <c r="T2715">
        <v>1</v>
      </c>
      <c r="U2715">
        <v>0</v>
      </c>
      <c r="V2715">
        <v>0</v>
      </c>
      <c r="W2715">
        <v>0</v>
      </c>
      <c r="X2715">
        <v>1</v>
      </c>
      <c r="Y2715">
        <v>1</v>
      </c>
      <c r="Z2715">
        <v>0</v>
      </c>
      <c r="AA2715">
        <v>1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</row>
    <row r="2716" spans="1:39" x14ac:dyDescent="0.2">
      <c r="A2716" t="str">
        <f>"2712"</f>
        <v>2712</v>
      </c>
      <c r="B2716" t="str">
        <f t="shared" si="149"/>
        <v>1</v>
      </c>
      <c r="C2716" t="str">
        <f t="shared" si="151"/>
        <v>55</v>
      </c>
      <c r="D2716" t="str">
        <f>"43"</f>
        <v>43</v>
      </c>
      <c r="E2716" t="str">
        <f>"1-55-43"</f>
        <v>1-55-43</v>
      </c>
      <c r="F2716" t="s">
        <v>65</v>
      </c>
      <c r="G2716" t="s">
        <v>66</v>
      </c>
      <c r="H2716" t="s">
        <v>67</v>
      </c>
      <c r="S2716">
        <v>1</v>
      </c>
      <c r="T2716">
        <v>0</v>
      </c>
      <c r="U2716">
        <v>0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</row>
    <row r="2717" spans="1:39" x14ac:dyDescent="0.2">
      <c r="A2717" t="str">
        <f>"2713"</f>
        <v>2713</v>
      </c>
      <c r="B2717" t="str">
        <f t="shared" si="149"/>
        <v>1</v>
      </c>
      <c r="C2717" t="str">
        <f t="shared" si="151"/>
        <v>55</v>
      </c>
      <c r="D2717" t="str">
        <f>"31"</f>
        <v>31</v>
      </c>
      <c r="E2717" t="str">
        <f>"1-55-31"</f>
        <v>1-55-31</v>
      </c>
      <c r="F2717" t="s">
        <v>65</v>
      </c>
      <c r="G2717" t="s">
        <v>66</v>
      </c>
      <c r="H2717" t="s">
        <v>67</v>
      </c>
      <c r="S2717">
        <v>1</v>
      </c>
      <c r="T2717">
        <v>0</v>
      </c>
      <c r="U2717">
        <v>0</v>
      </c>
      <c r="V2717">
        <v>0</v>
      </c>
      <c r="W2717">
        <v>1</v>
      </c>
      <c r="X2717">
        <v>0</v>
      </c>
      <c r="Y2717">
        <v>0</v>
      </c>
      <c r="Z2717">
        <v>1</v>
      </c>
      <c r="AA2717">
        <v>0</v>
      </c>
      <c r="AB2717">
        <v>0</v>
      </c>
      <c r="AC2717">
        <v>1</v>
      </c>
      <c r="AD2717">
        <v>1</v>
      </c>
      <c r="AE2717">
        <v>1</v>
      </c>
      <c r="AF2717">
        <v>1</v>
      </c>
      <c r="AG2717">
        <v>1</v>
      </c>
      <c r="AH2717">
        <v>1</v>
      </c>
      <c r="AI2717">
        <v>1</v>
      </c>
      <c r="AJ2717">
        <v>1</v>
      </c>
      <c r="AK2717">
        <v>1</v>
      </c>
      <c r="AL2717">
        <v>1</v>
      </c>
      <c r="AM2717">
        <v>1</v>
      </c>
    </row>
    <row r="2718" spans="1:39" x14ac:dyDescent="0.2">
      <c r="A2718" t="str">
        <f>"2714"</f>
        <v>2714</v>
      </c>
      <c r="B2718" t="str">
        <f t="shared" si="149"/>
        <v>1</v>
      </c>
      <c r="C2718" t="str">
        <f t="shared" si="151"/>
        <v>55</v>
      </c>
      <c r="D2718" t="str">
        <f>"17"</f>
        <v>17</v>
      </c>
      <c r="E2718" t="str">
        <f>"1-55-17"</f>
        <v>1-55-17</v>
      </c>
      <c r="F2718" t="s">
        <v>65</v>
      </c>
      <c r="G2718" t="s">
        <v>66</v>
      </c>
      <c r="H2718" t="s">
        <v>67</v>
      </c>
      <c r="S2718">
        <v>0</v>
      </c>
      <c r="T2718">
        <v>1</v>
      </c>
      <c r="U2718">
        <v>0</v>
      </c>
      <c r="V2718">
        <v>0</v>
      </c>
      <c r="W2718">
        <v>1</v>
      </c>
      <c r="X2718">
        <v>0</v>
      </c>
      <c r="Y2718">
        <v>1</v>
      </c>
      <c r="Z2718">
        <v>0</v>
      </c>
      <c r="AA2718">
        <v>0</v>
      </c>
      <c r="AB2718">
        <v>0</v>
      </c>
      <c r="AC2718">
        <v>1</v>
      </c>
      <c r="AD2718">
        <v>1</v>
      </c>
      <c r="AE2718">
        <v>1</v>
      </c>
      <c r="AF2718">
        <v>1</v>
      </c>
      <c r="AG2718">
        <v>1</v>
      </c>
      <c r="AH2718">
        <v>1</v>
      </c>
      <c r="AI2718">
        <v>1</v>
      </c>
      <c r="AJ2718">
        <v>1</v>
      </c>
      <c r="AK2718">
        <v>1</v>
      </c>
      <c r="AL2718">
        <v>1</v>
      </c>
      <c r="AM2718">
        <v>1</v>
      </c>
    </row>
    <row r="2719" spans="1:39" x14ac:dyDescent="0.2">
      <c r="A2719" t="str">
        <f>"2715"</f>
        <v>2715</v>
      </c>
      <c r="B2719" t="str">
        <f t="shared" si="149"/>
        <v>1</v>
      </c>
      <c r="C2719" t="str">
        <f t="shared" si="151"/>
        <v>55</v>
      </c>
      <c r="D2719" t="str">
        <f>"4"</f>
        <v>4</v>
      </c>
      <c r="E2719" t="str">
        <f>"1-55-4"</f>
        <v>1-55-4</v>
      </c>
      <c r="F2719" t="s">
        <v>65</v>
      </c>
      <c r="G2719" t="s">
        <v>66</v>
      </c>
      <c r="H2719" t="s">
        <v>67</v>
      </c>
      <c r="S2719">
        <v>1</v>
      </c>
      <c r="T2719">
        <v>0</v>
      </c>
      <c r="U2719">
        <v>0</v>
      </c>
      <c r="V2719">
        <v>0</v>
      </c>
      <c r="W2719">
        <v>1</v>
      </c>
      <c r="X2719">
        <v>0</v>
      </c>
      <c r="Y2719">
        <v>1</v>
      </c>
      <c r="Z2719">
        <v>0</v>
      </c>
      <c r="AA2719">
        <v>1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</row>
    <row r="2720" spans="1:39" x14ac:dyDescent="0.2">
      <c r="A2720" t="str">
        <f>"2716"</f>
        <v>2716</v>
      </c>
      <c r="B2720" t="str">
        <f t="shared" si="149"/>
        <v>1</v>
      </c>
      <c r="C2720" t="str">
        <f t="shared" si="151"/>
        <v>55</v>
      </c>
      <c r="D2720" t="str">
        <f>"42"</f>
        <v>42</v>
      </c>
      <c r="E2720" t="str">
        <f>"1-55-42"</f>
        <v>1-55-42</v>
      </c>
      <c r="F2720" t="s">
        <v>65</v>
      </c>
      <c r="G2720" t="s">
        <v>66</v>
      </c>
      <c r="H2720" t="s">
        <v>67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</row>
    <row r="2721" spans="1:39" x14ac:dyDescent="0.2">
      <c r="A2721" t="str">
        <f>"2717"</f>
        <v>2717</v>
      </c>
      <c r="B2721" t="str">
        <f t="shared" si="149"/>
        <v>1</v>
      </c>
      <c r="C2721" t="str">
        <f t="shared" si="151"/>
        <v>55</v>
      </c>
      <c r="D2721" t="str">
        <f>"41"</f>
        <v>41</v>
      </c>
      <c r="E2721" t="str">
        <f>"1-55-41"</f>
        <v>1-55-41</v>
      </c>
      <c r="F2721" t="s">
        <v>65</v>
      </c>
      <c r="G2721" t="s">
        <v>66</v>
      </c>
      <c r="H2721" t="s">
        <v>67</v>
      </c>
      <c r="S2721">
        <v>0</v>
      </c>
      <c r="T2721">
        <v>1</v>
      </c>
      <c r="U2721">
        <v>0</v>
      </c>
      <c r="V2721">
        <v>0</v>
      </c>
      <c r="W2721">
        <v>0</v>
      </c>
      <c r="X2721">
        <v>1</v>
      </c>
      <c r="Y2721">
        <v>0</v>
      </c>
      <c r="Z2721">
        <v>1</v>
      </c>
      <c r="AA2721">
        <v>0</v>
      </c>
      <c r="AB2721">
        <v>0</v>
      </c>
      <c r="AC2721">
        <v>1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</row>
    <row r="2722" spans="1:39" x14ac:dyDescent="0.2">
      <c r="A2722" t="str">
        <f>"2718"</f>
        <v>2718</v>
      </c>
      <c r="B2722" t="str">
        <f t="shared" si="149"/>
        <v>1</v>
      </c>
      <c r="C2722" t="str">
        <f t="shared" si="151"/>
        <v>55</v>
      </c>
      <c r="D2722" t="str">
        <f>"29"</f>
        <v>29</v>
      </c>
      <c r="E2722" t="str">
        <f>"1-55-29"</f>
        <v>1-55-29</v>
      </c>
      <c r="F2722" t="s">
        <v>65</v>
      </c>
      <c r="G2722" t="s">
        <v>66</v>
      </c>
      <c r="H2722" t="s">
        <v>67</v>
      </c>
      <c r="S2722">
        <v>0</v>
      </c>
      <c r="T2722">
        <v>1</v>
      </c>
      <c r="U2722">
        <v>0</v>
      </c>
      <c r="V2722">
        <v>0</v>
      </c>
      <c r="W2722">
        <v>1</v>
      </c>
      <c r="X2722">
        <v>0</v>
      </c>
      <c r="Y2722">
        <v>1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1</v>
      </c>
      <c r="AF2722">
        <v>1</v>
      </c>
      <c r="AG2722">
        <v>1</v>
      </c>
      <c r="AH2722">
        <v>1</v>
      </c>
      <c r="AI2722">
        <v>1</v>
      </c>
      <c r="AJ2722">
        <v>1</v>
      </c>
      <c r="AK2722">
        <v>1</v>
      </c>
      <c r="AL2722">
        <v>1</v>
      </c>
      <c r="AM2722">
        <v>1</v>
      </c>
    </row>
    <row r="2723" spans="1:39" x14ac:dyDescent="0.2">
      <c r="A2723" t="str">
        <f>"2719"</f>
        <v>2719</v>
      </c>
      <c r="B2723" t="str">
        <f t="shared" si="149"/>
        <v>1</v>
      </c>
      <c r="C2723" t="str">
        <f t="shared" si="151"/>
        <v>55</v>
      </c>
      <c r="D2723" t="str">
        <f>"18"</f>
        <v>18</v>
      </c>
      <c r="E2723" t="str">
        <f>"1-55-18"</f>
        <v>1-55-18</v>
      </c>
      <c r="F2723" t="s">
        <v>65</v>
      </c>
      <c r="G2723" t="s">
        <v>66</v>
      </c>
      <c r="H2723" t="s">
        <v>67</v>
      </c>
      <c r="S2723">
        <v>1</v>
      </c>
      <c r="T2723">
        <v>0</v>
      </c>
      <c r="U2723">
        <v>0</v>
      </c>
      <c r="V2723">
        <v>0</v>
      </c>
      <c r="W2723">
        <v>0</v>
      </c>
      <c r="X2723">
        <v>1</v>
      </c>
      <c r="Y2723">
        <v>1</v>
      </c>
      <c r="Z2723">
        <v>0</v>
      </c>
      <c r="AA2723">
        <v>0</v>
      </c>
      <c r="AB2723">
        <v>0</v>
      </c>
      <c r="AC2723">
        <v>1</v>
      </c>
      <c r="AD2723">
        <v>1</v>
      </c>
      <c r="AE2723">
        <v>1</v>
      </c>
      <c r="AF2723">
        <v>1</v>
      </c>
      <c r="AG2723">
        <v>1</v>
      </c>
      <c r="AH2723">
        <v>1</v>
      </c>
      <c r="AI2723">
        <v>1</v>
      </c>
      <c r="AJ2723">
        <v>1</v>
      </c>
      <c r="AK2723">
        <v>1</v>
      </c>
      <c r="AL2723">
        <v>1</v>
      </c>
      <c r="AM2723">
        <v>1</v>
      </c>
    </row>
    <row r="2724" spans="1:39" x14ac:dyDescent="0.2">
      <c r="A2724" t="str">
        <f>"2720"</f>
        <v>2720</v>
      </c>
      <c r="B2724" t="str">
        <f t="shared" si="149"/>
        <v>1</v>
      </c>
      <c r="C2724" t="str">
        <f t="shared" si="151"/>
        <v>55</v>
      </c>
      <c r="D2724" t="str">
        <f>"11"</f>
        <v>11</v>
      </c>
      <c r="E2724" t="str">
        <f>"1-55-11"</f>
        <v>1-55-11</v>
      </c>
      <c r="F2724" t="s">
        <v>65</v>
      </c>
      <c r="G2724" t="s">
        <v>66</v>
      </c>
      <c r="H2724" t="s">
        <v>67</v>
      </c>
      <c r="S2724">
        <v>1</v>
      </c>
      <c r="T2724">
        <v>0</v>
      </c>
      <c r="U2724">
        <v>0</v>
      </c>
      <c r="V2724">
        <v>0</v>
      </c>
      <c r="W2724">
        <v>1</v>
      </c>
      <c r="X2724">
        <v>0</v>
      </c>
      <c r="Y2724">
        <v>1</v>
      </c>
      <c r="Z2724">
        <v>0</v>
      </c>
      <c r="AA2724">
        <v>0</v>
      </c>
      <c r="AB2724">
        <v>1</v>
      </c>
      <c r="AC2724">
        <v>0</v>
      </c>
      <c r="AD2724">
        <v>1</v>
      </c>
      <c r="AE2724">
        <v>1</v>
      </c>
      <c r="AF2724">
        <v>1</v>
      </c>
      <c r="AG2724">
        <v>1</v>
      </c>
      <c r="AH2724">
        <v>1</v>
      </c>
      <c r="AI2724">
        <v>1</v>
      </c>
      <c r="AJ2724">
        <v>1</v>
      </c>
      <c r="AK2724">
        <v>1</v>
      </c>
      <c r="AL2724">
        <v>1</v>
      </c>
      <c r="AM2724">
        <v>1</v>
      </c>
    </row>
    <row r="2725" spans="1:39" x14ac:dyDescent="0.2">
      <c r="A2725" t="str">
        <f>"2721"</f>
        <v>2721</v>
      </c>
      <c r="B2725" t="str">
        <f t="shared" si="149"/>
        <v>1</v>
      </c>
      <c r="C2725" t="str">
        <f t="shared" si="151"/>
        <v>55</v>
      </c>
      <c r="D2725" t="str">
        <f>"48"</f>
        <v>48</v>
      </c>
      <c r="E2725" t="str">
        <f>"1-55-48"</f>
        <v>1-55-48</v>
      </c>
      <c r="F2725" t="s">
        <v>65</v>
      </c>
      <c r="G2725" t="s">
        <v>66</v>
      </c>
      <c r="H2725" t="s">
        <v>67</v>
      </c>
      <c r="S2725">
        <v>1</v>
      </c>
      <c r="T2725">
        <v>0</v>
      </c>
      <c r="U2725">
        <v>0</v>
      </c>
      <c r="V2725">
        <v>0</v>
      </c>
      <c r="W2725">
        <v>0</v>
      </c>
      <c r="X2725">
        <v>1</v>
      </c>
      <c r="Y2725">
        <v>0</v>
      </c>
      <c r="Z2725">
        <v>1</v>
      </c>
      <c r="AA2725">
        <v>0</v>
      </c>
      <c r="AB2725">
        <v>1</v>
      </c>
      <c r="AC2725">
        <v>0</v>
      </c>
      <c r="AD2725">
        <v>1</v>
      </c>
      <c r="AE2725">
        <v>1</v>
      </c>
      <c r="AF2725">
        <v>1</v>
      </c>
      <c r="AG2725">
        <v>1</v>
      </c>
      <c r="AH2725">
        <v>1</v>
      </c>
      <c r="AI2725">
        <v>1</v>
      </c>
      <c r="AJ2725">
        <v>1</v>
      </c>
      <c r="AK2725">
        <v>1</v>
      </c>
      <c r="AL2725">
        <v>1</v>
      </c>
      <c r="AM2725">
        <v>1</v>
      </c>
    </row>
    <row r="2726" spans="1:39" x14ac:dyDescent="0.2">
      <c r="A2726" t="str">
        <f>"2722"</f>
        <v>2722</v>
      </c>
      <c r="B2726" t="str">
        <f t="shared" si="149"/>
        <v>1</v>
      </c>
      <c r="C2726" t="str">
        <f t="shared" si="151"/>
        <v>55</v>
      </c>
      <c r="D2726" t="str">
        <f>"47"</f>
        <v>47</v>
      </c>
      <c r="E2726" t="str">
        <f>"1-55-47"</f>
        <v>1-55-47</v>
      </c>
      <c r="F2726" t="s">
        <v>65</v>
      </c>
      <c r="G2726" t="s">
        <v>66</v>
      </c>
      <c r="H2726" t="s">
        <v>67</v>
      </c>
      <c r="S2726">
        <v>1</v>
      </c>
      <c r="T2726">
        <v>0</v>
      </c>
      <c r="U2726">
        <v>0</v>
      </c>
      <c r="V2726">
        <v>0</v>
      </c>
      <c r="W2726">
        <v>1</v>
      </c>
      <c r="X2726">
        <v>0</v>
      </c>
      <c r="Y2726">
        <v>1</v>
      </c>
      <c r="Z2726">
        <v>0</v>
      </c>
      <c r="AA2726">
        <v>0</v>
      </c>
      <c r="AB2726">
        <v>1</v>
      </c>
      <c r="AC2726">
        <v>0</v>
      </c>
      <c r="AD2726">
        <v>1</v>
      </c>
      <c r="AE2726">
        <v>1</v>
      </c>
      <c r="AF2726">
        <v>1</v>
      </c>
      <c r="AG2726">
        <v>1</v>
      </c>
      <c r="AH2726">
        <v>1</v>
      </c>
      <c r="AI2726">
        <v>1</v>
      </c>
      <c r="AJ2726">
        <v>1</v>
      </c>
      <c r="AK2726">
        <v>1</v>
      </c>
      <c r="AL2726">
        <v>1</v>
      </c>
      <c r="AM2726">
        <v>1</v>
      </c>
    </row>
    <row r="2727" spans="1:39" x14ac:dyDescent="0.2">
      <c r="A2727" t="str">
        <f>"2723"</f>
        <v>2723</v>
      </c>
      <c r="B2727" t="str">
        <f t="shared" si="149"/>
        <v>1</v>
      </c>
      <c r="C2727" t="str">
        <f t="shared" si="151"/>
        <v>55</v>
      </c>
      <c r="D2727" t="str">
        <f>"19"</f>
        <v>19</v>
      </c>
      <c r="E2727" t="str">
        <f>"1-55-19"</f>
        <v>1-55-19</v>
      </c>
      <c r="F2727" t="s">
        <v>65</v>
      </c>
      <c r="G2727" t="s">
        <v>66</v>
      </c>
      <c r="H2727" t="s">
        <v>67</v>
      </c>
      <c r="S2727">
        <v>0</v>
      </c>
      <c r="T2727">
        <v>1</v>
      </c>
      <c r="U2727">
        <v>0</v>
      </c>
      <c r="V2727">
        <v>0</v>
      </c>
      <c r="W2727">
        <v>1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1</v>
      </c>
      <c r="AF2727">
        <v>0</v>
      </c>
      <c r="AG2727">
        <v>0</v>
      </c>
      <c r="AH2727">
        <v>0</v>
      </c>
      <c r="AI2727">
        <v>1</v>
      </c>
      <c r="AJ2727">
        <v>0</v>
      </c>
      <c r="AK2727">
        <v>0</v>
      </c>
      <c r="AL2727">
        <v>0</v>
      </c>
      <c r="AM2727">
        <v>0</v>
      </c>
    </row>
    <row r="2728" spans="1:39" x14ac:dyDescent="0.2">
      <c r="A2728" t="str">
        <f>"2724"</f>
        <v>2724</v>
      </c>
      <c r="B2728" t="str">
        <f t="shared" si="149"/>
        <v>1</v>
      </c>
      <c r="C2728" t="str">
        <f t="shared" si="151"/>
        <v>55</v>
      </c>
      <c r="D2728" t="str">
        <f>"9"</f>
        <v>9</v>
      </c>
      <c r="E2728" t="str">
        <f>"1-55-9"</f>
        <v>1-55-9</v>
      </c>
      <c r="F2728" t="s">
        <v>65</v>
      </c>
      <c r="G2728" t="s">
        <v>66</v>
      </c>
      <c r="H2728" t="s">
        <v>67</v>
      </c>
      <c r="S2728">
        <v>0</v>
      </c>
      <c r="T2728">
        <v>1</v>
      </c>
      <c r="U2728">
        <v>0</v>
      </c>
      <c r="V2728">
        <v>0</v>
      </c>
      <c r="W2728">
        <v>0</v>
      </c>
      <c r="X2728">
        <v>1</v>
      </c>
      <c r="Y2728">
        <v>0</v>
      </c>
      <c r="Z2728">
        <v>1</v>
      </c>
      <c r="AA2728">
        <v>0</v>
      </c>
      <c r="AB2728">
        <v>0</v>
      </c>
      <c r="AC2728">
        <v>1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</row>
    <row r="2729" spans="1:39" x14ac:dyDescent="0.2">
      <c r="A2729" t="str">
        <f>"2725"</f>
        <v>2725</v>
      </c>
      <c r="B2729" t="str">
        <f t="shared" si="149"/>
        <v>1</v>
      </c>
      <c r="C2729" t="str">
        <f t="shared" si="151"/>
        <v>55</v>
      </c>
      <c r="D2729" t="str">
        <f>"46"</f>
        <v>46</v>
      </c>
      <c r="E2729" t="str">
        <f>"1-55-46"</f>
        <v>1-55-46</v>
      </c>
      <c r="F2729" t="s">
        <v>65</v>
      </c>
      <c r="G2729" t="s">
        <v>66</v>
      </c>
      <c r="H2729" t="s">
        <v>67</v>
      </c>
      <c r="S2729">
        <v>0</v>
      </c>
      <c r="T2729">
        <v>1</v>
      </c>
      <c r="U2729">
        <v>0</v>
      </c>
      <c r="V2729">
        <v>0</v>
      </c>
      <c r="W2729">
        <v>1</v>
      </c>
      <c r="X2729">
        <v>0</v>
      </c>
      <c r="Y2729">
        <v>0</v>
      </c>
      <c r="Z2729">
        <v>1</v>
      </c>
      <c r="AA2729">
        <v>0</v>
      </c>
      <c r="AB2729">
        <v>1</v>
      </c>
      <c r="AC2729">
        <v>0</v>
      </c>
      <c r="AD2729">
        <v>1</v>
      </c>
      <c r="AE2729">
        <v>1</v>
      </c>
      <c r="AF2729">
        <v>1</v>
      </c>
      <c r="AG2729">
        <v>1</v>
      </c>
      <c r="AH2729">
        <v>1</v>
      </c>
      <c r="AI2729">
        <v>1</v>
      </c>
      <c r="AJ2729">
        <v>1</v>
      </c>
      <c r="AK2729">
        <v>1</v>
      </c>
      <c r="AL2729">
        <v>1</v>
      </c>
      <c r="AM2729">
        <v>1</v>
      </c>
    </row>
    <row r="2730" spans="1:39" x14ac:dyDescent="0.2">
      <c r="A2730" t="str">
        <f>"2726"</f>
        <v>2726</v>
      </c>
      <c r="B2730" t="str">
        <f t="shared" si="149"/>
        <v>1</v>
      </c>
      <c r="C2730" t="str">
        <f t="shared" si="151"/>
        <v>55</v>
      </c>
      <c r="D2730" t="str">
        <f>"45"</f>
        <v>45</v>
      </c>
      <c r="E2730" t="str">
        <f>"1-55-45"</f>
        <v>1-55-45</v>
      </c>
      <c r="F2730" t="s">
        <v>65</v>
      </c>
      <c r="G2730" t="s">
        <v>66</v>
      </c>
      <c r="H2730" t="s">
        <v>67</v>
      </c>
      <c r="S2730">
        <v>1</v>
      </c>
      <c r="T2730">
        <v>0</v>
      </c>
      <c r="U2730">
        <v>0</v>
      </c>
      <c r="V2730">
        <v>0</v>
      </c>
      <c r="W2730">
        <v>1</v>
      </c>
      <c r="X2730">
        <v>0</v>
      </c>
      <c r="Y2730">
        <v>0</v>
      </c>
      <c r="Z2730">
        <v>1</v>
      </c>
      <c r="AA2730">
        <v>0</v>
      </c>
      <c r="AB2730">
        <v>1</v>
      </c>
      <c r="AC2730">
        <v>0</v>
      </c>
      <c r="AD2730">
        <v>1</v>
      </c>
      <c r="AE2730">
        <v>1</v>
      </c>
      <c r="AF2730">
        <v>1</v>
      </c>
      <c r="AG2730">
        <v>1</v>
      </c>
      <c r="AH2730">
        <v>1</v>
      </c>
      <c r="AI2730">
        <v>1</v>
      </c>
      <c r="AJ2730">
        <v>1</v>
      </c>
      <c r="AK2730">
        <v>1</v>
      </c>
      <c r="AL2730">
        <v>1</v>
      </c>
      <c r="AM2730">
        <v>1</v>
      </c>
    </row>
    <row r="2731" spans="1:39" x14ac:dyDescent="0.2">
      <c r="A2731" t="str">
        <f>"2727"</f>
        <v>2727</v>
      </c>
      <c r="B2731" t="str">
        <f t="shared" si="149"/>
        <v>1</v>
      </c>
      <c r="C2731" t="str">
        <f t="shared" si="151"/>
        <v>55</v>
      </c>
      <c r="D2731" t="str">
        <f>"33"</f>
        <v>33</v>
      </c>
      <c r="E2731" t="str">
        <f>"1-55-33"</f>
        <v>1-55-33</v>
      </c>
      <c r="F2731" t="s">
        <v>65</v>
      </c>
      <c r="G2731" t="s">
        <v>66</v>
      </c>
      <c r="H2731" t="s">
        <v>67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0</v>
      </c>
      <c r="AB2731">
        <v>1</v>
      </c>
      <c r="AC2731">
        <v>0</v>
      </c>
      <c r="AD2731">
        <v>0</v>
      </c>
      <c r="AE2731">
        <v>0</v>
      </c>
      <c r="AF2731">
        <v>0</v>
      </c>
      <c r="AG2731">
        <v>1</v>
      </c>
      <c r="AH2731">
        <v>1</v>
      </c>
      <c r="AI2731">
        <v>0</v>
      </c>
      <c r="AJ2731">
        <v>0</v>
      </c>
      <c r="AK2731">
        <v>0</v>
      </c>
      <c r="AL2731">
        <v>0</v>
      </c>
      <c r="AM2731">
        <v>0</v>
      </c>
    </row>
    <row r="2732" spans="1:39" x14ac:dyDescent="0.2">
      <c r="A2732" t="str">
        <f>"2728"</f>
        <v>2728</v>
      </c>
      <c r="B2732" t="str">
        <f t="shared" si="149"/>
        <v>1</v>
      </c>
      <c r="C2732" t="str">
        <f t="shared" si="151"/>
        <v>55</v>
      </c>
      <c r="D2732" t="str">
        <f>"20"</f>
        <v>20</v>
      </c>
      <c r="E2732" t="str">
        <f>"1-55-20"</f>
        <v>1-55-20</v>
      </c>
      <c r="F2732" t="s">
        <v>65</v>
      </c>
      <c r="G2732" t="s">
        <v>66</v>
      </c>
      <c r="H2732" t="s">
        <v>67</v>
      </c>
      <c r="S2732">
        <v>1</v>
      </c>
      <c r="T2732">
        <v>0</v>
      </c>
      <c r="U2732">
        <v>0</v>
      </c>
      <c r="V2732">
        <v>0</v>
      </c>
      <c r="W2732">
        <v>1</v>
      </c>
      <c r="X2732">
        <v>0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1</v>
      </c>
      <c r="AJ2732">
        <v>1</v>
      </c>
      <c r="AK2732">
        <v>1</v>
      </c>
      <c r="AL2732">
        <v>1</v>
      </c>
      <c r="AM2732">
        <v>0</v>
      </c>
    </row>
    <row r="2733" spans="1:39" x14ac:dyDescent="0.2">
      <c r="A2733" t="str">
        <f>"2729"</f>
        <v>2729</v>
      </c>
      <c r="B2733" t="str">
        <f t="shared" si="149"/>
        <v>1</v>
      </c>
      <c r="C2733" t="str">
        <f t="shared" si="151"/>
        <v>55</v>
      </c>
      <c r="D2733" t="str">
        <f>"13"</f>
        <v>13</v>
      </c>
      <c r="E2733" t="str">
        <f>"1-55-13"</f>
        <v>1-55-13</v>
      </c>
      <c r="F2733" t="s">
        <v>65</v>
      </c>
      <c r="G2733" t="s">
        <v>66</v>
      </c>
      <c r="H2733" t="s">
        <v>67</v>
      </c>
      <c r="S2733">
        <v>1</v>
      </c>
      <c r="T2733">
        <v>0</v>
      </c>
      <c r="U2733">
        <v>0</v>
      </c>
      <c r="V2733">
        <v>0</v>
      </c>
      <c r="W2733">
        <v>1</v>
      </c>
      <c r="X2733">
        <v>0</v>
      </c>
      <c r="Y2733">
        <v>1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1</v>
      </c>
      <c r="AF2733">
        <v>1</v>
      </c>
      <c r="AG2733">
        <v>1</v>
      </c>
      <c r="AH2733">
        <v>1</v>
      </c>
      <c r="AI2733">
        <v>1</v>
      </c>
      <c r="AJ2733">
        <v>1</v>
      </c>
      <c r="AK2733">
        <v>1</v>
      </c>
      <c r="AL2733">
        <v>1</v>
      </c>
      <c r="AM2733">
        <v>1</v>
      </c>
    </row>
    <row r="2734" spans="1:39" x14ac:dyDescent="0.2">
      <c r="A2734" t="str">
        <f>"2730"</f>
        <v>2730</v>
      </c>
      <c r="B2734" t="str">
        <f t="shared" si="149"/>
        <v>1</v>
      </c>
      <c r="C2734" t="str">
        <f t="shared" si="151"/>
        <v>55</v>
      </c>
      <c r="D2734" t="str">
        <f>"36"</f>
        <v>36</v>
      </c>
      <c r="E2734" t="str">
        <f>"1-55-36"</f>
        <v>1-55-36</v>
      </c>
      <c r="F2734" t="s">
        <v>65</v>
      </c>
      <c r="G2734" t="s">
        <v>66</v>
      </c>
      <c r="H2734" t="s">
        <v>67</v>
      </c>
      <c r="S2734">
        <v>0</v>
      </c>
      <c r="T2734">
        <v>1</v>
      </c>
      <c r="U2734">
        <v>0</v>
      </c>
      <c r="V2734">
        <v>0</v>
      </c>
      <c r="W2734">
        <v>1</v>
      </c>
      <c r="X2734">
        <v>0</v>
      </c>
      <c r="Y2734">
        <v>1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1</v>
      </c>
      <c r="AF2734">
        <v>1</v>
      </c>
      <c r="AG2734">
        <v>1</v>
      </c>
      <c r="AH2734">
        <v>1</v>
      </c>
      <c r="AI2734">
        <v>1</v>
      </c>
      <c r="AJ2734">
        <v>1</v>
      </c>
      <c r="AK2734">
        <v>1</v>
      </c>
      <c r="AL2734">
        <v>1</v>
      </c>
      <c r="AM2734">
        <v>1</v>
      </c>
    </row>
    <row r="2735" spans="1:39" x14ac:dyDescent="0.2">
      <c r="A2735" t="str">
        <f>"2731"</f>
        <v>2731</v>
      </c>
      <c r="B2735" t="str">
        <f t="shared" si="149"/>
        <v>1</v>
      </c>
      <c r="C2735" t="str">
        <f t="shared" si="151"/>
        <v>55</v>
      </c>
      <c r="D2735" t="str">
        <f>"21"</f>
        <v>21</v>
      </c>
      <c r="E2735" t="str">
        <f>"1-55-21"</f>
        <v>1-55-21</v>
      </c>
      <c r="F2735" t="s">
        <v>65</v>
      </c>
      <c r="G2735" t="s">
        <v>66</v>
      </c>
      <c r="H2735" t="s">
        <v>67</v>
      </c>
      <c r="S2735">
        <v>1</v>
      </c>
      <c r="T2735">
        <v>0</v>
      </c>
      <c r="U2735">
        <v>0</v>
      </c>
      <c r="V2735">
        <v>0</v>
      </c>
      <c r="W2735">
        <v>0</v>
      </c>
      <c r="X2735">
        <v>1</v>
      </c>
      <c r="Y2735">
        <v>1</v>
      </c>
      <c r="Z2735">
        <v>0</v>
      </c>
      <c r="AA2735">
        <v>0</v>
      </c>
      <c r="AB2735">
        <v>1</v>
      </c>
      <c r="AC2735">
        <v>0</v>
      </c>
      <c r="AD2735">
        <v>1</v>
      </c>
      <c r="AE2735">
        <v>1</v>
      </c>
      <c r="AF2735">
        <v>1</v>
      </c>
      <c r="AG2735">
        <v>1</v>
      </c>
      <c r="AH2735">
        <v>1</v>
      </c>
      <c r="AI2735">
        <v>1</v>
      </c>
      <c r="AJ2735">
        <v>1</v>
      </c>
      <c r="AK2735">
        <v>1</v>
      </c>
      <c r="AL2735">
        <v>1</v>
      </c>
      <c r="AM2735">
        <v>1</v>
      </c>
    </row>
    <row r="2736" spans="1:39" x14ac:dyDescent="0.2">
      <c r="A2736" t="str">
        <f>"2732"</f>
        <v>2732</v>
      </c>
      <c r="B2736" t="str">
        <f t="shared" si="149"/>
        <v>1</v>
      </c>
      <c r="C2736" t="str">
        <f t="shared" si="151"/>
        <v>55</v>
      </c>
      <c r="D2736" t="str">
        <f>"7"</f>
        <v>7</v>
      </c>
      <c r="E2736" t="str">
        <f>"1-55-7"</f>
        <v>1-55-7</v>
      </c>
      <c r="F2736" t="s">
        <v>65</v>
      </c>
      <c r="G2736" t="s">
        <v>66</v>
      </c>
      <c r="H2736" t="s">
        <v>67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</row>
    <row r="2737" spans="1:39" x14ac:dyDescent="0.2">
      <c r="A2737" t="str">
        <f>"2733"</f>
        <v>2733</v>
      </c>
      <c r="B2737" t="str">
        <f t="shared" si="149"/>
        <v>1</v>
      </c>
      <c r="C2737" t="str">
        <f t="shared" ref="C2737:C2754" si="152">"55"</f>
        <v>55</v>
      </c>
      <c r="D2737" t="str">
        <f>"49"</f>
        <v>49</v>
      </c>
      <c r="E2737" t="str">
        <f>"1-55-49"</f>
        <v>1-55-49</v>
      </c>
      <c r="F2737" t="s">
        <v>65</v>
      </c>
      <c r="G2737" t="s">
        <v>66</v>
      </c>
      <c r="H2737" t="s">
        <v>67</v>
      </c>
      <c r="S2737">
        <v>1</v>
      </c>
      <c r="T2737">
        <v>0</v>
      </c>
      <c r="U2737">
        <v>0</v>
      </c>
      <c r="V2737">
        <v>0</v>
      </c>
      <c r="W2737">
        <v>1</v>
      </c>
      <c r="X2737">
        <v>0</v>
      </c>
      <c r="Y2737">
        <v>1</v>
      </c>
      <c r="Z2737">
        <v>0</v>
      </c>
      <c r="AA2737">
        <v>0</v>
      </c>
      <c r="AB2737">
        <v>1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1</v>
      </c>
      <c r="AI2737">
        <v>1</v>
      </c>
      <c r="AJ2737">
        <v>0</v>
      </c>
      <c r="AK2737">
        <v>0</v>
      </c>
      <c r="AL2737">
        <v>1</v>
      </c>
      <c r="AM2737">
        <v>0</v>
      </c>
    </row>
    <row r="2738" spans="1:39" x14ac:dyDescent="0.2">
      <c r="A2738" t="str">
        <f>"2734"</f>
        <v>2734</v>
      </c>
      <c r="B2738" t="str">
        <f t="shared" si="149"/>
        <v>1</v>
      </c>
      <c r="C2738" t="str">
        <f t="shared" si="152"/>
        <v>55</v>
      </c>
      <c r="D2738" t="str">
        <f>"35"</f>
        <v>35</v>
      </c>
      <c r="E2738" t="str">
        <f>"1-55-35"</f>
        <v>1-55-35</v>
      </c>
      <c r="F2738" t="s">
        <v>65</v>
      </c>
      <c r="G2738" t="s">
        <v>66</v>
      </c>
      <c r="H2738" t="s">
        <v>67</v>
      </c>
      <c r="S2738">
        <v>1</v>
      </c>
      <c r="T2738">
        <v>0</v>
      </c>
      <c r="U2738">
        <v>0</v>
      </c>
      <c r="V2738">
        <v>0</v>
      </c>
      <c r="W2738">
        <v>1</v>
      </c>
      <c r="X2738">
        <v>0</v>
      </c>
      <c r="Y2738">
        <v>0</v>
      </c>
      <c r="Z2738">
        <v>1</v>
      </c>
      <c r="AA2738">
        <v>0</v>
      </c>
      <c r="AB2738">
        <v>1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</row>
    <row r="2739" spans="1:39" x14ac:dyDescent="0.2">
      <c r="A2739" t="str">
        <f>"2735"</f>
        <v>2735</v>
      </c>
      <c r="B2739" t="str">
        <f t="shared" si="149"/>
        <v>1</v>
      </c>
      <c r="C2739" t="str">
        <f t="shared" si="152"/>
        <v>55</v>
      </c>
      <c r="D2739" t="str">
        <f>"22"</f>
        <v>22</v>
      </c>
      <c r="E2739" t="str">
        <f>"1-55-22"</f>
        <v>1-55-22</v>
      </c>
      <c r="F2739" t="s">
        <v>65</v>
      </c>
      <c r="G2739" t="s">
        <v>66</v>
      </c>
      <c r="H2739" t="s">
        <v>67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</row>
    <row r="2740" spans="1:39" x14ac:dyDescent="0.2">
      <c r="A2740" t="str">
        <f>"2736"</f>
        <v>2736</v>
      </c>
      <c r="B2740" t="str">
        <f t="shared" si="149"/>
        <v>1</v>
      </c>
      <c r="C2740" t="str">
        <f t="shared" si="152"/>
        <v>55</v>
      </c>
      <c r="D2740" t="str">
        <f>"5"</f>
        <v>5</v>
      </c>
      <c r="E2740" t="str">
        <f>"1-55-5"</f>
        <v>1-55-5</v>
      </c>
      <c r="F2740" t="s">
        <v>65</v>
      </c>
      <c r="G2740" t="s">
        <v>66</v>
      </c>
      <c r="H2740" t="s">
        <v>67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</row>
    <row r="2741" spans="1:39" x14ac:dyDescent="0.2">
      <c r="A2741" t="str">
        <f>"2737"</f>
        <v>2737</v>
      </c>
      <c r="B2741" t="str">
        <f t="shared" si="149"/>
        <v>1</v>
      </c>
      <c r="C2741" t="str">
        <f t="shared" si="152"/>
        <v>55</v>
      </c>
      <c r="D2741" t="str">
        <f>"23"</f>
        <v>23</v>
      </c>
      <c r="E2741" t="str">
        <f>"1-55-23"</f>
        <v>1-55-23</v>
      </c>
      <c r="F2741" t="s">
        <v>65</v>
      </c>
      <c r="G2741" t="s">
        <v>66</v>
      </c>
      <c r="H2741" t="s">
        <v>67</v>
      </c>
      <c r="S2741">
        <v>0</v>
      </c>
      <c r="T2741">
        <v>1</v>
      </c>
      <c r="U2741">
        <v>0</v>
      </c>
      <c r="V2741">
        <v>0</v>
      </c>
      <c r="W2741">
        <v>0</v>
      </c>
      <c r="X2741">
        <v>1</v>
      </c>
      <c r="Y2741">
        <v>0</v>
      </c>
      <c r="Z2741">
        <v>1</v>
      </c>
      <c r="AA2741">
        <v>0</v>
      </c>
      <c r="AB2741">
        <v>1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</row>
    <row r="2742" spans="1:39" x14ac:dyDescent="0.2">
      <c r="A2742" t="str">
        <f>"2738"</f>
        <v>2738</v>
      </c>
      <c r="B2742" t="str">
        <f t="shared" si="149"/>
        <v>1</v>
      </c>
      <c r="C2742" t="str">
        <f t="shared" si="152"/>
        <v>55</v>
      </c>
      <c r="D2742" t="str">
        <f>"6"</f>
        <v>6</v>
      </c>
      <c r="E2742" t="str">
        <f>"1-55-6"</f>
        <v>1-55-6</v>
      </c>
      <c r="F2742" t="s">
        <v>65</v>
      </c>
      <c r="G2742" t="s">
        <v>66</v>
      </c>
      <c r="H2742" t="s">
        <v>67</v>
      </c>
      <c r="S2742">
        <v>1</v>
      </c>
      <c r="T2742">
        <v>0</v>
      </c>
      <c r="U2742">
        <v>0</v>
      </c>
      <c r="V2742">
        <v>0</v>
      </c>
      <c r="W2742">
        <v>1</v>
      </c>
      <c r="X2742">
        <v>0</v>
      </c>
      <c r="Y2742">
        <v>0</v>
      </c>
      <c r="Z2742">
        <v>1</v>
      </c>
      <c r="AA2742">
        <v>0</v>
      </c>
      <c r="AB2742">
        <v>0</v>
      </c>
      <c r="AC2742">
        <v>1</v>
      </c>
      <c r="AD2742">
        <v>1</v>
      </c>
      <c r="AE2742">
        <v>1</v>
      </c>
      <c r="AF2742">
        <v>1</v>
      </c>
      <c r="AG2742">
        <v>1</v>
      </c>
      <c r="AH2742">
        <v>1</v>
      </c>
      <c r="AI2742">
        <v>1</v>
      </c>
      <c r="AJ2742">
        <v>1</v>
      </c>
      <c r="AK2742">
        <v>1</v>
      </c>
      <c r="AL2742">
        <v>1</v>
      </c>
      <c r="AM2742">
        <v>1</v>
      </c>
    </row>
    <row r="2743" spans="1:39" x14ac:dyDescent="0.2">
      <c r="A2743" t="str">
        <f>"2739"</f>
        <v>2739</v>
      </c>
      <c r="B2743" t="str">
        <f t="shared" ref="B2743:B2806" si="153">"1"</f>
        <v>1</v>
      </c>
      <c r="C2743" t="str">
        <f t="shared" si="152"/>
        <v>55</v>
      </c>
      <c r="D2743" t="str">
        <f>"24"</f>
        <v>24</v>
      </c>
      <c r="E2743" t="str">
        <f>"1-55-24"</f>
        <v>1-55-24</v>
      </c>
      <c r="F2743" t="s">
        <v>65</v>
      </c>
      <c r="G2743" t="s">
        <v>66</v>
      </c>
      <c r="H2743" t="s">
        <v>67</v>
      </c>
      <c r="S2743">
        <v>0</v>
      </c>
      <c r="T2743">
        <v>1</v>
      </c>
      <c r="U2743">
        <v>0</v>
      </c>
      <c r="V2743">
        <v>0</v>
      </c>
      <c r="W2743">
        <v>1</v>
      </c>
      <c r="X2743">
        <v>0</v>
      </c>
      <c r="Y2743">
        <v>0</v>
      </c>
      <c r="Z2743">
        <v>1</v>
      </c>
      <c r="AA2743">
        <v>0</v>
      </c>
      <c r="AB2743">
        <v>1</v>
      </c>
      <c r="AC2743">
        <v>0</v>
      </c>
      <c r="AD2743">
        <v>0</v>
      </c>
      <c r="AE2743">
        <v>1</v>
      </c>
      <c r="AF2743">
        <v>1</v>
      </c>
      <c r="AG2743">
        <v>1</v>
      </c>
      <c r="AH2743">
        <v>1</v>
      </c>
      <c r="AI2743">
        <v>1</v>
      </c>
      <c r="AJ2743">
        <v>1</v>
      </c>
      <c r="AK2743">
        <v>1</v>
      </c>
      <c r="AL2743">
        <v>1</v>
      </c>
      <c r="AM2743">
        <v>1</v>
      </c>
    </row>
    <row r="2744" spans="1:39" x14ac:dyDescent="0.2">
      <c r="A2744" t="str">
        <f>"2740"</f>
        <v>2740</v>
      </c>
      <c r="B2744" t="str">
        <f t="shared" si="153"/>
        <v>1</v>
      </c>
      <c r="C2744" t="str">
        <f t="shared" si="152"/>
        <v>55</v>
      </c>
      <c r="D2744" t="str">
        <f>"3"</f>
        <v>3</v>
      </c>
      <c r="E2744" t="str">
        <f>"1-55-3"</f>
        <v>1-55-3</v>
      </c>
      <c r="F2744" t="s">
        <v>65</v>
      </c>
      <c r="G2744" t="s">
        <v>66</v>
      </c>
      <c r="H2744" t="s">
        <v>67</v>
      </c>
      <c r="S2744">
        <v>1</v>
      </c>
      <c r="T2744">
        <v>0</v>
      </c>
      <c r="U2744">
        <v>0</v>
      </c>
      <c r="V2744">
        <v>0</v>
      </c>
      <c r="W2744">
        <v>1</v>
      </c>
      <c r="X2744">
        <v>0</v>
      </c>
      <c r="Y2744">
        <v>1</v>
      </c>
      <c r="Z2744">
        <v>0</v>
      </c>
      <c r="AA2744">
        <v>0</v>
      </c>
      <c r="AB2744">
        <v>0</v>
      </c>
      <c r="AC2744">
        <v>1</v>
      </c>
      <c r="AD2744">
        <v>1</v>
      </c>
      <c r="AE2744">
        <v>1</v>
      </c>
      <c r="AF2744">
        <v>1</v>
      </c>
      <c r="AG2744">
        <v>1</v>
      </c>
      <c r="AH2744">
        <v>1</v>
      </c>
      <c r="AI2744">
        <v>1</v>
      </c>
      <c r="AJ2744">
        <v>0</v>
      </c>
      <c r="AK2744">
        <v>1</v>
      </c>
      <c r="AL2744">
        <v>1</v>
      </c>
      <c r="AM2744">
        <v>1</v>
      </c>
    </row>
    <row r="2745" spans="1:39" x14ac:dyDescent="0.2">
      <c r="A2745" t="str">
        <f>"2741"</f>
        <v>2741</v>
      </c>
      <c r="B2745" t="str">
        <f t="shared" si="153"/>
        <v>1</v>
      </c>
      <c r="C2745" t="str">
        <f t="shared" si="152"/>
        <v>55</v>
      </c>
      <c r="D2745" t="str">
        <f>"26"</f>
        <v>26</v>
      </c>
      <c r="E2745" t="str">
        <f>"1-55-26"</f>
        <v>1-55-26</v>
      </c>
      <c r="F2745" t="s">
        <v>65</v>
      </c>
      <c r="G2745" t="s">
        <v>66</v>
      </c>
      <c r="H2745" t="s">
        <v>67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1</v>
      </c>
      <c r="Y2745">
        <v>1</v>
      </c>
      <c r="Z2745">
        <v>0</v>
      </c>
      <c r="AA2745">
        <v>0</v>
      </c>
      <c r="AB2745">
        <v>1</v>
      </c>
      <c r="AC2745">
        <v>0</v>
      </c>
      <c r="AD2745">
        <v>1</v>
      </c>
      <c r="AE2745">
        <v>1</v>
      </c>
      <c r="AF2745">
        <v>1</v>
      </c>
      <c r="AG2745">
        <v>1</v>
      </c>
      <c r="AH2745">
        <v>1</v>
      </c>
      <c r="AI2745">
        <v>1</v>
      </c>
      <c r="AJ2745">
        <v>1</v>
      </c>
      <c r="AK2745">
        <v>1</v>
      </c>
      <c r="AL2745">
        <v>1</v>
      </c>
      <c r="AM2745">
        <v>1</v>
      </c>
    </row>
    <row r="2746" spans="1:39" x14ac:dyDescent="0.2">
      <c r="A2746" t="str">
        <f>"2742"</f>
        <v>2742</v>
      </c>
      <c r="B2746" t="str">
        <f t="shared" si="153"/>
        <v>1</v>
      </c>
      <c r="C2746" t="str">
        <f t="shared" si="152"/>
        <v>55</v>
      </c>
      <c r="D2746" t="str">
        <f>"10"</f>
        <v>10</v>
      </c>
      <c r="E2746" t="str">
        <f>"1-55-10"</f>
        <v>1-55-10</v>
      </c>
      <c r="F2746" t="s">
        <v>65</v>
      </c>
      <c r="G2746" t="s">
        <v>66</v>
      </c>
      <c r="H2746" t="s">
        <v>67</v>
      </c>
      <c r="S2746">
        <v>1</v>
      </c>
      <c r="T2746">
        <v>0</v>
      </c>
      <c r="U2746">
        <v>0</v>
      </c>
      <c r="V2746">
        <v>0</v>
      </c>
      <c r="W2746">
        <v>1</v>
      </c>
      <c r="X2746">
        <v>0</v>
      </c>
      <c r="Y2746">
        <v>1</v>
      </c>
      <c r="Z2746">
        <v>0</v>
      </c>
      <c r="AA2746">
        <v>0</v>
      </c>
      <c r="AB2746">
        <v>0</v>
      </c>
      <c r="AC2746">
        <v>1</v>
      </c>
      <c r="AD2746">
        <v>1</v>
      </c>
      <c r="AE2746">
        <v>1</v>
      </c>
      <c r="AF2746">
        <v>1</v>
      </c>
      <c r="AG2746">
        <v>1</v>
      </c>
      <c r="AH2746">
        <v>1</v>
      </c>
      <c r="AI2746">
        <v>1</v>
      </c>
      <c r="AJ2746">
        <v>1</v>
      </c>
      <c r="AK2746">
        <v>1</v>
      </c>
      <c r="AL2746">
        <v>1</v>
      </c>
      <c r="AM2746">
        <v>1</v>
      </c>
    </row>
    <row r="2747" spans="1:39" x14ac:dyDescent="0.2">
      <c r="A2747" t="str">
        <f>"2743"</f>
        <v>2743</v>
      </c>
      <c r="B2747" t="str">
        <f t="shared" si="153"/>
        <v>1</v>
      </c>
      <c r="C2747" t="str">
        <f t="shared" si="152"/>
        <v>55</v>
      </c>
      <c r="D2747" t="str">
        <f>"28"</f>
        <v>28</v>
      </c>
      <c r="E2747" t="str">
        <f>"1-55-28"</f>
        <v>1-55-28</v>
      </c>
      <c r="F2747" t="s">
        <v>65</v>
      </c>
      <c r="G2747" t="s">
        <v>66</v>
      </c>
      <c r="H2747" t="s">
        <v>67</v>
      </c>
      <c r="S2747">
        <v>0</v>
      </c>
      <c r="T2747">
        <v>1</v>
      </c>
      <c r="U2747">
        <v>0</v>
      </c>
      <c r="V2747">
        <v>0</v>
      </c>
      <c r="W2747">
        <v>0</v>
      </c>
      <c r="X2747">
        <v>1</v>
      </c>
      <c r="Y2747">
        <v>1</v>
      </c>
      <c r="Z2747">
        <v>0</v>
      </c>
      <c r="AA2747">
        <v>0</v>
      </c>
      <c r="AB2747">
        <v>1</v>
      </c>
      <c r="AC2747">
        <v>0</v>
      </c>
      <c r="AD2747">
        <v>1</v>
      </c>
      <c r="AE2747">
        <v>1</v>
      </c>
      <c r="AF2747">
        <v>1</v>
      </c>
      <c r="AG2747">
        <v>1</v>
      </c>
      <c r="AH2747">
        <v>1</v>
      </c>
      <c r="AI2747">
        <v>1</v>
      </c>
      <c r="AJ2747">
        <v>1</v>
      </c>
      <c r="AK2747">
        <v>0</v>
      </c>
      <c r="AL2747">
        <v>1</v>
      </c>
      <c r="AM2747">
        <v>1</v>
      </c>
    </row>
    <row r="2748" spans="1:39" x14ac:dyDescent="0.2">
      <c r="A2748" t="str">
        <f>"2744"</f>
        <v>2744</v>
      </c>
      <c r="B2748" t="str">
        <f t="shared" si="153"/>
        <v>1</v>
      </c>
      <c r="C2748" t="str">
        <f t="shared" si="152"/>
        <v>55</v>
      </c>
      <c r="D2748" t="str">
        <f>"8"</f>
        <v>8</v>
      </c>
      <c r="E2748" t="str">
        <f>"1-55-8"</f>
        <v>1-55-8</v>
      </c>
      <c r="F2748" t="s">
        <v>65</v>
      </c>
      <c r="G2748" t="s">
        <v>66</v>
      </c>
      <c r="H2748" t="s">
        <v>67</v>
      </c>
      <c r="S2748">
        <v>0</v>
      </c>
      <c r="T2748">
        <v>1</v>
      </c>
      <c r="U2748">
        <v>0</v>
      </c>
      <c r="V2748">
        <v>0</v>
      </c>
      <c r="W2748">
        <v>0</v>
      </c>
      <c r="X2748">
        <v>1</v>
      </c>
      <c r="Y2748">
        <v>0</v>
      </c>
      <c r="Z2748">
        <v>1</v>
      </c>
      <c r="AA2748">
        <v>0</v>
      </c>
      <c r="AB2748">
        <v>0</v>
      </c>
      <c r="AC2748">
        <v>1</v>
      </c>
      <c r="AD2748">
        <v>1</v>
      </c>
      <c r="AE2748">
        <v>1</v>
      </c>
      <c r="AF2748">
        <v>1</v>
      </c>
      <c r="AG2748">
        <v>1</v>
      </c>
      <c r="AH2748">
        <v>1</v>
      </c>
      <c r="AI2748">
        <v>1</v>
      </c>
      <c r="AJ2748">
        <v>1</v>
      </c>
      <c r="AK2748">
        <v>1</v>
      </c>
      <c r="AL2748">
        <v>1</v>
      </c>
      <c r="AM2748">
        <v>1</v>
      </c>
    </row>
    <row r="2749" spans="1:39" x14ac:dyDescent="0.2">
      <c r="A2749" t="str">
        <f>"2745"</f>
        <v>2745</v>
      </c>
      <c r="B2749" t="str">
        <f t="shared" si="153"/>
        <v>1</v>
      </c>
      <c r="C2749" t="str">
        <f t="shared" si="152"/>
        <v>55</v>
      </c>
      <c r="D2749" t="str">
        <f>"30"</f>
        <v>30</v>
      </c>
      <c r="E2749" t="str">
        <f>"1-55-30"</f>
        <v>1-55-30</v>
      </c>
      <c r="F2749" t="s">
        <v>65</v>
      </c>
      <c r="G2749" t="s">
        <v>66</v>
      </c>
      <c r="H2749" t="s">
        <v>67</v>
      </c>
      <c r="S2749">
        <v>0</v>
      </c>
      <c r="T2749">
        <v>1</v>
      </c>
      <c r="U2749">
        <v>0</v>
      </c>
      <c r="V2749">
        <v>0</v>
      </c>
      <c r="W2749">
        <v>1</v>
      </c>
      <c r="X2749">
        <v>0</v>
      </c>
      <c r="Y2749">
        <v>1</v>
      </c>
      <c r="Z2749">
        <v>0</v>
      </c>
      <c r="AA2749">
        <v>0</v>
      </c>
      <c r="AB2749">
        <v>1</v>
      </c>
      <c r="AC2749">
        <v>0</v>
      </c>
      <c r="AD2749">
        <v>1</v>
      </c>
      <c r="AE2749">
        <v>1</v>
      </c>
      <c r="AF2749">
        <v>1</v>
      </c>
      <c r="AG2749">
        <v>1</v>
      </c>
      <c r="AH2749">
        <v>1</v>
      </c>
      <c r="AI2749">
        <v>1</v>
      </c>
      <c r="AJ2749">
        <v>1</v>
      </c>
      <c r="AK2749">
        <v>1</v>
      </c>
      <c r="AL2749">
        <v>1</v>
      </c>
      <c r="AM2749">
        <v>1</v>
      </c>
    </row>
    <row r="2750" spans="1:39" x14ac:dyDescent="0.2">
      <c r="A2750" t="str">
        <f>"2746"</f>
        <v>2746</v>
      </c>
      <c r="B2750" t="str">
        <f t="shared" si="153"/>
        <v>1</v>
      </c>
      <c r="C2750" t="str">
        <f t="shared" si="152"/>
        <v>55</v>
      </c>
      <c r="D2750" t="str">
        <f>"12"</f>
        <v>12</v>
      </c>
      <c r="E2750" t="str">
        <f>"1-55-12"</f>
        <v>1-55-12</v>
      </c>
      <c r="F2750" t="s">
        <v>65</v>
      </c>
      <c r="G2750" t="s">
        <v>66</v>
      </c>
      <c r="H2750" t="s">
        <v>67</v>
      </c>
      <c r="S2750">
        <v>1</v>
      </c>
      <c r="T2750">
        <v>0</v>
      </c>
      <c r="U2750">
        <v>0</v>
      </c>
      <c r="V2750">
        <v>0</v>
      </c>
      <c r="W2750">
        <v>0</v>
      </c>
      <c r="X2750">
        <v>1</v>
      </c>
      <c r="Y2750">
        <v>1</v>
      </c>
      <c r="Z2750">
        <v>0</v>
      </c>
      <c r="AA2750">
        <v>0</v>
      </c>
      <c r="AB2750">
        <v>1</v>
      </c>
      <c r="AC2750">
        <v>0</v>
      </c>
      <c r="AD2750">
        <v>1</v>
      </c>
      <c r="AE2750">
        <v>1</v>
      </c>
      <c r="AF2750">
        <v>1</v>
      </c>
      <c r="AG2750">
        <v>1</v>
      </c>
      <c r="AH2750">
        <v>1</v>
      </c>
      <c r="AI2750">
        <v>1</v>
      </c>
      <c r="AJ2750">
        <v>1</v>
      </c>
      <c r="AK2750">
        <v>1</v>
      </c>
      <c r="AL2750">
        <v>1</v>
      </c>
      <c r="AM2750">
        <v>1</v>
      </c>
    </row>
    <row r="2751" spans="1:39" x14ac:dyDescent="0.2">
      <c r="A2751" t="str">
        <f>"2747"</f>
        <v>2747</v>
      </c>
      <c r="B2751" t="str">
        <f t="shared" si="153"/>
        <v>1</v>
      </c>
      <c r="C2751" t="str">
        <f t="shared" si="152"/>
        <v>55</v>
      </c>
      <c r="D2751" t="str">
        <f>"32"</f>
        <v>32</v>
      </c>
      <c r="E2751" t="str">
        <f>"1-55-32"</f>
        <v>1-55-32</v>
      </c>
      <c r="F2751" t="s">
        <v>65</v>
      </c>
      <c r="G2751" t="s">
        <v>66</v>
      </c>
      <c r="H2751" t="s">
        <v>67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1</v>
      </c>
      <c r="AI2751">
        <v>1</v>
      </c>
      <c r="AJ2751">
        <v>0</v>
      </c>
      <c r="AK2751">
        <v>1</v>
      </c>
      <c r="AL2751">
        <v>1</v>
      </c>
      <c r="AM2751">
        <v>1</v>
      </c>
    </row>
    <row r="2752" spans="1:39" x14ac:dyDescent="0.2">
      <c r="A2752" t="str">
        <f>"2748"</f>
        <v>2748</v>
      </c>
      <c r="B2752" t="str">
        <f t="shared" si="153"/>
        <v>1</v>
      </c>
      <c r="C2752" t="str">
        <f t="shared" si="152"/>
        <v>55</v>
      </c>
      <c r="D2752" t="str">
        <f>"14"</f>
        <v>14</v>
      </c>
      <c r="E2752" t="str">
        <f>"1-55-14"</f>
        <v>1-55-14</v>
      </c>
      <c r="F2752" t="s">
        <v>65</v>
      </c>
      <c r="G2752" t="s">
        <v>66</v>
      </c>
      <c r="H2752" t="s">
        <v>67</v>
      </c>
      <c r="S2752">
        <v>0</v>
      </c>
      <c r="T2752">
        <v>0</v>
      </c>
      <c r="U2752">
        <v>0</v>
      </c>
      <c r="V2752">
        <v>0</v>
      </c>
      <c r="W2752">
        <v>1</v>
      </c>
      <c r="X2752">
        <v>0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1</v>
      </c>
      <c r="AH2752">
        <v>1</v>
      </c>
      <c r="AI2752">
        <v>1</v>
      </c>
      <c r="AJ2752">
        <v>1</v>
      </c>
      <c r="AK2752">
        <v>1</v>
      </c>
      <c r="AL2752">
        <v>1</v>
      </c>
      <c r="AM2752">
        <v>0</v>
      </c>
    </row>
    <row r="2753" spans="1:39" x14ac:dyDescent="0.2">
      <c r="A2753" t="str">
        <f>"2749"</f>
        <v>2749</v>
      </c>
      <c r="B2753" t="str">
        <f t="shared" si="153"/>
        <v>1</v>
      </c>
      <c r="C2753" t="str">
        <f t="shared" si="152"/>
        <v>55</v>
      </c>
      <c r="D2753" t="str">
        <f>"50"</f>
        <v>50</v>
      </c>
      <c r="E2753" t="str">
        <f>"1-55-50"</f>
        <v>1-55-50</v>
      </c>
      <c r="F2753" t="s">
        <v>65</v>
      </c>
      <c r="G2753" t="s">
        <v>66</v>
      </c>
      <c r="H2753" t="s">
        <v>67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1</v>
      </c>
      <c r="Y2753">
        <v>1</v>
      </c>
      <c r="Z2753">
        <v>0</v>
      </c>
      <c r="AA2753">
        <v>0</v>
      </c>
      <c r="AB2753">
        <v>1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1</v>
      </c>
      <c r="AJ2753">
        <v>1</v>
      </c>
      <c r="AK2753">
        <v>1</v>
      </c>
      <c r="AL2753">
        <v>0</v>
      </c>
      <c r="AM2753">
        <v>1</v>
      </c>
    </row>
    <row r="2754" spans="1:39" x14ac:dyDescent="0.2">
      <c r="A2754" t="str">
        <f>"2750"</f>
        <v>2750</v>
      </c>
      <c r="B2754" t="str">
        <f t="shared" si="153"/>
        <v>1</v>
      </c>
      <c r="C2754" t="str">
        <f t="shared" si="152"/>
        <v>55</v>
      </c>
      <c r="D2754" t="str">
        <f>"34"</f>
        <v>34</v>
      </c>
      <c r="E2754" t="str">
        <f>"1-55-34"</f>
        <v>1-55-34</v>
      </c>
      <c r="F2754" t="s">
        <v>65</v>
      </c>
      <c r="G2754" t="s">
        <v>66</v>
      </c>
      <c r="H2754" t="s">
        <v>67</v>
      </c>
      <c r="S2754">
        <v>1</v>
      </c>
      <c r="T2754">
        <v>0</v>
      </c>
      <c r="U2754">
        <v>0</v>
      </c>
      <c r="V2754">
        <v>0</v>
      </c>
      <c r="W2754">
        <v>1</v>
      </c>
      <c r="X2754">
        <v>0</v>
      </c>
      <c r="Y2754">
        <v>0</v>
      </c>
      <c r="Z2754">
        <v>1</v>
      </c>
      <c r="AA2754">
        <v>0</v>
      </c>
      <c r="AB2754">
        <v>0</v>
      </c>
      <c r="AC2754">
        <v>1</v>
      </c>
      <c r="AD2754">
        <v>1</v>
      </c>
      <c r="AE2754">
        <v>1</v>
      </c>
      <c r="AF2754">
        <v>1</v>
      </c>
      <c r="AG2754">
        <v>1</v>
      </c>
      <c r="AH2754">
        <v>1</v>
      </c>
      <c r="AI2754">
        <v>1</v>
      </c>
      <c r="AJ2754">
        <v>1</v>
      </c>
      <c r="AK2754">
        <v>1</v>
      </c>
      <c r="AL2754">
        <v>1</v>
      </c>
      <c r="AM2754">
        <v>1</v>
      </c>
    </row>
    <row r="2755" spans="1:39" x14ac:dyDescent="0.2">
      <c r="A2755" t="str">
        <f>"2751"</f>
        <v>2751</v>
      </c>
      <c r="B2755" t="str">
        <f t="shared" si="153"/>
        <v>1</v>
      </c>
      <c r="C2755" t="str">
        <f t="shared" ref="C2755:C2786" si="154">"56"</f>
        <v>56</v>
      </c>
      <c r="D2755" t="str">
        <f>"38"</f>
        <v>38</v>
      </c>
      <c r="E2755" t="str">
        <f>"1-56-38"</f>
        <v>1-56-38</v>
      </c>
      <c r="F2755" t="s">
        <v>65</v>
      </c>
      <c r="G2755" t="s">
        <v>66</v>
      </c>
      <c r="H2755" t="s">
        <v>67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1</v>
      </c>
      <c r="AI2755">
        <v>1</v>
      </c>
      <c r="AJ2755">
        <v>1</v>
      </c>
      <c r="AK2755">
        <v>0</v>
      </c>
      <c r="AL2755">
        <v>0</v>
      </c>
      <c r="AM2755">
        <v>0</v>
      </c>
    </row>
    <row r="2756" spans="1:39" x14ac:dyDescent="0.2">
      <c r="A2756" t="str">
        <f>"2752"</f>
        <v>2752</v>
      </c>
      <c r="B2756" t="str">
        <f t="shared" si="153"/>
        <v>1</v>
      </c>
      <c r="C2756" t="str">
        <f t="shared" si="154"/>
        <v>56</v>
      </c>
      <c r="D2756" t="str">
        <f>"37"</f>
        <v>37</v>
      </c>
      <c r="E2756" t="str">
        <f>"1-56-37"</f>
        <v>1-56-37</v>
      </c>
      <c r="F2756" t="s">
        <v>65</v>
      </c>
      <c r="G2756" t="s">
        <v>66</v>
      </c>
      <c r="H2756" t="s">
        <v>67</v>
      </c>
      <c r="S2756">
        <v>1</v>
      </c>
      <c r="T2756">
        <v>0</v>
      </c>
      <c r="U2756">
        <v>0</v>
      </c>
      <c r="V2756">
        <v>0</v>
      </c>
      <c r="W2756">
        <v>0</v>
      </c>
      <c r="X2756">
        <v>1</v>
      </c>
      <c r="Y2756">
        <v>0</v>
      </c>
      <c r="Z2756">
        <v>1</v>
      </c>
      <c r="AA2756">
        <v>0</v>
      </c>
      <c r="AB2756">
        <v>0</v>
      </c>
      <c r="AC2756">
        <v>1</v>
      </c>
      <c r="AD2756">
        <v>1</v>
      </c>
      <c r="AE2756">
        <v>1</v>
      </c>
      <c r="AF2756">
        <v>1</v>
      </c>
      <c r="AG2756">
        <v>1</v>
      </c>
      <c r="AH2756">
        <v>1</v>
      </c>
      <c r="AI2756">
        <v>1</v>
      </c>
      <c r="AJ2756">
        <v>1</v>
      </c>
      <c r="AK2756">
        <v>1</v>
      </c>
      <c r="AL2756">
        <v>1</v>
      </c>
      <c r="AM2756">
        <v>1</v>
      </c>
    </row>
    <row r="2757" spans="1:39" x14ac:dyDescent="0.2">
      <c r="A2757" t="str">
        <f>"2753"</f>
        <v>2753</v>
      </c>
      <c r="B2757" t="str">
        <f t="shared" si="153"/>
        <v>1</v>
      </c>
      <c r="C2757" t="str">
        <f t="shared" si="154"/>
        <v>56</v>
      </c>
      <c r="D2757" t="str">
        <f>"27"</f>
        <v>27</v>
      </c>
      <c r="E2757" t="str">
        <f>"1-56-27"</f>
        <v>1-56-27</v>
      </c>
      <c r="F2757" t="s">
        <v>65</v>
      </c>
      <c r="G2757" t="s">
        <v>66</v>
      </c>
      <c r="H2757" t="s">
        <v>67</v>
      </c>
      <c r="S2757">
        <v>0</v>
      </c>
      <c r="T2757">
        <v>0</v>
      </c>
      <c r="U2757">
        <v>0</v>
      </c>
      <c r="V2757">
        <v>0</v>
      </c>
      <c r="W2757">
        <v>1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</row>
    <row r="2758" spans="1:39" x14ac:dyDescent="0.2">
      <c r="A2758" t="str">
        <f>"2754"</f>
        <v>2754</v>
      </c>
      <c r="B2758" t="str">
        <f t="shared" si="153"/>
        <v>1</v>
      </c>
      <c r="C2758" t="str">
        <f t="shared" si="154"/>
        <v>56</v>
      </c>
      <c r="D2758" t="str">
        <f>"15"</f>
        <v>15</v>
      </c>
      <c r="E2758" t="str">
        <f>"1-56-15"</f>
        <v>1-56-15</v>
      </c>
      <c r="F2758" t="s">
        <v>65</v>
      </c>
      <c r="G2758" t="s">
        <v>66</v>
      </c>
      <c r="H2758" t="s">
        <v>67</v>
      </c>
      <c r="S2758">
        <v>1</v>
      </c>
      <c r="T2758">
        <v>0</v>
      </c>
      <c r="U2758">
        <v>0</v>
      </c>
      <c r="V2758">
        <v>0</v>
      </c>
      <c r="W2758">
        <v>0</v>
      </c>
      <c r="X2758">
        <v>1</v>
      </c>
      <c r="Y2758">
        <v>1</v>
      </c>
      <c r="Z2758">
        <v>0</v>
      </c>
      <c r="AA2758">
        <v>0</v>
      </c>
      <c r="AB2758">
        <v>0</v>
      </c>
      <c r="AC2758">
        <v>1</v>
      </c>
      <c r="AD2758">
        <v>1</v>
      </c>
      <c r="AE2758">
        <v>1</v>
      </c>
      <c r="AF2758">
        <v>1</v>
      </c>
      <c r="AG2758">
        <v>1</v>
      </c>
      <c r="AH2758">
        <v>1</v>
      </c>
      <c r="AI2758">
        <v>1</v>
      </c>
      <c r="AJ2758">
        <v>1</v>
      </c>
      <c r="AK2758">
        <v>1</v>
      </c>
      <c r="AL2758">
        <v>1</v>
      </c>
      <c r="AM2758">
        <v>1</v>
      </c>
    </row>
    <row r="2759" spans="1:39" x14ac:dyDescent="0.2">
      <c r="A2759" t="str">
        <f>"2755"</f>
        <v>2755</v>
      </c>
      <c r="B2759" t="str">
        <f t="shared" si="153"/>
        <v>1</v>
      </c>
      <c r="C2759" t="str">
        <f t="shared" si="154"/>
        <v>56</v>
      </c>
      <c r="D2759" t="str">
        <f>"3"</f>
        <v>3</v>
      </c>
      <c r="E2759" t="str">
        <f>"1-56-3"</f>
        <v>1-56-3</v>
      </c>
      <c r="F2759" t="s">
        <v>65</v>
      </c>
      <c r="G2759" t="s">
        <v>66</v>
      </c>
      <c r="H2759" t="s">
        <v>67</v>
      </c>
      <c r="S2759">
        <v>0</v>
      </c>
      <c r="T2759">
        <v>1</v>
      </c>
      <c r="U2759">
        <v>0</v>
      </c>
      <c r="V2759">
        <v>0</v>
      </c>
      <c r="W2759">
        <v>0</v>
      </c>
      <c r="X2759">
        <v>1</v>
      </c>
      <c r="Y2759">
        <v>0</v>
      </c>
      <c r="Z2759">
        <v>1</v>
      </c>
      <c r="AA2759">
        <v>0</v>
      </c>
      <c r="AB2759">
        <v>0</v>
      </c>
      <c r="AC2759">
        <v>1</v>
      </c>
      <c r="AD2759">
        <v>1</v>
      </c>
      <c r="AE2759">
        <v>1</v>
      </c>
      <c r="AF2759">
        <v>1</v>
      </c>
      <c r="AG2759">
        <v>1</v>
      </c>
      <c r="AH2759">
        <v>1</v>
      </c>
      <c r="AI2759">
        <v>1</v>
      </c>
      <c r="AJ2759">
        <v>1</v>
      </c>
      <c r="AK2759">
        <v>1</v>
      </c>
      <c r="AL2759">
        <v>1</v>
      </c>
      <c r="AM2759">
        <v>1</v>
      </c>
    </row>
    <row r="2760" spans="1:39" x14ac:dyDescent="0.2">
      <c r="A2760" t="str">
        <f>"2756"</f>
        <v>2756</v>
      </c>
      <c r="B2760" t="str">
        <f t="shared" si="153"/>
        <v>1</v>
      </c>
      <c r="C2760" t="str">
        <f t="shared" si="154"/>
        <v>56</v>
      </c>
      <c r="D2760" t="str">
        <f>"40"</f>
        <v>40</v>
      </c>
      <c r="E2760" t="str">
        <f>"1-56-40"</f>
        <v>1-56-40</v>
      </c>
      <c r="F2760" t="s">
        <v>65</v>
      </c>
      <c r="G2760" t="s">
        <v>66</v>
      </c>
      <c r="H2760" t="s">
        <v>67</v>
      </c>
      <c r="S2760">
        <v>0</v>
      </c>
      <c r="T2760">
        <v>1</v>
      </c>
      <c r="U2760">
        <v>0</v>
      </c>
      <c r="V2760">
        <v>0</v>
      </c>
      <c r="W2760">
        <v>1</v>
      </c>
      <c r="X2760">
        <v>0</v>
      </c>
      <c r="Y2760">
        <v>0</v>
      </c>
      <c r="Z2760">
        <v>1</v>
      </c>
      <c r="AA2760">
        <v>1</v>
      </c>
      <c r="AB2760">
        <v>0</v>
      </c>
      <c r="AC2760">
        <v>0</v>
      </c>
      <c r="AD2760">
        <v>1</v>
      </c>
      <c r="AE2760">
        <v>1</v>
      </c>
      <c r="AF2760">
        <v>1</v>
      </c>
      <c r="AG2760">
        <v>1</v>
      </c>
      <c r="AH2760">
        <v>1</v>
      </c>
      <c r="AI2760">
        <v>1</v>
      </c>
      <c r="AJ2760">
        <v>1</v>
      </c>
      <c r="AK2760">
        <v>1</v>
      </c>
      <c r="AL2760">
        <v>1</v>
      </c>
      <c r="AM2760">
        <v>1</v>
      </c>
    </row>
    <row r="2761" spans="1:39" x14ac:dyDescent="0.2">
      <c r="A2761" t="str">
        <f>"2757"</f>
        <v>2757</v>
      </c>
      <c r="B2761" t="str">
        <f t="shared" si="153"/>
        <v>1</v>
      </c>
      <c r="C2761" t="str">
        <f t="shared" si="154"/>
        <v>56</v>
      </c>
      <c r="D2761" t="str">
        <f>"39"</f>
        <v>39</v>
      </c>
      <c r="E2761" t="str">
        <f>"1-56-39"</f>
        <v>1-56-39</v>
      </c>
      <c r="F2761" t="s">
        <v>65</v>
      </c>
      <c r="G2761" t="s">
        <v>66</v>
      </c>
      <c r="H2761" t="s">
        <v>67</v>
      </c>
      <c r="S2761">
        <v>0</v>
      </c>
      <c r="T2761">
        <v>1</v>
      </c>
      <c r="U2761">
        <v>0</v>
      </c>
      <c r="V2761">
        <v>0</v>
      </c>
      <c r="W2761">
        <v>1</v>
      </c>
      <c r="X2761">
        <v>0</v>
      </c>
      <c r="Y2761">
        <v>0</v>
      </c>
      <c r="Z2761">
        <v>1</v>
      </c>
      <c r="AA2761">
        <v>0</v>
      </c>
      <c r="AB2761">
        <v>0</v>
      </c>
      <c r="AC2761">
        <v>1</v>
      </c>
      <c r="AD2761">
        <v>1</v>
      </c>
      <c r="AE2761">
        <v>0</v>
      </c>
      <c r="AF2761">
        <v>0</v>
      </c>
      <c r="AG2761">
        <v>0</v>
      </c>
      <c r="AH2761">
        <v>1</v>
      </c>
      <c r="AI2761">
        <v>1</v>
      </c>
      <c r="AJ2761">
        <v>1</v>
      </c>
      <c r="AK2761">
        <v>1</v>
      </c>
      <c r="AL2761">
        <v>1</v>
      </c>
      <c r="AM2761">
        <v>0</v>
      </c>
    </row>
    <row r="2762" spans="1:39" x14ac:dyDescent="0.2">
      <c r="A2762" t="str">
        <f>"2758"</f>
        <v>2758</v>
      </c>
      <c r="B2762" t="str">
        <f t="shared" si="153"/>
        <v>1</v>
      </c>
      <c r="C2762" t="str">
        <f t="shared" si="154"/>
        <v>56</v>
      </c>
      <c r="D2762" t="str">
        <f>"28"</f>
        <v>28</v>
      </c>
      <c r="E2762" t="str">
        <f>"1-56-28"</f>
        <v>1-56-28</v>
      </c>
      <c r="F2762" t="s">
        <v>65</v>
      </c>
      <c r="G2762" t="s">
        <v>66</v>
      </c>
      <c r="H2762" t="s">
        <v>67</v>
      </c>
      <c r="S2762">
        <v>0</v>
      </c>
      <c r="T2762">
        <v>1</v>
      </c>
      <c r="U2762">
        <v>0</v>
      </c>
      <c r="V2762">
        <v>0</v>
      </c>
      <c r="W2762">
        <v>0</v>
      </c>
      <c r="X2762">
        <v>1</v>
      </c>
      <c r="Y2762">
        <v>0</v>
      </c>
      <c r="Z2762">
        <v>1</v>
      </c>
      <c r="AA2762">
        <v>0</v>
      </c>
      <c r="AB2762">
        <v>0</v>
      </c>
      <c r="AC2762">
        <v>1</v>
      </c>
      <c r="AD2762">
        <v>1</v>
      </c>
      <c r="AE2762">
        <v>1</v>
      </c>
      <c r="AF2762">
        <v>1</v>
      </c>
      <c r="AG2762">
        <v>1</v>
      </c>
      <c r="AH2762">
        <v>1</v>
      </c>
      <c r="AI2762">
        <v>1</v>
      </c>
      <c r="AJ2762">
        <v>1</v>
      </c>
      <c r="AK2762">
        <v>1</v>
      </c>
      <c r="AL2762">
        <v>1</v>
      </c>
      <c r="AM2762">
        <v>1</v>
      </c>
    </row>
    <row r="2763" spans="1:39" x14ac:dyDescent="0.2">
      <c r="A2763" t="str">
        <f>"2759"</f>
        <v>2759</v>
      </c>
      <c r="B2763" t="str">
        <f t="shared" si="153"/>
        <v>1</v>
      </c>
      <c r="C2763" t="str">
        <f t="shared" si="154"/>
        <v>56</v>
      </c>
      <c r="D2763" t="str">
        <f>"16"</f>
        <v>16</v>
      </c>
      <c r="E2763" t="str">
        <f>"1-56-16"</f>
        <v>1-56-16</v>
      </c>
      <c r="F2763" t="s">
        <v>65</v>
      </c>
      <c r="G2763" t="s">
        <v>66</v>
      </c>
      <c r="H2763" t="s">
        <v>67</v>
      </c>
      <c r="S2763">
        <v>0</v>
      </c>
      <c r="T2763">
        <v>1</v>
      </c>
      <c r="U2763">
        <v>0</v>
      </c>
      <c r="V2763">
        <v>0</v>
      </c>
      <c r="W2763">
        <v>0</v>
      </c>
      <c r="X2763">
        <v>1</v>
      </c>
      <c r="Y2763">
        <v>0</v>
      </c>
      <c r="Z2763">
        <v>1</v>
      </c>
      <c r="AA2763">
        <v>0</v>
      </c>
      <c r="AB2763">
        <v>0</v>
      </c>
      <c r="AC2763">
        <v>1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</row>
    <row r="2764" spans="1:39" x14ac:dyDescent="0.2">
      <c r="A2764" t="str">
        <f>"2760"</f>
        <v>2760</v>
      </c>
      <c r="B2764" t="str">
        <f t="shared" si="153"/>
        <v>1</v>
      </c>
      <c r="C2764" t="str">
        <f t="shared" si="154"/>
        <v>56</v>
      </c>
      <c r="D2764" t="str">
        <f>"2"</f>
        <v>2</v>
      </c>
      <c r="E2764" t="str">
        <f>"1-56-2"</f>
        <v>1-56-2</v>
      </c>
      <c r="F2764" t="s">
        <v>65</v>
      </c>
      <c r="G2764" t="s">
        <v>66</v>
      </c>
      <c r="H2764" t="s">
        <v>67</v>
      </c>
      <c r="S2764">
        <v>1</v>
      </c>
      <c r="T2764">
        <v>0</v>
      </c>
      <c r="U2764">
        <v>0</v>
      </c>
      <c r="V2764">
        <v>0</v>
      </c>
      <c r="W2764">
        <v>1</v>
      </c>
      <c r="X2764">
        <v>0</v>
      </c>
      <c r="Y2764">
        <v>1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1</v>
      </c>
      <c r="AF2764">
        <v>1</v>
      </c>
      <c r="AG2764">
        <v>1</v>
      </c>
      <c r="AH2764">
        <v>1</v>
      </c>
      <c r="AI2764">
        <v>0</v>
      </c>
      <c r="AJ2764">
        <v>1</v>
      </c>
      <c r="AK2764">
        <v>1</v>
      </c>
      <c r="AL2764">
        <v>1</v>
      </c>
      <c r="AM2764">
        <v>1</v>
      </c>
    </row>
    <row r="2765" spans="1:39" x14ac:dyDescent="0.2">
      <c r="A2765" t="str">
        <f>"2761"</f>
        <v>2761</v>
      </c>
      <c r="B2765" t="str">
        <f t="shared" si="153"/>
        <v>1</v>
      </c>
      <c r="C2765" t="str">
        <f t="shared" si="154"/>
        <v>56</v>
      </c>
      <c r="D2765" t="str">
        <f>"42"</f>
        <v>42</v>
      </c>
      <c r="E2765" t="str">
        <f>"1-56-42"</f>
        <v>1-56-42</v>
      </c>
      <c r="F2765" t="s">
        <v>65</v>
      </c>
      <c r="G2765" t="s">
        <v>66</v>
      </c>
      <c r="H2765" t="s">
        <v>67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0</v>
      </c>
      <c r="AB2765">
        <v>0</v>
      </c>
      <c r="AC2765">
        <v>1</v>
      </c>
      <c r="AD2765">
        <v>0</v>
      </c>
      <c r="AE2765">
        <v>0</v>
      </c>
      <c r="AF2765">
        <v>0</v>
      </c>
      <c r="AG2765">
        <v>1</v>
      </c>
      <c r="AH2765">
        <v>1</v>
      </c>
      <c r="AI2765">
        <v>1</v>
      </c>
      <c r="AJ2765">
        <v>1</v>
      </c>
      <c r="AK2765">
        <v>1</v>
      </c>
      <c r="AL2765">
        <v>1</v>
      </c>
      <c r="AM2765">
        <v>1</v>
      </c>
    </row>
    <row r="2766" spans="1:39" x14ac:dyDescent="0.2">
      <c r="A2766" t="str">
        <f>"2762"</f>
        <v>2762</v>
      </c>
      <c r="B2766" t="str">
        <f t="shared" si="153"/>
        <v>1</v>
      </c>
      <c r="C2766" t="str">
        <f t="shared" si="154"/>
        <v>56</v>
      </c>
      <c r="D2766" t="str">
        <f>"41"</f>
        <v>41</v>
      </c>
      <c r="E2766" t="str">
        <f>"1-56-41"</f>
        <v>1-56-41</v>
      </c>
      <c r="F2766" t="s">
        <v>65</v>
      </c>
      <c r="G2766" t="s">
        <v>66</v>
      </c>
      <c r="H2766" t="s">
        <v>67</v>
      </c>
      <c r="S2766">
        <v>0</v>
      </c>
      <c r="T2766">
        <v>1</v>
      </c>
      <c r="U2766">
        <v>0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0</v>
      </c>
      <c r="AB2766">
        <v>0</v>
      </c>
      <c r="AC2766">
        <v>1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</row>
    <row r="2767" spans="1:39" x14ac:dyDescent="0.2">
      <c r="A2767" t="str">
        <f>"2763"</f>
        <v>2763</v>
      </c>
      <c r="B2767" t="str">
        <f t="shared" si="153"/>
        <v>1</v>
      </c>
      <c r="C2767" t="str">
        <f t="shared" si="154"/>
        <v>56</v>
      </c>
      <c r="D2767" t="str">
        <f>"29"</f>
        <v>29</v>
      </c>
      <c r="E2767" t="str">
        <f>"1-56-29"</f>
        <v>1-56-29</v>
      </c>
      <c r="F2767" t="s">
        <v>65</v>
      </c>
      <c r="G2767" t="s">
        <v>66</v>
      </c>
      <c r="H2767" t="s">
        <v>67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0</v>
      </c>
      <c r="AB2767">
        <v>0</v>
      </c>
      <c r="AC2767">
        <v>1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</row>
    <row r="2768" spans="1:39" x14ac:dyDescent="0.2">
      <c r="A2768" t="str">
        <f>"2764"</f>
        <v>2764</v>
      </c>
      <c r="B2768" t="str">
        <f t="shared" si="153"/>
        <v>1</v>
      </c>
      <c r="C2768" t="str">
        <f t="shared" si="154"/>
        <v>56</v>
      </c>
      <c r="D2768" t="str">
        <f>"17"</f>
        <v>17</v>
      </c>
      <c r="E2768" t="str">
        <f>"1-56-17"</f>
        <v>1-56-17</v>
      </c>
      <c r="F2768" t="s">
        <v>65</v>
      </c>
      <c r="G2768" t="s">
        <v>66</v>
      </c>
      <c r="H2768" t="s">
        <v>67</v>
      </c>
      <c r="S2768">
        <v>0</v>
      </c>
      <c r="T2768">
        <v>0</v>
      </c>
      <c r="U2768">
        <v>0</v>
      </c>
      <c r="V2768">
        <v>0</v>
      </c>
      <c r="W2768">
        <v>1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</row>
    <row r="2769" spans="1:39" x14ac:dyDescent="0.2">
      <c r="A2769" t="str">
        <f>"2765"</f>
        <v>2765</v>
      </c>
      <c r="B2769" t="str">
        <f t="shared" si="153"/>
        <v>1</v>
      </c>
      <c r="C2769" t="str">
        <f t="shared" si="154"/>
        <v>56</v>
      </c>
      <c r="D2769" t="str">
        <f>"6"</f>
        <v>6</v>
      </c>
      <c r="E2769" t="str">
        <f>"1-56-6"</f>
        <v>1-56-6</v>
      </c>
      <c r="F2769" t="s">
        <v>65</v>
      </c>
      <c r="G2769" t="s">
        <v>66</v>
      </c>
      <c r="H2769" t="s">
        <v>67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1</v>
      </c>
      <c r="Y2769">
        <v>1</v>
      </c>
      <c r="Z2769">
        <v>0</v>
      </c>
      <c r="AA2769">
        <v>0</v>
      </c>
      <c r="AB2769">
        <v>1</v>
      </c>
      <c r="AC2769">
        <v>0</v>
      </c>
      <c r="AD2769">
        <v>1</v>
      </c>
      <c r="AE2769">
        <v>1</v>
      </c>
      <c r="AF2769">
        <v>1</v>
      </c>
      <c r="AG2769">
        <v>1</v>
      </c>
      <c r="AH2769">
        <v>1</v>
      </c>
      <c r="AI2769">
        <v>1</v>
      </c>
      <c r="AJ2769">
        <v>1</v>
      </c>
      <c r="AK2769">
        <v>1</v>
      </c>
      <c r="AL2769">
        <v>1</v>
      </c>
      <c r="AM2769">
        <v>1</v>
      </c>
    </row>
    <row r="2770" spans="1:39" x14ac:dyDescent="0.2">
      <c r="A2770" t="str">
        <f>"2766"</f>
        <v>2766</v>
      </c>
      <c r="B2770" t="str">
        <f t="shared" si="153"/>
        <v>1</v>
      </c>
      <c r="C2770" t="str">
        <f t="shared" si="154"/>
        <v>56</v>
      </c>
      <c r="D2770" t="str">
        <f>"44"</f>
        <v>44</v>
      </c>
      <c r="E2770" t="str">
        <f>"1-56-44"</f>
        <v>1-56-44</v>
      </c>
      <c r="F2770" t="s">
        <v>65</v>
      </c>
      <c r="G2770" t="s">
        <v>66</v>
      </c>
      <c r="H2770" t="s">
        <v>67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1</v>
      </c>
      <c r="Y2770">
        <v>1</v>
      </c>
      <c r="Z2770">
        <v>0</v>
      </c>
      <c r="AA2770">
        <v>0</v>
      </c>
      <c r="AB2770">
        <v>1</v>
      </c>
      <c r="AC2770">
        <v>0</v>
      </c>
      <c r="AD2770">
        <v>0</v>
      </c>
      <c r="AE2770">
        <v>0</v>
      </c>
      <c r="AF2770">
        <v>0</v>
      </c>
      <c r="AG2770">
        <v>1</v>
      </c>
      <c r="AH2770">
        <v>1</v>
      </c>
      <c r="AI2770">
        <v>1</v>
      </c>
      <c r="AJ2770">
        <v>1</v>
      </c>
      <c r="AK2770">
        <v>1</v>
      </c>
      <c r="AL2770">
        <v>1</v>
      </c>
      <c r="AM2770">
        <v>1</v>
      </c>
    </row>
    <row r="2771" spans="1:39" x14ac:dyDescent="0.2">
      <c r="A2771" t="str">
        <f>"2767"</f>
        <v>2767</v>
      </c>
      <c r="B2771" t="str">
        <f t="shared" si="153"/>
        <v>1</v>
      </c>
      <c r="C2771" t="str">
        <f t="shared" si="154"/>
        <v>56</v>
      </c>
      <c r="D2771" t="str">
        <f>"43"</f>
        <v>43</v>
      </c>
      <c r="E2771" t="str">
        <f>"1-56-43"</f>
        <v>1-56-43</v>
      </c>
      <c r="F2771" t="s">
        <v>65</v>
      </c>
      <c r="G2771" t="s">
        <v>66</v>
      </c>
      <c r="H2771" t="s">
        <v>67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</row>
    <row r="2772" spans="1:39" x14ac:dyDescent="0.2">
      <c r="A2772" t="str">
        <f>"2768"</f>
        <v>2768</v>
      </c>
      <c r="B2772" t="str">
        <f t="shared" si="153"/>
        <v>1</v>
      </c>
      <c r="C2772" t="str">
        <f t="shared" si="154"/>
        <v>56</v>
      </c>
      <c r="D2772" t="str">
        <f>"30"</f>
        <v>30</v>
      </c>
      <c r="E2772" t="str">
        <f>"1-56-30"</f>
        <v>1-56-30</v>
      </c>
      <c r="F2772" t="s">
        <v>65</v>
      </c>
      <c r="G2772" t="s">
        <v>66</v>
      </c>
      <c r="H2772" t="s">
        <v>67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</row>
    <row r="2773" spans="1:39" x14ac:dyDescent="0.2">
      <c r="A2773" t="str">
        <f>"2769"</f>
        <v>2769</v>
      </c>
      <c r="B2773" t="str">
        <f t="shared" si="153"/>
        <v>1</v>
      </c>
      <c r="C2773" t="str">
        <f t="shared" si="154"/>
        <v>56</v>
      </c>
      <c r="D2773" t="str">
        <f>"18"</f>
        <v>18</v>
      </c>
      <c r="E2773" t="str">
        <f>"1-56-18"</f>
        <v>1-56-18</v>
      </c>
      <c r="F2773" t="s">
        <v>65</v>
      </c>
      <c r="G2773" t="s">
        <v>66</v>
      </c>
      <c r="H2773" t="s">
        <v>67</v>
      </c>
      <c r="S2773">
        <v>0</v>
      </c>
      <c r="T2773">
        <v>1</v>
      </c>
      <c r="U2773">
        <v>0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0</v>
      </c>
      <c r="AB2773">
        <v>0</v>
      </c>
      <c r="AC2773">
        <v>1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</row>
    <row r="2774" spans="1:39" x14ac:dyDescent="0.2">
      <c r="A2774" t="str">
        <f>"2770"</f>
        <v>2770</v>
      </c>
      <c r="B2774" t="str">
        <f t="shared" si="153"/>
        <v>1</v>
      </c>
      <c r="C2774" t="str">
        <f t="shared" si="154"/>
        <v>56</v>
      </c>
      <c r="D2774" t="str">
        <f>"12"</f>
        <v>12</v>
      </c>
      <c r="E2774" t="str">
        <f>"1-56-12"</f>
        <v>1-56-12</v>
      </c>
      <c r="F2774" t="s">
        <v>65</v>
      </c>
      <c r="G2774" t="s">
        <v>66</v>
      </c>
      <c r="H2774" t="s">
        <v>67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</row>
    <row r="2775" spans="1:39" x14ac:dyDescent="0.2">
      <c r="A2775" t="str">
        <f>"2771"</f>
        <v>2771</v>
      </c>
      <c r="B2775" t="str">
        <f t="shared" si="153"/>
        <v>1</v>
      </c>
      <c r="C2775" t="str">
        <f t="shared" si="154"/>
        <v>56</v>
      </c>
      <c r="D2775" t="str">
        <f>"46"</f>
        <v>46</v>
      </c>
      <c r="E2775" t="str">
        <f>"1-56-46"</f>
        <v>1-56-46</v>
      </c>
      <c r="F2775" t="s">
        <v>65</v>
      </c>
      <c r="G2775" t="s">
        <v>66</v>
      </c>
      <c r="H2775" t="s">
        <v>67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0</v>
      </c>
      <c r="AB2775">
        <v>0</v>
      </c>
      <c r="AC2775">
        <v>1</v>
      </c>
      <c r="AD2775">
        <v>0</v>
      </c>
      <c r="AE2775">
        <v>0</v>
      </c>
      <c r="AF2775">
        <v>0</v>
      </c>
      <c r="AG2775">
        <v>1</v>
      </c>
      <c r="AH2775">
        <v>1</v>
      </c>
      <c r="AI2775">
        <v>1</v>
      </c>
      <c r="AJ2775">
        <v>0</v>
      </c>
      <c r="AK2775">
        <v>0</v>
      </c>
      <c r="AL2775">
        <v>1</v>
      </c>
      <c r="AM2775">
        <v>0</v>
      </c>
    </row>
    <row r="2776" spans="1:39" x14ac:dyDescent="0.2">
      <c r="A2776" t="str">
        <f>"2772"</f>
        <v>2772</v>
      </c>
      <c r="B2776" t="str">
        <f t="shared" si="153"/>
        <v>1</v>
      </c>
      <c r="C2776" t="str">
        <f t="shared" si="154"/>
        <v>56</v>
      </c>
      <c r="D2776" t="str">
        <f>"45"</f>
        <v>45</v>
      </c>
      <c r="E2776" t="str">
        <f>"1-56-45"</f>
        <v>1-56-45</v>
      </c>
      <c r="F2776" t="s">
        <v>65</v>
      </c>
      <c r="G2776" t="s">
        <v>66</v>
      </c>
      <c r="H2776" t="s">
        <v>67</v>
      </c>
      <c r="S2776">
        <v>1</v>
      </c>
      <c r="T2776">
        <v>0</v>
      </c>
      <c r="U2776">
        <v>0</v>
      </c>
      <c r="V2776">
        <v>0</v>
      </c>
      <c r="W2776">
        <v>1</v>
      </c>
      <c r="X2776">
        <v>0</v>
      </c>
      <c r="Y2776">
        <v>1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1</v>
      </c>
      <c r="AF2776">
        <v>1</v>
      </c>
      <c r="AG2776">
        <v>1</v>
      </c>
      <c r="AH2776">
        <v>1</v>
      </c>
      <c r="AI2776">
        <v>1</v>
      </c>
      <c r="AJ2776">
        <v>1</v>
      </c>
      <c r="AK2776">
        <v>1</v>
      </c>
      <c r="AL2776">
        <v>1</v>
      </c>
      <c r="AM2776">
        <v>1</v>
      </c>
    </row>
    <row r="2777" spans="1:39" x14ac:dyDescent="0.2">
      <c r="A2777" t="str">
        <f>"2773"</f>
        <v>2773</v>
      </c>
      <c r="B2777" t="str">
        <f t="shared" si="153"/>
        <v>1</v>
      </c>
      <c r="C2777" t="str">
        <f t="shared" si="154"/>
        <v>56</v>
      </c>
      <c r="D2777" t="str">
        <f>"33"</f>
        <v>33</v>
      </c>
      <c r="E2777" t="str">
        <f>"1-56-33"</f>
        <v>1-56-33</v>
      </c>
      <c r="F2777" t="s">
        <v>65</v>
      </c>
      <c r="G2777" t="s">
        <v>66</v>
      </c>
      <c r="H2777" t="s">
        <v>67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1</v>
      </c>
      <c r="AK2777">
        <v>0</v>
      </c>
      <c r="AL2777">
        <v>1</v>
      </c>
      <c r="AM2777">
        <v>0</v>
      </c>
    </row>
    <row r="2778" spans="1:39" x14ac:dyDescent="0.2">
      <c r="A2778" t="str">
        <f>"2774"</f>
        <v>2774</v>
      </c>
      <c r="B2778" t="str">
        <f t="shared" si="153"/>
        <v>1</v>
      </c>
      <c r="C2778" t="str">
        <f t="shared" si="154"/>
        <v>56</v>
      </c>
      <c r="D2778" t="str">
        <f>"19"</f>
        <v>19</v>
      </c>
      <c r="E2778" t="str">
        <f>"1-56-19"</f>
        <v>1-56-19</v>
      </c>
      <c r="F2778" t="s">
        <v>65</v>
      </c>
      <c r="G2778" t="s">
        <v>66</v>
      </c>
      <c r="H2778" t="s">
        <v>67</v>
      </c>
      <c r="S2778">
        <v>1</v>
      </c>
      <c r="T2778">
        <v>0</v>
      </c>
      <c r="U2778">
        <v>0</v>
      </c>
      <c r="V2778">
        <v>0</v>
      </c>
      <c r="W2778">
        <v>0</v>
      </c>
      <c r="X2778">
        <v>1</v>
      </c>
      <c r="Y2778">
        <v>1</v>
      </c>
      <c r="Z2778">
        <v>0</v>
      </c>
      <c r="AA2778">
        <v>0</v>
      </c>
      <c r="AB2778">
        <v>1</v>
      </c>
      <c r="AC2778">
        <v>0</v>
      </c>
      <c r="AD2778">
        <v>1</v>
      </c>
      <c r="AE2778">
        <v>1</v>
      </c>
      <c r="AF2778">
        <v>1</v>
      </c>
      <c r="AG2778">
        <v>1</v>
      </c>
      <c r="AH2778">
        <v>1</v>
      </c>
      <c r="AI2778">
        <v>1</v>
      </c>
      <c r="AJ2778">
        <v>1</v>
      </c>
      <c r="AK2778">
        <v>1</v>
      </c>
      <c r="AL2778">
        <v>1</v>
      </c>
      <c r="AM2778">
        <v>1</v>
      </c>
    </row>
    <row r="2779" spans="1:39" x14ac:dyDescent="0.2">
      <c r="A2779" t="str">
        <f>"2775"</f>
        <v>2775</v>
      </c>
      <c r="B2779" t="str">
        <f t="shared" si="153"/>
        <v>1</v>
      </c>
      <c r="C2779" t="str">
        <f t="shared" si="154"/>
        <v>56</v>
      </c>
      <c r="D2779" t="str">
        <f>"8"</f>
        <v>8</v>
      </c>
      <c r="E2779" t="str">
        <f>"1-56-8"</f>
        <v>1-56-8</v>
      </c>
      <c r="F2779" t="s">
        <v>65</v>
      </c>
      <c r="G2779" t="s">
        <v>66</v>
      </c>
      <c r="H2779" t="s">
        <v>67</v>
      </c>
      <c r="S2779">
        <v>0</v>
      </c>
      <c r="T2779">
        <v>1</v>
      </c>
      <c r="U2779">
        <v>0</v>
      </c>
      <c r="V2779">
        <v>0</v>
      </c>
      <c r="W2779">
        <v>1</v>
      </c>
      <c r="X2779">
        <v>0</v>
      </c>
      <c r="Y2779">
        <v>0</v>
      </c>
      <c r="Z2779">
        <v>1</v>
      </c>
      <c r="AA2779">
        <v>0</v>
      </c>
      <c r="AB2779">
        <v>0</v>
      </c>
      <c r="AC2779">
        <v>1</v>
      </c>
      <c r="AD2779">
        <v>1</v>
      </c>
      <c r="AE2779">
        <v>0</v>
      </c>
      <c r="AF2779">
        <v>0</v>
      </c>
      <c r="AG2779">
        <v>0</v>
      </c>
      <c r="AH2779">
        <v>1</v>
      </c>
      <c r="AI2779">
        <v>1</v>
      </c>
      <c r="AJ2779">
        <v>1</v>
      </c>
      <c r="AK2779">
        <v>1</v>
      </c>
      <c r="AL2779">
        <v>1</v>
      </c>
      <c r="AM2779">
        <v>0</v>
      </c>
    </row>
    <row r="2780" spans="1:39" x14ac:dyDescent="0.2">
      <c r="A2780" t="str">
        <f>"2776"</f>
        <v>2776</v>
      </c>
      <c r="B2780" t="str">
        <f t="shared" si="153"/>
        <v>1</v>
      </c>
      <c r="C2780" t="str">
        <f t="shared" si="154"/>
        <v>56</v>
      </c>
      <c r="D2780" t="str">
        <f>"50"</f>
        <v>50</v>
      </c>
      <c r="E2780" t="str">
        <f>"1-56-50"</f>
        <v>1-56-50</v>
      </c>
      <c r="F2780" t="s">
        <v>65</v>
      </c>
      <c r="G2780" t="s">
        <v>66</v>
      </c>
      <c r="H2780" t="s">
        <v>67</v>
      </c>
      <c r="S2780">
        <v>1</v>
      </c>
      <c r="T2780">
        <v>0</v>
      </c>
      <c r="U2780">
        <v>0</v>
      </c>
      <c r="V2780">
        <v>0</v>
      </c>
      <c r="W2780">
        <v>1</v>
      </c>
      <c r="X2780">
        <v>0</v>
      </c>
      <c r="Y2780">
        <v>1</v>
      </c>
      <c r="Z2780">
        <v>0</v>
      </c>
      <c r="AA2780">
        <v>1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</row>
    <row r="2781" spans="1:39" x14ac:dyDescent="0.2">
      <c r="A2781" t="str">
        <f>"2777"</f>
        <v>2777</v>
      </c>
      <c r="B2781" t="str">
        <f t="shared" si="153"/>
        <v>1</v>
      </c>
      <c r="C2781" t="str">
        <f t="shared" si="154"/>
        <v>56</v>
      </c>
      <c r="D2781" t="str">
        <f>"49"</f>
        <v>49</v>
      </c>
      <c r="E2781" t="str">
        <f>"1-56-49"</f>
        <v>1-56-49</v>
      </c>
      <c r="F2781" t="s">
        <v>65</v>
      </c>
      <c r="G2781" t="s">
        <v>66</v>
      </c>
      <c r="H2781" t="s">
        <v>67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</row>
    <row r="2782" spans="1:39" x14ac:dyDescent="0.2">
      <c r="A2782" t="str">
        <f>"2778"</f>
        <v>2778</v>
      </c>
      <c r="B2782" t="str">
        <f t="shared" si="153"/>
        <v>1</v>
      </c>
      <c r="C2782" t="str">
        <f t="shared" si="154"/>
        <v>56</v>
      </c>
      <c r="D2782" t="str">
        <f>"36"</f>
        <v>36</v>
      </c>
      <c r="E2782" t="str">
        <f>"1-56-36"</f>
        <v>1-56-36</v>
      </c>
      <c r="F2782" t="s">
        <v>65</v>
      </c>
      <c r="G2782" t="s">
        <v>66</v>
      </c>
      <c r="H2782" t="s">
        <v>67</v>
      </c>
      <c r="S2782">
        <v>1</v>
      </c>
      <c r="T2782">
        <v>0</v>
      </c>
      <c r="U2782">
        <v>0</v>
      </c>
      <c r="V2782">
        <v>0</v>
      </c>
      <c r="W2782">
        <v>0</v>
      </c>
      <c r="X2782">
        <v>1</v>
      </c>
      <c r="Y2782">
        <v>0</v>
      </c>
      <c r="Z2782">
        <v>1</v>
      </c>
      <c r="AA2782">
        <v>1</v>
      </c>
      <c r="AB2782">
        <v>0</v>
      </c>
      <c r="AC2782">
        <v>0</v>
      </c>
      <c r="AD2782">
        <v>1</v>
      </c>
      <c r="AE2782">
        <v>1</v>
      </c>
      <c r="AF2782">
        <v>1</v>
      </c>
      <c r="AG2782">
        <v>1</v>
      </c>
      <c r="AH2782">
        <v>1</v>
      </c>
      <c r="AI2782">
        <v>1</v>
      </c>
      <c r="AJ2782">
        <v>1</v>
      </c>
      <c r="AK2782">
        <v>1</v>
      </c>
      <c r="AL2782">
        <v>1</v>
      </c>
      <c r="AM2782">
        <v>1</v>
      </c>
    </row>
    <row r="2783" spans="1:39" x14ac:dyDescent="0.2">
      <c r="A2783" t="str">
        <f>"2779"</f>
        <v>2779</v>
      </c>
      <c r="B2783" t="str">
        <f t="shared" si="153"/>
        <v>1</v>
      </c>
      <c r="C2783" t="str">
        <f t="shared" si="154"/>
        <v>56</v>
      </c>
      <c r="D2783" t="str">
        <f>"20"</f>
        <v>20</v>
      </c>
      <c r="E2783" t="str">
        <f>"1-56-20"</f>
        <v>1-56-20</v>
      </c>
      <c r="F2783" t="s">
        <v>65</v>
      </c>
      <c r="G2783" t="s">
        <v>66</v>
      </c>
      <c r="H2783" t="s">
        <v>67</v>
      </c>
      <c r="S2783">
        <v>1</v>
      </c>
      <c r="T2783">
        <v>0</v>
      </c>
      <c r="U2783">
        <v>0</v>
      </c>
      <c r="V2783">
        <v>0</v>
      </c>
      <c r="W2783">
        <v>0</v>
      </c>
      <c r="X2783">
        <v>1</v>
      </c>
      <c r="Y2783">
        <v>0</v>
      </c>
      <c r="Z2783">
        <v>1</v>
      </c>
      <c r="AA2783">
        <v>0</v>
      </c>
      <c r="AB2783">
        <v>1</v>
      </c>
      <c r="AC2783">
        <v>0</v>
      </c>
      <c r="AD2783">
        <v>1</v>
      </c>
      <c r="AE2783">
        <v>1</v>
      </c>
      <c r="AF2783">
        <v>1</v>
      </c>
      <c r="AG2783">
        <v>1</v>
      </c>
      <c r="AH2783">
        <v>1</v>
      </c>
      <c r="AI2783">
        <v>1</v>
      </c>
      <c r="AJ2783">
        <v>1</v>
      </c>
      <c r="AK2783">
        <v>1</v>
      </c>
      <c r="AL2783">
        <v>1</v>
      </c>
      <c r="AM2783">
        <v>1</v>
      </c>
    </row>
    <row r="2784" spans="1:39" x14ac:dyDescent="0.2">
      <c r="A2784" t="str">
        <f>"2780"</f>
        <v>2780</v>
      </c>
      <c r="B2784" t="str">
        <f t="shared" si="153"/>
        <v>1</v>
      </c>
      <c r="C2784" t="str">
        <f t="shared" si="154"/>
        <v>56</v>
      </c>
      <c r="D2784" t="str">
        <f>"11"</f>
        <v>11</v>
      </c>
      <c r="E2784" t="str">
        <f>"1-56-11"</f>
        <v>1-56-11</v>
      </c>
      <c r="F2784" t="s">
        <v>65</v>
      </c>
      <c r="G2784" t="s">
        <v>66</v>
      </c>
      <c r="H2784" t="s">
        <v>67</v>
      </c>
      <c r="S2784">
        <v>1</v>
      </c>
      <c r="T2784">
        <v>0</v>
      </c>
      <c r="U2784">
        <v>0</v>
      </c>
      <c r="V2784">
        <v>0</v>
      </c>
      <c r="W2784">
        <v>0</v>
      </c>
      <c r="X2784">
        <v>1</v>
      </c>
      <c r="Y2784">
        <v>1</v>
      </c>
      <c r="Z2784">
        <v>0</v>
      </c>
      <c r="AA2784">
        <v>0</v>
      </c>
      <c r="AB2784">
        <v>1</v>
      </c>
      <c r="AC2784">
        <v>0</v>
      </c>
      <c r="AD2784">
        <v>1</v>
      </c>
      <c r="AE2784">
        <v>1</v>
      </c>
      <c r="AF2784">
        <v>1</v>
      </c>
      <c r="AG2784">
        <v>1</v>
      </c>
      <c r="AH2784">
        <v>1</v>
      </c>
      <c r="AI2784">
        <v>1</v>
      </c>
      <c r="AJ2784">
        <v>1</v>
      </c>
      <c r="AK2784">
        <v>1</v>
      </c>
      <c r="AL2784">
        <v>1</v>
      </c>
      <c r="AM2784">
        <v>1</v>
      </c>
    </row>
    <row r="2785" spans="1:39" x14ac:dyDescent="0.2">
      <c r="A2785" t="str">
        <f>"2781"</f>
        <v>2781</v>
      </c>
      <c r="B2785" t="str">
        <f t="shared" si="153"/>
        <v>1</v>
      </c>
      <c r="C2785" t="str">
        <f t="shared" si="154"/>
        <v>56</v>
      </c>
      <c r="D2785" t="str">
        <f>"35"</f>
        <v>35</v>
      </c>
      <c r="E2785" t="str">
        <f>"1-56-35"</f>
        <v>1-56-35</v>
      </c>
      <c r="F2785" t="s">
        <v>65</v>
      </c>
      <c r="G2785" t="s">
        <v>66</v>
      </c>
      <c r="H2785" t="s">
        <v>67</v>
      </c>
      <c r="S2785">
        <v>1</v>
      </c>
      <c r="T2785">
        <v>0</v>
      </c>
      <c r="U2785">
        <v>0</v>
      </c>
      <c r="V2785">
        <v>0</v>
      </c>
      <c r="W2785">
        <v>1</v>
      </c>
      <c r="X2785">
        <v>0</v>
      </c>
      <c r="Y2785">
        <v>1</v>
      </c>
      <c r="Z2785">
        <v>0</v>
      </c>
      <c r="AA2785">
        <v>0</v>
      </c>
      <c r="AB2785">
        <v>0</v>
      </c>
      <c r="AC2785">
        <v>1</v>
      </c>
      <c r="AD2785">
        <v>1</v>
      </c>
      <c r="AE2785">
        <v>1</v>
      </c>
      <c r="AF2785">
        <v>1</v>
      </c>
      <c r="AG2785">
        <v>1</v>
      </c>
      <c r="AH2785">
        <v>1</v>
      </c>
      <c r="AI2785">
        <v>1</v>
      </c>
      <c r="AJ2785">
        <v>1</v>
      </c>
      <c r="AK2785">
        <v>1</v>
      </c>
      <c r="AL2785">
        <v>1</v>
      </c>
      <c r="AM2785">
        <v>1</v>
      </c>
    </row>
    <row r="2786" spans="1:39" x14ac:dyDescent="0.2">
      <c r="A2786" t="str">
        <f>"2782"</f>
        <v>2782</v>
      </c>
      <c r="B2786" t="str">
        <f t="shared" si="153"/>
        <v>1</v>
      </c>
      <c r="C2786" t="str">
        <f t="shared" si="154"/>
        <v>56</v>
      </c>
      <c r="D2786" t="str">
        <f>"21"</f>
        <v>21</v>
      </c>
      <c r="E2786" t="str">
        <f>"1-56-21"</f>
        <v>1-56-21</v>
      </c>
      <c r="F2786" t="s">
        <v>65</v>
      </c>
      <c r="G2786" t="s">
        <v>66</v>
      </c>
      <c r="H2786" t="s">
        <v>67</v>
      </c>
      <c r="S2786">
        <v>0</v>
      </c>
      <c r="T2786">
        <v>1</v>
      </c>
      <c r="U2786">
        <v>0</v>
      </c>
      <c r="V2786">
        <v>0</v>
      </c>
      <c r="W2786">
        <v>1</v>
      </c>
      <c r="X2786">
        <v>0</v>
      </c>
      <c r="Y2786">
        <v>0</v>
      </c>
      <c r="Z2786">
        <v>1</v>
      </c>
      <c r="AA2786">
        <v>0</v>
      </c>
      <c r="AB2786">
        <v>1</v>
      </c>
      <c r="AC2786">
        <v>0</v>
      </c>
      <c r="AD2786">
        <v>1</v>
      </c>
      <c r="AE2786">
        <v>1</v>
      </c>
      <c r="AF2786">
        <v>1</v>
      </c>
      <c r="AG2786">
        <v>1</v>
      </c>
      <c r="AH2786">
        <v>1</v>
      </c>
      <c r="AI2786">
        <v>1</v>
      </c>
      <c r="AJ2786">
        <v>1</v>
      </c>
      <c r="AK2786">
        <v>1</v>
      </c>
      <c r="AL2786">
        <v>1</v>
      </c>
      <c r="AM2786">
        <v>1</v>
      </c>
    </row>
    <row r="2787" spans="1:39" x14ac:dyDescent="0.2">
      <c r="A2787" t="str">
        <f>"2783"</f>
        <v>2783</v>
      </c>
      <c r="B2787" t="str">
        <f t="shared" si="153"/>
        <v>1</v>
      </c>
      <c r="C2787" t="str">
        <f t="shared" ref="C2787:C2804" si="155">"56"</f>
        <v>56</v>
      </c>
      <c r="D2787" t="str">
        <f>"5"</f>
        <v>5</v>
      </c>
      <c r="E2787" t="str">
        <f>"1-56-5"</f>
        <v>1-56-5</v>
      </c>
      <c r="F2787" t="s">
        <v>65</v>
      </c>
      <c r="G2787" t="s">
        <v>66</v>
      </c>
      <c r="H2787" t="s">
        <v>67</v>
      </c>
      <c r="S2787">
        <v>1</v>
      </c>
      <c r="T2787">
        <v>0</v>
      </c>
      <c r="U2787">
        <v>0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0</v>
      </c>
      <c r="AB2787">
        <v>1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</row>
    <row r="2788" spans="1:39" x14ac:dyDescent="0.2">
      <c r="A2788" t="str">
        <f>"2784"</f>
        <v>2784</v>
      </c>
      <c r="B2788" t="str">
        <f t="shared" si="153"/>
        <v>1</v>
      </c>
      <c r="C2788" t="str">
        <f t="shared" si="155"/>
        <v>56</v>
      </c>
      <c r="D2788" t="str">
        <f>"48"</f>
        <v>48</v>
      </c>
      <c r="E2788" t="str">
        <f>"1-56-48"</f>
        <v>1-56-48</v>
      </c>
      <c r="F2788" t="s">
        <v>65</v>
      </c>
      <c r="G2788" t="s">
        <v>66</v>
      </c>
      <c r="H2788" t="s">
        <v>67</v>
      </c>
      <c r="S2788">
        <v>1</v>
      </c>
      <c r="T2788">
        <v>0</v>
      </c>
      <c r="U2788">
        <v>0</v>
      </c>
      <c r="V2788">
        <v>0</v>
      </c>
      <c r="W2788">
        <v>0</v>
      </c>
      <c r="X2788">
        <v>1</v>
      </c>
      <c r="Y2788">
        <v>1</v>
      </c>
      <c r="Z2788">
        <v>0</v>
      </c>
      <c r="AA2788">
        <v>0</v>
      </c>
      <c r="AB2788">
        <v>1</v>
      </c>
      <c r="AC2788">
        <v>0</v>
      </c>
      <c r="AD2788">
        <v>1</v>
      </c>
      <c r="AE2788">
        <v>1</v>
      </c>
      <c r="AF2788">
        <v>1</v>
      </c>
      <c r="AG2788">
        <v>1</v>
      </c>
      <c r="AH2788">
        <v>1</v>
      </c>
      <c r="AI2788">
        <v>1</v>
      </c>
      <c r="AJ2788">
        <v>1</v>
      </c>
      <c r="AK2788">
        <v>1</v>
      </c>
      <c r="AL2788">
        <v>1</v>
      </c>
      <c r="AM2788">
        <v>1</v>
      </c>
    </row>
    <row r="2789" spans="1:39" x14ac:dyDescent="0.2">
      <c r="A2789" t="str">
        <f>"2785"</f>
        <v>2785</v>
      </c>
      <c r="B2789" t="str">
        <f t="shared" si="153"/>
        <v>1</v>
      </c>
      <c r="C2789" t="str">
        <f t="shared" si="155"/>
        <v>56</v>
      </c>
      <c r="D2789" t="str">
        <f>"47"</f>
        <v>47</v>
      </c>
      <c r="E2789" t="str">
        <f>"1-56-47"</f>
        <v>1-56-47</v>
      </c>
      <c r="F2789" t="s">
        <v>65</v>
      </c>
      <c r="G2789" t="s">
        <v>66</v>
      </c>
      <c r="H2789" t="s">
        <v>67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1</v>
      </c>
      <c r="AI2789">
        <v>1</v>
      </c>
      <c r="AJ2789">
        <v>0</v>
      </c>
      <c r="AK2789">
        <v>0</v>
      </c>
      <c r="AL2789">
        <v>1</v>
      </c>
      <c r="AM2789">
        <v>0</v>
      </c>
    </row>
    <row r="2790" spans="1:39" x14ac:dyDescent="0.2">
      <c r="A2790" t="str">
        <f>"2786"</f>
        <v>2786</v>
      </c>
      <c r="B2790" t="str">
        <f t="shared" si="153"/>
        <v>1</v>
      </c>
      <c r="C2790" t="str">
        <f t="shared" si="155"/>
        <v>56</v>
      </c>
      <c r="D2790" t="str">
        <f>"34"</f>
        <v>34</v>
      </c>
      <c r="E2790" t="str">
        <f>"1-56-34"</f>
        <v>1-56-34</v>
      </c>
      <c r="F2790" t="s">
        <v>65</v>
      </c>
      <c r="G2790" t="s">
        <v>66</v>
      </c>
      <c r="H2790" t="s">
        <v>67</v>
      </c>
      <c r="S2790">
        <v>1</v>
      </c>
      <c r="T2790">
        <v>0</v>
      </c>
      <c r="U2790">
        <v>0</v>
      </c>
      <c r="V2790">
        <v>0</v>
      </c>
      <c r="W2790">
        <v>0</v>
      </c>
      <c r="X2790">
        <v>1</v>
      </c>
      <c r="Y2790">
        <v>1</v>
      </c>
      <c r="Z2790">
        <v>0</v>
      </c>
      <c r="AA2790">
        <v>0</v>
      </c>
      <c r="AB2790">
        <v>1</v>
      </c>
      <c r="AC2790">
        <v>0</v>
      </c>
      <c r="AD2790">
        <v>1</v>
      </c>
      <c r="AE2790">
        <v>1</v>
      </c>
      <c r="AF2790">
        <v>1</v>
      </c>
      <c r="AG2790">
        <v>1</v>
      </c>
      <c r="AH2790">
        <v>1</v>
      </c>
      <c r="AI2790">
        <v>1</v>
      </c>
      <c r="AJ2790">
        <v>1</v>
      </c>
      <c r="AK2790">
        <v>1</v>
      </c>
      <c r="AL2790">
        <v>1</v>
      </c>
      <c r="AM2790">
        <v>1</v>
      </c>
    </row>
    <row r="2791" spans="1:39" x14ac:dyDescent="0.2">
      <c r="A2791" t="str">
        <f>"2787"</f>
        <v>2787</v>
      </c>
      <c r="B2791" t="str">
        <f t="shared" si="153"/>
        <v>1</v>
      </c>
      <c r="C2791" t="str">
        <f t="shared" si="155"/>
        <v>56</v>
      </c>
      <c r="D2791" t="str">
        <f>"22"</f>
        <v>22</v>
      </c>
      <c r="E2791" t="str">
        <f>"1-56-22"</f>
        <v>1-56-22</v>
      </c>
      <c r="F2791" t="s">
        <v>65</v>
      </c>
      <c r="G2791" t="s">
        <v>66</v>
      </c>
      <c r="H2791" t="s">
        <v>67</v>
      </c>
      <c r="S2791">
        <v>0</v>
      </c>
      <c r="T2791">
        <v>1</v>
      </c>
      <c r="U2791">
        <v>0</v>
      </c>
      <c r="V2791">
        <v>0</v>
      </c>
      <c r="W2791">
        <v>0</v>
      </c>
      <c r="X2791">
        <v>1</v>
      </c>
      <c r="Y2791">
        <v>0</v>
      </c>
      <c r="Z2791">
        <v>1</v>
      </c>
      <c r="AA2791">
        <v>0</v>
      </c>
      <c r="AB2791">
        <v>0</v>
      </c>
      <c r="AC2791">
        <v>1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1</v>
      </c>
    </row>
    <row r="2792" spans="1:39" x14ac:dyDescent="0.2">
      <c r="A2792" t="str">
        <f>"2788"</f>
        <v>2788</v>
      </c>
      <c r="B2792" t="str">
        <f t="shared" si="153"/>
        <v>1</v>
      </c>
      <c r="C2792" t="str">
        <f t="shared" si="155"/>
        <v>56</v>
      </c>
      <c r="D2792" t="str">
        <f>"9"</f>
        <v>9</v>
      </c>
      <c r="E2792" t="str">
        <f>"1-56-9"</f>
        <v>1-56-9</v>
      </c>
      <c r="F2792" t="s">
        <v>65</v>
      </c>
      <c r="G2792" t="s">
        <v>66</v>
      </c>
      <c r="H2792" t="s">
        <v>67</v>
      </c>
      <c r="S2792">
        <v>1</v>
      </c>
      <c r="T2792">
        <v>0</v>
      </c>
      <c r="U2792">
        <v>0</v>
      </c>
      <c r="V2792">
        <v>0</v>
      </c>
      <c r="W2792">
        <v>1</v>
      </c>
      <c r="X2792">
        <v>0</v>
      </c>
      <c r="Y2792">
        <v>1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1</v>
      </c>
      <c r="AF2792">
        <v>1</v>
      </c>
      <c r="AG2792">
        <v>1</v>
      </c>
      <c r="AH2792">
        <v>1</v>
      </c>
      <c r="AI2792">
        <v>1</v>
      </c>
      <c r="AJ2792">
        <v>1</v>
      </c>
      <c r="AK2792">
        <v>1</v>
      </c>
      <c r="AL2792">
        <v>1</v>
      </c>
      <c r="AM2792">
        <v>1</v>
      </c>
    </row>
    <row r="2793" spans="1:39" x14ac:dyDescent="0.2">
      <c r="A2793" t="str">
        <f>"2789"</f>
        <v>2789</v>
      </c>
      <c r="B2793" t="str">
        <f t="shared" si="153"/>
        <v>1</v>
      </c>
      <c r="C2793" t="str">
        <f t="shared" si="155"/>
        <v>56</v>
      </c>
      <c r="D2793" t="str">
        <f>"23"</f>
        <v>23</v>
      </c>
      <c r="E2793" t="str">
        <f>"1-56-23"</f>
        <v>1-56-23</v>
      </c>
      <c r="F2793" t="s">
        <v>65</v>
      </c>
      <c r="G2793" t="s">
        <v>66</v>
      </c>
      <c r="H2793" t="s">
        <v>67</v>
      </c>
      <c r="S2793">
        <v>0</v>
      </c>
      <c r="T2793">
        <v>1</v>
      </c>
      <c r="U2793">
        <v>0</v>
      </c>
      <c r="V2793">
        <v>0</v>
      </c>
      <c r="W2793">
        <v>0</v>
      </c>
      <c r="X2793">
        <v>1</v>
      </c>
      <c r="Y2793">
        <v>0</v>
      </c>
      <c r="Z2793">
        <v>1</v>
      </c>
      <c r="AA2793">
        <v>0</v>
      </c>
      <c r="AB2793">
        <v>0</v>
      </c>
      <c r="AC2793">
        <v>1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1</v>
      </c>
      <c r="AJ2793">
        <v>0</v>
      </c>
      <c r="AK2793">
        <v>0</v>
      </c>
      <c r="AL2793">
        <v>0</v>
      </c>
      <c r="AM2793">
        <v>1</v>
      </c>
    </row>
    <row r="2794" spans="1:39" x14ac:dyDescent="0.2">
      <c r="A2794" t="str">
        <f>"2790"</f>
        <v>2790</v>
      </c>
      <c r="B2794" t="str">
        <f t="shared" si="153"/>
        <v>1</v>
      </c>
      <c r="C2794" t="str">
        <f t="shared" si="155"/>
        <v>56</v>
      </c>
      <c r="D2794" t="str">
        <f>"4"</f>
        <v>4</v>
      </c>
      <c r="E2794" t="str">
        <f>"1-56-4"</f>
        <v>1-56-4</v>
      </c>
      <c r="F2794" t="s">
        <v>65</v>
      </c>
      <c r="G2794" t="s">
        <v>66</v>
      </c>
      <c r="H2794" t="s">
        <v>67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1</v>
      </c>
      <c r="AH2794">
        <v>1</v>
      </c>
      <c r="AI2794">
        <v>1</v>
      </c>
      <c r="AJ2794">
        <v>1</v>
      </c>
      <c r="AK2794">
        <v>0</v>
      </c>
      <c r="AL2794">
        <v>1</v>
      </c>
      <c r="AM2794">
        <v>0</v>
      </c>
    </row>
    <row r="2795" spans="1:39" x14ac:dyDescent="0.2">
      <c r="A2795" t="str">
        <f>"2791"</f>
        <v>2791</v>
      </c>
      <c r="B2795" t="str">
        <f t="shared" si="153"/>
        <v>1</v>
      </c>
      <c r="C2795" t="str">
        <f t="shared" si="155"/>
        <v>56</v>
      </c>
      <c r="D2795" t="str">
        <f>"24"</f>
        <v>24</v>
      </c>
      <c r="E2795" t="str">
        <f>"1-56-24"</f>
        <v>1-56-24</v>
      </c>
      <c r="F2795" t="s">
        <v>65</v>
      </c>
      <c r="G2795" t="s">
        <v>66</v>
      </c>
      <c r="H2795" t="s">
        <v>67</v>
      </c>
      <c r="S2795">
        <v>0</v>
      </c>
      <c r="T2795">
        <v>1</v>
      </c>
      <c r="U2795">
        <v>0</v>
      </c>
      <c r="V2795">
        <v>0</v>
      </c>
      <c r="W2795">
        <v>1</v>
      </c>
      <c r="X2795">
        <v>0</v>
      </c>
      <c r="Y2795">
        <v>1</v>
      </c>
      <c r="Z2795">
        <v>0</v>
      </c>
      <c r="AA2795">
        <v>0</v>
      </c>
      <c r="AB2795">
        <v>1</v>
      </c>
      <c r="AC2795">
        <v>0</v>
      </c>
      <c r="AD2795">
        <v>1</v>
      </c>
      <c r="AE2795">
        <v>1</v>
      </c>
      <c r="AF2795">
        <v>1</v>
      </c>
      <c r="AG2795">
        <v>1</v>
      </c>
      <c r="AH2795">
        <v>1</v>
      </c>
      <c r="AI2795">
        <v>1</v>
      </c>
      <c r="AJ2795">
        <v>1</v>
      </c>
      <c r="AK2795">
        <v>1</v>
      </c>
      <c r="AL2795">
        <v>1</v>
      </c>
      <c r="AM2795">
        <v>1</v>
      </c>
    </row>
    <row r="2796" spans="1:39" x14ac:dyDescent="0.2">
      <c r="A2796" t="str">
        <f>"2792"</f>
        <v>2792</v>
      </c>
      <c r="B2796" t="str">
        <f t="shared" si="153"/>
        <v>1</v>
      </c>
      <c r="C2796" t="str">
        <f t="shared" si="155"/>
        <v>56</v>
      </c>
      <c r="D2796" t="str">
        <f>"13"</f>
        <v>13</v>
      </c>
      <c r="E2796" t="str">
        <f>"1-56-13"</f>
        <v>1-56-13</v>
      </c>
      <c r="F2796" t="s">
        <v>65</v>
      </c>
      <c r="G2796" t="s">
        <v>66</v>
      </c>
      <c r="H2796" t="s">
        <v>67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1</v>
      </c>
      <c r="Y2796">
        <v>0</v>
      </c>
      <c r="Z2796">
        <v>1</v>
      </c>
      <c r="AA2796">
        <v>0</v>
      </c>
      <c r="AB2796">
        <v>0</v>
      </c>
      <c r="AC2796">
        <v>1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</row>
    <row r="2797" spans="1:39" x14ac:dyDescent="0.2">
      <c r="A2797" t="str">
        <f>"2793"</f>
        <v>2793</v>
      </c>
      <c r="B2797" t="str">
        <f t="shared" si="153"/>
        <v>1</v>
      </c>
      <c r="C2797" t="str">
        <f t="shared" si="155"/>
        <v>56</v>
      </c>
      <c r="D2797" t="str">
        <f>"25"</f>
        <v>25</v>
      </c>
      <c r="E2797" t="str">
        <f>"1-56-25"</f>
        <v>1-56-25</v>
      </c>
      <c r="F2797" t="s">
        <v>65</v>
      </c>
      <c r="G2797" t="s">
        <v>66</v>
      </c>
      <c r="H2797" t="s">
        <v>67</v>
      </c>
      <c r="S2797">
        <v>0</v>
      </c>
      <c r="T2797">
        <v>1</v>
      </c>
      <c r="U2797">
        <v>0</v>
      </c>
      <c r="V2797">
        <v>0</v>
      </c>
      <c r="W2797">
        <v>1</v>
      </c>
      <c r="X2797">
        <v>0</v>
      </c>
      <c r="Y2797">
        <v>1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1</v>
      </c>
      <c r="AF2797">
        <v>1</v>
      </c>
      <c r="AG2797">
        <v>1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</row>
    <row r="2798" spans="1:39" x14ac:dyDescent="0.2">
      <c r="A2798" t="str">
        <f>"2794"</f>
        <v>2794</v>
      </c>
      <c r="B2798" t="str">
        <f t="shared" si="153"/>
        <v>1</v>
      </c>
      <c r="C2798" t="str">
        <f t="shared" si="155"/>
        <v>56</v>
      </c>
      <c r="D2798" t="str">
        <f>"1"</f>
        <v>1</v>
      </c>
      <c r="E2798" t="str">
        <f>"1-56-1"</f>
        <v>1-56-1</v>
      </c>
      <c r="F2798" t="s">
        <v>65</v>
      </c>
      <c r="G2798" t="s">
        <v>66</v>
      </c>
      <c r="H2798" t="s">
        <v>67</v>
      </c>
      <c r="S2798">
        <v>0</v>
      </c>
      <c r="T2798">
        <v>1</v>
      </c>
      <c r="U2798">
        <v>0</v>
      </c>
      <c r="V2798">
        <v>0</v>
      </c>
      <c r="W2798">
        <v>0</v>
      </c>
      <c r="X2798">
        <v>1</v>
      </c>
      <c r="Y2798">
        <v>0</v>
      </c>
      <c r="Z2798">
        <v>1</v>
      </c>
      <c r="AA2798">
        <v>0</v>
      </c>
      <c r="AB2798">
        <v>0</v>
      </c>
      <c r="AC2798">
        <v>1</v>
      </c>
      <c r="AD2798">
        <v>1</v>
      </c>
      <c r="AE2798">
        <v>1</v>
      </c>
      <c r="AF2798">
        <v>1</v>
      </c>
      <c r="AG2798">
        <v>1</v>
      </c>
      <c r="AH2798">
        <v>1</v>
      </c>
      <c r="AI2798">
        <v>1</v>
      </c>
      <c r="AJ2798">
        <v>1</v>
      </c>
      <c r="AK2798">
        <v>1</v>
      </c>
      <c r="AL2798">
        <v>1</v>
      </c>
      <c r="AM2798">
        <v>1</v>
      </c>
    </row>
    <row r="2799" spans="1:39" x14ac:dyDescent="0.2">
      <c r="A2799" t="str">
        <f>"2795"</f>
        <v>2795</v>
      </c>
      <c r="B2799" t="str">
        <f t="shared" si="153"/>
        <v>1</v>
      </c>
      <c r="C2799" t="str">
        <f t="shared" si="155"/>
        <v>56</v>
      </c>
      <c r="D2799" t="str">
        <f>"26"</f>
        <v>26</v>
      </c>
      <c r="E2799" t="str">
        <f>"1-56-26"</f>
        <v>1-56-26</v>
      </c>
      <c r="F2799" t="s">
        <v>65</v>
      </c>
      <c r="G2799" t="s">
        <v>66</v>
      </c>
      <c r="H2799" t="s">
        <v>67</v>
      </c>
      <c r="S2799">
        <v>0</v>
      </c>
      <c r="T2799">
        <v>1</v>
      </c>
      <c r="U2799">
        <v>0</v>
      </c>
      <c r="V2799">
        <v>0</v>
      </c>
      <c r="W2799">
        <v>1</v>
      </c>
      <c r="X2799">
        <v>0</v>
      </c>
      <c r="Y2799">
        <v>1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1</v>
      </c>
      <c r="AF2799">
        <v>1</v>
      </c>
      <c r="AG2799">
        <v>1</v>
      </c>
      <c r="AH2799">
        <v>1</v>
      </c>
      <c r="AI2799">
        <v>1</v>
      </c>
      <c r="AJ2799">
        <v>1</v>
      </c>
      <c r="AK2799">
        <v>1</v>
      </c>
      <c r="AL2799">
        <v>1</v>
      </c>
      <c r="AM2799">
        <v>1</v>
      </c>
    </row>
    <row r="2800" spans="1:39" x14ac:dyDescent="0.2">
      <c r="A2800" t="str">
        <f>"2796"</f>
        <v>2796</v>
      </c>
      <c r="B2800" t="str">
        <f t="shared" si="153"/>
        <v>1</v>
      </c>
      <c r="C2800" t="str">
        <f t="shared" si="155"/>
        <v>56</v>
      </c>
      <c r="D2800" t="str">
        <f>"10"</f>
        <v>10</v>
      </c>
      <c r="E2800" t="str">
        <f>"1-56-10"</f>
        <v>1-56-10</v>
      </c>
      <c r="F2800" t="s">
        <v>65</v>
      </c>
      <c r="G2800" t="s">
        <v>66</v>
      </c>
      <c r="H2800" t="s">
        <v>67</v>
      </c>
      <c r="S2800">
        <v>0</v>
      </c>
      <c r="T2800">
        <v>1</v>
      </c>
      <c r="U2800">
        <v>0</v>
      </c>
      <c r="V2800">
        <v>0</v>
      </c>
      <c r="W2800">
        <v>0</v>
      </c>
      <c r="X2800">
        <v>1</v>
      </c>
      <c r="Y2800">
        <v>1</v>
      </c>
      <c r="Z2800">
        <v>0</v>
      </c>
      <c r="AA2800">
        <v>0</v>
      </c>
      <c r="AB2800">
        <v>0</v>
      </c>
      <c r="AC2800">
        <v>1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</row>
    <row r="2801" spans="1:39" x14ac:dyDescent="0.2">
      <c r="A2801" t="str">
        <f>"2797"</f>
        <v>2797</v>
      </c>
      <c r="B2801" t="str">
        <f t="shared" si="153"/>
        <v>1</v>
      </c>
      <c r="C2801" t="str">
        <f t="shared" si="155"/>
        <v>56</v>
      </c>
      <c r="D2801" t="str">
        <f>"31"</f>
        <v>31</v>
      </c>
      <c r="E2801" t="str">
        <f>"1-56-31"</f>
        <v>1-56-31</v>
      </c>
      <c r="F2801" t="s">
        <v>65</v>
      </c>
      <c r="G2801" t="s">
        <v>66</v>
      </c>
      <c r="H2801" t="s">
        <v>67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1</v>
      </c>
      <c r="AI2801">
        <v>1</v>
      </c>
      <c r="AJ2801">
        <v>1</v>
      </c>
      <c r="AK2801">
        <v>0</v>
      </c>
      <c r="AL2801">
        <v>1</v>
      </c>
      <c r="AM2801">
        <v>1</v>
      </c>
    </row>
    <row r="2802" spans="1:39" x14ac:dyDescent="0.2">
      <c r="A2802" t="str">
        <f>"2798"</f>
        <v>2798</v>
      </c>
      <c r="B2802" t="str">
        <f t="shared" si="153"/>
        <v>1</v>
      </c>
      <c r="C2802" t="str">
        <f t="shared" si="155"/>
        <v>56</v>
      </c>
      <c r="D2802" t="str">
        <f>"7"</f>
        <v>7</v>
      </c>
      <c r="E2802" t="str">
        <f>"1-56-7"</f>
        <v>1-56-7</v>
      </c>
      <c r="F2802" t="s">
        <v>65</v>
      </c>
      <c r="G2802" t="s">
        <v>66</v>
      </c>
      <c r="H2802" t="s">
        <v>67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0</v>
      </c>
      <c r="AB2802">
        <v>1</v>
      </c>
      <c r="AC2802">
        <v>0</v>
      </c>
      <c r="AD2802">
        <v>0</v>
      </c>
      <c r="AE2802">
        <v>0</v>
      </c>
      <c r="AF2802">
        <v>0</v>
      </c>
      <c r="AG2802">
        <v>1</v>
      </c>
      <c r="AH2802">
        <v>1</v>
      </c>
      <c r="AI2802">
        <v>1</v>
      </c>
      <c r="AJ2802">
        <v>1</v>
      </c>
      <c r="AK2802">
        <v>1</v>
      </c>
      <c r="AL2802">
        <v>1</v>
      </c>
      <c r="AM2802">
        <v>1</v>
      </c>
    </row>
    <row r="2803" spans="1:39" x14ac:dyDescent="0.2">
      <c r="A2803" t="str">
        <f>"2799"</f>
        <v>2799</v>
      </c>
      <c r="B2803" t="str">
        <f t="shared" si="153"/>
        <v>1</v>
      </c>
      <c r="C2803" t="str">
        <f t="shared" si="155"/>
        <v>56</v>
      </c>
      <c r="D2803" t="str">
        <f>"32"</f>
        <v>32</v>
      </c>
      <c r="E2803" t="str">
        <f>"1-56-32"</f>
        <v>1-56-32</v>
      </c>
      <c r="F2803" t="s">
        <v>65</v>
      </c>
      <c r="G2803" t="s">
        <v>66</v>
      </c>
      <c r="H2803" t="s">
        <v>67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1</v>
      </c>
      <c r="AI2803">
        <v>0</v>
      </c>
      <c r="AJ2803">
        <v>0</v>
      </c>
      <c r="AK2803">
        <v>0</v>
      </c>
      <c r="AL2803">
        <v>0</v>
      </c>
      <c r="AM2803">
        <v>0</v>
      </c>
    </row>
    <row r="2804" spans="1:39" x14ac:dyDescent="0.2">
      <c r="A2804" t="str">
        <f>"2800"</f>
        <v>2800</v>
      </c>
      <c r="B2804" t="str">
        <f t="shared" si="153"/>
        <v>1</v>
      </c>
      <c r="C2804" t="str">
        <f t="shared" si="155"/>
        <v>56</v>
      </c>
      <c r="D2804" t="str">
        <f>"14"</f>
        <v>14</v>
      </c>
      <c r="E2804" t="str">
        <f>"1-56-14"</f>
        <v>1-56-14</v>
      </c>
      <c r="F2804" t="s">
        <v>65</v>
      </c>
      <c r="G2804" t="s">
        <v>66</v>
      </c>
      <c r="H2804" t="s">
        <v>67</v>
      </c>
      <c r="S2804">
        <v>1</v>
      </c>
      <c r="T2804">
        <v>0</v>
      </c>
      <c r="U2804">
        <v>0</v>
      </c>
      <c r="V2804">
        <v>0</v>
      </c>
      <c r="W2804">
        <v>0</v>
      </c>
      <c r="X2804">
        <v>1</v>
      </c>
      <c r="Y2804">
        <v>0</v>
      </c>
      <c r="Z2804">
        <v>1</v>
      </c>
      <c r="AA2804">
        <v>1</v>
      </c>
      <c r="AB2804">
        <v>0</v>
      </c>
      <c r="AC2804">
        <v>0</v>
      </c>
      <c r="AD2804">
        <v>1</v>
      </c>
      <c r="AE2804">
        <v>1</v>
      </c>
      <c r="AF2804">
        <v>1</v>
      </c>
      <c r="AG2804">
        <v>1</v>
      </c>
      <c r="AH2804">
        <v>1</v>
      </c>
      <c r="AI2804">
        <v>1</v>
      </c>
      <c r="AJ2804">
        <v>1</v>
      </c>
      <c r="AK2804">
        <v>1</v>
      </c>
      <c r="AL2804">
        <v>1</v>
      </c>
      <c r="AM2804">
        <v>1</v>
      </c>
    </row>
    <row r="2805" spans="1:39" x14ac:dyDescent="0.2">
      <c r="A2805" t="str">
        <f>"2801"</f>
        <v>2801</v>
      </c>
      <c r="B2805" t="str">
        <f t="shared" si="153"/>
        <v>1</v>
      </c>
      <c r="C2805" t="str">
        <f t="shared" ref="C2805:C2836" si="156">"57"</f>
        <v>57</v>
      </c>
      <c r="D2805" t="str">
        <f>"45"</f>
        <v>45</v>
      </c>
      <c r="E2805" t="str">
        <f>"1-57-45"</f>
        <v>1-57-45</v>
      </c>
      <c r="F2805" t="s">
        <v>65</v>
      </c>
      <c r="G2805" t="s">
        <v>66</v>
      </c>
      <c r="H2805" t="s">
        <v>67</v>
      </c>
      <c r="S2805">
        <v>0</v>
      </c>
      <c r="T2805">
        <v>1</v>
      </c>
      <c r="U2805">
        <v>0</v>
      </c>
      <c r="V2805">
        <v>0</v>
      </c>
      <c r="W2805">
        <v>1</v>
      </c>
      <c r="X2805">
        <v>0</v>
      </c>
      <c r="Y2805">
        <v>0</v>
      </c>
      <c r="Z2805">
        <v>1</v>
      </c>
      <c r="AA2805">
        <v>1</v>
      </c>
      <c r="AB2805">
        <v>0</v>
      </c>
      <c r="AC2805">
        <v>0</v>
      </c>
      <c r="AD2805">
        <v>1</v>
      </c>
      <c r="AE2805">
        <v>1</v>
      </c>
      <c r="AF2805">
        <v>1</v>
      </c>
      <c r="AG2805">
        <v>1</v>
      </c>
      <c r="AH2805">
        <v>1</v>
      </c>
      <c r="AI2805">
        <v>1</v>
      </c>
      <c r="AJ2805">
        <v>1</v>
      </c>
      <c r="AK2805">
        <v>1</v>
      </c>
      <c r="AL2805">
        <v>1</v>
      </c>
      <c r="AM2805">
        <v>1</v>
      </c>
    </row>
    <row r="2806" spans="1:39" x14ac:dyDescent="0.2">
      <c r="A2806" t="str">
        <f>"2802"</f>
        <v>2802</v>
      </c>
      <c r="B2806" t="str">
        <f t="shared" si="153"/>
        <v>1</v>
      </c>
      <c r="C2806" t="str">
        <f t="shared" si="156"/>
        <v>57</v>
      </c>
      <c r="D2806" t="str">
        <f>"44"</f>
        <v>44</v>
      </c>
      <c r="E2806" t="str">
        <f>"1-57-44"</f>
        <v>1-57-44</v>
      </c>
      <c r="F2806" t="s">
        <v>65</v>
      </c>
      <c r="G2806" t="s">
        <v>66</v>
      </c>
      <c r="H2806" t="s">
        <v>67</v>
      </c>
      <c r="S2806">
        <v>0</v>
      </c>
      <c r="T2806">
        <v>1</v>
      </c>
      <c r="U2806">
        <v>0</v>
      </c>
      <c r="V2806">
        <v>0</v>
      </c>
      <c r="W2806">
        <v>0</v>
      </c>
      <c r="X2806">
        <v>1</v>
      </c>
      <c r="Y2806">
        <v>0</v>
      </c>
      <c r="Z2806">
        <v>1</v>
      </c>
      <c r="AA2806">
        <v>0</v>
      </c>
      <c r="AB2806">
        <v>0</v>
      </c>
      <c r="AC2806">
        <v>1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</row>
    <row r="2807" spans="1:39" x14ac:dyDescent="0.2">
      <c r="A2807" t="str">
        <f>"2803"</f>
        <v>2803</v>
      </c>
      <c r="B2807" t="str">
        <f t="shared" ref="B2807:B2870" si="157">"1"</f>
        <v>1</v>
      </c>
      <c r="C2807" t="str">
        <f t="shared" si="156"/>
        <v>57</v>
      </c>
      <c r="D2807" t="str">
        <f>"27"</f>
        <v>27</v>
      </c>
      <c r="E2807" t="str">
        <f>"1-57-27"</f>
        <v>1-57-27</v>
      </c>
      <c r="F2807" t="s">
        <v>65</v>
      </c>
      <c r="G2807" t="s">
        <v>66</v>
      </c>
      <c r="H2807" t="s">
        <v>67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0</v>
      </c>
      <c r="AB2807">
        <v>0</v>
      </c>
      <c r="AC2807">
        <v>1</v>
      </c>
      <c r="AD2807">
        <v>0</v>
      </c>
      <c r="AE2807">
        <v>0</v>
      </c>
      <c r="AF2807">
        <v>0</v>
      </c>
      <c r="AG2807">
        <v>1</v>
      </c>
      <c r="AH2807">
        <v>1</v>
      </c>
      <c r="AI2807">
        <v>1</v>
      </c>
      <c r="AJ2807">
        <v>1</v>
      </c>
      <c r="AK2807">
        <v>1</v>
      </c>
      <c r="AL2807">
        <v>1</v>
      </c>
      <c r="AM2807">
        <v>0</v>
      </c>
    </row>
    <row r="2808" spans="1:39" x14ac:dyDescent="0.2">
      <c r="A2808" t="str">
        <f>"2804"</f>
        <v>2804</v>
      </c>
      <c r="B2808" t="str">
        <f t="shared" si="157"/>
        <v>1</v>
      </c>
      <c r="C2808" t="str">
        <f t="shared" si="156"/>
        <v>57</v>
      </c>
      <c r="D2808" t="str">
        <f>"15"</f>
        <v>15</v>
      </c>
      <c r="E2808" t="str">
        <f>"1-57-15"</f>
        <v>1-57-15</v>
      </c>
      <c r="F2808" t="s">
        <v>65</v>
      </c>
      <c r="G2808" t="s">
        <v>66</v>
      </c>
      <c r="H2808" t="s">
        <v>67</v>
      </c>
      <c r="S2808">
        <v>0</v>
      </c>
      <c r="T2808">
        <v>1</v>
      </c>
      <c r="U2808">
        <v>0</v>
      </c>
      <c r="V2808">
        <v>0</v>
      </c>
      <c r="W2808">
        <v>1</v>
      </c>
      <c r="X2808">
        <v>0</v>
      </c>
      <c r="Y2808">
        <v>0</v>
      </c>
      <c r="Z2808">
        <v>1</v>
      </c>
      <c r="AA2808">
        <v>1</v>
      </c>
      <c r="AB2808">
        <v>0</v>
      </c>
      <c r="AC2808">
        <v>0</v>
      </c>
      <c r="AD2808">
        <v>1</v>
      </c>
      <c r="AE2808">
        <v>1</v>
      </c>
      <c r="AF2808">
        <v>1</v>
      </c>
      <c r="AG2808">
        <v>1</v>
      </c>
      <c r="AH2808">
        <v>1</v>
      </c>
      <c r="AI2808">
        <v>1</v>
      </c>
      <c r="AJ2808">
        <v>1</v>
      </c>
      <c r="AK2808">
        <v>1</v>
      </c>
      <c r="AL2808">
        <v>1</v>
      </c>
      <c r="AM2808">
        <v>1</v>
      </c>
    </row>
    <row r="2809" spans="1:39" x14ac:dyDescent="0.2">
      <c r="A2809" t="str">
        <f>"2805"</f>
        <v>2805</v>
      </c>
      <c r="B2809" t="str">
        <f t="shared" si="157"/>
        <v>1</v>
      </c>
      <c r="C2809" t="str">
        <f t="shared" si="156"/>
        <v>57</v>
      </c>
      <c r="D2809" t="str">
        <f>"42"</f>
        <v>42</v>
      </c>
      <c r="E2809" t="str">
        <f>"1-57-42"</f>
        <v>1-57-42</v>
      </c>
      <c r="F2809" t="s">
        <v>65</v>
      </c>
      <c r="G2809" t="s">
        <v>66</v>
      </c>
      <c r="H2809" t="s">
        <v>67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1</v>
      </c>
      <c r="Y2809">
        <v>0</v>
      </c>
      <c r="Z2809">
        <v>1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</row>
    <row r="2810" spans="1:39" x14ac:dyDescent="0.2">
      <c r="A2810" t="str">
        <f>"2806"</f>
        <v>2806</v>
      </c>
      <c r="B2810" t="str">
        <f t="shared" si="157"/>
        <v>1</v>
      </c>
      <c r="C2810" t="str">
        <f t="shared" si="156"/>
        <v>57</v>
      </c>
      <c r="D2810" t="str">
        <f>"41"</f>
        <v>41</v>
      </c>
      <c r="E2810" t="str">
        <f>"1-57-41"</f>
        <v>1-57-41</v>
      </c>
      <c r="F2810" t="s">
        <v>65</v>
      </c>
      <c r="G2810" t="s">
        <v>66</v>
      </c>
      <c r="H2810" t="s">
        <v>67</v>
      </c>
      <c r="S2810">
        <v>0</v>
      </c>
      <c r="T2810">
        <v>1</v>
      </c>
      <c r="U2810">
        <v>0</v>
      </c>
      <c r="V2810">
        <v>0</v>
      </c>
      <c r="W2810">
        <v>1</v>
      </c>
      <c r="X2810">
        <v>0</v>
      </c>
      <c r="Y2810">
        <v>1</v>
      </c>
      <c r="Z2810">
        <v>0</v>
      </c>
      <c r="AA2810">
        <v>1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1</v>
      </c>
      <c r="AJ2810">
        <v>1</v>
      </c>
      <c r="AK2810">
        <v>1</v>
      </c>
      <c r="AL2810">
        <v>1</v>
      </c>
      <c r="AM2810">
        <v>1</v>
      </c>
    </row>
    <row r="2811" spans="1:39" x14ac:dyDescent="0.2">
      <c r="A2811" t="str">
        <f>"2807"</f>
        <v>2807</v>
      </c>
      <c r="B2811" t="str">
        <f t="shared" si="157"/>
        <v>1</v>
      </c>
      <c r="C2811" t="str">
        <f t="shared" si="156"/>
        <v>57</v>
      </c>
      <c r="D2811" t="str">
        <f>"30"</f>
        <v>30</v>
      </c>
      <c r="E2811" t="str">
        <f>"1-57-30"</f>
        <v>1-57-30</v>
      </c>
      <c r="F2811" t="s">
        <v>65</v>
      </c>
      <c r="G2811" t="s">
        <v>66</v>
      </c>
      <c r="H2811" t="s">
        <v>67</v>
      </c>
      <c r="S2811">
        <v>1</v>
      </c>
      <c r="T2811">
        <v>0</v>
      </c>
      <c r="U2811">
        <v>0</v>
      </c>
      <c r="V2811">
        <v>0</v>
      </c>
      <c r="W2811">
        <v>1</v>
      </c>
      <c r="X2811">
        <v>0</v>
      </c>
      <c r="Y2811">
        <v>1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1</v>
      </c>
      <c r="AF2811">
        <v>1</v>
      </c>
      <c r="AG2811">
        <v>1</v>
      </c>
      <c r="AH2811">
        <v>1</v>
      </c>
      <c r="AI2811">
        <v>1</v>
      </c>
      <c r="AJ2811">
        <v>1</v>
      </c>
      <c r="AK2811">
        <v>1</v>
      </c>
      <c r="AL2811">
        <v>1</v>
      </c>
      <c r="AM2811">
        <v>1</v>
      </c>
    </row>
    <row r="2812" spans="1:39" x14ac:dyDescent="0.2">
      <c r="A2812" t="str">
        <f>"2808"</f>
        <v>2808</v>
      </c>
      <c r="B2812" t="str">
        <f t="shared" si="157"/>
        <v>1</v>
      </c>
      <c r="C2812" t="str">
        <f t="shared" si="156"/>
        <v>57</v>
      </c>
      <c r="D2812" t="str">
        <f>"16"</f>
        <v>16</v>
      </c>
      <c r="E2812" t="str">
        <f>"1-57-16"</f>
        <v>1-57-16</v>
      </c>
      <c r="F2812" t="s">
        <v>65</v>
      </c>
      <c r="G2812" t="s">
        <v>66</v>
      </c>
      <c r="H2812" t="s">
        <v>67</v>
      </c>
      <c r="S2812">
        <v>0</v>
      </c>
      <c r="T2812">
        <v>1</v>
      </c>
      <c r="U2812">
        <v>0</v>
      </c>
      <c r="V2812">
        <v>0</v>
      </c>
      <c r="W2812">
        <v>1</v>
      </c>
      <c r="X2812">
        <v>0</v>
      </c>
      <c r="Y2812">
        <v>0</v>
      </c>
      <c r="Z2812">
        <v>1</v>
      </c>
      <c r="AA2812">
        <v>1</v>
      </c>
      <c r="AB2812">
        <v>0</v>
      </c>
      <c r="AC2812">
        <v>0</v>
      </c>
      <c r="AD2812">
        <v>1</v>
      </c>
      <c r="AE2812">
        <v>1</v>
      </c>
      <c r="AF2812">
        <v>1</v>
      </c>
      <c r="AG2812">
        <v>1</v>
      </c>
      <c r="AH2812">
        <v>1</v>
      </c>
      <c r="AI2812">
        <v>1</v>
      </c>
      <c r="AJ2812">
        <v>1</v>
      </c>
      <c r="AK2812">
        <v>1</v>
      </c>
      <c r="AL2812">
        <v>1</v>
      </c>
      <c r="AM2812">
        <v>1</v>
      </c>
    </row>
    <row r="2813" spans="1:39" x14ac:dyDescent="0.2">
      <c r="A2813" t="str">
        <f>"2809"</f>
        <v>2809</v>
      </c>
      <c r="B2813" t="str">
        <f t="shared" si="157"/>
        <v>1</v>
      </c>
      <c r="C2813" t="str">
        <f t="shared" si="156"/>
        <v>57</v>
      </c>
      <c r="D2813" t="str">
        <f>"6"</f>
        <v>6</v>
      </c>
      <c r="E2813" t="str">
        <f>"1-57-6"</f>
        <v>1-57-6</v>
      </c>
      <c r="F2813" t="s">
        <v>65</v>
      </c>
      <c r="G2813" t="s">
        <v>66</v>
      </c>
      <c r="H2813" t="s">
        <v>67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1</v>
      </c>
      <c r="Y2813">
        <v>0</v>
      </c>
      <c r="Z2813">
        <v>1</v>
      </c>
      <c r="AA2813">
        <v>0</v>
      </c>
      <c r="AB2813">
        <v>1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</row>
    <row r="2814" spans="1:39" x14ac:dyDescent="0.2">
      <c r="A2814" t="str">
        <f>"2810"</f>
        <v>2810</v>
      </c>
      <c r="B2814" t="str">
        <f t="shared" si="157"/>
        <v>1</v>
      </c>
      <c r="C2814" t="str">
        <f t="shared" si="156"/>
        <v>57</v>
      </c>
      <c r="D2814" t="str">
        <f>"38"</f>
        <v>38</v>
      </c>
      <c r="E2814" t="str">
        <f>"1-57-38"</f>
        <v>1-57-38</v>
      </c>
      <c r="F2814" t="s">
        <v>65</v>
      </c>
      <c r="G2814" t="s">
        <v>66</v>
      </c>
      <c r="H2814" t="s">
        <v>67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1</v>
      </c>
      <c r="Y2814">
        <v>0</v>
      </c>
      <c r="Z2814">
        <v>1</v>
      </c>
      <c r="AA2814">
        <v>0</v>
      </c>
      <c r="AB2814">
        <v>1</v>
      </c>
      <c r="AC2814">
        <v>0</v>
      </c>
      <c r="AD2814">
        <v>0</v>
      </c>
      <c r="AE2814">
        <v>0</v>
      </c>
      <c r="AF2814">
        <v>0</v>
      </c>
      <c r="AG2814">
        <v>1</v>
      </c>
      <c r="AH2814">
        <v>1</v>
      </c>
      <c r="AI2814">
        <v>1</v>
      </c>
      <c r="AJ2814">
        <v>1</v>
      </c>
      <c r="AK2814">
        <v>1</v>
      </c>
      <c r="AL2814">
        <v>1</v>
      </c>
      <c r="AM2814">
        <v>0</v>
      </c>
    </row>
    <row r="2815" spans="1:39" x14ac:dyDescent="0.2">
      <c r="A2815" t="str">
        <f>"2811"</f>
        <v>2811</v>
      </c>
      <c r="B2815" t="str">
        <f t="shared" si="157"/>
        <v>1</v>
      </c>
      <c r="C2815" t="str">
        <f t="shared" si="156"/>
        <v>57</v>
      </c>
      <c r="D2815" t="str">
        <f>"37"</f>
        <v>37</v>
      </c>
      <c r="E2815" t="str">
        <f>"1-57-37"</f>
        <v>1-57-37</v>
      </c>
      <c r="F2815" t="s">
        <v>65</v>
      </c>
      <c r="G2815" t="s">
        <v>66</v>
      </c>
      <c r="H2815" t="s">
        <v>67</v>
      </c>
      <c r="S2815">
        <v>1</v>
      </c>
      <c r="T2815">
        <v>0</v>
      </c>
      <c r="U2815">
        <v>0</v>
      </c>
      <c r="V2815">
        <v>0</v>
      </c>
      <c r="W2815">
        <v>1</v>
      </c>
      <c r="X2815">
        <v>0</v>
      </c>
      <c r="Y2815">
        <v>1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1</v>
      </c>
      <c r="AF2815">
        <v>1</v>
      </c>
      <c r="AG2815">
        <v>1</v>
      </c>
      <c r="AH2815">
        <v>1</v>
      </c>
      <c r="AI2815">
        <v>1</v>
      </c>
      <c r="AJ2815">
        <v>1</v>
      </c>
      <c r="AK2815">
        <v>1</v>
      </c>
      <c r="AL2815">
        <v>1</v>
      </c>
      <c r="AM2815">
        <v>1</v>
      </c>
    </row>
    <row r="2816" spans="1:39" x14ac:dyDescent="0.2">
      <c r="A2816" t="str">
        <f>"2812"</f>
        <v>2812</v>
      </c>
      <c r="B2816" t="str">
        <f t="shared" si="157"/>
        <v>1</v>
      </c>
      <c r="C2816" t="str">
        <f t="shared" si="156"/>
        <v>57</v>
      </c>
      <c r="D2816" t="str">
        <f>"28"</f>
        <v>28</v>
      </c>
      <c r="E2816" t="str">
        <f>"1-57-28"</f>
        <v>1-57-28</v>
      </c>
      <c r="F2816" t="s">
        <v>65</v>
      </c>
      <c r="G2816" t="s">
        <v>66</v>
      </c>
      <c r="H2816" t="s">
        <v>67</v>
      </c>
      <c r="S2816">
        <v>0</v>
      </c>
      <c r="T2816">
        <v>1</v>
      </c>
      <c r="U2816">
        <v>0</v>
      </c>
      <c r="V2816">
        <v>0</v>
      </c>
      <c r="W2816">
        <v>0</v>
      </c>
      <c r="X2816">
        <v>1</v>
      </c>
      <c r="Y2816">
        <v>1</v>
      </c>
      <c r="Z2816">
        <v>0</v>
      </c>
      <c r="AA2816">
        <v>0</v>
      </c>
      <c r="AB2816">
        <v>1</v>
      </c>
      <c r="AC2816">
        <v>0</v>
      </c>
      <c r="AD2816">
        <v>1</v>
      </c>
      <c r="AE2816">
        <v>1</v>
      </c>
      <c r="AF2816">
        <v>1</v>
      </c>
      <c r="AG2816">
        <v>1</v>
      </c>
      <c r="AH2816">
        <v>1</v>
      </c>
      <c r="AI2816">
        <v>1</v>
      </c>
      <c r="AJ2816">
        <v>1</v>
      </c>
      <c r="AK2816">
        <v>1</v>
      </c>
      <c r="AL2816">
        <v>1</v>
      </c>
      <c r="AM2816">
        <v>1</v>
      </c>
    </row>
    <row r="2817" spans="1:39" x14ac:dyDescent="0.2">
      <c r="A2817" t="str">
        <f>"2813"</f>
        <v>2813</v>
      </c>
      <c r="B2817" t="str">
        <f t="shared" si="157"/>
        <v>1</v>
      </c>
      <c r="C2817" t="str">
        <f t="shared" si="156"/>
        <v>57</v>
      </c>
      <c r="D2817" t="str">
        <f>"17"</f>
        <v>17</v>
      </c>
      <c r="E2817" t="str">
        <f>"1-57-17"</f>
        <v>1-57-17</v>
      </c>
      <c r="F2817" t="s">
        <v>65</v>
      </c>
      <c r="G2817" t="s">
        <v>66</v>
      </c>
      <c r="H2817" t="s">
        <v>67</v>
      </c>
      <c r="S2817">
        <v>0</v>
      </c>
      <c r="T2817">
        <v>1</v>
      </c>
      <c r="U2817">
        <v>0</v>
      </c>
      <c r="V2817">
        <v>0</v>
      </c>
      <c r="W2817">
        <v>0</v>
      </c>
      <c r="X2817">
        <v>1</v>
      </c>
      <c r="Y2817">
        <v>0</v>
      </c>
      <c r="Z2817">
        <v>1</v>
      </c>
      <c r="AA2817">
        <v>0</v>
      </c>
      <c r="AB2817">
        <v>0</v>
      </c>
      <c r="AC2817">
        <v>1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</row>
    <row r="2818" spans="1:39" x14ac:dyDescent="0.2">
      <c r="A2818" t="str">
        <f>"2814"</f>
        <v>2814</v>
      </c>
      <c r="B2818" t="str">
        <f t="shared" si="157"/>
        <v>1</v>
      </c>
      <c r="C2818" t="str">
        <f t="shared" si="156"/>
        <v>57</v>
      </c>
      <c r="D2818" t="str">
        <f>"8"</f>
        <v>8</v>
      </c>
      <c r="E2818" t="str">
        <f>"1-57-8"</f>
        <v>1-57-8</v>
      </c>
      <c r="F2818" t="s">
        <v>65</v>
      </c>
      <c r="G2818" t="s">
        <v>66</v>
      </c>
      <c r="H2818" t="s">
        <v>67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</row>
    <row r="2819" spans="1:39" x14ac:dyDescent="0.2">
      <c r="A2819" t="str">
        <f>"2815"</f>
        <v>2815</v>
      </c>
      <c r="B2819" t="str">
        <f t="shared" si="157"/>
        <v>1</v>
      </c>
      <c r="C2819" t="str">
        <f t="shared" si="156"/>
        <v>57</v>
      </c>
      <c r="D2819" t="str">
        <f>"40"</f>
        <v>40</v>
      </c>
      <c r="E2819" t="str">
        <f>"1-57-40"</f>
        <v>1-57-40</v>
      </c>
      <c r="F2819" t="s">
        <v>65</v>
      </c>
      <c r="G2819" t="s">
        <v>66</v>
      </c>
      <c r="H2819" t="s">
        <v>67</v>
      </c>
      <c r="S2819">
        <v>1</v>
      </c>
      <c r="T2819">
        <v>0</v>
      </c>
      <c r="U2819">
        <v>0</v>
      </c>
      <c r="V2819">
        <v>0</v>
      </c>
      <c r="W2819">
        <v>1</v>
      </c>
      <c r="X2819">
        <v>0</v>
      </c>
      <c r="Y2819">
        <v>1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1</v>
      </c>
      <c r="AF2819">
        <v>1</v>
      </c>
      <c r="AG2819">
        <v>1</v>
      </c>
      <c r="AH2819">
        <v>1</v>
      </c>
      <c r="AI2819">
        <v>1</v>
      </c>
      <c r="AJ2819">
        <v>1</v>
      </c>
      <c r="AK2819">
        <v>1</v>
      </c>
      <c r="AL2819">
        <v>1</v>
      </c>
      <c r="AM2819">
        <v>1</v>
      </c>
    </row>
    <row r="2820" spans="1:39" x14ac:dyDescent="0.2">
      <c r="A2820" t="str">
        <f>"2816"</f>
        <v>2816</v>
      </c>
      <c r="B2820" t="str">
        <f t="shared" si="157"/>
        <v>1</v>
      </c>
      <c r="C2820" t="str">
        <f t="shared" si="156"/>
        <v>57</v>
      </c>
      <c r="D2820" t="str">
        <f>"39"</f>
        <v>39</v>
      </c>
      <c r="E2820" t="str">
        <f>"1-57-39"</f>
        <v>1-57-39</v>
      </c>
      <c r="F2820" t="s">
        <v>65</v>
      </c>
      <c r="G2820" t="s">
        <v>66</v>
      </c>
      <c r="H2820" t="s">
        <v>67</v>
      </c>
      <c r="S2820">
        <v>0</v>
      </c>
      <c r="T2820">
        <v>1</v>
      </c>
      <c r="U2820">
        <v>0</v>
      </c>
      <c r="V2820">
        <v>0</v>
      </c>
      <c r="W2820">
        <v>1</v>
      </c>
      <c r="X2820">
        <v>0</v>
      </c>
      <c r="Y2820">
        <v>1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1</v>
      </c>
      <c r="AF2820">
        <v>1</v>
      </c>
      <c r="AG2820">
        <v>1</v>
      </c>
      <c r="AH2820">
        <v>1</v>
      </c>
      <c r="AI2820">
        <v>1</v>
      </c>
      <c r="AJ2820">
        <v>1</v>
      </c>
      <c r="AK2820">
        <v>1</v>
      </c>
      <c r="AL2820">
        <v>1</v>
      </c>
      <c r="AM2820">
        <v>1</v>
      </c>
    </row>
    <row r="2821" spans="1:39" x14ac:dyDescent="0.2">
      <c r="A2821" t="str">
        <f>"2817"</f>
        <v>2817</v>
      </c>
      <c r="B2821" t="str">
        <f t="shared" si="157"/>
        <v>1</v>
      </c>
      <c r="C2821" t="str">
        <f t="shared" si="156"/>
        <v>57</v>
      </c>
      <c r="D2821" t="str">
        <f>"31"</f>
        <v>31</v>
      </c>
      <c r="E2821" t="str">
        <f>"1-57-31"</f>
        <v>1-57-31</v>
      </c>
      <c r="F2821" t="s">
        <v>65</v>
      </c>
      <c r="G2821" t="s">
        <v>66</v>
      </c>
      <c r="H2821" t="s">
        <v>67</v>
      </c>
      <c r="S2821">
        <v>0</v>
      </c>
      <c r="T2821">
        <v>1</v>
      </c>
      <c r="U2821">
        <v>0</v>
      </c>
      <c r="V2821">
        <v>0</v>
      </c>
      <c r="W2821">
        <v>1</v>
      </c>
      <c r="X2821">
        <v>0</v>
      </c>
      <c r="Y2821">
        <v>0</v>
      </c>
      <c r="Z2821">
        <v>1</v>
      </c>
      <c r="AA2821">
        <v>0</v>
      </c>
      <c r="AB2821">
        <v>0</v>
      </c>
      <c r="AC2821">
        <v>1</v>
      </c>
      <c r="AD2821">
        <v>1</v>
      </c>
      <c r="AE2821">
        <v>1</v>
      </c>
      <c r="AF2821">
        <v>1</v>
      </c>
      <c r="AG2821">
        <v>1</v>
      </c>
      <c r="AH2821">
        <v>1</v>
      </c>
      <c r="AI2821">
        <v>1</v>
      </c>
      <c r="AJ2821">
        <v>1</v>
      </c>
      <c r="AK2821">
        <v>1</v>
      </c>
      <c r="AL2821">
        <v>1</v>
      </c>
      <c r="AM2821">
        <v>1</v>
      </c>
    </row>
    <row r="2822" spans="1:39" x14ac:dyDescent="0.2">
      <c r="A2822" t="str">
        <f>"2818"</f>
        <v>2818</v>
      </c>
      <c r="B2822" t="str">
        <f t="shared" si="157"/>
        <v>1</v>
      </c>
      <c r="C2822" t="str">
        <f t="shared" si="156"/>
        <v>57</v>
      </c>
      <c r="D2822" t="str">
        <f>"18"</f>
        <v>18</v>
      </c>
      <c r="E2822" t="str">
        <f>"1-57-18"</f>
        <v>1-57-18</v>
      </c>
      <c r="F2822" t="s">
        <v>65</v>
      </c>
      <c r="G2822" t="s">
        <v>66</v>
      </c>
      <c r="H2822" t="s">
        <v>67</v>
      </c>
      <c r="S2822">
        <v>0</v>
      </c>
      <c r="T2822">
        <v>1</v>
      </c>
      <c r="U2822">
        <v>0</v>
      </c>
      <c r="V2822">
        <v>0</v>
      </c>
      <c r="W2822">
        <v>0</v>
      </c>
      <c r="X2822">
        <v>1</v>
      </c>
      <c r="Y2822">
        <v>1</v>
      </c>
      <c r="Z2822">
        <v>0</v>
      </c>
      <c r="AA2822">
        <v>0</v>
      </c>
      <c r="AB2822">
        <v>0</v>
      </c>
      <c r="AC2822">
        <v>1</v>
      </c>
      <c r="AD2822">
        <v>1</v>
      </c>
      <c r="AE2822">
        <v>1</v>
      </c>
      <c r="AF2822">
        <v>1</v>
      </c>
      <c r="AG2822">
        <v>1</v>
      </c>
      <c r="AH2822">
        <v>1</v>
      </c>
      <c r="AI2822">
        <v>1</v>
      </c>
      <c r="AJ2822">
        <v>1</v>
      </c>
      <c r="AK2822">
        <v>1</v>
      </c>
      <c r="AL2822">
        <v>1</v>
      </c>
      <c r="AM2822">
        <v>1</v>
      </c>
    </row>
    <row r="2823" spans="1:39" x14ac:dyDescent="0.2">
      <c r="A2823" t="str">
        <f>"2819"</f>
        <v>2819</v>
      </c>
      <c r="B2823" t="str">
        <f t="shared" si="157"/>
        <v>1</v>
      </c>
      <c r="C2823" t="str">
        <f t="shared" si="156"/>
        <v>57</v>
      </c>
      <c r="D2823" t="str">
        <f>"14"</f>
        <v>14</v>
      </c>
      <c r="E2823" t="str">
        <f>"1-57-14"</f>
        <v>1-57-14</v>
      </c>
      <c r="F2823" t="s">
        <v>65</v>
      </c>
      <c r="G2823" t="s">
        <v>66</v>
      </c>
      <c r="H2823" t="s">
        <v>67</v>
      </c>
      <c r="S2823">
        <v>1</v>
      </c>
      <c r="T2823">
        <v>0</v>
      </c>
      <c r="U2823">
        <v>0</v>
      </c>
      <c r="V2823">
        <v>0</v>
      </c>
      <c r="W2823">
        <v>1</v>
      </c>
      <c r="X2823">
        <v>0</v>
      </c>
      <c r="Y2823">
        <v>1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1</v>
      </c>
      <c r="AF2823">
        <v>1</v>
      </c>
      <c r="AG2823">
        <v>1</v>
      </c>
      <c r="AH2823">
        <v>1</v>
      </c>
      <c r="AI2823">
        <v>0</v>
      </c>
      <c r="AJ2823">
        <v>0</v>
      </c>
      <c r="AK2823">
        <v>0</v>
      </c>
      <c r="AL2823">
        <v>0</v>
      </c>
      <c r="AM2823">
        <v>0</v>
      </c>
    </row>
    <row r="2824" spans="1:39" x14ac:dyDescent="0.2">
      <c r="A2824" t="str">
        <f>"2820"</f>
        <v>2820</v>
      </c>
      <c r="B2824" t="str">
        <f t="shared" si="157"/>
        <v>1</v>
      </c>
      <c r="C2824" t="str">
        <f t="shared" si="156"/>
        <v>57</v>
      </c>
      <c r="D2824" t="str">
        <f>"47"</f>
        <v>47</v>
      </c>
      <c r="E2824" t="str">
        <f>"1-57-47"</f>
        <v>1-57-47</v>
      </c>
      <c r="F2824" t="s">
        <v>65</v>
      </c>
      <c r="G2824" t="s">
        <v>66</v>
      </c>
      <c r="H2824" t="s">
        <v>67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1</v>
      </c>
      <c r="AI2824">
        <v>1</v>
      </c>
      <c r="AJ2824">
        <v>1</v>
      </c>
      <c r="AK2824">
        <v>1</v>
      </c>
      <c r="AL2824">
        <v>1</v>
      </c>
      <c r="AM2824">
        <v>1</v>
      </c>
    </row>
    <row r="2825" spans="1:39" x14ac:dyDescent="0.2">
      <c r="A2825" t="str">
        <f>"2821"</f>
        <v>2821</v>
      </c>
      <c r="B2825" t="str">
        <f t="shared" si="157"/>
        <v>1</v>
      </c>
      <c r="C2825" t="str">
        <f t="shared" si="156"/>
        <v>57</v>
      </c>
      <c r="D2825" t="str">
        <f>"46"</f>
        <v>46</v>
      </c>
      <c r="E2825" t="str">
        <f>"1-57-46"</f>
        <v>1-57-46</v>
      </c>
      <c r="F2825" t="s">
        <v>65</v>
      </c>
      <c r="G2825" t="s">
        <v>66</v>
      </c>
      <c r="H2825" t="s">
        <v>67</v>
      </c>
      <c r="S2825">
        <v>0</v>
      </c>
      <c r="T2825">
        <v>1</v>
      </c>
      <c r="U2825">
        <v>0</v>
      </c>
      <c r="V2825">
        <v>0</v>
      </c>
      <c r="W2825">
        <v>1</v>
      </c>
      <c r="X2825">
        <v>0</v>
      </c>
      <c r="Y2825">
        <v>1</v>
      </c>
      <c r="Z2825">
        <v>0</v>
      </c>
      <c r="AA2825">
        <v>0</v>
      </c>
      <c r="AB2825">
        <v>1</v>
      </c>
      <c r="AC2825">
        <v>0</v>
      </c>
      <c r="AD2825">
        <v>1</v>
      </c>
      <c r="AE2825">
        <v>1</v>
      </c>
      <c r="AF2825">
        <v>1</v>
      </c>
      <c r="AG2825">
        <v>1</v>
      </c>
      <c r="AH2825">
        <v>1</v>
      </c>
      <c r="AI2825">
        <v>1</v>
      </c>
      <c r="AJ2825">
        <v>1</v>
      </c>
      <c r="AK2825">
        <v>1</v>
      </c>
      <c r="AL2825">
        <v>1</v>
      </c>
      <c r="AM2825">
        <v>1</v>
      </c>
    </row>
    <row r="2826" spans="1:39" x14ac:dyDescent="0.2">
      <c r="A2826" t="str">
        <f>"2822"</f>
        <v>2822</v>
      </c>
      <c r="B2826" t="str">
        <f t="shared" si="157"/>
        <v>1</v>
      </c>
      <c r="C2826" t="str">
        <f t="shared" si="156"/>
        <v>57</v>
      </c>
      <c r="D2826" t="str">
        <f>"33"</f>
        <v>33</v>
      </c>
      <c r="E2826" t="str">
        <f>"1-57-33"</f>
        <v>1-57-33</v>
      </c>
      <c r="F2826" t="s">
        <v>65</v>
      </c>
      <c r="G2826" t="s">
        <v>66</v>
      </c>
      <c r="H2826" t="s">
        <v>67</v>
      </c>
      <c r="S2826">
        <v>1</v>
      </c>
      <c r="T2826">
        <v>0</v>
      </c>
      <c r="U2826">
        <v>0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0</v>
      </c>
      <c r="AB2826">
        <v>0</v>
      </c>
      <c r="AC2826">
        <v>1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</row>
    <row r="2827" spans="1:39" x14ac:dyDescent="0.2">
      <c r="A2827" t="str">
        <f>"2823"</f>
        <v>2823</v>
      </c>
      <c r="B2827" t="str">
        <f t="shared" si="157"/>
        <v>1</v>
      </c>
      <c r="C2827" t="str">
        <f t="shared" si="156"/>
        <v>57</v>
      </c>
      <c r="D2827" t="str">
        <f>"19"</f>
        <v>19</v>
      </c>
      <c r="E2827" t="str">
        <f>"1-57-19"</f>
        <v>1-57-19</v>
      </c>
      <c r="F2827" t="s">
        <v>65</v>
      </c>
      <c r="G2827" t="s">
        <v>66</v>
      </c>
      <c r="H2827" t="s">
        <v>67</v>
      </c>
      <c r="S2827">
        <v>0</v>
      </c>
      <c r="T2827">
        <v>1</v>
      </c>
      <c r="U2827">
        <v>0</v>
      </c>
      <c r="V2827">
        <v>0</v>
      </c>
      <c r="W2827">
        <v>1</v>
      </c>
      <c r="X2827">
        <v>0</v>
      </c>
      <c r="Y2827">
        <v>0</v>
      </c>
      <c r="Z2827">
        <v>1</v>
      </c>
      <c r="AA2827">
        <v>0</v>
      </c>
      <c r="AB2827">
        <v>0</v>
      </c>
      <c r="AC2827">
        <v>1</v>
      </c>
      <c r="AD2827">
        <v>1</v>
      </c>
      <c r="AE2827">
        <v>1</v>
      </c>
      <c r="AF2827">
        <v>1</v>
      </c>
      <c r="AG2827">
        <v>1</v>
      </c>
      <c r="AH2827">
        <v>1</v>
      </c>
      <c r="AI2827">
        <v>1</v>
      </c>
      <c r="AJ2827">
        <v>1</v>
      </c>
      <c r="AK2827">
        <v>1</v>
      </c>
      <c r="AL2827">
        <v>1</v>
      </c>
      <c r="AM2827">
        <v>1</v>
      </c>
    </row>
    <row r="2828" spans="1:39" x14ac:dyDescent="0.2">
      <c r="A2828" t="str">
        <f>"2824"</f>
        <v>2824</v>
      </c>
      <c r="B2828" t="str">
        <f t="shared" si="157"/>
        <v>1</v>
      </c>
      <c r="C2828" t="str">
        <f t="shared" si="156"/>
        <v>57</v>
      </c>
      <c r="D2828" t="str">
        <f>"7"</f>
        <v>7</v>
      </c>
      <c r="E2828" t="str">
        <f>"1-57-7"</f>
        <v>1-57-7</v>
      </c>
      <c r="F2828" t="s">
        <v>65</v>
      </c>
      <c r="G2828" t="s">
        <v>66</v>
      </c>
      <c r="H2828" t="s">
        <v>67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1</v>
      </c>
      <c r="AH2828">
        <v>0</v>
      </c>
      <c r="AI2828">
        <v>0</v>
      </c>
      <c r="AJ2828">
        <v>0</v>
      </c>
      <c r="AK2828">
        <v>0</v>
      </c>
      <c r="AL2828">
        <v>1</v>
      </c>
      <c r="AM2828">
        <v>0</v>
      </c>
    </row>
    <row r="2829" spans="1:39" x14ac:dyDescent="0.2">
      <c r="A2829" t="str">
        <f>"2825"</f>
        <v>2825</v>
      </c>
      <c r="B2829" t="str">
        <f t="shared" si="157"/>
        <v>1</v>
      </c>
      <c r="C2829" t="str">
        <f t="shared" si="156"/>
        <v>57</v>
      </c>
      <c r="D2829" t="str">
        <f>"36"</f>
        <v>36</v>
      </c>
      <c r="E2829" t="str">
        <f>"1-57-36"</f>
        <v>1-57-36</v>
      </c>
      <c r="F2829" t="s">
        <v>65</v>
      </c>
      <c r="G2829" t="s">
        <v>66</v>
      </c>
      <c r="H2829" t="s">
        <v>67</v>
      </c>
      <c r="S2829">
        <v>1</v>
      </c>
      <c r="T2829">
        <v>0</v>
      </c>
      <c r="U2829">
        <v>0</v>
      </c>
      <c r="V2829">
        <v>0</v>
      </c>
      <c r="W2829">
        <v>1</v>
      </c>
      <c r="X2829">
        <v>0</v>
      </c>
      <c r="Y2829">
        <v>1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1</v>
      </c>
      <c r="AF2829">
        <v>1</v>
      </c>
      <c r="AG2829">
        <v>1</v>
      </c>
      <c r="AH2829">
        <v>1</v>
      </c>
      <c r="AI2829">
        <v>1</v>
      </c>
      <c r="AJ2829">
        <v>1</v>
      </c>
      <c r="AK2829">
        <v>1</v>
      </c>
      <c r="AL2829">
        <v>1</v>
      </c>
      <c r="AM2829">
        <v>1</v>
      </c>
    </row>
    <row r="2830" spans="1:39" x14ac:dyDescent="0.2">
      <c r="A2830" t="str">
        <f>"2826"</f>
        <v>2826</v>
      </c>
      <c r="B2830" t="str">
        <f t="shared" si="157"/>
        <v>1</v>
      </c>
      <c r="C2830" t="str">
        <f t="shared" si="156"/>
        <v>57</v>
      </c>
      <c r="D2830" t="str">
        <f>"20"</f>
        <v>20</v>
      </c>
      <c r="E2830" t="str">
        <f>"1-57-20"</f>
        <v>1-57-20</v>
      </c>
      <c r="F2830" t="s">
        <v>65</v>
      </c>
      <c r="G2830" t="s">
        <v>66</v>
      </c>
      <c r="H2830" t="s">
        <v>67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0</v>
      </c>
      <c r="AB2830">
        <v>1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</row>
    <row r="2831" spans="1:39" x14ac:dyDescent="0.2">
      <c r="A2831" t="str">
        <f>"2827"</f>
        <v>2827</v>
      </c>
      <c r="B2831" t="str">
        <f t="shared" si="157"/>
        <v>1</v>
      </c>
      <c r="C2831" t="str">
        <f t="shared" si="156"/>
        <v>57</v>
      </c>
      <c r="D2831" t="str">
        <f>"34"</f>
        <v>34</v>
      </c>
      <c r="E2831" t="str">
        <f>"1-57-34"</f>
        <v>1-57-34</v>
      </c>
      <c r="F2831" t="s">
        <v>65</v>
      </c>
      <c r="G2831" t="s">
        <v>66</v>
      </c>
      <c r="H2831" t="s">
        <v>67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0</v>
      </c>
      <c r="AB2831">
        <v>1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1</v>
      </c>
      <c r="AJ2831">
        <v>0</v>
      </c>
      <c r="AK2831">
        <v>0</v>
      </c>
      <c r="AL2831">
        <v>1</v>
      </c>
      <c r="AM2831">
        <v>0</v>
      </c>
    </row>
    <row r="2832" spans="1:39" x14ac:dyDescent="0.2">
      <c r="A2832" t="str">
        <f>"2828"</f>
        <v>2828</v>
      </c>
      <c r="B2832" t="str">
        <f t="shared" si="157"/>
        <v>1</v>
      </c>
      <c r="C2832" t="str">
        <f t="shared" si="156"/>
        <v>57</v>
      </c>
      <c r="D2832" t="str">
        <f>"21"</f>
        <v>21</v>
      </c>
      <c r="E2832" t="str">
        <f>"1-57-21"</f>
        <v>1-57-21</v>
      </c>
      <c r="F2832" t="s">
        <v>65</v>
      </c>
      <c r="G2832" t="s">
        <v>66</v>
      </c>
      <c r="H2832" t="s">
        <v>67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1</v>
      </c>
      <c r="AH2832">
        <v>1</v>
      </c>
      <c r="AI2832">
        <v>1</v>
      </c>
      <c r="AJ2832">
        <v>1</v>
      </c>
      <c r="AK2832">
        <v>1</v>
      </c>
      <c r="AL2832">
        <v>1</v>
      </c>
      <c r="AM2832">
        <v>1</v>
      </c>
    </row>
    <row r="2833" spans="1:39" x14ac:dyDescent="0.2">
      <c r="A2833" t="str">
        <f>"2829"</f>
        <v>2829</v>
      </c>
      <c r="B2833" t="str">
        <f t="shared" si="157"/>
        <v>1</v>
      </c>
      <c r="C2833" t="str">
        <f t="shared" si="156"/>
        <v>57</v>
      </c>
      <c r="D2833" t="str">
        <f>"11"</f>
        <v>11</v>
      </c>
      <c r="E2833" t="str">
        <f>"1-57-11"</f>
        <v>1-57-11</v>
      </c>
      <c r="F2833" t="s">
        <v>65</v>
      </c>
      <c r="G2833" t="s">
        <v>66</v>
      </c>
      <c r="H2833" t="s">
        <v>67</v>
      </c>
      <c r="S2833">
        <v>0</v>
      </c>
      <c r="T2833">
        <v>1</v>
      </c>
      <c r="U2833">
        <v>0</v>
      </c>
      <c r="V2833">
        <v>0</v>
      </c>
      <c r="W2833">
        <v>1</v>
      </c>
      <c r="X2833">
        <v>0</v>
      </c>
      <c r="Y2833">
        <v>1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1</v>
      </c>
      <c r="AF2833">
        <v>1</v>
      </c>
      <c r="AG2833">
        <v>1</v>
      </c>
      <c r="AH2833">
        <v>1</v>
      </c>
      <c r="AI2833">
        <v>1</v>
      </c>
      <c r="AJ2833">
        <v>1</v>
      </c>
      <c r="AK2833">
        <v>1</v>
      </c>
      <c r="AL2833">
        <v>1</v>
      </c>
      <c r="AM2833">
        <v>1</v>
      </c>
    </row>
    <row r="2834" spans="1:39" x14ac:dyDescent="0.2">
      <c r="A2834" t="str">
        <f>"2830"</f>
        <v>2830</v>
      </c>
      <c r="B2834" t="str">
        <f t="shared" si="157"/>
        <v>1</v>
      </c>
      <c r="C2834" t="str">
        <f t="shared" si="156"/>
        <v>57</v>
      </c>
      <c r="D2834" t="str">
        <f>"35"</f>
        <v>35</v>
      </c>
      <c r="E2834" t="str">
        <f>"1-57-35"</f>
        <v>1-57-35</v>
      </c>
      <c r="F2834" t="s">
        <v>65</v>
      </c>
      <c r="G2834" t="s">
        <v>66</v>
      </c>
      <c r="H2834" t="s">
        <v>67</v>
      </c>
      <c r="S2834">
        <v>0</v>
      </c>
      <c r="T2834">
        <v>1</v>
      </c>
      <c r="U2834">
        <v>0</v>
      </c>
      <c r="V2834">
        <v>0</v>
      </c>
      <c r="W2834">
        <v>1</v>
      </c>
      <c r="X2834">
        <v>0</v>
      </c>
      <c r="Y2834">
        <v>1</v>
      </c>
      <c r="Z2834">
        <v>0</v>
      </c>
      <c r="AA2834">
        <v>0</v>
      </c>
      <c r="AB2834">
        <v>1</v>
      </c>
      <c r="AC2834">
        <v>0</v>
      </c>
      <c r="AD2834">
        <v>1</v>
      </c>
      <c r="AE2834">
        <v>1</v>
      </c>
      <c r="AF2834">
        <v>1</v>
      </c>
      <c r="AG2834">
        <v>1</v>
      </c>
      <c r="AH2834">
        <v>1</v>
      </c>
      <c r="AI2834">
        <v>1</v>
      </c>
      <c r="AJ2834">
        <v>1</v>
      </c>
      <c r="AK2834">
        <v>1</v>
      </c>
      <c r="AL2834">
        <v>1</v>
      </c>
      <c r="AM2834">
        <v>1</v>
      </c>
    </row>
    <row r="2835" spans="1:39" x14ac:dyDescent="0.2">
      <c r="A2835" t="str">
        <f>"2831"</f>
        <v>2831</v>
      </c>
      <c r="B2835" t="str">
        <f t="shared" si="157"/>
        <v>1</v>
      </c>
      <c r="C2835" t="str">
        <f t="shared" si="156"/>
        <v>57</v>
      </c>
      <c r="D2835" t="str">
        <f>"22"</f>
        <v>22</v>
      </c>
      <c r="E2835" t="str">
        <f>"1-57-22"</f>
        <v>1-57-22</v>
      </c>
      <c r="F2835" t="s">
        <v>65</v>
      </c>
      <c r="G2835" t="s">
        <v>66</v>
      </c>
      <c r="H2835" t="s">
        <v>67</v>
      </c>
      <c r="S2835">
        <v>0</v>
      </c>
      <c r="T2835">
        <v>1</v>
      </c>
      <c r="U2835">
        <v>0</v>
      </c>
      <c r="V2835">
        <v>0</v>
      </c>
      <c r="W2835">
        <v>0</v>
      </c>
      <c r="X2835">
        <v>1</v>
      </c>
      <c r="Y2835">
        <v>1</v>
      </c>
      <c r="Z2835">
        <v>0</v>
      </c>
      <c r="AA2835">
        <v>0</v>
      </c>
      <c r="AB2835">
        <v>1</v>
      </c>
      <c r="AC2835">
        <v>0</v>
      </c>
      <c r="AD2835">
        <v>1</v>
      </c>
      <c r="AE2835">
        <v>1</v>
      </c>
      <c r="AF2835">
        <v>1</v>
      </c>
      <c r="AG2835">
        <v>1</v>
      </c>
      <c r="AH2835">
        <v>1</v>
      </c>
      <c r="AI2835">
        <v>1</v>
      </c>
      <c r="AJ2835">
        <v>1</v>
      </c>
      <c r="AK2835">
        <v>1</v>
      </c>
      <c r="AL2835">
        <v>1</v>
      </c>
      <c r="AM2835">
        <v>1</v>
      </c>
    </row>
    <row r="2836" spans="1:39" x14ac:dyDescent="0.2">
      <c r="A2836" t="str">
        <f>"2832"</f>
        <v>2832</v>
      </c>
      <c r="B2836" t="str">
        <f t="shared" si="157"/>
        <v>1</v>
      </c>
      <c r="C2836" t="str">
        <f t="shared" si="156"/>
        <v>57</v>
      </c>
      <c r="D2836" t="str">
        <f>"4"</f>
        <v>4</v>
      </c>
      <c r="E2836" t="str">
        <f>"1-57-4"</f>
        <v>1-57-4</v>
      </c>
      <c r="F2836" t="s">
        <v>65</v>
      </c>
      <c r="G2836" t="s">
        <v>66</v>
      </c>
      <c r="H2836" t="s">
        <v>67</v>
      </c>
      <c r="S2836">
        <v>0</v>
      </c>
      <c r="T2836">
        <v>1</v>
      </c>
      <c r="U2836">
        <v>0</v>
      </c>
      <c r="V2836">
        <v>0</v>
      </c>
      <c r="W2836">
        <v>1</v>
      </c>
      <c r="X2836">
        <v>0</v>
      </c>
      <c r="Y2836">
        <v>0</v>
      </c>
      <c r="Z2836">
        <v>1</v>
      </c>
      <c r="AA2836">
        <v>1</v>
      </c>
      <c r="AB2836">
        <v>0</v>
      </c>
      <c r="AC2836">
        <v>0</v>
      </c>
      <c r="AD2836">
        <v>1</v>
      </c>
      <c r="AE2836">
        <v>1</v>
      </c>
      <c r="AF2836">
        <v>1</v>
      </c>
      <c r="AG2836">
        <v>1</v>
      </c>
      <c r="AH2836">
        <v>1</v>
      </c>
      <c r="AI2836">
        <v>1</v>
      </c>
      <c r="AJ2836">
        <v>1</v>
      </c>
      <c r="AK2836">
        <v>1</v>
      </c>
      <c r="AL2836">
        <v>1</v>
      </c>
      <c r="AM2836">
        <v>1</v>
      </c>
    </row>
    <row r="2837" spans="1:39" x14ac:dyDescent="0.2">
      <c r="A2837" t="str">
        <f>"2833"</f>
        <v>2833</v>
      </c>
      <c r="B2837" t="str">
        <f t="shared" si="157"/>
        <v>1</v>
      </c>
      <c r="C2837" t="str">
        <f t="shared" ref="C2837:C2854" si="158">"57"</f>
        <v>57</v>
      </c>
      <c r="D2837" t="str">
        <f>"23"</f>
        <v>23</v>
      </c>
      <c r="E2837" t="str">
        <f>"1-57-23"</f>
        <v>1-57-23</v>
      </c>
      <c r="F2837" t="s">
        <v>65</v>
      </c>
      <c r="G2837" t="s">
        <v>66</v>
      </c>
      <c r="H2837" t="s">
        <v>67</v>
      </c>
      <c r="S2837">
        <v>0</v>
      </c>
      <c r="T2837">
        <v>1</v>
      </c>
      <c r="U2837">
        <v>0</v>
      </c>
      <c r="V2837">
        <v>0</v>
      </c>
      <c r="W2837">
        <v>1</v>
      </c>
      <c r="X2837">
        <v>0</v>
      </c>
      <c r="Y2837">
        <v>1</v>
      </c>
      <c r="Z2837">
        <v>0</v>
      </c>
      <c r="AA2837">
        <v>1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1</v>
      </c>
      <c r="AJ2837">
        <v>1</v>
      </c>
      <c r="AK2837">
        <v>1</v>
      </c>
      <c r="AL2837">
        <v>1</v>
      </c>
      <c r="AM2837">
        <v>1</v>
      </c>
    </row>
    <row r="2838" spans="1:39" x14ac:dyDescent="0.2">
      <c r="A2838" t="str">
        <f>"2834"</f>
        <v>2834</v>
      </c>
      <c r="B2838" t="str">
        <f t="shared" si="157"/>
        <v>1</v>
      </c>
      <c r="C2838" t="str">
        <f t="shared" si="158"/>
        <v>57</v>
      </c>
      <c r="D2838" t="str">
        <f>"1"</f>
        <v>1</v>
      </c>
      <c r="E2838" t="str">
        <f>"1-57-1"</f>
        <v>1-57-1</v>
      </c>
      <c r="F2838" t="s">
        <v>65</v>
      </c>
      <c r="G2838" t="s">
        <v>66</v>
      </c>
      <c r="H2838" t="s">
        <v>67</v>
      </c>
      <c r="S2838">
        <v>1</v>
      </c>
      <c r="T2838">
        <v>0</v>
      </c>
      <c r="U2838">
        <v>0</v>
      </c>
      <c r="V2838">
        <v>0</v>
      </c>
      <c r="W2838">
        <v>1</v>
      </c>
      <c r="X2838">
        <v>0</v>
      </c>
      <c r="Y2838">
        <v>1</v>
      </c>
      <c r="Z2838">
        <v>0</v>
      </c>
      <c r="AA2838">
        <v>0</v>
      </c>
      <c r="AB2838">
        <v>1</v>
      </c>
      <c r="AC2838">
        <v>0</v>
      </c>
      <c r="AD2838">
        <v>1</v>
      </c>
      <c r="AE2838">
        <v>1</v>
      </c>
      <c r="AF2838">
        <v>1</v>
      </c>
      <c r="AG2838">
        <v>1</v>
      </c>
      <c r="AH2838">
        <v>1</v>
      </c>
      <c r="AI2838">
        <v>1</v>
      </c>
      <c r="AJ2838">
        <v>1</v>
      </c>
      <c r="AK2838">
        <v>1</v>
      </c>
      <c r="AL2838">
        <v>1</v>
      </c>
      <c r="AM2838">
        <v>1</v>
      </c>
    </row>
    <row r="2839" spans="1:39" x14ac:dyDescent="0.2">
      <c r="A2839" t="str">
        <f>"2835"</f>
        <v>2835</v>
      </c>
      <c r="B2839" t="str">
        <f t="shared" si="157"/>
        <v>1</v>
      </c>
      <c r="C2839" t="str">
        <f t="shared" si="158"/>
        <v>57</v>
      </c>
      <c r="D2839" t="str">
        <f>"24"</f>
        <v>24</v>
      </c>
      <c r="E2839" t="str">
        <f>"1-57-24"</f>
        <v>1-57-24</v>
      </c>
      <c r="F2839" t="s">
        <v>65</v>
      </c>
      <c r="G2839" t="s">
        <v>66</v>
      </c>
      <c r="H2839" t="s">
        <v>67</v>
      </c>
      <c r="S2839">
        <v>1</v>
      </c>
      <c r="T2839">
        <v>0</v>
      </c>
      <c r="U2839">
        <v>0</v>
      </c>
      <c r="V2839">
        <v>0</v>
      </c>
      <c r="W2839">
        <v>0</v>
      </c>
      <c r="X2839">
        <v>1</v>
      </c>
      <c r="Y2839">
        <v>0</v>
      </c>
      <c r="Z2839">
        <v>1</v>
      </c>
      <c r="AA2839">
        <v>0</v>
      </c>
      <c r="AB2839">
        <v>0</v>
      </c>
      <c r="AC2839">
        <v>1</v>
      </c>
      <c r="AD2839">
        <v>1</v>
      </c>
      <c r="AE2839">
        <v>1</v>
      </c>
      <c r="AF2839">
        <v>1</v>
      </c>
      <c r="AG2839">
        <v>1</v>
      </c>
      <c r="AH2839">
        <v>1</v>
      </c>
      <c r="AI2839">
        <v>1</v>
      </c>
      <c r="AJ2839">
        <v>1</v>
      </c>
      <c r="AK2839">
        <v>1</v>
      </c>
      <c r="AL2839">
        <v>1</v>
      </c>
      <c r="AM2839">
        <v>1</v>
      </c>
    </row>
    <row r="2840" spans="1:39" x14ac:dyDescent="0.2">
      <c r="A2840" t="str">
        <f>"2836"</f>
        <v>2836</v>
      </c>
      <c r="B2840" t="str">
        <f t="shared" si="157"/>
        <v>1</v>
      </c>
      <c r="C2840" t="str">
        <f t="shared" si="158"/>
        <v>57</v>
      </c>
      <c r="D2840" t="str">
        <f>"3"</f>
        <v>3</v>
      </c>
      <c r="E2840" t="str">
        <f>"1-57-3"</f>
        <v>1-57-3</v>
      </c>
      <c r="F2840" t="s">
        <v>65</v>
      </c>
      <c r="G2840" t="s">
        <v>66</v>
      </c>
      <c r="H2840" t="s">
        <v>67</v>
      </c>
      <c r="S2840">
        <v>0</v>
      </c>
      <c r="T2840">
        <v>1</v>
      </c>
      <c r="U2840">
        <v>0</v>
      </c>
      <c r="V2840">
        <v>0</v>
      </c>
      <c r="W2840">
        <v>0</v>
      </c>
      <c r="X2840">
        <v>1</v>
      </c>
      <c r="Y2840">
        <v>0</v>
      </c>
      <c r="Z2840">
        <v>1</v>
      </c>
      <c r="AA2840">
        <v>0</v>
      </c>
      <c r="AB2840">
        <v>0</v>
      </c>
      <c r="AC2840">
        <v>1</v>
      </c>
      <c r="AD2840">
        <v>1</v>
      </c>
      <c r="AE2840">
        <v>1</v>
      </c>
      <c r="AF2840">
        <v>1</v>
      </c>
      <c r="AG2840">
        <v>1</v>
      </c>
      <c r="AH2840">
        <v>1</v>
      </c>
      <c r="AI2840">
        <v>1</v>
      </c>
      <c r="AJ2840">
        <v>1</v>
      </c>
      <c r="AK2840">
        <v>1</v>
      </c>
      <c r="AL2840">
        <v>1</v>
      </c>
      <c r="AM2840">
        <v>1</v>
      </c>
    </row>
    <row r="2841" spans="1:39" x14ac:dyDescent="0.2">
      <c r="A2841" t="str">
        <f>"2837"</f>
        <v>2837</v>
      </c>
      <c r="B2841" t="str">
        <f t="shared" si="157"/>
        <v>1</v>
      </c>
      <c r="C2841" t="str">
        <f t="shared" si="158"/>
        <v>57</v>
      </c>
      <c r="D2841" t="str">
        <f>"25"</f>
        <v>25</v>
      </c>
      <c r="E2841" t="str">
        <f>"1-57-25"</f>
        <v>1-57-25</v>
      </c>
      <c r="F2841" t="s">
        <v>65</v>
      </c>
      <c r="G2841" t="s">
        <v>66</v>
      </c>
      <c r="H2841" t="s">
        <v>67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0</v>
      </c>
      <c r="AB2841">
        <v>1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</row>
    <row r="2842" spans="1:39" x14ac:dyDescent="0.2">
      <c r="A2842" t="str">
        <f>"2838"</f>
        <v>2838</v>
      </c>
      <c r="B2842" t="str">
        <f t="shared" si="157"/>
        <v>1</v>
      </c>
      <c r="C2842" t="str">
        <f t="shared" si="158"/>
        <v>57</v>
      </c>
      <c r="D2842" t="str">
        <f>"10"</f>
        <v>10</v>
      </c>
      <c r="E2842" t="str">
        <f>"1-57-10"</f>
        <v>1-57-10</v>
      </c>
      <c r="F2842" t="s">
        <v>65</v>
      </c>
      <c r="G2842" t="s">
        <v>66</v>
      </c>
      <c r="H2842" t="s">
        <v>67</v>
      </c>
      <c r="S2842">
        <v>1</v>
      </c>
      <c r="T2842">
        <v>0</v>
      </c>
      <c r="U2842">
        <v>0</v>
      </c>
      <c r="V2842">
        <v>0</v>
      </c>
      <c r="W2842">
        <v>1</v>
      </c>
      <c r="X2842">
        <v>0</v>
      </c>
      <c r="Y2842">
        <v>1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1</v>
      </c>
      <c r="AF2842">
        <v>1</v>
      </c>
      <c r="AG2842">
        <v>1</v>
      </c>
      <c r="AH2842">
        <v>1</v>
      </c>
      <c r="AI2842">
        <v>1</v>
      </c>
      <c r="AJ2842">
        <v>1</v>
      </c>
      <c r="AK2842">
        <v>1</v>
      </c>
      <c r="AL2842">
        <v>1</v>
      </c>
      <c r="AM2842">
        <v>1</v>
      </c>
    </row>
    <row r="2843" spans="1:39" x14ac:dyDescent="0.2">
      <c r="A2843" t="str">
        <f>"2839"</f>
        <v>2839</v>
      </c>
      <c r="B2843" t="str">
        <f t="shared" si="157"/>
        <v>1</v>
      </c>
      <c r="C2843" t="str">
        <f t="shared" si="158"/>
        <v>57</v>
      </c>
      <c r="D2843" t="str">
        <f>"26"</f>
        <v>26</v>
      </c>
      <c r="E2843" t="str">
        <f>"1-57-26"</f>
        <v>1-57-26</v>
      </c>
      <c r="F2843" t="s">
        <v>65</v>
      </c>
      <c r="G2843" t="s">
        <v>66</v>
      </c>
      <c r="H2843" t="s">
        <v>67</v>
      </c>
      <c r="S2843">
        <v>0</v>
      </c>
      <c r="T2843">
        <v>1</v>
      </c>
      <c r="U2843">
        <v>0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0</v>
      </c>
      <c r="AB2843">
        <v>0</v>
      </c>
      <c r="AC2843">
        <v>1</v>
      </c>
      <c r="AD2843">
        <v>0</v>
      </c>
      <c r="AE2843">
        <v>0</v>
      </c>
      <c r="AF2843">
        <v>0</v>
      </c>
      <c r="AG2843">
        <v>0</v>
      </c>
      <c r="AH2843">
        <v>1</v>
      </c>
      <c r="AI2843">
        <v>0</v>
      </c>
      <c r="AJ2843">
        <v>0</v>
      </c>
      <c r="AK2843">
        <v>0</v>
      </c>
      <c r="AL2843">
        <v>0</v>
      </c>
      <c r="AM2843">
        <v>0</v>
      </c>
    </row>
    <row r="2844" spans="1:39" x14ac:dyDescent="0.2">
      <c r="A2844" t="str">
        <f>"2840"</f>
        <v>2840</v>
      </c>
      <c r="B2844" t="str">
        <f t="shared" si="157"/>
        <v>1</v>
      </c>
      <c r="C2844" t="str">
        <f t="shared" si="158"/>
        <v>57</v>
      </c>
      <c r="D2844" t="str">
        <f>"13"</f>
        <v>13</v>
      </c>
      <c r="E2844" t="str">
        <f>"1-57-13"</f>
        <v>1-57-13</v>
      </c>
      <c r="F2844" t="s">
        <v>65</v>
      </c>
      <c r="G2844" t="s">
        <v>66</v>
      </c>
      <c r="H2844" t="s">
        <v>67</v>
      </c>
      <c r="S2844">
        <v>0</v>
      </c>
      <c r="T2844">
        <v>1</v>
      </c>
      <c r="U2844">
        <v>0</v>
      </c>
      <c r="V2844">
        <v>0</v>
      </c>
      <c r="W2844">
        <v>0</v>
      </c>
      <c r="X2844">
        <v>1</v>
      </c>
      <c r="Y2844">
        <v>0</v>
      </c>
      <c r="Z2844">
        <v>1</v>
      </c>
      <c r="AA2844">
        <v>0</v>
      </c>
      <c r="AB2844">
        <v>0</v>
      </c>
      <c r="AC2844">
        <v>1</v>
      </c>
      <c r="AD2844">
        <v>0</v>
      </c>
      <c r="AE2844">
        <v>0</v>
      </c>
      <c r="AF2844">
        <v>0</v>
      </c>
      <c r="AG2844">
        <v>1</v>
      </c>
      <c r="AH2844">
        <v>1</v>
      </c>
      <c r="AI2844">
        <v>1</v>
      </c>
      <c r="AJ2844">
        <v>0</v>
      </c>
      <c r="AK2844">
        <v>1</v>
      </c>
      <c r="AL2844">
        <v>0</v>
      </c>
      <c r="AM2844">
        <v>0</v>
      </c>
    </row>
    <row r="2845" spans="1:39" x14ac:dyDescent="0.2">
      <c r="A2845" t="str">
        <f>"2841"</f>
        <v>2841</v>
      </c>
      <c r="B2845" t="str">
        <f t="shared" si="157"/>
        <v>1</v>
      </c>
      <c r="C2845" t="str">
        <f t="shared" si="158"/>
        <v>57</v>
      </c>
      <c r="D2845" t="str">
        <f>"43"</f>
        <v>43</v>
      </c>
      <c r="E2845" t="str">
        <f>"1-57-43"</f>
        <v>1-57-43</v>
      </c>
      <c r="F2845" t="s">
        <v>65</v>
      </c>
      <c r="G2845" t="s">
        <v>66</v>
      </c>
      <c r="H2845" t="s">
        <v>67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0</v>
      </c>
      <c r="AB2845">
        <v>0</v>
      </c>
      <c r="AC2845">
        <v>1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</row>
    <row r="2846" spans="1:39" x14ac:dyDescent="0.2">
      <c r="A2846" t="str">
        <f>"2842"</f>
        <v>2842</v>
      </c>
      <c r="B2846" t="str">
        <f t="shared" si="157"/>
        <v>1</v>
      </c>
      <c r="C2846" t="str">
        <f t="shared" si="158"/>
        <v>57</v>
      </c>
      <c r="D2846" t="str">
        <f>"29"</f>
        <v>29</v>
      </c>
      <c r="E2846" t="str">
        <f>"1-57-29"</f>
        <v>1-57-29</v>
      </c>
      <c r="F2846" t="s">
        <v>65</v>
      </c>
      <c r="G2846" t="s">
        <v>66</v>
      </c>
      <c r="H2846" t="s">
        <v>67</v>
      </c>
      <c r="S2846">
        <v>1</v>
      </c>
      <c r="T2846">
        <v>0</v>
      </c>
      <c r="U2846">
        <v>0</v>
      </c>
      <c r="V2846">
        <v>0</v>
      </c>
      <c r="W2846">
        <v>1</v>
      </c>
      <c r="X2846">
        <v>0</v>
      </c>
      <c r="Y2846">
        <v>1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1</v>
      </c>
      <c r="AF2846">
        <v>1</v>
      </c>
      <c r="AG2846">
        <v>1</v>
      </c>
      <c r="AH2846">
        <v>1</v>
      </c>
      <c r="AI2846">
        <v>1</v>
      </c>
      <c r="AJ2846">
        <v>1</v>
      </c>
      <c r="AK2846">
        <v>1</v>
      </c>
      <c r="AL2846">
        <v>1</v>
      </c>
      <c r="AM2846">
        <v>1</v>
      </c>
    </row>
    <row r="2847" spans="1:39" x14ac:dyDescent="0.2">
      <c r="A2847" t="str">
        <f>"2843"</f>
        <v>2843</v>
      </c>
      <c r="B2847" t="str">
        <f t="shared" si="157"/>
        <v>1</v>
      </c>
      <c r="C2847" t="str">
        <f t="shared" si="158"/>
        <v>57</v>
      </c>
      <c r="D2847" t="str">
        <f>"5"</f>
        <v>5</v>
      </c>
      <c r="E2847" t="str">
        <f>"1-57-5"</f>
        <v>1-57-5</v>
      </c>
      <c r="F2847" t="s">
        <v>65</v>
      </c>
      <c r="G2847" t="s">
        <v>66</v>
      </c>
      <c r="H2847" t="s">
        <v>67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1</v>
      </c>
      <c r="Y2847">
        <v>0</v>
      </c>
      <c r="Z2847">
        <v>1</v>
      </c>
      <c r="AA2847">
        <v>0</v>
      </c>
      <c r="AB2847">
        <v>1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</row>
    <row r="2848" spans="1:39" x14ac:dyDescent="0.2">
      <c r="A2848" t="str">
        <f>"2844"</f>
        <v>2844</v>
      </c>
      <c r="B2848" t="str">
        <f t="shared" si="157"/>
        <v>1</v>
      </c>
      <c r="C2848" t="str">
        <f t="shared" si="158"/>
        <v>57</v>
      </c>
      <c r="D2848" t="str">
        <f>"32"</f>
        <v>32</v>
      </c>
      <c r="E2848" t="str">
        <f>"1-57-32"</f>
        <v>1-57-32</v>
      </c>
      <c r="F2848" t="s">
        <v>65</v>
      </c>
      <c r="G2848" t="s">
        <v>66</v>
      </c>
      <c r="H2848" t="s">
        <v>67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1</v>
      </c>
      <c r="Y2848">
        <v>1</v>
      </c>
      <c r="Z2848">
        <v>0</v>
      </c>
      <c r="AA2848">
        <v>0</v>
      </c>
      <c r="AB2848">
        <v>0</v>
      </c>
      <c r="AC2848">
        <v>1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</row>
    <row r="2849" spans="1:39" x14ac:dyDescent="0.2">
      <c r="A2849" t="str">
        <f>"2845"</f>
        <v>2845</v>
      </c>
      <c r="B2849" t="str">
        <f t="shared" si="157"/>
        <v>1</v>
      </c>
      <c r="C2849" t="str">
        <f t="shared" si="158"/>
        <v>57</v>
      </c>
      <c r="D2849" t="str">
        <f>"12"</f>
        <v>12</v>
      </c>
      <c r="E2849" t="str">
        <f>"1-57-12"</f>
        <v>1-57-12</v>
      </c>
      <c r="F2849" t="s">
        <v>65</v>
      </c>
      <c r="G2849" t="s">
        <v>66</v>
      </c>
      <c r="H2849" t="s">
        <v>67</v>
      </c>
      <c r="S2849">
        <v>0</v>
      </c>
      <c r="T2849">
        <v>1</v>
      </c>
      <c r="U2849">
        <v>0</v>
      </c>
      <c r="V2849">
        <v>0</v>
      </c>
      <c r="W2849">
        <v>1</v>
      </c>
      <c r="X2849">
        <v>0</v>
      </c>
      <c r="Y2849">
        <v>1</v>
      </c>
      <c r="Z2849">
        <v>0</v>
      </c>
      <c r="AA2849">
        <v>0</v>
      </c>
      <c r="AB2849">
        <v>1</v>
      </c>
      <c r="AC2849">
        <v>0</v>
      </c>
      <c r="AD2849">
        <v>1</v>
      </c>
      <c r="AE2849">
        <v>1</v>
      </c>
      <c r="AF2849">
        <v>1</v>
      </c>
      <c r="AG2849">
        <v>1</v>
      </c>
      <c r="AH2849">
        <v>1</v>
      </c>
      <c r="AI2849">
        <v>1</v>
      </c>
      <c r="AJ2849">
        <v>1</v>
      </c>
      <c r="AK2849">
        <v>1</v>
      </c>
      <c r="AL2849">
        <v>1</v>
      </c>
      <c r="AM2849">
        <v>1</v>
      </c>
    </row>
    <row r="2850" spans="1:39" x14ac:dyDescent="0.2">
      <c r="A2850" t="str">
        <f>"2846"</f>
        <v>2846</v>
      </c>
      <c r="B2850" t="str">
        <f t="shared" si="157"/>
        <v>1</v>
      </c>
      <c r="C2850" t="str">
        <f t="shared" si="158"/>
        <v>57</v>
      </c>
      <c r="D2850" t="str">
        <f>"9"</f>
        <v>9</v>
      </c>
      <c r="E2850" t="str">
        <f>"1-57-9"</f>
        <v>1-57-9</v>
      </c>
      <c r="F2850" t="s">
        <v>65</v>
      </c>
      <c r="G2850" t="s">
        <v>66</v>
      </c>
      <c r="H2850" t="s">
        <v>67</v>
      </c>
      <c r="S2850">
        <v>0</v>
      </c>
      <c r="T2850">
        <v>0</v>
      </c>
      <c r="U2850">
        <v>0</v>
      </c>
      <c r="V2850">
        <v>0</v>
      </c>
      <c r="W2850">
        <v>1</v>
      </c>
      <c r="X2850">
        <v>0</v>
      </c>
      <c r="Y2850">
        <v>1</v>
      </c>
      <c r="Z2850">
        <v>0</v>
      </c>
      <c r="AA2850">
        <v>0</v>
      </c>
      <c r="AB2850">
        <v>0</v>
      </c>
      <c r="AC2850">
        <v>1</v>
      </c>
      <c r="AD2850">
        <v>1</v>
      </c>
      <c r="AE2850">
        <v>1</v>
      </c>
      <c r="AF2850">
        <v>1</v>
      </c>
      <c r="AG2850">
        <v>1</v>
      </c>
      <c r="AH2850">
        <v>1</v>
      </c>
      <c r="AI2850">
        <v>1</v>
      </c>
      <c r="AJ2850">
        <v>1</v>
      </c>
      <c r="AK2850">
        <v>1</v>
      </c>
      <c r="AL2850">
        <v>1</v>
      </c>
      <c r="AM2850">
        <v>0</v>
      </c>
    </row>
    <row r="2851" spans="1:39" x14ac:dyDescent="0.2">
      <c r="A2851" t="str">
        <f>"2847"</f>
        <v>2847</v>
      </c>
      <c r="B2851" t="str">
        <f t="shared" si="157"/>
        <v>1</v>
      </c>
      <c r="C2851" t="str">
        <f t="shared" si="158"/>
        <v>57</v>
      </c>
      <c r="D2851" t="str">
        <f>"48"</f>
        <v>48</v>
      </c>
      <c r="E2851" t="str">
        <f>"1-57-48"</f>
        <v>1-57-48</v>
      </c>
      <c r="F2851" t="s">
        <v>65</v>
      </c>
      <c r="G2851" t="s">
        <v>66</v>
      </c>
      <c r="H2851" t="s">
        <v>67</v>
      </c>
      <c r="S2851">
        <v>0</v>
      </c>
      <c r="T2851">
        <v>0</v>
      </c>
      <c r="U2851">
        <v>0</v>
      </c>
      <c r="V2851">
        <v>0</v>
      </c>
      <c r="W2851">
        <v>1</v>
      </c>
      <c r="X2851">
        <v>0</v>
      </c>
      <c r="Y2851">
        <v>0</v>
      </c>
      <c r="Z2851">
        <v>1</v>
      </c>
      <c r="AA2851">
        <v>0</v>
      </c>
      <c r="AB2851">
        <v>0</v>
      </c>
      <c r="AC2851">
        <v>1</v>
      </c>
      <c r="AD2851">
        <v>1</v>
      </c>
      <c r="AE2851">
        <v>1</v>
      </c>
      <c r="AF2851">
        <v>1</v>
      </c>
      <c r="AG2851">
        <v>1</v>
      </c>
      <c r="AH2851">
        <v>1</v>
      </c>
      <c r="AI2851">
        <v>1</v>
      </c>
      <c r="AJ2851">
        <v>1</v>
      </c>
      <c r="AK2851">
        <v>0</v>
      </c>
      <c r="AL2851">
        <v>1</v>
      </c>
      <c r="AM2851">
        <v>1</v>
      </c>
    </row>
    <row r="2852" spans="1:39" x14ac:dyDescent="0.2">
      <c r="A2852" t="str">
        <f>"2848"</f>
        <v>2848</v>
      </c>
      <c r="B2852" t="str">
        <f t="shared" si="157"/>
        <v>1</v>
      </c>
      <c r="C2852" t="str">
        <f t="shared" si="158"/>
        <v>57</v>
      </c>
      <c r="D2852" t="str">
        <f>"50"</f>
        <v>50</v>
      </c>
      <c r="E2852" t="str">
        <f>"1-57-50"</f>
        <v>1-57-50</v>
      </c>
      <c r="F2852" t="s">
        <v>65</v>
      </c>
      <c r="G2852" t="s">
        <v>66</v>
      </c>
      <c r="H2852" t="s">
        <v>67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1</v>
      </c>
      <c r="Y2852">
        <v>0</v>
      </c>
      <c r="Z2852">
        <v>1</v>
      </c>
      <c r="AA2852">
        <v>0</v>
      </c>
      <c r="AB2852">
        <v>1</v>
      </c>
      <c r="AC2852">
        <v>0</v>
      </c>
      <c r="AD2852">
        <v>1</v>
      </c>
      <c r="AE2852">
        <v>1</v>
      </c>
      <c r="AF2852">
        <v>1</v>
      </c>
      <c r="AG2852">
        <v>1</v>
      </c>
      <c r="AH2852">
        <v>1</v>
      </c>
      <c r="AI2852">
        <v>1</v>
      </c>
      <c r="AJ2852">
        <v>1</v>
      </c>
      <c r="AK2852">
        <v>1</v>
      </c>
      <c r="AL2852">
        <v>1</v>
      </c>
      <c r="AM2852">
        <v>1</v>
      </c>
    </row>
    <row r="2853" spans="1:39" x14ac:dyDescent="0.2">
      <c r="A2853" t="str">
        <f>"2849"</f>
        <v>2849</v>
      </c>
      <c r="B2853" t="str">
        <f t="shared" si="157"/>
        <v>1</v>
      </c>
      <c r="C2853" t="str">
        <f t="shared" si="158"/>
        <v>57</v>
      </c>
      <c r="D2853" t="str">
        <f>"2"</f>
        <v>2</v>
      </c>
      <c r="E2853" t="str">
        <f>"1-57-2"</f>
        <v>1-57-2</v>
      </c>
      <c r="F2853" t="s">
        <v>65</v>
      </c>
      <c r="G2853" t="s">
        <v>66</v>
      </c>
      <c r="H2853" t="s">
        <v>67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1</v>
      </c>
      <c r="Y2853">
        <v>0</v>
      </c>
      <c r="Z2853">
        <v>1</v>
      </c>
      <c r="AA2853">
        <v>0</v>
      </c>
      <c r="AB2853">
        <v>0</v>
      </c>
      <c r="AC2853">
        <v>1</v>
      </c>
      <c r="AD2853">
        <v>1</v>
      </c>
      <c r="AE2853">
        <v>1</v>
      </c>
      <c r="AF2853">
        <v>1</v>
      </c>
      <c r="AG2853">
        <v>1</v>
      </c>
      <c r="AH2853">
        <v>1</v>
      </c>
      <c r="AI2853">
        <v>1</v>
      </c>
      <c r="AJ2853">
        <v>1</v>
      </c>
      <c r="AK2853">
        <v>1</v>
      </c>
      <c r="AL2853">
        <v>1</v>
      </c>
      <c r="AM2853">
        <v>1</v>
      </c>
    </row>
    <row r="2854" spans="1:39" x14ac:dyDescent="0.2">
      <c r="A2854" t="str">
        <f>"2850"</f>
        <v>2850</v>
      </c>
      <c r="B2854" t="str">
        <f t="shared" si="157"/>
        <v>1</v>
      </c>
      <c r="C2854" t="str">
        <f t="shared" si="158"/>
        <v>57</v>
      </c>
      <c r="D2854" t="str">
        <f>"49"</f>
        <v>49</v>
      </c>
      <c r="E2854" t="str">
        <f>"1-57-49"</f>
        <v>1-57-49</v>
      </c>
      <c r="F2854" t="s">
        <v>65</v>
      </c>
      <c r="G2854" t="s">
        <v>66</v>
      </c>
      <c r="H2854" t="s">
        <v>67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1</v>
      </c>
      <c r="Y2854">
        <v>0</v>
      </c>
      <c r="Z2854">
        <v>1</v>
      </c>
      <c r="AA2854">
        <v>0</v>
      </c>
      <c r="AB2854">
        <v>1</v>
      </c>
      <c r="AC2854">
        <v>0</v>
      </c>
      <c r="AD2854">
        <v>1</v>
      </c>
      <c r="AE2854">
        <v>1</v>
      </c>
      <c r="AF2854">
        <v>1</v>
      </c>
      <c r="AG2854">
        <v>1</v>
      </c>
      <c r="AH2854">
        <v>1</v>
      </c>
      <c r="AI2854">
        <v>1</v>
      </c>
      <c r="AJ2854">
        <v>1</v>
      </c>
      <c r="AK2854">
        <v>1</v>
      </c>
      <c r="AL2854">
        <v>1</v>
      </c>
      <c r="AM2854">
        <v>1</v>
      </c>
    </row>
    <row r="2855" spans="1:39" x14ac:dyDescent="0.2">
      <c r="A2855" t="str">
        <f>"2851"</f>
        <v>2851</v>
      </c>
      <c r="B2855" t="str">
        <f t="shared" si="157"/>
        <v>1</v>
      </c>
      <c r="C2855" t="str">
        <f t="shared" ref="C2855:C2886" si="159">"58"</f>
        <v>58</v>
      </c>
      <c r="D2855" t="str">
        <f>"40"</f>
        <v>40</v>
      </c>
      <c r="E2855" t="str">
        <f>"1-58-40"</f>
        <v>1-58-40</v>
      </c>
      <c r="F2855" t="s">
        <v>65</v>
      </c>
      <c r="G2855" t="s">
        <v>66</v>
      </c>
      <c r="H2855" t="s">
        <v>67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</row>
    <row r="2856" spans="1:39" x14ac:dyDescent="0.2">
      <c r="A2856" t="str">
        <f>"2852"</f>
        <v>2852</v>
      </c>
      <c r="B2856" t="str">
        <f t="shared" si="157"/>
        <v>1</v>
      </c>
      <c r="C2856" t="str">
        <f t="shared" si="159"/>
        <v>58</v>
      </c>
      <c r="D2856" t="str">
        <f>"39"</f>
        <v>39</v>
      </c>
      <c r="E2856" t="str">
        <f>"1-58-39"</f>
        <v>1-58-39</v>
      </c>
      <c r="F2856" t="s">
        <v>65</v>
      </c>
      <c r="G2856" t="s">
        <v>66</v>
      </c>
      <c r="H2856" t="s">
        <v>67</v>
      </c>
      <c r="S2856">
        <v>0</v>
      </c>
      <c r="T2856">
        <v>1</v>
      </c>
      <c r="U2856">
        <v>0</v>
      </c>
      <c r="V2856">
        <v>0</v>
      </c>
      <c r="W2856">
        <v>1</v>
      </c>
      <c r="X2856">
        <v>0</v>
      </c>
      <c r="Y2856">
        <v>1</v>
      </c>
      <c r="Z2856">
        <v>0</v>
      </c>
      <c r="AA2856">
        <v>0</v>
      </c>
      <c r="AB2856">
        <v>0</v>
      </c>
      <c r="AC2856">
        <v>0</v>
      </c>
      <c r="AD2856">
        <v>1</v>
      </c>
      <c r="AE2856">
        <v>1</v>
      </c>
      <c r="AF2856">
        <v>0</v>
      </c>
      <c r="AG2856">
        <v>1</v>
      </c>
      <c r="AH2856">
        <v>1</v>
      </c>
      <c r="AI2856">
        <v>1</v>
      </c>
      <c r="AJ2856">
        <v>1</v>
      </c>
      <c r="AK2856">
        <v>1</v>
      </c>
      <c r="AL2856">
        <v>1</v>
      </c>
      <c r="AM2856">
        <v>1</v>
      </c>
    </row>
    <row r="2857" spans="1:39" x14ac:dyDescent="0.2">
      <c r="A2857" t="str">
        <f>"2853"</f>
        <v>2853</v>
      </c>
      <c r="B2857" t="str">
        <f t="shared" si="157"/>
        <v>1</v>
      </c>
      <c r="C2857" t="str">
        <f t="shared" si="159"/>
        <v>58</v>
      </c>
      <c r="D2857" t="str">
        <f>"27"</f>
        <v>27</v>
      </c>
      <c r="E2857" t="str">
        <f>"1-58-27"</f>
        <v>1-58-27</v>
      </c>
      <c r="F2857" t="s">
        <v>65</v>
      </c>
      <c r="G2857" t="s">
        <v>66</v>
      </c>
      <c r="H2857" t="s">
        <v>67</v>
      </c>
      <c r="S2857">
        <v>0</v>
      </c>
      <c r="T2857">
        <v>1</v>
      </c>
      <c r="U2857">
        <v>0</v>
      </c>
      <c r="V2857">
        <v>0</v>
      </c>
      <c r="W2857">
        <v>0</v>
      </c>
      <c r="X2857">
        <v>1</v>
      </c>
      <c r="Y2857">
        <v>0</v>
      </c>
      <c r="Z2857">
        <v>1</v>
      </c>
      <c r="AA2857">
        <v>0</v>
      </c>
      <c r="AB2857">
        <v>0</v>
      </c>
      <c r="AC2857">
        <v>1</v>
      </c>
      <c r="AD2857">
        <v>1</v>
      </c>
      <c r="AE2857">
        <v>1</v>
      </c>
      <c r="AF2857">
        <v>1</v>
      </c>
      <c r="AG2857">
        <v>1</v>
      </c>
      <c r="AH2857">
        <v>1</v>
      </c>
      <c r="AI2857">
        <v>1</v>
      </c>
      <c r="AJ2857">
        <v>1</v>
      </c>
      <c r="AK2857">
        <v>1</v>
      </c>
      <c r="AL2857">
        <v>1</v>
      </c>
      <c r="AM2857">
        <v>1</v>
      </c>
    </row>
    <row r="2858" spans="1:39" x14ac:dyDescent="0.2">
      <c r="A2858" t="str">
        <f>"2854"</f>
        <v>2854</v>
      </c>
      <c r="B2858" t="str">
        <f t="shared" si="157"/>
        <v>1</v>
      </c>
      <c r="C2858" t="str">
        <f t="shared" si="159"/>
        <v>58</v>
      </c>
      <c r="D2858" t="str">
        <f>"15"</f>
        <v>15</v>
      </c>
      <c r="E2858" t="str">
        <f>"1-58-15"</f>
        <v>1-58-15</v>
      </c>
      <c r="F2858" t="s">
        <v>65</v>
      </c>
      <c r="G2858" t="s">
        <v>66</v>
      </c>
      <c r="H2858" t="s">
        <v>67</v>
      </c>
      <c r="S2858">
        <v>0</v>
      </c>
      <c r="T2858">
        <v>1</v>
      </c>
      <c r="U2858">
        <v>0</v>
      </c>
      <c r="V2858">
        <v>0</v>
      </c>
      <c r="W2858">
        <v>1</v>
      </c>
      <c r="X2858">
        <v>0</v>
      </c>
      <c r="Y2858">
        <v>1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1</v>
      </c>
      <c r="AF2858">
        <v>1</v>
      </c>
      <c r="AG2858">
        <v>1</v>
      </c>
      <c r="AH2858">
        <v>1</v>
      </c>
      <c r="AI2858">
        <v>1</v>
      </c>
      <c r="AJ2858">
        <v>1</v>
      </c>
      <c r="AK2858">
        <v>1</v>
      </c>
      <c r="AL2858">
        <v>1</v>
      </c>
      <c r="AM2858">
        <v>1</v>
      </c>
    </row>
    <row r="2859" spans="1:39" x14ac:dyDescent="0.2">
      <c r="A2859" t="str">
        <f>"2855"</f>
        <v>2855</v>
      </c>
      <c r="B2859" t="str">
        <f t="shared" si="157"/>
        <v>1</v>
      </c>
      <c r="C2859" t="str">
        <f t="shared" si="159"/>
        <v>58</v>
      </c>
      <c r="D2859" t="str">
        <f>"6"</f>
        <v>6</v>
      </c>
      <c r="E2859" t="str">
        <f>"1-58-6"</f>
        <v>1-58-6</v>
      </c>
      <c r="F2859" t="s">
        <v>65</v>
      </c>
      <c r="G2859" t="s">
        <v>66</v>
      </c>
      <c r="H2859" t="s">
        <v>67</v>
      </c>
      <c r="S2859">
        <v>0</v>
      </c>
      <c r="T2859">
        <v>1</v>
      </c>
      <c r="U2859">
        <v>0</v>
      </c>
      <c r="V2859">
        <v>0</v>
      </c>
      <c r="W2859">
        <v>1</v>
      </c>
      <c r="X2859">
        <v>0</v>
      </c>
      <c r="Y2859">
        <v>0</v>
      </c>
      <c r="Z2859">
        <v>1</v>
      </c>
      <c r="AA2859">
        <v>0</v>
      </c>
      <c r="AB2859">
        <v>0</v>
      </c>
      <c r="AC2859">
        <v>1</v>
      </c>
      <c r="AD2859">
        <v>1</v>
      </c>
      <c r="AE2859">
        <v>1</v>
      </c>
      <c r="AF2859">
        <v>1</v>
      </c>
      <c r="AG2859">
        <v>1</v>
      </c>
      <c r="AH2859">
        <v>1</v>
      </c>
      <c r="AI2859">
        <v>1</v>
      </c>
      <c r="AJ2859">
        <v>1</v>
      </c>
      <c r="AK2859">
        <v>1</v>
      </c>
      <c r="AL2859">
        <v>1</v>
      </c>
      <c r="AM2859">
        <v>1</v>
      </c>
    </row>
    <row r="2860" spans="1:39" x14ac:dyDescent="0.2">
      <c r="A2860" t="str">
        <f>"2856"</f>
        <v>2856</v>
      </c>
      <c r="B2860" t="str">
        <f t="shared" si="157"/>
        <v>1</v>
      </c>
      <c r="C2860" t="str">
        <f t="shared" si="159"/>
        <v>58</v>
      </c>
      <c r="D2860" t="str">
        <f>"38"</f>
        <v>38</v>
      </c>
      <c r="E2860" t="str">
        <f>"1-58-38"</f>
        <v>1-58-38</v>
      </c>
      <c r="F2860" t="s">
        <v>65</v>
      </c>
      <c r="G2860" t="s">
        <v>66</v>
      </c>
      <c r="H2860" t="s">
        <v>67</v>
      </c>
      <c r="S2860">
        <v>0</v>
      </c>
      <c r="T2860">
        <v>1</v>
      </c>
      <c r="U2860">
        <v>0</v>
      </c>
      <c r="V2860">
        <v>0</v>
      </c>
      <c r="W2860">
        <v>0</v>
      </c>
      <c r="X2860">
        <v>1</v>
      </c>
      <c r="Y2860">
        <v>0</v>
      </c>
      <c r="Z2860">
        <v>1</v>
      </c>
      <c r="AA2860">
        <v>0</v>
      </c>
      <c r="AB2860">
        <v>0</v>
      </c>
      <c r="AC2860">
        <v>1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</row>
    <row r="2861" spans="1:39" x14ac:dyDescent="0.2">
      <c r="A2861" t="str">
        <f>"2857"</f>
        <v>2857</v>
      </c>
      <c r="B2861" t="str">
        <f t="shared" si="157"/>
        <v>1</v>
      </c>
      <c r="C2861" t="str">
        <f t="shared" si="159"/>
        <v>58</v>
      </c>
      <c r="D2861" t="str">
        <f>"37"</f>
        <v>37</v>
      </c>
      <c r="E2861" t="str">
        <f>"1-58-37"</f>
        <v>1-58-37</v>
      </c>
      <c r="F2861" t="s">
        <v>65</v>
      </c>
      <c r="G2861" t="s">
        <v>66</v>
      </c>
      <c r="H2861" t="s">
        <v>67</v>
      </c>
      <c r="S2861">
        <v>1</v>
      </c>
      <c r="T2861">
        <v>0</v>
      </c>
      <c r="U2861">
        <v>0</v>
      </c>
      <c r="V2861">
        <v>0</v>
      </c>
      <c r="W2861">
        <v>1</v>
      </c>
      <c r="X2861">
        <v>0</v>
      </c>
      <c r="Y2861">
        <v>0</v>
      </c>
      <c r="Z2861">
        <v>1</v>
      </c>
      <c r="AA2861">
        <v>1</v>
      </c>
      <c r="AB2861">
        <v>0</v>
      </c>
      <c r="AC2861">
        <v>0</v>
      </c>
      <c r="AD2861">
        <v>1</v>
      </c>
      <c r="AE2861">
        <v>1</v>
      </c>
      <c r="AF2861">
        <v>1</v>
      </c>
      <c r="AG2861">
        <v>1</v>
      </c>
      <c r="AH2861">
        <v>1</v>
      </c>
      <c r="AI2861">
        <v>1</v>
      </c>
      <c r="AJ2861">
        <v>1</v>
      </c>
      <c r="AK2861">
        <v>1</v>
      </c>
      <c r="AL2861">
        <v>1</v>
      </c>
      <c r="AM2861">
        <v>1</v>
      </c>
    </row>
    <row r="2862" spans="1:39" x14ac:dyDescent="0.2">
      <c r="A2862" t="str">
        <f>"2858"</f>
        <v>2858</v>
      </c>
      <c r="B2862" t="str">
        <f t="shared" si="157"/>
        <v>1</v>
      </c>
      <c r="C2862" t="str">
        <f t="shared" si="159"/>
        <v>58</v>
      </c>
      <c r="D2862" t="str">
        <f>"26"</f>
        <v>26</v>
      </c>
      <c r="E2862" t="str">
        <f>"1-58-26"</f>
        <v>1-58-26</v>
      </c>
      <c r="F2862" t="s">
        <v>65</v>
      </c>
      <c r="G2862" t="s">
        <v>66</v>
      </c>
      <c r="H2862" t="s">
        <v>67</v>
      </c>
      <c r="S2862">
        <v>0</v>
      </c>
      <c r="T2862">
        <v>1</v>
      </c>
      <c r="U2862">
        <v>0</v>
      </c>
      <c r="V2862">
        <v>0</v>
      </c>
      <c r="W2862">
        <v>1</v>
      </c>
      <c r="X2862">
        <v>0</v>
      </c>
      <c r="Y2862">
        <v>1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1</v>
      </c>
      <c r="AF2862">
        <v>1</v>
      </c>
      <c r="AG2862">
        <v>1</v>
      </c>
      <c r="AH2862">
        <v>1</v>
      </c>
      <c r="AI2862">
        <v>1</v>
      </c>
      <c r="AJ2862">
        <v>1</v>
      </c>
      <c r="AK2862">
        <v>1</v>
      </c>
      <c r="AL2862">
        <v>1</v>
      </c>
      <c r="AM2862">
        <v>1</v>
      </c>
    </row>
    <row r="2863" spans="1:39" x14ac:dyDescent="0.2">
      <c r="A2863" t="str">
        <f>"2859"</f>
        <v>2859</v>
      </c>
      <c r="B2863" t="str">
        <f t="shared" si="157"/>
        <v>1</v>
      </c>
      <c r="C2863" t="str">
        <f t="shared" si="159"/>
        <v>58</v>
      </c>
      <c r="D2863" t="str">
        <f>"16"</f>
        <v>16</v>
      </c>
      <c r="E2863" t="str">
        <f>"1-58-16"</f>
        <v>1-58-16</v>
      </c>
      <c r="F2863" t="s">
        <v>65</v>
      </c>
      <c r="G2863" t="s">
        <v>66</v>
      </c>
      <c r="H2863" t="s">
        <v>67</v>
      </c>
      <c r="S2863">
        <v>0</v>
      </c>
      <c r="T2863">
        <v>1</v>
      </c>
      <c r="U2863">
        <v>0</v>
      </c>
      <c r="V2863">
        <v>0</v>
      </c>
      <c r="W2863">
        <v>1</v>
      </c>
      <c r="X2863">
        <v>0</v>
      </c>
      <c r="Y2863">
        <v>1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1</v>
      </c>
      <c r="AF2863">
        <v>1</v>
      </c>
      <c r="AG2863">
        <v>1</v>
      </c>
      <c r="AH2863">
        <v>1</v>
      </c>
      <c r="AI2863">
        <v>1</v>
      </c>
      <c r="AJ2863">
        <v>1</v>
      </c>
      <c r="AK2863">
        <v>1</v>
      </c>
      <c r="AL2863">
        <v>1</v>
      </c>
      <c r="AM2863">
        <v>1</v>
      </c>
    </row>
    <row r="2864" spans="1:39" x14ac:dyDescent="0.2">
      <c r="A2864" t="str">
        <f>"2860"</f>
        <v>2860</v>
      </c>
      <c r="B2864" t="str">
        <f t="shared" si="157"/>
        <v>1</v>
      </c>
      <c r="C2864" t="str">
        <f t="shared" si="159"/>
        <v>58</v>
      </c>
      <c r="D2864" t="str">
        <f>"2"</f>
        <v>2</v>
      </c>
      <c r="E2864" t="str">
        <f>"1-58-2"</f>
        <v>1-58-2</v>
      </c>
      <c r="F2864" t="s">
        <v>65</v>
      </c>
      <c r="G2864" t="s">
        <v>66</v>
      </c>
      <c r="H2864" t="s">
        <v>67</v>
      </c>
      <c r="S2864">
        <v>1</v>
      </c>
      <c r="T2864">
        <v>0</v>
      </c>
      <c r="U2864">
        <v>0</v>
      </c>
      <c r="V2864">
        <v>0</v>
      </c>
      <c r="W2864">
        <v>1</v>
      </c>
      <c r="X2864">
        <v>0</v>
      </c>
      <c r="Y2864">
        <v>0</v>
      </c>
      <c r="Z2864">
        <v>1</v>
      </c>
      <c r="AA2864">
        <v>1</v>
      </c>
      <c r="AB2864">
        <v>0</v>
      </c>
      <c r="AC2864">
        <v>0</v>
      </c>
      <c r="AD2864">
        <v>1</v>
      </c>
      <c r="AE2864">
        <v>1</v>
      </c>
      <c r="AF2864">
        <v>1</v>
      </c>
      <c r="AG2864">
        <v>1</v>
      </c>
      <c r="AH2864">
        <v>1</v>
      </c>
      <c r="AI2864">
        <v>1</v>
      </c>
      <c r="AJ2864">
        <v>1</v>
      </c>
      <c r="AK2864">
        <v>1</v>
      </c>
      <c r="AL2864">
        <v>1</v>
      </c>
      <c r="AM2864">
        <v>1</v>
      </c>
    </row>
    <row r="2865" spans="1:39" x14ac:dyDescent="0.2">
      <c r="A2865" t="str">
        <f>"2861"</f>
        <v>2861</v>
      </c>
      <c r="B2865" t="str">
        <f t="shared" si="157"/>
        <v>1</v>
      </c>
      <c r="C2865" t="str">
        <f t="shared" si="159"/>
        <v>58</v>
      </c>
      <c r="D2865" t="str">
        <f>"44"</f>
        <v>44</v>
      </c>
      <c r="E2865" t="str">
        <f>"1-58-44"</f>
        <v>1-58-44</v>
      </c>
      <c r="F2865" t="s">
        <v>65</v>
      </c>
      <c r="G2865" t="s">
        <v>66</v>
      </c>
      <c r="H2865" t="s">
        <v>67</v>
      </c>
      <c r="S2865">
        <v>0</v>
      </c>
      <c r="T2865">
        <v>1</v>
      </c>
      <c r="U2865">
        <v>0</v>
      </c>
      <c r="V2865">
        <v>0</v>
      </c>
      <c r="W2865">
        <v>1</v>
      </c>
      <c r="X2865">
        <v>0</v>
      </c>
      <c r="Y2865">
        <v>1</v>
      </c>
      <c r="Z2865">
        <v>0</v>
      </c>
      <c r="AA2865">
        <v>0</v>
      </c>
      <c r="AB2865">
        <v>0</v>
      </c>
      <c r="AC2865">
        <v>1</v>
      </c>
      <c r="AD2865">
        <v>1</v>
      </c>
      <c r="AE2865">
        <v>1</v>
      </c>
      <c r="AF2865">
        <v>1</v>
      </c>
      <c r="AG2865">
        <v>1</v>
      </c>
      <c r="AH2865">
        <v>1</v>
      </c>
      <c r="AI2865">
        <v>1</v>
      </c>
      <c r="AJ2865">
        <v>1</v>
      </c>
      <c r="AK2865">
        <v>1</v>
      </c>
      <c r="AL2865">
        <v>1</v>
      </c>
      <c r="AM2865">
        <v>1</v>
      </c>
    </row>
    <row r="2866" spans="1:39" x14ac:dyDescent="0.2">
      <c r="A2866" t="str">
        <f>"2862"</f>
        <v>2862</v>
      </c>
      <c r="B2866" t="str">
        <f t="shared" si="157"/>
        <v>1</v>
      </c>
      <c r="C2866" t="str">
        <f t="shared" si="159"/>
        <v>58</v>
      </c>
      <c r="D2866" t="str">
        <f>"43"</f>
        <v>43</v>
      </c>
      <c r="E2866" t="str">
        <f>"1-58-43"</f>
        <v>1-58-43</v>
      </c>
      <c r="F2866" t="s">
        <v>65</v>
      </c>
      <c r="G2866" t="s">
        <v>66</v>
      </c>
      <c r="H2866" t="s">
        <v>67</v>
      </c>
      <c r="S2866">
        <v>1</v>
      </c>
      <c r="T2866">
        <v>0</v>
      </c>
      <c r="U2866">
        <v>0</v>
      </c>
      <c r="V2866">
        <v>0</v>
      </c>
      <c r="W2866">
        <v>0</v>
      </c>
      <c r="X2866">
        <v>1</v>
      </c>
      <c r="Y2866">
        <v>0</v>
      </c>
      <c r="Z2866">
        <v>1</v>
      </c>
      <c r="AA2866">
        <v>0</v>
      </c>
      <c r="AB2866">
        <v>0</v>
      </c>
      <c r="AC2866">
        <v>1</v>
      </c>
      <c r="AD2866">
        <v>1</v>
      </c>
      <c r="AE2866">
        <v>1</v>
      </c>
      <c r="AF2866">
        <v>1</v>
      </c>
      <c r="AG2866">
        <v>1</v>
      </c>
      <c r="AH2866">
        <v>1</v>
      </c>
      <c r="AI2866">
        <v>1</v>
      </c>
      <c r="AJ2866">
        <v>1</v>
      </c>
      <c r="AK2866">
        <v>1</v>
      </c>
      <c r="AL2866">
        <v>1</v>
      </c>
      <c r="AM2866">
        <v>1</v>
      </c>
    </row>
    <row r="2867" spans="1:39" x14ac:dyDescent="0.2">
      <c r="A2867" t="str">
        <f>"2863"</f>
        <v>2863</v>
      </c>
      <c r="B2867" t="str">
        <f t="shared" si="157"/>
        <v>1</v>
      </c>
      <c r="C2867" t="str">
        <f t="shared" si="159"/>
        <v>58</v>
      </c>
      <c r="D2867" t="str">
        <f>"30"</f>
        <v>30</v>
      </c>
      <c r="E2867" t="str">
        <f>"1-58-30"</f>
        <v>1-58-30</v>
      </c>
      <c r="F2867" t="s">
        <v>65</v>
      </c>
      <c r="G2867" t="s">
        <v>66</v>
      </c>
      <c r="H2867" t="s">
        <v>67</v>
      </c>
      <c r="S2867">
        <v>1</v>
      </c>
      <c r="T2867">
        <v>0</v>
      </c>
      <c r="U2867">
        <v>0</v>
      </c>
      <c r="V2867">
        <v>0</v>
      </c>
      <c r="W2867">
        <v>1</v>
      </c>
      <c r="X2867">
        <v>0</v>
      </c>
      <c r="Y2867">
        <v>1</v>
      </c>
      <c r="Z2867">
        <v>0</v>
      </c>
      <c r="AA2867">
        <v>1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1</v>
      </c>
      <c r="AK2867">
        <v>1</v>
      </c>
      <c r="AL2867">
        <v>1</v>
      </c>
      <c r="AM2867">
        <v>0</v>
      </c>
    </row>
    <row r="2868" spans="1:39" x14ac:dyDescent="0.2">
      <c r="A2868" t="str">
        <f>"2864"</f>
        <v>2864</v>
      </c>
      <c r="B2868" t="str">
        <f t="shared" si="157"/>
        <v>1</v>
      </c>
      <c r="C2868" t="str">
        <f t="shared" si="159"/>
        <v>58</v>
      </c>
      <c r="D2868" t="str">
        <f>"17"</f>
        <v>17</v>
      </c>
      <c r="E2868" t="str">
        <f>"1-58-17"</f>
        <v>1-58-17</v>
      </c>
      <c r="F2868" t="s">
        <v>65</v>
      </c>
      <c r="G2868" t="s">
        <v>66</v>
      </c>
      <c r="H2868" t="s">
        <v>67</v>
      </c>
      <c r="S2868">
        <v>0</v>
      </c>
      <c r="T2868">
        <v>1</v>
      </c>
      <c r="U2868">
        <v>0</v>
      </c>
      <c r="V2868">
        <v>0</v>
      </c>
      <c r="W2868">
        <v>1</v>
      </c>
      <c r="X2868">
        <v>0</v>
      </c>
      <c r="Y2868">
        <v>1</v>
      </c>
      <c r="Z2868">
        <v>0</v>
      </c>
      <c r="AA2868">
        <v>0</v>
      </c>
      <c r="AB2868">
        <v>1</v>
      </c>
      <c r="AC2868">
        <v>0</v>
      </c>
      <c r="AD2868">
        <v>1</v>
      </c>
      <c r="AE2868">
        <v>1</v>
      </c>
      <c r="AF2868">
        <v>1</v>
      </c>
      <c r="AG2868">
        <v>1</v>
      </c>
      <c r="AH2868">
        <v>1</v>
      </c>
      <c r="AI2868">
        <v>1</v>
      </c>
      <c r="AJ2868">
        <v>1</v>
      </c>
      <c r="AK2868">
        <v>0</v>
      </c>
      <c r="AL2868">
        <v>1</v>
      </c>
      <c r="AM2868">
        <v>1</v>
      </c>
    </row>
    <row r="2869" spans="1:39" x14ac:dyDescent="0.2">
      <c r="A2869" t="str">
        <f>"2865"</f>
        <v>2865</v>
      </c>
      <c r="B2869" t="str">
        <f t="shared" si="157"/>
        <v>1</v>
      </c>
      <c r="C2869" t="str">
        <f t="shared" si="159"/>
        <v>58</v>
      </c>
      <c r="D2869" t="str">
        <f>"3"</f>
        <v>3</v>
      </c>
      <c r="E2869" t="str">
        <f>"1-58-3"</f>
        <v>1-58-3</v>
      </c>
      <c r="F2869" t="s">
        <v>65</v>
      </c>
      <c r="G2869" t="s">
        <v>66</v>
      </c>
      <c r="H2869" t="s">
        <v>67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</row>
    <row r="2870" spans="1:39" x14ac:dyDescent="0.2">
      <c r="A2870" t="str">
        <f>"2866"</f>
        <v>2866</v>
      </c>
      <c r="B2870" t="str">
        <f t="shared" si="157"/>
        <v>1</v>
      </c>
      <c r="C2870" t="str">
        <f t="shared" si="159"/>
        <v>58</v>
      </c>
      <c r="D2870" t="str">
        <f>"42"</f>
        <v>42</v>
      </c>
      <c r="E2870" t="str">
        <f>"1-58-42"</f>
        <v>1-58-42</v>
      </c>
      <c r="F2870" t="s">
        <v>65</v>
      </c>
      <c r="G2870" t="s">
        <v>66</v>
      </c>
      <c r="H2870" t="s">
        <v>67</v>
      </c>
      <c r="S2870">
        <v>0</v>
      </c>
      <c r="T2870">
        <v>1</v>
      </c>
      <c r="U2870">
        <v>0</v>
      </c>
      <c r="V2870">
        <v>0</v>
      </c>
      <c r="W2870">
        <v>0</v>
      </c>
      <c r="X2870">
        <v>1</v>
      </c>
      <c r="Y2870">
        <v>0</v>
      </c>
      <c r="Z2870">
        <v>1</v>
      </c>
      <c r="AA2870">
        <v>0</v>
      </c>
      <c r="AB2870">
        <v>0</v>
      </c>
      <c r="AC2870">
        <v>1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1</v>
      </c>
      <c r="AJ2870">
        <v>1</v>
      </c>
      <c r="AK2870">
        <v>0</v>
      </c>
      <c r="AL2870">
        <v>0</v>
      </c>
      <c r="AM2870">
        <v>0</v>
      </c>
    </row>
    <row r="2871" spans="1:39" x14ac:dyDescent="0.2">
      <c r="A2871" t="str">
        <f>"2867"</f>
        <v>2867</v>
      </c>
      <c r="B2871" t="str">
        <f t="shared" ref="B2871:B2934" si="160">"1"</f>
        <v>1</v>
      </c>
      <c r="C2871" t="str">
        <f t="shared" si="159"/>
        <v>58</v>
      </c>
      <c r="D2871" t="str">
        <f>"41"</f>
        <v>41</v>
      </c>
      <c r="E2871" t="str">
        <f>"1-58-41"</f>
        <v>1-58-41</v>
      </c>
      <c r="F2871" t="s">
        <v>65</v>
      </c>
      <c r="G2871" t="s">
        <v>66</v>
      </c>
      <c r="H2871" t="s">
        <v>67</v>
      </c>
      <c r="S2871">
        <v>0</v>
      </c>
      <c r="T2871">
        <v>1</v>
      </c>
      <c r="U2871">
        <v>0</v>
      </c>
      <c r="V2871">
        <v>0</v>
      </c>
      <c r="W2871">
        <v>0</v>
      </c>
      <c r="X2871">
        <v>1</v>
      </c>
      <c r="Y2871">
        <v>0</v>
      </c>
      <c r="Z2871">
        <v>1</v>
      </c>
      <c r="AA2871">
        <v>0</v>
      </c>
      <c r="AB2871">
        <v>1</v>
      </c>
      <c r="AC2871">
        <v>0</v>
      </c>
      <c r="AD2871">
        <v>1</v>
      </c>
      <c r="AE2871">
        <v>1</v>
      </c>
      <c r="AF2871">
        <v>1</v>
      </c>
      <c r="AG2871">
        <v>1</v>
      </c>
      <c r="AH2871">
        <v>1</v>
      </c>
      <c r="AI2871">
        <v>1</v>
      </c>
      <c r="AJ2871">
        <v>1</v>
      </c>
      <c r="AK2871">
        <v>1</v>
      </c>
      <c r="AL2871">
        <v>1</v>
      </c>
      <c r="AM2871">
        <v>1</v>
      </c>
    </row>
    <row r="2872" spans="1:39" x14ac:dyDescent="0.2">
      <c r="A2872" t="str">
        <f>"2868"</f>
        <v>2868</v>
      </c>
      <c r="B2872" t="str">
        <f t="shared" si="160"/>
        <v>1</v>
      </c>
      <c r="C2872" t="str">
        <f t="shared" si="159"/>
        <v>58</v>
      </c>
      <c r="D2872" t="str">
        <f>"29"</f>
        <v>29</v>
      </c>
      <c r="E2872" t="str">
        <f>"1-58-29"</f>
        <v>1-58-29</v>
      </c>
      <c r="F2872" t="s">
        <v>65</v>
      </c>
      <c r="G2872" t="s">
        <v>66</v>
      </c>
      <c r="H2872" t="s">
        <v>67</v>
      </c>
      <c r="S2872">
        <v>1</v>
      </c>
      <c r="T2872">
        <v>0</v>
      </c>
      <c r="U2872">
        <v>0</v>
      </c>
      <c r="V2872">
        <v>0</v>
      </c>
      <c r="W2872">
        <v>0</v>
      </c>
      <c r="X2872">
        <v>1</v>
      </c>
      <c r="Y2872">
        <v>1</v>
      </c>
      <c r="Z2872">
        <v>0</v>
      </c>
      <c r="AA2872">
        <v>0</v>
      </c>
      <c r="AB2872">
        <v>0</v>
      </c>
      <c r="AC2872">
        <v>1</v>
      </c>
      <c r="AD2872">
        <v>1</v>
      </c>
      <c r="AE2872">
        <v>1</v>
      </c>
      <c r="AF2872">
        <v>1</v>
      </c>
      <c r="AG2872">
        <v>1</v>
      </c>
      <c r="AH2872">
        <v>1</v>
      </c>
      <c r="AI2872">
        <v>1</v>
      </c>
      <c r="AJ2872">
        <v>1</v>
      </c>
      <c r="AK2872">
        <v>1</v>
      </c>
      <c r="AL2872">
        <v>1</v>
      </c>
      <c r="AM2872">
        <v>1</v>
      </c>
    </row>
    <row r="2873" spans="1:39" x14ac:dyDescent="0.2">
      <c r="A2873" t="str">
        <f>"2869"</f>
        <v>2869</v>
      </c>
      <c r="B2873" t="str">
        <f t="shared" si="160"/>
        <v>1</v>
      </c>
      <c r="C2873" t="str">
        <f t="shared" si="159"/>
        <v>58</v>
      </c>
      <c r="D2873" t="str">
        <f>"18"</f>
        <v>18</v>
      </c>
      <c r="E2873" t="str">
        <f>"1-58-18"</f>
        <v>1-58-18</v>
      </c>
      <c r="F2873" t="s">
        <v>65</v>
      </c>
      <c r="G2873" t="s">
        <v>66</v>
      </c>
      <c r="H2873" t="s">
        <v>67</v>
      </c>
      <c r="S2873">
        <v>0</v>
      </c>
      <c r="T2873">
        <v>1</v>
      </c>
      <c r="U2873">
        <v>0</v>
      </c>
      <c r="V2873">
        <v>0</v>
      </c>
      <c r="W2873">
        <v>1</v>
      </c>
      <c r="X2873">
        <v>0</v>
      </c>
      <c r="Y2873">
        <v>1</v>
      </c>
      <c r="Z2873">
        <v>0</v>
      </c>
      <c r="AA2873">
        <v>0</v>
      </c>
      <c r="AB2873">
        <v>1</v>
      </c>
      <c r="AC2873">
        <v>0</v>
      </c>
      <c r="AD2873">
        <v>1</v>
      </c>
      <c r="AE2873">
        <v>1</v>
      </c>
      <c r="AF2873">
        <v>1</v>
      </c>
      <c r="AG2873">
        <v>1</v>
      </c>
      <c r="AH2873">
        <v>1</v>
      </c>
      <c r="AI2873">
        <v>1</v>
      </c>
      <c r="AJ2873">
        <v>1</v>
      </c>
      <c r="AK2873">
        <v>1</v>
      </c>
      <c r="AL2873">
        <v>1</v>
      </c>
      <c r="AM2873">
        <v>1</v>
      </c>
    </row>
    <row r="2874" spans="1:39" x14ac:dyDescent="0.2">
      <c r="A2874" t="str">
        <f>"2870"</f>
        <v>2870</v>
      </c>
      <c r="B2874" t="str">
        <f t="shared" si="160"/>
        <v>1</v>
      </c>
      <c r="C2874" t="str">
        <f t="shared" si="159"/>
        <v>58</v>
      </c>
      <c r="D2874" t="str">
        <f>"14"</f>
        <v>14</v>
      </c>
      <c r="E2874" t="str">
        <f>"1-58-14"</f>
        <v>1-58-14</v>
      </c>
      <c r="F2874" t="s">
        <v>65</v>
      </c>
      <c r="G2874" t="s">
        <v>66</v>
      </c>
      <c r="H2874" t="s">
        <v>67</v>
      </c>
      <c r="S2874">
        <v>0</v>
      </c>
      <c r="T2874">
        <v>1</v>
      </c>
      <c r="U2874">
        <v>0</v>
      </c>
      <c r="V2874">
        <v>0</v>
      </c>
      <c r="W2874">
        <v>0</v>
      </c>
      <c r="X2874">
        <v>1</v>
      </c>
      <c r="Y2874">
        <v>1</v>
      </c>
      <c r="Z2874">
        <v>0</v>
      </c>
      <c r="AA2874">
        <v>0</v>
      </c>
      <c r="AB2874">
        <v>1</v>
      </c>
      <c r="AC2874">
        <v>0</v>
      </c>
      <c r="AD2874">
        <v>1</v>
      </c>
      <c r="AE2874">
        <v>1</v>
      </c>
      <c r="AF2874">
        <v>1</v>
      </c>
      <c r="AG2874">
        <v>1</v>
      </c>
      <c r="AH2874">
        <v>1</v>
      </c>
      <c r="AI2874">
        <v>1</v>
      </c>
      <c r="AJ2874">
        <v>1</v>
      </c>
      <c r="AK2874">
        <v>1</v>
      </c>
      <c r="AL2874">
        <v>1</v>
      </c>
      <c r="AM2874">
        <v>1</v>
      </c>
    </row>
    <row r="2875" spans="1:39" x14ac:dyDescent="0.2">
      <c r="A2875" t="str">
        <f>"2871"</f>
        <v>2871</v>
      </c>
      <c r="B2875" t="str">
        <f t="shared" si="160"/>
        <v>1</v>
      </c>
      <c r="C2875" t="str">
        <f t="shared" si="159"/>
        <v>58</v>
      </c>
      <c r="D2875" t="str">
        <f>"46"</f>
        <v>46</v>
      </c>
      <c r="E2875" t="str">
        <f>"1-58-46"</f>
        <v>1-58-46</v>
      </c>
      <c r="F2875" t="s">
        <v>65</v>
      </c>
      <c r="G2875" t="s">
        <v>66</v>
      </c>
      <c r="H2875" t="s">
        <v>67</v>
      </c>
      <c r="S2875">
        <v>0</v>
      </c>
      <c r="T2875">
        <v>1</v>
      </c>
      <c r="U2875">
        <v>0</v>
      </c>
      <c r="V2875">
        <v>0</v>
      </c>
      <c r="W2875">
        <v>0</v>
      </c>
      <c r="X2875">
        <v>1</v>
      </c>
      <c r="Y2875">
        <v>0</v>
      </c>
      <c r="Z2875">
        <v>1</v>
      </c>
      <c r="AA2875">
        <v>0</v>
      </c>
      <c r="AB2875">
        <v>1</v>
      </c>
      <c r="AC2875">
        <v>0</v>
      </c>
      <c r="AD2875">
        <v>1</v>
      </c>
      <c r="AE2875">
        <v>1</v>
      </c>
      <c r="AF2875">
        <v>1</v>
      </c>
      <c r="AG2875">
        <v>1</v>
      </c>
      <c r="AH2875">
        <v>1</v>
      </c>
      <c r="AI2875">
        <v>1</v>
      </c>
      <c r="AJ2875">
        <v>1</v>
      </c>
      <c r="AK2875">
        <v>1</v>
      </c>
      <c r="AL2875">
        <v>1</v>
      </c>
      <c r="AM2875">
        <v>1</v>
      </c>
    </row>
    <row r="2876" spans="1:39" x14ac:dyDescent="0.2">
      <c r="A2876" t="str">
        <f>"2872"</f>
        <v>2872</v>
      </c>
      <c r="B2876" t="str">
        <f t="shared" si="160"/>
        <v>1</v>
      </c>
      <c r="C2876" t="str">
        <f t="shared" si="159"/>
        <v>58</v>
      </c>
      <c r="D2876" t="str">
        <f>"45"</f>
        <v>45</v>
      </c>
      <c r="E2876" t="str">
        <f>"1-58-45"</f>
        <v>1-58-45</v>
      </c>
      <c r="F2876" t="s">
        <v>65</v>
      </c>
      <c r="G2876" t="s">
        <v>66</v>
      </c>
      <c r="H2876" t="s">
        <v>67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1</v>
      </c>
      <c r="AH2876">
        <v>0</v>
      </c>
      <c r="AI2876">
        <v>0</v>
      </c>
      <c r="AJ2876">
        <v>0</v>
      </c>
      <c r="AK2876">
        <v>0</v>
      </c>
      <c r="AL2876">
        <v>1</v>
      </c>
      <c r="AM2876">
        <v>0</v>
      </c>
    </row>
    <row r="2877" spans="1:39" x14ac:dyDescent="0.2">
      <c r="A2877" t="str">
        <f>"2873"</f>
        <v>2873</v>
      </c>
      <c r="B2877" t="str">
        <f t="shared" si="160"/>
        <v>1</v>
      </c>
      <c r="C2877" t="str">
        <f t="shared" si="159"/>
        <v>58</v>
      </c>
      <c r="D2877" t="str">
        <f>"33"</f>
        <v>33</v>
      </c>
      <c r="E2877" t="str">
        <f>"1-58-33"</f>
        <v>1-58-33</v>
      </c>
      <c r="F2877" t="s">
        <v>65</v>
      </c>
      <c r="G2877" t="s">
        <v>66</v>
      </c>
      <c r="H2877" t="s">
        <v>67</v>
      </c>
      <c r="S2877">
        <v>1</v>
      </c>
      <c r="T2877">
        <v>0</v>
      </c>
      <c r="U2877">
        <v>0</v>
      </c>
      <c r="V2877">
        <v>0</v>
      </c>
      <c r="W2877">
        <v>1</v>
      </c>
      <c r="X2877">
        <v>0</v>
      </c>
      <c r="Y2877">
        <v>1</v>
      </c>
      <c r="Z2877">
        <v>0</v>
      </c>
      <c r="AA2877">
        <v>1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1</v>
      </c>
      <c r="AK2877">
        <v>0</v>
      </c>
      <c r="AL2877">
        <v>1</v>
      </c>
      <c r="AM2877">
        <v>1</v>
      </c>
    </row>
    <row r="2878" spans="1:39" x14ac:dyDescent="0.2">
      <c r="A2878" t="str">
        <f>"2874"</f>
        <v>2874</v>
      </c>
      <c r="B2878" t="str">
        <f t="shared" si="160"/>
        <v>1</v>
      </c>
      <c r="C2878" t="str">
        <f t="shared" si="159"/>
        <v>58</v>
      </c>
      <c r="D2878" t="str">
        <f>"19"</f>
        <v>19</v>
      </c>
      <c r="E2878" t="str">
        <f>"1-58-19"</f>
        <v>1-58-19</v>
      </c>
      <c r="F2878" t="s">
        <v>65</v>
      </c>
      <c r="G2878" t="s">
        <v>66</v>
      </c>
      <c r="H2878" t="s">
        <v>67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1</v>
      </c>
      <c r="Y2878">
        <v>0</v>
      </c>
      <c r="Z2878">
        <v>1</v>
      </c>
      <c r="AA2878">
        <v>0</v>
      </c>
      <c r="AB2878">
        <v>0</v>
      </c>
      <c r="AC2878">
        <v>1</v>
      </c>
      <c r="AD2878">
        <v>1</v>
      </c>
      <c r="AE2878">
        <v>1</v>
      </c>
      <c r="AF2878">
        <v>1</v>
      </c>
      <c r="AG2878">
        <v>1</v>
      </c>
      <c r="AH2878">
        <v>1</v>
      </c>
      <c r="AI2878">
        <v>1</v>
      </c>
      <c r="AJ2878">
        <v>1</v>
      </c>
      <c r="AK2878">
        <v>1</v>
      </c>
      <c r="AL2878">
        <v>1</v>
      </c>
      <c r="AM2878">
        <v>1</v>
      </c>
    </row>
    <row r="2879" spans="1:39" x14ac:dyDescent="0.2">
      <c r="A2879" t="str">
        <f>"2875"</f>
        <v>2875</v>
      </c>
      <c r="B2879" t="str">
        <f t="shared" si="160"/>
        <v>1</v>
      </c>
      <c r="C2879" t="str">
        <f t="shared" si="159"/>
        <v>58</v>
      </c>
      <c r="D2879" t="str">
        <f>"5"</f>
        <v>5</v>
      </c>
      <c r="E2879" t="str">
        <f>"1-58-5"</f>
        <v>1-58-5</v>
      </c>
      <c r="F2879" t="s">
        <v>65</v>
      </c>
      <c r="G2879" t="s">
        <v>66</v>
      </c>
      <c r="H2879" t="s">
        <v>67</v>
      </c>
      <c r="S2879">
        <v>1</v>
      </c>
      <c r="T2879">
        <v>0</v>
      </c>
      <c r="U2879">
        <v>0</v>
      </c>
      <c r="V2879">
        <v>0</v>
      </c>
      <c r="W2879">
        <v>1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1</v>
      </c>
      <c r="AH2879">
        <v>1</v>
      </c>
      <c r="AI2879">
        <v>0</v>
      </c>
      <c r="AJ2879">
        <v>0</v>
      </c>
      <c r="AK2879">
        <v>0</v>
      </c>
      <c r="AL2879">
        <v>1</v>
      </c>
      <c r="AM2879">
        <v>0</v>
      </c>
    </row>
    <row r="2880" spans="1:39" x14ac:dyDescent="0.2">
      <c r="A2880" t="str">
        <f>"2876"</f>
        <v>2876</v>
      </c>
      <c r="B2880" t="str">
        <f t="shared" si="160"/>
        <v>1</v>
      </c>
      <c r="C2880" t="str">
        <f t="shared" si="159"/>
        <v>58</v>
      </c>
      <c r="D2880" t="str">
        <f>"35"</f>
        <v>35</v>
      </c>
      <c r="E2880" t="str">
        <f>"1-58-35"</f>
        <v>1-58-35</v>
      </c>
      <c r="F2880" t="s">
        <v>65</v>
      </c>
      <c r="G2880" t="s">
        <v>66</v>
      </c>
      <c r="H2880" t="s">
        <v>67</v>
      </c>
      <c r="S2880">
        <v>1</v>
      </c>
      <c r="T2880">
        <v>0</v>
      </c>
      <c r="U2880">
        <v>0</v>
      </c>
      <c r="V2880">
        <v>0</v>
      </c>
      <c r="W2880">
        <v>0</v>
      </c>
      <c r="X2880">
        <v>1</v>
      </c>
      <c r="Y2880">
        <v>0</v>
      </c>
      <c r="Z2880">
        <v>1</v>
      </c>
      <c r="AA2880">
        <v>0</v>
      </c>
      <c r="AB2880">
        <v>0</v>
      </c>
      <c r="AC2880">
        <v>1</v>
      </c>
      <c r="AD2880">
        <v>1</v>
      </c>
      <c r="AE2880">
        <v>1</v>
      </c>
      <c r="AF2880">
        <v>1</v>
      </c>
      <c r="AG2880">
        <v>1</v>
      </c>
      <c r="AH2880">
        <v>1</v>
      </c>
      <c r="AI2880">
        <v>1</v>
      </c>
      <c r="AJ2880">
        <v>1</v>
      </c>
      <c r="AK2880">
        <v>1</v>
      </c>
      <c r="AL2880">
        <v>1</v>
      </c>
      <c r="AM2880">
        <v>1</v>
      </c>
    </row>
    <row r="2881" spans="1:39" x14ac:dyDescent="0.2">
      <c r="A2881" t="str">
        <f>"2877"</f>
        <v>2877</v>
      </c>
      <c r="B2881" t="str">
        <f t="shared" si="160"/>
        <v>1</v>
      </c>
      <c r="C2881" t="str">
        <f t="shared" si="159"/>
        <v>58</v>
      </c>
      <c r="D2881" t="str">
        <f>"20"</f>
        <v>20</v>
      </c>
      <c r="E2881" t="str">
        <f>"1-58-20"</f>
        <v>1-58-20</v>
      </c>
      <c r="F2881" t="s">
        <v>65</v>
      </c>
      <c r="G2881" t="s">
        <v>66</v>
      </c>
      <c r="H2881" t="s">
        <v>67</v>
      </c>
      <c r="S2881">
        <v>1</v>
      </c>
      <c r="T2881">
        <v>0</v>
      </c>
      <c r="U2881">
        <v>0</v>
      </c>
      <c r="V2881">
        <v>0</v>
      </c>
      <c r="W2881">
        <v>1</v>
      </c>
      <c r="X2881">
        <v>0</v>
      </c>
      <c r="Y2881">
        <v>0</v>
      </c>
      <c r="Z2881">
        <v>1</v>
      </c>
      <c r="AA2881">
        <v>1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1</v>
      </c>
      <c r="AH2881">
        <v>1</v>
      </c>
      <c r="AI2881">
        <v>1</v>
      </c>
      <c r="AJ2881">
        <v>1</v>
      </c>
      <c r="AK2881">
        <v>1</v>
      </c>
      <c r="AL2881">
        <v>1</v>
      </c>
      <c r="AM2881">
        <v>1</v>
      </c>
    </row>
    <row r="2882" spans="1:39" x14ac:dyDescent="0.2">
      <c r="A2882" t="str">
        <f>"2878"</f>
        <v>2878</v>
      </c>
      <c r="B2882" t="str">
        <f t="shared" si="160"/>
        <v>1</v>
      </c>
      <c r="C2882" t="str">
        <f t="shared" si="159"/>
        <v>58</v>
      </c>
      <c r="D2882" t="str">
        <f>"12"</f>
        <v>12</v>
      </c>
      <c r="E2882" t="str">
        <f>"1-58-12"</f>
        <v>1-58-12</v>
      </c>
      <c r="F2882" t="s">
        <v>65</v>
      </c>
      <c r="G2882" t="s">
        <v>66</v>
      </c>
      <c r="H2882" t="s">
        <v>67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0</v>
      </c>
      <c r="AB2882">
        <v>1</v>
      </c>
      <c r="AC2882">
        <v>0</v>
      </c>
      <c r="AD2882">
        <v>0</v>
      </c>
      <c r="AE2882">
        <v>0</v>
      </c>
      <c r="AF2882">
        <v>0</v>
      </c>
      <c r="AG2882">
        <v>1</v>
      </c>
      <c r="AH2882">
        <v>1</v>
      </c>
      <c r="AI2882">
        <v>1</v>
      </c>
      <c r="AJ2882">
        <v>1</v>
      </c>
      <c r="AK2882">
        <v>1</v>
      </c>
      <c r="AL2882">
        <v>1</v>
      </c>
      <c r="AM2882">
        <v>1</v>
      </c>
    </row>
    <row r="2883" spans="1:39" x14ac:dyDescent="0.2">
      <c r="A2883" t="str">
        <f>"2879"</f>
        <v>2879</v>
      </c>
      <c r="B2883" t="str">
        <f t="shared" si="160"/>
        <v>1</v>
      </c>
      <c r="C2883" t="str">
        <f t="shared" si="159"/>
        <v>58</v>
      </c>
      <c r="D2883" t="str">
        <f>"36"</f>
        <v>36</v>
      </c>
      <c r="E2883" t="str">
        <f>"1-58-36"</f>
        <v>1-58-36</v>
      </c>
      <c r="F2883" t="s">
        <v>65</v>
      </c>
      <c r="G2883" t="s">
        <v>66</v>
      </c>
      <c r="H2883" t="s">
        <v>67</v>
      </c>
      <c r="S2883">
        <v>1</v>
      </c>
      <c r="T2883">
        <v>0</v>
      </c>
      <c r="U2883">
        <v>0</v>
      </c>
      <c r="V2883">
        <v>0</v>
      </c>
      <c r="W2883">
        <v>0</v>
      </c>
      <c r="X2883">
        <v>1</v>
      </c>
      <c r="Y2883">
        <v>0</v>
      </c>
      <c r="Z2883">
        <v>1</v>
      </c>
      <c r="AA2883">
        <v>0</v>
      </c>
      <c r="AB2883">
        <v>0</v>
      </c>
      <c r="AC2883">
        <v>1</v>
      </c>
      <c r="AD2883">
        <v>1</v>
      </c>
      <c r="AE2883">
        <v>1</v>
      </c>
      <c r="AF2883">
        <v>1</v>
      </c>
      <c r="AG2883">
        <v>1</v>
      </c>
      <c r="AH2883">
        <v>1</v>
      </c>
      <c r="AI2883">
        <v>1</v>
      </c>
      <c r="AJ2883">
        <v>1</v>
      </c>
      <c r="AK2883">
        <v>1</v>
      </c>
      <c r="AL2883">
        <v>1</v>
      </c>
      <c r="AM2883">
        <v>1</v>
      </c>
    </row>
    <row r="2884" spans="1:39" x14ac:dyDescent="0.2">
      <c r="A2884" t="str">
        <f>"2880"</f>
        <v>2880</v>
      </c>
      <c r="B2884" t="str">
        <f t="shared" si="160"/>
        <v>1</v>
      </c>
      <c r="C2884" t="str">
        <f t="shared" si="159"/>
        <v>58</v>
      </c>
      <c r="D2884" t="str">
        <f>"21"</f>
        <v>21</v>
      </c>
      <c r="E2884" t="str">
        <f>"1-58-21"</f>
        <v>1-58-21</v>
      </c>
      <c r="F2884" t="s">
        <v>65</v>
      </c>
      <c r="G2884" t="s">
        <v>66</v>
      </c>
      <c r="H2884" t="s">
        <v>67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0</v>
      </c>
      <c r="AB2884">
        <v>0</v>
      </c>
      <c r="AC2884">
        <v>1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</row>
    <row r="2885" spans="1:39" x14ac:dyDescent="0.2">
      <c r="A2885" t="str">
        <f>"2881"</f>
        <v>2881</v>
      </c>
      <c r="B2885" t="str">
        <f t="shared" si="160"/>
        <v>1</v>
      </c>
      <c r="C2885" t="str">
        <f t="shared" si="159"/>
        <v>58</v>
      </c>
      <c r="D2885" t="str">
        <f>"7"</f>
        <v>7</v>
      </c>
      <c r="E2885" t="str">
        <f>"1-58-7"</f>
        <v>1-58-7</v>
      </c>
      <c r="F2885" t="s">
        <v>65</v>
      </c>
      <c r="G2885" t="s">
        <v>66</v>
      </c>
      <c r="H2885" t="s">
        <v>67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0</v>
      </c>
      <c r="AB2885">
        <v>0</v>
      </c>
      <c r="AC2885">
        <v>1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1</v>
      </c>
      <c r="AJ2885">
        <v>1</v>
      </c>
      <c r="AK2885">
        <v>1</v>
      </c>
      <c r="AL2885">
        <v>1</v>
      </c>
      <c r="AM2885">
        <v>0</v>
      </c>
    </row>
    <row r="2886" spans="1:39" x14ac:dyDescent="0.2">
      <c r="A2886" t="str">
        <f>"2882"</f>
        <v>2882</v>
      </c>
      <c r="B2886" t="str">
        <f t="shared" si="160"/>
        <v>1</v>
      </c>
      <c r="C2886" t="str">
        <f t="shared" si="159"/>
        <v>58</v>
      </c>
      <c r="D2886" t="str">
        <f>"47"</f>
        <v>47</v>
      </c>
      <c r="E2886" t="str">
        <f>"1-58-47"</f>
        <v>1-58-47</v>
      </c>
      <c r="F2886" t="s">
        <v>65</v>
      </c>
      <c r="G2886" t="s">
        <v>66</v>
      </c>
      <c r="H2886" t="s">
        <v>67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0</v>
      </c>
      <c r="AB2886">
        <v>1</v>
      </c>
      <c r="AC2886">
        <v>0</v>
      </c>
      <c r="AD2886">
        <v>1</v>
      </c>
      <c r="AE2886">
        <v>1</v>
      </c>
      <c r="AF2886">
        <v>1</v>
      </c>
      <c r="AG2886">
        <v>1</v>
      </c>
      <c r="AH2886">
        <v>1</v>
      </c>
      <c r="AI2886">
        <v>1</v>
      </c>
      <c r="AJ2886">
        <v>1</v>
      </c>
      <c r="AK2886">
        <v>1</v>
      </c>
      <c r="AL2886">
        <v>1</v>
      </c>
      <c r="AM2886">
        <v>1</v>
      </c>
    </row>
    <row r="2887" spans="1:39" x14ac:dyDescent="0.2">
      <c r="A2887" t="str">
        <f>"2883"</f>
        <v>2883</v>
      </c>
      <c r="B2887" t="str">
        <f t="shared" si="160"/>
        <v>1</v>
      </c>
      <c r="C2887" t="str">
        <f t="shared" ref="C2887:C2904" si="161">"58"</f>
        <v>58</v>
      </c>
      <c r="D2887" t="str">
        <f>"34"</f>
        <v>34</v>
      </c>
      <c r="E2887" t="str">
        <f>"1-58-34"</f>
        <v>1-58-34</v>
      </c>
      <c r="F2887" t="s">
        <v>65</v>
      </c>
      <c r="G2887" t="s">
        <v>66</v>
      </c>
      <c r="H2887" t="s">
        <v>67</v>
      </c>
      <c r="S2887">
        <v>1</v>
      </c>
      <c r="T2887">
        <v>0</v>
      </c>
      <c r="U2887">
        <v>0</v>
      </c>
      <c r="V2887">
        <v>0</v>
      </c>
      <c r="W2887">
        <v>1</v>
      </c>
      <c r="X2887">
        <v>0</v>
      </c>
      <c r="Y2887">
        <v>1</v>
      </c>
      <c r="Z2887">
        <v>0</v>
      </c>
      <c r="AA2887">
        <v>0</v>
      </c>
      <c r="AB2887">
        <v>0</v>
      </c>
      <c r="AC2887">
        <v>1</v>
      </c>
      <c r="AD2887">
        <v>1</v>
      </c>
      <c r="AE2887">
        <v>1</v>
      </c>
      <c r="AF2887">
        <v>1</v>
      </c>
      <c r="AG2887">
        <v>1</v>
      </c>
      <c r="AH2887">
        <v>1</v>
      </c>
      <c r="AI2887">
        <v>1</v>
      </c>
      <c r="AJ2887">
        <v>1</v>
      </c>
      <c r="AK2887">
        <v>1</v>
      </c>
      <c r="AL2887">
        <v>1</v>
      </c>
      <c r="AM2887">
        <v>1</v>
      </c>
    </row>
    <row r="2888" spans="1:39" x14ac:dyDescent="0.2">
      <c r="A2888" t="str">
        <f>"2884"</f>
        <v>2884</v>
      </c>
      <c r="B2888" t="str">
        <f t="shared" si="160"/>
        <v>1</v>
      </c>
      <c r="C2888" t="str">
        <f t="shared" si="161"/>
        <v>58</v>
      </c>
      <c r="D2888" t="str">
        <f>"22"</f>
        <v>22</v>
      </c>
      <c r="E2888" t="str">
        <f>"1-58-22"</f>
        <v>1-58-22</v>
      </c>
      <c r="F2888" t="s">
        <v>65</v>
      </c>
      <c r="G2888" t="s">
        <v>66</v>
      </c>
      <c r="H2888" t="s">
        <v>67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1</v>
      </c>
      <c r="Y2888">
        <v>0</v>
      </c>
      <c r="Z2888">
        <v>1</v>
      </c>
      <c r="AA2888">
        <v>0</v>
      </c>
      <c r="AB2888">
        <v>0</v>
      </c>
      <c r="AC2888">
        <v>1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1</v>
      </c>
      <c r="AM2888">
        <v>0</v>
      </c>
    </row>
    <row r="2889" spans="1:39" x14ac:dyDescent="0.2">
      <c r="A2889" t="str">
        <f>"2885"</f>
        <v>2885</v>
      </c>
      <c r="B2889" t="str">
        <f t="shared" si="160"/>
        <v>1</v>
      </c>
      <c r="C2889" t="str">
        <f t="shared" si="161"/>
        <v>58</v>
      </c>
      <c r="D2889" t="str">
        <f>"11"</f>
        <v>11</v>
      </c>
      <c r="E2889" t="str">
        <f>"1-58-11"</f>
        <v>1-58-11</v>
      </c>
      <c r="F2889" t="s">
        <v>65</v>
      </c>
      <c r="G2889" t="s">
        <v>66</v>
      </c>
      <c r="H2889" t="s">
        <v>67</v>
      </c>
      <c r="S2889">
        <v>1</v>
      </c>
      <c r="T2889">
        <v>0</v>
      </c>
      <c r="U2889">
        <v>0</v>
      </c>
      <c r="V2889">
        <v>0</v>
      </c>
      <c r="W2889">
        <v>1</v>
      </c>
      <c r="X2889">
        <v>0</v>
      </c>
      <c r="Y2889">
        <v>0</v>
      </c>
      <c r="Z2889">
        <v>1</v>
      </c>
      <c r="AA2889">
        <v>1</v>
      </c>
      <c r="AB2889">
        <v>0</v>
      </c>
      <c r="AC2889">
        <v>0</v>
      </c>
      <c r="AD2889">
        <v>1</v>
      </c>
      <c r="AE2889">
        <v>1</v>
      </c>
      <c r="AF2889">
        <v>1</v>
      </c>
      <c r="AG2889">
        <v>1</v>
      </c>
      <c r="AH2889">
        <v>1</v>
      </c>
      <c r="AI2889">
        <v>1</v>
      </c>
      <c r="AJ2889">
        <v>1</v>
      </c>
      <c r="AK2889">
        <v>1</v>
      </c>
      <c r="AL2889">
        <v>1</v>
      </c>
      <c r="AM2889">
        <v>1</v>
      </c>
    </row>
    <row r="2890" spans="1:39" x14ac:dyDescent="0.2">
      <c r="A2890" t="str">
        <f>"2886"</f>
        <v>2886</v>
      </c>
      <c r="B2890" t="str">
        <f t="shared" si="160"/>
        <v>1</v>
      </c>
      <c r="C2890" t="str">
        <f t="shared" si="161"/>
        <v>58</v>
      </c>
      <c r="D2890" t="str">
        <f>"23"</f>
        <v>23</v>
      </c>
      <c r="E2890" t="str">
        <f>"1-58-23"</f>
        <v>1-58-23</v>
      </c>
      <c r="F2890" t="s">
        <v>65</v>
      </c>
      <c r="G2890" t="s">
        <v>66</v>
      </c>
      <c r="H2890" t="s">
        <v>67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1</v>
      </c>
      <c r="Y2890">
        <v>0</v>
      </c>
      <c r="Z2890">
        <v>1</v>
      </c>
      <c r="AA2890">
        <v>0</v>
      </c>
      <c r="AB2890">
        <v>0</v>
      </c>
      <c r="AC2890">
        <v>1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</row>
    <row r="2891" spans="1:39" x14ac:dyDescent="0.2">
      <c r="A2891" t="str">
        <f>"2887"</f>
        <v>2887</v>
      </c>
      <c r="B2891" t="str">
        <f t="shared" si="160"/>
        <v>1</v>
      </c>
      <c r="C2891" t="str">
        <f t="shared" si="161"/>
        <v>58</v>
      </c>
      <c r="D2891" t="str">
        <f>"1"</f>
        <v>1</v>
      </c>
      <c r="E2891" t="str">
        <f>"1-58-1"</f>
        <v>1-58-1</v>
      </c>
      <c r="F2891" t="s">
        <v>65</v>
      </c>
      <c r="G2891" t="s">
        <v>66</v>
      </c>
      <c r="H2891" t="s">
        <v>67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1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</row>
    <row r="2892" spans="1:39" x14ac:dyDescent="0.2">
      <c r="A2892" t="str">
        <f>"2888"</f>
        <v>2888</v>
      </c>
      <c r="B2892" t="str">
        <f t="shared" si="160"/>
        <v>1</v>
      </c>
      <c r="C2892" t="str">
        <f t="shared" si="161"/>
        <v>58</v>
      </c>
      <c r="D2892" t="str">
        <f>"24"</f>
        <v>24</v>
      </c>
      <c r="E2892" t="str">
        <f>"1-58-24"</f>
        <v>1-58-24</v>
      </c>
      <c r="F2892" t="s">
        <v>65</v>
      </c>
      <c r="G2892" t="s">
        <v>66</v>
      </c>
      <c r="H2892" t="s">
        <v>67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0</v>
      </c>
      <c r="AB2892">
        <v>0</v>
      </c>
      <c r="AC2892">
        <v>1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</row>
    <row r="2893" spans="1:39" x14ac:dyDescent="0.2">
      <c r="A2893" t="str">
        <f>"2889"</f>
        <v>2889</v>
      </c>
      <c r="B2893" t="str">
        <f t="shared" si="160"/>
        <v>1</v>
      </c>
      <c r="C2893" t="str">
        <f t="shared" si="161"/>
        <v>58</v>
      </c>
      <c r="D2893" t="str">
        <f>"9"</f>
        <v>9</v>
      </c>
      <c r="E2893" t="str">
        <f>"1-58-9"</f>
        <v>1-58-9</v>
      </c>
      <c r="F2893" t="s">
        <v>65</v>
      </c>
      <c r="G2893" t="s">
        <v>66</v>
      </c>
      <c r="H2893" t="s">
        <v>67</v>
      </c>
      <c r="S2893">
        <v>1</v>
      </c>
      <c r="T2893">
        <v>0</v>
      </c>
      <c r="U2893">
        <v>0</v>
      </c>
      <c r="V2893">
        <v>0</v>
      </c>
      <c r="W2893">
        <v>1</v>
      </c>
      <c r="X2893">
        <v>0</v>
      </c>
      <c r="Y2893">
        <v>1</v>
      </c>
      <c r="Z2893">
        <v>0</v>
      </c>
      <c r="AA2893">
        <v>0</v>
      </c>
      <c r="AB2893">
        <v>0</v>
      </c>
      <c r="AC2893">
        <v>1</v>
      </c>
      <c r="AD2893">
        <v>0</v>
      </c>
      <c r="AE2893">
        <v>1</v>
      </c>
      <c r="AF2893">
        <v>1</v>
      </c>
      <c r="AG2893">
        <v>1</v>
      </c>
      <c r="AH2893">
        <v>1</v>
      </c>
      <c r="AI2893">
        <v>1</v>
      </c>
      <c r="AJ2893">
        <v>1</v>
      </c>
      <c r="AK2893">
        <v>1</v>
      </c>
      <c r="AL2893">
        <v>1</v>
      </c>
      <c r="AM2893">
        <v>1</v>
      </c>
    </row>
    <row r="2894" spans="1:39" x14ac:dyDescent="0.2">
      <c r="A2894" t="str">
        <f>"2890"</f>
        <v>2890</v>
      </c>
      <c r="B2894" t="str">
        <f t="shared" si="160"/>
        <v>1</v>
      </c>
      <c r="C2894" t="str">
        <f t="shared" si="161"/>
        <v>58</v>
      </c>
      <c r="D2894" t="str">
        <f>"25"</f>
        <v>25</v>
      </c>
      <c r="E2894" t="str">
        <f>"1-58-25"</f>
        <v>1-58-25</v>
      </c>
      <c r="F2894" t="s">
        <v>65</v>
      </c>
      <c r="G2894" t="s">
        <v>66</v>
      </c>
      <c r="H2894" t="s">
        <v>67</v>
      </c>
      <c r="S2894">
        <v>1</v>
      </c>
      <c r="T2894">
        <v>0</v>
      </c>
      <c r="U2894">
        <v>0</v>
      </c>
      <c r="V2894">
        <v>0</v>
      </c>
      <c r="W2894">
        <v>1</v>
      </c>
      <c r="X2894">
        <v>0</v>
      </c>
      <c r="Y2894">
        <v>1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1</v>
      </c>
      <c r="AF2894">
        <v>1</v>
      </c>
      <c r="AG2894">
        <v>1</v>
      </c>
      <c r="AH2894">
        <v>1</v>
      </c>
      <c r="AI2894">
        <v>1</v>
      </c>
      <c r="AJ2894">
        <v>1</v>
      </c>
      <c r="AK2894">
        <v>1</v>
      </c>
      <c r="AL2894">
        <v>1</v>
      </c>
      <c r="AM2894">
        <v>1</v>
      </c>
    </row>
    <row r="2895" spans="1:39" x14ac:dyDescent="0.2">
      <c r="A2895" t="str">
        <f>"2891"</f>
        <v>2891</v>
      </c>
      <c r="B2895" t="str">
        <f t="shared" si="160"/>
        <v>1</v>
      </c>
      <c r="C2895" t="str">
        <f t="shared" si="161"/>
        <v>58</v>
      </c>
      <c r="D2895" t="str">
        <f>"13"</f>
        <v>13</v>
      </c>
      <c r="E2895" t="str">
        <f>"1-58-13"</f>
        <v>1-58-13</v>
      </c>
      <c r="F2895" t="s">
        <v>65</v>
      </c>
      <c r="G2895" t="s">
        <v>66</v>
      </c>
      <c r="H2895" t="s">
        <v>67</v>
      </c>
      <c r="S2895">
        <v>1</v>
      </c>
      <c r="T2895">
        <v>0</v>
      </c>
      <c r="U2895">
        <v>0</v>
      </c>
      <c r="V2895">
        <v>0</v>
      </c>
      <c r="W2895">
        <v>1</v>
      </c>
      <c r="X2895">
        <v>0</v>
      </c>
      <c r="Y2895">
        <v>1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1</v>
      </c>
      <c r="AH2895">
        <v>1</v>
      </c>
      <c r="AI2895">
        <v>1</v>
      </c>
      <c r="AJ2895">
        <v>1</v>
      </c>
      <c r="AK2895">
        <v>1</v>
      </c>
      <c r="AL2895">
        <v>1</v>
      </c>
      <c r="AM2895">
        <v>1</v>
      </c>
    </row>
    <row r="2896" spans="1:39" x14ac:dyDescent="0.2">
      <c r="A2896" t="str">
        <f>"2892"</f>
        <v>2892</v>
      </c>
      <c r="B2896" t="str">
        <f t="shared" si="160"/>
        <v>1</v>
      </c>
      <c r="C2896" t="str">
        <f t="shared" si="161"/>
        <v>58</v>
      </c>
      <c r="D2896" t="str">
        <f>"28"</f>
        <v>28</v>
      </c>
      <c r="E2896" t="str">
        <f>"1-58-28"</f>
        <v>1-58-28</v>
      </c>
      <c r="F2896" t="s">
        <v>65</v>
      </c>
      <c r="G2896" t="s">
        <v>66</v>
      </c>
      <c r="H2896" t="s">
        <v>67</v>
      </c>
      <c r="S2896">
        <v>1</v>
      </c>
      <c r="T2896">
        <v>0</v>
      </c>
      <c r="U2896">
        <v>0</v>
      </c>
      <c r="V2896">
        <v>0</v>
      </c>
      <c r="W2896">
        <v>0</v>
      </c>
      <c r="X2896">
        <v>1</v>
      </c>
      <c r="Y2896">
        <v>1</v>
      </c>
      <c r="Z2896">
        <v>0</v>
      </c>
      <c r="AA2896">
        <v>0</v>
      </c>
      <c r="AB2896">
        <v>0</v>
      </c>
      <c r="AC2896">
        <v>1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1</v>
      </c>
      <c r="AK2896">
        <v>1</v>
      </c>
      <c r="AL2896">
        <v>0</v>
      </c>
      <c r="AM2896">
        <v>0</v>
      </c>
    </row>
    <row r="2897" spans="1:39" x14ac:dyDescent="0.2">
      <c r="A2897" t="str">
        <f>"2893"</f>
        <v>2893</v>
      </c>
      <c r="B2897" t="str">
        <f t="shared" si="160"/>
        <v>1</v>
      </c>
      <c r="C2897" t="str">
        <f t="shared" si="161"/>
        <v>58</v>
      </c>
      <c r="D2897" t="str">
        <f>"4"</f>
        <v>4</v>
      </c>
      <c r="E2897" t="str">
        <f>"1-58-4"</f>
        <v>1-58-4</v>
      </c>
      <c r="F2897" t="s">
        <v>65</v>
      </c>
      <c r="G2897" t="s">
        <v>66</v>
      </c>
      <c r="H2897" t="s">
        <v>67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1</v>
      </c>
      <c r="Y2897">
        <v>0</v>
      </c>
      <c r="Z2897">
        <v>1</v>
      </c>
      <c r="AA2897">
        <v>0</v>
      </c>
      <c r="AB2897">
        <v>1</v>
      </c>
      <c r="AC2897">
        <v>0</v>
      </c>
      <c r="AD2897">
        <v>0</v>
      </c>
      <c r="AE2897">
        <v>0</v>
      </c>
      <c r="AF2897">
        <v>0</v>
      </c>
      <c r="AG2897">
        <v>1</v>
      </c>
      <c r="AH2897">
        <v>0</v>
      </c>
      <c r="AI2897">
        <v>1</v>
      </c>
      <c r="AJ2897">
        <v>0</v>
      </c>
      <c r="AK2897">
        <v>0</v>
      </c>
      <c r="AL2897">
        <v>0</v>
      </c>
      <c r="AM2897">
        <v>0</v>
      </c>
    </row>
    <row r="2898" spans="1:39" x14ac:dyDescent="0.2">
      <c r="A2898" t="str">
        <f>"2894"</f>
        <v>2894</v>
      </c>
      <c r="B2898" t="str">
        <f t="shared" si="160"/>
        <v>1</v>
      </c>
      <c r="C2898" t="str">
        <f t="shared" si="161"/>
        <v>58</v>
      </c>
      <c r="D2898" t="str">
        <f>"31"</f>
        <v>31</v>
      </c>
      <c r="E2898" t="str">
        <f>"1-58-31"</f>
        <v>1-58-31</v>
      </c>
      <c r="F2898" t="s">
        <v>65</v>
      </c>
      <c r="G2898" t="s">
        <v>66</v>
      </c>
      <c r="H2898" t="s">
        <v>67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1</v>
      </c>
      <c r="AI2898">
        <v>1</v>
      </c>
      <c r="AJ2898">
        <v>1</v>
      </c>
      <c r="AK2898">
        <v>1</v>
      </c>
      <c r="AL2898">
        <v>1</v>
      </c>
      <c r="AM2898">
        <v>1</v>
      </c>
    </row>
    <row r="2899" spans="1:39" x14ac:dyDescent="0.2">
      <c r="A2899" t="str">
        <f>"2895"</f>
        <v>2895</v>
      </c>
      <c r="B2899" t="str">
        <f t="shared" si="160"/>
        <v>1</v>
      </c>
      <c r="C2899" t="str">
        <f t="shared" si="161"/>
        <v>58</v>
      </c>
      <c r="D2899" t="str">
        <f>"10"</f>
        <v>10</v>
      </c>
      <c r="E2899" t="str">
        <f>"1-58-10"</f>
        <v>1-58-10</v>
      </c>
      <c r="F2899" t="s">
        <v>65</v>
      </c>
      <c r="G2899" t="s">
        <v>66</v>
      </c>
      <c r="H2899" t="s">
        <v>67</v>
      </c>
      <c r="S2899">
        <v>1</v>
      </c>
      <c r="T2899">
        <v>0</v>
      </c>
      <c r="U2899">
        <v>0</v>
      </c>
      <c r="V2899">
        <v>0</v>
      </c>
      <c r="W2899">
        <v>1</v>
      </c>
      <c r="X2899">
        <v>0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1</v>
      </c>
      <c r="AK2899">
        <v>0</v>
      </c>
      <c r="AL2899">
        <v>0</v>
      </c>
      <c r="AM2899">
        <v>0</v>
      </c>
    </row>
    <row r="2900" spans="1:39" x14ac:dyDescent="0.2">
      <c r="A2900" t="str">
        <f>"2896"</f>
        <v>2896</v>
      </c>
      <c r="B2900" t="str">
        <f t="shared" si="160"/>
        <v>1</v>
      </c>
      <c r="C2900" t="str">
        <f t="shared" si="161"/>
        <v>58</v>
      </c>
      <c r="D2900" t="str">
        <f>"32"</f>
        <v>32</v>
      </c>
      <c r="E2900" t="str">
        <f>"1-58-32"</f>
        <v>1-58-32</v>
      </c>
      <c r="F2900" t="s">
        <v>65</v>
      </c>
      <c r="G2900" t="s">
        <v>66</v>
      </c>
      <c r="H2900" t="s">
        <v>67</v>
      </c>
      <c r="S2900">
        <v>0</v>
      </c>
      <c r="T2900">
        <v>1</v>
      </c>
      <c r="U2900">
        <v>0</v>
      </c>
      <c r="V2900">
        <v>0</v>
      </c>
      <c r="W2900">
        <v>1</v>
      </c>
      <c r="X2900">
        <v>0</v>
      </c>
      <c r="Y2900">
        <v>1</v>
      </c>
      <c r="Z2900">
        <v>0</v>
      </c>
      <c r="AA2900">
        <v>0</v>
      </c>
      <c r="AB2900">
        <v>1</v>
      </c>
      <c r="AC2900">
        <v>0</v>
      </c>
      <c r="AD2900">
        <v>1</v>
      </c>
      <c r="AE2900">
        <v>1</v>
      </c>
      <c r="AF2900">
        <v>1</v>
      </c>
      <c r="AG2900">
        <v>1</v>
      </c>
      <c r="AH2900">
        <v>1</v>
      </c>
      <c r="AI2900">
        <v>1</v>
      </c>
      <c r="AJ2900">
        <v>1</v>
      </c>
      <c r="AK2900">
        <v>1</v>
      </c>
      <c r="AL2900">
        <v>1</v>
      </c>
      <c r="AM2900">
        <v>1</v>
      </c>
    </row>
    <row r="2901" spans="1:39" x14ac:dyDescent="0.2">
      <c r="A2901" t="str">
        <f>"2897"</f>
        <v>2897</v>
      </c>
      <c r="B2901" t="str">
        <f t="shared" si="160"/>
        <v>1</v>
      </c>
      <c r="C2901" t="str">
        <f t="shared" si="161"/>
        <v>58</v>
      </c>
      <c r="D2901" t="str">
        <f>"8"</f>
        <v>8</v>
      </c>
      <c r="E2901" t="str">
        <f>"1-58-8"</f>
        <v>1-58-8</v>
      </c>
      <c r="F2901" t="s">
        <v>65</v>
      </c>
      <c r="G2901" t="s">
        <v>66</v>
      </c>
      <c r="H2901" t="s">
        <v>67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0</v>
      </c>
      <c r="AB2901">
        <v>0</v>
      </c>
      <c r="AC2901">
        <v>1</v>
      </c>
      <c r="AD2901">
        <v>0</v>
      </c>
      <c r="AE2901">
        <v>0</v>
      </c>
      <c r="AF2901">
        <v>0</v>
      </c>
      <c r="AG2901">
        <v>1</v>
      </c>
      <c r="AH2901">
        <v>1</v>
      </c>
      <c r="AI2901">
        <v>1</v>
      </c>
      <c r="AJ2901">
        <v>1</v>
      </c>
      <c r="AK2901">
        <v>0</v>
      </c>
      <c r="AL2901">
        <v>1</v>
      </c>
      <c r="AM2901">
        <v>0</v>
      </c>
    </row>
    <row r="2902" spans="1:39" x14ac:dyDescent="0.2">
      <c r="A2902" t="str">
        <f>"2898"</f>
        <v>2898</v>
      </c>
      <c r="B2902" t="str">
        <f t="shared" si="160"/>
        <v>1</v>
      </c>
      <c r="C2902" t="str">
        <f t="shared" si="161"/>
        <v>58</v>
      </c>
      <c r="D2902" t="str">
        <f>"49"</f>
        <v>49</v>
      </c>
      <c r="E2902" t="str">
        <f>"1-58-49"</f>
        <v>1-58-49</v>
      </c>
      <c r="F2902" t="s">
        <v>65</v>
      </c>
      <c r="G2902" t="s">
        <v>66</v>
      </c>
      <c r="H2902" t="s">
        <v>67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</v>
      </c>
      <c r="Y2902">
        <v>1</v>
      </c>
      <c r="Z2902">
        <v>0</v>
      </c>
      <c r="AA2902">
        <v>1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1</v>
      </c>
      <c r="AJ2902">
        <v>0</v>
      </c>
      <c r="AK2902">
        <v>0</v>
      </c>
      <c r="AL2902">
        <v>0</v>
      </c>
      <c r="AM2902">
        <v>0</v>
      </c>
    </row>
    <row r="2903" spans="1:39" x14ac:dyDescent="0.2">
      <c r="A2903" t="str">
        <f>"2899"</f>
        <v>2899</v>
      </c>
      <c r="B2903" t="str">
        <f t="shared" si="160"/>
        <v>1</v>
      </c>
      <c r="C2903" t="str">
        <f t="shared" si="161"/>
        <v>58</v>
      </c>
      <c r="D2903" t="str">
        <f>"50"</f>
        <v>50</v>
      </c>
      <c r="E2903" t="str">
        <f>"1-58-50"</f>
        <v>1-58-50</v>
      </c>
      <c r="F2903" t="s">
        <v>65</v>
      </c>
      <c r="G2903" t="s">
        <v>66</v>
      </c>
      <c r="H2903" t="s">
        <v>67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1</v>
      </c>
      <c r="Y2903">
        <v>1</v>
      </c>
      <c r="Z2903">
        <v>0</v>
      </c>
      <c r="AA2903">
        <v>0</v>
      </c>
      <c r="AB2903">
        <v>1</v>
      </c>
      <c r="AC2903">
        <v>0</v>
      </c>
      <c r="AD2903">
        <v>1</v>
      </c>
      <c r="AE2903">
        <v>1</v>
      </c>
      <c r="AF2903">
        <v>1</v>
      </c>
      <c r="AG2903">
        <v>1</v>
      </c>
      <c r="AH2903">
        <v>1</v>
      </c>
      <c r="AI2903">
        <v>1</v>
      </c>
      <c r="AJ2903">
        <v>1</v>
      </c>
      <c r="AK2903">
        <v>1</v>
      </c>
      <c r="AL2903">
        <v>1</v>
      </c>
      <c r="AM2903">
        <v>1</v>
      </c>
    </row>
    <row r="2904" spans="1:39" x14ac:dyDescent="0.2">
      <c r="A2904" t="str">
        <f>"2900"</f>
        <v>2900</v>
      </c>
      <c r="B2904" t="str">
        <f t="shared" si="160"/>
        <v>1</v>
      </c>
      <c r="C2904" t="str">
        <f t="shared" si="161"/>
        <v>58</v>
      </c>
      <c r="D2904" t="str">
        <f>"48"</f>
        <v>48</v>
      </c>
      <c r="E2904" t="str">
        <f>"1-58-48"</f>
        <v>1-58-48</v>
      </c>
      <c r="F2904" t="s">
        <v>65</v>
      </c>
      <c r="G2904" t="s">
        <v>66</v>
      </c>
      <c r="H2904" t="s">
        <v>67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1</v>
      </c>
      <c r="Y2904">
        <v>0</v>
      </c>
      <c r="Z2904">
        <v>1</v>
      </c>
      <c r="AA2904">
        <v>1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</row>
    <row r="2905" spans="1:39" x14ac:dyDescent="0.2">
      <c r="A2905" t="str">
        <f>"2901"</f>
        <v>2901</v>
      </c>
      <c r="B2905" t="str">
        <f t="shared" si="160"/>
        <v>1</v>
      </c>
      <c r="C2905" t="str">
        <f t="shared" ref="C2905:C2936" si="162">"59"</f>
        <v>59</v>
      </c>
      <c r="D2905" t="str">
        <f>"40"</f>
        <v>40</v>
      </c>
      <c r="E2905" t="str">
        <f>"1-59-40"</f>
        <v>1-59-40</v>
      </c>
      <c r="F2905" t="s">
        <v>65</v>
      </c>
      <c r="G2905" t="s">
        <v>66</v>
      </c>
      <c r="H2905" t="s">
        <v>67</v>
      </c>
      <c r="S2905">
        <v>1</v>
      </c>
      <c r="T2905">
        <v>0</v>
      </c>
      <c r="U2905">
        <v>0</v>
      </c>
      <c r="V2905">
        <v>0</v>
      </c>
      <c r="W2905">
        <v>0</v>
      </c>
      <c r="X2905">
        <v>1</v>
      </c>
      <c r="Y2905">
        <v>1</v>
      </c>
      <c r="Z2905">
        <v>0</v>
      </c>
      <c r="AA2905">
        <v>0</v>
      </c>
      <c r="AB2905">
        <v>1</v>
      </c>
      <c r="AC2905">
        <v>0</v>
      </c>
      <c r="AD2905">
        <v>1</v>
      </c>
      <c r="AE2905">
        <v>1</v>
      </c>
      <c r="AF2905">
        <v>0</v>
      </c>
      <c r="AG2905">
        <v>1</v>
      </c>
      <c r="AH2905">
        <v>1</v>
      </c>
      <c r="AI2905">
        <v>1</v>
      </c>
      <c r="AJ2905">
        <v>1</v>
      </c>
      <c r="AK2905">
        <v>1</v>
      </c>
      <c r="AL2905">
        <v>1</v>
      </c>
      <c r="AM2905">
        <v>1</v>
      </c>
    </row>
    <row r="2906" spans="1:39" x14ac:dyDescent="0.2">
      <c r="A2906" t="str">
        <f>"2902"</f>
        <v>2902</v>
      </c>
      <c r="B2906" t="str">
        <f t="shared" si="160"/>
        <v>1</v>
      </c>
      <c r="C2906" t="str">
        <f t="shared" si="162"/>
        <v>59</v>
      </c>
      <c r="D2906" t="str">
        <f>"39"</f>
        <v>39</v>
      </c>
      <c r="E2906" t="str">
        <f>"1-59-39"</f>
        <v>1-59-39</v>
      </c>
      <c r="F2906" t="s">
        <v>65</v>
      </c>
      <c r="G2906" t="s">
        <v>66</v>
      </c>
      <c r="H2906" t="s">
        <v>67</v>
      </c>
      <c r="S2906">
        <v>1</v>
      </c>
      <c r="T2906">
        <v>0</v>
      </c>
      <c r="U2906">
        <v>0</v>
      </c>
      <c r="V2906">
        <v>0</v>
      </c>
      <c r="W2906">
        <v>0</v>
      </c>
      <c r="X2906">
        <v>1</v>
      </c>
      <c r="Y2906">
        <v>0</v>
      </c>
      <c r="Z2906">
        <v>1</v>
      </c>
      <c r="AA2906">
        <v>0</v>
      </c>
      <c r="AB2906">
        <v>0</v>
      </c>
      <c r="AC2906">
        <v>1</v>
      </c>
      <c r="AD2906">
        <v>1</v>
      </c>
      <c r="AE2906">
        <v>1</v>
      </c>
      <c r="AF2906">
        <v>0</v>
      </c>
      <c r="AG2906">
        <v>1</v>
      </c>
      <c r="AH2906">
        <v>1</v>
      </c>
      <c r="AI2906">
        <v>1</v>
      </c>
      <c r="AJ2906">
        <v>1</v>
      </c>
      <c r="AK2906">
        <v>1</v>
      </c>
      <c r="AL2906">
        <v>1</v>
      </c>
      <c r="AM2906">
        <v>1</v>
      </c>
    </row>
    <row r="2907" spans="1:39" x14ac:dyDescent="0.2">
      <c r="A2907" t="str">
        <f>"2903"</f>
        <v>2903</v>
      </c>
      <c r="B2907" t="str">
        <f t="shared" si="160"/>
        <v>1</v>
      </c>
      <c r="C2907" t="str">
        <f t="shared" si="162"/>
        <v>59</v>
      </c>
      <c r="D2907" t="str">
        <f>"29"</f>
        <v>29</v>
      </c>
      <c r="E2907" t="str">
        <f>"1-59-29"</f>
        <v>1-59-29</v>
      </c>
      <c r="F2907" t="s">
        <v>65</v>
      </c>
      <c r="G2907" t="s">
        <v>66</v>
      </c>
      <c r="H2907" t="s">
        <v>67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1</v>
      </c>
      <c r="Y2907">
        <v>0</v>
      </c>
      <c r="Z2907">
        <v>1</v>
      </c>
      <c r="AA2907">
        <v>0</v>
      </c>
      <c r="AB2907">
        <v>0</v>
      </c>
      <c r="AC2907">
        <v>1</v>
      </c>
      <c r="AD2907">
        <v>1</v>
      </c>
      <c r="AE2907">
        <v>1</v>
      </c>
      <c r="AF2907">
        <v>1</v>
      </c>
      <c r="AG2907">
        <v>1</v>
      </c>
      <c r="AH2907">
        <v>1</v>
      </c>
      <c r="AI2907">
        <v>1</v>
      </c>
      <c r="AJ2907">
        <v>1</v>
      </c>
      <c r="AK2907">
        <v>1</v>
      </c>
      <c r="AL2907">
        <v>1</v>
      </c>
      <c r="AM2907">
        <v>1</v>
      </c>
    </row>
    <row r="2908" spans="1:39" x14ac:dyDescent="0.2">
      <c r="A2908" t="str">
        <f>"2904"</f>
        <v>2904</v>
      </c>
      <c r="B2908" t="str">
        <f t="shared" si="160"/>
        <v>1</v>
      </c>
      <c r="C2908" t="str">
        <f t="shared" si="162"/>
        <v>59</v>
      </c>
      <c r="D2908" t="str">
        <f>"28"</f>
        <v>28</v>
      </c>
      <c r="E2908" t="str">
        <f>"1-59-28"</f>
        <v>1-59-28</v>
      </c>
      <c r="F2908" t="s">
        <v>65</v>
      </c>
      <c r="G2908" t="s">
        <v>66</v>
      </c>
      <c r="H2908" t="s">
        <v>67</v>
      </c>
      <c r="S2908">
        <v>1</v>
      </c>
      <c r="T2908">
        <v>0</v>
      </c>
      <c r="U2908">
        <v>0</v>
      </c>
      <c r="V2908">
        <v>0</v>
      </c>
      <c r="W2908">
        <v>0</v>
      </c>
      <c r="X2908">
        <v>1</v>
      </c>
      <c r="Y2908">
        <v>1</v>
      </c>
      <c r="Z2908">
        <v>0</v>
      </c>
      <c r="AA2908">
        <v>0</v>
      </c>
      <c r="AB2908">
        <v>1</v>
      </c>
      <c r="AC2908">
        <v>0</v>
      </c>
      <c r="AD2908">
        <v>1</v>
      </c>
      <c r="AE2908">
        <v>1</v>
      </c>
      <c r="AF2908">
        <v>0</v>
      </c>
      <c r="AG2908">
        <v>1</v>
      </c>
      <c r="AH2908">
        <v>0</v>
      </c>
      <c r="AI2908">
        <v>1</v>
      </c>
      <c r="AJ2908">
        <v>1</v>
      </c>
      <c r="AK2908">
        <v>1</v>
      </c>
      <c r="AL2908">
        <v>0</v>
      </c>
      <c r="AM2908">
        <v>1</v>
      </c>
    </row>
    <row r="2909" spans="1:39" x14ac:dyDescent="0.2">
      <c r="A2909" t="str">
        <f>"2905"</f>
        <v>2905</v>
      </c>
      <c r="B2909" t="str">
        <f t="shared" si="160"/>
        <v>1</v>
      </c>
      <c r="C2909" t="str">
        <f t="shared" si="162"/>
        <v>59</v>
      </c>
      <c r="D2909" t="str">
        <f>"21"</f>
        <v>21</v>
      </c>
      <c r="E2909" t="str">
        <f>"1-59-21"</f>
        <v>1-59-21</v>
      </c>
      <c r="F2909" t="s">
        <v>65</v>
      </c>
      <c r="G2909" t="s">
        <v>66</v>
      </c>
      <c r="H2909" t="s">
        <v>67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1</v>
      </c>
      <c r="Y2909">
        <v>0</v>
      </c>
      <c r="Z2909">
        <v>1</v>
      </c>
      <c r="AA2909">
        <v>0</v>
      </c>
      <c r="AB2909">
        <v>1</v>
      </c>
      <c r="AC2909">
        <v>0</v>
      </c>
      <c r="AD2909">
        <v>1</v>
      </c>
      <c r="AE2909">
        <v>1</v>
      </c>
      <c r="AF2909">
        <v>1</v>
      </c>
      <c r="AG2909">
        <v>1</v>
      </c>
      <c r="AH2909">
        <v>1</v>
      </c>
      <c r="AI2909">
        <v>1</v>
      </c>
      <c r="AJ2909">
        <v>1</v>
      </c>
      <c r="AK2909">
        <v>1</v>
      </c>
      <c r="AL2909">
        <v>1</v>
      </c>
      <c r="AM2909">
        <v>1</v>
      </c>
    </row>
    <row r="2910" spans="1:39" x14ac:dyDescent="0.2">
      <c r="A2910" t="str">
        <f>"2906"</f>
        <v>2906</v>
      </c>
      <c r="B2910" t="str">
        <f t="shared" si="160"/>
        <v>1</v>
      </c>
      <c r="C2910" t="str">
        <f t="shared" si="162"/>
        <v>59</v>
      </c>
      <c r="D2910" t="str">
        <f>"15"</f>
        <v>15</v>
      </c>
      <c r="E2910" t="str">
        <f>"1-59-15"</f>
        <v>1-59-15</v>
      </c>
      <c r="F2910" t="s">
        <v>65</v>
      </c>
      <c r="G2910" t="s">
        <v>66</v>
      </c>
      <c r="H2910" t="s">
        <v>67</v>
      </c>
      <c r="S2910">
        <v>0</v>
      </c>
      <c r="T2910">
        <v>1</v>
      </c>
      <c r="U2910">
        <v>0</v>
      </c>
      <c r="V2910">
        <v>0</v>
      </c>
      <c r="W2910">
        <v>1</v>
      </c>
      <c r="X2910">
        <v>0</v>
      </c>
      <c r="Y2910">
        <v>1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1</v>
      </c>
      <c r="AF2910">
        <v>1</v>
      </c>
      <c r="AG2910">
        <v>1</v>
      </c>
      <c r="AH2910">
        <v>1</v>
      </c>
      <c r="AI2910">
        <v>1</v>
      </c>
      <c r="AJ2910">
        <v>1</v>
      </c>
      <c r="AK2910">
        <v>1</v>
      </c>
      <c r="AL2910">
        <v>1</v>
      </c>
      <c r="AM2910">
        <v>1</v>
      </c>
    </row>
    <row r="2911" spans="1:39" x14ac:dyDescent="0.2">
      <c r="A2911" t="str">
        <f>"2907"</f>
        <v>2907</v>
      </c>
      <c r="B2911" t="str">
        <f t="shared" si="160"/>
        <v>1</v>
      </c>
      <c r="C2911" t="str">
        <f t="shared" si="162"/>
        <v>59</v>
      </c>
      <c r="D2911" t="str">
        <f>"5"</f>
        <v>5</v>
      </c>
      <c r="E2911" t="str">
        <f>"1-59-5"</f>
        <v>1-59-5</v>
      </c>
      <c r="F2911" t="s">
        <v>65</v>
      </c>
      <c r="G2911" t="s">
        <v>66</v>
      </c>
      <c r="H2911" t="s">
        <v>67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</row>
    <row r="2912" spans="1:39" x14ac:dyDescent="0.2">
      <c r="A2912" t="str">
        <f>"2908"</f>
        <v>2908</v>
      </c>
      <c r="B2912" t="str">
        <f t="shared" si="160"/>
        <v>1</v>
      </c>
      <c r="C2912" t="str">
        <f t="shared" si="162"/>
        <v>59</v>
      </c>
      <c r="D2912" t="str">
        <f>"38"</f>
        <v>38</v>
      </c>
      <c r="E2912" t="str">
        <f>"1-59-38"</f>
        <v>1-59-38</v>
      </c>
      <c r="F2912" t="s">
        <v>65</v>
      </c>
      <c r="G2912" t="s">
        <v>66</v>
      </c>
      <c r="H2912" t="s">
        <v>67</v>
      </c>
      <c r="S2912">
        <v>0</v>
      </c>
      <c r="T2912">
        <v>1</v>
      </c>
      <c r="U2912">
        <v>0</v>
      </c>
      <c r="V2912">
        <v>0</v>
      </c>
      <c r="W2912">
        <v>0</v>
      </c>
      <c r="X2912">
        <v>1</v>
      </c>
      <c r="Y2912">
        <v>0</v>
      </c>
      <c r="Z2912">
        <v>1</v>
      </c>
      <c r="AA2912">
        <v>0</v>
      </c>
      <c r="AB2912">
        <v>0</v>
      </c>
      <c r="AC2912">
        <v>1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1</v>
      </c>
      <c r="AM2912">
        <v>0</v>
      </c>
    </row>
    <row r="2913" spans="1:39" x14ac:dyDescent="0.2">
      <c r="A2913" t="str">
        <f>"2909"</f>
        <v>2909</v>
      </c>
      <c r="B2913" t="str">
        <f t="shared" si="160"/>
        <v>1</v>
      </c>
      <c r="C2913" t="str">
        <f t="shared" si="162"/>
        <v>59</v>
      </c>
      <c r="D2913" t="str">
        <f>"37"</f>
        <v>37</v>
      </c>
      <c r="E2913" t="str">
        <f>"1-59-37"</f>
        <v>1-59-37</v>
      </c>
      <c r="F2913" t="s">
        <v>65</v>
      </c>
      <c r="G2913" t="s">
        <v>66</v>
      </c>
      <c r="H2913" t="s">
        <v>67</v>
      </c>
      <c r="S2913">
        <v>0</v>
      </c>
      <c r="T2913">
        <v>1</v>
      </c>
      <c r="U2913">
        <v>0</v>
      </c>
      <c r="V2913">
        <v>0</v>
      </c>
      <c r="W2913">
        <v>1</v>
      </c>
      <c r="X2913">
        <v>0</v>
      </c>
      <c r="Y2913">
        <v>0</v>
      </c>
      <c r="Z2913">
        <v>1</v>
      </c>
      <c r="AA2913">
        <v>0</v>
      </c>
      <c r="AB2913">
        <v>0</v>
      </c>
      <c r="AC2913">
        <v>1</v>
      </c>
      <c r="AD2913">
        <v>1</v>
      </c>
      <c r="AE2913">
        <v>1</v>
      </c>
      <c r="AF2913">
        <v>1</v>
      </c>
      <c r="AG2913">
        <v>1</v>
      </c>
      <c r="AH2913">
        <v>1</v>
      </c>
      <c r="AI2913">
        <v>1</v>
      </c>
      <c r="AJ2913">
        <v>1</v>
      </c>
      <c r="AK2913">
        <v>1</v>
      </c>
      <c r="AL2913">
        <v>1</v>
      </c>
      <c r="AM2913">
        <v>1</v>
      </c>
    </row>
    <row r="2914" spans="1:39" x14ac:dyDescent="0.2">
      <c r="A2914" t="str">
        <f>"2910"</f>
        <v>2910</v>
      </c>
      <c r="B2914" t="str">
        <f t="shared" si="160"/>
        <v>1</v>
      </c>
      <c r="C2914" t="str">
        <f t="shared" si="162"/>
        <v>59</v>
      </c>
      <c r="D2914" t="str">
        <f>"30"</f>
        <v>30</v>
      </c>
      <c r="E2914" t="str">
        <f>"1-59-30"</f>
        <v>1-59-30</v>
      </c>
      <c r="F2914" t="s">
        <v>65</v>
      </c>
      <c r="G2914" t="s">
        <v>66</v>
      </c>
      <c r="H2914" t="s">
        <v>67</v>
      </c>
      <c r="S2914">
        <v>0</v>
      </c>
      <c r="T2914">
        <v>1</v>
      </c>
      <c r="U2914">
        <v>0</v>
      </c>
      <c r="V2914">
        <v>0</v>
      </c>
      <c r="W2914">
        <v>0</v>
      </c>
      <c r="X2914">
        <v>1</v>
      </c>
      <c r="Y2914">
        <v>1</v>
      </c>
      <c r="Z2914">
        <v>0</v>
      </c>
      <c r="AA2914">
        <v>0</v>
      </c>
      <c r="AB2914">
        <v>0</v>
      </c>
      <c r="AC2914">
        <v>1</v>
      </c>
      <c r="AD2914">
        <v>1</v>
      </c>
      <c r="AE2914">
        <v>1</v>
      </c>
      <c r="AF2914">
        <v>1</v>
      </c>
      <c r="AG2914">
        <v>1</v>
      </c>
      <c r="AH2914">
        <v>1</v>
      </c>
      <c r="AI2914">
        <v>1</v>
      </c>
      <c r="AJ2914">
        <v>1</v>
      </c>
      <c r="AK2914">
        <v>1</v>
      </c>
      <c r="AL2914">
        <v>1</v>
      </c>
      <c r="AM2914">
        <v>1</v>
      </c>
    </row>
    <row r="2915" spans="1:39" x14ac:dyDescent="0.2">
      <c r="A2915" t="str">
        <f>"2911"</f>
        <v>2911</v>
      </c>
      <c r="B2915" t="str">
        <f t="shared" si="160"/>
        <v>1</v>
      </c>
      <c r="C2915" t="str">
        <f t="shared" si="162"/>
        <v>59</v>
      </c>
      <c r="D2915" t="str">
        <f>"16"</f>
        <v>16</v>
      </c>
      <c r="E2915" t="str">
        <f>"1-59-16"</f>
        <v>1-59-16</v>
      </c>
      <c r="F2915" t="s">
        <v>65</v>
      </c>
      <c r="G2915" t="s">
        <v>66</v>
      </c>
      <c r="H2915" t="s">
        <v>67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1</v>
      </c>
      <c r="AI2915">
        <v>1</v>
      </c>
      <c r="AJ2915">
        <v>1</v>
      </c>
      <c r="AK2915">
        <v>1</v>
      </c>
      <c r="AL2915">
        <v>1</v>
      </c>
      <c r="AM2915">
        <v>0</v>
      </c>
    </row>
    <row r="2916" spans="1:39" x14ac:dyDescent="0.2">
      <c r="A2916" t="str">
        <f>"2912"</f>
        <v>2912</v>
      </c>
      <c r="B2916" t="str">
        <f t="shared" si="160"/>
        <v>1</v>
      </c>
      <c r="C2916" t="str">
        <f t="shared" si="162"/>
        <v>59</v>
      </c>
      <c r="D2916" t="str">
        <f>"4"</f>
        <v>4</v>
      </c>
      <c r="E2916" t="str">
        <f>"1-59-4"</f>
        <v>1-59-4</v>
      </c>
      <c r="F2916" t="s">
        <v>65</v>
      </c>
      <c r="G2916" t="s">
        <v>66</v>
      </c>
      <c r="H2916" t="s">
        <v>67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1</v>
      </c>
      <c r="AI2916">
        <v>1</v>
      </c>
      <c r="AJ2916">
        <v>1</v>
      </c>
      <c r="AK2916">
        <v>1</v>
      </c>
      <c r="AL2916">
        <v>1</v>
      </c>
      <c r="AM2916">
        <v>1</v>
      </c>
    </row>
    <row r="2917" spans="1:39" x14ac:dyDescent="0.2">
      <c r="A2917" t="str">
        <f>"2913"</f>
        <v>2913</v>
      </c>
      <c r="B2917" t="str">
        <f t="shared" si="160"/>
        <v>1</v>
      </c>
      <c r="C2917" t="str">
        <f t="shared" si="162"/>
        <v>59</v>
      </c>
      <c r="D2917" t="str">
        <f>"42"</f>
        <v>42</v>
      </c>
      <c r="E2917" t="str">
        <f>"1-59-42"</f>
        <v>1-59-42</v>
      </c>
      <c r="F2917" t="s">
        <v>65</v>
      </c>
      <c r="G2917" t="s">
        <v>66</v>
      </c>
      <c r="H2917" t="s">
        <v>67</v>
      </c>
      <c r="S2917">
        <v>0</v>
      </c>
      <c r="T2917">
        <v>1</v>
      </c>
      <c r="U2917">
        <v>0</v>
      </c>
      <c r="V2917">
        <v>0</v>
      </c>
      <c r="W2917">
        <v>1</v>
      </c>
      <c r="X2917">
        <v>0</v>
      </c>
      <c r="Y2917">
        <v>1</v>
      </c>
      <c r="Z2917">
        <v>0</v>
      </c>
      <c r="AA2917">
        <v>0</v>
      </c>
      <c r="AB2917">
        <v>1</v>
      </c>
      <c r="AC2917">
        <v>0</v>
      </c>
      <c r="AD2917">
        <v>1</v>
      </c>
      <c r="AE2917">
        <v>1</v>
      </c>
      <c r="AF2917">
        <v>1</v>
      </c>
      <c r="AG2917">
        <v>1</v>
      </c>
      <c r="AH2917">
        <v>1</v>
      </c>
      <c r="AI2917">
        <v>1</v>
      </c>
      <c r="AJ2917">
        <v>1</v>
      </c>
      <c r="AK2917">
        <v>1</v>
      </c>
      <c r="AL2917">
        <v>1</v>
      </c>
      <c r="AM2917">
        <v>1</v>
      </c>
    </row>
    <row r="2918" spans="1:39" x14ac:dyDescent="0.2">
      <c r="A2918" t="str">
        <f>"2914"</f>
        <v>2914</v>
      </c>
      <c r="B2918" t="str">
        <f t="shared" si="160"/>
        <v>1</v>
      </c>
      <c r="C2918" t="str">
        <f t="shared" si="162"/>
        <v>59</v>
      </c>
      <c r="D2918" t="str">
        <f>"41"</f>
        <v>41</v>
      </c>
      <c r="E2918" t="str">
        <f>"1-59-41"</f>
        <v>1-59-41</v>
      </c>
      <c r="F2918" t="s">
        <v>65</v>
      </c>
      <c r="G2918" t="s">
        <v>66</v>
      </c>
      <c r="H2918" t="s">
        <v>67</v>
      </c>
      <c r="S2918">
        <v>1</v>
      </c>
      <c r="T2918">
        <v>0</v>
      </c>
      <c r="U2918">
        <v>0</v>
      </c>
      <c r="V2918">
        <v>0</v>
      </c>
      <c r="W2918">
        <v>1</v>
      </c>
      <c r="X2918">
        <v>0</v>
      </c>
      <c r="Y2918">
        <v>1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1</v>
      </c>
      <c r="AF2918">
        <v>1</v>
      </c>
      <c r="AG2918">
        <v>1</v>
      </c>
      <c r="AH2918">
        <v>1</v>
      </c>
      <c r="AI2918">
        <v>1</v>
      </c>
      <c r="AJ2918">
        <v>1</v>
      </c>
      <c r="AK2918">
        <v>1</v>
      </c>
      <c r="AL2918">
        <v>1</v>
      </c>
      <c r="AM2918">
        <v>1</v>
      </c>
    </row>
    <row r="2919" spans="1:39" x14ac:dyDescent="0.2">
      <c r="A2919" t="str">
        <f>"2915"</f>
        <v>2915</v>
      </c>
      <c r="B2919" t="str">
        <f t="shared" si="160"/>
        <v>1</v>
      </c>
      <c r="C2919" t="str">
        <f t="shared" si="162"/>
        <v>59</v>
      </c>
      <c r="D2919" t="str">
        <f>"34"</f>
        <v>34</v>
      </c>
      <c r="E2919" t="str">
        <f>"1-59-34"</f>
        <v>1-59-34</v>
      </c>
      <c r="F2919" t="s">
        <v>65</v>
      </c>
      <c r="G2919" t="s">
        <v>66</v>
      </c>
      <c r="H2919" t="s">
        <v>67</v>
      </c>
      <c r="S2919">
        <v>0</v>
      </c>
      <c r="T2919">
        <v>1</v>
      </c>
      <c r="U2919">
        <v>0</v>
      </c>
      <c r="V2919">
        <v>0</v>
      </c>
      <c r="W2919">
        <v>0</v>
      </c>
      <c r="X2919">
        <v>1</v>
      </c>
      <c r="Y2919">
        <v>0</v>
      </c>
      <c r="Z2919">
        <v>1</v>
      </c>
      <c r="AA2919">
        <v>0</v>
      </c>
      <c r="AB2919">
        <v>0</v>
      </c>
      <c r="AC2919">
        <v>1</v>
      </c>
      <c r="AD2919">
        <v>0</v>
      </c>
      <c r="AE2919">
        <v>0</v>
      </c>
      <c r="AF2919">
        <v>0</v>
      </c>
      <c r="AG2919">
        <v>1</v>
      </c>
      <c r="AH2919">
        <v>1</v>
      </c>
      <c r="AI2919">
        <v>1</v>
      </c>
      <c r="AJ2919">
        <v>1</v>
      </c>
      <c r="AK2919">
        <v>1</v>
      </c>
      <c r="AL2919">
        <v>1</v>
      </c>
      <c r="AM2919">
        <v>1</v>
      </c>
    </row>
    <row r="2920" spans="1:39" x14ac:dyDescent="0.2">
      <c r="A2920" t="str">
        <f>"2916"</f>
        <v>2916</v>
      </c>
      <c r="B2920" t="str">
        <f t="shared" si="160"/>
        <v>1</v>
      </c>
      <c r="C2920" t="str">
        <f t="shared" si="162"/>
        <v>59</v>
      </c>
      <c r="D2920" t="str">
        <f>"17"</f>
        <v>17</v>
      </c>
      <c r="E2920" t="str">
        <f>"1-59-17"</f>
        <v>1-59-17</v>
      </c>
      <c r="F2920" t="s">
        <v>65</v>
      </c>
      <c r="G2920" t="s">
        <v>66</v>
      </c>
      <c r="H2920" t="s">
        <v>67</v>
      </c>
      <c r="S2920">
        <v>1</v>
      </c>
      <c r="T2920">
        <v>0</v>
      </c>
      <c r="U2920">
        <v>0</v>
      </c>
      <c r="V2920">
        <v>0</v>
      </c>
      <c r="W2920">
        <v>1</v>
      </c>
      <c r="X2920">
        <v>0</v>
      </c>
      <c r="Y2920">
        <v>1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1</v>
      </c>
      <c r="AF2920">
        <v>1</v>
      </c>
      <c r="AG2920">
        <v>1</v>
      </c>
      <c r="AH2920">
        <v>1</v>
      </c>
      <c r="AI2920">
        <v>1</v>
      </c>
      <c r="AJ2920">
        <v>1</v>
      </c>
      <c r="AK2920">
        <v>1</v>
      </c>
      <c r="AL2920">
        <v>1</v>
      </c>
      <c r="AM2920">
        <v>1</v>
      </c>
    </row>
    <row r="2921" spans="1:39" x14ac:dyDescent="0.2">
      <c r="A2921" t="str">
        <f>"2917"</f>
        <v>2917</v>
      </c>
      <c r="B2921" t="str">
        <f t="shared" si="160"/>
        <v>1</v>
      </c>
      <c r="C2921" t="str">
        <f t="shared" si="162"/>
        <v>59</v>
      </c>
      <c r="D2921" t="str">
        <f>"11"</f>
        <v>11</v>
      </c>
      <c r="E2921" t="str">
        <f>"1-59-11"</f>
        <v>1-59-11</v>
      </c>
      <c r="F2921" t="s">
        <v>65</v>
      </c>
      <c r="G2921" t="s">
        <v>66</v>
      </c>
      <c r="H2921" t="s">
        <v>67</v>
      </c>
      <c r="S2921">
        <v>0</v>
      </c>
      <c r="T2921">
        <v>1</v>
      </c>
      <c r="U2921">
        <v>0</v>
      </c>
      <c r="V2921">
        <v>0</v>
      </c>
      <c r="W2921">
        <v>0</v>
      </c>
      <c r="X2921">
        <v>1</v>
      </c>
      <c r="Y2921">
        <v>0</v>
      </c>
      <c r="Z2921">
        <v>1</v>
      </c>
      <c r="AA2921">
        <v>0</v>
      </c>
      <c r="AB2921">
        <v>0</v>
      </c>
      <c r="AC2921">
        <v>1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</row>
    <row r="2922" spans="1:39" x14ac:dyDescent="0.2">
      <c r="A2922" t="str">
        <f>"2918"</f>
        <v>2918</v>
      </c>
      <c r="B2922" t="str">
        <f t="shared" si="160"/>
        <v>1</v>
      </c>
      <c r="C2922" t="str">
        <f t="shared" si="162"/>
        <v>59</v>
      </c>
      <c r="D2922" t="str">
        <f>"44"</f>
        <v>44</v>
      </c>
      <c r="E2922" t="str">
        <f>"1-59-44"</f>
        <v>1-59-44</v>
      </c>
      <c r="F2922" t="s">
        <v>65</v>
      </c>
      <c r="G2922" t="s">
        <v>66</v>
      </c>
      <c r="H2922" t="s">
        <v>67</v>
      </c>
      <c r="S2922">
        <v>0</v>
      </c>
      <c r="T2922">
        <v>1</v>
      </c>
      <c r="U2922">
        <v>0</v>
      </c>
      <c r="V2922">
        <v>0</v>
      </c>
      <c r="W2922">
        <v>0</v>
      </c>
      <c r="X2922">
        <v>1</v>
      </c>
      <c r="Y2922">
        <v>1</v>
      </c>
      <c r="Z2922">
        <v>0</v>
      </c>
      <c r="AA2922">
        <v>0</v>
      </c>
      <c r="AB2922">
        <v>0</v>
      </c>
      <c r="AC2922">
        <v>1</v>
      </c>
      <c r="AD2922">
        <v>1</v>
      </c>
      <c r="AE2922">
        <v>1</v>
      </c>
      <c r="AF2922">
        <v>1</v>
      </c>
      <c r="AG2922">
        <v>1</v>
      </c>
      <c r="AH2922">
        <v>1</v>
      </c>
      <c r="AI2922">
        <v>1</v>
      </c>
      <c r="AJ2922">
        <v>1</v>
      </c>
      <c r="AK2922">
        <v>1</v>
      </c>
      <c r="AL2922">
        <v>1</v>
      </c>
      <c r="AM2922">
        <v>1</v>
      </c>
    </row>
    <row r="2923" spans="1:39" x14ac:dyDescent="0.2">
      <c r="A2923" t="str">
        <f>"2919"</f>
        <v>2919</v>
      </c>
      <c r="B2923" t="str">
        <f t="shared" si="160"/>
        <v>1</v>
      </c>
      <c r="C2923" t="str">
        <f t="shared" si="162"/>
        <v>59</v>
      </c>
      <c r="D2923" t="str">
        <f>"43"</f>
        <v>43</v>
      </c>
      <c r="E2923" t="str">
        <f>"1-59-43"</f>
        <v>1-59-43</v>
      </c>
      <c r="F2923" t="s">
        <v>65</v>
      </c>
      <c r="G2923" t="s">
        <v>66</v>
      </c>
      <c r="H2923" t="s">
        <v>67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0</v>
      </c>
      <c r="AB2923">
        <v>0</v>
      </c>
      <c r="AC2923">
        <v>1</v>
      </c>
      <c r="AD2923">
        <v>0</v>
      </c>
      <c r="AE2923">
        <v>0</v>
      </c>
      <c r="AF2923">
        <v>0</v>
      </c>
      <c r="AG2923">
        <v>1</v>
      </c>
      <c r="AH2923">
        <v>0</v>
      </c>
      <c r="AI2923">
        <v>1</v>
      </c>
      <c r="AJ2923">
        <v>1</v>
      </c>
      <c r="AK2923">
        <v>0</v>
      </c>
      <c r="AL2923">
        <v>0</v>
      </c>
      <c r="AM2923">
        <v>0</v>
      </c>
    </row>
    <row r="2924" spans="1:39" x14ac:dyDescent="0.2">
      <c r="A2924" t="str">
        <f>"2920"</f>
        <v>2920</v>
      </c>
      <c r="B2924" t="str">
        <f t="shared" si="160"/>
        <v>1</v>
      </c>
      <c r="C2924" t="str">
        <f t="shared" si="162"/>
        <v>59</v>
      </c>
      <c r="D2924" t="str">
        <f>"33"</f>
        <v>33</v>
      </c>
      <c r="E2924" t="str">
        <f>"1-59-33"</f>
        <v>1-59-33</v>
      </c>
      <c r="F2924" t="s">
        <v>65</v>
      </c>
      <c r="G2924" t="s">
        <v>66</v>
      </c>
      <c r="H2924" t="s">
        <v>67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1</v>
      </c>
      <c r="AI2924">
        <v>1</v>
      </c>
      <c r="AJ2924">
        <v>0</v>
      </c>
      <c r="AK2924">
        <v>0</v>
      </c>
      <c r="AL2924">
        <v>0</v>
      </c>
      <c r="AM2924">
        <v>0</v>
      </c>
    </row>
    <row r="2925" spans="1:39" x14ac:dyDescent="0.2">
      <c r="A2925" t="str">
        <f>"2921"</f>
        <v>2921</v>
      </c>
      <c r="B2925" t="str">
        <f t="shared" si="160"/>
        <v>1</v>
      </c>
      <c r="C2925" t="str">
        <f t="shared" si="162"/>
        <v>59</v>
      </c>
      <c r="D2925" t="str">
        <f>"18"</f>
        <v>18</v>
      </c>
      <c r="E2925" t="str">
        <f>"1-59-18"</f>
        <v>1-59-18</v>
      </c>
      <c r="F2925" t="s">
        <v>65</v>
      </c>
      <c r="G2925" t="s">
        <v>66</v>
      </c>
      <c r="H2925" t="s">
        <v>67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1</v>
      </c>
      <c r="AE2925">
        <v>1</v>
      </c>
      <c r="AF2925">
        <v>0</v>
      </c>
      <c r="AG2925">
        <v>1</v>
      </c>
      <c r="AH2925">
        <v>1</v>
      </c>
      <c r="AI2925">
        <v>1</v>
      </c>
      <c r="AJ2925">
        <v>1</v>
      </c>
      <c r="AK2925">
        <v>1</v>
      </c>
      <c r="AL2925">
        <v>1</v>
      </c>
      <c r="AM2925">
        <v>1</v>
      </c>
    </row>
    <row r="2926" spans="1:39" x14ac:dyDescent="0.2">
      <c r="A2926" t="str">
        <f>"2922"</f>
        <v>2922</v>
      </c>
      <c r="B2926" t="str">
        <f t="shared" si="160"/>
        <v>1</v>
      </c>
      <c r="C2926" t="str">
        <f t="shared" si="162"/>
        <v>59</v>
      </c>
      <c r="D2926" t="str">
        <f>"7"</f>
        <v>7</v>
      </c>
      <c r="E2926" t="str">
        <f>"1-59-7"</f>
        <v>1-59-7</v>
      </c>
      <c r="F2926" t="s">
        <v>65</v>
      </c>
      <c r="G2926" t="s">
        <v>66</v>
      </c>
      <c r="H2926" t="s">
        <v>67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1</v>
      </c>
      <c r="Y2926">
        <v>0</v>
      </c>
      <c r="Z2926">
        <v>1</v>
      </c>
      <c r="AA2926">
        <v>0</v>
      </c>
      <c r="AB2926">
        <v>0</v>
      </c>
      <c r="AC2926">
        <v>1</v>
      </c>
      <c r="AD2926">
        <v>0</v>
      </c>
      <c r="AE2926">
        <v>0</v>
      </c>
      <c r="AF2926">
        <v>0</v>
      </c>
      <c r="AG2926">
        <v>0</v>
      </c>
      <c r="AH2926">
        <v>1</v>
      </c>
      <c r="AI2926">
        <v>1</v>
      </c>
      <c r="AJ2926">
        <v>0</v>
      </c>
      <c r="AK2926">
        <v>0</v>
      </c>
      <c r="AL2926">
        <v>0</v>
      </c>
      <c r="AM2926">
        <v>0</v>
      </c>
    </row>
    <row r="2927" spans="1:39" x14ac:dyDescent="0.2">
      <c r="A2927" t="str">
        <f>"2923"</f>
        <v>2923</v>
      </c>
      <c r="B2927" t="str">
        <f t="shared" si="160"/>
        <v>1</v>
      </c>
      <c r="C2927" t="str">
        <f t="shared" si="162"/>
        <v>59</v>
      </c>
      <c r="D2927" t="str">
        <f>"48"</f>
        <v>48</v>
      </c>
      <c r="E2927" t="str">
        <f>"1-59-48"</f>
        <v>1-59-48</v>
      </c>
      <c r="F2927" t="s">
        <v>65</v>
      </c>
      <c r="G2927" t="s">
        <v>66</v>
      </c>
      <c r="H2927" t="s">
        <v>67</v>
      </c>
      <c r="S2927">
        <v>1</v>
      </c>
      <c r="T2927">
        <v>0</v>
      </c>
      <c r="U2927">
        <v>0</v>
      </c>
      <c r="V2927">
        <v>0</v>
      </c>
      <c r="W2927">
        <v>0</v>
      </c>
      <c r="X2927">
        <v>1</v>
      </c>
      <c r="Y2927">
        <v>1</v>
      </c>
      <c r="Z2927">
        <v>0</v>
      </c>
      <c r="AA2927">
        <v>0</v>
      </c>
      <c r="AB2927">
        <v>1</v>
      </c>
      <c r="AC2927">
        <v>0</v>
      </c>
      <c r="AD2927">
        <v>1</v>
      </c>
      <c r="AE2927">
        <v>1</v>
      </c>
      <c r="AF2927">
        <v>1</v>
      </c>
      <c r="AG2927">
        <v>1</v>
      </c>
      <c r="AH2927">
        <v>1</v>
      </c>
      <c r="AI2927">
        <v>1</v>
      </c>
      <c r="AJ2927">
        <v>1</v>
      </c>
      <c r="AK2927">
        <v>1</v>
      </c>
      <c r="AL2927">
        <v>1</v>
      </c>
      <c r="AM2927">
        <v>0</v>
      </c>
    </row>
    <row r="2928" spans="1:39" x14ac:dyDescent="0.2">
      <c r="A2928" t="str">
        <f>"2924"</f>
        <v>2924</v>
      </c>
      <c r="B2928" t="str">
        <f t="shared" si="160"/>
        <v>1</v>
      </c>
      <c r="C2928" t="str">
        <f t="shared" si="162"/>
        <v>59</v>
      </c>
      <c r="D2928" t="str">
        <f>"35"</f>
        <v>35</v>
      </c>
      <c r="E2928" t="str">
        <f>"1-59-35"</f>
        <v>1-59-35</v>
      </c>
      <c r="F2928" t="s">
        <v>65</v>
      </c>
      <c r="G2928" t="s">
        <v>66</v>
      </c>
      <c r="H2928" t="s">
        <v>67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1</v>
      </c>
      <c r="AH2928">
        <v>1</v>
      </c>
      <c r="AI2928">
        <v>1</v>
      </c>
      <c r="AJ2928">
        <v>0</v>
      </c>
      <c r="AK2928">
        <v>1</v>
      </c>
      <c r="AL2928">
        <v>0</v>
      </c>
      <c r="AM2928">
        <v>0</v>
      </c>
    </row>
    <row r="2929" spans="1:39" x14ac:dyDescent="0.2">
      <c r="A2929" t="str">
        <f>"2925"</f>
        <v>2925</v>
      </c>
      <c r="B2929" t="str">
        <f t="shared" si="160"/>
        <v>1</v>
      </c>
      <c r="C2929" t="str">
        <f t="shared" si="162"/>
        <v>59</v>
      </c>
      <c r="D2929" t="str">
        <f>"19"</f>
        <v>19</v>
      </c>
      <c r="E2929" t="str">
        <f>"1-59-19"</f>
        <v>1-59-19</v>
      </c>
      <c r="F2929" t="s">
        <v>65</v>
      </c>
      <c r="G2929" t="s">
        <v>66</v>
      </c>
      <c r="H2929" t="s">
        <v>67</v>
      </c>
      <c r="S2929">
        <v>0</v>
      </c>
      <c r="T2929">
        <v>1</v>
      </c>
      <c r="U2929">
        <v>0</v>
      </c>
      <c r="V2929">
        <v>0</v>
      </c>
      <c r="W2929">
        <v>0</v>
      </c>
      <c r="X2929">
        <v>1</v>
      </c>
      <c r="Y2929">
        <v>0</v>
      </c>
      <c r="Z2929">
        <v>1</v>
      </c>
      <c r="AA2929">
        <v>0</v>
      </c>
      <c r="AB2929">
        <v>0</v>
      </c>
      <c r="AC2929">
        <v>1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</row>
    <row r="2930" spans="1:39" x14ac:dyDescent="0.2">
      <c r="A2930" t="str">
        <f>"2926"</f>
        <v>2926</v>
      </c>
      <c r="B2930" t="str">
        <f t="shared" si="160"/>
        <v>1</v>
      </c>
      <c r="C2930" t="str">
        <f t="shared" si="162"/>
        <v>59</v>
      </c>
      <c r="D2930" t="str">
        <f>"6"</f>
        <v>6</v>
      </c>
      <c r="E2930" t="str">
        <f>"1-59-6"</f>
        <v>1-59-6</v>
      </c>
      <c r="F2930" t="s">
        <v>65</v>
      </c>
      <c r="G2930" t="s">
        <v>66</v>
      </c>
      <c r="H2930" t="s">
        <v>67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1</v>
      </c>
      <c r="Y2930">
        <v>0</v>
      </c>
      <c r="Z2930">
        <v>1</v>
      </c>
      <c r="AA2930">
        <v>1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1</v>
      </c>
      <c r="AJ2930">
        <v>1</v>
      </c>
      <c r="AK2930">
        <v>1</v>
      </c>
      <c r="AL2930">
        <v>0</v>
      </c>
      <c r="AM2930">
        <v>1</v>
      </c>
    </row>
    <row r="2931" spans="1:39" x14ac:dyDescent="0.2">
      <c r="A2931" t="str">
        <f>"2927"</f>
        <v>2927</v>
      </c>
      <c r="B2931" t="str">
        <f t="shared" si="160"/>
        <v>1</v>
      </c>
      <c r="C2931" t="str">
        <f t="shared" si="162"/>
        <v>59</v>
      </c>
      <c r="D2931" t="str">
        <f>"46"</f>
        <v>46</v>
      </c>
      <c r="E2931" t="str">
        <f>"1-59-46"</f>
        <v>1-59-46</v>
      </c>
      <c r="F2931" t="s">
        <v>65</v>
      </c>
      <c r="G2931" t="s">
        <v>66</v>
      </c>
      <c r="H2931" t="s">
        <v>67</v>
      </c>
      <c r="S2931">
        <v>0</v>
      </c>
      <c r="T2931">
        <v>1</v>
      </c>
      <c r="U2931">
        <v>0</v>
      </c>
      <c r="V2931">
        <v>0</v>
      </c>
      <c r="W2931">
        <v>1</v>
      </c>
      <c r="X2931">
        <v>0</v>
      </c>
      <c r="Y2931">
        <v>0</v>
      </c>
      <c r="Z2931">
        <v>1</v>
      </c>
      <c r="AA2931">
        <v>0</v>
      </c>
      <c r="AB2931">
        <v>1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</row>
    <row r="2932" spans="1:39" x14ac:dyDescent="0.2">
      <c r="A2932" t="str">
        <f>"2928"</f>
        <v>2928</v>
      </c>
      <c r="B2932" t="str">
        <f t="shared" si="160"/>
        <v>1</v>
      </c>
      <c r="C2932" t="str">
        <f t="shared" si="162"/>
        <v>59</v>
      </c>
      <c r="D2932" t="str">
        <f>"45"</f>
        <v>45</v>
      </c>
      <c r="E2932" t="str">
        <f>"1-59-45"</f>
        <v>1-59-45</v>
      </c>
      <c r="F2932" t="s">
        <v>65</v>
      </c>
      <c r="G2932" t="s">
        <v>66</v>
      </c>
      <c r="H2932" t="s">
        <v>67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0</v>
      </c>
      <c r="AB2932">
        <v>0</v>
      </c>
      <c r="AC2932">
        <v>1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</row>
    <row r="2933" spans="1:39" x14ac:dyDescent="0.2">
      <c r="A2933" t="str">
        <f>"2929"</f>
        <v>2929</v>
      </c>
      <c r="B2933" t="str">
        <f t="shared" si="160"/>
        <v>1</v>
      </c>
      <c r="C2933" t="str">
        <f t="shared" si="162"/>
        <v>59</v>
      </c>
      <c r="D2933" t="str">
        <f>"36"</f>
        <v>36</v>
      </c>
      <c r="E2933" t="str">
        <f>"1-59-36"</f>
        <v>1-59-36</v>
      </c>
      <c r="F2933" t="s">
        <v>65</v>
      </c>
      <c r="G2933" t="s">
        <v>66</v>
      </c>
      <c r="H2933" t="s">
        <v>67</v>
      </c>
      <c r="S2933">
        <v>0</v>
      </c>
      <c r="T2933">
        <v>1</v>
      </c>
      <c r="U2933">
        <v>0</v>
      </c>
      <c r="V2933">
        <v>0</v>
      </c>
      <c r="W2933">
        <v>1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1</v>
      </c>
      <c r="AD2933">
        <v>1</v>
      </c>
      <c r="AE2933">
        <v>1</v>
      </c>
      <c r="AF2933">
        <v>1</v>
      </c>
      <c r="AG2933">
        <v>1</v>
      </c>
      <c r="AH2933">
        <v>1</v>
      </c>
      <c r="AI2933">
        <v>1</v>
      </c>
      <c r="AJ2933">
        <v>1</v>
      </c>
      <c r="AK2933">
        <v>1</v>
      </c>
      <c r="AL2933">
        <v>1</v>
      </c>
      <c r="AM2933">
        <v>0</v>
      </c>
    </row>
    <row r="2934" spans="1:39" x14ac:dyDescent="0.2">
      <c r="A2934" t="str">
        <f>"2930"</f>
        <v>2930</v>
      </c>
      <c r="B2934" t="str">
        <f t="shared" si="160"/>
        <v>1</v>
      </c>
      <c r="C2934" t="str">
        <f t="shared" si="162"/>
        <v>59</v>
      </c>
      <c r="D2934" t="str">
        <f>"20"</f>
        <v>20</v>
      </c>
      <c r="E2934" t="str">
        <f>"1-59-20"</f>
        <v>1-59-20</v>
      </c>
      <c r="F2934" t="s">
        <v>65</v>
      </c>
      <c r="G2934" t="s">
        <v>66</v>
      </c>
      <c r="H2934" t="s">
        <v>67</v>
      </c>
      <c r="S2934">
        <v>0</v>
      </c>
      <c r="T2934">
        <v>1</v>
      </c>
      <c r="U2934">
        <v>0</v>
      </c>
      <c r="V2934">
        <v>0</v>
      </c>
      <c r="W2934">
        <v>1</v>
      </c>
      <c r="X2934">
        <v>0</v>
      </c>
      <c r="Y2934">
        <v>1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1</v>
      </c>
      <c r="AF2934">
        <v>1</v>
      </c>
      <c r="AG2934">
        <v>1</v>
      </c>
      <c r="AH2934">
        <v>1</v>
      </c>
      <c r="AI2934">
        <v>1</v>
      </c>
      <c r="AJ2934">
        <v>1</v>
      </c>
      <c r="AK2934">
        <v>1</v>
      </c>
      <c r="AL2934">
        <v>1</v>
      </c>
      <c r="AM2934">
        <v>1</v>
      </c>
    </row>
    <row r="2935" spans="1:39" x14ac:dyDescent="0.2">
      <c r="A2935" t="str">
        <f>"2931"</f>
        <v>2931</v>
      </c>
      <c r="B2935" t="str">
        <f t="shared" ref="B2935:B2998" si="163">"1"</f>
        <v>1</v>
      </c>
      <c r="C2935" t="str">
        <f t="shared" si="162"/>
        <v>59</v>
      </c>
      <c r="D2935" t="str">
        <f>"8"</f>
        <v>8</v>
      </c>
      <c r="E2935" t="str">
        <f>"1-59-8"</f>
        <v>1-59-8</v>
      </c>
      <c r="F2935" t="s">
        <v>65</v>
      </c>
      <c r="G2935" t="s">
        <v>66</v>
      </c>
      <c r="H2935" t="s">
        <v>67</v>
      </c>
      <c r="S2935">
        <v>1</v>
      </c>
      <c r="T2935">
        <v>0</v>
      </c>
      <c r="U2935">
        <v>0</v>
      </c>
      <c r="V2935">
        <v>0</v>
      </c>
      <c r="W2935">
        <v>0</v>
      </c>
      <c r="X2935">
        <v>1</v>
      </c>
      <c r="Y2935">
        <v>1</v>
      </c>
      <c r="Z2935">
        <v>0</v>
      </c>
      <c r="AA2935">
        <v>0</v>
      </c>
      <c r="AB2935">
        <v>1</v>
      </c>
      <c r="AC2935">
        <v>0</v>
      </c>
      <c r="AD2935">
        <v>1</v>
      </c>
      <c r="AE2935">
        <v>1</v>
      </c>
      <c r="AF2935">
        <v>1</v>
      </c>
      <c r="AG2935">
        <v>1</v>
      </c>
      <c r="AH2935">
        <v>1</v>
      </c>
      <c r="AI2935">
        <v>1</v>
      </c>
      <c r="AJ2935">
        <v>1</v>
      </c>
      <c r="AK2935">
        <v>1</v>
      </c>
      <c r="AL2935">
        <v>0</v>
      </c>
      <c r="AM2935">
        <v>1</v>
      </c>
    </row>
    <row r="2936" spans="1:39" x14ac:dyDescent="0.2">
      <c r="A2936" t="str">
        <f>"2932"</f>
        <v>2932</v>
      </c>
      <c r="B2936" t="str">
        <f t="shared" si="163"/>
        <v>1</v>
      </c>
      <c r="C2936" t="str">
        <f t="shared" si="162"/>
        <v>59</v>
      </c>
      <c r="D2936" t="str">
        <f>"49"</f>
        <v>49</v>
      </c>
      <c r="E2936" t="str">
        <f>"1-59-49"</f>
        <v>1-59-49</v>
      </c>
      <c r="F2936" t="s">
        <v>65</v>
      </c>
      <c r="G2936" t="s">
        <v>66</v>
      </c>
      <c r="H2936" t="s">
        <v>67</v>
      </c>
      <c r="S2936">
        <v>1</v>
      </c>
      <c r="T2936">
        <v>0</v>
      </c>
      <c r="U2936">
        <v>0</v>
      </c>
      <c r="V2936">
        <v>0</v>
      </c>
      <c r="W2936">
        <v>1</v>
      </c>
      <c r="X2936">
        <v>0</v>
      </c>
      <c r="Y2936">
        <v>1</v>
      </c>
      <c r="Z2936">
        <v>0</v>
      </c>
      <c r="AA2936">
        <v>0</v>
      </c>
      <c r="AB2936">
        <v>0</v>
      </c>
      <c r="AC2936">
        <v>1</v>
      </c>
      <c r="AD2936">
        <v>1</v>
      </c>
      <c r="AE2936">
        <v>1</v>
      </c>
      <c r="AF2936">
        <v>1</v>
      </c>
      <c r="AG2936">
        <v>1</v>
      </c>
      <c r="AH2936">
        <v>1</v>
      </c>
      <c r="AI2936">
        <v>1</v>
      </c>
      <c r="AJ2936">
        <v>1</v>
      </c>
      <c r="AK2936">
        <v>1</v>
      </c>
      <c r="AL2936">
        <v>1</v>
      </c>
      <c r="AM2936">
        <v>1</v>
      </c>
    </row>
    <row r="2937" spans="1:39" x14ac:dyDescent="0.2">
      <c r="A2937" t="str">
        <f>"2933"</f>
        <v>2933</v>
      </c>
      <c r="B2937" t="str">
        <f t="shared" si="163"/>
        <v>1</v>
      </c>
      <c r="C2937" t="str">
        <f t="shared" ref="C2937:C2954" si="164">"59"</f>
        <v>59</v>
      </c>
      <c r="D2937" t="str">
        <f>"22"</f>
        <v>22</v>
      </c>
      <c r="E2937" t="str">
        <f>"1-59-22"</f>
        <v>1-59-22</v>
      </c>
      <c r="F2937" t="s">
        <v>65</v>
      </c>
      <c r="G2937" t="s">
        <v>66</v>
      </c>
      <c r="H2937" t="s">
        <v>67</v>
      </c>
      <c r="S2937">
        <v>0</v>
      </c>
      <c r="T2937">
        <v>1</v>
      </c>
      <c r="U2937">
        <v>0</v>
      </c>
      <c r="V2937">
        <v>0</v>
      </c>
      <c r="W2937">
        <v>1</v>
      </c>
      <c r="X2937">
        <v>0</v>
      </c>
      <c r="Y2937">
        <v>1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1</v>
      </c>
      <c r="AF2937">
        <v>1</v>
      </c>
      <c r="AG2937">
        <v>1</v>
      </c>
      <c r="AH2937">
        <v>1</v>
      </c>
      <c r="AI2937">
        <v>1</v>
      </c>
      <c r="AJ2937">
        <v>1</v>
      </c>
      <c r="AK2937">
        <v>1</v>
      </c>
      <c r="AL2937">
        <v>1</v>
      </c>
      <c r="AM2937">
        <v>1</v>
      </c>
    </row>
    <row r="2938" spans="1:39" x14ac:dyDescent="0.2">
      <c r="A2938" t="str">
        <f>"2934"</f>
        <v>2934</v>
      </c>
      <c r="B2938" t="str">
        <f t="shared" si="163"/>
        <v>1</v>
      </c>
      <c r="C2938" t="str">
        <f t="shared" si="164"/>
        <v>59</v>
      </c>
      <c r="D2938" t="str">
        <f>"10"</f>
        <v>10</v>
      </c>
      <c r="E2938" t="str">
        <f>"1-59-10"</f>
        <v>1-59-10</v>
      </c>
      <c r="F2938" t="s">
        <v>65</v>
      </c>
      <c r="G2938" t="s">
        <v>66</v>
      </c>
      <c r="H2938" t="s">
        <v>67</v>
      </c>
      <c r="S2938">
        <v>1</v>
      </c>
      <c r="T2938">
        <v>0</v>
      </c>
      <c r="U2938">
        <v>0</v>
      </c>
      <c r="V2938">
        <v>0</v>
      </c>
      <c r="W2938">
        <v>1</v>
      </c>
      <c r="X2938">
        <v>0</v>
      </c>
      <c r="Y2938">
        <v>1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1</v>
      </c>
      <c r="AF2938">
        <v>1</v>
      </c>
      <c r="AG2938">
        <v>1</v>
      </c>
      <c r="AH2938">
        <v>1</v>
      </c>
      <c r="AI2938">
        <v>1</v>
      </c>
      <c r="AJ2938">
        <v>1</v>
      </c>
      <c r="AK2938">
        <v>1</v>
      </c>
      <c r="AL2938">
        <v>1</v>
      </c>
      <c r="AM2938">
        <v>1</v>
      </c>
    </row>
    <row r="2939" spans="1:39" x14ac:dyDescent="0.2">
      <c r="A2939" t="str">
        <f>"2935"</f>
        <v>2935</v>
      </c>
      <c r="B2939" t="str">
        <f t="shared" si="163"/>
        <v>1</v>
      </c>
      <c r="C2939" t="str">
        <f t="shared" si="164"/>
        <v>59</v>
      </c>
      <c r="D2939" t="str">
        <f>"23"</f>
        <v>23</v>
      </c>
      <c r="E2939" t="str">
        <f>"1-59-23"</f>
        <v>1-59-23</v>
      </c>
      <c r="F2939" t="s">
        <v>65</v>
      </c>
      <c r="G2939" t="s">
        <v>66</v>
      </c>
      <c r="H2939" t="s">
        <v>67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</row>
    <row r="2940" spans="1:39" x14ac:dyDescent="0.2">
      <c r="A2940" t="str">
        <f>"2936"</f>
        <v>2936</v>
      </c>
      <c r="B2940" t="str">
        <f t="shared" si="163"/>
        <v>1</v>
      </c>
      <c r="C2940" t="str">
        <f t="shared" si="164"/>
        <v>59</v>
      </c>
      <c r="D2940" t="str">
        <f>"3"</f>
        <v>3</v>
      </c>
      <c r="E2940" t="str">
        <f>"1-59-3"</f>
        <v>1-59-3</v>
      </c>
      <c r="F2940" t="s">
        <v>65</v>
      </c>
      <c r="G2940" t="s">
        <v>66</v>
      </c>
      <c r="H2940" t="s">
        <v>67</v>
      </c>
      <c r="S2940">
        <v>1</v>
      </c>
      <c r="T2940">
        <v>0</v>
      </c>
      <c r="U2940">
        <v>0</v>
      </c>
      <c r="V2940">
        <v>0</v>
      </c>
      <c r="W2940">
        <v>1</v>
      </c>
      <c r="X2940">
        <v>0</v>
      </c>
      <c r="Y2940">
        <v>0</v>
      </c>
      <c r="Z2940">
        <v>1</v>
      </c>
      <c r="AA2940">
        <v>0</v>
      </c>
      <c r="AB2940">
        <v>1</v>
      </c>
      <c r="AC2940">
        <v>0</v>
      </c>
      <c r="AD2940">
        <v>1</v>
      </c>
      <c r="AE2940">
        <v>1</v>
      </c>
      <c r="AF2940">
        <v>1</v>
      </c>
      <c r="AG2940">
        <v>1</v>
      </c>
      <c r="AH2940">
        <v>1</v>
      </c>
      <c r="AI2940">
        <v>1</v>
      </c>
      <c r="AJ2940">
        <v>1</v>
      </c>
      <c r="AK2940">
        <v>1</v>
      </c>
      <c r="AL2940">
        <v>1</v>
      </c>
      <c r="AM2940">
        <v>1</v>
      </c>
    </row>
    <row r="2941" spans="1:39" x14ac:dyDescent="0.2">
      <c r="A2941" t="str">
        <f>"2937"</f>
        <v>2937</v>
      </c>
      <c r="B2941" t="str">
        <f t="shared" si="163"/>
        <v>1</v>
      </c>
      <c r="C2941" t="str">
        <f t="shared" si="164"/>
        <v>59</v>
      </c>
      <c r="D2941" t="str">
        <f>"24"</f>
        <v>24</v>
      </c>
      <c r="E2941" t="str">
        <f>"1-59-24"</f>
        <v>1-59-24</v>
      </c>
      <c r="F2941" t="s">
        <v>65</v>
      </c>
      <c r="G2941" t="s">
        <v>66</v>
      </c>
      <c r="H2941" t="s">
        <v>67</v>
      </c>
      <c r="S2941">
        <v>0</v>
      </c>
      <c r="T2941">
        <v>1</v>
      </c>
      <c r="U2941">
        <v>0</v>
      </c>
      <c r="V2941">
        <v>0</v>
      </c>
      <c r="W2941">
        <v>0</v>
      </c>
      <c r="X2941">
        <v>1</v>
      </c>
      <c r="Y2941">
        <v>0</v>
      </c>
      <c r="Z2941">
        <v>1</v>
      </c>
      <c r="AA2941">
        <v>0</v>
      </c>
      <c r="AB2941">
        <v>1</v>
      </c>
      <c r="AC2941">
        <v>0</v>
      </c>
      <c r="AD2941">
        <v>1</v>
      </c>
      <c r="AE2941">
        <v>1</v>
      </c>
      <c r="AF2941">
        <v>1</v>
      </c>
      <c r="AG2941">
        <v>1</v>
      </c>
      <c r="AH2941">
        <v>1</v>
      </c>
      <c r="AI2941">
        <v>1</v>
      </c>
      <c r="AJ2941">
        <v>1</v>
      </c>
      <c r="AK2941">
        <v>1</v>
      </c>
      <c r="AL2941">
        <v>1</v>
      </c>
      <c r="AM2941">
        <v>1</v>
      </c>
    </row>
    <row r="2942" spans="1:39" x14ac:dyDescent="0.2">
      <c r="A2942" t="str">
        <f>"2938"</f>
        <v>2938</v>
      </c>
      <c r="B2942" t="str">
        <f t="shared" si="163"/>
        <v>1</v>
      </c>
      <c r="C2942" t="str">
        <f t="shared" si="164"/>
        <v>59</v>
      </c>
      <c r="D2942" t="str">
        <f>"12"</f>
        <v>12</v>
      </c>
      <c r="E2942" t="str">
        <f>"1-59-12"</f>
        <v>1-59-12</v>
      </c>
      <c r="F2942" t="s">
        <v>65</v>
      </c>
      <c r="G2942" t="s">
        <v>66</v>
      </c>
      <c r="H2942" t="s">
        <v>67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1</v>
      </c>
      <c r="Y2942">
        <v>0</v>
      </c>
      <c r="Z2942">
        <v>1</v>
      </c>
      <c r="AA2942">
        <v>0</v>
      </c>
      <c r="AB2942">
        <v>0</v>
      </c>
      <c r="AC2942">
        <v>1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</row>
    <row r="2943" spans="1:39" x14ac:dyDescent="0.2">
      <c r="A2943" t="str">
        <f>"2939"</f>
        <v>2939</v>
      </c>
      <c r="B2943" t="str">
        <f t="shared" si="163"/>
        <v>1</v>
      </c>
      <c r="C2943" t="str">
        <f t="shared" si="164"/>
        <v>59</v>
      </c>
      <c r="D2943" t="str">
        <f>"25"</f>
        <v>25</v>
      </c>
      <c r="E2943" t="str">
        <f>"1-59-25"</f>
        <v>1-59-25</v>
      </c>
      <c r="F2943" t="s">
        <v>65</v>
      </c>
      <c r="G2943" t="s">
        <v>66</v>
      </c>
      <c r="H2943" t="s">
        <v>67</v>
      </c>
      <c r="S2943">
        <v>0</v>
      </c>
      <c r="T2943">
        <v>1</v>
      </c>
      <c r="U2943">
        <v>0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0</v>
      </c>
      <c r="AB2943">
        <v>0</v>
      </c>
      <c r="AC2943">
        <v>1</v>
      </c>
      <c r="AD2943">
        <v>1</v>
      </c>
      <c r="AE2943">
        <v>1</v>
      </c>
      <c r="AF2943">
        <v>1</v>
      </c>
      <c r="AG2943">
        <v>1</v>
      </c>
      <c r="AH2943">
        <v>1</v>
      </c>
      <c r="AI2943">
        <v>1</v>
      </c>
      <c r="AJ2943">
        <v>0</v>
      </c>
      <c r="AK2943">
        <v>0</v>
      </c>
      <c r="AL2943">
        <v>1</v>
      </c>
      <c r="AM2943">
        <v>1</v>
      </c>
    </row>
    <row r="2944" spans="1:39" x14ac:dyDescent="0.2">
      <c r="A2944" t="str">
        <f>"2940"</f>
        <v>2940</v>
      </c>
      <c r="B2944" t="str">
        <f t="shared" si="163"/>
        <v>1</v>
      </c>
      <c r="C2944" t="str">
        <f t="shared" si="164"/>
        <v>59</v>
      </c>
      <c r="D2944" t="str">
        <f>"1"</f>
        <v>1</v>
      </c>
      <c r="E2944" t="str">
        <f>"1-59-1"</f>
        <v>1-59-1</v>
      </c>
      <c r="F2944" t="s">
        <v>65</v>
      </c>
      <c r="G2944" t="s">
        <v>66</v>
      </c>
      <c r="H2944" t="s">
        <v>67</v>
      </c>
      <c r="S2944">
        <v>1</v>
      </c>
      <c r="T2944">
        <v>0</v>
      </c>
      <c r="U2944">
        <v>0</v>
      </c>
      <c r="V2944">
        <v>0</v>
      </c>
      <c r="W2944">
        <v>1</v>
      </c>
      <c r="X2944">
        <v>0</v>
      </c>
      <c r="Y2944">
        <v>1</v>
      </c>
      <c r="Z2944">
        <v>0</v>
      </c>
      <c r="AA2944">
        <v>0</v>
      </c>
      <c r="AB2944">
        <v>1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</row>
    <row r="2945" spans="1:39" x14ac:dyDescent="0.2">
      <c r="A2945" t="str">
        <f>"2941"</f>
        <v>2941</v>
      </c>
      <c r="B2945" t="str">
        <f t="shared" si="163"/>
        <v>1</v>
      </c>
      <c r="C2945" t="str">
        <f t="shared" si="164"/>
        <v>59</v>
      </c>
      <c r="D2945" t="str">
        <f>"26"</f>
        <v>26</v>
      </c>
      <c r="E2945" t="str">
        <f>"1-59-26"</f>
        <v>1-59-26</v>
      </c>
      <c r="F2945" t="s">
        <v>65</v>
      </c>
      <c r="G2945" t="s">
        <v>66</v>
      </c>
      <c r="H2945" t="s">
        <v>67</v>
      </c>
      <c r="S2945">
        <v>1</v>
      </c>
      <c r="T2945">
        <v>0</v>
      </c>
      <c r="U2945">
        <v>0</v>
      </c>
      <c r="V2945">
        <v>0</v>
      </c>
      <c r="W2945">
        <v>1</v>
      </c>
      <c r="X2945">
        <v>0</v>
      </c>
      <c r="Y2945">
        <v>1</v>
      </c>
      <c r="Z2945">
        <v>0</v>
      </c>
      <c r="AA2945">
        <v>0</v>
      </c>
      <c r="AB2945">
        <v>1</v>
      </c>
      <c r="AC2945">
        <v>0</v>
      </c>
      <c r="AD2945">
        <v>1</v>
      </c>
      <c r="AE2945">
        <v>1</v>
      </c>
      <c r="AF2945">
        <v>1</v>
      </c>
      <c r="AG2945">
        <v>1</v>
      </c>
      <c r="AH2945">
        <v>1</v>
      </c>
      <c r="AI2945">
        <v>1</v>
      </c>
      <c r="AJ2945">
        <v>1</v>
      </c>
      <c r="AK2945">
        <v>1</v>
      </c>
      <c r="AL2945">
        <v>1</v>
      </c>
      <c r="AM2945">
        <v>1</v>
      </c>
    </row>
    <row r="2946" spans="1:39" x14ac:dyDescent="0.2">
      <c r="A2946" t="str">
        <f>"2942"</f>
        <v>2942</v>
      </c>
      <c r="B2946" t="str">
        <f t="shared" si="163"/>
        <v>1</v>
      </c>
      <c r="C2946" t="str">
        <f t="shared" si="164"/>
        <v>59</v>
      </c>
      <c r="D2946" t="str">
        <f>"14"</f>
        <v>14</v>
      </c>
      <c r="E2946" t="str">
        <f>"1-59-14"</f>
        <v>1-59-14</v>
      </c>
      <c r="F2946" t="s">
        <v>65</v>
      </c>
      <c r="G2946" t="s">
        <v>66</v>
      </c>
      <c r="H2946" t="s">
        <v>67</v>
      </c>
      <c r="S2946">
        <v>0</v>
      </c>
      <c r="T2946">
        <v>1</v>
      </c>
      <c r="U2946">
        <v>0</v>
      </c>
      <c r="V2946">
        <v>0</v>
      </c>
      <c r="W2946">
        <v>0</v>
      </c>
      <c r="X2946">
        <v>1</v>
      </c>
      <c r="Y2946">
        <v>0</v>
      </c>
      <c r="Z2946">
        <v>1</v>
      </c>
      <c r="AA2946">
        <v>0</v>
      </c>
      <c r="AB2946">
        <v>0</v>
      </c>
      <c r="AC2946">
        <v>1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</row>
    <row r="2947" spans="1:39" x14ac:dyDescent="0.2">
      <c r="A2947" t="str">
        <f>"2943"</f>
        <v>2943</v>
      </c>
      <c r="B2947" t="str">
        <f t="shared" si="163"/>
        <v>1</v>
      </c>
      <c r="C2947" t="str">
        <f t="shared" si="164"/>
        <v>59</v>
      </c>
      <c r="D2947" t="str">
        <f>"50"</f>
        <v>50</v>
      </c>
      <c r="E2947" t="str">
        <f>"1-59-50"</f>
        <v>1-59-50</v>
      </c>
      <c r="F2947" t="s">
        <v>65</v>
      </c>
      <c r="G2947" t="s">
        <v>66</v>
      </c>
      <c r="H2947" t="s">
        <v>67</v>
      </c>
      <c r="S2947">
        <v>1</v>
      </c>
      <c r="T2947">
        <v>0</v>
      </c>
      <c r="U2947">
        <v>0</v>
      </c>
      <c r="V2947">
        <v>0</v>
      </c>
      <c r="W2947">
        <v>1</v>
      </c>
      <c r="X2947">
        <v>0</v>
      </c>
      <c r="Y2947">
        <v>1</v>
      </c>
      <c r="Z2947">
        <v>0</v>
      </c>
      <c r="AA2947">
        <v>0</v>
      </c>
      <c r="AB2947">
        <v>0</v>
      </c>
      <c r="AC2947">
        <v>1</v>
      </c>
      <c r="AD2947">
        <v>1</v>
      </c>
      <c r="AE2947">
        <v>1</v>
      </c>
      <c r="AF2947">
        <v>1</v>
      </c>
      <c r="AG2947">
        <v>1</v>
      </c>
      <c r="AH2947">
        <v>1</v>
      </c>
      <c r="AI2947">
        <v>1</v>
      </c>
      <c r="AJ2947">
        <v>1</v>
      </c>
      <c r="AK2947">
        <v>1</v>
      </c>
      <c r="AL2947">
        <v>1</v>
      </c>
      <c r="AM2947">
        <v>1</v>
      </c>
    </row>
    <row r="2948" spans="1:39" x14ac:dyDescent="0.2">
      <c r="A2948" t="str">
        <f>"2944"</f>
        <v>2944</v>
      </c>
      <c r="B2948" t="str">
        <f t="shared" si="163"/>
        <v>1</v>
      </c>
      <c r="C2948" t="str">
        <f t="shared" si="164"/>
        <v>59</v>
      </c>
      <c r="D2948" t="str">
        <f>"27"</f>
        <v>27</v>
      </c>
      <c r="E2948" t="str">
        <f>"1-59-27"</f>
        <v>1-59-27</v>
      </c>
      <c r="F2948" t="s">
        <v>65</v>
      </c>
      <c r="G2948" t="s">
        <v>66</v>
      </c>
      <c r="H2948" t="s">
        <v>67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1</v>
      </c>
      <c r="Y2948">
        <v>0</v>
      </c>
      <c r="Z2948">
        <v>1</v>
      </c>
      <c r="AA2948">
        <v>0</v>
      </c>
      <c r="AB2948">
        <v>1</v>
      </c>
      <c r="AC2948">
        <v>0</v>
      </c>
      <c r="AD2948">
        <v>1</v>
      </c>
      <c r="AE2948">
        <v>1</v>
      </c>
      <c r="AF2948">
        <v>1</v>
      </c>
      <c r="AG2948">
        <v>1</v>
      </c>
      <c r="AH2948">
        <v>1</v>
      </c>
      <c r="AI2948">
        <v>1</v>
      </c>
      <c r="AJ2948">
        <v>1</v>
      </c>
      <c r="AK2948">
        <v>1</v>
      </c>
      <c r="AL2948">
        <v>1</v>
      </c>
      <c r="AM2948">
        <v>1</v>
      </c>
    </row>
    <row r="2949" spans="1:39" x14ac:dyDescent="0.2">
      <c r="A2949" t="str">
        <f>"2945"</f>
        <v>2945</v>
      </c>
      <c r="B2949" t="str">
        <f t="shared" si="163"/>
        <v>1</v>
      </c>
      <c r="C2949" t="str">
        <f t="shared" si="164"/>
        <v>59</v>
      </c>
      <c r="D2949" t="str">
        <f>"13"</f>
        <v>13</v>
      </c>
      <c r="E2949" t="str">
        <f>"1-59-13"</f>
        <v>1-59-13</v>
      </c>
      <c r="F2949" t="s">
        <v>65</v>
      </c>
      <c r="G2949" t="s">
        <v>66</v>
      </c>
      <c r="H2949" t="s">
        <v>67</v>
      </c>
      <c r="S2949">
        <v>0</v>
      </c>
      <c r="T2949">
        <v>1</v>
      </c>
      <c r="U2949">
        <v>0</v>
      </c>
      <c r="V2949">
        <v>0</v>
      </c>
      <c r="W2949">
        <v>0</v>
      </c>
      <c r="X2949">
        <v>1</v>
      </c>
      <c r="Y2949">
        <v>0</v>
      </c>
      <c r="Z2949">
        <v>1</v>
      </c>
      <c r="AA2949">
        <v>0</v>
      </c>
      <c r="AB2949">
        <v>0</v>
      </c>
      <c r="AC2949">
        <v>1</v>
      </c>
      <c r="AD2949">
        <v>1</v>
      </c>
      <c r="AE2949">
        <v>1</v>
      </c>
      <c r="AF2949">
        <v>1</v>
      </c>
      <c r="AG2949">
        <v>1</v>
      </c>
      <c r="AH2949">
        <v>1</v>
      </c>
      <c r="AI2949">
        <v>1</v>
      </c>
      <c r="AJ2949">
        <v>1</v>
      </c>
      <c r="AK2949">
        <v>1</v>
      </c>
      <c r="AL2949">
        <v>1</v>
      </c>
      <c r="AM2949">
        <v>1</v>
      </c>
    </row>
    <row r="2950" spans="1:39" x14ac:dyDescent="0.2">
      <c r="A2950" t="str">
        <f>"2946"</f>
        <v>2946</v>
      </c>
      <c r="B2950" t="str">
        <f t="shared" si="163"/>
        <v>1</v>
      </c>
      <c r="C2950" t="str">
        <f t="shared" si="164"/>
        <v>59</v>
      </c>
      <c r="D2950" t="str">
        <f>"31"</f>
        <v>31</v>
      </c>
      <c r="E2950" t="str">
        <f>"1-59-31"</f>
        <v>1-59-31</v>
      </c>
      <c r="F2950" t="s">
        <v>65</v>
      </c>
      <c r="G2950" t="s">
        <v>66</v>
      </c>
      <c r="H2950" t="s">
        <v>67</v>
      </c>
      <c r="S2950">
        <v>0</v>
      </c>
      <c r="T2950">
        <v>1</v>
      </c>
      <c r="U2950">
        <v>0</v>
      </c>
      <c r="V2950">
        <v>0</v>
      </c>
      <c r="W2950">
        <v>1</v>
      </c>
      <c r="X2950">
        <v>0</v>
      </c>
      <c r="Y2950">
        <v>0</v>
      </c>
      <c r="Z2950">
        <v>1</v>
      </c>
      <c r="AA2950">
        <v>0</v>
      </c>
      <c r="AB2950">
        <v>0</v>
      </c>
      <c r="AC2950">
        <v>1</v>
      </c>
      <c r="AD2950">
        <v>1</v>
      </c>
      <c r="AE2950">
        <v>1</v>
      </c>
      <c r="AF2950">
        <v>1</v>
      </c>
      <c r="AG2950">
        <v>1</v>
      </c>
      <c r="AH2950">
        <v>1</v>
      </c>
      <c r="AI2950">
        <v>1</v>
      </c>
      <c r="AJ2950">
        <v>1</v>
      </c>
      <c r="AK2950">
        <v>1</v>
      </c>
      <c r="AL2950">
        <v>1</v>
      </c>
      <c r="AM2950">
        <v>1</v>
      </c>
    </row>
    <row r="2951" spans="1:39" x14ac:dyDescent="0.2">
      <c r="A2951" t="str">
        <f>"2947"</f>
        <v>2947</v>
      </c>
      <c r="B2951" t="str">
        <f t="shared" si="163"/>
        <v>1</v>
      </c>
      <c r="C2951" t="str">
        <f t="shared" si="164"/>
        <v>59</v>
      </c>
      <c r="D2951" t="str">
        <f>"2"</f>
        <v>2</v>
      </c>
      <c r="E2951" t="str">
        <f>"1-59-2"</f>
        <v>1-59-2</v>
      </c>
      <c r="F2951" t="s">
        <v>65</v>
      </c>
      <c r="G2951" t="s">
        <v>66</v>
      </c>
      <c r="H2951" t="s">
        <v>67</v>
      </c>
      <c r="S2951">
        <v>0</v>
      </c>
      <c r="T2951">
        <v>1</v>
      </c>
      <c r="U2951">
        <v>0</v>
      </c>
      <c r="V2951">
        <v>0</v>
      </c>
      <c r="W2951">
        <v>1</v>
      </c>
      <c r="X2951">
        <v>0</v>
      </c>
      <c r="Y2951">
        <v>1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1</v>
      </c>
      <c r="AF2951">
        <v>1</v>
      </c>
      <c r="AG2951">
        <v>1</v>
      </c>
      <c r="AH2951">
        <v>1</v>
      </c>
      <c r="AI2951">
        <v>1</v>
      </c>
      <c r="AJ2951">
        <v>1</v>
      </c>
      <c r="AK2951">
        <v>1</v>
      </c>
      <c r="AL2951">
        <v>1</v>
      </c>
      <c r="AM2951">
        <v>1</v>
      </c>
    </row>
    <row r="2952" spans="1:39" x14ac:dyDescent="0.2">
      <c r="A2952" t="str">
        <f>"2948"</f>
        <v>2948</v>
      </c>
      <c r="B2952" t="str">
        <f t="shared" si="163"/>
        <v>1</v>
      </c>
      <c r="C2952" t="str">
        <f t="shared" si="164"/>
        <v>59</v>
      </c>
      <c r="D2952" t="str">
        <f>"32"</f>
        <v>32</v>
      </c>
      <c r="E2952" t="str">
        <f>"1-59-32"</f>
        <v>1-59-32</v>
      </c>
      <c r="F2952" t="s">
        <v>65</v>
      </c>
      <c r="G2952" t="s">
        <v>66</v>
      </c>
      <c r="H2952" t="s">
        <v>67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</row>
    <row r="2953" spans="1:39" x14ac:dyDescent="0.2">
      <c r="A2953" t="str">
        <f>"2949"</f>
        <v>2949</v>
      </c>
      <c r="B2953" t="str">
        <f t="shared" si="163"/>
        <v>1</v>
      </c>
      <c r="C2953" t="str">
        <f t="shared" si="164"/>
        <v>59</v>
      </c>
      <c r="D2953" t="str">
        <f>"9"</f>
        <v>9</v>
      </c>
      <c r="E2953" t="str">
        <f>"1-59-9"</f>
        <v>1-59-9</v>
      </c>
      <c r="F2953" t="s">
        <v>65</v>
      </c>
      <c r="G2953" t="s">
        <v>66</v>
      </c>
      <c r="H2953" t="s">
        <v>67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1</v>
      </c>
      <c r="Y2953">
        <v>1</v>
      </c>
      <c r="Z2953">
        <v>0</v>
      </c>
      <c r="AA2953">
        <v>0</v>
      </c>
      <c r="AB2953">
        <v>1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</row>
    <row r="2954" spans="1:39" x14ac:dyDescent="0.2">
      <c r="A2954" t="str">
        <f>"2950"</f>
        <v>2950</v>
      </c>
      <c r="B2954" t="str">
        <f t="shared" si="163"/>
        <v>1</v>
      </c>
      <c r="C2954" t="str">
        <f t="shared" si="164"/>
        <v>59</v>
      </c>
      <c r="D2954" t="str">
        <f>"47"</f>
        <v>47</v>
      </c>
      <c r="E2954" t="str">
        <f>"1-59-47"</f>
        <v>1-59-47</v>
      </c>
      <c r="F2954" t="s">
        <v>65</v>
      </c>
      <c r="G2954" t="s">
        <v>66</v>
      </c>
      <c r="H2954" t="s">
        <v>67</v>
      </c>
      <c r="S2954">
        <v>1</v>
      </c>
      <c r="T2954">
        <v>0</v>
      </c>
      <c r="U2954">
        <v>0</v>
      </c>
      <c r="V2954">
        <v>0</v>
      </c>
      <c r="W2954">
        <v>1</v>
      </c>
      <c r="X2954">
        <v>0</v>
      </c>
      <c r="Y2954">
        <v>0</v>
      </c>
      <c r="Z2954">
        <v>1</v>
      </c>
      <c r="AA2954">
        <v>1</v>
      </c>
      <c r="AB2954">
        <v>0</v>
      </c>
      <c r="AC2954">
        <v>0</v>
      </c>
      <c r="AD2954">
        <v>1</v>
      </c>
      <c r="AE2954">
        <v>1</v>
      </c>
      <c r="AF2954">
        <v>1</v>
      </c>
      <c r="AG2954">
        <v>1</v>
      </c>
      <c r="AH2954">
        <v>1</v>
      </c>
      <c r="AI2954">
        <v>1</v>
      </c>
      <c r="AJ2954">
        <v>1</v>
      </c>
      <c r="AK2954">
        <v>1</v>
      </c>
      <c r="AL2954">
        <v>1</v>
      </c>
      <c r="AM2954">
        <v>1</v>
      </c>
    </row>
    <row r="2955" spans="1:39" x14ac:dyDescent="0.2">
      <c r="A2955" t="str">
        <f>"2951"</f>
        <v>2951</v>
      </c>
      <c r="B2955" t="str">
        <f t="shared" si="163"/>
        <v>1</v>
      </c>
      <c r="C2955" t="str">
        <f t="shared" ref="C2955:C2986" si="165">"60"</f>
        <v>60</v>
      </c>
      <c r="D2955" t="str">
        <f>"44"</f>
        <v>44</v>
      </c>
      <c r="E2955" t="str">
        <f>"1-60-44"</f>
        <v>1-60-44</v>
      </c>
      <c r="F2955" t="s">
        <v>65</v>
      </c>
      <c r="G2955" t="s">
        <v>66</v>
      </c>
      <c r="H2955" t="s">
        <v>67</v>
      </c>
      <c r="S2955">
        <v>1</v>
      </c>
      <c r="T2955">
        <v>0</v>
      </c>
      <c r="U2955">
        <v>0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0</v>
      </c>
      <c r="AB2955">
        <v>1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1</v>
      </c>
      <c r="AJ2955">
        <v>0</v>
      </c>
      <c r="AK2955">
        <v>0</v>
      </c>
      <c r="AL2955">
        <v>0</v>
      </c>
      <c r="AM2955">
        <v>0</v>
      </c>
    </row>
    <row r="2956" spans="1:39" x14ac:dyDescent="0.2">
      <c r="A2956" t="str">
        <f>"2952"</f>
        <v>2952</v>
      </c>
      <c r="B2956" t="str">
        <f t="shared" si="163"/>
        <v>1</v>
      </c>
      <c r="C2956" t="str">
        <f t="shared" si="165"/>
        <v>60</v>
      </c>
      <c r="D2956" t="str">
        <f>"43"</f>
        <v>43</v>
      </c>
      <c r="E2956" t="str">
        <f>"1-60-43"</f>
        <v>1-60-43</v>
      </c>
      <c r="F2956" t="s">
        <v>65</v>
      </c>
      <c r="G2956" t="s">
        <v>66</v>
      </c>
      <c r="H2956" t="s">
        <v>67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1</v>
      </c>
      <c r="AA2956">
        <v>0</v>
      </c>
      <c r="AB2956">
        <v>1</v>
      </c>
      <c r="AC2956">
        <v>0</v>
      </c>
      <c r="AD2956">
        <v>1</v>
      </c>
      <c r="AE2956">
        <v>1</v>
      </c>
      <c r="AF2956">
        <v>1</v>
      </c>
      <c r="AG2956">
        <v>1</v>
      </c>
      <c r="AH2956">
        <v>1</v>
      </c>
      <c r="AI2956">
        <v>1</v>
      </c>
      <c r="AJ2956">
        <v>1</v>
      </c>
      <c r="AK2956">
        <v>1</v>
      </c>
      <c r="AL2956">
        <v>1</v>
      </c>
      <c r="AM2956">
        <v>1</v>
      </c>
    </row>
    <row r="2957" spans="1:39" x14ac:dyDescent="0.2">
      <c r="A2957" t="str">
        <f>"2953"</f>
        <v>2953</v>
      </c>
      <c r="B2957" t="str">
        <f t="shared" si="163"/>
        <v>1</v>
      </c>
      <c r="C2957" t="str">
        <f t="shared" si="165"/>
        <v>60</v>
      </c>
      <c r="D2957" t="str">
        <f>"32"</f>
        <v>32</v>
      </c>
      <c r="E2957" t="str">
        <f>"1-60-32"</f>
        <v>1-60-32</v>
      </c>
      <c r="F2957" t="s">
        <v>65</v>
      </c>
      <c r="G2957" t="s">
        <v>66</v>
      </c>
      <c r="H2957" t="s">
        <v>67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0</v>
      </c>
      <c r="AB2957">
        <v>0</v>
      </c>
      <c r="AC2957">
        <v>1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</row>
    <row r="2958" spans="1:39" x14ac:dyDescent="0.2">
      <c r="A2958" t="str">
        <f>"2954"</f>
        <v>2954</v>
      </c>
      <c r="B2958" t="str">
        <f t="shared" si="163"/>
        <v>1</v>
      </c>
      <c r="C2958" t="str">
        <f t="shared" si="165"/>
        <v>60</v>
      </c>
      <c r="D2958" t="str">
        <f>"15"</f>
        <v>15</v>
      </c>
      <c r="E2958" t="str">
        <f>"1-60-15"</f>
        <v>1-60-15</v>
      </c>
      <c r="F2958" t="s">
        <v>65</v>
      </c>
      <c r="G2958" t="s">
        <v>66</v>
      </c>
      <c r="H2958" t="s">
        <v>67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</row>
    <row r="2959" spans="1:39" x14ac:dyDescent="0.2">
      <c r="A2959" t="str">
        <f>"2955"</f>
        <v>2955</v>
      </c>
      <c r="B2959" t="str">
        <f t="shared" si="163"/>
        <v>1</v>
      </c>
      <c r="C2959" t="str">
        <f t="shared" si="165"/>
        <v>60</v>
      </c>
      <c r="D2959" t="str">
        <f>"4"</f>
        <v>4</v>
      </c>
      <c r="E2959" t="str">
        <f>"1-60-4"</f>
        <v>1-60-4</v>
      </c>
      <c r="F2959" t="s">
        <v>65</v>
      </c>
      <c r="G2959" t="s">
        <v>66</v>
      </c>
      <c r="H2959" t="s">
        <v>67</v>
      </c>
      <c r="S2959">
        <v>0</v>
      </c>
      <c r="T2959">
        <v>1</v>
      </c>
      <c r="U2959">
        <v>0</v>
      </c>
      <c r="V2959">
        <v>0</v>
      </c>
      <c r="W2959">
        <v>0</v>
      </c>
      <c r="X2959">
        <v>1</v>
      </c>
      <c r="Y2959">
        <v>1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1</v>
      </c>
      <c r="AH2959">
        <v>0</v>
      </c>
      <c r="AI2959">
        <v>1</v>
      </c>
      <c r="AJ2959">
        <v>0</v>
      </c>
      <c r="AK2959">
        <v>0</v>
      </c>
      <c r="AL2959">
        <v>1</v>
      </c>
      <c r="AM2959">
        <v>0</v>
      </c>
    </row>
    <row r="2960" spans="1:39" x14ac:dyDescent="0.2">
      <c r="A2960" t="str">
        <f>"2956"</f>
        <v>2956</v>
      </c>
      <c r="B2960" t="str">
        <f t="shared" si="163"/>
        <v>1</v>
      </c>
      <c r="C2960" t="str">
        <f t="shared" si="165"/>
        <v>60</v>
      </c>
      <c r="D2960" t="str">
        <f>"38"</f>
        <v>38</v>
      </c>
      <c r="E2960" t="str">
        <f>"1-60-38"</f>
        <v>1-60-38</v>
      </c>
      <c r="F2960" t="s">
        <v>65</v>
      </c>
      <c r="G2960" t="s">
        <v>66</v>
      </c>
      <c r="H2960" t="s">
        <v>67</v>
      </c>
      <c r="S2960">
        <v>0</v>
      </c>
      <c r="T2960">
        <v>1</v>
      </c>
      <c r="U2960">
        <v>0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0</v>
      </c>
      <c r="AB2960">
        <v>1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</row>
    <row r="2961" spans="1:39" x14ac:dyDescent="0.2">
      <c r="A2961" t="str">
        <f>"2957"</f>
        <v>2957</v>
      </c>
      <c r="B2961" t="str">
        <f t="shared" si="163"/>
        <v>1</v>
      </c>
      <c r="C2961" t="str">
        <f t="shared" si="165"/>
        <v>60</v>
      </c>
      <c r="D2961" t="str">
        <f>"37"</f>
        <v>37</v>
      </c>
      <c r="E2961" t="str">
        <f>"1-60-37"</f>
        <v>1-60-37</v>
      </c>
      <c r="F2961" t="s">
        <v>65</v>
      </c>
      <c r="G2961" t="s">
        <v>66</v>
      </c>
      <c r="H2961" t="s">
        <v>67</v>
      </c>
      <c r="S2961">
        <v>0</v>
      </c>
      <c r="T2961">
        <v>1</v>
      </c>
      <c r="U2961">
        <v>0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0</v>
      </c>
      <c r="AB2961">
        <v>0</v>
      </c>
      <c r="AC2961">
        <v>1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</row>
    <row r="2962" spans="1:39" x14ac:dyDescent="0.2">
      <c r="A2962" t="str">
        <f>"2958"</f>
        <v>2958</v>
      </c>
      <c r="B2962" t="str">
        <f t="shared" si="163"/>
        <v>1</v>
      </c>
      <c r="C2962" t="str">
        <f t="shared" si="165"/>
        <v>60</v>
      </c>
      <c r="D2962" t="str">
        <f>"27"</f>
        <v>27</v>
      </c>
      <c r="E2962" t="str">
        <f>"1-60-27"</f>
        <v>1-60-27</v>
      </c>
      <c r="F2962" t="s">
        <v>65</v>
      </c>
      <c r="G2962" t="s">
        <v>66</v>
      </c>
      <c r="H2962" t="s">
        <v>67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</row>
    <row r="2963" spans="1:39" x14ac:dyDescent="0.2">
      <c r="A2963" t="str">
        <f>"2959"</f>
        <v>2959</v>
      </c>
      <c r="B2963" t="str">
        <f t="shared" si="163"/>
        <v>1</v>
      </c>
      <c r="C2963" t="str">
        <f t="shared" si="165"/>
        <v>60</v>
      </c>
      <c r="D2963" t="str">
        <f>"16"</f>
        <v>16</v>
      </c>
      <c r="E2963" t="str">
        <f>"1-60-16"</f>
        <v>1-60-16</v>
      </c>
      <c r="F2963" t="s">
        <v>65</v>
      </c>
      <c r="G2963" t="s">
        <v>66</v>
      </c>
      <c r="H2963" t="s">
        <v>67</v>
      </c>
      <c r="S2963">
        <v>0</v>
      </c>
      <c r="T2963">
        <v>0</v>
      </c>
      <c r="U2963">
        <v>0</v>
      </c>
      <c r="V2963">
        <v>0</v>
      </c>
      <c r="W2963">
        <v>1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</row>
    <row r="2964" spans="1:39" x14ac:dyDescent="0.2">
      <c r="A2964" t="str">
        <f>"2960"</f>
        <v>2960</v>
      </c>
      <c r="B2964" t="str">
        <f t="shared" si="163"/>
        <v>1</v>
      </c>
      <c r="C2964" t="str">
        <f t="shared" si="165"/>
        <v>60</v>
      </c>
      <c r="D2964" t="str">
        <f>"3"</f>
        <v>3</v>
      </c>
      <c r="E2964" t="str">
        <f>"1-60-3"</f>
        <v>1-60-3</v>
      </c>
      <c r="F2964" t="s">
        <v>65</v>
      </c>
      <c r="G2964" t="s">
        <v>66</v>
      </c>
      <c r="H2964" t="s">
        <v>67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1</v>
      </c>
      <c r="Y2964">
        <v>0</v>
      </c>
      <c r="Z2964">
        <v>1</v>
      </c>
      <c r="AA2964">
        <v>0</v>
      </c>
      <c r="AB2964">
        <v>0</v>
      </c>
      <c r="AC2964">
        <v>1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1</v>
      </c>
      <c r="AJ2964">
        <v>1</v>
      </c>
      <c r="AK2964">
        <v>0</v>
      </c>
      <c r="AL2964">
        <v>0</v>
      </c>
      <c r="AM2964">
        <v>0</v>
      </c>
    </row>
    <row r="2965" spans="1:39" x14ac:dyDescent="0.2">
      <c r="A2965" t="str">
        <f>"2961"</f>
        <v>2961</v>
      </c>
      <c r="B2965" t="str">
        <f t="shared" si="163"/>
        <v>1</v>
      </c>
      <c r="C2965" t="str">
        <f t="shared" si="165"/>
        <v>60</v>
      </c>
      <c r="D2965" t="str">
        <f>"42"</f>
        <v>42</v>
      </c>
      <c r="E2965" t="str">
        <f>"1-60-42"</f>
        <v>1-60-42</v>
      </c>
      <c r="F2965" t="s">
        <v>65</v>
      </c>
      <c r="G2965" t="s">
        <v>66</v>
      </c>
      <c r="H2965" t="s">
        <v>67</v>
      </c>
      <c r="S2965">
        <v>1</v>
      </c>
      <c r="T2965">
        <v>0</v>
      </c>
      <c r="U2965">
        <v>0</v>
      </c>
      <c r="V2965">
        <v>0</v>
      </c>
      <c r="W2965">
        <v>1</v>
      </c>
      <c r="X2965">
        <v>0</v>
      </c>
      <c r="Y2965">
        <v>1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1</v>
      </c>
      <c r="AF2965">
        <v>1</v>
      </c>
      <c r="AG2965">
        <v>1</v>
      </c>
      <c r="AH2965">
        <v>1</v>
      </c>
      <c r="AI2965">
        <v>1</v>
      </c>
      <c r="AJ2965">
        <v>1</v>
      </c>
      <c r="AK2965">
        <v>1</v>
      </c>
      <c r="AL2965">
        <v>1</v>
      </c>
      <c r="AM2965">
        <v>1</v>
      </c>
    </row>
    <row r="2966" spans="1:39" x14ac:dyDescent="0.2">
      <c r="A2966" t="str">
        <f>"2962"</f>
        <v>2962</v>
      </c>
      <c r="B2966" t="str">
        <f t="shared" si="163"/>
        <v>1</v>
      </c>
      <c r="C2966" t="str">
        <f t="shared" si="165"/>
        <v>60</v>
      </c>
      <c r="D2966" t="str">
        <f>"41"</f>
        <v>41</v>
      </c>
      <c r="E2966" t="str">
        <f>"1-60-41"</f>
        <v>1-60-41</v>
      </c>
      <c r="F2966" t="s">
        <v>65</v>
      </c>
      <c r="G2966" t="s">
        <v>66</v>
      </c>
      <c r="H2966" t="s">
        <v>67</v>
      </c>
      <c r="S2966">
        <v>1</v>
      </c>
      <c r="T2966">
        <v>0</v>
      </c>
      <c r="U2966">
        <v>0</v>
      </c>
      <c r="V2966">
        <v>0</v>
      </c>
      <c r="W2966">
        <v>1</v>
      </c>
      <c r="X2966">
        <v>0</v>
      </c>
      <c r="Y2966">
        <v>1</v>
      </c>
      <c r="Z2966">
        <v>0</v>
      </c>
      <c r="AA2966">
        <v>1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</row>
    <row r="2967" spans="1:39" x14ac:dyDescent="0.2">
      <c r="A2967" t="str">
        <f>"2963"</f>
        <v>2963</v>
      </c>
      <c r="B2967" t="str">
        <f t="shared" si="163"/>
        <v>1</v>
      </c>
      <c r="C2967" t="str">
        <f t="shared" si="165"/>
        <v>60</v>
      </c>
      <c r="D2967" t="str">
        <f>"31"</f>
        <v>31</v>
      </c>
      <c r="E2967" t="str">
        <f>"1-60-31"</f>
        <v>1-60-31</v>
      </c>
      <c r="F2967" t="s">
        <v>65</v>
      </c>
      <c r="G2967" t="s">
        <v>66</v>
      </c>
      <c r="H2967" t="s">
        <v>67</v>
      </c>
      <c r="S2967">
        <v>0</v>
      </c>
      <c r="T2967">
        <v>1</v>
      </c>
      <c r="U2967">
        <v>0</v>
      </c>
      <c r="V2967">
        <v>0</v>
      </c>
      <c r="W2967">
        <v>0</v>
      </c>
      <c r="X2967">
        <v>1</v>
      </c>
      <c r="Y2967">
        <v>0</v>
      </c>
      <c r="Z2967">
        <v>1</v>
      </c>
      <c r="AA2967">
        <v>0</v>
      </c>
      <c r="AB2967">
        <v>1</v>
      </c>
      <c r="AC2967">
        <v>0</v>
      </c>
      <c r="AD2967">
        <v>1</v>
      </c>
      <c r="AE2967">
        <v>1</v>
      </c>
      <c r="AF2967">
        <v>1</v>
      </c>
      <c r="AG2967">
        <v>1</v>
      </c>
      <c r="AH2967">
        <v>1</v>
      </c>
      <c r="AI2967">
        <v>1</v>
      </c>
      <c r="AJ2967">
        <v>1</v>
      </c>
      <c r="AK2967">
        <v>1</v>
      </c>
      <c r="AL2967">
        <v>1</v>
      </c>
      <c r="AM2967">
        <v>1</v>
      </c>
    </row>
    <row r="2968" spans="1:39" x14ac:dyDescent="0.2">
      <c r="A2968" t="str">
        <f>"2964"</f>
        <v>2964</v>
      </c>
      <c r="B2968" t="str">
        <f t="shared" si="163"/>
        <v>1</v>
      </c>
      <c r="C2968" t="str">
        <f t="shared" si="165"/>
        <v>60</v>
      </c>
      <c r="D2968" t="str">
        <f>"17"</f>
        <v>17</v>
      </c>
      <c r="E2968" t="str">
        <f>"1-60-17"</f>
        <v>1-60-17</v>
      </c>
      <c r="F2968" t="s">
        <v>65</v>
      </c>
      <c r="G2968" t="s">
        <v>66</v>
      </c>
      <c r="H2968" t="s">
        <v>67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1</v>
      </c>
      <c r="Y2968">
        <v>1</v>
      </c>
      <c r="Z2968">
        <v>0</v>
      </c>
      <c r="AA2968">
        <v>0</v>
      </c>
      <c r="AB2968">
        <v>0</v>
      </c>
      <c r="AC2968">
        <v>1</v>
      </c>
      <c r="AD2968">
        <v>1</v>
      </c>
      <c r="AE2968">
        <v>1</v>
      </c>
      <c r="AF2968">
        <v>1</v>
      </c>
      <c r="AG2968">
        <v>1</v>
      </c>
      <c r="AH2968">
        <v>1</v>
      </c>
      <c r="AI2968">
        <v>1</v>
      </c>
      <c r="AJ2968">
        <v>1</v>
      </c>
      <c r="AK2968">
        <v>1</v>
      </c>
      <c r="AL2968">
        <v>1</v>
      </c>
      <c r="AM2968">
        <v>1</v>
      </c>
    </row>
    <row r="2969" spans="1:39" x14ac:dyDescent="0.2">
      <c r="A2969" t="str">
        <f>"2965"</f>
        <v>2965</v>
      </c>
      <c r="B2969" t="str">
        <f t="shared" si="163"/>
        <v>1</v>
      </c>
      <c r="C2969" t="str">
        <f t="shared" si="165"/>
        <v>60</v>
      </c>
      <c r="D2969" t="str">
        <f>"5"</f>
        <v>5</v>
      </c>
      <c r="E2969" t="str">
        <f>"1-60-5"</f>
        <v>1-60-5</v>
      </c>
      <c r="F2969" t="s">
        <v>65</v>
      </c>
      <c r="G2969" t="s">
        <v>66</v>
      </c>
      <c r="H2969" t="s">
        <v>67</v>
      </c>
      <c r="S2969">
        <v>0</v>
      </c>
      <c r="T2969">
        <v>1</v>
      </c>
      <c r="U2969">
        <v>0</v>
      </c>
      <c r="V2969">
        <v>0</v>
      </c>
      <c r="W2969">
        <v>0</v>
      </c>
      <c r="X2969">
        <v>1</v>
      </c>
      <c r="Y2969">
        <v>1</v>
      </c>
      <c r="Z2969">
        <v>0</v>
      </c>
      <c r="AA2969">
        <v>0</v>
      </c>
      <c r="AB2969">
        <v>0</v>
      </c>
      <c r="AC2969">
        <v>1</v>
      </c>
      <c r="AD2969">
        <v>1</v>
      </c>
      <c r="AE2969">
        <v>1</v>
      </c>
      <c r="AF2969">
        <v>1</v>
      </c>
      <c r="AG2969">
        <v>1</v>
      </c>
      <c r="AH2969">
        <v>1</v>
      </c>
      <c r="AI2969">
        <v>1</v>
      </c>
      <c r="AJ2969">
        <v>1</v>
      </c>
      <c r="AK2969">
        <v>1</v>
      </c>
      <c r="AL2969">
        <v>1</v>
      </c>
      <c r="AM2969">
        <v>1</v>
      </c>
    </row>
    <row r="2970" spans="1:39" x14ac:dyDescent="0.2">
      <c r="A2970" t="str">
        <f>"2966"</f>
        <v>2966</v>
      </c>
      <c r="B2970" t="str">
        <f t="shared" si="163"/>
        <v>1</v>
      </c>
      <c r="C2970" t="str">
        <f t="shared" si="165"/>
        <v>60</v>
      </c>
      <c r="D2970" t="str">
        <f>"40"</f>
        <v>40</v>
      </c>
      <c r="E2970" t="str">
        <f>"1-60-40"</f>
        <v>1-60-40</v>
      </c>
      <c r="F2970" t="s">
        <v>65</v>
      </c>
      <c r="G2970" t="s">
        <v>66</v>
      </c>
      <c r="H2970" t="s">
        <v>67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1</v>
      </c>
      <c r="AI2970">
        <v>0</v>
      </c>
      <c r="AJ2970">
        <v>1</v>
      </c>
      <c r="AK2970">
        <v>1</v>
      </c>
      <c r="AL2970">
        <v>0</v>
      </c>
      <c r="AM2970">
        <v>0</v>
      </c>
    </row>
    <row r="2971" spans="1:39" x14ac:dyDescent="0.2">
      <c r="A2971" t="str">
        <f>"2967"</f>
        <v>2967</v>
      </c>
      <c r="B2971" t="str">
        <f t="shared" si="163"/>
        <v>1</v>
      </c>
      <c r="C2971" t="str">
        <f t="shared" si="165"/>
        <v>60</v>
      </c>
      <c r="D2971" t="str">
        <f>"39"</f>
        <v>39</v>
      </c>
      <c r="E2971" t="str">
        <f>"1-60-39"</f>
        <v>1-60-39</v>
      </c>
      <c r="F2971" t="s">
        <v>65</v>
      </c>
      <c r="G2971" t="s">
        <v>66</v>
      </c>
      <c r="H2971" t="s">
        <v>67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1</v>
      </c>
      <c r="Y2971">
        <v>0</v>
      </c>
      <c r="Z2971">
        <v>1</v>
      </c>
      <c r="AA2971">
        <v>0</v>
      </c>
      <c r="AB2971">
        <v>0</v>
      </c>
      <c r="AC2971">
        <v>1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1</v>
      </c>
      <c r="AJ2971">
        <v>0</v>
      </c>
      <c r="AK2971">
        <v>0</v>
      </c>
      <c r="AL2971">
        <v>0</v>
      </c>
      <c r="AM2971">
        <v>0</v>
      </c>
    </row>
    <row r="2972" spans="1:39" x14ac:dyDescent="0.2">
      <c r="A2972" t="str">
        <f>"2968"</f>
        <v>2968</v>
      </c>
      <c r="B2972" t="str">
        <f t="shared" si="163"/>
        <v>1</v>
      </c>
      <c r="C2972" t="str">
        <f t="shared" si="165"/>
        <v>60</v>
      </c>
      <c r="D2972" t="str">
        <f>"30"</f>
        <v>30</v>
      </c>
      <c r="E2972" t="str">
        <f>"1-60-30"</f>
        <v>1-60-30</v>
      </c>
      <c r="F2972" t="s">
        <v>65</v>
      </c>
      <c r="G2972" t="s">
        <v>66</v>
      </c>
      <c r="H2972" t="s">
        <v>67</v>
      </c>
      <c r="S2972">
        <v>0</v>
      </c>
      <c r="T2972">
        <v>1</v>
      </c>
      <c r="U2972">
        <v>0</v>
      </c>
      <c r="V2972">
        <v>0</v>
      </c>
      <c r="W2972">
        <v>0</v>
      </c>
      <c r="X2972">
        <v>1</v>
      </c>
      <c r="Y2972">
        <v>0</v>
      </c>
      <c r="Z2972">
        <v>1</v>
      </c>
      <c r="AA2972">
        <v>0</v>
      </c>
      <c r="AB2972">
        <v>1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</row>
    <row r="2973" spans="1:39" x14ac:dyDescent="0.2">
      <c r="A2973" t="str">
        <f>"2969"</f>
        <v>2969</v>
      </c>
      <c r="B2973" t="str">
        <f t="shared" si="163"/>
        <v>1</v>
      </c>
      <c r="C2973" t="str">
        <f t="shared" si="165"/>
        <v>60</v>
      </c>
      <c r="D2973" t="str">
        <f>"11"</f>
        <v>11</v>
      </c>
      <c r="E2973" t="str">
        <f>"1-60-11"</f>
        <v>1-60-11</v>
      </c>
      <c r="F2973" t="s">
        <v>65</v>
      </c>
      <c r="G2973" t="s">
        <v>66</v>
      </c>
      <c r="H2973" t="s">
        <v>67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1</v>
      </c>
      <c r="AI2973">
        <v>1</v>
      </c>
      <c r="AJ2973">
        <v>0</v>
      </c>
      <c r="AK2973">
        <v>0</v>
      </c>
      <c r="AL2973">
        <v>1</v>
      </c>
      <c r="AM2973">
        <v>0</v>
      </c>
    </row>
    <row r="2974" spans="1:39" x14ac:dyDescent="0.2">
      <c r="A2974" t="str">
        <f>"2970"</f>
        <v>2970</v>
      </c>
      <c r="B2974" t="str">
        <f t="shared" si="163"/>
        <v>1</v>
      </c>
      <c r="C2974" t="str">
        <f t="shared" si="165"/>
        <v>60</v>
      </c>
      <c r="D2974" t="str">
        <f>"46"</f>
        <v>46</v>
      </c>
      <c r="E2974" t="str">
        <f>"1-60-46"</f>
        <v>1-60-46</v>
      </c>
      <c r="F2974" t="s">
        <v>65</v>
      </c>
      <c r="G2974" t="s">
        <v>66</v>
      </c>
      <c r="H2974" t="s">
        <v>67</v>
      </c>
      <c r="S2974">
        <v>1</v>
      </c>
      <c r="T2974">
        <v>0</v>
      </c>
      <c r="U2974">
        <v>0</v>
      </c>
      <c r="V2974">
        <v>0</v>
      </c>
      <c r="W2974">
        <v>0</v>
      </c>
      <c r="X2974">
        <v>1</v>
      </c>
      <c r="Y2974">
        <v>0</v>
      </c>
      <c r="Z2974">
        <v>1</v>
      </c>
      <c r="AA2974">
        <v>0</v>
      </c>
      <c r="AB2974">
        <v>0</v>
      </c>
      <c r="AC2974">
        <v>1</v>
      </c>
      <c r="AD2974">
        <v>1</v>
      </c>
      <c r="AE2974">
        <v>1</v>
      </c>
      <c r="AF2974">
        <v>1</v>
      </c>
      <c r="AG2974">
        <v>1</v>
      </c>
      <c r="AH2974">
        <v>1</v>
      </c>
      <c r="AI2974">
        <v>1</v>
      </c>
      <c r="AJ2974">
        <v>1</v>
      </c>
      <c r="AK2974">
        <v>1</v>
      </c>
      <c r="AL2974">
        <v>1</v>
      </c>
      <c r="AM2974">
        <v>1</v>
      </c>
    </row>
    <row r="2975" spans="1:39" x14ac:dyDescent="0.2">
      <c r="A2975" t="str">
        <f>"2971"</f>
        <v>2971</v>
      </c>
      <c r="B2975" t="str">
        <f t="shared" si="163"/>
        <v>1</v>
      </c>
      <c r="C2975" t="str">
        <f t="shared" si="165"/>
        <v>60</v>
      </c>
      <c r="D2975" t="str">
        <f>"45"</f>
        <v>45</v>
      </c>
      <c r="E2975" t="str">
        <f>"1-60-45"</f>
        <v>1-60-45</v>
      </c>
      <c r="F2975" t="s">
        <v>65</v>
      </c>
      <c r="G2975" t="s">
        <v>66</v>
      </c>
      <c r="H2975" t="s">
        <v>67</v>
      </c>
      <c r="S2975">
        <v>0</v>
      </c>
      <c r="T2975">
        <v>1</v>
      </c>
      <c r="U2975">
        <v>0</v>
      </c>
      <c r="V2975">
        <v>0</v>
      </c>
      <c r="W2975">
        <v>0</v>
      </c>
      <c r="X2975">
        <v>1</v>
      </c>
      <c r="Y2975">
        <v>1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1</v>
      </c>
      <c r="AF2975">
        <v>1</v>
      </c>
      <c r="AG2975">
        <v>1</v>
      </c>
      <c r="AH2975">
        <v>1</v>
      </c>
      <c r="AI2975">
        <v>1</v>
      </c>
      <c r="AJ2975">
        <v>1</v>
      </c>
      <c r="AK2975">
        <v>1</v>
      </c>
      <c r="AL2975">
        <v>1</v>
      </c>
      <c r="AM2975">
        <v>1</v>
      </c>
    </row>
    <row r="2976" spans="1:39" x14ac:dyDescent="0.2">
      <c r="A2976" t="str">
        <f>"2972"</f>
        <v>2972</v>
      </c>
      <c r="B2976" t="str">
        <f t="shared" si="163"/>
        <v>1</v>
      </c>
      <c r="C2976" t="str">
        <f t="shared" si="165"/>
        <v>60</v>
      </c>
      <c r="D2976" t="str">
        <f>"33"</f>
        <v>33</v>
      </c>
      <c r="E2976" t="str">
        <f>"1-60-33"</f>
        <v>1-60-33</v>
      </c>
      <c r="F2976" t="s">
        <v>65</v>
      </c>
      <c r="G2976" t="s">
        <v>66</v>
      </c>
      <c r="H2976" t="s">
        <v>67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0</v>
      </c>
      <c r="AB2976">
        <v>0</v>
      </c>
      <c r="AC2976">
        <v>1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</row>
    <row r="2977" spans="1:39" x14ac:dyDescent="0.2">
      <c r="A2977" t="str">
        <f>"2973"</f>
        <v>2973</v>
      </c>
      <c r="B2977" t="str">
        <f t="shared" si="163"/>
        <v>1</v>
      </c>
      <c r="C2977" t="str">
        <f t="shared" si="165"/>
        <v>60</v>
      </c>
      <c r="D2977" t="str">
        <f>"19"</f>
        <v>19</v>
      </c>
      <c r="E2977" t="str">
        <f>"1-60-19"</f>
        <v>1-60-19</v>
      </c>
      <c r="F2977" t="s">
        <v>65</v>
      </c>
      <c r="G2977" t="s">
        <v>66</v>
      </c>
      <c r="H2977" t="s">
        <v>67</v>
      </c>
      <c r="S2977">
        <v>0</v>
      </c>
      <c r="T2977">
        <v>0</v>
      </c>
      <c r="U2977">
        <v>0</v>
      </c>
      <c r="V2977">
        <v>0</v>
      </c>
      <c r="W2977">
        <v>1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1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</row>
    <row r="2978" spans="1:39" x14ac:dyDescent="0.2">
      <c r="A2978" t="str">
        <f>"2974"</f>
        <v>2974</v>
      </c>
      <c r="B2978" t="str">
        <f t="shared" si="163"/>
        <v>1</v>
      </c>
      <c r="C2978" t="str">
        <f t="shared" si="165"/>
        <v>60</v>
      </c>
      <c r="D2978" t="str">
        <f>"9"</f>
        <v>9</v>
      </c>
      <c r="E2978" t="str">
        <f>"1-60-9"</f>
        <v>1-60-9</v>
      </c>
      <c r="F2978" t="s">
        <v>65</v>
      </c>
      <c r="G2978" t="s">
        <v>66</v>
      </c>
      <c r="H2978" t="s">
        <v>67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1</v>
      </c>
      <c r="AI2978">
        <v>1</v>
      </c>
      <c r="AJ2978">
        <v>0</v>
      </c>
      <c r="AK2978">
        <v>0</v>
      </c>
      <c r="AL2978">
        <v>1</v>
      </c>
      <c r="AM2978">
        <v>0</v>
      </c>
    </row>
    <row r="2979" spans="1:39" x14ac:dyDescent="0.2">
      <c r="A2979" t="str">
        <f>"2975"</f>
        <v>2975</v>
      </c>
      <c r="B2979" t="str">
        <f t="shared" si="163"/>
        <v>1</v>
      </c>
      <c r="C2979" t="str">
        <f t="shared" si="165"/>
        <v>60</v>
      </c>
      <c r="D2979" t="str">
        <f>"48"</f>
        <v>48</v>
      </c>
      <c r="E2979" t="str">
        <f>"1-60-48"</f>
        <v>1-60-48</v>
      </c>
      <c r="F2979" t="s">
        <v>65</v>
      </c>
      <c r="G2979" t="s">
        <v>66</v>
      </c>
      <c r="H2979" t="s">
        <v>67</v>
      </c>
      <c r="S2979">
        <v>0</v>
      </c>
      <c r="T2979">
        <v>1</v>
      </c>
      <c r="U2979">
        <v>0</v>
      </c>
      <c r="V2979">
        <v>0</v>
      </c>
      <c r="W2979">
        <v>0</v>
      </c>
      <c r="X2979">
        <v>1</v>
      </c>
      <c r="Y2979">
        <v>0</v>
      </c>
      <c r="Z2979">
        <v>1</v>
      </c>
      <c r="AA2979">
        <v>0</v>
      </c>
      <c r="AB2979">
        <v>0</v>
      </c>
      <c r="AC2979">
        <v>1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</row>
    <row r="2980" spans="1:39" x14ac:dyDescent="0.2">
      <c r="A2980" t="str">
        <f>"2976"</f>
        <v>2976</v>
      </c>
      <c r="B2980" t="str">
        <f t="shared" si="163"/>
        <v>1</v>
      </c>
      <c r="C2980" t="str">
        <f t="shared" si="165"/>
        <v>60</v>
      </c>
      <c r="D2980" t="str">
        <f>"47"</f>
        <v>47</v>
      </c>
      <c r="E2980" t="str">
        <f>"1-60-47"</f>
        <v>1-60-47</v>
      </c>
      <c r="F2980" t="s">
        <v>65</v>
      </c>
      <c r="G2980" t="s">
        <v>66</v>
      </c>
      <c r="H2980" t="s">
        <v>67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1</v>
      </c>
      <c r="Y2980">
        <v>0</v>
      </c>
      <c r="Z2980">
        <v>1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1</v>
      </c>
      <c r="AH2980">
        <v>1</v>
      </c>
      <c r="AI2980">
        <v>1</v>
      </c>
      <c r="AJ2980">
        <v>1</v>
      </c>
      <c r="AK2980">
        <v>1</v>
      </c>
      <c r="AL2980">
        <v>1</v>
      </c>
      <c r="AM2980">
        <v>1</v>
      </c>
    </row>
    <row r="2981" spans="1:39" x14ac:dyDescent="0.2">
      <c r="A2981" t="str">
        <f>"2977"</f>
        <v>2977</v>
      </c>
      <c r="B2981" t="str">
        <f t="shared" si="163"/>
        <v>1</v>
      </c>
      <c r="C2981" t="str">
        <f t="shared" si="165"/>
        <v>60</v>
      </c>
      <c r="D2981" t="str">
        <f>"34"</f>
        <v>34</v>
      </c>
      <c r="E2981" t="str">
        <f>"1-60-34"</f>
        <v>1-60-34</v>
      </c>
      <c r="F2981" t="s">
        <v>65</v>
      </c>
      <c r="G2981" t="s">
        <v>66</v>
      </c>
      <c r="H2981" t="s">
        <v>67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</row>
    <row r="2982" spans="1:39" x14ac:dyDescent="0.2">
      <c r="A2982" t="str">
        <f>"2978"</f>
        <v>2978</v>
      </c>
      <c r="B2982" t="str">
        <f t="shared" si="163"/>
        <v>1</v>
      </c>
      <c r="C2982" t="str">
        <f t="shared" si="165"/>
        <v>60</v>
      </c>
      <c r="D2982" t="str">
        <f>"20"</f>
        <v>20</v>
      </c>
      <c r="E2982" t="str">
        <f>"1-60-20"</f>
        <v>1-60-20</v>
      </c>
      <c r="F2982" t="s">
        <v>65</v>
      </c>
      <c r="G2982" t="s">
        <v>66</v>
      </c>
      <c r="H2982" t="s">
        <v>67</v>
      </c>
      <c r="S2982">
        <v>0</v>
      </c>
      <c r="T2982">
        <v>1</v>
      </c>
      <c r="U2982">
        <v>0</v>
      </c>
      <c r="V2982">
        <v>0</v>
      </c>
      <c r="W2982">
        <v>1</v>
      </c>
      <c r="X2982">
        <v>0</v>
      </c>
      <c r="Y2982">
        <v>1</v>
      </c>
      <c r="Z2982">
        <v>0</v>
      </c>
      <c r="AA2982">
        <v>1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1</v>
      </c>
      <c r="AH2982">
        <v>1</v>
      </c>
      <c r="AI2982">
        <v>1</v>
      </c>
      <c r="AJ2982">
        <v>1</v>
      </c>
      <c r="AK2982">
        <v>1</v>
      </c>
      <c r="AL2982">
        <v>1</v>
      </c>
      <c r="AM2982">
        <v>0</v>
      </c>
    </row>
    <row r="2983" spans="1:39" x14ac:dyDescent="0.2">
      <c r="A2983" t="str">
        <f>"2979"</f>
        <v>2979</v>
      </c>
      <c r="B2983" t="str">
        <f t="shared" si="163"/>
        <v>1</v>
      </c>
      <c r="C2983" t="str">
        <f t="shared" si="165"/>
        <v>60</v>
      </c>
      <c r="D2983" t="str">
        <f>"12"</f>
        <v>12</v>
      </c>
      <c r="E2983" t="str">
        <f>"1-60-12"</f>
        <v>1-60-12</v>
      </c>
      <c r="F2983" t="s">
        <v>65</v>
      </c>
      <c r="G2983" t="s">
        <v>66</v>
      </c>
      <c r="H2983" t="s">
        <v>67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0</v>
      </c>
      <c r="AB2983">
        <v>1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</row>
    <row r="2984" spans="1:39" x14ac:dyDescent="0.2">
      <c r="A2984" t="str">
        <f>"2980"</f>
        <v>2980</v>
      </c>
      <c r="B2984" t="str">
        <f t="shared" si="163"/>
        <v>1</v>
      </c>
      <c r="C2984" t="str">
        <f t="shared" si="165"/>
        <v>60</v>
      </c>
      <c r="D2984" t="str">
        <f>"35"</f>
        <v>35</v>
      </c>
      <c r="E2984" t="str">
        <f>"1-60-35"</f>
        <v>1-60-35</v>
      </c>
      <c r="F2984" t="s">
        <v>65</v>
      </c>
      <c r="G2984" t="s">
        <v>66</v>
      </c>
      <c r="H2984" t="s">
        <v>67</v>
      </c>
      <c r="S2984">
        <v>0</v>
      </c>
      <c r="T2984">
        <v>1</v>
      </c>
      <c r="U2984">
        <v>0</v>
      </c>
      <c r="V2984">
        <v>0</v>
      </c>
      <c r="W2984">
        <v>0</v>
      </c>
      <c r="X2984">
        <v>1</v>
      </c>
      <c r="Y2984">
        <v>0</v>
      </c>
      <c r="Z2984">
        <v>1</v>
      </c>
      <c r="AA2984">
        <v>0</v>
      </c>
      <c r="AB2984">
        <v>0</v>
      </c>
      <c r="AC2984">
        <v>1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1</v>
      </c>
      <c r="AJ2984">
        <v>1</v>
      </c>
      <c r="AK2984">
        <v>1</v>
      </c>
      <c r="AL2984">
        <v>1</v>
      </c>
      <c r="AM2984">
        <v>1</v>
      </c>
    </row>
    <row r="2985" spans="1:39" x14ac:dyDescent="0.2">
      <c r="A2985" t="str">
        <f>"2981"</f>
        <v>2981</v>
      </c>
      <c r="B2985" t="str">
        <f t="shared" si="163"/>
        <v>1</v>
      </c>
      <c r="C2985" t="str">
        <f t="shared" si="165"/>
        <v>60</v>
      </c>
      <c r="D2985" t="str">
        <f>"21"</f>
        <v>21</v>
      </c>
      <c r="E2985" t="str">
        <f>"1-60-21"</f>
        <v>1-60-21</v>
      </c>
      <c r="F2985" t="s">
        <v>65</v>
      </c>
      <c r="G2985" t="s">
        <v>66</v>
      </c>
      <c r="H2985" t="s">
        <v>67</v>
      </c>
      <c r="S2985">
        <v>1</v>
      </c>
      <c r="T2985">
        <v>0</v>
      </c>
      <c r="U2985">
        <v>0</v>
      </c>
      <c r="V2985">
        <v>0</v>
      </c>
      <c r="W2985">
        <v>0</v>
      </c>
      <c r="X2985">
        <v>1</v>
      </c>
      <c r="Y2985">
        <v>1</v>
      </c>
      <c r="Z2985">
        <v>0</v>
      </c>
      <c r="AA2985">
        <v>0</v>
      </c>
      <c r="AB2985">
        <v>1</v>
      </c>
      <c r="AC2985">
        <v>0</v>
      </c>
      <c r="AD2985">
        <v>0</v>
      </c>
      <c r="AE2985">
        <v>1</v>
      </c>
      <c r="AF2985">
        <v>1</v>
      </c>
      <c r="AG2985">
        <v>1</v>
      </c>
      <c r="AH2985">
        <v>1</v>
      </c>
      <c r="AI2985">
        <v>1</v>
      </c>
      <c r="AJ2985">
        <v>0</v>
      </c>
      <c r="AK2985">
        <v>1</v>
      </c>
      <c r="AL2985">
        <v>1</v>
      </c>
      <c r="AM2985">
        <v>1</v>
      </c>
    </row>
    <row r="2986" spans="1:39" x14ac:dyDescent="0.2">
      <c r="A2986" t="str">
        <f>"2982"</f>
        <v>2982</v>
      </c>
      <c r="B2986" t="str">
        <f t="shared" si="163"/>
        <v>1</v>
      </c>
      <c r="C2986" t="str">
        <f t="shared" si="165"/>
        <v>60</v>
      </c>
      <c r="D2986" t="str">
        <f>"13"</f>
        <v>13</v>
      </c>
      <c r="E2986" t="str">
        <f>"1-60-13"</f>
        <v>1-60-13</v>
      </c>
      <c r="F2986" t="s">
        <v>65</v>
      </c>
      <c r="G2986" t="s">
        <v>66</v>
      </c>
      <c r="H2986" t="s">
        <v>67</v>
      </c>
      <c r="S2986">
        <v>1</v>
      </c>
      <c r="T2986">
        <v>0</v>
      </c>
      <c r="U2986">
        <v>0</v>
      </c>
      <c r="V2986">
        <v>0</v>
      </c>
      <c r="W2986">
        <v>1</v>
      </c>
      <c r="X2986">
        <v>0</v>
      </c>
      <c r="Y2986">
        <v>1</v>
      </c>
      <c r="Z2986">
        <v>0</v>
      </c>
      <c r="AA2986">
        <v>0</v>
      </c>
      <c r="AB2986">
        <v>1</v>
      </c>
      <c r="AC2986">
        <v>0</v>
      </c>
      <c r="AD2986">
        <v>1</v>
      </c>
      <c r="AE2986">
        <v>1</v>
      </c>
      <c r="AF2986">
        <v>1</v>
      </c>
      <c r="AG2986">
        <v>1</v>
      </c>
      <c r="AH2986">
        <v>1</v>
      </c>
      <c r="AI2986">
        <v>1</v>
      </c>
      <c r="AJ2986">
        <v>1</v>
      </c>
      <c r="AK2986">
        <v>1</v>
      </c>
      <c r="AL2986">
        <v>1</v>
      </c>
      <c r="AM2986">
        <v>1</v>
      </c>
    </row>
    <row r="2987" spans="1:39" x14ac:dyDescent="0.2">
      <c r="A2987" t="str">
        <f>"2983"</f>
        <v>2983</v>
      </c>
      <c r="B2987" t="str">
        <f t="shared" si="163"/>
        <v>1</v>
      </c>
      <c r="C2987" t="str">
        <f t="shared" ref="C2987:C3004" si="166">"60"</f>
        <v>60</v>
      </c>
      <c r="D2987" t="str">
        <f>"50"</f>
        <v>50</v>
      </c>
      <c r="E2987" t="str">
        <f>"1-60-50"</f>
        <v>1-60-50</v>
      </c>
      <c r="F2987" t="s">
        <v>65</v>
      </c>
      <c r="G2987" t="s">
        <v>66</v>
      </c>
      <c r="H2987" t="s">
        <v>67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1</v>
      </c>
      <c r="Y2987">
        <v>1</v>
      </c>
      <c r="Z2987">
        <v>0</v>
      </c>
      <c r="AA2987">
        <v>0</v>
      </c>
      <c r="AB2987">
        <v>1</v>
      </c>
      <c r="AC2987">
        <v>0</v>
      </c>
      <c r="AD2987">
        <v>0</v>
      </c>
      <c r="AE2987">
        <v>0</v>
      </c>
      <c r="AF2987">
        <v>0</v>
      </c>
      <c r="AG2987">
        <v>1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</row>
    <row r="2988" spans="1:39" x14ac:dyDescent="0.2">
      <c r="A2988" t="str">
        <f>"2984"</f>
        <v>2984</v>
      </c>
      <c r="B2988" t="str">
        <f t="shared" si="163"/>
        <v>1</v>
      </c>
      <c r="C2988" t="str">
        <f t="shared" si="166"/>
        <v>60</v>
      </c>
      <c r="D2988" t="str">
        <f>"49"</f>
        <v>49</v>
      </c>
      <c r="E2988" t="str">
        <f>"1-60-49"</f>
        <v>1-60-49</v>
      </c>
      <c r="F2988" t="s">
        <v>65</v>
      </c>
      <c r="G2988" t="s">
        <v>66</v>
      </c>
      <c r="H2988" t="s">
        <v>67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0</v>
      </c>
      <c r="AB2988">
        <v>1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</row>
    <row r="2989" spans="1:39" x14ac:dyDescent="0.2">
      <c r="A2989" t="str">
        <f>"2985"</f>
        <v>2985</v>
      </c>
      <c r="B2989" t="str">
        <f t="shared" si="163"/>
        <v>1</v>
      </c>
      <c r="C2989" t="str">
        <f t="shared" si="166"/>
        <v>60</v>
      </c>
      <c r="D2989" t="str">
        <f>"36"</f>
        <v>36</v>
      </c>
      <c r="E2989" t="str">
        <f>"1-60-36"</f>
        <v>1-60-36</v>
      </c>
      <c r="F2989" t="s">
        <v>65</v>
      </c>
      <c r="G2989" t="s">
        <v>66</v>
      </c>
      <c r="H2989" t="s">
        <v>67</v>
      </c>
      <c r="S2989">
        <v>0</v>
      </c>
      <c r="T2989">
        <v>1</v>
      </c>
      <c r="U2989">
        <v>0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0</v>
      </c>
      <c r="AB2989">
        <v>0</v>
      </c>
      <c r="AC2989">
        <v>1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</row>
    <row r="2990" spans="1:39" x14ac:dyDescent="0.2">
      <c r="A2990" t="str">
        <f>"2986"</f>
        <v>2986</v>
      </c>
      <c r="B2990" t="str">
        <f t="shared" si="163"/>
        <v>1</v>
      </c>
      <c r="C2990" t="str">
        <f t="shared" si="166"/>
        <v>60</v>
      </c>
      <c r="D2990" t="str">
        <f>"22"</f>
        <v>22</v>
      </c>
      <c r="E2990" t="str">
        <f>"1-60-22"</f>
        <v>1-60-22</v>
      </c>
      <c r="F2990" t="s">
        <v>65</v>
      </c>
      <c r="G2990" t="s">
        <v>66</v>
      </c>
      <c r="H2990" t="s">
        <v>67</v>
      </c>
      <c r="S2990">
        <v>0</v>
      </c>
      <c r="T2990">
        <v>1</v>
      </c>
      <c r="U2990">
        <v>0</v>
      </c>
      <c r="V2990">
        <v>0</v>
      </c>
      <c r="W2990">
        <v>1</v>
      </c>
      <c r="X2990">
        <v>0</v>
      </c>
      <c r="Y2990">
        <v>1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1</v>
      </c>
      <c r="AF2990">
        <v>1</v>
      </c>
      <c r="AG2990">
        <v>1</v>
      </c>
      <c r="AH2990">
        <v>0</v>
      </c>
      <c r="AI2990">
        <v>1</v>
      </c>
      <c r="AJ2990">
        <v>1</v>
      </c>
      <c r="AK2990">
        <v>1</v>
      </c>
      <c r="AL2990">
        <v>1</v>
      </c>
      <c r="AM2990">
        <v>1</v>
      </c>
    </row>
    <row r="2991" spans="1:39" x14ac:dyDescent="0.2">
      <c r="A2991" t="str">
        <f>"2987"</f>
        <v>2987</v>
      </c>
      <c r="B2991" t="str">
        <f t="shared" si="163"/>
        <v>1</v>
      </c>
      <c r="C2991" t="str">
        <f t="shared" si="166"/>
        <v>60</v>
      </c>
      <c r="D2991" t="str">
        <f>"7"</f>
        <v>7</v>
      </c>
      <c r="E2991" t="str">
        <f>"1-60-7"</f>
        <v>1-60-7</v>
      </c>
      <c r="F2991" t="s">
        <v>65</v>
      </c>
      <c r="G2991" t="s">
        <v>66</v>
      </c>
      <c r="H2991" t="s">
        <v>67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1</v>
      </c>
      <c r="Y2991">
        <v>0</v>
      </c>
      <c r="Z2991">
        <v>1</v>
      </c>
      <c r="AA2991">
        <v>1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1</v>
      </c>
      <c r="AI2991">
        <v>1</v>
      </c>
      <c r="AJ2991">
        <v>0</v>
      </c>
      <c r="AK2991">
        <v>0</v>
      </c>
      <c r="AL2991">
        <v>1</v>
      </c>
      <c r="AM2991">
        <v>0</v>
      </c>
    </row>
    <row r="2992" spans="1:39" x14ac:dyDescent="0.2">
      <c r="A2992" t="str">
        <f>"2988"</f>
        <v>2988</v>
      </c>
      <c r="B2992" t="str">
        <f t="shared" si="163"/>
        <v>1</v>
      </c>
      <c r="C2992" t="str">
        <f t="shared" si="166"/>
        <v>60</v>
      </c>
      <c r="D2992" t="str">
        <f>"23"</f>
        <v>23</v>
      </c>
      <c r="E2992" t="str">
        <f>"1-60-23"</f>
        <v>1-60-23</v>
      </c>
      <c r="F2992" t="s">
        <v>65</v>
      </c>
      <c r="G2992" t="s">
        <v>66</v>
      </c>
      <c r="H2992" t="s">
        <v>67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1</v>
      </c>
      <c r="AM2992">
        <v>1</v>
      </c>
    </row>
    <row r="2993" spans="1:39" x14ac:dyDescent="0.2">
      <c r="A2993" t="str">
        <f>"2989"</f>
        <v>2989</v>
      </c>
      <c r="B2993" t="str">
        <f t="shared" si="163"/>
        <v>1</v>
      </c>
      <c r="C2993" t="str">
        <f t="shared" si="166"/>
        <v>60</v>
      </c>
      <c r="D2993" t="str">
        <f>"1"</f>
        <v>1</v>
      </c>
      <c r="E2993" t="str">
        <f>"1-60-1"</f>
        <v>1-60-1</v>
      </c>
      <c r="F2993" t="s">
        <v>65</v>
      </c>
      <c r="G2993" t="s">
        <v>66</v>
      </c>
      <c r="H2993" t="s">
        <v>67</v>
      </c>
      <c r="S2993">
        <v>0</v>
      </c>
      <c r="T2993">
        <v>1</v>
      </c>
      <c r="U2993">
        <v>0</v>
      </c>
      <c r="V2993">
        <v>0</v>
      </c>
      <c r="W2993">
        <v>0</v>
      </c>
      <c r="X2993">
        <v>1</v>
      </c>
      <c r="Y2993">
        <v>0</v>
      </c>
      <c r="Z2993">
        <v>1</v>
      </c>
      <c r="AA2993">
        <v>0</v>
      </c>
      <c r="AB2993">
        <v>0</v>
      </c>
      <c r="AC2993">
        <v>1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</row>
    <row r="2994" spans="1:39" x14ac:dyDescent="0.2">
      <c r="A2994" t="str">
        <f>"2990"</f>
        <v>2990</v>
      </c>
      <c r="B2994" t="str">
        <f t="shared" si="163"/>
        <v>1</v>
      </c>
      <c r="C2994" t="str">
        <f t="shared" si="166"/>
        <v>60</v>
      </c>
      <c r="D2994" t="str">
        <f>"24"</f>
        <v>24</v>
      </c>
      <c r="E2994" t="str">
        <f>"1-60-24"</f>
        <v>1-60-24</v>
      </c>
      <c r="F2994" t="s">
        <v>65</v>
      </c>
      <c r="G2994" t="s">
        <v>66</v>
      </c>
      <c r="H2994" t="s">
        <v>67</v>
      </c>
      <c r="S2994">
        <v>0</v>
      </c>
      <c r="T2994">
        <v>1</v>
      </c>
      <c r="U2994">
        <v>0</v>
      </c>
      <c r="V2994">
        <v>0</v>
      </c>
      <c r="W2994">
        <v>0</v>
      </c>
      <c r="X2994">
        <v>1</v>
      </c>
      <c r="Y2994">
        <v>0</v>
      </c>
      <c r="Z2994">
        <v>1</v>
      </c>
      <c r="AA2994">
        <v>0</v>
      </c>
      <c r="AB2994">
        <v>0</v>
      </c>
      <c r="AC2994">
        <v>1</v>
      </c>
      <c r="AD2994">
        <v>1</v>
      </c>
      <c r="AE2994">
        <v>1</v>
      </c>
      <c r="AF2994">
        <v>1</v>
      </c>
      <c r="AG2994">
        <v>1</v>
      </c>
      <c r="AH2994">
        <v>1</v>
      </c>
      <c r="AI2994">
        <v>1</v>
      </c>
      <c r="AJ2994">
        <v>1</v>
      </c>
      <c r="AK2994">
        <v>1</v>
      </c>
      <c r="AL2994">
        <v>1</v>
      </c>
      <c r="AM2994">
        <v>1</v>
      </c>
    </row>
    <row r="2995" spans="1:39" x14ac:dyDescent="0.2">
      <c r="A2995" t="str">
        <f>"2991"</f>
        <v>2991</v>
      </c>
      <c r="B2995" t="str">
        <f t="shared" si="163"/>
        <v>1</v>
      </c>
      <c r="C2995" t="str">
        <f t="shared" si="166"/>
        <v>60</v>
      </c>
      <c r="D2995" t="str">
        <f>"10"</f>
        <v>10</v>
      </c>
      <c r="E2995" t="str">
        <f>"1-60-10"</f>
        <v>1-60-10</v>
      </c>
      <c r="F2995" t="s">
        <v>65</v>
      </c>
      <c r="G2995" t="s">
        <v>66</v>
      </c>
      <c r="H2995" t="s">
        <v>67</v>
      </c>
      <c r="S2995">
        <v>1</v>
      </c>
      <c r="T2995">
        <v>0</v>
      </c>
      <c r="U2995">
        <v>0</v>
      </c>
      <c r="V2995">
        <v>0</v>
      </c>
      <c r="W2995">
        <v>1</v>
      </c>
      <c r="X2995">
        <v>0</v>
      </c>
      <c r="Y2995">
        <v>1</v>
      </c>
      <c r="Z2995">
        <v>0</v>
      </c>
      <c r="AA2995">
        <v>0</v>
      </c>
      <c r="AB2995">
        <v>1</v>
      </c>
      <c r="AC2995">
        <v>0</v>
      </c>
      <c r="AD2995">
        <v>1</v>
      </c>
      <c r="AE2995">
        <v>1</v>
      </c>
      <c r="AF2995">
        <v>1</v>
      </c>
      <c r="AG2995">
        <v>1</v>
      </c>
      <c r="AH2995">
        <v>1</v>
      </c>
      <c r="AI2995">
        <v>1</v>
      </c>
      <c r="AJ2995">
        <v>1</v>
      </c>
      <c r="AK2995">
        <v>1</v>
      </c>
      <c r="AL2995">
        <v>1</v>
      </c>
      <c r="AM2995">
        <v>1</v>
      </c>
    </row>
    <row r="2996" spans="1:39" x14ac:dyDescent="0.2">
      <c r="A2996" t="str">
        <f>"2992"</f>
        <v>2992</v>
      </c>
      <c r="B2996" t="str">
        <f t="shared" si="163"/>
        <v>1</v>
      </c>
      <c r="C2996" t="str">
        <f t="shared" si="166"/>
        <v>60</v>
      </c>
      <c r="D2996" t="str">
        <f>"25"</f>
        <v>25</v>
      </c>
      <c r="E2996" t="str">
        <f>"1-60-25"</f>
        <v>1-60-25</v>
      </c>
      <c r="F2996" t="s">
        <v>65</v>
      </c>
      <c r="G2996" t="s">
        <v>66</v>
      </c>
      <c r="H2996" t="s">
        <v>67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1</v>
      </c>
      <c r="AK2996">
        <v>0</v>
      </c>
      <c r="AL2996">
        <v>1</v>
      </c>
      <c r="AM2996">
        <v>0</v>
      </c>
    </row>
    <row r="2997" spans="1:39" x14ac:dyDescent="0.2">
      <c r="A2997" t="str">
        <f>"2993"</f>
        <v>2993</v>
      </c>
      <c r="B2997" t="str">
        <f t="shared" si="163"/>
        <v>1</v>
      </c>
      <c r="C2997" t="str">
        <f t="shared" si="166"/>
        <v>60</v>
      </c>
      <c r="D2997" t="str">
        <f>"8"</f>
        <v>8</v>
      </c>
      <c r="E2997" t="str">
        <f>"1-60-8"</f>
        <v>1-60-8</v>
      </c>
      <c r="F2997" t="s">
        <v>65</v>
      </c>
      <c r="G2997" t="s">
        <v>66</v>
      </c>
      <c r="H2997" t="s">
        <v>67</v>
      </c>
      <c r="S2997">
        <v>0</v>
      </c>
      <c r="T2997">
        <v>1</v>
      </c>
      <c r="U2997">
        <v>0</v>
      </c>
      <c r="V2997">
        <v>0</v>
      </c>
      <c r="W2997">
        <v>1</v>
      </c>
      <c r="X2997">
        <v>0</v>
      </c>
      <c r="Y2997">
        <v>0</v>
      </c>
      <c r="Z2997">
        <v>1</v>
      </c>
      <c r="AA2997">
        <v>1</v>
      </c>
      <c r="AB2997">
        <v>0</v>
      </c>
      <c r="AC2997">
        <v>0</v>
      </c>
      <c r="AD2997">
        <v>1</v>
      </c>
      <c r="AE2997">
        <v>1</v>
      </c>
      <c r="AF2997">
        <v>1</v>
      </c>
      <c r="AG2997">
        <v>1</v>
      </c>
      <c r="AH2997">
        <v>1</v>
      </c>
      <c r="AI2997">
        <v>1</v>
      </c>
      <c r="AJ2997">
        <v>1</v>
      </c>
      <c r="AK2997">
        <v>1</v>
      </c>
      <c r="AL2997">
        <v>1</v>
      </c>
      <c r="AM2997">
        <v>1</v>
      </c>
    </row>
    <row r="2998" spans="1:39" x14ac:dyDescent="0.2">
      <c r="A2998" t="str">
        <f>"2994"</f>
        <v>2994</v>
      </c>
      <c r="B2998" t="str">
        <f t="shared" si="163"/>
        <v>1</v>
      </c>
      <c r="C2998" t="str">
        <f t="shared" si="166"/>
        <v>60</v>
      </c>
      <c r="D2998" t="str">
        <f>"26"</f>
        <v>26</v>
      </c>
      <c r="E2998" t="str">
        <f>"1-60-26"</f>
        <v>1-60-26</v>
      </c>
      <c r="F2998" t="s">
        <v>65</v>
      </c>
      <c r="G2998" t="s">
        <v>66</v>
      </c>
      <c r="H2998" t="s">
        <v>67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</row>
    <row r="2999" spans="1:39" x14ac:dyDescent="0.2">
      <c r="A2999" t="str">
        <f>"2995"</f>
        <v>2995</v>
      </c>
      <c r="B2999" t="str">
        <f t="shared" ref="B2999:B3062" si="167">"1"</f>
        <v>1</v>
      </c>
      <c r="C2999" t="str">
        <f t="shared" si="166"/>
        <v>60</v>
      </c>
      <c r="D2999" t="str">
        <f>"6"</f>
        <v>6</v>
      </c>
      <c r="E2999" t="str">
        <f>"1-60-6"</f>
        <v>1-60-6</v>
      </c>
      <c r="F2999" t="s">
        <v>65</v>
      </c>
      <c r="G2999" t="s">
        <v>66</v>
      </c>
      <c r="H2999" t="s">
        <v>67</v>
      </c>
      <c r="S2999">
        <v>0</v>
      </c>
      <c r="T2999">
        <v>1</v>
      </c>
      <c r="U2999">
        <v>0</v>
      </c>
      <c r="V2999">
        <v>0</v>
      </c>
      <c r="W2999">
        <v>0</v>
      </c>
      <c r="X2999">
        <v>1</v>
      </c>
      <c r="Y2999">
        <v>0</v>
      </c>
      <c r="Z2999">
        <v>1</v>
      </c>
      <c r="AA2999">
        <v>0</v>
      </c>
      <c r="AB2999">
        <v>0</v>
      </c>
      <c r="AC2999">
        <v>1</v>
      </c>
      <c r="AD2999">
        <v>1</v>
      </c>
      <c r="AE2999">
        <v>1</v>
      </c>
      <c r="AF2999">
        <v>1</v>
      </c>
      <c r="AG2999">
        <v>1</v>
      </c>
      <c r="AH2999">
        <v>1</v>
      </c>
      <c r="AI2999">
        <v>1</v>
      </c>
      <c r="AJ2999">
        <v>1</v>
      </c>
      <c r="AK2999">
        <v>1</v>
      </c>
      <c r="AL2999">
        <v>1</v>
      </c>
      <c r="AM2999">
        <v>1</v>
      </c>
    </row>
    <row r="3000" spans="1:39" x14ac:dyDescent="0.2">
      <c r="A3000" t="str">
        <f>"2996"</f>
        <v>2996</v>
      </c>
      <c r="B3000" t="str">
        <f t="shared" si="167"/>
        <v>1</v>
      </c>
      <c r="C3000" t="str">
        <f t="shared" si="166"/>
        <v>60</v>
      </c>
      <c r="D3000" t="str">
        <f>"28"</f>
        <v>28</v>
      </c>
      <c r="E3000" t="str">
        <f>"1-60-28"</f>
        <v>1-60-28</v>
      </c>
      <c r="F3000" t="s">
        <v>65</v>
      </c>
      <c r="G3000" t="s">
        <v>66</v>
      </c>
      <c r="H3000" t="s">
        <v>67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</row>
    <row r="3001" spans="1:39" x14ac:dyDescent="0.2">
      <c r="A3001" t="str">
        <f>"2997"</f>
        <v>2997</v>
      </c>
      <c r="B3001" t="str">
        <f t="shared" si="167"/>
        <v>1</v>
      </c>
      <c r="C3001" t="str">
        <f t="shared" si="166"/>
        <v>60</v>
      </c>
      <c r="D3001" t="str">
        <f>"14"</f>
        <v>14</v>
      </c>
      <c r="E3001" t="str">
        <f>"1-60-14"</f>
        <v>1-60-14</v>
      </c>
      <c r="F3001" t="s">
        <v>65</v>
      </c>
      <c r="G3001" t="s">
        <v>66</v>
      </c>
      <c r="H3001" t="s">
        <v>67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1</v>
      </c>
      <c r="AL3001">
        <v>1</v>
      </c>
      <c r="AM3001">
        <v>1</v>
      </c>
    </row>
    <row r="3002" spans="1:39" x14ac:dyDescent="0.2">
      <c r="A3002" t="str">
        <f>"2998"</f>
        <v>2998</v>
      </c>
      <c r="B3002" t="str">
        <f t="shared" si="167"/>
        <v>1</v>
      </c>
      <c r="C3002" t="str">
        <f t="shared" si="166"/>
        <v>60</v>
      </c>
      <c r="D3002" t="str">
        <f>"29"</f>
        <v>29</v>
      </c>
      <c r="E3002" t="str">
        <f>"1-60-29"</f>
        <v>1-60-29</v>
      </c>
      <c r="F3002" t="s">
        <v>65</v>
      </c>
      <c r="G3002" t="s">
        <v>66</v>
      </c>
      <c r="H3002" t="s">
        <v>67</v>
      </c>
      <c r="S3002">
        <v>1</v>
      </c>
      <c r="T3002">
        <v>0</v>
      </c>
      <c r="U3002">
        <v>0</v>
      </c>
      <c r="V3002">
        <v>0</v>
      </c>
      <c r="W3002">
        <v>1</v>
      </c>
      <c r="X3002">
        <v>0</v>
      </c>
      <c r="Y3002">
        <v>0</v>
      </c>
      <c r="Z3002">
        <v>1</v>
      </c>
      <c r="AA3002">
        <v>1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</row>
    <row r="3003" spans="1:39" x14ac:dyDescent="0.2">
      <c r="A3003" t="str">
        <f>"2999"</f>
        <v>2999</v>
      </c>
      <c r="B3003" t="str">
        <f t="shared" si="167"/>
        <v>1</v>
      </c>
      <c r="C3003" t="str">
        <f t="shared" si="166"/>
        <v>60</v>
      </c>
      <c r="D3003" t="str">
        <f>"2"</f>
        <v>2</v>
      </c>
      <c r="E3003" t="str">
        <f>"1-60-2"</f>
        <v>1-60-2</v>
      </c>
      <c r="F3003" t="s">
        <v>65</v>
      </c>
      <c r="G3003" t="s">
        <v>66</v>
      </c>
      <c r="H3003" t="s">
        <v>67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1</v>
      </c>
      <c r="Y3003">
        <v>0</v>
      </c>
      <c r="Z3003">
        <v>1</v>
      </c>
      <c r="AA3003">
        <v>0</v>
      </c>
      <c r="AB3003">
        <v>0</v>
      </c>
      <c r="AC3003">
        <v>1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1</v>
      </c>
      <c r="AJ3003">
        <v>1</v>
      </c>
      <c r="AK3003">
        <v>0</v>
      </c>
      <c r="AL3003">
        <v>0</v>
      </c>
      <c r="AM3003">
        <v>0</v>
      </c>
    </row>
    <row r="3004" spans="1:39" x14ac:dyDescent="0.2">
      <c r="A3004" t="str">
        <f>"3000"</f>
        <v>3000</v>
      </c>
      <c r="B3004" t="str">
        <f t="shared" si="167"/>
        <v>1</v>
      </c>
      <c r="C3004" t="str">
        <f t="shared" si="166"/>
        <v>60</v>
      </c>
      <c r="D3004" t="str">
        <f>"18"</f>
        <v>18</v>
      </c>
      <c r="E3004" t="str">
        <f>"1-60-18"</f>
        <v>1-60-18</v>
      </c>
      <c r="F3004" t="s">
        <v>65</v>
      </c>
      <c r="G3004" t="s">
        <v>66</v>
      </c>
      <c r="H3004" t="s">
        <v>67</v>
      </c>
      <c r="S3004">
        <v>0</v>
      </c>
      <c r="T3004">
        <v>0</v>
      </c>
      <c r="U3004">
        <v>0</v>
      </c>
      <c r="V3004">
        <v>0</v>
      </c>
      <c r="W3004">
        <v>1</v>
      </c>
      <c r="X3004">
        <v>0</v>
      </c>
      <c r="Y3004">
        <v>1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1</v>
      </c>
      <c r="AF3004">
        <v>1</v>
      </c>
      <c r="AG3004">
        <v>1</v>
      </c>
      <c r="AH3004">
        <v>1</v>
      </c>
      <c r="AI3004">
        <v>1</v>
      </c>
      <c r="AJ3004">
        <v>1</v>
      </c>
      <c r="AK3004">
        <v>1</v>
      </c>
      <c r="AL3004">
        <v>1</v>
      </c>
      <c r="AM3004">
        <v>1</v>
      </c>
    </row>
    <row r="3005" spans="1:39" x14ac:dyDescent="0.2">
      <c r="A3005" t="str">
        <f>"3001"</f>
        <v>3001</v>
      </c>
      <c r="B3005" t="str">
        <f t="shared" si="167"/>
        <v>1</v>
      </c>
      <c r="C3005" t="str">
        <f t="shared" ref="C3005:C3036" si="168">"61"</f>
        <v>61</v>
      </c>
      <c r="D3005" t="str">
        <f>"38"</f>
        <v>38</v>
      </c>
      <c r="E3005" t="str">
        <f>"1-61-38"</f>
        <v>1-61-38</v>
      </c>
      <c r="F3005" t="s">
        <v>65</v>
      </c>
      <c r="G3005" t="s">
        <v>66</v>
      </c>
      <c r="H3005" t="s">
        <v>67</v>
      </c>
      <c r="S3005">
        <v>1</v>
      </c>
      <c r="T3005">
        <v>0</v>
      </c>
      <c r="U3005">
        <v>0</v>
      </c>
      <c r="V3005">
        <v>0</v>
      </c>
      <c r="W3005">
        <v>0</v>
      </c>
      <c r="X3005">
        <v>1</v>
      </c>
      <c r="Y3005">
        <v>1</v>
      </c>
      <c r="Z3005">
        <v>0</v>
      </c>
      <c r="AA3005">
        <v>0</v>
      </c>
      <c r="AB3005">
        <v>1</v>
      </c>
      <c r="AC3005">
        <v>0</v>
      </c>
      <c r="AD3005">
        <v>1</v>
      </c>
      <c r="AE3005">
        <v>1</v>
      </c>
      <c r="AF3005">
        <v>1</v>
      </c>
      <c r="AG3005">
        <v>1</v>
      </c>
      <c r="AH3005">
        <v>1</v>
      </c>
      <c r="AI3005">
        <v>1</v>
      </c>
      <c r="AJ3005">
        <v>1</v>
      </c>
      <c r="AK3005">
        <v>1</v>
      </c>
      <c r="AL3005">
        <v>1</v>
      </c>
      <c r="AM3005">
        <v>1</v>
      </c>
    </row>
    <row r="3006" spans="1:39" x14ac:dyDescent="0.2">
      <c r="A3006" t="str">
        <f>"3002"</f>
        <v>3002</v>
      </c>
      <c r="B3006" t="str">
        <f t="shared" si="167"/>
        <v>1</v>
      </c>
      <c r="C3006" t="str">
        <f t="shared" si="168"/>
        <v>61</v>
      </c>
      <c r="D3006" t="str">
        <f>"37"</f>
        <v>37</v>
      </c>
      <c r="E3006" t="str">
        <f>"1-61-37"</f>
        <v>1-61-37</v>
      </c>
      <c r="F3006" t="s">
        <v>65</v>
      </c>
      <c r="G3006" t="s">
        <v>66</v>
      </c>
      <c r="H3006" t="s">
        <v>67</v>
      </c>
      <c r="S3006">
        <v>0</v>
      </c>
      <c r="T3006">
        <v>1</v>
      </c>
      <c r="U3006">
        <v>0</v>
      </c>
      <c r="V3006">
        <v>0</v>
      </c>
      <c r="W3006">
        <v>0</v>
      </c>
      <c r="X3006">
        <v>1</v>
      </c>
      <c r="Y3006">
        <v>0</v>
      </c>
      <c r="Z3006">
        <v>1</v>
      </c>
      <c r="AA3006">
        <v>0</v>
      </c>
      <c r="AB3006">
        <v>0</v>
      </c>
      <c r="AC3006">
        <v>1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</row>
    <row r="3007" spans="1:39" x14ac:dyDescent="0.2">
      <c r="A3007" t="str">
        <f>"3003"</f>
        <v>3003</v>
      </c>
      <c r="B3007" t="str">
        <f t="shared" si="167"/>
        <v>1</v>
      </c>
      <c r="C3007" t="str">
        <f t="shared" si="168"/>
        <v>61</v>
      </c>
      <c r="D3007" t="str">
        <f>"29"</f>
        <v>29</v>
      </c>
      <c r="E3007" t="str">
        <f>"1-61-29"</f>
        <v>1-61-29</v>
      </c>
      <c r="F3007" t="s">
        <v>65</v>
      </c>
      <c r="G3007" t="s">
        <v>66</v>
      </c>
      <c r="H3007" t="s">
        <v>67</v>
      </c>
      <c r="S3007">
        <v>0</v>
      </c>
      <c r="T3007">
        <v>1</v>
      </c>
      <c r="U3007">
        <v>0</v>
      </c>
      <c r="V3007">
        <v>0</v>
      </c>
      <c r="W3007">
        <v>0</v>
      </c>
      <c r="X3007">
        <v>1</v>
      </c>
      <c r="Y3007">
        <v>0</v>
      </c>
      <c r="Z3007">
        <v>1</v>
      </c>
      <c r="AA3007">
        <v>0</v>
      </c>
      <c r="AB3007">
        <v>1</v>
      </c>
      <c r="AC3007">
        <v>0</v>
      </c>
      <c r="AD3007">
        <v>0</v>
      </c>
      <c r="AE3007">
        <v>0</v>
      </c>
      <c r="AF3007">
        <v>0</v>
      </c>
      <c r="AG3007">
        <v>1</v>
      </c>
      <c r="AH3007">
        <v>1</v>
      </c>
      <c r="AI3007">
        <v>1</v>
      </c>
      <c r="AJ3007">
        <v>1</v>
      </c>
      <c r="AK3007">
        <v>1</v>
      </c>
      <c r="AL3007">
        <v>1</v>
      </c>
      <c r="AM3007">
        <v>1</v>
      </c>
    </row>
    <row r="3008" spans="1:39" x14ac:dyDescent="0.2">
      <c r="A3008" t="str">
        <f>"3004"</f>
        <v>3004</v>
      </c>
      <c r="B3008" t="str">
        <f t="shared" si="167"/>
        <v>1</v>
      </c>
      <c r="C3008" t="str">
        <f t="shared" si="168"/>
        <v>61</v>
      </c>
      <c r="D3008" t="str">
        <f>"15"</f>
        <v>15</v>
      </c>
      <c r="E3008" t="str">
        <f>"1-61-15"</f>
        <v>1-61-15</v>
      </c>
      <c r="F3008" t="s">
        <v>65</v>
      </c>
      <c r="G3008" t="s">
        <v>66</v>
      </c>
      <c r="H3008" t="s">
        <v>67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1</v>
      </c>
      <c r="Y3008">
        <v>0</v>
      </c>
      <c r="Z3008">
        <v>1</v>
      </c>
      <c r="AA3008">
        <v>0</v>
      </c>
      <c r="AB3008">
        <v>1</v>
      </c>
      <c r="AC3008">
        <v>0</v>
      </c>
      <c r="AD3008">
        <v>1</v>
      </c>
      <c r="AE3008">
        <v>1</v>
      </c>
      <c r="AF3008">
        <v>1</v>
      </c>
      <c r="AG3008">
        <v>1</v>
      </c>
      <c r="AH3008">
        <v>1</v>
      </c>
      <c r="AI3008">
        <v>1</v>
      </c>
      <c r="AJ3008">
        <v>1</v>
      </c>
      <c r="AK3008">
        <v>1</v>
      </c>
      <c r="AL3008">
        <v>1</v>
      </c>
      <c r="AM3008">
        <v>1</v>
      </c>
    </row>
    <row r="3009" spans="1:39" x14ac:dyDescent="0.2">
      <c r="A3009" t="str">
        <f>"3005"</f>
        <v>3005</v>
      </c>
      <c r="B3009" t="str">
        <f t="shared" si="167"/>
        <v>1</v>
      </c>
      <c r="C3009" t="str">
        <f t="shared" si="168"/>
        <v>61</v>
      </c>
      <c r="D3009" t="str">
        <f>"4"</f>
        <v>4</v>
      </c>
      <c r="E3009" t="str">
        <f>"1-61-4"</f>
        <v>1-61-4</v>
      </c>
      <c r="F3009" t="s">
        <v>65</v>
      </c>
      <c r="G3009" t="s">
        <v>66</v>
      </c>
      <c r="H3009" t="s">
        <v>67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1</v>
      </c>
      <c r="AH3009">
        <v>1</v>
      </c>
      <c r="AI3009">
        <v>0</v>
      </c>
      <c r="AJ3009">
        <v>0</v>
      </c>
      <c r="AK3009">
        <v>0</v>
      </c>
      <c r="AL3009">
        <v>1</v>
      </c>
      <c r="AM3009">
        <v>0</v>
      </c>
    </row>
    <row r="3010" spans="1:39" x14ac:dyDescent="0.2">
      <c r="A3010" t="str">
        <f>"3006"</f>
        <v>3006</v>
      </c>
      <c r="B3010" t="str">
        <f t="shared" si="167"/>
        <v>1</v>
      </c>
      <c r="C3010" t="str">
        <f t="shared" si="168"/>
        <v>61</v>
      </c>
      <c r="D3010" t="str">
        <f>"49"</f>
        <v>49</v>
      </c>
      <c r="E3010" t="str">
        <f>"1-61-49"</f>
        <v>1-61-49</v>
      </c>
      <c r="F3010" t="s">
        <v>65</v>
      </c>
      <c r="G3010" t="s">
        <v>66</v>
      </c>
      <c r="H3010" t="s">
        <v>67</v>
      </c>
      <c r="S3010">
        <v>0</v>
      </c>
      <c r="T3010">
        <v>1</v>
      </c>
      <c r="U3010">
        <v>0</v>
      </c>
      <c r="V3010">
        <v>0</v>
      </c>
      <c r="W3010">
        <v>0</v>
      </c>
      <c r="X3010">
        <v>1</v>
      </c>
      <c r="Y3010">
        <v>1</v>
      </c>
      <c r="Z3010">
        <v>0</v>
      </c>
      <c r="AA3010">
        <v>1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1</v>
      </c>
      <c r="AH3010">
        <v>0</v>
      </c>
      <c r="AI3010">
        <v>1</v>
      </c>
      <c r="AJ3010">
        <v>1</v>
      </c>
      <c r="AK3010">
        <v>1</v>
      </c>
      <c r="AL3010">
        <v>0</v>
      </c>
      <c r="AM3010">
        <v>1</v>
      </c>
    </row>
    <row r="3011" spans="1:39" x14ac:dyDescent="0.2">
      <c r="A3011" t="str">
        <f>"3007"</f>
        <v>3007</v>
      </c>
      <c r="B3011" t="str">
        <f t="shared" si="167"/>
        <v>1</v>
      </c>
      <c r="C3011" t="str">
        <f t="shared" si="168"/>
        <v>61</v>
      </c>
      <c r="D3011" t="str">
        <f>"32"</f>
        <v>32</v>
      </c>
      <c r="E3011" t="str">
        <f>"1-61-32"</f>
        <v>1-61-32</v>
      </c>
      <c r="F3011" t="s">
        <v>65</v>
      </c>
      <c r="G3011" t="s">
        <v>66</v>
      </c>
      <c r="H3011" t="s">
        <v>67</v>
      </c>
      <c r="S3011">
        <v>0</v>
      </c>
      <c r="T3011">
        <v>1</v>
      </c>
      <c r="U3011">
        <v>0</v>
      </c>
      <c r="V3011">
        <v>0</v>
      </c>
      <c r="W3011">
        <v>0</v>
      </c>
      <c r="X3011">
        <v>1</v>
      </c>
      <c r="Y3011">
        <v>0</v>
      </c>
      <c r="Z3011">
        <v>1</v>
      </c>
      <c r="AA3011">
        <v>0</v>
      </c>
      <c r="AB3011">
        <v>0</v>
      </c>
      <c r="AC3011">
        <v>1</v>
      </c>
      <c r="AD3011">
        <v>1</v>
      </c>
      <c r="AE3011">
        <v>1</v>
      </c>
      <c r="AF3011">
        <v>1</v>
      </c>
      <c r="AG3011">
        <v>1</v>
      </c>
      <c r="AH3011">
        <v>1</v>
      </c>
      <c r="AI3011">
        <v>1</v>
      </c>
      <c r="AJ3011">
        <v>1</v>
      </c>
      <c r="AK3011">
        <v>1</v>
      </c>
      <c r="AL3011">
        <v>1</v>
      </c>
      <c r="AM3011">
        <v>1</v>
      </c>
    </row>
    <row r="3012" spans="1:39" x14ac:dyDescent="0.2">
      <c r="A3012" t="str">
        <f>"3008"</f>
        <v>3008</v>
      </c>
      <c r="B3012" t="str">
        <f t="shared" si="167"/>
        <v>1</v>
      </c>
      <c r="C3012" t="str">
        <f t="shared" si="168"/>
        <v>61</v>
      </c>
      <c r="D3012" t="str">
        <f>"16"</f>
        <v>16</v>
      </c>
      <c r="E3012" t="str">
        <f>"1-61-16"</f>
        <v>1-61-16</v>
      </c>
      <c r="F3012" t="s">
        <v>65</v>
      </c>
      <c r="G3012" t="s">
        <v>66</v>
      </c>
      <c r="H3012" t="s">
        <v>67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0</v>
      </c>
      <c r="AB3012">
        <v>0</v>
      </c>
      <c r="AC3012">
        <v>1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</row>
    <row r="3013" spans="1:39" x14ac:dyDescent="0.2">
      <c r="A3013" t="str">
        <f>"3009"</f>
        <v>3009</v>
      </c>
      <c r="B3013" t="str">
        <f t="shared" si="167"/>
        <v>1</v>
      </c>
      <c r="C3013" t="str">
        <f t="shared" si="168"/>
        <v>61</v>
      </c>
      <c r="D3013" t="str">
        <f>"11"</f>
        <v>11</v>
      </c>
      <c r="E3013" t="str">
        <f>"1-61-11"</f>
        <v>1-61-11</v>
      </c>
      <c r="F3013" t="s">
        <v>65</v>
      </c>
      <c r="G3013" t="s">
        <v>66</v>
      </c>
      <c r="H3013" t="s">
        <v>67</v>
      </c>
      <c r="S3013">
        <v>0</v>
      </c>
      <c r="T3013">
        <v>1</v>
      </c>
      <c r="U3013">
        <v>0</v>
      </c>
      <c r="V3013">
        <v>0</v>
      </c>
      <c r="W3013">
        <v>1</v>
      </c>
      <c r="X3013">
        <v>0</v>
      </c>
      <c r="Y3013">
        <v>1</v>
      </c>
      <c r="Z3013">
        <v>0</v>
      </c>
      <c r="AA3013">
        <v>0</v>
      </c>
      <c r="AB3013">
        <v>1</v>
      </c>
      <c r="AC3013">
        <v>0</v>
      </c>
      <c r="AD3013">
        <v>1</v>
      </c>
      <c r="AE3013">
        <v>1</v>
      </c>
      <c r="AF3013">
        <v>1</v>
      </c>
      <c r="AG3013">
        <v>1</v>
      </c>
      <c r="AH3013">
        <v>1</v>
      </c>
      <c r="AI3013">
        <v>1</v>
      </c>
      <c r="AJ3013">
        <v>1</v>
      </c>
      <c r="AK3013">
        <v>1</v>
      </c>
      <c r="AL3013">
        <v>1</v>
      </c>
      <c r="AM3013">
        <v>1</v>
      </c>
    </row>
    <row r="3014" spans="1:39" x14ac:dyDescent="0.2">
      <c r="A3014" t="str">
        <f>"3010"</f>
        <v>3010</v>
      </c>
      <c r="B3014" t="str">
        <f t="shared" si="167"/>
        <v>1</v>
      </c>
      <c r="C3014" t="str">
        <f t="shared" si="168"/>
        <v>61</v>
      </c>
      <c r="D3014" t="str">
        <f>"48"</f>
        <v>48</v>
      </c>
      <c r="E3014" t="str">
        <f>"1-61-48"</f>
        <v>1-61-48</v>
      </c>
      <c r="F3014" t="s">
        <v>65</v>
      </c>
      <c r="G3014" t="s">
        <v>66</v>
      </c>
      <c r="H3014" t="s">
        <v>67</v>
      </c>
      <c r="S3014">
        <v>0</v>
      </c>
      <c r="T3014">
        <v>1</v>
      </c>
      <c r="U3014">
        <v>0</v>
      </c>
      <c r="V3014">
        <v>0</v>
      </c>
      <c r="W3014">
        <v>0</v>
      </c>
      <c r="X3014">
        <v>1</v>
      </c>
      <c r="Y3014">
        <v>0</v>
      </c>
      <c r="Z3014">
        <v>1</v>
      </c>
      <c r="AA3014">
        <v>0</v>
      </c>
      <c r="AB3014">
        <v>0</v>
      </c>
      <c r="AC3014">
        <v>1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</row>
    <row r="3015" spans="1:39" x14ac:dyDescent="0.2">
      <c r="A3015" t="str">
        <f>"3011"</f>
        <v>3011</v>
      </c>
      <c r="B3015" t="str">
        <f t="shared" si="167"/>
        <v>1</v>
      </c>
      <c r="C3015" t="str">
        <f t="shared" si="168"/>
        <v>61</v>
      </c>
      <c r="D3015" t="str">
        <f>"47"</f>
        <v>47</v>
      </c>
      <c r="E3015" t="str">
        <f>"1-61-47"</f>
        <v>1-61-47</v>
      </c>
      <c r="F3015" t="s">
        <v>65</v>
      </c>
      <c r="G3015" t="s">
        <v>66</v>
      </c>
      <c r="H3015" t="s">
        <v>67</v>
      </c>
      <c r="S3015">
        <v>1</v>
      </c>
      <c r="T3015">
        <v>0</v>
      </c>
      <c r="U3015">
        <v>0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0</v>
      </c>
      <c r="AB3015">
        <v>0</v>
      </c>
      <c r="AC3015">
        <v>1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</row>
    <row r="3016" spans="1:39" x14ac:dyDescent="0.2">
      <c r="A3016" t="str">
        <f>"3012"</f>
        <v>3012</v>
      </c>
      <c r="B3016" t="str">
        <f t="shared" si="167"/>
        <v>1</v>
      </c>
      <c r="C3016" t="str">
        <f t="shared" si="168"/>
        <v>61</v>
      </c>
      <c r="D3016" t="str">
        <f>"31"</f>
        <v>31</v>
      </c>
      <c r="E3016" t="str">
        <f>"1-61-31"</f>
        <v>1-61-31</v>
      </c>
      <c r="F3016" t="s">
        <v>65</v>
      </c>
      <c r="G3016" t="s">
        <v>66</v>
      </c>
      <c r="H3016" t="s">
        <v>67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1</v>
      </c>
      <c r="Y3016">
        <v>0</v>
      </c>
      <c r="Z3016">
        <v>1</v>
      </c>
      <c r="AA3016">
        <v>0</v>
      </c>
      <c r="AB3016">
        <v>0</v>
      </c>
      <c r="AC3016">
        <v>1</v>
      </c>
      <c r="AD3016">
        <v>0</v>
      </c>
      <c r="AE3016">
        <v>0</v>
      </c>
      <c r="AF3016">
        <v>0</v>
      </c>
      <c r="AG3016">
        <v>1</v>
      </c>
      <c r="AH3016">
        <v>1</v>
      </c>
      <c r="AI3016">
        <v>0</v>
      </c>
      <c r="AJ3016">
        <v>0</v>
      </c>
      <c r="AK3016">
        <v>0</v>
      </c>
      <c r="AL3016">
        <v>1</v>
      </c>
      <c r="AM3016">
        <v>0</v>
      </c>
    </row>
    <row r="3017" spans="1:39" x14ac:dyDescent="0.2">
      <c r="A3017" t="str">
        <f>"3013"</f>
        <v>3013</v>
      </c>
      <c r="B3017" t="str">
        <f t="shared" si="167"/>
        <v>1</v>
      </c>
      <c r="C3017" t="str">
        <f t="shared" si="168"/>
        <v>61</v>
      </c>
      <c r="D3017" t="str">
        <f>"17"</f>
        <v>17</v>
      </c>
      <c r="E3017" t="str">
        <f>"1-61-17"</f>
        <v>1-61-17</v>
      </c>
      <c r="F3017" t="s">
        <v>65</v>
      </c>
      <c r="G3017" t="s">
        <v>66</v>
      </c>
      <c r="H3017" t="s">
        <v>67</v>
      </c>
      <c r="S3017">
        <v>0</v>
      </c>
      <c r="T3017">
        <v>1</v>
      </c>
      <c r="U3017">
        <v>0</v>
      </c>
      <c r="V3017">
        <v>0</v>
      </c>
      <c r="W3017">
        <v>0</v>
      </c>
      <c r="X3017">
        <v>1</v>
      </c>
      <c r="Y3017">
        <v>0</v>
      </c>
      <c r="Z3017">
        <v>1</v>
      </c>
      <c r="AA3017">
        <v>0</v>
      </c>
      <c r="AB3017">
        <v>0</v>
      </c>
      <c r="AC3017">
        <v>1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</row>
    <row r="3018" spans="1:39" x14ac:dyDescent="0.2">
      <c r="A3018" t="str">
        <f>"3014"</f>
        <v>3014</v>
      </c>
      <c r="B3018" t="str">
        <f t="shared" si="167"/>
        <v>1</v>
      </c>
      <c r="C3018" t="str">
        <f t="shared" si="168"/>
        <v>61</v>
      </c>
      <c r="D3018" t="str">
        <f>"5"</f>
        <v>5</v>
      </c>
      <c r="E3018" t="str">
        <f>"1-61-5"</f>
        <v>1-61-5</v>
      </c>
      <c r="F3018" t="s">
        <v>65</v>
      </c>
      <c r="G3018" t="s">
        <v>66</v>
      </c>
      <c r="H3018" t="s">
        <v>67</v>
      </c>
      <c r="S3018">
        <v>0</v>
      </c>
      <c r="T3018">
        <v>1</v>
      </c>
      <c r="U3018">
        <v>0</v>
      </c>
      <c r="V3018">
        <v>0</v>
      </c>
      <c r="W3018">
        <v>0</v>
      </c>
      <c r="X3018">
        <v>1</v>
      </c>
      <c r="Y3018">
        <v>0</v>
      </c>
      <c r="Z3018">
        <v>1</v>
      </c>
      <c r="AA3018">
        <v>0</v>
      </c>
      <c r="AB3018">
        <v>0</v>
      </c>
      <c r="AC3018">
        <v>1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</row>
    <row r="3019" spans="1:39" x14ac:dyDescent="0.2">
      <c r="A3019" t="str">
        <f>"3015"</f>
        <v>3015</v>
      </c>
      <c r="B3019" t="str">
        <f t="shared" si="167"/>
        <v>1</v>
      </c>
      <c r="C3019" t="str">
        <f t="shared" si="168"/>
        <v>61</v>
      </c>
      <c r="D3019" t="str">
        <f>"33"</f>
        <v>33</v>
      </c>
      <c r="E3019" t="str">
        <f>"1-61-33"</f>
        <v>1-61-33</v>
      </c>
      <c r="F3019" t="s">
        <v>65</v>
      </c>
      <c r="G3019" t="s">
        <v>66</v>
      </c>
      <c r="H3019" t="s">
        <v>67</v>
      </c>
      <c r="S3019">
        <v>1</v>
      </c>
      <c r="T3019">
        <v>0</v>
      </c>
      <c r="U3019">
        <v>0</v>
      </c>
      <c r="V3019">
        <v>0</v>
      </c>
      <c r="W3019">
        <v>1</v>
      </c>
      <c r="X3019">
        <v>0</v>
      </c>
      <c r="Y3019">
        <v>1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1</v>
      </c>
      <c r="AF3019">
        <v>1</v>
      </c>
      <c r="AG3019">
        <v>1</v>
      </c>
      <c r="AH3019">
        <v>1</v>
      </c>
      <c r="AI3019">
        <v>1</v>
      </c>
      <c r="AJ3019">
        <v>1</v>
      </c>
      <c r="AK3019">
        <v>1</v>
      </c>
      <c r="AL3019">
        <v>1</v>
      </c>
      <c r="AM3019">
        <v>1</v>
      </c>
    </row>
    <row r="3020" spans="1:39" x14ac:dyDescent="0.2">
      <c r="A3020" t="str">
        <f>"3016"</f>
        <v>3016</v>
      </c>
      <c r="B3020" t="str">
        <f t="shared" si="167"/>
        <v>1</v>
      </c>
      <c r="C3020" t="str">
        <f t="shared" si="168"/>
        <v>61</v>
      </c>
      <c r="D3020" t="str">
        <f>"18"</f>
        <v>18</v>
      </c>
      <c r="E3020" t="str">
        <f>"1-61-18"</f>
        <v>1-61-18</v>
      </c>
      <c r="F3020" t="s">
        <v>65</v>
      </c>
      <c r="G3020" t="s">
        <v>66</v>
      </c>
      <c r="H3020" t="s">
        <v>67</v>
      </c>
      <c r="S3020">
        <v>0</v>
      </c>
      <c r="T3020">
        <v>1</v>
      </c>
      <c r="U3020">
        <v>0</v>
      </c>
      <c r="V3020">
        <v>0</v>
      </c>
      <c r="W3020">
        <v>0</v>
      </c>
      <c r="X3020">
        <v>1</v>
      </c>
      <c r="Y3020">
        <v>0</v>
      </c>
      <c r="Z3020">
        <v>1</v>
      </c>
      <c r="AA3020">
        <v>0</v>
      </c>
      <c r="AB3020">
        <v>1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</row>
    <row r="3021" spans="1:39" x14ac:dyDescent="0.2">
      <c r="A3021" t="str">
        <f>"3017"</f>
        <v>3017</v>
      </c>
      <c r="B3021" t="str">
        <f t="shared" si="167"/>
        <v>1</v>
      </c>
      <c r="C3021" t="str">
        <f t="shared" si="168"/>
        <v>61</v>
      </c>
      <c r="D3021" t="str">
        <f>"1"</f>
        <v>1</v>
      </c>
      <c r="E3021" t="str">
        <f>"1-61-1"</f>
        <v>1-61-1</v>
      </c>
      <c r="F3021" t="s">
        <v>65</v>
      </c>
      <c r="G3021" t="s">
        <v>66</v>
      </c>
      <c r="H3021" t="s">
        <v>67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</row>
    <row r="3022" spans="1:39" x14ac:dyDescent="0.2">
      <c r="A3022" t="str">
        <f>"3018"</f>
        <v>3018</v>
      </c>
      <c r="B3022" t="str">
        <f t="shared" si="167"/>
        <v>1</v>
      </c>
      <c r="C3022" t="str">
        <f t="shared" si="168"/>
        <v>61</v>
      </c>
      <c r="D3022" t="str">
        <f>"40"</f>
        <v>40</v>
      </c>
      <c r="E3022" t="str">
        <f>"1-61-40"</f>
        <v>1-61-40</v>
      </c>
      <c r="F3022" t="s">
        <v>65</v>
      </c>
      <c r="G3022" t="s">
        <v>66</v>
      </c>
      <c r="H3022" t="s">
        <v>67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</row>
    <row r="3023" spans="1:39" x14ac:dyDescent="0.2">
      <c r="A3023" t="str">
        <f>"3019"</f>
        <v>3019</v>
      </c>
      <c r="B3023" t="str">
        <f t="shared" si="167"/>
        <v>1</v>
      </c>
      <c r="C3023" t="str">
        <f t="shared" si="168"/>
        <v>61</v>
      </c>
      <c r="D3023" t="str">
        <f>"39"</f>
        <v>39</v>
      </c>
      <c r="E3023" t="str">
        <f>"1-61-39"</f>
        <v>1-61-39</v>
      </c>
      <c r="F3023" t="s">
        <v>65</v>
      </c>
      <c r="G3023" t="s">
        <v>66</v>
      </c>
      <c r="H3023" t="s">
        <v>67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1</v>
      </c>
      <c r="Y3023">
        <v>1</v>
      </c>
      <c r="Z3023">
        <v>0</v>
      </c>
      <c r="AA3023">
        <v>0</v>
      </c>
      <c r="AB3023">
        <v>0</v>
      </c>
      <c r="AC3023">
        <v>0</v>
      </c>
      <c r="AD3023">
        <v>1</v>
      </c>
      <c r="AE3023">
        <v>1</v>
      </c>
      <c r="AF3023">
        <v>1</v>
      </c>
      <c r="AG3023">
        <v>1</v>
      </c>
      <c r="AH3023">
        <v>1</v>
      </c>
      <c r="AI3023">
        <v>1</v>
      </c>
      <c r="AJ3023">
        <v>1</v>
      </c>
      <c r="AK3023">
        <v>1</v>
      </c>
      <c r="AL3023">
        <v>1</v>
      </c>
      <c r="AM3023">
        <v>1</v>
      </c>
    </row>
    <row r="3024" spans="1:39" x14ac:dyDescent="0.2">
      <c r="A3024" t="str">
        <f>"3020"</f>
        <v>3020</v>
      </c>
      <c r="B3024" t="str">
        <f t="shared" si="167"/>
        <v>1</v>
      </c>
      <c r="C3024" t="str">
        <f t="shared" si="168"/>
        <v>61</v>
      </c>
      <c r="D3024" t="str">
        <f>"30"</f>
        <v>30</v>
      </c>
      <c r="E3024" t="str">
        <f>"1-61-30"</f>
        <v>1-61-30</v>
      </c>
      <c r="F3024" t="s">
        <v>65</v>
      </c>
      <c r="G3024" t="s">
        <v>66</v>
      </c>
      <c r="H3024" t="s">
        <v>67</v>
      </c>
      <c r="S3024">
        <v>0</v>
      </c>
      <c r="T3024">
        <v>1</v>
      </c>
      <c r="U3024">
        <v>0</v>
      </c>
      <c r="V3024">
        <v>0</v>
      </c>
      <c r="W3024">
        <v>1</v>
      </c>
      <c r="X3024">
        <v>0</v>
      </c>
      <c r="Y3024">
        <v>1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</row>
    <row r="3025" spans="1:39" x14ac:dyDescent="0.2">
      <c r="A3025" t="str">
        <f>"3021"</f>
        <v>3021</v>
      </c>
      <c r="B3025" t="str">
        <f t="shared" si="167"/>
        <v>1</v>
      </c>
      <c r="C3025" t="str">
        <f t="shared" si="168"/>
        <v>61</v>
      </c>
      <c r="D3025" t="str">
        <f>"19"</f>
        <v>19</v>
      </c>
      <c r="E3025" t="str">
        <f>"1-61-19"</f>
        <v>1-61-19</v>
      </c>
      <c r="F3025" t="s">
        <v>65</v>
      </c>
      <c r="G3025" t="s">
        <v>66</v>
      </c>
      <c r="H3025" t="s">
        <v>67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1</v>
      </c>
      <c r="AJ3025">
        <v>0</v>
      </c>
      <c r="AK3025">
        <v>0</v>
      </c>
      <c r="AL3025">
        <v>0</v>
      </c>
      <c r="AM3025">
        <v>1</v>
      </c>
    </row>
    <row r="3026" spans="1:39" x14ac:dyDescent="0.2">
      <c r="A3026" t="str">
        <f>"3022"</f>
        <v>3022</v>
      </c>
      <c r="B3026" t="str">
        <f t="shared" si="167"/>
        <v>1</v>
      </c>
      <c r="C3026" t="str">
        <f t="shared" si="168"/>
        <v>61</v>
      </c>
      <c r="D3026" t="str">
        <f>"9"</f>
        <v>9</v>
      </c>
      <c r="E3026" t="str">
        <f>"1-61-9"</f>
        <v>1-61-9</v>
      </c>
      <c r="F3026" t="s">
        <v>65</v>
      </c>
      <c r="G3026" t="s">
        <v>66</v>
      </c>
      <c r="H3026" t="s">
        <v>67</v>
      </c>
      <c r="S3026">
        <v>1</v>
      </c>
      <c r="T3026">
        <v>0</v>
      </c>
      <c r="U3026">
        <v>0</v>
      </c>
      <c r="V3026">
        <v>0</v>
      </c>
      <c r="W3026">
        <v>0</v>
      </c>
      <c r="X3026">
        <v>1</v>
      </c>
      <c r="Y3026">
        <v>0</v>
      </c>
      <c r="Z3026">
        <v>1</v>
      </c>
      <c r="AA3026">
        <v>0</v>
      </c>
      <c r="AB3026">
        <v>0</v>
      </c>
      <c r="AC3026">
        <v>1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</row>
    <row r="3027" spans="1:39" x14ac:dyDescent="0.2">
      <c r="A3027" t="str">
        <f>"3023"</f>
        <v>3023</v>
      </c>
      <c r="B3027" t="str">
        <f t="shared" si="167"/>
        <v>1</v>
      </c>
      <c r="C3027" t="str">
        <f t="shared" si="168"/>
        <v>61</v>
      </c>
      <c r="D3027" t="str">
        <f>"41"</f>
        <v>41</v>
      </c>
      <c r="E3027" t="str">
        <f>"1-61-41"</f>
        <v>1-61-41</v>
      </c>
      <c r="F3027" t="s">
        <v>65</v>
      </c>
      <c r="G3027" t="s">
        <v>66</v>
      </c>
      <c r="H3027" t="s">
        <v>67</v>
      </c>
      <c r="S3027">
        <v>1</v>
      </c>
      <c r="T3027">
        <v>0</v>
      </c>
      <c r="U3027">
        <v>0</v>
      </c>
      <c r="V3027">
        <v>0</v>
      </c>
      <c r="W3027">
        <v>1</v>
      </c>
      <c r="X3027">
        <v>0</v>
      </c>
      <c r="Y3027">
        <v>0</v>
      </c>
      <c r="Z3027">
        <v>1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1</v>
      </c>
      <c r="AH3027">
        <v>1</v>
      </c>
      <c r="AI3027">
        <v>0</v>
      </c>
      <c r="AJ3027">
        <v>0</v>
      </c>
      <c r="AK3027">
        <v>0</v>
      </c>
      <c r="AL3027">
        <v>1</v>
      </c>
      <c r="AM3027">
        <v>0</v>
      </c>
    </row>
    <row r="3028" spans="1:39" x14ac:dyDescent="0.2">
      <c r="A3028" t="str">
        <f>"3024"</f>
        <v>3024</v>
      </c>
      <c r="B3028" t="str">
        <f t="shared" si="167"/>
        <v>1</v>
      </c>
      <c r="C3028" t="str">
        <f t="shared" si="168"/>
        <v>61</v>
      </c>
      <c r="D3028" t="str">
        <f>"20"</f>
        <v>20</v>
      </c>
      <c r="E3028" t="str">
        <f>"1-61-20"</f>
        <v>1-61-20</v>
      </c>
      <c r="F3028" t="s">
        <v>65</v>
      </c>
      <c r="G3028" t="s">
        <v>66</v>
      </c>
      <c r="H3028" t="s">
        <v>67</v>
      </c>
      <c r="S3028">
        <v>1</v>
      </c>
      <c r="T3028">
        <v>0</v>
      </c>
      <c r="U3028">
        <v>0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0</v>
      </c>
      <c r="AB3028">
        <v>0</v>
      </c>
      <c r="AC3028">
        <v>1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1</v>
      </c>
      <c r="AJ3028">
        <v>0</v>
      </c>
      <c r="AK3028">
        <v>0</v>
      </c>
      <c r="AL3028">
        <v>0</v>
      </c>
      <c r="AM3028">
        <v>0</v>
      </c>
    </row>
    <row r="3029" spans="1:39" x14ac:dyDescent="0.2">
      <c r="A3029" t="str">
        <f>"3025"</f>
        <v>3025</v>
      </c>
      <c r="B3029" t="str">
        <f t="shared" si="167"/>
        <v>1</v>
      </c>
      <c r="C3029" t="str">
        <f t="shared" si="168"/>
        <v>61</v>
      </c>
      <c r="D3029" t="str">
        <f>"3"</f>
        <v>3</v>
      </c>
      <c r="E3029" t="str">
        <f>"1-61-3"</f>
        <v>1-61-3</v>
      </c>
      <c r="F3029" t="s">
        <v>65</v>
      </c>
      <c r="G3029" t="s">
        <v>66</v>
      </c>
      <c r="H3029" t="s">
        <v>67</v>
      </c>
      <c r="S3029">
        <v>0</v>
      </c>
      <c r="T3029">
        <v>1</v>
      </c>
      <c r="U3029">
        <v>0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0</v>
      </c>
      <c r="AB3029">
        <v>0</v>
      </c>
      <c r="AC3029">
        <v>1</v>
      </c>
      <c r="AD3029">
        <v>0</v>
      </c>
      <c r="AE3029">
        <v>0</v>
      </c>
      <c r="AF3029">
        <v>0</v>
      </c>
      <c r="AG3029">
        <v>0</v>
      </c>
      <c r="AH3029">
        <v>1</v>
      </c>
      <c r="AI3029">
        <v>1</v>
      </c>
      <c r="AJ3029">
        <v>1</v>
      </c>
      <c r="AK3029">
        <v>1</v>
      </c>
      <c r="AL3029">
        <v>1</v>
      </c>
      <c r="AM3029">
        <v>1</v>
      </c>
    </row>
    <row r="3030" spans="1:39" x14ac:dyDescent="0.2">
      <c r="A3030" t="str">
        <f>"3026"</f>
        <v>3026</v>
      </c>
      <c r="B3030" t="str">
        <f t="shared" si="167"/>
        <v>1</v>
      </c>
      <c r="C3030" t="str">
        <f t="shared" si="168"/>
        <v>61</v>
      </c>
      <c r="D3030" t="str">
        <f>"34"</f>
        <v>34</v>
      </c>
      <c r="E3030" t="str">
        <f>"1-61-34"</f>
        <v>1-61-34</v>
      </c>
      <c r="F3030" t="s">
        <v>65</v>
      </c>
      <c r="G3030" t="s">
        <v>66</v>
      </c>
      <c r="H3030" t="s">
        <v>67</v>
      </c>
      <c r="S3030">
        <v>0</v>
      </c>
      <c r="T3030">
        <v>1</v>
      </c>
      <c r="U3030">
        <v>0</v>
      </c>
      <c r="V3030">
        <v>0</v>
      </c>
      <c r="W3030">
        <v>0</v>
      </c>
      <c r="X3030">
        <v>1</v>
      </c>
      <c r="Y3030">
        <v>0</v>
      </c>
      <c r="Z3030">
        <v>1</v>
      </c>
      <c r="AA3030">
        <v>0</v>
      </c>
      <c r="AB3030">
        <v>0</v>
      </c>
      <c r="AC3030">
        <v>1</v>
      </c>
      <c r="AD3030">
        <v>0</v>
      </c>
      <c r="AE3030">
        <v>0</v>
      </c>
      <c r="AF3030">
        <v>0</v>
      </c>
      <c r="AG3030">
        <v>1</v>
      </c>
      <c r="AH3030">
        <v>1</v>
      </c>
      <c r="AI3030">
        <v>1</v>
      </c>
      <c r="AJ3030">
        <v>1</v>
      </c>
      <c r="AK3030">
        <v>1</v>
      </c>
      <c r="AL3030">
        <v>1</v>
      </c>
      <c r="AM3030">
        <v>1</v>
      </c>
    </row>
    <row r="3031" spans="1:39" x14ac:dyDescent="0.2">
      <c r="A3031" t="str">
        <f>"3027"</f>
        <v>3027</v>
      </c>
      <c r="B3031" t="str">
        <f t="shared" si="167"/>
        <v>1</v>
      </c>
      <c r="C3031" t="str">
        <f t="shared" si="168"/>
        <v>61</v>
      </c>
      <c r="D3031" t="str">
        <f>"21"</f>
        <v>21</v>
      </c>
      <c r="E3031" t="str">
        <f>"1-61-21"</f>
        <v>1-61-21</v>
      </c>
      <c r="F3031" t="s">
        <v>65</v>
      </c>
      <c r="G3031" t="s">
        <v>66</v>
      </c>
      <c r="H3031" t="s">
        <v>67</v>
      </c>
      <c r="S3031">
        <v>0</v>
      </c>
      <c r="T3031">
        <v>1</v>
      </c>
      <c r="U3031">
        <v>0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</row>
    <row r="3032" spans="1:39" x14ac:dyDescent="0.2">
      <c r="A3032" t="str">
        <f>"3028"</f>
        <v>3028</v>
      </c>
      <c r="B3032" t="str">
        <f t="shared" si="167"/>
        <v>1</v>
      </c>
      <c r="C3032" t="str">
        <f t="shared" si="168"/>
        <v>61</v>
      </c>
      <c r="D3032" t="str">
        <f>"13"</f>
        <v>13</v>
      </c>
      <c r="E3032" t="str">
        <f>"1-61-13"</f>
        <v>1-61-13</v>
      </c>
      <c r="F3032" t="s">
        <v>65</v>
      </c>
      <c r="G3032" t="s">
        <v>66</v>
      </c>
      <c r="H3032" t="s">
        <v>67</v>
      </c>
      <c r="S3032">
        <v>1</v>
      </c>
      <c r="T3032">
        <v>0</v>
      </c>
      <c r="U3032">
        <v>0</v>
      </c>
      <c r="V3032">
        <v>0</v>
      </c>
      <c r="W3032">
        <v>0</v>
      </c>
      <c r="X3032">
        <v>1</v>
      </c>
      <c r="Y3032">
        <v>0</v>
      </c>
      <c r="Z3032">
        <v>1</v>
      </c>
      <c r="AA3032">
        <v>0</v>
      </c>
      <c r="AB3032">
        <v>0</v>
      </c>
      <c r="AC3032">
        <v>1</v>
      </c>
      <c r="AD3032">
        <v>1</v>
      </c>
      <c r="AE3032">
        <v>1</v>
      </c>
      <c r="AF3032">
        <v>1</v>
      </c>
      <c r="AG3032">
        <v>1</v>
      </c>
      <c r="AH3032">
        <v>1</v>
      </c>
      <c r="AI3032">
        <v>1</v>
      </c>
      <c r="AJ3032">
        <v>1</v>
      </c>
      <c r="AK3032">
        <v>1</v>
      </c>
      <c r="AL3032">
        <v>1</v>
      </c>
      <c r="AM3032">
        <v>1</v>
      </c>
    </row>
    <row r="3033" spans="1:39" x14ac:dyDescent="0.2">
      <c r="A3033" t="str">
        <f>"3029"</f>
        <v>3029</v>
      </c>
      <c r="B3033" t="str">
        <f t="shared" si="167"/>
        <v>1</v>
      </c>
      <c r="C3033" t="str">
        <f t="shared" si="168"/>
        <v>61</v>
      </c>
      <c r="D3033" t="str">
        <f>"36"</f>
        <v>36</v>
      </c>
      <c r="E3033" t="str">
        <f>"1-61-36"</f>
        <v>1-61-36</v>
      </c>
      <c r="F3033" t="s">
        <v>65</v>
      </c>
      <c r="G3033" t="s">
        <v>66</v>
      </c>
      <c r="H3033" t="s">
        <v>67</v>
      </c>
      <c r="S3033">
        <v>0</v>
      </c>
      <c r="T3033">
        <v>1</v>
      </c>
      <c r="U3033">
        <v>0</v>
      </c>
      <c r="V3033">
        <v>0</v>
      </c>
      <c r="W3033">
        <v>0</v>
      </c>
      <c r="X3033">
        <v>1</v>
      </c>
      <c r="Y3033">
        <v>0</v>
      </c>
      <c r="Z3033">
        <v>1</v>
      </c>
      <c r="AA3033">
        <v>0</v>
      </c>
      <c r="AB3033">
        <v>0</v>
      </c>
      <c r="AC3033">
        <v>1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</row>
    <row r="3034" spans="1:39" x14ac:dyDescent="0.2">
      <c r="A3034" t="str">
        <f>"3030"</f>
        <v>3030</v>
      </c>
      <c r="B3034" t="str">
        <f t="shared" si="167"/>
        <v>1</v>
      </c>
      <c r="C3034" t="str">
        <f t="shared" si="168"/>
        <v>61</v>
      </c>
      <c r="D3034" t="str">
        <f>"22"</f>
        <v>22</v>
      </c>
      <c r="E3034" t="str">
        <f>"1-61-22"</f>
        <v>1-61-22</v>
      </c>
      <c r="F3034" t="s">
        <v>65</v>
      </c>
      <c r="G3034" t="s">
        <v>66</v>
      </c>
      <c r="H3034" t="s">
        <v>67</v>
      </c>
      <c r="S3034">
        <v>1</v>
      </c>
      <c r="T3034">
        <v>0</v>
      </c>
      <c r="U3034">
        <v>0</v>
      </c>
      <c r="V3034">
        <v>0</v>
      </c>
      <c r="W3034">
        <v>0</v>
      </c>
      <c r="X3034">
        <v>1</v>
      </c>
      <c r="Y3034">
        <v>1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1</v>
      </c>
      <c r="AF3034">
        <v>1</v>
      </c>
      <c r="AG3034">
        <v>1</v>
      </c>
      <c r="AH3034">
        <v>1</v>
      </c>
      <c r="AI3034">
        <v>1</v>
      </c>
      <c r="AJ3034">
        <v>1</v>
      </c>
      <c r="AK3034">
        <v>1</v>
      </c>
      <c r="AL3034">
        <v>1</v>
      </c>
      <c r="AM3034">
        <v>1</v>
      </c>
    </row>
    <row r="3035" spans="1:39" x14ac:dyDescent="0.2">
      <c r="A3035" t="str">
        <f>"3031"</f>
        <v>3031</v>
      </c>
      <c r="B3035" t="str">
        <f t="shared" si="167"/>
        <v>1</v>
      </c>
      <c r="C3035" t="str">
        <f t="shared" si="168"/>
        <v>61</v>
      </c>
      <c r="D3035" t="str">
        <f>"12"</f>
        <v>12</v>
      </c>
      <c r="E3035" t="str">
        <f>"1-61-12"</f>
        <v>1-61-12</v>
      </c>
      <c r="F3035" t="s">
        <v>65</v>
      </c>
      <c r="G3035" t="s">
        <v>66</v>
      </c>
      <c r="H3035" t="s">
        <v>67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0</v>
      </c>
      <c r="AB3035">
        <v>0</v>
      </c>
      <c r="AC3035">
        <v>1</v>
      </c>
      <c r="AD3035">
        <v>0</v>
      </c>
      <c r="AE3035">
        <v>0</v>
      </c>
      <c r="AF3035">
        <v>0</v>
      </c>
      <c r="AG3035">
        <v>1</v>
      </c>
      <c r="AH3035">
        <v>1</v>
      </c>
      <c r="AI3035">
        <v>1</v>
      </c>
      <c r="AJ3035">
        <v>1</v>
      </c>
      <c r="AK3035">
        <v>1</v>
      </c>
      <c r="AL3035">
        <v>1</v>
      </c>
      <c r="AM3035">
        <v>1</v>
      </c>
    </row>
    <row r="3036" spans="1:39" x14ac:dyDescent="0.2">
      <c r="A3036" t="str">
        <f>"3032"</f>
        <v>3032</v>
      </c>
      <c r="B3036" t="str">
        <f t="shared" si="167"/>
        <v>1</v>
      </c>
      <c r="C3036" t="str">
        <f t="shared" si="168"/>
        <v>61</v>
      </c>
      <c r="D3036" t="str">
        <f>"35"</f>
        <v>35</v>
      </c>
      <c r="E3036" t="str">
        <f>"1-61-35"</f>
        <v>1-61-35</v>
      </c>
      <c r="F3036" t="s">
        <v>65</v>
      </c>
      <c r="G3036" t="s">
        <v>66</v>
      </c>
      <c r="H3036" t="s">
        <v>67</v>
      </c>
      <c r="S3036">
        <v>1</v>
      </c>
      <c r="T3036">
        <v>0</v>
      </c>
      <c r="U3036">
        <v>0</v>
      </c>
      <c r="V3036">
        <v>0</v>
      </c>
      <c r="W3036">
        <v>0</v>
      </c>
      <c r="X3036">
        <v>1</v>
      </c>
      <c r="Y3036">
        <v>0</v>
      </c>
      <c r="Z3036">
        <v>1</v>
      </c>
      <c r="AA3036">
        <v>0</v>
      </c>
      <c r="AB3036">
        <v>1</v>
      </c>
      <c r="AC3036">
        <v>0</v>
      </c>
      <c r="AD3036">
        <v>1</v>
      </c>
      <c r="AE3036">
        <v>1</v>
      </c>
      <c r="AF3036">
        <v>1</v>
      </c>
      <c r="AG3036">
        <v>1</v>
      </c>
      <c r="AH3036">
        <v>1</v>
      </c>
      <c r="AI3036">
        <v>1</v>
      </c>
      <c r="AJ3036">
        <v>1</v>
      </c>
      <c r="AK3036">
        <v>1</v>
      </c>
      <c r="AL3036">
        <v>1</v>
      </c>
      <c r="AM3036">
        <v>1</v>
      </c>
    </row>
    <row r="3037" spans="1:39" x14ac:dyDescent="0.2">
      <c r="A3037" t="str">
        <f>"3033"</f>
        <v>3033</v>
      </c>
      <c r="B3037" t="str">
        <f t="shared" si="167"/>
        <v>1</v>
      </c>
      <c r="C3037" t="str">
        <f t="shared" ref="C3037:C3054" si="169">"61"</f>
        <v>61</v>
      </c>
      <c r="D3037" t="str">
        <f>"23"</f>
        <v>23</v>
      </c>
      <c r="E3037" t="str">
        <f>"1-61-23"</f>
        <v>1-61-23</v>
      </c>
      <c r="F3037" t="s">
        <v>65</v>
      </c>
      <c r="G3037" t="s">
        <v>66</v>
      </c>
      <c r="H3037" t="s">
        <v>67</v>
      </c>
      <c r="S3037">
        <v>0</v>
      </c>
      <c r="T3037">
        <v>1</v>
      </c>
      <c r="U3037">
        <v>0</v>
      </c>
      <c r="V3037">
        <v>0</v>
      </c>
      <c r="W3037">
        <v>1</v>
      </c>
      <c r="X3037">
        <v>0</v>
      </c>
      <c r="Y3037">
        <v>0</v>
      </c>
      <c r="Z3037">
        <v>1</v>
      </c>
      <c r="AA3037">
        <v>0</v>
      </c>
      <c r="AB3037">
        <v>1</v>
      </c>
      <c r="AC3037">
        <v>0</v>
      </c>
      <c r="AD3037">
        <v>1</v>
      </c>
      <c r="AE3037">
        <v>1</v>
      </c>
      <c r="AF3037">
        <v>1</v>
      </c>
      <c r="AG3037">
        <v>1</v>
      </c>
      <c r="AH3037">
        <v>1</v>
      </c>
      <c r="AI3037">
        <v>1</v>
      </c>
      <c r="AJ3037">
        <v>1</v>
      </c>
      <c r="AK3037">
        <v>1</v>
      </c>
      <c r="AL3037">
        <v>1</v>
      </c>
      <c r="AM3037">
        <v>1</v>
      </c>
    </row>
    <row r="3038" spans="1:39" x14ac:dyDescent="0.2">
      <c r="A3038" t="str">
        <f>"3034"</f>
        <v>3034</v>
      </c>
      <c r="B3038" t="str">
        <f t="shared" si="167"/>
        <v>1</v>
      </c>
      <c r="C3038" t="str">
        <f t="shared" si="169"/>
        <v>61</v>
      </c>
      <c r="D3038" t="str">
        <f>"8"</f>
        <v>8</v>
      </c>
      <c r="E3038" t="str">
        <f>"1-61-8"</f>
        <v>1-61-8</v>
      </c>
      <c r="F3038" t="s">
        <v>65</v>
      </c>
      <c r="G3038" t="s">
        <v>66</v>
      </c>
      <c r="H3038" t="s">
        <v>67</v>
      </c>
      <c r="S3038">
        <v>0</v>
      </c>
      <c r="T3038">
        <v>0</v>
      </c>
      <c r="U3038">
        <v>0</v>
      </c>
      <c r="V3038">
        <v>0</v>
      </c>
      <c r="W3038">
        <v>1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</row>
    <row r="3039" spans="1:39" x14ac:dyDescent="0.2">
      <c r="A3039" t="str">
        <f>"3035"</f>
        <v>3035</v>
      </c>
      <c r="B3039" t="str">
        <f t="shared" si="167"/>
        <v>1</v>
      </c>
      <c r="C3039" t="str">
        <f t="shared" si="169"/>
        <v>61</v>
      </c>
      <c r="D3039" t="str">
        <f>"43"</f>
        <v>43</v>
      </c>
      <c r="E3039" t="str">
        <f>"1-61-43"</f>
        <v>1-61-43</v>
      </c>
      <c r="F3039" t="s">
        <v>65</v>
      </c>
      <c r="G3039" t="s">
        <v>66</v>
      </c>
      <c r="H3039" t="s">
        <v>67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</row>
    <row r="3040" spans="1:39" x14ac:dyDescent="0.2">
      <c r="A3040" t="str">
        <f>"3036"</f>
        <v>3036</v>
      </c>
      <c r="B3040" t="str">
        <f t="shared" si="167"/>
        <v>1</v>
      </c>
      <c r="C3040" t="str">
        <f t="shared" si="169"/>
        <v>61</v>
      </c>
      <c r="D3040" t="str">
        <f>"24"</f>
        <v>24</v>
      </c>
      <c r="E3040" t="str">
        <f>"1-61-24"</f>
        <v>1-61-24</v>
      </c>
      <c r="F3040" t="s">
        <v>65</v>
      </c>
      <c r="G3040" t="s">
        <v>66</v>
      </c>
      <c r="H3040" t="s">
        <v>67</v>
      </c>
      <c r="S3040">
        <v>0</v>
      </c>
      <c r="T3040">
        <v>1</v>
      </c>
      <c r="U3040">
        <v>0</v>
      </c>
      <c r="V3040">
        <v>0</v>
      </c>
      <c r="W3040">
        <v>0</v>
      </c>
      <c r="X3040">
        <v>1</v>
      </c>
      <c r="Y3040">
        <v>0</v>
      </c>
      <c r="Z3040">
        <v>1</v>
      </c>
      <c r="AA3040">
        <v>0</v>
      </c>
      <c r="AB3040">
        <v>0</v>
      </c>
      <c r="AC3040">
        <v>1</v>
      </c>
      <c r="AD3040">
        <v>1</v>
      </c>
      <c r="AE3040">
        <v>1</v>
      </c>
      <c r="AF3040">
        <v>1</v>
      </c>
      <c r="AG3040">
        <v>1</v>
      </c>
      <c r="AH3040">
        <v>1</v>
      </c>
      <c r="AI3040">
        <v>1</v>
      </c>
      <c r="AJ3040">
        <v>1</v>
      </c>
      <c r="AK3040">
        <v>1</v>
      </c>
      <c r="AL3040">
        <v>1</v>
      </c>
      <c r="AM3040">
        <v>1</v>
      </c>
    </row>
    <row r="3041" spans="1:39" x14ac:dyDescent="0.2">
      <c r="A3041" t="str">
        <f>"3037"</f>
        <v>3037</v>
      </c>
      <c r="B3041" t="str">
        <f t="shared" si="167"/>
        <v>1</v>
      </c>
      <c r="C3041" t="str">
        <f t="shared" si="169"/>
        <v>61</v>
      </c>
      <c r="D3041" t="str">
        <f>"2"</f>
        <v>2</v>
      </c>
      <c r="E3041" t="str">
        <f>"1-61-2"</f>
        <v>1-61-2</v>
      </c>
      <c r="F3041" t="s">
        <v>65</v>
      </c>
      <c r="G3041" t="s">
        <v>66</v>
      </c>
      <c r="H3041" t="s">
        <v>67</v>
      </c>
      <c r="S3041">
        <v>0</v>
      </c>
      <c r="T3041">
        <v>1</v>
      </c>
      <c r="U3041">
        <v>0</v>
      </c>
      <c r="V3041">
        <v>0</v>
      </c>
      <c r="W3041">
        <v>0</v>
      </c>
      <c r="X3041">
        <v>1</v>
      </c>
      <c r="Y3041">
        <v>0</v>
      </c>
      <c r="Z3041">
        <v>1</v>
      </c>
      <c r="AA3041">
        <v>0</v>
      </c>
      <c r="AB3041">
        <v>0</v>
      </c>
      <c r="AC3041">
        <v>1</v>
      </c>
      <c r="AD3041">
        <v>1</v>
      </c>
      <c r="AE3041">
        <v>1</v>
      </c>
      <c r="AF3041">
        <v>1</v>
      </c>
      <c r="AG3041">
        <v>1</v>
      </c>
      <c r="AH3041">
        <v>1</v>
      </c>
      <c r="AI3041">
        <v>1</v>
      </c>
      <c r="AJ3041">
        <v>1</v>
      </c>
      <c r="AK3041">
        <v>1</v>
      </c>
      <c r="AL3041">
        <v>1</v>
      </c>
      <c r="AM3041">
        <v>1</v>
      </c>
    </row>
    <row r="3042" spans="1:39" x14ac:dyDescent="0.2">
      <c r="A3042" t="str">
        <f>"3038"</f>
        <v>3038</v>
      </c>
      <c r="B3042" t="str">
        <f t="shared" si="167"/>
        <v>1</v>
      </c>
      <c r="C3042" t="str">
        <f t="shared" si="169"/>
        <v>61</v>
      </c>
      <c r="D3042" t="str">
        <f>"42"</f>
        <v>42</v>
      </c>
      <c r="E3042" t="str">
        <f>"1-61-42"</f>
        <v>1-61-42</v>
      </c>
      <c r="F3042" t="s">
        <v>65</v>
      </c>
      <c r="G3042" t="s">
        <v>66</v>
      </c>
      <c r="H3042" t="s">
        <v>67</v>
      </c>
      <c r="S3042">
        <v>1</v>
      </c>
      <c r="T3042">
        <v>0</v>
      </c>
      <c r="U3042">
        <v>0</v>
      </c>
      <c r="V3042">
        <v>0</v>
      </c>
      <c r="W3042">
        <v>1</v>
      </c>
      <c r="X3042">
        <v>0</v>
      </c>
      <c r="Y3042">
        <v>1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1</v>
      </c>
      <c r="AF3042">
        <v>1</v>
      </c>
      <c r="AG3042">
        <v>1</v>
      </c>
      <c r="AH3042">
        <v>1</v>
      </c>
      <c r="AI3042">
        <v>1</v>
      </c>
      <c r="AJ3042">
        <v>1</v>
      </c>
      <c r="AK3042">
        <v>1</v>
      </c>
      <c r="AL3042">
        <v>1</v>
      </c>
      <c r="AM3042">
        <v>1</v>
      </c>
    </row>
    <row r="3043" spans="1:39" x14ac:dyDescent="0.2">
      <c r="A3043" t="str">
        <f>"3039"</f>
        <v>3039</v>
      </c>
      <c r="B3043" t="str">
        <f t="shared" si="167"/>
        <v>1</v>
      </c>
      <c r="C3043" t="str">
        <f t="shared" si="169"/>
        <v>61</v>
      </c>
      <c r="D3043" t="str">
        <f>"25"</f>
        <v>25</v>
      </c>
      <c r="E3043" t="str">
        <f>"1-61-25"</f>
        <v>1-61-25</v>
      </c>
      <c r="F3043" t="s">
        <v>65</v>
      </c>
      <c r="G3043" t="s">
        <v>66</v>
      </c>
      <c r="H3043" t="s">
        <v>67</v>
      </c>
      <c r="S3043">
        <v>0</v>
      </c>
      <c r="T3043">
        <v>1</v>
      </c>
      <c r="U3043">
        <v>0</v>
      </c>
      <c r="V3043">
        <v>0</v>
      </c>
      <c r="W3043">
        <v>0</v>
      </c>
      <c r="X3043">
        <v>1</v>
      </c>
      <c r="Y3043">
        <v>0</v>
      </c>
      <c r="Z3043">
        <v>1</v>
      </c>
      <c r="AA3043">
        <v>0</v>
      </c>
      <c r="AB3043">
        <v>0</v>
      </c>
      <c r="AC3043">
        <v>1</v>
      </c>
      <c r="AD3043">
        <v>1</v>
      </c>
      <c r="AE3043">
        <v>1</v>
      </c>
      <c r="AF3043">
        <v>1</v>
      </c>
      <c r="AG3043">
        <v>1</v>
      </c>
      <c r="AH3043">
        <v>1</v>
      </c>
      <c r="AI3043">
        <v>1</v>
      </c>
      <c r="AJ3043">
        <v>1</v>
      </c>
      <c r="AK3043">
        <v>1</v>
      </c>
      <c r="AL3043">
        <v>1</v>
      </c>
      <c r="AM3043">
        <v>1</v>
      </c>
    </row>
    <row r="3044" spans="1:39" x14ac:dyDescent="0.2">
      <c r="A3044" t="str">
        <f>"3040"</f>
        <v>3040</v>
      </c>
      <c r="B3044" t="str">
        <f t="shared" si="167"/>
        <v>1</v>
      </c>
      <c r="C3044" t="str">
        <f t="shared" si="169"/>
        <v>61</v>
      </c>
      <c r="D3044" t="str">
        <f>"14"</f>
        <v>14</v>
      </c>
      <c r="E3044" t="str">
        <f>"1-61-14"</f>
        <v>1-61-14</v>
      </c>
      <c r="F3044" t="s">
        <v>65</v>
      </c>
      <c r="G3044" t="s">
        <v>66</v>
      </c>
      <c r="H3044" t="s">
        <v>67</v>
      </c>
      <c r="S3044">
        <v>0</v>
      </c>
      <c r="T3044">
        <v>1</v>
      </c>
      <c r="U3044">
        <v>0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0</v>
      </c>
      <c r="AB3044">
        <v>0</v>
      </c>
      <c r="AC3044">
        <v>1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</row>
    <row r="3045" spans="1:39" x14ac:dyDescent="0.2">
      <c r="A3045" t="str">
        <f>"3041"</f>
        <v>3041</v>
      </c>
      <c r="B3045" t="str">
        <f t="shared" si="167"/>
        <v>1</v>
      </c>
      <c r="C3045" t="str">
        <f t="shared" si="169"/>
        <v>61</v>
      </c>
      <c r="D3045" t="str">
        <f>"44"</f>
        <v>44</v>
      </c>
      <c r="E3045" t="str">
        <f>"1-61-44"</f>
        <v>1-61-44</v>
      </c>
      <c r="F3045" t="s">
        <v>65</v>
      </c>
      <c r="G3045" t="s">
        <v>66</v>
      </c>
      <c r="H3045" t="s">
        <v>67</v>
      </c>
      <c r="S3045">
        <v>0</v>
      </c>
      <c r="T3045">
        <v>1</v>
      </c>
      <c r="U3045">
        <v>0</v>
      </c>
      <c r="V3045">
        <v>0</v>
      </c>
      <c r="W3045">
        <v>1</v>
      </c>
      <c r="X3045">
        <v>0</v>
      </c>
      <c r="Y3045">
        <v>0</v>
      </c>
      <c r="Z3045">
        <v>1</v>
      </c>
      <c r="AA3045">
        <v>0</v>
      </c>
      <c r="AB3045">
        <v>0</v>
      </c>
      <c r="AC3045">
        <v>1</v>
      </c>
      <c r="AD3045">
        <v>1</v>
      </c>
      <c r="AE3045">
        <v>1</v>
      </c>
      <c r="AF3045">
        <v>1</v>
      </c>
      <c r="AG3045">
        <v>1</v>
      </c>
      <c r="AH3045">
        <v>1</v>
      </c>
      <c r="AI3045">
        <v>1</v>
      </c>
      <c r="AJ3045">
        <v>1</v>
      </c>
      <c r="AK3045">
        <v>1</v>
      </c>
      <c r="AL3045">
        <v>1</v>
      </c>
      <c r="AM3045">
        <v>1</v>
      </c>
    </row>
    <row r="3046" spans="1:39" x14ac:dyDescent="0.2">
      <c r="A3046" t="str">
        <f>"3042"</f>
        <v>3042</v>
      </c>
      <c r="B3046" t="str">
        <f t="shared" si="167"/>
        <v>1</v>
      </c>
      <c r="C3046" t="str">
        <f t="shared" si="169"/>
        <v>61</v>
      </c>
      <c r="D3046" t="str">
        <f>"26"</f>
        <v>26</v>
      </c>
      <c r="E3046" t="str">
        <f>"1-61-26"</f>
        <v>1-61-26</v>
      </c>
      <c r="F3046" t="s">
        <v>65</v>
      </c>
      <c r="G3046" t="s">
        <v>66</v>
      </c>
      <c r="H3046" t="s">
        <v>67</v>
      </c>
      <c r="S3046">
        <v>0</v>
      </c>
      <c r="T3046">
        <v>1</v>
      </c>
      <c r="U3046">
        <v>0</v>
      </c>
      <c r="V3046">
        <v>0</v>
      </c>
      <c r="W3046">
        <v>1</v>
      </c>
      <c r="X3046">
        <v>0</v>
      </c>
      <c r="Y3046">
        <v>0</v>
      </c>
      <c r="Z3046">
        <v>1</v>
      </c>
      <c r="AA3046">
        <v>0</v>
      </c>
      <c r="AB3046">
        <v>1</v>
      </c>
      <c r="AC3046">
        <v>0</v>
      </c>
      <c r="AD3046">
        <v>1</v>
      </c>
      <c r="AE3046">
        <v>1</v>
      </c>
      <c r="AF3046">
        <v>1</v>
      </c>
      <c r="AG3046">
        <v>1</v>
      </c>
      <c r="AH3046">
        <v>1</v>
      </c>
      <c r="AI3046">
        <v>1</v>
      </c>
      <c r="AJ3046">
        <v>1</v>
      </c>
      <c r="AK3046">
        <v>1</v>
      </c>
      <c r="AL3046">
        <v>1</v>
      </c>
      <c r="AM3046">
        <v>1</v>
      </c>
    </row>
    <row r="3047" spans="1:39" x14ac:dyDescent="0.2">
      <c r="A3047" t="str">
        <f>"3043"</f>
        <v>3043</v>
      </c>
      <c r="B3047" t="str">
        <f t="shared" si="167"/>
        <v>1</v>
      </c>
      <c r="C3047" t="str">
        <f t="shared" si="169"/>
        <v>61</v>
      </c>
      <c r="D3047" t="str">
        <f>"6"</f>
        <v>6</v>
      </c>
      <c r="E3047" t="str">
        <f>"1-61-6"</f>
        <v>1-61-6</v>
      </c>
      <c r="F3047" t="s">
        <v>65</v>
      </c>
      <c r="G3047" t="s">
        <v>66</v>
      </c>
      <c r="H3047" t="s">
        <v>67</v>
      </c>
      <c r="S3047">
        <v>0</v>
      </c>
      <c r="T3047">
        <v>1</v>
      </c>
      <c r="U3047">
        <v>0</v>
      </c>
      <c r="V3047">
        <v>0</v>
      </c>
      <c r="W3047">
        <v>0</v>
      </c>
      <c r="X3047">
        <v>1</v>
      </c>
      <c r="Y3047">
        <v>1</v>
      </c>
      <c r="Z3047">
        <v>0</v>
      </c>
      <c r="AA3047">
        <v>1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1</v>
      </c>
      <c r="AM3047">
        <v>0</v>
      </c>
    </row>
    <row r="3048" spans="1:39" x14ac:dyDescent="0.2">
      <c r="A3048" t="str">
        <f>"3044"</f>
        <v>3044</v>
      </c>
      <c r="B3048" t="str">
        <f t="shared" si="167"/>
        <v>1</v>
      </c>
      <c r="C3048" t="str">
        <f t="shared" si="169"/>
        <v>61</v>
      </c>
      <c r="D3048" t="str">
        <f>"45"</f>
        <v>45</v>
      </c>
      <c r="E3048" t="str">
        <f>"1-61-45"</f>
        <v>1-61-45</v>
      </c>
      <c r="F3048" t="s">
        <v>65</v>
      </c>
      <c r="G3048" t="s">
        <v>66</v>
      </c>
      <c r="H3048" t="s">
        <v>67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</row>
    <row r="3049" spans="1:39" x14ac:dyDescent="0.2">
      <c r="A3049" t="str">
        <f>"3045"</f>
        <v>3045</v>
      </c>
      <c r="B3049" t="str">
        <f t="shared" si="167"/>
        <v>1</v>
      </c>
      <c r="C3049" t="str">
        <f t="shared" si="169"/>
        <v>61</v>
      </c>
      <c r="D3049" t="str">
        <f>"27"</f>
        <v>27</v>
      </c>
      <c r="E3049" t="str">
        <f>"1-61-27"</f>
        <v>1-61-27</v>
      </c>
      <c r="F3049" t="s">
        <v>65</v>
      </c>
      <c r="G3049" t="s">
        <v>66</v>
      </c>
      <c r="H3049" t="s">
        <v>67</v>
      </c>
      <c r="S3049">
        <v>1</v>
      </c>
      <c r="T3049">
        <v>0</v>
      </c>
      <c r="U3049">
        <v>0</v>
      </c>
      <c r="V3049">
        <v>0</v>
      </c>
      <c r="W3049">
        <v>1</v>
      </c>
      <c r="X3049">
        <v>0</v>
      </c>
      <c r="Y3049">
        <v>0</v>
      </c>
      <c r="Z3049">
        <v>1</v>
      </c>
      <c r="AA3049">
        <v>0</v>
      </c>
      <c r="AB3049">
        <v>1</v>
      </c>
      <c r="AC3049">
        <v>0</v>
      </c>
      <c r="AD3049">
        <v>1</v>
      </c>
      <c r="AE3049">
        <v>1</v>
      </c>
      <c r="AF3049">
        <v>1</v>
      </c>
      <c r="AG3049">
        <v>1</v>
      </c>
      <c r="AH3049">
        <v>1</v>
      </c>
      <c r="AI3049">
        <v>1</v>
      </c>
      <c r="AJ3049">
        <v>1</v>
      </c>
      <c r="AK3049">
        <v>1</v>
      </c>
      <c r="AL3049">
        <v>1</v>
      </c>
      <c r="AM3049">
        <v>1</v>
      </c>
    </row>
    <row r="3050" spans="1:39" x14ac:dyDescent="0.2">
      <c r="A3050" t="str">
        <f>"3046"</f>
        <v>3046</v>
      </c>
      <c r="B3050" t="str">
        <f t="shared" si="167"/>
        <v>1</v>
      </c>
      <c r="C3050" t="str">
        <f t="shared" si="169"/>
        <v>61</v>
      </c>
      <c r="D3050" t="str">
        <f>"7"</f>
        <v>7</v>
      </c>
      <c r="E3050" t="str">
        <f>"1-61-7"</f>
        <v>1-61-7</v>
      </c>
      <c r="F3050" t="s">
        <v>65</v>
      </c>
      <c r="G3050" t="s">
        <v>66</v>
      </c>
      <c r="H3050" t="s">
        <v>67</v>
      </c>
      <c r="S3050">
        <v>0</v>
      </c>
      <c r="T3050">
        <v>1</v>
      </c>
      <c r="U3050">
        <v>0</v>
      </c>
      <c r="V3050">
        <v>0</v>
      </c>
      <c r="W3050">
        <v>0</v>
      </c>
      <c r="X3050">
        <v>1</v>
      </c>
      <c r="Y3050">
        <v>0</v>
      </c>
      <c r="Z3050">
        <v>1</v>
      </c>
      <c r="AA3050">
        <v>0</v>
      </c>
      <c r="AB3050">
        <v>0</v>
      </c>
      <c r="AC3050">
        <v>1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</row>
    <row r="3051" spans="1:39" x14ac:dyDescent="0.2">
      <c r="A3051" t="str">
        <f>"3047"</f>
        <v>3047</v>
      </c>
      <c r="B3051" t="str">
        <f t="shared" si="167"/>
        <v>1</v>
      </c>
      <c r="C3051" t="str">
        <f t="shared" si="169"/>
        <v>61</v>
      </c>
      <c r="D3051" t="str">
        <f>"46"</f>
        <v>46</v>
      </c>
      <c r="E3051" t="str">
        <f>"1-61-46"</f>
        <v>1-61-46</v>
      </c>
      <c r="F3051" t="s">
        <v>65</v>
      </c>
      <c r="G3051" t="s">
        <v>66</v>
      </c>
      <c r="H3051" t="s">
        <v>67</v>
      </c>
      <c r="S3051">
        <v>1</v>
      </c>
      <c r="T3051">
        <v>0</v>
      </c>
      <c r="U3051">
        <v>0</v>
      </c>
      <c r="V3051">
        <v>0</v>
      </c>
      <c r="W3051">
        <v>1</v>
      </c>
      <c r="X3051">
        <v>0</v>
      </c>
      <c r="Y3051">
        <v>1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1</v>
      </c>
      <c r="AF3051">
        <v>1</v>
      </c>
      <c r="AG3051">
        <v>1</v>
      </c>
      <c r="AH3051">
        <v>1</v>
      </c>
      <c r="AI3051">
        <v>1</v>
      </c>
      <c r="AJ3051">
        <v>1</v>
      </c>
      <c r="AK3051">
        <v>1</v>
      </c>
      <c r="AL3051">
        <v>1</v>
      </c>
      <c r="AM3051">
        <v>1</v>
      </c>
    </row>
    <row r="3052" spans="1:39" x14ac:dyDescent="0.2">
      <c r="A3052" t="str">
        <f>"3048"</f>
        <v>3048</v>
      </c>
      <c r="B3052" t="str">
        <f t="shared" si="167"/>
        <v>1</v>
      </c>
      <c r="C3052" t="str">
        <f t="shared" si="169"/>
        <v>61</v>
      </c>
      <c r="D3052" t="str">
        <f>"28"</f>
        <v>28</v>
      </c>
      <c r="E3052" t="str">
        <f>"1-61-28"</f>
        <v>1-61-28</v>
      </c>
      <c r="F3052" t="s">
        <v>65</v>
      </c>
      <c r="G3052" t="s">
        <v>66</v>
      </c>
      <c r="H3052" t="s">
        <v>67</v>
      </c>
      <c r="S3052">
        <v>1</v>
      </c>
      <c r="T3052">
        <v>0</v>
      </c>
      <c r="U3052">
        <v>0</v>
      </c>
      <c r="V3052">
        <v>0</v>
      </c>
      <c r="W3052">
        <v>1</v>
      </c>
      <c r="X3052">
        <v>0</v>
      </c>
      <c r="Y3052">
        <v>0</v>
      </c>
      <c r="Z3052">
        <v>1</v>
      </c>
      <c r="AA3052">
        <v>0</v>
      </c>
      <c r="AB3052">
        <v>1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</row>
    <row r="3053" spans="1:39" x14ac:dyDescent="0.2">
      <c r="A3053" t="str">
        <f>"3049"</f>
        <v>3049</v>
      </c>
      <c r="B3053" t="str">
        <f t="shared" si="167"/>
        <v>1</v>
      </c>
      <c r="C3053" t="str">
        <f t="shared" si="169"/>
        <v>61</v>
      </c>
      <c r="D3053" t="str">
        <f>"10"</f>
        <v>10</v>
      </c>
      <c r="E3053" t="str">
        <f>"1-61-10"</f>
        <v>1-61-10</v>
      </c>
      <c r="F3053" t="s">
        <v>65</v>
      </c>
      <c r="G3053" t="s">
        <v>66</v>
      </c>
      <c r="H3053" t="s">
        <v>67</v>
      </c>
      <c r="S3053">
        <v>0</v>
      </c>
      <c r="T3053">
        <v>1</v>
      </c>
      <c r="U3053">
        <v>0</v>
      </c>
      <c r="V3053">
        <v>0</v>
      </c>
      <c r="W3053">
        <v>1</v>
      </c>
      <c r="X3053">
        <v>0</v>
      </c>
      <c r="Y3053">
        <v>1</v>
      </c>
      <c r="Z3053">
        <v>0</v>
      </c>
      <c r="AA3053">
        <v>0</v>
      </c>
      <c r="AB3053">
        <v>1</v>
      </c>
      <c r="AC3053">
        <v>0</v>
      </c>
      <c r="AD3053">
        <v>1</v>
      </c>
      <c r="AE3053">
        <v>1</v>
      </c>
      <c r="AF3053">
        <v>1</v>
      </c>
      <c r="AG3053">
        <v>1</v>
      </c>
      <c r="AH3053">
        <v>1</v>
      </c>
      <c r="AI3053">
        <v>1</v>
      </c>
      <c r="AJ3053">
        <v>1</v>
      </c>
      <c r="AK3053">
        <v>1</v>
      </c>
      <c r="AL3053">
        <v>1</v>
      </c>
      <c r="AM3053">
        <v>1</v>
      </c>
    </row>
    <row r="3054" spans="1:39" x14ac:dyDescent="0.2">
      <c r="A3054" t="str">
        <f>"3050"</f>
        <v>3050</v>
      </c>
      <c r="B3054" t="str">
        <f t="shared" si="167"/>
        <v>1</v>
      </c>
      <c r="C3054" t="str">
        <f t="shared" si="169"/>
        <v>61</v>
      </c>
      <c r="D3054" t="str">
        <f>"50"</f>
        <v>50</v>
      </c>
      <c r="E3054" t="str">
        <f>"1-61-50"</f>
        <v>1-61-50</v>
      </c>
      <c r="F3054" t="s">
        <v>65</v>
      </c>
      <c r="G3054" t="s">
        <v>66</v>
      </c>
      <c r="H3054" t="s">
        <v>67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1</v>
      </c>
      <c r="Y3054">
        <v>0</v>
      </c>
      <c r="Z3054">
        <v>1</v>
      </c>
      <c r="AA3054">
        <v>0</v>
      </c>
      <c r="AB3054">
        <v>1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1</v>
      </c>
      <c r="AJ3054">
        <v>1</v>
      </c>
      <c r="AK3054">
        <v>1</v>
      </c>
      <c r="AL3054">
        <v>0</v>
      </c>
      <c r="AM3054">
        <v>1</v>
      </c>
    </row>
    <row r="3055" spans="1:39" x14ac:dyDescent="0.2">
      <c r="A3055" t="str">
        <f>"3051"</f>
        <v>3051</v>
      </c>
      <c r="B3055" t="str">
        <f t="shared" si="167"/>
        <v>1</v>
      </c>
      <c r="C3055" t="str">
        <f t="shared" ref="C3055:C3086" si="170">"62"</f>
        <v>62</v>
      </c>
      <c r="D3055" t="str">
        <f>"39"</f>
        <v>39</v>
      </c>
      <c r="E3055" t="str">
        <f>"1-62-39"</f>
        <v>1-62-39</v>
      </c>
      <c r="F3055" t="s">
        <v>65</v>
      </c>
      <c r="G3055" t="s">
        <v>66</v>
      </c>
      <c r="H3055" t="s">
        <v>67</v>
      </c>
      <c r="S3055">
        <v>0</v>
      </c>
      <c r="T3055">
        <v>1</v>
      </c>
      <c r="U3055">
        <v>0</v>
      </c>
      <c r="V3055">
        <v>0</v>
      </c>
      <c r="W3055">
        <v>1</v>
      </c>
      <c r="X3055">
        <v>0</v>
      </c>
      <c r="Y3055">
        <v>0</v>
      </c>
      <c r="Z3055">
        <v>1</v>
      </c>
      <c r="AA3055">
        <v>1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1</v>
      </c>
      <c r="AJ3055">
        <v>0</v>
      </c>
      <c r="AK3055">
        <v>0</v>
      </c>
      <c r="AL3055">
        <v>0</v>
      </c>
      <c r="AM3055">
        <v>0</v>
      </c>
    </row>
    <row r="3056" spans="1:39" x14ac:dyDescent="0.2">
      <c r="A3056" t="str">
        <f>"3052"</f>
        <v>3052</v>
      </c>
      <c r="B3056" t="str">
        <f t="shared" si="167"/>
        <v>1</v>
      </c>
      <c r="C3056" t="str">
        <f t="shared" si="170"/>
        <v>62</v>
      </c>
      <c r="D3056" t="str">
        <f>"38"</f>
        <v>38</v>
      </c>
      <c r="E3056" t="str">
        <f>"1-62-38"</f>
        <v>1-62-38</v>
      </c>
      <c r="F3056" t="s">
        <v>65</v>
      </c>
      <c r="G3056" t="s">
        <v>66</v>
      </c>
      <c r="H3056" t="s">
        <v>67</v>
      </c>
      <c r="S3056">
        <v>0</v>
      </c>
      <c r="T3056">
        <v>1</v>
      </c>
      <c r="U3056">
        <v>0</v>
      </c>
      <c r="V3056">
        <v>0</v>
      </c>
      <c r="W3056">
        <v>0</v>
      </c>
      <c r="X3056">
        <v>1</v>
      </c>
      <c r="Y3056">
        <v>0</v>
      </c>
      <c r="Z3056">
        <v>1</v>
      </c>
      <c r="AA3056">
        <v>0</v>
      </c>
      <c r="AB3056">
        <v>1</v>
      </c>
      <c r="AC3056">
        <v>0</v>
      </c>
      <c r="AD3056">
        <v>1</v>
      </c>
      <c r="AE3056">
        <v>1</v>
      </c>
      <c r="AF3056">
        <v>1</v>
      </c>
      <c r="AG3056">
        <v>1</v>
      </c>
      <c r="AH3056">
        <v>1</v>
      </c>
      <c r="AI3056">
        <v>1</v>
      </c>
      <c r="AJ3056">
        <v>1</v>
      </c>
      <c r="AK3056">
        <v>1</v>
      </c>
      <c r="AL3056">
        <v>1</v>
      </c>
      <c r="AM3056">
        <v>1</v>
      </c>
    </row>
    <row r="3057" spans="1:39" x14ac:dyDescent="0.2">
      <c r="A3057" t="str">
        <f>"3053"</f>
        <v>3053</v>
      </c>
      <c r="B3057" t="str">
        <f t="shared" si="167"/>
        <v>1</v>
      </c>
      <c r="C3057" t="str">
        <f t="shared" si="170"/>
        <v>62</v>
      </c>
      <c r="D3057" t="str">
        <f>"28"</f>
        <v>28</v>
      </c>
      <c r="E3057" t="str">
        <f>"1-62-28"</f>
        <v>1-62-28</v>
      </c>
      <c r="F3057" t="s">
        <v>65</v>
      </c>
      <c r="G3057" t="s">
        <v>66</v>
      </c>
      <c r="H3057" t="s">
        <v>67</v>
      </c>
      <c r="S3057">
        <v>0</v>
      </c>
      <c r="T3057">
        <v>1</v>
      </c>
      <c r="U3057">
        <v>0</v>
      </c>
      <c r="V3057">
        <v>0</v>
      </c>
      <c r="W3057">
        <v>0</v>
      </c>
      <c r="X3057">
        <v>1</v>
      </c>
      <c r="Y3057">
        <v>1</v>
      </c>
      <c r="Z3057">
        <v>0</v>
      </c>
      <c r="AA3057">
        <v>0</v>
      </c>
      <c r="AB3057">
        <v>0</v>
      </c>
      <c r="AC3057">
        <v>1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</row>
    <row r="3058" spans="1:39" x14ac:dyDescent="0.2">
      <c r="A3058" t="str">
        <f>"3054"</f>
        <v>3054</v>
      </c>
      <c r="B3058" t="str">
        <f t="shared" si="167"/>
        <v>1</v>
      </c>
      <c r="C3058" t="str">
        <f t="shared" si="170"/>
        <v>62</v>
      </c>
      <c r="D3058" t="str">
        <f>"27"</f>
        <v>27</v>
      </c>
      <c r="E3058" t="str">
        <f>"1-62-27"</f>
        <v>1-62-27</v>
      </c>
      <c r="F3058" t="s">
        <v>65</v>
      </c>
      <c r="G3058" t="s">
        <v>66</v>
      </c>
      <c r="H3058" t="s">
        <v>67</v>
      </c>
      <c r="S3058">
        <v>0</v>
      </c>
      <c r="T3058">
        <v>1</v>
      </c>
      <c r="U3058">
        <v>0</v>
      </c>
      <c r="V3058">
        <v>0</v>
      </c>
      <c r="W3058">
        <v>0</v>
      </c>
      <c r="X3058">
        <v>1</v>
      </c>
      <c r="Y3058">
        <v>0</v>
      </c>
      <c r="Z3058">
        <v>1</v>
      </c>
      <c r="AA3058">
        <v>0</v>
      </c>
      <c r="AB3058">
        <v>0</v>
      </c>
      <c r="AC3058">
        <v>1</v>
      </c>
      <c r="AD3058">
        <v>1</v>
      </c>
      <c r="AE3058">
        <v>1</v>
      </c>
      <c r="AF3058">
        <v>1</v>
      </c>
      <c r="AG3058">
        <v>1</v>
      </c>
      <c r="AH3058">
        <v>1</v>
      </c>
      <c r="AI3058">
        <v>1</v>
      </c>
      <c r="AJ3058">
        <v>1</v>
      </c>
      <c r="AK3058">
        <v>1</v>
      </c>
      <c r="AL3058">
        <v>1</v>
      </c>
      <c r="AM3058">
        <v>1</v>
      </c>
    </row>
    <row r="3059" spans="1:39" x14ac:dyDescent="0.2">
      <c r="A3059" t="str">
        <f>"3055"</f>
        <v>3055</v>
      </c>
      <c r="B3059" t="str">
        <f t="shared" si="167"/>
        <v>1</v>
      </c>
      <c r="C3059" t="str">
        <f t="shared" si="170"/>
        <v>62</v>
      </c>
      <c r="D3059" t="str">
        <f>"19"</f>
        <v>19</v>
      </c>
      <c r="E3059" t="str">
        <f>"1-62-19"</f>
        <v>1-62-19</v>
      </c>
      <c r="F3059" t="s">
        <v>65</v>
      </c>
      <c r="G3059" t="s">
        <v>66</v>
      </c>
      <c r="H3059" t="s">
        <v>67</v>
      </c>
      <c r="S3059">
        <v>0</v>
      </c>
      <c r="T3059">
        <v>1</v>
      </c>
      <c r="U3059">
        <v>0</v>
      </c>
      <c r="V3059">
        <v>0</v>
      </c>
      <c r="W3059">
        <v>1</v>
      </c>
      <c r="X3059">
        <v>0</v>
      </c>
      <c r="Y3059">
        <v>0</v>
      </c>
      <c r="Z3059">
        <v>1</v>
      </c>
      <c r="AA3059">
        <v>1</v>
      </c>
      <c r="AB3059">
        <v>0</v>
      </c>
      <c r="AC3059">
        <v>0</v>
      </c>
      <c r="AD3059">
        <v>1</v>
      </c>
      <c r="AE3059">
        <v>1</v>
      </c>
      <c r="AF3059">
        <v>1</v>
      </c>
      <c r="AG3059">
        <v>1</v>
      </c>
      <c r="AH3059">
        <v>1</v>
      </c>
      <c r="AI3059">
        <v>1</v>
      </c>
      <c r="AJ3059">
        <v>1</v>
      </c>
      <c r="AK3059">
        <v>1</v>
      </c>
      <c r="AL3059">
        <v>1</v>
      </c>
      <c r="AM3059">
        <v>1</v>
      </c>
    </row>
    <row r="3060" spans="1:39" x14ac:dyDescent="0.2">
      <c r="A3060" t="str">
        <f>"3056"</f>
        <v>3056</v>
      </c>
      <c r="B3060" t="str">
        <f t="shared" si="167"/>
        <v>1</v>
      </c>
      <c r="C3060" t="str">
        <f t="shared" si="170"/>
        <v>62</v>
      </c>
      <c r="D3060" t="str">
        <f>"15"</f>
        <v>15</v>
      </c>
      <c r="E3060" t="str">
        <f>"1-62-15"</f>
        <v>1-62-15</v>
      </c>
      <c r="F3060" t="s">
        <v>65</v>
      </c>
      <c r="G3060" t="s">
        <v>66</v>
      </c>
      <c r="H3060" t="s">
        <v>67</v>
      </c>
      <c r="S3060">
        <v>0</v>
      </c>
      <c r="T3060">
        <v>1</v>
      </c>
      <c r="U3060">
        <v>0</v>
      </c>
      <c r="V3060">
        <v>0</v>
      </c>
      <c r="W3060">
        <v>1</v>
      </c>
      <c r="X3060">
        <v>0</v>
      </c>
      <c r="Y3060">
        <v>1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1</v>
      </c>
      <c r="AF3060">
        <v>1</v>
      </c>
      <c r="AG3060">
        <v>1</v>
      </c>
      <c r="AH3060">
        <v>1</v>
      </c>
      <c r="AI3060">
        <v>1</v>
      </c>
      <c r="AJ3060">
        <v>1</v>
      </c>
      <c r="AK3060">
        <v>1</v>
      </c>
      <c r="AL3060">
        <v>1</v>
      </c>
      <c r="AM3060">
        <v>1</v>
      </c>
    </row>
    <row r="3061" spans="1:39" x14ac:dyDescent="0.2">
      <c r="A3061" t="str">
        <f>"3057"</f>
        <v>3057</v>
      </c>
      <c r="B3061" t="str">
        <f t="shared" si="167"/>
        <v>1</v>
      </c>
      <c r="C3061" t="str">
        <f t="shared" si="170"/>
        <v>62</v>
      </c>
      <c r="D3061" t="str">
        <f>"3"</f>
        <v>3</v>
      </c>
      <c r="E3061" t="str">
        <f>"1-62-3"</f>
        <v>1-62-3</v>
      </c>
      <c r="F3061" t="s">
        <v>65</v>
      </c>
      <c r="G3061" t="s">
        <v>66</v>
      </c>
      <c r="H3061" t="s">
        <v>68</v>
      </c>
      <c r="I3061">
        <v>1</v>
      </c>
      <c r="J3061">
        <v>0</v>
      </c>
      <c r="K3061">
        <v>1</v>
      </c>
      <c r="L3061">
        <v>0</v>
      </c>
      <c r="M3061">
        <v>1</v>
      </c>
      <c r="N3061">
        <v>1</v>
      </c>
      <c r="O3061">
        <v>1</v>
      </c>
      <c r="P3061">
        <v>1</v>
      </c>
      <c r="Q3061">
        <v>1</v>
      </c>
      <c r="R3061">
        <v>1</v>
      </c>
    </row>
    <row r="3062" spans="1:39" x14ac:dyDescent="0.2">
      <c r="A3062" t="str">
        <f>"3058"</f>
        <v>3058</v>
      </c>
      <c r="B3062" t="str">
        <f t="shared" si="167"/>
        <v>1</v>
      </c>
      <c r="C3062" t="str">
        <f t="shared" si="170"/>
        <v>62</v>
      </c>
      <c r="D3062" t="str">
        <f>"35"</f>
        <v>35</v>
      </c>
      <c r="E3062" t="str">
        <f>"1-62-35"</f>
        <v>1-62-35</v>
      </c>
      <c r="F3062" t="s">
        <v>65</v>
      </c>
      <c r="G3062" t="s">
        <v>66</v>
      </c>
      <c r="H3062" t="s">
        <v>67</v>
      </c>
      <c r="S3062">
        <v>1</v>
      </c>
      <c r="T3062">
        <v>0</v>
      </c>
      <c r="U3062">
        <v>0</v>
      </c>
      <c r="V3062">
        <v>0</v>
      </c>
      <c r="W3062">
        <v>1</v>
      </c>
      <c r="X3062">
        <v>0</v>
      </c>
      <c r="Y3062">
        <v>1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1</v>
      </c>
      <c r="AF3062">
        <v>1</v>
      </c>
      <c r="AG3062">
        <v>1</v>
      </c>
      <c r="AH3062">
        <v>1</v>
      </c>
      <c r="AI3062">
        <v>1</v>
      </c>
      <c r="AJ3062">
        <v>1</v>
      </c>
      <c r="AK3062">
        <v>0</v>
      </c>
      <c r="AL3062">
        <v>1</v>
      </c>
      <c r="AM3062">
        <v>1</v>
      </c>
    </row>
    <row r="3063" spans="1:39" x14ac:dyDescent="0.2">
      <c r="A3063" t="str">
        <f>"3059"</f>
        <v>3059</v>
      </c>
      <c r="B3063" t="str">
        <f t="shared" ref="B3063:B3126" si="171">"1"</f>
        <v>1</v>
      </c>
      <c r="C3063" t="str">
        <f t="shared" si="170"/>
        <v>62</v>
      </c>
      <c r="D3063" t="str">
        <f>"16"</f>
        <v>16</v>
      </c>
      <c r="E3063" t="str">
        <f>"1-62-16"</f>
        <v>1-62-16</v>
      </c>
      <c r="F3063" t="s">
        <v>65</v>
      </c>
      <c r="G3063" t="s">
        <v>66</v>
      </c>
      <c r="H3063" t="s">
        <v>67</v>
      </c>
      <c r="S3063">
        <v>0</v>
      </c>
      <c r="T3063">
        <v>1</v>
      </c>
      <c r="U3063">
        <v>0</v>
      </c>
      <c r="V3063">
        <v>0</v>
      </c>
      <c r="W3063">
        <v>0</v>
      </c>
      <c r="X3063">
        <v>1</v>
      </c>
      <c r="Y3063">
        <v>0</v>
      </c>
      <c r="Z3063">
        <v>1</v>
      </c>
      <c r="AA3063">
        <v>0</v>
      </c>
      <c r="AB3063">
        <v>1</v>
      </c>
      <c r="AC3063">
        <v>0</v>
      </c>
      <c r="AD3063">
        <v>1</v>
      </c>
      <c r="AE3063">
        <v>1</v>
      </c>
      <c r="AF3063">
        <v>1</v>
      </c>
      <c r="AG3063">
        <v>0</v>
      </c>
      <c r="AH3063">
        <v>1</v>
      </c>
      <c r="AI3063">
        <v>1</v>
      </c>
      <c r="AJ3063">
        <v>1</v>
      </c>
      <c r="AK3063">
        <v>1</v>
      </c>
      <c r="AL3063">
        <v>1</v>
      </c>
      <c r="AM3063">
        <v>1</v>
      </c>
    </row>
    <row r="3064" spans="1:39" x14ac:dyDescent="0.2">
      <c r="A3064" t="str">
        <f>"3060"</f>
        <v>3060</v>
      </c>
      <c r="B3064" t="str">
        <f t="shared" si="171"/>
        <v>1</v>
      </c>
      <c r="C3064" t="str">
        <f t="shared" si="170"/>
        <v>62</v>
      </c>
      <c r="D3064" t="str">
        <f>"4"</f>
        <v>4</v>
      </c>
      <c r="E3064" t="str">
        <f>"1-62-4"</f>
        <v>1-62-4</v>
      </c>
      <c r="F3064" t="s">
        <v>65</v>
      </c>
      <c r="G3064" t="s">
        <v>66</v>
      </c>
      <c r="H3064" t="s">
        <v>68</v>
      </c>
      <c r="I3064">
        <v>1</v>
      </c>
      <c r="J3064">
        <v>0</v>
      </c>
      <c r="K3064">
        <v>0</v>
      </c>
      <c r="L3064">
        <v>1</v>
      </c>
      <c r="M3064">
        <v>1</v>
      </c>
      <c r="N3064">
        <v>1</v>
      </c>
      <c r="O3064">
        <v>1</v>
      </c>
      <c r="P3064">
        <v>1</v>
      </c>
      <c r="Q3064">
        <v>1</v>
      </c>
      <c r="R3064">
        <v>1</v>
      </c>
    </row>
    <row r="3065" spans="1:39" x14ac:dyDescent="0.2">
      <c r="A3065" t="str">
        <f>"3061"</f>
        <v>3061</v>
      </c>
      <c r="B3065" t="str">
        <f t="shared" si="171"/>
        <v>1</v>
      </c>
      <c r="C3065" t="str">
        <f t="shared" si="170"/>
        <v>62</v>
      </c>
      <c r="D3065" t="str">
        <f>"47"</f>
        <v>47</v>
      </c>
      <c r="E3065" t="str">
        <f>"1-62-47"</f>
        <v>1-62-47</v>
      </c>
      <c r="F3065" t="s">
        <v>65</v>
      </c>
      <c r="G3065" t="s">
        <v>66</v>
      </c>
      <c r="H3065" t="s">
        <v>67</v>
      </c>
      <c r="S3065">
        <v>0</v>
      </c>
      <c r="T3065">
        <v>1</v>
      </c>
      <c r="U3065">
        <v>0</v>
      </c>
      <c r="V3065">
        <v>0</v>
      </c>
      <c r="W3065">
        <v>1</v>
      </c>
      <c r="X3065">
        <v>0</v>
      </c>
      <c r="Y3065">
        <v>0</v>
      </c>
      <c r="Z3065">
        <v>1</v>
      </c>
      <c r="AA3065">
        <v>0</v>
      </c>
      <c r="AB3065">
        <v>0</v>
      </c>
      <c r="AC3065">
        <v>1</v>
      </c>
      <c r="AD3065">
        <v>1</v>
      </c>
      <c r="AE3065">
        <v>1</v>
      </c>
      <c r="AF3065">
        <v>1</v>
      </c>
      <c r="AG3065">
        <v>1</v>
      </c>
      <c r="AH3065">
        <v>1</v>
      </c>
      <c r="AI3065">
        <v>1</v>
      </c>
      <c r="AJ3065">
        <v>1</v>
      </c>
      <c r="AK3065">
        <v>1</v>
      </c>
      <c r="AL3065">
        <v>1</v>
      </c>
      <c r="AM3065">
        <v>1</v>
      </c>
    </row>
    <row r="3066" spans="1:39" x14ac:dyDescent="0.2">
      <c r="A3066" t="str">
        <f>"3062"</f>
        <v>3062</v>
      </c>
      <c r="B3066" t="str">
        <f t="shared" si="171"/>
        <v>1</v>
      </c>
      <c r="C3066" t="str">
        <f t="shared" si="170"/>
        <v>62</v>
      </c>
      <c r="D3066" t="str">
        <f>"46"</f>
        <v>46</v>
      </c>
      <c r="E3066" t="str">
        <f>"1-62-46"</f>
        <v>1-62-46</v>
      </c>
      <c r="F3066" t="s">
        <v>65</v>
      </c>
      <c r="G3066" t="s">
        <v>66</v>
      </c>
      <c r="H3066" t="s">
        <v>67</v>
      </c>
      <c r="S3066">
        <v>0</v>
      </c>
      <c r="T3066">
        <v>1</v>
      </c>
      <c r="U3066">
        <v>0</v>
      </c>
      <c r="V3066">
        <v>0</v>
      </c>
      <c r="W3066">
        <v>1</v>
      </c>
      <c r="X3066">
        <v>0</v>
      </c>
      <c r="Y3066">
        <v>0</v>
      </c>
      <c r="Z3066">
        <v>1</v>
      </c>
      <c r="AA3066">
        <v>0</v>
      </c>
      <c r="AB3066">
        <v>0</v>
      </c>
      <c r="AC3066">
        <v>1</v>
      </c>
      <c r="AD3066">
        <v>1</v>
      </c>
      <c r="AE3066">
        <v>1</v>
      </c>
      <c r="AF3066">
        <v>1</v>
      </c>
      <c r="AG3066">
        <v>1</v>
      </c>
      <c r="AH3066">
        <v>1</v>
      </c>
      <c r="AI3066">
        <v>1</v>
      </c>
      <c r="AJ3066">
        <v>1</v>
      </c>
      <c r="AK3066">
        <v>1</v>
      </c>
      <c r="AL3066">
        <v>1</v>
      </c>
      <c r="AM3066">
        <v>1</v>
      </c>
    </row>
    <row r="3067" spans="1:39" x14ac:dyDescent="0.2">
      <c r="A3067" t="str">
        <f>"3063"</f>
        <v>3063</v>
      </c>
      <c r="B3067" t="str">
        <f t="shared" si="171"/>
        <v>1</v>
      </c>
      <c r="C3067" t="str">
        <f t="shared" si="170"/>
        <v>62</v>
      </c>
      <c r="D3067" t="str">
        <f>"32"</f>
        <v>32</v>
      </c>
      <c r="E3067" t="str">
        <f>"1-62-32"</f>
        <v>1-62-32</v>
      </c>
      <c r="F3067" t="s">
        <v>65</v>
      </c>
      <c r="G3067" t="s">
        <v>66</v>
      </c>
      <c r="H3067" t="s">
        <v>67</v>
      </c>
      <c r="S3067">
        <v>0</v>
      </c>
      <c r="T3067">
        <v>1</v>
      </c>
      <c r="U3067">
        <v>0</v>
      </c>
      <c r="V3067">
        <v>0</v>
      </c>
      <c r="W3067">
        <v>1</v>
      </c>
      <c r="X3067">
        <v>0</v>
      </c>
      <c r="Y3067">
        <v>1</v>
      </c>
      <c r="Z3067">
        <v>0</v>
      </c>
      <c r="AA3067">
        <v>0</v>
      </c>
      <c r="AB3067">
        <v>1</v>
      </c>
      <c r="AC3067">
        <v>0</v>
      </c>
      <c r="AD3067">
        <v>1</v>
      </c>
      <c r="AE3067">
        <v>1</v>
      </c>
      <c r="AF3067">
        <v>1</v>
      </c>
      <c r="AG3067">
        <v>1</v>
      </c>
      <c r="AH3067">
        <v>1</v>
      </c>
      <c r="AI3067">
        <v>1</v>
      </c>
      <c r="AJ3067">
        <v>1</v>
      </c>
      <c r="AK3067">
        <v>1</v>
      </c>
      <c r="AL3067">
        <v>1</v>
      </c>
      <c r="AM3067">
        <v>1</v>
      </c>
    </row>
    <row r="3068" spans="1:39" x14ac:dyDescent="0.2">
      <c r="A3068" t="str">
        <f>"3064"</f>
        <v>3064</v>
      </c>
      <c r="B3068" t="str">
        <f t="shared" si="171"/>
        <v>1</v>
      </c>
      <c r="C3068" t="str">
        <f t="shared" si="170"/>
        <v>62</v>
      </c>
      <c r="D3068" t="str">
        <f>"17"</f>
        <v>17</v>
      </c>
      <c r="E3068" t="str">
        <f>"1-62-17"</f>
        <v>1-62-17</v>
      </c>
      <c r="F3068" t="s">
        <v>65</v>
      </c>
      <c r="G3068" t="s">
        <v>66</v>
      </c>
      <c r="H3068" t="s">
        <v>67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</row>
    <row r="3069" spans="1:39" x14ac:dyDescent="0.2">
      <c r="A3069" t="str">
        <f>"3065"</f>
        <v>3065</v>
      </c>
      <c r="B3069" t="str">
        <f t="shared" si="171"/>
        <v>1</v>
      </c>
      <c r="C3069" t="str">
        <f t="shared" si="170"/>
        <v>62</v>
      </c>
      <c r="D3069" t="str">
        <f>"1"</f>
        <v>1</v>
      </c>
      <c r="E3069" t="str">
        <f>"1-62-1"</f>
        <v>1-62-1</v>
      </c>
      <c r="F3069" t="s">
        <v>65</v>
      </c>
      <c r="G3069" t="s">
        <v>66</v>
      </c>
      <c r="H3069" t="s">
        <v>68</v>
      </c>
      <c r="I3069">
        <v>1</v>
      </c>
      <c r="J3069">
        <v>1</v>
      </c>
      <c r="K3069">
        <v>0</v>
      </c>
      <c r="L3069">
        <v>0</v>
      </c>
      <c r="M3069">
        <v>1</v>
      </c>
      <c r="N3069">
        <v>1</v>
      </c>
      <c r="O3069">
        <v>1</v>
      </c>
      <c r="P3069">
        <v>1</v>
      </c>
      <c r="Q3069">
        <v>1</v>
      </c>
      <c r="R3069">
        <v>1</v>
      </c>
    </row>
    <row r="3070" spans="1:39" x14ac:dyDescent="0.2">
      <c r="A3070" t="str">
        <f>"3066"</f>
        <v>3066</v>
      </c>
      <c r="B3070" t="str">
        <f t="shared" si="171"/>
        <v>1</v>
      </c>
      <c r="C3070" t="str">
        <f t="shared" si="170"/>
        <v>62</v>
      </c>
      <c r="D3070" t="str">
        <f>"34"</f>
        <v>34</v>
      </c>
      <c r="E3070" t="str">
        <f>"1-62-34"</f>
        <v>1-62-34</v>
      </c>
      <c r="F3070" t="s">
        <v>65</v>
      </c>
      <c r="G3070" t="s">
        <v>66</v>
      </c>
      <c r="H3070" t="s">
        <v>67</v>
      </c>
      <c r="S3070">
        <v>0</v>
      </c>
      <c r="T3070">
        <v>1</v>
      </c>
      <c r="U3070">
        <v>0</v>
      </c>
      <c r="V3070">
        <v>0</v>
      </c>
      <c r="W3070">
        <v>1</v>
      </c>
      <c r="X3070">
        <v>0</v>
      </c>
      <c r="Y3070">
        <v>0</v>
      </c>
      <c r="Z3070">
        <v>1</v>
      </c>
      <c r="AA3070">
        <v>1</v>
      </c>
      <c r="AB3070">
        <v>0</v>
      </c>
      <c r="AC3070">
        <v>0</v>
      </c>
      <c r="AD3070">
        <v>1</v>
      </c>
      <c r="AE3070">
        <v>1</v>
      </c>
      <c r="AF3070">
        <v>1</v>
      </c>
      <c r="AG3070">
        <v>1</v>
      </c>
      <c r="AH3070">
        <v>1</v>
      </c>
      <c r="AI3070">
        <v>1</v>
      </c>
      <c r="AJ3070">
        <v>1</v>
      </c>
      <c r="AK3070">
        <v>1</v>
      </c>
      <c r="AL3070">
        <v>1</v>
      </c>
      <c r="AM3070">
        <v>1</v>
      </c>
    </row>
    <row r="3071" spans="1:39" x14ac:dyDescent="0.2">
      <c r="A3071" t="str">
        <f>"3067"</f>
        <v>3067</v>
      </c>
      <c r="B3071" t="str">
        <f t="shared" si="171"/>
        <v>1</v>
      </c>
      <c r="C3071" t="str">
        <f t="shared" si="170"/>
        <v>62</v>
      </c>
      <c r="D3071" t="str">
        <f>"18"</f>
        <v>18</v>
      </c>
      <c r="E3071" t="str">
        <f>"1-62-18"</f>
        <v>1-62-18</v>
      </c>
      <c r="F3071" t="s">
        <v>65</v>
      </c>
      <c r="G3071" t="s">
        <v>66</v>
      </c>
      <c r="H3071" t="s">
        <v>67</v>
      </c>
      <c r="S3071">
        <v>0</v>
      </c>
      <c r="T3071">
        <v>1</v>
      </c>
      <c r="U3071">
        <v>0</v>
      </c>
      <c r="V3071">
        <v>0</v>
      </c>
      <c r="W3071">
        <v>1</v>
      </c>
      <c r="X3071">
        <v>0</v>
      </c>
      <c r="Y3071">
        <v>1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1</v>
      </c>
      <c r="AF3071">
        <v>1</v>
      </c>
      <c r="AG3071">
        <v>1</v>
      </c>
      <c r="AH3071">
        <v>1</v>
      </c>
      <c r="AI3071">
        <v>1</v>
      </c>
      <c r="AJ3071">
        <v>1</v>
      </c>
      <c r="AK3071">
        <v>1</v>
      </c>
      <c r="AL3071">
        <v>1</v>
      </c>
      <c r="AM3071">
        <v>1</v>
      </c>
    </row>
    <row r="3072" spans="1:39" x14ac:dyDescent="0.2">
      <c r="A3072" t="str">
        <f>"3068"</f>
        <v>3068</v>
      </c>
      <c r="B3072" t="str">
        <f t="shared" si="171"/>
        <v>1</v>
      </c>
      <c r="C3072" t="str">
        <f t="shared" si="170"/>
        <v>62</v>
      </c>
      <c r="D3072" t="str">
        <f>"2"</f>
        <v>2</v>
      </c>
      <c r="E3072" t="str">
        <f>"1-62-2"</f>
        <v>1-62-2</v>
      </c>
      <c r="F3072" t="s">
        <v>65</v>
      </c>
      <c r="G3072" t="s">
        <v>66</v>
      </c>
      <c r="H3072" t="s">
        <v>68</v>
      </c>
      <c r="I3072">
        <v>1</v>
      </c>
      <c r="J3072">
        <v>0</v>
      </c>
      <c r="K3072">
        <v>0</v>
      </c>
      <c r="L3072">
        <v>1</v>
      </c>
      <c r="M3072">
        <v>1</v>
      </c>
      <c r="N3072">
        <v>1</v>
      </c>
      <c r="O3072">
        <v>1</v>
      </c>
      <c r="P3072">
        <v>1</v>
      </c>
      <c r="Q3072">
        <v>1</v>
      </c>
      <c r="R3072">
        <v>1</v>
      </c>
    </row>
    <row r="3073" spans="1:39" x14ac:dyDescent="0.2">
      <c r="A3073" t="str">
        <f>"3069"</f>
        <v>3069</v>
      </c>
      <c r="B3073" t="str">
        <f t="shared" si="171"/>
        <v>1</v>
      </c>
      <c r="C3073" t="str">
        <f t="shared" si="170"/>
        <v>62</v>
      </c>
      <c r="D3073" t="str">
        <f>"36"</f>
        <v>36</v>
      </c>
      <c r="E3073" t="str">
        <f>"1-62-36"</f>
        <v>1-62-36</v>
      </c>
      <c r="F3073" t="s">
        <v>65</v>
      </c>
      <c r="G3073" t="s">
        <v>66</v>
      </c>
      <c r="H3073" t="s">
        <v>67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1</v>
      </c>
      <c r="AJ3073">
        <v>1</v>
      </c>
      <c r="AK3073">
        <v>1</v>
      </c>
      <c r="AL3073">
        <v>1</v>
      </c>
      <c r="AM3073">
        <v>1</v>
      </c>
    </row>
    <row r="3074" spans="1:39" x14ac:dyDescent="0.2">
      <c r="A3074" t="str">
        <f>"3070"</f>
        <v>3070</v>
      </c>
      <c r="B3074" t="str">
        <f t="shared" si="171"/>
        <v>1</v>
      </c>
      <c r="C3074" t="str">
        <f t="shared" si="170"/>
        <v>62</v>
      </c>
      <c r="D3074" t="str">
        <f>"20"</f>
        <v>20</v>
      </c>
      <c r="E3074" t="str">
        <f>"1-62-20"</f>
        <v>1-62-20</v>
      </c>
      <c r="F3074" t="s">
        <v>65</v>
      </c>
      <c r="G3074" t="s">
        <v>66</v>
      </c>
      <c r="H3074" t="s">
        <v>67</v>
      </c>
      <c r="S3074">
        <v>0</v>
      </c>
      <c r="T3074">
        <v>1</v>
      </c>
      <c r="U3074">
        <v>0</v>
      </c>
      <c r="V3074">
        <v>0</v>
      </c>
      <c r="W3074">
        <v>0</v>
      </c>
      <c r="X3074">
        <v>1</v>
      </c>
      <c r="Y3074">
        <v>0</v>
      </c>
      <c r="Z3074">
        <v>1</v>
      </c>
      <c r="AA3074">
        <v>0</v>
      </c>
      <c r="AB3074">
        <v>0</v>
      </c>
      <c r="AC3074">
        <v>1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</row>
    <row r="3075" spans="1:39" x14ac:dyDescent="0.2">
      <c r="A3075" t="str">
        <f>"3071"</f>
        <v>3071</v>
      </c>
      <c r="B3075" t="str">
        <f t="shared" si="171"/>
        <v>1</v>
      </c>
      <c r="C3075" t="str">
        <f t="shared" si="170"/>
        <v>62</v>
      </c>
      <c r="D3075" t="str">
        <f>"8"</f>
        <v>8</v>
      </c>
      <c r="E3075" t="str">
        <f>"1-62-8"</f>
        <v>1-62-8</v>
      </c>
      <c r="F3075" t="s">
        <v>65</v>
      </c>
      <c r="G3075" t="s">
        <v>66</v>
      </c>
      <c r="H3075" t="s">
        <v>67</v>
      </c>
      <c r="S3075">
        <v>0</v>
      </c>
      <c r="T3075">
        <v>1</v>
      </c>
      <c r="U3075">
        <v>0</v>
      </c>
      <c r="V3075">
        <v>0</v>
      </c>
      <c r="W3075">
        <v>1</v>
      </c>
      <c r="X3075">
        <v>0</v>
      </c>
      <c r="Y3075">
        <v>0</v>
      </c>
      <c r="Z3075">
        <v>1</v>
      </c>
      <c r="AA3075">
        <v>1</v>
      </c>
      <c r="AB3075">
        <v>0</v>
      </c>
      <c r="AC3075">
        <v>0</v>
      </c>
      <c r="AD3075">
        <v>1</v>
      </c>
      <c r="AE3075">
        <v>1</v>
      </c>
      <c r="AF3075">
        <v>1</v>
      </c>
      <c r="AG3075">
        <v>1</v>
      </c>
      <c r="AH3075">
        <v>1</v>
      </c>
      <c r="AI3075">
        <v>1</v>
      </c>
      <c r="AJ3075">
        <v>1</v>
      </c>
      <c r="AK3075">
        <v>1</v>
      </c>
      <c r="AL3075">
        <v>1</v>
      </c>
      <c r="AM3075">
        <v>1</v>
      </c>
    </row>
    <row r="3076" spans="1:39" x14ac:dyDescent="0.2">
      <c r="A3076" t="str">
        <f>"3072"</f>
        <v>3072</v>
      </c>
      <c r="B3076" t="str">
        <f t="shared" si="171"/>
        <v>1</v>
      </c>
      <c r="C3076" t="str">
        <f t="shared" si="170"/>
        <v>62</v>
      </c>
      <c r="D3076" t="str">
        <f>"42"</f>
        <v>42</v>
      </c>
      <c r="E3076" t="str">
        <f>"1-62-42"</f>
        <v>1-62-42</v>
      </c>
      <c r="F3076" t="s">
        <v>65</v>
      </c>
      <c r="G3076" t="s">
        <v>66</v>
      </c>
      <c r="H3076" t="s">
        <v>67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0</v>
      </c>
      <c r="AB3076">
        <v>1</v>
      </c>
      <c r="AC3076">
        <v>0</v>
      </c>
      <c r="AD3076">
        <v>1</v>
      </c>
      <c r="AE3076">
        <v>1</v>
      </c>
      <c r="AF3076">
        <v>1</v>
      </c>
      <c r="AG3076">
        <v>1</v>
      </c>
      <c r="AH3076">
        <v>1</v>
      </c>
      <c r="AI3076">
        <v>1</v>
      </c>
      <c r="AJ3076">
        <v>1</v>
      </c>
      <c r="AK3076">
        <v>1</v>
      </c>
      <c r="AL3076">
        <v>1</v>
      </c>
      <c r="AM3076">
        <v>1</v>
      </c>
    </row>
    <row r="3077" spans="1:39" x14ac:dyDescent="0.2">
      <c r="A3077" t="str">
        <f>"3073"</f>
        <v>3073</v>
      </c>
      <c r="B3077" t="str">
        <f t="shared" si="171"/>
        <v>1</v>
      </c>
      <c r="C3077" t="str">
        <f t="shared" si="170"/>
        <v>62</v>
      </c>
      <c r="D3077" t="str">
        <f>"41"</f>
        <v>41</v>
      </c>
      <c r="E3077" t="str">
        <f>"1-62-41"</f>
        <v>1-62-41</v>
      </c>
      <c r="F3077" t="s">
        <v>65</v>
      </c>
      <c r="G3077" t="s">
        <v>66</v>
      </c>
      <c r="H3077" t="s">
        <v>67</v>
      </c>
      <c r="S3077">
        <v>1</v>
      </c>
      <c r="T3077">
        <v>0</v>
      </c>
      <c r="U3077">
        <v>0</v>
      </c>
      <c r="V3077">
        <v>0</v>
      </c>
      <c r="W3077">
        <v>0</v>
      </c>
      <c r="X3077">
        <v>1</v>
      </c>
      <c r="Y3077">
        <v>1</v>
      </c>
      <c r="Z3077">
        <v>0</v>
      </c>
      <c r="AA3077">
        <v>0</v>
      </c>
      <c r="AB3077">
        <v>1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</row>
    <row r="3078" spans="1:39" x14ac:dyDescent="0.2">
      <c r="A3078" t="str">
        <f>"3074"</f>
        <v>3074</v>
      </c>
      <c r="B3078" t="str">
        <f t="shared" si="171"/>
        <v>1</v>
      </c>
      <c r="C3078" t="str">
        <f t="shared" si="170"/>
        <v>62</v>
      </c>
      <c r="D3078" t="str">
        <f>"33"</f>
        <v>33</v>
      </c>
      <c r="E3078" t="str">
        <f>"1-62-33"</f>
        <v>1-62-33</v>
      </c>
      <c r="F3078" t="s">
        <v>65</v>
      </c>
      <c r="G3078" t="s">
        <v>66</v>
      </c>
      <c r="H3078" t="s">
        <v>67</v>
      </c>
      <c r="S3078">
        <v>0</v>
      </c>
      <c r="T3078">
        <v>1</v>
      </c>
      <c r="U3078">
        <v>0</v>
      </c>
      <c r="V3078">
        <v>0</v>
      </c>
      <c r="W3078">
        <v>0</v>
      </c>
      <c r="X3078">
        <v>1</v>
      </c>
      <c r="Y3078">
        <v>1</v>
      </c>
      <c r="Z3078">
        <v>0</v>
      </c>
      <c r="AA3078">
        <v>0</v>
      </c>
      <c r="AB3078">
        <v>0</v>
      </c>
      <c r="AC3078">
        <v>1</v>
      </c>
      <c r="AD3078">
        <v>0</v>
      </c>
      <c r="AE3078">
        <v>0</v>
      </c>
      <c r="AF3078">
        <v>0</v>
      </c>
      <c r="AG3078">
        <v>0</v>
      </c>
      <c r="AH3078">
        <v>1</v>
      </c>
      <c r="AI3078">
        <v>1</v>
      </c>
      <c r="AJ3078">
        <v>1</v>
      </c>
      <c r="AK3078">
        <v>1</v>
      </c>
      <c r="AL3078">
        <v>0</v>
      </c>
      <c r="AM3078">
        <v>0</v>
      </c>
    </row>
    <row r="3079" spans="1:39" x14ac:dyDescent="0.2">
      <c r="A3079" t="str">
        <f>"3075"</f>
        <v>3075</v>
      </c>
      <c r="B3079" t="str">
        <f t="shared" si="171"/>
        <v>1</v>
      </c>
      <c r="C3079" t="str">
        <f t="shared" si="170"/>
        <v>62</v>
      </c>
      <c r="D3079" t="str">
        <f>"21"</f>
        <v>21</v>
      </c>
      <c r="E3079" t="str">
        <f>"1-62-21"</f>
        <v>1-62-21</v>
      </c>
      <c r="F3079" t="s">
        <v>65</v>
      </c>
      <c r="G3079" t="s">
        <v>66</v>
      </c>
      <c r="H3079" t="s">
        <v>67</v>
      </c>
      <c r="S3079">
        <v>0</v>
      </c>
      <c r="T3079">
        <v>1</v>
      </c>
      <c r="U3079">
        <v>0</v>
      </c>
      <c r="V3079">
        <v>0</v>
      </c>
      <c r="W3079">
        <v>0</v>
      </c>
      <c r="X3079">
        <v>1</v>
      </c>
      <c r="Y3079">
        <v>0</v>
      </c>
      <c r="Z3079">
        <v>1</v>
      </c>
      <c r="AA3079">
        <v>0</v>
      </c>
      <c r="AB3079">
        <v>0</v>
      </c>
      <c r="AC3079">
        <v>1</v>
      </c>
      <c r="AD3079">
        <v>1</v>
      </c>
      <c r="AE3079">
        <v>1</v>
      </c>
      <c r="AF3079">
        <v>1</v>
      </c>
      <c r="AG3079">
        <v>1</v>
      </c>
      <c r="AH3079">
        <v>1</v>
      </c>
      <c r="AI3079">
        <v>1</v>
      </c>
      <c r="AJ3079">
        <v>1</v>
      </c>
      <c r="AK3079">
        <v>1</v>
      </c>
      <c r="AL3079">
        <v>1</v>
      </c>
      <c r="AM3079">
        <v>1</v>
      </c>
    </row>
    <row r="3080" spans="1:39" x14ac:dyDescent="0.2">
      <c r="A3080" t="str">
        <f>"3076"</f>
        <v>3076</v>
      </c>
      <c r="B3080" t="str">
        <f t="shared" si="171"/>
        <v>1</v>
      </c>
      <c r="C3080" t="str">
        <f t="shared" si="170"/>
        <v>62</v>
      </c>
      <c r="D3080" t="str">
        <f>"9"</f>
        <v>9</v>
      </c>
      <c r="E3080" t="str">
        <f>"1-62-9"</f>
        <v>1-62-9</v>
      </c>
      <c r="F3080" t="s">
        <v>65</v>
      </c>
      <c r="G3080" t="s">
        <v>66</v>
      </c>
      <c r="H3080" t="s">
        <v>67</v>
      </c>
      <c r="S3080">
        <v>0</v>
      </c>
      <c r="T3080">
        <v>1</v>
      </c>
      <c r="U3080">
        <v>0</v>
      </c>
      <c r="V3080">
        <v>0</v>
      </c>
      <c r="W3080">
        <v>0</v>
      </c>
      <c r="X3080">
        <v>1</v>
      </c>
      <c r="Y3080">
        <v>1</v>
      </c>
      <c r="Z3080">
        <v>0</v>
      </c>
      <c r="AA3080">
        <v>0</v>
      </c>
      <c r="AB3080">
        <v>1</v>
      </c>
      <c r="AC3080">
        <v>0</v>
      </c>
      <c r="AD3080">
        <v>1</v>
      </c>
      <c r="AE3080">
        <v>1</v>
      </c>
      <c r="AF3080">
        <v>1</v>
      </c>
      <c r="AG3080">
        <v>1</v>
      </c>
      <c r="AH3080">
        <v>1</v>
      </c>
      <c r="AI3080">
        <v>1</v>
      </c>
      <c r="AJ3080">
        <v>1</v>
      </c>
      <c r="AK3080">
        <v>1</v>
      </c>
      <c r="AL3080">
        <v>1</v>
      </c>
      <c r="AM3080">
        <v>1</v>
      </c>
    </row>
    <row r="3081" spans="1:39" x14ac:dyDescent="0.2">
      <c r="A3081" t="str">
        <f>"3077"</f>
        <v>3077</v>
      </c>
      <c r="B3081" t="str">
        <f t="shared" si="171"/>
        <v>1</v>
      </c>
      <c r="C3081" t="str">
        <f t="shared" si="170"/>
        <v>62</v>
      </c>
      <c r="D3081" t="str">
        <f>"37"</f>
        <v>37</v>
      </c>
      <c r="E3081" t="str">
        <f>"1-62-37"</f>
        <v>1-62-37</v>
      </c>
      <c r="F3081" t="s">
        <v>65</v>
      </c>
      <c r="G3081" t="s">
        <v>66</v>
      </c>
      <c r="H3081" t="s">
        <v>67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1</v>
      </c>
      <c r="AI3081">
        <v>1</v>
      </c>
      <c r="AJ3081">
        <v>1</v>
      </c>
      <c r="AK3081">
        <v>1</v>
      </c>
      <c r="AL3081">
        <v>0</v>
      </c>
      <c r="AM3081">
        <v>0</v>
      </c>
    </row>
    <row r="3082" spans="1:39" x14ac:dyDescent="0.2">
      <c r="A3082" t="str">
        <f>"3078"</f>
        <v>3078</v>
      </c>
      <c r="B3082" t="str">
        <f t="shared" si="171"/>
        <v>1</v>
      </c>
      <c r="C3082" t="str">
        <f t="shared" si="170"/>
        <v>62</v>
      </c>
      <c r="D3082" t="str">
        <f>"22"</f>
        <v>22</v>
      </c>
      <c r="E3082" t="str">
        <f>"1-62-22"</f>
        <v>1-62-22</v>
      </c>
      <c r="F3082" t="s">
        <v>65</v>
      </c>
      <c r="G3082" t="s">
        <v>66</v>
      </c>
      <c r="H3082" t="s">
        <v>67</v>
      </c>
      <c r="S3082">
        <v>1</v>
      </c>
      <c r="T3082">
        <v>0</v>
      </c>
      <c r="U3082">
        <v>0</v>
      </c>
      <c r="V3082">
        <v>0</v>
      </c>
      <c r="W3082">
        <v>1</v>
      </c>
      <c r="X3082">
        <v>0</v>
      </c>
      <c r="Y3082">
        <v>1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1</v>
      </c>
      <c r="AF3082">
        <v>1</v>
      </c>
      <c r="AG3082">
        <v>1</v>
      </c>
      <c r="AH3082">
        <v>1</v>
      </c>
      <c r="AI3082">
        <v>1</v>
      </c>
      <c r="AJ3082">
        <v>1</v>
      </c>
      <c r="AK3082">
        <v>1</v>
      </c>
      <c r="AL3082">
        <v>1</v>
      </c>
      <c r="AM3082">
        <v>1</v>
      </c>
    </row>
    <row r="3083" spans="1:39" x14ac:dyDescent="0.2">
      <c r="A3083" t="str">
        <f>"3079"</f>
        <v>3079</v>
      </c>
      <c r="B3083" t="str">
        <f t="shared" si="171"/>
        <v>1</v>
      </c>
      <c r="C3083" t="str">
        <f t="shared" si="170"/>
        <v>62</v>
      </c>
      <c r="D3083" t="str">
        <f>"12"</f>
        <v>12</v>
      </c>
      <c r="E3083" t="str">
        <f>"1-62-12"</f>
        <v>1-62-12</v>
      </c>
      <c r="F3083" t="s">
        <v>65</v>
      </c>
      <c r="G3083" t="s">
        <v>66</v>
      </c>
      <c r="H3083" t="s">
        <v>67</v>
      </c>
      <c r="S3083">
        <v>0</v>
      </c>
      <c r="T3083">
        <v>1</v>
      </c>
      <c r="U3083">
        <v>0</v>
      </c>
      <c r="V3083">
        <v>0</v>
      </c>
      <c r="W3083">
        <v>0</v>
      </c>
      <c r="X3083">
        <v>1</v>
      </c>
      <c r="Y3083">
        <v>0</v>
      </c>
      <c r="Z3083">
        <v>1</v>
      </c>
      <c r="AA3083">
        <v>0</v>
      </c>
      <c r="AB3083">
        <v>0</v>
      </c>
      <c r="AC3083">
        <v>1</v>
      </c>
      <c r="AD3083">
        <v>1</v>
      </c>
      <c r="AE3083">
        <v>1</v>
      </c>
      <c r="AF3083">
        <v>1</v>
      </c>
      <c r="AG3083">
        <v>1</v>
      </c>
      <c r="AH3083">
        <v>1</v>
      </c>
      <c r="AI3083">
        <v>1</v>
      </c>
      <c r="AJ3083">
        <v>1</v>
      </c>
      <c r="AK3083">
        <v>1</v>
      </c>
      <c r="AL3083">
        <v>1</v>
      </c>
      <c r="AM3083">
        <v>1</v>
      </c>
    </row>
    <row r="3084" spans="1:39" x14ac:dyDescent="0.2">
      <c r="A3084" t="str">
        <f>"3080"</f>
        <v>3080</v>
      </c>
      <c r="B3084" t="str">
        <f t="shared" si="171"/>
        <v>1</v>
      </c>
      <c r="C3084" t="str">
        <f t="shared" si="170"/>
        <v>62</v>
      </c>
      <c r="D3084" t="str">
        <f>"43"</f>
        <v>43</v>
      </c>
      <c r="E3084" t="str">
        <f>"1-62-43"</f>
        <v>1-62-43</v>
      </c>
      <c r="F3084" t="s">
        <v>65</v>
      </c>
      <c r="G3084" t="s">
        <v>66</v>
      </c>
      <c r="H3084" t="s">
        <v>67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1</v>
      </c>
      <c r="AI3084">
        <v>1</v>
      </c>
      <c r="AJ3084">
        <v>0</v>
      </c>
      <c r="AK3084">
        <v>0</v>
      </c>
      <c r="AL3084">
        <v>0</v>
      </c>
      <c r="AM3084">
        <v>0</v>
      </c>
    </row>
    <row r="3085" spans="1:39" x14ac:dyDescent="0.2">
      <c r="A3085" t="str">
        <f>"3081"</f>
        <v>3081</v>
      </c>
      <c r="B3085" t="str">
        <f t="shared" si="171"/>
        <v>1</v>
      </c>
      <c r="C3085" t="str">
        <f t="shared" si="170"/>
        <v>62</v>
      </c>
      <c r="D3085" t="str">
        <f>"23"</f>
        <v>23</v>
      </c>
      <c r="E3085" t="str">
        <f>"1-62-23"</f>
        <v>1-62-23</v>
      </c>
      <c r="F3085" t="s">
        <v>65</v>
      </c>
      <c r="G3085" t="s">
        <v>66</v>
      </c>
      <c r="H3085" t="s">
        <v>67</v>
      </c>
      <c r="S3085">
        <v>0</v>
      </c>
      <c r="T3085">
        <v>0</v>
      </c>
      <c r="U3085">
        <v>0</v>
      </c>
      <c r="V3085">
        <v>0</v>
      </c>
      <c r="W3085">
        <v>1</v>
      </c>
      <c r="X3085">
        <v>0</v>
      </c>
      <c r="Y3085">
        <v>0</v>
      </c>
      <c r="Z3085">
        <v>1</v>
      </c>
      <c r="AA3085">
        <v>0</v>
      </c>
      <c r="AB3085">
        <v>1</v>
      </c>
      <c r="AC3085">
        <v>0</v>
      </c>
      <c r="AD3085">
        <v>1</v>
      </c>
      <c r="AE3085">
        <v>1</v>
      </c>
      <c r="AF3085">
        <v>1</v>
      </c>
      <c r="AG3085">
        <v>1</v>
      </c>
      <c r="AH3085">
        <v>1</v>
      </c>
      <c r="AI3085">
        <v>1</v>
      </c>
      <c r="AJ3085">
        <v>1</v>
      </c>
      <c r="AK3085">
        <v>1</v>
      </c>
      <c r="AL3085">
        <v>1</v>
      </c>
      <c r="AM3085">
        <v>1</v>
      </c>
    </row>
    <row r="3086" spans="1:39" x14ac:dyDescent="0.2">
      <c r="A3086" t="str">
        <f>"3082"</f>
        <v>3082</v>
      </c>
      <c r="B3086" t="str">
        <f t="shared" si="171"/>
        <v>1</v>
      </c>
      <c r="C3086" t="str">
        <f t="shared" si="170"/>
        <v>62</v>
      </c>
      <c r="D3086" t="str">
        <f>"5"</f>
        <v>5</v>
      </c>
      <c r="E3086" t="str">
        <f>"1-62-5"</f>
        <v>1-62-5</v>
      </c>
      <c r="F3086" t="s">
        <v>65</v>
      </c>
      <c r="G3086" t="s">
        <v>66</v>
      </c>
      <c r="H3086" t="s">
        <v>68</v>
      </c>
      <c r="I3086">
        <v>1</v>
      </c>
      <c r="J3086">
        <v>0</v>
      </c>
      <c r="K3086">
        <v>0</v>
      </c>
      <c r="L3086">
        <v>1</v>
      </c>
      <c r="M3086">
        <v>1</v>
      </c>
      <c r="N3086">
        <v>1</v>
      </c>
      <c r="O3086">
        <v>1</v>
      </c>
      <c r="P3086">
        <v>1</v>
      </c>
      <c r="Q3086">
        <v>1</v>
      </c>
      <c r="R3086">
        <v>1</v>
      </c>
    </row>
    <row r="3087" spans="1:39" x14ac:dyDescent="0.2">
      <c r="A3087" t="str">
        <f>"3083"</f>
        <v>3083</v>
      </c>
      <c r="B3087" t="str">
        <f t="shared" si="171"/>
        <v>1</v>
      </c>
      <c r="C3087" t="str">
        <f t="shared" ref="C3087:C3104" si="172">"62"</f>
        <v>62</v>
      </c>
      <c r="D3087" t="str">
        <f>"40"</f>
        <v>40</v>
      </c>
      <c r="E3087" t="str">
        <f>"1-62-40"</f>
        <v>1-62-40</v>
      </c>
      <c r="F3087" t="s">
        <v>65</v>
      </c>
      <c r="G3087" t="s">
        <v>66</v>
      </c>
      <c r="H3087" t="s">
        <v>67</v>
      </c>
      <c r="S3087">
        <v>1</v>
      </c>
      <c r="T3087">
        <v>0</v>
      </c>
      <c r="U3087">
        <v>0</v>
      </c>
      <c r="V3087">
        <v>0</v>
      </c>
      <c r="W3087">
        <v>1</v>
      </c>
      <c r="X3087">
        <v>0</v>
      </c>
      <c r="Y3087">
        <v>0</v>
      </c>
      <c r="Z3087">
        <v>1</v>
      </c>
      <c r="AA3087">
        <v>1</v>
      </c>
      <c r="AB3087">
        <v>0</v>
      </c>
      <c r="AC3087">
        <v>0</v>
      </c>
      <c r="AD3087">
        <v>1</v>
      </c>
      <c r="AE3087">
        <v>1</v>
      </c>
      <c r="AF3087">
        <v>1</v>
      </c>
      <c r="AG3087">
        <v>1</v>
      </c>
      <c r="AH3087">
        <v>1</v>
      </c>
      <c r="AI3087">
        <v>1</v>
      </c>
      <c r="AJ3087">
        <v>1</v>
      </c>
      <c r="AK3087">
        <v>1</v>
      </c>
      <c r="AL3087">
        <v>1</v>
      </c>
      <c r="AM3087">
        <v>0</v>
      </c>
    </row>
    <row r="3088" spans="1:39" x14ac:dyDescent="0.2">
      <c r="A3088" t="str">
        <f>"3084"</f>
        <v>3084</v>
      </c>
      <c r="B3088" t="str">
        <f t="shared" si="171"/>
        <v>1</v>
      </c>
      <c r="C3088" t="str">
        <f t="shared" si="172"/>
        <v>62</v>
      </c>
      <c r="D3088" t="str">
        <f>"24"</f>
        <v>24</v>
      </c>
      <c r="E3088" t="str">
        <f>"1-62-24"</f>
        <v>1-62-24</v>
      </c>
      <c r="F3088" t="s">
        <v>65</v>
      </c>
      <c r="G3088" t="s">
        <v>66</v>
      </c>
      <c r="H3088" t="s">
        <v>67</v>
      </c>
      <c r="S3088">
        <v>0</v>
      </c>
      <c r="T3088">
        <v>1</v>
      </c>
      <c r="U3088">
        <v>0</v>
      </c>
      <c r="V3088">
        <v>0</v>
      </c>
      <c r="W3088">
        <v>0</v>
      </c>
      <c r="X3088">
        <v>1</v>
      </c>
      <c r="Y3088">
        <v>0</v>
      </c>
      <c r="Z3088">
        <v>1</v>
      </c>
      <c r="AA3088">
        <v>0</v>
      </c>
      <c r="AB3088">
        <v>0</v>
      </c>
      <c r="AC3088">
        <v>1</v>
      </c>
      <c r="AD3088">
        <v>0</v>
      </c>
      <c r="AE3088">
        <v>0</v>
      </c>
      <c r="AF3088">
        <v>0</v>
      </c>
      <c r="AG3088">
        <v>0</v>
      </c>
      <c r="AH3088">
        <v>1</v>
      </c>
      <c r="AI3088">
        <v>1</v>
      </c>
      <c r="AJ3088">
        <v>0</v>
      </c>
      <c r="AK3088">
        <v>0</v>
      </c>
      <c r="AL3088">
        <v>0</v>
      </c>
      <c r="AM3088">
        <v>1</v>
      </c>
    </row>
    <row r="3089" spans="1:39" x14ac:dyDescent="0.2">
      <c r="A3089" t="str">
        <f>"3085"</f>
        <v>3085</v>
      </c>
      <c r="B3089" t="str">
        <f t="shared" si="171"/>
        <v>1</v>
      </c>
      <c r="C3089" t="str">
        <f t="shared" si="172"/>
        <v>62</v>
      </c>
      <c r="D3089" t="str">
        <f>"6"</f>
        <v>6</v>
      </c>
      <c r="E3089" t="str">
        <f>"1-62-6"</f>
        <v>1-62-6</v>
      </c>
      <c r="F3089" t="s">
        <v>65</v>
      </c>
      <c r="G3089" t="s">
        <v>66</v>
      </c>
      <c r="H3089" t="s">
        <v>68</v>
      </c>
      <c r="I3089">
        <v>1</v>
      </c>
      <c r="J3089">
        <v>1</v>
      </c>
      <c r="K3089">
        <v>0</v>
      </c>
      <c r="L3089">
        <v>0</v>
      </c>
      <c r="M3089">
        <v>1</v>
      </c>
      <c r="N3089">
        <v>1</v>
      </c>
      <c r="O3089">
        <v>1</v>
      </c>
      <c r="P3089">
        <v>1</v>
      </c>
      <c r="Q3089">
        <v>1</v>
      </c>
      <c r="R3089">
        <v>1</v>
      </c>
    </row>
    <row r="3090" spans="1:39" x14ac:dyDescent="0.2">
      <c r="A3090" t="str">
        <f>"3086"</f>
        <v>3086</v>
      </c>
      <c r="B3090" t="str">
        <f t="shared" si="171"/>
        <v>1</v>
      </c>
      <c r="C3090" t="str">
        <f t="shared" si="172"/>
        <v>62</v>
      </c>
      <c r="D3090" t="str">
        <f>"45"</f>
        <v>45</v>
      </c>
      <c r="E3090" t="str">
        <f>"1-62-45"</f>
        <v>1-62-45</v>
      </c>
      <c r="F3090" t="s">
        <v>65</v>
      </c>
      <c r="G3090" t="s">
        <v>66</v>
      </c>
      <c r="H3090" t="s">
        <v>67</v>
      </c>
      <c r="S3090">
        <v>0</v>
      </c>
      <c r="T3090">
        <v>1</v>
      </c>
      <c r="U3090">
        <v>0</v>
      </c>
      <c r="V3090">
        <v>0</v>
      </c>
      <c r="W3090">
        <v>1</v>
      </c>
      <c r="X3090">
        <v>0</v>
      </c>
      <c r="Y3090">
        <v>1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1</v>
      </c>
      <c r="AF3090">
        <v>1</v>
      </c>
      <c r="AG3090">
        <v>1</v>
      </c>
      <c r="AH3090">
        <v>1</v>
      </c>
      <c r="AI3090">
        <v>1</v>
      </c>
      <c r="AJ3090">
        <v>1</v>
      </c>
      <c r="AK3090">
        <v>1</v>
      </c>
      <c r="AL3090">
        <v>1</v>
      </c>
      <c r="AM3090">
        <v>1</v>
      </c>
    </row>
    <row r="3091" spans="1:39" x14ac:dyDescent="0.2">
      <c r="A3091" t="str">
        <f>"3087"</f>
        <v>3087</v>
      </c>
      <c r="B3091" t="str">
        <f t="shared" si="171"/>
        <v>1</v>
      </c>
      <c r="C3091" t="str">
        <f t="shared" si="172"/>
        <v>62</v>
      </c>
      <c r="D3091" t="str">
        <f>"25"</f>
        <v>25</v>
      </c>
      <c r="E3091" t="str">
        <f>"1-62-25"</f>
        <v>1-62-25</v>
      </c>
      <c r="F3091" t="s">
        <v>65</v>
      </c>
      <c r="G3091" t="s">
        <v>66</v>
      </c>
      <c r="H3091" t="s">
        <v>67</v>
      </c>
      <c r="S3091">
        <v>1</v>
      </c>
      <c r="T3091">
        <v>0</v>
      </c>
      <c r="U3091">
        <v>0</v>
      </c>
      <c r="V3091">
        <v>0</v>
      </c>
      <c r="W3091">
        <v>0</v>
      </c>
      <c r="X3091">
        <v>1</v>
      </c>
      <c r="Y3091">
        <v>1</v>
      </c>
      <c r="Z3091">
        <v>0</v>
      </c>
      <c r="AA3091">
        <v>0</v>
      </c>
      <c r="AB3091">
        <v>1</v>
      </c>
      <c r="AC3091">
        <v>0</v>
      </c>
      <c r="AD3091">
        <v>1</v>
      </c>
      <c r="AE3091">
        <v>1</v>
      </c>
      <c r="AF3091">
        <v>1</v>
      </c>
      <c r="AG3091">
        <v>1</v>
      </c>
      <c r="AH3091">
        <v>1</v>
      </c>
      <c r="AI3091">
        <v>1</v>
      </c>
      <c r="AJ3091">
        <v>1</v>
      </c>
      <c r="AK3091">
        <v>1</v>
      </c>
      <c r="AL3091">
        <v>1</v>
      </c>
      <c r="AM3091">
        <v>1</v>
      </c>
    </row>
    <row r="3092" spans="1:39" x14ac:dyDescent="0.2">
      <c r="A3092" t="str">
        <f>"3088"</f>
        <v>3088</v>
      </c>
      <c r="B3092" t="str">
        <f t="shared" si="171"/>
        <v>1</v>
      </c>
      <c r="C3092" t="str">
        <f t="shared" si="172"/>
        <v>62</v>
      </c>
      <c r="D3092" t="str">
        <f>"7"</f>
        <v>7</v>
      </c>
      <c r="E3092" t="str">
        <f>"1-62-7"</f>
        <v>1-62-7</v>
      </c>
      <c r="F3092" t="s">
        <v>65</v>
      </c>
      <c r="G3092" t="s">
        <v>66</v>
      </c>
      <c r="H3092" t="s">
        <v>68</v>
      </c>
      <c r="I3092">
        <v>1</v>
      </c>
      <c r="J3092">
        <v>1</v>
      </c>
      <c r="K3092">
        <v>0</v>
      </c>
      <c r="L3092">
        <v>0</v>
      </c>
      <c r="M3092">
        <v>1</v>
      </c>
      <c r="N3092">
        <v>1</v>
      </c>
      <c r="O3092">
        <v>1</v>
      </c>
      <c r="P3092">
        <v>1</v>
      </c>
      <c r="Q3092">
        <v>1</v>
      </c>
      <c r="R3092">
        <v>1</v>
      </c>
    </row>
    <row r="3093" spans="1:39" x14ac:dyDescent="0.2">
      <c r="A3093" t="str">
        <f>"3089"</f>
        <v>3089</v>
      </c>
      <c r="B3093" t="str">
        <f t="shared" si="171"/>
        <v>1</v>
      </c>
      <c r="C3093" t="str">
        <f t="shared" si="172"/>
        <v>62</v>
      </c>
      <c r="D3093" t="str">
        <f>"44"</f>
        <v>44</v>
      </c>
      <c r="E3093" t="str">
        <f>"1-62-44"</f>
        <v>1-62-44</v>
      </c>
      <c r="F3093" t="s">
        <v>65</v>
      </c>
      <c r="G3093" t="s">
        <v>66</v>
      </c>
      <c r="H3093" t="s">
        <v>67</v>
      </c>
      <c r="S3093">
        <v>0</v>
      </c>
      <c r="T3093">
        <v>1</v>
      </c>
      <c r="U3093">
        <v>0</v>
      </c>
      <c r="V3093">
        <v>0</v>
      </c>
      <c r="W3093">
        <v>0</v>
      </c>
      <c r="X3093">
        <v>1</v>
      </c>
      <c r="Y3093">
        <v>1</v>
      </c>
      <c r="Z3093">
        <v>0</v>
      </c>
      <c r="AA3093">
        <v>0</v>
      </c>
      <c r="AB3093">
        <v>0</v>
      </c>
      <c r="AC3093">
        <v>1</v>
      </c>
      <c r="AD3093">
        <v>1</v>
      </c>
      <c r="AE3093">
        <v>1</v>
      </c>
      <c r="AF3093">
        <v>1</v>
      </c>
      <c r="AG3093">
        <v>1</v>
      </c>
      <c r="AH3093">
        <v>1</v>
      </c>
      <c r="AI3093">
        <v>1</v>
      </c>
      <c r="AJ3093">
        <v>1</v>
      </c>
      <c r="AK3093">
        <v>1</v>
      </c>
      <c r="AL3093">
        <v>1</v>
      </c>
      <c r="AM3093">
        <v>1</v>
      </c>
    </row>
    <row r="3094" spans="1:39" x14ac:dyDescent="0.2">
      <c r="A3094" t="str">
        <f>"3090"</f>
        <v>3090</v>
      </c>
      <c r="B3094" t="str">
        <f t="shared" si="171"/>
        <v>1</v>
      </c>
      <c r="C3094" t="str">
        <f t="shared" si="172"/>
        <v>62</v>
      </c>
      <c r="D3094" t="str">
        <f>"26"</f>
        <v>26</v>
      </c>
      <c r="E3094" t="str">
        <f>"1-62-26"</f>
        <v>1-62-26</v>
      </c>
      <c r="F3094" t="s">
        <v>65</v>
      </c>
      <c r="G3094" t="s">
        <v>66</v>
      </c>
      <c r="H3094" t="s">
        <v>67</v>
      </c>
      <c r="S3094">
        <v>0</v>
      </c>
      <c r="T3094">
        <v>1</v>
      </c>
      <c r="U3094">
        <v>0</v>
      </c>
      <c r="V3094">
        <v>0</v>
      </c>
      <c r="W3094">
        <v>0</v>
      </c>
      <c r="X3094">
        <v>1</v>
      </c>
      <c r="Y3094">
        <v>1</v>
      </c>
      <c r="Z3094">
        <v>0</v>
      </c>
      <c r="AA3094">
        <v>0</v>
      </c>
      <c r="AB3094">
        <v>1</v>
      </c>
      <c r="AC3094">
        <v>0</v>
      </c>
      <c r="AD3094">
        <v>1</v>
      </c>
      <c r="AE3094">
        <v>1</v>
      </c>
      <c r="AF3094">
        <v>1</v>
      </c>
      <c r="AG3094">
        <v>1</v>
      </c>
      <c r="AH3094">
        <v>1</v>
      </c>
      <c r="AI3094">
        <v>1</v>
      </c>
      <c r="AJ3094">
        <v>1</v>
      </c>
      <c r="AK3094">
        <v>1</v>
      </c>
      <c r="AL3094">
        <v>1</v>
      </c>
      <c r="AM3094">
        <v>1</v>
      </c>
    </row>
    <row r="3095" spans="1:39" x14ac:dyDescent="0.2">
      <c r="A3095" t="str">
        <f>"3091"</f>
        <v>3091</v>
      </c>
      <c r="B3095" t="str">
        <f t="shared" si="171"/>
        <v>1</v>
      </c>
      <c r="C3095" t="str">
        <f t="shared" si="172"/>
        <v>62</v>
      </c>
      <c r="D3095" t="str">
        <f>"13"</f>
        <v>13</v>
      </c>
      <c r="E3095" t="str">
        <f>"1-62-13"</f>
        <v>1-62-13</v>
      </c>
      <c r="F3095" t="s">
        <v>65</v>
      </c>
      <c r="G3095" t="s">
        <v>66</v>
      </c>
      <c r="H3095" t="s">
        <v>67</v>
      </c>
      <c r="S3095">
        <v>0</v>
      </c>
      <c r="T3095">
        <v>1</v>
      </c>
      <c r="U3095">
        <v>0</v>
      </c>
      <c r="V3095">
        <v>0</v>
      </c>
      <c r="W3095">
        <v>0</v>
      </c>
      <c r="X3095">
        <v>1</v>
      </c>
      <c r="Y3095">
        <v>0</v>
      </c>
      <c r="Z3095">
        <v>1</v>
      </c>
      <c r="AA3095">
        <v>0</v>
      </c>
      <c r="AB3095">
        <v>0</v>
      </c>
      <c r="AC3095">
        <v>1</v>
      </c>
      <c r="AD3095">
        <v>1</v>
      </c>
      <c r="AE3095">
        <v>1</v>
      </c>
      <c r="AF3095">
        <v>1</v>
      </c>
      <c r="AG3095">
        <v>1</v>
      </c>
      <c r="AH3095">
        <v>1</v>
      </c>
      <c r="AI3095">
        <v>1</v>
      </c>
      <c r="AJ3095">
        <v>1</v>
      </c>
      <c r="AK3095">
        <v>1</v>
      </c>
      <c r="AL3095">
        <v>1</v>
      </c>
      <c r="AM3095">
        <v>1</v>
      </c>
    </row>
    <row r="3096" spans="1:39" x14ac:dyDescent="0.2">
      <c r="A3096" t="str">
        <f>"3092"</f>
        <v>3092</v>
      </c>
      <c r="B3096" t="str">
        <f t="shared" si="171"/>
        <v>1</v>
      </c>
      <c r="C3096" t="str">
        <f t="shared" si="172"/>
        <v>62</v>
      </c>
      <c r="D3096" t="str">
        <f>"49"</f>
        <v>49</v>
      </c>
      <c r="E3096" t="str">
        <f>"1-62-49"</f>
        <v>1-62-49</v>
      </c>
      <c r="F3096" t="s">
        <v>65</v>
      </c>
      <c r="G3096" t="s">
        <v>66</v>
      </c>
      <c r="H3096" t="s">
        <v>67</v>
      </c>
      <c r="S3096">
        <v>1</v>
      </c>
      <c r="T3096">
        <v>0</v>
      </c>
      <c r="U3096">
        <v>0</v>
      </c>
      <c r="V3096">
        <v>0</v>
      </c>
      <c r="W3096">
        <v>1</v>
      </c>
      <c r="X3096">
        <v>0</v>
      </c>
      <c r="Y3096">
        <v>1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1</v>
      </c>
      <c r="AF3096">
        <v>1</v>
      </c>
      <c r="AG3096">
        <v>1</v>
      </c>
      <c r="AH3096">
        <v>1</v>
      </c>
      <c r="AI3096">
        <v>1</v>
      </c>
      <c r="AJ3096">
        <v>1</v>
      </c>
      <c r="AK3096">
        <v>1</v>
      </c>
      <c r="AL3096">
        <v>1</v>
      </c>
      <c r="AM3096">
        <v>1</v>
      </c>
    </row>
    <row r="3097" spans="1:39" x14ac:dyDescent="0.2">
      <c r="A3097" t="str">
        <f>"3093"</f>
        <v>3093</v>
      </c>
      <c r="B3097" t="str">
        <f t="shared" si="171"/>
        <v>1</v>
      </c>
      <c r="C3097" t="str">
        <f t="shared" si="172"/>
        <v>62</v>
      </c>
      <c r="D3097" t="str">
        <f>"29"</f>
        <v>29</v>
      </c>
      <c r="E3097" t="str">
        <f>"1-62-29"</f>
        <v>1-62-29</v>
      </c>
      <c r="F3097" t="s">
        <v>65</v>
      </c>
      <c r="G3097" t="s">
        <v>66</v>
      </c>
      <c r="H3097" t="s">
        <v>67</v>
      </c>
      <c r="S3097">
        <v>0</v>
      </c>
      <c r="T3097">
        <v>1</v>
      </c>
      <c r="U3097">
        <v>0</v>
      </c>
      <c r="V3097">
        <v>0</v>
      </c>
      <c r="W3097">
        <v>0</v>
      </c>
      <c r="X3097">
        <v>1</v>
      </c>
      <c r="Y3097">
        <v>0</v>
      </c>
      <c r="Z3097">
        <v>1</v>
      </c>
      <c r="AA3097">
        <v>0</v>
      </c>
      <c r="AB3097">
        <v>1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</row>
    <row r="3098" spans="1:39" x14ac:dyDescent="0.2">
      <c r="A3098" t="str">
        <f>"3094"</f>
        <v>3094</v>
      </c>
      <c r="B3098" t="str">
        <f t="shared" si="171"/>
        <v>1</v>
      </c>
      <c r="C3098" t="str">
        <f t="shared" si="172"/>
        <v>62</v>
      </c>
      <c r="D3098" t="str">
        <f>"10"</f>
        <v>10</v>
      </c>
      <c r="E3098" t="str">
        <f>"1-62-10"</f>
        <v>1-62-10</v>
      </c>
      <c r="F3098" t="s">
        <v>65</v>
      </c>
      <c r="G3098" t="s">
        <v>66</v>
      </c>
      <c r="H3098" t="s">
        <v>67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1</v>
      </c>
      <c r="Y3098">
        <v>0</v>
      </c>
      <c r="Z3098">
        <v>1</v>
      </c>
      <c r="AA3098">
        <v>0</v>
      </c>
      <c r="AB3098">
        <v>0</v>
      </c>
      <c r="AC3098">
        <v>1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</row>
    <row r="3099" spans="1:39" x14ac:dyDescent="0.2">
      <c r="A3099" t="str">
        <f>"3095"</f>
        <v>3095</v>
      </c>
      <c r="B3099" t="str">
        <f t="shared" si="171"/>
        <v>1</v>
      </c>
      <c r="C3099" t="str">
        <f t="shared" si="172"/>
        <v>62</v>
      </c>
      <c r="D3099" t="str">
        <f>"48"</f>
        <v>48</v>
      </c>
      <c r="E3099" t="str">
        <f>"1-62-48"</f>
        <v>1-62-48</v>
      </c>
      <c r="F3099" t="s">
        <v>65</v>
      </c>
      <c r="G3099" t="s">
        <v>66</v>
      </c>
      <c r="H3099" t="s">
        <v>67</v>
      </c>
      <c r="S3099">
        <v>0</v>
      </c>
      <c r="T3099">
        <v>1</v>
      </c>
      <c r="U3099">
        <v>0</v>
      </c>
      <c r="V3099">
        <v>0</v>
      </c>
      <c r="W3099">
        <v>1</v>
      </c>
      <c r="X3099">
        <v>0</v>
      </c>
      <c r="Y3099">
        <v>0</v>
      </c>
      <c r="Z3099">
        <v>1</v>
      </c>
      <c r="AA3099">
        <v>1</v>
      </c>
      <c r="AB3099">
        <v>0</v>
      </c>
      <c r="AC3099">
        <v>0</v>
      </c>
      <c r="AD3099">
        <v>1</v>
      </c>
      <c r="AE3099">
        <v>1</v>
      </c>
      <c r="AF3099">
        <v>1</v>
      </c>
      <c r="AG3099">
        <v>1</v>
      </c>
      <c r="AH3099">
        <v>1</v>
      </c>
      <c r="AI3099">
        <v>1</v>
      </c>
      <c r="AJ3099">
        <v>1</v>
      </c>
      <c r="AK3099">
        <v>1</v>
      </c>
      <c r="AL3099">
        <v>1</v>
      </c>
      <c r="AM3099">
        <v>1</v>
      </c>
    </row>
    <row r="3100" spans="1:39" x14ac:dyDescent="0.2">
      <c r="A3100" t="str">
        <f>"3096"</f>
        <v>3096</v>
      </c>
      <c r="B3100" t="str">
        <f t="shared" si="171"/>
        <v>1</v>
      </c>
      <c r="C3100" t="str">
        <f t="shared" si="172"/>
        <v>62</v>
      </c>
      <c r="D3100" t="str">
        <f>"30"</f>
        <v>30</v>
      </c>
      <c r="E3100" t="str">
        <f>"1-62-30"</f>
        <v>1-62-30</v>
      </c>
      <c r="F3100" t="s">
        <v>65</v>
      </c>
      <c r="G3100" t="s">
        <v>66</v>
      </c>
      <c r="H3100" t="s">
        <v>67</v>
      </c>
      <c r="S3100">
        <v>0</v>
      </c>
      <c r="T3100">
        <v>1</v>
      </c>
      <c r="U3100">
        <v>0</v>
      </c>
      <c r="V3100">
        <v>0</v>
      </c>
      <c r="W3100">
        <v>0</v>
      </c>
      <c r="X3100">
        <v>1</v>
      </c>
      <c r="Y3100">
        <v>0</v>
      </c>
      <c r="Z3100">
        <v>1</v>
      </c>
      <c r="AA3100">
        <v>0</v>
      </c>
      <c r="AB3100">
        <v>0</v>
      </c>
      <c r="AC3100">
        <v>1</v>
      </c>
      <c r="AD3100">
        <v>1</v>
      </c>
      <c r="AE3100">
        <v>1</v>
      </c>
      <c r="AF3100">
        <v>1</v>
      </c>
      <c r="AG3100">
        <v>1</v>
      </c>
      <c r="AH3100">
        <v>1</v>
      </c>
      <c r="AI3100">
        <v>1</v>
      </c>
      <c r="AJ3100">
        <v>1</v>
      </c>
      <c r="AK3100">
        <v>1</v>
      </c>
      <c r="AL3100">
        <v>1</v>
      </c>
      <c r="AM3100">
        <v>1</v>
      </c>
    </row>
    <row r="3101" spans="1:39" x14ac:dyDescent="0.2">
      <c r="A3101" t="str">
        <f>"3097"</f>
        <v>3097</v>
      </c>
      <c r="B3101" t="str">
        <f t="shared" si="171"/>
        <v>1</v>
      </c>
      <c r="C3101" t="str">
        <f t="shared" si="172"/>
        <v>62</v>
      </c>
      <c r="D3101" t="str">
        <f>"11"</f>
        <v>11</v>
      </c>
      <c r="E3101" t="str">
        <f>"1-62-11"</f>
        <v>1-62-11</v>
      </c>
      <c r="F3101" t="s">
        <v>65</v>
      </c>
      <c r="G3101" t="s">
        <v>66</v>
      </c>
      <c r="H3101" t="s">
        <v>67</v>
      </c>
      <c r="S3101">
        <v>0</v>
      </c>
      <c r="T3101">
        <v>1</v>
      </c>
      <c r="U3101">
        <v>0</v>
      </c>
      <c r="V3101">
        <v>0</v>
      </c>
      <c r="W3101">
        <v>0</v>
      </c>
      <c r="X3101">
        <v>1</v>
      </c>
      <c r="Y3101">
        <v>1</v>
      </c>
      <c r="Z3101">
        <v>0</v>
      </c>
      <c r="AA3101">
        <v>0</v>
      </c>
      <c r="AB3101">
        <v>1</v>
      </c>
      <c r="AC3101">
        <v>0</v>
      </c>
      <c r="AD3101">
        <v>1</v>
      </c>
      <c r="AE3101">
        <v>1</v>
      </c>
      <c r="AF3101">
        <v>1</v>
      </c>
      <c r="AG3101">
        <v>1</v>
      </c>
      <c r="AH3101">
        <v>1</v>
      </c>
      <c r="AI3101">
        <v>1</v>
      </c>
      <c r="AJ3101">
        <v>1</v>
      </c>
      <c r="AK3101">
        <v>1</v>
      </c>
      <c r="AL3101">
        <v>1</v>
      </c>
      <c r="AM3101">
        <v>1</v>
      </c>
    </row>
    <row r="3102" spans="1:39" x14ac:dyDescent="0.2">
      <c r="A3102" t="str">
        <f>"3098"</f>
        <v>3098</v>
      </c>
      <c r="B3102" t="str">
        <f t="shared" si="171"/>
        <v>1</v>
      </c>
      <c r="C3102" t="str">
        <f t="shared" si="172"/>
        <v>62</v>
      </c>
      <c r="D3102" t="str">
        <f>"31"</f>
        <v>31</v>
      </c>
      <c r="E3102" t="str">
        <f>"1-62-31"</f>
        <v>1-62-31</v>
      </c>
      <c r="F3102" t="s">
        <v>65</v>
      </c>
      <c r="G3102" t="s">
        <v>66</v>
      </c>
      <c r="H3102" t="s">
        <v>67</v>
      </c>
      <c r="S3102">
        <v>1</v>
      </c>
      <c r="T3102">
        <v>0</v>
      </c>
      <c r="U3102">
        <v>0</v>
      </c>
      <c r="V3102">
        <v>0</v>
      </c>
      <c r="W3102">
        <v>1</v>
      </c>
      <c r="X3102">
        <v>0</v>
      </c>
      <c r="Y3102">
        <v>1</v>
      </c>
      <c r="Z3102">
        <v>0</v>
      </c>
      <c r="AA3102">
        <v>0</v>
      </c>
      <c r="AB3102">
        <v>0</v>
      </c>
      <c r="AC3102">
        <v>1</v>
      </c>
      <c r="AD3102">
        <v>1</v>
      </c>
      <c r="AE3102">
        <v>1</v>
      </c>
      <c r="AF3102">
        <v>1</v>
      </c>
      <c r="AG3102">
        <v>1</v>
      </c>
      <c r="AH3102">
        <v>1</v>
      </c>
      <c r="AI3102">
        <v>1</v>
      </c>
      <c r="AJ3102">
        <v>1</v>
      </c>
      <c r="AK3102">
        <v>1</v>
      </c>
      <c r="AL3102">
        <v>1</v>
      </c>
      <c r="AM3102">
        <v>1</v>
      </c>
    </row>
    <row r="3103" spans="1:39" x14ac:dyDescent="0.2">
      <c r="A3103" t="str">
        <f>"3099"</f>
        <v>3099</v>
      </c>
      <c r="B3103" t="str">
        <f t="shared" si="171"/>
        <v>1</v>
      </c>
      <c r="C3103" t="str">
        <f t="shared" si="172"/>
        <v>62</v>
      </c>
      <c r="D3103" t="str">
        <f>"14"</f>
        <v>14</v>
      </c>
      <c r="E3103" t="str">
        <f>"1-62-14"</f>
        <v>1-62-14</v>
      </c>
      <c r="F3103" t="s">
        <v>65</v>
      </c>
      <c r="G3103" t="s">
        <v>66</v>
      </c>
      <c r="H3103" t="s">
        <v>67</v>
      </c>
      <c r="S3103">
        <v>0</v>
      </c>
      <c r="T3103">
        <v>1</v>
      </c>
      <c r="U3103">
        <v>0</v>
      </c>
      <c r="V3103">
        <v>0</v>
      </c>
      <c r="W3103">
        <v>1</v>
      </c>
      <c r="X3103">
        <v>0</v>
      </c>
      <c r="Y3103">
        <v>0</v>
      </c>
      <c r="Z3103">
        <v>1</v>
      </c>
      <c r="AA3103">
        <v>0</v>
      </c>
      <c r="AB3103">
        <v>0</v>
      </c>
      <c r="AC3103">
        <v>1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</row>
    <row r="3104" spans="1:39" x14ac:dyDescent="0.2">
      <c r="A3104" t="str">
        <f>"3100"</f>
        <v>3100</v>
      </c>
      <c r="B3104" t="str">
        <f t="shared" si="171"/>
        <v>1</v>
      </c>
      <c r="C3104" t="str">
        <f t="shared" si="172"/>
        <v>62</v>
      </c>
      <c r="D3104" t="str">
        <f>"50"</f>
        <v>50</v>
      </c>
      <c r="E3104" t="str">
        <f>"1-62-50"</f>
        <v>1-62-50</v>
      </c>
      <c r="F3104" t="s">
        <v>65</v>
      </c>
      <c r="G3104" t="s">
        <v>66</v>
      </c>
      <c r="H3104" t="s">
        <v>67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0</v>
      </c>
      <c r="AB3104">
        <v>1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1</v>
      </c>
      <c r="AJ3104">
        <v>0</v>
      </c>
      <c r="AK3104">
        <v>0</v>
      </c>
      <c r="AL3104">
        <v>0</v>
      </c>
      <c r="AM3104">
        <v>0</v>
      </c>
    </row>
    <row r="3105" spans="1:39" x14ac:dyDescent="0.2">
      <c r="A3105" t="str">
        <f>"3101"</f>
        <v>3101</v>
      </c>
      <c r="B3105" t="str">
        <f t="shared" si="171"/>
        <v>1</v>
      </c>
      <c r="C3105" t="str">
        <f t="shared" ref="C3105:C3136" si="173">"63"</f>
        <v>63</v>
      </c>
      <c r="D3105" t="str">
        <f>"40"</f>
        <v>40</v>
      </c>
      <c r="E3105" t="str">
        <f>"1-63-40"</f>
        <v>1-63-40</v>
      </c>
      <c r="F3105" t="s">
        <v>65</v>
      </c>
      <c r="G3105" t="s">
        <v>66</v>
      </c>
      <c r="H3105" t="s">
        <v>67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0</v>
      </c>
      <c r="AB3105">
        <v>0</v>
      </c>
      <c r="AC3105">
        <v>1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1</v>
      </c>
      <c r="AJ3105">
        <v>1</v>
      </c>
      <c r="AK3105">
        <v>0</v>
      </c>
      <c r="AL3105">
        <v>0</v>
      </c>
      <c r="AM3105">
        <v>0</v>
      </c>
    </row>
    <row r="3106" spans="1:39" x14ac:dyDescent="0.2">
      <c r="A3106" t="str">
        <f>"3102"</f>
        <v>3102</v>
      </c>
      <c r="B3106" t="str">
        <f t="shared" si="171"/>
        <v>1</v>
      </c>
      <c r="C3106" t="str">
        <f t="shared" si="173"/>
        <v>63</v>
      </c>
      <c r="D3106" t="str">
        <f>"39"</f>
        <v>39</v>
      </c>
      <c r="E3106" t="str">
        <f>"1-63-39"</f>
        <v>1-63-39</v>
      </c>
      <c r="F3106" t="s">
        <v>65</v>
      </c>
      <c r="G3106" t="s">
        <v>66</v>
      </c>
      <c r="H3106" t="s">
        <v>67</v>
      </c>
      <c r="S3106">
        <v>0</v>
      </c>
      <c r="T3106">
        <v>1</v>
      </c>
      <c r="U3106">
        <v>0</v>
      </c>
      <c r="V3106">
        <v>0</v>
      </c>
      <c r="W3106">
        <v>1</v>
      </c>
      <c r="X3106">
        <v>0</v>
      </c>
      <c r="Y3106">
        <v>0</v>
      </c>
      <c r="Z3106">
        <v>1</v>
      </c>
      <c r="AA3106">
        <v>1</v>
      </c>
      <c r="AB3106">
        <v>0</v>
      </c>
      <c r="AC3106">
        <v>0</v>
      </c>
      <c r="AD3106">
        <v>1</v>
      </c>
      <c r="AE3106">
        <v>1</v>
      </c>
      <c r="AF3106">
        <v>1</v>
      </c>
      <c r="AG3106">
        <v>1</v>
      </c>
      <c r="AH3106">
        <v>1</v>
      </c>
      <c r="AI3106">
        <v>1</v>
      </c>
      <c r="AJ3106">
        <v>1</v>
      </c>
      <c r="AK3106">
        <v>1</v>
      </c>
      <c r="AL3106">
        <v>1</v>
      </c>
      <c r="AM3106">
        <v>1</v>
      </c>
    </row>
    <row r="3107" spans="1:39" x14ac:dyDescent="0.2">
      <c r="A3107" t="str">
        <f>"3103"</f>
        <v>3103</v>
      </c>
      <c r="B3107" t="str">
        <f t="shared" si="171"/>
        <v>1</v>
      </c>
      <c r="C3107" t="str">
        <f t="shared" si="173"/>
        <v>63</v>
      </c>
      <c r="D3107" t="str">
        <f>"29"</f>
        <v>29</v>
      </c>
      <c r="E3107" t="str">
        <f>"1-63-29"</f>
        <v>1-63-29</v>
      </c>
      <c r="F3107" t="s">
        <v>65</v>
      </c>
      <c r="G3107" t="s">
        <v>66</v>
      </c>
      <c r="H3107" t="s">
        <v>67</v>
      </c>
      <c r="S3107">
        <v>0</v>
      </c>
      <c r="T3107">
        <v>1</v>
      </c>
      <c r="U3107">
        <v>0</v>
      </c>
      <c r="V3107">
        <v>0</v>
      </c>
      <c r="W3107">
        <v>1</v>
      </c>
      <c r="X3107">
        <v>0</v>
      </c>
      <c r="Y3107">
        <v>1</v>
      </c>
      <c r="Z3107">
        <v>0</v>
      </c>
      <c r="AA3107">
        <v>0</v>
      </c>
      <c r="AB3107">
        <v>1</v>
      </c>
      <c r="AC3107">
        <v>0</v>
      </c>
      <c r="AD3107">
        <v>1</v>
      </c>
      <c r="AE3107">
        <v>1</v>
      </c>
      <c r="AF3107">
        <v>1</v>
      </c>
      <c r="AG3107">
        <v>1</v>
      </c>
      <c r="AH3107">
        <v>1</v>
      </c>
      <c r="AI3107">
        <v>1</v>
      </c>
      <c r="AJ3107">
        <v>1</v>
      </c>
      <c r="AK3107">
        <v>1</v>
      </c>
      <c r="AL3107">
        <v>1</v>
      </c>
      <c r="AM3107">
        <v>1</v>
      </c>
    </row>
    <row r="3108" spans="1:39" x14ac:dyDescent="0.2">
      <c r="A3108" t="str">
        <f>"3104"</f>
        <v>3104</v>
      </c>
      <c r="B3108" t="str">
        <f t="shared" si="171"/>
        <v>1</v>
      </c>
      <c r="C3108" t="str">
        <f t="shared" si="173"/>
        <v>63</v>
      </c>
      <c r="D3108" t="str">
        <f>"28"</f>
        <v>28</v>
      </c>
      <c r="E3108" t="str">
        <f>"1-63-28"</f>
        <v>1-63-28</v>
      </c>
      <c r="F3108" t="s">
        <v>65</v>
      </c>
      <c r="G3108" t="s">
        <v>66</v>
      </c>
      <c r="H3108" t="s">
        <v>67</v>
      </c>
      <c r="S3108">
        <v>0</v>
      </c>
      <c r="T3108">
        <v>1</v>
      </c>
      <c r="U3108">
        <v>0</v>
      </c>
      <c r="V3108">
        <v>0</v>
      </c>
      <c r="W3108">
        <v>1</v>
      </c>
      <c r="X3108">
        <v>0</v>
      </c>
      <c r="Y3108">
        <v>1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1</v>
      </c>
      <c r="AF3108">
        <v>1</v>
      </c>
      <c r="AG3108">
        <v>1</v>
      </c>
      <c r="AH3108">
        <v>1</v>
      </c>
      <c r="AI3108">
        <v>1</v>
      </c>
      <c r="AJ3108">
        <v>1</v>
      </c>
      <c r="AK3108">
        <v>1</v>
      </c>
      <c r="AL3108">
        <v>1</v>
      </c>
      <c r="AM3108">
        <v>1</v>
      </c>
    </row>
    <row r="3109" spans="1:39" x14ac:dyDescent="0.2">
      <c r="A3109" t="str">
        <f>"3105"</f>
        <v>3105</v>
      </c>
      <c r="B3109" t="str">
        <f t="shared" si="171"/>
        <v>1</v>
      </c>
      <c r="C3109" t="str">
        <f t="shared" si="173"/>
        <v>63</v>
      </c>
      <c r="D3109" t="str">
        <f>"19"</f>
        <v>19</v>
      </c>
      <c r="E3109" t="str">
        <f>"1-63-19"</f>
        <v>1-63-19</v>
      </c>
      <c r="F3109" t="s">
        <v>65</v>
      </c>
      <c r="G3109" t="s">
        <v>66</v>
      </c>
      <c r="H3109" t="s">
        <v>67</v>
      </c>
      <c r="S3109">
        <v>0</v>
      </c>
      <c r="T3109">
        <v>1</v>
      </c>
      <c r="U3109">
        <v>0</v>
      </c>
      <c r="V3109">
        <v>0</v>
      </c>
      <c r="W3109">
        <v>1</v>
      </c>
      <c r="X3109">
        <v>0</v>
      </c>
      <c r="Y3109">
        <v>0</v>
      </c>
      <c r="Z3109">
        <v>1</v>
      </c>
      <c r="AA3109">
        <v>0</v>
      </c>
      <c r="AB3109">
        <v>1</v>
      </c>
      <c r="AC3109">
        <v>0</v>
      </c>
      <c r="AD3109">
        <v>1</v>
      </c>
      <c r="AE3109">
        <v>1</v>
      </c>
      <c r="AF3109">
        <v>1</v>
      </c>
      <c r="AG3109">
        <v>1</v>
      </c>
      <c r="AH3109">
        <v>1</v>
      </c>
      <c r="AI3109">
        <v>1</v>
      </c>
      <c r="AJ3109">
        <v>1</v>
      </c>
      <c r="AK3109">
        <v>1</v>
      </c>
      <c r="AL3109">
        <v>0</v>
      </c>
      <c r="AM3109">
        <v>1</v>
      </c>
    </row>
    <row r="3110" spans="1:39" x14ac:dyDescent="0.2">
      <c r="A3110" t="str">
        <f>"3106"</f>
        <v>3106</v>
      </c>
      <c r="B3110" t="str">
        <f t="shared" si="171"/>
        <v>1</v>
      </c>
      <c r="C3110" t="str">
        <f t="shared" si="173"/>
        <v>63</v>
      </c>
      <c r="D3110" t="str">
        <f>"15"</f>
        <v>15</v>
      </c>
      <c r="E3110" t="str">
        <f>"1-63-15"</f>
        <v>1-63-15</v>
      </c>
      <c r="F3110" t="s">
        <v>65</v>
      </c>
      <c r="G3110" t="s">
        <v>66</v>
      </c>
      <c r="H3110" t="s">
        <v>67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1</v>
      </c>
      <c r="Y3110">
        <v>1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1</v>
      </c>
      <c r="AH3110">
        <v>0</v>
      </c>
      <c r="AI3110">
        <v>1</v>
      </c>
      <c r="AJ3110">
        <v>1</v>
      </c>
      <c r="AK3110">
        <v>1</v>
      </c>
      <c r="AL3110">
        <v>1</v>
      </c>
      <c r="AM3110">
        <v>1</v>
      </c>
    </row>
    <row r="3111" spans="1:39" x14ac:dyDescent="0.2">
      <c r="A3111" t="str">
        <f>"3107"</f>
        <v>3107</v>
      </c>
      <c r="B3111" t="str">
        <f t="shared" si="171"/>
        <v>1</v>
      </c>
      <c r="C3111" t="str">
        <f t="shared" si="173"/>
        <v>63</v>
      </c>
      <c r="D3111" t="str">
        <f>"1"</f>
        <v>1</v>
      </c>
      <c r="E3111" t="str">
        <f>"1-63-1"</f>
        <v>1-63-1</v>
      </c>
      <c r="F3111" t="s">
        <v>65</v>
      </c>
      <c r="G3111" t="s">
        <v>66</v>
      </c>
      <c r="H3111" t="s">
        <v>67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1</v>
      </c>
      <c r="Y3111">
        <v>0</v>
      </c>
      <c r="Z3111">
        <v>1</v>
      </c>
      <c r="AA3111">
        <v>1</v>
      </c>
      <c r="AB3111">
        <v>0</v>
      </c>
      <c r="AC3111">
        <v>0</v>
      </c>
      <c r="AD3111">
        <v>1</v>
      </c>
      <c r="AE3111">
        <v>1</v>
      </c>
      <c r="AF3111">
        <v>1</v>
      </c>
      <c r="AG3111">
        <v>1</v>
      </c>
      <c r="AH3111">
        <v>1</v>
      </c>
      <c r="AI3111">
        <v>1</v>
      </c>
      <c r="AJ3111">
        <v>1</v>
      </c>
      <c r="AK3111">
        <v>1</v>
      </c>
      <c r="AL3111">
        <v>1</v>
      </c>
      <c r="AM3111">
        <v>1</v>
      </c>
    </row>
    <row r="3112" spans="1:39" x14ac:dyDescent="0.2">
      <c r="A3112" t="str">
        <f>"3108"</f>
        <v>3108</v>
      </c>
      <c r="B3112" t="str">
        <f t="shared" si="171"/>
        <v>1</v>
      </c>
      <c r="C3112" t="str">
        <f t="shared" si="173"/>
        <v>63</v>
      </c>
      <c r="D3112" t="str">
        <f>"38"</f>
        <v>38</v>
      </c>
      <c r="E3112" t="str">
        <f>"1-63-38"</f>
        <v>1-63-38</v>
      </c>
      <c r="F3112" t="s">
        <v>65</v>
      </c>
      <c r="G3112" t="s">
        <v>66</v>
      </c>
      <c r="H3112" t="s">
        <v>67</v>
      </c>
      <c r="S3112">
        <v>1</v>
      </c>
      <c r="T3112">
        <v>0</v>
      </c>
      <c r="U3112">
        <v>0</v>
      </c>
      <c r="V3112">
        <v>0</v>
      </c>
      <c r="W3112">
        <v>1</v>
      </c>
      <c r="X3112">
        <v>0</v>
      </c>
      <c r="Y3112">
        <v>1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1</v>
      </c>
      <c r="AF3112">
        <v>1</v>
      </c>
      <c r="AG3112">
        <v>1</v>
      </c>
      <c r="AH3112">
        <v>1</v>
      </c>
      <c r="AI3112">
        <v>1</v>
      </c>
      <c r="AJ3112">
        <v>1</v>
      </c>
      <c r="AK3112">
        <v>1</v>
      </c>
      <c r="AL3112">
        <v>1</v>
      </c>
      <c r="AM3112">
        <v>1</v>
      </c>
    </row>
    <row r="3113" spans="1:39" x14ac:dyDescent="0.2">
      <c r="A3113" t="str">
        <f>"3109"</f>
        <v>3109</v>
      </c>
      <c r="B3113" t="str">
        <f t="shared" si="171"/>
        <v>1</v>
      </c>
      <c r="C3113" t="str">
        <f t="shared" si="173"/>
        <v>63</v>
      </c>
      <c r="D3113" t="str">
        <f>"37"</f>
        <v>37</v>
      </c>
      <c r="E3113" t="str">
        <f>"1-63-37"</f>
        <v>1-63-37</v>
      </c>
      <c r="F3113" t="s">
        <v>65</v>
      </c>
      <c r="G3113" t="s">
        <v>66</v>
      </c>
      <c r="H3113" t="s">
        <v>67</v>
      </c>
      <c r="S3113">
        <v>1</v>
      </c>
      <c r="T3113">
        <v>0</v>
      </c>
      <c r="U3113">
        <v>0</v>
      </c>
      <c r="V3113">
        <v>0</v>
      </c>
      <c r="W3113">
        <v>1</v>
      </c>
      <c r="X3113">
        <v>0</v>
      </c>
      <c r="Y3113">
        <v>1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1</v>
      </c>
      <c r="AF3113">
        <v>1</v>
      </c>
      <c r="AG3113">
        <v>1</v>
      </c>
      <c r="AH3113">
        <v>1</v>
      </c>
      <c r="AI3113">
        <v>1</v>
      </c>
      <c r="AJ3113">
        <v>1</v>
      </c>
      <c r="AK3113">
        <v>1</v>
      </c>
      <c r="AL3113">
        <v>1</v>
      </c>
      <c r="AM3113">
        <v>1</v>
      </c>
    </row>
    <row r="3114" spans="1:39" x14ac:dyDescent="0.2">
      <c r="A3114" t="str">
        <f>"3110"</f>
        <v>3110</v>
      </c>
      <c r="B3114" t="str">
        <f t="shared" si="171"/>
        <v>1</v>
      </c>
      <c r="C3114" t="str">
        <f t="shared" si="173"/>
        <v>63</v>
      </c>
      <c r="D3114" t="str">
        <f>"26"</f>
        <v>26</v>
      </c>
      <c r="E3114" t="str">
        <f>"1-63-26"</f>
        <v>1-63-26</v>
      </c>
      <c r="F3114" t="s">
        <v>65</v>
      </c>
      <c r="G3114" t="s">
        <v>66</v>
      </c>
      <c r="H3114" t="s">
        <v>67</v>
      </c>
      <c r="S3114">
        <v>1</v>
      </c>
      <c r="T3114">
        <v>0</v>
      </c>
      <c r="U3114">
        <v>0</v>
      </c>
      <c r="V3114">
        <v>0</v>
      </c>
      <c r="W3114">
        <v>0</v>
      </c>
      <c r="X3114">
        <v>1</v>
      </c>
      <c r="Y3114">
        <v>0</v>
      </c>
      <c r="Z3114">
        <v>1</v>
      </c>
      <c r="AA3114">
        <v>0</v>
      </c>
      <c r="AB3114">
        <v>0</v>
      </c>
      <c r="AC3114">
        <v>1</v>
      </c>
      <c r="AD3114">
        <v>1</v>
      </c>
      <c r="AE3114">
        <v>1</v>
      </c>
      <c r="AF3114">
        <v>1</v>
      </c>
      <c r="AG3114">
        <v>1</v>
      </c>
      <c r="AH3114">
        <v>1</v>
      </c>
      <c r="AI3114">
        <v>1</v>
      </c>
      <c r="AJ3114">
        <v>1</v>
      </c>
      <c r="AK3114">
        <v>1</v>
      </c>
      <c r="AL3114">
        <v>1</v>
      </c>
      <c r="AM3114">
        <v>1</v>
      </c>
    </row>
    <row r="3115" spans="1:39" x14ac:dyDescent="0.2">
      <c r="A3115" t="str">
        <f>"3111"</f>
        <v>3111</v>
      </c>
      <c r="B3115" t="str">
        <f t="shared" si="171"/>
        <v>1</v>
      </c>
      <c r="C3115" t="str">
        <f t="shared" si="173"/>
        <v>63</v>
      </c>
      <c r="D3115" t="str">
        <f>"16"</f>
        <v>16</v>
      </c>
      <c r="E3115" t="str">
        <f>"1-63-16"</f>
        <v>1-63-16</v>
      </c>
      <c r="F3115" t="s">
        <v>65</v>
      </c>
      <c r="G3115" t="s">
        <v>66</v>
      </c>
      <c r="H3115" t="s">
        <v>67</v>
      </c>
      <c r="S3115">
        <v>0</v>
      </c>
      <c r="T3115">
        <v>1</v>
      </c>
      <c r="U3115">
        <v>0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0</v>
      </c>
      <c r="AB3115">
        <v>0</v>
      </c>
      <c r="AC3115">
        <v>1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</row>
    <row r="3116" spans="1:39" x14ac:dyDescent="0.2">
      <c r="A3116" t="str">
        <f>"3112"</f>
        <v>3112</v>
      </c>
      <c r="B3116" t="str">
        <f t="shared" si="171"/>
        <v>1</v>
      </c>
      <c r="C3116" t="str">
        <f t="shared" si="173"/>
        <v>63</v>
      </c>
      <c r="D3116" t="str">
        <f>"4"</f>
        <v>4</v>
      </c>
      <c r="E3116" t="str">
        <f>"1-63-4"</f>
        <v>1-63-4</v>
      </c>
      <c r="F3116" t="s">
        <v>65</v>
      </c>
      <c r="G3116" t="s">
        <v>66</v>
      </c>
      <c r="H3116" t="s">
        <v>67</v>
      </c>
      <c r="S3116">
        <v>0</v>
      </c>
      <c r="T3116">
        <v>1</v>
      </c>
      <c r="U3116">
        <v>0</v>
      </c>
      <c r="V3116">
        <v>0</v>
      </c>
      <c r="W3116">
        <v>1</v>
      </c>
      <c r="X3116">
        <v>0</v>
      </c>
      <c r="Y3116">
        <v>0</v>
      </c>
      <c r="Z3116">
        <v>1</v>
      </c>
      <c r="AA3116">
        <v>0</v>
      </c>
      <c r="AB3116">
        <v>1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</row>
    <row r="3117" spans="1:39" x14ac:dyDescent="0.2">
      <c r="A3117" t="str">
        <f>"3113"</f>
        <v>3113</v>
      </c>
      <c r="B3117" t="str">
        <f t="shared" si="171"/>
        <v>1</v>
      </c>
      <c r="C3117" t="str">
        <f t="shared" si="173"/>
        <v>63</v>
      </c>
      <c r="D3117" t="str">
        <f>"46"</f>
        <v>46</v>
      </c>
      <c r="E3117" t="str">
        <f>"1-63-46"</f>
        <v>1-63-46</v>
      </c>
      <c r="F3117" t="s">
        <v>65</v>
      </c>
      <c r="G3117" t="s">
        <v>66</v>
      </c>
      <c r="H3117" t="s">
        <v>68</v>
      </c>
      <c r="I3117">
        <v>1</v>
      </c>
      <c r="J3117">
        <v>0</v>
      </c>
      <c r="K3117">
        <v>1</v>
      </c>
      <c r="L3117">
        <v>0</v>
      </c>
      <c r="M3117">
        <v>1</v>
      </c>
      <c r="N3117">
        <v>1</v>
      </c>
      <c r="O3117">
        <v>1</v>
      </c>
      <c r="P3117">
        <v>1</v>
      </c>
      <c r="Q3117">
        <v>1</v>
      </c>
      <c r="R3117">
        <v>1</v>
      </c>
    </row>
    <row r="3118" spans="1:39" x14ac:dyDescent="0.2">
      <c r="A3118" t="str">
        <f>"3114"</f>
        <v>3114</v>
      </c>
      <c r="B3118" t="str">
        <f t="shared" si="171"/>
        <v>1</v>
      </c>
      <c r="C3118" t="str">
        <f t="shared" si="173"/>
        <v>63</v>
      </c>
      <c r="D3118" t="str">
        <f>"45"</f>
        <v>45</v>
      </c>
      <c r="E3118" t="str">
        <f>"1-63-45"</f>
        <v>1-63-45</v>
      </c>
      <c r="F3118" t="s">
        <v>65</v>
      </c>
      <c r="G3118" t="s">
        <v>66</v>
      </c>
      <c r="H3118" t="s">
        <v>67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1</v>
      </c>
      <c r="Y3118">
        <v>1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</row>
    <row r="3119" spans="1:39" x14ac:dyDescent="0.2">
      <c r="A3119" t="str">
        <f>"3115"</f>
        <v>3115</v>
      </c>
      <c r="B3119" t="str">
        <f t="shared" si="171"/>
        <v>1</v>
      </c>
      <c r="C3119" t="str">
        <f t="shared" si="173"/>
        <v>63</v>
      </c>
      <c r="D3119" t="str">
        <f>"34"</f>
        <v>34</v>
      </c>
      <c r="E3119" t="str">
        <f>"1-63-34"</f>
        <v>1-63-34</v>
      </c>
      <c r="F3119" t="s">
        <v>65</v>
      </c>
      <c r="G3119" t="s">
        <v>66</v>
      </c>
      <c r="H3119" t="s">
        <v>67</v>
      </c>
      <c r="S3119">
        <v>1</v>
      </c>
      <c r="T3119">
        <v>0</v>
      </c>
      <c r="U3119">
        <v>0</v>
      </c>
      <c r="V3119">
        <v>0</v>
      </c>
      <c r="W3119">
        <v>1</v>
      </c>
      <c r="X3119">
        <v>0</v>
      </c>
      <c r="Y3119">
        <v>0</v>
      </c>
      <c r="Z3119">
        <v>1</v>
      </c>
      <c r="AA3119">
        <v>1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</row>
    <row r="3120" spans="1:39" x14ac:dyDescent="0.2">
      <c r="A3120" t="str">
        <f>"3116"</f>
        <v>3116</v>
      </c>
      <c r="B3120" t="str">
        <f t="shared" si="171"/>
        <v>1</v>
      </c>
      <c r="C3120" t="str">
        <f t="shared" si="173"/>
        <v>63</v>
      </c>
      <c r="D3120" t="str">
        <f>"17"</f>
        <v>17</v>
      </c>
      <c r="E3120" t="str">
        <f>"1-63-17"</f>
        <v>1-63-17</v>
      </c>
      <c r="F3120" t="s">
        <v>65</v>
      </c>
      <c r="G3120" t="s">
        <v>66</v>
      </c>
      <c r="H3120" t="s">
        <v>67</v>
      </c>
      <c r="S3120">
        <v>0</v>
      </c>
      <c r="T3120">
        <v>1</v>
      </c>
      <c r="U3120">
        <v>0</v>
      </c>
      <c r="V3120">
        <v>0</v>
      </c>
      <c r="W3120">
        <v>1</v>
      </c>
      <c r="X3120">
        <v>0</v>
      </c>
      <c r="Y3120">
        <v>0</v>
      </c>
      <c r="Z3120">
        <v>1</v>
      </c>
      <c r="AA3120">
        <v>0</v>
      </c>
      <c r="AB3120">
        <v>0</v>
      </c>
      <c r="AC3120">
        <v>1</v>
      </c>
      <c r="AD3120">
        <v>1</v>
      </c>
      <c r="AE3120">
        <v>1</v>
      </c>
      <c r="AF3120">
        <v>1</v>
      </c>
      <c r="AG3120">
        <v>1</v>
      </c>
      <c r="AH3120">
        <v>1</v>
      </c>
      <c r="AI3120">
        <v>1</v>
      </c>
      <c r="AJ3120">
        <v>1</v>
      </c>
      <c r="AK3120">
        <v>1</v>
      </c>
      <c r="AL3120">
        <v>1</v>
      </c>
      <c r="AM3120">
        <v>1</v>
      </c>
    </row>
    <row r="3121" spans="1:39" x14ac:dyDescent="0.2">
      <c r="A3121" t="str">
        <f>"3117"</f>
        <v>3117</v>
      </c>
      <c r="B3121" t="str">
        <f t="shared" si="171"/>
        <v>1</v>
      </c>
      <c r="C3121" t="str">
        <f t="shared" si="173"/>
        <v>63</v>
      </c>
      <c r="D3121" t="str">
        <f>"8"</f>
        <v>8</v>
      </c>
      <c r="E3121" t="str">
        <f>"1-63-8"</f>
        <v>1-63-8</v>
      </c>
      <c r="F3121" t="s">
        <v>65</v>
      </c>
      <c r="G3121" t="s">
        <v>66</v>
      </c>
      <c r="H3121" t="s">
        <v>67</v>
      </c>
      <c r="S3121">
        <v>0</v>
      </c>
      <c r="T3121">
        <v>1</v>
      </c>
      <c r="U3121">
        <v>0</v>
      </c>
      <c r="V3121">
        <v>0</v>
      </c>
      <c r="W3121">
        <v>1</v>
      </c>
      <c r="X3121">
        <v>0</v>
      </c>
      <c r="Y3121">
        <v>0</v>
      </c>
      <c r="Z3121">
        <v>1</v>
      </c>
      <c r="AA3121">
        <v>0</v>
      </c>
      <c r="AB3121">
        <v>1</v>
      </c>
      <c r="AC3121">
        <v>0</v>
      </c>
      <c r="AD3121">
        <v>1</v>
      </c>
      <c r="AE3121">
        <v>1</v>
      </c>
      <c r="AF3121">
        <v>1</v>
      </c>
      <c r="AG3121">
        <v>1</v>
      </c>
      <c r="AH3121">
        <v>1</v>
      </c>
      <c r="AI3121">
        <v>1</v>
      </c>
      <c r="AJ3121">
        <v>1</v>
      </c>
      <c r="AK3121">
        <v>1</v>
      </c>
      <c r="AL3121">
        <v>1</v>
      </c>
      <c r="AM3121">
        <v>1</v>
      </c>
    </row>
    <row r="3122" spans="1:39" x14ac:dyDescent="0.2">
      <c r="A3122" t="str">
        <f>"3118"</f>
        <v>3118</v>
      </c>
      <c r="B3122" t="str">
        <f t="shared" si="171"/>
        <v>1</v>
      </c>
      <c r="C3122" t="str">
        <f t="shared" si="173"/>
        <v>63</v>
      </c>
      <c r="D3122" t="str">
        <f>"48"</f>
        <v>48</v>
      </c>
      <c r="E3122" t="str">
        <f>"1-63-48"</f>
        <v>1-63-48</v>
      </c>
      <c r="F3122" t="s">
        <v>65</v>
      </c>
      <c r="G3122" t="s">
        <v>66</v>
      </c>
      <c r="H3122" t="s">
        <v>68</v>
      </c>
      <c r="I3122">
        <v>1</v>
      </c>
      <c r="J3122">
        <v>0</v>
      </c>
      <c r="K3122">
        <v>0</v>
      </c>
      <c r="L3122">
        <v>1</v>
      </c>
      <c r="M3122">
        <v>1</v>
      </c>
      <c r="N3122">
        <v>1</v>
      </c>
      <c r="O3122">
        <v>1</v>
      </c>
      <c r="P3122">
        <v>1</v>
      </c>
      <c r="Q3122">
        <v>1</v>
      </c>
      <c r="R3122">
        <v>1</v>
      </c>
    </row>
    <row r="3123" spans="1:39" x14ac:dyDescent="0.2">
      <c r="A3123" t="str">
        <f>"3119"</f>
        <v>3119</v>
      </c>
      <c r="B3123" t="str">
        <f t="shared" si="171"/>
        <v>1</v>
      </c>
      <c r="C3123" t="str">
        <f t="shared" si="173"/>
        <v>63</v>
      </c>
      <c r="D3123" t="str">
        <f>"47"</f>
        <v>47</v>
      </c>
      <c r="E3123" t="str">
        <f>"1-63-47"</f>
        <v>1-63-47</v>
      </c>
      <c r="F3123" t="s">
        <v>65</v>
      </c>
      <c r="G3123" t="s">
        <v>66</v>
      </c>
      <c r="H3123" t="s">
        <v>68</v>
      </c>
      <c r="I3123">
        <v>1</v>
      </c>
      <c r="J3123">
        <v>0</v>
      </c>
      <c r="K3123">
        <v>1</v>
      </c>
      <c r="L3123">
        <v>0</v>
      </c>
      <c r="M3123">
        <v>1</v>
      </c>
      <c r="N3123">
        <v>1</v>
      </c>
      <c r="O3123">
        <v>1</v>
      </c>
      <c r="P3123">
        <v>1</v>
      </c>
      <c r="Q3123">
        <v>1</v>
      </c>
      <c r="R3123">
        <v>1</v>
      </c>
    </row>
    <row r="3124" spans="1:39" x14ac:dyDescent="0.2">
      <c r="A3124" t="str">
        <f>"3120"</f>
        <v>3120</v>
      </c>
      <c r="B3124" t="str">
        <f t="shared" si="171"/>
        <v>1</v>
      </c>
      <c r="C3124" t="str">
        <f t="shared" si="173"/>
        <v>63</v>
      </c>
      <c r="D3124" t="str">
        <f>"33"</f>
        <v>33</v>
      </c>
      <c r="E3124" t="str">
        <f>"1-63-33"</f>
        <v>1-63-33</v>
      </c>
      <c r="F3124" t="s">
        <v>65</v>
      </c>
      <c r="G3124" t="s">
        <v>66</v>
      </c>
      <c r="H3124" t="s">
        <v>67</v>
      </c>
      <c r="S3124">
        <v>1</v>
      </c>
      <c r="T3124">
        <v>0</v>
      </c>
      <c r="U3124">
        <v>0</v>
      </c>
      <c r="V3124">
        <v>0</v>
      </c>
      <c r="W3124">
        <v>1</v>
      </c>
      <c r="X3124">
        <v>0</v>
      </c>
      <c r="Y3124">
        <v>1</v>
      </c>
      <c r="Z3124">
        <v>0</v>
      </c>
      <c r="AA3124">
        <v>0</v>
      </c>
      <c r="AB3124">
        <v>1</v>
      </c>
      <c r="AC3124">
        <v>0</v>
      </c>
      <c r="AD3124">
        <v>1</v>
      </c>
      <c r="AE3124">
        <v>1</v>
      </c>
      <c r="AF3124">
        <v>1</v>
      </c>
      <c r="AG3124">
        <v>1</v>
      </c>
      <c r="AH3124">
        <v>1</v>
      </c>
      <c r="AI3124">
        <v>1</v>
      </c>
      <c r="AJ3124">
        <v>1</v>
      </c>
      <c r="AK3124">
        <v>1</v>
      </c>
      <c r="AL3124">
        <v>1</v>
      </c>
      <c r="AM3124">
        <v>1</v>
      </c>
    </row>
    <row r="3125" spans="1:39" x14ac:dyDescent="0.2">
      <c r="A3125" t="str">
        <f>"3121"</f>
        <v>3121</v>
      </c>
      <c r="B3125" t="str">
        <f t="shared" si="171"/>
        <v>1</v>
      </c>
      <c r="C3125" t="str">
        <f t="shared" si="173"/>
        <v>63</v>
      </c>
      <c r="D3125" t="str">
        <f>"18"</f>
        <v>18</v>
      </c>
      <c r="E3125" t="str">
        <f>"1-63-18"</f>
        <v>1-63-18</v>
      </c>
      <c r="F3125" t="s">
        <v>65</v>
      </c>
      <c r="G3125" t="s">
        <v>66</v>
      </c>
      <c r="H3125" t="s">
        <v>67</v>
      </c>
      <c r="S3125">
        <v>0</v>
      </c>
      <c r="T3125">
        <v>1</v>
      </c>
      <c r="U3125">
        <v>0</v>
      </c>
      <c r="V3125">
        <v>0</v>
      </c>
      <c r="W3125">
        <v>1</v>
      </c>
      <c r="X3125">
        <v>0</v>
      </c>
      <c r="Y3125">
        <v>0</v>
      </c>
      <c r="Z3125">
        <v>1</v>
      </c>
      <c r="AA3125">
        <v>1</v>
      </c>
      <c r="AB3125">
        <v>0</v>
      </c>
      <c r="AC3125">
        <v>0</v>
      </c>
      <c r="AD3125">
        <v>1</v>
      </c>
      <c r="AE3125">
        <v>1</v>
      </c>
      <c r="AF3125">
        <v>1</v>
      </c>
      <c r="AG3125">
        <v>1</v>
      </c>
      <c r="AH3125">
        <v>1</v>
      </c>
      <c r="AI3125">
        <v>1</v>
      </c>
      <c r="AJ3125">
        <v>1</v>
      </c>
      <c r="AK3125">
        <v>1</v>
      </c>
      <c r="AL3125">
        <v>1</v>
      </c>
      <c r="AM3125">
        <v>1</v>
      </c>
    </row>
    <row r="3126" spans="1:39" x14ac:dyDescent="0.2">
      <c r="A3126" t="str">
        <f>"3122"</f>
        <v>3122</v>
      </c>
      <c r="B3126" t="str">
        <f t="shared" si="171"/>
        <v>1</v>
      </c>
      <c r="C3126" t="str">
        <f t="shared" si="173"/>
        <v>63</v>
      </c>
      <c r="D3126" t="str">
        <f>"5"</f>
        <v>5</v>
      </c>
      <c r="E3126" t="str">
        <f>"1-63-5"</f>
        <v>1-63-5</v>
      </c>
      <c r="F3126" t="s">
        <v>65</v>
      </c>
      <c r="G3126" t="s">
        <v>66</v>
      </c>
      <c r="H3126" t="s">
        <v>67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</row>
    <row r="3127" spans="1:39" x14ac:dyDescent="0.2">
      <c r="A3127" t="str">
        <f>"3123"</f>
        <v>3123</v>
      </c>
      <c r="B3127" t="str">
        <f t="shared" ref="B3127:B3190" si="174">"1"</f>
        <v>1</v>
      </c>
      <c r="C3127" t="str">
        <f t="shared" si="173"/>
        <v>63</v>
      </c>
      <c r="D3127" t="str">
        <f>"35"</f>
        <v>35</v>
      </c>
      <c r="E3127" t="str">
        <f>"1-63-35"</f>
        <v>1-63-35</v>
      </c>
      <c r="F3127" t="s">
        <v>65</v>
      </c>
      <c r="G3127" t="s">
        <v>66</v>
      </c>
      <c r="H3127" t="s">
        <v>67</v>
      </c>
      <c r="S3127">
        <v>1</v>
      </c>
      <c r="T3127">
        <v>0</v>
      </c>
      <c r="U3127">
        <v>0</v>
      </c>
      <c r="V3127">
        <v>0</v>
      </c>
      <c r="W3127">
        <v>0</v>
      </c>
      <c r="X3127">
        <v>1</v>
      </c>
      <c r="Y3127">
        <v>0</v>
      </c>
      <c r="Z3127">
        <v>1</v>
      </c>
      <c r="AA3127">
        <v>0</v>
      </c>
      <c r="AB3127">
        <v>1</v>
      </c>
      <c r="AC3127">
        <v>0</v>
      </c>
      <c r="AD3127">
        <v>0</v>
      </c>
      <c r="AE3127">
        <v>0</v>
      </c>
      <c r="AF3127">
        <v>0</v>
      </c>
      <c r="AG3127">
        <v>1</v>
      </c>
      <c r="AH3127">
        <v>1</v>
      </c>
      <c r="AI3127">
        <v>1</v>
      </c>
      <c r="AJ3127">
        <v>1</v>
      </c>
      <c r="AK3127">
        <v>1</v>
      </c>
      <c r="AL3127">
        <v>1</v>
      </c>
      <c r="AM3127">
        <v>0</v>
      </c>
    </row>
    <row r="3128" spans="1:39" x14ac:dyDescent="0.2">
      <c r="A3128" t="str">
        <f>"3124"</f>
        <v>3124</v>
      </c>
      <c r="B3128" t="str">
        <f t="shared" si="174"/>
        <v>1</v>
      </c>
      <c r="C3128" t="str">
        <f t="shared" si="173"/>
        <v>63</v>
      </c>
      <c r="D3128" t="str">
        <f>"20"</f>
        <v>20</v>
      </c>
      <c r="E3128" t="str">
        <f>"1-63-20"</f>
        <v>1-63-20</v>
      </c>
      <c r="F3128" t="s">
        <v>65</v>
      </c>
      <c r="G3128" t="s">
        <v>66</v>
      </c>
      <c r="H3128" t="s">
        <v>67</v>
      </c>
      <c r="S3128">
        <v>0</v>
      </c>
      <c r="T3128">
        <v>1</v>
      </c>
      <c r="U3128">
        <v>0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0</v>
      </c>
      <c r="AB3128">
        <v>1</v>
      </c>
      <c r="AC3128">
        <v>0</v>
      </c>
      <c r="AD3128">
        <v>1</v>
      </c>
      <c r="AE3128">
        <v>1</v>
      </c>
      <c r="AF3128">
        <v>1</v>
      </c>
      <c r="AG3128">
        <v>1</v>
      </c>
      <c r="AH3128">
        <v>1</v>
      </c>
      <c r="AI3128">
        <v>1</v>
      </c>
      <c r="AJ3128">
        <v>1</v>
      </c>
      <c r="AK3128">
        <v>1</v>
      </c>
      <c r="AL3128">
        <v>1</v>
      </c>
      <c r="AM3128">
        <v>1</v>
      </c>
    </row>
    <row r="3129" spans="1:39" x14ac:dyDescent="0.2">
      <c r="A3129" t="str">
        <f>"3125"</f>
        <v>3125</v>
      </c>
      <c r="B3129" t="str">
        <f t="shared" si="174"/>
        <v>1</v>
      </c>
      <c r="C3129" t="str">
        <f t="shared" si="173"/>
        <v>63</v>
      </c>
      <c r="D3129" t="str">
        <f>"2"</f>
        <v>2</v>
      </c>
      <c r="E3129" t="str">
        <f>"1-63-2"</f>
        <v>1-63-2</v>
      </c>
      <c r="F3129" t="s">
        <v>65</v>
      </c>
      <c r="G3129" t="s">
        <v>66</v>
      </c>
      <c r="H3129" t="s">
        <v>67</v>
      </c>
      <c r="S3129">
        <v>0</v>
      </c>
      <c r="T3129">
        <v>1</v>
      </c>
      <c r="U3129">
        <v>0</v>
      </c>
      <c r="V3129">
        <v>0</v>
      </c>
      <c r="W3129">
        <v>1</v>
      </c>
      <c r="X3129">
        <v>0</v>
      </c>
      <c r="Y3129">
        <v>1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1</v>
      </c>
      <c r="AF3129">
        <v>1</v>
      </c>
      <c r="AG3129">
        <v>1</v>
      </c>
      <c r="AH3129">
        <v>1</v>
      </c>
      <c r="AI3129">
        <v>1</v>
      </c>
      <c r="AJ3129">
        <v>1</v>
      </c>
      <c r="AK3129">
        <v>1</v>
      </c>
      <c r="AL3129">
        <v>1</v>
      </c>
      <c r="AM3129">
        <v>1</v>
      </c>
    </row>
    <row r="3130" spans="1:39" x14ac:dyDescent="0.2">
      <c r="A3130" t="str">
        <f>"3126"</f>
        <v>3126</v>
      </c>
      <c r="B3130" t="str">
        <f t="shared" si="174"/>
        <v>1</v>
      </c>
      <c r="C3130" t="str">
        <f t="shared" si="173"/>
        <v>63</v>
      </c>
      <c r="D3130" t="str">
        <f>"36"</f>
        <v>36</v>
      </c>
      <c r="E3130" t="str">
        <f>"1-63-36"</f>
        <v>1-63-36</v>
      </c>
      <c r="F3130" t="s">
        <v>65</v>
      </c>
      <c r="G3130" t="s">
        <v>66</v>
      </c>
      <c r="H3130" t="s">
        <v>67</v>
      </c>
      <c r="S3130">
        <v>1</v>
      </c>
      <c r="T3130">
        <v>0</v>
      </c>
      <c r="U3130">
        <v>0</v>
      </c>
      <c r="V3130">
        <v>0</v>
      </c>
      <c r="W3130">
        <v>1</v>
      </c>
      <c r="X3130">
        <v>0</v>
      </c>
      <c r="Y3130">
        <v>0</v>
      </c>
      <c r="Z3130">
        <v>1</v>
      </c>
      <c r="AA3130">
        <v>0</v>
      </c>
      <c r="AB3130">
        <v>0</v>
      </c>
      <c r="AC3130">
        <v>1</v>
      </c>
      <c r="AD3130">
        <v>1</v>
      </c>
      <c r="AE3130">
        <v>1</v>
      </c>
      <c r="AF3130">
        <v>1</v>
      </c>
      <c r="AG3130">
        <v>1</v>
      </c>
      <c r="AH3130">
        <v>1</v>
      </c>
      <c r="AI3130">
        <v>1</v>
      </c>
      <c r="AJ3130">
        <v>1</v>
      </c>
      <c r="AK3130">
        <v>1</v>
      </c>
      <c r="AL3130">
        <v>1</v>
      </c>
      <c r="AM3130">
        <v>1</v>
      </c>
    </row>
    <row r="3131" spans="1:39" x14ac:dyDescent="0.2">
      <c r="A3131" t="str">
        <f>"3127"</f>
        <v>3127</v>
      </c>
      <c r="B3131" t="str">
        <f t="shared" si="174"/>
        <v>1</v>
      </c>
      <c r="C3131" t="str">
        <f t="shared" si="173"/>
        <v>63</v>
      </c>
      <c r="D3131" t="str">
        <f>"21"</f>
        <v>21</v>
      </c>
      <c r="E3131" t="str">
        <f>"1-63-21"</f>
        <v>1-63-21</v>
      </c>
      <c r="F3131" t="s">
        <v>65</v>
      </c>
      <c r="G3131" t="s">
        <v>66</v>
      </c>
      <c r="H3131" t="s">
        <v>67</v>
      </c>
      <c r="S3131">
        <v>0</v>
      </c>
      <c r="T3131">
        <v>1</v>
      </c>
      <c r="U3131">
        <v>0</v>
      </c>
      <c r="V3131">
        <v>0</v>
      </c>
      <c r="W3131">
        <v>0</v>
      </c>
      <c r="X3131">
        <v>1</v>
      </c>
      <c r="Y3131">
        <v>0</v>
      </c>
      <c r="Z3131">
        <v>1</v>
      </c>
      <c r="AA3131">
        <v>0</v>
      </c>
      <c r="AB3131">
        <v>0</v>
      </c>
      <c r="AC3131">
        <v>1</v>
      </c>
      <c r="AD3131">
        <v>1</v>
      </c>
      <c r="AE3131">
        <v>1</v>
      </c>
      <c r="AF3131">
        <v>1</v>
      </c>
      <c r="AG3131">
        <v>1</v>
      </c>
      <c r="AH3131">
        <v>1</v>
      </c>
      <c r="AI3131">
        <v>1</v>
      </c>
      <c r="AJ3131">
        <v>1</v>
      </c>
      <c r="AK3131">
        <v>1</v>
      </c>
      <c r="AL3131">
        <v>1</v>
      </c>
      <c r="AM3131">
        <v>1</v>
      </c>
    </row>
    <row r="3132" spans="1:39" x14ac:dyDescent="0.2">
      <c r="A3132" t="str">
        <f>"3128"</f>
        <v>3128</v>
      </c>
      <c r="B3132" t="str">
        <f t="shared" si="174"/>
        <v>1</v>
      </c>
      <c r="C3132" t="str">
        <f t="shared" si="173"/>
        <v>63</v>
      </c>
      <c r="D3132" t="str">
        <f>"14"</f>
        <v>14</v>
      </c>
      <c r="E3132" t="str">
        <f>"1-63-14"</f>
        <v>1-63-14</v>
      </c>
      <c r="F3132" t="s">
        <v>65</v>
      </c>
      <c r="G3132" t="s">
        <v>66</v>
      </c>
      <c r="H3132" t="s">
        <v>67</v>
      </c>
      <c r="S3132">
        <v>0</v>
      </c>
      <c r="T3132">
        <v>1</v>
      </c>
      <c r="U3132">
        <v>0</v>
      </c>
      <c r="V3132">
        <v>0</v>
      </c>
      <c r="W3132">
        <v>0</v>
      </c>
      <c r="X3132">
        <v>1</v>
      </c>
      <c r="Y3132">
        <v>1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1</v>
      </c>
      <c r="AH3132">
        <v>1</v>
      </c>
      <c r="AI3132">
        <v>1</v>
      </c>
      <c r="AJ3132">
        <v>1</v>
      </c>
      <c r="AK3132">
        <v>1</v>
      </c>
      <c r="AL3132">
        <v>1</v>
      </c>
      <c r="AM3132">
        <v>1</v>
      </c>
    </row>
    <row r="3133" spans="1:39" x14ac:dyDescent="0.2">
      <c r="A3133" t="str">
        <f>"3129"</f>
        <v>3129</v>
      </c>
      <c r="B3133" t="str">
        <f t="shared" si="174"/>
        <v>1</v>
      </c>
      <c r="C3133" t="str">
        <f t="shared" si="173"/>
        <v>63</v>
      </c>
      <c r="D3133" t="str">
        <f>"41"</f>
        <v>41</v>
      </c>
      <c r="E3133" t="str">
        <f>"1-63-41"</f>
        <v>1-63-41</v>
      </c>
      <c r="F3133" t="s">
        <v>65</v>
      </c>
      <c r="G3133" t="s">
        <v>66</v>
      </c>
      <c r="H3133" t="s">
        <v>67</v>
      </c>
      <c r="S3133">
        <v>1</v>
      </c>
      <c r="T3133">
        <v>0</v>
      </c>
      <c r="U3133">
        <v>0</v>
      </c>
      <c r="V3133">
        <v>0</v>
      </c>
      <c r="W3133">
        <v>0</v>
      </c>
      <c r="X3133">
        <v>1</v>
      </c>
      <c r="Y3133">
        <v>1</v>
      </c>
      <c r="Z3133">
        <v>0</v>
      </c>
      <c r="AA3133">
        <v>1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</row>
    <row r="3134" spans="1:39" x14ac:dyDescent="0.2">
      <c r="A3134" t="str">
        <f>"3130"</f>
        <v>3130</v>
      </c>
      <c r="B3134" t="str">
        <f t="shared" si="174"/>
        <v>1</v>
      </c>
      <c r="C3134" t="str">
        <f t="shared" si="173"/>
        <v>63</v>
      </c>
      <c r="D3134" t="str">
        <f>"22"</f>
        <v>22</v>
      </c>
      <c r="E3134" t="str">
        <f>"1-63-22"</f>
        <v>1-63-22</v>
      </c>
      <c r="F3134" t="s">
        <v>65</v>
      </c>
      <c r="G3134" t="s">
        <v>66</v>
      </c>
      <c r="H3134" t="s">
        <v>67</v>
      </c>
      <c r="S3134">
        <v>1</v>
      </c>
      <c r="T3134">
        <v>0</v>
      </c>
      <c r="U3134">
        <v>0</v>
      </c>
      <c r="V3134">
        <v>0</v>
      </c>
      <c r="W3134">
        <v>1</v>
      </c>
      <c r="X3134">
        <v>0</v>
      </c>
      <c r="Y3134">
        <v>1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</row>
    <row r="3135" spans="1:39" x14ac:dyDescent="0.2">
      <c r="A3135" t="str">
        <f>"3131"</f>
        <v>3131</v>
      </c>
      <c r="B3135" t="str">
        <f t="shared" si="174"/>
        <v>1</v>
      </c>
      <c r="C3135" t="str">
        <f t="shared" si="173"/>
        <v>63</v>
      </c>
      <c r="D3135" t="str">
        <f>"7"</f>
        <v>7</v>
      </c>
      <c r="E3135" t="str">
        <f>"1-63-7"</f>
        <v>1-63-7</v>
      </c>
      <c r="F3135" t="s">
        <v>65</v>
      </c>
      <c r="G3135" t="s">
        <v>66</v>
      </c>
      <c r="H3135" t="s">
        <v>67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1</v>
      </c>
      <c r="AK3135">
        <v>0</v>
      </c>
      <c r="AL3135">
        <v>0</v>
      </c>
      <c r="AM3135">
        <v>1</v>
      </c>
    </row>
    <row r="3136" spans="1:39" x14ac:dyDescent="0.2">
      <c r="A3136" t="str">
        <f>"3132"</f>
        <v>3132</v>
      </c>
      <c r="B3136" t="str">
        <f t="shared" si="174"/>
        <v>1</v>
      </c>
      <c r="C3136" t="str">
        <f t="shared" si="173"/>
        <v>63</v>
      </c>
      <c r="D3136" t="str">
        <f>"42"</f>
        <v>42</v>
      </c>
      <c r="E3136" t="str">
        <f>"1-63-42"</f>
        <v>1-63-42</v>
      </c>
      <c r="F3136" t="s">
        <v>65</v>
      </c>
      <c r="G3136" t="s">
        <v>66</v>
      </c>
      <c r="H3136" t="s">
        <v>67</v>
      </c>
      <c r="S3136">
        <v>1</v>
      </c>
      <c r="T3136">
        <v>0</v>
      </c>
      <c r="U3136">
        <v>0</v>
      </c>
      <c r="V3136">
        <v>0</v>
      </c>
      <c r="W3136">
        <v>0</v>
      </c>
      <c r="X3136">
        <v>1</v>
      </c>
      <c r="Y3136">
        <v>0</v>
      </c>
      <c r="Z3136">
        <v>1</v>
      </c>
      <c r="AA3136">
        <v>0</v>
      </c>
      <c r="AB3136">
        <v>1</v>
      </c>
      <c r="AC3136">
        <v>0</v>
      </c>
      <c r="AD3136">
        <v>1</v>
      </c>
      <c r="AE3136">
        <v>1</v>
      </c>
      <c r="AF3136">
        <v>1</v>
      </c>
      <c r="AG3136">
        <v>1</v>
      </c>
      <c r="AH3136">
        <v>1</v>
      </c>
      <c r="AI3136">
        <v>1</v>
      </c>
      <c r="AJ3136">
        <v>1</v>
      </c>
      <c r="AK3136">
        <v>1</v>
      </c>
      <c r="AL3136">
        <v>1</v>
      </c>
      <c r="AM3136">
        <v>1</v>
      </c>
    </row>
    <row r="3137" spans="1:39" x14ac:dyDescent="0.2">
      <c r="A3137" t="str">
        <f>"3133"</f>
        <v>3133</v>
      </c>
      <c r="B3137" t="str">
        <f t="shared" si="174"/>
        <v>1</v>
      </c>
      <c r="C3137" t="str">
        <f t="shared" ref="C3137:C3154" si="175">"63"</f>
        <v>63</v>
      </c>
      <c r="D3137" t="str">
        <f>"23"</f>
        <v>23</v>
      </c>
      <c r="E3137" t="str">
        <f>"1-63-23"</f>
        <v>1-63-23</v>
      </c>
      <c r="F3137" t="s">
        <v>65</v>
      </c>
      <c r="G3137" t="s">
        <v>66</v>
      </c>
      <c r="H3137" t="s">
        <v>67</v>
      </c>
      <c r="S3137">
        <v>1</v>
      </c>
      <c r="T3137">
        <v>0</v>
      </c>
      <c r="U3137">
        <v>0</v>
      </c>
      <c r="V3137">
        <v>0</v>
      </c>
      <c r="W3137">
        <v>1</v>
      </c>
      <c r="X3137">
        <v>0</v>
      </c>
      <c r="Y3137">
        <v>1</v>
      </c>
      <c r="Z3137">
        <v>0</v>
      </c>
      <c r="AA3137">
        <v>0</v>
      </c>
      <c r="AB3137">
        <v>0</v>
      </c>
      <c r="AC3137">
        <v>1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</row>
    <row r="3138" spans="1:39" x14ac:dyDescent="0.2">
      <c r="A3138" t="str">
        <f>"3134"</f>
        <v>3134</v>
      </c>
      <c r="B3138" t="str">
        <f t="shared" si="174"/>
        <v>1</v>
      </c>
      <c r="C3138" t="str">
        <f t="shared" si="175"/>
        <v>63</v>
      </c>
      <c r="D3138" t="str">
        <f>"10"</f>
        <v>10</v>
      </c>
      <c r="E3138" t="str">
        <f>"1-63-10"</f>
        <v>1-63-10</v>
      </c>
      <c r="F3138" t="s">
        <v>65</v>
      </c>
      <c r="G3138" t="s">
        <v>66</v>
      </c>
      <c r="H3138" t="s">
        <v>67</v>
      </c>
      <c r="S3138">
        <v>0</v>
      </c>
      <c r="T3138">
        <v>1</v>
      </c>
      <c r="U3138">
        <v>0</v>
      </c>
      <c r="V3138">
        <v>0</v>
      </c>
      <c r="W3138">
        <v>0</v>
      </c>
      <c r="X3138">
        <v>1</v>
      </c>
      <c r="Y3138">
        <v>0</v>
      </c>
      <c r="Z3138">
        <v>1</v>
      </c>
      <c r="AA3138">
        <v>0</v>
      </c>
      <c r="AB3138">
        <v>0</v>
      </c>
      <c r="AC3138">
        <v>1</v>
      </c>
      <c r="AD3138">
        <v>0</v>
      </c>
      <c r="AE3138">
        <v>0</v>
      </c>
      <c r="AF3138">
        <v>0</v>
      </c>
      <c r="AG3138">
        <v>1</v>
      </c>
      <c r="AH3138">
        <v>0</v>
      </c>
      <c r="AI3138">
        <v>1</v>
      </c>
      <c r="AJ3138">
        <v>0</v>
      </c>
      <c r="AK3138">
        <v>0</v>
      </c>
      <c r="AL3138">
        <v>1</v>
      </c>
      <c r="AM3138">
        <v>0</v>
      </c>
    </row>
    <row r="3139" spans="1:39" x14ac:dyDescent="0.2">
      <c r="A3139" t="str">
        <f>"3135"</f>
        <v>3135</v>
      </c>
      <c r="B3139" t="str">
        <f t="shared" si="174"/>
        <v>1</v>
      </c>
      <c r="C3139" t="str">
        <f t="shared" si="175"/>
        <v>63</v>
      </c>
      <c r="D3139" t="str">
        <f>"43"</f>
        <v>43</v>
      </c>
      <c r="E3139" t="str">
        <f>"1-63-43"</f>
        <v>1-63-43</v>
      </c>
      <c r="F3139" t="s">
        <v>65</v>
      </c>
      <c r="G3139" t="s">
        <v>66</v>
      </c>
      <c r="H3139" t="s">
        <v>67</v>
      </c>
      <c r="S3139">
        <v>1</v>
      </c>
      <c r="T3139">
        <v>0</v>
      </c>
      <c r="U3139">
        <v>0</v>
      </c>
      <c r="V3139">
        <v>0</v>
      </c>
      <c r="W3139">
        <v>1</v>
      </c>
      <c r="X3139">
        <v>0</v>
      </c>
      <c r="Y3139">
        <v>1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1</v>
      </c>
      <c r="AF3139">
        <v>1</v>
      </c>
      <c r="AG3139">
        <v>1</v>
      </c>
      <c r="AH3139">
        <v>1</v>
      </c>
      <c r="AI3139">
        <v>1</v>
      </c>
      <c r="AJ3139">
        <v>1</v>
      </c>
      <c r="AK3139">
        <v>1</v>
      </c>
      <c r="AL3139">
        <v>1</v>
      </c>
      <c r="AM3139">
        <v>1</v>
      </c>
    </row>
    <row r="3140" spans="1:39" x14ac:dyDescent="0.2">
      <c r="A3140" t="str">
        <f>"3136"</f>
        <v>3136</v>
      </c>
      <c r="B3140" t="str">
        <f t="shared" si="174"/>
        <v>1</v>
      </c>
      <c r="C3140" t="str">
        <f t="shared" si="175"/>
        <v>63</v>
      </c>
      <c r="D3140" t="str">
        <f>"24"</f>
        <v>24</v>
      </c>
      <c r="E3140" t="str">
        <f>"1-63-24"</f>
        <v>1-63-24</v>
      </c>
      <c r="F3140" t="s">
        <v>65</v>
      </c>
      <c r="G3140" t="s">
        <v>66</v>
      </c>
      <c r="H3140" t="s">
        <v>67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1</v>
      </c>
      <c r="Y3140">
        <v>0</v>
      </c>
      <c r="Z3140">
        <v>1</v>
      </c>
      <c r="AA3140">
        <v>0</v>
      </c>
      <c r="AB3140">
        <v>0</v>
      </c>
      <c r="AC3140">
        <v>1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</row>
    <row r="3141" spans="1:39" x14ac:dyDescent="0.2">
      <c r="A3141" t="str">
        <f>"3137"</f>
        <v>3137</v>
      </c>
      <c r="B3141" t="str">
        <f t="shared" si="174"/>
        <v>1</v>
      </c>
      <c r="C3141" t="str">
        <f t="shared" si="175"/>
        <v>63</v>
      </c>
      <c r="D3141" t="str">
        <f>"13"</f>
        <v>13</v>
      </c>
      <c r="E3141" t="str">
        <f>"1-63-13"</f>
        <v>1-63-13</v>
      </c>
      <c r="F3141" t="s">
        <v>65</v>
      </c>
      <c r="G3141" t="s">
        <v>66</v>
      </c>
      <c r="H3141" t="s">
        <v>67</v>
      </c>
      <c r="S3141">
        <v>0</v>
      </c>
      <c r="T3141">
        <v>1</v>
      </c>
      <c r="U3141">
        <v>0</v>
      </c>
      <c r="V3141">
        <v>0</v>
      </c>
      <c r="W3141">
        <v>1</v>
      </c>
      <c r="X3141">
        <v>0</v>
      </c>
      <c r="Y3141">
        <v>0</v>
      </c>
      <c r="Z3141">
        <v>1</v>
      </c>
      <c r="AA3141">
        <v>0</v>
      </c>
      <c r="AB3141">
        <v>0</v>
      </c>
      <c r="AC3141">
        <v>1</v>
      </c>
      <c r="AD3141">
        <v>1</v>
      </c>
      <c r="AE3141">
        <v>1</v>
      </c>
      <c r="AF3141">
        <v>1</v>
      </c>
      <c r="AG3141">
        <v>1</v>
      </c>
      <c r="AH3141">
        <v>1</v>
      </c>
      <c r="AI3141">
        <v>1</v>
      </c>
      <c r="AJ3141">
        <v>1</v>
      </c>
      <c r="AK3141">
        <v>1</v>
      </c>
      <c r="AL3141">
        <v>1</v>
      </c>
      <c r="AM3141">
        <v>1</v>
      </c>
    </row>
    <row r="3142" spans="1:39" x14ac:dyDescent="0.2">
      <c r="A3142" t="str">
        <f>"3138"</f>
        <v>3138</v>
      </c>
      <c r="B3142" t="str">
        <f t="shared" si="174"/>
        <v>1</v>
      </c>
      <c r="C3142" t="str">
        <f t="shared" si="175"/>
        <v>63</v>
      </c>
      <c r="D3142" t="str">
        <f>"44"</f>
        <v>44</v>
      </c>
      <c r="E3142" t="str">
        <f>"1-63-44"</f>
        <v>1-63-44</v>
      </c>
      <c r="F3142" t="s">
        <v>65</v>
      </c>
      <c r="G3142" t="s">
        <v>66</v>
      </c>
      <c r="H3142" t="s">
        <v>67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1</v>
      </c>
      <c r="Y3142">
        <v>0</v>
      </c>
      <c r="Z3142">
        <v>1</v>
      </c>
      <c r="AA3142">
        <v>0</v>
      </c>
      <c r="AB3142">
        <v>0</v>
      </c>
      <c r="AC3142">
        <v>1</v>
      </c>
      <c r="AD3142">
        <v>1</v>
      </c>
      <c r="AE3142">
        <v>1</v>
      </c>
      <c r="AF3142">
        <v>1</v>
      </c>
      <c r="AG3142">
        <v>1</v>
      </c>
      <c r="AH3142">
        <v>1</v>
      </c>
      <c r="AI3142">
        <v>1</v>
      </c>
      <c r="AJ3142">
        <v>1</v>
      </c>
      <c r="AK3142">
        <v>1</v>
      </c>
      <c r="AL3142">
        <v>1</v>
      </c>
      <c r="AM3142">
        <v>1</v>
      </c>
    </row>
    <row r="3143" spans="1:39" x14ac:dyDescent="0.2">
      <c r="A3143" t="str">
        <f>"3139"</f>
        <v>3139</v>
      </c>
      <c r="B3143" t="str">
        <f t="shared" si="174"/>
        <v>1</v>
      </c>
      <c r="C3143" t="str">
        <f t="shared" si="175"/>
        <v>63</v>
      </c>
      <c r="D3143" t="str">
        <f>"25"</f>
        <v>25</v>
      </c>
      <c r="E3143" t="str">
        <f>"1-63-25"</f>
        <v>1-63-25</v>
      </c>
      <c r="F3143" t="s">
        <v>65</v>
      </c>
      <c r="G3143" t="s">
        <v>66</v>
      </c>
      <c r="H3143" t="s">
        <v>67</v>
      </c>
      <c r="S3143">
        <v>1</v>
      </c>
      <c r="T3143">
        <v>0</v>
      </c>
      <c r="U3143">
        <v>0</v>
      </c>
      <c r="V3143">
        <v>0</v>
      </c>
      <c r="W3143">
        <v>0</v>
      </c>
      <c r="X3143">
        <v>1</v>
      </c>
      <c r="Y3143">
        <v>0</v>
      </c>
      <c r="Z3143">
        <v>1</v>
      </c>
      <c r="AA3143">
        <v>0</v>
      </c>
      <c r="AB3143">
        <v>0</v>
      </c>
      <c r="AC3143">
        <v>1</v>
      </c>
      <c r="AD3143">
        <v>1</v>
      </c>
      <c r="AE3143">
        <v>1</v>
      </c>
      <c r="AF3143">
        <v>1</v>
      </c>
      <c r="AG3143">
        <v>1</v>
      </c>
      <c r="AH3143">
        <v>1</v>
      </c>
      <c r="AI3143">
        <v>1</v>
      </c>
      <c r="AJ3143">
        <v>1</v>
      </c>
      <c r="AK3143">
        <v>1</v>
      </c>
      <c r="AL3143">
        <v>1</v>
      </c>
      <c r="AM3143">
        <v>1</v>
      </c>
    </row>
    <row r="3144" spans="1:39" x14ac:dyDescent="0.2">
      <c r="A3144" t="str">
        <f>"3140"</f>
        <v>3140</v>
      </c>
      <c r="B3144" t="str">
        <f t="shared" si="174"/>
        <v>1</v>
      </c>
      <c r="C3144" t="str">
        <f t="shared" si="175"/>
        <v>63</v>
      </c>
      <c r="D3144" t="str">
        <f>"12"</f>
        <v>12</v>
      </c>
      <c r="E3144" t="str">
        <f>"1-63-12"</f>
        <v>1-63-12</v>
      </c>
      <c r="F3144" t="s">
        <v>65</v>
      </c>
      <c r="G3144" t="s">
        <v>66</v>
      </c>
      <c r="H3144" t="s">
        <v>67</v>
      </c>
      <c r="S3144">
        <v>0</v>
      </c>
      <c r="T3144">
        <v>1</v>
      </c>
      <c r="U3144">
        <v>0</v>
      </c>
      <c r="V3144">
        <v>0</v>
      </c>
      <c r="W3144">
        <v>0</v>
      </c>
      <c r="X3144">
        <v>1</v>
      </c>
      <c r="Y3144">
        <v>0</v>
      </c>
      <c r="Z3144">
        <v>1</v>
      </c>
      <c r="AA3144">
        <v>0</v>
      </c>
      <c r="AB3144">
        <v>0</v>
      </c>
      <c r="AC3144">
        <v>1</v>
      </c>
      <c r="AD3144">
        <v>0</v>
      </c>
      <c r="AE3144">
        <v>0</v>
      </c>
      <c r="AF3144">
        <v>0</v>
      </c>
      <c r="AG3144">
        <v>1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</row>
    <row r="3145" spans="1:39" x14ac:dyDescent="0.2">
      <c r="A3145" t="str">
        <f>"3141"</f>
        <v>3141</v>
      </c>
      <c r="B3145" t="str">
        <f t="shared" si="174"/>
        <v>1</v>
      </c>
      <c r="C3145" t="str">
        <f t="shared" si="175"/>
        <v>63</v>
      </c>
      <c r="D3145" t="str">
        <f>"27"</f>
        <v>27</v>
      </c>
      <c r="E3145" t="str">
        <f>"1-63-27"</f>
        <v>1-63-27</v>
      </c>
      <c r="F3145" t="s">
        <v>65</v>
      </c>
      <c r="G3145" t="s">
        <v>66</v>
      </c>
      <c r="H3145" t="s">
        <v>67</v>
      </c>
      <c r="S3145">
        <v>0</v>
      </c>
      <c r="T3145">
        <v>1</v>
      </c>
      <c r="U3145">
        <v>0</v>
      </c>
      <c r="V3145">
        <v>0</v>
      </c>
      <c r="W3145">
        <v>1</v>
      </c>
      <c r="X3145">
        <v>0</v>
      </c>
      <c r="Y3145">
        <v>1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1</v>
      </c>
      <c r="AF3145">
        <v>1</v>
      </c>
      <c r="AG3145">
        <v>1</v>
      </c>
      <c r="AH3145">
        <v>1</v>
      </c>
      <c r="AI3145">
        <v>1</v>
      </c>
      <c r="AJ3145">
        <v>1</v>
      </c>
      <c r="AK3145">
        <v>1</v>
      </c>
      <c r="AL3145">
        <v>1</v>
      </c>
      <c r="AM3145">
        <v>1</v>
      </c>
    </row>
    <row r="3146" spans="1:39" x14ac:dyDescent="0.2">
      <c r="A3146" t="str">
        <f>"3142"</f>
        <v>3142</v>
      </c>
      <c r="B3146" t="str">
        <f t="shared" si="174"/>
        <v>1</v>
      </c>
      <c r="C3146" t="str">
        <f t="shared" si="175"/>
        <v>63</v>
      </c>
      <c r="D3146" t="str">
        <f>"11"</f>
        <v>11</v>
      </c>
      <c r="E3146" t="str">
        <f>"1-63-11"</f>
        <v>1-63-11</v>
      </c>
      <c r="F3146" t="s">
        <v>65</v>
      </c>
      <c r="G3146" t="s">
        <v>66</v>
      </c>
      <c r="H3146" t="s">
        <v>67</v>
      </c>
      <c r="S3146">
        <v>0</v>
      </c>
      <c r="T3146">
        <v>1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1</v>
      </c>
      <c r="AD3146">
        <v>0</v>
      </c>
      <c r="AE3146">
        <v>0</v>
      </c>
      <c r="AF3146">
        <v>0</v>
      </c>
      <c r="AG3146">
        <v>1</v>
      </c>
      <c r="AH3146">
        <v>1</v>
      </c>
      <c r="AI3146">
        <v>1</v>
      </c>
      <c r="AJ3146">
        <v>1</v>
      </c>
      <c r="AK3146">
        <v>1</v>
      </c>
      <c r="AL3146">
        <v>1</v>
      </c>
      <c r="AM3146">
        <v>1</v>
      </c>
    </row>
    <row r="3147" spans="1:39" x14ac:dyDescent="0.2">
      <c r="A3147" t="str">
        <f>"3143"</f>
        <v>3143</v>
      </c>
      <c r="B3147" t="str">
        <f t="shared" si="174"/>
        <v>1</v>
      </c>
      <c r="C3147" t="str">
        <f t="shared" si="175"/>
        <v>63</v>
      </c>
      <c r="D3147" t="str">
        <f>"49"</f>
        <v>49</v>
      </c>
      <c r="E3147" t="str">
        <f>"1-63-49"</f>
        <v>1-63-49</v>
      </c>
      <c r="F3147" t="s">
        <v>65</v>
      </c>
      <c r="G3147" t="s">
        <v>66</v>
      </c>
      <c r="H3147" t="s">
        <v>68</v>
      </c>
      <c r="I3147">
        <v>1</v>
      </c>
      <c r="J3147">
        <v>0</v>
      </c>
      <c r="K3147">
        <v>0</v>
      </c>
      <c r="L3147">
        <v>1</v>
      </c>
      <c r="M3147">
        <v>1</v>
      </c>
      <c r="N3147">
        <v>1</v>
      </c>
      <c r="O3147">
        <v>1</v>
      </c>
      <c r="P3147">
        <v>1</v>
      </c>
      <c r="Q3147">
        <v>1</v>
      </c>
      <c r="R3147">
        <v>1</v>
      </c>
    </row>
    <row r="3148" spans="1:39" x14ac:dyDescent="0.2">
      <c r="A3148" t="str">
        <f>"3144"</f>
        <v>3144</v>
      </c>
      <c r="B3148" t="str">
        <f t="shared" si="174"/>
        <v>1</v>
      </c>
      <c r="C3148" t="str">
        <f t="shared" si="175"/>
        <v>63</v>
      </c>
      <c r="D3148" t="str">
        <f>"30"</f>
        <v>30</v>
      </c>
      <c r="E3148" t="str">
        <f>"1-63-30"</f>
        <v>1-63-30</v>
      </c>
      <c r="F3148" t="s">
        <v>65</v>
      </c>
      <c r="G3148" t="s">
        <v>66</v>
      </c>
      <c r="H3148" t="s">
        <v>67</v>
      </c>
      <c r="S3148">
        <v>0</v>
      </c>
      <c r="T3148">
        <v>1</v>
      </c>
      <c r="U3148">
        <v>0</v>
      </c>
      <c r="V3148">
        <v>0</v>
      </c>
      <c r="W3148">
        <v>1</v>
      </c>
      <c r="X3148">
        <v>0</v>
      </c>
      <c r="Y3148">
        <v>0</v>
      </c>
      <c r="Z3148">
        <v>1</v>
      </c>
      <c r="AA3148">
        <v>0</v>
      </c>
      <c r="AB3148">
        <v>1</v>
      </c>
      <c r="AC3148">
        <v>0</v>
      </c>
      <c r="AD3148">
        <v>1</v>
      </c>
      <c r="AE3148">
        <v>1</v>
      </c>
      <c r="AF3148">
        <v>1</v>
      </c>
      <c r="AG3148">
        <v>1</v>
      </c>
      <c r="AH3148">
        <v>1</v>
      </c>
      <c r="AI3148">
        <v>1</v>
      </c>
      <c r="AJ3148">
        <v>1</v>
      </c>
      <c r="AK3148">
        <v>1</v>
      </c>
      <c r="AL3148">
        <v>1</v>
      </c>
      <c r="AM3148">
        <v>1</v>
      </c>
    </row>
    <row r="3149" spans="1:39" x14ac:dyDescent="0.2">
      <c r="A3149" t="str">
        <f>"3145"</f>
        <v>3145</v>
      </c>
      <c r="B3149" t="str">
        <f t="shared" si="174"/>
        <v>1</v>
      </c>
      <c r="C3149" t="str">
        <f t="shared" si="175"/>
        <v>63</v>
      </c>
      <c r="D3149" t="str">
        <f>"6"</f>
        <v>6</v>
      </c>
      <c r="E3149" t="str">
        <f>"1-63-6"</f>
        <v>1-63-6</v>
      </c>
      <c r="F3149" t="s">
        <v>65</v>
      </c>
      <c r="G3149" t="s">
        <v>66</v>
      </c>
      <c r="H3149" t="s">
        <v>67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1</v>
      </c>
      <c r="Y3149">
        <v>0</v>
      </c>
      <c r="Z3149">
        <v>1</v>
      </c>
      <c r="AA3149">
        <v>0</v>
      </c>
      <c r="AB3149">
        <v>0</v>
      </c>
      <c r="AC3149">
        <v>1</v>
      </c>
      <c r="AD3149">
        <v>1</v>
      </c>
      <c r="AE3149">
        <v>1</v>
      </c>
      <c r="AF3149">
        <v>1</v>
      </c>
      <c r="AG3149">
        <v>1</v>
      </c>
      <c r="AH3149">
        <v>0</v>
      </c>
      <c r="AI3149">
        <v>1</v>
      </c>
      <c r="AJ3149">
        <v>1</v>
      </c>
      <c r="AK3149">
        <v>1</v>
      </c>
      <c r="AL3149">
        <v>1</v>
      </c>
      <c r="AM3149">
        <v>1</v>
      </c>
    </row>
    <row r="3150" spans="1:39" x14ac:dyDescent="0.2">
      <c r="A3150" t="str">
        <f>"3146"</f>
        <v>3146</v>
      </c>
      <c r="B3150" t="str">
        <f t="shared" si="174"/>
        <v>1</v>
      </c>
      <c r="C3150" t="str">
        <f t="shared" si="175"/>
        <v>63</v>
      </c>
      <c r="D3150" t="str">
        <f>"50"</f>
        <v>50</v>
      </c>
      <c r="E3150" t="str">
        <f>"1-63-50"</f>
        <v>1-63-50</v>
      </c>
      <c r="F3150" t="s">
        <v>65</v>
      </c>
      <c r="G3150" t="s">
        <v>66</v>
      </c>
      <c r="H3150" t="s">
        <v>68</v>
      </c>
      <c r="I3150">
        <v>1</v>
      </c>
      <c r="J3150">
        <v>1</v>
      </c>
      <c r="K3150">
        <v>0</v>
      </c>
      <c r="L3150">
        <v>0</v>
      </c>
      <c r="M3150">
        <v>1</v>
      </c>
      <c r="N3150">
        <v>1</v>
      </c>
      <c r="O3150">
        <v>1</v>
      </c>
      <c r="P3150">
        <v>1</v>
      </c>
      <c r="Q3150">
        <v>1</v>
      </c>
      <c r="R3150">
        <v>1</v>
      </c>
    </row>
    <row r="3151" spans="1:39" x14ac:dyDescent="0.2">
      <c r="A3151" t="str">
        <f>"3147"</f>
        <v>3147</v>
      </c>
      <c r="B3151" t="str">
        <f t="shared" si="174"/>
        <v>1</v>
      </c>
      <c r="C3151" t="str">
        <f t="shared" si="175"/>
        <v>63</v>
      </c>
      <c r="D3151" t="str">
        <f>"31"</f>
        <v>31</v>
      </c>
      <c r="E3151" t="str">
        <f>"1-63-31"</f>
        <v>1-63-31</v>
      </c>
      <c r="F3151" t="s">
        <v>65</v>
      </c>
      <c r="G3151" t="s">
        <v>66</v>
      </c>
      <c r="H3151" t="s">
        <v>67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1</v>
      </c>
      <c r="Y3151">
        <v>1</v>
      </c>
      <c r="Z3151">
        <v>0</v>
      </c>
      <c r="AA3151">
        <v>0</v>
      </c>
      <c r="AB3151">
        <v>0</v>
      </c>
      <c r="AC3151">
        <v>1</v>
      </c>
      <c r="AD3151">
        <v>0</v>
      </c>
      <c r="AE3151">
        <v>1</v>
      </c>
      <c r="AF3151">
        <v>0</v>
      </c>
      <c r="AG3151">
        <v>1</v>
      </c>
      <c r="AH3151">
        <v>1</v>
      </c>
      <c r="AI3151">
        <v>1</v>
      </c>
      <c r="AJ3151">
        <v>1</v>
      </c>
      <c r="AK3151">
        <v>1</v>
      </c>
      <c r="AL3151">
        <v>1</v>
      </c>
      <c r="AM3151">
        <v>1</v>
      </c>
    </row>
    <row r="3152" spans="1:39" x14ac:dyDescent="0.2">
      <c r="A3152" t="str">
        <f>"3148"</f>
        <v>3148</v>
      </c>
      <c r="B3152" t="str">
        <f t="shared" si="174"/>
        <v>1</v>
      </c>
      <c r="C3152" t="str">
        <f t="shared" si="175"/>
        <v>63</v>
      </c>
      <c r="D3152" t="str">
        <f>"3"</f>
        <v>3</v>
      </c>
      <c r="E3152" t="str">
        <f>"1-63-3"</f>
        <v>1-63-3</v>
      </c>
      <c r="F3152" t="s">
        <v>65</v>
      </c>
      <c r="G3152" t="s">
        <v>66</v>
      </c>
      <c r="H3152" t="s">
        <v>67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1</v>
      </c>
      <c r="Y3152">
        <v>0</v>
      </c>
      <c r="Z3152">
        <v>1</v>
      </c>
      <c r="AA3152">
        <v>0</v>
      </c>
      <c r="AB3152">
        <v>0</v>
      </c>
      <c r="AC3152">
        <v>1</v>
      </c>
      <c r="AD3152">
        <v>1</v>
      </c>
      <c r="AE3152">
        <v>1</v>
      </c>
      <c r="AF3152">
        <v>1</v>
      </c>
      <c r="AG3152">
        <v>1</v>
      </c>
      <c r="AH3152">
        <v>1</v>
      </c>
      <c r="AI3152">
        <v>1</v>
      </c>
      <c r="AJ3152">
        <v>1</v>
      </c>
      <c r="AK3152">
        <v>1</v>
      </c>
      <c r="AL3152">
        <v>1</v>
      </c>
      <c r="AM3152">
        <v>1</v>
      </c>
    </row>
    <row r="3153" spans="1:39" x14ac:dyDescent="0.2">
      <c r="A3153" t="str">
        <f>"3149"</f>
        <v>3149</v>
      </c>
      <c r="B3153" t="str">
        <f t="shared" si="174"/>
        <v>1</v>
      </c>
      <c r="C3153" t="str">
        <f t="shared" si="175"/>
        <v>63</v>
      </c>
      <c r="D3153" t="str">
        <f>"32"</f>
        <v>32</v>
      </c>
      <c r="E3153" t="str">
        <f>"1-63-32"</f>
        <v>1-63-32</v>
      </c>
      <c r="F3153" t="s">
        <v>65</v>
      </c>
      <c r="G3153" t="s">
        <v>66</v>
      </c>
      <c r="H3153" t="s">
        <v>67</v>
      </c>
      <c r="S3153">
        <v>0</v>
      </c>
      <c r="T3153">
        <v>1</v>
      </c>
      <c r="U3153">
        <v>0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0</v>
      </c>
      <c r="AB3153">
        <v>1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</row>
    <row r="3154" spans="1:39" x14ac:dyDescent="0.2">
      <c r="A3154" t="str">
        <f>"3150"</f>
        <v>3150</v>
      </c>
      <c r="B3154" t="str">
        <f t="shared" si="174"/>
        <v>1</v>
      </c>
      <c r="C3154" t="str">
        <f t="shared" si="175"/>
        <v>63</v>
      </c>
      <c r="D3154" t="str">
        <f>"9"</f>
        <v>9</v>
      </c>
      <c r="E3154" t="str">
        <f>"1-63-9"</f>
        <v>1-63-9</v>
      </c>
      <c r="F3154" t="s">
        <v>65</v>
      </c>
      <c r="G3154" t="s">
        <v>66</v>
      </c>
      <c r="H3154" t="s">
        <v>67</v>
      </c>
      <c r="S3154">
        <v>0</v>
      </c>
      <c r="T3154">
        <v>1</v>
      </c>
      <c r="U3154">
        <v>0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</row>
    <row r="3155" spans="1:39" x14ac:dyDescent="0.2">
      <c r="A3155" t="str">
        <f>"3151"</f>
        <v>3151</v>
      </c>
      <c r="B3155" t="str">
        <f t="shared" si="174"/>
        <v>1</v>
      </c>
      <c r="C3155" t="str">
        <f t="shared" ref="C3155:C3186" si="176">"64"</f>
        <v>64</v>
      </c>
      <c r="D3155" t="str">
        <f>"42"</f>
        <v>42</v>
      </c>
      <c r="E3155" t="str">
        <f>"1-64-42"</f>
        <v>1-64-42</v>
      </c>
      <c r="F3155" t="s">
        <v>65</v>
      </c>
      <c r="G3155" t="s">
        <v>66</v>
      </c>
      <c r="H3155" t="s">
        <v>67</v>
      </c>
      <c r="S3155">
        <v>0</v>
      </c>
      <c r="T3155">
        <v>1</v>
      </c>
      <c r="U3155">
        <v>0</v>
      </c>
      <c r="V3155">
        <v>0</v>
      </c>
      <c r="W3155">
        <v>0</v>
      </c>
      <c r="X3155">
        <v>1</v>
      </c>
      <c r="Y3155">
        <v>0</v>
      </c>
      <c r="Z3155">
        <v>1</v>
      </c>
      <c r="AA3155">
        <v>0</v>
      </c>
      <c r="AB3155">
        <v>0</v>
      </c>
      <c r="AC3155">
        <v>1</v>
      </c>
      <c r="AD3155">
        <v>1</v>
      </c>
      <c r="AE3155">
        <v>1</v>
      </c>
      <c r="AF3155">
        <v>1</v>
      </c>
      <c r="AG3155">
        <v>1</v>
      </c>
      <c r="AH3155">
        <v>1</v>
      </c>
      <c r="AI3155">
        <v>1</v>
      </c>
      <c r="AJ3155">
        <v>1</v>
      </c>
      <c r="AK3155">
        <v>1</v>
      </c>
      <c r="AL3155">
        <v>1</v>
      </c>
      <c r="AM3155">
        <v>0</v>
      </c>
    </row>
    <row r="3156" spans="1:39" x14ac:dyDescent="0.2">
      <c r="A3156" t="str">
        <f>"3152"</f>
        <v>3152</v>
      </c>
      <c r="B3156" t="str">
        <f t="shared" si="174"/>
        <v>1</v>
      </c>
      <c r="C3156" t="str">
        <f t="shared" si="176"/>
        <v>64</v>
      </c>
      <c r="D3156" t="str">
        <f>"41"</f>
        <v>41</v>
      </c>
      <c r="E3156" t="str">
        <f>"1-64-41"</f>
        <v>1-64-41</v>
      </c>
      <c r="F3156" t="s">
        <v>65</v>
      </c>
      <c r="G3156" t="s">
        <v>66</v>
      </c>
      <c r="H3156" t="s">
        <v>67</v>
      </c>
      <c r="S3156">
        <v>0</v>
      </c>
      <c r="T3156">
        <v>1</v>
      </c>
      <c r="U3156">
        <v>0</v>
      </c>
      <c r="V3156">
        <v>0</v>
      </c>
      <c r="W3156">
        <v>1</v>
      </c>
      <c r="X3156">
        <v>0</v>
      </c>
      <c r="Y3156">
        <v>0</v>
      </c>
      <c r="Z3156">
        <v>1</v>
      </c>
      <c r="AA3156">
        <v>0</v>
      </c>
      <c r="AB3156">
        <v>0</v>
      </c>
      <c r="AC3156">
        <v>1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</row>
    <row r="3157" spans="1:39" x14ac:dyDescent="0.2">
      <c r="A3157" t="str">
        <f>"3153"</f>
        <v>3153</v>
      </c>
      <c r="B3157" t="str">
        <f t="shared" si="174"/>
        <v>1</v>
      </c>
      <c r="C3157" t="str">
        <f t="shared" si="176"/>
        <v>64</v>
      </c>
      <c r="D3157" t="str">
        <f>"26"</f>
        <v>26</v>
      </c>
      <c r="E3157" t="str">
        <f>"1-64-26"</f>
        <v>1-64-26</v>
      </c>
      <c r="F3157" t="s">
        <v>65</v>
      </c>
      <c r="G3157" t="s">
        <v>66</v>
      </c>
      <c r="H3157" t="s">
        <v>67</v>
      </c>
      <c r="S3157">
        <v>1</v>
      </c>
      <c r="T3157">
        <v>0</v>
      </c>
      <c r="U3157">
        <v>0</v>
      </c>
      <c r="V3157">
        <v>0</v>
      </c>
      <c r="W3157">
        <v>1</v>
      </c>
      <c r="X3157">
        <v>0</v>
      </c>
      <c r="Y3157">
        <v>1</v>
      </c>
      <c r="Z3157">
        <v>0</v>
      </c>
      <c r="AA3157">
        <v>0</v>
      </c>
      <c r="AB3157">
        <v>1</v>
      </c>
      <c r="AC3157">
        <v>0</v>
      </c>
      <c r="AD3157">
        <v>1</v>
      </c>
      <c r="AE3157">
        <v>1</v>
      </c>
      <c r="AF3157">
        <v>1</v>
      </c>
      <c r="AG3157">
        <v>1</v>
      </c>
      <c r="AH3157">
        <v>1</v>
      </c>
      <c r="AI3157">
        <v>1</v>
      </c>
      <c r="AJ3157">
        <v>1</v>
      </c>
      <c r="AK3157">
        <v>1</v>
      </c>
      <c r="AL3157">
        <v>1</v>
      </c>
      <c r="AM3157">
        <v>1</v>
      </c>
    </row>
    <row r="3158" spans="1:39" x14ac:dyDescent="0.2">
      <c r="A3158" t="str">
        <f>"3154"</f>
        <v>3154</v>
      </c>
      <c r="B3158" t="str">
        <f t="shared" si="174"/>
        <v>1</v>
      </c>
      <c r="C3158" t="str">
        <f t="shared" si="176"/>
        <v>64</v>
      </c>
      <c r="D3158" t="str">
        <f>"25"</f>
        <v>25</v>
      </c>
      <c r="E3158" t="str">
        <f>"1-64-25"</f>
        <v>1-64-25</v>
      </c>
      <c r="F3158" t="s">
        <v>65</v>
      </c>
      <c r="G3158" t="s">
        <v>66</v>
      </c>
      <c r="H3158" t="s">
        <v>67</v>
      </c>
      <c r="S3158">
        <v>1</v>
      </c>
      <c r="T3158">
        <v>0</v>
      </c>
      <c r="U3158">
        <v>0</v>
      </c>
      <c r="V3158">
        <v>0</v>
      </c>
      <c r="W3158">
        <v>1</v>
      </c>
      <c r="X3158">
        <v>0</v>
      </c>
      <c r="Y3158">
        <v>1</v>
      </c>
      <c r="Z3158">
        <v>0</v>
      </c>
      <c r="AA3158">
        <v>0</v>
      </c>
      <c r="AB3158">
        <v>1</v>
      </c>
      <c r="AC3158">
        <v>0</v>
      </c>
      <c r="AD3158">
        <v>1</v>
      </c>
      <c r="AE3158">
        <v>1</v>
      </c>
      <c r="AF3158">
        <v>1</v>
      </c>
      <c r="AG3158">
        <v>1</v>
      </c>
      <c r="AH3158">
        <v>1</v>
      </c>
      <c r="AI3158">
        <v>1</v>
      </c>
      <c r="AJ3158">
        <v>1</v>
      </c>
      <c r="AK3158">
        <v>1</v>
      </c>
      <c r="AL3158">
        <v>1</v>
      </c>
      <c r="AM3158">
        <v>1</v>
      </c>
    </row>
    <row r="3159" spans="1:39" x14ac:dyDescent="0.2">
      <c r="A3159" t="str">
        <f>"3155"</f>
        <v>3155</v>
      </c>
      <c r="B3159" t="str">
        <f t="shared" si="174"/>
        <v>1</v>
      </c>
      <c r="C3159" t="str">
        <f t="shared" si="176"/>
        <v>64</v>
      </c>
      <c r="D3159" t="str">
        <f>"18"</f>
        <v>18</v>
      </c>
      <c r="E3159" t="str">
        <f>"1-64-18"</f>
        <v>1-64-18</v>
      </c>
      <c r="F3159" t="s">
        <v>65</v>
      </c>
      <c r="G3159" t="s">
        <v>66</v>
      </c>
      <c r="H3159" t="s">
        <v>67</v>
      </c>
      <c r="S3159">
        <v>0</v>
      </c>
      <c r="T3159">
        <v>1</v>
      </c>
      <c r="U3159">
        <v>0</v>
      </c>
      <c r="V3159">
        <v>0</v>
      </c>
      <c r="W3159">
        <v>0</v>
      </c>
      <c r="X3159">
        <v>1</v>
      </c>
      <c r="Y3159">
        <v>0</v>
      </c>
      <c r="Z3159">
        <v>1</v>
      </c>
      <c r="AA3159">
        <v>0</v>
      </c>
      <c r="AB3159">
        <v>1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</row>
    <row r="3160" spans="1:39" x14ac:dyDescent="0.2">
      <c r="A3160" t="str">
        <f>"3156"</f>
        <v>3156</v>
      </c>
      <c r="B3160" t="str">
        <f t="shared" si="174"/>
        <v>1</v>
      </c>
      <c r="C3160" t="str">
        <f t="shared" si="176"/>
        <v>64</v>
      </c>
      <c r="D3160" t="str">
        <f>"15"</f>
        <v>15</v>
      </c>
      <c r="E3160" t="str">
        <f>"1-64-15"</f>
        <v>1-64-15</v>
      </c>
      <c r="F3160" t="s">
        <v>65</v>
      </c>
      <c r="G3160" t="s">
        <v>66</v>
      </c>
      <c r="H3160" t="s">
        <v>67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1</v>
      </c>
      <c r="Y3160">
        <v>0</v>
      </c>
      <c r="Z3160">
        <v>1</v>
      </c>
      <c r="AA3160">
        <v>0</v>
      </c>
      <c r="AB3160">
        <v>0</v>
      </c>
      <c r="AC3160">
        <v>1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</row>
    <row r="3161" spans="1:39" x14ac:dyDescent="0.2">
      <c r="A3161" t="str">
        <f>"3157"</f>
        <v>3157</v>
      </c>
      <c r="B3161" t="str">
        <f t="shared" si="174"/>
        <v>1</v>
      </c>
      <c r="C3161" t="str">
        <f t="shared" si="176"/>
        <v>64</v>
      </c>
      <c r="D3161" t="str">
        <f>"5"</f>
        <v>5</v>
      </c>
      <c r="E3161" t="str">
        <f>"1-64-5"</f>
        <v>1-64-5</v>
      </c>
      <c r="F3161" t="s">
        <v>65</v>
      </c>
      <c r="G3161" t="s">
        <v>66</v>
      </c>
      <c r="H3161" t="s">
        <v>67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1</v>
      </c>
      <c r="Y3161">
        <v>1</v>
      </c>
      <c r="Z3161">
        <v>0</v>
      </c>
      <c r="AA3161">
        <v>0</v>
      </c>
      <c r="AB3161">
        <v>0</v>
      </c>
      <c r="AC3161">
        <v>1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</row>
    <row r="3162" spans="1:39" x14ac:dyDescent="0.2">
      <c r="A3162" t="str">
        <f>"3158"</f>
        <v>3158</v>
      </c>
      <c r="B3162" t="str">
        <f t="shared" si="174"/>
        <v>1</v>
      </c>
      <c r="C3162" t="str">
        <f t="shared" si="176"/>
        <v>64</v>
      </c>
      <c r="D3162" t="str">
        <f>"37"</f>
        <v>37</v>
      </c>
      <c r="E3162" t="str">
        <f>"1-64-37"</f>
        <v>1-64-37</v>
      </c>
      <c r="F3162" t="s">
        <v>65</v>
      </c>
      <c r="G3162" t="s">
        <v>66</v>
      </c>
      <c r="H3162" t="s">
        <v>67</v>
      </c>
      <c r="S3162">
        <v>0</v>
      </c>
      <c r="T3162">
        <v>1</v>
      </c>
      <c r="U3162">
        <v>0</v>
      </c>
      <c r="V3162">
        <v>0</v>
      </c>
      <c r="W3162">
        <v>1</v>
      </c>
      <c r="X3162">
        <v>0</v>
      </c>
      <c r="Y3162">
        <v>0</v>
      </c>
      <c r="Z3162">
        <v>1</v>
      </c>
      <c r="AA3162">
        <v>0</v>
      </c>
      <c r="AB3162">
        <v>0</v>
      </c>
      <c r="AC3162">
        <v>1</v>
      </c>
      <c r="AD3162">
        <v>1</v>
      </c>
      <c r="AE3162">
        <v>1</v>
      </c>
      <c r="AF3162">
        <v>1</v>
      </c>
      <c r="AG3162">
        <v>1</v>
      </c>
      <c r="AH3162">
        <v>1</v>
      </c>
      <c r="AI3162">
        <v>1</v>
      </c>
      <c r="AJ3162">
        <v>1</v>
      </c>
      <c r="AK3162">
        <v>1</v>
      </c>
      <c r="AL3162">
        <v>1</v>
      </c>
      <c r="AM3162">
        <v>1</v>
      </c>
    </row>
    <row r="3163" spans="1:39" x14ac:dyDescent="0.2">
      <c r="A3163" t="str">
        <f>"3159"</f>
        <v>3159</v>
      </c>
      <c r="B3163" t="str">
        <f t="shared" si="174"/>
        <v>1</v>
      </c>
      <c r="C3163" t="str">
        <f t="shared" si="176"/>
        <v>64</v>
      </c>
      <c r="D3163" t="str">
        <f>"36"</f>
        <v>36</v>
      </c>
      <c r="E3163" t="str">
        <f>"1-64-36"</f>
        <v>1-64-36</v>
      </c>
      <c r="F3163" t="s">
        <v>65</v>
      </c>
      <c r="G3163" t="s">
        <v>66</v>
      </c>
      <c r="H3163" t="s">
        <v>67</v>
      </c>
      <c r="S3163">
        <v>0</v>
      </c>
      <c r="T3163">
        <v>1</v>
      </c>
      <c r="U3163">
        <v>0</v>
      </c>
      <c r="V3163">
        <v>0</v>
      </c>
      <c r="W3163">
        <v>1</v>
      </c>
      <c r="X3163">
        <v>0</v>
      </c>
      <c r="Y3163">
        <v>0</v>
      </c>
      <c r="Z3163">
        <v>1</v>
      </c>
      <c r="AA3163">
        <v>1</v>
      </c>
      <c r="AB3163">
        <v>0</v>
      </c>
      <c r="AC3163">
        <v>0</v>
      </c>
      <c r="AD3163">
        <v>1</v>
      </c>
      <c r="AE3163">
        <v>1</v>
      </c>
      <c r="AF3163">
        <v>1</v>
      </c>
      <c r="AG3163">
        <v>1</v>
      </c>
      <c r="AH3163">
        <v>1</v>
      </c>
      <c r="AI3163">
        <v>1</v>
      </c>
      <c r="AJ3163">
        <v>1</v>
      </c>
      <c r="AK3163">
        <v>1</v>
      </c>
      <c r="AL3163">
        <v>1</v>
      </c>
      <c r="AM3163">
        <v>1</v>
      </c>
    </row>
    <row r="3164" spans="1:39" x14ac:dyDescent="0.2">
      <c r="A3164" t="str">
        <f>"3160"</f>
        <v>3160</v>
      </c>
      <c r="B3164" t="str">
        <f t="shared" si="174"/>
        <v>1</v>
      </c>
      <c r="C3164" t="str">
        <f t="shared" si="176"/>
        <v>64</v>
      </c>
      <c r="D3164" t="str">
        <f>"29"</f>
        <v>29</v>
      </c>
      <c r="E3164" t="str">
        <f>"1-64-29"</f>
        <v>1-64-29</v>
      </c>
      <c r="F3164" t="s">
        <v>65</v>
      </c>
      <c r="G3164" t="s">
        <v>66</v>
      </c>
      <c r="H3164" t="s">
        <v>67</v>
      </c>
      <c r="S3164">
        <v>1</v>
      </c>
      <c r="T3164">
        <v>0</v>
      </c>
      <c r="U3164">
        <v>0</v>
      </c>
      <c r="V3164">
        <v>0</v>
      </c>
      <c r="W3164">
        <v>1</v>
      </c>
      <c r="X3164">
        <v>0</v>
      </c>
      <c r="Y3164">
        <v>1</v>
      </c>
      <c r="Z3164">
        <v>0</v>
      </c>
      <c r="AA3164">
        <v>1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</row>
    <row r="3165" spans="1:39" x14ac:dyDescent="0.2">
      <c r="A3165" t="str">
        <f>"3161"</f>
        <v>3161</v>
      </c>
      <c r="B3165" t="str">
        <f t="shared" si="174"/>
        <v>1</v>
      </c>
      <c r="C3165" t="str">
        <f t="shared" si="176"/>
        <v>64</v>
      </c>
      <c r="D3165" t="str">
        <f>"16"</f>
        <v>16</v>
      </c>
      <c r="E3165" t="str">
        <f>"1-64-16"</f>
        <v>1-64-16</v>
      </c>
      <c r="F3165" t="s">
        <v>65</v>
      </c>
      <c r="G3165" t="s">
        <v>66</v>
      </c>
      <c r="H3165" t="s">
        <v>67</v>
      </c>
      <c r="S3165">
        <v>1</v>
      </c>
      <c r="T3165">
        <v>0</v>
      </c>
      <c r="U3165">
        <v>0</v>
      </c>
      <c r="V3165">
        <v>0</v>
      </c>
      <c r="W3165">
        <v>0</v>
      </c>
      <c r="X3165">
        <v>1</v>
      </c>
      <c r="Y3165">
        <v>0</v>
      </c>
      <c r="Z3165">
        <v>1</v>
      </c>
      <c r="AA3165">
        <v>0</v>
      </c>
      <c r="AB3165">
        <v>0</v>
      </c>
      <c r="AC3165">
        <v>1</v>
      </c>
      <c r="AD3165">
        <v>1</v>
      </c>
      <c r="AE3165">
        <v>1</v>
      </c>
      <c r="AF3165">
        <v>1</v>
      </c>
      <c r="AG3165">
        <v>1</v>
      </c>
      <c r="AH3165">
        <v>1</v>
      </c>
      <c r="AI3165">
        <v>1</v>
      </c>
      <c r="AJ3165">
        <v>1</v>
      </c>
      <c r="AK3165">
        <v>1</v>
      </c>
      <c r="AL3165">
        <v>1</v>
      </c>
      <c r="AM3165">
        <v>1</v>
      </c>
    </row>
    <row r="3166" spans="1:39" x14ac:dyDescent="0.2">
      <c r="A3166" t="str">
        <f>"3162"</f>
        <v>3162</v>
      </c>
      <c r="B3166" t="str">
        <f t="shared" si="174"/>
        <v>1</v>
      </c>
      <c r="C3166" t="str">
        <f t="shared" si="176"/>
        <v>64</v>
      </c>
      <c r="D3166" t="str">
        <f>"4"</f>
        <v>4</v>
      </c>
      <c r="E3166" t="str">
        <f>"1-64-4"</f>
        <v>1-64-4</v>
      </c>
      <c r="F3166" t="s">
        <v>65</v>
      </c>
      <c r="G3166" t="s">
        <v>66</v>
      </c>
      <c r="H3166" t="s">
        <v>67</v>
      </c>
      <c r="S3166">
        <v>1</v>
      </c>
      <c r="T3166">
        <v>0</v>
      </c>
      <c r="U3166">
        <v>0</v>
      </c>
      <c r="V3166">
        <v>0</v>
      </c>
      <c r="W3166">
        <v>1</v>
      </c>
      <c r="X3166">
        <v>0</v>
      </c>
      <c r="Y3166">
        <v>1</v>
      </c>
      <c r="Z3166">
        <v>0</v>
      </c>
      <c r="AA3166">
        <v>0</v>
      </c>
      <c r="AB3166">
        <v>1</v>
      </c>
      <c r="AC3166">
        <v>0</v>
      </c>
      <c r="AD3166">
        <v>1</v>
      </c>
      <c r="AE3166">
        <v>1</v>
      </c>
      <c r="AF3166">
        <v>1</v>
      </c>
      <c r="AG3166">
        <v>1</v>
      </c>
      <c r="AH3166">
        <v>1</v>
      </c>
      <c r="AI3166">
        <v>1</v>
      </c>
      <c r="AJ3166">
        <v>1</v>
      </c>
      <c r="AK3166">
        <v>1</v>
      </c>
      <c r="AL3166">
        <v>1</v>
      </c>
      <c r="AM3166">
        <v>1</v>
      </c>
    </row>
    <row r="3167" spans="1:39" x14ac:dyDescent="0.2">
      <c r="A3167" t="str">
        <f>"3163"</f>
        <v>3163</v>
      </c>
      <c r="B3167" t="str">
        <f t="shared" si="174"/>
        <v>1</v>
      </c>
      <c r="C3167" t="str">
        <f t="shared" si="176"/>
        <v>64</v>
      </c>
      <c r="D3167" t="str">
        <f>"48"</f>
        <v>48</v>
      </c>
      <c r="E3167" t="str">
        <f>"1-64-48"</f>
        <v>1-64-48</v>
      </c>
      <c r="F3167" t="s">
        <v>65</v>
      </c>
      <c r="G3167" t="s">
        <v>66</v>
      </c>
      <c r="H3167" t="s">
        <v>67</v>
      </c>
      <c r="S3167">
        <v>1</v>
      </c>
      <c r="T3167">
        <v>0</v>
      </c>
      <c r="U3167">
        <v>0</v>
      </c>
      <c r="V3167">
        <v>0</v>
      </c>
      <c r="W3167">
        <v>0</v>
      </c>
      <c r="X3167">
        <v>1</v>
      </c>
      <c r="Y3167">
        <v>0</v>
      </c>
      <c r="Z3167">
        <v>1</v>
      </c>
      <c r="AA3167">
        <v>0</v>
      </c>
      <c r="AB3167">
        <v>0</v>
      </c>
      <c r="AC3167">
        <v>1</v>
      </c>
      <c r="AD3167">
        <v>1</v>
      </c>
      <c r="AE3167">
        <v>1</v>
      </c>
      <c r="AF3167">
        <v>1</v>
      </c>
      <c r="AG3167">
        <v>1</v>
      </c>
      <c r="AH3167">
        <v>1</v>
      </c>
      <c r="AI3167">
        <v>1</v>
      </c>
      <c r="AJ3167">
        <v>1</v>
      </c>
      <c r="AK3167">
        <v>1</v>
      </c>
      <c r="AL3167">
        <v>1</v>
      </c>
      <c r="AM3167">
        <v>1</v>
      </c>
    </row>
    <row r="3168" spans="1:39" x14ac:dyDescent="0.2">
      <c r="A3168" t="str">
        <f>"3164"</f>
        <v>3164</v>
      </c>
      <c r="B3168" t="str">
        <f t="shared" si="174"/>
        <v>1</v>
      </c>
      <c r="C3168" t="str">
        <f t="shared" si="176"/>
        <v>64</v>
      </c>
      <c r="D3168" t="str">
        <f>"47"</f>
        <v>47</v>
      </c>
      <c r="E3168" t="str">
        <f>"1-64-47"</f>
        <v>1-64-47</v>
      </c>
      <c r="F3168" t="s">
        <v>65</v>
      </c>
      <c r="G3168" t="s">
        <v>66</v>
      </c>
      <c r="H3168" t="s">
        <v>67</v>
      </c>
      <c r="S3168">
        <v>0</v>
      </c>
      <c r="T3168">
        <v>1</v>
      </c>
      <c r="U3168">
        <v>0</v>
      </c>
      <c r="V3168">
        <v>0</v>
      </c>
      <c r="W3168">
        <v>1</v>
      </c>
      <c r="X3168">
        <v>0</v>
      </c>
      <c r="Y3168">
        <v>1</v>
      </c>
      <c r="Z3168">
        <v>0</v>
      </c>
      <c r="AA3168">
        <v>1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</row>
    <row r="3169" spans="1:39" x14ac:dyDescent="0.2">
      <c r="A3169" t="str">
        <f>"3165"</f>
        <v>3165</v>
      </c>
      <c r="B3169" t="str">
        <f t="shared" si="174"/>
        <v>1</v>
      </c>
      <c r="C3169" t="str">
        <f t="shared" si="176"/>
        <v>64</v>
      </c>
      <c r="D3169" t="str">
        <f>"33"</f>
        <v>33</v>
      </c>
      <c r="E3169" t="str">
        <f>"1-64-33"</f>
        <v>1-64-33</v>
      </c>
      <c r="F3169" t="s">
        <v>65</v>
      </c>
      <c r="G3169" t="s">
        <v>66</v>
      </c>
      <c r="H3169" t="s">
        <v>67</v>
      </c>
      <c r="S3169">
        <v>0</v>
      </c>
      <c r="T3169">
        <v>1</v>
      </c>
      <c r="U3169">
        <v>0</v>
      </c>
      <c r="V3169">
        <v>0</v>
      </c>
      <c r="W3169">
        <v>0</v>
      </c>
      <c r="X3169">
        <v>1</v>
      </c>
      <c r="Y3169">
        <v>0</v>
      </c>
      <c r="Z3169">
        <v>1</v>
      </c>
      <c r="AA3169">
        <v>0</v>
      </c>
      <c r="AB3169">
        <v>0</v>
      </c>
      <c r="AC3169">
        <v>1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</row>
    <row r="3170" spans="1:39" x14ac:dyDescent="0.2">
      <c r="A3170" t="str">
        <f>"3166"</f>
        <v>3166</v>
      </c>
      <c r="B3170" t="str">
        <f t="shared" si="174"/>
        <v>1</v>
      </c>
      <c r="C3170" t="str">
        <f t="shared" si="176"/>
        <v>64</v>
      </c>
      <c r="D3170" t="str">
        <f>"17"</f>
        <v>17</v>
      </c>
      <c r="E3170" t="str">
        <f>"1-64-17"</f>
        <v>1-64-17</v>
      </c>
      <c r="F3170" t="s">
        <v>65</v>
      </c>
      <c r="G3170" t="s">
        <v>66</v>
      </c>
      <c r="H3170" t="s">
        <v>67</v>
      </c>
      <c r="S3170">
        <v>1</v>
      </c>
      <c r="T3170">
        <v>0</v>
      </c>
      <c r="U3170">
        <v>0</v>
      </c>
      <c r="V3170">
        <v>0</v>
      </c>
      <c r="W3170">
        <v>0</v>
      </c>
      <c r="X3170">
        <v>1</v>
      </c>
      <c r="Y3170">
        <v>0</v>
      </c>
      <c r="Z3170">
        <v>1</v>
      </c>
      <c r="AA3170">
        <v>0</v>
      </c>
      <c r="AB3170">
        <v>0</v>
      </c>
      <c r="AC3170">
        <v>1</v>
      </c>
      <c r="AD3170">
        <v>1</v>
      </c>
      <c r="AE3170">
        <v>1</v>
      </c>
      <c r="AF3170">
        <v>1</v>
      </c>
      <c r="AG3170">
        <v>1</v>
      </c>
      <c r="AH3170">
        <v>1</v>
      </c>
      <c r="AI3170">
        <v>1</v>
      </c>
      <c r="AJ3170">
        <v>1</v>
      </c>
      <c r="AK3170">
        <v>1</v>
      </c>
      <c r="AL3170">
        <v>1</v>
      </c>
      <c r="AM3170">
        <v>1</v>
      </c>
    </row>
    <row r="3171" spans="1:39" x14ac:dyDescent="0.2">
      <c r="A3171" t="str">
        <f>"3167"</f>
        <v>3167</v>
      </c>
      <c r="B3171" t="str">
        <f t="shared" si="174"/>
        <v>1</v>
      </c>
      <c r="C3171" t="str">
        <f t="shared" si="176"/>
        <v>64</v>
      </c>
      <c r="D3171" t="str">
        <f>"1"</f>
        <v>1</v>
      </c>
      <c r="E3171" t="str">
        <f>"1-64-1"</f>
        <v>1-64-1</v>
      </c>
      <c r="F3171" t="s">
        <v>65</v>
      </c>
      <c r="G3171" t="s">
        <v>66</v>
      </c>
      <c r="H3171" t="s">
        <v>67</v>
      </c>
      <c r="S3171">
        <v>1</v>
      </c>
      <c r="T3171">
        <v>0</v>
      </c>
      <c r="U3171">
        <v>0</v>
      </c>
      <c r="V3171">
        <v>0</v>
      </c>
      <c r="W3171">
        <v>1</v>
      </c>
      <c r="X3171">
        <v>0</v>
      </c>
      <c r="Y3171">
        <v>0</v>
      </c>
      <c r="Z3171">
        <v>0</v>
      </c>
      <c r="AA3171">
        <v>0</v>
      </c>
      <c r="AB3171">
        <v>1</v>
      </c>
      <c r="AC3171">
        <v>0</v>
      </c>
      <c r="AD3171">
        <v>1</v>
      </c>
      <c r="AE3171">
        <v>1</v>
      </c>
      <c r="AF3171">
        <v>1</v>
      </c>
      <c r="AG3171">
        <v>1</v>
      </c>
      <c r="AH3171">
        <v>1</v>
      </c>
      <c r="AI3171">
        <v>1</v>
      </c>
      <c r="AJ3171">
        <v>1</v>
      </c>
      <c r="AK3171">
        <v>1</v>
      </c>
      <c r="AL3171">
        <v>1</v>
      </c>
      <c r="AM3171">
        <v>1</v>
      </c>
    </row>
    <row r="3172" spans="1:39" x14ac:dyDescent="0.2">
      <c r="A3172" t="str">
        <f>"3168"</f>
        <v>3168</v>
      </c>
      <c r="B3172" t="str">
        <f t="shared" si="174"/>
        <v>1</v>
      </c>
      <c r="C3172" t="str">
        <f t="shared" si="176"/>
        <v>64</v>
      </c>
      <c r="D3172" t="str">
        <f>"40"</f>
        <v>40</v>
      </c>
      <c r="E3172" t="str">
        <f>"1-64-40"</f>
        <v>1-64-40</v>
      </c>
      <c r="F3172" t="s">
        <v>65</v>
      </c>
      <c r="G3172" t="s">
        <v>66</v>
      </c>
      <c r="H3172" t="s">
        <v>67</v>
      </c>
      <c r="S3172">
        <v>0</v>
      </c>
      <c r="T3172">
        <v>1</v>
      </c>
      <c r="U3172">
        <v>0</v>
      </c>
      <c r="V3172">
        <v>0</v>
      </c>
      <c r="W3172">
        <v>0</v>
      </c>
      <c r="X3172">
        <v>1</v>
      </c>
      <c r="Y3172">
        <v>0</v>
      </c>
      <c r="Z3172">
        <v>1</v>
      </c>
      <c r="AA3172">
        <v>0</v>
      </c>
      <c r="AB3172">
        <v>0</v>
      </c>
      <c r="AC3172">
        <v>1</v>
      </c>
      <c r="AD3172">
        <v>1</v>
      </c>
      <c r="AE3172">
        <v>1</v>
      </c>
      <c r="AF3172">
        <v>1</v>
      </c>
      <c r="AG3172">
        <v>1</v>
      </c>
      <c r="AH3172">
        <v>1</v>
      </c>
      <c r="AI3172">
        <v>1</v>
      </c>
      <c r="AJ3172">
        <v>1</v>
      </c>
      <c r="AK3172">
        <v>1</v>
      </c>
      <c r="AL3172">
        <v>1</v>
      </c>
      <c r="AM3172">
        <v>1</v>
      </c>
    </row>
    <row r="3173" spans="1:39" x14ac:dyDescent="0.2">
      <c r="A3173" t="str">
        <f>"3169"</f>
        <v>3169</v>
      </c>
      <c r="B3173" t="str">
        <f t="shared" si="174"/>
        <v>1</v>
      </c>
      <c r="C3173" t="str">
        <f t="shared" si="176"/>
        <v>64</v>
      </c>
      <c r="D3173" t="str">
        <f>"19"</f>
        <v>19</v>
      </c>
      <c r="E3173" t="str">
        <f>"1-64-19"</f>
        <v>1-64-19</v>
      </c>
      <c r="F3173" t="s">
        <v>65</v>
      </c>
      <c r="G3173" t="s">
        <v>66</v>
      </c>
      <c r="H3173" t="s">
        <v>67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</row>
    <row r="3174" spans="1:39" x14ac:dyDescent="0.2">
      <c r="A3174" t="str">
        <f>"3170"</f>
        <v>3170</v>
      </c>
      <c r="B3174" t="str">
        <f t="shared" si="174"/>
        <v>1</v>
      </c>
      <c r="C3174" t="str">
        <f t="shared" si="176"/>
        <v>64</v>
      </c>
      <c r="D3174" t="str">
        <f>"2"</f>
        <v>2</v>
      </c>
      <c r="E3174" t="str">
        <f>"1-64-2"</f>
        <v>1-64-2</v>
      </c>
      <c r="F3174" t="s">
        <v>65</v>
      </c>
      <c r="G3174" t="s">
        <v>66</v>
      </c>
      <c r="H3174" t="s">
        <v>68</v>
      </c>
      <c r="I3174">
        <v>1</v>
      </c>
      <c r="J3174">
        <v>0</v>
      </c>
      <c r="K3174">
        <v>0</v>
      </c>
      <c r="L3174">
        <v>1</v>
      </c>
      <c r="M3174">
        <v>1</v>
      </c>
      <c r="N3174">
        <v>0</v>
      </c>
      <c r="O3174">
        <v>0</v>
      </c>
      <c r="P3174">
        <v>1</v>
      </c>
      <c r="Q3174">
        <v>0</v>
      </c>
      <c r="R3174">
        <v>0</v>
      </c>
    </row>
    <row r="3175" spans="1:39" x14ac:dyDescent="0.2">
      <c r="A3175" t="str">
        <f>"3171"</f>
        <v>3171</v>
      </c>
      <c r="B3175" t="str">
        <f t="shared" si="174"/>
        <v>1</v>
      </c>
      <c r="C3175" t="str">
        <f t="shared" si="176"/>
        <v>64</v>
      </c>
      <c r="D3175" t="str">
        <f>"38"</f>
        <v>38</v>
      </c>
      <c r="E3175" t="str">
        <f>"1-64-38"</f>
        <v>1-64-38</v>
      </c>
      <c r="F3175" t="s">
        <v>65</v>
      </c>
      <c r="G3175" t="s">
        <v>66</v>
      </c>
      <c r="H3175" t="s">
        <v>67</v>
      </c>
      <c r="S3175">
        <v>0</v>
      </c>
      <c r="T3175">
        <v>1</v>
      </c>
      <c r="U3175">
        <v>0</v>
      </c>
      <c r="V3175">
        <v>0</v>
      </c>
      <c r="W3175">
        <v>0</v>
      </c>
      <c r="X3175">
        <v>1</v>
      </c>
      <c r="Y3175">
        <v>0</v>
      </c>
      <c r="Z3175">
        <v>1</v>
      </c>
      <c r="AA3175">
        <v>0</v>
      </c>
      <c r="AB3175">
        <v>1</v>
      </c>
      <c r="AC3175">
        <v>0</v>
      </c>
      <c r="AD3175">
        <v>1</v>
      </c>
      <c r="AE3175">
        <v>1</v>
      </c>
      <c r="AF3175">
        <v>1</v>
      </c>
      <c r="AG3175">
        <v>1</v>
      </c>
      <c r="AH3175">
        <v>1</v>
      </c>
      <c r="AI3175">
        <v>1</v>
      </c>
      <c r="AJ3175">
        <v>1</v>
      </c>
      <c r="AK3175">
        <v>1</v>
      </c>
      <c r="AL3175">
        <v>1</v>
      </c>
      <c r="AM3175">
        <v>1</v>
      </c>
    </row>
    <row r="3176" spans="1:39" x14ac:dyDescent="0.2">
      <c r="A3176" t="str">
        <f>"3172"</f>
        <v>3172</v>
      </c>
      <c r="B3176" t="str">
        <f t="shared" si="174"/>
        <v>1</v>
      </c>
      <c r="C3176" t="str">
        <f t="shared" si="176"/>
        <v>64</v>
      </c>
      <c r="D3176" t="str">
        <f>"20"</f>
        <v>20</v>
      </c>
      <c r="E3176" t="str">
        <f>"1-64-20"</f>
        <v>1-64-20</v>
      </c>
      <c r="F3176" t="s">
        <v>65</v>
      </c>
      <c r="G3176" t="s">
        <v>66</v>
      </c>
      <c r="H3176" t="s">
        <v>67</v>
      </c>
      <c r="S3176">
        <v>1</v>
      </c>
      <c r="T3176">
        <v>0</v>
      </c>
      <c r="U3176">
        <v>0</v>
      </c>
      <c r="V3176">
        <v>0</v>
      </c>
      <c r="W3176">
        <v>1</v>
      </c>
      <c r="X3176">
        <v>0</v>
      </c>
      <c r="Y3176">
        <v>1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1</v>
      </c>
      <c r="AF3176">
        <v>1</v>
      </c>
      <c r="AG3176">
        <v>1</v>
      </c>
      <c r="AH3176">
        <v>1</v>
      </c>
      <c r="AI3176">
        <v>1</v>
      </c>
      <c r="AJ3176">
        <v>1</v>
      </c>
      <c r="AK3176">
        <v>1</v>
      </c>
      <c r="AL3176">
        <v>1</v>
      </c>
      <c r="AM3176">
        <v>1</v>
      </c>
    </row>
    <row r="3177" spans="1:39" x14ac:dyDescent="0.2">
      <c r="A3177" t="str">
        <f>"3173"</f>
        <v>3173</v>
      </c>
      <c r="B3177" t="str">
        <f t="shared" si="174"/>
        <v>1</v>
      </c>
      <c r="C3177" t="str">
        <f t="shared" si="176"/>
        <v>64</v>
      </c>
      <c r="D3177" t="str">
        <f>"8"</f>
        <v>8</v>
      </c>
      <c r="E3177" t="str">
        <f>"1-64-8"</f>
        <v>1-64-8</v>
      </c>
      <c r="F3177" t="s">
        <v>65</v>
      </c>
      <c r="G3177" t="s">
        <v>66</v>
      </c>
      <c r="H3177" t="s">
        <v>67</v>
      </c>
      <c r="S3177">
        <v>0</v>
      </c>
      <c r="T3177">
        <v>0</v>
      </c>
      <c r="U3177">
        <v>0</v>
      </c>
      <c r="V3177">
        <v>0</v>
      </c>
      <c r="W3177">
        <v>1</v>
      </c>
      <c r="X3177">
        <v>0</v>
      </c>
      <c r="Y3177">
        <v>1</v>
      </c>
      <c r="Z3177">
        <v>0</v>
      </c>
      <c r="AA3177">
        <v>1</v>
      </c>
      <c r="AB3177">
        <v>0</v>
      </c>
      <c r="AC3177">
        <v>0</v>
      </c>
      <c r="AD3177">
        <v>0</v>
      </c>
      <c r="AE3177">
        <v>1</v>
      </c>
      <c r="AF3177">
        <v>0</v>
      </c>
      <c r="AG3177">
        <v>1</v>
      </c>
      <c r="AH3177">
        <v>1</v>
      </c>
      <c r="AI3177">
        <v>1</v>
      </c>
      <c r="AJ3177">
        <v>0</v>
      </c>
      <c r="AK3177">
        <v>1</v>
      </c>
      <c r="AL3177">
        <v>1</v>
      </c>
      <c r="AM3177">
        <v>1</v>
      </c>
    </row>
    <row r="3178" spans="1:39" x14ac:dyDescent="0.2">
      <c r="A3178" t="str">
        <f>"3174"</f>
        <v>3174</v>
      </c>
      <c r="B3178" t="str">
        <f t="shared" si="174"/>
        <v>1</v>
      </c>
      <c r="C3178" t="str">
        <f t="shared" si="176"/>
        <v>64</v>
      </c>
      <c r="D3178" t="str">
        <f>"35"</f>
        <v>35</v>
      </c>
      <c r="E3178" t="str">
        <f>"1-64-35"</f>
        <v>1-64-35</v>
      </c>
      <c r="F3178" t="s">
        <v>65</v>
      </c>
      <c r="G3178" t="s">
        <v>66</v>
      </c>
      <c r="H3178" t="s">
        <v>67</v>
      </c>
      <c r="S3178">
        <v>1</v>
      </c>
      <c r="T3178">
        <v>0</v>
      </c>
      <c r="U3178">
        <v>0</v>
      </c>
      <c r="V3178">
        <v>0</v>
      </c>
      <c r="W3178">
        <v>1</v>
      </c>
      <c r="X3178">
        <v>0</v>
      </c>
      <c r="Y3178">
        <v>1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1</v>
      </c>
      <c r="AF3178">
        <v>1</v>
      </c>
      <c r="AG3178">
        <v>1</v>
      </c>
      <c r="AH3178">
        <v>1</v>
      </c>
      <c r="AI3178">
        <v>1</v>
      </c>
      <c r="AJ3178">
        <v>1</v>
      </c>
      <c r="AK3178">
        <v>1</v>
      </c>
      <c r="AL3178">
        <v>1</v>
      </c>
      <c r="AM3178">
        <v>1</v>
      </c>
    </row>
    <row r="3179" spans="1:39" x14ac:dyDescent="0.2">
      <c r="A3179" t="str">
        <f>"3175"</f>
        <v>3175</v>
      </c>
      <c r="B3179" t="str">
        <f t="shared" si="174"/>
        <v>1</v>
      </c>
      <c r="C3179" t="str">
        <f t="shared" si="176"/>
        <v>64</v>
      </c>
      <c r="D3179" t="str">
        <f>"21"</f>
        <v>21</v>
      </c>
      <c r="E3179" t="str">
        <f>"1-64-21"</f>
        <v>1-64-21</v>
      </c>
      <c r="F3179" t="s">
        <v>65</v>
      </c>
      <c r="G3179" t="s">
        <v>66</v>
      </c>
      <c r="H3179" t="s">
        <v>67</v>
      </c>
      <c r="S3179">
        <v>1</v>
      </c>
      <c r="T3179">
        <v>0</v>
      </c>
      <c r="U3179">
        <v>0</v>
      </c>
      <c r="V3179">
        <v>0</v>
      </c>
      <c r="W3179">
        <v>1</v>
      </c>
      <c r="X3179">
        <v>0</v>
      </c>
      <c r="Y3179">
        <v>1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1</v>
      </c>
      <c r="AF3179">
        <v>1</v>
      </c>
      <c r="AG3179">
        <v>1</v>
      </c>
      <c r="AH3179">
        <v>1</v>
      </c>
      <c r="AI3179">
        <v>1</v>
      </c>
      <c r="AJ3179">
        <v>1</v>
      </c>
      <c r="AK3179">
        <v>1</v>
      </c>
      <c r="AL3179">
        <v>1</v>
      </c>
      <c r="AM3179">
        <v>1</v>
      </c>
    </row>
    <row r="3180" spans="1:39" x14ac:dyDescent="0.2">
      <c r="A3180" t="str">
        <f>"3176"</f>
        <v>3176</v>
      </c>
      <c r="B3180" t="str">
        <f t="shared" si="174"/>
        <v>1</v>
      </c>
      <c r="C3180" t="str">
        <f t="shared" si="176"/>
        <v>64</v>
      </c>
      <c r="D3180" t="str">
        <f>"12"</f>
        <v>12</v>
      </c>
      <c r="E3180" t="str">
        <f>"1-64-12"</f>
        <v>1-64-12</v>
      </c>
      <c r="F3180" t="s">
        <v>65</v>
      </c>
      <c r="G3180" t="s">
        <v>66</v>
      </c>
      <c r="H3180" t="s">
        <v>67</v>
      </c>
      <c r="S3180">
        <v>0</v>
      </c>
      <c r="T3180">
        <v>1</v>
      </c>
      <c r="U3180">
        <v>0</v>
      </c>
      <c r="V3180">
        <v>0</v>
      </c>
      <c r="W3180">
        <v>0</v>
      </c>
      <c r="X3180">
        <v>1</v>
      </c>
      <c r="Y3180">
        <v>0</v>
      </c>
      <c r="Z3180">
        <v>1</v>
      </c>
      <c r="AA3180">
        <v>0</v>
      </c>
      <c r="AB3180">
        <v>0</v>
      </c>
      <c r="AC3180">
        <v>1</v>
      </c>
      <c r="AD3180">
        <v>1</v>
      </c>
      <c r="AE3180">
        <v>1</v>
      </c>
      <c r="AF3180">
        <v>1</v>
      </c>
      <c r="AG3180">
        <v>1</v>
      </c>
      <c r="AH3180">
        <v>1</v>
      </c>
      <c r="AI3180">
        <v>1</v>
      </c>
      <c r="AJ3180">
        <v>1</v>
      </c>
      <c r="AK3180">
        <v>1</v>
      </c>
      <c r="AL3180">
        <v>1</v>
      </c>
      <c r="AM3180">
        <v>1</v>
      </c>
    </row>
    <row r="3181" spans="1:39" x14ac:dyDescent="0.2">
      <c r="A3181" t="str">
        <f>"3177"</f>
        <v>3177</v>
      </c>
      <c r="B3181" t="str">
        <f t="shared" si="174"/>
        <v>1</v>
      </c>
      <c r="C3181" t="str">
        <f t="shared" si="176"/>
        <v>64</v>
      </c>
      <c r="D3181" t="str">
        <f>"34"</f>
        <v>34</v>
      </c>
      <c r="E3181" t="str">
        <f>"1-64-34"</f>
        <v>1-64-34</v>
      </c>
      <c r="F3181" t="s">
        <v>65</v>
      </c>
      <c r="G3181" t="s">
        <v>66</v>
      </c>
      <c r="H3181" t="s">
        <v>67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</row>
    <row r="3182" spans="1:39" x14ac:dyDescent="0.2">
      <c r="A3182" t="str">
        <f>"3178"</f>
        <v>3178</v>
      </c>
      <c r="B3182" t="str">
        <f t="shared" si="174"/>
        <v>1</v>
      </c>
      <c r="C3182" t="str">
        <f t="shared" si="176"/>
        <v>64</v>
      </c>
      <c r="D3182" t="str">
        <f>"22"</f>
        <v>22</v>
      </c>
      <c r="E3182" t="str">
        <f>"1-64-22"</f>
        <v>1-64-22</v>
      </c>
      <c r="F3182" t="s">
        <v>65</v>
      </c>
      <c r="G3182" t="s">
        <v>66</v>
      </c>
      <c r="H3182" t="s">
        <v>67</v>
      </c>
      <c r="S3182">
        <v>0</v>
      </c>
      <c r="T3182">
        <v>1</v>
      </c>
      <c r="U3182">
        <v>0</v>
      </c>
      <c r="V3182">
        <v>0</v>
      </c>
      <c r="W3182">
        <v>1</v>
      </c>
      <c r="X3182">
        <v>0</v>
      </c>
      <c r="Y3182">
        <v>0</v>
      </c>
      <c r="Z3182">
        <v>1</v>
      </c>
      <c r="AA3182">
        <v>0</v>
      </c>
      <c r="AB3182">
        <v>1</v>
      </c>
      <c r="AC3182">
        <v>0</v>
      </c>
      <c r="AD3182">
        <v>1</v>
      </c>
      <c r="AE3182">
        <v>1</v>
      </c>
      <c r="AF3182">
        <v>1</v>
      </c>
      <c r="AG3182">
        <v>1</v>
      </c>
      <c r="AH3182">
        <v>1</v>
      </c>
      <c r="AI3182">
        <v>1</v>
      </c>
      <c r="AJ3182">
        <v>1</v>
      </c>
      <c r="AK3182">
        <v>1</v>
      </c>
      <c r="AL3182">
        <v>1</v>
      </c>
      <c r="AM3182">
        <v>1</v>
      </c>
    </row>
    <row r="3183" spans="1:39" x14ac:dyDescent="0.2">
      <c r="A3183" t="str">
        <f>"3179"</f>
        <v>3179</v>
      </c>
      <c r="B3183" t="str">
        <f t="shared" si="174"/>
        <v>1</v>
      </c>
      <c r="C3183" t="str">
        <f t="shared" si="176"/>
        <v>64</v>
      </c>
      <c r="D3183" t="str">
        <f>"14"</f>
        <v>14</v>
      </c>
      <c r="E3183" t="str">
        <f>"1-64-14"</f>
        <v>1-64-14</v>
      </c>
      <c r="F3183" t="s">
        <v>65</v>
      </c>
      <c r="G3183" t="s">
        <v>66</v>
      </c>
      <c r="H3183" t="s">
        <v>67</v>
      </c>
      <c r="S3183">
        <v>0</v>
      </c>
      <c r="T3183">
        <v>1</v>
      </c>
      <c r="U3183">
        <v>0</v>
      </c>
      <c r="V3183">
        <v>0</v>
      </c>
      <c r="W3183">
        <v>1</v>
      </c>
      <c r="X3183">
        <v>0</v>
      </c>
      <c r="Y3183">
        <v>1</v>
      </c>
      <c r="Z3183">
        <v>0</v>
      </c>
      <c r="AA3183">
        <v>0</v>
      </c>
      <c r="AB3183">
        <v>0</v>
      </c>
      <c r="AC3183">
        <v>1</v>
      </c>
      <c r="AD3183">
        <v>1</v>
      </c>
      <c r="AE3183">
        <v>1</v>
      </c>
      <c r="AF3183">
        <v>1</v>
      </c>
      <c r="AG3183">
        <v>1</v>
      </c>
      <c r="AH3183">
        <v>1</v>
      </c>
      <c r="AI3183">
        <v>1</v>
      </c>
      <c r="AJ3183">
        <v>1</v>
      </c>
      <c r="AK3183">
        <v>1</v>
      </c>
      <c r="AL3183">
        <v>1</v>
      </c>
      <c r="AM3183">
        <v>1</v>
      </c>
    </row>
    <row r="3184" spans="1:39" x14ac:dyDescent="0.2">
      <c r="A3184" t="str">
        <f>"3180"</f>
        <v>3180</v>
      </c>
      <c r="B3184" t="str">
        <f t="shared" si="174"/>
        <v>1</v>
      </c>
      <c r="C3184" t="str">
        <f t="shared" si="176"/>
        <v>64</v>
      </c>
      <c r="D3184" t="str">
        <f>"39"</f>
        <v>39</v>
      </c>
      <c r="E3184" t="str">
        <f>"1-64-39"</f>
        <v>1-64-39</v>
      </c>
      <c r="F3184" t="s">
        <v>65</v>
      </c>
      <c r="G3184" t="s">
        <v>66</v>
      </c>
      <c r="H3184" t="s">
        <v>67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1</v>
      </c>
      <c r="AM3184">
        <v>0</v>
      </c>
    </row>
    <row r="3185" spans="1:39" x14ac:dyDescent="0.2">
      <c r="A3185" t="str">
        <f>"3181"</f>
        <v>3181</v>
      </c>
      <c r="B3185" t="str">
        <f t="shared" si="174"/>
        <v>1</v>
      </c>
      <c r="C3185" t="str">
        <f t="shared" si="176"/>
        <v>64</v>
      </c>
      <c r="D3185" t="str">
        <f>"23"</f>
        <v>23</v>
      </c>
      <c r="E3185" t="str">
        <f>"1-64-23"</f>
        <v>1-64-23</v>
      </c>
      <c r="F3185" t="s">
        <v>65</v>
      </c>
      <c r="G3185" t="s">
        <v>66</v>
      </c>
      <c r="H3185" t="s">
        <v>67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</row>
    <row r="3186" spans="1:39" x14ac:dyDescent="0.2">
      <c r="A3186" t="str">
        <f>"3182"</f>
        <v>3182</v>
      </c>
      <c r="B3186" t="str">
        <f t="shared" si="174"/>
        <v>1</v>
      </c>
      <c r="C3186" t="str">
        <f t="shared" si="176"/>
        <v>64</v>
      </c>
      <c r="D3186" t="str">
        <f>"3"</f>
        <v>3</v>
      </c>
      <c r="E3186" t="str">
        <f>"1-64-3"</f>
        <v>1-64-3</v>
      </c>
      <c r="F3186" t="s">
        <v>65</v>
      </c>
      <c r="G3186" t="s">
        <v>66</v>
      </c>
      <c r="H3186" t="s">
        <v>68</v>
      </c>
      <c r="I3186">
        <v>1</v>
      </c>
      <c r="J3186">
        <v>0</v>
      </c>
      <c r="K3186">
        <v>0</v>
      </c>
      <c r="L3186">
        <v>0</v>
      </c>
      <c r="M3186">
        <v>1</v>
      </c>
      <c r="N3186">
        <v>1</v>
      </c>
      <c r="O3186">
        <v>1</v>
      </c>
      <c r="P3186">
        <v>1</v>
      </c>
      <c r="Q3186">
        <v>1</v>
      </c>
      <c r="R3186">
        <v>1</v>
      </c>
    </row>
    <row r="3187" spans="1:39" x14ac:dyDescent="0.2">
      <c r="A3187" t="str">
        <f>"3183"</f>
        <v>3183</v>
      </c>
      <c r="B3187" t="str">
        <f t="shared" si="174"/>
        <v>1</v>
      </c>
      <c r="C3187" t="str">
        <f t="shared" ref="C3187:C3204" si="177">"64"</f>
        <v>64</v>
      </c>
      <c r="D3187" t="str">
        <f>"43"</f>
        <v>43</v>
      </c>
      <c r="E3187" t="str">
        <f>"1-64-43"</f>
        <v>1-64-43</v>
      </c>
      <c r="F3187" t="s">
        <v>65</v>
      </c>
      <c r="G3187" t="s">
        <v>66</v>
      </c>
      <c r="H3187" t="s">
        <v>67</v>
      </c>
      <c r="S3187">
        <v>0</v>
      </c>
      <c r="T3187">
        <v>1</v>
      </c>
      <c r="U3187">
        <v>0</v>
      </c>
      <c r="V3187">
        <v>0</v>
      </c>
      <c r="W3187">
        <v>0</v>
      </c>
      <c r="X3187">
        <v>1</v>
      </c>
      <c r="Y3187">
        <v>0</v>
      </c>
      <c r="Z3187">
        <v>1</v>
      </c>
      <c r="AA3187">
        <v>0</v>
      </c>
      <c r="AB3187">
        <v>0</v>
      </c>
      <c r="AC3187">
        <v>1</v>
      </c>
      <c r="AD3187">
        <v>0</v>
      </c>
      <c r="AE3187">
        <v>0</v>
      </c>
      <c r="AF3187">
        <v>0</v>
      </c>
      <c r="AG3187">
        <v>0</v>
      </c>
      <c r="AH3187">
        <v>1</v>
      </c>
      <c r="AI3187">
        <v>0</v>
      </c>
      <c r="AJ3187">
        <v>0</v>
      </c>
      <c r="AK3187">
        <v>0</v>
      </c>
      <c r="AL3187">
        <v>0</v>
      </c>
      <c r="AM3187">
        <v>0</v>
      </c>
    </row>
    <row r="3188" spans="1:39" x14ac:dyDescent="0.2">
      <c r="A3188" t="str">
        <f>"3184"</f>
        <v>3184</v>
      </c>
      <c r="B3188" t="str">
        <f t="shared" si="174"/>
        <v>1</v>
      </c>
      <c r="C3188" t="str">
        <f t="shared" si="177"/>
        <v>64</v>
      </c>
      <c r="D3188" t="str">
        <f>"24"</f>
        <v>24</v>
      </c>
      <c r="E3188" t="str">
        <f>"1-64-24"</f>
        <v>1-64-24</v>
      </c>
      <c r="F3188" t="s">
        <v>65</v>
      </c>
      <c r="G3188" t="s">
        <v>66</v>
      </c>
      <c r="H3188" t="s">
        <v>67</v>
      </c>
      <c r="S3188">
        <v>0</v>
      </c>
      <c r="T3188">
        <v>1</v>
      </c>
      <c r="U3188">
        <v>0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0</v>
      </c>
      <c r="AB3188">
        <v>0</v>
      </c>
      <c r="AC3188">
        <v>1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</row>
    <row r="3189" spans="1:39" x14ac:dyDescent="0.2">
      <c r="A3189" t="str">
        <f>"3185"</f>
        <v>3185</v>
      </c>
      <c r="B3189" t="str">
        <f t="shared" si="174"/>
        <v>1</v>
      </c>
      <c r="C3189" t="str">
        <f t="shared" si="177"/>
        <v>64</v>
      </c>
      <c r="D3189" t="str">
        <f>"11"</f>
        <v>11</v>
      </c>
      <c r="E3189" t="str">
        <f>"1-64-11"</f>
        <v>1-64-11</v>
      </c>
      <c r="F3189" t="s">
        <v>65</v>
      </c>
      <c r="G3189" t="s">
        <v>66</v>
      </c>
      <c r="H3189" t="s">
        <v>67</v>
      </c>
      <c r="S3189">
        <v>0</v>
      </c>
      <c r="T3189">
        <v>1</v>
      </c>
      <c r="U3189">
        <v>0</v>
      </c>
      <c r="V3189">
        <v>0</v>
      </c>
      <c r="W3189">
        <v>0</v>
      </c>
      <c r="X3189">
        <v>1</v>
      </c>
      <c r="Y3189">
        <v>0</v>
      </c>
      <c r="Z3189">
        <v>1</v>
      </c>
      <c r="AA3189">
        <v>0</v>
      </c>
      <c r="AB3189">
        <v>0</v>
      </c>
      <c r="AC3189">
        <v>1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1</v>
      </c>
      <c r="AJ3189">
        <v>0</v>
      </c>
      <c r="AK3189">
        <v>0</v>
      </c>
      <c r="AL3189">
        <v>0</v>
      </c>
      <c r="AM3189">
        <v>0</v>
      </c>
    </row>
    <row r="3190" spans="1:39" x14ac:dyDescent="0.2">
      <c r="A3190" t="str">
        <f>"3186"</f>
        <v>3186</v>
      </c>
      <c r="B3190" t="str">
        <f t="shared" si="174"/>
        <v>1</v>
      </c>
      <c r="C3190" t="str">
        <f t="shared" si="177"/>
        <v>64</v>
      </c>
      <c r="D3190" t="str">
        <f>"27"</f>
        <v>27</v>
      </c>
      <c r="E3190" t="str">
        <f>"1-64-27"</f>
        <v>1-64-27</v>
      </c>
      <c r="F3190" t="s">
        <v>65</v>
      </c>
      <c r="G3190" t="s">
        <v>66</v>
      </c>
      <c r="H3190" t="s">
        <v>67</v>
      </c>
      <c r="S3190">
        <v>0</v>
      </c>
      <c r="T3190">
        <v>1</v>
      </c>
      <c r="U3190">
        <v>0</v>
      </c>
      <c r="V3190">
        <v>0</v>
      </c>
      <c r="W3190">
        <v>0</v>
      </c>
      <c r="X3190">
        <v>1</v>
      </c>
      <c r="Y3190">
        <v>0</v>
      </c>
      <c r="Z3190">
        <v>1</v>
      </c>
      <c r="AA3190">
        <v>0</v>
      </c>
      <c r="AB3190">
        <v>1</v>
      </c>
      <c r="AC3190">
        <v>0</v>
      </c>
      <c r="AD3190">
        <v>1</v>
      </c>
      <c r="AE3190">
        <v>1</v>
      </c>
      <c r="AF3190">
        <v>1</v>
      </c>
      <c r="AG3190">
        <v>0</v>
      </c>
      <c r="AH3190">
        <v>0</v>
      </c>
      <c r="AI3190">
        <v>1</v>
      </c>
      <c r="AJ3190">
        <v>1</v>
      </c>
      <c r="AK3190">
        <v>0</v>
      </c>
      <c r="AL3190">
        <v>1</v>
      </c>
      <c r="AM3190">
        <v>1</v>
      </c>
    </row>
    <row r="3191" spans="1:39" x14ac:dyDescent="0.2">
      <c r="A3191" t="str">
        <f>"3187"</f>
        <v>3187</v>
      </c>
      <c r="B3191" t="str">
        <f t="shared" ref="B3191:B3254" si="178">"1"</f>
        <v>1</v>
      </c>
      <c r="C3191" t="str">
        <f t="shared" si="177"/>
        <v>64</v>
      </c>
      <c r="D3191" t="str">
        <f>"10"</f>
        <v>10</v>
      </c>
      <c r="E3191" t="str">
        <f>"1-64-10"</f>
        <v>1-64-10</v>
      </c>
      <c r="F3191" t="s">
        <v>65</v>
      </c>
      <c r="G3191" t="s">
        <v>66</v>
      </c>
      <c r="H3191" t="s">
        <v>67</v>
      </c>
      <c r="S3191">
        <v>1</v>
      </c>
      <c r="T3191">
        <v>0</v>
      </c>
      <c r="U3191">
        <v>0</v>
      </c>
      <c r="V3191">
        <v>0</v>
      </c>
      <c r="W3191">
        <v>0</v>
      </c>
      <c r="X3191">
        <v>1</v>
      </c>
      <c r="Y3191">
        <v>1</v>
      </c>
      <c r="Z3191">
        <v>0</v>
      </c>
      <c r="AA3191">
        <v>0</v>
      </c>
      <c r="AB3191">
        <v>1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</row>
    <row r="3192" spans="1:39" x14ac:dyDescent="0.2">
      <c r="A3192" t="str">
        <f>"3188"</f>
        <v>3188</v>
      </c>
      <c r="B3192" t="str">
        <f t="shared" si="178"/>
        <v>1</v>
      </c>
      <c r="C3192" t="str">
        <f t="shared" si="177"/>
        <v>64</v>
      </c>
      <c r="D3192" t="str">
        <f>"44"</f>
        <v>44</v>
      </c>
      <c r="E3192" t="str">
        <f>"1-64-44"</f>
        <v>1-64-44</v>
      </c>
      <c r="F3192" t="s">
        <v>65</v>
      </c>
      <c r="G3192" t="s">
        <v>66</v>
      </c>
      <c r="H3192" t="s">
        <v>67</v>
      </c>
      <c r="S3192">
        <v>1</v>
      </c>
      <c r="T3192">
        <v>0</v>
      </c>
      <c r="U3192">
        <v>0</v>
      </c>
      <c r="V3192">
        <v>0</v>
      </c>
      <c r="W3192">
        <v>1</v>
      </c>
      <c r="X3192">
        <v>0</v>
      </c>
      <c r="Y3192">
        <v>1</v>
      </c>
      <c r="Z3192">
        <v>0</v>
      </c>
      <c r="AA3192">
        <v>0</v>
      </c>
      <c r="AB3192">
        <v>1</v>
      </c>
      <c r="AC3192">
        <v>0</v>
      </c>
      <c r="AD3192">
        <v>1</v>
      </c>
      <c r="AE3192">
        <v>1</v>
      </c>
      <c r="AF3192">
        <v>0</v>
      </c>
      <c r="AG3192">
        <v>0</v>
      </c>
      <c r="AH3192">
        <v>0</v>
      </c>
      <c r="AI3192">
        <v>1</v>
      </c>
      <c r="AJ3192">
        <v>1</v>
      </c>
      <c r="AK3192">
        <v>1</v>
      </c>
      <c r="AL3192">
        <v>0</v>
      </c>
      <c r="AM3192">
        <v>0</v>
      </c>
    </row>
    <row r="3193" spans="1:39" x14ac:dyDescent="0.2">
      <c r="A3193" t="str">
        <f>"3189"</f>
        <v>3189</v>
      </c>
      <c r="B3193" t="str">
        <f t="shared" si="178"/>
        <v>1</v>
      </c>
      <c r="C3193" t="str">
        <f t="shared" si="177"/>
        <v>64</v>
      </c>
      <c r="D3193" t="str">
        <f>"28"</f>
        <v>28</v>
      </c>
      <c r="E3193" t="str">
        <f>"1-64-28"</f>
        <v>1-64-28</v>
      </c>
      <c r="F3193" t="s">
        <v>65</v>
      </c>
      <c r="G3193" t="s">
        <v>66</v>
      </c>
      <c r="H3193" t="s">
        <v>67</v>
      </c>
      <c r="S3193">
        <v>1</v>
      </c>
      <c r="T3193">
        <v>0</v>
      </c>
      <c r="U3193">
        <v>0</v>
      </c>
      <c r="V3193">
        <v>0</v>
      </c>
      <c r="W3193">
        <v>1</v>
      </c>
      <c r="X3193">
        <v>0</v>
      </c>
      <c r="Y3193">
        <v>1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1</v>
      </c>
      <c r="AF3193">
        <v>1</v>
      </c>
      <c r="AG3193">
        <v>1</v>
      </c>
      <c r="AH3193">
        <v>1</v>
      </c>
      <c r="AI3193">
        <v>1</v>
      </c>
      <c r="AJ3193">
        <v>1</v>
      </c>
      <c r="AK3193">
        <v>1</v>
      </c>
      <c r="AL3193">
        <v>1</v>
      </c>
      <c r="AM3193">
        <v>1</v>
      </c>
    </row>
    <row r="3194" spans="1:39" x14ac:dyDescent="0.2">
      <c r="A3194" t="str">
        <f>"3190"</f>
        <v>3190</v>
      </c>
      <c r="B3194" t="str">
        <f t="shared" si="178"/>
        <v>1</v>
      </c>
      <c r="C3194" t="str">
        <f t="shared" si="177"/>
        <v>64</v>
      </c>
      <c r="D3194" t="str">
        <f>"6"</f>
        <v>6</v>
      </c>
      <c r="E3194" t="str">
        <f>"1-64-6"</f>
        <v>1-64-6</v>
      </c>
      <c r="F3194" t="s">
        <v>65</v>
      </c>
      <c r="G3194" t="s">
        <v>66</v>
      </c>
      <c r="H3194" t="s">
        <v>67</v>
      </c>
      <c r="S3194">
        <v>0</v>
      </c>
      <c r="T3194">
        <v>1</v>
      </c>
      <c r="U3194">
        <v>0</v>
      </c>
      <c r="V3194">
        <v>0</v>
      </c>
      <c r="W3194">
        <v>0</v>
      </c>
      <c r="X3194">
        <v>1</v>
      </c>
      <c r="Y3194">
        <v>0</v>
      </c>
      <c r="Z3194">
        <v>1</v>
      </c>
      <c r="AA3194">
        <v>0</v>
      </c>
      <c r="AB3194">
        <v>0</v>
      </c>
      <c r="AC3194">
        <v>1</v>
      </c>
      <c r="AD3194">
        <v>1</v>
      </c>
      <c r="AE3194">
        <v>1</v>
      </c>
      <c r="AF3194">
        <v>1</v>
      </c>
      <c r="AG3194">
        <v>1</v>
      </c>
      <c r="AH3194">
        <v>1</v>
      </c>
      <c r="AI3194">
        <v>1</v>
      </c>
      <c r="AJ3194">
        <v>1</v>
      </c>
      <c r="AK3194">
        <v>1</v>
      </c>
      <c r="AL3194">
        <v>1</v>
      </c>
      <c r="AM3194">
        <v>1</v>
      </c>
    </row>
    <row r="3195" spans="1:39" x14ac:dyDescent="0.2">
      <c r="A3195" t="str">
        <f>"3191"</f>
        <v>3191</v>
      </c>
      <c r="B3195" t="str">
        <f t="shared" si="178"/>
        <v>1</v>
      </c>
      <c r="C3195" t="str">
        <f t="shared" si="177"/>
        <v>64</v>
      </c>
      <c r="D3195" t="str">
        <f>"45"</f>
        <v>45</v>
      </c>
      <c r="E3195" t="str">
        <f>"1-64-45"</f>
        <v>1-64-45</v>
      </c>
      <c r="F3195" t="s">
        <v>65</v>
      </c>
      <c r="G3195" t="s">
        <v>66</v>
      </c>
      <c r="H3195" t="s">
        <v>67</v>
      </c>
      <c r="S3195">
        <v>0</v>
      </c>
      <c r="T3195">
        <v>1</v>
      </c>
      <c r="U3195">
        <v>0</v>
      </c>
      <c r="V3195">
        <v>0</v>
      </c>
      <c r="W3195">
        <v>0</v>
      </c>
      <c r="X3195">
        <v>1</v>
      </c>
      <c r="Y3195">
        <v>1</v>
      </c>
      <c r="Z3195">
        <v>0</v>
      </c>
      <c r="AA3195">
        <v>0</v>
      </c>
      <c r="AB3195">
        <v>1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</row>
    <row r="3196" spans="1:39" x14ac:dyDescent="0.2">
      <c r="A3196" t="str">
        <f>"3192"</f>
        <v>3192</v>
      </c>
      <c r="B3196" t="str">
        <f t="shared" si="178"/>
        <v>1</v>
      </c>
      <c r="C3196" t="str">
        <f t="shared" si="177"/>
        <v>64</v>
      </c>
      <c r="D3196" t="str">
        <f>"30"</f>
        <v>30</v>
      </c>
      <c r="E3196" t="str">
        <f>"1-64-30"</f>
        <v>1-64-30</v>
      </c>
      <c r="F3196" t="s">
        <v>65</v>
      </c>
      <c r="G3196" t="s">
        <v>66</v>
      </c>
      <c r="H3196" t="s">
        <v>67</v>
      </c>
      <c r="S3196">
        <v>1</v>
      </c>
      <c r="T3196">
        <v>0</v>
      </c>
      <c r="U3196">
        <v>0</v>
      </c>
      <c r="V3196">
        <v>0</v>
      </c>
      <c r="W3196">
        <v>1</v>
      </c>
      <c r="X3196">
        <v>0</v>
      </c>
      <c r="Y3196">
        <v>1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1</v>
      </c>
      <c r="AF3196">
        <v>1</v>
      </c>
      <c r="AG3196">
        <v>1</v>
      </c>
      <c r="AH3196">
        <v>1</v>
      </c>
      <c r="AI3196">
        <v>1</v>
      </c>
      <c r="AJ3196">
        <v>1</v>
      </c>
      <c r="AK3196">
        <v>1</v>
      </c>
      <c r="AL3196">
        <v>1</v>
      </c>
      <c r="AM3196">
        <v>1</v>
      </c>
    </row>
    <row r="3197" spans="1:39" x14ac:dyDescent="0.2">
      <c r="A3197" t="str">
        <f>"3193"</f>
        <v>3193</v>
      </c>
      <c r="B3197" t="str">
        <f t="shared" si="178"/>
        <v>1</v>
      </c>
      <c r="C3197" t="str">
        <f t="shared" si="177"/>
        <v>64</v>
      </c>
      <c r="D3197" t="str">
        <f>"13"</f>
        <v>13</v>
      </c>
      <c r="E3197" t="str">
        <f>"1-64-13"</f>
        <v>1-64-13</v>
      </c>
      <c r="F3197" t="s">
        <v>65</v>
      </c>
      <c r="G3197" t="s">
        <v>66</v>
      </c>
      <c r="H3197" t="s">
        <v>67</v>
      </c>
      <c r="S3197">
        <v>0</v>
      </c>
      <c r="T3197">
        <v>1</v>
      </c>
      <c r="U3197">
        <v>0</v>
      </c>
      <c r="V3197">
        <v>0</v>
      </c>
      <c r="W3197">
        <v>1</v>
      </c>
      <c r="X3197">
        <v>0</v>
      </c>
      <c r="Y3197">
        <v>1</v>
      </c>
      <c r="Z3197">
        <v>0</v>
      </c>
      <c r="AA3197">
        <v>0</v>
      </c>
      <c r="AB3197">
        <v>0</v>
      </c>
      <c r="AC3197">
        <v>1</v>
      </c>
      <c r="AD3197">
        <v>1</v>
      </c>
      <c r="AE3197">
        <v>1</v>
      </c>
      <c r="AF3197">
        <v>1</v>
      </c>
      <c r="AG3197">
        <v>1</v>
      </c>
      <c r="AH3197">
        <v>1</v>
      </c>
      <c r="AI3197">
        <v>1</v>
      </c>
      <c r="AJ3197">
        <v>1</v>
      </c>
      <c r="AK3197">
        <v>1</v>
      </c>
      <c r="AL3197">
        <v>1</v>
      </c>
      <c r="AM3197">
        <v>1</v>
      </c>
    </row>
    <row r="3198" spans="1:39" x14ac:dyDescent="0.2">
      <c r="A3198" t="str">
        <f>"3194"</f>
        <v>3194</v>
      </c>
      <c r="B3198" t="str">
        <f t="shared" si="178"/>
        <v>1</v>
      </c>
      <c r="C3198" t="str">
        <f t="shared" si="177"/>
        <v>64</v>
      </c>
      <c r="D3198" t="str">
        <f>"46"</f>
        <v>46</v>
      </c>
      <c r="E3198" t="str">
        <f>"1-64-46"</f>
        <v>1-64-46</v>
      </c>
      <c r="F3198" t="s">
        <v>65</v>
      </c>
      <c r="G3198" t="s">
        <v>66</v>
      </c>
      <c r="H3198" t="s">
        <v>67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0</v>
      </c>
      <c r="AB3198">
        <v>0</v>
      </c>
      <c r="AC3198">
        <v>1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</row>
    <row r="3199" spans="1:39" x14ac:dyDescent="0.2">
      <c r="A3199" t="str">
        <f>"3195"</f>
        <v>3195</v>
      </c>
      <c r="B3199" t="str">
        <f t="shared" si="178"/>
        <v>1</v>
      </c>
      <c r="C3199" t="str">
        <f t="shared" si="177"/>
        <v>64</v>
      </c>
      <c r="D3199" t="str">
        <f>"31"</f>
        <v>31</v>
      </c>
      <c r="E3199" t="str">
        <f>"1-64-31"</f>
        <v>1-64-31</v>
      </c>
      <c r="F3199" t="s">
        <v>65</v>
      </c>
      <c r="G3199" t="s">
        <v>66</v>
      </c>
      <c r="H3199" t="s">
        <v>67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0</v>
      </c>
      <c r="AB3199">
        <v>0</v>
      </c>
      <c r="AC3199">
        <v>1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1</v>
      </c>
      <c r="AJ3199">
        <v>1</v>
      </c>
      <c r="AK3199">
        <v>0</v>
      </c>
      <c r="AL3199">
        <v>0</v>
      </c>
      <c r="AM3199">
        <v>0</v>
      </c>
    </row>
    <row r="3200" spans="1:39" x14ac:dyDescent="0.2">
      <c r="A3200" t="str">
        <f>"3196"</f>
        <v>3196</v>
      </c>
      <c r="B3200" t="str">
        <f t="shared" si="178"/>
        <v>1</v>
      </c>
      <c r="C3200" t="str">
        <f t="shared" si="177"/>
        <v>64</v>
      </c>
      <c r="D3200" t="str">
        <f>"7"</f>
        <v>7</v>
      </c>
      <c r="E3200" t="str">
        <f>"1-64-7"</f>
        <v>1-64-7</v>
      </c>
      <c r="F3200" t="s">
        <v>65</v>
      </c>
      <c r="G3200" t="s">
        <v>66</v>
      </c>
      <c r="H3200" t="s">
        <v>67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1</v>
      </c>
      <c r="AH3200">
        <v>1</v>
      </c>
      <c r="AI3200">
        <v>1</v>
      </c>
      <c r="AJ3200">
        <v>1</v>
      </c>
      <c r="AK3200">
        <v>0</v>
      </c>
      <c r="AL3200">
        <v>1</v>
      </c>
      <c r="AM3200">
        <v>0</v>
      </c>
    </row>
    <row r="3201" spans="1:39" x14ac:dyDescent="0.2">
      <c r="A3201" t="str">
        <f>"3197"</f>
        <v>3197</v>
      </c>
      <c r="B3201" t="str">
        <f t="shared" si="178"/>
        <v>1</v>
      </c>
      <c r="C3201" t="str">
        <f t="shared" si="177"/>
        <v>64</v>
      </c>
      <c r="D3201" t="str">
        <f>"32"</f>
        <v>32</v>
      </c>
      <c r="E3201" t="str">
        <f>"1-64-32"</f>
        <v>1-64-32</v>
      </c>
      <c r="F3201" t="s">
        <v>65</v>
      </c>
      <c r="G3201" t="s">
        <v>66</v>
      </c>
      <c r="H3201" t="s">
        <v>67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</row>
    <row r="3202" spans="1:39" x14ac:dyDescent="0.2">
      <c r="A3202" t="str">
        <f>"3198"</f>
        <v>3198</v>
      </c>
      <c r="B3202" t="str">
        <f t="shared" si="178"/>
        <v>1</v>
      </c>
      <c r="C3202" t="str">
        <f t="shared" si="177"/>
        <v>64</v>
      </c>
      <c r="D3202" t="str">
        <f>"9"</f>
        <v>9</v>
      </c>
      <c r="E3202" t="str">
        <f>"1-64-9"</f>
        <v>1-64-9</v>
      </c>
      <c r="F3202" t="s">
        <v>65</v>
      </c>
      <c r="G3202" t="s">
        <v>66</v>
      </c>
      <c r="H3202" t="s">
        <v>67</v>
      </c>
      <c r="S3202">
        <v>1</v>
      </c>
      <c r="T3202">
        <v>0</v>
      </c>
      <c r="U3202">
        <v>0</v>
      </c>
      <c r="V3202">
        <v>0</v>
      </c>
      <c r="W3202">
        <v>1</v>
      </c>
      <c r="X3202">
        <v>0</v>
      </c>
      <c r="Y3202">
        <v>1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1</v>
      </c>
      <c r="AF3202">
        <v>1</v>
      </c>
      <c r="AG3202">
        <v>1</v>
      </c>
      <c r="AH3202">
        <v>1</v>
      </c>
      <c r="AI3202">
        <v>1</v>
      </c>
      <c r="AJ3202">
        <v>1</v>
      </c>
      <c r="AK3202">
        <v>1</v>
      </c>
      <c r="AL3202">
        <v>1</v>
      </c>
      <c r="AM3202">
        <v>1</v>
      </c>
    </row>
    <row r="3203" spans="1:39" x14ac:dyDescent="0.2">
      <c r="A3203" t="str">
        <f>"3199"</f>
        <v>3199</v>
      </c>
      <c r="B3203" t="str">
        <f t="shared" si="178"/>
        <v>1</v>
      </c>
      <c r="C3203" t="str">
        <f t="shared" si="177"/>
        <v>64</v>
      </c>
      <c r="D3203" t="str">
        <f>"50"</f>
        <v>50</v>
      </c>
      <c r="E3203" t="str">
        <f>"1-64-50"</f>
        <v>1-64-50</v>
      </c>
      <c r="F3203" t="s">
        <v>65</v>
      </c>
      <c r="G3203" t="s">
        <v>66</v>
      </c>
      <c r="H3203" t="s">
        <v>67</v>
      </c>
      <c r="S3203">
        <v>0</v>
      </c>
      <c r="T3203">
        <v>1</v>
      </c>
      <c r="U3203">
        <v>0</v>
      </c>
      <c r="V3203">
        <v>0</v>
      </c>
      <c r="W3203">
        <v>0</v>
      </c>
      <c r="X3203">
        <v>1</v>
      </c>
      <c r="Y3203">
        <v>0</v>
      </c>
      <c r="Z3203">
        <v>1</v>
      </c>
      <c r="AA3203">
        <v>0</v>
      </c>
      <c r="AB3203">
        <v>0</v>
      </c>
      <c r="AC3203">
        <v>1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</row>
    <row r="3204" spans="1:39" x14ac:dyDescent="0.2">
      <c r="A3204" t="str">
        <f>"3200"</f>
        <v>3200</v>
      </c>
      <c r="B3204" t="str">
        <f t="shared" si="178"/>
        <v>1</v>
      </c>
      <c r="C3204" t="str">
        <f t="shared" si="177"/>
        <v>64</v>
      </c>
      <c r="D3204" t="str">
        <f>"49"</f>
        <v>49</v>
      </c>
      <c r="E3204" t="str">
        <f>"1-64-49"</f>
        <v>1-64-49</v>
      </c>
      <c r="F3204" t="s">
        <v>65</v>
      </c>
      <c r="G3204" t="s">
        <v>66</v>
      </c>
      <c r="H3204" t="s">
        <v>67</v>
      </c>
      <c r="S3204">
        <v>1</v>
      </c>
      <c r="T3204">
        <v>0</v>
      </c>
      <c r="U3204">
        <v>0</v>
      </c>
      <c r="V3204">
        <v>0</v>
      </c>
      <c r="W3204">
        <v>1</v>
      </c>
      <c r="X3204">
        <v>0</v>
      </c>
      <c r="Y3204">
        <v>1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1</v>
      </c>
      <c r="AF3204">
        <v>0</v>
      </c>
      <c r="AG3204">
        <v>1</v>
      </c>
      <c r="AH3204">
        <v>1</v>
      </c>
      <c r="AI3204">
        <v>1</v>
      </c>
      <c r="AJ3204">
        <v>1</v>
      </c>
      <c r="AK3204">
        <v>1</v>
      </c>
      <c r="AL3204">
        <v>1</v>
      </c>
      <c r="AM3204">
        <v>0</v>
      </c>
    </row>
    <row r="3205" spans="1:39" x14ac:dyDescent="0.2">
      <c r="A3205" t="str">
        <f>"3201"</f>
        <v>3201</v>
      </c>
      <c r="B3205" t="str">
        <f t="shared" si="178"/>
        <v>1</v>
      </c>
      <c r="C3205" t="str">
        <f t="shared" ref="C3205:C3236" si="179">"65"</f>
        <v>65</v>
      </c>
      <c r="D3205" t="str">
        <f>"34"</f>
        <v>34</v>
      </c>
      <c r="E3205" t="str">
        <f>"1-65-34"</f>
        <v>1-65-34</v>
      </c>
      <c r="F3205" t="s">
        <v>65</v>
      </c>
      <c r="G3205" t="s">
        <v>66</v>
      </c>
      <c r="H3205" t="s">
        <v>67</v>
      </c>
      <c r="S3205">
        <v>1</v>
      </c>
      <c r="T3205">
        <v>0</v>
      </c>
      <c r="U3205">
        <v>0</v>
      </c>
      <c r="V3205">
        <v>0</v>
      </c>
      <c r="W3205">
        <v>1</v>
      </c>
      <c r="X3205">
        <v>0</v>
      </c>
      <c r="Y3205">
        <v>1</v>
      </c>
      <c r="Z3205">
        <v>0</v>
      </c>
      <c r="AA3205">
        <v>0</v>
      </c>
      <c r="AB3205">
        <v>1</v>
      </c>
      <c r="AC3205">
        <v>0</v>
      </c>
      <c r="AD3205">
        <v>1</v>
      </c>
      <c r="AE3205">
        <v>1</v>
      </c>
      <c r="AF3205">
        <v>1</v>
      </c>
      <c r="AG3205">
        <v>1</v>
      </c>
      <c r="AH3205">
        <v>1</v>
      </c>
      <c r="AI3205">
        <v>1</v>
      </c>
      <c r="AJ3205">
        <v>1</v>
      </c>
      <c r="AK3205">
        <v>1</v>
      </c>
      <c r="AL3205">
        <v>1</v>
      </c>
      <c r="AM3205">
        <v>1</v>
      </c>
    </row>
    <row r="3206" spans="1:39" x14ac:dyDescent="0.2">
      <c r="A3206" t="str">
        <f>"3202"</f>
        <v>3202</v>
      </c>
      <c r="B3206" t="str">
        <f t="shared" si="178"/>
        <v>1</v>
      </c>
      <c r="C3206" t="str">
        <f t="shared" si="179"/>
        <v>65</v>
      </c>
      <c r="D3206" t="str">
        <f>"33"</f>
        <v>33</v>
      </c>
      <c r="E3206" t="str">
        <f>"1-65-33"</f>
        <v>1-65-33</v>
      </c>
      <c r="F3206" t="s">
        <v>65</v>
      </c>
      <c r="G3206" t="s">
        <v>66</v>
      </c>
      <c r="H3206" t="s">
        <v>67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1</v>
      </c>
      <c r="Y3206">
        <v>1</v>
      </c>
      <c r="Z3206">
        <v>0</v>
      </c>
      <c r="AA3206">
        <v>0</v>
      </c>
      <c r="AB3206">
        <v>1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</row>
    <row r="3207" spans="1:39" x14ac:dyDescent="0.2">
      <c r="A3207" t="str">
        <f>"3203"</f>
        <v>3203</v>
      </c>
      <c r="B3207" t="str">
        <f t="shared" si="178"/>
        <v>1</v>
      </c>
      <c r="C3207" t="str">
        <f t="shared" si="179"/>
        <v>65</v>
      </c>
      <c r="D3207" t="str">
        <f>"25"</f>
        <v>25</v>
      </c>
      <c r="E3207" t="str">
        <f>"1-65-25"</f>
        <v>1-65-25</v>
      </c>
      <c r="F3207" t="s">
        <v>65</v>
      </c>
      <c r="G3207" t="s">
        <v>66</v>
      </c>
      <c r="H3207" t="s">
        <v>67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</row>
    <row r="3208" spans="1:39" x14ac:dyDescent="0.2">
      <c r="A3208" t="str">
        <f>"3204"</f>
        <v>3204</v>
      </c>
      <c r="B3208" t="str">
        <f t="shared" si="178"/>
        <v>1</v>
      </c>
      <c r="C3208" t="str">
        <f t="shared" si="179"/>
        <v>65</v>
      </c>
      <c r="D3208" t="str">
        <f>"15"</f>
        <v>15</v>
      </c>
      <c r="E3208" t="str">
        <f>"1-65-15"</f>
        <v>1-65-15</v>
      </c>
      <c r="F3208" t="s">
        <v>65</v>
      </c>
      <c r="G3208" t="s">
        <v>66</v>
      </c>
      <c r="H3208" t="s">
        <v>67</v>
      </c>
      <c r="S3208">
        <v>0</v>
      </c>
      <c r="T3208">
        <v>1</v>
      </c>
      <c r="U3208">
        <v>0</v>
      </c>
      <c r="V3208">
        <v>0</v>
      </c>
      <c r="W3208">
        <v>0</v>
      </c>
      <c r="X3208">
        <v>1</v>
      </c>
      <c r="Y3208">
        <v>0</v>
      </c>
      <c r="Z3208">
        <v>1</v>
      </c>
      <c r="AA3208">
        <v>0</v>
      </c>
      <c r="AB3208">
        <v>0</v>
      </c>
      <c r="AC3208">
        <v>1</v>
      </c>
      <c r="AD3208">
        <v>1</v>
      </c>
      <c r="AE3208">
        <v>1</v>
      </c>
      <c r="AF3208">
        <v>1</v>
      </c>
      <c r="AG3208">
        <v>1</v>
      </c>
      <c r="AH3208">
        <v>1</v>
      </c>
      <c r="AI3208">
        <v>1</v>
      </c>
      <c r="AJ3208">
        <v>1</v>
      </c>
      <c r="AK3208">
        <v>1</v>
      </c>
      <c r="AL3208">
        <v>1</v>
      </c>
      <c r="AM3208">
        <v>0</v>
      </c>
    </row>
    <row r="3209" spans="1:39" x14ac:dyDescent="0.2">
      <c r="A3209" t="str">
        <f>"3205"</f>
        <v>3205</v>
      </c>
      <c r="B3209" t="str">
        <f t="shared" si="178"/>
        <v>1</v>
      </c>
      <c r="C3209" t="str">
        <f t="shared" si="179"/>
        <v>65</v>
      </c>
      <c r="D3209" t="str">
        <f>"4"</f>
        <v>4</v>
      </c>
      <c r="E3209" t="str">
        <f>"1-65-4"</f>
        <v>1-65-4</v>
      </c>
      <c r="F3209" t="s">
        <v>65</v>
      </c>
      <c r="G3209" t="s">
        <v>66</v>
      </c>
      <c r="H3209" t="s">
        <v>68</v>
      </c>
      <c r="I3209">
        <v>1</v>
      </c>
      <c r="J3209">
        <v>0</v>
      </c>
      <c r="K3209">
        <v>0</v>
      </c>
      <c r="L3209">
        <v>1</v>
      </c>
      <c r="M3209">
        <v>1</v>
      </c>
      <c r="N3209">
        <v>1</v>
      </c>
      <c r="O3209">
        <v>1</v>
      </c>
      <c r="P3209">
        <v>1</v>
      </c>
      <c r="Q3209">
        <v>1</v>
      </c>
      <c r="R3209">
        <v>1</v>
      </c>
    </row>
    <row r="3210" spans="1:39" x14ac:dyDescent="0.2">
      <c r="A3210" t="str">
        <f>"3206"</f>
        <v>3206</v>
      </c>
      <c r="B3210" t="str">
        <f t="shared" si="178"/>
        <v>1</v>
      </c>
      <c r="C3210" t="str">
        <f t="shared" si="179"/>
        <v>65</v>
      </c>
      <c r="D3210" t="str">
        <f>"38"</f>
        <v>38</v>
      </c>
      <c r="E3210" t="str">
        <f>"1-65-38"</f>
        <v>1-65-38</v>
      </c>
      <c r="F3210" t="s">
        <v>65</v>
      </c>
      <c r="G3210" t="s">
        <v>66</v>
      </c>
      <c r="H3210" t="s">
        <v>67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0</v>
      </c>
      <c r="AB3210">
        <v>1</v>
      </c>
      <c r="AC3210">
        <v>0</v>
      </c>
      <c r="AD3210">
        <v>0</v>
      </c>
      <c r="AE3210">
        <v>0</v>
      </c>
      <c r="AF3210">
        <v>0</v>
      </c>
      <c r="AG3210">
        <v>1</v>
      </c>
      <c r="AH3210">
        <v>1</v>
      </c>
      <c r="AI3210">
        <v>1</v>
      </c>
      <c r="AJ3210">
        <v>0</v>
      </c>
      <c r="AK3210">
        <v>1</v>
      </c>
      <c r="AL3210">
        <v>1</v>
      </c>
      <c r="AM3210">
        <v>0</v>
      </c>
    </row>
    <row r="3211" spans="1:39" x14ac:dyDescent="0.2">
      <c r="A3211" t="str">
        <f>"3207"</f>
        <v>3207</v>
      </c>
      <c r="B3211" t="str">
        <f t="shared" si="178"/>
        <v>1</v>
      </c>
      <c r="C3211" t="str">
        <f t="shared" si="179"/>
        <v>65</v>
      </c>
      <c r="D3211" t="str">
        <f>"37"</f>
        <v>37</v>
      </c>
      <c r="E3211" t="str">
        <f>"1-65-37"</f>
        <v>1-65-37</v>
      </c>
      <c r="F3211" t="s">
        <v>65</v>
      </c>
      <c r="G3211" t="s">
        <v>66</v>
      </c>
      <c r="H3211" t="s">
        <v>67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0</v>
      </c>
      <c r="AB3211">
        <v>1</v>
      </c>
      <c r="AC3211">
        <v>0</v>
      </c>
      <c r="AD3211">
        <v>0</v>
      </c>
      <c r="AE3211">
        <v>0</v>
      </c>
      <c r="AF3211">
        <v>0</v>
      </c>
      <c r="AG3211">
        <v>1</v>
      </c>
      <c r="AH3211">
        <v>1</v>
      </c>
      <c r="AI3211">
        <v>1</v>
      </c>
      <c r="AJ3211">
        <v>0</v>
      </c>
      <c r="AK3211">
        <v>0</v>
      </c>
      <c r="AL3211">
        <v>0</v>
      </c>
      <c r="AM3211">
        <v>0</v>
      </c>
    </row>
    <row r="3212" spans="1:39" x14ac:dyDescent="0.2">
      <c r="A3212" t="str">
        <f>"3208"</f>
        <v>3208</v>
      </c>
      <c r="B3212" t="str">
        <f t="shared" si="178"/>
        <v>1</v>
      </c>
      <c r="C3212" t="str">
        <f t="shared" si="179"/>
        <v>65</v>
      </c>
      <c r="D3212" t="str">
        <f>"27"</f>
        <v>27</v>
      </c>
      <c r="E3212" t="str">
        <f>"1-65-27"</f>
        <v>1-65-27</v>
      </c>
      <c r="F3212" t="s">
        <v>65</v>
      </c>
      <c r="G3212" t="s">
        <v>66</v>
      </c>
      <c r="H3212" t="s">
        <v>67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1</v>
      </c>
      <c r="AH3212">
        <v>1</v>
      </c>
      <c r="AI3212">
        <v>0</v>
      </c>
      <c r="AJ3212">
        <v>1</v>
      </c>
      <c r="AK3212">
        <v>1</v>
      </c>
      <c r="AL3212">
        <v>0</v>
      </c>
      <c r="AM3212">
        <v>0</v>
      </c>
    </row>
    <row r="3213" spans="1:39" x14ac:dyDescent="0.2">
      <c r="A3213" t="str">
        <f>"3209"</f>
        <v>3209</v>
      </c>
      <c r="B3213" t="str">
        <f t="shared" si="178"/>
        <v>1</v>
      </c>
      <c r="C3213" t="str">
        <f t="shared" si="179"/>
        <v>65</v>
      </c>
      <c r="D3213" t="str">
        <f>"16"</f>
        <v>16</v>
      </c>
      <c r="E3213" t="str">
        <f>"1-65-16"</f>
        <v>1-65-16</v>
      </c>
      <c r="F3213" t="s">
        <v>65</v>
      </c>
      <c r="G3213" t="s">
        <v>66</v>
      </c>
      <c r="H3213" t="s">
        <v>67</v>
      </c>
      <c r="S3213">
        <v>1</v>
      </c>
      <c r="T3213">
        <v>0</v>
      </c>
      <c r="U3213">
        <v>0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0</v>
      </c>
      <c r="AB3213">
        <v>1</v>
      </c>
      <c r="AC3213">
        <v>0</v>
      </c>
      <c r="AD3213">
        <v>1</v>
      </c>
      <c r="AE3213">
        <v>1</v>
      </c>
      <c r="AF3213">
        <v>1</v>
      </c>
      <c r="AG3213">
        <v>1</v>
      </c>
      <c r="AH3213">
        <v>1</v>
      </c>
      <c r="AI3213">
        <v>1</v>
      </c>
      <c r="AJ3213">
        <v>1</v>
      </c>
      <c r="AK3213">
        <v>1</v>
      </c>
      <c r="AL3213">
        <v>1</v>
      </c>
      <c r="AM3213">
        <v>1</v>
      </c>
    </row>
    <row r="3214" spans="1:39" x14ac:dyDescent="0.2">
      <c r="A3214" t="str">
        <f>"3210"</f>
        <v>3210</v>
      </c>
      <c r="B3214" t="str">
        <f t="shared" si="178"/>
        <v>1</v>
      </c>
      <c r="C3214" t="str">
        <f t="shared" si="179"/>
        <v>65</v>
      </c>
      <c r="D3214" t="str">
        <f>"43"</f>
        <v>43</v>
      </c>
      <c r="E3214" t="str">
        <f>"1-65-43"</f>
        <v>1-65-43</v>
      </c>
      <c r="F3214" t="s">
        <v>65</v>
      </c>
      <c r="G3214" t="s">
        <v>66</v>
      </c>
      <c r="H3214" t="s">
        <v>67</v>
      </c>
      <c r="S3214">
        <v>0</v>
      </c>
      <c r="T3214">
        <v>1</v>
      </c>
      <c r="U3214">
        <v>0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0</v>
      </c>
      <c r="AB3214">
        <v>0</v>
      </c>
      <c r="AC3214">
        <v>1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</row>
    <row r="3215" spans="1:39" x14ac:dyDescent="0.2">
      <c r="A3215" t="str">
        <f>"3211"</f>
        <v>3211</v>
      </c>
      <c r="B3215" t="str">
        <f t="shared" si="178"/>
        <v>1</v>
      </c>
      <c r="C3215" t="str">
        <f t="shared" si="179"/>
        <v>65</v>
      </c>
      <c r="D3215" t="str">
        <f>"42"</f>
        <v>42</v>
      </c>
      <c r="E3215" t="str">
        <f>"1-65-42"</f>
        <v>1-65-42</v>
      </c>
      <c r="F3215" t="s">
        <v>65</v>
      </c>
      <c r="G3215" t="s">
        <v>66</v>
      </c>
      <c r="H3215" t="s">
        <v>67</v>
      </c>
      <c r="S3215">
        <v>0</v>
      </c>
      <c r="T3215">
        <v>1</v>
      </c>
      <c r="U3215">
        <v>0</v>
      </c>
      <c r="V3215">
        <v>0</v>
      </c>
      <c r="W3215">
        <v>0</v>
      </c>
      <c r="X3215">
        <v>1</v>
      </c>
      <c r="Y3215">
        <v>0</v>
      </c>
      <c r="Z3215">
        <v>1</v>
      </c>
      <c r="AA3215">
        <v>0</v>
      </c>
      <c r="AB3215">
        <v>0</v>
      </c>
      <c r="AC3215">
        <v>1</v>
      </c>
      <c r="AD3215">
        <v>1</v>
      </c>
      <c r="AE3215">
        <v>1</v>
      </c>
      <c r="AF3215">
        <v>1</v>
      </c>
      <c r="AG3215">
        <v>1</v>
      </c>
      <c r="AH3215">
        <v>1</v>
      </c>
      <c r="AI3215">
        <v>1</v>
      </c>
      <c r="AJ3215">
        <v>1</v>
      </c>
      <c r="AK3215">
        <v>1</v>
      </c>
      <c r="AL3215">
        <v>1</v>
      </c>
      <c r="AM3215">
        <v>1</v>
      </c>
    </row>
    <row r="3216" spans="1:39" x14ac:dyDescent="0.2">
      <c r="A3216" t="str">
        <f>"3212"</f>
        <v>3212</v>
      </c>
      <c r="B3216" t="str">
        <f t="shared" si="178"/>
        <v>1</v>
      </c>
      <c r="C3216" t="str">
        <f t="shared" si="179"/>
        <v>65</v>
      </c>
      <c r="D3216" t="str">
        <f>"31"</f>
        <v>31</v>
      </c>
      <c r="E3216" t="str">
        <f>"1-65-31"</f>
        <v>1-65-31</v>
      </c>
      <c r="F3216" t="s">
        <v>65</v>
      </c>
      <c r="G3216" t="s">
        <v>66</v>
      </c>
      <c r="H3216" t="s">
        <v>67</v>
      </c>
      <c r="S3216">
        <v>1</v>
      </c>
      <c r="T3216">
        <v>0</v>
      </c>
      <c r="U3216">
        <v>0</v>
      </c>
      <c r="V3216">
        <v>0</v>
      </c>
      <c r="W3216">
        <v>1</v>
      </c>
      <c r="X3216">
        <v>0</v>
      </c>
      <c r="Y3216">
        <v>1</v>
      </c>
      <c r="Z3216">
        <v>0</v>
      </c>
      <c r="AA3216">
        <v>0</v>
      </c>
      <c r="AB3216">
        <v>0</v>
      </c>
      <c r="AC3216">
        <v>1</v>
      </c>
      <c r="AD3216">
        <v>0</v>
      </c>
      <c r="AE3216">
        <v>0</v>
      </c>
      <c r="AF3216">
        <v>0</v>
      </c>
      <c r="AG3216">
        <v>0</v>
      </c>
      <c r="AH3216">
        <v>1</v>
      </c>
      <c r="AI3216">
        <v>1</v>
      </c>
      <c r="AJ3216">
        <v>1</v>
      </c>
      <c r="AK3216">
        <v>1</v>
      </c>
      <c r="AL3216">
        <v>1</v>
      </c>
      <c r="AM3216">
        <v>0</v>
      </c>
    </row>
    <row r="3217" spans="1:39" x14ac:dyDescent="0.2">
      <c r="A3217" t="str">
        <f>"3213"</f>
        <v>3213</v>
      </c>
      <c r="B3217" t="str">
        <f t="shared" si="178"/>
        <v>1</v>
      </c>
      <c r="C3217" t="str">
        <f t="shared" si="179"/>
        <v>65</v>
      </c>
      <c r="D3217" t="str">
        <f>"17"</f>
        <v>17</v>
      </c>
      <c r="E3217" t="str">
        <f>"1-65-17"</f>
        <v>1-65-17</v>
      </c>
      <c r="F3217" t="s">
        <v>65</v>
      </c>
      <c r="G3217" t="s">
        <v>66</v>
      </c>
      <c r="H3217" t="s">
        <v>67</v>
      </c>
      <c r="S3217">
        <v>1</v>
      </c>
      <c r="T3217">
        <v>0</v>
      </c>
      <c r="U3217">
        <v>0</v>
      </c>
      <c r="V3217">
        <v>0</v>
      </c>
      <c r="W3217">
        <v>1</v>
      </c>
      <c r="X3217">
        <v>0</v>
      </c>
      <c r="Y3217">
        <v>0</v>
      </c>
      <c r="Z3217">
        <v>1</v>
      </c>
      <c r="AA3217">
        <v>0</v>
      </c>
      <c r="AB3217">
        <v>1</v>
      </c>
      <c r="AC3217">
        <v>0</v>
      </c>
      <c r="AD3217">
        <v>1</v>
      </c>
      <c r="AE3217">
        <v>1</v>
      </c>
      <c r="AF3217">
        <v>1</v>
      </c>
      <c r="AG3217">
        <v>1</v>
      </c>
      <c r="AH3217">
        <v>1</v>
      </c>
      <c r="AI3217">
        <v>1</v>
      </c>
      <c r="AJ3217">
        <v>1</v>
      </c>
      <c r="AK3217">
        <v>1</v>
      </c>
      <c r="AL3217">
        <v>1</v>
      </c>
      <c r="AM3217">
        <v>1</v>
      </c>
    </row>
    <row r="3218" spans="1:39" x14ac:dyDescent="0.2">
      <c r="A3218" t="str">
        <f>"3214"</f>
        <v>3214</v>
      </c>
      <c r="B3218" t="str">
        <f t="shared" si="178"/>
        <v>1</v>
      </c>
      <c r="C3218" t="str">
        <f t="shared" si="179"/>
        <v>65</v>
      </c>
      <c r="D3218" t="str">
        <f>"5"</f>
        <v>5</v>
      </c>
      <c r="E3218" t="str">
        <f>"1-65-5"</f>
        <v>1-65-5</v>
      </c>
      <c r="F3218" t="s">
        <v>65</v>
      </c>
      <c r="G3218" t="s">
        <v>66</v>
      </c>
      <c r="H3218" t="s">
        <v>68</v>
      </c>
      <c r="I3218">
        <v>1</v>
      </c>
      <c r="J3218">
        <v>0</v>
      </c>
      <c r="K3218">
        <v>1</v>
      </c>
      <c r="L3218">
        <v>0</v>
      </c>
      <c r="M3218">
        <v>1</v>
      </c>
      <c r="N3218">
        <v>1</v>
      </c>
      <c r="O3218">
        <v>1</v>
      </c>
      <c r="P3218">
        <v>1</v>
      </c>
      <c r="Q3218">
        <v>1</v>
      </c>
      <c r="R3218">
        <v>1</v>
      </c>
    </row>
    <row r="3219" spans="1:39" x14ac:dyDescent="0.2">
      <c r="A3219" t="str">
        <f>"3215"</f>
        <v>3215</v>
      </c>
      <c r="B3219" t="str">
        <f t="shared" si="178"/>
        <v>1</v>
      </c>
      <c r="C3219" t="str">
        <f t="shared" si="179"/>
        <v>65</v>
      </c>
      <c r="D3219" t="str">
        <f>"48"</f>
        <v>48</v>
      </c>
      <c r="E3219" t="str">
        <f>"1-65-48"</f>
        <v>1-65-48</v>
      </c>
      <c r="F3219" t="s">
        <v>65</v>
      </c>
      <c r="G3219" t="s">
        <v>66</v>
      </c>
      <c r="H3219" t="s">
        <v>67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</row>
    <row r="3220" spans="1:39" x14ac:dyDescent="0.2">
      <c r="A3220" t="str">
        <f>"3216"</f>
        <v>3216</v>
      </c>
      <c r="B3220" t="str">
        <f t="shared" si="178"/>
        <v>1</v>
      </c>
      <c r="C3220" t="str">
        <f t="shared" si="179"/>
        <v>65</v>
      </c>
      <c r="D3220" t="str">
        <f>"47"</f>
        <v>47</v>
      </c>
      <c r="E3220" t="str">
        <f>"1-65-47"</f>
        <v>1-65-47</v>
      </c>
      <c r="F3220" t="s">
        <v>65</v>
      </c>
      <c r="G3220" t="s">
        <v>66</v>
      </c>
      <c r="H3220" t="s">
        <v>67</v>
      </c>
      <c r="S3220">
        <v>0</v>
      </c>
      <c r="T3220">
        <v>1</v>
      </c>
      <c r="U3220">
        <v>0</v>
      </c>
      <c r="V3220">
        <v>0</v>
      </c>
      <c r="W3220">
        <v>0</v>
      </c>
      <c r="X3220">
        <v>1</v>
      </c>
      <c r="Y3220">
        <v>0</v>
      </c>
      <c r="Z3220">
        <v>1</v>
      </c>
      <c r="AA3220">
        <v>0</v>
      </c>
      <c r="AB3220">
        <v>0</v>
      </c>
      <c r="AC3220">
        <v>1</v>
      </c>
      <c r="AD3220">
        <v>0</v>
      </c>
      <c r="AE3220">
        <v>0</v>
      </c>
      <c r="AF3220">
        <v>0</v>
      </c>
      <c r="AG3220">
        <v>0</v>
      </c>
      <c r="AH3220">
        <v>1</v>
      </c>
      <c r="AI3220">
        <v>1</v>
      </c>
      <c r="AJ3220">
        <v>1</v>
      </c>
      <c r="AK3220">
        <v>1</v>
      </c>
      <c r="AL3220">
        <v>1</v>
      </c>
      <c r="AM3220">
        <v>0</v>
      </c>
    </row>
    <row r="3221" spans="1:39" x14ac:dyDescent="0.2">
      <c r="A3221" t="str">
        <f>"3217"</f>
        <v>3217</v>
      </c>
      <c r="B3221" t="str">
        <f t="shared" si="178"/>
        <v>1</v>
      </c>
      <c r="C3221" t="str">
        <f t="shared" si="179"/>
        <v>65</v>
      </c>
      <c r="D3221" t="str">
        <f>"32"</f>
        <v>32</v>
      </c>
      <c r="E3221" t="str">
        <f>"1-65-32"</f>
        <v>1-65-32</v>
      </c>
      <c r="F3221" t="s">
        <v>65</v>
      </c>
      <c r="G3221" t="s">
        <v>66</v>
      </c>
      <c r="H3221" t="s">
        <v>67</v>
      </c>
      <c r="S3221">
        <v>0</v>
      </c>
      <c r="T3221">
        <v>1</v>
      </c>
      <c r="U3221">
        <v>0</v>
      </c>
      <c r="V3221">
        <v>0</v>
      </c>
      <c r="W3221">
        <v>1</v>
      </c>
      <c r="X3221">
        <v>0</v>
      </c>
      <c r="Y3221">
        <v>1</v>
      </c>
      <c r="Z3221">
        <v>0</v>
      </c>
      <c r="AA3221">
        <v>0</v>
      </c>
      <c r="AB3221">
        <v>1</v>
      </c>
      <c r="AC3221">
        <v>0</v>
      </c>
      <c r="AD3221">
        <v>0</v>
      </c>
      <c r="AE3221">
        <v>0</v>
      </c>
      <c r="AF3221">
        <v>0</v>
      </c>
      <c r="AG3221">
        <v>1</v>
      </c>
      <c r="AH3221">
        <v>0</v>
      </c>
      <c r="AI3221">
        <v>0</v>
      </c>
      <c r="AJ3221">
        <v>0</v>
      </c>
      <c r="AK3221">
        <v>0</v>
      </c>
      <c r="AL3221">
        <v>1</v>
      </c>
      <c r="AM3221">
        <v>1</v>
      </c>
    </row>
    <row r="3222" spans="1:39" x14ac:dyDescent="0.2">
      <c r="A3222" t="str">
        <f>"3218"</f>
        <v>3218</v>
      </c>
      <c r="B3222" t="str">
        <f t="shared" si="178"/>
        <v>1</v>
      </c>
      <c r="C3222" t="str">
        <f t="shared" si="179"/>
        <v>65</v>
      </c>
      <c r="D3222" t="str">
        <f>"18"</f>
        <v>18</v>
      </c>
      <c r="E3222" t="str">
        <f>"1-65-18"</f>
        <v>1-65-18</v>
      </c>
      <c r="F3222" t="s">
        <v>65</v>
      </c>
      <c r="G3222" t="s">
        <v>66</v>
      </c>
      <c r="H3222" t="s">
        <v>67</v>
      </c>
      <c r="S3222">
        <v>1</v>
      </c>
      <c r="T3222">
        <v>0</v>
      </c>
      <c r="U3222">
        <v>0</v>
      </c>
      <c r="V3222">
        <v>0</v>
      </c>
      <c r="W3222">
        <v>1</v>
      </c>
      <c r="X3222">
        <v>0</v>
      </c>
      <c r="Y3222">
        <v>0</v>
      </c>
      <c r="Z3222">
        <v>1</v>
      </c>
      <c r="AA3222">
        <v>1</v>
      </c>
      <c r="AB3222">
        <v>0</v>
      </c>
      <c r="AC3222">
        <v>0</v>
      </c>
      <c r="AD3222">
        <v>1</v>
      </c>
      <c r="AE3222">
        <v>1</v>
      </c>
      <c r="AF3222">
        <v>1</v>
      </c>
      <c r="AG3222">
        <v>1</v>
      </c>
      <c r="AH3222">
        <v>1</v>
      </c>
      <c r="AI3222">
        <v>1</v>
      </c>
      <c r="AJ3222">
        <v>1</v>
      </c>
      <c r="AK3222">
        <v>1</v>
      </c>
      <c r="AL3222">
        <v>1</v>
      </c>
      <c r="AM3222">
        <v>1</v>
      </c>
    </row>
    <row r="3223" spans="1:39" x14ac:dyDescent="0.2">
      <c r="A3223" t="str">
        <f>"3219"</f>
        <v>3219</v>
      </c>
      <c r="B3223" t="str">
        <f t="shared" si="178"/>
        <v>1</v>
      </c>
      <c r="C3223" t="str">
        <f t="shared" si="179"/>
        <v>65</v>
      </c>
      <c r="D3223" t="str">
        <f>"7"</f>
        <v>7</v>
      </c>
      <c r="E3223" t="str">
        <f>"1-65-7"</f>
        <v>1-65-7</v>
      </c>
      <c r="F3223" t="s">
        <v>65</v>
      </c>
      <c r="G3223" t="s">
        <v>66</v>
      </c>
      <c r="H3223" t="s">
        <v>68</v>
      </c>
      <c r="I3223">
        <v>1</v>
      </c>
      <c r="J3223">
        <v>0</v>
      </c>
      <c r="K3223">
        <v>0</v>
      </c>
      <c r="L3223">
        <v>0</v>
      </c>
      <c r="M3223">
        <v>1</v>
      </c>
      <c r="N3223">
        <v>0</v>
      </c>
      <c r="O3223">
        <v>0</v>
      </c>
      <c r="P3223">
        <v>0</v>
      </c>
      <c r="Q3223">
        <v>0</v>
      </c>
      <c r="R3223">
        <v>0</v>
      </c>
    </row>
    <row r="3224" spans="1:39" x14ac:dyDescent="0.2">
      <c r="A3224" t="str">
        <f>"3220"</f>
        <v>3220</v>
      </c>
      <c r="B3224" t="str">
        <f t="shared" si="178"/>
        <v>1</v>
      </c>
      <c r="C3224" t="str">
        <f t="shared" si="179"/>
        <v>65</v>
      </c>
      <c r="D3224" t="str">
        <f>"36"</f>
        <v>36</v>
      </c>
      <c r="E3224" t="str">
        <f>"1-65-36"</f>
        <v>1-65-36</v>
      </c>
      <c r="F3224" t="s">
        <v>65</v>
      </c>
      <c r="G3224" t="s">
        <v>66</v>
      </c>
      <c r="H3224" t="s">
        <v>67</v>
      </c>
      <c r="S3224">
        <v>1</v>
      </c>
      <c r="T3224">
        <v>0</v>
      </c>
      <c r="U3224">
        <v>0</v>
      </c>
      <c r="V3224">
        <v>0</v>
      </c>
      <c r="W3224">
        <v>1</v>
      </c>
      <c r="X3224">
        <v>0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1</v>
      </c>
      <c r="AF3224">
        <v>1</v>
      </c>
      <c r="AG3224">
        <v>1</v>
      </c>
      <c r="AH3224">
        <v>1</v>
      </c>
      <c r="AI3224">
        <v>1</v>
      </c>
      <c r="AJ3224">
        <v>1</v>
      </c>
      <c r="AK3224">
        <v>1</v>
      </c>
      <c r="AL3224">
        <v>1</v>
      </c>
      <c r="AM3224">
        <v>1</v>
      </c>
    </row>
    <row r="3225" spans="1:39" x14ac:dyDescent="0.2">
      <c r="A3225" t="str">
        <f>"3221"</f>
        <v>3221</v>
      </c>
      <c r="B3225" t="str">
        <f t="shared" si="178"/>
        <v>1</v>
      </c>
      <c r="C3225" t="str">
        <f t="shared" si="179"/>
        <v>65</v>
      </c>
      <c r="D3225" t="str">
        <f>"19"</f>
        <v>19</v>
      </c>
      <c r="E3225" t="str">
        <f>"1-65-19"</f>
        <v>1-65-19</v>
      </c>
      <c r="F3225" t="s">
        <v>65</v>
      </c>
      <c r="G3225" t="s">
        <v>66</v>
      </c>
      <c r="H3225" t="s">
        <v>67</v>
      </c>
      <c r="S3225">
        <v>0</v>
      </c>
      <c r="T3225">
        <v>1</v>
      </c>
      <c r="U3225">
        <v>0</v>
      </c>
      <c r="V3225">
        <v>0</v>
      </c>
      <c r="W3225">
        <v>0</v>
      </c>
      <c r="X3225">
        <v>1</v>
      </c>
      <c r="Y3225">
        <v>0</v>
      </c>
      <c r="Z3225">
        <v>1</v>
      </c>
      <c r="AA3225">
        <v>0</v>
      </c>
      <c r="AB3225">
        <v>0</v>
      </c>
      <c r="AC3225">
        <v>1</v>
      </c>
      <c r="AD3225">
        <v>1</v>
      </c>
      <c r="AE3225">
        <v>1</v>
      </c>
      <c r="AF3225">
        <v>1</v>
      </c>
      <c r="AG3225">
        <v>1</v>
      </c>
      <c r="AH3225">
        <v>1</v>
      </c>
      <c r="AI3225">
        <v>1</v>
      </c>
      <c r="AJ3225">
        <v>1</v>
      </c>
      <c r="AK3225">
        <v>1</v>
      </c>
      <c r="AL3225">
        <v>1</v>
      </c>
      <c r="AM3225">
        <v>1</v>
      </c>
    </row>
    <row r="3226" spans="1:39" x14ac:dyDescent="0.2">
      <c r="A3226" t="str">
        <f>"3222"</f>
        <v>3222</v>
      </c>
      <c r="B3226" t="str">
        <f t="shared" si="178"/>
        <v>1</v>
      </c>
      <c r="C3226" t="str">
        <f t="shared" si="179"/>
        <v>65</v>
      </c>
      <c r="D3226" t="str">
        <f>"10"</f>
        <v>10</v>
      </c>
      <c r="E3226" t="str">
        <f>"1-65-10"</f>
        <v>1-65-10</v>
      </c>
      <c r="F3226" t="s">
        <v>65</v>
      </c>
      <c r="G3226" t="s">
        <v>66</v>
      </c>
      <c r="H3226" t="s">
        <v>68</v>
      </c>
      <c r="I3226">
        <v>0</v>
      </c>
      <c r="J3226">
        <v>0</v>
      </c>
      <c r="K3226">
        <v>1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</row>
    <row r="3227" spans="1:39" x14ac:dyDescent="0.2">
      <c r="A3227" t="str">
        <f>"3223"</f>
        <v>3223</v>
      </c>
      <c r="B3227" t="str">
        <f t="shared" si="178"/>
        <v>1</v>
      </c>
      <c r="C3227" t="str">
        <f t="shared" si="179"/>
        <v>65</v>
      </c>
      <c r="D3227" t="str">
        <f>"39"</f>
        <v>39</v>
      </c>
      <c r="E3227" t="str">
        <f>"1-65-39"</f>
        <v>1-65-39</v>
      </c>
      <c r="F3227" t="s">
        <v>65</v>
      </c>
      <c r="G3227" t="s">
        <v>66</v>
      </c>
      <c r="H3227" t="s">
        <v>67</v>
      </c>
      <c r="S3227">
        <v>0</v>
      </c>
      <c r="T3227">
        <v>1</v>
      </c>
      <c r="U3227">
        <v>0</v>
      </c>
      <c r="V3227">
        <v>0</v>
      </c>
      <c r="W3227">
        <v>0</v>
      </c>
      <c r="X3227">
        <v>1</v>
      </c>
      <c r="Y3227">
        <v>0</v>
      </c>
      <c r="Z3227">
        <v>1</v>
      </c>
      <c r="AA3227">
        <v>0</v>
      </c>
      <c r="AB3227">
        <v>1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</row>
    <row r="3228" spans="1:39" x14ac:dyDescent="0.2">
      <c r="A3228" t="str">
        <f>"3224"</f>
        <v>3224</v>
      </c>
      <c r="B3228" t="str">
        <f t="shared" si="178"/>
        <v>1</v>
      </c>
      <c r="C3228" t="str">
        <f t="shared" si="179"/>
        <v>65</v>
      </c>
      <c r="D3228" t="str">
        <f>"20"</f>
        <v>20</v>
      </c>
      <c r="E3228" t="str">
        <f>"1-65-20"</f>
        <v>1-65-20</v>
      </c>
      <c r="F3228" t="s">
        <v>65</v>
      </c>
      <c r="G3228" t="s">
        <v>66</v>
      </c>
      <c r="H3228" t="s">
        <v>67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</row>
    <row r="3229" spans="1:39" x14ac:dyDescent="0.2">
      <c r="A3229" t="str">
        <f>"3225"</f>
        <v>3225</v>
      </c>
      <c r="B3229" t="str">
        <f t="shared" si="178"/>
        <v>1</v>
      </c>
      <c r="C3229" t="str">
        <f t="shared" si="179"/>
        <v>65</v>
      </c>
      <c r="D3229" t="str">
        <f>"1"</f>
        <v>1</v>
      </c>
      <c r="E3229" t="str">
        <f>"1-65-1"</f>
        <v>1-65-1</v>
      </c>
      <c r="F3229" t="s">
        <v>65</v>
      </c>
      <c r="G3229" t="s">
        <v>66</v>
      </c>
      <c r="H3229" t="s">
        <v>68</v>
      </c>
      <c r="I3229">
        <v>1</v>
      </c>
      <c r="J3229">
        <v>0</v>
      </c>
      <c r="K3229">
        <v>0</v>
      </c>
      <c r="L3229">
        <v>1</v>
      </c>
      <c r="M3229">
        <v>1</v>
      </c>
      <c r="N3229">
        <v>1</v>
      </c>
      <c r="O3229">
        <v>1</v>
      </c>
      <c r="P3229">
        <v>1</v>
      </c>
      <c r="Q3229">
        <v>1</v>
      </c>
      <c r="R3229">
        <v>1</v>
      </c>
    </row>
    <row r="3230" spans="1:39" x14ac:dyDescent="0.2">
      <c r="A3230" t="str">
        <f>"3226"</f>
        <v>3226</v>
      </c>
      <c r="B3230" t="str">
        <f t="shared" si="178"/>
        <v>1</v>
      </c>
      <c r="C3230" t="str">
        <f t="shared" si="179"/>
        <v>65</v>
      </c>
      <c r="D3230" t="str">
        <f>"50"</f>
        <v>50</v>
      </c>
      <c r="E3230" t="str">
        <f>"1-65-50"</f>
        <v>1-65-50</v>
      </c>
      <c r="F3230" t="s">
        <v>65</v>
      </c>
      <c r="G3230" t="s">
        <v>66</v>
      </c>
      <c r="H3230" t="s">
        <v>67</v>
      </c>
      <c r="S3230">
        <v>1</v>
      </c>
      <c r="T3230">
        <v>0</v>
      </c>
      <c r="U3230">
        <v>0</v>
      </c>
      <c r="V3230">
        <v>0</v>
      </c>
      <c r="W3230">
        <v>1</v>
      </c>
      <c r="X3230">
        <v>0</v>
      </c>
      <c r="Y3230">
        <v>1</v>
      </c>
      <c r="Z3230">
        <v>0</v>
      </c>
      <c r="AA3230">
        <v>0</v>
      </c>
      <c r="AB3230">
        <v>0</v>
      </c>
      <c r="AC3230">
        <v>1</v>
      </c>
      <c r="AD3230">
        <v>1</v>
      </c>
      <c r="AE3230">
        <v>1</v>
      </c>
      <c r="AF3230">
        <v>1</v>
      </c>
      <c r="AG3230">
        <v>1</v>
      </c>
      <c r="AH3230">
        <v>1</v>
      </c>
      <c r="AI3230">
        <v>1</v>
      </c>
      <c r="AJ3230">
        <v>1</v>
      </c>
      <c r="AK3230">
        <v>1</v>
      </c>
      <c r="AL3230">
        <v>1</v>
      </c>
      <c r="AM3230">
        <v>1</v>
      </c>
    </row>
    <row r="3231" spans="1:39" x14ac:dyDescent="0.2">
      <c r="A3231" t="str">
        <f>"3227"</f>
        <v>3227</v>
      </c>
      <c r="B3231" t="str">
        <f t="shared" si="178"/>
        <v>1</v>
      </c>
      <c r="C3231" t="str">
        <f t="shared" si="179"/>
        <v>65</v>
      </c>
      <c r="D3231" t="str">
        <f>"35"</f>
        <v>35</v>
      </c>
      <c r="E3231" t="str">
        <f>"1-65-35"</f>
        <v>1-65-35</v>
      </c>
      <c r="F3231" t="s">
        <v>65</v>
      </c>
      <c r="G3231" t="s">
        <v>66</v>
      </c>
      <c r="H3231" t="s">
        <v>67</v>
      </c>
      <c r="S3231">
        <v>1</v>
      </c>
      <c r="T3231">
        <v>0</v>
      </c>
      <c r="U3231">
        <v>0</v>
      </c>
      <c r="V3231">
        <v>0</v>
      </c>
      <c r="W3231">
        <v>1</v>
      </c>
      <c r="X3231">
        <v>0</v>
      </c>
      <c r="Y3231">
        <v>1</v>
      </c>
      <c r="Z3231">
        <v>0</v>
      </c>
      <c r="AA3231">
        <v>1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1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</row>
    <row r="3232" spans="1:39" x14ac:dyDescent="0.2">
      <c r="A3232" t="str">
        <f>"3228"</f>
        <v>3228</v>
      </c>
      <c r="B3232" t="str">
        <f t="shared" si="178"/>
        <v>1</v>
      </c>
      <c r="C3232" t="str">
        <f t="shared" si="179"/>
        <v>65</v>
      </c>
      <c r="D3232" t="str">
        <f>"21"</f>
        <v>21</v>
      </c>
      <c r="E3232" t="str">
        <f>"1-65-21"</f>
        <v>1-65-21</v>
      </c>
      <c r="F3232" t="s">
        <v>65</v>
      </c>
      <c r="G3232" t="s">
        <v>66</v>
      </c>
      <c r="H3232" t="s">
        <v>67</v>
      </c>
      <c r="S3232">
        <v>0</v>
      </c>
      <c r="T3232">
        <v>1</v>
      </c>
      <c r="U3232">
        <v>0</v>
      </c>
      <c r="V3232">
        <v>0</v>
      </c>
      <c r="W3232">
        <v>1</v>
      </c>
      <c r="X3232">
        <v>0</v>
      </c>
      <c r="Y3232">
        <v>0</v>
      </c>
      <c r="Z3232">
        <v>1</v>
      </c>
      <c r="AA3232">
        <v>1</v>
      </c>
      <c r="AB3232">
        <v>0</v>
      </c>
      <c r="AC3232">
        <v>0</v>
      </c>
      <c r="AD3232">
        <v>1</v>
      </c>
      <c r="AE3232">
        <v>1</v>
      </c>
      <c r="AF3232">
        <v>1</v>
      </c>
      <c r="AG3232">
        <v>1</v>
      </c>
      <c r="AH3232">
        <v>1</v>
      </c>
      <c r="AI3232">
        <v>1</v>
      </c>
      <c r="AJ3232">
        <v>1</v>
      </c>
      <c r="AK3232">
        <v>1</v>
      </c>
      <c r="AL3232">
        <v>1</v>
      </c>
      <c r="AM3232">
        <v>1</v>
      </c>
    </row>
    <row r="3233" spans="1:39" x14ac:dyDescent="0.2">
      <c r="A3233" t="str">
        <f>"3229"</f>
        <v>3229</v>
      </c>
      <c r="B3233" t="str">
        <f t="shared" si="178"/>
        <v>1</v>
      </c>
      <c r="C3233" t="str">
        <f t="shared" si="179"/>
        <v>65</v>
      </c>
      <c r="D3233" t="str">
        <f>"13"</f>
        <v>13</v>
      </c>
      <c r="E3233" t="str">
        <f>"1-65-13"</f>
        <v>1-65-13</v>
      </c>
      <c r="F3233" t="s">
        <v>65</v>
      </c>
      <c r="G3233" t="s">
        <v>66</v>
      </c>
      <c r="H3233" t="s">
        <v>67</v>
      </c>
      <c r="S3233">
        <v>0</v>
      </c>
      <c r="T3233">
        <v>1</v>
      </c>
      <c r="U3233">
        <v>0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0</v>
      </c>
      <c r="AB3233">
        <v>0</v>
      </c>
      <c r="AC3233">
        <v>1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</row>
    <row r="3234" spans="1:39" x14ac:dyDescent="0.2">
      <c r="A3234" t="str">
        <f>"3230"</f>
        <v>3230</v>
      </c>
      <c r="B3234" t="str">
        <f t="shared" si="178"/>
        <v>1</v>
      </c>
      <c r="C3234" t="str">
        <f t="shared" si="179"/>
        <v>65</v>
      </c>
      <c r="D3234" t="str">
        <f>"40"</f>
        <v>40</v>
      </c>
      <c r="E3234" t="str">
        <f>"1-65-40"</f>
        <v>1-65-40</v>
      </c>
      <c r="F3234" t="s">
        <v>65</v>
      </c>
      <c r="G3234" t="s">
        <v>66</v>
      </c>
      <c r="H3234" t="s">
        <v>67</v>
      </c>
      <c r="S3234">
        <v>1</v>
      </c>
      <c r="T3234">
        <v>0</v>
      </c>
      <c r="U3234">
        <v>0</v>
      </c>
      <c r="V3234">
        <v>0</v>
      </c>
      <c r="W3234">
        <v>1</v>
      </c>
      <c r="X3234">
        <v>0</v>
      </c>
      <c r="Y3234">
        <v>1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1</v>
      </c>
      <c r="AF3234">
        <v>0</v>
      </c>
      <c r="AG3234">
        <v>1</v>
      </c>
      <c r="AH3234">
        <v>1</v>
      </c>
      <c r="AI3234">
        <v>1</v>
      </c>
      <c r="AJ3234">
        <v>1</v>
      </c>
      <c r="AK3234">
        <v>1</v>
      </c>
      <c r="AL3234">
        <v>1</v>
      </c>
      <c r="AM3234">
        <v>1</v>
      </c>
    </row>
    <row r="3235" spans="1:39" x14ac:dyDescent="0.2">
      <c r="A3235" t="str">
        <f>"3231"</f>
        <v>3231</v>
      </c>
      <c r="B3235" t="str">
        <f t="shared" si="178"/>
        <v>1</v>
      </c>
      <c r="C3235" t="str">
        <f t="shared" si="179"/>
        <v>65</v>
      </c>
      <c r="D3235" t="str">
        <f>"22"</f>
        <v>22</v>
      </c>
      <c r="E3235" t="str">
        <f>"1-65-22"</f>
        <v>1-65-22</v>
      </c>
      <c r="F3235" t="s">
        <v>65</v>
      </c>
      <c r="G3235" t="s">
        <v>66</v>
      </c>
      <c r="H3235" t="s">
        <v>67</v>
      </c>
      <c r="S3235">
        <v>1</v>
      </c>
      <c r="T3235">
        <v>0</v>
      </c>
      <c r="U3235">
        <v>0</v>
      </c>
      <c r="V3235">
        <v>0</v>
      </c>
      <c r="W3235">
        <v>1</v>
      </c>
      <c r="X3235">
        <v>0</v>
      </c>
      <c r="Y3235">
        <v>0</v>
      </c>
      <c r="Z3235">
        <v>1</v>
      </c>
      <c r="AA3235">
        <v>0</v>
      </c>
      <c r="AB3235">
        <v>0</v>
      </c>
      <c r="AC3235">
        <v>1</v>
      </c>
      <c r="AD3235">
        <v>1</v>
      </c>
      <c r="AE3235">
        <v>1</v>
      </c>
      <c r="AF3235">
        <v>1</v>
      </c>
      <c r="AG3235">
        <v>1</v>
      </c>
      <c r="AH3235">
        <v>1</v>
      </c>
      <c r="AI3235">
        <v>1</v>
      </c>
      <c r="AJ3235">
        <v>1</v>
      </c>
      <c r="AK3235">
        <v>1</v>
      </c>
      <c r="AL3235">
        <v>1</v>
      </c>
      <c r="AM3235">
        <v>1</v>
      </c>
    </row>
    <row r="3236" spans="1:39" x14ac:dyDescent="0.2">
      <c r="A3236" t="str">
        <f>"3232"</f>
        <v>3232</v>
      </c>
      <c r="B3236" t="str">
        <f t="shared" si="178"/>
        <v>1</v>
      </c>
      <c r="C3236" t="str">
        <f t="shared" si="179"/>
        <v>65</v>
      </c>
      <c r="D3236" t="str">
        <f>"14"</f>
        <v>14</v>
      </c>
      <c r="E3236" t="str">
        <f>"1-65-14"</f>
        <v>1-65-14</v>
      </c>
      <c r="F3236" t="s">
        <v>65</v>
      </c>
      <c r="G3236" t="s">
        <v>66</v>
      </c>
      <c r="H3236" t="s">
        <v>67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0</v>
      </c>
      <c r="AB3236">
        <v>0</v>
      </c>
      <c r="AC3236">
        <v>1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1</v>
      </c>
      <c r="AJ3236">
        <v>0</v>
      </c>
      <c r="AK3236">
        <v>0</v>
      </c>
      <c r="AL3236">
        <v>0</v>
      </c>
      <c r="AM3236">
        <v>0</v>
      </c>
    </row>
    <row r="3237" spans="1:39" x14ac:dyDescent="0.2">
      <c r="A3237" t="str">
        <f>"3233"</f>
        <v>3233</v>
      </c>
      <c r="B3237" t="str">
        <f t="shared" si="178"/>
        <v>1</v>
      </c>
      <c r="C3237" t="str">
        <f t="shared" ref="C3237:C3254" si="180">"65"</f>
        <v>65</v>
      </c>
      <c r="D3237" t="str">
        <f>"41"</f>
        <v>41</v>
      </c>
      <c r="E3237" t="str">
        <f>"1-65-41"</f>
        <v>1-65-41</v>
      </c>
      <c r="F3237" t="s">
        <v>65</v>
      </c>
      <c r="G3237" t="s">
        <v>66</v>
      </c>
      <c r="H3237" t="s">
        <v>67</v>
      </c>
      <c r="S3237">
        <v>0</v>
      </c>
      <c r="T3237">
        <v>1</v>
      </c>
      <c r="U3237">
        <v>0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0</v>
      </c>
      <c r="AB3237">
        <v>0</v>
      </c>
      <c r="AC3237">
        <v>1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</row>
    <row r="3238" spans="1:39" x14ac:dyDescent="0.2">
      <c r="A3238" t="str">
        <f>"3234"</f>
        <v>3234</v>
      </c>
      <c r="B3238" t="str">
        <f t="shared" si="178"/>
        <v>1</v>
      </c>
      <c r="C3238" t="str">
        <f t="shared" si="180"/>
        <v>65</v>
      </c>
      <c r="D3238" t="str">
        <f>"23"</f>
        <v>23</v>
      </c>
      <c r="E3238" t="str">
        <f>"1-65-23"</f>
        <v>1-65-23</v>
      </c>
      <c r="F3238" t="s">
        <v>65</v>
      </c>
      <c r="G3238" t="s">
        <v>66</v>
      </c>
      <c r="H3238" t="s">
        <v>67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1</v>
      </c>
      <c r="Y3238">
        <v>1</v>
      </c>
      <c r="Z3238">
        <v>0</v>
      </c>
      <c r="AA3238">
        <v>0</v>
      </c>
      <c r="AB3238">
        <v>1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</row>
    <row r="3239" spans="1:39" x14ac:dyDescent="0.2">
      <c r="A3239" t="str">
        <f>"3235"</f>
        <v>3235</v>
      </c>
      <c r="B3239" t="str">
        <f t="shared" si="178"/>
        <v>1</v>
      </c>
      <c r="C3239" t="str">
        <f t="shared" si="180"/>
        <v>65</v>
      </c>
      <c r="D3239" t="str">
        <f>"8"</f>
        <v>8</v>
      </c>
      <c r="E3239" t="str">
        <f>"1-65-8"</f>
        <v>1-65-8</v>
      </c>
      <c r="F3239" t="s">
        <v>65</v>
      </c>
      <c r="G3239" t="s">
        <v>66</v>
      </c>
      <c r="H3239" t="s">
        <v>68</v>
      </c>
      <c r="I3239">
        <v>0</v>
      </c>
      <c r="J3239">
        <v>1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</row>
    <row r="3240" spans="1:39" x14ac:dyDescent="0.2">
      <c r="A3240" t="str">
        <f>"3236"</f>
        <v>3236</v>
      </c>
      <c r="B3240" t="str">
        <f t="shared" si="178"/>
        <v>1</v>
      </c>
      <c r="C3240" t="str">
        <f t="shared" si="180"/>
        <v>65</v>
      </c>
      <c r="D3240" t="str">
        <f>"45"</f>
        <v>45</v>
      </c>
      <c r="E3240" t="str">
        <f>"1-65-45"</f>
        <v>1-65-45</v>
      </c>
      <c r="F3240" t="s">
        <v>65</v>
      </c>
      <c r="G3240" t="s">
        <v>66</v>
      </c>
      <c r="H3240" t="s">
        <v>67</v>
      </c>
      <c r="S3240">
        <v>0</v>
      </c>
      <c r="T3240">
        <v>1</v>
      </c>
      <c r="U3240">
        <v>0</v>
      </c>
      <c r="V3240">
        <v>0</v>
      </c>
      <c r="W3240">
        <v>0</v>
      </c>
      <c r="X3240">
        <v>1</v>
      </c>
      <c r="Y3240">
        <v>0</v>
      </c>
      <c r="Z3240">
        <v>1</v>
      </c>
      <c r="AA3240">
        <v>0</v>
      </c>
      <c r="AB3240">
        <v>1</v>
      </c>
      <c r="AC3240">
        <v>0</v>
      </c>
      <c r="AD3240">
        <v>1</v>
      </c>
      <c r="AE3240">
        <v>1</v>
      </c>
      <c r="AF3240">
        <v>1</v>
      </c>
      <c r="AG3240">
        <v>1</v>
      </c>
      <c r="AH3240">
        <v>1</v>
      </c>
      <c r="AI3240">
        <v>1</v>
      </c>
      <c r="AJ3240">
        <v>1</v>
      </c>
      <c r="AK3240">
        <v>1</v>
      </c>
      <c r="AL3240">
        <v>1</v>
      </c>
      <c r="AM3240">
        <v>1</v>
      </c>
    </row>
    <row r="3241" spans="1:39" x14ac:dyDescent="0.2">
      <c r="A3241" t="str">
        <f>"3237"</f>
        <v>3237</v>
      </c>
      <c r="B3241" t="str">
        <f t="shared" si="178"/>
        <v>1</v>
      </c>
      <c r="C3241" t="str">
        <f t="shared" si="180"/>
        <v>65</v>
      </c>
      <c r="D3241" t="str">
        <f>"24"</f>
        <v>24</v>
      </c>
      <c r="E3241" t="str">
        <f>"1-65-24"</f>
        <v>1-65-24</v>
      </c>
      <c r="F3241" t="s">
        <v>65</v>
      </c>
      <c r="G3241" t="s">
        <v>66</v>
      </c>
      <c r="H3241" t="s">
        <v>67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1</v>
      </c>
      <c r="Y3241">
        <v>1</v>
      </c>
      <c r="Z3241">
        <v>0</v>
      </c>
      <c r="AA3241">
        <v>0</v>
      </c>
      <c r="AB3241">
        <v>0</v>
      </c>
      <c r="AC3241">
        <v>1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1</v>
      </c>
      <c r="AJ3241">
        <v>0</v>
      </c>
      <c r="AK3241">
        <v>0</v>
      </c>
      <c r="AL3241">
        <v>1</v>
      </c>
      <c r="AM3241">
        <v>0</v>
      </c>
    </row>
    <row r="3242" spans="1:39" x14ac:dyDescent="0.2">
      <c r="A3242" t="str">
        <f>"3238"</f>
        <v>3238</v>
      </c>
      <c r="B3242" t="str">
        <f t="shared" si="178"/>
        <v>1</v>
      </c>
      <c r="C3242" t="str">
        <f t="shared" si="180"/>
        <v>65</v>
      </c>
      <c r="D3242" t="str">
        <f>"9"</f>
        <v>9</v>
      </c>
      <c r="E3242" t="str">
        <f>"1-65-9"</f>
        <v>1-65-9</v>
      </c>
      <c r="F3242" t="s">
        <v>65</v>
      </c>
      <c r="G3242" t="s">
        <v>66</v>
      </c>
      <c r="H3242" t="s">
        <v>68</v>
      </c>
      <c r="I3242">
        <v>1</v>
      </c>
      <c r="J3242">
        <v>0</v>
      </c>
      <c r="K3242">
        <v>0</v>
      </c>
      <c r="L3242">
        <v>1</v>
      </c>
      <c r="M3242">
        <v>1</v>
      </c>
      <c r="N3242">
        <v>1</v>
      </c>
      <c r="O3242">
        <v>1</v>
      </c>
      <c r="P3242">
        <v>1</v>
      </c>
      <c r="Q3242">
        <v>1</v>
      </c>
      <c r="R3242">
        <v>1</v>
      </c>
    </row>
    <row r="3243" spans="1:39" x14ac:dyDescent="0.2">
      <c r="A3243" t="str">
        <f>"3239"</f>
        <v>3239</v>
      </c>
      <c r="B3243" t="str">
        <f t="shared" si="178"/>
        <v>1</v>
      </c>
      <c r="C3243" t="str">
        <f t="shared" si="180"/>
        <v>65</v>
      </c>
      <c r="D3243" t="str">
        <f>"44"</f>
        <v>44</v>
      </c>
      <c r="E3243" t="str">
        <f>"1-65-44"</f>
        <v>1-65-44</v>
      </c>
      <c r="F3243" t="s">
        <v>65</v>
      </c>
      <c r="G3243" t="s">
        <v>66</v>
      </c>
      <c r="H3243" t="s">
        <v>67</v>
      </c>
      <c r="S3243">
        <v>0</v>
      </c>
      <c r="T3243">
        <v>1</v>
      </c>
      <c r="U3243">
        <v>0</v>
      </c>
      <c r="V3243">
        <v>0</v>
      </c>
      <c r="W3243">
        <v>1</v>
      </c>
      <c r="X3243">
        <v>0</v>
      </c>
      <c r="Y3243">
        <v>0</v>
      </c>
      <c r="Z3243">
        <v>1</v>
      </c>
      <c r="AA3243">
        <v>0</v>
      </c>
      <c r="AB3243">
        <v>1</v>
      </c>
      <c r="AC3243">
        <v>0</v>
      </c>
      <c r="AD3243">
        <v>1</v>
      </c>
      <c r="AE3243">
        <v>1</v>
      </c>
      <c r="AF3243">
        <v>1</v>
      </c>
      <c r="AG3243">
        <v>1</v>
      </c>
      <c r="AH3243">
        <v>1</v>
      </c>
      <c r="AI3243">
        <v>1</v>
      </c>
      <c r="AJ3243">
        <v>1</v>
      </c>
      <c r="AK3243">
        <v>1</v>
      </c>
      <c r="AL3243">
        <v>1</v>
      </c>
      <c r="AM3243">
        <v>1</v>
      </c>
    </row>
    <row r="3244" spans="1:39" x14ac:dyDescent="0.2">
      <c r="A3244" t="str">
        <f>"3240"</f>
        <v>3240</v>
      </c>
      <c r="B3244" t="str">
        <f t="shared" si="178"/>
        <v>1</v>
      </c>
      <c r="C3244" t="str">
        <f t="shared" si="180"/>
        <v>65</v>
      </c>
      <c r="D3244" t="str">
        <f>"26"</f>
        <v>26</v>
      </c>
      <c r="E3244" t="str">
        <f>"1-65-26"</f>
        <v>1-65-26</v>
      </c>
      <c r="F3244" t="s">
        <v>65</v>
      </c>
      <c r="G3244" t="s">
        <v>66</v>
      </c>
      <c r="H3244" t="s">
        <v>67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1</v>
      </c>
      <c r="AI3244">
        <v>1</v>
      </c>
      <c r="AJ3244">
        <v>0</v>
      </c>
      <c r="AK3244">
        <v>0</v>
      </c>
      <c r="AL3244">
        <v>0</v>
      </c>
      <c r="AM3244">
        <v>0</v>
      </c>
    </row>
    <row r="3245" spans="1:39" x14ac:dyDescent="0.2">
      <c r="A3245" t="str">
        <f>"3241"</f>
        <v>3241</v>
      </c>
      <c r="B3245" t="str">
        <f t="shared" si="178"/>
        <v>1</v>
      </c>
      <c r="C3245" t="str">
        <f t="shared" si="180"/>
        <v>65</v>
      </c>
      <c r="D3245" t="str">
        <f>"6"</f>
        <v>6</v>
      </c>
      <c r="E3245" t="str">
        <f>"1-65-6"</f>
        <v>1-65-6</v>
      </c>
      <c r="F3245" t="s">
        <v>65</v>
      </c>
      <c r="G3245" t="s">
        <v>66</v>
      </c>
      <c r="H3245" t="s">
        <v>68</v>
      </c>
      <c r="I3245">
        <v>1</v>
      </c>
      <c r="J3245">
        <v>1</v>
      </c>
      <c r="K3245">
        <v>0</v>
      </c>
      <c r="L3245">
        <v>0</v>
      </c>
      <c r="M3245">
        <v>1</v>
      </c>
      <c r="N3245">
        <v>1</v>
      </c>
      <c r="O3245">
        <v>1</v>
      </c>
      <c r="P3245">
        <v>1</v>
      </c>
      <c r="Q3245">
        <v>1</v>
      </c>
      <c r="R3245">
        <v>1</v>
      </c>
    </row>
    <row r="3246" spans="1:39" x14ac:dyDescent="0.2">
      <c r="A3246" t="str">
        <f>"3242"</f>
        <v>3242</v>
      </c>
      <c r="B3246" t="str">
        <f t="shared" si="178"/>
        <v>1</v>
      </c>
      <c r="C3246" t="str">
        <f t="shared" si="180"/>
        <v>65</v>
      </c>
      <c r="D3246" t="str">
        <f>"49"</f>
        <v>49</v>
      </c>
      <c r="E3246" t="str">
        <f>"1-65-49"</f>
        <v>1-65-49</v>
      </c>
      <c r="F3246" t="s">
        <v>65</v>
      </c>
      <c r="G3246" t="s">
        <v>66</v>
      </c>
      <c r="H3246" t="s">
        <v>67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0</v>
      </c>
      <c r="AB3246">
        <v>0</v>
      </c>
      <c r="AC3246">
        <v>1</v>
      </c>
      <c r="AD3246">
        <v>0</v>
      </c>
      <c r="AE3246">
        <v>0</v>
      </c>
      <c r="AF3246">
        <v>0</v>
      </c>
      <c r="AG3246">
        <v>0</v>
      </c>
      <c r="AH3246">
        <v>1</v>
      </c>
      <c r="AI3246">
        <v>1</v>
      </c>
      <c r="AJ3246">
        <v>1</v>
      </c>
      <c r="AK3246">
        <v>1</v>
      </c>
      <c r="AL3246">
        <v>1</v>
      </c>
      <c r="AM3246">
        <v>1</v>
      </c>
    </row>
    <row r="3247" spans="1:39" x14ac:dyDescent="0.2">
      <c r="A3247" t="str">
        <f>"3243"</f>
        <v>3243</v>
      </c>
      <c r="B3247" t="str">
        <f t="shared" si="178"/>
        <v>1</v>
      </c>
      <c r="C3247" t="str">
        <f t="shared" si="180"/>
        <v>65</v>
      </c>
      <c r="D3247" t="str">
        <f>"28"</f>
        <v>28</v>
      </c>
      <c r="E3247" t="str">
        <f>"1-65-28"</f>
        <v>1-65-28</v>
      </c>
      <c r="F3247" t="s">
        <v>65</v>
      </c>
      <c r="G3247" t="s">
        <v>66</v>
      </c>
      <c r="H3247" t="s">
        <v>67</v>
      </c>
      <c r="S3247">
        <v>1</v>
      </c>
      <c r="T3247">
        <v>0</v>
      </c>
      <c r="U3247">
        <v>0</v>
      </c>
      <c r="V3247">
        <v>0</v>
      </c>
      <c r="W3247">
        <v>1</v>
      </c>
      <c r="X3247">
        <v>0</v>
      </c>
      <c r="Y3247">
        <v>1</v>
      </c>
      <c r="Z3247">
        <v>0</v>
      </c>
      <c r="AA3247">
        <v>0</v>
      </c>
      <c r="AB3247">
        <v>1</v>
      </c>
      <c r="AC3247">
        <v>0</v>
      </c>
      <c r="AD3247">
        <v>1</v>
      </c>
      <c r="AE3247">
        <v>1</v>
      </c>
      <c r="AF3247">
        <v>1</v>
      </c>
      <c r="AG3247">
        <v>1</v>
      </c>
      <c r="AH3247">
        <v>1</v>
      </c>
      <c r="AI3247">
        <v>1</v>
      </c>
      <c r="AJ3247">
        <v>1</v>
      </c>
      <c r="AK3247">
        <v>1</v>
      </c>
      <c r="AL3247">
        <v>1</v>
      </c>
      <c r="AM3247">
        <v>1</v>
      </c>
    </row>
    <row r="3248" spans="1:39" x14ac:dyDescent="0.2">
      <c r="A3248" t="str">
        <f>"3244"</f>
        <v>3244</v>
      </c>
      <c r="B3248" t="str">
        <f t="shared" si="178"/>
        <v>1</v>
      </c>
      <c r="C3248" t="str">
        <f t="shared" si="180"/>
        <v>65</v>
      </c>
      <c r="D3248" t="str">
        <f>"12"</f>
        <v>12</v>
      </c>
      <c r="E3248" t="str">
        <f>"1-65-12"</f>
        <v>1-65-12</v>
      </c>
      <c r="F3248" t="s">
        <v>65</v>
      </c>
      <c r="G3248" t="s">
        <v>66</v>
      </c>
      <c r="H3248" t="s">
        <v>67</v>
      </c>
      <c r="S3248">
        <v>0</v>
      </c>
      <c r="T3248">
        <v>1</v>
      </c>
      <c r="U3248">
        <v>0</v>
      </c>
      <c r="V3248">
        <v>0</v>
      </c>
      <c r="W3248">
        <v>0</v>
      </c>
      <c r="X3248">
        <v>1</v>
      </c>
      <c r="Y3248">
        <v>0</v>
      </c>
      <c r="Z3248">
        <v>1</v>
      </c>
      <c r="AA3248">
        <v>0</v>
      </c>
      <c r="AB3248">
        <v>0</v>
      </c>
      <c r="AC3248">
        <v>1</v>
      </c>
      <c r="AD3248">
        <v>1</v>
      </c>
      <c r="AE3248">
        <v>1</v>
      </c>
      <c r="AF3248">
        <v>1</v>
      </c>
      <c r="AG3248">
        <v>1</v>
      </c>
      <c r="AH3248">
        <v>1</v>
      </c>
      <c r="AI3248">
        <v>1</v>
      </c>
      <c r="AJ3248">
        <v>1</v>
      </c>
      <c r="AK3248">
        <v>1</v>
      </c>
      <c r="AL3248">
        <v>1</v>
      </c>
      <c r="AM3248">
        <v>1</v>
      </c>
    </row>
    <row r="3249" spans="1:39" x14ac:dyDescent="0.2">
      <c r="A3249" t="str">
        <f>"3245"</f>
        <v>3245</v>
      </c>
      <c r="B3249" t="str">
        <f t="shared" si="178"/>
        <v>1</v>
      </c>
      <c r="C3249" t="str">
        <f t="shared" si="180"/>
        <v>65</v>
      </c>
      <c r="D3249" t="str">
        <f>"46"</f>
        <v>46</v>
      </c>
      <c r="E3249" t="str">
        <f>"1-65-46"</f>
        <v>1-65-46</v>
      </c>
      <c r="F3249" t="s">
        <v>65</v>
      </c>
      <c r="G3249" t="s">
        <v>66</v>
      </c>
      <c r="H3249" t="s">
        <v>67</v>
      </c>
      <c r="S3249">
        <v>0</v>
      </c>
      <c r="T3249">
        <v>1</v>
      </c>
      <c r="U3249">
        <v>0</v>
      </c>
      <c r="V3249">
        <v>0</v>
      </c>
      <c r="W3249">
        <v>1</v>
      </c>
      <c r="X3249">
        <v>0</v>
      </c>
      <c r="Y3249">
        <v>1</v>
      </c>
      <c r="Z3249">
        <v>0</v>
      </c>
      <c r="AA3249">
        <v>0</v>
      </c>
      <c r="AB3249">
        <v>0</v>
      </c>
      <c r="AC3249">
        <v>1</v>
      </c>
      <c r="AD3249">
        <v>1</v>
      </c>
      <c r="AE3249">
        <v>1</v>
      </c>
      <c r="AF3249">
        <v>1</v>
      </c>
      <c r="AG3249">
        <v>1</v>
      </c>
      <c r="AH3249">
        <v>1</v>
      </c>
      <c r="AI3249">
        <v>1</v>
      </c>
      <c r="AJ3249">
        <v>1</v>
      </c>
      <c r="AK3249">
        <v>1</v>
      </c>
      <c r="AL3249">
        <v>1</v>
      </c>
      <c r="AM3249">
        <v>1</v>
      </c>
    </row>
    <row r="3250" spans="1:39" x14ac:dyDescent="0.2">
      <c r="A3250" t="str">
        <f>"3246"</f>
        <v>3246</v>
      </c>
      <c r="B3250" t="str">
        <f t="shared" si="178"/>
        <v>1</v>
      </c>
      <c r="C3250" t="str">
        <f t="shared" si="180"/>
        <v>65</v>
      </c>
      <c r="D3250" t="str">
        <f>"29"</f>
        <v>29</v>
      </c>
      <c r="E3250" t="str">
        <f>"1-65-29"</f>
        <v>1-65-29</v>
      </c>
      <c r="F3250" t="s">
        <v>65</v>
      </c>
      <c r="G3250" t="s">
        <v>66</v>
      </c>
      <c r="H3250" t="s">
        <v>67</v>
      </c>
      <c r="S3250">
        <v>1</v>
      </c>
      <c r="T3250">
        <v>0</v>
      </c>
      <c r="U3250">
        <v>0</v>
      </c>
      <c r="V3250">
        <v>0</v>
      </c>
      <c r="W3250">
        <v>1</v>
      </c>
      <c r="X3250">
        <v>0</v>
      </c>
      <c r="Y3250">
        <v>1</v>
      </c>
      <c r="Z3250">
        <v>0</v>
      </c>
      <c r="AA3250">
        <v>0</v>
      </c>
      <c r="AB3250">
        <v>1</v>
      </c>
      <c r="AC3250">
        <v>0</v>
      </c>
      <c r="AD3250">
        <v>1</v>
      </c>
      <c r="AE3250">
        <v>1</v>
      </c>
      <c r="AF3250">
        <v>1</v>
      </c>
      <c r="AG3250">
        <v>1</v>
      </c>
      <c r="AH3250">
        <v>1</v>
      </c>
      <c r="AI3250">
        <v>1</v>
      </c>
      <c r="AJ3250">
        <v>1</v>
      </c>
      <c r="AK3250">
        <v>1</v>
      </c>
      <c r="AL3250">
        <v>1</v>
      </c>
      <c r="AM3250">
        <v>1</v>
      </c>
    </row>
    <row r="3251" spans="1:39" x14ac:dyDescent="0.2">
      <c r="A3251" t="str">
        <f>"3247"</f>
        <v>3247</v>
      </c>
      <c r="B3251" t="str">
        <f t="shared" si="178"/>
        <v>1</v>
      </c>
      <c r="C3251" t="str">
        <f t="shared" si="180"/>
        <v>65</v>
      </c>
      <c r="D3251" t="str">
        <f>"11"</f>
        <v>11</v>
      </c>
      <c r="E3251" t="str">
        <f>"1-65-11"</f>
        <v>1-65-11</v>
      </c>
      <c r="F3251" t="s">
        <v>65</v>
      </c>
      <c r="G3251" t="s">
        <v>66</v>
      </c>
      <c r="H3251" t="s">
        <v>67</v>
      </c>
      <c r="S3251">
        <v>0</v>
      </c>
      <c r="T3251">
        <v>1</v>
      </c>
      <c r="U3251">
        <v>0</v>
      </c>
      <c r="V3251">
        <v>0</v>
      </c>
      <c r="W3251">
        <v>0</v>
      </c>
      <c r="X3251">
        <v>1</v>
      </c>
      <c r="Y3251">
        <v>0</v>
      </c>
      <c r="Z3251">
        <v>1</v>
      </c>
      <c r="AA3251">
        <v>0</v>
      </c>
      <c r="AB3251">
        <v>1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</row>
    <row r="3252" spans="1:39" x14ac:dyDescent="0.2">
      <c r="A3252" t="str">
        <f>"3248"</f>
        <v>3248</v>
      </c>
      <c r="B3252" t="str">
        <f t="shared" si="178"/>
        <v>1</v>
      </c>
      <c r="C3252" t="str">
        <f t="shared" si="180"/>
        <v>65</v>
      </c>
      <c r="D3252" t="str">
        <f>"30"</f>
        <v>30</v>
      </c>
      <c r="E3252" t="str">
        <f>"1-65-30"</f>
        <v>1-65-30</v>
      </c>
      <c r="F3252" t="s">
        <v>65</v>
      </c>
      <c r="G3252" t="s">
        <v>66</v>
      </c>
      <c r="H3252" t="s">
        <v>67</v>
      </c>
      <c r="S3252">
        <v>0</v>
      </c>
      <c r="T3252">
        <v>1</v>
      </c>
      <c r="U3252">
        <v>0</v>
      </c>
      <c r="V3252">
        <v>0</v>
      </c>
      <c r="W3252">
        <v>0</v>
      </c>
      <c r="X3252">
        <v>1</v>
      </c>
      <c r="Y3252">
        <v>1</v>
      </c>
      <c r="Z3252">
        <v>0</v>
      </c>
      <c r="AA3252">
        <v>0</v>
      </c>
      <c r="AB3252">
        <v>1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</row>
    <row r="3253" spans="1:39" x14ac:dyDescent="0.2">
      <c r="A3253" t="str">
        <f>"3249"</f>
        <v>3249</v>
      </c>
      <c r="B3253" t="str">
        <f t="shared" si="178"/>
        <v>1</v>
      </c>
      <c r="C3253" t="str">
        <f t="shared" si="180"/>
        <v>65</v>
      </c>
      <c r="D3253" t="str">
        <f>"3"</f>
        <v>3</v>
      </c>
      <c r="E3253" t="str">
        <f>"1-65-3"</f>
        <v>1-65-3</v>
      </c>
      <c r="F3253" t="s">
        <v>65</v>
      </c>
      <c r="G3253" t="s">
        <v>66</v>
      </c>
      <c r="H3253" t="s">
        <v>68</v>
      </c>
      <c r="I3253">
        <v>1</v>
      </c>
      <c r="J3253">
        <v>0</v>
      </c>
      <c r="K3253">
        <v>0</v>
      </c>
      <c r="L3253">
        <v>1</v>
      </c>
      <c r="M3253">
        <v>1</v>
      </c>
      <c r="N3253">
        <v>1</v>
      </c>
      <c r="O3253">
        <v>1</v>
      </c>
      <c r="P3253">
        <v>1</v>
      </c>
      <c r="Q3253">
        <v>1</v>
      </c>
      <c r="R3253">
        <v>1</v>
      </c>
    </row>
    <row r="3254" spans="1:39" x14ac:dyDescent="0.2">
      <c r="A3254" t="str">
        <f>"3250"</f>
        <v>3250</v>
      </c>
      <c r="B3254" t="str">
        <f t="shared" si="178"/>
        <v>1</v>
      </c>
      <c r="C3254" t="str">
        <f t="shared" si="180"/>
        <v>65</v>
      </c>
      <c r="D3254" t="str">
        <f>"2"</f>
        <v>2</v>
      </c>
      <c r="E3254" t="str">
        <f>"1-65-2"</f>
        <v>1-65-2</v>
      </c>
      <c r="F3254" t="s">
        <v>65</v>
      </c>
      <c r="G3254" t="s">
        <v>66</v>
      </c>
      <c r="H3254" t="s">
        <v>68</v>
      </c>
      <c r="I3254">
        <v>1</v>
      </c>
      <c r="J3254">
        <v>0</v>
      </c>
      <c r="K3254">
        <v>0</v>
      </c>
      <c r="L3254">
        <v>1</v>
      </c>
      <c r="M3254">
        <v>1</v>
      </c>
      <c r="N3254">
        <v>1</v>
      </c>
      <c r="O3254">
        <v>1</v>
      </c>
      <c r="P3254">
        <v>1</v>
      </c>
      <c r="Q3254">
        <v>0</v>
      </c>
      <c r="R3254">
        <v>1</v>
      </c>
    </row>
    <row r="3255" spans="1:39" x14ac:dyDescent="0.2">
      <c r="A3255" t="str">
        <f>"3251"</f>
        <v>3251</v>
      </c>
      <c r="B3255" t="str">
        <f t="shared" ref="B3255:B3318" si="181">"1"</f>
        <v>1</v>
      </c>
      <c r="C3255" t="str">
        <f t="shared" ref="C3255:C3286" si="182">"66"</f>
        <v>66</v>
      </c>
      <c r="D3255" t="str">
        <f>"36"</f>
        <v>36</v>
      </c>
      <c r="E3255" t="str">
        <f>"1-66-36"</f>
        <v>1-66-36</v>
      </c>
      <c r="F3255" t="s">
        <v>65</v>
      </c>
      <c r="G3255" t="s">
        <v>66</v>
      </c>
      <c r="H3255" t="s">
        <v>67</v>
      </c>
      <c r="S3255">
        <v>1</v>
      </c>
      <c r="T3255">
        <v>0</v>
      </c>
      <c r="U3255">
        <v>0</v>
      </c>
      <c r="V3255">
        <v>0</v>
      </c>
      <c r="W3255">
        <v>1</v>
      </c>
      <c r="X3255">
        <v>0</v>
      </c>
      <c r="Y3255">
        <v>0</v>
      </c>
      <c r="Z3255">
        <v>1</v>
      </c>
      <c r="AA3255">
        <v>1</v>
      </c>
      <c r="AB3255">
        <v>0</v>
      </c>
      <c r="AC3255">
        <v>0</v>
      </c>
      <c r="AD3255">
        <v>1</v>
      </c>
      <c r="AE3255">
        <v>1</v>
      </c>
      <c r="AF3255">
        <v>1</v>
      </c>
      <c r="AG3255">
        <v>1</v>
      </c>
      <c r="AH3255">
        <v>1</v>
      </c>
      <c r="AI3255">
        <v>1</v>
      </c>
      <c r="AJ3255">
        <v>1</v>
      </c>
      <c r="AK3255">
        <v>1</v>
      </c>
      <c r="AL3255">
        <v>1</v>
      </c>
      <c r="AM3255">
        <v>1</v>
      </c>
    </row>
    <row r="3256" spans="1:39" x14ac:dyDescent="0.2">
      <c r="A3256" t="str">
        <f>"3252"</f>
        <v>3252</v>
      </c>
      <c r="B3256" t="str">
        <f t="shared" si="181"/>
        <v>1</v>
      </c>
      <c r="C3256" t="str">
        <f t="shared" si="182"/>
        <v>66</v>
      </c>
      <c r="D3256" t="str">
        <f>"35"</f>
        <v>35</v>
      </c>
      <c r="E3256" t="str">
        <f>"1-66-35"</f>
        <v>1-66-35</v>
      </c>
      <c r="F3256" t="s">
        <v>65</v>
      </c>
      <c r="G3256" t="s">
        <v>66</v>
      </c>
      <c r="H3256" t="s">
        <v>67</v>
      </c>
      <c r="S3256">
        <v>0</v>
      </c>
      <c r="T3256">
        <v>1</v>
      </c>
      <c r="U3256">
        <v>0</v>
      </c>
      <c r="V3256">
        <v>0</v>
      </c>
      <c r="W3256">
        <v>1</v>
      </c>
      <c r="X3256">
        <v>0</v>
      </c>
      <c r="Y3256">
        <v>1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1</v>
      </c>
      <c r="AF3256">
        <v>1</v>
      </c>
      <c r="AG3256">
        <v>1</v>
      </c>
      <c r="AH3256">
        <v>1</v>
      </c>
      <c r="AI3256">
        <v>1</v>
      </c>
      <c r="AJ3256">
        <v>1</v>
      </c>
      <c r="AK3256">
        <v>1</v>
      </c>
      <c r="AL3256">
        <v>1</v>
      </c>
      <c r="AM3256">
        <v>1</v>
      </c>
    </row>
    <row r="3257" spans="1:39" x14ac:dyDescent="0.2">
      <c r="A3257" t="str">
        <f>"3253"</f>
        <v>3253</v>
      </c>
      <c r="B3257" t="str">
        <f t="shared" si="181"/>
        <v>1</v>
      </c>
      <c r="C3257" t="str">
        <f t="shared" si="182"/>
        <v>66</v>
      </c>
      <c r="D3257" t="str">
        <f>"21"</f>
        <v>21</v>
      </c>
      <c r="E3257" t="str">
        <f>"1-66-21"</f>
        <v>1-66-21</v>
      </c>
      <c r="F3257" t="s">
        <v>65</v>
      </c>
      <c r="G3257" t="s">
        <v>66</v>
      </c>
      <c r="H3257" t="s">
        <v>67</v>
      </c>
      <c r="S3257">
        <v>0</v>
      </c>
      <c r="T3257">
        <v>1</v>
      </c>
      <c r="U3257">
        <v>0</v>
      </c>
      <c r="V3257">
        <v>0</v>
      </c>
      <c r="W3257">
        <v>0</v>
      </c>
      <c r="X3257">
        <v>1</v>
      </c>
      <c r="Y3257">
        <v>0</v>
      </c>
      <c r="Z3257">
        <v>1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</row>
    <row r="3258" spans="1:39" x14ac:dyDescent="0.2">
      <c r="A3258" t="str">
        <f>"3254"</f>
        <v>3254</v>
      </c>
      <c r="B3258" t="str">
        <f t="shared" si="181"/>
        <v>1</v>
      </c>
      <c r="C3258" t="str">
        <f t="shared" si="182"/>
        <v>66</v>
      </c>
      <c r="D3258" t="str">
        <f>"13"</f>
        <v>13</v>
      </c>
      <c r="E3258" t="str">
        <f>"1-66-13"</f>
        <v>1-66-13</v>
      </c>
      <c r="F3258" t="s">
        <v>65</v>
      </c>
      <c r="G3258" t="s">
        <v>66</v>
      </c>
      <c r="H3258" t="s">
        <v>67</v>
      </c>
      <c r="S3258">
        <v>0</v>
      </c>
      <c r="T3258">
        <v>1</v>
      </c>
      <c r="U3258">
        <v>0</v>
      </c>
      <c r="V3258">
        <v>0</v>
      </c>
      <c r="W3258">
        <v>1</v>
      </c>
      <c r="X3258">
        <v>0</v>
      </c>
      <c r="Y3258">
        <v>1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1</v>
      </c>
      <c r="AF3258">
        <v>1</v>
      </c>
      <c r="AG3258">
        <v>1</v>
      </c>
      <c r="AH3258">
        <v>1</v>
      </c>
      <c r="AI3258">
        <v>1</v>
      </c>
      <c r="AJ3258">
        <v>1</v>
      </c>
      <c r="AK3258">
        <v>1</v>
      </c>
      <c r="AL3258">
        <v>1</v>
      </c>
      <c r="AM3258">
        <v>1</v>
      </c>
    </row>
    <row r="3259" spans="1:39" x14ac:dyDescent="0.2">
      <c r="A3259" t="str">
        <f>"3255"</f>
        <v>3255</v>
      </c>
      <c r="B3259" t="str">
        <f t="shared" si="181"/>
        <v>1</v>
      </c>
      <c r="C3259" t="str">
        <f t="shared" si="182"/>
        <v>66</v>
      </c>
      <c r="D3259" t="str">
        <f>"1"</f>
        <v>1</v>
      </c>
      <c r="E3259" t="str">
        <f>"1-66-1"</f>
        <v>1-66-1</v>
      </c>
      <c r="F3259" t="s">
        <v>65</v>
      </c>
      <c r="G3259" t="s">
        <v>66</v>
      </c>
      <c r="H3259" t="s">
        <v>68</v>
      </c>
      <c r="I3259">
        <v>1</v>
      </c>
      <c r="J3259">
        <v>0</v>
      </c>
      <c r="K3259">
        <v>0</v>
      </c>
      <c r="L3259">
        <v>1</v>
      </c>
      <c r="M3259">
        <v>1</v>
      </c>
      <c r="N3259">
        <v>1</v>
      </c>
      <c r="O3259">
        <v>1</v>
      </c>
      <c r="P3259">
        <v>1</v>
      </c>
      <c r="Q3259">
        <v>1</v>
      </c>
      <c r="R3259">
        <v>1</v>
      </c>
    </row>
    <row r="3260" spans="1:39" x14ac:dyDescent="0.2">
      <c r="A3260" t="str">
        <f>"3256"</f>
        <v>3256</v>
      </c>
      <c r="B3260" t="str">
        <f t="shared" si="181"/>
        <v>1</v>
      </c>
      <c r="C3260" t="str">
        <f t="shared" si="182"/>
        <v>66</v>
      </c>
      <c r="D3260" t="str">
        <f>"45"</f>
        <v>45</v>
      </c>
      <c r="E3260" t="str">
        <f>"1-66-45"</f>
        <v>1-66-45</v>
      </c>
      <c r="F3260" t="s">
        <v>65</v>
      </c>
      <c r="G3260" t="s">
        <v>66</v>
      </c>
      <c r="H3260" t="s">
        <v>67</v>
      </c>
      <c r="S3260">
        <v>1</v>
      </c>
      <c r="T3260">
        <v>0</v>
      </c>
      <c r="U3260">
        <v>0</v>
      </c>
      <c r="V3260">
        <v>0</v>
      </c>
      <c r="W3260">
        <v>1</v>
      </c>
      <c r="X3260">
        <v>0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1</v>
      </c>
      <c r="AF3260">
        <v>1</v>
      </c>
      <c r="AG3260">
        <v>1</v>
      </c>
      <c r="AH3260">
        <v>1</v>
      </c>
      <c r="AI3260">
        <v>1</v>
      </c>
      <c r="AJ3260">
        <v>1</v>
      </c>
      <c r="AK3260">
        <v>1</v>
      </c>
      <c r="AL3260">
        <v>1</v>
      </c>
      <c r="AM3260">
        <v>1</v>
      </c>
    </row>
    <row r="3261" spans="1:39" x14ac:dyDescent="0.2">
      <c r="A3261" t="str">
        <f>"3257"</f>
        <v>3257</v>
      </c>
      <c r="B3261" t="str">
        <f t="shared" si="181"/>
        <v>1</v>
      </c>
      <c r="C3261" t="str">
        <f t="shared" si="182"/>
        <v>66</v>
      </c>
      <c r="D3261" t="str">
        <f>"44"</f>
        <v>44</v>
      </c>
      <c r="E3261" t="str">
        <f>"1-66-44"</f>
        <v>1-66-44</v>
      </c>
      <c r="F3261" t="s">
        <v>65</v>
      </c>
      <c r="G3261" t="s">
        <v>66</v>
      </c>
      <c r="H3261" t="s">
        <v>67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</row>
    <row r="3262" spans="1:39" x14ac:dyDescent="0.2">
      <c r="A3262" t="str">
        <f>"3258"</f>
        <v>3258</v>
      </c>
      <c r="B3262" t="str">
        <f t="shared" si="181"/>
        <v>1</v>
      </c>
      <c r="C3262" t="str">
        <f t="shared" si="182"/>
        <v>66</v>
      </c>
      <c r="D3262" t="str">
        <f>"31"</f>
        <v>31</v>
      </c>
      <c r="E3262" t="str">
        <f>"1-66-31"</f>
        <v>1-66-31</v>
      </c>
      <c r="F3262" t="s">
        <v>65</v>
      </c>
      <c r="G3262" t="s">
        <v>66</v>
      </c>
      <c r="H3262" t="s">
        <v>67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1</v>
      </c>
      <c r="Y3262">
        <v>0</v>
      </c>
      <c r="Z3262">
        <v>1</v>
      </c>
      <c r="AA3262">
        <v>0</v>
      </c>
      <c r="AB3262">
        <v>0</v>
      </c>
      <c r="AC3262">
        <v>1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</row>
    <row r="3263" spans="1:39" x14ac:dyDescent="0.2">
      <c r="A3263" t="str">
        <f>"3259"</f>
        <v>3259</v>
      </c>
      <c r="B3263" t="str">
        <f t="shared" si="181"/>
        <v>1</v>
      </c>
      <c r="C3263" t="str">
        <f t="shared" si="182"/>
        <v>66</v>
      </c>
      <c r="D3263" t="str">
        <f>"16"</f>
        <v>16</v>
      </c>
      <c r="E3263" t="str">
        <f>"1-66-16"</f>
        <v>1-66-16</v>
      </c>
      <c r="F3263" t="s">
        <v>65</v>
      </c>
      <c r="G3263" t="s">
        <v>66</v>
      </c>
      <c r="H3263" t="s">
        <v>67</v>
      </c>
      <c r="S3263">
        <v>0</v>
      </c>
      <c r="T3263">
        <v>1</v>
      </c>
      <c r="U3263">
        <v>0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0</v>
      </c>
      <c r="AB3263">
        <v>1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</row>
    <row r="3264" spans="1:39" x14ac:dyDescent="0.2">
      <c r="A3264" t="str">
        <f>"3260"</f>
        <v>3260</v>
      </c>
      <c r="B3264" t="str">
        <f t="shared" si="181"/>
        <v>1</v>
      </c>
      <c r="C3264" t="str">
        <f t="shared" si="182"/>
        <v>66</v>
      </c>
      <c r="D3264" t="str">
        <f>"2"</f>
        <v>2</v>
      </c>
      <c r="E3264" t="str">
        <f>"1-66-2"</f>
        <v>1-66-2</v>
      </c>
      <c r="F3264" t="s">
        <v>65</v>
      </c>
      <c r="G3264" t="s">
        <v>66</v>
      </c>
      <c r="H3264" t="s">
        <v>68</v>
      </c>
      <c r="I3264">
        <v>1</v>
      </c>
      <c r="J3264">
        <v>1</v>
      </c>
      <c r="K3264">
        <v>0</v>
      </c>
      <c r="L3264">
        <v>0</v>
      </c>
      <c r="M3264">
        <v>1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39" x14ac:dyDescent="0.2">
      <c r="A3265" t="str">
        <f>"3261"</f>
        <v>3261</v>
      </c>
      <c r="B3265" t="str">
        <f t="shared" si="181"/>
        <v>1</v>
      </c>
      <c r="C3265" t="str">
        <f t="shared" si="182"/>
        <v>66</v>
      </c>
      <c r="D3265" t="str">
        <f>"40"</f>
        <v>40</v>
      </c>
      <c r="E3265" t="str">
        <f>"1-66-40"</f>
        <v>1-66-40</v>
      </c>
      <c r="F3265" t="s">
        <v>65</v>
      </c>
      <c r="G3265" t="s">
        <v>66</v>
      </c>
      <c r="H3265" t="s">
        <v>67</v>
      </c>
      <c r="S3265">
        <v>1</v>
      </c>
      <c r="T3265">
        <v>0</v>
      </c>
      <c r="U3265">
        <v>0</v>
      </c>
      <c r="V3265">
        <v>0</v>
      </c>
      <c r="W3265">
        <v>0</v>
      </c>
      <c r="X3265">
        <v>1</v>
      </c>
      <c r="Y3265">
        <v>0</v>
      </c>
      <c r="Z3265">
        <v>1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</row>
    <row r="3266" spans="1:39" x14ac:dyDescent="0.2">
      <c r="A3266" t="str">
        <f>"3262"</f>
        <v>3262</v>
      </c>
      <c r="B3266" t="str">
        <f t="shared" si="181"/>
        <v>1</v>
      </c>
      <c r="C3266" t="str">
        <f t="shared" si="182"/>
        <v>66</v>
      </c>
      <c r="D3266" t="str">
        <f>"39"</f>
        <v>39</v>
      </c>
      <c r="E3266" t="str">
        <f>"1-66-39"</f>
        <v>1-66-39</v>
      </c>
      <c r="F3266" t="s">
        <v>65</v>
      </c>
      <c r="G3266" t="s">
        <v>66</v>
      </c>
      <c r="H3266" t="s">
        <v>67</v>
      </c>
      <c r="S3266">
        <v>0</v>
      </c>
      <c r="T3266">
        <v>1</v>
      </c>
      <c r="U3266">
        <v>0</v>
      </c>
      <c r="V3266">
        <v>0</v>
      </c>
      <c r="W3266">
        <v>0</v>
      </c>
      <c r="X3266">
        <v>1</v>
      </c>
      <c r="Y3266">
        <v>1</v>
      </c>
      <c r="Z3266">
        <v>0</v>
      </c>
      <c r="AA3266">
        <v>0</v>
      </c>
      <c r="AB3266">
        <v>1</v>
      </c>
      <c r="AC3266">
        <v>0</v>
      </c>
      <c r="AD3266">
        <v>1</v>
      </c>
      <c r="AE3266">
        <v>1</v>
      </c>
      <c r="AF3266">
        <v>1</v>
      </c>
      <c r="AG3266">
        <v>1</v>
      </c>
      <c r="AH3266">
        <v>1</v>
      </c>
      <c r="AI3266">
        <v>1</v>
      </c>
      <c r="AJ3266">
        <v>1</v>
      </c>
      <c r="AK3266">
        <v>1</v>
      </c>
      <c r="AL3266">
        <v>1</v>
      </c>
      <c r="AM3266">
        <v>1</v>
      </c>
    </row>
    <row r="3267" spans="1:39" x14ac:dyDescent="0.2">
      <c r="A3267" t="str">
        <f>"3263"</f>
        <v>3263</v>
      </c>
      <c r="B3267" t="str">
        <f t="shared" si="181"/>
        <v>1</v>
      </c>
      <c r="C3267" t="str">
        <f t="shared" si="182"/>
        <v>66</v>
      </c>
      <c r="D3267" t="str">
        <f>"29"</f>
        <v>29</v>
      </c>
      <c r="E3267" t="str">
        <f>"1-66-29"</f>
        <v>1-66-29</v>
      </c>
      <c r="F3267" t="s">
        <v>65</v>
      </c>
      <c r="G3267" t="s">
        <v>66</v>
      </c>
      <c r="H3267" t="s">
        <v>67</v>
      </c>
      <c r="S3267">
        <v>0</v>
      </c>
      <c r="T3267">
        <v>1</v>
      </c>
      <c r="U3267">
        <v>0</v>
      </c>
      <c r="V3267">
        <v>0</v>
      </c>
      <c r="W3267">
        <v>1</v>
      </c>
      <c r="X3267">
        <v>0</v>
      </c>
      <c r="Y3267">
        <v>0</v>
      </c>
      <c r="Z3267">
        <v>1</v>
      </c>
      <c r="AA3267">
        <v>1</v>
      </c>
      <c r="AB3267">
        <v>0</v>
      </c>
      <c r="AC3267">
        <v>0</v>
      </c>
      <c r="AD3267">
        <v>1</v>
      </c>
      <c r="AE3267">
        <v>1</v>
      </c>
      <c r="AF3267">
        <v>1</v>
      </c>
      <c r="AG3267">
        <v>1</v>
      </c>
      <c r="AH3267">
        <v>1</v>
      </c>
      <c r="AI3267">
        <v>1</v>
      </c>
      <c r="AJ3267">
        <v>1</v>
      </c>
      <c r="AK3267">
        <v>1</v>
      </c>
      <c r="AL3267">
        <v>1</v>
      </c>
      <c r="AM3267">
        <v>1</v>
      </c>
    </row>
    <row r="3268" spans="1:39" x14ac:dyDescent="0.2">
      <c r="A3268" t="str">
        <f>"3264"</f>
        <v>3264</v>
      </c>
      <c r="B3268" t="str">
        <f t="shared" si="181"/>
        <v>1</v>
      </c>
      <c r="C3268" t="str">
        <f t="shared" si="182"/>
        <v>66</v>
      </c>
      <c r="D3268" t="str">
        <f>"17"</f>
        <v>17</v>
      </c>
      <c r="E3268" t="str">
        <f>"1-66-17"</f>
        <v>1-66-17</v>
      </c>
      <c r="F3268" t="s">
        <v>65</v>
      </c>
      <c r="G3268" t="s">
        <v>66</v>
      </c>
      <c r="H3268" t="s">
        <v>67</v>
      </c>
      <c r="S3268">
        <v>0</v>
      </c>
      <c r="T3268">
        <v>1</v>
      </c>
      <c r="U3268">
        <v>0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0</v>
      </c>
      <c r="AB3268">
        <v>0</v>
      </c>
      <c r="AC3268">
        <v>1</v>
      </c>
      <c r="AD3268">
        <v>1</v>
      </c>
      <c r="AE3268">
        <v>0</v>
      </c>
      <c r="AF3268">
        <v>1</v>
      </c>
      <c r="AG3268">
        <v>1</v>
      </c>
      <c r="AH3268">
        <v>1</v>
      </c>
      <c r="AI3268">
        <v>1</v>
      </c>
      <c r="AJ3268">
        <v>1</v>
      </c>
      <c r="AK3268">
        <v>1</v>
      </c>
      <c r="AL3268">
        <v>1</v>
      </c>
      <c r="AM3268">
        <v>1</v>
      </c>
    </row>
    <row r="3269" spans="1:39" x14ac:dyDescent="0.2">
      <c r="A3269" t="str">
        <f>"3265"</f>
        <v>3265</v>
      </c>
      <c r="B3269" t="str">
        <f t="shared" si="181"/>
        <v>1</v>
      </c>
      <c r="C3269" t="str">
        <f t="shared" si="182"/>
        <v>66</v>
      </c>
      <c r="D3269" t="str">
        <f>"5"</f>
        <v>5</v>
      </c>
      <c r="E3269" t="str">
        <f>"1-66-5"</f>
        <v>1-66-5</v>
      </c>
      <c r="F3269" t="s">
        <v>65</v>
      </c>
      <c r="G3269" t="s">
        <v>66</v>
      </c>
      <c r="H3269" t="s">
        <v>67</v>
      </c>
      <c r="S3269">
        <v>0</v>
      </c>
      <c r="T3269">
        <v>1</v>
      </c>
      <c r="U3269">
        <v>0</v>
      </c>
      <c r="V3269">
        <v>0</v>
      </c>
      <c r="W3269">
        <v>0</v>
      </c>
      <c r="X3269">
        <v>1</v>
      </c>
      <c r="Y3269">
        <v>0</v>
      </c>
      <c r="Z3269">
        <v>1</v>
      </c>
      <c r="AA3269">
        <v>0</v>
      </c>
      <c r="AB3269">
        <v>1</v>
      </c>
      <c r="AC3269">
        <v>0</v>
      </c>
      <c r="AD3269">
        <v>1</v>
      </c>
      <c r="AE3269">
        <v>1</v>
      </c>
      <c r="AF3269">
        <v>1</v>
      </c>
      <c r="AG3269">
        <v>1</v>
      </c>
      <c r="AH3269">
        <v>1</v>
      </c>
      <c r="AI3269">
        <v>1</v>
      </c>
      <c r="AJ3269">
        <v>1</v>
      </c>
      <c r="AK3269">
        <v>1</v>
      </c>
      <c r="AL3269">
        <v>1</v>
      </c>
      <c r="AM3269">
        <v>1</v>
      </c>
    </row>
    <row r="3270" spans="1:39" x14ac:dyDescent="0.2">
      <c r="A3270" t="str">
        <f>"3266"</f>
        <v>3266</v>
      </c>
      <c r="B3270" t="str">
        <f t="shared" si="181"/>
        <v>1</v>
      </c>
      <c r="C3270" t="str">
        <f t="shared" si="182"/>
        <v>66</v>
      </c>
      <c r="D3270" t="str">
        <f>"48"</f>
        <v>48</v>
      </c>
      <c r="E3270" t="str">
        <f>"1-66-48"</f>
        <v>1-66-48</v>
      </c>
      <c r="F3270" t="s">
        <v>65</v>
      </c>
      <c r="G3270" t="s">
        <v>66</v>
      </c>
      <c r="H3270" t="s">
        <v>67</v>
      </c>
      <c r="S3270">
        <v>0</v>
      </c>
      <c r="T3270">
        <v>1</v>
      </c>
      <c r="U3270">
        <v>0</v>
      </c>
      <c r="V3270">
        <v>0</v>
      </c>
      <c r="W3270">
        <v>0</v>
      </c>
      <c r="X3270">
        <v>1</v>
      </c>
      <c r="Y3270">
        <v>1</v>
      </c>
      <c r="Z3270">
        <v>0</v>
      </c>
      <c r="AA3270">
        <v>0</v>
      </c>
      <c r="AB3270">
        <v>0</v>
      </c>
      <c r="AC3270">
        <v>1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</row>
    <row r="3271" spans="1:39" x14ac:dyDescent="0.2">
      <c r="A3271" t="str">
        <f>"3267"</f>
        <v>3267</v>
      </c>
      <c r="B3271" t="str">
        <f t="shared" si="181"/>
        <v>1</v>
      </c>
      <c r="C3271" t="str">
        <f t="shared" si="182"/>
        <v>66</v>
      </c>
      <c r="D3271" t="str">
        <f>"47"</f>
        <v>47</v>
      </c>
      <c r="E3271" t="str">
        <f>"1-66-47"</f>
        <v>1-66-47</v>
      </c>
      <c r="F3271" t="s">
        <v>65</v>
      </c>
      <c r="G3271" t="s">
        <v>66</v>
      </c>
      <c r="H3271" t="s">
        <v>67</v>
      </c>
      <c r="S3271">
        <v>0</v>
      </c>
      <c r="T3271">
        <v>1</v>
      </c>
      <c r="U3271">
        <v>0</v>
      </c>
      <c r="V3271">
        <v>0</v>
      </c>
      <c r="W3271">
        <v>1</v>
      </c>
      <c r="X3271">
        <v>0</v>
      </c>
      <c r="Y3271">
        <v>1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1</v>
      </c>
      <c r="AF3271">
        <v>1</v>
      </c>
      <c r="AG3271">
        <v>1</v>
      </c>
      <c r="AH3271">
        <v>1</v>
      </c>
      <c r="AI3271">
        <v>1</v>
      </c>
      <c r="AJ3271">
        <v>1</v>
      </c>
      <c r="AK3271">
        <v>1</v>
      </c>
      <c r="AL3271">
        <v>1</v>
      </c>
      <c r="AM3271">
        <v>1</v>
      </c>
    </row>
    <row r="3272" spans="1:39" x14ac:dyDescent="0.2">
      <c r="A3272" t="str">
        <f>"3268"</f>
        <v>3268</v>
      </c>
      <c r="B3272" t="str">
        <f t="shared" si="181"/>
        <v>1</v>
      </c>
      <c r="C3272" t="str">
        <f t="shared" si="182"/>
        <v>66</v>
      </c>
      <c r="D3272" t="str">
        <f>"32"</f>
        <v>32</v>
      </c>
      <c r="E3272" t="str">
        <f>"1-66-32"</f>
        <v>1-66-32</v>
      </c>
      <c r="F3272" t="s">
        <v>65</v>
      </c>
      <c r="G3272" t="s">
        <v>66</v>
      </c>
      <c r="H3272" t="s">
        <v>67</v>
      </c>
      <c r="S3272">
        <v>1</v>
      </c>
      <c r="T3272">
        <v>0</v>
      </c>
      <c r="U3272">
        <v>0</v>
      </c>
      <c r="V3272">
        <v>0</v>
      </c>
      <c r="W3272">
        <v>1</v>
      </c>
      <c r="X3272">
        <v>0</v>
      </c>
      <c r="Y3272">
        <v>1</v>
      </c>
      <c r="Z3272">
        <v>0</v>
      </c>
      <c r="AA3272">
        <v>1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</row>
    <row r="3273" spans="1:39" x14ac:dyDescent="0.2">
      <c r="A3273" t="str">
        <f>"3269"</f>
        <v>3269</v>
      </c>
      <c r="B3273" t="str">
        <f t="shared" si="181"/>
        <v>1</v>
      </c>
      <c r="C3273" t="str">
        <f t="shared" si="182"/>
        <v>66</v>
      </c>
      <c r="D3273" t="str">
        <f>"18"</f>
        <v>18</v>
      </c>
      <c r="E3273" t="str">
        <f>"1-66-18"</f>
        <v>1-66-18</v>
      </c>
      <c r="F3273" t="s">
        <v>65</v>
      </c>
      <c r="G3273" t="s">
        <v>66</v>
      </c>
      <c r="H3273" t="s">
        <v>67</v>
      </c>
      <c r="S3273">
        <v>0</v>
      </c>
      <c r="T3273">
        <v>1</v>
      </c>
      <c r="U3273">
        <v>0</v>
      </c>
      <c r="V3273">
        <v>0</v>
      </c>
      <c r="W3273">
        <v>0</v>
      </c>
      <c r="X3273">
        <v>1</v>
      </c>
      <c r="Y3273">
        <v>0</v>
      </c>
      <c r="Z3273">
        <v>1</v>
      </c>
      <c r="AA3273">
        <v>0</v>
      </c>
      <c r="AB3273">
        <v>0</v>
      </c>
      <c r="AC3273">
        <v>1</v>
      </c>
      <c r="AD3273">
        <v>1</v>
      </c>
      <c r="AE3273">
        <v>1</v>
      </c>
      <c r="AF3273">
        <v>1</v>
      </c>
      <c r="AG3273">
        <v>1</v>
      </c>
      <c r="AH3273">
        <v>1</v>
      </c>
      <c r="AI3273">
        <v>1</v>
      </c>
      <c r="AJ3273">
        <v>1</v>
      </c>
      <c r="AK3273">
        <v>1</v>
      </c>
      <c r="AL3273">
        <v>1</v>
      </c>
      <c r="AM3273">
        <v>1</v>
      </c>
    </row>
    <row r="3274" spans="1:39" x14ac:dyDescent="0.2">
      <c r="A3274" t="str">
        <f>"3270"</f>
        <v>3270</v>
      </c>
      <c r="B3274" t="str">
        <f t="shared" si="181"/>
        <v>1</v>
      </c>
      <c r="C3274" t="str">
        <f t="shared" si="182"/>
        <v>66</v>
      </c>
      <c r="D3274" t="str">
        <f>"4"</f>
        <v>4</v>
      </c>
      <c r="E3274" t="str">
        <f>"1-66-4"</f>
        <v>1-66-4</v>
      </c>
      <c r="F3274" t="s">
        <v>65</v>
      </c>
      <c r="G3274" t="s">
        <v>66</v>
      </c>
      <c r="H3274" t="s">
        <v>67</v>
      </c>
      <c r="S3274">
        <v>1</v>
      </c>
      <c r="T3274">
        <v>0</v>
      </c>
      <c r="U3274">
        <v>0</v>
      </c>
      <c r="V3274">
        <v>0</v>
      </c>
      <c r="W3274">
        <v>1</v>
      </c>
      <c r="X3274">
        <v>0</v>
      </c>
      <c r="Y3274">
        <v>0</v>
      </c>
      <c r="Z3274">
        <v>1</v>
      </c>
      <c r="AA3274">
        <v>0</v>
      </c>
      <c r="AB3274">
        <v>1</v>
      </c>
      <c r="AC3274">
        <v>0</v>
      </c>
      <c r="AD3274">
        <v>1</v>
      </c>
      <c r="AE3274">
        <v>0</v>
      </c>
      <c r="AF3274">
        <v>1</v>
      </c>
      <c r="AG3274">
        <v>1</v>
      </c>
      <c r="AH3274">
        <v>1</v>
      </c>
      <c r="AI3274">
        <v>1</v>
      </c>
      <c r="AJ3274">
        <v>1</v>
      </c>
      <c r="AK3274">
        <v>1</v>
      </c>
      <c r="AL3274">
        <v>1</v>
      </c>
      <c r="AM3274">
        <v>0</v>
      </c>
    </row>
    <row r="3275" spans="1:39" x14ac:dyDescent="0.2">
      <c r="A3275" t="str">
        <f>"3271"</f>
        <v>3271</v>
      </c>
      <c r="B3275" t="str">
        <f t="shared" si="181"/>
        <v>1</v>
      </c>
      <c r="C3275" t="str">
        <f t="shared" si="182"/>
        <v>66</v>
      </c>
      <c r="D3275" t="str">
        <f>"34"</f>
        <v>34</v>
      </c>
      <c r="E3275" t="str">
        <f>"1-66-34"</f>
        <v>1-66-34</v>
      </c>
      <c r="F3275" t="s">
        <v>65</v>
      </c>
      <c r="G3275" t="s">
        <v>66</v>
      </c>
      <c r="H3275" t="s">
        <v>67</v>
      </c>
      <c r="S3275">
        <v>0</v>
      </c>
      <c r="T3275">
        <v>1</v>
      </c>
      <c r="U3275">
        <v>0</v>
      </c>
      <c r="V3275">
        <v>0</v>
      </c>
      <c r="W3275">
        <v>1</v>
      </c>
      <c r="X3275">
        <v>0</v>
      </c>
      <c r="Y3275">
        <v>0</v>
      </c>
      <c r="Z3275">
        <v>1</v>
      </c>
      <c r="AA3275">
        <v>0</v>
      </c>
      <c r="AB3275">
        <v>0</v>
      </c>
      <c r="AC3275">
        <v>1</v>
      </c>
      <c r="AD3275">
        <v>1</v>
      </c>
      <c r="AE3275">
        <v>1</v>
      </c>
      <c r="AF3275">
        <v>1</v>
      </c>
      <c r="AG3275">
        <v>1</v>
      </c>
      <c r="AH3275">
        <v>1</v>
      </c>
      <c r="AI3275">
        <v>1</v>
      </c>
      <c r="AJ3275">
        <v>1</v>
      </c>
      <c r="AK3275">
        <v>1</v>
      </c>
      <c r="AL3275">
        <v>1</v>
      </c>
      <c r="AM3275">
        <v>1</v>
      </c>
    </row>
    <row r="3276" spans="1:39" x14ac:dyDescent="0.2">
      <c r="A3276" t="str">
        <f>"3272"</f>
        <v>3272</v>
      </c>
      <c r="B3276" t="str">
        <f t="shared" si="181"/>
        <v>1</v>
      </c>
      <c r="C3276" t="str">
        <f t="shared" si="182"/>
        <v>66</v>
      </c>
      <c r="D3276" t="str">
        <f>"19"</f>
        <v>19</v>
      </c>
      <c r="E3276" t="str">
        <f>"1-66-19"</f>
        <v>1-66-19</v>
      </c>
      <c r="F3276" t="s">
        <v>65</v>
      </c>
      <c r="G3276" t="s">
        <v>66</v>
      </c>
      <c r="H3276" t="s">
        <v>67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1</v>
      </c>
      <c r="Y3276">
        <v>1</v>
      </c>
      <c r="Z3276">
        <v>0</v>
      </c>
      <c r="AA3276">
        <v>0</v>
      </c>
      <c r="AB3276">
        <v>0</v>
      </c>
      <c r="AC3276">
        <v>0</v>
      </c>
      <c r="AD3276">
        <v>1</v>
      </c>
      <c r="AE3276">
        <v>1</v>
      </c>
      <c r="AF3276">
        <v>1</v>
      </c>
      <c r="AG3276">
        <v>1</v>
      </c>
      <c r="AH3276">
        <v>1</v>
      </c>
      <c r="AI3276">
        <v>1</v>
      </c>
      <c r="AJ3276">
        <v>1</v>
      </c>
      <c r="AK3276">
        <v>1</v>
      </c>
      <c r="AL3276">
        <v>1</v>
      </c>
      <c r="AM3276">
        <v>1</v>
      </c>
    </row>
    <row r="3277" spans="1:39" x14ac:dyDescent="0.2">
      <c r="A3277" t="str">
        <f>"3273"</f>
        <v>3273</v>
      </c>
      <c r="B3277" t="str">
        <f t="shared" si="181"/>
        <v>1</v>
      </c>
      <c r="C3277" t="str">
        <f t="shared" si="182"/>
        <v>66</v>
      </c>
      <c r="D3277" t="str">
        <f>"3"</f>
        <v>3</v>
      </c>
      <c r="E3277" t="str">
        <f>"1-66-3"</f>
        <v>1-66-3</v>
      </c>
      <c r="F3277" t="s">
        <v>65</v>
      </c>
      <c r="G3277" t="s">
        <v>66</v>
      </c>
      <c r="H3277" t="s">
        <v>67</v>
      </c>
      <c r="S3277">
        <v>0</v>
      </c>
      <c r="T3277">
        <v>1</v>
      </c>
      <c r="U3277">
        <v>0</v>
      </c>
      <c r="V3277">
        <v>0</v>
      </c>
      <c r="W3277">
        <v>1</v>
      </c>
      <c r="X3277">
        <v>0</v>
      </c>
      <c r="Y3277">
        <v>1</v>
      </c>
      <c r="Z3277">
        <v>0</v>
      </c>
      <c r="AA3277">
        <v>1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</row>
    <row r="3278" spans="1:39" x14ac:dyDescent="0.2">
      <c r="A3278" t="str">
        <f>"3274"</f>
        <v>3274</v>
      </c>
      <c r="B3278" t="str">
        <f t="shared" si="181"/>
        <v>1</v>
      </c>
      <c r="C3278" t="str">
        <f t="shared" si="182"/>
        <v>66</v>
      </c>
      <c r="D3278" t="str">
        <f>"49"</f>
        <v>49</v>
      </c>
      <c r="E3278" t="str">
        <f>"1-66-49"</f>
        <v>1-66-49</v>
      </c>
      <c r="F3278" t="s">
        <v>65</v>
      </c>
      <c r="G3278" t="s">
        <v>66</v>
      </c>
      <c r="H3278" t="s">
        <v>67</v>
      </c>
      <c r="S3278">
        <v>0</v>
      </c>
      <c r="T3278">
        <v>1</v>
      </c>
      <c r="U3278">
        <v>0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0</v>
      </c>
      <c r="AB3278">
        <v>1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</row>
    <row r="3279" spans="1:39" x14ac:dyDescent="0.2">
      <c r="A3279" t="str">
        <f>"3275"</f>
        <v>3275</v>
      </c>
      <c r="B3279" t="str">
        <f t="shared" si="181"/>
        <v>1</v>
      </c>
      <c r="C3279" t="str">
        <f t="shared" si="182"/>
        <v>66</v>
      </c>
      <c r="D3279" t="str">
        <f>"33"</f>
        <v>33</v>
      </c>
      <c r="E3279" t="str">
        <f>"1-66-33"</f>
        <v>1-66-33</v>
      </c>
      <c r="F3279" t="s">
        <v>65</v>
      </c>
      <c r="G3279" t="s">
        <v>66</v>
      </c>
      <c r="H3279" t="s">
        <v>67</v>
      </c>
      <c r="S3279">
        <v>0</v>
      </c>
      <c r="T3279">
        <v>1</v>
      </c>
      <c r="U3279">
        <v>0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0</v>
      </c>
      <c r="AB3279">
        <v>1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1</v>
      </c>
      <c r="AJ3279">
        <v>0</v>
      </c>
      <c r="AK3279">
        <v>0</v>
      </c>
      <c r="AL3279">
        <v>0</v>
      </c>
      <c r="AM3279">
        <v>0</v>
      </c>
    </row>
    <row r="3280" spans="1:39" x14ac:dyDescent="0.2">
      <c r="A3280" t="str">
        <f>"3276"</f>
        <v>3276</v>
      </c>
      <c r="B3280" t="str">
        <f t="shared" si="181"/>
        <v>1</v>
      </c>
      <c r="C3280" t="str">
        <f t="shared" si="182"/>
        <v>66</v>
      </c>
      <c r="D3280" t="str">
        <f>"20"</f>
        <v>20</v>
      </c>
      <c r="E3280" t="str">
        <f>"1-66-20"</f>
        <v>1-66-20</v>
      </c>
      <c r="F3280" t="s">
        <v>65</v>
      </c>
      <c r="G3280" t="s">
        <v>66</v>
      </c>
      <c r="H3280" t="s">
        <v>67</v>
      </c>
      <c r="S3280">
        <v>1</v>
      </c>
      <c r="T3280">
        <v>0</v>
      </c>
      <c r="U3280">
        <v>0</v>
      </c>
      <c r="V3280">
        <v>0</v>
      </c>
      <c r="W3280">
        <v>1</v>
      </c>
      <c r="X3280">
        <v>0</v>
      </c>
      <c r="Y3280">
        <v>1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1</v>
      </c>
      <c r="AF3280">
        <v>1</v>
      </c>
      <c r="AG3280">
        <v>1</v>
      </c>
      <c r="AH3280">
        <v>1</v>
      </c>
      <c r="AI3280">
        <v>1</v>
      </c>
      <c r="AJ3280">
        <v>1</v>
      </c>
      <c r="AK3280">
        <v>1</v>
      </c>
      <c r="AL3280">
        <v>1</v>
      </c>
      <c r="AM3280">
        <v>1</v>
      </c>
    </row>
    <row r="3281" spans="1:39" x14ac:dyDescent="0.2">
      <c r="A3281" t="str">
        <f>"3277"</f>
        <v>3277</v>
      </c>
      <c r="B3281" t="str">
        <f t="shared" si="181"/>
        <v>1</v>
      </c>
      <c r="C3281" t="str">
        <f t="shared" si="182"/>
        <v>66</v>
      </c>
      <c r="D3281" t="str">
        <f>"12"</f>
        <v>12</v>
      </c>
      <c r="E3281" t="str">
        <f>"1-66-12"</f>
        <v>1-66-12</v>
      </c>
      <c r="F3281" t="s">
        <v>65</v>
      </c>
      <c r="G3281" t="s">
        <v>66</v>
      </c>
      <c r="H3281" t="s">
        <v>67</v>
      </c>
      <c r="S3281">
        <v>0</v>
      </c>
      <c r="T3281">
        <v>1</v>
      </c>
      <c r="U3281">
        <v>0</v>
      </c>
      <c r="V3281">
        <v>0</v>
      </c>
      <c r="W3281">
        <v>1</v>
      </c>
      <c r="X3281">
        <v>0</v>
      </c>
      <c r="Y3281">
        <v>1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1</v>
      </c>
      <c r="AF3281">
        <v>1</v>
      </c>
      <c r="AG3281">
        <v>1</v>
      </c>
      <c r="AH3281">
        <v>1</v>
      </c>
      <c r="AI3281">
        <v>1</v>
      </c>
      <c r="AJ3281">
        <v>1</v>
      </c>
      <c r="AK3281">
        <v>1</v>
      </c>
      <c r="AL3281">
        <v>1</v>
      </c>
      <c r="AM3281">
        <v>1</v>
      </c>
    </row>
    <row r="3282" spans="1:39" x14ac:dyDescent="0.2">
      <c r="A3282" t="str">
        <f>"3278"</f>
        <v>3278</v>
      </c>
      <c r="B3282" t="str">
        <f t="shared" si="181"/>
        <v>1</v>
      </c>
      <c r="C3282" t="str">
        <f t="shared" si="182"/>
        <v>66</v>
      </c>
      <c r="D3282" t="str">
        <f>"37"</f>
        <v>37</v>
      </c>
      <c r="E3282" t="str">
        <f>"1-66-37"</f>
        <v>1-66-37</v>
      </c>
      <c r="F3282" t="s">
        <v>65</v>
      </c>
      <c r="G3282" t="s">
        <v>66</v>
      </c>
      <c r="H3282" t="s">
        <v>67</v>
      </c>
      <c r="S3282">
        <v>0</v>
      </c>
      <c r="T3282">
        <v>1</v>
      </c>
      <c r="U3282">
        <v>0</v>
      </c>
      <c r="V3282">
        <v>0</v>
      </c>
      <c r="W3282">
        <v>0</v>
      </c>
      <c r="X3282">
        <v>1</v>
      </c>
      <c r="Y3282">
        <v>0</v>
      </c>
      <c r="Z3282">
        <v>1</v>
      </c>
      <c r="AA3282">
        <v>0</v>
      </c>
      <c r="AB3282">
        <v>0</v>
      </c>
      <c r="AC3282">
        <v>1</v>
      </c>
      <c r="AD3282">
        <v>1</v>
      </c>
      <c r="AE3282">
        <v>1</v>
      </c>
      <c r="AF3282">
        <v>1</v>
      </c>
      <c r="AG3282">
        <v>1</v>
      </c>
      <c r="AH3282">
        <v>1</v>
      </c>
      <c r="AI3282">
        <v>1</v>
      </c>
      <c r="AJ3282">
        <v>1</v>
      </c>
      <c r="AK3282">
        <v>1</v>
      </c>
      <c r="AL3282">
        <v>1</v>
      </c>
      <c r="AM3282">
        <v>1</v>
      </c>
    </row>
    <row r="3283" spans="1:39" x14ac:dyDescent="0.2">
      <c r="A3283" t="str">
        <f>"3279"</f>
        <v>3279</v>
      </c>
      <c r="B3283" t="str">
        <f t="shared" si="181"/>
        <v>1</v>
      </c>
      <c r="C3283" t="str">
        <f t="shared" si="182"/>
        <v>66</v>
      </c>
      <c r="D3283" t="str">
        <f>"22"</f>
        <v>22</v>
      </c>
      <c r="E3283" t="str">
        <f>"1-66-22"</f>
        <v>1-66-22</v>
      </c>
      <c r="F3283" t="s">
        <v>65</v>
      </c>
      <c r="G3283" t="s">
        <v>66</v>
      </c>
      <c r="H3283" t="s">
        <v>67</v>
      </c>
      <c r="S3283">
        <v>0</v>
      </c>
      <c r="T3283">
        <v>1</v>
      </c>
      <c r="U3283">
        <v>0</v>
      </c>
      <c r="V3283">
        <v>0</v>
      </c>
      <c r="W3283">
        <v>1</v>
      </c>
      <c r="X3283">
        <v>0</v>
      </c>
      <c r="Y3283">
        <v>0</v>
      </c>
      <c r="Z3283">
        <v>1</v>
      </c>
      <c r="AA3283">
        <v>1</v>
      </c>
      <c r="AB3283">
        <v>0</v>
      </c>
      <c r="AC3283">
        <v>0</v>
      </c>
      <c r="AD3283">
        <v>1</v>
      </c>
      <c r="AE3283">
        <v>1</v>
      </c>
      <c r="AF3283">
        <v>1</v>
      </c>
      <c r="AG3283">
        <v>1</v>
      </c>
      <c r="AH3283">
        <v>1</v>
      </c>
      <c r="AI3283">
        <v>1</v>
      </c>
      <c r="AJ3283">
        <v>1</v>
      </c>
      <c r="AK3283">
        <v>1</v>
      </c>
      <c r="AL3283">
        <v>1</v>
      </c>
      <c r="AM3283">
        <v>1</v>
      </c>
    </row>
    <row r="3284" spans="1:39" x14ac:dyDescent="0.2">
      <c r="A3284" t="str">
        <f>"3280"</f>
        <v>3280</v>
      </c>
      <c r="B3284" t="str">
        <f t="shared" si="181"/>
        <v>1</v>
      </c>
      <c r="C3284" t="str">
        <f t="shared" si="182"/>
        <v>66</v>
      </c>
      <c r="D3284" t="str">
        <f>"9"</f>
        <v>9</v>
      </c>
      <c r="E3284" t="str">
        <f>"1-66-9"</f>
        <v>1-66-9</v>
      </c>
      <c r="F3284" t="s">
        <v>65</v>
      </c>
      <c r="G3284" t="s">
        <v>66</v>
      </c>
      <c r="H3284" t="s">
        <v>67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0</v>
      </c>
      <c r="AB3284">
        <v>1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1</v>
      </c>
      <c r="AI3284">
        <v>0</v>
      </c>
      <c r="AJ3284">
        <v>1</v>
      </c>
      <c r="AK3284">
        <v>1</v>
      </c>
      <c r="AL3284">
        <v>1</v>
      </c>
      <c r="AM3284">
        <v>1</v>
      </c>
    </row>
    <row r="3285" spans="1:39" x14ac:dyDescent="0.2">
      <c r="A3285" t="str">
        <f>"3281"</f>
        <v>3281</v>
      </c>
      <c r="B3285" t="str">
        <f t="shared" si="181"/>
        <v>1</v>
      </c>
      <c r="C3285" t="str">
        <f t="shared" si="182"/>
        <v>66</v>
      </c>
      <c r="D3285" t="str">
        <f>"38"</f>
        <v>38</v>
      </c>
      <c r="E3285" t="str">
        <f>"1-66-38"</f>
        <v>1-66-38</v>
      </c>
      <c r="F3285" t="s">
        <v>65</v>
      </c>
      <c r="G3285" t="s">
        <v>66</v>
      </c>
      <c r="H3285" t="s">
        <v>67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1</v>
      </c>
      <c r="Y3285">
        <v>0</v>
      </c>
      <c r="Z3285">
        <v>1</v>
      </c>
      <c r="AA3285">
        <v>0</v>
      </c>
      <c r="AB3285">
        <v>0</v>
      </c>
      <c r="AC3285">
        <v>1</v>
      </c>
      <c r="AD3285">
        <v>0</v>
      </c>
      <c r="AE3285">
        <v>0</v>
      </c>
      <c r="AF3285">
        <v>0</v>
      </c>
      <c r="AG3285">
        <v>0</v>
      </c>
      <c r="AH3285">
        <v>1</v>
      </c>
      <c r="AI3285">
        <v>1</v>
      </c>
      <c r="AJ3285">
        <v>1</v>
      </c>
      <c r="AK3285">
        <v>1</v>
      </c>
      <c r="AL3285">
        <v>1</v>
      </c>
      <c r="AM3285">
        <v>1</v>
      </c>
    </row>
    <row r="3286" spans="1:39" x14ac:dyDescent="0.2">
      <c r="A3286" t="str">
        <f>"3282"</f>
        <v>3282</v>
      </c>
      <c r="B3286" t="str">
        <f t="shared" si="181"/>
        <v>1</v>
      </c>
      <c r="C3286" t="str">
        <f t="shared" si="182"/>
        <v>66</v>
      </c>
      <c r="D3286" t="str">
        <f>"23"</f>
        <v>23</v>
      </c>
      <c r="E3286" t="str">
        <f>"1-66-23"</f>
        <v>1-66-23</v>
      </c>
      <c r="F3286" t="s">
        <v>65</v>
      </c>
      <c r="G3286" t="s">
        <v>66</v>
      </c>
      <c r="H3286" t="s">
        <v>67</v>
      </c>
      <c r="S3286">
        <v>0</v>
      </c>
      <c r="T3286">
        <v>1</v>
      </c>
      <c r="U3286">
        <v>0</v>
      </c>
      <c r="V3286">
        <v>0</v>
      </c>
      <c r="W3286">
        <v>1</v>
      </c>
      <c r="X3286">
        <v>0</v>
      </c>
      <c r="Y3286">
        <v>0</v>
      </c>
      <c r="Z3286">
        <v>1</v>
      </c>
      <c r="AA3286">
        <v>1</v>
      </c>
      <c r="AB3286">
        <v>0</v>
      </c>
      <c r="AC3286">
        <v>0</v>
      </c>
      <c r="AD3286">
        <v>1</v>
      </c>
      <c r="AE3286">
        <v>1</v>
      </c>
      <c r="AF3286">
        <v>1</v>
      </c>
      <c r="AG3286">
        <v>1</v>
      </c>
      <c r="AH3286">
        <v>1</v>
      </c>
      <c r="AI3286">
        <v>1</v>
      </c>
      <c r="AJ3286">
        <v>1</v>
      </c>
      <c r="AK3286">
        <v>1</v>
      </c>
      <c r="AL3286">
        <v>1</v>
      </c>
      <c r="AM3286">
        <v>1</v>
      </c>
    </row>
    <row r="3287" spans="1:39" x14ac:dyDescent="0.2">
      <c r="A3287" t="str">
        <f>"3283"</f>
        <v>3283</v>
      </c>
      <c r="B3287" t="str">
        <f t="shared" si="181"/>
        <v>1</v>
      </c>
      <c r="C3287" t="str">
        <f t="shared" ref="C3287:C3304" si="183">"66"</f>
        <v>66</v>
      </c>
      <c r="D3287" t="str">
        <f>"7"</f>
        <v>7</v>
      </c>
      <c r="E3287" t="str">
        <f>"1-66-7"</f>
        <v>1-66-7</v>
      </c>
      <c r="F3287" t="s">
        <v>65</v>
      </c>
      <c r="G3287" t="s">
        <v>66</v>
      </c>
      <c r="H3287" t="s">
        <v>67</v>
      </c>
      <c r="S3287">
        <v>1</v>
      </c>
      <c r="T3287">
        <v>0</v>
      </c>
      <c r="U3287">
        <v>0</v>
      </c>
      <c r="V3287">
        <v>0</v>
      </c>
      <c r="W3287">
        <v>1</v>
      </c>
      <c r="X3287">
        <v>0</v>
      </c>
      <c r="Y3287">
        <v>0</v>
      </c>
      <c r="Z3287">
        <v>1</v>
      </c>
      <c r="AA3287">
        <v>0</v>
      </c>
      <c r="AB3287">
        <v>0</v>
      </c>
      <c r="AC3287">
        <v>1</v>
      </c>
      <c r="AD3287">
        <v>1</v>
      </c>
      <c r="AE3287">
        <v>1</v>
      </c>
      <c r="AF3287">
        <v>1</v>
      </c>
      <c r="AG3287">
        <v>1</v>
      </c>
      <c r="AH3287">
        <v>1</v>
      </c>
      <c r="AI3287">
        <v>1</v>
      </c>
      <c r="AJ3287">
        <v>1</v>
      </c>
      <c r="AK3287">
        <v>1</v>
      </c>
      <c r="AL3287">
        <v>1</v>
      </c>
      <c r="AM3287">
        <v>1</v>
      </c>
    </row>
    <row r="3288" spans="1:39" x14ac:dyDescent="0.2">
      <c r="A3288" t="str">
        <f>"3284"</f>
        <v>3284</v>
      </c>
      <c r="B3288" t="str">
        <f t="shared" si="181"/>
        <v>1</v>
      </c>
      <c r="C3288" t="str">
        <f t="shared" si="183"/>
        <v>66</v>
      </c>
      <c r="D3288" t="str">
        <f>"24"</f>
        <v>24</v>
      </c>
      <c r="E3288" t="str">
        <f>"1-66-24"</f>
        <v>1-66-24</v>
      </c>
      <c r="F3288" t="s">
        <v>65</v>
      </c>
      <c r="G3288" t="s">
        <v>66</v>
      </c>
      <c r="H3288" t="s">
        <v>67</v>
      </c>
      <c r="S3288">
        <v>1</v>
      </c>
      <c r="T3288">
        <v>0</v>
      </c>
      <c r="U3288">
        <v>0</v>
      </c>
      <c r="V3288">
        <v>0</v>
      </c>
      <c r="W3288">
        <v>1</v>
      </c>
      <c r="X3288">
        <v>0</v>
      </c>
      <c r="Y3288">
        <v>1</v>
      </c>
      <c r="Z3288">
        <v>0</v>
      </c>
      <c r="AA3288">
        <v>0</v>
      </c>
      <c r="AB3288">
        <v>0</v>
      </c>
      <c r="AC3288">
        <v>1</v>
      </c>
      <c r="AD3288">
        <v>1</v>
      </c>
      <c r="AE3288">
        <v>1</v>
      </c>
      <c r="AF3288">
        <v>1</v>
      </c>
      <c r="AG3288">
        <v>1</v>
      </c>
      <c r="AH3288">
        <v>1</v>
      </c>
      <c r="AI3288">
        <v>1</v>
      </c>
      <c r="AJ3288">
        <v>1</v>
      </c>
      <c r="AK3288">
        <v>1</v>
      </c>
      <c r="AL3288">
        <v>1</v>
      </c>
      <c r="AM3288">
        <v>1</v>
      </c>
    </row>
    <row r="3289" spans="1:39" x14ac:dyDescent="0.2">
      <c r="A3289" t="str">
        <f>"3285"</f>
        <v>3285</v>
      </c>
      <c r="B3289" t="str">
        <f t="shared" si="181"/>
        <v>1</v>
      </c>
      <c r="C3289" t="str">
        <f t="shared" si="183"/>
        <v>66</v>
      </c>
      <c r="D3289" t="str">
        <f>"11"</f>
        <v>11</v>
      </c>
      <c r="E3289" t="str">
        <f>"1-66-11"</f>
        <v>1-66-11</v>
      </c>
      <c r="F3289" t="s">
        <v>65</v>
      </c>
      <c r="G3289" t="s">
        <v>66</v>
      </c>
      <c r="H3289" t="s">
        <v>67</v>
      </c>
      <c r="S3289">
        <v>0</v>
      </c>
      <c r="T3289">
        <v>1</v>
      </c>
      <c r="U3289">
        <v>0</v>
      </c>
      <c r="V3289">
        <v>0</v>
      </c>
      <c r="W3289">
        <v>1</v>
      </c>
      <c r="X3289">
        <v>0</v>
      </c>
      <c r="Y3289">
        <v>1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1</v>
      </c>
      <c r="AF3289">
        <v>1</v>
      </c>
      <c r="AG3289">
        <v>1</v>
      </c>
      <c r="AH3289">
        <v>1</v>
      </c>
      <c r="AI3289">
        <v>1</v>
      </c>
      <c r="AJ3289">
        <v>1</v>
      </c>
      <c r="AK3289">
        <v>1</v>
      </c>
      <c r="AL3289">
        <v>1</v>
      </c>
      <c r="AM3289">
        <v>1</v>
      </c>
    </row>
    <row r="3290" spans="1:39" x14ac:dyDescent="0.2">
      <c r="A3290" t="str">
        <f>"3286"</f>
        <v>3286</v>
      </c>
      <c r="B3290" t="str">
        <f t="shared" si="181"/>
        <v>1</v>
      </c>
      <c r="C3290" t="str">
        <f t="shared" si="183"/>
        <v>66</v>
      </c>
      <c r="D3290" t="str">
        <f>"41"</f>
        <v>41</v>
      </c>
      <c r="E3290" t="str">
        <f>"1-66-41"</f>
        <v>1-66-41</v>
      </c>
      <c r="F3290" t="s">
        <v>65</v>
      </c>
      <c r="G3290" t="s">
        <v>66</v>
      </c>
      <c r="H3290" t="s">
        <v>67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</row>
    <row r="3291" spans="1:39" x14ac:dyDescent="0.2">
      <c r="A3291" t="str">
        <f>"3287"</f>
        <v>3287</v>
      </c>
      <c r="B3291" t="str">
        <f t="shared" si="181"/>
        <v>1</v>
      </c>
      <c r="C3291" t="str">
        <f t="shared" si="183"/>
        <v>66</v>
      </c>
      <c r="D3291" t="str">
        <f>"25"</f>
        <v>25</v>
      </c>
      <c r="E3291" t="str">
        <f>"1-66-25"</f>
        <v>1-66-25</v>
      </c>
      <c r="F3291" t="s">
        <v>65</v>
      </c>
      <c r="G3291" t="s">
        <v>66</v>
      </c>
      <c r="H3291" t="s">
        <v>67</v>
      </c>
      <c r="S3291">
        <v>1</v>
      </c>
      <c r="T3291">
        <v>0</v>
      </c>
      <c r="U3291">
        <v>0</v>
      </c>
      <c r="V3291">
        <v>0</v>
      </c>
      <c r="W3291">
        <v>1</v>
      </c>
      <c r="X3291">
        <v>0</v>
      </c>
      <c r="Y3291">
        <v>0</v>
      </c>
      <c r="Z3291">
        <v>1</v>
      </c>
      <c r="AA3291">
        <v>1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1</v>
      </c>
      <c r="AJ3291">
        <v>1</v>
      </c>
      <c r="AK3291">
        <v>1</v>
      </c>
      <c r="AL3291">
        <v>1</v>
      </c>
      <c r="AM3291">
        <v>0</v>
      </c>
    </row>
    <row r="3292" spans="1:39" x14ac:dyDescent="0.2">
      <c r="A3292" t="str">
        <f>"3288"</f>
        <v>3288</v>
      </c>
      <c r="B3292" t="str">
        <f t="shared" si="181"/>
        <v>1</v>
      </c>
      <c r="C3292" t="str">
        <f t="shared" si="183"/>
        <v>66</v>
      </c>
      <c r="D3292" t="str">
        <f>"6"</f>
        <v>6</v>
      </c>
      <c r="E3292" t="str">
        <f>"1-66-6"</f>
        <v>1-66-6</v>
      </c>
      <c r="F3292" t="s">
        <v>65</v>
      </c>
      <c r="G3292" t="s">
        <v>66</v>
      </c>
      <c r="H3292" t="s">
        <v>67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1</v>
      </c>
      <c r="AI3292">
        <v>1</v>
      </c>
      <c r="AJ3292">
        <v>1</v>
      </c>
      <c r="AK3292">
        <v>1</v>
      </c>
      <c r="AL3292">
        <v>1</v>
      </c>
      <c r="AM3292">
        <v>1</v>
      </c>
    </row>
    <row r="3293" spans="1:39" x14ac:dyDescent="0.2">
      <c r="A3293" t="str">
        <f>"3289"</f>
        <v>3289</v>
      </c>
      <c r="B3293" t="str">
        <f t="shared" si="181"/>
        <v>1</v>
      </c>
      <c r="C3293" t="str">
        <f t="shared" si="183"/>
        <v>66</v>
      </c>
      <c r="D3293" t="str">
        <f>"42"</f>
        <v>42</v>
      </c>
      <c r="E3293" t="str">
        <f>"1-66-42"</f>
        <v>1-66-42</v>
      </c>
      <c r="F3293" t="s">
        <v>65</v>
      </c>
      <c r="G3293" t="s">
        <v>66</v>
      </c>
      <c r="H3293" t="s">
        <v>67</v>
      </c>
      <c r="S3293">
        <v>0</v>
      </c>
      <c r="T3293">
        <v>1</v>
      </c>
      <c r="U3293">
        <v>0</v>
      </c>
      <c r="V3293">
        <v>0</v>
      </c>
      <c r="W3293">
        <v>1</v>
      </c>
      <c r="X3293">
        <v>0</v>
      </c>
      <c r="Y3293">
        <v>1</v>
      </c>
      <c r="Z3293">
        <v>0</v>
      </c>
      <c r="AA3293">
        <v>1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</row>
    <row r="3294" spans="1:39" x14ac:dyDescent="0.2">
      <c r="A3294" t="str">
        <f>"3290"</f>
        <v>3290</v>
      </c>
      <c r="B3294" t="str">
        <f t="shared" si="181"/>
        <v>1</v>
      </c>
      <c r="C3294" t="str">
        <f t="shared" si="183"/>
        <v>66</v>
      </c>
      <c r="D3294" t="str">
        <f>"26"</f>
        <v>26</v>
      </c>
      <c r="E3294" t="str">
        <f>"1-66-26"</f>
        <v>1-66-26</v>
      </c>
      <c r="F3294" t="s">
        <v>65</v>
      </c>
      <c r="G3294" t="s">
        <v>66</v>
      </c>
      <c r="H3294" t="s">
        <v>67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1</v>
      </c>
      <c r="Y3294">
        <v>0</v>
      </c>
      <c r="Z3294">
        <v>1</v>
      </c>
      <c r="AA3294">
        <v>0</v>
      </c>
      <c r="AB3294">
        <v>0</v>
      </c>
      <c r="AC3294">
        <v>1</v>
      </c>
      <c r="AD3294">
        <v>1</v>
      </c>
      <c r="AE3294">
        <v>1</v>
      </c>
      <c r="AF3294">
        <v>0</v>
      </c>
      <c r="AG3294">
        <v>1</v>
      </c>
      <c r="AH3294">
        <v>1</v>
      </c>
      <c r="AI3294">
        <v>1</v>
      </c>
      <c r="AJ3294">
        <v>1</v>
      </c>
      <c r="AK3294">
        <v>1</v>
      </c>
      <c r="AL3294">
        <v>1</v>
      </c>
      <c r="AM3294">
        <v>1</v>
      </c>
    </row>
    <row r="3295" spans="1:39" x14ac:dyDescent="0.2">
      <c r="A3295" t="str">
        <f>"3291"</f>
        <v>3291</v>
      </c>
      <c r="B3295" t="str">
        <f t="shared" si="181"/>
        <v>1</v>
      </c>
      <c r="C3295" t="str">
        <f t="shared" si="183"/>
        <v>66</v>
      </c>
      <c r="D3295" t="str">
        <f>"8"</f>
        <v>8</v>
      </c>
      <c r="E3295" t="str">
        <f>"1-66-8"</f>
        <v>1-66-8</v>
      </c>
      <c r="F3295" t="s">
        <v>65</v>
      </c>
      <c r="G3295" t="s">
        <v>66</v>
      </c>
      <c r="H3295" t="s">
        <v>67</v>
      </c>
      <c r="S3295">
        <v>1</v>
      </c>
      <c r="T3295">
        <v>0</v>
      </c>
      <c r="U3295">
        <v>0</v>
      </c>
      <c r="V3295">
        <v>0</v>
      </c>
      <c r="W3295">
        <v>1</v>
      </c>
      <c r="X3295">
        <v>0</v>
      </c>
      <c r="Y3295">
        <v>1</v>
      </c>
      <c r="Z3295">
        <v>0</v>
      </c>
      <c r="AA3295">
        <v>0</v>
      </c>
      <c r="AB3295">
        <v>1</v>
      </c>
      <c r="AC3295">
        <v>0</v>
      </c>
      <c r="AD3295">
        <v>1</v>
      </c>
      <c r="AE3295">
        <v>1</v>
      </c>
      <c r="AF3295">
        <v>1</v>
      </c>
      <c r="AG3295">
        <v>1</v>
      </c>
      <c r="AH3295">
        <v>1</v>
      </c>
      <c r="AI3295">
        <v>1</v>
      </c>
      <c r="AJ3295">
        <v>1</v>
      </c>
      <c r="AK3295">
        <v>1</v>
      </c>
      <c r="AL3295">
        <v>1</v>
      </c>
      <c r="AM3295">
        <v>1</v>
      </c>
    </row>
    <row r="3296" spans="1:39" x14ac:dyDescent="0.2">
      <c r="A3296" t="str">
        <f>"3292"</f>
        <v>3292</v>
      </c>
      <c r="B3296" t="str">
        <f t="shared" si="181"/>
        <v>1</v>
      </c>
      <c r="C3296" t="str">
        <f t="shared" si="183"/>
        <v>66</v>
      </c>
      <c r="D3296" t="str">
        <f>"43"</f>
        <v>43</v>
      </c>
      <c r="E3296" t="str">
        <f>"1-66-43"</f>
        <v>1-66-43</v>
      </c>
      <c r="F3296" t="s">
        <v>65</v>
      </c>
      <c r="G3296" t="s">
        <v>66</v>
      </c>
      <c r="H3296" t="s">
        <v>67</v>
      </c>
      <c r="S3296">
        <v>0</v>
      </c>
      <c r="T3296">
        <v>1</v>
      </c>
      <c r="U3296">
        <v>0</v>
      </c>
      <c r="V3296">
        <v>0</v>
      </c>
      <c r="W3296">
        <v>0</v>
      </c>
      <c r="X3296">
        <v>1</v>
      </c>
      <c r="Y3296">
        <v>0</v>
      </c>
      <c r="Z3296">
        <v>1</v>
      </c>
      <c r="AA3296">
        <v>0</v>
      </c>
      <c r="AB3296">
        <v>0</v>
      </c>
      <c r="AC3296">
        <v>1</v>
      </c>
      <c r="AD3296">
        <v>1</v>
      </c>
      <c r="AE3296">
        <v>1</v>
      </c>
      <c r="AF3296">
        <v>1</v>
      </c>
      <c r="AG3296">
        <v>1</v>
      </c>
      <c r="AH3296">
        <v>1</v>
      </c>
      <c r="AI3296">
        <v>1</v>
      </c>
      <c r="AJ3296">
        <v>1</v>
      </c>
      <c r="AK3296">
        <v>1</v>
      </c>
      <c r="AL3296">
        <v>1</v>
      </c>
      <c r="AM3296">
        <v>1</v>
      </c>
    </row>
    <row r="3297" spans="1:39" x14ac:dyDescent="0.2">
      <c r="A3297" t="str">
        <f>"3293"</f>
        <v>3293</v>
      </c>
      <c r="B3297" t="str">
        <f t="shared" si="181"/>
        <v>1</v>
      </c>
      <c r="C3297" t="str">
        <f t="shared" si="183"/>
        <v>66</v>
      </c>
      <c r="D3297" t="str">
        <f>"27"</f>
        <v>27</v>
      </c>
      <c r="E3297" t="str">
        <f>"1-66-27"</f>
        <v>1-66-27</v>
      </c>
      <c r="F3297" t="s">
        <v>65</v>
      </c>
      <c r="G3297" t="s">
        <v>66</v>
      </c>
      <c r="H3297" t="s">
        <v>67</v>
      </c>
      <c r="S3297">
        <v>0</v>
      </c>
      <c r="T3297">
        <v>1</v>
      </c>
      <c r="U3297">
        <v>0</v>
      </c>
      <c r="V3297">
        <v>0</v>
      </c>
      <c r="W3297">
        <v>0</v>
      </c>
      <c r="X3297">
        <v>1</v>
      </c>
      <c r="Y3297">
        <v>0</v>
      </c>
      <c r="Z3297">
        <v>1</v>
      </c>
      <c r="AA3297">
        <v>0</v>
      </c>
      <c r="AB3297">
        <v>1</v>
      </c>
      <c r="AC3297">
        <v>0</v>
      </c>
      <c r="AD3297">
        <v>1</v>
      </c>
      <c r="AE3297">
        <v>1</v>
      </c>
      <c r="AF3297">
        <v>1</v>
      </c>
      <c r="AG3297">
        <v>1</v>
      </c>
      <c r="AH3297">
        <v>1</v>
      </c>
      <c r="AI3297">
        <v>1</v>
      </c>
      <c r="AJ3297">
        <v>1</v>
      </c>
      <c r="AK3297">
        <v>1</v>
      </c>
      <c r="AL3297">
        <v>1</v>
      </c>
      <c r="AM3297">
        <v>1</v>
      </c>
    </row>
    <row r="3298" spans="1:39" x14ac:dyDescent="0.2">
      <c r="A3298" t="str">
        <f>"3294"</f>
        <v>3294</v>
      </c>
      <c r="B3298" t="str">
        <f t="shared" si="181"/>
        <v>1</v>
      </c>
      <c r="C3298" t="str">
        <f t="shared" si="183"/>
        <v>66</v>
      </c>
      <c r="D3298" t="str">
        <f>"10"</f>
        <v>10</v>
      </c>
      <c r="E3298" t="str">
        <f>"1-66-10"</f>
        <v>1-66-10</v>
      </c>
      <c r="F3298" t="s">
        <v>65</v>
      </c>
      <c r="G3298" t="s">
        <v>66</v>
      </c>
      <c r="H3298" t="s">
        <v>67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1</v>
      </c>
      <c r="Y3298">
        <v>0</v>
      </c>
      <c r="Z3298">
        <v>1</v>
      </c>
      <c r="AA3298">
        <v>0</v>
      </c>
      <c r="AB3298">
        <v>0</v>
      </c>
      <c r="AC3298">
        <v>1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</row>
    <row r="3299" spans="1:39" x14ac:dyDescent="0.2">
      <c r="A3299" t="str">
        <f>"3295"</f>
        <v>3295</v>
      </c>
      <c r="B3299" t="str">
        <f t="shared" si="181"/>
        <v>1</v>
      </c>
      <c r="C3299" t="str">
        <f t="shared" si="183"/>
        <v>66</v>
      </c>
      <c r="D3299" t="str">
        <f>"46"</f>
        <v>46</v>
      </c>
      <c r="E3299" t="str">
        <f>"1-66-46"</f>
        <v>1-66-46</v>
      </c>
      <c r="F3299" t="s">
        <v>65</v>
      </c>
      <c r="G3299" t="s">
        <v>66</v>
      </c>
      <c r="H3299" t="s">
        <v>67</v>
      </c>
      <c r="S3299">
        <v>1</v>
      </c>
      <c r="T3299">
        <v>0</v>
      </c>
      <c r="U3299">
        <v>0</v>
      </c>
      <c r="V3299">
        <v>0</v>
      </c>
      <c r="W3299">
        <v>0</v>
      </c>
      <c r="X3299">
        <v>1</v>
      </c>
      <c r="Y3299">
        <v>0</v>
      </c>
      <c r="Z3299">
        <v>1</v>
      </c>
      <c r="AA3299">
        <v>1</v>
      </c>
      <c r="AB3299">
        <v>0</v>
      </c>
      <c r="AC3299">
        <v>0</v>
      </c>
      <c r="AD3299">
        <v>1</v>
      </c>
      <c r="AE3299">
        <v>1</v>
      </c>
      <c r="AF3299">
        <v>1</v>
      </c>
      <c r="AG3299">
        <v>1</v>
      </c>
      <c r="AH3299">
        <v>1</v>
      </c>
      <c r="AI3299">
        <v>1</v>
      </c>
      <c r="AJ3299">
        <v>1</v>
      </c>
      <c r="AK3299">
        <v>1</v>
      </c>
      <c r="AL3299">
        <v>1</v>
      </c>
      <c r="AM3299">
        <v>1</v>
      </c>
    </row>
    <row r="3300" spans="1:39" x14ac:dyDescent="0.2">
      <c r="A3300" t="str">
        <f>"3296"</f>
        <v>3296</v>
      </c>
      <c r="B3300" t="str">
        <f t="shared" si="181"/>
        <v>1</v>
      </c>
      <c r="C3300" t="str">
        <f t="shared" si="183"/>
        <v>66</v>
      </c>
      <c r="D3300" t="str">
        <f>"28"</f>
        <v>28</v>
      </c>
      <c r="E3300" t="str">
        <f>"1-66-28"</f>
        <v>1-66-28</v>
      </c>
      <c r="F3300" t="s">
        <v>65</v>
      </c>
      <c r="G3300" t="s">
        <v>66</v>
      </c>
      <c r="H3300" t="s">
        <v>67</v>
      </c>
      <c r="S3300">
        <v>0</v>
      </c>
      <c r="T3300">
        <v>1</v>
      </c>
      <c r="U3300">
        <v>0</v>
      </c>
      <c r="V3300">
        <v>0</v>
      </c>
      <c r="W3300">
        <v>0</v>
      </c>
      <c r="X3300">
        <v>1</v>
      </c>
      <c r="Y3300">
        <v>1</v>
      </c>
      <c r="Z3300">
        <v>0</v>
      </c>
      <c r="AA3300">
        <v>0</v>
      </c>
      <c r="AB3300">
        <v>0</v>
      </c>
      <c r="AC3300">
        <v>1</v>
      </c>
      <c r="AD3300">
        <v>1</v>
      </c>
      <c r="AE3300">
        <v>1</v>
      </c>
      <c r="AF3300">
        <v>1</v>
      </c>
      <c r="AG3300">
        <v>1</v>
      </c>
      <c r="AH3300">
        <v>1</v>
      </c>
      <c r="AI3300">
        <v>1</v>
      </c>
      <c r="AJ3300">
        <v>1</v>
      </c>
      <c r="AK3300">
        <v>1</v>
      </c>
      <c r="AL3300">
        <v>1</v>
      </c>
      <c r="AM3300">
        <v>1</v>
      </c>
    </row>
    <row r="3301" spans="1:39" x14ac:dyDescent="0.2">
      <c r="A3301" t="str">
        <f>"3297"</f>
        <v>3297</v>
      </c>
      <c r="B3301" t="str">
        <f t="shared" si="181"/>
        <v>1</v>
      </c>
      <c r="C3301" t="str">
        <f t="shared" si="183"/>
        <v>66</v>
      </c>
      <c r="D3301" t="str">
        <f>"14"</f>
        <v>14</v>
      </c>
      <c r="E3301" t="str">
        <f>"1-66-14"</f>
        <v>1-66-14</v>
      </c>
      <c r="F3301" t="s">
        <v>65</v>
      </c>
      <c r="G3301" t="s">
        <v>66</v>
      </c>
      <c r="H3301" t="s">
        <v>67</v>
      </c>
      <c r="S3301">
        <v>0</v>
      </c>
      <c r="T3301">
        <v>1</v>
      </c>
      <c r="U3301">
        <v>0</v>
      </c>
      <c r="V3301">
        <v>0</v>
      </c>
      <c r="W3301">
        <v>0</v>
      </c>
      <c r="X3301">
        <v>1</v>
      </c>
      <c r="Y3301">
        <v>0</v>
      </c>
      <c r="Z3301">
        <v>1</v>
      </c>
      <c r="AA3301">
        <v>0</v>
      </c>
      <c r="AB3301">
        <v>0</v>
      </c>
      <c r="AC3301">
        <v>1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</row>
    <row r="3302" spans="1:39" x14ac:dyDescent="0.2">
      <c r="A3302" t="str">
        <f>"3298"</f>
        <v>3298</v>
      </c>
      <c r="B3302" t="str">
        <f t="shared" si="181"/>
        <v>1</v>
      </c>
      <c r="C3302" t="str">
        <f t="shared" si="183"/>
        <v>66</v>
      </c>
      <c r="D3302" t="str">
        <f>"30"</f>
        <v>30</v>
      </c>
      <c r="E3302" t="str">
        <f>"1-66-30"</f>
        <v>1-66-30</v>
      </c>
      <c r="F3302" t="s">
        <v>65</v>
      </c>
      <c r="G3302" t="s">
        <v>66</v>
      </c>
      <c r="H3302" t="s">
        <v>67</v>
      </c>
      <c r="S3302">
        <v>0</v>
      </c>
      <c r="T3302">
        <v>1</v>
      </c>
      <c r="U3302">
        <v>0</v>
      </c>
      <c r="V3302">
        <v>0</v>
      </c>
      <c r="W3302">
        <v>0</v>
      </c>
      <c r="X3302">
        <v>1</v>
      </c>
      <c r="Y3302">
        <v>0</v>
      </c>
      <c r="Z3302">
        <v>1</v>
      </c>
      <c r="AA3302">
        <v>0</v>
      </c>
      <c r="AB3302">
        <v>0</v>
      </c>
      <c r="AC3302">
        <v>1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</row>
    <row r="3303" spans="1:39" x14ac:dyDescent="0.2">
      <c r="A3303" t="str">
        <f>"3299"</f>
        <v>3299</v>
      </c>
      <c r="B3303" t="str">
        <f t="shared" si="181"/>
        <v>1</v>
      </c>
      <c r="C3303" t="str">
        <f t="shared" si="183"/>
        <v>66</v>
      </c>
      <c r="D3303" t="str">
        <f>"15"</f>
        <v>15</v>
      </c>
      <c r="E3303" t="str">
        <f>"1-66-15"</f>
        <v>1-66-15</v>
      </c>
      <c r="F3303" t="s">
        <v>65</v>
      </c>
      <c r="G3303" t="s">
        <v>66</v>
      </c>
      <c r="H3303" t="s">
        <v>67</v>
      </c>
      <c r="S3303">
        <v>1</v>
      </c>
      <c r="T3303">
        <v>0</v>
      </c>
      <c r="U3303">
        <v>0</v>
      </c>
      <c r="V3303">
        <v>0</v>
      </c>
      <c r="W3303">
        <v>1</v>
      </c>
      <c r="X3303">
        <v>0</v>
      </c>
      <c r="Y3303">
        <v>1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1</v>
      </c>
      <c r="AF3303">
        <v>1</v>
      </c>
      <c r="AG3303">
        <v>1</v>
      </c>
      <c r="AH3303">
        <v>1</v>
      </c>
      <c r="AI3303">
        <v>1</v>
      </c>
      <c r="AJ3303">
        <v>1</v>
      </c>
      <c r="AK3303">
        <v>1</v>
      </c>
      <c r="AL3303">
        <v>1</v>
      </c>
      <c r="AM3303">
        <v>1</v>
      </c>
    </row>
    <row r="3304" spans="1:39" x14ac:dyDescent="0.2">
      <c r="A3304" t="str">
        <f>"3300"</f>
        <v>3300</v>
      </c>
      <c r="B3304" t="str">
        <f t="shared" si="181"/>
        <v>1</v>
      </c>
      <c r="C3304" t="str">
        <f t="shared" si="183"/>
        <v>66</v>
      </c>
      <c r="D3304" t="str">
        <f>"50"</f>
        <v>50</v>
      </c>
      <c r="E3304" t="str">
        <f>"1-66-50"</f>
        <v>1-66-50</v>
      </c>
      <c r="F3304" t="s">
        <v>65</v>
      </c>
      <c r="G3304" t="s">
        <v>66</v>
      </c>
      <c r="H3304" t="s">
        <v>67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1</v>
      </c>
    </row>
    <row r="3305" spans="1:39" x14ac:dyDescent="0.2">
      <c r="A3305" t="str">
        <f>"3301"</f>
        <v>3301</v>
      </c>
      <c r="B3305" t="str">
        <f t="shared" si="181"/>
        <v>1</v>
      </c>
      <c r="C3305" t="str">
        <f t="shared" ref="C3305:C3336" si="184">"67"</f>
        <v>67</v>
      </c>
      <c r="D3305" t="str">
        <f>"42"</f>
        <v>42</v>
      </c>
      <c r="E3305" t="str">
        <f>"1-67-42"</f>
        <v>1-67-42</v>
      </c>
      <c r="F3305" t="s">
        <v>65</v>
      </c>
      <c r="G3305" t="s">
        <v>66</v>
      </c>
      <c r="H3305" t="s">
        <v>68</v>
      </c>
      <c r="I3305">
        <v>1</v>
      </c>
      <c r="J3305">
        <v>0</v>
      </c>
      <c r="K3305">
        <v>1</v>
      </c>
      <c r="L3305">
        <v>0</v>
      </c>
      <c r="M3305">
        <v>1</v>
      </c>
      <c r="N3305">
        <v>1</v>
      </c>
      <c r="O3305">
        <v>1</v>
      </c>
      <c r="P3305">
        <v>1</v>
      </c>
      <c r="Q3305">
        <v>1</v>
      </c>
      <c r="R3305">
        <v>1</v>
      </c>
    </row>
    <row r="3306" spans="1:39" x14ac:dyDescent="0.2">
      <c r="A3306" t="str">
        <f>"3302"</f>
        <v>3302</v>
      </c>
      <c r="B3306" t="str">
        <f t="shared" si="181"/>
        <v>1</v>
      </c>
      <c r="C3306" t="str">
        <f t="shared" si="184"/>
        <v>67</v>
      </c>
      <c r="D3306" t="str">
        <f>"41"</f>
        <v>41</v>
      </c>
      <c r="E3306" t="str">
        <f>"1-67-41"</f>
        <v>1-67-41</v>
      </c>
      <c r="F3306" t="s">
        <v>65</v>
      </c>
      <c r="G3306" t="s">
        <v>66</v>
      </c>
      <c r="H3306" t="s">
        <v>68</v>
      </c>
      <c r="I3306">
        <v>1</v>
      </c>
      <c r="J3306">
        <v>0</v>
      </c>
      <c r="K3306">
        <v>0</v>
      </c>
      <c r="L3306">
        <v>1</v>
      </c>
      <c r="M3306">
        <v>1</v>
      </c>
      <c r="N3306">
        <v>1</v>
      </c>
      <c r="O3306">
        <v>1</v>
      </c>
      <c r="P3306">
        <v>1</v>
      </c>
      <c r="Q3306">
        <v>1</v>
      </c>
      <c r="R3306">
        <v>1</v>
      </c>
    </row>
    <row r="3307" spans="1:39" x14ac:dyDescent="0.2">
      <c r="A3307" t="str">
        <f>"3303"</f>
        <v>3303</v>
      </c>
      <c r="B3307" t="str">
        <f t="shared" si="181"/>
        <v>1</v>
      </c>
      <c r="C3307" t="str">
        <f t="shared" si="184"/>
        <v>67</v>
      </c>
      <c r="D3307" t="str">
        <f>"32"</f>
        <v>32</v>
      </c>
      <c r="E3307" t="str">
        <f>"1-67-32"</f>
        <v>1-67-32</v>
      </c>
      <c r="F3307" t="s">
        <v>65</v>
      </c>
      <c r="G3307" t="s">
        <v>66</v>
      </c>
      <c r="H3307" t="s">
        <v>68</v>
      </c>
      <c r="I3307">
        <v>1</v>
      </c>
      <c r="J3307">
        <v>1</v>
      </c>
      <c r="K3307">
        <v>0</v>
      </c>
      <c r="L3307">
        <v>0</v>
      </c>
      <c r="M3307">
        <v>1</v>
      </c>
      <c r="N3307">
        <v>1</v>
      </c>
      <c r="O3307">
        <v>1</v>
      </c>
      <c r="P3307">
        <v>1</v>
      </c>
      <c r="Q3307">
        <v>1</v>
      </c>
      <c r="R3307">
        <v>1</v>
      </c>
    </row>
    <row r="3308" spans="1:39" x14ac:dyDescent="0.2">
      <c r="A3308" t="str">
        <f>"3304"</f>
        <v>3304</v>
      </c>
      <c r="B3308" t="str">
        <f t="shared" si="181"/>
        <v>1</v>
      </c>
      <c r="C3308" t="str">
        <f t="shared" si="184"/>
        <v>67</v>
      </c>
      <c r="D3308" t="str">
        <f>"31"</f>
        <v>31</v>
      </c>
      <c r="E3308" t="str">
        <f>"1-67-31"</f>
        <v>1-67-31</v>
      </c>
      <c r="F3308" t="s">
        <v>65</v>
      </c>
      <c r="G3308" t="s">
        <v>66</v>
      </c>
      <c r="H3308" t="s">
        <v>68</v>
      </c>
      <c r="I3308">
        <v>1</v>
      </c>
      <c r="J3308">
        <v>1</v>
      </c>
      <c r="K3308">
        <v>0</v>
      </c>
      <c r="L3308">
        <v>0</v>
      </c>
      <c r="M3308">
        <v>1</v>
      </c>
      <c r="N3308">
        <v>1</v>
      </c>
      <c r="O3308">
        <v>1</v>
      </c>
      <c r="P3308">
        <v>1</v>
      </c>
      <c r="Q3308">
        <v>1</v>
      </c>
      <c r="R3308">
        <v>1</v>
      </c>
    </row>
    <row r="3309" spans="1:39" x14ac:dyDescent="0.2">
      <c r="A3309" t="str">
        <f>"3305"</f>
        <v>3305</v>
      </c>
      <c r="B3309" t="str">
        <f t="shared" si="181"/>
        <v>1</v>
      </c>
      <c r="C3309" t="str">
        <f t="shared" si="184"/>
        <v>67</v>
      </c>
      <c r="D3309" t="str">
        <f>"21"</f>
        <v>21</v>
      </c>
      <c r="E3309" t="str">
        <f>"1-67-21"</f>
        <v>1-67-21</v>
      </c>
      <c r="F3309" t="s">
        <v>65</v>
      </c>
      <c r="G3309" t="s">
        <v>66</v>
      </c>
      <c r="H3309" t="s">
        <v>68</v>
      </c>
      <c r="I3309">
        <v>1</v>
      </c>
      <c r="J3309">
        <v>0</v>
      </c>
      <c r="K3309">
        <v>0</v>
      </c>
      <c r="L3309">
        <v>1</v>
      </c>
      <c r="M3309">
        <v>1</v>
      </c>
      <c r="N3309">
        <v>1</v>
      </c>
      <c r="O3309">
        <v>1</v>
      </c>
      <c r="P3309">
        <v>1</v>
      </c>
      <c r="Q3309">
        <v>1</v>
      </c>
      <c r="R3309">
        <v>1</v>
      </c>
    </row>
    <row r="3310" spans="1:39" x14ac:dyDescent="0.2">
      <c r="A3310" t="str">
        <f>"3306"</f>
        <v>3306</v>
      </c>
      <c r="B3310" t="str">
        <f t="shared" si="181"/>
        <v>1</v>
      </c>
      <c r="C3310" t="str">
        <f t="shared" si="184"/>
        <v>67</v>
      </c>
      <c r="D3310" t="str">
        <f>"15"</f>
        <v>15</v>
      </c>
      <c r="E3310" t="str">
        <f>"1-67-15"</f>
        <v>1-67-15</v>
      </c>
      <c r="F3310" t="s">
        <v>65</v>
      </c>
      <c r="G3310" t="s">
        <v>66</v>
      </c>
      <c r="H3310" t="s">
        <v>68</v>
      </c>
      <c r="I3310">
        <v>1</v>
      </c>
      <c r="J3310">
        <v>0</v>
      </c>
      <c r="K3310">
        <v>1</v>
      </c>
      <c r="L3310">
        <v>0</v>
      </c>
      <c r="M3310">
        <v>1</v>
      </c>
      <c r="N3310">
        <v>1</v>
      </c>
      <c r="O3310">
        <v>1</v>
      </c>
      <c r="P3310">
        <v>1</v>
      </c>
      <c r="Q3310">
        <v>1</v>
      </c>
      <c r="R3310">
        <v>1</v>
      </c>
    </row>
    <row r="3311" spans="1:39" x14ac:dyDescent="0.2">
      <c r="A3311" t="str">
        <f>"3307"</f>
        <v>3307</v>
      </c>
      <c r="B3311" t="str">
        <f t="shared" si="181"/>
        <v>1</v>
      </c>
      <c r="C3311" t="str">
        <f t="shared" si="184"/>
        <v>67</v>
      </c>
      <c r="D3311" t="str">
        <f>"2"</f>
        <v>2</v>
      </c>
      <c r="E3311" t="str">
        <f>"1-67-2"</f>
        <v>1-67-2</v>
      </c>
      <c r="F3311" t="s">
        <v>65</v>
      </c>
      <c r="G3311" t="s">
        <v>66</v>
      </c>
      <c r="H3311" t="s">
        <v>67</v>
      </c>
      <c r="S3311">
        <v>0</v>
      </c>
      <c r="T3311">
        <v>1</v>
      </c>
      <c r="U3311">
        <v>0</v>
      </c>
      <c r="V3311">
        <v>0</v>
      </c>
      <c r="W3311">
        <v>0</v>
      </c>
      <c r="X3311">
        <v>1</v>
      </c>
      <c r="Y3311">
        <v>0</v>
      </c>
      <c r="Z3311">
        <v>1</v>
      </c>
      <c r="AA3311">
        <v>0</v>
      </c>
      <c r="AB3311">
        <v>0</v>
      </c>
      <c r="AC3311">
        <v>1</v>
      </c>
      <c r="AD3311">
        <v>0</v>
      </c>
      <c r="AE3311">
        <v>0</v>
      </c>
      <c r="AF3311">
        <v>0</v>
      </c>
      <c r="AG3311">
        <v>0</v>
      </c>
      <c r="AH3311">
        <v>1</v>
      </c>
      <c r="AI3311">
        <v>1</v>
      </c>
      <c r="AJ3311">
        <v>1</v>
      </c>
      <c r="AK3311">
        <v>1</v>
      </c>
      <c r="AL3311">
        <v>1</v>
      </c>
      <c r="AM3311">
        <v>0</v>
      </c>
    </row>
    <row r="3312" spans="1:39" x14ac:dyDescent="0.2">
      <c r="A3312" t="str">
        <f>"3308"</f>
        <v>3308</v>
      </c>
      <c r="B3312" t="str">
        <f t="shared" si="181"/>
        <v>1</v>
      </c>
      <c r="C3312" t="str">
        <f t="shared" si="184"/>
        <v>67</v>
      </c>
      <c r="D3312" t="str">
        <f>"38"</f>
        <v>38</v>
      </c>
      <c r="E3312" t="str">
        <f>"1-67-38"</f>
        <v>1-67-38</v>
      </c>
      <c r="F3312" t="s">
        <v>65</v>
      </c>
      <c r="G3312" t="s">
        <v>66</v>
      </c>
      <c r="H3312" t="s">
        <v>68</v>
      </c>
      <c r="I3312">
        <v>1</v>
      </c>
      <c r="J3312">
        <v>0</v>
      </c>
      <c r="K3312">
        <v>0</v>
      </c>
      <c r="L3312">
        <v>1</v>
      </c>
      <c r="M3312">
        <v>1</v>
      </c>
      <c r="N3312">
        <v>1</v>
      </c>
      <c r="O3312">
        <v>1</v>
      </c>
      <c r="P3312">
        <v>1</v>
      </c>
      <c r="Q3312">
        <v>1</v>
      </c>
      <c r="R3312">
        <v>1</v>
      </c>
    </row>
    <row r="3313" spans="1:39" x14ac:dyDescent="0.2">
      <c r="A3313" t="str">
        <f>"3309"</f>
        <v>3309</v>
      </c>
      <c r="B3313" t="str">
        <f t="shared" si="181"/>
        <v>1</v>
      </c>
      <c r="C3313" t="str">
        <f t="shared" si="184"/>
        <v>67</v>
      </c>
      <c r="D3313" t="str">
        <f>"37"</f>
        <v>37</v>
      </c>
      <c r="E3313" t="str">
        <f>"1-67-37"</f>
        <v>1-67-37</v>
      </c>
      <c r="F3313" t="s">
        <v>65</v>
      </c>
      <c r="G3313" t="s">
        <v>66</v>
      </c>
      <c r="H3313" t="s">
        <v>68</v>
      </c>
      <c r="I3313">
        <v>0</v>
      </c>
      <c r="J3313">
        <v>0</v>
      </c>
      <c r="K3313">
        <v>0</v>
      </c>
      <c r="L3313">
        <v>1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</row>
    <row r="3314" spans="1:39" x14ac:dyDescent="0.2">
      <c r="A3314" t="str">
        <f>"3310"</f>
        <v>3310</v>
      </c>
      <c r="B3314" t="str">
        <f t="shared" si="181"/>
        <v>1</v>
      </c>
      <c r="C3314" t="str">
        <f t="shared" si="184"/>
        <v>67</v>
      </c>
      <c r="D3314" t="str">
        <f>"29"</f>
        <v>29</v>
      </c>
      <c r="E3314" t="str">
        <f>"1-67-29"</f>
        <v>1-67-29</v>
      </c>
      <c r="F3314" t="s">
        <v>65</v>
      </c>
      <c r="G3314" t="s">
        <v>66</v>
      </c>
      <c r="H3314" t="s">
        <v>68</v>
      </c>
      <c r="I3314">
        <v>1</v>
      </c>
      <c r="J3314">
        <v>0</v>
      </c>
      <c r="K3314">
        <v>1</v>
      </c>
      <c r="L3314">
        <v>0</v>
      </c>
      <c r="M3314">
        <v>1</v>
      </c>
      <c r="N3314">
        <v>0</v>
      </c>
      <c r="O3314">
        <v>0</v>
      </c>
      <c r="P3314">
        <v>1</v>
      </c>
      <c r="Q3314">
        <v>0</v>
      </c>
      <c r="R3314">
        <v>0</v>
      </c>
    </row>
    <row r="3315" spans="1:39" x14ac:dyDescent="0.2">
      <c r="A3315" t="str">
        <f>"3311"</f>
        <v>3311</v>
      </c>
      <c r="B3315" t="str">
        <f t="shared" si="181"/>
        <v>1</v>
      </c>
      <c r="C3315" t="str">
        <f t="shared" si="184"/>
        <v>67</v>
      </c>
      <c r="D3315" t="str">
        <f>"16"</f>
        <v>16</v>
      </c>
      <c r="E3315" t="str">
        <f>"1-67-16"</f>
        <v>1-67-16</v>
      </c>
      <c r="F3315" t="s">
        <v>65</v>
      </c>
      <c r="G3315" t="s">
        <v>66</v>
      </c>
      <c r="H3315" t="s">
        <v>68</v>
      </c>
      <c r="I3315">
        <v>1</v>
      </c>
      <c r="J3315">
        <v>0</v>
      </c>
      <c r="K3315">
        <v>0</v>
      </c>
      <c r="L3315">
        <v>1</v>
      </c>
      <c r="M3315">
        <v>1</v>
      </c>
      <c r="N3315">
        <v>1</v>
      </c>
      <c r="O3315">
        <v>1</v>
      </c>
      <c r="P3315">
        <v>1</v>
      </c>
      <c r="Q3315">
        <v>1</v>
      </c>
      <c r="R3315">
        <v>1</v>
      </c>
    </row>
    <row r="3316" spans="1:39" x14ac:dyDescent="0.2">
      <c r="A3316" t="str">
        <f>"3312"</f>
        <v>3312</v>
      </c>
      <c r="B3316" t="str">
        <f t="shared" si="181"/>
        <v>1</v>
      </c>
      <c r="C3316" t="str">
        <f t="shared" si="184"/>
        <v>67</v>
      </c>
      <c r="D3316" t="str">
        <f>"4"</f>
        <v>4</v>
      </c>
      <c r="E3316" t="str">
        <f>"1-67-4"</f>
        <v>1-67-4</v>
      </c>
      <c r="F3316" t="s">
        <v>65</v>
      </c>
      <c r="G3316" t="s">
        <v>66</v>
      </c>
      <c r="H3316" t="s">
        <v>67</v>
      </c>
      <c r="S3316">
        <v>0</v>
      </c>
      <c r="T3316">
        <v>1</v>
      </c>
      <c r="U3316">
        <v>0</v>
      </c>
      <c r="V3316">
        <v>0</v>
      </c>
      <c r="W3316">
        <v>0</v>
      </c>
      <c r="X3316">
        <v>1</v>
      </c>
      <c r="Y3316">
        <v>0</v>
      </c>
      <c r="Z3316">
        <v>1</v>
      </c>
      <c r="AA3316">
        <v>0</v>
      </c>
      <c r="AB3316">
        <v>1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1</v>
      </c>
    </row>
    <row r="3317" spans="1:39" x14ac:dyDescent="0.2">
      <c r="A3317" t="str">
        <f>"3313"</f>
        <v>3313</v>
      </c>
      <c r="B3317" t="str">
        <f t="shared" si="181"/>
        <v>1</v>
      </c>
      <c r="C3317" t="str">
        <f t="shared" si="184"/>
        <v>67</v>
      </c>
      <c r="D3317" t="str">
        <f>"49"</f>
        <v>49</v>
      </c>
      <c r="E3317" t="str">
        <f>"1-67-49"</f>
        <v>1-67-49</v>
      </c>
      <c r="F3317" t="s">
        <v>65</v>
      </c>
      <c r="G3317" t="s">
        <v>66</v>
      </c>
      <c r="H3317" t="s">
        <v>68</v>
      </c>
      <c r="I3317">
        <v>1</v>
      </c>
      <c r="J3317">
        <v>1</v>
      </c>
      <c r="K3317">
        <v>0</v>
      </c>
      <c r="L3317">
        <v>0</v>
      </c>
      <c r="M3317">
        <v>1</v>
      </c>
      <c r="N3317">
        <v>1</v>
      </c>
      <c r="O3317">
        <v>1</v>
      </c>
      <c r="P3317">
        <v>1</v>
      </c>
      <c r="Q3317">
        <v>1</v>
      </c>
      <c r="R3317">
        <v>1</v>
      </c>
    </row>
    <row r="3318" spans="1:39" x14ac:dyDescent="0.2">
      <c r="A3318" t="str">
        <f>"3314"</f>
        <v>3314</v>
      </c>
      <c r="B3318" t="str">
        <f t="shared" si="181"/>
        <v>1</v>
      </c>
      <c r="C3318" t="str">
        <f t="shared" si="184"/>
        <v>67</v>
      </c>
      <c r="D3318" t="str">
        <f>"48"</f>
        <v>48</v>
      </c>
      <c r="E3318" t="str">
        <f>"1-67-48"</f>
        <v>1-67-48</v>
      </c>
      <c r="F3318" t="s">
        <v>65</v>
      </c>
      <c r="G3318" t="s">
        <v>66</v>
      </c>
      <c r="H3318" t="s">
        <v>68</v>
      </c>
      <c r="I3318">
        <v>1</v>
      </c>
      <c r="J3318">
        <v>0</v>
      </c>
      <c r="K3318">
        <v>1</v>
      </c>
      <c r="L3318">
        <v>0</v>
      </c>
      <c r="M3318">
        <v>1</v>
      </c>
      <c r="N3318">
        <v>1</v>
      </c>
      <c r="O3318">
        <v>1</v>
      </c>
      <c r="P3318">
        <v>1</v>
      </c>
      <c r="Q3318">
        <v>1</v>
      </c>
      <c r="R3318">
        <v>1</v>
      </c>
    </row>
    <row r="3319" spans="1:39" x14ac:dyDescent="0.2">
      <c r="A3319" t="str">
        <f>"3315"</f>
        <v>3315</v>
      </c>
      <c r="B3319" t="str">
        <f t="shared" ref="B3319:B3382" si="185">"1"</f>
        <v>1</v>
      </c>
      <c r="C3319" t="str">
        <f t="shared" si="184"/>
        <v>67</v>
      </c>
      <c r="D3319" t="str">
        <f>"33"</f>
        <v>33</v>
      </c>
      <c r="E3319" t="str">
        <f>"1-67-33"</f>
        <v>1-67-33</v>
      </c>
      <c r="F3319" t="s">
        <v>65</v>
      </c>
      <c r="G3319" t="s">
        <v>66</v>
      </c>
      <c r="H3319" t="s">
        <v>67</v>
      </c>
      <c r="S3319">
        <v>1</v>
      </c>
      <c r="T3319">
        <v>0</v>
      </c>
      <c r="U3319">
        <v>0</v>
      </c>
      <c r="V3319">
        <v>0</v>
      </c>
      <c r="W3319">
        <v>1</v>
      </c>
      <c r="X3319">
        <v>0</v>
      </c>
      <c r="Y3319">
        <v>1</v>
      </c>
      <c r="Z3319">
        <v>0</v>
      </c>
      <c r="AA3319">
        <v>1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</row>
    <row r="3320" spans="1:39" x14ac:dyDescent="0.2">
      <c r="A3320" t="str">
        <f>"3316"</f>
        <v>3316</v>
      </c>
      <c r="B3320" t="str">
        <f t="shared" si="185"/>
        <v>1</v>
      </c>
      <c r="C3320" t="str">
        <f t="shared" si="184"/>
        <v>67</v>
      </c>
      <c r="D3320" t="str">
        <f>"17"</f>
        <v>17</v>
      </c>
      <c r="E3320" t="str">
        <f>"1-67-17"</f>
        <v>1-67-17</v>
      </c>
      <c r="F3320" t="s">
        <v>65</v>
      </c>
      <c r="G3320" t="s">
        <v>66</v>
      </c>
      <c r="H3320" t="s">
        <v>68</v>
      </c>
      <c r="I3320">
        <v>1</v>
      </c>
      <c r="J3320">
        <v>0</v>
      </c>
      <c r="K3320">
        <v>0</v>
      </c>
      <c r="L3320">
        <v>1</v>
      </c>
      <c r="M3320">
        <v>1</v>
      </c>
      <c r="N3320">
        <v>1</v>
      </c>
      <c r="O3320">
        <v>1</v>
      </c>
      <c r="P3320">
        <v>1</v>
      </c>
      <c r="Q3320">
        <v>1</v>
      </c>
      <c r="R3320">
        <v>1</v>
      </c>
    </row>
    <row r="3321" spans="1:39" x14ac:dyDescent="0.2">
      <c r="A3321" t="str">
        <f>"3317"</f>
        <v>3317</v>
      </c>
      <c r="B3321" t="str">
        <f t="shared" si="185"/>
        <v>1</v>
      </c>
      <c r="C3321" t="str">
        <f t="shared" si="184"/>
        <v>67</v>
      </c>
      <c r="D3321" t="str">
        <f>"6"</f>
        <v>6</v>
      </c>
      <c r="E3321" t="str">
        <f>"1-67-6"</f>
        <v>1-67-6</v>
      </c>
      <c r="F3321" t="s">
        <v>65</v>
      </c>
      <c r="G3321" t="s">
        <v>66</v>
      </c>
      <c r="H3321" t="s">
        <v>68</v>
      </c>
      <c r="I3321">
        <v>1</v>
      </c>
      <c r="J3321">
        <v>1</v>
      </c>
      <c r="K3321">
        <v>0</v>
      </c>
      <c r="L3321">
        <v>0</v>
      </c>
      <c r="M3321">
        <v>1</v>
      </c>
      <c r="N3321">
        <v>1</v>
      </c>
      <c r="O3321">
        <v>1</v>
      </c>
      <c r="P3321">
        <v>1</v>
      </c>
      <c r="Q3321">
        <v>1</v>
      </c>
      <c r="R3321">
        <v>1</v>
      </c>
    </row>
    <row r="3322" spans="1:39" x14ac:dyDescent="0.2">
      <c r="A3322" t="str">
        <f>"3318"</f>
        <v>3318</v>
      </c>
      <c r="B3322" t="str">
        <f t="shared" si="185"/>
        <v>1</v>
      </c>
      <c r="C3322" t="str">
        <f t="shared" si="184"/>
        <v>67</v>
      </c>
      <c r="D3322" t="str">
        <f>"34"</f>
        <v>34</v>
      </c>
      <c r="E3322" t="str">
        <f>"1-67-34"</f>
        <v>1-67-34</v>
      </c>
      <c r="F3322" t="s">
        <v>65</v>
      </c>
      <c r="G3322" t="s">
        <v>66</v>
      </c>
      <c r="H3322" t="s">
        <v>67</v>
      </c>
      <c r="S3322">
        <v>1</v>
      </c>
      <c r="T3322">
        <v>0</v>
      </c>
      <c r="U3322">
        <v>0</v>
      </c>
      <c r="V3322">
        <v>0</v>
      </c>
      <c r="W3322">
        <v>1</v>
      </c>
      <c r="X3322">
        <v>0</v>
      </c>
      <c r="Y3322">
        <v>1</v>
      </c>
      <c r="Z3322">
        <v>0</v>
      </c>
      <c r="AA3322">
        <v>1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</row>
    <row r="3323" spans="1:39" x14ac:dyDescent="0.2">
      <c r="A3323" t="str">
        <f>"3319"</f>
        <v>3319</v>
      </c>
      <c r="B3323" t="str">
        <f t="shared" si="185"/>
        <v>1</v>
      </c>
      <c r="C3323" t="str">
        <f t="shared" si="184"/>
        <v>67</v>
      </c>
      <c r="D3323" t="str">
        <f>"18"</f>
        <v>18</v>
      </c>
      <c r="E3323" t="str">
        <f>"1-67-18"</f>
        <v>1-67-18</v>
      </c>
      <c r="F3323" t="s">
        <v>65</v>
      </c>
      <c r="G3323" t="s">
        <v>66</v>
      </c>
      <c r="H3323" t="s">
        <v>68</v>
      </c>
      <c r="I3323">
        <v>1</v>
      </c>
      <c r="J3323">
        <v>0</v>
      </c>
      <c r="K3323">
        <v>0</v>
      </c>
      <c r="L3323">
        <v>1</v>
      </c>
      <c r="M3323">
        <v>1</v>
      </c>
      <c r="N3323">
        <v>1</v>
      </c>
      <c r="O3323">
        <v>1</v>
      </c>
      <c r="P3323">
        <v>1</v>
      </c>
      <c r="Q3323">
        <v>1</v>
      </c>
      <c r="R3323">
        <v>1</v>
      </c>
    </row>
    <row r="3324" spans="1:39" x14ac:dyDescent="0.2">
      <c r="A3324" t="str">
        <f>"3320"</f>
        <v>3320</v>
      </c>
      <c r="B3324" t="str">
        <f t="shared" si="185"/>
        <v>1</v>
      </c>
      <c r="C3324" t="str">
        <f t="shared" si="184"/>
        <v>67</v>
      </c>
      <c r="D3324" t="str">
        <f>"11"</f>
        <v>11</v>
      </c>
      <c r="E3324" t="str">
        <f>"1-67-11"</f>
        <v>1-67-11</v>
      </c>
      <c r="F3324" t="s">
        <v>65</v>
      </c>
      <c r="G3324" t="s">
        <v>66</v>
      </c>
      <c r="H3324" t="s">
        <v>68</v>
      </c>
      <c r="I3324">
        <v>1</v>
      </c>
      <c r="J3324">
        <v>0</v>
      </c>
      <c r="K3324">
        <v>1</v>
      </c>
      <c r="L3324">
        <v>0</v>
      </c>
      <c r="M3324">
        <v>1</v>
      </c>
      <c r="N3324">
        <v>1</v>
      </c>
      <c r="O3324">
        <v>1</v>
      </c>
      <c r="P3324">
        <v>1</v>
      </c>
      <c r="Q3324">
        <v>1</v>
      </c>
      <c r="R3324">
        <v>1</v>
      </c>
    </row>
    <row r="3325" spans="1:39" x14ac:dyDescent="0.2">
      <c r="A3325" t="str">
        <f>"3321"</f>
        <v>3321</v>
      </c>
      <c r="B3325" t="str">
        <f t="shared" si="185"/>
        <v>1</v>
      </c>
      <c r="C3325" t="str">
        <f t="shared" si="184"/>
        <v>67</v>
      </c>
      <c r="D3325" t="str">
        <f>"35"</f>
        <v>35</v>
      </c>
      <c r="E3325" t="str">
        <f>"1-67-35"</f>
        <v>1-67-35</v>
      </c>
      <c r="F3325" t="s">
        <v>65</v>
      </c>
      <c r="G3325" t="s">
        <v>66</v>
      </c>
      <c r="H3325" t="s">
        <v>67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</row>
    <row r="3326" spans="1:39" x14ac:dyDescent="0.2">
      <c r="A3326" t="str">
        <f>"3322"</f>
        <v>3322</v>
      </c>
      <c r="B3326" t="str">
        <f t="shared" si="185"/>
        <v>1</v>
      </c>
      <c r="C3326" t="str">
        <f t="shared" si="184"/>
        <v>67</v>
      </c>
      <c r="D3326" t="str">
        <f>"19"</f>
        <v>19</v>
      </c>
      <c r="E3326" t="str">
        <f>"1-67-19"</f>
        <v>1-67-19</v>
      </c>
      <c r="F3326" t="s">
        <v>65</v>
      </c>
      <c r="G3326" t="s">
        <v>66</v>
      </c>
      <c r="H3326" t="s">
        <v>68</v>
      </c>
      <c r="I3326">
        <v>1</v>
      </c>
      <c r="J3326">
        <v>0</v>
      </c>
      <c r="K3326">
        <v>0</v>
      </c>
      <c r="L3326">
        <v>1</v>
      </c>
      <c r="M3326">
        <v>1</v>
      </c>
      <c r="N3326">
        <v>1</v>
      </c>
      <c r="O3326">
        <v>1</v>
      </c>
      <c r="P3326">
        <v>1</v>
      </c>
      <c r="Q3326">
        <v>1</v>
      </c>
      <c r="R3326">
        <v>1</v>
      </c>
    </row>
    <row r="3327" spans="1:39" x14ac:dyDescent="0.2">
      <c r="A3327" t="str">
        <f>"3323"</f>
        <v>3323</v>
      </c>
      <c r="B3327" t="str">
        <f t="shared" si="185"/>
        <v>1</v>
      </c>
      <c r="C3327" t="str">
        <f t="shared" si="184"/>
        <v>67</v>
      </c>
      <c r="D3327" t="str">
        <f>"14"</f>
        <v>14</v>
      </c>
      <c r="E3327" t="str">
        <f>"1-67-14"</f>
        <v>1-67-14</v>
      </c>
      <c r="F3327" t="s">
        <v>65</v>
      </c>
      <c r="G3327" t="s">
        <v>66</v>
      </c>
      <c r="H3327" t="s">
        <v>68</v>
      </c>
      <c r="I3327">
        <v>1</v>
      </c>
      <c r="J3327">
        <v>0</v>
      </c>
      <c r="K3327">
        <v>1</v>
      </c>
      <c r="L3327">
        <v>0</v>
      </c>
      <c r="M3327">
        <v>0</v>
      </c>
      <c r="N3327">
        <v>1</v>
      </c>
      <c r="O3327">
        <v>1</v>
      </c>
      <c r="P3327">
        <v>1</v>
      </c>
      <c r="Q3327">
        <v>1</v>
      </c>
      <c r="R3327">
        <v>1</v>
      </c>
    </row>
    <row r="3328" spans="1:39" x14ac:dyDescent="0.2">
      <c r="A3328" t="str">
        <f>"3324"</f>
        <v>3324</v>
      </c>
      <c r="B3328" t="str">
        <f t="shared" si="185"/>
        <v>1</v>
      </c>
      <c r="C3328" t="str">
        <f t="shared" si="184"/>
        <v>67</v>
      </c>
      <c r="D3328" t="str">
        <f>"47"</f>
        <v>47</v>
      </c>
      <c r="E3328" t="str">
        <f>"1-67-47"</f>
        <v>1-67-47</v>
      </c>
      <c r="F3328" t="s">
        <v>65</v>
      </c>
      <c r="G3328" t="s">
        <v>66</v>
      </c>
      <c r="H3328" t="s">
        <v>68</v>
      </c>
      <c r="I3328">
        <v>1</v>
      </c>
      <c r="J3328">
        <v>0</v>
      </c>
      <c r="K3328">
        <v>0</v>
      </c>
      <c r="L3328">
        <v>0</v>
      </c>
      <c r="M3328">
        <v>1</v>
      </c>
      <c r="N3328">
        <v>1</v>
      </c>
      <c r="O3328">
        <v>1</v>
      </c>
      <c r="P3328">
        <v>1</v>
      </c>
      <c r="Q3328">
        <v>1</v>
      </c>
      <c r="R3328">
        <v>1</v>
      </c>
    </row>
    <row r="3329" spans="1:39" x14ac:dyDescent="0.2">
      <c r="A3329" t="str">
        <f>"3325"</f>
        <v>3325</v>
      </c>
      <c r="B3329" t="str">
        <f t="shared" si="185"/>
        <v>1</v>
      </c>
      <c r="C3329" t="str">
        <f t="shared" si="184"/>
        <v>67</v>
      </c>
      <c r="D3329" t="str">
        <f>"46"</f>
        <v>46</v>
      </c>
      <c r="E3329" t="str">
        <f>"1-67-46"</f>
        <v>1-67-46</v>
      </c>
      <c r="F3329" t="s">
        <v>65</v>
      </c>
      <c r="G3329" t="s">
        <v>66</v>
      </c>
      <c r="H3329" t="s">
        <v>68</v>
      </c>
      <c r="I3329">
        <v>1</v>
      </c>
      <c r="J3329">
        <v>0</v>
      </c>
      <c r="K3329">
        <v>1</v>
      </c>
      <c r="L3329">
        <v>0</v>
      </c>
      <c r="M3329">
        <v>1</v>
      </c>
      <c r="N3329">
        <v>1</v>
      </c>
      <c r="O3329">
        <v>1</v>
      </c>
      <c r="P3329">
        <v>1</v>
      </c>
      <c r="Q3329">
        <v>1</v>
      </c>
      <c r="R3329">
        <v>1</v>
      </c>
    </row>
    <row r="3330" spans="1:39" x14ac:dyDescent="0.2">
      <c r="A3330" t="str">
        <f>"3326"</f>
        <v>3326</v>
      </c>
      <c r="B3330" t="str">
        <f t="shared" si="185"/>
        <v>1</v>
      </c>
      <c r="C3330" t="str">
        <f t="shared" si="184"/>
        <v>67</v>
      </c>
      <c r="D3330" t="str">
        <f>"36"</f>
        <v>36</v>
      </c>
      <c r="E3330" t="str">
        <f>"1-67-36"</f>
        <v>1-67-36</v>
      </c>
      <c r="F3330" t="s">
        <v>65</v>
      </c>
      <c r="G3330" t="s">
        <v>66</v>
      </c>
      <c r="H3330" t="s">
        <v>68</v>
      </c>
      <c r="I3330">
        <v>1</v>
      </c>
      <c r="J3330">
        <v>0</v>
      </c>
      <c r="K3330">
        <v>0</v>
      </c>
      <c r="L3330">
        <v>1</v>
      </c>
      <c r="M3330">
        <v>1</v>
      </c>
      <c r="N3330">
        <v>1</v>
      </c>
      <c r="O3330">
        <v>1</v>
      </c>
      <c r="P3330">
        <v>1</v>
      </c>
      <c r="Q3330">
        <v>1</v>
      </c>
      <c r="R3330">
        <v>1</v>
      </c>
    </row>
    <row r="3331" spans="1:39" x14ac:dyDescent="0.2">
      <c r="A3331" t="str">
        <f>"3327"</f>
        <v>3327</v>
      </c>
      <c r="B3331" t="str">
        <f t="shared" si="185"/>
        <v>1</v>
      </c>
      <c r="C3331" t="str">
        <f t="shared" si="184"/>
        <v>67</v>
      </c>
      <c r="D3331" t="str">
        <f>"20"</f>
        <v>20</v>
      </c>
      <c r="E3331" t="str">
        <f>"1-67-20"</f>
        <v>1-67-20</v>
      </c>
      <c r="F3331" t="s">
        <v>65</v>
      </c>
      <c r="G3331" t="s">
        <v>66</v>
      </c>
      <c r="H3331" t="s">
        <v>68</v>
      </c>
      <c r="I3331">
        <v>1</v>
      </c>
      <c r="J3331">
        <v>0</v>
      </c>
      <c r="K3331">
        <v>0</v>
      </c>
      <c r="L3331">
        <v>1</v>
      </c>
      <c r="M3331">
        <v>1</v>
      </c>
      <c r="N3331">
        <v>1</v>
      </c>
      <c r="O3331">
        <v>1</v>
      </c>
      <c r="P3331">
        <v>1</v>
      </c>
      <c r="Q3331">
        <v>1</v>
      </c>
      <c r="R3331">
        <v>1</v>
      </c>
    </row>
    <row r="3332" spans="1:39" x14ac:dyDescent="0.2">
      <c r="A3332" t="str">
        <f>"3328"</f>
        <v>3328</v>
      </c>
      <c r="B3332" t="str">
        <f t="shared" si="185"/>
        <v>1</v>
      </c>
      <c r="C3332" t="str">
        <f t="shared" si="184"/>
        <v>67</v>
      </c>
      <c r="D3332" t="str">
        <f>"1"</f>
        <v>1</v>
      </c>
      <c r="E3332" t="str">
        <f>"1-67-1"</f>
        <v>1-67-1</v>
      </c>
      <c r="F3332" t="s">
        <v>65</v>
      </c>
      <c r="G3332" t="s">
        <v>66</v>
      </c>
      <c r="H3332" t="s">
        <v>67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1</v>
      </c>
      <c r="Y3332">
        <v>0</v>
      </c>
      <c r="Z3332">
        <v>1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1</v>
      </c>
      <c r="AI3332">
        <v>0</v>
      </c>
      <c r="AJ3332">
        <v>0</v>
      </c>
      <c r="AK3332">
        <v>0</v>
      </c>
      <c r="AL3332">
        <v>1</v>
      </c>
      <c r="AM3332">
        <v>0</v>
      </c>
    </row>
    <row r="3333" spans="1:39" x14ac:dyDescent="0.2">
      <c r="A3333" t="str">
        <f>"3329"</f>
        <v>3329</v>
      </c>
      <c r="B3333" t="str">
        <f t="shared" si="185"/>
        <v>1</v>
      </c>
      <c r="C3333" t="str">
        <f t="shared" si="184"/>
        <v>67</v>
      </c>
      <c r="D3333" t="str">
        <f>"39"</f>
        <v>39</v>
      </c>
      <c r="E3333" t="str">
        <f>"1-67-39"</f>
        <v>1-67-39</v>
      </c>
      <c r="F3333" t="s">
        <v>65</v>
      </c>
      <c r="G3333" t="s">
        <v>66</v>
      </c>
      <c r="H3333" t="s">
        <v>68</v>
      </c>
      <c r="I3333">
        <v>1</v>
      </c>
      <c r="J3333">
        <v>0</v>
      </c>
      <c r="K3333">
        <v>0</v>
      </c>
      <c r="L3333">
        <v>1</v>
      </c>
      <c r="M3333">
        <v>1</v>
      </c>
      <c r="N3333">
        <v>1</v>
      </c>
      <c r="O3333">
        <v>1</v>
      </c>
      <c r="P3333">
        <v>1</v>
      </c>
      <c r="Q3333">
        <v>1</v>
      </c>
      <c r="R3333">
        <v>1</v>
      </c>
    </row>
    <row r="3334" spans="1:39" x14ac:dyDescent="0.2">
      <c r="A3334" t="str">
        <f>"3330"</f>
        <v>3330</v>
      </c>
      <c r="B3334" t="str">
        <f t="shared" si="185"/>
        <v>1</v>
      </c>
      <c r="C3334" t="str">
        <f t="shared" si="184"/>
        <v>67</v>
      </c>
      <c r="D3334" t="str">
        <f>"22"</f>
        <v>22</v>
      </c>
      <c r="E3334" t="str">
        <f>"1-67-22"</f>
        <v>1-67-22</v>
      </c>
      <c r="F3334" t="s">
        <v>65</v>
      </c>
      <c r="G3334" t="s">
        <v>66</v>
      </c>
      <c r="H3334" t="s">
        <v>68</v>
      </c>
      <c r="I3334">
        <v>1</v>
      </c>
      <c r="J3334">
        <v>0</v>
      </c>
      <c r="K3334">
        <v>0</v>
      </c>
      <c r="L3334">
        <v>1</v>
      </c>
      <c r="M3334">
        <v>1</v>
      </c>
      <c r="N3334">
        <v>1</v>
      </c>
      <c r="O3334">
        <v>1</v>
      </c>
      <c r="P3334">
        <v>1</v>
      </c>
      <c r="Q3334">
        <v>1</v>
      </c>
      <c r="R3334">
        <v>1</v>
      </c>
    </row>
    <row r="3335" spans="1:39" x14ac:dyDescent="0.2">
      <c r="A3335" t="str">
        <f>"3331"</f>
        <v>3331</v>
      </c>
      <c r="B3335" t="str">
        <f t="shared" si="185"/>
        <v>1</v>
      </c>
      <c r="C3335" t="str">
        <f t="shared" si="184"/>
        <v>67</v>
      </c>
      <c r="D3335" t="str">
        <f>"9"</f>
        <v>9</v>
      </c>
      <c r="E3335" t="str">
        <f>"1-67-9"</f>
        <v>1-67-9</v>
      </c>
      <c r="F3335" t="s">
        <v>65</v>
      </c>
      <c r="G3335" t="s">
        <v>66</v>
      </c>
      <c r="H3335" t="s">
        <v>68</v>
      </c>
      <c r="I3335">
        <v>1</v>
      </c>
      <c r="J3335">
        <v>0</v>
      </c>
      <c r="K3335">
        <v>1</v>
      </c>
      <c r="L3335">
        <v>0</v>
      </c>
      <c r="M3335">
        <v>1</v>
      </c>
      <c r="N3335">
        <v>1</v>
      </c>
      <c r="O3335">
        <v>1</v>
      </c>
      <c r="P3335">
        <v>1</v>
      </c>
      <c r="Q3335">
        <v>1</v>
      </c>
      <c r="R3335">
        <v>1</v>
      </c>
    </row>
    <row r="3336" spans="1:39" x14ac:dyDescent="0.2">
      <c r="A3336" t="str">
        <f>"3332"</f>
        <v>3332</v>
      </c>
      <c r="B3336" t="str">
        <f t="shared" si="185"/>
        <v>1</v>
      </c>
      <c r="C3336" t="str">
        <f t="shared" si="184"/>
        <v>67</v>
      </c>
      <c r="D3336" t="str">
        <f>"40"</f>
        <v>40</v>
      </c>
      <c r="E3336" t="str">
        <f>"1-67-40"</f>
        <v>1-67-40</v>
      </c>
      <c r="F3336" t="s">
        <v>65</v>
      </c>
      <c r="G3336" t="s">
        <v>66</v>
      </c>
      <c r="H3336" t="s">
        <v>68</v>
      </c>
      <c r="I3336">
        <v>1</v>
      </c>
      <c r="J3336">
        <v>0</v>
      </c>
      <c r="K3336">
        <v>0</v>
      </c>
      <c r="L3336">
        <v>1</v>
      </c>
      <c r="M3336">
        <v>1</v>
      </c>
      <c r="N3336">
        <v>1</v>
      </c>
      <c r="O3336">
        <v>1</v>
      </c>
      <c r="P3336">
        <v>1</v>
      </c>
      <c r="Q3336">
        <v>1</v>
      </c>
      <c r="R3336">
        <v>1</v>
      </c>
    </row>
    <row r="3337" spans="1:39" x14ac:dyDescent="0.2">
      <c r="A3337" t="str">
        <f>"3333"</f>
        <v>3333</v>
      </c>
      <c r="B3337" t="str">
        <f t="shared" si="185"/>
        <v>1</v>
      </c>
      <c r="C3337" t="str">
        <f t="shared" ref="C3337:C3354" si="186">"67"</f>
        <v>67</v>
      </c>
      <c r="D3337" t="str">
        <f>"23"</f>
        <v>23</v>
      </c>
      <c r="E3337" t="str">
        <f>"1-67-23"</f>
        <v>1-67-23</v>
      </c>
      <c r="F3337" t="s">
        <v>65</v>
      </c>
      <c r="G3337" t="s">
        <v>66</v>
      </c>
      <c r="H3337" t="s">
        <v>68</v>
      </c>
      <c r="I3337">
        <v>1</v>
      </c>
      <c r="J3337">
        <v>0</v>
      </c>
      <c r="K3337">
        <v>0</v>
      </c>
      <c r="L3337">
        <v>1</v>
      </c>
      <c r="M3337">
        <v>1</v>
      </c>
      <c r="N3337">
        <v>1</v>
      </c>
      <c r="O3337">
        <v>1</v>
      </c>
      <c r="P3337">
        <v>0</v>
      </c>
      <c r="Q3337">
        <v>0</v>
      </c>
      <c r="R3337">
        <v>0</v>
      </c>
    </row>
    <row r="3338" spans="1:39" x14ac:dyDescent="0.2">
      <c r="A3338" t="str">
        <f>"3334"</f>
        <v>3334</v>
      </c>
      <c r="B3338" t="str">
        <f t="shared" si="185"/>
        <v>1</v>
      </c>
      <c r="C3338" t="str">
        <f t="shared" si="186"/>
        <v>67</v>
      </c>
      <c r="D3338" t="str">
        <f>"10"</f>
        <v>10</v>
      </c>
      <c r="E3338" t="str">
        <f>"1-67-10"</f>
        <v>1-67-10</v>
      </c>
      <c r="F3338" t="s">
        <v>65</v>
      </c>
      <c r="G3338" t="s">
        <v>66</v>
      </c>
      <c r="H3338" t="s">
        <v>68</v>
      </c>
      <c r="I3338">
        <v>1</v>
      </c>
      <c r="J3338">
        <v>1</v>
      </c>
      <c r="K3338">
        <v>0</v>
      </c>
      <c r="L3338">
        <v>0</v>
      </c>
      <c r="M3338">
        <v>1</v>
      </c>
      <c r="N3338">
        <v>1</v>
      </c>
      <c r="O3338">
        <v>1</v>
      </c>
      <c r="P3338">
        <v>1</v>
      </c>
      <c r="Q3338">
        <v>1</v>
      </c>
      <c r="R3338">
        <v>1</v>
      </c>
    </row>
    <row r="3339" spans="1:39" x14ac:dyDescent="0.2">
      <c r="A3339" t="str">
        <f>"3335"</f>
        <v>3335</v>
      </c>
      <c r="B3339" t="str">
        <f t="shared" si="185"/>
        <v>1</v>
      </c>
      <c r="C3339" t="str">
        <f t="shared" si="186"/>
        <v>67</v>
      </c>
      <c r="D3339" t="str">
        <f>"45"</f>
        <v>45</v>
      </c>
      <c r="E3339" t="str">
        <f>"1-67-45"</f>
        <v>1-67-45</v>
      </c>
      <c r="F3339" t="s">
        <v>65</v>
      </c>
      <c r="G3339" t="s">
        <v>66</v>
      </c>
      <c r="H3339" t="s">
        <v>68</v>
      </c>
      <c r="I3339">
        <v>1</v>
      </c>
      <c r="J3339">
        <v>0</v>
      </c>
      <c r="K3339">
        <v>0</v>
      </c>
      <c r="L3339">
        <v>0</v>
      </c>
      <c r="M3339">
        <v>1</v>
      </c>
      <c r="N3339">
        <v>1</v>
      </c>
      <c r="O3339">
        <v>0</v>
      </c>
      <c r="P3339">
        <v>1</v>
      </c>
      <c r="Q3339">
        <v>1</v>
      </c>
      <c r="R3339">
        <v>1</v>
      </c>
    </row>
    <row r="3340" spans="1:39" x14ac:dyDescent="0.2">
      <c r="A3340" t="str">
        <f>"3336"</f>
        <v>3336</v>
      </c>
      <c r="B3340" t="str">
        <f t="shared" si="185"/>
        <v>1</v>
      </c>
      <c r="C3340" t="str">
        <f t="shared" si="186"/>
        <v>67</v>
      </c>
      <c r="D3340" t="str">
        <f>"24"</f>
        <v>24</v>
      </c>
      <c r="E3340" t="str">
        <f>"1-67-24"</f>
        <v>1-67-24</v>
      </c>
      <c r="F3340" t="s">
        <v>65</v>
      </c>
      <c r="G3340" t="s">
        <v>66</v>
      </c>
      <c r="H3340" t="s">
        <v>68</v>
      </c>
      <c r="I3340">
        <v>1</v>
      </c>
      <c r="J3340">
        <v>0</v>
      </c>
      <c r="K3340">
        <v>0</v>
      </c>
      <c r="L3340">
        <v>1</v>
      </c>
      <c r="M3340">
        <v>1</v>
      </c>
      <c r="N3340">
        <v>1</v>
      </c>
      <c r="O3340">
        <v>1</v>
      </c>
      <c r="P3340">
        <v>1</v>
      </c>
      <c r="Q3340">
        <v>0</v>
      </c>
      <c r="R3340">
        <v>0</v>
      </c>
    </row>
    <row r="3341" spans="1:39" x14ac:dyDescent="0.2">
      <c r="A3341" t="str">
        <f>"3337"</f>
        <v>3337</v>
      </c>
      <c r="B3341" t="str">
        <f t="shared" si="185"/>
        <v>1</v>
      </c>
      <c r="C3341" t="str">
        <f t="shared" si="186"/>
        <v>67</v>
      </c>
      <c r="D3341" t="str">
        <f>"13"</f>
        <v>13</v>
      </c>
      <c r="E3341" t="str">
        <f>"1-67-13"</f>
        <v>1-67-13</v>
      </c>
      <c r="F3341" t="s">
        <v>65</v>
      </c>
      <c r="G3341" t="s">
        <v>66</v>
      </c>
      <c r="H3341" t="s">
        <v>68</v>
      </c>
      <c r="I3341">
        <v>1</v>
      </c>
      <c r="J3341">
        <v>0</v>
      </c>
      <c r="K3341">
        <v>1</v>
      </c>
      <c r="L3341">
        <v>0</v>
      </c>
      <c r="M3341">
        <v>1</v>
      </c>
      <c r="N3341">
        <v>1</v>
      </c>
      <c r="O3341">
        <v>0</v>
      </c>
      <c r="P3341">
        <v>1</v>
      </c>
      <c r="Q3341">
        <v>1</v>
      </c>
      <c r="R3341">
        <v>1</v>
      </c>
    </row>
    <row r="3342" spans="1:39" x14ac:dyDescent="0.2">
      <c r="A3342" t="str">
        <f>"3338"</f>
        <v>3338</v>
      </c>
      <c r="B3342" t="str">
        <f t="shared" si="185"/>
        <v>1</v>
      </c>
      <c r="C3342" t="str">
        <f t="shared" si="186"/>
        <v>67</v>
      </c>
      <c r="D3342" t="str">
        <f>"25"</f>
        <v>25</v>
      </c>
      <c r="E3342" t="str">
        <f>"1-67-25"</f>
        <v>1-67-25</v>
      </c>
      <c r="F3342" t="s">
        <v>65</v>
      </c>
      <c r="G3342" t="s">
        <v>66</v>
      </c>
      <c r="H3342" t="s">
        <v>68</v>
      </c>
      <c r="I3342">
        <v>1</v>
      </c>
      <c r="J3342">
        <v>0</v>
      </c>
      <c r="K3342">
        <v>1</v>
      </c>
      <c r="L3342">
        <v>0</v>
      </c>
      <c r="M3342">
        <v>1</v>
      </c>
      <c r="N3342">
        <v>1</v>
      </c>
      <c r="O3342">
        <v>1</v>
      </c>
      <c r="P3342">
        <v>1</v>
      </c>
      <c r="Q3342">
        <v>1</v>
      </c>
      <c r="R3342">
        <v>1</v>
      </c>
    </row>
    <row r="3343" spans="1:39" x14ac:dyDescent="0.2">
      <c r="A3343" t="str">
        <f>"3339"</f>
        <v>3339</v>
      </c>
      <c r="B3343" t="str">
        <f t="shared" si="185"/>
        <v>1</v>
      </c>
      <c r="C3343" t="str">
        <f t="shared" si="186"/>
        <v>67</v>
      </c>
      <c r="D3343" t="str">
        <f>"12"</f>
        <v>12</v>
      </c>
      <c r="E3343" t="str">
        <f>"1-67-12"</f>
        <v>1-67-12</v>
      </c>
      <c r="F3343" t="s">
        <v>65</v>
      </c>
      <c r="G3343" t="s">
        <v>66</v>
      </c>
      <c r="H3343" t="s">
        <v>68</v>
      </c>
      <c r="I3343">
        <v>1</v>
      </c>
      <c r="J3343">
        <v>0</v>
      </c>
      <c r="K3343">
        <v>1</v>
      </c>
      <c r="L3343">
        <v>0</v>
      </c>
      <c r="M3343">
        <v>1</v>
      </c>
      <c r="N3343">
        <v>1</v>
      </c>
      <c r="O3343">
        <v>1</v>
      </c>
      <c r="P3343">
        <v>1</v>
      </c>
      <c r="Q3343">
        <v>1</v>
      </c>
      <c r="R3343">
        <v>1</v>
      </c>
    </row>
    <row r="3344" spans="1:39" x14ac:dyDescent="0.2">
      <c r="A3344" t="str">
        <f>"3340"</f>
        <v>3340</v>
      </c>
      <c r="B3344" t="str">
        <f t="shared" si="185"/>
        <v>1</v>
      </c>
      <c r="C3344" t="str">
        <f t="shared" si="186"/>
        <v>67</v>
      </c>
      <c r="D3344" t="str">
        <f>"44"</f>
        <v>44</v>
      </c>
      <c r="E3344" t="str">
        <f>"1-67-44"</f>
        <v>1-67-44</v>
      </c>
      <c r="F3344" t="s">
        <v>65</v>
      </c>
      <c r="G3344" t="s">
        <v>66</v>
      </c>
      <c r="H3344" t="s">
        <v>68</v>
      </c>
      <c r="I3344">
        <v>1</v>
      </c>
      <c r="J3344">
        <v>0</v>
      </c>
      <c r="K3344">
        <v>1</v>
      </c>
      <c r="L3344">
        <v>0</v>
      </c>
      <c r="M3344">
        <v>1</v>
      </c>
      <c r="N3344">
        <v>1</v>
      </c>
      <c r="O3344">
        <v>1</v>
      </c>
      <c r="P3344">
        <v>1</v>
      </c>
      <c r="Q3344">
        <v>1</v>
      </c>
      <c r="R3344">
        <v>1</v>
      </c>
    </row>
    <row r="3345" spans="1:39" x14ac:dyDescent="0.2">
      <c r="A3345" t="str">
        <f>"3341"</f>
        <v>3341</v>
      </c>
      <c r="B3345" t="str">
        <f t="shared" si="185"/>
        <v>1</v>
      </c>
      <c r="C3345" t="str">
        <f t="shared" si="186"/>
        <v>67</v>
      </c>
      <c r="D3345" t="str">
        <f>"26"</f>
        <v>26</v>
      </c>
      <c r="E3345" t="str">
        <f>"1-67-26"</f>
        <v>1-67-26</v>
      </c>
      <c r="F3345" t="s">
        <v>65</v>
      </c>
      <c r="G3345" t="s">
        <v>66</v>
      </c>
      <c r="H3345" t="s">
        <v>68</v>
      </c>
      <c r="I3345">
        <v>1</v>
      </c>
      <c r="J3345">
        <v>0</v>
      </c>
      <c r="K3345">
        <v>0</v>
      </c>
      <c r="L3345">
        <v>1</v>
      </c>
      <c r="M3345">
        <v>1</v>
      </c>
      <c r="N3345">
        <v>0</v>
      </c>
      <c r="O3345">
        <v>0</v>
      </c>
      <c r="P3345">
        <v>1</v>
      </c>
      <c r="Q3345">
        <v>1</v>
      </c>
      <c r="R3345">
        <v>1</v>
      </c>
    </row>
    <row r="3346" spans="1:39" x14ac:dyDescent="0.2">
      <c r="A3346" t="str">
        <f>"3342"</f>
        <v>3342</v>
      </c>
      <c r="B3346" t="str">
        <f t="shared" si="185"/>
        <v>1</v>
      </c>
      <c r="C3346" t="str">
        <f t="shared" si="186"/>
        <v>67</v>
      </c>
      <c r="D3346" t="str">
        <f>"7"</f>
        <v>7</v>
      </c>
      <c r="E3346" t="str">
        <f>"1-67-7"</f>
        <v>1-67-7</v>
      </c>
      <c r="F3346" t="s">
        <v>65</v>
      </c>
      <c r="G3346" t="s">
        <v>66</v>
      </c>
      <c r="H3346" t="s">
        <v>68</v>
      </c>
      <c r="I3346">
        <v>1</v>
      </c>
      <c r="J3346">
        <v>0</v>
      </c>
      <c r="K3346">
        <v>1</v>
      </c>
      <c r="L3346">
        <v>0</v>
      </c>
      <c r="M3346">
        <v>1</v>
      </c>
      <c r="N3346">
        <v>1</v>
      </c>
      <c r="O3346">
        <v>1</v>
      </c>
      <c r="P3346">
        <v>1</v>
      </c>
      <c r="Q3346">
        <v>1</v>
      </c>
      <c r="R3346">
        <v>1</v>
      </c>
    </row>
    <row r="3347" spans="1:39" x14ac:dyDescent="0.2">
      <c r="A3347" t="str">
        <f>"3343"</f>
        <v>3343</v>
      </c>
      <c r="B3347" t="str">
        <f t="shared" si="185"/>
        <v>1</v>
      </c>
      <c r="C3347" t="str">
        <f t="shared" si="186"/>
        <v>67</v>
      </c>
      <c r="D3347" t="str">
        <f>"27"</f>
        <v>27</v>
      </c>
      <c r="E3347" t="str">
        <f>"1-67-27"</f>
        <v>1-67-27</v>
      </c>
      <c r="F3347" t="s">
        <v>65</v>
      </c>
      <c r="G3347" t="s">
        <v>66</v>
      </c>
      <c r="H3347" t="s">
        <v>68</v>
      </c>
      <c r="I3347">
        <v>1</v>
      </c>
      <c r="J3347">
        <v>0</v>
      </c>
      <c r="K3347">
        <v>1</v>
      </c>
      <c r="L3347">
        <v>0</v>
      </c>
      <c r="M3347">
        <v>1</v>
      </c>
      <c r="N3347">
        <v>1</v>
      </c>
      <c r="O3347">
        <v>1</v>
      </c>
      <c r="P3347">
        <v>1</v>
      </c>
      <c r="Q3347">
        <v>1</v>
      </c>
      <c r="R3347">
        <v>1</v>
      </c>
    </row>
    <row r="3348" spans="1:39" x14ac:dyDescent="0.2">
      <c r="A3348" t="str">
        <f>"3344"</f>
        <v>3344</v>
      </c>
      <c r="B3348" t="str">
        <f t="shared" si="185"/>
        <v>1</v>
      </c>
      <c r="C3348" t="str">
        <f t="shared" si="186"/>
        <v>67</v>
      </c>
      <c r="D3348" t="str">
        <f>"8"</f>
        <v>8</v>
      </c>
      <c r="E3348" t="str">
        <f>"1-67-8"</f>
        <v>1-67-8</v>
      </c>
      <c r="F3348" t="s">
        <v>65</v>
      </c>
      <c r="G3348" t="s">
        <v>66</v>
      </c>
      <c r="H3348" t="s">
        <v>68</v>
      </c>
      <c r="I3348">
        <v>1</v>
      </c>
      <c r="J3348">
        <v>0</v>
      </c>
      <c r="K3348">
        <v>0</v>
      </c>
      <c r="L3348">
        <v>0</v>
      </c>
      <c r="M3348">
        <v>1</v>
      </c>
      <c r="N3348">
        <v>1</v>
      </c>
      <c r="O3348">
        <v>1</v>
      </c>
      <c r="P3348">
        <v>1</v>
      </c>
      <c r="Q3348">
        <v>1</v>
      </c>
      <c r="R3348">
        <v>1</v>
      </c>
    </row>
    <row r="3349" spans="1:39" x14ac:dyDescent="0.2">
      <c r="A3349" t="str">
        <f>"3345"</f>
        <v>3345</v>
      </c>
      <c r="B3349" t="str">
        <f t="shared" si="185"/>
        <v>1</v>
      </c>
      <c r="C3349" t="str">
        <f t="shared" si="186"/>
        <v>67</v>
      </c>
      <c r="D3349" t="str">
        <f>"43"</f>
        <v>43</v>
      </c>
      <c r="E3349" t="str">
        <f>"1-67-43"</f>
        <v>1-67-43</v>
      </c>
      <c r="F3349" t="s">
        <v>65</v>
      </c>
      <c r="G3349" t="s">
        <v>66</v>
      </c>
      <c r="H3349" t="s">
        <v>68</v>
      </c>
      <c r="I3349">
        <v>1</v>
      </c>
      <c r="J3349">
        <v>0</v>
      </c>
      <c r="K3349">
        <v>0</v>
      </c>
      <c r="L3349">
        <v>1</v>
      </c>
      <c r="M3349">
        <v>1</v>
      </c>
      <c r="N3349">
        <v>1</v>
      </c>
      <c r="O3349">
        <v>1</v>
      </c>
      <c r="P3349">
        <v>1</v>
      </c>
      <c r="Q3349">
        <v>1</v>
      </c>
      <c r="R3349">
        <v>1</v>
      </c>
    </row>
    <row r="3350" spans="1:39" x14ac:dyDescent="0.2">
      <c r="A3350" t="str">
        <f>"3346"</f>
        <v>3346</v>
      </c>
      <c r="B3350" t="str">
        <f t="shared" si="185"/>
        <v>1</v>
      </c>
      <c r="C3350" t="str">
        <f t="shared" si="186"/>
        <v>67</v>
      </c>
      <c r="D3350" t="str">
        <f>"28"</f>
        <v>28</v>
      </c>
      <c r="E3350" t="str">
        <f>"1-67-28"</f>
        <v>1-67-28</v>
      </c>
      <c r="F3350" t="s">
        <v>65</v>
      </c>
      <c r="G3350" t="s">
        <v>66</v>
      </c>
      <c r="H3350" t="s">
        <v>68</v>
      </c>
      <c r="I3350">
        <v>1</v>
      </c>
      <c r="J3350">
        <v>0</v>
      </c>
      <c r="K3350">
        <v>1</v>
      </c>
      <c r="L3350">
        <v>0</v>
      </c>
      <c r="M3350">
        <v>1</v>
      </c>
      <c r="N3350">
        <v>1</v>
      </c>
      <c r="O3350">
        <v>1</v>
      </c>
      <c r="P3350">
        <v>1</v>
      </c>
      <c r="Q3350">
        <v>1</v>
      </c>
      <c r="R3350">
        <v>1</v>
      </c>
    </row>
    <row r="3351" spans="1:39" x14ac:dyDescent="0.2">
      <c r="A3351" t="str">
        <f>"3347"</f>
        <v>3347</v>
      </c>
      <c r="B3351" t="str">
        <f t="shared" si="185"/>
        <v>1</v>
      </c>
      <c r="C3351" t="str">
        <f t="shared" si="186"/>
        <v>67</v>
      </c>
      <c r="D3351" t="str">
        <f>"3"</f>
        <v>3</v>
      </c>
      <c r="E3351" t="str">
        <f>"1-67-3"</f>
        <v>1-67-3</v>
      </c>
      <c r="F3351" t="s">
        <v>65</v>
      </c>
      <c r="G3351" t="s">
        <v>66</v>
      </c>
      <c r="H3351" t="s">
        <v>67</v>
      </c>
      <c r="S3351">
        <v>1</v>
      </c>
      <c r="T3351">
        <v>0</v>
      </c>
      <c r="U3351">
        <v>0</v>
      </c>
      <c r="V3351">
        <v>0</v>
      </c>
      <c r="W3351">
        <v>1</v>
      </c>
      <c r="X3351">
        <v>0</v>
      </c>
      <c r="Y3351">
        <v>1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1</v>
      </c>
      <c r="AF3351">
        <v>1</v>
      </c>
      <c r="AG3351">
        <v>1</v>
      </c>
      <c r="AH3351">
        <v>1</v>
      </c>
      <c r="AI3351">
        <v>1</v>
      </c>
      <c r="AJ3351">
        <v>1</v>
      </c>
      <c r="AK3351">
        <v>1</v>
      </c>
      <c r="AL3351">
        <v>1</v>
      </c>
      <c r="AM3351">
        <v>1</v>
      </c>
    </row>
    <row r="3352" spans="1:39" x14ac:dyDescent="0.2">
      <c r="A3352" t="str">
        <f>"3348"</f>
        <v>3348</v>
      </c>
      <c r="B3352" t="str">
        <f t="shared" si="185"/>
        <v>1</v>
      </c>
      <c r="C3352" t="str">
        <f t="shared" si="186"/>
        <v>67</v>
      </c>
      <c r="D3352" t="str">
        <f>"50"</f>
        <v>50</v>
      </c>
      <c r="E3352" t="str">
        <f>"1-67-50"</f>
        <v>1-67-50</v>
      </c>
      <c r="F3352" t="s">
        <v>65</v>
      </c>
      <c r="G3352" t="s">
        <v>66</v>
      </c>
      <c r="H3352" t="s">
        <v>68</v>
      </c>
      <c r="I3352">
        <v>1</v>
      </c>
      <c r="J3352">
        <v>0</v>
      </c>
      <c r="K3352">
        <v>1</v>
      </c>
      <c r="L3352">
        <v>0</v>
      </c>
      <c r="M3352">
        <v>1</v>
      </c>
      <c r="N3352">
        <v>1</v>
      </c>
      <c r="O3352">
        <v>1</v>
      </c>
      <c r="P3352">
        <v>1</v>
      </c>
      <c r="Q3352">
        <v>1</v>
      </c>
      <c r="R3352">
        <v>1</v>
      </c>
    </row>
    <row r="3353" spans="1:39" x14ac:dyDescent="0.2">
      <c r="A3353" t="str">
        <f>"3349"</f>
        <v>3349</v>
      </c>
      <c r="B3353" t="str">
        <f t="shared" si="185"/>
        <v>1</v>
      </c>
      <c r="C3353" t="str">
        <f t="shared" si="186"/>
        <v>67</v>
      </c>
      <c r="D3353" t="str">
        <f>"30"</f>
        <v>30</v>
      </c>
      <c r="E3353" t="str">
        <f>"1-67-30"</f>
        <v>1-67-30</v>
      </c>
      <c r="F3353" t="s">
        <v>65</v>
      </c>
      <c r="G3353" t="s">
        <v>66</v>
      </c>
      <c r="H3353" t="s">
        <v>68</v>
      </c>
      <c r="I3353">
        <v>0</v>
      </c>
      <c r="J3353">
        <v>0</v>
      </c>
      <c r="K3353">
        <v>0</v>
      </c>
      <c r="L3353">
        <v>1</v>
      </c>
      <c r="M3353">
        <v>1</v>
      </c>
      <c r="N3353">
        <v>1</v>
      </c>
      <c r="O3353">
        <v>1</v>
      </c>
      <c r="P3353">
        <v>1</v>
      </c>
      <c r="Q3353">
        <v>1</v>
      </c>
      <c r="R3353">
        <v>1</v>
      </c>
    </row>
    <row r="3354" spans="1:39" x14ac:dyDescent="0.2">
      <c r="A3354" t="str">
        <f>"3350"</f>
        <v>3350</v>
      </c>
      <c r="B3354" t="str">
        <f t="shared" si="185"/>
        <v>1</v>
      </c>
      <c r="C3354" t="str">
        <f t="shared" si="186"/>
        <v>67</v>
      </c>
      <c r="D3354" t="str">
        <f>"5"</f>
        <v>5</v>
      </c>
      <c r="E3354" t="str">
        <f>"1-67-5"</f>
        <v>1-67-5</v>
      </c>
      <c r="F3354" t="s">
        <v>65</v>
      </c>
      <c r="G3354" t="s">
        <v>66</v>
      </c>
      <c r="H3354" t="s">
        <v>67</v>
      </c>
      <c r="S3354">
        <v>1</v>
      </c>
      <c r="T3354">
        <v>0</v>
      </c>
      <c r="U3354">
        <v>0</v>
      </c>
      <c r="V3354">
        <v>0</v>
      </c>
      <c r="W3354">
        <v>1</v>
      </c>
      <c r="X3354">
        <v>0</v>
      </c>
      <c r="Y3354">
        <v>1</v>
      </c>
      <c r="Z3354">
        <v>0</v>
      </c>
      <c r="AA3354">
        <v>1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1</v>
      </c>
      <c r="AK3354">
        <v>0</v>
      </c>
      <c r="AL3354">
        <v>1</v>
      </c>
      <c r="AM3354">
        <v>0</v>
      </c>
    </row>
    <row r="3355" spans="1:39" x14ac:dyDescent="0.2">
      <c r="A3355" t="str">
        <f>"3351"</f>
        <v>3351</v>
      </c>
      <c r="B3355" t="str">
        <f t="shared" si="185"/>
        <v>1</v>
      </c>
      <c r="C3355" t="str">
        <f t="shared" ref="C3355:C3386" si="187">"68"</f>
        <v>68</v>
      </c>
      <c r="D3355" t="str">
        <f>"41"</f>
        <v>41</v>
      </c>
      <c r="E3355" t="str">
        <f>"1-68-41"</f>
        <v>1-68-41</v>
      </c>
      <c r="F3355" t="s">
        <v>65</v>
      </c>
      <c r="G3355" t="s">
        <v>66</v>
      </c>
      <c r="H3355" t="s">
        <v>67</v>
      </c>
      <c r="S3355">
        <v>0</v>
      </c>
      <c r="T3355">
        <v>1</v>
      </c>
      <c r="U3355">
        <v>0</v>
      </c>
      <c r="V3355">
        <v>0</v>
      </c>
      <c r="W3355">
        <v>1</v>
      </c>
      <c r="X3355">
        <v>0</v>
      </c>
      <c r="Y3355">
        <v>0</v>
      </c>
      <c r="Z3355">
        <v>1</v>
      </c>
      <c r="AA3355">
        <v>0</v>
      </c>
      <c r="AB3355">
        <v>0</v>
      </c>
      <c r="AC3355">
        <v>1</v>
      </c>
      <c r="AD3355">
        <v>1</v>
      </c>
      <c r="AE3355">
        <v>1</v>
      </c>
      <c r="AF3355">
        <v>1</v>
      </c>
      <c r="AG3355">
        <v>1</v>
      </c>
      <c r="AH3355">
        <v>1</v>
      </c>
      <c r="AI3355">
        <v>1</v>
      </c>
      <c r="AJ3355">
        <v>1</v>
      </c>
      <c r="AK3355">
        <v>1</v>
      </c>
      <c r="AL3355">
        <v>1</v>
      </c>
      <c r="AM3355">
        <v>1</v>
      </c>
    </row>
    <row r="3356" spans="1:39" x14ac:dyDescent="0.2">
      <c r="A3356" t="str">
        <f>"3352"</f>
        <v>3352</v>
      </c>
      <c r="B3356" t="str">
        <f t="shared" si="185"/>
        <v>1</v>
      </c>
      <c r="C3356" t="str">
        <f t="shared" si="187"/>
        <v>68</v>
      </c>
      <c r="D3356" t="str">
        <f>"40"</f>
        <v>40</v>
      </c>
      <c r="E3356" t="str">
        <f>"1-68-40"</f>
        <v>1-68-40</v>
      </c>
      <c r="F3356" t="s">
        <v>65</v>
      </c>
      <c r="G3356" t="s">
        <v>66</v>
      </c>
      <c r="H3356" t="s">
        <v>67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1</v>
      </c>
      <c r="Y3356">
        <v>0</v>
      </c>
      <c r="Z3356">
        <v>1</v>
      </c>
      <c r="AA3356">
        <v>0</v>
      </c>
      <c r="AB3356">
        <v>1</v>
      </c>
      <c r="AC3356">
        <v>0</v>
      </c>
      <c r="AD3356">
        <v>1</v>
      </c>
      <c r="AE3356">
        <v>1</v>
      </c>
      <c r="AF3356">
        <v>1</v>
      </c>
      <c r="AG3356">
        <v>1</v>
      </c>
      <c r="AH3356">
        <v>1</v>
      </c>
      <c r="AI3356">
        <v>1</v>
      </c>
      <c r="AJ3356">
        <v>1</v>
      </c>
      <c r="AK3356">
        <v>1</v>
      </c>
      <c r="AL3356">
        <v>1</v>
      </c>
      <c r="AM3356">
        <v>1</v>
      </c>
    </row>
    <row r="3357" spans="1:39" x14ac:dyDescent="0.2">
      <c r="A3357" t="str">
        <f>"3353"</f>
        <v>3353</v>
      </c>
      <c r="B3357" t="str">
        <f t="shared" si="185"/>
        <v>1</v>
      </c>
      <c r="C3357" t="str">
        <f t="shared" si="187"/>
        <v>68</v>
      </c>
      <c r="D3357" t="str">
        <f>"32"</f>
        <v>32</v>
      </c>
      <c r="E3357" t="str">
        <f>"1-68-32"</f>
        <v>1-68-32</v>
      </c>
      <c r="F3357" t="s">
        <v>65</v>
      </c>
      <c r="G3357" t="s">
        <v>66</v>
      </c>
      <c r="H3357" t="s">
        <v>67</v>
      </c>
      <c r="S3357">
        <v>1</v>
      </c>
      <c r="T3357">
        <v>0</v>
      </c>
      <c r="U3357">
        <v>0</v>
      </c>
      <c r="V3357">
        <v>0</v>
      </c>
      <c r="W3357">
        <v>0</v>
      </c>
      <c r="X3357">
        <v>1</v>
      </c>
      <c r="Y3357">
        <v>1</v>
      </c>
      <c r="Z3357">
        <v>0</v>
      </c>
      <c r="AA3357">
        <v>0</v>
      </c>
      <c r="AB3357">
        <v>0</v>
      </c>
      <c r="AC3357">
        <v>1</v>
      </c>
      <c r="AD3357">
        <v>1</v>
      </c>
      <c r="AE3357">
        <v>1</v>
      </c>
      <c r="AF3357">
        <v>1</v>
      </c>
      <c r="AG3357">
        <v>1</v>
      </c>
      <c r="AH3357">
        <v>1</v>
      </c>
      <c r="AI3357">
        <v>1</v>
      </c>
      <c r="AJ3357">
        <v>1</v>
      </c>
      <c r="AK3357">
        <v>1</v>
      </c>
      <c r="AL3357">
        <v>1</v>
      </c>
      <c r="AM3357">
        <v>1</v>
      </c>
    </row>
    <row r="3358" spans="1:39" x14ac:dyDescent="0.2">
      <c r="A3358" t="str">
        <f>"3354"</f>
        <v>3354</v>
      </c>
      <c r="B3358" t="str">
        <f t="shared" si="185"/>
        <v>1</v>
      </c>
      <c r="C3358" t="str">
        <f t="shared" si="187"/>
        <v>68</v>
      </c>
      <c r="D3358" t="str">
        <f>"31"</f>
        <v>31</v>
      </c>
      <c r="E3358" t="str">
        <f>"1-68-31"</f>
        <v>1-68-31</v>
      </c>
      <c r="F3358" t="s">
        <v>65</v>
      </c>
      <c r="G3358" t="s">
        <v>66</v>
      </c>
      <c r="H3358" t="s">
        <v>67</v>
      </c>
      <c r="S3358">
        <v>0</v>
      </c>
      <c r="T3358">
        <v>0</v>
      </c>
      <c r="U3358">
        <v>0</v>
      </c>
      <c r="V3358">
        <v>0</v>
      </c>
      <c r="W3358">
        <v>1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</row>
    <row r="3359" spans="1:39" x14ac:dyDescent="0.2">
      <c r="A3359" t="str">
        <f>"3355"</f>
        <v>3355</v>
      </c>
      <c r="B3359" t="str">
        <f t="shared" si="185"/>
        <v>1</v>
      </c>
      <c r="C3359" t="str">
        <f t="shared" si="187"/>
        <v>68</v>
      </c>
      <c r="D3359" t="str">
        <f>"21"</f>
        <v>21</v>
      </c>
      <c r="E3359" t="str">
        <f>"1-68-21"</f>
        <v>1-68-21</v>
      </c>
      <c r="F3359" t="s">
        <v>65</v>
      </c>
      <c r="G3359" t="s">
        <v>66</v>
      </c>
      <c r="H3359" t="s">
        <v>67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1</v>
      </c>
      <c r="Y3359">
        <v>0</v>
      </c>
      <c r="Z3359">
        <v>1</v>
      </c>
      <c r="AA3359">
        <v>0</v>
      </c>
      <c r="AB3359">
        <v>0</v>
      </c>
      <c r="AC3359">
        <v>1</v>
      </c>
      <c r="AD3359">
        <v>1</v>
      </c>
      <c r="AE3359">
        <v>1</v>
      </c>
      <c r="AF3359">
        <v>1</v>
      </c>
      <c r="AG3359">
        <v>1</v>
      </c>
      <c r="AH3359">
        <v>1</v>
      </c>
      <c r="AI3359">
        <v>1</v>
      </c>
      <c r="AJ3359">
        <v>1</v>
      </c>
      <c r="AK3359">
        <v>1</v>
      </c>
      <c r="AL3359">
        <v>1</v>
      </c>
      <c r="AM3359">
        <v>1</v>
      </c>
    </row>
    <row r="3360" spans="1:39" x14ac:dyDescent="0.2">
      <c r="A3360" t="str">
        <f>"3356"</f>
        <v>3356</v>
      </c>
      <c r="B3360" t="str">
        <f t="shared" si="185"/>
        <v>1</v>
      </c>
      <c r="C3360" t="str">
        <f t="shared" si="187"/>
        <v>68</v>
      </c>
      <c r="D3360" t="str">
        <f>"15"</f>
        <v>15</v>
      </c>
      <c r="E3360" t="str">
        <f>"1-68-15"</f>
        <v>1-68-15</v>
      </c>
      <c r="F3360" t="s">
        <v>65</v>
      </c>
      <c r="G3360" t="s">
        <v>66</v>
      </c>
      <c r="H3360" t="s">
        <v>67</v>
      </c>
      <c r="S3360">
        <v>1</v>
      </c>
      <c r="T3360">
        <v>0</v>
      </c>
      <c r="U3360">
        <v>0</v>
      </c>
      <c r="V3360">
        <v>0</v>
      </c>
      <c r="W3360">
        <v>1</v>
      </c>
      <c r="X3360">
        <v>0</v>
      </c>
      <c r="Y3360">
        <v>1</v>
      </c>
      <c r="Z3360">
        <v>0</v>
      </c>
      <c r="AA3360">
        <v>0</v>
      </c>
      <c r="AB3360">
        <v>1</v>
      </c>
      <c r="AC3360">
        <v>0</v>
      </c>
      <c r="AD3360">
        <v>1</v>
      </c>
      <c r="AE3360">
        <v>1</v>
      </c>
      <c r="AF3360">
        <v>1</v>
      </c>
      <c r="AG3360">
        <v>1</v>
      </c>
      <c r="AH3360">
        <v>1</v>
      </c>
      <c r="AI3360">
        <v>1</v>
      </c>
      <c r="AJ3360">
        <v>1</v>
      </c>
      <c r="AK3360">
        <v>1</v>
      </c>
      <c r="AL3360">
        <v>1</v>
      </c>
      <c r="AM3360">
        <v>1</v>
      </c>
    </row>
    <row r="3361" spans="1:39" x14ac:dyDescent="0.2">
      <c r="A3361" t="str">
        <f>"3357"</f>
        <v>3357</v>
      </c>
      <c r="B3361" t="str">
        <f t="shared" si="185"/>
        <v>1</v>
      </c>
      <c r="C3361" t="str">
        <f t="shared" si="187"/>
        <v>68</v>
      </c>
      <c r="D3361" t="str">
        <f>"1"</f>
        <v>1</v>
      </c>
      <c r="E3361" t="str">
        <f>"1-68-1"</f>
        <v>1-68-1</v>
      </c>
      <c r="F3361" t="s">
        <v>65</v>
      </c>
      <c r="G3361" t="s">
        <v>66</v>
      </c>
      <c r="H3361" t="s">
        <v>67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1</v>
      </c>
      <c r="AI3361">
        <v>1</v>
      </c>
      <c r="AJ3361">
        <v>1</v>
      </c>
      <c r="AK3361">
        <v>1</v>
      </c>
      <c r="AL3361">
        <v>1</v>
      </c>
      <c r="AM3361">
        <v>1</v>
      </c>
    </row>
    <row r="3362" spans="1:39" x14ac:dyDescent="0.2">
      <c r="A3362" t="str">
        <f>"3358"</f>
        <v>3358</v>
      </c>
      <c r="B3362" t="str">
        <f t="shared" si="185"/>
        <v>1</v>
      </c>
      <c r="C3362" t="str">
        <f t="shared" si="187"/>
        <v>68</v>
      </c>
      <c r="D3362" t="str">
        <f>"38"</f>
        <v>38</v>
      </c>
      <c r="E3362" t="str">
        <f>"1-68-38"</f>
        <v>1-68-38</v>
      </c>
      <c r="F3362" t="s">
        <v>65</v>
      </c>
      <c r="G3362" t="s">
        <v>66</v>
      </c>
      <c r="H3362" t="s">
        <v>67</v>
      </c>
      <c r="S3362">
        <v>0</v>
      </c>
      <c r="T3362">
        <v>1</v>
      </c>
      <c r="U3362">
        <v>0</v>
      </c>
      <c r="V3362">
        <v>0</v>
      </c>
      <c r="W3362">
        <v>0</v>
      </c>
      <c r="X3362">
        <v>1</v>
      </c>
      <c r="Y3362">
        <v>1</v>
      </c>
      <c r="Z3362">
        <v>0</v>
      </c>
      <c r="AA3362">
        <v>0</v>
      </c>
      <c r="AB3362">
        <v>0</v>
      </c>
      <c r="AC3362">
        <v>1</v>
      </c>
      <c r="AD3362">
        <v>1</v>
      </c>
      <c r="AE3362">
        <v>1</v>
      </c>
      <c r="AF3362">
        <v>1</v>
      </c>
      <c r="AG3362">
        <v>1</v>
      </c>
      <c r="AH3362">
        <v>1</v>
      </c>
      <c r="AI3362">
        <v>1</v>
      </c>
      <c r="AJ3362">
        <v>1</v>
      </c>
      <c r="AK3362">
        <v>1</v>
      </c>
      <c r="AL3362">
        <v>1</v>
      </c>
      <c r="AM3362">
        <v>1</v>
      </c>
    </row>
    <row r="3363" spans="1:39" x14ac:dyDescent="0.2">
      <c r="A3363" t="str">
        <f>"3359"</f>
        <v>3359</v>
      </c>
      <c r="B3363" t="str">
        <f t="shared" si="185"/>
        <v>1</v>
      </c>
      <c r="C3363" t="str">
        <f t="shared" si="187"/>
        <v>68</v>
      </c>
      <c r="D3363" t="str">
        <f>"37"</f>
        <v>37</v>
      </c>
      <c r="E3363" t="str">
        <f>"1-68-37"</f>
        <v>1-68-37</v>
      </c>
      <c r="F3363" t="s">
        <v>65</v>
      </c>
      <c r="G3363" t="s">
        <v>66</v>
      </c>
      <c r="H3363" t="s">
        <v>67</v>
      </c>
      <c r="S3363">
        <v>1</v>
      </c>
      <c r="T3363">
        <v>0</v>
      </c>
      <c r="U3363">
        <v>0</v>
      </c>
      <c r="V3363">
        <v>0</v>
      </c>
      <c r="W3363">
        <v>1</v>
      </c>
      <c r="X3363">
        <v>0</v>
      </c>
      <c r="Y3363">
        <v>0</v>
      </c>
      <c r="Z3363">
        <v>1</v>
      </c>
      <c r="AA3363">
        <v>1</v>
      </c>
      <c r="AB3363">
        <v>0</v>
      </c>
      <c r="AC3363">
        <v>0</v>
      </c>
      <c r="AD3363">
        <v>1</v>
      </c>
      <c r="AE3363">
        <v>1</v>
      </c>
      <c r="AF3363">
        <v>1</v>
      </c>
      <c r="AG3363">
        <v>1</v>
      </c>
      <c r="AH3363">
        <v>1</v>
      </c>
      <c r="AI3363">
        <v>1</v>
      </c>
      <c r="AJ3363">
        <v>1</v>
      </c>
      <c r="AK3363">
        <v>1</v>
      </c>
      <c r="AL3363">
        <v>1</v>
      </c>
      <c r="AM3363">
        <v>1</v>
      </c>
    </row>
    <row r="3364" spans="1:39" x14ac:dyDescent="0.2">
      <c r="A3364" t="str">
        <f>"3360"</f>
        <v>3360</v>
      </c>
      <c r="B3364" t="str">
        <f t="shared" si="185"/>
        <v>1</v>
      </c>
      <c r="C3364" t="str">
        <f t="shared" si="187"/>
        <v>68</v>
      </c>
      <c r="D3364" t="str">
        <f>"29"</f>
        <v>29</v>
      </c>
      <c r="E3364" t="str">
        <f>"1-68-29"</f>
        <v>1-68-29</v>
      </c>
      <c r="F3364" t="s">
        <v>65</v>
      </c>
      <c r="G3364" t="s">
        <v>66</v>
      </c>
      <c r="H3364" t="s">
        <v>67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</row>
    <row r="3365" spans="1:39" x14ac:dyDescent="0.2">
      <c r="A3365" t="str">
        <f>"3361"</f>
        <v>3361</v>
      </c>
      <c r="B3365" t="str">
        <f t="shared" si="185"/>
        <v>1</v>
      </c>
      <c r="C3365" t="str">
        <f t="shared" si="187"/>
        <v>68</v>
      </c>
      <c r="D3365" t="str">
        <f>"16"</f>
        <v>16</v>
      </c>
      <c r="E3365" t="str">
        <f>"1-68-16"</f>
        <v>1-68-16</v>
      </c>
      <c r="F3365" t="s">
        <v>65</v>
      </c>
      <c r="G3365" t="s">
        <v>66</v>
      </c>
      <c r="H3365" t="s">
        <v>67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1</v>
      </c>
      <c r="AH3365">
        <v>1</v>
      </c>
      <c r="AI3365">
        <v>1</v>
      </c>
      <c r="AJ3365">
        <v>1</v>
      </c>
      <c r="AK3365">
        <v>1</v>
      </c>
      <c r="AL3365">
        <v>1</v>
      </c>
      <c r="AM3365">
        <v>0</v>
      </c>
    </row>
    <row r="3366" spans="1:39" x14ac:dyDescent="0.2">
      <c r="A3366" t="str">
        <f>"3362"</f>
        <v>3362</v>
      </c>
      <c r="B3366" t="str">
        <f t="shared" si="185"/>
        <v>1</v>
      </c>
      <c r="C3366" t="str">
        <f t="shared" si="187"/>
        <v>68</v>
      </c>
      <c r="D3366" t="str">
        <f>"3"</f>
        <v>3</v>
      </c>
      <c r="E3366" t="str">
        <f>"1-68-3"</f>
        <v>1-68-3</v>
      </c>
      <c r="F3366" t="s">
        <v>65</v>
      </c>
      <c r="G3366" t="s">
        <v>66</v>
      </c>
      <c r="H3366" t="s">
        <v>67</v>
      </c>
      <c r="S3366">
        <v>1</v>
      </c>
      <c r="T3366">
        <v>0</v>
      </c>
      <c r="U3366">
        <v>0</v>
      </c>
      <c r="V3366">
        <v>0</v>
      </c>
      <c r="W3366">
        <v>0</v>
      </c>
      <c r="X3366">
        <v>1</v>
      </c>
      <c r="Y3366">
        <v>1</v>
      </c>
      <c r="Z3366">
        <v>0</v>
      </c>
      <c r="AA3366">
        <v>0</v>
      </c>
      <c r="AB3366">
        <v>0</v>
      </c>
      <c r="AC3366">
        <v>1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</row>
    <row r="3367" spans="1:39" x14ac:dyDescent="0.2">
      <c r="A3367" t="str">
        <f>"3363"</f>
        <v>3363</v>
      </c>
      <c r="B3367" t="str">
        <f t="shared" si="185"/>
        <v>1</v>
      </c>
      <c r="C3367" t="str">
        <f t="shared" si="187"/>
        <v>68</v>
      </c>
      <c r="D3367" t="str">
        <f>"44"</f>
        <v>44</v>
      </c>
      <c r="E3367" t="str">
        <f>"1-68-44"</f>
        <v>1-68-44</v>
      </c>
      <c r="F3367" t="s">
        <v>65</v>
      </c>
      <c r="G3367" t="s">
        <v>66</v>
      </c>
      <c r="H3367" t="s">
        <v>68</v>
      </c>
      <c r="I3367">
        <v>1</v>
      </c>
      <c r="J3367">
        <v>1</v>
      </c>
      <c r="K3367">
        <v>0</v>
      </c>
      <c r="L3367">
        <v>0</v>
      </c>
      <c r="M3367">
        <v>1</v>
      </c>
      <c r="N3367">
        <v>1</v>
      </c>
      <c r="O3367">
        <v>1</v>
      </c>
      <c r="P3367">
        <v>1</v>
      </c>
      <c r="Q3367">
        <v>0</v>
      </c>
      <c r="R3367">
        <v>0</v>
      </c>
    </row>
    <row r="3368" spans="1:39" x14ac:dyDescent="0.2">
      <c r="A3368" t="str">
        <f>"3364"</f>
        <v>3364</v>
      </c>
      <c r="B3368" t="str">
        <f t="shared" si="185"/>
        <v>1</v>
      </c>
      <c r="C3368" t="str">
        <f t="shared" si="187"/>
        <v>68</v>
      </c>
      <c r="D3368" t="str">
        <f>"43"</f>
        <v>43</v>
      </c>
      <c r="E3368" t="str">
        <f>"1-68-43"</f>
        <v>1-68-43</v>
      </c>
      <c r="F3368" t="s">
        <v>65</v>
      </c>
      <c r="G3368" t="s">
        <v>66</v>
      </c>
      <c r="H3368" t="s">
        <v>68</v>
      </c>
      <c r="I3368">
        <v>1</v>
      </c>
      <c r="J3368">
        <v>0</v>
      </c>
      <c r="K3368">
        <v>0</v>
      </c>
      <c r="L3368">
        <v>1</v>
      </c>
      <c r="M3368">
        <v>1</v>
      </c>
      <c r="N3368">
        <v>1</v>
      </c>
      <c r="O3368">
        <v>1</v>
      </c>
      <c r="P3368">
        <v>1</v>
      </c>
      <c r="Q3368">
        <v>1</v>
      </c>
      <c r="R3368">
        <v>1</v>
      </c>
    </row>
    <row r="3369" spans="1:39" x14ac:dyDescent="0.2">
      <c r="A3369" t="str">
        <f>"3365"</f>
        <v>3365</v>
      </c>
      <c r="B3369" t="str">
        <f t="shared" si="185"/>
        <v>1</v>
      </c>
      <c r="C3369" t="str">
        <f t="shared" si="187"/>
        <v>68</v>
      </c>
      <c r="D3369" t="str">
        <f>"33"</f>
        <v>33</v>
      </c>
      <c r="E3369" t="str">
        <f>"1-68-33"</f>
        <v>1-68-33</v>
      </c>
      <c r="F3369" t="s">
        <v>65</v>
      </c>
      <c r="G3369" t="s">
        <v>66</v>
      </c>
      <c r="H3369" t="s">
        <v>67</v>
      </c>
      <c r="S3369">
        <v>0</v>
      </c>
      <c r="T3369">
        <v>1</v>
      </c>
      <c r="U3369">
        <v>0</v>
      </c>
      <c r="V3369">
        <v>0</v>
      </c>
      <c r="W3369">
        <v>1</v>
      </c>
      <c r="X3369">
        <v>0</v>
      </c>
      <c r="Y3369">
        <v>1</v>
      </c>
      <c r="Z3369">
        <v>0</v>
      </c>
      <c r="AA3369">
        <v>0</v>
      </c>
      <c r="AB3369">
        <v>0</v>
      </c>
      <c r="AC3369">
        <v>1</v>
      </c>
      <c r="AD3369">
        <v>1</v>
      </c>
      <c r="AE3369">
        <v>1</v>
      </c>
      <c r="AF3369">
        <v>1</v>
      </c>
      <c r="AG3369">
        <v>1</v>
      </c>
      <c r="AH3369">
        <v>1</v>
      </c>
      <c r="AI3369">
        <v>1</v>
      </c>
      <c r="AJ3369">
        <v>1</v>
      </c>
      <c r="AK3369">
        <v>1</v>
      </c>
      <c r="AL3369">
        <v>1</v>
      </c>
      <c r="AM3369">
        <v>1</v>
      </c>
    </row>
    <row r="3370" spans="1:39" x14ac:dyDescent="0.2">
      <c r="A3370" t="str">
        <f>"3366"</f>
        <v>3366</v>
      </c>
      <c r="B3370" t="str">
        <f t="shared" si="185"/>
        <v>1</v>
      </c>
      <c r="C3370" t="str">
        <f t="shared" si="187"/>
        <v>68</v>
      </c>
      <c r="D3370" t="str">
        <f>"17"</f>
        <v>17</v>
      </c>
      <c r="E3370" t="str">
        <f>"1-68-17"</f>
        <v>1-68-17</v>
      </c>
      <c r="F3370" t="s">
        <v>65</v>
      </c>
      <c r="G3370" t="s">
        <v>66</v>
      </c>
      <c r="H3370" t="s">
        <v>67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0</v>
      </c>
      <c r="AB3370">
        <v>0</v>
      </c>
      <c r="AC3370">
        <v>1</v>
      </c>
      <c r="AD3370">
        <v>0</v>
      </c>
      <c r="AE3370">
        <v>0</v>
      </c>
      <c r="AF3370">
        <v>0</v>
      </c>
      <c r="AG3370">
        <v>0</v>
      </c>
      <c r="AH3370">
        <v>1</v>
      </c>
      <c r="AI3370">
        <v>0</v>
      </c>
      <c r="AJ3370">
        <v>0</v>
      </c>
      <c r="AK3370">
        <v>0</v>
      </c>
      <c r="AL3370">
        <v>1</v>
      </c>
      <c r="AM3370">
        <v>0</v>
      </c>
    </row>
    <row r="3371" spans="1:39" x14ac:dyDescent="0.2">
      <c r="A3371" t="str">
        <f>"3367"</f>
        <v>3367</v>
      </c>
      <c r="B3371" t="str">
        <f t="shared" si="185"/>
        <v>1</v>
      </c>
      <c r="C3371" t="str">
        <f t="shared" si="187"/>
        <v>68</v>
      </c>
      <c r="D3371" t="str">
        <f>"8"</f>
        <v>8</v>
      </c>
      <c r="E3371" t="str">
        <f>"1-68-8"</f>
        <v>1-68-8</v>
      </c>
      <c r="F3371" t="s">
        <v>65</v>
      </c>
      <c r="G3371" t="s">
        <v>66</v>
      </c>
      <c r="H3371" t="s">
        <v>67</v>
      </c>
      <c r="S3371">
        <v>0</v>
      </c>
      <c r="T3371">
        <v>1</v>
      </c>
      <c r="U3371">
        <v>0</v>
      </c>
      <c r="V3371">
        <v>0</v>
      </c>
      <c r="W3371">
        <v>0</v>
      </c>
      <c r="X3371">
        <v>1</v>
      </c>
      <c r="Y3371">
        <v>1</v>
      </c>
      <c r="Z3371">
        <v>0</v>
      </c>
      <c r="AA3371">
        <v>0</v>
      </c>
      <c r="AB3371">
        <v>0</v>
      </c>
      <c r="AC3371">
        <v>1</v>
      </c>
      <c r="AD3371">
        <v>1</v>
      </c>
      <c r="AE3371">
        <v>1</v>
      </c>
      <c r="AF3371">
        <v>1</v>
      </c>
      <c r="AG3371">
        <v>1</v>
      </c>
      <c r="AH3371">
        <v>1</v>
      </c>
      <c r="AI3371">
        <v>1</v>
      </c>
      <c r="AJ3371">
        <v>1</v>
      </c>
      <c r="AK3371">
        <v>1</v>
      </c>
      <c r="AL3371">
        <v>1</v>
      </c>
      <c r="AM3371">
        <v>1</v>
      </c>
    </row>
    <row r="3372" spans="1:39" x14ac:dyDescent="0.2">
      <c r="A3372" t="str">
        <f>"3368"</f>
        <v>3368</v>
      </c>
      <c r="B3372" t="str">
        <f t="shared" si="185"/>
        <v>1</v>
      </c>
      <c r="C3372" t="str">
        <f t="shared" si="187"/>
        <v>68</v>
      </c>
      <c r="D3372" t="str">
        <f>"50"</f>
        <v>50</v>
      </c>
      <c r="E3372" t="str">
        <f>"1-68-50"</f>
        <v>1-68-50</v>
      </c>
      <c r="F3372" t="s">
        <v>65</v>
      </c>
      <c r="G3372" t="s">
        <v>66</v>
      </c>
      <c r="H3372" t="s">
        <v>68</v>
      </c>
      <c r="I3372">
        <v>1</v>
      </c>
      <c r="J3372">
        <v>1</v>
      </c>
      <c r="K3372">
        <v>0</v>
      </c>
      <c r="L3372">
        <v>0</v>
      </c>
      <c r="M3372">
        <v>1</v>
      </c>
      <c r="N3372">
        <v>1</v>
      </c>
      <c r="O3372">
        <v>1</v>
      </c>
      <c r="P3372">
        <v>1</v>
      </c>
      <c r="Q3372">
        <v>1</v>
      </c>
      <c r="R3372">
        <v>1</v>
      </c>
    </row>
    <row r="3373" spans="1:39" x14ac:dyDescent="0.2">
      <c r="A3373" t="str">
        <f>"3369"</f>
        <v>3369</v>
      </c>
      <c r="B3373" t="str">
        <f t="shared" si="185"/>
        <v>1</v>
      </c>
      <c r="C3373" t="str">
        <f t="shared" si="187"/>
        <v>68</v>
      </c>
      <c r="D3373" t="str">
        <f>"49"</f>
        <v>49</v>
      </c>
      <c r="E3373" t="str">
        <f>"1-68-49"</f>
        <v>1-68-49</v>
      </c>
      <c r="F3373" t="s">
        <v>65</v>
      </c>
      <c r="G3373" t="s">
        <v>66</v>
      </c>
      <c r="H3373" t="s">
        <v>68</v>
      </c>
      <c r="I3373">
        <v>1</v>
      </c>
      <c r="J3373">
        <v>1</v>
      </c>
      <c r="K3373">
        <v>0</v>
      </c>
      <c r="L3373">
        <v>0</v>
      </c>
      <c r="M3373">
        <v>1</v>
      </c>
      <c r="N3373">
        <v>1</v>
      </c>
      <c r="O3373">
        <v>1</v>
      </c>
      <c r="P3373">
        <v>1</v>
      </c>
      <c r="Q3373">
        <v>1</v>
      </c>
      <c r="R3373">
        <v>1</v>
      </c>
    </row>
    <row r="3374" spans="1:39" x14ac:dyDescent="0.2">
      <c r="A3374" t="str">
        <f>"3370"</f>
        <v>3370</v>
      </c>
      <c r="B3374" t="str">
        <f t="shared" si="185"/>
        <v>1</v>
      </c>
      <c r="C3374" t="str">
        <f t="shared" si="187"/>
        <v>68</v>
      </c>
      <c r="D3374" t="str">
        <f>"34"</f>
        <v>34</v>
      </c>
      <c r="E3374" t="str">
        <f>"1-68-34"</f>
        <v>1-68-34</v>
      </c>
      <c r="F3374" t="s">
        <v>65</v>
      </c>
      <c r="G3374" t="s">
        <v>66</v>
      </c>
      <c r="H3374" t="s">
        <v>67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0</v>
      </c>
      <c r="AB3374">
        <v>0</v>
      </c>
      <c r="AC3374">
        <v>1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</row>
    <row r="3375" spans="1:39" x14ac:dyDescent="0.2">
      <c r="A3375" t="str">
        <f>"3371"</f>
        <v>3371</v>
      </c>
      <c r="B3375" t="str">
        <f t="shared" si="185"/>
        <v>1</v>
      </c>
      <c r="C3375" t="str">
        <f t="shared" si="187"/>
        <v>68</v>
      </c>
      <c r="D3375" t="str">
        <f>"18"</f>
        <v>18</v>
      </c>
      <c r="E3375" t="str">
        <f>"1-68-18"</f>
        <v>1-68-18</v>
      </c>
      <c r="F3375" t="s">
        <v>65</v>
      </c>
      <c r="G3375" t="s">
        <v>66</v>
      </c>
      <c r="H3375" t="s">
        <v>67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1</v>
      </c>
      <c r="Y3375">
        <v>0</v>
      </c>
      <c r="Z3375">
        <v>1</v>
      </c>
      <c r="AA3375">
        <v>0</v>
      </c>
      <c r="AB3375">
        <v>0</v>
      </c>
      <c r="AC3375">
        <v>1</v>
      </c>
      <c r="AD3375">
        <v>1</v>
      </c>
      <c r="AE3375">
        <v>1</v>
      </c>
      <c r="AF3375">
        <v>1</v>
      </c>
      <c r="AG3375">
        <v>1</v>
      </c>
      <c r="AH3375">
        <v>1</v>
      </c>
      <c r="AI3375">
        <v>1</v>
      </c>
      <c r="AJ3375">
        <v>1</v>
      </c>
      <c r="AK3375">
        <v>1</v>
      </c>
      <c r="AL3375">
        <v>1</v>
      </c>
      <c r="AM3375">
        <v>1</v>
      </c>
    </row>
    <row r="3376" spans="1:39" x14ac:dyDescent="0.2">
      <c r="A3376" t="str">
        <f>"3372"</f>
        <v>3372</v>
      </c>
      <c r="B3376" t="str">
        <f t="shared" si="185"/>
        <v>1</v>
      </c>
      <c r="C3376" t="str">
        <f t="shared" si="187"/>
        <v>68</v>
      </c>
      <c r="D3376" t="str">
        <f>"12"</f>
        <v>12</v>
      </c>
      <c r="E3376" t="str">
        <f>"1-68-12"</f>
        <v>1-68-12</v>
      </c>
      <c r="F3376" t="s">
        <v>65</v>
      </c>
      <c r="G3376" t="s">
        <v>66</v>
      </c>
      <c r="H3376" t="s">
        <v>67</v>
      </c>
      <c r="S3376">
        <v>0</v>
      </c>
      <c r="T3376">
        <v>1</v>
      </c>
      <c r="U3376">
        <v>0</v>
      </c>
      <c r="V3376">
        <v>0</v>
      </c>
      <c r="W3376">
        <v>0</v>
      </c>
      <c r="X3376">
        <v>1</v>
      </c>
      <c r="Y3376">
        <v>0</v>
      </c>
      <c r="Z3376">
        <v>1</v>
      </c>
      <c r="AA3376">
        <v>0</v>
      </c>
      <c r="AB3376">
        <v>0</v>
      </c>
      <c r="AC3376">
        <v>1</v>
      </c>
      <c r="AD3376">
        <v>1</v>
      </c>
      <c r="AE3376">
        <v>1</v>
      </c>
      <c r="AF3376">
        <v>1</v>
      </c>
      <c r="AG3376">
        <v>1</v>
      </c>
      <c r="AH3376">
        <v>1</v>
      </c>
      <c r="AI3376">
        <v>1</v>
      </c>
      <c r="AJ3376">
        <v>1</v>
      </c>
      <c r="AK3376">
        <v>1</v>
      </c>
      <c r="AL3376">
        <v>1</v>
      </c>
      <c r="AM3376">
        <v>1</v>
      </c>
    </row>
    <row r="3377" spans="1:39" x14ac:dyDescent="0.2">
      <c r="A3377" t="str">
        <f>"3373"</f>
        <v>3373</v>
      </c>
      <c r="B3377" t="str">
        <f t="shared" si="185"/>
        <v>1</v>
      </c>
      <c r="C3377" t="str">
        <f t="shared" si="187"/>
        <v>68</v>
      </c>
      <c r="D3377" t="str">
        <f>"36"</f>
        <v>36</v>
      </c>
      <c r="E3377" t="str">
        <f>"1-68-36"</f>
        <v>1-68-36</v>
      </c>
      <c r="F3377" t="s">
        <v>65</v>
      </c>
      <c r="G3377" t="s">
        <v>66</v>
      </c>
      <c r="H3377" t="s">
        <v>67</v>
      </c>
      <c r="S3377">
        <v>0</v>
      </c>
      <c r="T3377">
        <v>1</v>
      </c>
      <c r="U3377">
        <v>0</v>
      </c>
      <c r="V3377">
        <v>0</v>
      </c>
      <c r="W3377">
        <v>1</v>
      </c>
      <c r="X3377">
        <v>0</v>
      </c>
      <c r="Y3377">
        <v>1</v>
      </c>
      <c r="Z3377">
        <v>0</v>
      </c>
      <c r="AA3377">
        <v>0</v>
      </c>
      <c r="AB3377">
        <v>0</v>
      </c>
      <c r="AC3377">
        <v>1</v>
      </c>
      <c r="AD3377">
        <v>1</v>
      </c>
      <c r="AE3377">
        <v>1</v>
      </c>
      <c r="AF3377">
        <v>1</v>
      </c>
      <c r="AG3377">
        <v>1</v>
      </c>
      <c r="AH3377">
        <v>1</v>
      </c>
      <c r="AI3377">
        <v>1</v>
      </c>
      <c r="AJ3377">
        <v>1</v>
      </c>
      <c r="AK3377">
        <v>1</v>
      </c>
      <c r="AL3377">
        <v>1</v>
      </c>
      <c r="AM3377">
        <v>1</v>
      </c>
    </row>
    <row r="3378" spans="1:39" x14ac:dyDescent="0.2">
      <c r="A3378" t="str">
        <f>"3374"</f>
        <v>3374</v>
      </c>
      <c r="B3378" t="str">
        <f t="shared" si="185"/>
        <v>1</v>
      </c>
      <c r="C3378" t="str">
        <f t="shared" si="187"/>
        <v>68</v>
      </c>
      <c r="D3378" t="str">
        <f>"19"</f>
        <v>19</v>
      </c>
      <c r="E3378" t="str">
        <f>"1-68-19"</f>
        <v>1-68-19</v>
      </c>
      <c r="F3378" t="s">
        <v>65</v>
      </c>
      <c r="G3378" t="s">
        <v>66</v>
      </c>
      <c r="H3378" t="s">
        <v>67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1</v>
      </c>
      <c r="Y3378">
        <v>1</v>
      </c>
      <c r="Z3378">
        <v>0</v>
      </c>
      <c r="AA3378">
        <v>0</v>
      </c>
      <c r="AB3378">
        <v>0</v>
      </c>
      <c r="AC3378">
        <v>1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</row>
    <row r="3379" spans="1:39" x14ac:dyDescent="0.2">
      <c r="A3379" t="str">
        <f>"3375"</f>
        <v>3375</v>
      </c>
      <c r="B3379" t="str">
        <f t="shared" si="185"/>
        <v>1</v>
      </c>
      <c r="C3379" t="str">
        <f t="shared" si="187"/>
        <v>68</v>
      </c>
      <c r="D3379" t="str">
        <f>"13"</f>
        <v>13</v>
      </c>
      <c r="E3379" t="str">
        <f>"1-68-13"</f>
        <v>1-68-13</v>
      </c>
      <c r="F3379" t="s">
        <v>65</v>
      </c>
      <c r="G3379" t="s">
        <v>66</v>
      </c>
      <c r="H3379" t="s">
        <v>67</v>
      </c>
      <c r="S3379">
        <v>0</v>
      </c>
      <c r="T3379">
        <v>1</v>
      </c>
      <c r="U3379">
        <v>0</v>
      </c>
      <c r="V3379">
        <v>0</v>
      </c>
      <c r="W3379">
        <v>1</v>
      </c>
      <c r="X3379">
        <v>0</v>
      </c>
      <c r="Y3379">
        <v>1</v>
      </c>
      <c r="Z3379">
        <v>0</v>
      </c>
      <c r="AA3379">
        <v>0</v>
      </c>
      <c r="AB3379">
        <v>0</v>
      </c>
      <c r="AC3379">
        <v>1</v>
      </c>
      <c r="AD3379">
        <v>1</v>
      </c>
      <c r="AE3379">
        <v>1</v>
      </c>
      <c r="AF3379">
        <v>1</v>
      </c>
      <c r="AG3379">
        <v>1</v>
      </c>
      <c r="AH3379">
        <v>1</v>
      </c>
      <c r="AI3379">
        <v>1</v>
      </c>
      <c r="AJ3379">
        <v>1</v>
      </c>
      <c r="AK3379">
        <v>1</v>
      </c>
      <c r="AL3379">
        <v>1</v>
      </c>
      <c r="AM3379">
        <v>1</v>
      </c>
    </row>
    <row r="3380" spans="1:39" x14ac:dyDescent="0.2">
      <c r="A3380" t="str">
        <f>"3376"</f>
        <v>3376</v>
      </c>
      <c r="B3380" t="str">
        <f t="shared" si="185"/>
        <v>1</v>
      </c>
      <c r="C3380" t="str">
        <f t="shared" si="187"/>
        <v>68</v>
      </c>
      <c r="D3380" t="str">
        <f>"35"</f>
        <v>35</v>
      </c>
      <c r="E3380" t="str">
        <f>"1-68-35"</f>
        <v>1-68-35</v>
      </c>
      <c r="F3380" t="s">
        <v>65</v>
      </c>
      <c r="G3380" t="s">
        <v>66</v>
      </c>
      <c r="H3380" t="s">
        <v>67</v>
      </c>
      <c r="S3380">
        <v>1</v>
      </c>
      <c r="T3380">
        <v>0</v>
      </c>
      <c r="U3380">
        <v>0</v>
      </c>
      <c r="V3380">
        <v>0</v>
      </c>
      <c r="W3380">
        <v>1</v>
      </c>
      <c r="X3380">
        <v>0</v>
      </c>
      <c r="Y3380">
        <v>0</v>
      </c>
      <c r="Z3380">
        <v>1</v>
      </c>
      <c r="AA3380">
        <v>1</v>
      </c>
      <c r="AB3380">
        <v>0</v>
      </c>
      <c r="AC3380">
        <v>0</v>
      </c>
      <c r="AD3380">
        <v>1</v>
      </c>
      <c r="AE3380">
        <v>1</v>
      </c>
      <c r="AF3380">
        <v>1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</row>
    <row r="3381" spans="1:39" x14ac:dyDescent="0.2">
      <c r="A3381" t="str">
        <f>"3377"</f>
        <v>3377</v>
      </c>
      <c r="B3381" t="str">
        <f t="shared" si="185"/>
        <v>1</v>
      </c>
      <c r="C3381" t="str">
        <f t="shared" si="187"/>
        <v>68</v>
      </c>
      <c r="D3381" t="str">
        <f>"20"</f>
        <v>20</v>
      </c>
      <c r="E3381" t="str">
        <f>"1-68-20"</f>
        <v>1-68-20</v>
      </c>
      <c r="F3381" t="s">
        <v>65</v>
      </c>
      <c r="G3381" t="s">
        <v>66</v>
      </c>
      <c r="H3381" t="s">
        <v>67</v>
      </c>
      <c r="S3381">
        <v>0</v>
      </c>
      <c r="T3381">
        <v>1</v>
      </c>
      <c r="U3381">
        <v>0</v>
      </c>
      <c r="V3381">
        <v>0</v>
      </c>
      <c r="W3381">
        <v>0</v>
      </c>
      <c r="X3381">
        <v>1</v>
      </c>
      <c r="Y3381">
        <v>0</v>
      </c>
      <c r="Z3381">
        <v>1</v>
      </c>
      <c r="AA3381">
        <v>0</v>
      </c>
      <c r="AB3381">
        <v>0</v>
      </c>
      <c r="AC3381">
        <v>1</v>
      </c>
      <c r="AD3381">
        <v>0</v>
      </c>
      <c r="AE3381">
        <v>0</v>
      </c>
      <c r="AF3381">
        <v>0</v>
      </c>
      <c r="AG3381">
        <v>1</v>
      </c>
      <c r="AH3381">
        <v>0</v>
      </c>
      <c r="AI3381">
        <v>1</v>
      </c>
      <c r="AJ3381">
        <v>1</v>
      </c>
      <c r="AK3381">
        <v>1</v>
      </c>
      <c r="AL3381">
        <v>1</v>
      </c>
      <c r="AM3381">
        <v>1</v>
      </c>
    </row>
    <row r="3382" spans="1:39" x14ac:dyDescent="0.2">
      <c r="A3382" t="str">
        <f>"3378"</f>
        <v>3378</v>
      </c>
      <c r="B3382" t="str">
        <f t="shared" si="185"/>
        <v>1</v>
      </c>
      <c r="C3382" t="str">
        <f t="shared" si="187"/>
        <v>68</v>
      </c>
      <c r="D3382" t="str">
        <f>"7"</f>
        <v>7</v>
      </c>
      <c r="E3382" t="str">
        <f>"1-68-7"</f>
        <v>1-68-7</v>
      </c>
      <c r="F3382" t="s">
        <v>65</v>
      </c>
      <c r="G3382" t="s">
        <v>66</v>
      </c>
      <c r="H3382" t="s">
        <v>67</v>
      </c>
      <c r="S3382">
        <v>1</v>
      </c>
      <c r="T3382">
        <v>0</v>
      </c>
      <c r="U3382">
        <v>0</v>
      </c>
      <c r="V3382">
        <v>0</v>
      </c>
      <c r="W3382">
        <v>0</v>
      </c>
      <c r="X3382">
        <v>1</v>
      </c>
      <c r="Y3382">
        <v>0</v>
      </c>
      <c r="Z3382">
        <v>1</v>
      </c>
      <c r="AA3382">
        <v>0</v>
      </c>
      <c r="AB3382">
        <v>0</v>
      </c>
      <c r="AC3382">
        <v>1</v>
      </c>
      <c r="AD3382">
        <v>1</v>
      </c>
      <c r="AE3382">
        <v>1</v>
      </c>
      <c r="AF3382">
        <v>1</v>
      </c>
      <c r="AG3382">
        <v>1</v>
      </c>
      <c r="AH3382">
        <v>1</v>
      </c>
      <c r="AI3382">
        <v>1</v>
      </c>
      <c r="AJ3382">
        <v>1</v>
      </c>
      <c r="AK3382">
        <v>1</v>
      </c>
      <c r="AL3382">
        <v>1</v>
      </c>
      <c r="AM3382">
        <v>1</v>
      </c>
    </row>
    <row r="3383" spans="1:39" x14ac:dyDescent="0.2">
      <c r="A3383" t="str">
        <f>"3379"</f>
        <v>3379</v>
      </c>
      <c r="B3383" t="str">
        <f t="shared" ref="B3383:B3446" si="188">"1"</f>
        <v>1</v>
      </c>
      <c r="C3383" t="str">
        <f t="shared" si="187"/>
        <v>68</v>
      </c>
      <c r="D3383" t="str">
        <f>"42"</f>
        <v>42</v>
      </c>
      <c r="E3383" t="str">
        <f>"1-68-42"</f>
        <v>1-68-42</v>
      </c>
      <c r="F3383" t="s">
        <v>65</v>
      </c>
      <c r="G3383" t="s">
        <v>66</v>
      </c>
      <c r="H3383" t="s">
        <v>68</v>
      </c>
      <c r="I3383">
        <v>1</v>
      </c>
      <c r="J3383">
        <v>0</v>
      </c>
      <c r="K3383">
        <v>0</v>
      </c>
      <c r="L3383">
        <v>1</v>
      </c>
      <c r="M3383">
        <v>1</v>
      </c>
      <c r="N3383">
        <v>1</v>
      </c>
      <c r="O3383">
        <v>1</v>
      </c>
      <c r="P3383">
        <v>1</v>
      </c>
      <c r="Q3383">
        <v>1</v>
      </c>
      <c r="R3383">
        <v>1</v>
      </c>
    </row>
    <row r="3384" spans="1:39" x14ac:dyDescent="0.2">
      <c r="A3384" t="str">
        <f>"3380"</f>
        <v>3380</v>
      </c>
      <c r="B3384" t="str">
        <f t="shared" si="188"/>
        <v>1</v>
      </c>
      <c r="C3384" t="str">
        <f t="shared" si="187"/>
        <v>68</v>
      </c>
      <c r="D3384" t="str">
        <f>"22"</f>
        <v>22</v>
      </c>
      <c r="E3384" t="str">
        <f>"1-68-22"</f>
        <v>1-68-22</v>
      </c>
      <c r="F3384" t="s">
        <v>65</v>
      </c>
      <c r="G3384" t="s">
        <v>66</v>
      </c>
      <c r="H3384" t="s">
        <v>67</v>
      </c>
      <c r="S3384">
        <v>0</v>
      </c>
      <c r="T3384">
        <v>1</v>
      </c>
      <c r="U3384">
        <v>0</v>
      </c>
      <c r="V3384">
        <v>0</v>
      </c>
      <c r="W3384">
        <v>1</v>
      </c>
      <c r="X3384">
        <v>0</v>
      </c>
      <c r="Y3384">
        <v>1</v>
      </c>
      <c r="Z3384">
        <v>0</v>
      </c>
      <c r="AA3384">
        <v>0</v>
      </c>
      <c r="AB3384">
        <v>0</v>
      </c>
      <c r="AC3384">
        <v>1</v>
      </c>
      <c r="AD3384">
        <v>1</v>
      </c>
      <c r="AE3384">
        <v>1</v>
      </c>
      <c r="AF3384">
        <v>1</v>
      </c>
      <c r="AG3384">
        <v>1</v>
      </c>
      <c r="AH3384">
        <v>1</v>
      </c>
      <c r="AI3384">
        <v>0</v>
      </c>
      <c r="AJ3384">
        <v>1</v>
      </c>
      <c r="AK3384">
        <v>1</v>
      </c>
      <c r="AL3384">
        <v>1</v>
      </c>
      <c r="AM3384">
        <v>1</v>
      </c>
    </row>
    <row r="3385" spans="1:39" x14ac:dyDescent="0.2">
      <c r="A3385" t="str">
        <f>"3381"</f>
        <v>3381</v>
      </c>
      <c r="B3385" t="str">
        <f t="shared" si="188"/>
        <v>1</v>
      </c>
      <c r="C3385" t="str">
        <f t="shared" si="187"/>
        <v>68</v>
      </c>
      <c r="D3385" t="str">
        <f>"4"</f>
        <v>4</v>
      </c>
      <c r="E3385" t="str">
        <f>"1-68-4"</f>
        <v>1-68-4</v>
      </c>
      <c r="F3385" t="s">
        <v>65</v>
      </c>
      <c r="G3385" t="s">
        <v>66</v>
      </c>
      <c r="H3385" t="s">
        <v>67</v>
      </c>
      <c r="S3385">
        <v>0</v>
      </c>
      <c r="T3385">
        <v>0</v>
      </c>
      <c r="U3385">
        <v>0</v>
      </c>
      <c r="V3385">
        <v>0</v>
      </c>
      <c r="W3385">
        <v>1</v>
      </c>
      <c r="X3385">
        <v>0</v>
      </c>
      <c r="Y3385">
        <v>0</v>
      </c>
      <c r="Z3385">
        <v>0</v>
      </c>
      <c r="AA3385">
        <v>0</v>
      </c>
      <c r="AB3385">
        <v>1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1</v>
      </c>
      <c r="AM3385">
        <v>0</v>
      </c>
    </row>
    <row r="3386" spans="1:39" x14ac:dyDescent="0.2">
      <c r="A3386" t="str">
        <f>"3382"</f>
        <v>3382</v>
      </c>
      <c r="B3386" t="str">
        <f t="shared" si="188"/>
        <v>1</v>
      </c>
      <c r="C3386" t="str">
        <f t="shared" si="187"/>
        <v>68</v>
      </c>
      <c r="D3386" t="str">
        <f>"39"</f>
        <v>39</v>
      </c>
      <c r="E3386" t="str">
        <f>"1-68-39"</f>
        <v>1-68-39</v>
      </c>
      <c r="F3386" t="s">
        <v>65</v>
      </c>
      <c r="G3386" t="s">
        <v>66</v>
      </c>
      <c r="H3386" t="s">
        <v>67</v>
      </c>
      <c r="S3386">
        <v>0</v>
      </c>
      <c r="T3386">
        <v>1</v>
      </c>
      <c r="U3386">
        <v>0</v>
      </c>
      <c r="V3386">
        <v>0</v>
      </c>
      <c r="W3386">
        <v>1</v>
      </c>
      <c r="X3386">
        <v>0</v>
      </c>
      <c r="Y3386">
        <v>0</v>
      </c>
      <c r="Z3386">
        <v>1</v>
      </c>
      <c r="AA3386">
        <v>0</v>
      </c>
      <c r="AB3386">
        <v>0</v>
      </c>
      <c r="AC3386">
        <v>1</v>
      </c>
      <c r="AD3386">
        <v>1</v>
      </c>
      <c r="AE3386">
        <v>1</v>
      </c>
      <c r="AF3386">
        <v>1</v>
      </c>
      <c r="AG3386">
        <v>1</v>
      </c>
      <c r="AH3386">
        <v>1</v>
      </c>
      <c r="AI3386">
        <v>1</v>
      </c>
      <c r="AJ3386">
        <v>1</v>
      </c>
      <c r="AK3386">
        <v>1</v>
      </c>
      <c r="AL3386">
        <v>1</v>
      </c>
      <c r="AM3386">
        <v>1</v>
      </c>
    </row>
    <row r="3387" spans="1:39" x14ac:dyDescent="0.2">
      <c r="A3387" t="str">
        <f>"3383"</f>
        <v>3383</v>
      </c>
      <c r="B3387" t="str">
        <f t="shared" si="188"/>
        <v>1</v>
      </c>
      <c r="C3387" t="str">
        <f t="shared" ref="C3387:C3404" si="189">"68"</f>
        <v>68</v>
      </c>
      <c r="D3387" t="str">
        <f>"23"</f>
        <v>23</v>
      </c>
      <c r="E3387" t="str">
        <f>"1-68-23"</f>
        <v>1-68-23</v>
      </c>
      <c r="F3387" t="s">
        <v>65</v>
      </c>
      <c r="G3387" t="s">
        <v>66</v>
      </c>
      <c r="H3387" t="s">
        <v>67</v>
      </c>
      <c r="S3387">
        <v>0</v>
      </c>
      <c r="T3387">
        <v>1</v>
      </c>
      <c r="U3387">
        <v>0</v>
      </c>
      <c r="V3387">
        <v>0</v>
      </c>
      <c r="W3387">
        <v>0</v>
      </c>
      <c r="X3387">
        <v>1</v>
      </c>
      <c r="Y3387">
        <v>0</v>
      </c>
      <c r="Z3387">
        <v>1</v>
      </c>
      <c r="AA3387">
        <v>0</v>
      </c>
      <c r="AB3387">
        <v>1</v>
      </c>
      <c r="AC3387">
        <v>0</v>
      </c>
      <c r="AD3387">
        <v>1</v>
      </c>
      <c r="AE3387">
        <v>1</v>
      </c>
      <c r="AF3387">
        <v>1</v>
      </c>
      <c r="AG3387">
        <v>1</v>
      </c>
      <c r="AH3387">
        <v>1</v>
      </c>
      <c r="AI3387">
        <v>1</v>
      </c>
      <c r="AJ3387">
        <v>1</v>
      </c>
      <c r="AK3387">
        <v>1</v>
      </c>
      <c r="AL3387">
        <v>1</v>
      </c>
      <c r="AM3387">
        <v>1</v>
      </c>
    </row>
    <row r="3388" spans="1:39" x14ac:dyDescent="0.2">
      <c r="A3388" t="str">
        <f>"3384"</f>
        <v>3384</v>
      </c>
      <c r="B3388" t="str">
        <f t="shared" si="188"/>
        <v>1</v>
      </c>
      <c r="C3388" t="str">
        <f t="shared" si="189"/>
        <v>68</v>
      </c>
      <c r="D3388" t="str">
        <f>"11"</f>
        <v>11</v>
      </c>
      <c r="E3388" t="str">
        <f>"1-68-11"</f>
        <v>1-68-11</v>
      </c>
      <c r="F3388" t="s">
        <v>65</v>
      </c>
      <c r="G3388" t="s">
        <v>66</v>
      </c>
      <c r="H3388" t="s">
        <v>67</v>
      </c>
      <c r="S3388">
        <v>0</v>
      </c>
      <c r="T3388">
        <v>1</v>
      </c>
      <c r="U3388">
        <v>0</v>
      </c>
      <c r="V3388">
        <v>0</v>
      </c>
      <c r="W3388">
        <v>0</v>
      </c>
      <c r="X3388">
        <v>1</v>
      </c>
      <c r="Y3388">
        <v>0</v>
      </c>
      <c r="Z3388">
        <v>1</v>
      </c>
      <c r="AA3388">
        <v>0</v>
      </c>
      <c r="AB3388">
        <v>0</v>
      </c>
      <c r="AC3388">
        <v>1</v>
      </c>
      <c r="AD3388">
        <v>1</v>
      </c>
      <c r="AE3388">
        <v>1</v>
      </c>
      <c r="AF3388">
        <v>1</v>
      </c>
      <c r="AG3388">
        <v>1</v>
      </c>
      <c r="AH3388">
        <v>1</v>
      </c>
      <c r="AI3388">
        <v>1</v>
      </c>
      <c r="AJ3388">
        <v>1</v>
      </c>
      <c r="AK3388">
        <v>1</v>
      </c>
      <c r="AL3388">
        <v>1</v>
      </c>
      <c r="AM3388">
        <v>1</v>
      </c>
    </row>
    <row r="3389" spans="1:39" x14ac:dyDescent="0.2">
      <c r="A3389" t="str">
        <f>"3385"</f>
        <v>3385</v>
      </c>
      <c r="B3389" t="str">
        <f t="shared" si="188"/>
        <v>1</v>
      </c>
      <c r="C3389" t="str">
        <f t="shared" si="189"/>
        <v>68</v>
      </c>
      <c r="D3389" t="str">
        <f>"24"</f>
        <v>24</v>
      </c>
      <c r="E3389" t="str">
        <f>"1-68-24"</f>
        <v>1-68-24</v>
      </c>
      <c r="F3389" t="s">
        <v>65</v>
      </c>
      <c r="G3389" t="s">
        <v>66</v>
      </c>
      <c r="H3389" t="s">
        <v>67</v>
      </c>
      <c r="S3389">
        <v>0</v>
      </c>
      <c r="T3389">
        <v>1</v>
      </c>
      <c r="U3389">
        <v>0</v>
      </c>
      <c r="V3389">
        <v>0</v>
      </c>
      <c r="W3389">
        <v>0</v>
      </c>
      <c r="X3389">
        <v>1</v>
      </c>
      <c r="Y3389">
        <v>0</v>
      </c>
      <c r="Z3389">
        <v>1</v>
      </c>
      <c r="AA3389">
        <v>0</v>
      </c>
      <c r="AB3389">
        <v>0</v>
      </c>
      <c r="AC3389">
        <v>1</v>
      </c>
      <c r="AD3389">
        <v>1</v>
      </c>
      <c r="AE3389">
        <v>1</v>
      </c>
      <c r="AF3389">
        <v>1</v>
      </c>
      <c r="AG3389">
        <v>1</v>
      </c>
      <c r="AH3389">
        <v>1</v>
      </c>
      <c r="AI3389">
        <v>1</v>
      </c>
      <c r="AJ3389">
        <v>1</v>
      </c>
      <c r="AK3389">
        <v>1</v>
      </c>
      <c r="AL3389">
        <v>1</v>
      </c>
      <c r="AM3389">
        <v>1</v>
      </c>
    </row>
    <row r="3390" spans="1:39" x14ac:dyDescent="0.2">
      <c r="A3390" t="str">
        <f>"3386"</f>
        <v>3386</v>
      </c>
      <c r="B3390" t="str">
        <f t="shared" si="188"/>
        <v>1</v>
      </c>
      <c r="C3390" t="str">
        <f t="shared" si="189"/>
        <v>68</v>
      </c>
      <c r="D3390" t="str">
        <f>"10"</f>
        <v>10</v>
      </c>
      <c r="E3390" t="str">
        <f>"1-68-10"</f>
        <v>1-68-10</v>
      </c>
      <c r="F3390" t="s">
        <v>65</v>
      </c>
      <c r="G3390" t="s">
        <v>66</v>
      </c>
      <c r="H3390" t="s">
        <v>67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1</v>
      </c>
      <c r="Y3390">
        <v>0</v>
      </c>
      <c r="Z3390">
        <v>1</v>
      </c>
      <c r="AA3390">
        <v>0</v>
      </c>
      <c r="AB3390">
        <v>0</v>
      </c>
      <c r="AC3390">
        <v>1</v>
      </c>
      <c r="AD3390">
        <v>1</v>
      </c>
      <c r="AE3390">
        <v>1</v>
      </c>
      <c r="AF3390">
        <v>1</v>
      </c>
      <c r="AG3390">
        <v>1</v>
      </c>
      <c r="AH3390">
        <v>1</v>
      </c>
      <c r="AI3390">
        <v>1</v>
      </c>
      <c r="AJ3390">
        <v>1</v>
      </c>
      <c r="AK3390">
        <v>1</v>
      </c>
      <c r="AL3390">
        <v>1</v>
      </c>
      <c r="AM3390">
        <v>1</v>
      </c>
    </row>
    <row r="3391" spans="1:39" x14ac:dyDescent="0.2">
      <c r="A3391" t="str">
        <f>"3387"</f>
        <v>3387</v>
      </c>
      <c r="B3391" t="str">
        <f t="shared" si="188"/>
        <v>1</v>
      </c>
      <c r="C3391" t="str">
        <f t="shared" si="189"/>
        <v>68</v>
      </c>
      <c r="D3391" t="str">
        <f>"46"</f>
        <v>46</v>
      </c>
      <c r="E3391" t="str">
        <f>"1-68-46"</f>
        <v>1-68-46</v>
      </c>
      <c r="F3391" t="s">
        <v>65</v>
      </c>
      <c r="G3391" t="s">
        <v>66</v>
      </c>
      <c r="H3391" t="s">
        <v>68</v>
      </c>
      <c r="I3391">
        <v>1</v>
      </c>
      <c r="J3391">
        <v>0</v>
      </c>
      <c r="K3391">
        <v>0</v>
      </c>
      <c r="L3391">
        <v>1</v>
      </c>
      <c r="M3391">
        <v>1</v>
      </c>
      <c r="N3391">
        <v>1</v>
      </c>
      <c r="O3391">
        <v>0</v>
      </c>
      <c r="P3391">
        <v>1</v>
      </c>
      <c r="Q3391">
        <v>0</v>
      </c>
      <c r="R3391">
        <v>0</v>
      </c>
    </row>
    <row r="3392" spans="1:39" x14ac:dyDescent="0.2">
      <c r="A3392" t="str">
        <f>"3388"</f>
        <v>3388</v>
      </c>
      <c r="B3392" t="str">
        <f t="shared" si="188"/>
        <v>1</v>
      </c>
      <c r="C3392" t="str">
        <f t="shared" si="189"/>
        <v>68</v>
      </c>
      <c r="D3392" t="str">
        <f>"25"</f>
        <v>25</v>
      </c>
      <c r="E3392" t="str">
        <f>"1-68-25"</f>
        <v>1-68-25</v>
      </c>
      <c r="F3392" t="s">
        <v>65</v>
      </c>
      <c r="G3392" t="s">
        <v>66</v>
      </c>
      <c r="H3392" t="s">
        <v>67</v>
      </c>
      <c r="S3392">
        <v>0</v>
      </c>
      <c r="T3392">
        <v>0</v>
      </c>
      <c r="U3392">
        <v>0</v>
      </c>
      <c r="V3392">
        <v>0</v>
      </c>
      <c r="W3392">
        <v>1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</row>
    <row r="3393" spans="1:39" x14ac:dyDescent="0.2">
      <c r="A3393" t="str">
        <f>"3389"</f>
        <v>3389</v>
      </c>
      <c r="B3393" t="str">
        <f t="shared" si="188"/>
        <v>1</v>
      </c>
      <c r="C3393" t="str">
        <f t="shared" si="189"/>
        <v>68</v>
      </c>
      <c r="D3393" t="str">
        <f>"6"</f>
        <v>6</v>
      </c>
      <c r="E3393" t="str">
        <f>"1-68-6"</f>
        <v>1-68-6</v>
      </c>
      <c r="F3393" t="s">
        <v>65</v>
      </c>
      <c r="G3393" t="s">
        <v>66</v>
      </c>
      <c r="H3393" t="s">
        <v>67</v>
      </c>
      <c r="S3393">
        <v>0</v>
      </c>
      <c r="T3393">
        <v>0</v>
      </c>
      <c r="U3393">
        <v>0</v>
      </c>
      <c r="V3393">
        <v>0</v>
      </c>
      <c r="W3393">
        <v>1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</row>
    <row r="3394" spans="1:39" x14ac:dyDescent="0.2">
      <c r="A3394" t="str">
        <f>"3390"</f>
        <v>3390</v>
      </c>
      <c r="B3394" t="str">
        <f t="shared" si="188"/>
        <v>1</v>
      </c>
      <c r="C3394" t="str">
        <f t="shared" si="189"/>
        <v>68</v>
      </c>
      <c r="D3394" t="str">
        <f>"45"</f>
        <v>45</v>
      </c>
      <c r="E3394" t="str">
        <f>"1-68-45"</f>
        <v>1-68-45</v>
      </c>
      <c r="F3394" t="s">
        <v>65</v>
      </c>
      <c r="G3394" t="s">
        <v>66</v>
      </c>
      <c r="H3394" t="s">
        <v>68</v>
      </c>
      <c r="I3394">
        <v>1</v>
      </c>
      <c r="J3394">
        <v>0</v>
      </c>
      <c r="K3394">
        <v>0</v>
      </c>
      <c r="L3394">
        <v>1</v>
      </c>
      <c r="M3394">
        <v>1</v>
      </c>
      <c r="N3394">
        <v>1</v>
      </c>
      <c r="O3394">
        <v>1</v>
      </c>
      <c r="P3394">
        <v>1</v>
      </c>
      <c r="Q3394">
        <v>1</v>
      </c>
      <c r="R3394">
        <v>1</v>
      </c>
    </row>
    <row r="3395" spans="1:39" x14ac:dyDescent="0.2">
      <c r="A3395" t="str">
        <f>"3391"</f>
        <v>3391</v>
      </c>
      <c r="B3395" t="str">
        <f t="shared" si="188"/>
        <v>1</v>
      </c>
      <c r="C3395" t="str">
        <f t="shared" si="189"/>
        <v>68</v>
      </c>
      <c r="D3395" t="str">
        <f>"26"</f>
        <v>26</v>
      </c>
      <c r="E3395" t="str">
        <f>"1-68-26"</f>
        <v>1-68-26</v>
      </c>
      <c r="F3395" t="s">
        <v>65</v>
      </c>
      <c r="G3395" t="s">
        <v>66</v>
      </c>
      <c r="H3395" t="s">
        <v>67</v>
      </c>
      <c r="S3395">
        <v>0</v>
      </c>
      <c r="T3395">
        <v>1</v>
      </c>
      <c r="U3395">
        <v>0</v>
      </c>
      <c r="V3395">
        <v>0</v>
      </c>
      <c r="W3395">
        <v>1</v>
      </c>
      <c r="X3395">
        <v>0</v>
      </c>
      <c r="Y3395">
        <v>0</v>
      </c>
      <c r="Z3395">
        <v>1</v>
      </c>
      <c r="AA3395">
        <v>0</v>
      </c>
      <c r="AB3395">
        <v>1</v>
      </c>
      <c r="AC3395">
        <v>0</v>
      </c>
      <c r="AD3395">
        <v>1</v>
      </c>
      <c r="AE3395">
        <v>1</v>
      </c>
      <c r="AF3395">
        <v>1</v>
      </c>
      <c r="AG3395">
        <v>1</v>
      </c>
      <c r="AH3395">
        <v>1</v>
      </c>
      <c r="AI3395">
        <v>1</v>
      </c>
      <c r="AJ3395">
        <v>1</v>
      </c>
      <c r="AK3395">
        <v>1</v>
      </c>
      <c r="AL3395">
        <v>1</v>
      </c>
      <c r="AM3395">
        <v>1</v>
      </c>
    </row>
    <row r="3396" spans="1:39" x14ac:dyDescent="0.2">
      <c r="A3396" t="str">
        <f>"3392"</f>
        <v>3392</v>
      </c>
      <c r="B3396" t="str">
        <f t="shared" si="188"/>
        <v>1</v>
      </c>
      <c r="C3396" t="str">
        <f t="shared" si="189"/>
        <v>68</v>
      </c>
      <c r="D3396" t="str">
        <f>"5"</f>
        <v>5</v>
      </c>
      <c r="E3396" t="str">
        <f>"1-68-5"</f>
        <v>1-68-5</v>
      </c>
      <c r="F3396" t="s">
        <v>65</v>
      </c>
      <c r="G3396" t="s">
        <v>66</v>
      </c>
      <c r="H3396" t="s">
        <v>67</v>
      </c>
      <c r="S3396">
        <v>1</v>
      </c>
      <c r="T3396">
        <v>0</v>
      </c>
      <c r="U3396">
        <v>0</v>
      </c>
      <c r="V3396">
        <v>0</v>
      </c>
      <c r="W3396">
        <v>1</v>
      </c>
      <c r="X3396">
        <v>0</v>
      </c>
      <c r="Y3396">
        <v>1</v>
      </c>
      <c r="Z3396">
        <v>0</v>
      </c>
      <c r="AA3396">
        <v>0</v>
      </c>
      <c r="AB3396">
        <v>1</v>
      </c>
      <c r="AC3396">
        <v>0</v>
      </c>
      <c r="AD3396">
        <v>1</v>
      </c>
      <c r="AE3396">
        <v>1</v>
      </c>
      <c r="AF3396">
        <v>1</v>
      </c>
      <c r="AG3396">
        <v>1</v>
      </c>
      <c r="AH3396">
        <v>1</v>
      </c>
      <c r="AI3396">
        <v>1</v>
      </c>
      <c r="AJ3396">
        <v>1</v>
      </c>
      <c r="AK3396">
        <v>1</v>
      </c>
      <c r="AL3396">
        <v>1</v>
      </c>
      <c r="AM3396">
        <v>1</v>
      </c>
    </row>
    <row r="3397" spans="1:39" x14ac:dyDescent="0.2">
      <c r="A3397" t="str">
        <f>"3393"</f>
        <v>3393</v>
      </c>
      <c r="B3397" t="str">
        <f t="shared" si="188"/>
        <v>1</v>
      </c>
      <c r="C3397" t="str">
        <f t="shared" si="189"/>
        <v>68</v>
      </c>
      <c r="D3397" t="str">
        <f>"47"</f>
        <v>47</v>
      </c>
      <c r="E3397" t="str">
        <f>"1-68-47"</f>
        <v>1-68-47</v>
      </c>
      <c r="F3397" t="s">
        <v>65</v>
      </c>
      <c r="G3397" t="s">
        <v>66</v>
      </c>
      <c r="H3397" t="s">
        <v>68</v>
      </c>
      <c r="I3397">
        <v>1</v>
      </c>
      <c r="J3397">
        <v>0</v>
      </c>
      <c r="K3397">
        <v>0</v>
      </c>
      <c r="L3397">
        <v>1</v>
      </c>
      <c r="M3397">
        <v>1</v>
      </c>
      <c r="N3397">
        <v>1</v>
      </c>
      <c r="O3397">
        <v>1</v>
      </c>
      <c r="P3397">
        <v>1</v>
      </c>
      <c r="Q3397">
        <v>1</v>
      </c>
      <c r="R3397">
        <v>1</v>
      </c>
    </row>
    <row r="3398" spans="1:39" x14ac:dyDescent="0.2">
      <c r="A3398" t="str">
        <f>"3394"</f>
        <v>3394</v>
      </c>
      <c r="B3398" t="str">
        <f t="shared" si="188"/>
        <v>1</v>
      </c>
      <c r="C3398" t="str">
        <f t="shared" si="189"/>
        <v>68</v>
      </c>
      <c r="D3398" t="str">
        <f>"27"</f>
        <v>27</v>
      </c>
      <c r="E3398" t="str">
        <f>"1-68-27"</f>
        <v>1-68-27</v>
      </c>
      <c r="F3398" t="s">
        <v>65</v>
      </c>
      <c r="G3398" t="s">
        <v>66</v>
      </c>
      <c r="H3398" t="s">
        <v>67</v>
      </c>
      <c r="S3398">
        <v>1</v>
      </c>
      <c r="T3398">
        <v>0</v>
      </c>
      <c r="U3398">
        <v>0</v>
      </c>
      <c r="V3398">
        <v>0</v>
      </c>
      <c r="W3398">
        <v>1</v>
      </c>
      <c r="X3398">
        <v>0</v>
      </c>
      <c r="Y3398">
        <v>1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1</v>
      </c>
      <c r="AF3398">
        <v>1</v>
      </c>
      <c r="AG3398">
        <v>1</v>
      </c>
      <c r="AH3398">
        <v>1</v>
      </c>
      <c r="AI3398">
        <v>1</v>
      </c>
      <c r="AJ3398">
        <v>1</v>
      </c>
      <c r="AK3398">
        <v>1</v>
      </c>
      <c r="AL3398">
        <v>1</v>
      </c>
      <c r="AM3398">
        <v>1</v>
      </c>
    </row>
    <row r="3399" spans="1:39" x14ac:dyDescent="0.2">
      <c r="A3399" t="str">
        <f>"3395"</f>
        <v>3395</v>
      </c>
      <c r="B3399" t="str">
        <f t="shared" si="188"/>
        <v>1</v>
      </c>
      <c r="C3399" t="str">
        <f t="shared" si="189"/>
        <v>68</v>
      </c>
      <c r="D3399" t="str">
        <f>"2"</f>
        <v>2</v>
      </c>
      <c r="E3399" t="str">
        <f>"1-68-2"</f>
        <v>1-68-2</v>
      </c>
      <c r="F3399" t="s">
        <v>65</v>
      </c>
      <c r="G3399" t="s">
        <v>66</v>
      </c>
      <c r="H3399" t="s">
        <v>67</v>
      </c>
      <c r="S3399">
        <v>0</v>
      </c>
      <c r="T3399">
        <v>1</v>
      </c>
      <c r="U3399">
        <v>0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0</v>
      </c>
      <c r="AB3399">
        <v>1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</row>
    <row r="3400" spans="1:39" x14ac:dyDescent="0.2">
      <c r="A3400" t="str">
        <f>"3396"</f>
        <v>3396</v>
      </c>
      <c r="B3400" t="str">
        <f t="shared" si="188"/>
        <v>1</v>
      </c>
      <c r="C3400" t="str">
        <f t="shared" si="189"/>
        <v>68</v>
      </c>
      <c r="D3400" t="str">
        <f>"48"</f>
        <v>48</v>
      </c>
      <c r="E3400" t="str">
        <f>"1-68-48"</f>
        <v>1-68-48</v>
      </c>
      <c r="F3400" t="s">
        <v>65</v>
      </c>
      <c r="G3400" t="s">
        <v>66</v>
      </c>
      <c r="H3400" t="s">
        <v>68</v>
      </c>
      <c r="I3400">
        <v>1</v>
      </c>
      <c r="J3400">
        <v>0</v>
      </c>
      <c r="K3400">
        <v>0</v>
      </c>
      <c r="L3400">
        <v>1</v>
      </c>
      <c r="M3400">
        <v>1</v>
      </c>
      <c r="N3400">
        <v>1</v>
      </c>
      <c r="O3400">
        <v>1</v>
      </c>
      <c r="P3400">
        <v>1</v>
      </c>
      <c r="Q3400">
        <v>1</v>
      </c>
      <c r="R3400">
        <v>1</v>
      </c>
    </row>
    <row r="3401" spans="1:39" x14ac:dyDescent="0.2">
      <c r="A3401" t="str">
        <f>"3397"</f>
        <v>3397</v>
      </c>
      <c r="B3401" t="str">
        <f t="shared" si="188"/>
        <v>1</v>
      </c>
      <c r="C3401" t="str">
        <f t="shared" si="189"/>
        <v>68</v>
      </c>
      <c r="D3401" t="str">
        <f>"28"</f>
        <v>28</v>
      </c>
      <c r="E3401" t="str">
        <f>"1-68-28"</f>
        <v>1-68-28</v>
      </c>
      <c r="F3401" t="s">
        <v>65</v>
      </c>
      <c r="G3401" t="s">
        <v>66</v>
      </c>
      <c r="H3401" t="s">
        <v>67</v>
      </c>
      <c r="S3401">
        <v>1</v>
      </c>
      <c r="T3401">
        <v>0</v>
      </c>
      <c r="U3401">
        <v>0</v>
      </c>
      <c r="V3401">
        <v>0</v>
      </c>
      <c r="W3401">
        <v>1</v>
      </c>
      <c r="X3401">
        <v>0</v>
      </c>
      <c r="Y3401">
        <v>1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1</v>
      </c>
      <c r="AF3401">
        <v>1</v>
      </c>
      <c r="AG3401">
        <v>0</v>
      </c>
      <c r="AH3401">
        <v>1</v>
      </c>
      <c r="AI3401">
        <v>1</v>
      </c>
      <c r="AJ3401">
        <v>1</v>
      </c>
      <c r="AK3401">
        <v>1</v>
      </c>
      <c r="AL3401">
        <v>1</v>
      </c>
      <c r="AM3401">
        <v>1</v>
      </c>
    </row>
    <row r="3402" spans="1:39" x14ac:dyDescent="0.2">
      <c r="A3402" t="str">
        <f>"3398"</f>
        <v>3398</v>
      </c>
      <c r="B3402" t="str">
        <f t="shared" si="188"/>
        <v>1</v>
      </c>
      <c r="C3402" t="str">
        <f t="shared" si="189"/>
        <v>68</v>
      </c>
      <c r="D3402" t="str">
        <f>"9"</f>
        <v>9</v>
      </c>
      <c r="E3402" t="str">
        <f>"1-68-9"</f>
        <v>1-68-9</v>
      </c>
      <c r="F3402" t="s">
        <v>65</v>
      </c>
      <c r="G3402" t="s">
        <v>66</v>
      </c>
      <c r="H3402" t="s">
        <v>67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</row>
    <row r="3403" spans="1:39" x14ac:dyDescent="0.2">
      <c r="A3403" t="str">
        <f>"3399"</f>
        <v>3399</v>
      </c>
      <c r="B3403" t="str">
        <f t="shared" si="188"/>
        <v>1</v>
      </c>
      <c r="C3403" t="str">
        <f t="shared" si="189"/>
        <v>68</v>
      </c>
      <c r="D3403" t="str">
        <f>"30"</f>
        <v>30</v>
      </c>
      <c r="E3403" t="str">
        <f>"1-68-30"</f>
        <v>1-68-30</v>
      </c>
      <c r="F3403" t="s">
        <v>65</v>
      </c>
      <c r="G3403" t="s">
        <v>66</v>
      </c>
      <c r="H3403" t="s">
        <v>67</v>
      </c>
      <c r="S3403">
        <v>1</v>
      </c>
      <c r="T3403">
        <v>0</v>
      </c>
      <c r="U3403">
        <v>0</v>
      </c>
      <c r="V3403">
        <v>0</v>
      </c>
      <c r="W3403">
        <v>0</v>
      </c>
      <c r="X3403">
        <v>1</v>
      </c>
      <c r="Y3403">
        <v>1</v>
      </c>
      <c r="Z3403">
        <v>0</v>
      </c>
      <c r="AA3403">
        <v>0</v>
      </c>
      <c r="AB3403">
        <v>1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</row>
    <row r="3404" spans="1:39" x14ac:dyDescent="0.2">
      <c r="A3404" t="str">
        <f>"3400"</f>
        <v>3400</v>
      </c>
      <c r="B3404" t="str">
        <f t="shared" si="188"/>
        <v>1</v>
      </c>
      <c r="C3404" t="str">
        <f t="shared" si="189"/>
        <v>68</v>
      </c>
      <c r="D3404" t="str">
        <f>"14"</f>
        <v>14</v>
      </c>
      <c r="E3404" t="str">
        <f>"1-68-14"</f>
        <v>1-68-14</v>
      </c>
      <c r="F3404" t="s">
        <v>65</v>
      </c>
      <c r="G3404" t="s">
        <v>66</v>
      </c>
      <c r="H3404" t="s">
        <v>67</v>
      </c>
      <c r="S3404">
        <v>1</v>
      </c>
      <c r="T3404">
        <v>0</v>
      </c>
      <c r="U3404">
        <v>0</v>
      </c>
      <c r="V3404">
        <v>0</v>
      </c>
      <c r="W3404">
        <v>1</v>
      </c>
      <c r="X3404">
        <v>0</v>
      </c>
      <c r="Y3404">
        <v>1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1</v>
      </c>
      <c r="AF3404">
        <v>1</v>
      </c>
      <c r="AG3404">
        <v>1</v>
      </c>
      <c r="AH3404">
        <v>1</v>
      </c>
      <c r="AI3404">
        <v>1</v>
      </c>
      <c r="AJ3404">
        <v>1</v>
      </c>
      <c r="AK3404">
        <v>1</v>
      </c>
      <c r="AL3404">
        <v>1</v>
      </c>
      <c r="AM3404">
        <v>1</v>
      </c>
    </row>
    <row r="3405" spans="1:39" x14ac:dyDescent="0.2">
      <c r="A3405" t="str">
        <f>"3401"</f>
        <v>3401</v>
      </c>
      <c r="B3405" t="str">
        <f t="shared" si="188"/>
        <v>1</v>
      </c>
      <c r="C3405" t="str">
        <f t="shared" ref="C3405:C3436" si="190">"69"</f>
        <v>69</v>
      </c>
      <c r="D3405" t="str">
        <f>"41"</f>
        <v>41</v>
      </c>
      <c r="E3405" t="str">
        <f>"1-69-41"</f>
        <v>1-69-41</v>
      </c>
      <c r="F3405" t="s">
        <v>65</v>
      </c>
      <c r="G3405" t="s">
        <v>66</v>
      </c>
      <c r="H3405" t="s">
        <v>67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1</v>
      </c>
      <c r="Y3405">
        <v>0</v>
      </c>
      <c r="Z3405">
        <v>1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</row>
    <row r="3406" spans="1:39" x14ac:dyDescent="0.2">
      <c r="A3406" t="str">
        <f>"3402"</f>
        <v>3402</v>
      </c>
      <c r="B3406" t="str">
        <f t="shared" si="188"/>
        <v>1</v>
      </c>
      <c r="C3406" t="str">
        <f t="shared" si="190"/>
        <v>69</v>
      </c>
      <c r="D3406" t="str">
        <f>"40"</f>
        <v>40</v>
      </c>
      <c r="E3406" t="str">
        <f>"1-69-40"</f>
        <v>1-69-40</v>
      </c>
      <c r="F3406" t="s">
        <v>65</v>
      </c>
      <c r="G3406" t="s">
        <v>66</v>
      </c>
      <c r="H3406" t="s">
        <v>67</v>
      </c>
      <c r="S3406">
        <v>1</v>
      </c>
      <c r="T3406">
        <v>0</v>
      </c>
      <c r="U3406">
        <v>0</v>
      </c>
      <c r="V3406">
        <v>0</v>
      </c>
      <c r="W3406">
        <v>1</v>
      </c>
      <c r="X3406">
        <v>0</v>
      </c>
      <c r="Y3406">
        <v>1</v>
      </c>
      <c r="Z3406">
        <v>0</v>
      </c>
      <c r="AA3406">
        <v>0</v>
      </c>
      <c r="AB3406">
        <v>1</v>
      </c>
      <c r="AC3406">
        <v>0</v>
      </c>
      <c r="AD3406">
        <v>1</v>
      </c>
      <c r="AE3406">
        <v>1</v>
      </c>
      <c r="AF3406">
        <v>1</v>
      </c>
      <c r="AG3406">
        <v>1</v>
      </c>
      <c r="AH3406">
        <v>1</v>
      </c>
      <c r="AI3406">
        <v>1</v>
      </c>
      <c r="AJ3406">
        <v>1</v>
      </c>
      <c r="AK3406">
        <v>1</v>
      </c>
      <c r="AL3406">
        <v>1</v>
      </c>
      <c r="AM3406">
        <v>1</v>
      </c>
    </row>
    <row r="3407" spans="1:39" x14ac:dyDescent="0.2">
      <c r="A3407" t="str">
        <f>"3403"</f>
        <v>3403</v>
      </c>
      <c r="B3407" t="str">
        <f t="shared" si="188"/>
        <v>1</v>
      </c>
      <c r="C3407" t="str">
        <f t="shared" si="190"/>
        <v>69</v>
      </c>
      <c r="D3407" t="str">
        <f>"31"</f>
        <v>31</v>
      </c>
      <c r="E3407" t="str">
        <f>"1-69-31"</f>
        <v>1-69-31</v>
      </c>
      <c r="F3407" t="s">
        <v>65</v>
      </c>
      <c r="G3407" t="s">
        <v>66</v>
      </c>
      <c r="H3407" t="s">
        <v>67</v>
      </c>
      <c r="S3407">
        <v>0</v>
      </c>
      <c r="T3407">
        <v>1</v>
      </c>
      <c r="U3407">
        <v>0</v>
      </c>
      <c r="V3407">
        <v>0</v>
      </c>
      <c r="W3407">
        <v>0</v>
      </c>
      <c r="X3407">
        <v>1</v>
      </c>
      <c r="Y3407">
        <v>0</v>
      </c>
      <c r="Z3407">
        <v>1</v>
      </c>
      <c r="AA3407">
        <v>0</v>
      </c>
      <c r="AB3407">
        <v>0</v>
      </c>
      <c r="AC3407">
        <v>1</v>
      </c>
      <c r="AD3407">
        <v>0</v>
      </c>
      <c r="AE3407">
        <v>0</v>
      </c>
      <c r="AF3407">
        <v>0</v>
      </c>
      <c r="AG3407">
        <v>1</v>
      </c>
      <c r="AH3407">
        <v>1</v>
      </c>
      <c r="AI3407">
        <v>1</v>
      </c>
      <c r="AJ3407">
        <v>1</v>
      </c>
      <c r="AK3407">
        <v>0</v>
      </c>
      <c r="AL3407">
        <v>1</v>
      </c>
      <c r="AM3407">
        <v>1</v>
      </c>
    </row>
    <row r="3408" spans="1:39" x14ac:dyDescent="0.2">
      <c r="A3408" t="str">
        <f>"3404"</f>
        <v>3404</v>
      </c>
      <c r="B3408" t="str">
        <f t="shared" si="188"/>
        <v>1</v>
      </c>
      <c r="C3408" t="str">
        <f t="shared" si="190"/>
        <v>69</v>
      </c>
      <c r="D3408" t="str">
        <f>"30"</f>
        <v>30</v>
      </c>
      <c r="E3408" t="str">
        <f>"1-69-30"</f>
        <v>1-69-30</v>
      </c>
      <c r="F3408" t="s">
        <v>65</v>
      </c>
      <c r="G3408" t="s">
        <v>66</v>
      </c>
      <c r="H3408" t="s">
        <v>67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0</v>
      </c>
      <c r="AB3408">
        <v>0</v>
      </c>
      <c r="AC3408">
        <v>1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</row>
    <row r="3409" spans="1:39" x14ac:dyDescent="0.2">
      <c r="A3409" t="str">
        <f>"3405"</f>
        <v>3405</v>
      </c>
      <c r="B3409" t="str">
        <f t="shared" si="188"/>
        <v>1</v>
      </c>
      <c r="C3409" t="str">
        <f t="shared" si="190"/>
        <v>69</v>
      </c>
      <c r="D3409" t="str">
        <f>"19"</f>
        <v>19</v>
      </c>
      <c r="E3409" t="str">
        <f>"1-69-19"</f>
        <v>1-69-19</v>
      </c>
      <c r="F3409" t="s">
        <v>65</v>
      </c>
      <c r="G3409" t="s">
        <v>66</v>
      </c>
      <c r="H3409" t="s">
        <v>67</v>
      </c>
      <c r="S3409">
        <v>0</v>
      </c>
      <c r="T3409">
        <v>1</v>
      </c>
      <c r="U3409">
        <v>0</v>
      </c>
      <c r="V3409">
        <v>0</v>
      </c>
      <c r="W3409">
        <v>0</v>
      </c>
      <c r="X3409">
        <v>1</v>
      </c>
      <c r="Y3409">
        <v>0</v>
      </c>
      <c r="Z3409">
        <v>1</v>
      </c>
      <c r="AA3409">
        <v>0</v>
      </c>
      <c r="AB3409">
        <v>0</v>
      </c>
      <c r="AC3409">
        <v>1</v>
      </c>
      <c r="AD3409">
        <v>1</v>
      </c>
      <c r="AE3409">
        <v>1</v>
      </c>
      <c r="AF3409">
        <v>1</v>
      </c>
      <c r="AG3409">
        <v>1</v>
      </c>
      <c r="AH3409">
        <v>1</v>
      </c>
      <c r="AI3409">
        <v>1</v>
      </c>
      <c r="AJ3409">
        <v>1</v>
      </c>
      <c r="AK3409">
        <v>1</v>
      </c>
      <c r="AL3409">
        <v>1</v>
      </c>
      <c r="AM3409">
        <v>0</v>
      </c>
    </row>
    <row r="3410" spans="1:39" x14ac:dyDescent="0.2">
      <c r="A3410" t="str">
        <f>"3406"</f>
        <v>3406</v>
      </c>
      <c r="B3410" t="str">
        <f t="shared" si="188"/>
        <v>1</v>
      </c>
      <c r="C3410" t="str">
        <f t="shared" si="190"/>
        <v>69</v>
      </c>
      <c r="D3410" t="str">
        <f>"15"</f>
        <v>15</v>
      </c>
      <c r="E3410" t="str">
        <f>"1-69-15"</f>
        <v>1-69-15</v>
      </c>
      <c r="F3410" t="s">
        <v>65</v>
      </c>
      <c r="G3410" t="s">
        <v>66</v>
      </c>
      <c r="H3410" t="s">
        <v>67</v>
      </c>
      <c r="S3410">
        <v>1</v>
      </c>
      <c r="T3410">
        <v>0</v>
      </c>
      <c r="U3410">
        <v>0</v>
      </c>
      <c r="V3410">
        <v>0</v>
      </c>
      <c r="W3410">
        <v>0</v>
      </c>
      <c r="X3410">
        <v>1</v>
      </c>
      <c r="Y3410">
        <v>1</v>
      </c>
      <c r="Z3410">
        <v>0</v>
      </c>
      <c r="AA3410">
        <v>0</v>
      </c>
      <c r="AB3410">
        <v>1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</row>
    <row r="3411" spans="1:39" x14ac:dyDescent="0.2">
      <c r="A3411" t="str">
        <f>"3407"</f>
        <v>3407</v>
      </c>
      <c r="B3411" t="str">
        <f t="shared" si="188"/>
        <v>1</v>
      </c>
      <c r="C3411" t="str">
        <f t="shared" si="190"/>
        <v>69</v>
      </c>
      <c r="D3411" t="str">
        <f>"7"</f>
        <v>7</v>
      </c>
      <c r="E3411" t="str">
        <f>"1-69-7"</f>
        <v>1-69-7</v>
      </c>
      <c r="F3411" t="s">
        <v>65</v>
      </c>
      <c r="G3411" t="s">
        <v>66</v>
      </c>
      <c r="H3411" t="s">
        <v>67</v>
      </c>
      <c r="S3411">
        <v>1</v>
      </c>
      <c r="T3411">
        <v>0</v>
      </c>
      <c r="U3411">
        <v>0</v>
      </c>
      <c r="V3411">
        <v>0</v>
      </c>
      <c r="W3411">
        <v>1</v>
      </c>
      <c r="X3411">
        <v>0</v>
      </c>
      <c r="Y3411">
        <v>0</v>
      </c>
      <c r="Z3411">
        <v>1</v>
      </c>
      <c r="AA3411">
        <v>0</v>
      </c>
      <c r="AB3411">
        <v>1</v>
      </c>
      <c r="AC3411">
        <v>0</v>
      </c>
      <c r="AD3411">
        <v>1</v>
      </c>
      <c r="AE3411">
        <v>1</v>
      </c>
      <c r="AF3411">
        <v>1</v>
      </c>
      <c r="AG3411">
        <v>1</v>
      </c>
      <c r="AH3411">
        <v>1</v>
      </c>
      <c r="AI3411">
        <v>1</v>
      </c>
      <c r="AJ3411">
        <v>1</v>
      </c>
      <c r="AK3411">
        <v>1</v>
      </c>
      <c r="AL3411">
        <v>1</v>
      </c>
      <c r="AM3411">
        <v>1</v>
      </c>
    </row>
    <row r="3412" spans="1:39" x14ac:dyDescent="0.2">
      <c r="A3412" t="str">
        <f>"3408"</f>
        <v>3408</v>
      </c>
      <c r="B3412" t="str">
        <f t="shared" si="188"/>
        <v>1</v>
      </c>
      <c r="C3412" t="str">
        <f t="shared" si="190"/>
        <v>69</v>
      </c>
      <c r="D3412" t="str">
        <f>"36"</f>
        <v>36</v>
      </c>
      <c r="E3412" t="str">
        <f>"1-69-36"</f>
        <v>1-69-36</v>
      </c>
      <c r="F3412" t="s">
        <v>65</v>
      </c>
      <c r="G3412" t="s">
        <v>66</v>
      </c>
      <c r="H3412" t="s">
        <v>67</v>
      </c>
      <c r="S3412">
        <v>1</v>
      </c>
      <c r="T3412">
        <v>0</v>
      </c>
      <c r="U3412">
        <v>0</v>
      </c>
      <c r="V3412">
        <v>0</v>
      </c>
      <c r="W3412">
        <v>1</v>
      </c>
      <c r="X3412">
        <v>0</v>
      </c>
      <c r="Y3412">
        <v>1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1</v>
      </c>
      <c r="AF3412">
        <v>1</v>
      </c>
      <c r="AG3412">
        <v>1</v>
      </c>
      <c r="AH3412">
        <v>1</v>
      </c>
      <c r="AI3412">
        <v>1</v>
      </c>
      <c r="AJ3412">
        <v>1</v>
      </c>
      <c r="AK3412">
        <v>1</v>
      </c>
      <c r="AL3412">
        <v>1</v>
      </c>
      <c r="AM3412">
        <v>1</v>
      </c>
    </row>
    <row r="3413" spans="1:39" x14ac:dyDescent="0.2">
      <c r="A3413" t="str">
        <f>"3409"</f>
        <v>3409</v>
      </c>
      <c r="B3413" t="str">
        <f t="shared" si="188"/>
        <v>1</v>
      </c>
      <c r="C3413" t="str">
        <f t="shared" si="190"/>
        <v>69</v>
      </c>
      <c r="D3413" t="str">
        <f>"35"</f>
        <v>35</v>
      </c>
      <c r="E3413" t="str">
        <f>"1-69-35"</f>
        <v>1-69-35</v>
      </c>
      <c r="F3413" t="s">
        <v>65</v>
      </c>
      <c r="G3413" t="s">
        <v>66</v>
      </c>
      <c r="H3413" t="s">
        <v>67</v>
      </c>
      <c r="S3413">
        <v>0</v>
      </c>
      <c r="T3413">
        <v>1</v>
      </c>
      <c r="U3413">
        <v>0</v>
      </c>
      <c r="V3413">
        <v>0</v>
      </c>
      <c r="W3413">
        <v>0</v>
      </c>
      <c r="X3413">
        <v>1</v>
      </c>
      <c r="Y3413">
        <v>1</v>
      </c>
      <c r="Z3413">
        <v>0</v>
      </c>
      <c r="AA3413">
        <v>0</v>
      </c>
      <c r="AB3413">
        <v>0</v>
      </c>
      <c r="AC3413">
        <v>1</v>
      </c>
      <c r="AD3413">
        <v>1</v>
      </c>
      <c r="AE3413">
        <v>1</v>
      </c>
      <c r="AF3413">
        <v>1</v>
      </c>
      <c r="AG3413">
        <v>1</v>
      </c>
      <c r="AH3413">
        <v>1</v>
      </c>
      <c r="AI3413">
        <v>1</v>
      </c>
      <c r="AJ3413">
        <v>1</v>
      </c>
      <c r="AK3413">
        <v>1</v>
      </c>
      <c r="AL3413">
        <v>1</v>
      </c>
      <c r="AM3413">
        <v>1</v>
      </c>
    </row>
    <row r="3414" spans="1:39" x14ac:dyDescent="0.2">
      <c r="A3414" t="str">
        <f>"3410"</f>
        <v>3410</v>
      </c>
      <c r="B3414" t="str">
        <f t="shared" si="188"/>
        <v>1</v>
      </c>
      <c r="C3414" t="str">
        <f t="shared" si="190"/>
        <v>69</v>
      </c>
      <c r="D3414" t="str">
        <f>"25"</f>
        <v>25</v>
      </c>
      <c r="E3414" t="str">
        <f>"1-69-25"</f>
        <v>1-69-25</v>
      </c>
      <c r="F3414" t="s">
        <v>65</v>
      </c>
      <c r="G3414" t="s">
        <v>66</v>
      </c>
      <c r="H3414" t="s">
        <v>67</v>
      </c>
      <c r="S3414">
        <v>1</v>
      </c>
      <c r="T3414">
        <v>0</v>
      </c>
      <c r="U3414">
        <v>0</v>
      </c>
      <c r="V3414">
        <v>0</v>
      </c>
      <c r="W3414">
        <v>1</v>
      </c>
      <c r="X3414">
        <v>0</v>
      </c>
      <c r="Y3414">
        <v>1</v>
      </c>
      <c r="Z3414">
        <v>0</v>
      </c>
      <c r="AA3414">
        <v>0</v>
      </c>
      <c r="AB3414">
        <v>0</v>
      </c>
      <c r="AC3414">
        <v>1</v>
      </c>
      <c r="AD3414">
        <v>1</v>
      </c>
      <c r="AE3414">
        <v>1</v>
      </c>
      <c r="AF3414">
        <v>1</v>
      </c>
      <c r="AG3414">
        <v>1</v>
      </c>
      <c r="AH3414">
        <v>1</v>
      </c>
      <c r="AI3414">
        <v>1</v>
      </c>
      <c r="AJ3414">
        <v>1</v>
      </c>
      <c r="AK3414">
        <v>1</v>
      </c>
      <c r="AL3414">
        <v>1</v>
      </c>
      <c r="AM3414">
        <v>1</v>
      </c>
    </row>
    <row r="3415" spans="1:39" x14ac:dyDescent="0.2">
      <c r="A3415" t="str">
        <f>"3411"</f>
        <v>3411</v>
      </c>
      <c r="B3415" t="str">
        <f t="shared" si="188"/>
        <v>1</v>
      </c>
      <c r="C3415" t="str">
        <f t="shared" si="190"/>
        <v>69</v>
      </c>
      <c r="D3415" t="str">
        <f>"16"</f>
        <v>16</v>
      </c>
      <c r="E3415" t="str">
        <f>"1-69-16"</f>
        <v>1-69-16</v>
      </c>
      <c r="F3415" t="s">
        <v>65</v>
      </c>
      <c r="G3415" t="s">
        <v>66</v>
      </c>
      <c r="H3415" t="s">
        <v>67</v>
      </c>
      <c r="S3415">
        <v>0</v>
      </c>
      <c r="T3415">
        <v>1</v>
      </c>
      <c r="U3415">
        <v>0</v>
      </c>
      <c r="V3415">
        <v>0</v>
      </c>
      <c r="W3415">
        <v>0</v>
      </c>
      <c r="X3415">
        <v>1</v>
      </c>
      <c r="Y3415">
        <v>0</v>
      </c>
      <c r="Z3415">
        <v>1</v>
      </c>
      <c r="AA3415">
        <v>0</v>
      </c>
      <c r="AB3415">
        <v>0</v>
      </c>
      <c r="AC3415">
        <v>1</v>
      </c>
      <c r="AD3415">
        <v>1</v>
      </c>
      <c r="AE3415">
        <v>1</v>
      </c>
      <c r="AF3415">
        <v>1</v>
      </c>
      <c r="AG3415">
        <v>1</v>
      </c>
      <c r="AH3415">
        <v>1</v>
      </c>
      <c r="AI3415">
        <v>1</v>
      </c>
      <c r="AJ3415">
        <v>1</v>
      </c>
      <c r="AK3415">
        <v>1</v>
      </c>
      <c r="AL3415">
        <v>1</v>
      </c>
      <c r="AM3415">
        <v>1</v>
      </c>
    </row>
    <row r="3416" spans="1:39" x14ac:dyDescent="0.2">
      <c r="A3416" t="str">
        <f>"3412"</f>
        <v>3412</v>
      </c>
      <c r="B3416" t="str">
        <f t="shared" si="188"/>
        <v>1</v>
      </c>
      <c r="C3416" t="str">
        <f t="shared" si="190"/>
        <v>69</v>
      </c>
      <c r="D3416" t="str">
        <f>"6"</f>
        <v>6</v>
      </c>
      <c r="E3416" t="str">
        <f>"1-69-6"</f>
        <v>1-69-6</v>
      </c>
      <c r="F3416" t="s">
        <v>65</v>
      </c>
      <c r="G3416" t="s">
        <v>66</v>
      </c>
      <c r="H3416" t="s">
        <v>67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1</v>
      </c>
      <c r="Y3416">
        <v>0</v>
      </c>
      <c r="Z3416">
        <v>1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1</v>
      </c>
      <c r="AM3416">
        <v>0</v>
      </c>
    </row>
    <row r="3417" spans="1:39" x14ac:dyDescent="0.2">
      <c r="A3417" t="str">
        <f>"3413"</f>
        <v>3413</v>
      </c>
      <c r="B3417" t="str">
        <f t="shared" si="188"/>
        <v>1</v>
      </c>
      <c r="C3417" t="str">
        <f t="shared" si="190"/>
        <v>69</v>
      </c>
      <c r="D3417" t="str">
        <f>"47"</f>
        <v>47</v>
      </c>
      <c r="E3417" t="str">
        <f>"1-69-47"</f>
        <v>1-69-47</v>
      </c>
      <c r="F3417" t="s">
        <v>65</v>
      </c>
      <c r="G3417" t="s">
        <v>66</v>
      </c>
      <c r="H3417" t="s">
        <v>67</v>
      </c>
      <c r="S3417">
        <v>1</v>
      </c>
      <c r="T3417">
        <v>0</v>
      </c>
      <c r="U3417">
        <v>0</v>
      </c>
      <c r="V3417">
        <v>0</v>
      </c>
      <c r="W3417">
        <v>0</v>
      </c>
      <c r="X3417">
        <v>1</v>
      </c>
      <c r="Y3417">
        <v>0</v>
      </c>
      <c r="Z3417">
        <v>1</v>
      </c>
      <c r="AA3417">
        <v>0</v>
      </c>
      <c r="AB3417">
        <v>0</v>
      </c>
      <c r="AC3417">
        <v>1</v>
      </c>
      <c r="AD3417">
        <v>0</v>
      </c>
      <c r="AE3417">
        <v>1</v>
      </c>
      <c r="AF3417">
        <v>0</v>
      </c>
      <c r="AG3417">
        <v>1</v>
      </c>
      <c r="AH3417">
        <v>0</v>
      </c>
      <c r="AI3417">
        <v>1</v>
      </c>
      <c r="AJ3417">
        <v>1</v>
      </c>
      <c r="AK3417">
        <v>1</v>
      </c>
      <c r="AL3417">
        <v>0</v>
      </c>
      <c r="AM3417">
        <v>1</v>
      </c>
    </row>
    <row r="3418" spans="1:39" x14ac:dyDescent="0.2">
      <c r="A3418" t="str">
        <f>"3414"</f>
        <v>3414</v>
      </c>
      <c r="B3418" t="str">
        <f t="shared" si="188"/>
        <v>1</v>
      </c>
      <c r="C3418" t="str">
        <f t="shared" si="190"/>
        <v>69</v>
      </c>
      <c r="D3418" t="str">
        <f>"33"</f>
        <v>33</v>
      </c>
      <c r="E3418" t="str">
        <f>"1-69-33"</f>
        <v>1-69-33</v>
      </c>
      <c r="F3418" t="s">
        <v>65</v>
      </c>
      <c r="G3418" t="s">
        <v>66</v>
      </c>
      <c r="H3418" t="s">
        <v>67</v>
      </c>
      <c r="S3418">
        <v>0</v>
      </c>
      <c r="T3418">
        <v>1</v>
      </c>
      <c r="U3418">
        <v>0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0</v>
      </c>
      <c r="AB3418">
        <v>0</v>
      </c>
      <c r="AC3418">
        <v>1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1</v>
      </c>
      <c r="AL3418">
        <v>0</v>
      </c>
      <c r="AM3418">
        <v>0</v>
      </c>
    </row>
    <row r="3419" spans="1:39" x14ac:dyDescent="0.2">
      <c r="A3419" t="str">
        <f>"3415"</f>
        <v>3415</v>
      </c>
      <c r="B3419" t="str">
        <f t="shared" si="188"/>
        <v>1</v>
      </c>
      <c r="C3419" t="str">
        <f t="shared" si="190"/>
        <v>69</v>
      </c>
      <c r="D3419" t="str">
        <f>"17"</f>
        <v>17</v>
      </c>
      <c r="E3419" t="str">
        <f>"1-69-17"</f>
        <v>1-69-17</v>
      </c>
      <c r="F3419" t="s">
        <v>65</v>
      </c>
      <c r="G3419" t="s">
        <v>66</v>
      </c>
      <c r="H3419" t="s">
        <v>67</v>
      </c>
      <c r="S3419">
        <v>0</v>
      </c>
      <c r="T3419">
        <v>1</v>
      </c>
      <c r="U3419">
        <v>0</v>
      </c>
      <c r="V3419">
        <v>0</v>
      </c>
      <c r="W3419">
        <v>0</v>
      </c>
      <c r="X3419">
        <v>1</v>
      </c>
      <c r="Y3419">
        <v>1</v>
      </c>
      <c r="Z3419">
        <v>0</v>
      </c>
      <c r="AA3419">
        <v>0</v>
      </c>
      <c r="AB3419">
        <v>0</v>
      </c>
      <c r="AC3419">
        <v>1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</row>
    <row r="3420" spans="1:39" x14ac:dyDescent="0.2">
      <c r="A3420" t="str">
        <f>"3416"</f>
        <v>3416</v>
      </c>
      <c r="B3420" t="str">
        <f t="shared" si="188"/>
        <v>1</v>
      </c>
      <c r="C3420" t="str">
        <f t="shared" si="190"/>
        <v>69</v>
      </c>
      <c r="D3420" t="str">
        <f>"5"</f>
        <v>5</v>
      </c>
      <c r="E3420" t="str">
        <f>"1-69-5"</f>
        <v>1-69-5</v>
      </c>
      <c r="F3420" t="s">
        <v>65</v>
      </c>
      <c r="G3420" t="s">
        <v>66</v>
      </c>
      <c r="H3420" t="s">
        <v>68</v>
      </c>
      <c r="I3420">
        <v>1</v>
      </c>
      <c r="J3420">
        <v>0</v>
      </c>
      <c r="K3420">
        <v>1</v>
      </c>
      <c r="L3420">
        <v>0</v>
      </c>
      <c r="M3420">
        <v>1</v>
      </c>
      <c r="N3420">
        <v>1</v>
      </c>
      <c r="O3420">
        <v>1</v>
      </c>
      <c r="P3420">
        <v>1</v>
      </c>
      <c r="Q3420">
        <v>1</v>
      </c>
      <c r="R3420">
        <v>1</v>
      </c>
    </row>
    <row r="3421" spans="1:39" x14ac:dyDescent="0.2">
      <c r="A3421" t="str">
        <f>"3417"</f>
        <v>3417</v>
      </c>
      <c r="B3421" t="str">
        <f t="shared" si="188"/>
        <v>1</v>
      </c>
      <c r="C3421" t="str">
        <f t="shared" si="190"/>
        <v>69</v>
      </c>
      <c r="D3421" t="str">
        <f>"34"</f>
        <v>34</v>
      </c>
      <c r="E3421" t="str">
        <f>"1-69-34"</f>
        <v>1-69-34</v>
      </c>
      <c r="F3421" t="s">
        <v>65</v>
      </c>
      <c r="G3421" t="s">
        <v>66</v>
      </c>
      <c r="H3421" t="s">
        <v>67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</row>
    <row r="3422" spans="1:39" x14ac:dyDescent="0.2">
      <c r="A3422" t="str">
        <f>"3418"</f>
        <v>3418</v>
      </c>
      <c r="B3422" t="str">
        <f t="shared" si="188"/>
        <v>1</v>
      </c>
      <c r="C3422" t="str">
        <f t="shared" si="190"/>
        <v>69</v>
      </c>
      <c r="D3422" t="str">
        <f>"18"</f>
        <v>18</v>
      </c>
      <c r="E3422" t="str">
        <f>"1-69-18"</f>
        <v>1-69-18</v>
      </c>
      <c r="F3422" t="s">
        <v>65</v>
      </c>
      <c r="G3422" t="s">
        <v>66</v>
      </c>
      <c r="H3422" t="s">
        <v>67</v>
      </c>
      <c r="S3422">
        <v>1</v>
      </c>
      <c r="T3422">
        <v>0</v>
      </c>
      <c r="U3422">
        <v>0</v>
      </c>
      <c r="V3422">
        <v>0</v>
      </c>
      <c r="W3422">
        <v>1</v>
      </c>
      <c r="X3422">
        <v>0</v>
      </c>
      <c r="Y3422">
        <v>1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1</v>
      </c>
      <c r="AF3422">
        <v>1</v>
      </c>
      <c r="AG3422">
        <v>1</v>
      </c>
      <c r="AH3422">
        <v>1</v>
      </c>
      <c r="AI3422">
        <v>1</v>
      </c>
      <c r="AJ3422">
        <v>1</v>
      </c>
      <c r="AK3422">
        <v>1</v>
      </c>
      <c r="AL3422">
        <v>1</v>
      </c>
      <c r="AM3422">
        <v>1</v>
      </c>
    </row>
    <row r="3423" spans="1:39" x14ac:dyDescent="0.2">
      <c r="A3423" t="str">
        <f>"3419"</f>
        <v>3419</v>
      </c>
      <c r="B3423" t="str">
        <f t="shared" si="188"/>
        <v>1</v>
      </c>
      <c r="C3423" t="str">
        <f t="shared" si="190"/>
        <v>69</v>
      </c>
      <c r="D3423" t="str">
        <f>"1"</f>
        <v>1</v>
      </c>
      <c r="E3423" t="str">
        <f>"1-69-1"</f>
        <v>1-69-1</v>
      </c>
      <c r="F3423" t="s">
        <v>65</v>
      </c>
      <c r="G3423" t="s">
        <v>66</v>
      </c>
      <c r="H3423" t="s">
        <v>67</v>
      </c>
      <c r="S3423">
        <v>0</v>
      </c>
      <c r="T3423">
        <v>1</v>
      </c>
      <c r="U3423">
        <v>0</v>
      </c>
      <c r="V3423">
        <v>0</v>
      </c>
      <c r="W3423">
        <v>0</v>
      </c>
      <c r="X3423">
        <v>1</v>
      </c>
      <c r="Y3423">
        <v>1</v>
      </c>
      <c r="Z3423">
        <v>0</v>
      </c>
      <c r="AA3423">
        <v>0</v>
      </c>
      <c r="AB3423">
        <v>0</v>
      </c>
      <c r="AC3423">
        <v>1</v>
      </c>
      <c r="AD3423">
        <v>1</v>
      </c>
      <c r="AE3423">
        <v>1</v>
      </c>
      <c r="AF3423">
        <v>1</v>
      </c>
      <c r="AG3423">
        <v>1</v>
      </c>
      <c r="AH3423">
        <v>1</v>
      </c>
      <c r="AI3423">
        <v>1</v>
      </c>
      <c r="AJ3423">
        <v>1</v>
      </c>
      <c r="AK3423">
        <v>1</v>
      </c>
      <c r="AL3423">
        <v>1</v>
      </c>
      <c r="AM3423">
        <v>1</v>
      </c>
    </row>
    <row r="3424" spans="1:39" x14ac:dyDescent="0.2">
      <c r="A3424" t="str">
        <f>"3420"</f>
        <v>3420</v>
      </c>
      <c r="B3424" t="str">
        <f t="shared" si="188"/>
        <v>1</v>
      </c>
      <c r="C3424" t="str">
        <f t="shared" si="190"/>
        <v>69</v>
      </c>
      <c r="D3424" t="str">
        <f>"39"</f>
        <v>39</v>
      </c>
      <c r="E3424" t="str">
        <f>"1-69-39"</f>
        <v>1-69-39</v>
      </c>
      <c r="F3424" t="s">
        <v>65</v>
      </c>
      <c r="G3424" t="s">
        <v>66</v>
      </c>
      <c r="H3424" t="s">
        <v>67</v>
      </c>
      <c r="S3424">
        <v>1</v>
      </c>
      <c r="T3424">
        <v>0</v>
      </c>
      <c r="U3424">
        <v>0</v>
      </c>
      <c r="V3424">
        <v>0</v>
      </c>
      <c r="W3424">
        <v>1</v>
      </c>
      <c r="X3424">
        <v>0</v>
      </c>
      <c r="Y3424">
        <v>0</v>
      </c>
      <c r="Z3424">
        <v>1</v>
      </c>
      <c r="AA3424">
        <v>0</v>
      </c>
      <c r="AB3424">
        <v>0</v>
      </c>
      <c r="AC3424">
        <v>1</v>
      </c>
      <c r="AD3424">
        <v>1</v>
      </c>
      <c r="AE3424">
        <v>1</v>
      </c>
      <c r="AF3424">
        <v>1</v>
      </c>
      <c r="AG3424">
        <v>1</v>
      </c>
      <c r="AH3424">
        <v>1</v>
      </c>
      <c r="AI3424">
        <v>1</v>
      </c>
      <c r="AJ3424">
        <v>1</v>
      </c>
      <c r="AK3424">
        <v>1</v>
      </c>
      <c r="AL3424">
        <v>1</v>
      </c>
      <c r="AM3424">
        <v>1</v>
      </c>
    </row>
    <row r="3425" spans="1:39" x14ac:dyDescent="0.2">
      <c r="A3425" t="str">
        <f>"3421"</f>
        <v>3421</v>
      </c>
      <c r="B3425" t="str">
        <f t="shared" si="188"/>
        <v>1</v>
      </c>
      <c r="C3425" t="str">
        <f t="shared" si="190"/>
        <v>69</v>
      </c>
      <c r="D3425" t="str">
        <f>"20"</f>
        <v>20</v>
      </c>
      <c r="E3425" t="str">
        <f>"1-69-20"</f>
        <v>1-69-20</v>
      </c>
      <c r="F3425" t="s">
        <v>65</v>
      </c>
      <c r="G3425" t="s">
        <v>66</v>
      </c>
      <c r="H3425" t="s">
        <v>67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</row>
    <row r="3426" spans="1:39" x14ac:dyDescent="0.2">
      <c r="A3426" t="str">
        <f>"3422"</f>
        <v>3422</v>
      </c>
      <c r="B3426" t="str">
        <f t="shared" si="188"/>
        <v>1</v>
      </c>
      <c r="C3426" t="str">
        <f t="shared" si="190"/>
        <v>69</v>
      </c>
      <c r="D3426" t="str">
        <f>"4"</f>
        <v>4</v>
      </c>
      <c r="E3426" t="str">
        <f>"1-69-4"</f>
        <v>1-69-4</v>
      </c>
      <c r="F3426" t="s">
        <v>65</v>
      </c>
      <c r="G3426" t="s">
        <v>66</v>
      </c>
      <c r="H3426" t="s">
        <v>68</v>
      </c>
      <c r="I3426">
        <v>1</v>
      </c>
      <c r="J3426">
        <v>0</v>
      </c>
      <c r="K3426">
        <v>1</v>
      </c>
      <c r="L3426">
        <v>0</v>
      </c>
      <c r="M3426">
        <v>1</v>
      </c>
      <c r="N3426">
        <v>1</v>
      </c>
      <c r="O3426">
        <v>1</v>
      </c>
      <c r="P3426">
        <v>1</v>
      </c>
      <c r="Q3426">
        <v>1</v>
      </c>
      <c r="R3426">
        <v>1</v>
      </c>
    </row>
    <row r="3427" spans="1:39" x14ac:dyDescent="0.2">
      <c r="A3427" t="str">
        <f>"3423"</f>
        <v>3423</v>
      </c>
      <c r="B3427" t="str">
        <f t="shared" si="188"/>
        <v>1</v>
      </c>
      <c r="C3427" t="str">
        <f t="shared" si="190"/>
        <v>69</v>
      </c>
      <c r="D3427" t="str">
        <f>"42"</f>
        <v>42</v>
      </c>
      <c r="E3427" t="str">
        <f>"1-69-42"</f>
        <v>1-69-42</v>
      </c>
      <c r="F3427" t="s">
        <v>65</v>
      </c>
      <c r="G3427" t="s">
        <v>66</v>
      </c>
      <c r="H3427" t="s">
        <v>67</v>
      </c>
      <c r="S3427">
        <v>0</v>
      </c>
      <c r="T3427">
        <v>1</v>
      </c>
      <c r="U3427">
        <v>0</v>
      </c>
      <c r="V3427">
        <v>0</v>
      </c>
      <c r="W3427">
        <v>0</v>
      </c>
      <c r="X3427">
        <v>1</v>
      </c>
      <c r="Y3427">
        <v>1</v>
      </c>
      <c r="Z3427">
        <v>0</v>
      </c>
      <c r="AA3427">
        <v>0</v>
      </c>
      <c r="AB3427">
        <v>1</v>
      </c>
      <c r="AC3427">
        <v>0</v>
      </c>
      <c r="AD3427">
        <v>0</v>
      </c>
      <c r="AE3427">
        <v>1</v>
      </c>
      <c r="AF3427">
        <v>0</v>
      </c>
      <c r="AG3427">
        <v>1</v>
      </c>
      <c r="AH3427">
        <v>1</v>
      </c>
      <c r="AI3427">
        <v>1</v>
      </c>
      <c r="AJ3427">
        <v>0</v>
      </c>
      <c r="AK3427">
        <v>1</v>
      </c>
      <c r="AL3427">
        <v>1</v>
      </c>
      <c r="AM3427">
        <v>1</v>
      </c>
    </row>
    <row r="3428" spans="1:39" x14ac:dyDescent="0.2">
      <c r="A3428" t="str">
        <f>"3424"</f>
        <v>3424</v>
      </c>
      <c r="B3428" t="str">
        <f t="shared" si="188"/>
        <v>1</v>
      </c>
      <c r="C3428" t="str">
        <f t="shared" si="190"/>
        <v>69</v>
      </c>
      <c r="D3428" t="str">
        <f>"21"</f>
        <v>21</v>
      </c>
      <c r="E3428" t="str">
        <f>"1-69-21"</f>
        <v>1-69-21</v>
      </c>
      <c r="F3428" t="s">
        <v>65</v>
      </c>
      <c r="G3428" t="s">
        <v>66</v>
      </c>
      <c r="H3428" t="s">
        <v>67</v>
      </c>
      <c r="S3428">
        <v>1</v>
      </c>
      <c r="T3428">
        <v>0</v>
      </c>
      <c r="U3428">
        <v>0</v>
      </c>
      <c r="V3428">
        <v>0</v>
      </c>
      <c r="W3428">
        <v>1</v>
      </c>
      <c r="X3428">
        <v>0</v>
      </c>
      <c r="Y3428">
        <v>0</v>
      </c>
      <c r="Z3428">
        <v>1</v>
      </c>
      <c r="AA3428">
        <v>1</v>
      </c>
      <c r="AB3428">
        <v>0</v>
      </c>
      <c r="AC3428">
        <v>0</v>
      </c>
      <c r="AD3428">
        <v>1</v>
      </c>
      <c r="AE3428">
        <v>1</v>
      </c>
      <c r="AF3428">
        <v>1</v>
      </c>
      <c r="AG3428">
        <v>1</v>
      </c>
      <c r="AH3428">
        <v>1</v>
      </c>
      <c r="AI3428">
        <v>1</v>
      </c>
      <c r="AJ3428">
        <v>1</v>
      </c>
      <c r="AK3428">
        <v>1</v>
      </c>
      <c r="AL3428">
        <v>1</v>
      </c>
      <c r="AM3428">
        <v>1</v>
      </c>
    </row>
    <row r="3429" spans="1:39" x14ac:dyDescent="0.2">
      <c r="A3429" t="str">
        <f>"3425"</f>
        <v>3425</v>
      </c>
      <c r="B3429" t="str">
        <f t="shared" si="188"/>
        <v>1</v>
      </c>
      <c r="C3429" t="str">
        <f t="shared" si="190"/>
        <v>69</v>
      </c>
      <c r="D3429" t="str">
        <f>"2"</f>
        <v>2</v>
      </c>
      <c r="E3429" t="str">
        <f>"1-69-2"</f>
        <v>1-69-2</v>
      </c>
      <c r="F3429" t="s">
        <v>65</v>
      </c>
      <c r="G3429" t="s">
        <v>66</v>
      </c>
      <c r="H3429" t="s">
        <v>68</v>
      </c>
      <c r="I3429">
        <v>1</v>
      </c>
      <c r="J3429">
        <v>0</v>
      </c>
      <c r="K3429">
        <v>1</v>
      </c>
      <c r="L3429">
        <v>0</v>
      </c>
      <c r="M3429">
        <v>1</v>
      </c>
      <c r="N3429">
        <v>1</v>
      </c>
      <c r="O3429">
        <v>0</v>
      </c>
      <c r="P3429">
        <v>1</v>
      </c>
      <c r="Q3429">
        <v>1</v>
      </c>
      <c r="R3429">
        <v>1</v>
      </c>
    </row>
    <row r="3430" spans="1:39" x14ac:dyDescent="0.2">
      <c r="A3430" t="str">
        <f>"3426"</f>
        <v>3426</v>
      </c>
      <c r="B3430" t="str">
        <f t="shared" si="188"/>
        <v>1</v>
      </c>
      <c r="C3430" t="str">
        <f t="shared" si="190"/>
        <v>69</v>
      </c>
      <c r="D3430" t="str">
        <f>"43"</f>
        <v>43</v>
      </c>
      <c r="E3430" t="str">
        <f>"1-69-43"</f>
        <v>1-69-43</v>
      </c>
      <c r="F3430" t="s">
        <v>65</v>
      </c>
      <c r="G3430" t="s">
        <v>66</v>
      </c>
      <c r="H3430" t="s">
        <v>67</v>
      </c>
      <c r="S3430">
        <v>1</v>
      </c>
      <c r="T3430">
        <v>0</v>
      </c>
      <c r="U3430">
        <v>0</v>
      </c>
      <c r="V3430">
        <v>0</v>
      </c>
      <c r="W3430">
        <v>0</v>
      </c>
      <c r="X3430">
        <v>1</v>
      </c>
      <c r="Y3430">
        <v>1</v>
      </c>
      <c r="Z3430">
        <v>0</v>
      </c>
      <c r="AA3430">
        <v>0</v>
      </c>
      <c r="AB3430">
        <v>1</v>
      </c>
      <c r="AC3430">
        <v>0</v>
      </c>
      <c r="AD3430">
        <v>1</v>
      </c>
      <c r="AE3430">
        <v>1</v>
      </c>
      <c r="AF3430">
        <v>1</v>
      </c>
      <c r="AG3430">
        <v>1</v>
      </c>
      <c r="AH3430">
        <v>1</v>
      </c>
      <c r="AI3430">
        <v>1</v>
      </c>
      <c r="AJ3430">
        <v>1</v>
      </c>
      <c r="AK3430">
        <v>1</v>
      </c>
      <c r="AL3430">
        <v>1</v>
      </c>
      <c r="AM3430">
        <v>1</v>
      </c>
    </row>
    <row r="3431" spans="1:39" x14ac:dyDescent="0.2">
      <c r="A3431" t="str">
        <f>"3427"</f>
        <v>3427</v>
      </c>
      <c r="B3431" t="str">
        <f t="shared" si="188"/>
        <v>1</v>
      </c>
      <c r="C3431" t="str">
        <f t="shared" si="190"/>
        <v>69</v>
      </c>
      <c r="D3431" t="str">
        <f>"22"</f>
        <v>22</v>
      </c>
      <c r="E3431" t="str">
        <f>"1-69-22"</f>
        <v>1-69-22</v>
      </c>
      <c r="F3431" t="s">
        <v>65</v>
      </c>
      <c r="G3431" t="s">
        <v>66</v>
      </c>
      <c r="H3431" t="s">
        <v>67</v>
      </c>
      <c r="S3431">
        <v>1</v>
      </c>
      <c r="T3431">
        <v>0</v>
      </c>
      <c r="U3431">
        <v>0</v>
      </c>
      <c r="V3431">
        <v>0</v>
      </c>
      <c r="W3431">
        <v>1</v>
      </c>
      <c r="X3431">
        <v>0</v>
      </c>
      <c r="Y3431">
        <v>1</v>
      </c>
      <c r="Z3431">
        <v>0</v>
      </c>
      <c r="AA3431">
        <v>0</v>
      </c>
      <c r="AB3431">
        <v>0</v>
      </c>
      <c r="AC3431">
        <v>1</v>
      </c>
      <c r="AD3431">
        <v>1</v>
      </c>
      <c r="AE3431">
        <v>1</v>
      </c>
      <c r="AF3431">
        <v>1</v>
      </c>
      <c r="AG3431">
        <v>1</v>
      </c>
      <c r="AH3431">
        <v>1</v>
      </c>
      <c r="AI3431">
        <v>1</v>
      </c>
      <c r="AJ3431">
        <v>1</v>
      </c>
      <c r="AK3431">
        <v>1</v>
      </c>
      <c r="AL3431">
        <v>1</v>
      </c>
      <c r="AM3431">
        <v>1</v>
      </c>
    </row>
    <row r="3432" spans="1:39" x14ac:dyDescent="0.2">
      <c r="A3432" t="str">
        <f>"3428"</f>
        <v>3428</v>
      </c>
      <c r="B3432" t="str">
        <f t="shared" si="188"/>
        <v>1</v>
      </c>
      <c r="C3432" t="str">
        <f t="shared" si="190"/>
        <v>69</v>
      </c>
      <c r="D3432" t="str">
        <f>"3"</f>
        <v>3</v>
      </c>
      <c r="E3432" t="str">
        <f>"1-69-3"</f>
        <v>1-69-3</v>
      </c>
      <c r="F3432" t="s">
        <v>65</v>
      </c>
      <c r="G3432" t="s">
        <v>66</v>
      </c>
      <c r="H3432" t="s">
        <v>68</v>
      </c>
      <c r="I3432">
        <v>1</v>
      </c>
      <c r="J3432">
        <v>1</v>
      </c>
      <c r="K3432">
        <v>0</v>
      </c>
      <c r="L3432">
        <v>0</v>
      </c>
      <c r="M3432">
        <v>1</v>
      </c>
      <c r="N3432">
        <v>1</v>
      </c>
      <c r="O3432">
        <v>1</v>
      </c>
      <c r="P3432">
        <v>1</v>
      </c>
      <c r="Q3432">
        <v>1</v>
      </c>
      <c r="R3432">
        <v>1</v>
      </c>
    </row>
    <row r="3433" spans="1:39" x14ac:dyDescent="0.2">
      <c r="A3433" t="str">
        <f>"3429"</f>
        <v>3429</v>
      </c>
      <c r="B3433" t="str">
        <f t="shared" si="188"/>
        <v>1</v>
      </c>
      <c r="C3433" t="str">
        <f t="shared" si="190"/>
        <v>69</v>
      </c>
      <c r="D3433" t="str">
        <f>"37"</f>
        <v>37</v>
      </c>
      <c r="E3433" t="str">
        <f>"1-69-37"</f>
        <v>1-69-37</v>
      </c>
      <c r="F3433" t="s">
        <v>65</v>
      </c>
      <c r="G3433" t="s">
        <v>66</v>
      </c>
      <c r="H3433" t="s">
        <v>67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1</v>
      </c>
      <c r="Y3433">
        <v>0</v>
      </c>
      <c r="Z3433">
        <v>1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1</v>
      </c>
      <c r="AI3433">
        <v>0</v>
      </c>
      <c r="AJ3433">
        <v>0</v>
      </c>
      <c r="AK3433">
        <v>0</v>
      </c>
      <c r="AL3433">
        <v>0</v>
      </c>
      <c r="AM3433">
        <v>0</v>
      </c>
    </row>
    <row r="3434" spans="1:39" x14ac:dyDescent="0.2">
      <c r="A3434" t="str">
        <f>"3430"</f>
        <v>3430</v>
      </c>
      <c r="B3434" t="str">
        <f t="shared" si="188"/>
        <v>1</v>
      </c>
      <c r="C3434" t="str">
        <f t="shared" si="190"/>
        <v>69</v>
      </c>
      <c r="D3434" t="str">
        <f>"23"</f>
        <v>23</v>
      </c>
      <c r="E3434" t="str">
        <f>"1-69-23"</f>
        <v>1-69-23</v>
      </c>
      <c r="F3434" t="s">
        <v>65</v>
      </c>
      <c r="G3434" t="s">
        <v>66</v>
      </c>
      <c r="H3434" t="s">
        <v>67</v>
      </c>
      <c r="S3434">
        <v>1</v>
      </c>
      <c r="T3434">
        <v>0</v>
      </c>
      <c r="U3434">
        <v>0</v>
      </c>
      <c r="V3434">
        <v>0</v>
      </c>
      <c r="W3434">
        <v>1</v>
      </c>
      <c r="X3434">
        <v>0</v>
      </c>
      <c r="Y3434">
        <v>1</v>
      </c>
      <c r="Z3434">
        <v>0</v>
      </c>
      <c r="AA3434">
        <v>0</v>
      </c>
      <c r="AB3434">
        <v>1</v>
      </c>
      <c r="AC3434">
        <v>0</v>
      </c>
      <c r="AD3434">
        <v>1</v>
      </c>
      <c r="AE3434">
        <v>1</v>
      </c>
      <c r="AF3434">
        <v>1</v>
      </c>
      <c r="AG3434">
        <v>1</v>
      </c>
      <c r="AH3434">
        <v>1</v>
      </c>
      <c r="AI3434">
        <v>1</v>
      </c>
      <c r="AJ3434">
        <v>1</v>
      </c>
      <c r="AK3434">
        <v>1</v>
      </c>
      <c r="AL3434">
        <v>1</v>
      </c>
      <c r="AM3434">
        <v>1</v>
      </c>
    </row>
    <row r="3435" spans="1:39" x14ac:dyDescent="0.2">
      <c r="A3435" t="str">
        <f>"3431"</f>
        <v>3431</v>
      </c>
      <c r="B3435" t="str">
        <f t="shared" si="188"/>
        <v>1</v>
      </c>
      <c r="C3435" t="str">
        <f t="shared" si="190"/>
        <v>69</v>
      </c>
      <c r="D3435" t="str">
        <f>"8"</f>
        <v>8</v>
      </c>
      <c r="E3435" t="str">
        <f>"1-69-8"</f>
        <v>1-69-8</v>
      </c>
      <c r="F3435" t="s">
        <v>65</v>
      </c>
      <c r="G3435" t="s">
        <v>66</v>
      </c>
      <c r="H3435" t="s">
        <v>67</v>
      </c>
      <c r="S3435">
        <v>1</v>
      </c>
      <c r="T3435">
        <v>0</v>
      </c>
      <c r="U3435">
        <v>0</v>
      </c>
      <c r="V3435">
        <v>0</v>
      </c>
      <c r="W3435">
        <v>1</v>
      </c>
      <c r="X3435">
        <v>0</v>
      </c>
      <c r="Y3435">
        <v>1</v>
      </c>
      <c r="Z3435">
        <v>0</v>
      </c>
      <c r="AA3435">
        <v>1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</row>
    <row r="3436" spans="1:39" x14ac:dyDescent="0.2">
      <c r="A3436" t="str">
        <f>"3432"</f>
        <v>3432</v>
      </c>
      <c r="B3436" t="str">
        <f t="shared" si="188"/>
        <v>1</v>
      </c>
      <c r="C3436" t="str">
        <f t="shared" si="190"/>
        <v>69</v>
      </c>
      <c r="D3436" t="str">
        <f>"38"</f>
        <v>38</v>
      </c>
      <c r="E3436" t="str">
        <f>"1-69-38"</f>
        <v>1-69-38</v>
      </c>
      <c r="F3436" t="s">
        <v>65</v>
      </c>
      <c r="G3436" t="s">
        <v>66</v>
      </c>
      <c r="H3436" t="s">
        <v>67</v>
      </c>
      <c r="S3436">
        <v>0</v>
      </c>
      <c r="T3436">
        <v>1</v>
      </c>
      <c r="U3436">
        <v>0</v>
      </c>
      <c r="V3436">
        <v>0</v>
      </c>
      <c r="W3436">
        <v>1</v>
      </c>
      <c r="X3436">
        <v>0</v>
      </c>
      <c r="Y3436">
        <v>0</v>
      </c>
      <c r="Z3436">
        <v>1</v>
      </c>
      <c r="AA3436">
        <v>0</v>
      </c>
      <c r="AB3436">
        <v>1</v>
      </c>
      <c r="AC3436">
        <v>0</v>
      </c>
      <c r="AD3436">
        <v>1</v>
      </c>
      <c r="AE3436">
        <v>1</v>
      </c>
      <c r="AF3436">
        <v>1</v>
      </c>
      <c r="AG3436">
        <v>1</v>
      </c>
      <c r="AH3436">
        <v>1</v>
      </c>
      <c r="AI3436">
        <v>1</v>
      </c>
      <c r="AJ3436">
        <v>1</v>
      </c>
      <c r="AK3436">
        <v>1</v>
      </c>
      <c r="AL3436">
        <v>1</v>
      </c>
      <c r="AM3436">
        <v>1</v>
      </c>
    </row>
    <row r="3437" spans="1:39" x14ac:dyDescent="0.2">
      <c r="A3437" t="str">
        <f>"3433"</f>
        <v>3433</v>
      </c>
      <c r="B3437" t="str">
        <f t="shared" si="188"/>
        <v>1</v>
      </c>
      <c r="C3437" t="str">
        <f t="shared" ref="C3437:C3454" si="191">"69"</f>
        <v>69</v>
      </c>
      <c r="D3437" t="str">
        <f>"24"</f>
        <v>24</v>
      </c>
      <c r="E3437" t="str">
        <f>"1-69-24"</f>
        <v>1-69-24</v>
      </c>
      <c r="F3437" t="s">
        <v>65</v>
      </c>
      <c r="G3437" t="s">
        <v>66</v>
      </c>
      <c r="H3437" t="s">
        <v>67</v>
      </c>
      <c r="S3437">
        <v>0</v>
      </c>
      <c r="T3437">
        <v>1</v>
      </c>
      <c r="U3437">
        <v>0</v>
      </c>
      <c r="V3437">
        <v>0</v>
      </c>
      <c r="W3437">
        <v>0</v>
      </c>
      <c r="X3437">
        <v>1</v>
      </c>
      <c r="Y3437">
        <v>1</v>
      </c>
      <c r="Z3437">
        <v>0</v>
      </c>
      <c r="AA3437">
        <v>0</v>
      </c>
      <c r="AB3437">
        <v>1</v>
      </c>
      <c r="AC3437">
        <v>0</v>
      </c>
      <c r="AD3437">
        <v>1</v>
      </c>
      <c r="AE3437">
        <v>1</v>
      </c>
      <c r="AF3437">
        <v>1</v>
      </c>
      <c r="AG3437">
        <v>1</v>
      </c>
      <c r="AH3437">
        <v>1</v>
      </c>
      <c r="AI3437">
        <v>1</v>
      </c>
      <c r="AJ3437">
        <v>1</v>
      </c>
      <c r="AK3437">
        <v>1</v>
      </c>
      <c r="AL3437">
        <v>1</v>
      </c>
      <c r="AM3437">
        <v>1</v>
      </c>
    </row>
    <row r="3438" spans="1:39" x14ac:dyDescent="0.2">
      <c r="A3438" t="str">
        <f>"3434"</f>
        <v>3434</v>
      </c>
      <c r="B3438" t="str">
        <f t="shared" si="188"/>
        <v>1</v>
      </c>
      <c r="C3438" t="str">
        <f t="shared" si="191"/>
        <v>69</v>
      </c>
      <c r="D3438" t="str">
        <f>"11"</f>
        <v>11</v>
      </c>
      <c r="E3438" t="str">
        <f>"1-69-11"</f>
        <v>1-69-11</v>
      </c>
      <c r="F3438" t="s">
        <v>65</v>
      </c>
      <c r="G3438" t="s">
        <v>66</v>
      </c>
      <c r="H3438" t="s">
        <v>67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0</v>
      </c>
      <c r="AB3438">
        <v>1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</row>
    <row r="3439" spans="1:39" x14ac:dyDescent="0.2">
      <c r="A3439" t="str">
        <f>"3435"</f>
        <v>3435</v>
      </c>
      <c r="B3439" t="str">
        <f t="shared" si="188"/>
        <v>1</v>
      </c>
      <c r="C3439" t="str">
        <f t="shared" si="191"/>
        <v>69</v>
      </c>
      <c r="D3439" t="str">
        <f>"44"</f>
        <v>44</v>
      </c>
      <c r="E3439" t="str">
        <f>"1-69-44"</f>
        <v>1-69-44</v>
      </c>
      <c r="F3439" t="s">
        <v>65</v>
      </c>
      <c r="G3439" t="s">
        <v>66</v>
      </c>
      <c r="H3439" t="s">
        <v>67</v>
      </c>
      <c r="S3439">
        <v>1</v>
      </c>
      <c r="T3439">
        <v>0</v>
      </c>
      <c r="U3439">
        <v>0</v>
      </c>
      <c r="V3439">
        <v>0</v>
      </c>
      <c r="W3439">
        <v>1</v>
      </c>
      <c r="X3439">
        <v>0</v>
      </c>
      <c r="Y3439">
        <v>0</v>
      </c>
      <c r="Z3439">
        <v>1</v>
      </c>
      <c r="AA3439">
        <v>0</v>
      </c>
      <c r="AB3439">
        <v>0</v>
      </c>
      <c r="AC3439">
        <v>1</v>
      </c>
      <c r="AD3439">
        <v>1</v>
      </c>
      <c r="AE3439">
        <v>1</v>
      </c>
      <c r="AF3439">
        <v>1</v>
      </c>
      <c r="AG3439">
        <v>1</v>
      </c>
      <c r="AH3439">
        <v>1</v>
      </c>
      <c r="AI3439">
        <v>1</v>
      </c>
      <c r="AJ3439">
        <v>1</v>
      </c>
      <c r="AK3439">
        <v>1</v>
      </c>
      <c r="AL3439">
        <v>1</v>
      </c>
      <c r="AM3439">
        <v>1</v>
      </c>
    </row>
    <row r="3440" spans="1:39" x14ac:dyDescent="0.2">
      <c r="A3440" t="str">
        <f>"3436"</f>
        <v>3436</v>
      </c>
      <c r="B3440" t="str">
        <f t="shared" si="188"/>
        <v>1</v>
      </c>
      <c r="C3440" t="str">
        <f t="shared" si="191"/>
        <v>69</v>
      </c>
      <c r="D3440" t="str">
        <f>"26"</f>
        <v>26</v>
      </c>
      <c r="E3440" t="str">
        <f>"1-69-26"</f>
        <v>1-69-26</v>
      </c>
      <c r="F3440" t="s">
        <v>65</v>
      </c>
      <c r="G3440" t="s">
        <v>66</v>
      </c>
      <c r="H3440" t="s">
        <v>67</v>
      </c>
      <c r="S3440">
        <v>0</v>
      </c>
      <c r="T3440">
        <v>1</v>
      </c>
      <c r="U3440">
        <v>0</v>
      </c>
      <c r="V3440">
        <v>0</v>
      </c>
      <c r="W3440">
        <v>1</v>
      </c>
      <c r="X3440">
        <v>0</v>
      </c>
      <c r="Y3440">
        <v>0</v>
      </c>
      <c r="Z3440">
        <v>1</v>
      </c>
      <c r="AA3440">
        <v>0</v>
      </c>
      <c r="AB3440">
        <v>1</v>
      </c>
      <c r="AC3440">
        <v>0</v>
      </c>
      <c r="AD3440">
        <v>1</v>
      </c>
      <c r="AE3440">
        <v>1</v>
      </c>
      <c r="AF3440">
        <v>1</v>
      </c>
      <c r="AG3440">
        <v>1</v>
      </c>
      <c r="AH3440">
        <v>1</v>
      </c>
      <c r="AI3440">
        <v>1</v>
      </c>
      <c r="AJ3440">
        <v>1</v>
      </c>
      <c r="AK3440">
        <v>1</v>
      </c>
      <c r="AL3440">
        <v>1</v>
      </c>
      <c r="AM3440">
        <v>1</v>
      </c>
    </row>
    <row r="3441" spans="1:39" x14ac:dyDescent="0.2">
      <c r="A3441" t="str">
        <f>"3437"</f>
        <v>3437</v>
      </c>
      <c r="B3441" t="str">
        <f t="shared" si="188"/>
        <v>1</v>
      </c>
      <c r="C3441" t="str">
        <f t="shared" si="191"/>
        <v>69</v>
      </c>
      <c r="D3441" t="str">
        <f>"13"</f>
        <v>13</v>
      </c>
      <c r="E3441" t="str">
        <f>"1-69-13"</f>
        <v>1-69-13</v>
      </c>
      <c r="F3441" t="s">
        <v>65</v>
      </c>
      <c r="G3441" t="s">
        <v>66</v>
      </c>
      <c r="H3441" t="s">
        <v>67</v>
      </c>
      <c r="S3441">
        <v>0</v>
      </c>
      <c r="T3441">
        <v>1</v>
      </c>
      <c r="U3441">
        <v>0</v>
      </c>
      <c r="V3441">
        <v>0</v>
      </c>
      <c r="W3441">
        <v>0</v>
      </c>
      <c r="X3441">
        <v>1</v>
      </c>
      <c r="Y3441">
        <v>1</v>
      </c>
      <c r="Z3441">
        <v>0</v>
      </c>
      <c r="AA3441">
        <v>0</v>
      </c>
      <c r="AB3441">
        <v>0</v>
      </c>
      <c r="AC3441">
        <v>1</v>
      </c>
      <c r="AD3441">
        <v>0</v>
      </c>
      <c r="AE3441">
        <v>0</v>
      </c>
      <c r="AF3441">
        <v>0</v>
      </c>
      <c r="AG3441">
        <v>0</v>
      </c>
      <c r="AH3441">
        <v>1</v>
      </c>
      <c r="AI3441">
        <v>1</v>
      </c>
      <c r="AJ3441">
        <v>1</v>
      </c>
      <c r="AK3441">
        <v>0</v>
      </c>
      <c r="AL3441">
        <v>0</v>
      </c>
      <c r="AM3441">
        <v>0</v>
      </c>
    </row>
    <row r="3442" spans="1:39" x14ac:dyDescent="0.2">
      <c r="A3442" t="str">
        <f>"3438"</f>
        <v>3438</v>
      </c>
      <c r="B3442" t="str">
        <f t="shared" si="188"/>
        <v>1</v>
      </c>
      <c r="C3442" t="str">
        <f t="shared" si="191"/>
        <v>69</v>
      </c>
      <c r="D3442" t="str">
        <f>"45"</f>
        <v>45</v>
      </c>
      <c r="E3442" t="str">
        <f>"1-69-45"</f>
        <v>1-69-45</v>
      </c>
      <c r="F3442" t="s">
        <v>65</v>
      </c>
      <c r="G3442" t="s">
        <v>66</v>
      </c>
      <c r="H3442" t="s">
        <v>67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</row>
    <row r="3443" spans="1:39" x14ac:dyDescent="0.2">
      <c r="A3443" t="str">
        <f>"3439"</f>
        <v>3439</v>
      </c>
      <c r="B3443" t="str">
        <f t="shared" si="188"/>
        <v>1</v>
      </c>
      <c r="C3443" t="str">
        <f t="shared" si="191"/>
        <v>69</v>
      </c>
      <c r="D3443" t="str">
        <f>"27"</f>
        <v>27</v>
      </c>
      <c r="E3443" t="str">
        <f>"1-69-27"</f>
        <v>1-69-27</v>
      </c>
      <c r="F3443" t="s">
        <v>65</v>
      </c>
      <c r="G3443" t="s">
        <v>66</v>
      </c>
      <c r="H3443" t="s">
        <v>67</v>
      </c>
      <c r="S3443">
        <v>0</v>
      </c>
      <c r="T3443">
        <v>1</v>
      </c>
      <c r="U3443">
        <v>0</v>
      </c>
      <c r="V3443">
        <v>0</v>
      </c>
      <c r="W3443">
        <v>1</v>
      </c>
      <c r="X3443">
        <v>0</v>
      </c>
      <c r="Y3443">
        <v>0</v>
      </c>
      <c r="Z3443">
        <v>1</v>
      </c>
      <c r="AA3443">
        <v>0</v>
      </c>
      <c r="AB3443">
        <v>1</v>
      </c>
      <c r="AC3443">
        <v>0</v>
      </c>
      <c r="AD3443">
        <v>1</v>
      </c>
      <c r="AE3443">
        <v>1</v>
      </c>
      <c r="AF3443">
        <v>1</v>
      </c>
      <c r="AG3443">
        <v>1</v>
      </c>
      <c r="AH3443">
        <v>1</v>
      </c>
      <c r="AI3443">
        <v>1</v>
      </c>
      <c r="AJ3443">
        <v>1</v>
      </c>
      <c r="AK3443">
        <v>1</v>
      </c>
      <c r="AL3443">
        <v>1</v>
      </c>
      <c r="AM3443">
        <v>1</v>
      </c>
    </row>
    <row r="3444" spans="1:39" x14ac:dyDescent="0.2">
      <c r="A3444" t="str">
        <f>"3440"</f>
        <v>3440</v>
      </c>
      <c r="B3444" t="str">
        <f t="shared" si="188"/>
        <v>1</v>
      </c>
      <c r="C3444" t="str">
        <f t="shared" si="191"/>
        <v>69</v>
      </c>
      <c r="D3444" t="str">
        <f>"12"</f>
        <v>12</v>
      </c>
      <c r="E3444" t="str">
        <f>"1-69-12"</f>
        <v>1-69-12</v>
      </c>
      <c r="F3444" t="s">
        <v>65</v>
      </c>
      <c r="G3444" t="s">
        <v>66</v>
      </c>
      <c r="H3444" t="s">
        <v>67</v>
      </c>
      <c r="S3444">
        <v>1</v>
      </c>
      <c r="T3444">
        <v>0</v>
      </c>
      <c r="U3444">
        <v>0</v>
      </c>
      <c r="V3444">
        <v>0</v>
      </c>
      <c r="W3444">
        <v>1</v>
      </c>
      <c r="X3444">
        <v>0</v>
      </c>
      <c r="Y3444">
        <v>0</v>
      </c>
      <c r="Z3444">
        <v>1</v>
      </c>
      <c r="AA3444">
        <v>1</v>
      </c>
      <c r="AB3444">
        <v>0</v>
      </c>
      <c r="AC3444">
        <v>0</v>
      </c>
      <c r="AD3444">
        <v>1</v>
      </c>
      <c r="AE3444">
        <v>1</v>
      </c>
      <c r="AF3444">
        <v>1</v>
      </c>
      <c r="AG3444">
        <v>1</v>
      </c>
      <c r="AH3444">
        <v>1</v>
      </c>
      <c r="AI3444">
        <v>1</v>
      </c>
      <c r="AJ3444">
        <v>1</v>
      </c>
      <c r="AK3444">
        <v>1</v>
      </c>
      <c r="AL3444">
        <v>1</v>
      </c>
      <c r="AM3444">
        <v>1</v>
      </c>
    </row>
    <row r="3445" spans="1:39" x14ac:dyDescent="0.2">
      <c r="A3445" t="str">
        <f>"3441"</f>
        <v>3441</v>
      </c>
      <c r="B3445" t="str">
        <f t="shared" si="188"/>
        <v>1</v>
      </c>
      <c r="C3445" t="str">
        <f t="shared" si="191"/>
        <v>69</v>
      </c>
      <c r="D3445" t="str">
        <f>"46"</f>
        <v>46</v>
      </c>
      <c r="E3445" t="str">
        <f>"1-69-46"</f>
        <v>1-69-46</v>
      </c>
      <c r="F3445" t="s">
        <v>65</v>
      </c>
      <c r="G3445" t="s">
        <v>66</v>
      </c>
      <c r="H3445" t="s">
        <v>67</v>
      </c>
      <c r="S3445">
        <v>0</v>
      </c>
      <c r="T3445">
        <v>1</v>
      </c>
      <c r="U3445">
        <v>0</v>
      </c>
      <c r="V3445">
        <v>0</v>
      </c>
      <c r="W3445">
        <v>0</v>
      </c>
      <c r="X3445">
        <v>1</v>
      </c>
      <c r="Y3445">
        <v>0</v>
      </c>
      <c r="Z3445">
        <v>1</v>
      </c>
      <c r="AA3445">
        <v>0</v>
      </c>
      <c r="AB3445">
        <v>0</v>
      </c>
      <c r="AC3445">
        <v>1</v>
      </c>
      <c r="AD3445">
        <v>1</v>
      </c>
      <c r="AE3445">
        <v>1</v>
      </c>
      <c r="AF3445">
        <v>1</v>
      </c>
      <c r="AG3445">
        <v>1</v>
      </c>
      <c r="AH3445">
        <v>1</v>
      </c>
      <c r="AI3445">
        <v>1</v>
      </c>
      <c r="AJ3445">
        <v>1</v>
      </c>
      <c r="AK3445">
        <v>1</v>
      </c>
      <c r="AL3445">
        <v>1</v>
      </c>
      <c r="AM3445">
        <v>1</v>
      </c>
    </row>
    <row r="3446" spans="1:39" x14ac:dyDescent="0.2">
      <c r="A3446" t="str">
        <f>"3442"</f>
        <v>3442</v>
      </c>
      <c r="B3446" t="str">
        <f t="shared" si="188"/>
        <v>1</v>
      </c>
      <c r="C3446" t="str">
        <f t="shared" si="191"/>
        <v>69</v>
      </c>
      <c r="D3446" t="str">
        <f>"28"</f>
        <v>28</v>
      </c>
      <c r="E3446" t="str">
        <f>"1-69-28"</f>
        <v>1-69-28</v>
      </c>
      <c r="F3446" t="s">
        <v>65</v>
      </c>
      <c r="G3446" t="s">
        <v>66</v>
      </c>
      <c r="H3446" t="s">
        <v>67</v>
      </c>
      <c r="S3446">
        <v>1</v>
      </c>
      <c r="T3446">
        <v>0</v>
      </c>
      <c r="U3446">
        <v>0</v>
      </c>
      <c r="V3446">
        <v>0</v>
      </c>
      <c r="W3446">
        <v>1</v>
      </c>
      <c r="X3446">
        <v>0</v>
      </c>
      <c r="Y3446">
        <v>1</v>
      </c>
      <c r="Z3446">
        <v>0</v>
      </c>
      <c r="AA3446">
        <v>0</v>
      </c>
      <c r="AB3446">
        <v>0</v>
      </c>
      <c r="AC3446">
        <v>1</v>
      </c>
      <c r="AD3446">
        <v>1</v>
      </c>
      <c r="AE3446">
        <v>1</v>
      </c>
      <c r="AF3446">
        <v>1</v>
      </c>
      <c r="AG3446">
        <v>1</v>
      </c>
      <c r="AH3446">
        <v>1</v>
      </c>
      <c r="AI3446">
        <v>1</v>
      </c>
      <c r="AJ3446">
        <v>1</v>
      </c>
      <c r="AK3446">
        <v>1</v>
      </c>
      <c r="AL3446">
        <v>1</v>
      </c>
      <c r="AM3446">
        <v>1</v>
      </c>
    </row>
    <row r="3447" spans="1:39" x14ac:dyDescent="0.2">
      <c r="A3447" t="str">
        <f>"3443"</f>
        <v>3443</v>
      </c>
      <c r="B3447" t="str">
        <f t="shared" ref="B3447:B3510" si="192">"1"</f>
        <v>1</v>
      </c>
      <c r="C3447" t="str">
        <f t="shared" si="191"/>
        <v>69</v>
      </c>
      <c r="D3447" t="str">
        <f>"9"</f>
        <v>9</v>
      </c>
      <c r="E3447" t="str">
        <f>"1-69-9"</f>
        <v>1-69-9</v>
      </c>
      <c r="F3447" t="s">
        <v>65</v>
      </c>
      <c r="G3447" t="s">
        <v>66</v>
      </c>
      <c r="H3447" t="s">
        <v>67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0</v>
      </c>
      <c r="AB3447">
        <v>0</v>
      </c>
      <c r="AC3447">
        <v>1</v>
      </c>
      <c r="AD3447">
        <v>1</v>
      </c>
      <c r="AE3447">
        <v>0</v>
      </c>
      <c r="AF3447">
        <v>0</v>
      </c>
      <c r="AG3447">
        <v>1</v>
      </c>
      <c r="AH3447">
        <v>1</v>
      </c>
      <c r="AI3447">
        <v>1</v>
      </c>
      <c r="AJ3447">
        <v>1</v>
      </c>
      <c r="AK3447">
        <v>1</v>
      </c>
      <c r="AL3447">
        <v>1</v>
      </c>
      <c r="AM3447">
        <v>1</v>
      </c>
    </row>
    <row r="3448" spans="1:39" x14ac:dyDescent="0.2">
      <c r="A3448" t="str">
        <f>"3444"</f>
        <v>3444</v>
      </c>
      <c r="B3448" t="str">
        <f t="shared" si="192"/>
        <v>1</v>
      </c>
      <c r="C3448" t="str">
        <f t="shared" si="191"/>
        <v>69</v>
      </c>
      <c r="D3448" t="str">
        <f>"29"</f>
        <v>29</v>
      </c>
      <c r="E3448" t="str">
        <f>"1-69-29"</f>
        <v>1-69-29</v>
      </c>
      <c r="F3448" t="s">
        <v>65</v>
      </c>
      <c r="G3448" t="s">
        <v>66</v>
      </c>
      <c r="H3448" t="s">
        <v>67</v>
      </c>
      <c r="S3448">
        <v>1</v>
      </c>
      <c r="T3448">
        <v>0</v>
      </c>
      <c r="U3448">
        <v>0</v>
      </c>
      <c r="V3448">
        <v>0</v>
      </c>
      <c r="W3448">
        <v>0</v>
      </c>
      <c r="X3448">
        <v>1</v>
      </c>
      <c r="Y3448">
        <v>1</v>
      </c>
      <c r="Z3448">
        <v>0</v>
      </c>
      <c r="AA3448">
        <v>0</v>
      </c>
      <c r="AB3448">
        <v>0</v>
      </c>
      <c r="AC3448">
        <v>1</v>
      </c>
      <c r="AD3448">
        <v>1</v>
      </c>
      <c r="AE3448">
        <v>1</v>
      </c>
      <c r="AF3448">
        <v>1</v>
      </c>
      <c r="AG3448">
        <v>1</v>
      </c>
      <c r="AH3448">
        <v>1</v>
      </c>
      <c r="AI3448">
        <v>1</v>
      </c>
      <c r="AJ3448">
        <v>1</v>
      </c>
      <c r="AK3448">
        <v>1</v>
      </c>
      <c r="AL3448">
        <v>1</v>
      </c>
      <c r="AM3448">
        <v>1</v>
      </c>
    </row>
    <row r="3449" spans="1:39" x14ac:dyDescent="0.2">
      <c r="A3449" t="str">
        <f>"3445"</f>
        <v>3445</v>
      </c>
      <c r="B3449" t="str">
        <f t="shared" si="192"/>
        <v>1</v>
      </c>
      <c r="C3449" t="str">
        <f t="shared" si="191"/>
        <v>69</v>
      </c>
      <c r="D3449" t="str">
        <f>"14"</f>
        <v>14</v>
      </c>
      <c r="E3449" t="str">
        <f>"1-69-14"</f>
        <v>1-69-14</v>
      </c>
      <c r="F3449" t="s">
        <v>65</v>
      </c>
      <c r="G3449" t="s">
        <v>66</v>
      </c>
      <c r="H3449" t="s">
        <v>67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0</v>
      </c>
      <c r="AB3449">
        <v>0</v>
      </c>
      <c r="AC3449">
        <v>1</v>
      </c>
      <c r="AD3449">
        <v>0</v>
      </c>
      <c r="AE3449">
        <v>0</v>
      </c>
      <c r="AF3449">
        <v>0</v>
      </c>
      <c r="AG3449">
        <v>0</v>
      </c>
      <c r="AH3449">
        <v>1</v>
      </c>
      <c r="AI3449">
        <v>1</v>
      </c>
      <c r="AJ3449">
        <v>1</v>
      </c>
      <c r="AK3449">
        <v>1</v>
      </c>
      <c r="AL3449">
        <v>1</v>
      </c>
      <c r="AM3449">
        <v>1</v>
      </c>
    </row>
    <row r="3450" spans="1:39" x14ac:dyDescent="0.2">
      <c r="A3450" t="str">
        <f>"3446"</f>
        <v>3446</v>
      </c>
      <c r="B3450" t="str">
        <f t="shared" si="192"/>
        <v>1</v>
      </c>
      <c r="C3450" t="str">
        <f t="shared" si="191"/>
        <v>69</v>
      </c>
      <c r="D3450" t="str">
        <f>"32"</f>
        <v>32</v>
      </c>
      <c r="E3450" t="str">
        <f>"1-69-32"</f>
        <v>1-69-32</v>
      </c>
      <c r="F3450" t="s">
        <v>65</v>
      </c>
      <c r="G3450" t="s">
        <v>66</v>
      </c>
      <c r="H3450" t="s">
        <v>67</v>
      </c>
      <c r="S3450">
        <v>0</v>
      </c>
      <c r="T3450">
        <v>1</v>
      </c>
      <c r="U3450">
        <v>0</v>
      </c>
      <c r="V3450">
        <v>0</v>
      </c>
      <c r="W3450">
        <v>1</v>
      </c>
      <c r="X3450">
        <v>0</v>
      </c>
      <c r="Y3450">
        <v>1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1</v>
      </c>
      <c r="AG3450">
        <v>1</v>
      </c>
      <c r="AH3450">
        <v>1</v>
      </c>
      <c r="AI3450">
        <v>1</v>
      </c>
      <c r="AJ3450">
        <v>1</v>
      </c>
      <c r="AK3450">
        <v>1</v>
      </c>
      <c r="AL3450">
        <v>1</v>
      </c>
      <c r="AM3450">
        <v>1</v>
      </c>
    </row>
    <row r="3451" spans="1:39" x14ac:dyDescent="0.2">
      <c r="A3451" t="str">
        <f>"3447"</f>
        <v>3447</v>
      </c>
      <c r="B3451" t="str">
        <f t="shared" si="192"/>
        <v>1</v>
      </c>
      <c r="C3451" t="str">
        <f t="shared" si="191"/>
        <v>69</v>
      </c>
      <c r="D3451" t="str">
        <f>"10"</f>
        <v>10</v>
      </c>
      <c r="E3451" t="str">
        <f>"1-69-10"</f>
        <v>1-69-10</v>
      </c>
      <c r="F3451" t="s">
        <v>65</v>
      </c>
      <c r="G3451" t="s">
        <v>66</v>
      </c>
      <c r="H3451" t="s">
        <v>67</v>
      </c>
      <c r="S3451">
        <v>1</v>
      </c>
      <c r="T3451">
        <v>0</v>
      </c>
      <c r="U3451">
        <v>0</v>
      </c>
      <c r="V3451">
        <v>0</v>
      </c>
      <c r="W3451">
        <v>1</v>
      </c>
      <c r="X3451">
        <v>0</v>
      </c>
      <c r="Y3451">
        <v>0</v>
      </c>
      <c r="Z3451">
        <v>1</v>
      </c>
      <c r="AA3451">
        <v>1</v>
      </c>
      <c r="AB3451">
        <v>0</v>
      </c>
      <c r="AC3451">
        <v>0</v>
      </c>
      <c r="AD3451">
        <v>1</v>
      </c>
      <c r="AE3451">
        <v>1</v>
      </c>
      <c r="AF3451">
        <v>1</v>
      </c>
      <c r="AG3451">
        <v>1</v>
      </c>
      <c r="AH3451">
        <v>1</v>
      </c>
      <c r="AI3451">
        <v>1</v>
      </c>
      <c r="AJ3451">
        <v>1</v>
      </c>
      <c r="AK3451">
        <v>1</v>
      </c>
      <c r="AL3451">
        <v>1</v>
      </c>
      <c r="AM3451">
        <v>1</v>
      </c>
    </row>
    <row r="3452" spans="1:39" x14ac:dyDescent="0.2">
      <c r="A3452" t="str">
        <f>"3448"</f>
        <v>3448</v>
      </c>
      <c r="B3452" t="str">
        <f t="shared" si="192"/>
        <v>1</v>
      </c>
      <c r="C3452" t="str">
        <f t="shared" si="191"/>
        <v>69</v>
      </c>
      <c r="D3452" t="str">
        <f>"49"</f>
        <v>49</v>
      </c>
      <c r="E3452" t="str">
        <f>"1-69-49"</f>
        <v>1-69-49</v>
      </c>
      <c r="F3452" t="s">
        <v>65</v>
      </c>
      <c r="G3452" t="s">
        <v>66</v>
      </c>
      <c r="H3452" t="s">
        <v>67</v>
      </c>
      <c r="S3452">
        <v>0</v>
      </c>
      <c r="T3452">
        <v>1</v>
      </c>
      <c r="U3452">
        <v>0</v>
      </c>
      <c r="V3452">
        <v>0</v>
      </c>
      <c r="W3452">
        <v>1</v>
      </c>
      <c r="X3452">
        <v>0</v>
      </c>
      <c r="Y3452">
        <v>0</v>
      </c>
      <c r="Z3452">
        <v>1</v>
      </c>
      <c r="AA3452">
        <v>1</v>
      </c>
      <c r="AB3452">
        <v>0</v>
      </c>
      <c r="AC3452">
        <v>0</v>
      </c>
      <c r="AD3452">
        <v>1</v>
      </c>
      <c r="AE3452">
        <v>1</v>
      </c>
      <c r="AF3452">
        <v>1</v>
      </c>
      <c r="AG3452">
        <v>1</v>
      </c>
      <c r="AH3452">
        <v>1</v>
      </c>
      <c r="AI3452">
        <v>1</v>
      </c>
      <c r="AJ3452">
        <v>1</v>
      </c>
      <c r="AK3452">
        <v>1</v>
      </c>
      <c r="AL3452">
        <v>1</v>
      </c>
      <c r="AM3452">
        <v>1</v>
      </c>
    </row>
    <row r="3453" spans="1:39" x14ac:dyDescent="0.2">
      <c r="A3453" t="str">
        <f>"3449"</f>
        <v>3449</v>
      </c>
      <c r="B3453" t="str">
        <f t="shared" si="192"/>
        <v>1</v>
      </c>
      <c r="C3453" t="str">
        <f t="shared" si="191"/>
        <v>69</v>
      </c>
      <c r="D3453" t="str">
        <f>"48"</f>
        <v>48</v>
      </c>
      <c r="E3453" t="str">
        <f>"1-69-48"</f>
        <v>1-69-48</v>
      </c>
      <c r="F3453" t="s">
        <v>65</v>
      </c>
      <c r="G3453" t="s">
        <v>66</v>
      </c>
      <c r="H3453" t="s">
        <v>67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</v>
      </c>
      <c r="Y3453">
        <v>1</v>
      </c>
      <c r="Z3453">
        <v>0</v>
      </c>
      <c r="AA3453">
        <v>0</v>
      </c>
      <c r="AB3453">
        <v>1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</row>
    <row r="3454" spans="1:39" x14ac:dyDescent="0.2">
      <c r="A3454" t="str">
        <f>"3450"</f>
        <v>3450</v>
      </c>
      <c r="B3454" t="str">
        <f t="shared" si="192"/>
        <v>1</v>
      </c>
      <c r="C3454" t="str">
        <f t="shared" si="191"/>
        <v>69</v>
      </c>
      <c r="D3454" t="str">
        <f>"50"</f>
        <v>50</v>
      </c>
      <c r="E3454" t="str">
        <f>"1-69-50"</f>
        <v>1-69-50</v>
      </c>
      <c r="F3454" t="s">
        <v>65</v>
      </c>
      <c r="G3454" t="s">
        <v>66</v>
      </c>
      <c r="H3454" t="s">
        <v>67</v>
      </c>
      <c r="S3454">
        <v>0</v>
      </c>
      <c r="T3454">
        <v>1</v>
      </c>
      <c r="U3454">
        <v>0</v>
      </c>
      <c r="V3454">
        <v>0</v>
      </c>
      <c r="W3454">
        <v>1</v>
      </c>
      <c r="X3454">
        <v>0</v>
      </c>
      <c r="Y3454">
        <v>1</v>
      </c>
      <c r="Z3454">
        <v>0</v>
      </c>
      <c r="AA3454">
        <v>0</v>
      </c>
      <c r="AB3454">
        <v>1</v>
      </c>
      <c r="AC3454">
        <v>0</v>
      </c>
      <c r="AD3454">
        <v>0</v>
      </c>
      <c r="AE3454">
        <v>0</v>
      </c>
      <c r="AF3454">
        <v>0</v>
      </c>
      <c r="AG3454">
        <v>1</v>
      </c>
      <c r="AH3454">
        <v>0</v>
      </c>
      <c r="AI3454">
        <v>0</v>
      </c>
      <c r="AJ3454">
        <v>0</v>
      </c>
      <c r="AK3454">
        <v>0</v>
      </c>
      <c r="AL3454">
        <v>1</v>
      </c>
      <c r="AM3454">
        <v>0</v>
      </c>
    </row>
    <row r="3455" spans="1:39" x14ac:dyDescent="0.2">
      <c r="A3455" t="str">
        <f>"3451"</f>
        <v>3451</v>
      </c>
      <c r="B3455" t="str">
        <f t="shared" si="192"/>
        <v>1</v>
      </c>
      <c r="C3455" t="str">
        <f t="shared" ref="C3455:C3486" si="193">"70"</f>
        <v>70</v>
      </c>
      <c r="D3455" t="str">
        <f>"38"</f>
        <v>38</v>
      </c>
      <c r="E3455" t="str">
        <f>"1-70-38"</f>
        <v>1-70-38</v>
      </c>
      <c r="F3455" t="s">
        <v>65</v>
      </c>
      <c r="G3455" t="s">
        <v>66</v>
      </c>
      <c r="H3455" t="s">
        <v>67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1</v>
      </c>
      <c r="AJ3455">
        <v>0</v>
      </c>
      <c r="AK3455">
        <v>0</v>
      </c>
      <c r="AL3455">
        <v>0</v>
      </c>
      <c r="AM3455">
        <v>0</v>
      </c>
    </row>
    <row r="3456" spans="1:39" x14ac:dyDescent="0.2">
      <c r="A3456" t="str">
        <f>"3452"</f>
        <v>3452</v>
      </c>
      <c r="B3456" t="str">
        <f t="shared" si="192"/>
        <v>1</v>
      </c>
      <c r="C3456" t="str">
        <f t="shared" si="193"/>
        <v>70</v>
      </c>
      <c r="D3456" t="str">
        <f>"37"</f>
        <v>37</v>
      </c>
      <c r="E3456" t="str">
        <f>"1-70-37"</f>
        <v>1-70-37</v>
      </c>
      <c r="F3456" t="s">
        <v>65</v>
      </c>
      <c r="G3456" t="s">
        <v>66</v>
      </c>
      <c r="H3456" t="s">
        <v>67</v>
      </c>
      <c r="S3456">
        <v>1</v>
      </c>
      <c r="T3456">
        <v>0</v>
      </c>
      <c r="U3456">
        <v>0</v>
      </c>
      <c r="V3456">
        <v>0</v>
      </c>
      <c r="W3456">
        <v>1</v>
      </c>
      <c r="X3456">
        <v>0</v>
      </c>
      <c r="Y3456">
        <v>1</v>
      </c>
      <c r="Z3456">
        <v>0</v>
      </c>
      <c r="AA3456">
        <v>0</v>
      </c>
      <c r="AB3456">
        <v>1</v>
      </c>
      <c r="AC3456">
        <v>0</v>
      </c>
      <c r="AD3456">
        <v>1</v>
      </c>
      <c r="AE3456">
        <v>1</v>
      </c>
      <c r="AF3456">
        <v>1</v>
      </c>
      <c r="AG3456">
        <v>1</v>
      </c>
      <c r="AH3456">
        <v>1</v>
      </c>
      <c r="AI3456">
        <v>1</v>
      </c>
      <c r="AJ3456">
        <v>1</v>
      </c>
      <c r="AK3456">
        <v>1</v>
      </c>
      <c r="AL3456">
        <v>1</v>
      </c>
      <c r="AM3456">
        <v>1</v>
      </c>
    </row>
    <row r="3457" spans="1:39" x14ac:dyDescent="0.2">
      <c r="A3457" t="str">
        <f>"3453"</f>
        <v>3453</v>
      </c>
      <c r="B3457" t="str">
        <f t="shared" si="192"/>
        <v>1</v>
      </c>
      <c r="C3457" t="str">
        <f t="shared" si="193"/>
        <v>70</v>
      </c>
      <c r="D3457" t="str">
        <f>"27"</f>
        <v>27</v>
      </c>
      <c r="E3457" t="str">
        <f>"1-70-27"</f>
        <v>1-70-27</v>
      </c>
      <c r="F3457" t="s">
        <v>65</v>
      </c>
      <c r="G3457" t="s">
        <v>66</v>
      </c>
      <c r="H3457" t="s">
        <v>67</v>
      </c>
      <c r="S3457">
        <v>0</v>
      </c>
      <c r="T3457">
        <v>1</v>
      </c>
      <c r="U3457">
        <v>0</v>
      </c>
      <c r="V3457">
        <v>0</v>
      </c>
      <c r="W3457">
        <v>0</v>
      </c>
      <c r="X3457">
        <v>1</v>
      </c>
      <c r="Y3457">
        <v>0</v>
      </c>
      <c r="Z3457">
        <v>1</v>
      </c>
      <c r="AA3457">
        <v>0</v>
      </c>
      <c r="AB3457">
        <v>0</v>
      </c>
      <c r="AC3457">
        <v>1</v>
      </c>
      <c r="AD3457">
        <v>1</v>
      </c>
      <c r="AE3457">
        <v>1</v>
      </c>
      <c r="AF3457">
        <v>1</v>
      </c>
      <c r="AG3457">
        <v>1</v>
      </c>
      <c r="AH3457">
        <v>1</v>
      </c>
      <c r="AI3457">
        <v>1</v>
      </c>
      <c r="AJ3457">
        <v>1</v>
      </c>
      <c r="AK3457">
        <v>1</v>
      </c>
      <c r="AL3457">
        <v>1</v>
      </c>
      <c r="AM3457">
        <v>1</v>
      </c>
    </row>
    <row r="3458" spans="1:39" x14ac:dyDescent="0.2">
      <c r="A3458" t="str">
        <f>"3454"</f>
        <v>3454</v>
      </c>
      <c r="B3458" t="str">
        <f t="shared" si="192"/>
        <v>1</v>
      </c>
      <c r="C3458" t="str">
        <f t="shared" si="193"/>
        <v>70</v>
      </c>
      <c r="D3458" t="str">
        <f>"26"</f>
        <v>26</v>
      </c>
      <c r="E3458" t="str">
        <f>"1-70-26"</f>
        <v>1-70-26</v>
      </c>
      <c r="F3458" t="s">
        <v>65</v>
      </c>
      <c r="G3458" t="s">
        <v>66</v>
      </c>
      <c r="H3458" t="s">
        <v>67</v>
      </c>
      <c r="S3458">
        <v>1</v>
      </c>
      <c r="T3458">
        <v>0</v>
      </c>
      <c r="U3458">
        <v>0</v>
      </c>
      <c r="V3458">
        <v>0</v>
      </c>
      <c r="W3458">
        <v>1</v>
      </c>
      <c r="X3458">
        <v>0</v>
      </c>
      <c r="Y3458">
        <v>1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1</v>
      </c>
      <c r="AF3458">
        <v>1</v>
      </c>
      <c r="AG3458">
        <v>1</v>
      </c>
      <c r="AH3458">
        <v>1</v>
      </c>
      <c r="AI3458">
        <v>1</v>
      </c>
      <c r="AJ3458">
        <v>1</v>
      </c>
      <c r="AK3458">
        <v>1</v>
      </c>
      <c r="AL3458">
        <v>1</v>
      </c>
      <c r="AM3458">
        <v>1</v>
      </c>
    </row>
    <row r="3459" spans="1:39" x14ac:dyDescent="0.2">
      <c r="A3459" t="str">
        <f>"3455"</f>
        <v>3455</v>
      </c>
      <c r="B3459" t="str">
        <f t="shared" si="192"/>
        <v>1</v>
      </c>
      <c r="C3459" t="str">
        <f t="shared" si="193"/>
        <v>70</v>
      </c>
      <c r="D3459" t="str">
        <f>"17"</f>
        <v>17</v>
      </c>
      <c r="E3459" t="str">
        <f>"1-70-17"</f>
        <v>1-70-17</v>
      </c>
      <c r="F3459" t="s">
        <v>65</v>
      </c>
      <c r="G3459" t="s">
        <v>66</v>
      </c>
      <c r="H3459" t="s">
        <v>67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1</v>
      </c>
      <c r="AI3459">
        <v>1</v>
      </c>
      <c r="AJ3459">
        <v>0</v>
      </c>
      <c r="AK3459">
        <v>0</v>
      </c>
      <c r="AL3459">
        <v>0</v>
      </c>
      <c r="AM3459">
        <v>0</v>
      </c>
    </row>
    <row r="3460" spans="1:39" x14ac:dyDescent="0.2">
      <c r="A3460" t="str">
        <f>"3456"</f>
        <v>3456</v>
      </c>
      <c r="B3460" t="str">
        <f t="shared" si="192"/>
        <v>1</v>
      </c>
      <c r="C3460" t="str">
        <f t="shared" si="193"/>
        <v>70</v>
      </c>
      <c r="D3460" t="str">
        <f>"15"</f>
        <v>15</v>
      </c>
      <c r="E3460" t="str">
        <f>"1-70-15"</f>
        <v>1-70-15</v>
      </c>
      <c r="F3460" t="s">
        <v>65</v>
      </c>
      <c r="G3460" t="s">
        <v>66</v>
      </c>
      <c r="H3460" t="s">
        <v>67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1</v>
      </c>
      <c r="AI3460">
        <v>1</v>
      </c>
      <c r="AJ3460">
        <v>1</v>
      </c>
      <c r="AK3460">
        <v>1</v>
      </c>
      <c r="AL3460">
        <v>1</v>
      </c>
      <c r="AM3460">
        <v>1</v>
      </c>
    </row>
    <row r="3461" spans="1:39" x14ac:dyDescent="0.2">
      <c r="A3461" t="str">
        <f>"3457"</f>
        <v>3457</v>
      </c>
      <c r="B3461" t="str">
        <f t="shared" si="192"/>
        <v>1</v>
      </c>
      <c r="C3461" t="str">
        <f t="shared" si="193"/>
        <v>70</v>
      </c>
      <c r="D3461" t="str">
        <f>"5"</f>
        <v>5</v>
      </c>
      <c r="E3461" t="str">
        <f>"1-70-5"</f>
        <v>1-70-5</v>
      </c>
      <c r="F3461" t="s">
        <v>65</v>
      </c>
      <c r="G3461" t="s">
        <v>66</v>
      </c>
      <c r="H3461" t="s">
        <v>67</v>
      </c>
      <c r="S3461">
        <v>0</v>
      </c>
      <c r="T3461">
        <v>0</v>
      </c>
      <c r="U3461">
        <v>0</v>
      </c>
      <c r="V3461">
        <v>0</v>
      </c>
      <c r="W3461">
        <v>1</v>
      </c>
      <c r="X3461">
        <v>0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</row>
    <row r="3462" spans="1:39" x14ac:dyDescent="0.2">
      <c r="A3462" t="str">
        <f>"3458"</f>
        <v>3458</v>
      </c>
      <c r="B3462" t="str">
        <f t="shared" si="192"/>
        <v>1</v>
      </c>
      <c r="C3462" t="str">
        <f t="shared" si="193"/>
        <v>70</v>
      </c>
      <c r="D3462" t="str">
        <f>"42"</f>
        <v>42</v>
      </c>
      <c r="E3462" t="str">
        <f>"1-70-42"</f>
        <v>1-70-42</v>
      </c>
      <c r="F3462" t="s">
        <v>65</v>
      </c>
      <c r="G3462" t="s">
        <v>66</v>
      </c>
      <c r="H3462" t="s">
        <v>67</v>
      </c>
      <c r="S3462">
        <v>1</v>
      </c>
      <c r="T3462">
        <v>0</v>
      </c>
      <c r="U3462">
        <v>0</v>
      </c>
      <c r="V3462">
        <v>0</v>
      </c>
      <c r="W3462">
        <v>1</v>
      </c>
      <c r="X3462">
        <v>0</v>
      </c>
      <c r="Y3462">
        <v>0</v>
      </c>
      <c r="Z3462">
        <v>1</v>
      </c>
      <c r="AA3462">
        <v>0</v>
      </c>
      <c r="AB3462">
        <v>0</v>
      </c>
      <c r="AC3462">
        <v>1</v>
      </c>
      <c r="AD3462">
        <v>1</v>
      </c>
      <c r="AE3462">
        <v>1</v>
      </c>
      <c r="AF3462">
        <v>1</v>
      </c>
      <c r="AG3462">
        <v>1</v>
      </c>
      <c r="AH3462">
        <v>1</v>
      </c>
      <c r="AI3462">
        <v>1</v>
      </c>
      <c r="AJ3462">
        <v>1</v>
      </c>
      <c r="AK3462">
        <v>1</v>
      </c>
      <c r="AL3462">
        <v>1</v>
      </c>
      <c r="AM3462">
        <v>1</v>
      </c>
    </row>
    <row r="3463" spans="1:39" x14ac:dyDescent="0.2">
      <c r="A3463" t="str">
        <f>"3459"</f>
        <v>3459</v>
      </c>
      <c r="B3463" t="str">
        <f t="shared" si="192"/>
        <v>1</v>
      </c>
      <c r="C3463" t="str">
        <f t="shared" si="193"/>
        <v>70</v>
      </c>
      <c r="D3463" t="str">
        <f>"41"</f>
        <v>41</v>
      </c>
      <c r="E3463" t="str">
        <f>"1-70-41"</f>
        <v>1-70-41</v>
      </c>
      <c r="F3463" t="s">
        <v>65</v>
      </c>
      <c r="G3463" t="s">
        <v>66</v>
      </c>
      <c r="H3463" t="s">
        <v>67</v>
      </c>
      <c r="S3463">
        <v>0</v>
      </c>
      <c r="T3463">
        <v>1</v>
      </c>
      <c r="U3463">
        <v>0</v>
      </c>
      <c r="V3463">
        <v>0</v>
      </c>
      <c r="W3463">
        <v>0</v>
      </c>
      <c r="X3463">
        <v>1</v>
      </c>
      <c r="Y3463">
        <v>1</v>
      </c>
      <c r="Z3463">
        <v>0</v>
      </c>
      <c r="AA3463">
        <v>0</v>
      </c>
      <c r="AB3463">
        <v>0</v>
      </c>
      <c r="AC3463">
        <v>1</v>
      </c>
      <c r="AD3463">
        <v>1</v>
      </c>
      <c r="AE3463">
        <v>1</v>
      </c>
      <c r="AF3463">
        <v>1</v>
      </c>
      <c r="AG3463">
        <v>1</v>
      </c>
      <c r="AH3463">
        <v>1</v>
      </c>
      <c r="AI3463">
        <v>1</v>
      </c>
      <c r="AJ3463">
        <v>1</v>
      </c>
      <c r="AK3463">
        <v>1</v>
      </c>
      <c r="AL3463">
        <v>1</v>
      </c>
      <c r="AM3463">
        <v>1</v>
      </c>
    </row>
    <row r="3464" spans="1:39" x14ac:dyDescent="0.2">
      <c r="A3464" t="str">
        <f>"3460"</f>
        <v>3460</v>
      </c>
      <c r="B3464" t="str">
        <f t="shared" si="192"/>
        <v>1</v>
      </c>
      <c r="C3464" t="str">
        <f t="shared" si="193"/>
        <v>70</v>
      </c>
      <c r="D3464" t="str">
        <f>"30"</f>
        <v>30</v>
      </c>
      <c r="E3464" t="str">
        <f>"1-70-30"</f>
        <v>1-70-30</v>
      </c>
      <c r="F3464" t="s">
        <v>65</v>
      </c>
      <c r="G3464" t="s">
        <v>66</v>
      </c>
      <c r="H3464" t="s">
        <v>67</v>
      </c>
      <c r="S3464">
        <v>0</v>
      </c>
      <c r="T3464">
        <v>1</v>
      </c>
      <c r="U3464">
        <v>0</v>
      </c>
      <c r="V3464">
        <v>0</v>
      </c>
      <c r="W3464">
        <v>0</v>
      </c>
      <c r="X3464">
        <v>1</v>
      </c>
      <c r="Y3464">
        <v>0</v>
      </c>
      <c r="Z3464">
        <v>1</v>
      </c>
      <c r="AA3464">
        <v>0</v>
      </c>
      <c r="AB3464">
        <v>1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</row>
    <row r="3465" spans="1:39" x14ac:dyDescent="0.2">
      <c r="A3465" t="str">
        <f>"3461"</f>
        <v>3461</v>
      </c>
      <c r="B3465" t="str">
        <f t="shared" si="192"/>
        <v>1</v>
      </c>
      <c r="C3465" t="str">
        <f t="shared" si="193"/>
        <v>70</v>
      </c>
      <c r="D3465" t="str">
        <f>"29"</f>
        <v>29</v>
      </c>
      <c r="E3465" t="str">
        <f>"1-70-29"</f>
        <v>1-70-29</v>
      </c>
      <c r="F3465" t="s">
        <v>65</v>
      </c>
      <c r="G3465" t="s">
        <v>66</v>
      </c>
      <c r="H3465" t="s">
        <v>67</v>
      </c>
      <c r="S3465">
        <v>1</v>
      </c>
      <c r="T3465">
        <v>0</v>
      </c>
      <c r="U3465">
        <v>0</v>
      </c>
      <c r="V3465">
        <v>0</v>
      </c>
      <c r="W3465">
        <v>0</v>
      </c>
      <c r="X3465">
        <v>1</v>
      </c>
      <c r="Y3465">
        <v>0</v>
      </c>
      <c r="Z3465">
        <v>1</v>
      </c>
      <c r="AA3465">
        <v>1</v>
      </c>
      <c r="AB3465">
        <v>0</v>
      </c>
      <c r="AC3465">
        <v>0</v>
      </c>
      <c r="AD3465">
        <v>1</v>
      </c>
      <c r="AE3465">
        <v>1</v>
      </c>
      <c r="AF3465">
        <v>1</v>
      </c>
      <c r="AG3465">
        <v>1</v>
      </c>
      <c r="AH3465">
        <v>1</v>
      </c>
      <c r="AI3465">
        <v>1</v>
      </c>
      <c r="AJ3465">
        <v>0</v>
      </c>
      <c r="AK3465">
        <v>0</v>
      </c>
      <c r="AL3465">
        <v>1</v>
      </c>
      <c r="AM3465">
        <v>0</v>
      </c>
    </row>
    <row r="3466" spans="1:39" x14ac:dyDescent="0.2">
      <c r="A3466" t="str">
        <f>"3462"</f>
        <v>3462</v>
      </c>
      <c r="B3466" t="str">
        <f t="shared" si="192"/>
        <v>1</v>
      </c>
      <c r="C3466" t="str">
        <f t="shared" si="193"/>
        <v>70</v>
      </c>
      <c r="D3466" t="str">
        <f>"18"</f>
        <v>18</v>
      </c>
      <c r="E3466" t="str">
        <f>"1-70-18"</f>
        <v>1-70-18</v>
      </c>
      <c r="F3466" t="s">
        <v>65</v>
      </c>
      <c r="G3466" t="s">
        <v>66</v>
      </c>
      <c r="H3466" t="s">
        <v>67</v>
      </c>
      <c r="S3466">
        <v>1</v>
      </c>
      <c r="T3466">
        <v>0</v>
      </c>
      <c r="U3466">
        <v>0</v>
      </c>
      <c r="V3466">
        <v>0</v>
      </c>
      <c r="W3466">
        <v>1</v>
      </c>
      <c r="X3466">
        <v>0</v>
      </c>
      <c r="Y3466">
        <v>1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1</v>
      </c>
      <c r="AF3466">
        <v>1</v>
      </c>
      <c r="AG3466">
        <v>1</v>
      </c>
      <c r="AH3466">
        <v>1</v>
      </c>
      <c r="AI3466">
        <v>1</v>
      </c>
      <c r="AJ3466">
        <v>1</v>
      </c>
      <c r="AK3466">
        <v>1</v>
      </c>
      <c r="AL3466">
        <v>1</v>
      </c>
      <c r="AM3466">
        <v>1</v>
      </c>
    </row>
    <row r="3467" spans="1:39" x14ac:dyDescent="0.2">
      <c r="A3467" t="str">
        <f>"3463"</f>
        <v>3463</v>
      </c>
      <c r="B3467" t="str">
        <f t="shared" si="192"/>
        <v>1</v>
      </c>
      <c r="C3467" t="str">
        <f t="shared" si="193"/>
        <v>70</v>
      </c>
      <c r="D3467" t="str">
        <f>"16"</f>
        <v>16</v>
      </c>
      <c r="E3467" t="str">
        <f>"1-70-16"</f>
        <v>1-70-16</v>
      </c>
      <c r="F3467" t="s">
        <v>65</v>
      </c>
      <c r="G3467" t="s">
        <v>66</v>
      </c>
      <c r="H3467" t="s">
        <v>67</v>
      </c>
      <c r="S3467">
        <v>0</v>
      </c>
      <c r="T3467">
        <v>1</v>
      </c>
      <c r="U3467">
        <v>0</v>
      </c>
      <c r="V3467">
        <v>0</v>
      </c>
      <c r="W3467">
        <v>1</v>
      </c>
      <c r="X3467">
        <v>0</v>
      </c>
      <c r="Y3467">
        <v>0</v>
      </c>
      <c r="Z3467">
        <v>1</v>
      </c>
      <c r="AA3467">
        <v>0</v>
      </c>
      <c r="AB3467">
        <v>0</v>
      </c>
      <c r="AC3467">
        <v>0</v>
      </c>
      <c r="AD3467">
        <v>1</v>
      </c>
      <c r="AE3467">
        <v>1</v>
      </c>
      <c r="AF3467">
        <v>1</v>
      </c>
      <c r="AG3467">
        <v>1</v>
      </c>
      <c r="AH3467">
        <v>1</v>
      </c>
      <c r="AI3467">
        <v>1</v>
      </c>
      <c r="AJ3467">
        <v>1</v>
      </c>
      <c r="AK3467">
        <v>1</v>
      </c>
      <c r="AL3467">
        <v>1</v>
      </c>
      <c r="AM3467">
        <v>1</v>
      </c>
    </row>
    <row r="3468" spans="1:39" x14ac:dyDescent="0.2">
      <c r="A3468" t="str">
        <f>"3464"</f>
        <v>3464</v>
      </c>
      <c r="B3468" t="str">
        <f t="shared" si="192"/>
        <v>1</v>
      </c>
      <c r="C3468" t="str">
        <f t="shared" si="193"/>
        <v>70</v>
      </c>
      <c r="D3468" t="str">
        <f>"50"</f>
        <v>50</v>
      </c>
      <c r="E3468" t="str">
        <f>"1-70-50"</f>
        <v>1-70-50</v>
      </c>
      <c r="F3468" t="s">
        <v>65</v>
      </c>
      <c r="G3468" t="s">
        <v>66</v>
      </c>
      <c r="H3468" t="s">
        <v>67</v>
      </c>
      <c r="S3468">
        <v>0</v>
      </c>
      <c r="T3468">
        <v>1</v>
      </c>
      <c r="U3468">
        <v>0</v>
      </c>
      <c r="V3468">
        <v>0</v>
      </c>
      <c r="W3468">
        <v>0</v>
      </c>
      <c r="X3468">
        <v>1</v>
      </c>
      <c r="Y3468">
        <v>0</v>
      </c>
      <c r="Z3468">
        <v>1</v>
      </c>
      <c r="AA3468">
        <v>0</v>
      </c>
      <c r="AB3468">
        <v>1</v>
      </c>
      <c r="AC3468">
        <v>0</v>
      </c>
      <c r="AD3468">
        <v>1</v>
      </c>
      <c r="AE3468">
        <v>1</v>
      </c>
      <c r="AF3468">
        <v>1</v>
      </c>
      <c r="AG3468">
        <v>1</v>
      </c>
      <c r="AH3468">
        <v>1</v>
      </c>
      <c r="AI3468">
        <v>1</v>
      </c>
      <c r="AJ3468">
        <v>1</v>
      </c>
      <c r="AK3468">
        <v>1</v>
      </c>
      <c r="AL3468">
        <v>1</v>
      </c>
      <c r="AM3468">
        <v>1</v>
      </c>
    </row>
    <row r="3469" spans="1:39" x14ac:dyDescent="0.2">
      <c r="A3469" t="str">
        <f>"3465"</f>
        <v>3465</v>
      </c>
      <c r="B3469" t="str">
        <f t="shared" si="192"/>
        <v>1</v>
      </c>
      <c r="C3469" t="str">
        <f t="shared" si="193"/>
        <v>70</v>
      </c>
      <c r="D3469" t="str">
        <f>"35"</f>
        <v>35</v>
      </c>
      <c r="E3469" t="str">
        <f>"1-70-35"</f>
        <v>1-70-35</v>
      </c>
      <c r="F3469" t="s">
        <v>65</v>
      </c>
      <c r="G3469" t="s">
        <v>66</v>
      </c>
      <c r="H3469" t="s">
        <v>67</v>
      </c>
      <c r="S3469">
        <v>1</v>
      </c>
      <c r="T3469">
        <v>0</v>
      </c>
      <c r="U3469">
        <v>0</v>
      </c>
      <c r="V3469">
        <v>0</v>
      </c>
      <c r="W3469">
        <v>1</v>
      </c>
      <c r="X3469">
        <v>0</v>
      </c>
      <c r="Y3469">
        <v>0</v>
      </c>
      <c r="Z3469">
        <v>1</v>
      </c>
      <c r="AA3469">
        <v>0</v>
      </c>
      <c r="AB3469">
        <v>1</v>
      </c>
      <c r="AC3469">
        <v>0</v>
      </c>
      <c r="AD3469">
        <v>1</v>
      </c>
      <c r="AE3469">
        <v>1</v>
      </c>
      <c r="AF3469">
        <v>1</v>
      </c>
      <c r="AG3469">
        <v>1</v>
      </c>
      <c r="AH3469">
        <v>1</v>
      </c>
      <c r="AI3469">
        <v>1</v>
      </c>
      <c r="AJ3469">
        <v>1</v>
      </c>
      <c r="AK3469">
        <v>1</v>
      </c>
      <c r="AL3469">
        <v>1</v>
      </c>
      <c r="AM3469">
        <v>1</v>
      </c>
    </row>
    <row r="3470" spans="1:39" x14ac:dyDescent="0.2">
      <c r="A3470" t="str">
        <f>"3466"</f>
        <v>3466</v>
      </c>
      <c r="B3470" t="str">
        <f t="shared" si="192"/>
        <v>1</v>
      </c>
      <c r="C3470" t="str">
        <f t="shared" si="193"/>
        <v>70</v>
      </c>
      <c r="D3470" t="str">
        <f>"19"</f>
        <v>19</v>
      </c>
      <c r="E3470" t="str">
        <f>"1-70-19"</f>
        <v>1-70-19</v>
      </c>
      <c r="F3470" t="s">
        <v>65</v>
      </c>
      <c r="G3470" t="s">
        <v>66</v>
      </c>
      <c r="H3470" t="s">
        <v>67</v>
      </c>
      <c r="S3470">
        <v>0</v>
      </c>
      <c r="T3470">
        <v>1</v>
      </c>
      <c r="U3470">
        <v>0</v>
      </c>
      <c r="V3470">
        <v>0</v>
      </c>
      <c r="W3470">
        <v>0</v>
      </c>
      <c r="X3470">
        <v>1</v>
      </c>
      <c r="Y3470">
        <v>0</v>
      </c>
      <c r="Z3470">
        <v>1</v>
      </c>
      <c r="AA3470">
        <v>0</v>
      </c>
      <c r="AB3470">
        <v>1</v>
      </c>
      <c r="AC3470">
        <v>0</v>
      </c>
      <c r="AD3470">
        <v>1</v>
      </c>
      <c r="AE3470">
        <v>1</v>
      </c>
      <c r="AF3470">
        <v>1</v>
      </c>
      <c r="AG3470">
        <v>1</v>
      </c>
      <c r="AH3470">
        <v>1</v>
      </c>
      <c r="AI3470">
        <v>1</v>
      </c>
      <c r="AJ3470">
        <v>1</v>
      </c>
      <c r="AK3470">
        <v>1</v>
      </c>
      <c r="AL3470">
        <v>1</v>
      </c>
      <c r="AM3470">
        <v>1</v>
      </c>
    </row>
    <row r="3471" spans="1:39" x14ac:dyDescent="0.2">
      <c r="A3471" t="str">
        <f>"3467"</f>
        <v>3467</v>
      </c>
      <c r="B3471" t="str">
        <f t="shared" si="192"/>
        <v>1</v>
      </c>
      <c r="C3471" t="str">
        <f t="shared" si="193"/>
        <v>70</v>
      </c>
      <c r="D3471" t="str">
        <f>"4"</f>
        <v>4</v>
      </c>
      <c r="E3471" t="str">
        <f>"1-70-4"</f>
        <v>1-70-4</v>
      </c>
      <c r="F3471" t="s">
        <v>65</v>
      </c>
      <c r="G3471" t="s">
        <v>66</v>
      </c>
      <c r="H3471" t="s">
        <v>67</v>
      </c>
      <c r="S3471">
        <v>0</v>
      </c>
      <c r="T3471">
        <v>0</v>
      </c>
      <c r="U3471">
        <v>0</v>
      </c>
      <c r="V3471">
        <v>0</v>
      </c>
      <c r="W3471">
        <v>1</v>
      </c>
      <c r="X3471">
        <v>0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</row>
    <row r="3472" spans="1:39" x14ac:dyDescent="0.2">
      <c r="A3472" t="str">
        <f>"3468"</f>
        <v>3468</v>
      </c>
      <c r="B3472" t="str">
        <f t="shared" si="192"/>
        <v>1</v>
      </c>
      <c r="C3472" t="str">
        <f t="shared" si="193"/>
        <v>70</v>
      </c>
      <c r="D3472" t="str">
        <f>"36"</f>
        <v>36</v>
      </c>
      <c r="E3472" t="str">
        <f>"1-70-36"</f>
        <v>1-70-36</v>
      </c>
      <c r="F3472" t="s">
        <v>65</v>
      </c>
      <c r="G3472" t="s">
        <v>66</v>
      </c>
      <c r="H3472" t="s">
        <v>67</v>
      </c>
      <c r="S3472">
        <v>0</v>
      </c>
      <c r="T3472">
        <v>1</v>
      </c>
      <c r="U3472">
        <v>0</v>
      </c>
      <c r="V3472">
        <v>0</v>
      </c>
      <c r="W3472">
        <v>1</v>
      </c>
      <c r="X3472">
        <v>0</v>
      </c>
      <c r="Y3472">
        <v>0</v>
      </c>
      <c r="Z3472">
        <v>1</v>
      </c>
      <c r="AA3472">
        <v>0</v>
      </c>
      <c r="AB3472">
        <v>0</v>
      </c>
      <c r="AC3472">
        <v>1</v>
      </c>
      <c r="AD3472">
        <v>1</v>
      </c>
      <c r="AE3472">
        <v>1</v>
      </c>
      <c r="AF3472">
        <v>1</v>
      </c>
      <c r="AG3472">
        <v>1</v>
      </c>
      <c r="AH3472">
        <v>1</v>
      </c>
      <c r="AI3472">
        <v>0</v>
      </c>
      <c r="AJ3472">
        <v>0</v>
      </c>
      <c r="AK3472">
        <v>0</v>
      </c>
      <c r="AL3472">
        <v>0</v>
      </c>
      <c r="AM3472">
        <v>1</v>
      </c>
    </row>
    <row r="3473" spans="1:39" x14ac:dyDescent="0.2">
      <c r="A3473" t="str">
        <f>"3469"</f>
        <v>3469</v>
      </c>
      <c r="B3473" t="str">
        <f t="shared" si="192"/>
        <v>1</v>
      </c>
      <c r="C3473" t="str">
        <f t="shared" si="193"/>
        <v>70</v>
      </c>
      <c r="D3473" t="str">
        <f>"20"</f>
        <v>20</v>
      </c>
      <c r="E3473" t="str">
        <f>"1-70-20"</f>
        <v>1-70-20</v>
      </c>
      <c r="F3473" t="s">
        <v>65</v>
      </c>
      <c r="G3473" t="s">
        <v>66</v>
      </c>
      <c r="H3473" t="s">
        <v>67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</row>
    <row r="3474" spans="1:39" x14ac:dyDescent="0.2">
      <c r="A3474" t="str">
        <f>"3470"</f>
        <v>3470</v>
      </c>
      <c r="B3474" t="str">
        <f t="shared" si="192"/>
        <v>1</v>
      </c>
      <c r="C3474" t="str">
        <f t="shared" si="193"/>
        <v>70</v>
      </c>
      <c r="D3474" t="str">
        <f>"11"</f>
        <v>11</v>
      </c>
      <c r="E3474" t="str">
        <f>"1-70-11"</f>
        <v>1-70-11</v>
      </c>
      <c r="F3474" t="s">
        <v>65</v>
      </c>
      <c r="G3474" t="s">
        <v>66</v>
      </c>
      <c r="H3474" t="s">
        <v>67</v>
      </c>
      <c r="S3474">
        <v>1</v>
      </c>
      <c r="T3474">
        <v>0</v>
      </c>
      <c r="U3474">
        <v>0</v>
      </c>
      <c r="V3474">
        <v>0</v>
      </c>
      <c r="W3474">
        <v>0</v>
      </c>
      <c r="X3474">
        <v>1</v>
      </c>
      <c r="Y3474">
        <v>1</v>
      </c>
      <c r="Z3474">
        <v>0</v>
      </c>
      <c r="AA3474">
        <v>0</v>
      </c>
      <c r="AB3474">
        <v>0</v>
      </c>
      <c r="AC3474">
        <v>1</v>
      </c>
      <c r="AD3474">
        <v>1</v>
      </c>
      <c r="AE3474">
        <v>1</v>
      </c>
      <c r="AF3474">
        <v>1</v>
      </c>
      <c r="AG3474">
        <v>1</v>
      </c>
      <c r="AH3474">
        <v>1</v>
      </c>
      <c r="AI3474">
        <v>1</v>
      </c>
      <c r="AJ3474">
        <v>1</v>
      </c>
      <c r="AK3474">
        <v>1</v>
      </c>
      <c r="AL3474">
        <v>1</v>
      </c>
      <c r="AM3474">
        <v>1</v>
      </c>
    </row>
    <row r="3475" spans="1:39" x14ac:dyDescent="0.2">
      <c r="A3475" t="str">
        <f>"3471"</f>
        <v>3471</v>
      </c>
      <c r="B3475" t="str">
        <f t="shared" si="192"/>
        <v>1</v>
      </c>
      <c r="C3475" t="str">
        <f t="shared" si="193"/>
        <v>70</v>
      </c>
      <c r="D3475" t="str">
        <f>"39"</f>
        <v>39</v>
      </c>
      <c r="E3475" t="str">
        <f>"1-70-39"</f>
        <v>1-70-39</v>
      </c>
      <c r="F3475" t="s">
        <v>65</v>
      </c>
      <c r="G3475" t="s">
        <v>66</v>
      </c>
      <c r="H3475" t="s">
        <v>67</v>
      </c>
      <c r="S3475">
        <v>0</v>
      </c>
      <c r="T3475">
        <v>0</v>
      </c>
      <c r="U3475">
        <v>0</v>
      </c>
      <c r="V3475">
        <v>0</v>
      </c>
      <c r="W3475">
        <v>1</v>
      </c>
      <c r="X3475">
        <v>0</v>
      </c>
      <c r="Y3475">
        <v>1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</row>
    <row r="3476" spans="1:39" x14ac:dyDescent="0.2">
      <c r="A3476" t="str">
        <f>"3472"</f>
        <v>3472</v>
      </c>
      <c r="B3476" t="str">
        <f t="shared" si="192"/>
        <v>1</v>
      </c>
      <c r="C3476" t="str">
        <f t="shared" si="193"/>
        <v>70</v>
      </c>
      <c r="D3476" t="str">
        <f>"21"</f>
        <v>21</v>
      </c>
      <c r="E3476" t="str">
        <f>"1-70-21"</f>
        <v>1-70-21</v>
      </c>
      <c r="F3476" t="s">
        <v>65</v>
      </c>
      <c r="G3476" t="s">
        <v>66</v>
      </c>
      <c r="H3476" t="s">
        <v>67</v>
      </c>
      <c r="S3476">
        <v>0</v>
      </c>
      <c r="T3476">
        <v>1</v>
      </c>
      <c r="U3476">
        <v>0</v>
      </c>
      <c r="V3476">
        <v>0</v>
      </c>
      <c r="W3476">
        <v>0</v>
      </c>
      <c r="X3476">
        <v>1</v>
      </c>
      <c r="Y3476">
        <v>0</v>
      </c>
      <c r="Z3476">
        <v>1</v>
      </c>
      <c r="AA3476">
        <v>0</v>
      </c>
      <c r="AB3476">
        <v>1</v>
      </c>
      <c r="AC3476">
        <v>0</v>
      </c>
      <c r="AD3476">
        <v>1</v>
      </c>
      <c r="AE3476">
        <v>1</v>
      </c>
      <c r="AF3476">
        <v>1</v>
      </c>
      <c r="AG3476">
        <v>1</v>
      </c>
      <c r="AH3476">
        <v>1</v>
      </c>
      <c r="AI3476">
        <v>1</v>
      </c>
      <c r="AJ3476">
        <v>1</v>
      </c>
      <c r="AK3476">
        <v>1</v>
      </c>
      <c r="AL3476">
        <v>1</v>
      </c>
      <c r="AM3476">
        <v>1</v>
      </c>
    </row>
    <row r="3477" spans="1:39" x14ac:dyDescent="0.2">
      <c r="A3477" t="str">
        <f>"3473"</f>
        <v>3473</v>
      </c>
      <c r="B3477" t="str">
        <f t="shared" si="192"/>
        <v>1</v>
      </c>
      <c r="C3477" t="str">
        <f t="shared" si="193"/>
        <v>70</v>
      </c>
      <c r="D3477" t="str">
        <f>"7"</f>
        <v>7</v>
      </c>
      <c r="E3477" t="str">
        <f>"1-70-7"</f>
        <v>1-70-7</v>
      </c>
      <c r="F3477" t="s">
        <v>65</v>
      </c>
      <c r="G3477" t="s">
        <v>66</v>
      </c>
      <c r="H3477" t="s">
        <v>67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1</v>
      </c>
      <c r="AJ3477">
        <v>1</v>
      </c>
      <c r="AK3477">
        <v>1</v>
      </c>
      <c r="AL3477">
        <v>0</v>
      </c>
      <c r="AM3477">
        <v>0</v>
      </c>
    </row>
    <row r="3478" spans="1:39" x14ac:dyDescent="0.2">
      <c r="A3478" t="str">
        <f>"3474"</f>
        <v>3474</v>
      </c>
      <c r="B3478" t="str">
        <f t="shared" si="192"/>
        <v>1</v>
      </c>
      <c r="C3478" t="str">
        <f t="shared" si="193"/>
        <v>70</v>
      </c>
      <c r="D3478" t="str">
        <f>"40"</f>
        <v>40</v>
      </c>
      <c r="E3478" t="str">
        <f>"1-70-40"</f>
        <v>1-70-40</v>
      </c>
      <c r="F3478" t="s">
        <v>65</v>
      </c>
      <c r="G3478" t="s">
        <v>66</v>
      </c>
      <c r="H3478" t="s">
        <v>67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</row>
    <row r="3479" spans="1:39" x14ac:dyDescent="0.2">
      <c r="A3479" t="str">
        <f>"3475"</f>
        <v>3475</v>
      </c>
      <c r="B3479" t="str">
        <f t="shared" si="192"/>
        <v>1</v>
      </c>
      <c r="C3479" t="str">
        <f t="shared" si="193"/>
        <v>70</v>
      </c>
      <c r="D3479" t="str">
        <f>"22"</f>
        <v>22</v>
      </c>
      <c r="E3479" t="str">
        <f>"1-70-22"</f>
        <v>1-70-22</v>
      </c>
      <c r="F3479" t="s">
        <v>65</v>
      </c>
      <c r="G3479" t="s">
        <v>66</v>
      </c>
      <c r="H3479" t="s">
        <v>67</v>
      </c>
      <c r="S3479">
        <v>1</v>
      </c>
      <c r="T3479">
        <v>0</v>
      </c>
      <c r="U3479">
        <v>0</v>
      </c>
      <c r="V3479">
        <v>0</v>
      </c>
      <c r="W3479">
        <v>1</v>
      </c>
      <c r="X3479">
        <v>0</v>
      </c>
      <c r="Y3479">
        <v>1</v>
      </c>
      <c r="Z3479">
        <v>0</v>
      </c>
      <c r="AA3479">
        <v>0</v>
      </c>
      <c r="AB3479">
        <v>1</v>
      </c>
      <c r="AC3479">
        <v>0</v>
      </c>
      <c r="AD3479">
        <v>1</v>
      </c>
      <c r="AE3479">
        <v>1</v>
      </c>
      <c r="AF3479">
        <v>1</v>
      </c>
      <c r="AG3479">
        <v>1</v>
      </c>
      <c r="AH3479">
        <v>1</v>
      </c>
      <c r="AI3479">
        <v>1</v>
      </c>
      <c r="AJ3479">
        <v>1</v>
      </c>
      <c r="AK3479">
        <v>1</v>
      </c>
      <c r="AL3479">
        <v>1</v>
      </c>
      <c r="AM3479">
        <v>1</v>
      </c>
    </row>
    <row r="3480" spans="1:39" x14ac:dyDescent="0.2">
      <c r="A3480" t="str">
        <f>"3476"</f>
        <v>3476</v>
      </c>
      <c r="B3480" t="str">
        <f t="shared" si="192"/>
        <v>1</v>
      </c>
      <c r="C3480" t="str">
        <f t="shared" si="193"/>
        <v>70</v>
      </c>
      <c r="D3480" t="str">
        <f>"13"</f>
        <v>13</v>
      </c>
      <c r="E3480" t="str">
        <f>"1-70-13"</f>
        <v>1-70-13</v>
      </c>
      <c r="F3480" t="s">
        <v>65</v>
      </c>
      <c r="G3480" t="s">
        <v>66</v>
      </c>
      <c r="H3480" t="s">
        <v>67</v>
      </c>
      <c r="S3480">
        <v>1</v>
      </c>
      <c r="T3480">
        <v>0</v>
      </c>
      <c r="U3480">
        <v>0</v>
      </c>
      <c r="V3480">
        <v>0</v>
      </c>
      <c r="W3480">
        <v>0</v>
      </c>
      <c r="X3480">
        <v>1</v>
      </c>
      <c r="Y3480">
        <v>0</v>
      </c>
      <c r="Z3480">
        <v>1</v>
      </c>
      <c r="AA3480">
        <v>0</v>
      </c>
      <c r="AB3480">
        <v>0</v>
      </c>
      <c r="AC3480">
        <v>1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</row>
    <row r="3481" spans="1:39" x14ac:dyDescent="0.2">
      <c r="A3481" t="str">
        <f>"3477"</f>
        <v>3477</v>
      </c>
      <c r="B3481" t="str">
        <f t="shared" si="192"/>
        <v>1</v>
      </c>
      <c r="C3481" t="str">
        <f t="shared" si="193"/>
        <v>70</v>
      </c>
      <c r="D3481" t="str">
        <f>"45"</f>
        <v>45</v>
      </c>
      <c r="E3481" t="str">
        <f>"1-70-45"</f>
        <v>1-70-45</v>
      </c>
      <c r="F3481" t="s">
        <v>65</v>
      </c>
      <c r="G3481" t="s">
        <v>66</v>
      </c>
      <c r="H3481" t="s">
        <v>67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0</v>
      </c>
      <c r="AB3481">
        <v>0</v>
      </c>
      <c r="AC3481">
        <v>1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</row>
    <row r="3482" spans="1:39" x14ac:dyDescent="0.2">
      <c r="A3482" t="str">
        <f>"3478"</f>
        <v>3478</v>
      </c>
      <c r="B3482" t="str">
        <f t="shared" si="192"/>
        <v>1</v>
      </c>
      <c r="C3482" t="str">
        <f t="shared" si="193"/>
        <v>70</v>
      </c>
      <c r="D3482" t="str">
        <f>"23"</f>
        <v>23</v>
      </c>
      <c r="E3482" t="str">
        <f>"1-70-23"</f>
        <v>1-70-23</v>
      </c>
      <c r="F3482" t="s">
        <v>65</v>
      </c>
      <c r="G3482" t="s">
        <v>66</v>
      </c>
      <c r="H3482" t="s">
        <v>67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1</v>
      </c>
      <c r="Y3482">
        <v>0</v>
      </c>
      <c r="Z3482">
        <v>1</v>
      </c>
      <c r="AA3482">
        <v>1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</row>
    <row r="3483" spans="1:39" x14ac:dyDescent="0.2">
      <c r="A3483" t="str">
        <f>"3479"</f>
        <v>3479</v>
      </c>
      <c r="B3483" t="str">
        <f t="shared" si="192"/>
        <v>1</v>
      </c>
      <c r="C3483" t="str">
        <f t="shared" si="193"/>
        <v>70</v>
      </c>
      <c r="D3483" t="str">
        <f>"10"</f>
        <v>10</v>
      </c>
      <c r="E3483" t="str">
        <f>"1-70-10"</f>
        <v>1-70-10</v>
      </c>
      <c r="F3483" t="s">
        <v>65</v>
      </c>
      <c r="G3483" t="s">
        <v>66</v>
      </c>
      <c r="H3483" t="s">
        <v>67</v>
      </c>
      <c r="S3483">
        <v>1</v>
      </c>
      <c r="T3483">
        <v>0</v>
      </c>
      <c r="U3483">
        <v>0</v>
      </c>
      <c r="V3483">
        <v>0</v>
      </c>
      <c r="W3483">
        <v>1</v>
      </c>
      <c r="X3483">
        <v>0</v>
      </c>
      <c r="Y3483">
        <v>0</v>
      </c>
      <c r="Z3483">
        <v>1</v>
      </c>
      <c r="AA3483">
        <v>1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1</v>
      </c>
      <c r="AJ3483">
        <v>1</v>
      </c>
      <c r="AK3483">
        <v>1</v>
      </c>
      <c r="AL3483">
        <v>1</v>
      </c>
      <c r="AM3483">
        <v>1</v>
      </c>
    </row>
    <row r="3484" spans="1:39" x14ac:dyDescent="0.2">
      <c r="A3484" t="str">
        <f>"3480"</f>
        <v>3480</v>
      </c>
      <c r="B3484" t="str">
        <f t="shared" si="192"/>
        <v>1</v>
      </c>
      <c r="C3484" t="str">
        <f t="shared" si="193"/>
        <v>70</v>
      </c>
      <c r="D3484" t="str">
        <f>"43"</f>
        <v>43</v>
      </c>
      <c r="E3484" t="str">
        <f>"1-70-43"</f>
        <v>1-70-43</v>
      </c>
      <c r="F3484" t="s">
        <v>65</v>
      </c>
      <c r="G3484" t="s">
        <v>66</v>
      </c>
      <c r="H3484" t="s">
        <v>67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</row>
    <row r="3485" spans="1:39" x14ac:dyDescent="0.2">
      <c r="A3485" t="str">
        <f>"3481"</f>
        <v>3481</v>
      </c>
      <c r="B3485" t="str">
        <f t="shared" si="192"/>
        <v>1</v>
      </c>
      <c r="C3485" t="str">
        <f t="shared" si="193"/>
        <v>70</v>
      </c>
      <c r="D3485" t="str">
        <f>"24"</f>
        <v>24</v>
      </c>
      <c r="E3485" t="str">
        <f>"1-70-24"</f>
        <v>1-70-24</v>
      </c>
      <c r="F3485" t="s">
        <v>65</v>
      </c>
      <c r="G3485" t="s">
        <v>66</v>
      </c>
      <c r="H3485" t="s">
        <v>67</v>
      </c>
      <c r="S3485">
        <v>0</v>
      </c>
      <c r="T3485">
        <v>1</v>
      </c>
      <c r="U3485">
        <v>0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0</v>
      </c>
      <c r="AB3485">
        <v>1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1</v>
      </c>
      <c r="AJ3485">
        <v>1</v>
      </c>
      <c r="AK3485">
        <v>1</v>
      </c>
      <c r="AL3485">
        <v>1</v>
      </c>
      <c r="AM3485">
        <v>0</v>
      </c>
    </row>
    <row r="3486" spans="1:39" x14ac:dyDescent="0.2">
      <c r="A3486" t="str">
        <f>"3482"</f>
        <v>3482</v>
      </c>
      <c r="B3486" t="str">
        <f t="shared" si="192"/>
        <v>1</v>
      </c>
      <c r="C3486" t="str">
        <f t="shared" si="193"/>
        <v>70</v>
      </c>
      <c r="D3486" t="str">
        <f>"6"</f>
        <v>6</v>
      </c>
      <c r="E3486" t="str">
        <f>"1-70-6"</f>
        <v>1-70-6</v>
      </c>
      <c r="F3486" t="s">
        <v>65</v>
      </c>
      <c r="G3486" t="s">
        <v>66</v>
      </c>
      <c r="H3486" t="s">
        <v>67</v>
      </c>
      <c r="S3486">
        <v>1</v>
      </c>
      <c r="T3486">
        <v>0</v>
      </c>
      <c r="U3486">
        <v>0</v>
      </c>
      <c r="V3486">
        <v>0</v>
      </c>
      <c r="W3486">
        <v>1</v>
      </c>
      <c r="X3486">
        <v>0</v>
      </c>
      <c r="Y3486">
        <v>1</v>
      </c>
      <c r="Z3486">
        <v>0</v>
      </c>
      <c r="AA3486">
        <v>0</v>
      </c>
      <c r="AB3486">
        <v>0</v>
      </c>
      <c r="AC3486">
        <v>1</v>
      </c>
      <c r="AD3486">
        <v>1</v>
      </c>
      <c r="AE3486">
        <v>1</v>
      </c>
      <c r="AF3486">
        <v>1</v>
      </c>
      <c r="AG3486">
        <v>1</v>
      </c>
      <c r="AH3486">
        <v>1</v>
      </c>
      <c r="AI3486">
        <v>1</v>
      </c>
      <c r="AJ3486">
        <v>1</v>
      </c>
      <c r="AK3486">
        <v>1</v>
      </c>
      <c r="AL3486">
        <v>1</v>
      </c>
      <c r="AM3486">
        <v>1</v>
      </c>
    </row>
    <row r="3487" spans="1:39" x14ac:dyDescent="0.2">
      <c r="A3487" t="str">
        <f>"3483"</f>
        <v>3483</v>
      </c>
      <c r="B3487" t="str">
        <f t="shared" si="192"/>
        <v>1</v>
      </c>
      <c r="C3487" t="str">
        <f t="shared" ref="C3487:C3504" si="194">"70"</f>
        <v>70</v>
      </c>
      <c r="D3487" t="str">
        <f>"44"</f>
        <v>44</v>
      </c>
      <c r="E3487" t="str">
        <f>"1-70-44"</f>
        <v>1-70-44</v>
      </c>
      <c r="F3487" t="s">
        <v>65</v>
      </c>
      <c r="G3487" t="s">
        <v>66</v>
      </c>
      <c r="H3487" t="s">
        <v>67</v>
      </c>
      <c r="S3487">
        <v>0</v>
      </c>
      <c r="T3487">
        <v>1</v>
      </c>
      <c r="U3487">
        <v>0</v>
      </c>
      <c r="V3487">
        <v>0</v>
      </c>
      <c r="W3487">
        <v>1</v>
      </c>
      <c r="X3487">
        <v>0</v>
      </c>
      <c r="Y3487">
        <v>1</v>
      </c>
      <c r="Z3487">
        <v>0</v>
      </c>
      <c r="AA3487">
        <v>0</v>
      </c>
      <c r="AB3487">
        <v>0</v>
      </c>
      <c r="AC3487">
        <v>0</v>
      </c>
      <c r="AD3487">
        <v>1</v>
      </c>
      <c r="AE3487">
        <v>1</v>
      </c>
      <c r="AF3487">
        <v>1</v>
      </c>
      <c r="AG3487">
        <v>1</v>
      </c>
      <c r="AH3487">
        <v>1</v>
      </c>
      <c r="AI3487">
        <v>1</v>
      </c>
      <c r="AJ3487">
        <v>1</v>
      </c>
      <c r="AK3487">
        <v>1</v>
      </c>
      <c r="AL3487">
        <v>1</v>
      </c>
      <c r="AM3487">
        <v>1</v>
      </c>
    </row>
    <row r="3488" spans="1:39" x14ac:dyDescent="0.2">
      <c r="A3488" t="str">
        <f>"3484"</f>
        <v>3484</v>
      </c>
      <c r="B3488" t="str">
        <f t="shared" si="192"/>
        <v>1</v>
      </c>
      <c r="C3488" t="str">
        <f t="shared" si="194"/>
        <v>70</v>
      </c>
      <c r="D3488" t="str">
        <f>"25"</f>
        <v>25</v>
      </c>
      <c r="E3488" t="str">
        <f>"1-70-25"</f>
        <v>1-70-25</v>
      </c>
      <c r="F3488" t="s">
        <v>65</v>
      </c>
      <c r="G3488" t="s">
        <v>66</v>
      </c>
      <c r="H3488" t="s">
        <v>67</v>
      </c>
      <c r="S3488">
        <v>0</v>
      </c>
      <c r="T3488">
        <v>1</v>
      </c>
      <c r="U3488">
        <v>0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0</v>
      </c>
      <c r="AB3488">
        <v>0</v>
      </c>
      <c r="AC3488">
        <v>1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1</v>
      </c>
      <c r="AJ3488">
        <v>0</v>
      </c>
      <c r="AK3488">
        <v>1</v>
      </c>
      <c r="AL3488">
        <v>0</v>
      </c>
      <c r="AM3488">
        <v>0</v>
      </c>
    </row>
    <row r="3489" spans="1:39" x14ac:dyDescent="0.2">
      <c r="A3489" t="str">
        <f>"3485"</f>
        <v>3485</v>
      </c>
      <c r="B3489" t="str">
        <f t="shared" si="192"/>
        <v>1</v>
      </c>
      <c r="C3489" t="str">
        <f t="shared" si="194"/>
        <v>70</v>
      </c>
      <c r="D3489" t="str">
        <f>"14"</f>
        <v>14</v>
      </c>
      <c r="E3489" t="str">
        <f>"1-70-14"</f>
        <v>1-70-14</v>
      </c>
      <c r="F3489" t="s">
        <v>65</v>
      </c>
      <c r="G3489" t="s">
        <v>66</v>
      </c>
      <c r="H3489" t="s">
        <v>67</v>
      </c>
      <c r="S3489">
        <v>1</v>
      </c>
      <c r="T3489">
        <v>0</v>
      </c>
      <c r="U3489">
        <v>0</v>
      </c>
      <c r="V3489">
        <v>0</v>
      </c>
      <c r="W3489">
        <v>1</v>
      </c>
      <c r="X3489">
        <v>0</v>
      </c>
      <c r="Y3489">
        <v>1</v>
      </c>
      <c r="Z3489">
        <v>0</v>
      </c>
      <c r="AA3489">
        <v>0</v>
      </c>
      <c r="AB3489">
        <v>0</v>
      </c>
      <c r="AC3489">
        <v>1</v>
      </c>
      <c r="AD3489">
        <v>1</v>
      </c>
      <c r="AE3489">
        <v>1</v>
      </c>
      <c r="AF3489">
        <v>1</v>
      </c>
      <c r="AG3489">
        <v>1</v>
      </c>
      <c r="AH3489">
        <v>1</v>
      </c>
      <c r="AI3489">
        <v>1</v>
      </c>
      <c r="AJ3489">
        <v>1</v>
      </c>
      <c r="AK3489">
        <v>1</v>
      </c>
      <c r="AL3489">
        <v>1</v>
      </c>
      <c r="AM3489">
        <v>1</v>
      </c>
    </row>
    <row r="3490" spans="1:39" x14ac:dyDescent="0.2">
      <c r="A3490" t="str">
        <f>"3486"</f>
        <v>3486</v>
      </c>
      <c r="B3490" t="str">
        <f t="shared" si="192"/>
        <v>1</v>
      </c>
      <c r="C3490" t="str">
        <f t="shared" si="194"/>
        <v>70</v>
      </c>
      <c r="D3490" t="str">
        <f>"46"</f>
        <v>46</v>
      </c>
      <c r="E3490" t="str">
        <f>"1-70-46"</f>
        <v>1-70-46</v>
      </c>
      <c r="F3490" t="s">
        <v>65</v>
      </c>
      <c r="G3490" t="s">
        <v>66</v>
      </c>
      <c r="H3490" t="s">
        <v>67</v>
      </c>
      <c r="S3490">
        <v>1</v>
      </c>
      <c r="T3490">
        <v>0</v>
      </c>
      <c r="U3490">
        <v>0</v>
      </c>
      <c r="V3490">
        <v>0</v>
      </c>
      <c r="W3490">
        <v>1</v>
      </c>
      <c r="X3490">
        <v>0</v>
      </c>
      <c r="Y3490">
        <v>0</v>
      </c>
      <c r="Z3490">
        <v>1</v>
      </c>
      <c r="AA3490">
        <v>0</v>
      </c>
      <c r="AB3490">
        <v>0</v>
      </c>
      <c r="AC3490">
        <v>1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</row>
    <row r="3491" spans="1:39" x14ac:dyDescent="0.2">
      <c r="A3491" t="str">
        <f>"3487"</f>
        <v>3487</v>
      </c>
      <c r="B3491" t="str">
        <f t="shared" si="192"/>
        <v>1</v>
      </c>
      <c r="C3491" t="str">
        <f t="shared" si="194"/>
        <v>70</v>
      </c>
      <c r="D3491" t="str">
        <f>"28"</f>
        <v>28</v>
      </c>
      <c r="E3491" t="str">
        <f>"1-70-28"</f>
        <v>1-70-28</v>
      </c>
      <c r="F3491" t="s">
        <v>65</v>
      </c>
      <c r="G3491" t="s">
        <v>66</v>
      </c>
      <c r="H3491" t="s">
        <v>67</v>
      </c>
      <c r="S3491">
        <v>0</v>
      </c>
      <c r="T3491">
        <v>1</v>
      </c>
      <c r="U3491">
        <v>0</v>
      </c>
      <c r="V3491">
        <v>0</v>
      </c>
      <c r="W3491">
        <v>0</v>
      </c>
      <c r="X3491">
        <v>1</v>
      </c>
      <c r="Y3491">
        <v>1</v>
      </c>
      <c r="Z3491">
        <v>0</v>
      </c>
      <c r="AA3491">
        <v>0</v>
      </c>
      <c r="AB3491">
        <v>1</v>
      </c>
      <c r="AC3491">
        <v>0</v>
      </c>
      <c r="AD3491">
        <v>1</v>
      </c>
      <c r="AE3491">
        <v>1</v>
      </c>
      <c r="AF3491">
        <v>1</v>
      </c>
      <c r="AG3491">
        <v>1</v>
      </c>
      <c r="AH3491">
        <v>1</v>
      </c>
      <c r="AI3491">
        <v>1</v>
      </c>
      <c r="AJ3491">
        <v>1</v>
      </c>
      <c r="AK3491">
        <v>1</v>
      </c>
      <c r="AL3491">
        <v>1</v>
      </c>
      <c r="AM3491">
        <v>1</v>
      </c>
    </row>
    <row r="3492" spans="1:39" x14ac:dyDescent="0.2">
      <c r="A3492" t="str">
        <f>"3488"</f>
        <v>3488</v>
      </c>
      <c r="B3492" t="str">
        <f t="shared" si="192"/>
        <v>1</v>
      </c>
      <c r="C3492" t="str">
        <f t="shared" si="194"/>
        <v>70</v>
      </c>
      <c r="D3492" t="str">
        <f>"3"</f>
        <v>3</v>
      </c>
      <c r="E3492" t="str">
        <f>"1-70-3"</f>
        <v>1-70-3</v>
      </c>
      <c r="F3492" t="s">
        <v>65</v>
      </c>
      <c r="G3492" t="s">
        <v>66</v>
      </c>
      <c r="H3492" t="s">
        <v>67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1</v>
      </c>
      <c r="Y3492">
        <v>0</v>
      </c>
      <c r="Z3492">
        <v>1</v>
      </c>
      <c r="AA3492">
        <v>0</v>
      </c>
      <c r="AB3492">
        <v>1</v>
      </c>
      <c r="AC3492">
        <v>0</v>
      </c>
      <c r="AD3492">
        <v>1</v>
      </c>
      <c r="AE3492">
        <v>1</v>
      </c>
      <c r="AF3492">
        <v>1</v>
      </c>
      <c r="AG3492">
        <v>1</v>
      </c>
      <c r="AH3492">
        <v>1</v>
      </c>
      <c r="AI3492">
        <v>1</v>
      </c>
      <c r="AJ3492">
        <v>1</v>
      </c>
      <c r="AK3492">
        <v>0</v>
      </c>
      <c r="AL3492">
        <v>0</v>
      </c>
      <c r="AM3492">
        <v>0</v>
      </c>
    </row>
    <row r="3493" spans="1:39" x14ac:dyDescent="0.2">
      <c r="A3493" t="str">
        <f>"3489"</f>
        <v>3489</v>
      </c>
      <c r="B3493" t="str">
        <f t="shared" si="192"/>
        <v>1</v>
      </c>
      <c r="C3493" t="str">
        <f t="shared" si="194"/>
        <v>70</v>
      </c>
      <c r="D3493" t="str">
        <f>"47"</f>
        <v>47</v>
      </c>
      <c r="E3493" t="str">
        <f>"1-70-47"</f>
        <v>1-70-47</v>
      </c>
      <c r="F3493" t="s">
        <v>65</v>
      </c>
      <c r="G3493" t="s">
        <v>66</v>
      </c>
      <c r="H3493" t="s">
        <v>67</v>
      </c>
      <c r="S3493">
        <v>1</v>
      </c>
      <c r="T3493">
        <v>0</v>
      </c>
      <c r="U3493">
        <v>0</v>
      </c>
      <c r="V3493">
        <v>0</v>
      </c>
      <c r="W3493">
        <v>1</v>
      </c>
      <c r="X3493">
        <v>0</v>
      </c>
      <c r="Y3493">
        <v>1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1</v>
      </c>
      <c r="AF3493">
        <v>1</v>
      </c>
      <c r="AG3493">
        <v>1</v>
      </c>
      <c r="AH3493">
        <v>1</v>
      </c>
      <c r="AI3493">
        <v>1</v>
      </c>
      <c r="AJ3493">
        <v>1</v>
      </c>
      <c r="AK3493">
        <v>1</v>
      </c>
      <c r="AL3493">
        <v>1</v>
      </c>
      <c r="AM3493">
        <v>1</v>
      </c>
    </row>
    <row r="3494" spans="1:39" x14ac:dyDescent="0.2">
      <c r="A3494" t="str">
        <f>"3490"</f>
        <v>3490</v>
      </c>
      <c r="B3494" t="str">
        <f t="shared" si="192"/>
        <v>1</v>
      </c>
      <c r="C3494" t="str">
        <f t="shared" si="194"/>
        <v>70</v>
      </c>
      <c r="D3494" t="str">
        <f>"31"</f>
        <v>31</v>
      </c>
      <c r="E3494" t="str">
        <f>"1-70-31"</f>
        <v>1-70-31</v>
      </c>
      <c r="F3494" t="s">
        <v>65</v>
      </c>
      <c r="G3494" t="s">
        <v>66</v>
      </c>
      <c r="H3494" t="s">
        <v>67</v>
      </c>
      <c r="S3494">
        <v>0</v>
      </c>
      <c r="T3494">
        <v>1</v>
      </c>
      <c r="U3494">
        <v>0</v>
      </c>
      <c r="V3494">
        <v>0</v>
      </c>
      <c r="W3494">
        <v>1</v>
      </c>
      <c r="X3494">
        <v>0</v>
      </c>
      <c r="Y3494">
        <v>1</v>
      </c>
      <c r="Z3494">
        <v>0</v>
      </c>
      <c r="AA3494">
        <v>0</v>
      </c>
      <c r="AB3494">
        <v>1</v>
      </c>
      <c r="AC3494">
        <v>0</v>
      </c>
      <c r="AD3494">
        <v>1</v>
      </c>
      <c r="AE3494">
        <v>1</v>
      </c>
      <c r="AF3494">
        <v>1</v>
      </c>
      <c r="AG3494">
        <v>1</v>
      </c>
      <c r="AH3494">
        <v>1</v>
      </c>
      <c r="AI3494">
        <v>1</v>
      </c>
      <c r="AJ3494">
        <v>1</v>
      </c>
      <c r="AK3494">
        <v>1</v>
      </c>
      <c r="AL3494">
        <v>1</v>
      </c>
      <c r="AM3494">
        <v>1</v>
      </c>
    </row>
    <row r="3495" spans="1:39" x14ac:dyDescent="0.2">
      <c r="A3495" t="str">
        <f>"3491"</f>
        <v>3491</v>
      </c>
      <c r="B3495" t="str">
        <f t="shared" si="192"/>
        <v>1</v>
      </c>
      <c r="C3495" t="str">
        <f t="shared" si="194"/>
        <v>70</v>
      </c>
      <c r="D3495" t="str">
        <f>"2"</f>
        <v>2</v>
      </c>
      <c r="E3495" t="str">
        <f>"1-70-2"</f>
        <v>1-70-2</v>
      </c>
      <c r="F3495" t="s">
        <v>65</v>
      </c>
      <c r="G3495" t="s">
        <v>66</v>
      </c>
      <c r="H3495" t="s">
        <v>67</v>
      </c>
      <c r="S3495">
        <v>1</v>
      </c>
      <c r="T3495">
        <v>0</v>
      </c>
      <c r="U3495">
        <v>0</v>
      </c>
      <c r="V3495">
        <v>0</v>
      </c>
      <c r="W3495">
        <v>1</v>
      </c>
      <c r="X3495">
        <v>0</v>
      </c>
      <c r="Y3495">
        <v>1</v>
      </c>
      <c r="Z3495">
        <v>0</v>
      </c>
      <c r="AA3495">
        <v>0</v>
      </c>
      <c r="AB3495">
        <v>0</v>
      </c>
      <c r="AC3495">
        <v>1</v>
      </c>
      <c r="AD3495">
        <v>1</v>
      </c>
      <c r="AE3495">
        <v>1</v>
      </c>
      <c r="AF3495">
        <v>1</v>
      </c>
      <c r="AG3495">
        <v>1</v>
      </c>
      <c r="AH3495">
        <v>1</v>
      </c>
      <c r="AI3495">
        <v>1</v>
      </c>
      <c r="AJ3495">
        <v>1</v>
      </c>
      <c r="AK3495">
        <v>1</v>
      </c>
      <c r="AL3495">
        <v>1</v>
      </c>
      <c r="AM3495">
        <v>1</v>
      </c>
    </row>
    <row r="3496" spans="1:39" x14ac:dyDescent="0.2">
      <c r="A3496" t="str">
        <f>"3492"</f>
        <v>3492</v>
      </c>
      <c r="B3496" t="str">
        <f t="shared" si="192"/>
        <v>1</v>
      </c>
      <c r="C3496" t="str">
        <f t="shared" si="194"/>
        <v>70</v>
      </c>
      <c r="D3496" t="str">
        <f>"48"</f>
        <v>48</v>
      </c>
      <c r="E3496" t="str">
        <f>"1-70-48"</f>
        <v>1-70-48</v>
      </c>
      <c r="F3496" t="s">
        <v>65</v>
      </c>
      <c r="G3496" t="s">
        <v>66</v>
      </c>
      <c r="H3496" t="s">
        <v>67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0</v>
      </c>
      <c r="AB3496">
        <v>0</v>
      </c>
      <c r="AC3496">
        <v>1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</row>
    <row r="3497" spans="1:39" x14ac:dyDescent="0.2">
      <c r="A3497" t="str">
        <f>"3493"</f>
        <v>3493</v>
      </c>
      <c r="B3497" t="str">
        <f t="shared" si="192"/>
        <v>1</v>
      </c>
      <c r="C3497" t="str">
        <f t="shared" si="194"/>
        <v>70</v>
      </c>
      <c r="D3497" t="str">
        <f>"32"</f>
        <v>32</v>
      </c>
      <c r="E3497" t="str">
        <f>"1-70-32"</f>
        <v>1-70-32</v>
      </c>
      <c r="F3497" t="s">
        <v>65</v>
      </c>
      <c r="G3497" t="s">
        <v>66</v>
      </c>
      <c r="H3497" t="s">
        <v>67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0</v>
      </c>
      <c r="AB3497">
        <v>0</v>
      </c>
      <c r="AC3497">
        <v>1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</row>
    <row r="3498" spans="1:39" x14ac:dyDescent="0.2">
      <c r="A3498" t="str">
        <f>"3494"</f>
        <v>3494</v>
      </c>
      <c r="B3498" t="str">
        <f t="shared" si="192"/>
        <v>1</v>
      </c>
      <c r="C3498" t="str">
        <f t="shared" si="194"/>
        <v>70</v>
      </c>
      <c r="D3498" t="str">
        <f>"8"</f>
        <v>8</v>
      </c>
      <c r="E3498" t="str">
        <f>"1-70-8"</f>
        <v>1-70-8</v>
      </c>
      <c r="F3498" t="s">
        <v>65</v>
      </c>
      <c r="G3498" t="s">
        <v>66</v>
      </c>
      <c r="H3498" t="s">
        <v>67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</row>
    <row r="3499" spans="1:39" x14ac:dyDescent="0.2">
      <c r="A3499" t="str">
        <f>"3495"</f>
        <v>3495</v>
      </c>
      <c r="B3499" t="str">
        <f t="shared" si="192"/>
        <v>1</v>
      </c>
      <c r="C3499" t="str">
        <f t="shared" si="194"/>
        <v>70</v>
      </c>
      <c r="D3499" t="str">
        <f>"49"</f>
        <v>49</v>
      </c>
      <c r="E3499" t="str">
        <f>"1-70-49"</f>
        <v>1-70-49</v>
      </c>
      <c r="F3499" t="s">
        <v>65</v>
      </c>
      <c r="G3499" t="s">
        <v>66</v>
      </c>
      <c r="H3499" t="s">
        <v>67</v>
      </c>
      <c r="S3499">
        <v>1</v>
      </c>
      <c r="T3499">
        <v>0</v>
      </c>
      <c r="U3499">
        <v>0</v>
      </c>
      <c r="V3499">
        <v>0</v>
      </c>
      <c r="W3499">
        <v>1</v>
      </c>
      <c r="X3499">
        <v>0</v>
      </c>
      <c r="Y3499">
        <v>1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1</v>
      </c>
      <c r="AF3499">
        <v>1</v>
      </c>
      <c r="AG3499">
        <v>1</v>
      </c>
      <c r="AH3499">
        <v>1</v>
      </c>
      <c r="AI3499">
        <v>1</v>
      </c>
      <c r="AJ3499">
        <v>1</v>
      </c>
      <c r="AK3499">
        <v>1</v>
      </c>
      <c r="AL3499">
        <v>1</v>
      </c>
      <c r="AM3499">
        <v>1</v>
      </c>
    </row>
    <row r="3500" spans="1:39" x14ac:dyDescent="0.2">
      <c r="A3500" t="str">
        <f>"3496"</f>
        <v>3496</v>
      </c>
      <c r="B3500" t="str">
        <f t="shared" si="192"/>
        <v>1</v>
      </c>
      <c r="C3500" t="str">
        <f t="shared" si="194"/>
        <v>70</v>
      </c>
      <c r="D3500" t="str">
        <f>"33"</f>
        <v>33</v>
      </c>
      <c r="E3500" t="str">
        <f>"1-70-33"</f>
        <v>1-70-33</v>
      </c>
      <c r="F3500" t="s">
        <v>65</v>
      </c>
      <c r="G3500" t="s">
        <v>66</v>
      </c>
      <c r="H3500" t="s">
        <v>67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0</v>
      </c>
      <c r="AB3500">
        <v>1</v>
      </c>
      <c r="AC3500">
        <v>0</v>
      </c>
      <c r="AD3500">
        <v>0</v>
      </c>
      <c r="AE3500">
        <v>0</v>
      </c>
      <c r="AF3500">
        <v>0</v>
      </c>
      <c r="AG3500">
        <v>1</v>
      </c>
      <c r="AH3500">
        <v>1</v>
      </c>
      <c r="AI3500">
        <v>1</v>
      </c>
      <c r="AJ3500">
        <v>1</v>
      </c>
      <c r="AK3500">
        <v>1</v>
      </c>
      <c r="AL3500">
        <v>1</v>
      </c>
      <c r="AM3500">
        <v>0</v>
      </c>
    </row>
    <row r="3501" spans="1:39" x14ac:dyDescent="0.2">
      <c r="A3501" t="str">
        <f>"3497"</f>
        <v>3497</v>
      </c>
      <c r="B3501" t="str">
        <f t="shared" si="192"/>
        <v>1</v>
      </c>
      <c r="C3501" t="str">
        <f t="shared" si="194"/>
        <v>70</v>
      </c>
      <c r="D3501" t="str">
        <f>"9"</f>
        <v>9</v>
      </c>
      <c r="E3501" t="str">
        <f>"1-70-9"</f>
        <v>1-70-9</v>
      </c>
      <c r="F3501" t="s">
        <v>65</v>
      </c>
      <c r="G3501" t="s">
        <v>66</v>
      </c>
      <c r="H3501" t="s">
        <v>67</v>
      </c>
      <c r="S3501">
        <v>0</v>
      </c>
      <c r="T3501">
        <v>1</v>
      </c>
      <c r="U3501">
        <v>0</v>
      </c>
      <c r="V3501">
        <v>0</v>
      </c>
      <c r="W3501">
        <v>0</v>
      </c>
      <c r="X3501">
        <v>1</v>
      </c>
      <c r="Y3501">
        <v>1</v>
      </c>
      <c r="Z3501">
        <v>0</v>
      </c>
      <c r="AA3501">
        <v>0</v>
      </c>
      <c r="AB3501">
        <v>1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</row>
    <row r="3502" spans="1:39" x14ac:dyDescent="0.2">
      <c r="A3502" t="str">
        <f>"3498"</f>
        <v>3498</v>
      </c>
      <c r="B3502" t="str">
        <f t="shared" si="192"/>
        <v>1</v>
      </c>
      <c r="C3502" t="str">
        <f t="shared" si="194"/>
        <v>70</v>
      </c>
      <c r="D3502" t="str">
        <f>"34"</f>
        <v>34</v>
      </c>
      <c r="E3502" t="str">
        <f>"1-70-34"</f>
        <v>1-70-34</v>
      </c>
      <c r="F3502" t="s">
        <v>65</v>
      </c>
      <c r="G3502" t="s">
        <v>66</v>
      </c>
      <c r="H3502" t="s">
        <v>67</v>
      </c>
      <c r="S3502">
        <v>1</v>
      </c>
      <c r="T3502">
        <v>0</v>
      </c>
      <c r="U3502">
        <v>0</v>
      </c>
      <c r="V3502">
        <v>0</v>
      </c>
      <c r="W3502">
        <v>1</v>
      </c>
      <c r="X3502">
        <v>0</v>
      </c>
      <c r="Y3502">
        <v>1</v>
      </c>
      <c r="Z3502">
        <v>0</v>
      </c>
      <c r="AA3502">
        <v>0</v>
      </c>
      <c r="AB3502">
        <v>0</v>
      </c>
      <c r="AC3502">
        <v>0</v>
      </c>
      <c r="AD3502">
        <v>1</v>
      </c>
      <c r="AE3502">
        <v>1</v>
      </c>
      <c r="AF3502">
        <v>1</v>
      </c>
      <c r="AG3502">
        <v>1</v>
      </c>
      <c r="AH3502">
        <v>1</v>
      </c>
      <c r="AI3502">
        <v>1</v>
      </c>
      <c r="AJ3502">
        <v>1</v>
      </c>
      <c r="AK3502">
        <v>1</v>
      </c>
      <c r="AL3502">
        <v>1</v>
      </c>
      <c r="AM3502">
        <v>1</v>
      </c>
    </row>
    <row r="3503" spans="1:39" x14ac:dyDescent="0.2">
      <c r="A3503" t="str">
        <f>"3499"</f>
        <v>3499</v>
      </c>
      <c r="B3503" t="str">
        <f t="shared" si="192"/>
        <v>1</v>
      </c>
      <c r="C3503" t="str">
        <f t="shared" si="194"/>
        <v>70</v>
      </c>
      <c r="D3503" t="str">
        <f>"12"</f>
        <v>12</v>
      </c>
      <c r="E3503" t="str">
        <f>"1-70-12"</f>
        <v>1-70-12</v>
      </c>
      <c r="F3503" t="s">
        <v>65</v>
      </c>
      <c r="G3503" t="s">
        <v>66</v>
      </c>
      <c r="H3503" t="s">
        <v>67</v>
      </c>
      <c r="S3503">
        <v>1</v>
      </c>
      <c r="T3503">
        <v>0</v>
      </c>
      <c r="U3503">
        <v>0</v>
      </c>
      <c r="V3503">
        <v>0</v>
      </c>
      <c r="W3503">
        <v>1</v>
      </c>
      <c r="X3503">
        <v>0</v>
      </c>
      <c r="Y3503">
        <v>1</v>
      </c>
      <c r="Z3503">
        <v>0</v>
      </c>
      <c r="AA3503">
        <v>1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</row>
    <row r="3504" spans="1:39" x14ac:dyDescent="0.2">
      <c r="A3504" t="str">
        <f>"3500"</f>
        <v>3500</v>
      </c>
      <c r="B3504" t="str">
        <f t="shared" si="192"/>
        <v>1</v>
      </c>
      <c r="C3504" t="str">
        <f t="shared" si="194"/>
        <v>70</v>
      </c>
      <c r="D3504" t="str">
        <f>"1"</f>
        <v>1</v>
      </c>
      <c r="E3504" t="str">
        <f>"1-70-1"</f>
        <v>1-70-1</v>
      </c>
      <c r="F3504" t="s">
        <v>65</v>
      </c>
      <c r="G3504" t="s">
        <v>66</v>
      </c>
      <c r="H3504" t="s">
        <v>67</v>
      </c>
      <c r="S3504">
        <v>1</v>
      </c>
      <c r="T3504">
        <v>0</v>
      </c>
      <c r="U3504">
        <v>0</v>
      </c>
      <c r="V3504">
        <v>0</v>
      </c>
      <c r="W3504">
        <v>1</v>
      </c>
      <c r="X3504">
        <v>0</v>
      </c>
      <c r="Y3504">
        <v>0</v>
      </c>
      <c r="Z3504">
        <v>1</v>
      </c>
      <c r="AA3504">
        <v>0</v>
      </c>
      <c r="AB3504">
        <v>0</v>
      </c>
      <c r="AC3504">
        <v>1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1</v>
      </c>
      <c r="AJ3504">
        <v>1</v>
      </c>
      <c r="AK3504">
        <v>1</v>
      </c>
      <c r="AL3504">
        <v>1</v>
      </c>
      <c r="AM3504">
        <v>0</v>
      </c>
    </row>
    <row r="3505" spans="1:39" x14ac:dyDescent="0.2">
      <c r="A3505" t="str">
        <f>"3501"</f>
        <v>3501</v>
      </c>
      <c r="B3505" t="str">
        <f t="shared" si="192"/>
        <v>1</v>
      </c>
      <c r="C3505" t="str">
        <f t="shared" ref="C3505:C3536" si="195">"71"</f>
        <v>71</v>
      </c>
      <c r="D3505" t="str">
        <f>"40"</f>
        <v>40</v>
      </c>
      <c r="E3505" t="str">
        <f>"1-71-40"</f>
        <v>1-71-40</v>
      </c>
      <c r="F3505" t="s">
        <v>65</v>
      </c>
      <c r="G3505" t="s">
        <v>66</v>
      </c>
      <c r="H3505" t="s">
        <v>67</v>
      </c>
      <c r="S3505">
        <v>0</v>
      </c>
      <c r="T3505">
        <v>1</v>
      </c>
      <c r="U3505">
        <v>0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1</v>
      </c>
      <c r="AE3505">
        <v>1</v>
      </c>
      <c r="AF3505">
        <v>1</v>
      </c>
      <c r="AG3505">
        <v>1</v>
      </c>
      <c r="AH3505">
        <v>1</v>
      </c>
      <c r="AI3505">
        <v>1</v>
      </c>
      <c r="AJ3505">
        <v>1</v>
      </c>
      <c r="AK3505">
        <v>1</v>
      </c>
      <c r="AL3505">
        <v>1</v>
      </c>
      <c r="AM3505">
        <v>1</v>
      </c>
    </row>
    <row r="3506" spans="1:39" x14ac:dyDescent="0.2">
      <c r="A3506" t="str">
        <f>"3502"</f>
        <v>3502</v>
      </c>
      <c r="B3506" t="str">
        <f t="shared" si="192"/>
        <v>1</v>
      </c>
      <c r="C3506" t="str">
        <f t="shared" si="195"/>
        <v>71</v>
      </c>
      <c r="D3506" t="str">
        <f>"39"</f>
        <v>39</v>
      </c>
      <c r="E3506" t="str">
        <f>"1-71-39"</f>
        <v>1-71-39</v>
      </c>
      <c r="F3506" t="s">
        <v>65</v>
      </c>
      <c r="G3506" t="s">
        <v>66</v>
      </c>
      <c r="H3506" t="s">
        <v>67</v>
      </c>
      <c r="S3506">
        <v>0</v>
      </c>
      <c r="T3506">
        <v>1</v>
      </c>
      <c r="U3506">
        <v>0</v>
      </c>
      <c r="V3506">
        <v>0</v>
      </c>
      <c r="W3506">
        <v>0</v>
      </c>
      <c r="X3506">
        <v>1</v>
      </c>
      <c r="Y3506">
        <v>0</v>
      </c>
      <c r="Z3506">
        <v>1</v>
      </c>
      <c r="AA3506">
        <v>0</v>
      </c>
      <c r="AB3506">
        <v>1</v>
      </c>
      <c r="AC3506">
        <v>0</v>
      </c>
      <c r="AD3506">
        <v>1</v>
      </c>
      <c r="AE3506">
        <v>1</v>
      </c>
      <c r="AF3506">
        <v>1</v>
      </c>
      <c r="AG3506">
        <v>1</v>
      </c>
      <c r="AH3506">
        <v>1</v>
      </c>
      <c r="AI3506">
        <v>1</v>
      </c>
      <c r="AJ3506">
        <v>1</v>
      </c>
      <c r="AK3506">
        <v>1</v>
      </c>
      <c r="AL3506">
        <v>1</v>
      </c>
      <c r="AM3506">
        <v>0</v>
      </c>
    </row>
    <row r="3507" spans="1:39" x14ac:dyDescent="0.2">
      <c r="A3507" t="str">
        <f>"3503"</f>
        <v>3503</v>
      </c>
      <c r="B3507" t="str">
        <f t="shared" si="192"/>
        <v>1</v>
      </c>
      <c r="C3507" t="str">
        <f t="shared" si="195"/>
        <v>71</v>
      </c>
      <c r="D3507" t="str">
        <f>"31"</f>
        <v>31</v>
      </c>
      <c r="E3507" t="str">
        <f>"1-71-31"</f>
        <v>1-71-31</v>
      </c>
      <c r="F3507" t="s">
        <v>65</v>
      </c>
      <c r="G3507" t="s">
        <v>66</v>
      </c>
      <c r="H3507" t="s">
        <v>67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1</v>
      </c>
      <c r="AI3507">
        <v>1</v>
      </c>
      <c r="AJ3507">
        <v>1</v>
      </c>
      <c r="AK3507">
        <v>1</v>
      </c>
      <c r="AL3507">
        <v>1</v>
      </c>
      <c r="AM3507">
        <v>0</v>
      </c>
    </row>
    <row r="3508" spans="1:39" x14ac:dyDescent="0.2">
      <c r="A3508" t="str">
        <f>"3504"</f>
        <v>3504</v>
      </c>
      <c r="B3508" t="str">
        <f t="shared" si="192"/>
        <v>1</v>
      </c>
      <c r="C3508" t="str">
        <f t="shared" si="195"/>
        <v>71</v>
      </c>
      <c r="D3508" t="str">
        <f>"30"</f>
        <v>30</v>
      </c>
      <c r="E3508" t="str">
        <f>"1-71-30"</f>
        <v>1-71-30</v>
      </c>
      <c r="F3508" t="s">
        <v>65</v>
      </c>
      <c r="G3508" t="s">
        <v>66</v>
      </c>
      <c r="H3508" t="s">
        <v>67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</row>
    <row r="3509" spans="1:39" x14ac:dyDescent="0.2">
      <c r="A3509" t="str">
        <f>"3505"</f>
        <v>3505</v>
      </c>
      <c r="B3509" t="str">
        <f t="shared" si="192"/>
        <v>1</v>
      </c>
      <c r="C3509" t="str">
        <f t="shared" si="195"/>
        <v>71</v>
      </c>
      <c r="D3509" t="str">
        <f>"19"</f>
        <v>19</v>
      </c>
      <c r="E3509" t="str">
        <f>"1-71-19"</f>
        <v>1-71-19</v>
      </c>
      <c r="F3509" t="s">
        <v>65</v>
      </c>
      <c r="G3509" t="s">
        <v>66</v>
      </c>
      <c r="H3509" t="s">
        <v>67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1</v>
      </c>
      <c r="Y3509">
        <v>0</v>
      </c>
      <c r="Z3509">
        <v>1</v>
      </c>
      <c r="AA3509">
        <v>0</v>
      </c>
      <c r="AB3509">
        <v>0</v>
      </c>
      <c r="AC3509">
        <v>1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</row>
    <row r="3510" spans="1:39" x14ac:dyDescent="0.2">
      <c r="A3510" t="str">
        <f>"3506"</f>
        <v>3506</v>
      </c>
      <c r="B3510" t="str">
        <f t="shared" si="192"/>
        <v>1</v>
      </c>
      <c r="C3510" t="str">
        <f t="shared" si="195"/>
        <v>71</v>
      </c>
      <c r="D3510" t="str">
        <f>"15"</f>
        <v>15</v>
      </c>
      <c r="E3510" t="str">
        <f>"1-71-15"</f>
        <v>1-71-15</v>
      </c>
      <c r="F3510" t="s">
        <v>65</v>
      </c>
      <c r="G3510" t="s">
        <v>66</v>
      </c>
      <c r="H3510" t="s">
        <v>67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0</v>
      </c>
      <c r="AB3510">
        <v>1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</row>
    <row r="3511" spans="1:39" x14ac:dyDescent="0.2">
      <c r="A3511" t="str">
        <f>"3507"</f>
        <v>3507</v>
      </c>
      <c r="B3511" t="str">
        <f t="shared" ref="B3511:B3574" si="196">"1"</f>
        <v>1</v>
      </c>
      <c r="C3511" t="str">
        <f t="shared" si="195"/>
        <v>71</v>
      </c>
      <c r="D3511" t="str">
        <f>"1"</f>
        <v>1</v>
      </c>
      <c r="E3511" t="str">
        <f>"1-71-1"</f>
        <v>1-71-1</v>
      </c>
      <c r="F3511" t="s">
        <v>65</v>
      </c>
      <c r="G3511" t="s">
        <v>66</v>
      </c>
      <c r="H3511" t="s">
        <v>67</v>
      </c>
      <c r="S3511">
        <v>0</v>
      </c>
      <c r="T3511">
        <v>1</v>
      </c>
      <c r="U3511">
        <v>0</v>
      </c>
      <c r="V3511">
        <v>0</v>
      </c>
      <c r="W3511">
        <v>1</v>
      </c>
      <c r="X3511">
        <v>0</v>
      </c>
      <c r="Y3511">
        <v>1</v>
      </c>
      <c r="Z3511">
        <v>0</v>
      </c>
      <c r="AA3511">
        <v>0</v>
      </c>
      <c r="AB3511">
        <v>0</v>
      </c>
      <c r="AC3511">
        <v>1</v>
      </c>
      <c r="AD3511">
        <v>1</v>
      </c>
      <c r="AE3511">
        <v>1</v>
      </c>
      <c r="AF3511">
        <v>1</v>
      </c>
      <c r="AG3511">
        <v>1</v>
      </c>
      <c r="AH3511">
        <v>1</v>
      </c>
      <c r="AI3511">
        <v>1</v>
      </c>
      <c r="AJ3511">
        <v>1</v>
      </c>
      <c r="AK3511">
        <v>1</v>
      </c>
      <c r="AL3511">
        <v>1</v>
      </c>
      <c r="AM3511">
        <v>1</v>
      </c>
    </row>
    <row r="3512" spans="1:39" x14ac:dyDescent="0.2">
      <c r="A3512" t="str">
        <f>"3508"</f>
        <v>3508</v>
      </c>
      <c r="B3512" t="str">
        <f t="shared" si="196"/>
        <v>1</v>
      </c>
      <c r="C3512" t="str">
        <f t="shared" si="195"/>
        <v>71</v>
      </c>
      <c r="D3512" t="str">
        <f>"36"</f>
        <v>36</v>
      </c>
      <c r="E3512" t="str">
        <f>"1-71-36"</f>
        <v>1-71-36</v>
      </c>
      <c r="F3512" t="s">
        <v>65</v>
      </c>
      <c r="G3512" t="s">
        <v>66</v>
      </c>
      <c r="H3512" t="s">
        <v>67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1</v>
      </c>
      <c r="Y3512">
        <v>1</v>
      </c>
      <c r="Z3512">
        <v>0</v>
      </c>
      <c r="AA3512">
        <v>0</v>
      </c>
      <c r="AB3512">
        <v>1</v>
      </c>
      <c r="AC3512">
        <v>0</v>
      </c>
      <c r="AD3512">
        <v>1</v>
      </c>
      <c r="AE3512">
        <v>1</v>
      </c>
      <c r="AF3512">
        <v>1</v>
      </c>
      <c r="AG3512">
        <v>1</v>
      </c>
      <c r="AH3512">
        <v>1</v>
      </c>
      <c r="AI3512">
        <v>1</v>
      </c>
      <c r="AJ3512">
        <v>1</v>
      </c>
      <c r="AK3512">
        <v>1</v>
      </c>
      <c r="AL3512">
        <v>1</v>
      </c>
      <c r="AM3512">
        <v>1</v>
      </c>
    </row>
    <row r="3513" spans="1:39" x14ac:dyDescent="0.2">
      <c r="A3513" t="str">
        <f>"3509"</f>
        <v>3509</v>
      </c>
      <c r="B3513" t="str">
        <f t="shared" si="196"/>
        <v>1</v>
      </c>
      <c r="C3513" t="str">
        <f t="shared" si="195"/>
        <v>71</v>
      </c>
      <c r="D3513" t="str">
        <f>"35"</f>
        <v>35</v>
      </c>
      <c r="E3513" t="str">
        <f>"1-71-35"</f>
        <v>1-71-35</v>
      </c>
      <c r="F3513" t="s">
        <v>65</v>
      </c>
      <c r="G3513" t="s">
        <v>66</v>
      </c>
      <c r="H3513" t="s">
        <v>67</v>
      </c>
      <c r="S3513">
        <v>0</v>
      </c>
      <c r="T3513">
        <v>1</v>
      </c>
      <c r="U3513">
        <v>0</v>
      </c>
      <c r="V3513">
        <v>0</v>
      </c>
      <c r="W3513">
        <v>1</v>
      </c>
      <c r="X3513">
        <v>0</v>
      </c>
      <c r="Y3513">
        <v>0</v>
      </c>
      <c r="Z3513">
        <v>1</v>
      </c>
      <c r="AA3513">
        <v>1</v>
      </c>
      <c r="AB3513">
        <v>0</v>
      </c>
      <c r="AC3513">
        <v>0</v>
      </c>
      <c r="AD3513">
        <v>1</v>
      </c>
      <c r="AE3513">
        <v>1</v>
      </c>
      <c r="AF3513">
        <v>1</v>
      </c>
      <c r="AG3513">
        <v>1</v>
      </c>
      <c r="AH3513">
        <v>1</v>
      </c>
      <c r="AI3513">
        <v>1</v>
      </c>
      <c r="AJ3513">
        <v>1</v>
      </c>
      <c r="AK3513">
        <v>1</v>
      </c>
      <c r="AL3513">
        <v>1</v>
      </c>
      <c r="AM3513">
        <v>1</v>
      </c>
    </row>
    <row r="3514" spans="1:39" x14ac:dyDescent="0.2">
      <c r="A3514" t="str">
        <f>"3510"</f>
        <v>3510</v>
      </c>
      <c r="B3514" t="str">
        <f t="shared" si="196"/>
        <v>1</v>
      </c>
      <c r="C3514" t="str">
        <f t="shared" si="195"/>
        <v>71</v>
      </c>
      <c r="D3514" t="str">
        <f>"24"</f>
        <v>24</v>
      </c>
      <c r="E3514" t="str">
        <f>"1-71-24"</f>
        <v>1-71-24</v>
      </c>
      <c r="F3514" t="s">
        <v>65</v>
      </c>
      <c r="G3514" t="s">
        <v>66</v>
      </c>
      <c r="H3514" t="s">
        <v>67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1</v>
      </c>
      <c r="Y3514">
        <v>0</v>
      </c>
      <c r="Z3514">
        <v>1</v>
      </c>
      <c r="AA3514">
        <v>0</v>
      </c>
      <c r="AB3514">
        <v>1</v>
      </c>
      <c r="AC3514">
        <v>0</v>
      </c>
      <c r="AD3514">
        <v>1</v>
      </c>
      <c r="AE3514">
        <v>1</v>
      </c>
      <c r="AF3514">
        <v>1</v>
      </c>
      <c r="AG3514">
        <v>1</v>
      </c>
      <c r="AH3514">
        <v>1</v>
      </c>
      <c r="AI3514">
        <v>1</v>
      </c>
      <c r="AJ3514">
        <v>1</v>
      </c>
      <c r="AK3514">
        <v>1</v>
      </c>
      <c r="AL3514">
        <v>1</v>
      </c>
      <c r="AM3514">
        <v>1</v>
      </c>
    </row>
    <row r="3515" spans="1:39" x14ac:dyDescent="0.2">
      <c r="A3515" t="str">
        <f>"3511"</f>
        <v>3511</v>
      </c>
      <c r="B3515" t="str">
        <f t="shared" si="196"/>
        <v>1</v>
      </c>
      <c r="C3515" t="str">
        <f t="shared" si="195"/>
        <v>71</v>
      </c>
      <c r="D3515" t="str">
        <f>"16"</f>
        <v>16</v>
      </c>
      <c r="E3515" t="str">
        <f>"1-71-16"</f>
        <v>1-71-16</v>
      </c>
      <c r="F3515" t="s">
        <v>65</v>
      </c>
      <c r="G3515" t="s">
        <v>66</v>
      </c>
      <c r="H3515" t="s">
        <v>67</v>
      </c>
      <c r="S3515">
        <v>0</v>
      </c>
      <c r="T3515">
        <v>1</v>
      </c>
      <c r="U3515">
        <v>0</v>
      </c>
      <c r="V3515">
        <v>0</v>
      </c>
      <c r="W3515">
        <v>1</v>
      </c>
      <c r="X3515">
        <v>0</v>
      </c>
      <c r="Y3515">
        <v>0</v>
      </c>
      <c r="Z3515">
        <v>1</v>
      </c>
      <c r="AA3515">
        <v>1</v>
      </c>
      <c r="AB3515">
        <v>0</v>
      </c>
      <c r="AC3515">
        <v>0</v>
      </c>
      <c r="AD3515">
        <v>1</v>
      </c>
      <c r="AE3515">
        <v>1</v>
      </c>
      <c r="AF3515">
        <v>1</v>
      </c>
      <c r="AG3515">
        <v>1</v>
      </c>
      <c r="AH3515">
        <v>1</v>
      </c>
      <c r="AI3515">
        <v>1</v>
      </c>
      <c r="AJ3515">
        <v>1</v>
      </c>
      <c r="AK3515">
        <v>1</v>
      </c>
      <c r="AL3515">
        <v>1</v>
      </c>
      <c r="AM3515">
        <v>1</v>
      </c>
    </row>
    <row r="3516" spans="1:39" x14ac:dyDescent="0.2">
      <c r="A3516" t="str">
        <f>"3512"</f>
        <v>3512</v>
      </c>
      <c r="B3516" t="str">
        <f t="shared" si="196"/>
        <v>1</v>
      </c>
      <c r="C3516" t="str">
        <f t="shared" si="195"/>
        <v>71</v>
      </c>
      <c r="D3516" t="str">
        <f>"4"</f>
        <v>4</v>
      </c>
      <c r="E3516" t="str">
        <f>"1-71-4"</f>
        <v>1-71-4</v>
      </c>
      <c r="F3516" t="s">
        <v>65</v>
      </c>
      <c r="G3516" t="s">
        <v>66</v>
      </c>
      <c r="H3516" t="s">
        <v>67</v>
      </c>
      <c r="S3516">
        <v>0</v>
      </c>
      <c r="T3516">
        <v>1</v>
      </c>
      <c r="U3516">
        <v>0</v>
      </c>
      <c r="V3516">
        <v>0</v>
      </c>
      <c r="W3516">
        <v>1</v>
      </c>
      <c r="X3516">
        <v>0</v>
      </c>
      <c r="Y3516">
        <v>0</v>
      </c>
      <c r="Z3516">
        <v>1</v>
      </c>
      <c r="AA3516">
        <v>0</v>
      </c>
      <c r="AB3516">
        <v>0</v>
      </c>
      <c r="AC3516">
        <v>1</v>
      </c>
      <c r="AD3516">
        <v>1</v>
      </c>
      <c r="AE3516">
        <v>1</v>
      </c>
      <c r="AF3516">
        <v>1</v>
      </c>
      <c r="AG3516">
        <v>1</v>
      </c>
      <c r="AH3516">
        <v>1</v>
      </c>
      <c r="AI3516">
        <v>1</v>
      </c>
      <c r="AJ3516">
        <v>1</v>
      </c>
      <c r="AK3516">
        <v>1</v>
      </c>
      <c r="AL3516">
        <v>1</v>
      </c>
      <c r="AM3516">
        <v>1</v>
      </c>
    </row>
    <row r="3517" spans="1:39" x14ac:dyDescent="0.2">
      <c r="A3517" t="str">
        <f>"3513"</f>
        <v>3513</v>
      </c>
      <c r="B3517" t="str">
        <f t="shared" si="196"/>
        <v>1</v>
      </c>
      <c r="C3517" t="str">
        <f t="shared" si="195"/>
        <v>71</v>
      </c>
      <c r="D3517" t="str">
        <f>"45"</f>
        <v>45</v>
      </c>
      <c r="E3517" t="str">
        <f>"1-71-45"</f>
        <v>1-71-45</v>
      </c>
      <c r="F3517" t="s">
        <v>65</v>
      </c>
      <c r="G3517" t="s">
        <v>66</v>
      </c>
      <c r="H3517" t="s">
        <v>67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1</v>
      </c>
      <c r="Y3517">
        <v>1</v>
      </c>
      <c r="Z3517">
        <v>0</v>
      </c>
      <c r="AA3517">
        <v>0</v>
      </c>
      <c r="AB3517">
        <v>1</v>
      </c>
      <c r="AC3517">
        <v>0</v>
      </c>
      <c r="AD3517">
        <v>1</v>
      </c>
      <c r="AE3517">
        <v>1</v>
      </c>
      <c r="AF3517">
        <v>1</v>
      </c>
      <c r="AG3517">
        <v>1</v>
      </c>
      <c r="AH3517">
        <v>1</v>
      </c>
      <c r="AI3517">
        <v>1</v>
      </c>
      <c r="AJ3517">
        <v>1</v>
      </c>
      <c r="AK3517">
        <v>1</v>
      </c>
      <c r="AL3517">
        <v>1</v>
      </c>
      <c r="AM3517">
        <v>1</v>
      </c>
    </row>
    <row r="3518" spans="1:39" x14ac:dyDescent="0.2">
      <c r="A3518" t="str">
        <f>"3514"</f>
        <v>3514</v>
      </c>
      <c r="B3518" t="str">
        <f t="shared" si="196"/>
        <v>1</v>
      </c>
      <c r="C3518" t="str">
        <f t="shared" si="195"/>
        <v>71</v>
      </c>
      <c r="D3518" t="str">
        <f>"44"</f>
        <v>44</v>
      </c>
      <c r="E3518" t="str">
        <f>"1-71-44"</f>
        <v>1-71-44</v>
      </c>
      <c r="F3518" t="s">
        <v>65</v>
      </c>
      <c r="G3518" t="s">
        <v>66</v>
      </c>
      <c r="H3518" t="s">
        <v>67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1</v>
      </c>
      <c r="Y3518">
        <v>0</v>
      </c>
      <c r="Z3518">
        <v>1</v>
      </c>
      <c r="AA3518">
        <v>0</v>
      </c>
      <c r="AB3518">
        <v>0</v>
      </c>
      <c r="AC3518">
        <v>1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</row>
    <row r="3519" spans="1:39" x14ac:dyDescent="0.2">
      <c r="A3519" t="str">
        <f>"3515"</f>
        <v>3515</v>
      </c>
      <c r="B3519" t="str">
        <f t="shared" si="196"/>
        <v>1</v>
      </c>
      <c r="C3519" t="str">
        <f t="shared" si="195"/>
        <v>71</v>
      </c>
      <c r="D3519" t="str">
        <f>"33"</f>
        <v>33</v>
      </c>
      <c r="E3519" t="str">
        <f>"1-71-33"</f>
        <v>1-71-33</v>
      </c>
      <c r="F3519" t="s">
        <v>65</v>
      </c>
      <c r="G3519" t="s">
        <v>66</v>
      </c>
      <c r="H3519" t="s">
        <v>67</v>
      </c>
      <c r="S3519">
        <v>0</v>
      </c>
      <c r="T3519">
        <v>1</v>
      </c>
      <c r="U3519">
        <v>0</v>
      </c>
      <c r="V3519">
        <v>0</v>
      </c>
      <c r="W3519">
        <v>0</v>
      </c>
      <c r="X3519">
        <v>1</v>
      </c>
      <c r="Y3519">
        <v>0</v>
      </c>
      <c r="Z3519">
        <v>1</v>
      </c>
      <c r="AA3519">
        <v>0</v>
      </c>
      <c r="AB3519">
        <v>0</v>
      </c>
      <c r="AC3519">
        <v>1</v>
      </c>
      <c r="AD3519">
        <v>0</v>
      </c>
      <c r="AE3519">
        <v>0</v>
      </c>
      <c r="AF3519">
        <v>0</v>
      </c>
      <c r="AG3519">
        <v>0</v>
      </c>
      <c r="AH3519">
        <v>1</v>
      </c>
      <c r="AI3519">
        <v>0</v>
      </c>
      <c r="AJ3519">
        <v>0</v>
      </c>
      <c r="AK3519">
        <v>0</v>
      </c>
      <c r="AL3519">
        <v>0</v>
      </c>
      <c r="AM3519">
        <v>0</v>
      </c>
    </row>
    <row r="3520" spans="1:39" x14ac:dyDescent="0.2">
      <c r="A3520" t="str">
        <f>"3516"</f>
        <v>3516</v>
      </c>
      <c r="B3520" t="str">
        <f t="shared" si="196"/>
        <v>1</v>
      </c>
      <c r="C3520" t="str">
        <f t="shared" si="195"/>
        <v>71</v>
      </c>
      <c r="D3520" t="str">
        <f>"17"</f>
        <v>17</v>
      </c>
      <c r="E3520" t="str">
        <f>"1-71-17"</f>
        <v>1-71-17</v>
      </c>
      <c r="F3520" t="s">
        <v>65</v>
      </c>
      <c r="G3520" t="s">
        <v>66</v>
      </c>
      <c r="H3520" t="s">
        <v>67</v>
      </c>
      <c r="S3520">
        <v>0</v>
      </c>
      <c r="T3520">
        <v>1</v>
      </c>
      <c r="U3520">
        <v>0</v>
      </c>
      <c r="V3520">
        <v>0</v>
      </c>
      <c r="W3520">
        <v>0</v>
      </c>
      <c r="X3520">
        <v>1</v>
      </c>
      <c r="Y3520">
        <v>0</v>
      </c>
      <c r="Z3520">
        <v>1</v>
      </c>
      <c r="AA3520">
        <v>0</v>
      </c>
      <c r="AB3520">
        <v>1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1</v>
      </c>
      <c r="AM3520">
        <v>1</v>
      </c>
    </row>
    <row r="3521" spans="1:39" x14ac:dyDescent="0.2">
      <c r="A3521" t="str">
        <f>"3517"</f>
        <v>3517</v>
      </c>
      <c r="B3521" t="str">
        <f t="shared" si="196"/>
        <v>1</v>
      </c>
      <c r="C3521" t="str">
        <f t="shared" si="195"/>
        <v>71</v>
      </c>
      <c r="D3521" t="str">
        <f>"14"</f>
        <v>14</v>
      </c>
      <c r="E3521" t="str">
        <f>"1-71-14"</f>
        <v>1-71-14</v>
      </c>
      <c r="F3521" t="s">
        <v>65</v>
      </c>
      <c r="G3521" t="s">
        <v>66</v>
      </c>
      <c r="H3521" t="s">
        <v>67</v>
      </c>
      <c r="S3521">
        <v>0</v>
      </c>
      <c r="T3521">
        <v>1</v>
      </c>
      <c r="U3521">
        <v>0</v>
      </c>
      <c r="V3521">
        <v>0</v>
      </c>
      <c r="W3521">
        <v>0</v>
      </c>
      <c r="X3521">
        <v>1</v>
      </c>
      <c r="Y3521">
        <v>0</v>
      </c>
      <c r="Z3521">
        <v>1</v>
      </c>
      <c r="AA3521">
        <v>0</v>
      </c>
      <c r="AB3521">
        <v>0</v>
      </c>
      <c r="AC3521">
        <v>1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</row>
    <row r="3522" spans="1:39" x14ac:dyDescent="0.2">
      <c r="A3522" t="str">
        <f>"3518"</f>
        <v>3518</v>
      </c>
      <c r="B3522" t="str">
        <f t="shared" si="196"/>
        <v>1</v>
      </c>
      <c r="C3522" t="str">
        <f t="shared" si="195"/>
        <v>71</v>
      </c>
      <c r="D3522" t="str">
        <f>"48"</f>
        <v>48</v>
      </c>
      <c r="E3522" t="str">
        <f>"1-71-48"</f>
        <v>1-71-48</v>
      </c>
      <c r="F3522" t="s">
        <v>65</v>
      </c>
      <c r="G3522" t="s">
        <v>66</v>
      </c>
      <c r="H3522" t="s">
        <v>68</v>
      </c>
      <c r="I3522">
        <v>1</v>
      </c>
      <c r="J3522">
        <v>1</v>
      </c>
      <c r="K3522">
        <v>0</v>
      </c>
      <c r="L3522">
        <v>0</v>
      </c>
      <c r="M3522">
        <v>1</v>
      </c>
      <c r="N3522">
        <v>1</v>
      </c>
      <c r="O3522">
        <v>1</v>
      </c>
      <c r="P3522">
        <v>1</v>
      </c>
      <c r="Q3522">
        <v>1</v>
      </c>
      <c r="R3522">
        <v>1</v>
      </c>
    </row>
    <row r="3523" spans="1:39" x14ac:dyDescent="0.2">
      <c r="A3523" t="str">
        <f>"3519"</f>
        <v>3519</v>
      </c>
      <c r="B3523" t="str">
        <f t="shared" si="196"/>
        <v>1</v>
      </c>
      <c r="C3523" t="str">
        <f t="shared" si="195"/>
        <v>71</v>
      </c>
      <c r="D3523" t="str">
        <f>"34"</f>
        <v>34</v>
      </c>
      <c r="E3523" t="str">
        <f>"1-71-34"</f>
        <v>1-71-34</v>
      </c>
      <c r="F3523" t="s">
        <v>65</v>
      </c>
      <c r="G3523" t="s">
        <v>66</v>
      </c>
      <c r="H3523" t="s">
        <v>67</v>
      </c>
      <c r="S3523">
        <v>0</v>
      </c>
      <c r="T3523">
        <v>1</v>
      </c>
      <c r="U3523">
        <v>0</v>
      </c>
      <c r="V3523">
        <v>0</v>
      </c>
      <c r="W3523">
        <v>0</v>
      </c>
      <c r="X3523">
        <v>1</v>
      </c>
      <c r="Y3523">
        <v>0</v>
      </c>
      <c r="Z3523">
        <v>1</v>
      </c>
      <c r="AA3523">
        <v>0</v>
      </c>
      <c r="AB3523">
        <v>0</v>
      </c>
      <c r="AC3523">
        <v>1</v>
      </c>
      <c r="AD3523">
        <v>0</v>
      </c>
      <c r="AE3523">
        <v>0</v>
      </c>
      <c r="AF3523">
        <v>0</v>
      </c>
      <c r="AG3523">
        <v>1</v>
      </c>
      <c r="AH3523">
        <v>1</v>
      </c>
      <c r="AI3523">
        <v>0</v>
      </c>
      <c r="AJ3523">
        <v>0</v>
      </c>
      <c r="AK3523">
        <v>0</v>
      </c>
      <c r="AL3523">
        <v>0</v>
      </c>
      <c r="AM3523">
        <v>0</v>
      </c>
    </row>
    <row r="3524" spans="1:39" x14ac:dyDescent="0.2">
      <c r="A3524" t="str">
        <f>"3520"</f>
        <v>3520</v>
      </c>
      <c r="B3524" t="str">
        <f t="shared" si="196"/>
        <v>1</v>
      </c>
      <c r="C3524" t="str">
        <f t="shared" si="195"/>
        <v>71</v>
      </c>
      <c r="D3524" t="str">
        <f>"18"</f>
        <v>18</v>
      </c>
      <c r="E3524" t="str">
        <f>"1-71-18"</f>
        <v>1-71-18</v>
      </c>
      <c r="F3524" t="s">
        <v>65</v>
      </c>
      <c r="G3524" t="s">
        <v>66</v>
      </c>
      <c r="H3524" t="s">
        <v>67</v>
      </c>
      <c r="S3524">
        <v>0</v>
      </c>
      <c r="T3524">
        <v>1</v>
      </c>
      <c r="U3524">
        <v>0</v>
      </c>
      <c r="V3524">
        <v>0</v>
      </c>
      <c r="W3524">
        <v>0</v>
      </c>
      <c r="X3524">
        <v>1</v>
      </c>
      <c r="Y3524">
        <v>0</v>
      </c>
      <c r="Z3524">
        <v>1</v>
      </c>
      <c r="AA3524">
        <v>0</v>
      </c>
      <c r="AB3524">
        <v>0</v>
      </c>
      <c r="AC3524">
        <v>1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</row>
    <row r="3525" spans="1:39" x14ac:dyDescent="0.2">
      <c r="A3525" t="str">
        <f>"3521"</f>
        <v>3521</v>
      </c>
      <c r="B3525" t="str">
        <f t="shared" si="196"/>
        <v>1</v>
      </c>
      <c r="C3525" t="str">
        <f t="shared" si="195"/>
        <v>71</v>
      </c>
      <c r="D3525" t="str">
        <f>"7"</f>
        <v>7</v>
      </c>
      <c r="E3525" t="str">
        <f>"1-71-7"</f>
        <v>1-71-7</v>
      </c>
      <c r="F3525" t="s">
        <v>65</v>
      </c>
      <c r="G3525" t="s">
        <v>66</v>
      </c>
      <c r="H3525" t="s">
        <v>67</v>
      </c>
      <c r="S3525">
        <v>1</v>
      </c>
      <c r="T3525">
        <v>0</v>
      </c>
      <c r="U3525">
        <v>0</v>
      </c>
      <c r="V3525">
        <v>0</v>
      </c>
      <c r="W3525">
        <v>1</v>
      </c>
      <c r="X3525">
        <v>0</v>
      </c>
      <c r="Y3525">
        <v>1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1</v>
      </c>
      <c r="AF3525">
        <v>1</v>
      </c>
      <c r="AG3525">
        <v>1</v>
      </c>
      <c r="AH3525">
        <v>1</v>
      </c>
      <c r="AI3525">
        <v>1</v>
      </c>
      <c r="AJ3525">
        <v>1</v>
      </c>
      <c r="AK3525">
        <v>1</v>
      </c>
      <c r="AL3525">
        <v>1</v>
      </c>
      <c r="AM3525">
        <v>1</v>
      </c>
    </row>
    <row r="3526" spans="1:39" x14ac:dyDescent="0.2">
      <c r="A3526" t="str">
        <f>"3522"</f>
        <v>3522</v>
      </c>
      <c r="B3526" t="str">
        <f t="shared" si="196"/>
        <v>1</v>
      </c>
      <c r="C3526" t="str">
        <f t="shared" si="195"/>
        <v>71</v>
      </c>
      <c r="D3526" t="str">
        <f>"37"</f>
        <v>37</v>
      </c>
      <c r="E3526" t="str">
        <f>"1-71-37"</f>
        <v>1-71-37</v>
      </c>
      <c r="F3526" t="s">
        <v>65</v>
      </c>
      <c r="G3526" t="s">
        <v>66</v>
      </c>
      <c r="H3526" t="s">
        <v>67</v>
      </c>
      <c r="S3526">
        <v>0</v>
      </c>
      <c r="T3526">
        <v>1</v>
      </c>
      <c r="U3526">
        <v>0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0</v>
      </c>
      <c r="AB3526">
        <v>0</v>
      </c>
      <c r="AC3526">
        <v>1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</row>
    <row r="3527" spans="1:39" x14ac:dyDescent="0.2">
      <c r="A3527" t="str">
        <f>"3523"</f>
        <v>3523</v>
      </c>
      <c r="B3527" t="str">
        <f t="shared" si="196"/>
        <v>1</v>
      </c>
      <c r="C3527" t="str">
        <f t="shared" si="195"/>
        <v>71</v>
      </c>
      <c r="D3527" t="str">
        <f>"20"</f>
        <v>20</v>
      </c>
      <c r="E3527" t="str">
        <f>"1-71-20"</f>
        <v>1-71-20</v>
      </c>
      <c r="F3527" t="s">
        <v>65</v>
      </c>
      <c r="G3527" t="s">
        <v>66</v>
      </c>
      <c r="H3527" t="s">
        <v>67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</row>
    <row r="3528" spans="1:39" x14ac:dyDescent="0.2">
      <c r="A3528" t="str">
        <f>"3524"</f>
        <v>3524</v>
      </c>
      <c r="B3528" t="str">
        <f t="shared" si="196"/>
        <v>1</v>
      </c>
      <c r="C3528" t="str">
        <f t="shared" si="195"/>
        <v>71</v>
      </c>
      <c r="D3528" t="str">
        <f>"6"</f>
        <v>6</v>
      </c>
      <c r="E3528" t="str">
        <f>"1-71-6"</f>
        <v>1-71-6</v>
      </c>
      <c r="F3528" t="s">
        <v>65</v>
      </c>
      <c r="G3528" t="s">
        <v>66</v>
      </c>
      <c r="H3528" t="s">
        <v>67</v>
      </c>
      <c r="S3528">
        <v>1</v>
      </c>
      <c r="T3528">
        <v>0</v>
      </c>
      <c r="U3528">
        <v>0</v>
      </c>
      <c r="V3528">
        <v>0</v>
      </c>
      <c r="W3528">
        <v>1</v>
      </c>
      <c r="X3528">
        <v>0</v>
      </c>
      <c r="Y3528">
        <v>1</v>
      </c>
      <c r="Z3528">
        <v>0</v>
      </c>
      <c r="AA3528">
        <v>0</v>
      </c>
      <c r="AB3528">
        <v>1</v>
      </c>
      <c r="AC3528">
        <v>0</v>
      </c>
      <c r="AD3528">
        <v>1</v>
      </c>
      <c r="AE3528">
        <v>1</v>
      </c>
      <c r="AF3528">
        <v>1</v>
      </c>
      <c r="AG3528">
        <v>1</v>
      </c>
      <c r="AH3528">
        <v>1</v>
      </c>
      <c r="AI3528">
        <v>1</v>
      </c>
      <c r="AJ3528">
        <v>1</v>
      </c>
      <c r="AK3528">
        <v>1</v>
      </c>
      <c r="AL3528">
        <v>1</v>
      </c>
      <c r="AM3528">
        <v>1</v>
      </c>
    </row>
    <row r="3529" spans="1:39" x14ac:dyDescent="0.2">
      <c r="A3529" t="str">
        <f>"3525"</f>
        <v>3525</v>
      </c>
      <c r="B3529" t="str">
        <f t="shared" si="196"/>
        <v>1</v>
      </c>
      <c r="C3529" t="str">
        <f t="shared" si="195"/>
        <v>71</v>
      </c>
      <c r="D3529" t="str">
        <f>"38"</f>
        <v>38</v>
      </c>
      <c r="E3529" t="str">
        <f>"1-71-38"</f>
        <v>1-71-38</v>
      </c>
      <c r="F3529" t="s">
        <v>65</v>
      </c>
      <c r="G3529" t="s">
        <v>66</v>
      </c>
      <c r="H3529" t="s">
        <v>67</v>
      </c>
      <c r="S3529">
        <v>0</v>
      </c>
      <c r="T3529">
        <v>1</v>
      </c>
      <c r="U3529">
        <v>0</v>
      </c>
      <c r="V3529">
        <v>0</v>
      </c>
      <c r="W3529">
        <v>0</v>
      </c>
      <c r="X3529">
        <v>1</v>
      </c>
      <c r="Y3529">
        <v>0</v>
      </c>
      <c r="Z3529">
        <v>1</v>
      </c>
      <c r="AA3529">
        <v>0</v>
      </c>
      <c r="AB3529">
        <v>1</v>
      </c>
      <c r="AC3529">
        <v>0</v>
      </c>
      <c r="AD3529">
        <v>0</v>
      </c>
      <c r="AE3529">
        <v>0</v>
      </c>
      <c r="AF3529">
        <v>0</v>
      </c>
      <c r="AG3529">
        <v>1</v>
      </c>
      <c r="AH3529">
        <v>1</v>
      </c>
      <c r="AI3529">
        <v>1</v>
      </c>
      <c r="AJ3529">
        <v>1</v>
      </c>
      <c r="AK3529">
        <v>0</v>
      </c>
      <c r="AL3529">
        <v>1</v>
      </c>
      <c r="AM3529">
        <v>0</v>
      </c>
    </row>
    <row r="3530" spans="1:39" x14ac:dyDescent="0.2">
      <c r="A3530" t="str">
        <f>"3526"</f>
        <v>3526</v>
      </c>
      <c r="B3530" t="str">
        <f t="shared" si="196"/>
        <v>1</v>
      </c>
      <c r="C3530" t="str">
        <f t="shared" si="195"/>
        <v>71</v>
      </c>
      <c r="D3530" t="str">
        <f>"21"</f>
        <v>21</v>
      </c>
      <c r="E3530" t="str">
        <f>"1-71-21"</f>
        <v>1-71-21</v>
      </c>
      <c r="F3530" t="s">
        <v>65</v>
      </c>
      <c r="G3530" t="s">
        <v>66</v>
      </c>
      <c r="H3530" t="s">
        <v>67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0</v>
      </c>
      <c r="AB3530">
        <v>0</v>
      </c>
      <c r="AC3530">
        <v>1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1</v>
      </c>
      <c r="AJ3530">
        <v>1</v>
      </c>
      <c r="AK3530">
        <v>0</v>
      </c>
      <c r="AL3530">
        <v>0</v>
      </c>
      <c r="AM3530">
        <v>0</v>
      </c>
    </row>
    <row r="3531" spans="1:39" x14ac:dyDescent="0.2">
      <c r="A3531" t="str">
        <f>"3527"</f>
        <v>3527</v>
      </c>
      <c r="B3531" t="str">
        <f t="shared" si="196"/>
        <v>1</v>
      </c>
      <c r="C3531" t="str">
        <f t="shared" si="195"/>
        <v>71</v>
      </c>
      <c r="D3531" t="str">
        <f>"9"</f>
        <v>9</v>
      </c>
      <c r="E3531" t="str">
        <f>"1-71-9"</f>
        <v>1-71-9</v>
      </c>
      <c r="F3531" t="s">
        <v>65</v>
      </c>
      <c r="G3531" t="s">
        <v>66</v>
      </c>
      <c r="H3531" t="s">
        <v>67</v>
      </c>
      <c r="S3531">
        <v>1</v>
      </c>
      <c r="T3531">
        <v>0</v>
      </c>
      <c r="U3531">
        <v>0</v>
      </c>
      <c r="V3531">
        <v>0</v>
      </c>
      <c r="W3531">
        <v>1</v>
      </c>
      <c r="X3531">
        <v>0</v>
      </c>
      <c r="Y3531">
        <v>0</v>
      </c>
      <c r="Z3531">
        <v>1</v>
      </c>
      <c r="AA3531">
        <v>0</v>
      </c>
      <c r="AB3531">
        <v>0</v>
      </c>
      <c r="AC3531">
        <v>1</v>
      </c>
      <c r="AD3531">
        <v>1</v>
      </c>
      <c r="AE3531">
        <v>1</v>
      </c>
      <c r="AF3531">
        <v>1</v>
      </c>
      <c r="AG3531">
        <v>1</v>
      </c>
      <c r="AH3531">
        <v>1</v>
      </c>
      <c r="AI3531">
        <v>1</v>
      </c>
      <c r="AJ3531">
        <v>1</v>
      </c>
      <c r="AK3531">
        <v>1</v>
      </c>
      <c r="AL3531">
        <v>1</v>
      </c>
      <c r="AM3531">
        <v>1</v>
      </c>
    </row>
    <row r="3532" spans="1:39" x14ac:dyDescent="0.2">
      <c r="A3532" t="str">
        <f>"3528"</f>
        <v>3528</v>
      </c>
      <c r="B3532" t="str">
        <f t="shared" si="196"/>
        <v>1</v>
      </c>
      <c r="C3532" t="str">
        <f t="shared" si="195"/>
        <v>71</v>
      </c>
      <c r="D3532" t="str">
        <f>"41"</f>
        <v>41</v>
      </c>
      <c r="E3532" t="str">
        <f>"1-71-41"</f>
        <v>1-71-41</v>
      </c>
      <c r="F3532" t="s">
        <v>65</v>
      </c>
      <c r="G3532" t="s">
        <v>66</v>
      </c>
      <c r="H3532" t="s">
        <v>67</v>
      </c>
      <c r="S3532">
        <v>1</v>
      </c>
      <c r="T3532">
        <v>0</v>
      </c>
      <c r="U3532">
        <v>0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1</v>
      </c>
      <c r="AH3532">
        <v>1</v>
      </c>
      <c r="AI3532">
        <v>0</v>
      </c>
      <c r="AJ3532">
        <v>0</v>
      </c>
      <c r="AK3532">
        <v>0</v>
      </c>
      <c r="AL3532">
        <v>0</v>
      </c>
      <c r="AM3532">
        <v>0</v>
      </c>
    </row>
    <row r="3533" spans="1:39" x14ac:dyDescent="0.2">
      <c r="A3533" t="str">
        <f>"3529"</f>
        <v>3529</v>
      </c>
      <c r="B3533" t="str">
        <f t="shared" si="196"/>
        <v>1</v>
      </c>
      <c r="C3533" t="str">
        <f t="shared" si="195"/>
        <v>71</v>
      </c>
      <c r="D3533" t="str">
        <f>"22"</f>
        <v>22</v>
      </c>
      <c r="E3533" t="str">
        <f>"1-71-22"</f>
        <v>1-71-22</v>
      </c>
      <c r="F3533" t="s">
        <v>65</v>
      </c>
      <c r="G3533" t="s">
        <v>66</v>
      </c>
      <c r="H3533" t="s">
        <v>67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</row>
    <row r="3534" spans="1:39" x14ac:dyDescent="0.2">
      <c r="A3534" t="str">
        <f>"3530"</f>
        <v>3530</v>
      </c>
      <c r="B3534" t="str">
        <f t="shared" si="196"/>
        <v>1</v>
      </c>
      <c r="C3534" t="str">
        <f t="shared" si="195"/>
        <v>71</v>
      </c>
      <c r="D3534" t="str">
        <f>"3"</f>
        <v>3</v>
      </c>
      <c r="E3534" t="str">
        <f>"1-71-3"</f>
        <v>1-71-3</v>
      </c>
      <c r="F3534" t="s">
        <v>65</v>
      </c>
      <c r="G3534" t="s">
        <v>66</v>
      </c>
      <c r="H3534" t="s">
        <v>67</v>
      </c>
      <c r="S3534">
        <v>0</v>
      </c>
      <c r="T3534">
        <v>1</v>
      </c>
      <c r="U3534">
        <v>0</v>
      </c>
      <c r="V3534">
        <v>0</v>
      </c>
      <c r="W3534">
        <v>0</v>
      </c>
      <c r="X3534">
        <v>1</v>
      </c>
      <c r="Y3534">
        <v>0</v>
      </c>
      <c r="Z3534">
        <v>1</v>
      </c>
      <c r="AA3534">
        <v>0</v>
      </c>
      <c r="AB3534">
        <v>0</v>
      </c>
      <c r="AC3534">
        <v>1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1</v>
      </c>
      <c r="AJ3534">
        <v>1</v>
      </c>
      <c r="AK3534">
        <v>0</v>
      </c>
      <c r="AL3534">
        <v>1</v>
      </c>
      <c r="AM3534">
        <v>0</v>
      </c>
    </row>
    <row r="3535" spans="1:39" x14ac:dyDescent="0.2">
      <c r="A3535" t="str">
        <f>"3531"</f>
        <v>3531</v>
      </c>
      <c r="B3535" t="str">
        <f t="shared" si="196"/>
        <v>1</v>
      </c>
      <c r="C3535" t="str">
        <f t="shared" si="195"/>
        <v>71</v>
      </c>
      <c r="D3535" t="str">
        <f>"42"</f>
        <v>42</v>
      </c>
      <c r="E3535" t="str">
        <f>"1-71-42"</f>
        <v>1-71-42</v>
      </c>
      <c r="F3535" t="s">
        <v>65</v>
      </c>
      <c r="G3535" t="s">
        <v>66</v>
      </c>
      <c r="H3535" t="s">
        <v>67</v>
      </c>
      <c r="S3535">
        <v>0</v>
      </c>
      <c r="T3535">
        <v>1</v>
      </c>
      <c r="U3535">
        <v>0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</row>
    <row r="3536" spans="1:39" x14ac:dyDescent="0.2">
      <c r="A3536" t="str">
        <f>"3532"</f>
        <v>3532</v>
      </c>
      <c r="B3536" t="str">
        <f t="shared" si="196"/>
        <v>1</v>
      </c>
      <c r="C3536" t="str">
        <f t="shared" si="195"/>
        <v>71</v>
      </c>
      <c r="D3536" t="str">
        <f>"23"</f>
        <v>23</v>
      </c>
      <c r="E3536" t="str">
        <f>"1-71-23"</f>
        <v>1-71-23</v>
      </c>
      <c r="F3536" t="s">
        <v>65</v>
      </c>
      <c r="G3536" t="s">
        <v>66</v>
      </c>
      <c r="H3536" t="s">
        <v>67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0</v>
      </c>
      <c r="AB3536">
        <v>1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1</v>
      </c>
      <c r="AI3536">
        <v>0</v>
      </c>
      <c r="AJ3536">
        <v>0</v>
      </c>
      <c r="AK3536">
        <v>0</v>
      </c>
      <c r="AL3536">
        <v>0</v>
      </c>
      <c r="AM3536">
        <v>0</v>
      </c>
    </row>
    <row r="3537" spans="1:39" x14ac:dyDescent="0.2">
      <c r="A3537" t="str">
        <f>"3533"</f>
        <v>3533</v>
      </c>
      <c r="B3537" t="str">
        <f t="shared" si="196"/>
        <v>1</v>
      </c>
      <c r="C3537" t="str">
        <f t="shared" ref="C3537:C3554" si="197">"71"</f>
        <v>71</v>
      </c>
      <c r="D3537" t="str">
        <f>"11"</f>
        <v>11</v>
      </c>
      <c r="E3537" t="str">
        <f>"1-71-11"</f>
        <v>1-71-11</v>
      </c>
      <c r="F3537" t="s">
        <v>65</v>
      </c>
      <c r="G3537" t="s">
        <v>66</v>
      </c>
      <c r="H3537" t="s">
        <v>67</v>
      </c>
      <c r="S3537">
        <v>1</v>
      </c>
      <c r="T3537">
        <v>0</v>
      </c>
      <c r="U3537">
        <v>0</v>
      </c>
      <c r="V3537">
        <v>0</v>
      </c>
      <c r="W3537">
        <v>1</v>
      </c>
      <c r="X3537">
        <v>0</v>
      </c>
      <c r="Y3537">
        <v>0</v>
      </c>
      <c r="Z3537">
        <v>1</v>
      </c>
      <c r="AA3537">
        <v>0</v>
      </c>
      <c r="AB3537">
        <v>1</v>
      </c>
      <c r="AC3537">
        <v>0</v>
      </c>
      <c r="AD3537">
        <v>1</v>
      </c>
      <c r="AE3537">
        <v>1</v>
      </c>
      <c r="AF3537">
        <v>1</v>
      </c>
      <c r="AG3537">
        <v>1</v>
      </c>
      <c r="AH3537">
        <v>1</v>
      </c>
      <c r="AI3537">
        <v>1</v>
      </c>
      <c r="AJ3537">
        <v>1</v>
      </c>
      <c r="AK3537">
        <v>1</v>
      </c>
      <c r="AL3537">
        <v>1</v>
      </c>
      <c r="AM3537">
        <v>1</v>
      </c>
    </row>
    <row r="3538" spans="1:39" x14ac:dyDescent="0.2">
      <c r="A3538" t="str">
        <f>"3534"</f>
        <v>3534</v>
      </c>
      <c r="B3538" t="str">
        <f t="shared" si="196"/>
        <v>1</v>
      </c>
      <c r="C3538" t="str">
        <f t="shared" si="197"/>
        <v>71</v>
      </c>
      <c r="D3538" t="str">
        <f>"43"</f>
        <v>43</v>
      </c>
      <c r="E3538" t="str">
        <f>"1-71-43"</f>
        <v>1-71-43</v>
      </c>
      <c r="F3538" t="s">
        <v>65</v>
      </c>
      <c r="G3538" t="s">
        <v>66</v>
      </c>
      <c r="H3538" t="s">
        <v>67</v>
      </c>
      <c r="S3538">
        <v>1</v>
      </c>
      <c r="T3538">
        <v>0</v>
      </c>
      <c r="U3538">
        <v>0</v>
      </c>
      <c r="V3538">
        <v>0</v>
      </c>
      <c r="W3538">
        <v>0</v>
      </c>
      <c r="X3538">
        <v>1</v>
      </c>
      <c r="Y3538">
        <v>1</v>
      </c>
      <c r="Z3538">
        <v>0</v>
      </c>
      <c r="AA3538">
        <v>0</v>
      </c>
      <c r="AB3538">
        <v>1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</row>
    <row r="3539" spans="1:39" x14ac:dyDescent="0.2">
      <c r="A3539" t="str">
        <f>"3535"</f>
        <v>3535</v>
      </c>
      <c r="B3539" t="str">
        <f t="shared" si="196"/>
        <v>1</v>
      </c>
      <c r="C3539" t="str">
        <f t="shared" si="197"/>
        <v>71</v>
      </c>
      <c r="D3539" t="str">
        <f>"25"</f>
        <v>25</v>
      </c>
      <c r="E3539" t="str">
        <f>"1-71-25"</f>
        <v>1-71-25</v>
      </c>
      <c r="F3539" t="s">
        <v>65</v>
      </c>
      <c r="G3539" t="s">
        <v>66</v>
      </c>
      <c r="H3539" t="s">
        <v>67</v>
      </c>
      <c r="S3539">
        <v>1</v>
      </c>
      <c r="T3539">
        <v>0</v>
      </c>
      <c r="U3539">
        <v>0</v>
      </c>
      <c r="V3539">
        <v>0</v>
      </c>
      <c r="W3539">
        <v>1</v>
      </c>
      <c r="X3539">
        <v>0</v>
      </c>
      <c r="Y3539">
        <v>1</v>
      </c>
      <c r="Z3539">
        <v>0</v>
      </c>
      <c r="AA3539">
        <v>1</v>
      </c>
      <c r="AB3539">
        <v>0</v>
      </c>
      <c r="AC3539">
        <v>0</v>
      </c>
      <c r="AD3539">
        <v>0</v>
      </c>
      <c r="AE3539">
        <v>1</v>
      </c>
      <c r="AF3539">
        <v>1</v>
      </c>
      <c r="AG3539">
        <v>1</v>
      </c>
      <c r="AH3539">
        <v>1</v>
      </c>
      <c r="AI3539">
        <v>1</v>
      </c>
      <c r="AJ3539">
        <v>1</v>
      </c>
      <c r="AK3539">
        <v>1</v>
      </c>
      <c r="AL3539">
        <v>1</v>
      </c>
      <c r="AM3539">
        <v>1</v>
      </c>
    </row>
    <row r="3540" spans="1:39" x14ac:dyDescent="0.2">
      <c r="A3540" t="str">
        <f>"3536"</f>
        <v>3536</v>
      </c>
      <c r="B3540" t="str">
        <f t="shared" si="196"/>
        <v>1</v>
      </c>
      <c r="C3540" t="str">
        <f t="shared" si="197"/>
        <v>71</v>
      </c>
      <c r="D3540" t="str">
        <f>"12"</f>
        <v>12</v>
      </c>
      <c r="E3540" t="str">
        <f>"1-71-12"</f>
        <v>1-71-12</v>
      </c>
      <c r="F3540" t="s">
        <v>65</v>
      </c>
      <c r="G3540" t="s">
        <v>66</v>
      </c>
      <c r="H3540" t="s">
        <v>67</v>
      </c>
      <c r="S3540">
        <v>1</v>
      </c>
      <c r="T3540">
        <v>0</v>
      </c>
      <c r="U3540">
        <v>0</v>
      </c>
      <c r="V3540">
        <v>0</v>
      </c>
      <c r="W3540">
        <v>1</v>
      </c>
      <c r="X3540">
        <v>0</v>
      </c>
      <c r="Y3540">
        <v>1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1</v>
      </c>
      <c r="AF3540">
        <v>1</v>
      </c>
      <c r="AG3540">
        <v>0</v>
      </c>
      <c r="AH3540">
        <v>0</v>
      </c>
      <c r="AI3540">
        <v>0</v>
      </c>
      <c r="AJ3540">
        <v>1</v>
      </c>
      <c r="AK3540">
        <v>1</v>
      </c>
      <c r="AL3540">
        <v>1</v>
      </c>
      <c r="AM3540">
        <v>1</v>
      </c>
    </row>
    <row r="3541" spans="1:39" x14ac:dyDescent="0.2">
      <c r="A3541" t="str">
        <f>"3537"</f>
        <v>3537</v>
      </c>
      <c r="B3541" t="str">
        <f t="shared" si="196"/>
        <v>1</v>
      </c>
      <c r="C3541" t="str">
        <f t="shared" si="197"/>
        <v>71</v>
      </c>
      <c r="D3541" t="str">
        <f>"50"</f>
        <v>50</v>
      </c>
      <c r="E3541" t="str">
        <f>"1-71-50"</f>
        <v>1-71-50</v>
      </c>
      <c r="F3541" t="s">
        <v>65</v>
      </c>
      <c r="G3541" t="s">
        <v>66</v>
      </c>
      <c r="H3541" t="s">
        <v>67</v>
      </c>
      <c r="S3541">
        <v>1</v>
      </c>
      <c r="T3541">
        <v>0</v>
      </c>
      <c r="U3541">
        <v>0</v>
      </c>
      <c r="V3541">
        <v>0</v>
      </c>
      <c r="W3541">
        <v>0</v>
      </c>
      <c r="X3541">
        <v>1</v>
      </c>
      <c r="Y3541">
        <v>1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1</v>
      </c>
      <c r="AF3541">
        <v>1</v>
      </c>
      <c r="AG3541">
        <v>1</v>
      </c>
      <c r="AH3541">
        <v>1</v>
      </c>
      <c r="AI3541">
        <v>1</v>
      </c>
      <c r="AJ3541">
        <v>1</v>
      </c>
      <c r="AK3541">
        <v>1</v>
      </c>
      <c r="AL3541">
        <v>1</v>
      </c>
      <c r="AM3541">
        <v>1</v>
      </c>
    </row>
    <row r="3542" spans="1:39" x14ac:dyDescent="0.2">
      <c r="A3542" t="str">
        <f>"3538"</f>
        <v>3538</v>
      </c>
      <c r="B3542" t="str">
        <f t="shared" si="196"/>
        <v>1</v>
      </c>
      <c r="C3542" t="str">
        <f t="shared" si="197"/>
        <v>71</v>
      </c>
      <c r="D3542" t="str">
        <f>"8"</f>
        <v>8</v>
      </c>
      <c r="E3542" t="str">
        <f>"1-71-8"</f>
        <v>1-71-8</v>
      </c>
      <c r="F3542" t="s">
        <v>65</v>
      </c>
      <c r="G3542" t="s">
        <v>66</v>
      </c>
      <c r="H3542" t="s">
        <v>67</v>
      </c>
      <c r="S3542">
        <v>0</v>
      </c>
      <c r="T3542">
        <v>1</v>
      </c>
      <c r="U3542">
        <v>0</v>
      </c>
      <c r="V3542">
        <v>0</v>
      </c>
      <c r="W3542">
        <v>0</v>
      </c>
      <c r="X3542">
        <v>1</v>
      </c>
      <c r="Y3542">
        <v>0</v>
      </c>
      <c r="Z3542">
        <v>1</v>
      </c>
      <c r="AA3542">
        <v>0</v>
      </c>
      <c r="AB3542">
        <v>0</v>
      </c>
      <c r="AC3542">
        <v>1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</row>
    <row r="3543" spans="1:39" x14ac:dyDescent="0.2">
      <c r="A3543" t="str">
        <f>"3539"</f>
        <v>3539</v>
      </c>
      <c r="B3543" t="str">
        <f t="shared" si="196"/>
        <v>1</v>
      </c>
      <c r="C3543" t="str">
        <f t="shared" si="197"/>
        <v>71</v>
      </c>
      <c r="D3543" t="str">
        <f>"46"</f>
        <v>46</v>
      </c>
      <c r="E3543" t="str">
        <f>"1-71-46"</f>
        <v>1-71-46</v>
      </c>
      <c r="F3543" t="s">
        <v>65</v>
      </c>
      <c r="G3543" t="s">
        <v>66</v>
      </c>
      <c r="H3543" t="s">
        <v>68</v>
      </c>
      <c r="I3543">
        <v>1</v>
      </c>
      <c r="J3543">
        <v>1</v>
      </c>
      <c r="K3543">
        <v>0</v>
      </c>
      <c r="L3543">
        <v>0</v>
      </c>
      <c r="M3543">
        <v>1</v>
      </c>
      <c r="N3543">
        <v>1</v>
      </c>
      <c r="O3543">
        <v>1</v>
      </c>
      <c r="P3543">
        <v>1</v>
      </c>
      <c r="Q3543">
        <v>1</v>
      </c>
      <c r="R3543">
        <v>1</v>
      </c>
    </row>
    <row r="3544" spans="1:39" x14ac:dyDescent="0.2">
      <c r="A3544" t="str">
        <f>"3540"</f>
        <v>3540</v>
      </c>
      <c r="B3544" t="str">
        <f t="shared" si="196"/>
        <v>1</v>
      </c>
      <c r="C3544" t="str">
        <f t="shared" si="197"/>
        <v>71</v>
      </c>
      <c r="D3544" t="str">
        <f>"27"</f>
        <v>27</v>
      </c>
      <c r="E3544" t="str">
        <f>"1-71-27"</f>
        <v>1-71-27</v>
      </c>
      <c r="F3544" t="s">
        <v>65</v>
      </c>
      <c r="G3544" t="s">
        <v>66</v>
      </c>
      <c r="H3544" t="s">
        <v>67</v>
      </c>
      <c r="S3544">
        <v>1</v>
      </c>
      <c r="T3544">
        <v>0</v>
      </c>
      <c r="U3544">
        <v>0</v>
      </c>
      <c r="V3544">
        <v>0</v>
      </c>
      <c r="W3544">
        <v>1</v>
      </c>
      <c r="X3544">
        <v>0</v>
      </c>
      <c r="Y3544">
        <v>1</v>
      </c>
      <c r="Z3544">
        <v>0</v>
      </c>
      <c r="AA3544">
        <v>0</v>
      </c>
      <c r="AB3544">
        <v>0</v>
      </c>
      <c r="AC3544">
        <v>1</v>
      </c>
      <c r="AD3544">
        <v>1</v>
      </c>
      <c r="AE3544">
        <v>1</v>
      </c>
      <c r="AF3544">
        <v>1</v>
      </c>
      <c r="AG3544">
        <v>1</v>
      </c>
      <c r="AH3544">
        <v>1</v>
      </c>
      <c r="AI3544">
        <v>1</v>
      </c>
      <c r="AJ3544">
        <v>1</v>
      </c>
      <c r="AK3544">
        <v>1</v>
      </c>
      <c r="AL3544">
        <v>1</v>
      </c>
      <c r="AM3544">
        <v>1</v>
      </c>
    </row>
    <row r="3545" spans="1:39" x14ac:dyDescent="0.2">
      <c r="A3545" t="str">
        <f>"3541"</f>
        <v>3541</v>
      </c>
      <c r="B3545" t="str">
        <f t="shared" si="196"/>
        <v>1</v>
      </c>
      <c r="C3545" t="str">
        <f t="shared" si="197"/>
        <v>71</v>
      </c>
      <c r="D3545" t="str">
        <f>"10"</f>
        <v>10</v>
      </c>
      <c r="E3545" t="str">
        <f>"1-71-10"</f>
        <v>1-71-10</v>
      </c>
      <c r="F3545" t="s">
        <v>65</v>
      </c>
      <c r="G3545" t="s">
        <v>66</v>
      </c>
      <c r="H3545" t="s">
        <v>67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1</v>
      </c>
      <c r="Y3545">
        <v>1</v>
      </c>
      <c r="Z3545">
        <v>0</v>
      </c>
      <c r="AA3545">
        <v>0</v>
      </c>
      <c r="AB3545">
        <v>0</v>
      </c>
      <c r="AC3545">
        <v>1</v>
      </c>
      <c r="AD3545">
        <v>0</v>
      </c>
      <c r="AE3545">
        <v>0</v>
      </c>
      <c r="AF3545">
        <v>0</v>
      </c>
      <c r="AG3545">
        <v>0</v>
      </c>
      <c r="AH3545">
        <v>1</v>
      </c>
      <c r="AI3545">
        <v>0</v>
      </c>
      <c r="AJ3545">
        <v>0</v>
      </c>
      <c r="AK3545">
        <v>0</v>
      </c>
      <c r="AL3545">
        <v>0</v>
      </c>
      <c r="AM3545">
        <v>0</v>
      </c>
    </row>
    <row r="3546" spans="1:39" x14ac:dyDescent="0.2">
      <c r="A3546" t="str">
        <f>"3542"</f>
        <v>3542</v>
      </c>
      <c r="B3546" t="str">
        <f t="shared" si="196"/>
        <v>1</v>
      </c>
      <c r="C3546" t="str">
        <f t="shared" si="197"/>
        <v>71</v>
      </c>
      <c r="D3546" t="str">
        <f>"47"</f>
        <v>47</v>
      </c>
      <c r="E3546" t="str">
        <f>"1-71-47"</f>
        <v>1-71-47</v>
      </c>
      <c r="F3546" t="s">
        <v>65</v>
      </c>
      <c r="G3546" t="s">
        <v>66</v>
      </c>
      <c r="H3546" t="s">
        <v>68</v>
      </c>
      <c r="I3546">
        <v>1</v>
      </c>
      <c r="J3546">
        <v>1</v>
      </c>
      <c r="K3546">
        <v>0</v>
      </c>
      <c r="L3546">
        <v>0</v>
      </c>
      <c r="M3546">
        <v>1</v>
      </c>
      <c r="N3546">
        <v>1</v>
      </c>
      <c r="O3546">
        <v>1</v>
      </c>
      <c r="P3546">
        <v>1</v>
      </c>
      <c r="Q3546">
        <v>1</v>
      </c>
      <c r="R3546">
        <v>1</v>
      </c>
    </row>
    <row r="3547" spans="1:39" x14ac:dyDescent="0.2">
      <c r="A3547" t="str">
        <f>"3543"</f>
        <v>3543</v>
      </c>
      <c r="B3547" t="str">
        <f t="shared" si="196"/>
        <v>1</v>
      </c>
      <c r="C3547" t="str">
        <f t="shared" si="197"/>
        <v>71</v>
      </c>
      <c r="D3547" t="str">
        <f>"28"</f>
        <v>28</v>
      </c>
      <c r="E3547" t="str">
        <f>"1-71-28"</f>
        <v>1-71-28</v>
      </c>
      <c r="F3547" t="s">
        <v>65</v>
      </c>
      <c r="G3547" t="s">
        <v>66</v>
      </c>
      <c r="H3547" t="s">
        <v>67</v>
      </c>
      <c r="S3547">
        <v>1</v>
      </c>
      <c r="T3547">
        <v>0</v>
      </c>
      <c r="U3547">
        <v>0</v>
      </c>
      <c r="V3547">
        <v>0</v>
      </c>
      <c r="W3547">
        <v>1</v>
      </c>
      <c r="X3547">
        <v>0</v>
      </c>
      <c r="Y3547">
        <v>0</v>
      </c>
      <c r="Z3547">
        <v>1</v>
      </c>
      <c r="AA3547">
        <v>1</v>
      </c>
      <c r="AB3547">
        <v>0</v>
      </c>
      <c r="AC3547">
        <v>0</v>
      </c>
      <c r="AD3547">
        <v>0</v>
      </c>
      <c r="AE3547">
        <v>1</v>
      </c>
      <c r="AF3547">
        <v>1</v>
      </c>
      <c r="AG3547">
        <v>1</v>
      </c>
      <c r="AH3547">
        <v>1</v>
      </c>
      <c r="AI3547">
        <v>1</v>
      </c>
      <c r="AJ3547">
        <v>1</v>
      </c>
      <c r="AK3547">
        <v>1</v>
      </c>
      <c r="AL3547">
        <v>1</v>
      </c>
      <c r="AM3547">
        <v>1</v>
      </c>
    </row>
    <row r="3548" spans="1:39" x14ac:dyDescent="0.2">
      <c r="A3548" t="str">
        <f>"3544"</f>
        <v>3544</v>
      </c>
      <c r="B3548" t="str">
        <f t="shared" si="196"/>
        <v>1</v>
      </c>
      <c r="C3548" t="str">
        <f t="shared" si="197"/>
        <v>71</v>
      </c>
      <c r="D3548" t="str">
        <f>"2"</f>
        <v>2</v>
      </c>
      <c r="E3548" t="str">
        <f>"1-71-2"</f>
        <v>1-71-2</v>
      </c>
      <c r="F3548" t="s">
        <v>65</v>
      </c>
      <c r="G3548" t="s">
        <v>66</v>
      </c>
      <c r="H3548" t="s">
        <v>67</v>
      </c>
      <c r="S3548">
        <v>0</v>
      </c>
      <c r="T3548">
        <v>1</v>
      </c>
      <c r="U3548">
        <v>0</v>
      </c>
      <c r="V3548">
        <v>0</v>
      </c>
      <c r="W3548">
        <v>1</v>
      </c>
      <c r="X3548">
        <v>0</v>
      </c>
      <c r="Y3548">
        <v>1</v>
      </c>
      <c r="Z3548">
        <v>0</v>
      </c>
      <c r="AA3548">
        <v>0</v>
      </c>
      <c r="AB3548">
        <v>1</v>
      </c>
      <c r="AC3548">
        <v>0</v>
      </c>
      <c r="AD3548">
        <v>1</v>
      </c>
      <c r="AE3548">
        <v>1</v>
      </c>
      <c r="AF3548">
        <v>1</v>
      </c>
      <c r="AG3548">
        <v>1</v>
      </c>
      <c r="AH3548">
        <v>1</v>
      </c>
      <c r="AI3548">
        <v>1</v>
      </c>
      <c r="AJ3548">
        <v>1</v>
      </c>
      <c r="AK3548">
        <v>1</v>
      </c>
      <c r="AL3548">
        <v>1</v>
      </c>
      <c r="AM3548">
        <v>1</v>
      </c>
    </row>
    <row r="3549" spans="1:39" x14ac:dyDescent="0.2">
      <c r="A3549" t="str">
        <f>"3545"</f>
        <v>3545</v>
      </c>
      <c r="B3549" t="str">
        <f t="shared" si="196"/>
        <v>1</v>
      </c>
      <c r="C3549" t="str">
        <f t="shared" si="197"/>
        <v>71</v>
      </c>
      <c r="D3549" t="str">
        <f>"29"</f>
        <v>29</v>
      </c>
      <c r="E3549" t="str">
        <f>"1-71-29"</f>
        <v>1-71-29</v>
      </c>
      <c r="F3549" t="s">
        <v>65</v>
      </c>
      <c r="G3549" t="s">
        <v>66</v>
      </c>
      <c r="H3549" t="s">
        <v>67</v>
      </c>
      <c r="S3549">
        <v>1</v>
      </c>
      <c r="T3549">
        <v>0</v>
      </c>
      <c r="U3549">
        <v>0</v>
      </c>
      <c r="V3549">
        <v>0</v>
      </c>
      <c r="W3549">
        <v>1</v>
      </c>
      <c r="X3549">
        <v>0</v>
      </c>
      <c r="Y3549">
        <v>1</v>
      </c>
      <c r="Z3549">
        <v>0</v>
      </c>
      <c r="AA3549">
        <v>0</v>
      </c>
      <c r="AB3549">
        <v>0</v>
      </c>
      <c r="AC3549">
        <v>1</v>
      </c>
      <c r="AD3549">
        <v>1</v>
      </c>
      <c r="AE3549">
        <v>1</v>
      </c>
      <c r="AF3549">
        <v>1</v>
      </c>
      <c r="AG3549">
        <v>1</v>
      </c>
      <c r="AH3549">
        <v>1</v>
      </c>
      <c r="AI3549">
        <v>1</v>
      </c>
      <c r="AJ3549">
        <v>1</v>
      </c>
      <c r="AK3549">
        <v>1</v>
      </c>
      <c r="AL3549">
        <v>1</v>
      </c>
      <c r="AM3549">
        <v>1</v>
      </c>
    </row>
    <row r="3550" spans="1:39" x14ac:dyDescent="0.2">
      <c r="A3550" t="str">
        <f>"3546"</f>
        <v>3546</v>
      </c>
      <c r="B3550" t="str">
        <f t="shared" si="196"/>
        <v>1</v>
      </c>
      <c r="C3550" t="str">
        <f t="shared" si="197"/>
        <v>71</v>
      </c>
      <c r="D3550" t="str">
        <f>"13"</f>
        <v>13</v>
      </c>
      <c r="E3550" t="str">
        <f>"1-71-13"</f>
        <v>1-71-13</v>
      </c>
      <c r="F3550" t="s">
        <v>65</v>
      </c>
      <c r="G3550" t="s">
        <v>66</v>
      </c>
      <c r="H3550" t="s">
        <v>67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0</v>
      </c>
      <c r="AB3550">
        <v>0</v>
      </c>
      <c r="AC3550">
        <v>1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</row>
    <row r="3551" spans="1:39" x14ac:dyDescent="0.2">
      <c r="A3551" t="str">
        <f>"3547"</f>
        <v>3547</v>
      </c>
      <c r="B3551" t="str">
        <f t="shared" si="196"/>
        <v>1</v>
      </c>
      <c r="C3551" t="str">
        <f t="shared" si="197"/>
        <v>71</v>
      </c>
      <c r="D3551" t="str">
        <f>"32"</f>
        <v>32</v>
      </c>
      <c r="E3551" t="str">
        <f>"1-71-32"</f>
        <v>1-71-32</v>
      </c>
      <c r="F3551" t="s">
        <v>65</v>
      </c>
      <c r="G3551" t="s">
        <v>66</v>
      </c>
      <c r="H3551" t="s">
        <v>67</v>
      </c>
      <c r="S3551">
        <v>1</v>
      </c>
      <c r="T3551">
        <v>0</v>
      </c>
      <c r="U3551">
        <v>0</v>
      </c>
      <c r="V3551">
        <v>0</v>
      </c>
      <c r="W3551">
        <v>0</v>
      </c>
      <c r="X3551">
        <v>1</v>
      </c>
      <c r="Y3551">
        <v>0</v>
      </c>
      <c r="Z3551">
        <v>1</v>
      </c>
      <c r="AA3551">
        <v>0</v>
      </c>
      <c r="AB3551">
        <v>1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</row>
    <row r="3552" spans="1:39" x14ac:dyDescent="0.2">
      <c r="A3552" t="str">
        <f>"3548"</f>
        <v>3548</v>
      </c>
      <c r="B3552" t="str">
        <f t="shared" si="196"/>
        <v>1</v>
      </c>
      <c r="C3552" t="str">
        <f t="shared" si="197"/>
        <v>71</v>
      </c>
      <c r="D3552" t="str">
        <f>"5"</f>
        <v>5</v>
      </c>
      <c r="E3552" t="str">
        <f>"1-71-5"</f>
        <v>1-71-5</v>
      </c>
      <c r="F3552" t="s">
        <v>65</v>
      </c>
      <c r="G3552" t="s">
        <v>66</v>
      </c>
      <c r="H3552" t="s">
        <v>67</v>
      </c>
      <c r="S3552">
        <v>0</v>
      </c>
      <c r="T3552">
        <v>1</v>
      </c>
      <c r="U3552">
        <v>0</v>
      </c>
      <c r="V3552">
        <v>0</v>
      </c>
      <c r="W3552">
        <v>1</v>
      </c>
      <c r="X3552">
        <v>0</v>
      </c>
      <c r="Y3552">
        <v>0</v>
      </c>
      <c r="Z3552">
        <v>1</v>
      </c>
      <c r="AA3552">
        <v>1</v>
      </c>
      <c r="AB3552">
        <v>0</v>
      </c>
      <c r="AC3552">
        <v>0</v>
      </c>
      <c r="AD3552">
        <v>1</v>
      </c>
      <c r="AE3552">
        <v>1</v>
      </c>
      <c r="AF3552">
        <v>1</v>
      </c>
      <c r="AG3552">
        <v>1</v>
      </c>
      <c r="AH3552">
        <v>1</v>
      </c>
      <c r="AI3552">
        <v>1</v>
      </c>
      <c r="AJ3552">
        <v>1</v>
      </c>
      <c r="AK3552">
        <v>1</v>
      </c>
      <c r="AL3552">
        <v>1</v>
      </c>
      <c r="AM3552">
        <v>1</v>
      </c>
    </row>
    <row r="3553" spans="1:39" x14ac:dyDescent="0.2">
      <c r="A3553" t="str">
        <f>"3549"</f>
        <v>3549</v>
      </c>
      <c r="B3553" t="str">
        <f t="shared" si="196"/>
        <v>1</v>
      </c>
      <c r="C3553" t="str">
        <f t="shared" si="197"/>
        <v>71</v>
      </c>
      <c r="D3553" t="str">
        <f>"26"</f>
        <v>26</v>
      </c>
      <c r="E3553" t="str">
        <f>"1-71-26"</f>
        <v>1-71-26</v>
      </c>
      <c r="F3553" t="s">
        <v>65</v>
      </c>
      <c r="G3553" t="s">
        <v>66</v>
      </c>
      <c r="H3553" t="s">
        <v>67</v>
      </c>
      <c r="S3553">
        <v>0</v>
      </c>
      <c r="T3553">
        <v>0</v>
      </c>
      <c r="U3553">
        <v>0</v>
      </c>
      <c r="V3553">
        <v>1</v>
      </c>
      <c r="W3553">
        <v>0</v>
      </c>
      <c r="X3553">
        <v>1</v>
      </c>
      <c r="Y3553">
        <v>1</v>
      </c>
      <c r="Z3553">
        <v>0</v>
      </c>
      <c r="AA3553">
        <v>0</v>
      </c>
      <c r="AB3553">
        <v>0</v>
      </c>
      <c r="AC3553">
        <v>1</v>
      </c>
      <c r="AD3553">
        <v>1</v>
      </c>
      <c r="AE3553">
        <v>1</v>
      </c>
      <c r="AF3553">
        <v>1</v>
      </c>
      <c r="AG3553">
        <v>1</v>
      </c>
      <c r="AH3553">
        <v>1</v>
      </c>
      <c r="AI3553">
        <v>1</v>
      </c>
      <c r="AJ3553">
        <v>1</v>
      </c>
      <c r="AK3553">
        <v>1</v>
      </c>
      <c r="AL3553">
        <v>1</v>
      </c>
      <c r="AM3553">
        <v>1</v>
      </c>
    </row>
    <row r="3554" spans="1:39" x14ac:dyDescent="0.2">
      <c r="A3554" t="str">
        <f>"3550"</f>
        <v>3550</v>
      </c>
      <c r="B3554" t="str">
        <f t="shared" si="196"/>
        <v>1</v>
      </c>
      <c r="C3554" t="str">
        <f t="shared" si="197"/>
        <v>71</v>
      </c>
      <c r="D3554" t="str">
        <f>"49"</f>
        <v>49</v>
      </c>
      <c r="E3554" t="str">
        <f>"1-71-49"</f>
        <v>1-71-49</v>
      </c>
      <c r="F3554" t="s">
        <v>65</v>
      </c>
      <c r="G3554" t="s">
        <v>66</v>
      </c>
      <c r="H3554" t="s">
        <v>67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1</v>
      </c>
      <c r="Y3554">
        <v>1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1</v>
      </c>
      <c r="AF3554">
        <v>1</v>
      </c>
      <c r="AG3554">
        <v>1</v>
      </c>
      <c r="AH3554">
        <v>1</v>
      </c>
      <c r="AI3554">
        <v>1</v>
      </c>
      <c r="AJ3554">
        <v>1</v>
      </c>
      <c r="AK3554">
        <v>1</v>
      </c>
      <c r="AL3554">
        <v>1</v>
      </c>
      <c r="AM3554">
        <v>1</v>
      </c>
    </row>
    <row r="3555" spans="1:39" x14ac:dyDescent="0.2">
      <c r="A3555" t="str">
        <f>"3551"</f>
        <v>3551</v>
      </c>
      <c r="B3555" t="str">
        <f t="shared" si="196"/>
        <v>1</v>
      </c>
      <c r="C3555" t="str">
        <f t="shared" ref="C3555:C3586" si="198">"72"</f>
        <v>72</v>
      </c>
      <c r="D3555" t="str">
        <f>"40"</f>
        <v>40</v>
      </c>
      <c r="E3555" t="str">
        <f>"1-72-40"</f>
        <v>1-72-40</v>
      </c>
      <c r="F3555" t="s">
        <v>65</v>
      </c>
      <c r="G3555" t="s">
        <v>66</v>
      </c>
      <c r="H3555" t="s">
        <v>67</v>
      </c>
      <c r="S3555">
        <v>0</v>
      </c>
      <c r="T3555">
        <v>1</v>
      </c>
      <c r="U3555">
        <v>0</v>
      </c>
      <c r="V3555">
        <v>0</v>
      </c>
      <c r="W3555">
        <v>1</v>
      </c>
      <c r="X3555">
        <v>0</v>
      </c>
      <c r="Y3555">
        <v>0</v>
      </c>
      <c r="Z3555">
        <v>1</v>
      </c>
      <c r="AA3555">
        <v>0</v>
      </c>
      <c r="AB3555">
        <v>1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</row>
    <row r="3556" spans="1:39" x14ac:dyDescent="0.2">
      <c r="A3556" t="str">
        <f>"3552"</f>
        <v>3552</v>
      </c>
      <c r="B3556" t="str">
        <f t="shared" si="196"/>
        <v>1</v>
      </c>
      <c r="C3556" t="str">
        <f t="shared" si="198"/>
        <v>72</v>
      </c>
      <c r="D3556" t="str">
        <f>"39"</f>
        <v>39</v>
      </c>
      <c r="E3556" t="str">
        <f>"1-72-39"</f>
        <v>1-72-39</v>
      </c>
      <c r="F3556" t="s">
        <v>65</v>
      </c>
      <c r="G3556" t="s">
        <v>66</v>
      </c>
      <c r="H3556" t="s">
        <v>67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</row>
    <row r="3557" spans="1:39" x14ac:dyDescent="0.2">
      <c r="A3557" t="str">
        <f>"3553"</f>
        <v>3553</v>
      </c>
      <c r="B3557" t="str">
        <f t="shared" si="196"/>
        <v>1</v>
      </c>
      <c r="C3557" t="str">
        <f t="shared" si="198"/>
        <v>72</v>
      </c>
      <c r="D3557" t="str">
        <f>"29"</f>
        <v>29</v>
      </c>
      <c r="E3557" t="str">
        <f>"1-72-29"</f>
        <v>1-72-29</v>
      </c>
      <c r="F3557" t="s">
        <v>65</v>
      </c>
      <c r="G3557" t="s">
        <v>66</v>
      </c>
      <c r="H3557" t="s">
        <v>68</v>
      </c>
      <c r="I3557">
        <v>1</v>
      </c>
      <c r="J3557">
        <v>1</v>
      </c>
      <c r="K3557">
        <v>0</v>
      </c>
      <c r="L3557">
        <v>0</v>
      </c>
      <c r="M3557">
        <v>1</v>
      </c>
      <c r="N3557">
        <v>1</v>
      </c>
      <c r="O3557">
        <v>1</v>
      </c>
      <c r="P3557">
        <v>1</v>
      </c>
      <c r="Q3557">
        <v>1</v>
      </c>
      <c r="R3557">
        <v>1</v>
      </c>
    </row>
    <row r="3558" spans="1:39" x14ac:dyDescent="0.2">
      <c r="A3558" t="str">
        <f>"3554"</f>
        <v>3554</v>
      </c>
      <c r="B3558" t="str">
        <f t="shared" si="196"/>
        <v>1</v>
      </c>
      <c r="C3558" t="str">
        <f t="shared" si="198"/>
        <v>72</v>
      </c>
      <c r="D3558" t="str">
        <f>"28"</f>
        <v>28</v>
      </c>
      <c r="E3558" t="str">
        <f>"1-72-28"</f>
        <v>1-72-28</v>
      </c>
      <c r="F3558" t="s">
        <v>65</v>
      </c>
      <c r="G3558" t="s">
        <v>66</v>
      </c>
      <c r="H3558" t="s">
        <v>68</v>
      </c>
      <c r="I3558">
        <v>1</v>
      </c>
      <c r="J3558">
        <v>0</v>
      </c>
      <c r="K3558">
        <v>0</v>
      </c>
      <c r="L3558">
        <v>0</v>
      </c>
      <c r="M3558">
        <v>1</v>
      </c>
      <c r="N3558">
        <v>0</v>
      </c>
      <c r="O3558">
        <v>0</v>
      </c>
      <c r="P3558">
        <v>0</v>
      </c>
      <c r="Q3558">
        <v>0</v>
      </c>
      <c r="R3558">
        <v>0</v>
      </c>
    </row>
    <row r="3559" spans="1:39" x14ac:dyDescent="0.2">
      <c r="A3559" t="str">
        <f>"3555"</f>
        <v>3555</v>
      </c>
      <c r="B3559" t="str">
        <f t="shared" si="196"/>
        <v>1</v>
      </c>
      <c r="C3559" t="str">
        <f t="shared" si="198"/>
        <v>72</v>
      </c>
      <c r="D3559" t="str">
        <f>"17"</f>
        <v>17</v>
      </c>
      <c r="E3559" t="str">
        <f>"1-72-17"</f>
        <v>1-72-17</v>
      </c>
      <c r="F3559" t="s">
        <v>65</v>
      </c>
      <c r="G3559" t="s">
        <v>66</v>
      </c>
      <c r="H3559" t="s">
        <v>67</v>
      </c>
      <c r="S3559">
        <v>1</v>
      </c>
      <c r="T3559">
        <v>0</v>
      </c>
      <c r="U3559">
        <v>0</v>
      </c>
      <c r="V3559">
        <v>0</v>
      </c>
      <c r="W3559">
        <v>1</v>
      </c>
      <c r="X3559">
        <v>0</v>
      </c>
      <c r="Y3559">
        <v>1</v>
      </c>
      <c r="Z3559">
        <v>0</v>
      </c>
      <c r="AA3559">
        <v>1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</row>
    <row r="3560" spans="1:39" x14ac:dyDescent="0.2">
      <c r="A3560" t="str">
        <f>"3556"</f>
        <v>3556</v>
      </c>
      <c r="B3560" t="str">
        <f t="shared" si="196"/>
        <v>1</v>
      </c>
      <c r="C3560" t="str">
        <f t="shared" si="198"/>
        <v>72</v>
      </c>
      <c r="D3560" t="str">
        <f>"15"</f>
        <v>15</v>
      </c>
      <c r="E3560" t="str">
        <f>"1-72-15"</f>
        <v>1-72-15</v>
      </c>
      <c r="F3560" t="s">
        <v>65</v>
      </c>
      <c r="G3560" t="s">
        <v>66</v>
      </c>
      <c r="H3560" t="s">
        <v>67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1</v>
      </c>
      <c r="Y3560">
        <v>0</v>
      </c>
      <c r="Z3560">
        <v>1</v>
      </c>
      <c r="AA3560">
        <v>0</v>
      </c>
      <c r="AB3560">
        <v>1</v>
      </c>
      <c r="AC3560">
        <v>0</v>
      </c>
      <c r="AD3560">
        <v>1</v>
      </c>
      <c r="AE3560">
        <v>1</v>
      </c>
      <c r="AF3560">
        <v>1</v>
      </c>
      <c r="AG3560">
        <v>1</v>
      </c>
      <c r="AH3560">
        <v>1</v>
      </c>
      <c r="AI3560">
        <v>1</v>
      </c>
      <c r="AJ3560">
        <v>1</v>
      </c>
      <c r="AK3560">
        <v>1</v>
      </c>
      <c r="AL3560">
        <v>1</v>
      </c>
      <c r="AM3560">
        <v>1</v>
      </c>
    </row>
    <row r="3561" spans="1:39" x14ac:dyDescent="0.2">
      <c r="A3561" t="str">
        <f>"3557"</f>
        <v>3557</v>
      </c>
      <c r="B3561" t="str">
        <f t="shared" si="196"/>
        <v>1</v>
      </c>
      <c r="C3561" t="str">
        <f t="shared" si="198"/>
        <v>72</v>
      </c>
      <c r="D3561" t="str">
        <f>"38"</f>
        <v>38</v>
      </c>
      <c r="E3561" t="str">
        <f>"1-72-38"</f>
        <v>1-72-38</v>
      </c>
      <c r="F3561" t="s">
        <v>65</v>
      </c>
      <c r="G3561" t="s">
        <v>66</v>
      </c>
      <c r="H3561" t="s">
        <v>67</v>
      </c>
      <c r="S3561">
        <v>1</v>
      </c>
      <c r="T3561">
        <v>0</v>
      </c>
      <c r="U3561">
        <v>0</v>
      </c>
      <c r="V3561">
        <v>0</v>
      </c>
      <c r="W3561">
        <v>1</v>
      </c>
      <c r="X3561">
        <v>0</v>
      </c>
      <c r="Y3561">
        <v>0</v>
      </c>
      <c r="Z3561">
        <v>1</v>
      </c>
      <c r="AA3561">
        <v>0</v>
      </c>
      <c r="AB3561">
        <v>0</v>
      </c>
      <c r="AC3561">
        <v>1</v>
      </c>
      <c r="AD3561">
        <v>1</v>
      </c>
      <c r="AE3561">
        <v>1</v>
      </c>
      <c r="AF3561">
        <v>1</v>
      </c>
      <c r="AG3561">
        <v>1</v>
      </c>
      <c r="AH3561">
        <v>1</v>
      </c>
      <c r="AI3561">
        <v>1</v>
      </c>
      <c r="AJ3561">
        <v>1</v>
      </c>
      <c r="AK3561">
        <v>1</v>
      </c>
      <c r="AL3561">
        <v>1</v>
      </c>
      <c r="AM3561">
        <v>1</v>
      </c>
    </row>
    <row r="3562" spans="1:39" x14ac:dyDescent="0.2">
      <c r="A3562" t="str">
        <f>"3558"</f>
        <v>3558</v>
      </c>
      <c r="B3562" t="str">
        <f t="shared" si="196"/>
        <v>1</v>
      </c>
      <c r="C3562" t="str">
        <f t="shared" si="198"/>
        <v>72</v>
      </c>
      <c r="D3562" t="str">
        <f>"37"</f>
        <v>37</v>
      </c>
      <c r="E3562" t="str">
        <f>"1-72-37"</f>
        <v>1-72-37</v>
      </c>
      <c r="F3562" t="s">
        <v>65</v>
      </c>
      <c r="G3562" t="s">
        <v>66</v>
      </c>
      <c r="H3562" t="s">
        <v>67</v>
      </c>
      <c r="S3562">
        <v>1</v>
      </c>
      <c r="T3562">
        <v>0</v>
      </c>
      <c r="U3562">
        <v>0</v>
      </c>
      <c r="V3562">
        <v>0</v>
      </c>
      <c r="W3562">
        <v>1</v>
      </c>
      <c r="X3562">
        <v>0</v>
      </c>
      <c r="Y3562">
        <v>0</v>
      </c>
      <c r="Z3562">
        <v>1</v>
      </c>
      <c r="AA3562">
        <v>0</v>
      </c>
      <c r="AB3562">
        <v>0</v>
      </c>
      <c r="AC3562">
        <v>1</v>
      </c>
      <c r="AD3562">
        <v>1</v>
      </c>
      <c r="AE3562">
        <v>1</v>
      </c>
      <c r="AF3562">
        <v>1</v>
      </c>
      <c r="AG3562">
        <v>1</v>
      </c>
      <c r="AH3562">
        <v>1</v>
      </c>
      <c r="AI3562">
        <v>1</v>
      </c>
      <c r="AJ3562">
        <v>1</v>
      </c>
      <c r="AK3562">
        <v>1</v>
      </c>
      <c r="AL3562">
        <v>1</v>
      </c>
      <c r="AM3562">
        <v>1</v>
      </c>
    </row>
    <row r="3563" spans="1:39" x14ac:dyDescent="0.2">
      <c r="A3563" t="str">
        <f>"3559"</f>
        <v>3559</v>
      </c>
      <c r="B3563" t="str">
        <f t="shared" si="196"/>
        <v>1</v>
      </c>
      <c r="C3563" t="str">
        <f t="shared" si="198"/>
        <v>72</v>
      </c>
      <c r="D3563" t="str">
        <f>"26"</f>
        <v>26</v>
      </c>
      <c r="E3563" t="str">
        <f>"1-72-26"</f>
        <v>1-72-26</v>
      </c>
      <c r="F3563" t="s">
        <v>65</v>
      </c>
      <c r="G3563" t="s">
        <v>66</v>
      </c>
      <c r="H3563" t="s">
        <v>67</v>
      </c>
      <c r="S3563">
        <v>0</v>
      </c>
      <c r="T3563">
        <v>1</v>
      </c>
      <c r="U3563">
        <v>0</v>
      </c>
      <c r="V3563">
        <v>0</v>
      </c>
      <c r="W3563">
        <v>0</v>
      </c>
      <c r="X3563">
        <v>1</v>
      </c>
      <c r="Y3563">
        <v>0</v>
      </c>
      <c r="Z3563">
        <v>1</v>
      </c>
      <c r="AA3563">
        <v>0</v>
      </c>
      <c r="AB3563">
        <v>0</v>
      </c>
      <c r="AC3563">
        <v>1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</row>
    <row r="3564" spans="1:39" x14ac:dyDescent="0.2">
      <c r="A3564" t="str">
        <f>"3560"</f>
        <v>3560</v>
      </c>
      <c r="B3564" t="str">
        <f t="shared" si="196"/>
        <v>1</v>
      </c>
      <c r="C3564" t="str">
        <f t="shared" si="198"/>
        <v>72</v>
      </c>
      <c r="D3564" t="str">
        <f>"16"</f>
        <v>16</v>
      </c>
      <c r="E3564" t="str">
        <f>"1-72-16"</f>
        <v>1-72-16</v>
      </c>
      <c r="F3564" t="s">
        <v>65</v>
      </c>
      <c r="G3564" t="s">
        <v>66</v>
      </c>
      <c r="H3564" t="s">
        <v>67</v>
      </c>
      <c r="S3564">
        <v>0</v>
      </c>
      <c r="T3564">
        <v>1</v>
      </c>
      <c r="U3564">
        <v>0</v>
      </c>
      <c r="V3564">
        <v>0</v>
      </c>
      <c r="W3564">
        <v>0</v>
      </c>
      <c r="X3564">
        <v>1</v>
      </c>
      <c r="Y3564">
        <v>0</v>
      </c>
      <c r="Z3564">
        <v>1</v>
      </c>
      <c r="AA3564">
        <v>0</v>
      </c>
      <c r="AB3564">
        <v>0</v>
      </c>
      <c r="AC3564">
        <v>1</v>
      </c>
      <c r="AD3564">
        <v>1</v>
      </c>
      <c r="AE3564">
        <v>1</v>
      </c>
      <c r="AF3564">
        <v>1</v>
      </c>
      <c r="AG3564">
        <v>1</v>
      </c>
      <c r="AH3564">
        <v>1</v>
      </c>
      <c r="AI3564">
        <v>1</v>
      </c>
      <c r="AJ3564">
        <v>1</v>
      </c>
      <c r="AK3564">
        <v>1</v>
      </c>
      <c r="AL3564">
        <v>1</v>
      </c>
      <c r="AM3564">
        <v>1</v>
      </c>
    </row>
    <row r="3565" spans="1:39" x14ac:dyDescent="0.2">
      <c r="A3565" t="str">
        <f>"3561"</f>
        <v>3561</v>
      </c>
      <c r="B3565" t="str">
        <f t="shared" si="196"/>
        <v>1</v>
      </c>
      <c r="C3565" t="str">
        <f t="shared" si="198"/>
        <v>72</v>
      </c>
      <c r="D3565" t="str">
        <f>"2"</f>
        <v>2</v>
      </c>
      <c r="E3565" t="str">
        <f>"1-72-2"</f>
        <v>1-72-2</v>
      </c>
      <c r="F3565" t="s">
        <v>65</v>
      </c>
      <c r="G3565" t="s">
        <v>66</v>
      </c>
      <c r="H3565" t="s">
        <v>67</v>
      </c>
      <c r="S3565">
        <v>0</v>
      </c>
      <c r="T3565">
        <v>1</v>
      </c>
      <c r="U3565">
        <v>0</v>
      </c>
      <c r="V3565">
        <v>0</v>
      </c>
      <c r="W3565">
        <v>1</v>
      </c>
      <c r="X3565">
        <v>0</v>
      </c>
      <c r="Y3565">
        <v>1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1</v>
      </c>
      <c r="AF3565">
        <v>1</v>
      </c>
      <c r="AG3565">
        <v>1</v>
      </c>
      <c r="AH3565">
        <v>1</v>
      </c>
      <c r="AI3565">
        <v>1</v>
      </c>
      <c r="AJ3565">
        <v>1</v>
      </c>
      <c r="AK3565">
        <v>1</v>
      </c>
      <c r="AL3565">
        <v>1</v>
      </c>
      <c r="AM3565">
        <v>1</v>
      </c>
    </row>
    <row r="3566" spans="1:39" x14ac:dyDescent="0.2">
      <c r="A3566" t="str">
        <f>"3562"</f>
        <v>3562</v>
      </c>
      <c r="B3566" t="str">
        <f t="shared" si="196"/>
        <v>1</v>
      </c>
      <c r="C3566" t="str">
        <f t="shared" si="198"/>
        <v>72</v>
      </c>
      <c r="D3566" t="str">
        <f>"49"</f>
        <v>49</v>
      </c>
      <c r="E3566" t="str">
        <f>"1-72-49"</f>
        <v>1-72-49</v>
      </c>
      <c r="F3566" t="s">
        <v>65</v>
      </c>
      <c r="G3566" t="s">
        <v>66</v>
      </c>
      <c r="H3566" t="s">
        <v>67</v>
      </c>
      <c r="S3566">
        <v>0</v>
      </c>
      <c r="T3566">
        <v>1</v>
      </c>
      <c r="U3566">
        <v>0</v>
      </c>
      <c r="V3566">
        <v>0</v>
      </c>
      <c r="W3566">
        <v>1</v>
      </c>
      <c r="X3566">
        <v>0</v>
      </c>
      <c r="Y3566">
        <v>1</v>
      </c>
      <c r="Z3566">
        <v>0</v>
      </c>
      <c r="AA3566">
        <v>1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</row>
    <row r="3567" spans="1:39" x14ac:dyDescent="0.2">
      <c r="A3567" t="str">
        <f>"3563"</f>
        <v>3563</v>
      </c>
      <c r="B3567" t="str">
        <f t="shared" si="196"/>
        <v>1</v>
      </c>
      <c r="C3567" t="str">
        <f t="shared" si="198"/>
        <v>72</v>
      </c>
      <c r="D3567" t="str">
        <f>"18"</f>
        <v>18</v>
      </c>
      <c r="E3567" t="str">
        <f>"1-72-18"</f>
        <v>1-72-18</v>
      </c>
      <c r="F3567" t="s">
        <v>65</v>
      </c>
      <c r="G3567" t="s">
        <v>66</v>
      </c>
      <c r="H3567" t="s">
        <v>67</v>
      </c>
      <c r="S3567">
        <v>0</v>
      </c>
      <c r="T3567">
        <v>0</v>
      </c>
      <c r="U3567">
        <v>0</v>
      </c>
      <c r="V3567">
        <v>0</v>
      </c>
      <c r="W3567">
        <v>1</v>
      </c>
      <c r="X3567">
        <v>0</v>
      </c>
      <c r="Y3567">
        <v>0</v>
      </c>
      <c r="Z3567">
        <v>1</v>
      </c>
      <c r="AA3567">
        <v>1</v>
      </c>
      <c r="AB3567">
        <v>0</v>
      </c>
      <c r="AC3567">
        <v>0</v>
      </c>
      <c r="AD3567">
        <v>0</v>
      </c>
      <c r="AE3567">
        <v>1</v>
      </c>
      <c r="AF3567">
        <v>1</v>
      </c>
      <c r="AG3567">
        <v>1</v>
      </c>
      <c r="AH3567">
        <v>1</v>
      </c>
      <c r="AI3567">
        <v>1</v>
      </c>
      <c r="AJ3567">
        <v>1</v>
      </c>
      <c r="AK3567">
        <v>1</v>
      </c>
      <c r="AL3567">
        <v>1</v>
      </c>
      <c r="AM3567">
        <v>0</v>
      </c>
    </row>
    <row r="3568" spans="1:39" x14ac:dyDescent="0.2">
      <c r="A3568" t="str">
        <f>"3564"</f>
        <v>3564</v>
      </c>
      <c r="B3568" t="str">
        <f t="shared" si="196"/>
        <v>1</v>
      </c>
      <c r="C3568" t="str">
        <f t="shared" si="198"/>
        <v>72</v>
      </c>
      <c r="D3568" t="str">
        <f>"12"</f>
        <v>12</v>
      </c>
      <c r="E3568" t="str">
        <f>"1-72-12"</f>
        <v>1-72-12</v>
      </c>
      <c r="F3568" t="s">
        <v>65</v>
      </c>
      <c r="G3568" t="s">
        <v>66</v>
      </c>
      <c r="H3568" t="s">
        <v>67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</row>
    <row r="3569" spans="1:39" x14ac:dyDescent="0.2">
      <c r="A3569" t="str">
        <f>"3565"</f>
        <v>3565</v>
      </c>
      <c r="B3569" t="str">
        <f t="shared" si="196"/>
        <v>1</v>
      </c>
      <c r="C3569" t="str">
        <f t="shared" si="198"/>
        <v>72</v>
      </c>
      <c r="D3569" t="str">
        <f>"36"</f>
        <v>36</v>
      </c>
      <c r="E3569" t="str">
        <f>"1-72-36"</f>
        <v>1-72-36</v>
      </c>
      <c r="F3569" t="s">
        <v>65</v>
      </c>
      <c r="G3569" t="s">
        <v>66</v>
      </c>
      <c r="H3569" t="s">
        <v>67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0</v>
      </c>
      <c r="AB3569">
        <v>0</v>
      </c>
      <c r="AC3569">
        <v>1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1</v>
      </c>
      <c r="AJ3569">
        <v>1</v>
      </c>
      <c r="AK3569">
        <v>0</v>
      </c>
      <c r="AL3569">
        <v>0</v>
      </c>
      <c r="AM3569">
        <v>0</v>
      </c>
    </row>
    <row r="3570" spans="1:39" x14ac:dyDescent="0.2">
      <c r="A3570" t="str">
        <f>"3566"</f>
        <v>3566</v>
      </c>
      <c r="B3570" t="str">
        <f t="shared" si="196"/>
        <v>1</v>
      </c>
      <c r="C3570" t="str">
        <f t="shared" si="198"/>
        <v>72</v>
      </c>
      <c r="D3570" t="str">
        <f>"19"</f>
        <v>19</v>
      </c>
      <c r="E3570" t="str">
        <f>"1-72-19"</f>
        <v>1-72-19</v>
      </c>
      <c r="F3570" t="s">
        <v>65</v>
      </c>
      <c r="G3570" t="s">
        <v>66</v>
      </c>
      <c r="H3570" t="s">
        <v>67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1</v>
      </c>
      <c r="Y3570">
        <v>0</v>
      </c>
      <c r="Z3570">
        <v>1</v>
      </c>
      <c r="AA3570">
        <v>0</v>
      </c>
      <c r="AB3570">
        <v>0</v>
      </c>
      <c r="AC3570">
        <v>1</v>
      </c>
      <c r="AD3570">
        <v>1</v>
      </c>
      <c r="AE3570">
        <v>1</v>
      </c>
      <c r="AF3570">
        <v>1</v>
      </c>
      <c r="AG3570">
        <v>1</v>
      </c>
      <c r="AH3570">
        <v>1</v>
      </c>
      <c r="AI3570">
        <v>1</v>
      </c>
      <c r="AJ3570">
        <v>1</v>
      </c>
      <c r="AK3570">
        <v>1</v>
      </c>
      <c r="AL3570">
        <v>1</v>
      </c>
      <c r="AM3570">
        <v>1</v>
      </c>
    </row>
    <row r="3571" spans="1:39" x14ac:dyDescent="0.2">
      <c r="A3571" t="str">
        <f>"3567"</f>
        <v>3567</v>
      </c>
      <c r="B3571" t="str">
        <f t="shared" si="196"/>
        <v>1</v>
      </c>
      <c r="C3571" t="str">
        <f t="shared" si="198"/>
        <v>72</v>
      </c>
      <c r="D3571" t="str">
        <f>"5"</f>
        <v>5</v>
      </c>
      <c r="E3571" t="str">
        <f>"1-72-5"</f>
        <v>1-72-5</v>
      </c>
      <c r="F3571" t="s">
        <v>65</v>
      </c>
      <c r="G3571" t="s">
        <v>66</v>
      </c>
      <c r="H3571" t="s">
        <v>67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1</v>
      </c>
      <c r="Y3571">
        <v>0</v>
      </c>
      <c r="Z3571">
        <v>1</v>
      </c>
      <c r="AA3571">
        <v>0</v>
      </c>
      <c r="AB3571">
        <v>0</v>
      </c>
      <c r="AC3571">
        <v>1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</row>
    <row r="3572" spans="1:39" x14ac:dyDescent="0.2">
      <c r="A3572" t="str">
        <f>"3568"</f>
        <v>3568</v>
      </c>
      <c r="B3572" t="str">
        <f t="shared" si="196"/>
        <v>1</v>
      </c>
      <c r="C3572" t="str">
        <f t="shared" si="198"/>
        <v>72</v>
      </c>
      <c r="D3572" t="str">
        <f>"35"</f>
        <v>35</v>
      </c>
      <c r="E3572" t="str">
        <f>"1-72-35"</f>
        <v>1-72-35</v>
      </c>
      <c r="F3572" t="s">
        <v>65</v>
      </c>
      <c r="G3572" t="s">
        <v>66</v>
      </c>
      <c r="H3572" t="s">
        <v>67</v>
      </c>
      <c r="S3572">
        <v>0</v>
      </c>
      <c r="T3572">
        <v>1</v>
      </c>
      <c r="U3572">
        <v>0</v>
      </c>
      <c r="V3572">
        <v>0</v>
      </c>
      <c r="W3572">
        <v>1</v>
      </c>
      <c r="X3572">
        <v>0</v>
      </c>
      <c r="Y3572">
        <v>1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1</v>
      </c>
      <c r="AI3572">
        <v>1</v>
      </c>
      <c r="AJ3572">
        <v>1</v>
      </c>
      <c r="AK3572">
        <v>0</v>
      </c>
      <c r="AL3572">
        <v>1</v>
      </c>
      <c r="AM3572">
        <v>1</v>
      </c>
    </row>
    <row r="3573" spans="1:39" x14ac:dyDescent="0.2">
      <c r="A3573" t="str">
        <f>"3569"</f>
        <v>3569</v>
      </c>
      <c r="B3573" t="str">
        <f t="shared" si="196"/>
        <v>1</v>
      </c>
      <c r="C3573" t="str">
        <f t="shared" si="198"/>
        <v>72</v>
      </c>
      <c r="D3573" t="str">
        <f>"20"</f>
        <v>20</v>
      </c>
      <c r="E3573" t="str">
        <f>"1-72-20"</f>
        <v>1-72-20</v>
      </c>
      <c r="F3573" t="s">
        <v>65</v>
      </c>
      <c r="G3573" t="s">
        <v>66</v>
      </c>
      <c r="H3573" t="s">
        <v>67</v>
      </c>
      <c r="S3573">
        <v>1</v>
      </c>
      <c r="T3573">
        <v>0</v>
      </c>
      <c r="U3573">
        <v>0</v>
      </c>
      <c r="V3573">
        <v>0</v>
      </c>
      <c r="W3573">
        <v>1</v>
      </c>
      <c r="X3573">
        <v>0</v>
      </c>
      <c r="Y3573">
        <v>1</v>
      </c>
      <c r="Z3573">
        <v>0</v>
      </c>
      <c r="AA3573">
        <v>0</v>
      </c>
      <c r="AB3573">
        <v>0</v>
      </c>
      <c r="AC3573">
        <v>1</v>
      </c>
      <c r="AD3573">
        <v>1</v>
      </c>
      <c r="AE3573">
        <v>1</v>
      </c>
      <c r="AF3573">
        <v>1</v>
      </c>
      <c r="AG3573">
        <v>1</v>
      </c>
      <c r="AH3573">
        <v>1</v>
      </c>
      <c r="AI3573">
        <v>1</v>
      </c>
      <c r="AJ3573">
        <v>1</v>
      </c>
      <c r="AK3573">
        <v>1</v>
      </c>
      <c r="AL3573">
        <v>1</v>
      </c>
      <c r="AM3573">
        <v>1</v>
      </c>
    </row>
    <row r="3574" spans="1:39" x14ac:dyDescent="0.2">
      <c r="A3574" t="str">
        <f>"3570"</f>
        <v>3570</v>
      </c>
      <c r="B3574" t="str">
        <f t="shared" si="196"/>
        <v>1</v>
      </c>
      <c r="C3574" t="str">
        <f t="shared" si="198"/>
        <v>72</v>
      </c>
      <c r="D3574" t="str">
        <f>"14"</f>
        <v>14</v>
      </c>
      <c r="E3574" t="str">
        <f>"1-72-14"</f>
        <v>1-72-14</v>
      </c>
      <c r="F3574" t="s">
        <v>65</v>
      </c>
      <c r="G3574" t="s">
        <v>66</v>
      </c>
      <c r="H3574" t="s">
        <v>67</v>
      </c>
      <c r="S3574">
        <v>1</v>
      </c>
      <c r="T3574">
        <v>0</v>
      </c>
      <c r="U3574">
        <v>0</v>
      </c>
      <c r="V3574">
        <v>0</v>
      </c>
      <c r="W3574">
        <v>1</v>
      </c>
      <c r="X3574">
        <v>0</v>
      </c>
      <c r="Y3574">
        <v>1</v>
      </c>
      <c r="Z3574">
        <v>0</v>
      </c>
      <c r="AA3574">
        <v>0</v>
      </c>
      <c r="AB3574">
        <v>1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</row>
    <row r="3575" spans="1:39" x14ac:dyDescent="0.2">
      <c r="A3575" t="str">
        <f>"3571"</f>
        <v>3571</v>
      </c>
      <c r="B3575" t="str">
        <f t="shared" ref="B3575:B3638" si="199">"1"</f>
        <v>1</v>
      </c>
      <c r="C3575" t="str">
        <f t="shared" si="198"/>
        <v>72</v>
      </c>
      <c r="D3575" t="str">
        <f>"48"</f>
        <v>48</v>
      </c>
      <c r="E3575" t="str">
        <f>"1-72-48"</f>
        <v>1-72-48</v>
      </c>
      <c r="F3575" t="s">
        <v>65</v>
      </c>
      <c r="G3575" t="s">
        <v>66</v>
      </c>
      <c r="H3575" t="s">
        <v>67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</row>
    <row r="3576" spans="1:39" x14ac:dyDescent="0.2">
      <c r="A3576" t="str">
        <f>"3572"</f>
        <v>3572</v>
      </c>
      <c r="B3576" t="str">
        <f t="shared" si="199"/>
        <v>1</v>
      </c>
      <c r="C3576" t="str">
        <f t="shared" si="198"/>
        <v>72</v>
      </c>
      <c r="D3576" t="str">
        <f>"47"</f>
        <v>47</v>
      </c>
      <c r="E3576" t="str">
        <f>"1-72-47"</f>
        <v>1-72-47</v>
      </c>
      <c r="F3576" t="s">
        <v>65</v>
      </c>
      <c r="G3576" t="s">
        <v>66</v>
      </c>
      <c r="H3576" t="s">
        <v>68</v>
      </c>
      <c r="I3576">
        <v>1</v>
      </c>
      <c r="J3576">
        <v>0</v>
      </c>
      <c r="K3576">
        <v>1</v>
      </c>
      <c r="L3576">
        <v>0</v>
      </c>
      <c r="M3576">
        <v>1</v>
      </c>
      <c r="N3576">
        <v>1</v>
      </c>
      <c r="O3576">
        <v>1</v>
      </c>
      <c r="P3576">
        <v>1</v>
      </c>
      <c r="Q3576">
        <v>1</v>
      </c>
      <c r="R3576">
        <v>1</v>
      </c>
    </row>
    <row r="3577" spans="1:39" x14ac:dyDescent="0.2">
      <c r="A3577" t="str">
        <f>"3573"</f>
        <v>3573</v>
      </c>
      <c r="B3577" t="str">
        <f t="shared" si="199"/>
        <v>1</v>
      </c>
      <c r="C3577" t="str">
        <f t="shared" si="198"/>
        <v>72</v>
      </c>
      <c r="D3577" t="str">
        <f>"34"</f>
        <v>34</v>
      </c>
      <c r="E3577" t="str">
        <f>"1-72-34"</f>
        <v>1-72-34</v>
      </c>
      <c r="F3577" t="s">
        <v>65</v>
      </c>
      <c r="G3577" t="s">
        <v>66</v>
      </c>
      <c r="H3577" t="s">
        <v>68</v>
      </c>
      <c r="I3577">
        <v>1</v>
      </c>
      <c r="J3577">
        <v>0</v>
      </c>
      <c r="K3577">
        <v>0</v>
      </c>
      <c r="L3577">
        <v>1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39" x14ac:dyDescent="0.2">
      <c r="A3578" t="str">
        <f>"3574"</f>
        <v>3574</v>
      </c>
      <c r="B3578" t="str">
        <f t="shared" si="199"/>
        <v>1</v>
      </c>
      <c r="C3578" t="str">
        <f t="shared" si="198"/>
        <v>72</v>
      </c>
      <c r="D3578" t="str">
        <f>"21"</f>
        <v>21</v>
      </c>
      <c r="E3578" t="str">
        <f>"1-72-21"</f>
        <v>1-72-21</v>
      </c>
      <c r="F3578" t="s">
        <v>65</v>
      </c>
      <c r="G3578" t="s">
        <v>66</v>
      </c>
      <c r="H3578" t="s">
        <v>67</v>
      </c>
      <c r="S3578">
        <v>1</v>
      </c>
      <c r="T3578">
        <v>0</v>
      </c>
      <c r="U3578">
        <v>0</v>
      </c>
      <c r="V3578">
        <v>0</v>
      </c>
      <c r="W3578">
        <v>1</v>
      </c>
      <c r="X3578">
        <v>0</v>
      </c>
      <c r="Y3578">
        <v>1</v>
      </c>
      <c r="Z3578">
        <v>0</v>
      </c>
      <c r="AA3578">
        <v>0</v>
      </c>
      <c r="AB3578">
        <v>1</v>
      </c>
      <c r="AC3578">
        <v>0</v>
      </c>
      <c r="AD3578">
        <v>1</v>
      </c>
      <c r="AE3578">
        <v>1</v>
      </c>
      <c r="AF3578">
        <v>1</v>
      </c>
      <c r="AG3578">
        <v>1</v>
      </c>
      <c r="AH3578">
        <v>1</v>
      </c>
      <c r="AI3578">
        <v>1</v>
      </c>
      <c r="AJ3578">
        <v>1</v>
      </c>
      <c r="AK3578">
        <v>1</v>
      </c>
      <c r="AL3578">
        <v>1</v>
      </c>
      <c r="AM3578">
        <v>1</v>
      </c>
    </row>
    <row r="3579" spans="1:39" x14ac:dyDescent="0.2">
      <c r="A3579" t="str">
        <f>"3575"</f>
        <v>3575</v>
      </c>
      <c r="B3579" t="str">
        <f t="shared" si="199"/>
        <v>1</v>
      </c>
      <c r="C3579" t="str">
        <f t="shared" si="198"/>
        <v>72</v>
      </c>
      <c r="D3579" t="str">
        <f>"8"</f>
        <v>8</v>
      </c>
      <c r="E3579" t="str">
        <f>"1-72-8"</f>
        <v>1-72-8</v>
      </c>
      <c r="F3579" t="s">
        <v>65</v>
      </c>
      <c r="G3579" t="s">
        <v>66</v>
      </c>
      <c r="H3579" t="s">
        <v>67</v>
      </c>
      <c r="S3579">
        <v>0</v>
      </c>
      <c r="T3579">
        <v>1</v>
      </c>
      <c r="U3579">
        <v>0</v>
      </c>
      <c r="V3579">
        <v>0</v>
      </c>
      <c r="W3579">
        <v>1</v>
      </c>
      <c r="X3579">
        <v>0</v>
      </c>
      <c r="Y3579">
        <v>1</v>
      </c>
      <c r="Z3579">
        <v>0</v>
      </c>
      <c r="AA3579">
        <v>1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1</v>
      </c>
      <c r="AL3579">
        <v>1</v>
      </c>
      <c r="AM3579">
        <v>0</v>
      </c>
    </row>
    <row r="3580" spans="1:39" x14ac:dyDescent="0.2">
      <c r="A3580" t="str">
        <f>"3576"</f>
        <v>3576</v>
      </c>
      <c r="B3580" t="str">
        <f t="shared" si="199"/>
        <v>1</v>
      </c>
      <c r="C3580" t="str">
        <f t="shared" si="198"/>
        <v>72</v>
      </c>
      <c r="D3580" t="str">
        <f>"42"</f>
        <v>42</v>
      </c>
      <c r="E3580" t="str">
        <f>"1-72-42"</f>
        <v>1-72-42</v>
      </c>
      <c r="F3580" t="s">
        <v>65</v>
      </c>
      <c r="G3580" t="s">
        <v>66</v>
      </c>
      <c r="H3580" t="s">
        <v>67</v>
      </c>
      <c r="S3580">
        <v>1</v>
      </c>
      <c r="T3580">
        <v>0</v>
      </c>
      <c r="U3580">
        <v>0</v>
      </c>
      <c r="V3580">
        <v>0</v>
      </c>
      <c r="W3580">
        <v>1</v>
      </c>
      <c r="X3580">
        <v>0</v>
      </c>
      <c r="Y3580">
        <v>1</v>
      </c>
      <c r="Z3580">
        <v>0</v>
      </c>
      <c r="AA3580">
        <v>1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1</v>
      </c>
      <c r="AH3580">
        <v>0</v>
      </c>
      <c r="AI3580">
        <v>1</v>
      </c>
      <c r="AJ3580">
        <v>0</v>
      </c>
      <c r="AK3580">
        <v>0</v>
      </c>
      <c r="AL3580">
        <v>0</v>
      </c>
      <c r="AM3580">
        <v>0</v>
      </c>
    </row>
    <row r="3581" spans="1:39" x14ac:dyDescent="0.2">
      <c r="A3581" t="str">
        <f>"3577"</f>
        <v>3577</v>
      </c>
      <c r="B3581" t="str">
        <f t="shared" si="199"/>
        <v>1</v>
      </c>
      <c r="C3581" t="str">
        <f t="shared" si="198"/>
        <v>72</v>
      </c>
      <c r="D3581" t="str">
        <f>"22"</f>
        <v>22</v>
      </c>
      <c r="E3581" t="str">
        <f>"1-72-22"</f>
        <v>1-72-22</v>
      </c>
      <c r="F3581" t="s">
        <v>65</v>
      </c>
      <c r="G3581" t="s">
        <v>66</v>
      </c>
      <c r="H3581" t="s">
        <v>67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1</v>
      </c>
      <c r="Y3581">
        <v>0</v>
      </c>
      <c r="Z3581">
        <v>1</v>
      </c>
      <c r="AA3581">
        <v>0</v>
      </c>
      <c r="AB3581">
        <v>1</v>
      </c>
      <c r="AC3581">
        <v>0</v>
      </c>
      <c r="AD3581">
        <v>1</v>
      </c>
      <c r="AE3581">
        <v>0</v>
      </c>
      <c r="AF3581">
        <v>1</v>
      </c>
      <c r="AG3581">
        <v>1</v>
      </c>
      <c r="AH3581">
        <v>1</v>
      </c>
      <c r="AI3581">
        <v>0</v>
      </c>
      <c r="AJ3581">
        <v>0</v>
      </c>
      <c r="AK3581">
        <v>0</v>
      </c>
      <c r="AL3581">
        <v>1</v>
      </c>
      <c r="AM3581">
        <v>0</v>
      </c>
    </row>
    <row r="3582" spans="1:39" x14ac:dyDescent="0.2">
      <c r="A3582" t="str">
        <f>"3578"</f>
        <v>3578</v>
      </c>
      <c r="B3582" t="str">
        <f t="shared" si="199"/>
        <v>1</v>
      </c>
      <c r="C3582" t="str">
        <f t="shared" si="198"/>
        <v>72</v>
      </c>
      <c r="D3582" t="str">
        <f>"9"</f>
        <v>9</v>
      </c>
      <c r="E3582" t="str">
        <f>"1-72-9"</f>
        <v>1-72-9</v>
      </c>
      <c r="F3582" t="s">
        <v>65</v>
      </c>
      <c r="G3582" t="s">
        <v>66</v>
      </c>
      <c r="H3582" t="s">
        <v>67</v>
      </c>
      <c r="S3582">
        <v>1</v>
      </c>
      <c r="T3582">
        <v>0</v>
      </c>
      <c r="U3582">
        <v>0</v>
      </c>
      <c r="V3582">
        <v>0</v>
      </c>
      <c r="W3582">
        <v>1</v>
      </c>
      <c r="X3582">
        <v>0</v>
      </c>
      <c r="Y3582">
        <v>0</v>
      </c>
      <c r="Z3582">
        <v>1</v>
      </c>
      <c r="AA3582">
        <v>0</v>
      </c>
      <c r="AB3582">
        <v>1</v>
      </c>
      <c r="AC3582">
        <v>0</v>
      </c>
      <c r="AD3582">
        <v>1</v>
      </c>
      <c r="AE3582">
        <v>1</v>
      </c>
      <c r="AF3582">
        <v>1</v>
      </c>
      <c r="AG3582">
        <v>1</v>
      </c>
      <c r="AH3582">
        <v>1</v>
      </c>
      <c r="AI3582">
        <v>1</v>
      </c>
      <c r="AJ3582">
        <v>1</v>
      </c>
      <c r="AK3582">
        <v>1</v>
      </c>
      <c r="AL3582">
        <v>1</v>
      </c>
      <c r="AM3582">
        <v>1</v>
      </c>
    </row>
    <row r="3583" spans="1:39" x14ac:dyDescent="0.2">
      <c r="A3583" t="str">
        <f>"3579"</f>
        <v>3579</v>
      </c>
      <c r="B3583" t="str">
        <f t="shared" si="199"/>
        <v>1</v>
      </c>
      <c r="C3583" t="str">
        <f t="shared" si="198"/>
        <v>72</v>
      </c>
      <c r="D3583" t="str">
        <f>"43"</f>
        <v>43</v>
      </c>
      <c r="E3583" t="str">
        <f>"1-72-43"</f>
        <v>1-72-43</v>
      </c>
      <c r="F3583" t="s">
        <v>65</v>
      </c>
      <c r="G3583" t="s">
        <v>66</v>
      </c>
      <c r="H3583" t="s">
        <v>67</v>
      </c>
      <c r="S3583">
        <v>0</v>
      </c>
      <c r="T3583">
        <v>1</v>
      </c>
      <c r="U3583">
        <v>0</v>
      </c>
      <c r="V3583">
        <v>0</v>
      </c>
      <c r="W3583">
        <v>1</v>
      </c>
      <c r="X3583">
        <v>0</v>
      </c>
      <c r="Y3583">
        <v>1</v>
      </c>
      <c r="Z3583">
        <v>0</v>
      </c>
      <c r="AA3583">
        <v>1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</row>
    <row r="3584" spans="1:39" x14ac:dyDescent="0.2">
      <c r="A3584" t="str">
        <f>"3580"</f>
        <v>3580</v>
      </c>
      <c r="B3584" t="str">
        <f t="shared" si="199"/>
        <v>1</v>
      </c>
      <c r="C3584" t="str">
        <f t="shared" si="198"/>
        <v>72</v>
      </c>
      <c r="D3584" t="str">
        <f>"23"</f>
        <v>23</v>
      </c>
      <c r="E3584" t="str">
        <f>"1-72-23"</f>
        <v>1-72-23</v>
      </c>
      <c r="F3584" t="s">
        <v>65</v>
      </c>
      <c r="G3584" t="s">
        <v>66</v>
      </c>
      <c r="H3584" t="s">
        <v>67</v>
      </c>
      <c r="S3584">
        <v>0</v>
      </c>
      <c r="T3584">
        <v>1</v>
      </c>
      <c r="U3584">
        <v>0</v>
      </c>
      <c r="V3584">
        <v>0</v>
      </c>
      <c r="W3584">
        <v>1</v>
      </c>
      <c r="X3584">
        <v>0</v>
      </c>
      <c r="Y3584">
        <v>1</v>
      </c>
      <c r="Z3584">
        <v>0</v>
      </c>
      <c r="AA3584">
        <v>1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1</v>
      </c>
      <c r="AL3584">
        <v>1</v>
      </c>
      <c r="AM3584">
        <v>0</v>
      </c>
    </row>
    <row r="3585" spans="1:39" x14ac:dyDescent="0.2">
      <c r="A3585" t="str">
        <f>"3581"</f>
        <v>3581</v>
      </c>
      <c r="B3585" t="str">
        <f t="shared" si="199"/>
        <v>1</v>
      </c>
      <c r="C3585" t="str">
        <f t="shared" si="198"/>
        <v>72</v>
      </c>
      <c r="D3585" t="str">
        <f>"6"</f>
        <v>6</v>
      </c>
      <c r="E3585" t="str">
        <f>"1-72-6"</f>
        <v>1-72-6</v>
      </c>
      <c r="F3585" t="s">
        <v>65</v>
      </c>
      <c r="G3585" t="s">
        <v>66</v>
      </c>
      <c r="H3585" t="s">
        <v>67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</row>
    <row r="3586" spans="1:39" x14ac:dyDescent="0.2">
      <c r="A3586" t="str">
        <f>"3582"</f>
        <v>3582</v>
      </c>
      <c r="B3586" t="str">
        <f t="shared" si="199"/>
        <v>1</v>
      </c>
      <c r="C3586" t="str">
        <f t="shared" si="198"/>
        <v>72</v>
      </c>
      <c r="D3586" t="str">
        <f>"46"</f>
        <v>46</v>
      </c>
      <c r="E3586" t="str">
        <f>"1-72-46"</f>
        <v>1-72-46</v>
      </c>
      <c r="F3586" t="s">
        <v>65</v>
      </c>
      <c r="G3586" t="s">
        <v>66</v>
      </c>
      <c r="H3586" t="s">
        <v>68</v>
      </c>
      <c r="I3586">
        <v>1</v>
      </c>
      <c r="J3586">
        <v>1</v>
      </c>
      <c r="K3586">
        <v>0</v>
      </c>
      <c r="L3586">
        <v>0</v>
      </c>
      <c r="M3586">
        <v>1</v>
      </c>
      <c r="N3586">
        <v>1</v>
      </c>
      <c r="O3586">
        <v>1</v>
      </c>
      <c r="P3586">
        <v>1</v>
      </c>
      <c r="Q3586">
        <v>1</v>
      </c>
      <c r="R3586">
        <v>1</v>
      </c>
    </row>
    <row r="3587" spans="1:39" x14ac:dyDescent="0.2">
      <c r="A3587" t="str">
        <f>"3583"</f>
        <v>3583</v>
      </c>
      <c r="B3587" t="str">
        <f t="shared" si="199"/>
        <v>1</v>
      </c>
      <c r="C3587" t="str">
        <f t="shared" ref="C3587:C3604" si="200">"72"</f>
        <v>72</v>
      </c>
      <c r="D3587" t="str">
        <f>"24"</f>
        <v>24</v>
      </c>
      <c r="E3587" t="str">
        <f>"1-72-24"</f>
        <v>1-72-24</v>
      </c>
      <c r="F3587" t="s">
        <v>65</v>
      </c>
      <c r="G3587" t="s">
        <v>66</v>
      </c>
      <c r="H3587" t="s">
        <v>67</v>
      </c>
      <c r="S3587">
        <v>0</v>
      </c>
      <c r="T3587">
        <v>1</v>
      </c>
      <c r="U3587">
        <v>0</v>
      </c>
      <c r="V3587">
        <v>0</v>
      </c>
      <c r="W3587">
        <v>1</v>
      </c>
      <c r="X3587">
        <v>0</v>
      </c>
      <c r="Y3587">
        <v>1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1</v>
      </c>
      <c r="AF3587">
        <v>1</v>
      </c>
      <c r="AG3587">
        <v>1</v>
      </c>
      <c r="AH3587">
        <v>1</v>
      </c>
      <c r="AI3587">
        <v>1</v>
      </c>
      <c r="AJ3587">
        <v>1</v>
      </c>
      <c r="AK3587">
        <v>1</v>
      </c>
      <c r="AL3587">
        <v>1</v>
      </c>
      <c r="AM3587">
        <v>1</v>
      </c>
    </row>
    <row r="3588" spans="1:39" x14ac:dyDescent="0.2">
      <c r="A3588" t="str">
        <f>"3584"</f>
        <v>3584</v>
      </c>
      <c r="B3588" t="str">
        <f t="shared" si="199"/>
        <v>1</v>
      </c>
      <c r="C3588" t="str">
        <f t="shared" si="200"/>
        <v>72</v>
      </c>
      <c r="D3588" t="str">
        <f>"13"</f>
        <v>13</v>
      </c>
      <c r="E3588" t="str">
        <f>"1-72-13"</f>
        <v>1-72-13</v>
      </c>
      <c r="F3588" t="s">
        <v>65</v>
      </c>
      <c r="G3588" t="s">
        <v>66</v>
      </c>
      <c r="H3588" t="s">
        <v>67</v>
      </c>
      <c r="S3588">
        <v>0</v>
      </c>
      <c r="T3588">
        <v>1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1</v>
      </c>
      <c r="AA3588">
        <v>0</v>
      </c>
      <c r="AB3588">
        <v>0</v>
      </c>
      <c r="AC3588">
        <v>1</v>
      </c>
      <c r="AD3588">
        <v>0</v>
      </c>
      <c r="AE3588">
        <v>0</v>
      </c>
      <c r="AF3588">
        <v>0</v>
      </c>
      <c r="AG3588">
        <v>0</v>
      </c>
      <c r="AH3588">
        <v>1</v>
      </c>
      <c r="AI3588">
        <v>1</v>
      </c>
      <c r="AJ3588">
        <v>1</v>
      </c>
      <c r="AK3588">
        <v>1</v>
      </c>
      <c r="AL3588">
        <v>0</v>
      </c>
      <c r="AM3588">
        <v>1</v>
      </c>
    </row>
    <row r="3589" spans="1:39" x14ac:dyDescent="0.2">
      <c r="A3589" t="str">
        <f>"3585"</f>
        <v>3585</v>
      </c>
      <c r="B3589" t="str">
        <f t="shared" si="199"/>
        <v>1</v>
      </c>
      <c r="C3589" t="str">
        <f t="shared" si="200"/>
        <v>72</v>
      </c>
      <c r="D3589" t="str">
        <f>"45"</f>
        <v>45</v>
      </c>
      <c r="E3589" t="str">
        <f>"1-72-45"</f>
        <v>1-72-45</v>
      </c>
      <c r="F3589" t="s">
        <v>65</v>
      </c>
      <c r="G3589" t="s">
        <v>66</v>
      </c>
      <c r="H3589" t="s">
        <v>68</v>
      </c>
      <c r="I3589">
        <v>1</v>
      </c>
      <c r="J3589">
        <v>0</v>
      </c>
      <c r="K3589">
        <v>0</v>
      </c>
      <c r="L3589">
        <v>1</v>
      </c>
      <c r="M3589">
        <v>1</v>
      </c>
      <c r="N3589">
        <v>1</v>
      </c>
      <c r="O3589">
        <v>1</v>
      </c>
      <c r="P3589">
        <v>1</v>
      </c>
      <c r="Q3589">
        <v>1</v>
      </c>
      <c r="R3589">
        <v>1</v>
      </c>
    </row>
    <row r="3590" spans="1:39" x14ac:dyDescent="0.2">
      <c r="A3590" t="str">
        <f>"3586"</f>
        <v>3586</v>
      </c>
      <c r="B3590" t="str">
        <f t="shared" si="199"/>
        <v>1</v>
      </c>
      <c r="C3590" t="str">
        <f t="shared" si="200"/>
        <v>72</v>
      </c>
      <c r="D3590" t="str">
        <f>"25"</f>
        <v>25</v>
      </c>
      <c r="E3590" t="str">
        <f>"1-72-25"</f>
        <v>1-72-25</v>
      </c>
      <c r="F3590" t="s">
        <v>65</v>
      </c>
      <c r="G3590" t="s">
        <v>66</v>
      </c>
      <c r="H3590" t="s">
        <v>67</v>
      </c>
      <c r="S3590">
        <v>0</v>
      </c>
      <c r="T3590">
        <v>1</v>
      </c>
      <c r="U3590">
        <v>0</v>
      </c>
      <c r="V3590">
        <v>0</v>
      </c>
      <c r="W3590">
        <v>1</v>
      </c>
      <c r="X3590">
        <v>0</v>
      </c>
      <c r="Y3590">
        <v>0</v>
      </c>
      <c r="Z3590">
        <v>1</v>
      </c>
      <c r="AA3590">
        <v>0</v>
      </c>
      <c r="AB3590">
        <v>0</v>
      </c>
      <c r="AC3590">
        <v>1</v>
      </c>
      <c r="AD3590">
        <v>1</v>
      </c>
      <c r="AE3590">
        <v>1</v>
      </c>
      <c r="AF3590">
        <v>1</v>
      </c>
      <c r="AG3590">
        <v>1</v>
      </c>
      <c r="AH3590">
        <v>1</v>
      </c>
      <c r="AI3590">
        <v>1</v>
      </c>
      <c r="AJ3590">
        <v>1</v>
      </c>
      <c r="AK3590">
        <v>1</v>
      </c>
      <c r="AL3590">
        <v>1</v>
      </c>
      <c r="AM3590">
        <v>1</v>
      </c>
    </row>
    <row r="3591" spans="1:39" x14ac:dyDescent="0.2">
      <c r="A3591" t="str">
        <f>"3587"</f>
        <v>3587</v>
      </c>
      <c r="B3591" t="str">
        <f t="shared" si="199"/>
        <v>1</v>
      </c>
      <c r="C3591" t="str">
        <f t="shared" si="200"/>
        <v>72</v>
      </c>
      <c r="D3591" t="str">
        <f>"3"</f>
        <v>3</v>
      </c>
      <c r="E3591" t="str">
        <f>"1-72-3"</f>
        <v>1-72-3</v>
      </c>
      <c r="F3591" t="s">
        <v>65</v>
      </c>
      <c r="G3591" t="s">
        <v>66</v>
      </c>
      <c r="H3591" t="s">
        <v>67</v>
      </c>
      <c r="S3591">
        <v>1</v>
      </c>
      <c r="T3591">
        <v>0</v>
      </c>
      <c r="U3591">
        <v>0</v>
      </c>
      <c r="V3591">
        <v>0</v>
      </c>
      <c r="W3591">
        <v>1</v>
      </c>
      <c r="X3591">
        <v>0</v>
      </c>
      <c r="Y3591">
        <v>0</v>
      </c>
      <c r="Z3591">
        <v>1</v>
      </c>
      <c r="AA3591">
        <v>1</v>
      </c>
      <c r="AB3591">
        <v>0</v>
      </c>
      <c r="AC3591">
        <v>0</v>
      </c>
      <c r="AD3591">
        <v>1</v>
      </c>
      <c r="AE3591">
        <v>1</v>
      </c>
      <c r="AF3591">
        <v>1</v>
      </c>
      <c r="AG3591">
        <v>1</v>
      </c>
      <c r="AH3591">
        <v>1</v>
      </c>
      <c r="AI3591">
        <v>1</v>
      </c>
      <c r="AJ3591">
        <v>1</v>
      </c>
      <c r="AK3591">
        <v>1</v>
      </c>
      <c r="AL3591">
        <v>1</v>
      </c>
      <c r="AM3591">
        <v>1</v>
      </c>
    </row>
    <row r="3592" spans="1:39" x14ac:dyDescent="0.2">
      <c r="A3592" t="str">
        <f>"3588"</f>
        <v>3588</v>
      </c>
      <c r="B3592" t="str">
        <f t="shared" si="199"/>
        <v>1</v>
      </c>
      <c r="C3592" t="str">
        <f t="shared" si="200"/>
        <v>72</v>
      </c>
      <c r="D3592" t="str">
        <f>"41"</f>
        <v>41</v>
      </c>
      <c r="E3592" t="str">
        <f>"1-72-41"</f>
        <v>1-72-41</v>
      </c>
      <c r="F3592" t="s">
        <v>65</v>
      </c>
      <c r="G3592" t="s">
        <v>66</v>
      </c>
      <c r="H3592" t="s">
        <v>67</v>
      </c>
      <c r="S3592">
        <v>1</v>
      </c>
      <c r="T3592">
        <v>0</v>
      </c>
      <c r="U3592">
        <v>0</v>
      </c>
      <c r="V3592">
        <v>0</v>
      </c>
      <c r="W3592">
        <v>1</v>
      </c>
      <c r="X3592">
        <v>0</v>
      </c>
      <c r="Y3592">
        <v>0</v>
      </c>
      <c r="Z3592">
        <v>1</v>
      </c>
      <c r="AA3592">
        <v>0</v>
      </c>
      <c r="AB3592">
        <v>0</v>
      </c>
      <c r="AC3592">
        <v>1</v>
      </c>
      <c r="AD3592">
        <v>1</v>
      </c>
      <c r="AE3592">
        <v>1</v>
      </c>
      <c r="AF3592">
        <v>1</v>
      </c>
      <c r="AG3592">
        <v>1</v>
      </c>
      <c r="AH3592">
        <v>1</v>
      </c>
      <c r="AI3592">
        <v>1</v>
      </c>
      <c r="AJ3592">
        <v>1</v>
      </c>
      <c r="AK3592">
        <v>1</v>
      </c>
      <c r="AL3592">
        <v>0</v>
      </c>
      <c r="AM3592">
        <v>1</v>
      </c>
    </row>
    <row r="3593" spans="1:39" x14ac:dyDescent="0.2">
      <c r="A3593" t="str">
        <f>"3589"</f>
        <v>3589</v>
      </c>
      <c r="B3593" t="str">
        <f t="shared" si="199"/>
        <v>1</v>
      </c>
      <c r="C3593" t="str">
        <f t="shared" si="200"/>
        <v>72</v>
      </c>
      <c r="D3593" t="str">
        <f>"27"</f>
        <v>27</v>
      </c>
      <c r="E3593" t="str">
        <f>"1-72-27"</f>
        <v>1-72-27</v>
      </c>
      <c r="F3593" t="s">
        <v>65</v>
      </c>
      <c r="G3593" t="s">
        <v>66</v>
      </c>
      <c r="H3593" t="s">
        <v>68</v>
      </c>
      <c r="I3593">
        <v>0</v>
      </c>
      <c r="J3593">
        <v>0</v>
      </c>
      <c r="K3593">
        <v>0</v>
      </c>
      <c r="L3593">
        <v>1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39" x14ac:dyDescent="0.2">
      <c r="A3594" t="str">
        <f>"3590"</f>
        <v>3590</v>
      </c>
      <c r="B3594" t="str">
        <f t="shared" si="199"/>
        <v>1</v>
      </c>
      <c r="C3594" t="str">
        <f t="shared" si="200"/>
        <v>72</v>
      </c>
      <c r="D3594" t="str">
        <f>"11"</f>
        <v>11</v>
      </c>
      <c r="E3594" t="str">
        <f>"1-72-11"</f>
        <v>1-72-11</v>
      </c>
      <c r="F3594" t="s">
        <v>65</v>
      </c>
      <c r="G3594" t="s">
        <v>66</v>
      </c>
      <c r="H3594" t="s">
        <v>67</v>
      </c>
      <c r="S3594">
        <v>0</v>
      </c>
      <c r="T3594">
        <v>1</v>
      </c>
      <c r="U3594">
        <v>0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0</v>
      </c>
      <c r="AB3594">
        <v>0</v>
      </c>
      <c r="AC3594">
        <v>1</v>
      </c>
      <c r="AD3594">
        <v>1</v>
      </c>
      <c r="AE3594">
        <v>1</v>
      </c>
      <c r="AF3594">
        <v>1</v>
      </c>
      <c r="AG3594">
        <v>1</v>
      </c>
      <c r="AH3594">
        <v>1</v>
      </c>
      <c r="AI3594">
        <v>1</v>
      </c>
      <c r="AJ3594">
        <v>1</v>
      </c>
      <c r="AK3594">
        <v>1</v>
      </c>
      <c r="AL3594">
        <v>0</v>
      </c>
      <c r="AM3594">
        <v>1</v>
      </c>
    </row>
    <row r="3595" spans="1:39" x14ac:dyDescent="0.2">
      <c r="A3595" t="str">
        <f>"3591"</f>
        <v>3591</v>
      </c>
      <c r="B3595" t="str">
        <f t="shared" si="199"/>
        <v>1</v>
      </c>
      <c r="C3595" t="str">
        <f t="shared" si="200"/>
        <v>72</v>
      </c>
      <c r="D3595" t="str">
        <f>"44"</f>
        <v>44</v>
      </c>
      <c r="E3595" t="str">
        <f>"1-72-44"</f>
        <v>1-72-44</v>
      </c>
      <c r="F3595" t="s">
        <v>65</v>
      </c>
      <c r="G3595" t="s">
        <v>66</v>
      </c>
      <c r="H3595" t="s">
        <v>68</v>
      </c>
      <c r="I3595">
        <v>1</v>
      </c>
      <c r="J3595">
        <v>0</v>
      </c>
      <c r="K3595">
        <v>0</v>
      </c>
      <c r="L3595">
        <v>1</v>
      </c>
      <c r="M3595">
        <v>1</v>
      </c>
      <c r="N3595">
        <v>1</v>
      </c>
      <c r="O3595">
        <v>1</v>
      </c>
      <c r="P3595">
        <v>1</v>
      </c>
      <c r="Q3595">
        <v>1</v>
      </c>
      <c r="R3595">
        <v>1</v>
      </c>
    </row>
    <row r="3596" spans="1:39" x14ac:dyDescent="0.2">
      <c r="A3596" t="str">
        <f>"3592"</f>
        <v>3592</v>
      </c>
      <c r="B3596" t="str">
        <f t="shared" si="199"/>
        <v>1</v>
      </c>
      <c r="C3596" t="str">
        <f t="shared" si="200"/>
        <v>72</v>
      </c>
      <c r="D3596" t="str">
        <f>"30"</f>
        <v>30</v>
      </c>
      <c r="E3596" t="str">
        <f>"1-72-30"</f>
        <v>1-72-30</v>
      </c>
      <c r="F3596" t="s">
        <v>65</v>
      </c>
      <c r="G3596" t="s">
        <v>66</v>
      </c>
      <c r="H3596" t="s">
        <v>68</v>
      </c>
      <c r="I3596">
        <v>1</v>
      </c>
      <c r="J3596">
        <v>0</v>
      </c>
      <c r="K3596">
        <v>0</v>
      </c>
      <c r="L3596">
        <v>1</v>
      </c>
      <c r="M3596">
        <v>1</v>
      </c>
      <c r="N3596">
        <v>0</v>
      </c>
      <c r="O3596">
        <v>0</v>
      </c>
      <c r="P3596">
        <v>0</v>
      </c>
      <c r="Q3596">
        <v>1</v>
      </c>
      <c r="R3596">
        <v>0</v>
      </c>
    </row>
    <row r="3597" spans="1:39" x14ac:dyDescent="0.2">
      <c r="A3597" t="str">
        <f>"3593"</f>
        <v>3593</v>
      </c>
      <c r="B3597" t="str">
        <f t="shared" si="199"/>
        <v>1</v>
      </c>
      <c r="C3597" t="str">
        <f t="shared" si="200"/>
        <v>72</v>
      </c>
      <c r="D3597" t="str">
        <f>"7"</f>
        <v>7</v>
      </c>
      <c r="E3597" t="str">
        <f>"1-72-7"</f>
        <v>1-72-7</v>
      </c>
      <c r="F3597" t="s">
        <v>65</v>
      </c>
      <c r="G3597" t="s">
        <v>66</v>
      </c>
      <c r="H3597" t="s">
        <v>67</v>
      </c>
      <c r="S3597">
        <v>0</v>
      </c>
      <c r="T3597">
        <v>1</v>
      </c>
      <c r="U3597">
        <v>0</v>
      </c>
      <c r="V3597">
        <v>0</v>
      </c>
      <c r="W3597">
        <v>1</v>
      </c>
      <c r="X3597">
        <v>0</v>
      </c>
      <c r="Y3597">
        <v>0</v>
      </c>
      <c r="Z3597">
        <v>1</v>
      </c>
      <c r="AA3597">
        <v>1</v>
      </c>
      <c r="AB3597">
        <v>0</v>
      </c>
      <c r="AC3597">
        <v>0</v>
      </c>
      <c r="AD3597">
        <v>1</v>
      </c>
      <c r="AE3597">
        <v>1</v>
      </c>
      <c r="AF3597">
        <v>1</v>
      </c>
      <c r="AG3597">
        <v>1</v>
      </c>
      <c r="AH3597">
        <v>1</v>
      </c>
      <c r="AI3597">
        <v>1</v>
      </c>
      <c r="AJ3597">
        <v>1</v>
      </c>
      <c r="AK3597">
        <v>1</v>
      </c>
      <c r="AL3597">
        <v>1</v>
      </c>
      <c r="AM3597">
        <v>1</v>
      </c>
    </row>
    <row r="3598" spans="1:39" x14ac:dyDescent="0.2">
      <c r="A3598" t="str">
        <f>"3594"</f>
        <v>3594</v>
      </c>
      <c r="B3598" t="str">
        <f t="shared" si="199"/>
        <v>1</v>
      </c>
      <c r="C3598" t="str">
        <f t="shared" si="200"/>
        <v>72</v>
      </c>
      <c r="D3598" t="str">
        <f>"31"</f>
        <v>31</v>
      </c>
      <c r="E3598" t="str">
        <f>"1-72-31"</f>
        <v>1-72-31</v>
      </c>
      <c r="F3598" t="s">
        <v>65</v>
      </c>
      <c r="G3598" t="s">
        <v>66</v>
      </c>
      <c r="H3598" t="s">
        <v>67</v>
      </c>
      <c r="S3598">
        <v>0</v>
      </c>
      <c r="T3598">
        <v>1</v>
      </c>
      <c r="U3598">
        <v>0</v>
      </c>
      <c r="V3598">
        <v>0</v>
      </c>
      <c r="W3598">
        <v>0</v>
      </c>
      <c r="X3598">
        <v>1</v>
      </c>
      <c r="Y3598">
        <v>0</v>
      </c>
      <c r="Z3598">
        <v>1</v>
      </c>
      <c r="AA3598">
        <v>0</v>
      </c>
      <c r="AB3598">
        <v>0</v>
      </c>
      <c r="AC3598">
        <v>1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</row>
    <row r="3599" spans="1:39" x14ac:dyDescent="0.2">
      <c r="A3599" t="str">
        <f>"3595"</f>
        <v>3595</v>
      </c>
      <c r="B3599" t="str">
        <f t="shared" si="199"/>
        <v>1</v>
      </c>
      <c r="C3599" t="str">
        <f t="shared" si="200"/>
        <v>72</v>
      </c>
      <c r="D3599" t="str">
        <f>"4"</f>
        <v>4</v>
      </c>
      <c r="E3599" t="str">
        <f>"1-72-4"</f>
        <v>1-72-4</v>
      </c>
      <c r="F3599" t="s">
        <v>65</v>
      </c>
      <c r="G3599" t="s">
        <v>66</v>
      </c>
      <c r="H3599" t="s">
        <v>67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</row>
    <row r="3600" spans="1:39" x14ac:dyDescent="0.2">
      <c r="A3600" t="str">
        <f>"3596"</f>
        <v>3596</v>
      </c>
      <c r="B3600" t="str">
        <f t="shared" si="199"/>
        <v>1</v>
      </c>
      <c r="C3600" t="str">
        <f t="shared" si="200"/>
        <v>72</v>
      </c>
      <c r="D3600" t="str">
        <f>"32"</f>
        <v>32</v>
      </c>
      <c r="E3600" t="str">
        <f>"1-72-32"</f>
        <v>1-72-32</v>
      </c>
      <c r="F3600" t="s">
        <v>65</v>
      </c>
      <c r="G3600" t="s">
        <v>66</v>
      </c>
      <c r="H3600" t="s">
        <v>67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1</v>
      </c>
      <c r="Y3600">
        <v>0</v>
      </c>
      <c r="Z3600">
        <v>1</v>
      </c>
      <c r="AA3600">
        <v>0</v>
      </c>
      <c r="AB3600">
        <v>0</v>
      </c>
      <c r="AC3600">
        <v>1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</row>
    <row r="3601" spans="1:39" x14ac:dyDescent="0.2">
      <c r="A3601" t="str">
        <f>"3597"</f>
        <v>3597</v>
      </c>
      <c r="B3601" t="str">
        <f t="shared" si="199"/>
        <v>1</v>
      </c>
      <c r="C3601" t="str">
        <f t="shared" si="200"/>
        <v>72</v>
      </c>
      <c r="D3601" t="str">
        <f>"10"</f>
        <v>10</v>
      </c>
      <c r="E3601" t="str">
        <f>"1-72-10"</f>
        <v>1-72-10</v>
      </c>
      <c r="F3601" t="s">
        <v>65</v>
      </c>
      <c r="G3601" t="s">
        <v>66</v>
      </c>
      <c r="H3601" t="s">
        <v>67</v>
      </c>
      <c r="S3601">
        <v>1</v>
      </c>
      <c r="T3601">
        <v>0</v>
      </c>
      <c r="U3601">
        <v>0</v>
      </c>
      <c r="V3601">
        <v>0</v>
      </c>
      <c r="W3601">
        <v>1</v>
      </c>
      <c r="X3601">
        <v>0</v>
      </c>
      <c r="Y3601">
        <v>0</v>
      </c>
      <c r="Z3601">
        <v>1</v>
      </c>
      <c r="AA3601">
        <v>0</v>
      </c>
      <c r="AB3601">
        <v>1</v>
      </c>
      <c r="AC3601">
        <v>0</v>
      </c>
      <c r="AD3601">
        <v>1</v>
      </c>
      <c r="AE3601">
        <v>1</v>
      </c>
      <c r="AF3601">
        <v>1</v>
      </c>
      <c r="AG3601">
        <v>1</v>
      </c>
      <c r="AH3601">
        <v>1</v>
      </c>
      <c r="AI3601">
        <v>1</v>
      </c>
      <c r="AJ3601">
        <v>1</v>
      </c>
      <c r="AK3601">
        <v>1</v>
      </c>
      <c r="AL3601">
        <v>1</v>
      </c>
      <c r="AM3601">
        <v>1</v>
      </c>
    </row>
    <row r="3602" spans="1:39" x14ac:dyDescent="0.2">
      <c r="A3602" t="str">
        <f>"3598"</f>
        <v>3598</v>
      </c>
      <c r="B3602" t="str">
        <f t="shared" si="199"/>
        <v>1</v>
      </c>
      <c r="C3602" t="str">
        <f t="shared" si="200"/>
        <v>72</v>
      </c>
      <c r="D3602" t="str">
        <f>"1"</f>
        <v>1</v>
      </c>
      <c r="E3602" t="str">
        <f>"1-72-1"</f>
        <v>1-72-1</v>
      </c>
      <c r="F3602" t="s">
        <v>65</v>
      </c>
      <c r="G3602" t="s">
        <v>66</v>
      </c>
      <c r="H3602" t="s">
        <v>68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39" x14ac:dyDescent="0.2">
      <c r="A3603" t="str">
        <f>"3599"</f>
        <v>3599</v>
      </c>
      <c r="B3603" t="str">
        <f t="shared" si="199"/>
        <v>1</v>
      </c>
      <c r="C3603" t="str">
        <f t="shared" si="200"/>
        <v>72</v>
      </c>
      <c r="D3603" t="str">
        <f>"50"</f>
        <v>50</v>
      </c>
      <c r="E3603" t="str">
        <f>"1-72-50"</f>
        <v>1-72-50</v>
      </c>
      <c r="F3603" t="s">
        <v>65</v>
      </c>
      <c r="G3603" t="s">
        <v>66</v>
      </c>
      <c r="H3603" t="s">
        <v>67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0</v>
      </c>
      <c r="AB3603">
        <v>1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1</v>
      </c>
      <c r="AJ3603">
        <v>0</v>
      </c>
      <c r="AK3603">
        <v>0</v>
      </c>
      <c r="AL3603">
        <v>0</v>
      </c>
      <c r="AM3603">
        <v>0</v>
      </c>
    </row>
    <row r="3604" spans="1:39" x14ac:dyDescent="0.2">
      <c r="A3604" t="str">
        <f>"3600"</f>
        <v>3600</v>
      </c>
      <c r="B3604" t="str">
        <f t="shared" si="199"/>
        <v>1</v>
      </c>
      <c r="C3604" t="str">
        <f t="shared" si="200"/>
        <v>72</v>
      </c>
      <c r="D3604" t="str">
        <f>"33"</f>
        <v>33</v>
      </c>
      <c r="E3604" t="str">
        <f>"1-72-33"</f>
        <v>1-72-33</v>
      </c>
      <c r="F3604" t="s">
        <v>65</v>
      </c>
      <c r="G3604" t="s">
        <v>66</v>
      </c>
      <c r="H3604" t="s">
        <v>67</v>
      </c>
      <c r="S3604">
        <v>0</v>
      </c>
      <c r="T3604">
        <v>0</v>
      </c>
      <c r="U3604">
        <v>0</v>
      </c>
      <c r="V3604">
        <v>0</v>
      </c>
      <c r="W3604">
        <v>1</v>
      </c>
      <c r="X3604">
        <v>0</v>
      </c>
      <c r="Y3604">
        <v>1</v>
      </c>
      <c r="Z3604">
        <v>0</v>
      </c>
      <c r="AA3604">
        <v>0</v>
      </c>
      <c r="AB3604">
        <v>1</v>
      </c>
      <c r="AC3604">
        <v>0</v>
      </c>
      <c r="AD3604">
        <v>1</v>
      </c>
      <c r="AE3604">
        <v>1</v>
      </c>
      <c r="AF3604">
        <v>1</v>
      </c>
      <c r="AG3604">
        <v>1</v>
      </c>
      <c r="AH3604">
        <v>1</v>
      </c>
      <c r="AI3604">
        <v>1</v>
      </c>
      <c r="AJ3604">
        <v>1</v>
      </c>
      <c r="AK3604">
        <v>1</v>
      </c>
      <c r="AL3604">
        <v>1</v>
      </c>
      <c r="AM3604">
        <v>1</v>
      </c>
    </row>
    <row r="3605" spans="1:39" x14ac:dyDescent="0.2">
      <c r="A3605" t="str">
        <f>"3601"</f>
        <v>3601</v>
      </c>
      <c r="B3605" t="str">
        <f t="shared" si="199"/>
        <v>1</v>
      </c>
      <c r="C3605" t="str">
        <f t="shared" ref="C3605:C3636" si="201">"73"</f>
        <v>73</v>
      </c>
      <c r="D3605" t="str">
        <f>"38"</f>
        <v>38</v>
      </c>
      <c r="E3605" t="str">
        <f>"1-73-38"</f>
        <v>1-73-38</v>
      </c>
      <c r="F3605" t="s">
        <v>65</v>
      </c>
      <c r="G3605" t="s">
        <v>66</v>
      </c>
      <c r="H3605" t="s">
        <v>67</v>
      </c>
      <c r="S3605">
        <v>0</v>
      </c>
      <c r="T3605">
        <v>1</v>
      </c>
      <c r="U3605">
        <v>0</v>
      </c>
      <c r="V3605">
        <v>0</v>
      </c>
      <c r="W3605">
        <v>1</v>
      </c>
      <c r="X3605">
        <v>0</v>
      </c>
      <c r="Y3605">
        <v>0</v>
      </c>
      <c r="Z3605">
        <v>1</v>
      </c>
      <c r="AA3605">
        <v>0</v>
      </c>
      <c r="AB3605">
        <v>1</v>
      </c>
      <c r="AC3605">
        <v>0</v>
      </c>
      <c r="AD3605">
        <v>1</v>
      </c>
      <c r="AE3605">
        <v>1</v>
      </c>
      <c r="AF3605">
        <v>1</v>
      </c>
      <c r="AG3605">
        <v>1</v>
      </c>
      <c r="AH3605">
        <v>1</v>
      </c>
      <c r="AI3605">
        <v>1</v>
      </c>
      <c r="AJ3605">
        <v>1</v>
      </c>
      <c r="AK3605">
        <v>1</v>
      </c>
      <c r="AL3605">
        <v>1</v>
      </c>
      <c r="AM3605">
        <v>1</v>
      </c>
    </row>
    <row r="3606" spans="1:39" x14ac:dyDescent="0.2">
      <c r="A3606" t="str">
        <f>"3602"</f>
        <v>3602</v>
      </c>
      <c r="B3606" t="str">
        <f t="shared" si="199"/>
        <v>1</v>
      </c>
      <c r="C3606" t="str">
        <f t="shared" si="201"/>
        <v>73</v>
      </c>
      <c r="D3606" t="str">
        <f>"37"</f>
        <v>37</v>
      </c>
      <c r="E3606" t="str">
        <f>"1-73-37"</f>
        <v>1-73-37</v>
      </c>
      <c r="F3606" t="s">
        <v>65</v>
      </c>
      <c r="G3606" t="s">
        <v>66</v>
      </c>
      <c r="H3606" t="s">
        <v>67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1</v>
      </c>
      <c r="Y3606">
        <v>0</v>
      </c>
      <c r="Z3606">
        <v>1</v>
      </c>
      <c r="AA3606">
        <v>0</v>
      </c>
      <c r="AB3606">
        <v>0</v>
      </c>
      <c r="AC3606">
        <v>1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</row>
    <row r="3607" spans="1:39" x14ac:dyDescent="0.2">
      <c r="A3607" t="str">
        <f>"3603"</f>
        <v>3603</v>
      </c>
      <c r="B3607" t="str">
        <f t="shared" si="199"/>
        <v>1</v>
      </c>
      <c r="C3607" t="str">
        <f t="shared" si="201"/>
        <v>73</v>
      </c>
      <c r="D3607" t="str">
        <f>"25"</f>
        <v>25</v>
      </c>
      <c r="E3607" t="str">
        <f>"1-73-25"</f>
        <v>1-73-25</v>
      </c>
      <c r="F3607" t="s">
        <v>65</v>
      </c>
      <c r="G3607" t="s">
        <v>66</v>
      </c>
      <c r="H3607" t="s">
        <v>67</v>
      </c>
      <c r="S3607">
        <v>0</v>
      </c>
      <c r="T3607">
        <v>1</v>
      </c>
      <c r="U3607">
        <v>0</v>
      </c>
      <c r="V3607">
        <v>0</v>
      </c>
      <c r="W3607">
        <v>0</v>
      </c>
      <c r="X3607">
        <v>1</v>
      </c>
      <c r="Y3607">
        <v>1</v>
      </c>
      <c r="Z3607">
        <v>0</v>
      </c>
      <c r="AA3607">
        <v>0</v>
      </c>
      <c r="AB3607">
        <v>0</v>
      </c>
      <c r="AC3607">
        <v>1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</row>
    <row r="3608" spans="1:39" x14ac:dyDescent="0.2">
      <c r="A3608" t="str">
        <f>"3604"</f>
        <v>3604</v>
      </c>
      <c r="B3608" t="str">
        <f t="shared" si="199"/>
        <v>1</v>
      </c>
      <c r="C3608" t="str">
        <f t="shared" si="201"/>
        <v>73</v>
      </c>
      <c r="D3608" t="str">
        <f>"24"</f>
        <v>24</v>
      </c>
      <c r="E3608" t="str">
        <f>"1-73-24"</f>
        <v>1-73-24</v>
      </c>
      <c r="F3608" t="s">
        <v>65</v>
      </c>
      <c r="G3608" t="s">
        <v>66</v>
      </c>
      <c r="H3608" t="s">
        <v>67</v>
      </c>
      <c r="S3608">
        <v>0</v>
      </c>
      <c r="T3608">
        <v>1</v>
      </c>
      <c r="U3608">
        <v>0</v>
      </c>
      <c r="V3608">
        <v>0</v>
      </c>
      <c r="W3608">
        <v>1</v>
      </c>
      <c r="X3608">
        <v>0</v>
      </c>
      <c r="Y3608">
        <v>1</v>
      </c>
      <c r="Z3608">
        <v>0</v>
      </c>
      <c r="AA3608">
        <v>0</v>
      </c>
      <c r="AB3608">
        <v>0</v>
      </c>
      <c r="AC3608">
        <v>0</v>
      </c>
      <c r="AD3608">
        <v>1</v>
      </c>
      <c r="AE3608">
        <v>1</v>
      </c>
      <c r="AF3608">
        <v>1</v>
      </c>
      <c r="AG3608">
        <v>1</v>
      </c>
      <c r="AH3608">
        <v>1</v>
      </c>
      <c r="AI3608">
        <v>1</v>
      </c>
      <c r="AJ3608">
        <v>1</v>
      </c>
      <c r="AK3608">
        <v>1</v>
      </c>
      <c r="AL3608">
        <v>1</v>
      </c>
      <c r="AM3608">
        <v>1</v>
      </c>
    </row>
    <row r="3609" spans="1:39" x14ac:dyDescent="0.2">
      <c r="A3609" t="str">
        <f>"3605"</f>
        <v>3605</v>
      </c>
      <c r="B3609" t="str">
        <f t="shared" si="199"/>
        <v>1</v>
      </c>
      <c r="C3609" t="str">
        <f t="shared" si="201"/>
        <v>73</v>
      </c>
      <c r="D3609" t="str">
        <f>"17"</f>
        <v>17</v>
      </c>
      <c r="E3609" t="str">
        <f>"1-73-17"</f>
        <v>1-73-17</v>
      </c>
      <c r="F3609" t="s">
        <v>65</v>
      </c>
      <c r="G3609" t="s">
        <v>66</v>
      </c>
      <c r="H3609" t="s">
        <v>67</v>
      </c>
      <c r="S3609">
        <v>0</v>
      </c>
      <c r="T3609">
        <v>0</v>
      </c>
      <c r="U3609">
        <v>0</v>
      </c>
      <c r="V3609">
        <v>0</v>
      </c>
      <c r="W3609">
        <v>1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</row>
    <row r="3610" spans="1:39" x14ac:dyDescent="0.2">
      <c r="A3610" t="str">
        <f>"3606"</f>
        <v>3606</v>
      </c>
      <c r="B3610" t="str">
        <f t="shared" si="199"/>
        <v>1</v>
      </c>
      <c r="C3610" t="str">
        <f t="shared" si="201"/>
        <v>73</v>
      </c>
      <c r="D3610" t="str">
        <f>"15"</f>
        <v>15</v>
      </c>
      <c r="E3610" t="str">
        <f>"1-73-15"</f>
        <v>1-73-15</v>
      </c>
      <c r="F3610" t="s">
        <v>65</v>
      </c>
      <c r="G3610" t="s">
        <v>66</v>
      </c>
      <c r="H3610" t="s">
        <v>67</v>
      </c>
      <c r="S3610">
        <v>1</v>
      </c>
      <c r="T3610">
        <v>0</v>
      </c>
      <c r="U3610">
        <v>0</v>
      </c>
      <c r="V3610">
        <v>0</v>
      </c>
      <c r="W3610">
        <v>1</v>
      </c>
      <c r="X3610">
        <v>0</v>
      </c>
      <c r="Y3610">
        <v>1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1</v>
      </c>
      <c r="AF3610">
        <v>1</v>
      </c>
      <c r="AG3610">
        <v>0</v>
      </c>
      <c r="AH3610">
        <v>0</v>
      </c>
      <c r="AI3610">
        <v>0</v>
      </c>
      <c r="AJ3610">
        <v>1</v>
      </c>
      <c r="AK3610">
        <v>1</v>
      </c>
      <c r="AL3610">
        <v>1</v>
      </c>
      <c r="AM3610">
        <v>1</v>
      </c>
    </row>
    <row r="3611" spans="1:39" x14ac:dyDescent="0.2">
      <c r="A3611" t="str">
        <f>"3607"</f>
        <v>3607</v>
      </c>
      <c r="B3611" t="str">
        <f t="shared" si="199"/>
        <v>1</v>
      </c>
      <c r="C3611" t="str">
        <f t="shared" si="201"/>
        <v>73</v>
      </c>
      <c r="D3611" t="str">
        <f>"5"</f>
        <v>5</v>
      </c>
      <c r="E3611" t="str">
        <f>"1-73-5"</f>
        <v>1-73-5</v>
      </c>
      <c r="F3611" t="s">
        <v>65</v>
      </c>
      <c r="G3611" t="s">
        <v>66</v>
      </c>
      <c r="H3611" t="s">
        <v>67</v>
      </c>
      <c r="S3611">
        <v>0</v>
      </c>
      <c r="T3611">
        <v>1</v>
      </c>
      <c r="U3611">
        <v>0</v>
      </c>
      <c r="V3611">
        <v>0</v>
      </c>
      <c r="W3611">
        <v>0</v>
      </c>
      <c r="X3611">
        <v>1</v>
      </c>
      <c r="Y3611">
        <v>0</v>
      </c>
      <c r="Z3611">
        <v>1</v>
      </c>
      <c r="AA3611">
        <v>0</v>
      </c>
      <c r="AB3611">
        <v>0</v>
      </c>
      <c r="AC3611">
        <v>1</v>
      </c>
      <c r="AD3611">
        <v>1</v>
      </c>
      <c r="AE3611">
        <v>1</v>
      </c>
      <c r="AF3611">
        <v>1</v>
      </c>
      <c r="AG3611">
        <v>1</v>
      </c>
      <c r="AH3611">
        <v>1</v>
      </c>
      <c r="AI3611">
        <v>1</v>
      </c>
      <c r="AJ3611">
        <v>1</v>
      </c>
      <c r="AK3611">
        <v>1</v>
      </c>
      <c r="AL3611">
        <v>1</v>
      </c>
      <c r="AM3611">
        <v>1</v>
      </c>
    </row>
    <row r="3612" spans="1:39" x14ac:dyDescent="0.2">
      <c r="A3612" t="str">
        <f>"3608"</f>
        <v>3608</v>
      </c>
      <c r="B3612" t="str">
        <f t="shared" si="199"/>
        <v>1</v>
      </c>
      <c r="C3612" t="str">
        <f t="shared" si="201"/>
        <v>73</v>
      </c>
      <c r="D3612" t="str">
        <f>"40"</f>
        <v>40</v>
      </c>
      <c r="E3612" t="str">
        <f>"1-73-40"</f>
        <v>1-73-40</v>
      </c>
      <c r="F3612" t="s">
        <v>65</v>
      </c>
      <c r="G3612" t="s">
        <v>66</v>
      </c>
      <c r="H3612" t="s">
        <v>67</v>
      </c>
      <c r="S3612">
        <v>1</v>
      </c>
      <c r="T3612">
        <v>0</v>
      </c>
      <c r="U3612">
        <v>0</v>
      </c>
      <c r="V3612">
        <v>0</v>
      </c>
      <c r="W3612">
        <v>0</v>
      </c>
      <c r="X3612">
        <v>1</v>
      </c>
      <c r="Y3612">
        <v>1</v>
      </c>
      <c r="Z3612">
        <v>0</v>
      </c>
      <c r="AA3612">
        <v>0</v>
      </c>
      <c r="AB3612">
        <v>0</v>
      </c>
      <c r="AC3612">
        <v>1</v>
      </c>
      <c r="AD3612">
        <v>1</v>
      </c>
      <c r="AE3612">
        <v>1</v>
      </c>
      <c r="AF3612">
        <v>1</v>
      </c>
      <c r="AG3612">
        <v>1</v>
      </c>
      <c r="AH3612">
        <v>1</v>
      </c>
      <c r="AI3612">
        <v>1</v>
      </c>
      <c r="AJ3612">
        <v>1</v>
      </c>
      <c r="AK3612">
        <v>1</v>
      </c>
      <c r="AL3612">
        <v>1</v>
      </c>
      <c r="AM3612">
        <v>1</v>
      </c>
    </row>
    <row r="3613" spans="1:39" x14ac:dyDescent="0.2">
      <c r="A3613" t="str">
        <f>"3609"</f>
        <v>3609</v>
      </c>
      <c r="B3613" t="str">
        <f t="shared" si="199"/>
        <v>1</v>
      </c>
      <c r="C3613" t="str">
        <f t="shared" si="201"/>
        <v>73</v>
      </c>
      <c r="D3613" t="str">
        <f>"39"</f>
        <v>39</v>
      </c>
      <c r="E3613" t="str">
        <f>"1-73-39"</f>
        <v>1-73-39</v>
      </c>
      <c r="F3613" t="s">
        <v>65</v>
      </c>
      <c r="G3613" t="s">
        <v>66</v>
      </c>
      <c r="H3613" t="s">
        <v>67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</row>
    <row r="3614" spans="1:39" x14ac:dyDescent="0.2">
      <c r="A3614" t="str">
        <f>"3610"</f>
        <v>3610</v>
      </c>
      <c r="B3614" t="str">
        <f t="shared" si="199"/>
        <v>1</v>
      </c>
      <c r="C3614" t="str">
        <f t="shared" si="201"/>
        <v>73</v>
      </c>
      <c r="D3614" t="str">
        <f>"31"</f>
        <v>31</v>
      </c>
      <c r="E3614" t="str">
        <f>"1-73-31"</f>
        <v>1-73-31</v>
      </c>
      <c r="F3614" t="s">
        <v>65</v>
      </c>
      <c r="G3614" t="s">
        <v>66</v>
      </c>
      <c r="H3614" t="s">
        <v>67</v>
      </c>
      <c r="S3614">
        <v>0</v>
      </c>
      <c r="T3614">
        <v>1</v>
      </c>
      <c r="U3614">
        <v>0</v>
      </c>
      <c r="V3614">
        <v>0</v>
      </c>
      <c r="W3614">
        <v>0</v>
      </c>
      <c r="X3614">
        <v>1</v>
      </c>
      <c r="Y3614">
        <v>0</v>
      </c>
      <c r="Z3614">
        <v>1</v>
      </c>
      <c r="AA3614">
        <v>0</v>
      </c>
      <c r="AB3614">
        <v>1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1</v>
      </c>
      <c r="AJ3614">
        <v>0</v>
      </c>
      <c r="AK3614">
        <v>0</v>
      </c>
      <c r="AL3614">
        <v>1</v>
      </c>
      <c r="AM3614">
        <v>0</v>
      </c>
    </row>
    <row r="3615" spans="1:39" x14ac:dyDescent="0.2">
      <c r="A3615" t="str">
        <f>"3611"</f>
        <v>3611</v>
      </c>
      <c r="B3615" t="str">
        <f t="shared" si="199"/>
        <v>1</v>
      </c>
      <c r="C3615" t="str">
        <f t="shared" si="201"/>
        <v>73</v>
      </c>
      <c r="D3615" t="str">
        <f>"30"</f>
        <v>30</v>
      </c>
      <c r="E3615" t="str">
        <f>"1-73-30"</f>
        <v>1-73-30</v>
      </c>
      <c r="F3615" t="s">
        <v>65</v>
      </c>
      <c r="G3615" t="s">
        <v>66</v>
      </c>
      <c r="H3615" t="s">
        <v>67</v>
      </c>
      <c r="S3615">
        <v>0</v>
      </c>
      <c r="T3615">
        <v>1</v>
      </c>
      <c r="U3615">
        <v>0</v>
      </c>
      <c r="V3615">
        <v>0</v>
      </c>
      <c r="W3615">
        <v>1</v>
      </c>
      <c r="X3615">
        <v>0</v>
      </c>
      <c r="Y3615">
        <v>0</v>
      </c>
      <c r="Z3615">
        <v>1</v>
      </c>
      <c r="AA3615">
        <v>0</v>
      </c>
      <c r="AB3615">
        <v>0</v>
      </c>
      <c r="AC3615">
        <v>1</v>
      </c>
      <c r="AD3615">
        <v>1</v>
      </c>
      <c r="AE3615">
        <v>1</v>
      </c>
      <c r="AF3615">
        <v>1</v>
      </c>
      <c r="AG3615">
        <v>1</v>
      </c>
      <c r="AH3615">
        <v>1</v>
      </c>
      <c r="AI3615">
        <v>1</v>
      </c>
      <c r="AJ3615">
        <v>0</v>
      </c>
      <c r="AK3615">
        <v>1</v>
      </c>
      <c r="AL3615">
        <v>0</v>
      </c>
      <c r="AM3615">
        <v>1</v>
      </c>
    </row>
    <row r="3616" spans="1:39" x14ac:dyDescent="0.2">
      <c r="A3616" t="str">
        <f>"3612"</f>
        <v>3612</v>
      </c>
      <c r="B3616" t="str">
        <f t="shared" si="199"/>
        <v>1</v>
      </c>
      <c r="C3616" t="str">
        <f t="shared" si="201"/>
        <v>73</v>
      </c>
      <c r="D3616" t="str">
        <f>"19"</f>
        <v>19</v>
      </c>
      <c r="E3616" t="str">
        <f>"1-73-19"</f>
        <v>1-73-19</v>
      </c>
      <c r="F3616" t="s">
        <v>65</v>
      </c>
      <c r="G3616" t="s">
        <v>66</v>
      </c>
      <c r="H3616" t="s">
        <v>67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</row>
    <row r="3617" spans="1:39" x14ac:dyDescent="0.2">
      <c r="A3617" t="str">
        <f>"3613"</f>
        <v>3613</v>
      </c>
      <c r="B3617" t="str">
        <f t="shared" si="199"/>
        <v>1</v>
      </c>
      <c r="C3617" t="str">
        <f t="shared" si="201"/>
        <v>73</v>
      </c>
      <c r="D3617" t="str">
        <f>"16"</f>
        <v>16</v>
      </c>
      <c r="E3617" t="str">
        <f>"1-73-16"</f>
        <v>1-73-16</v>
      </c>
      <c r="F3617" t="s">
        <v>65</v>
      </c>
      <c r="G3617" t="s">
        <v>66</v>
      </c>
      <c r="H3617" t="s">
        <v>67</v>
      </c>
      <c r="S3617">
        <v>0</v>
      </c>
      <c r="T3617">
        <v>0</v>
      </c>
      <c r="U3617">
        <v>0</v>
      </c>
      <c r="V3617">
        <v>0</v>
      </c>
      <c r="W3617">
        <v>1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1</v>
      </c>
      <c r="AJ3617">
        <v>1</v>
      </c>
      <c r="AK3617">
        <v>1</v>
      </c>
      <c r="AL3617">
        <v>1</v>
      </c>
      <c r="AM3617">
        <v>0</v>
      </c>
    </row>
    <row r="3618" spans="1:39" x14ac:dyDescent="0.2">
      <c r="A3618" t="str">
        <f>"3614"</f>
        <v>3614</v>
      </c>
      <c r="B3618" t="str">
        <f t="shared" si="199"/>
        <v>1</v>
      </c>
      <c r="C3618" t="str">
        <f t="shared" si="201"/>
        <v>73</v>
      </c>
      <c r="D3618" t="str">
        <f>"1"</f>
        <v>1</v>
      </c>
      <c r="E3618" t="str">
        <f>"1-73-1"</f>
        <v>1-73-1</v>
      </c>
      <c r="F3618" t="s">
        <v>65</v>
      </c>
      <c r="G3618" t="s">
        <v>66</v>
      </c>
      <c r="H3618" t="s">
        <v>67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</row>
    <row r="3619" spans="1:39" x14ac:dyDescent="0.2">
      <c r="A3619" t="str">
        <f>"3615"</f>
        <v>3615</v>
      </c>
      <c r="B3619" t="str">
        <f t="shared" si="199"/>
        <v>1</v>
      </c>
      <c r="C3619" t="str">
        <f t="shared" si="201"/>
        <v>73</v>
      </c>
      <c r="D3619" t="str">
        <f>"36"</f>
        <v>36</v>
      </c>
      <c r="E3619" t="str">
        <f>"1-73-36"</f>
        <v>1-73-36</v>
      </c>
      <c r="F3619" t="s">
        <v>65</v>
      </c>
      <c r="G3619" t="s">
        <v>66</v>
      </c>
      <c r="H3619" t="s">
        <v>67</v>
      </c>
      <c r="S3619">
        <v>0</v>
      </c>
      <c r="T3619">
        <v>1</v>
      </c>
      <c r="U3619">
        <v>0</v>
      </c>
      <c r="V3619">
        <v>0</v>
      </c>
      <c r="W3619">
        <v>0</v>
      </c>
      <c r="X3619">
        <v>1</v>
      </c>
      <c r="Y3619">
        <v>1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</row>
    <row r="3620" spans="1:39" x14ac:dyDescent="0.2">
      <c r="A3620" t="str">
        <f>"3616"</f>
        <v>3616</v>
      </c>
      <c r="B3620" t="str">
        <f t="shared" si="199"/>
        <v>1</v>
      </c>
      <c r="C3620" t="str">
        <f t="shared" si="201"/>
        <v>73</v>
      </c>
      <c r="D3620" t="str">
        <f>"18"</f>
        <v>18</v>
      </c>
      <c r="E3620" t="str">
        <f>"1-73-18"</f>
        <v>1-73-18</v>
      </c>
      <c r="F3620" t="s">
        <v>65</v>
      </c>
      <c r="G3620" t="s">
        <v>66</v>
      </c>
      <c r="H3620" t="s">
        <v>67</v>
      </c>
      <c r="S3620">
        <v>0</v>
      </c>
      <c r="T3620">
        <v>1</v>
      </c>
      <c r="U3620">
        <v>0</v>
      </c>
      <c r="V3620">
        <v>0</v>
      </c>
      <c r="W3620">
        <v>0</v>
      </c>
      <c r="X3620">
        <v>1</v>
      </c>
      <c r="Y3620">
        <v>1</v>
      </c>
      <c r="Z3620">
        <v>0</v>
      </c>
      <c r="AA3620">
        <v>0</v>
      </c>
      <c r="AB3620">
        <v>0</v>
      </c>
      <c r="AC3620">
        <v>1</v>
      </c>
      <c r="AD3620">
        <v>1</v>
      </c>
      <c r="AE3620">
        <v>1</v>
      </c>
      <c r="AF3620">
        <v>1</v>
      </c>
      <c r="AG3620">
        <v>1</v>
      </c>
      <c r="AH3620">
        <v>1</v>
      </c>
      <c r="AI3620">
        <v>1</v>
      </c>
      <c r="AJ3620">
        <v>1</v>
      </c>
      <c r="AK3620">
        <v>1</v>
      </c>
      <c r="AL3620">
        <v>1</v>
      </c>
      <c r="AM3620">
        <v>1</v>
      </c>
    </row>
    <row r="3621" spans="1:39" x14ac:dyDescent="0.2">
      <c r="A3621" t="str">
        <f>"3617"</f>
        <v>3617</v>
      </c>
      <c r="B3621" t="str">
        <f t="shared" si="199"/>
        <v>1</v>
      </c>
      <c r="C3621" t="str">
        <f t="shared" si="201"/>
        <v>73</v>
      </c>
      <c r="D3621" t="str">
        <f>"11"</f>
        <v>11</v>
      </c>
      <c r="E3621" t="str">
        <f>"1-73-11"</f>
        <v>1-73-11</v>
      </c>
      <c r="F3621" t="s">
        <v>65</v>
      </c>
      <c r="G3621" t="s">
        <v>66</v>
      </c>
      <c r="H3621" t="s">
        <v>67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1</v>
      </c>
      <c r="Y3621">
        <v>0</v>
      </c>
      <c r="Z3621">
        <v>1</v>
      </c>
      <c r="AA3621">
        <v>0</v>
      </c>
      <c r="AB3621">
        <v>0</v>
      </c>
      <c r="AC3621">
        <v>1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</row>
    <row r="3622" spans="1:39" x14ac:dyDescent="0.2">
      <c r="A3622" t="str">
        <f>"3618"</f>
        <v>3618</v>
      </c>
      <c r="B3622" t="str">
        <f t="shared" si="199"/>
        <v>1</v>
      </c>
      <c r="C3622" t="str">
        <f t="shared" si="201"/>
        <v>73</v>
      </c>
      <c r="D3622" t="str">
        <f>"35"</f>
        <v>35</v>
      </c>
      <c r="E3622" t="str">
        <f>"1-73-35"</f>
        <v>1-73-35</v>
      </c>
      <c r="F3622" t="s">
        <v>65</v>
      </c>
      <c r="G3622" t="s">
        <v>66</v>
      </c>
      <c r="H3622" t="s">
        <v>67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1</v>
      </c>
      <c r="Y3622">
        <v>0</v>
      </c>
      <c r="Z3622">
        <v>1</v>
      </c>
      <c r="AA3622">
        <v>1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</row>
    <row r="3623" spans="1:39" x14ac:dyDescent="0.2">
      <c r="A3623" t="str">
        <f>"3619"</f>
        <v>3619</v>
      </c>
      <c r="B3623" t="str">
        <f t="shared" si="199"/>
        <v>1</v>
      </c>
      <c r="C3623" t="str">
        <f t="shared" si="201"/>
        <v>73</v>
      </c>
      <c r="D3623" t="str">
        <f>"20"</f>
        <v>20</v>
      </c>
      <c r="E3623" t="str">
        <f>"1-73-20"</f>
        <v>1-73-20</v>
      </c>
      <c r="F3623" t="s">
        <v>65</v>
      </c>
      <c r="G3623" t="s">
        <v>66</v>
      </c>
      <c r="H3623" t="s">
        <v>67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1</v>
      </c>
      <c r="Y3623">
        <v>0</v>
      </c>
      <c r="Z3623">
        <v>1</v>
      </c>
      <c r="AA3623">
        <v>0</v>
      </c>
      <c r="AB3623">
        <v>1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</row>
    <row r="3624" spans="1:39" x14ac:dyDescent="0.2">
      <c r="A3624" t="str">
        <f>"3620"</f>
        <v>3620</v>
      </c>
      <c r="B3624" t="str">
        <f t="shared" si="199"/>
        <v>1</v>
      </c>
      <c r="C3624" t="str">
        <f t="shared" si="201"/>
        <v>73</v>
      </c>
      <c r="D3624" t="str">
        <f>"6"</f>
        <v>6</v>
      </c>
      <c r="E3624" t="str">
        <f>"1-73-6"</f>
        <v>1-73-6</v>
      </c>
      <c r="F3624" t="s">
        <v>65</v>
      </c>
      <c r="G3624" t="s">
        <v>66</v>
      </c>
      <c r="H3624" t="s">
        <v>67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0</v>
      </c>
      <c r="AB3624">
        <v>1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</row>
    <row r="3625" spans="1:39" x14ac:dyDescent="0.2">
      <c r="A3625" t="str">
        <f>"3621"</f>
        <v>3621</v>
      </c>
      <c r="B3625" t="str">
        <f t="shared" si="199"/>
        <v>1</v>
      </c>
      <c r="C3625" t="str">
        <f t="shared" si="201"/>
        <v>73</v>
      </c>
      <c r="D3625" t="str">
        <f>"42"</f>
        <v>42</v>
      </c>
      <c r="E3625" t="str">
        <f>"1-73-42"</f>
        <v>1-73-42</v>
      </c>
      <c r="F3625" t="s">
        <v>65</v>
      </c>
      <c r="G3625" t="s">
        <v>66</v>
      </c>
      <c r="H3625" t="s">
        <v>67</v>
      </c>
      <c r="S3625">
        <v>1</v>
      </c>
      <c r="T3625">
        <v>0</v>
      </c>
      <c r="U3625">
        <v>0</v>
      </c>
      <c r="V3625">
        <v>0</v>
      </c>
      <c r="W3625">
        <v>0</v>
      </c>
      <c r="X3625">
        <v>1</v>
      </c>
      <c r="Y3625">
        <v>1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</row>
    <row r="3626" spans="1:39" x14ac:dyDescent="0.2">
      <c r="A3626" t="str">
        <f>"3622"</f>
        <v>3622</v>
      </c>
      <c r="B3626" t="str">
        <f t="shared" si="199"/>
        <v>1</v>
      </c>
      <c r="C3626" t="str">
        <f t="shared" si="201"/>
        <v>73</v>
      </c>
      <c r="D3626" t="str">
        <f>"21"</f>
        <v>21</v>
      </c>
      <c r="E3626" t="str">
        <f>"1-73-21"</f>
        <v>1-73-21</v>
      </c>
      <c r="F3626" t="s">
        <v>65</v>
      </c>
      <c r="G3626" t="s">
        <v>66</v>
      </c>
      <c r="H3626" t="s">
        <v>67</v>
      </c>
      <c r="S3626">
        <v>1</v>
      </c>
      <c r="T3626">
        <v>0</v>
      </c>
      <c r="U3626">
        <v>0</v>
      </c>
      <c r="V3626">
        <v>0</v>
      </c>
      <c r="W3626">
        <v>0</v>
      </c>
      <c r="X3626">
        <v>1</v>
      </c>
      <c r="Y3626">
        <v>0</v>
      </c>
      <c r="Z3626">
        <v>1</v>
      </c>
      <c r="AA3626">
        <v>0</v>
      </c>
      <c r="AB3626">
        <v>0</v>
      </c>
      <c r="AC3626">
        <v>1</v>
      </c>
      <c r="AD3626">
        <v>1</v>
      </c>
      <c r="AE3626">
        <v>1</v>
      </c>
      <c r="AF3626">
        <v>1</v>
      </c>
      <c r="AG3626">
        <v>1</v>
      </c>
      <c r="AH3626">
        <v>1</v>
      </c>
      <c r="AI3626">
        <v>1</v>
      </c>
      <c r="AJ3626">
        <v>1</v>
      </c>
      <c r="AK3626">
        <v>1</v>
      </c>
      <c r="AL3626">
        <v>1</v>
      </c>
      <c r="AM3626">
        <v>1</v>
      </c>
    </row>
    <row r="3627" spans="1:39" x14ac:dyDescent="0.2">
      <c r="A3627" t="str">
        <f>"3623"</f>
        <v>3623</v>
      </c>
      <c r="B3627" t="str">
        <f t="shared" si="199"/>
        <v>1</v>
      </c>
      <c r="C3627" t="str">
        <f t="shared" si="201"/>
        <v>73</v>
      </c>
      <c r="D3627" t="str">
        <f>"7"</f>
        <v>7</v>
      </c>
      <c r="E3627" t="str">
        <f>"1-73-7"</f>
        <v>1-73-7</v>
      </c>
      <c r="F3627" t="s">
        <v>65</v>
      </c>
      <c r="G3627" t="s">
        <v>66</v>
      </c>
      <c r="H3627" t="s">
        <v>67</v>
      </c>
      <c r="S3627">
        <v>0</v>
      </c>
      <c r="T3627">
        <v>1</v>
      </c>
      <c r="U3627">
        <v>0</v>
      </c>
      <c r="V3627">
        <v>0</v>
      </c>
      <c r="W3627">
        <v>0</v>
      </c>
      <c r="X3627">
        <v>1</v>
      </c>
      <c r="Y3627">
        <v>0</v>
      </c>
      <c r="Z3627">
        <v>1</v>
      </c>
      <c r="AA3627">
        <v>0</v>
      </c>
      <c r="AB3627">
        <v>0</v>
      </c>
      <c r="AC3627">
        <v>1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</row>
    <row r="3628" spans="1:39" x14ac:dyDescent="0.2">
      <c r="A3628" t="str">
        <f>"3624"</f>
        <v>3624</v>
      </c>
      <c r="B3628" t="str">
        <f t="shared" si="199"/>
        <v>1</v>
      </c>
      <c r="C3628" t="str">
        <f t="shared" si="201"/>
        <v>73</v>
      </c>
      <c r="D3628" t="str">
        <f>"41"</f>
        <v>41</v>
      </c>
      <c r="E3628" t="str">
        <f>"1-73-41"</f>
        <v>1-73-41</v>
      </c>
      <c r="F3628" t="s">
        <v>65</v>
      </c>
      <c r="G3628" t="s">
        <v>66</v>
      </c>
      <c r="H3628" t="s">
        <v>67</v>
      </c>
      <c r="S3628">
        <v>1</v>
      </c>
      <c r="T3628">
        <v>0</v>
      </c>
      <c r="U3628">
        <v>0</v>
      </c>
      <c r="V3628">
        <v>0</v>
      </c>
      <c r="W3628">
        <v>1</v>
      </c>
      <c r="X3628">
        <v>0</v>
      </c>
      <c r="Y3628">
        <v>1</v>
      </c>
      <c r="Z3628">
        <v>0</v>
      </c>
      <c r="AA3628">
        <v>0</v>
      </c>
      <c r="AB3628">
        <v>1</v>
      </c>
      <c r="AC3628">
        <v>0</v>
      </c>
      <c r="AD3628">
        <v>1</v>
      </c>
      <c r="AE3628">
        <v>1</v>
      </c>
      <c r="AF3628">
        <v>1</v>
      </c>
      <c r="AG3628">
        <v>1</v>
      </c>
      <c r="AH3628">
        <v>1</v>
      </c>
      <c r="AI3628">
        <v>1</v>
      </c>
      <c r="AJ3628">
        <v>1</v>
      </c>
      <c r="AK3628">
        <v>1</v>
      </c>
      <c r="AL3628">
        <v>1</v>
      </c>
      <c r="AM3628">
        <v>1</v>
      </c>
    </row>
    <row r="3629" spans="1:39" x14ac:dyDescent="0.2">
      <c r="A3629" t="str">
        <f>"3625"</f>
        <v>3625</v>
      </c>
      <c r="B3629" t="str">
        <f t="shared" si="199"/>
        <v>1</v>
      </c>
      <c r="C3629" t="str">
        <f t="shared" si="201"/>
        <v>73</v>
      </c>
      <c r="D3629" t="str">
        <f>"22"</f>
        <v>22</v>
      </c>
      <c r="E3629" t="str">
        <f>"1-73-22"</f>
        <v>1-73-22</v>
      </c>
      <c r="F3629" t="s">
        <v>65</v>
      </c>
      <c r="G3629" t="s">
        <v>66</v>
      </c>
      <c r="H3629" t="s">
        <v>67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0</v>
      </c>
      <c r="AB3629">
        <v>1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</row>
    <row r="3630" spans="1:39" x14ac:dyDescent="0.2">
      <c r="A3630" t="str">
        <f>"3626"</f>
        <v>3626</v>
      </c>
      <c r="B3630" t="str">
        <f t="shared" si="199"/>
        <v>1</v>
      </c>
      <c r="C3630" t="str">
        <f t="shared" si="201"/>
        <v>73</v>
      </c>
      <c r="D3630" t="str">
        <f>"8"</f>
        <v>8</v>
      </c>
      <c r="E3630" t="str">
        <f>"1-73-8"</f>
        <v>1-73-8</v>
      </c>
      <c r="F3630" t="s">
        <v>65</v>
      </c>
      <c r="G3630" t="s">
        <v>66</v>
      </c>
      <c r="H3630" t="s">
        <v>67</v>
      </c>
      <c r="S3630">
        <v>0</v>
      </c>
      <c r="T3630">
        <v>1</v>
      </c>
      <c r="U3630">
        <v>0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0</v>
      </c>
      <c r="AB3630">
        <v>0</v>
      </c>
      <c r="AC3630">
        <v>1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</row>
    <row r="3631" spans="1:39" x14ac:dyDescent="0.2">
      <c r="A3631" t="str">
        <f>"3627"</f>
        <v>3627</v>
      </c>
      <c r="B3631" t="str">
        <f t="shared" si="199"/>
        <v>1</v>
      </c>
      <c r="C3631" t="str">
        <f t="shared" si="201"/>
        <v>73</v>
      </c>
      <c r="D3631" t="str">
        <f>"44"</f>
        <v>44</v>
      </c>
      <c r="E3631" t="str">
        <f>"1-73-44"</f>
        <v>1-73-44</v>
      </c>
      <c r="F3631" t="s">
        <v>65</v>
      </c>
      <c r="G3631" t="s">
        <v>66</v>
      </c>
      <c r="H3631" t="s">
        <v>67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1</v>
      </c>
      <c r="Y3631">
        <v>1</v>
      </c>
      <c r="Z3631">
        <v>0</v>
      </c>
      <c r="AA3631">
        <v>0</v>
      </c>
      <c r="AB3631">
        <v>1</v>
      </c>
      <c r="AC3631">
        <v>0</v>
      </c>
      <c r="AD3631">
        <v>1</v>
      </c>
      <c r="AE3631">
        <v>1</v>
      </c>
      <c r="AF3631">
        <v>1</v>
      </c>
      <c r="AG3631">
        <v>1</v>
      </c>
      <c r="AH3631">
        <v>1</v>
      </c>
      <c r="AI3631">
        <v>1</v>
      </c>
      <c r="AJ3631">
        <v>1</v>
      </c>
      <c r="AK3631">
        <v>1</v>
      </c>
      <c r="AL3631">
        <v>1</v>
      </c>
      <c r="AM3631">
        <v>1</v>
      </c>
    </row>
    <row r="3632" spans="1:39" x14ac:dyDescent="0.2">
      <c r="A3632" t="str">
        <f>"3628"</f>
        <v>3628</v>
      </c>
      <c r="B3632" t="str">
        <f t="shared" si="199"/>
        <v>1</v>
      </c>
      <c r="C3632" t="str">
        <f t="shared" si="201"/>
        <v>73</v>
      </c>
      <c r="D3632" t="str">
        <f>"23"</f>
        <v>23</v>
      </c>
      <c r="E3632" t="str">
        <f>"1-73-23"</f>
        <v>1-73-23</v>
      </c>
      <c r="F3632" t="s">
        <v>65</v>
      </c>
      <c r="G3632" t="s">
        <v>66</v>
      </c>
      <c r="H3632" t="s">
        <v>67</v>
      </c>
      <c r="S3632">
        <v>0</v>
      </c>
      <c r="T3632">
        <v>1</v>
      </c>
      <c r="U3632">
        <v>0</v>
      </c>
      <c r="V3632">
        <v>0</v>
      </c>
      <c r="W3632">
        <v>1</v>
      </c>
      <c r="X3632">
        <v>0</v>
      </c>
      <c r="Y3632">
        <v>0</v>
      </c>
      <c r="Z3632">
        <v>1</v>
      </c>
      <c r="AA3632">
        <v>1</v>
      </c>
      <c r="AB3632">
        <v>0</v>
      </c>
      <c r="AC3632">
        <v>0</v>
      </c>
      <c r="AD3632">
        <v>1</v>
      </c>
      <c r="AE3632">
        <v>1</v>
      </c>
      <c r="AF3632">
        <v>1</v>
      </c>
      <c r="AG3632">
        <v>1</v>
      </c>
      <c r="AH3632">
        <v>1</v>
      </c>
      <c r="AI3632">
        <v>1</v>
      </c>
      <c r="AJ3632">
        <v>1</v>
      </c>
      <c r="AK3632">
        <v>1</v>
      </c>
      <c r="AL3632">
        <v>1</v>
      </c>
      <c r="AM3632">
        <v>1</v>
      </c>
    </row>
    <row r="3633" spans="1:39" x14ac:dyDescent="0.2">
      <c r="A3633" t="str">
        <f>"3629"</f>
        <v>3629</v>
      </c>
      <c r="B3633" t="str">
        <f t="shared" si="199"/>
        <v>1</v>
      </c>
      <c r="C3633" t="str">
        <f t="shared" si="201"/>
        <v>73</v>
      </c>
      <c r="D3633" t="str">
        <f>"9"</f>
        <v>9</v>
      </c>
      <c r="E3633" t="str">
        <f>"1-73-9"</f>
        <v>1-73-9</v>
      </c>
      <c r="F3633" t="s">
        <v>65</v>
      </c>
      <c r="G3633" t="s">
        <v>66</v>
      </c>
      <c r="H3633" t="s">
        <v>67</v>
      </c>
      <c r="S3633">
        <v>0</v>
      </c>
      <c r="T3633">
        <v>1</v>
      </c>
      <c r="U3633">
        <v>0</v>
      </c>
      <c r="V3633">
        <v>0</v>
      </c>
      <c r="W3633">
        <v>1</v>
      </c>
      <c r="X3633">
        <v>0</v>
      </c>
      <c r="Y3633">
        <v>0</v>
      </c>
      <c r="Z3633">
        <v>1</v>
      </c>
      <c r="AA3633">
        <v>1</v>
      </c>
      <c r="AB3633">
        <v>0</v>
      </c>
      <c r="AC3633">
        <v>0</v>
      </c>
      <c r="AD3633">
        <v>1</v>
      </c>
      <c r="AE3633">
        <v>1</v>
      </c>
      <c r="AF3633">
        <v>1</v>
      </c>
      <c r="AG3633">
        <v>1</v>
      </c>
      <c r="AH3633">
        <v>1</v>
      </c>
      <c r="AI3633">
        <v>1</v>
      </c>
      <c r="AJ3633">
        <v>1</v>
      </c>
      <c r="AK3633">
        <v>1</v>
      </c>
      <c r="AL3633">
        <v>1</v>
      </c>
      <c r="AM3633">
        <v>1</v>
      </c>
    </row>
    <row r="3634" spans="1:39" x14ac:dyDescent="0.2">
      <c r="A3634" t="str">
        <f>"3630"</f>
        <v>3630</v>
      </c>
      <c r="B3634" t="str">
        <f t="shared" si="199"/>
        <v>1</v>
      </c>
      <c r="C3634" t="str">
        <f t="shared" si="201"/>
        <v>73</v>
      </c>
      <c r="D3634" t="str">
        <f>"43"</f>
        <v>43</v>
      </c>
      <c r="E3634" t="str">
        <f>"1-73-43"</f>
        <v>1-73-43</v>
      </c>
      <c r="F3634" t="s">
        <v>65</v>
      </c>
      <c r="G3634" t="s">
        <v>66</v>
      </c>
      <c r="H3634" t="s">
        <v>67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</row>
    <row r="3635" spans="1:39" x14ac:dyDescent="0.2">
      <c r="A3635" t="str">
        <f>"3631"</f>
        <v>3631</v>
      </c>
      <c r="B3635" t="str">
        <f t="shared" si="199"/>
        <v>1</v>
      </c>
      <c r="C3635" t="str">
        <f t="shared" si="201"/>
        <v>73</v>
      </c>
      <c r="D3635" t="str">
        <f>"26"</f>
        <v>26</v>
      </c>
      <c r="E3635" t="str">
        <f>"1-73-26"</f>
        <v>1-73-26</v>
      </c>
      <c r="F3635" t="s">
        <v>65</v>
      </c>
      <c r="G3635" t="s">
        <v>66</v>
      </c>
      <c r="H3635" t="s">
        <v>67</v>
      </c>
      <c r="S3635">
        <v>0</v>
      </c>
      <c r="T3635">
        <v>1</v>
      </c>
      <c r="U3635">
        <v>0</v>
      </c>
      <c r="V3635">
        <v>0</v>
      </c>
      <c r="W3635">
        <v>1</v>
      </c>
      <c r="X3635">
        <v>0</v>
      </c>
      <c r="Y3635">
        <v>1</v>
      </c>
      <c r="Z3635">
        <v>0</v>
      </c>
      <c r="AA3635">
        <v>0</v>
      </c>
      <c r="AB3635">
        <v>0</v>
      </c>
      <c r="AC3635">
        <v>1</v>
      </c>
      <c r="AD3635">
        <v>1</v>
      </c>
      <c r="AE3635">
        <v>1</v>
      </c>
      <c r="AF3635">
        <v>1</v>
      </c>
      <c r="AG3635">
        <v>1</v>
      </c>
      <c r="AH3635">
        <v>1</v>
      </c>
      <c r="AI3635">
        <v>1</v>
      </c>
      <c r="AJ3635">
        <v>1</v>
      </c>
      <c r="AK3635">
        <v>1</v>
      </c>
      <c r="AL3635">
        <v>1</v>
      </c>
      <c r="AM3635">
        <v>1</v>
      </c>
    </row>
    <row r="3636" spans="1:39" x14ac:dyDescent="0.2">
      <c r="A3636" t="str">
        <f>"3632"</f>
        <v>3632</v>
      </c>
      <c r="B3636" t="str">
        <f t="shared" si="199"/>
        <v>1</v>
      </c>
      <c r="C3636" t="str">
        <f t="shared" si="201"/>
        <v>73</v>
      </c>
      <c r="D3636" t="str">
        <f>"10"</f>
        <v>10</v>
      </c>
      <c r="E3636" t="str">
        <f>"1-73-10"</f>
        <v>1-73-10</v>
      </c>
      <c r="F3636" t="s">
        <v>65</v>
      </c>
      <c r="G3636" t="s">
        <v>66</v>
      </c>
      <c r="H3636" t="s">
        <v>67</v>
      </c>
      <c r="S3636">
        <v>0</v>
      </c>
      <c r="T3636">
        <v>1</v>
      </c>
      <c r="U3636">
        <v>0</v>
      </c>
      <c r="V3636">
        <v>0</v>
      </c>
      <c r="W3636">
        <v>0</v>
      </c>
      <c r="X3636">
        <v>1</v>
      </c>
      <c r="Y3636">
        <v>0</v>
      </c>
      <c r="Z3636">
        <v>1</v>
      </c>
      <c r="AA3636">
        <v>0</v>
      </c>
      <c r="AB3636">
        <v>1</v>
      </c>
      <c r="AC3636">
        <v>0</v>
      </c>
      <c r="AD3636">
        <v>1</v>
      </c>
      <c r="AE3636">
        <v>1</v>
      </c>
      <c r="AF3636">
        <v>1</v>
      </c>
      <c r="AG3636">
        <v>1</v>
      </c>
      <c r="AH3636">
        <v>1</v>
      </c>
      <c r="AI3636">
        <v>1</v>
      </c>
      <c r="AJ3636">
        <v>1</v>
      </c>
      <c r="AK3636">
        <v>1</v>
      </c>
      <c r="AL3636">
        <v>1</v>
      </c>
      <c r="AM3636">
        <v>1</v>
      </c>
    </row>
    <row r="3637" spans="1:39" x14ac:dyDescent="0.2">
      <c r="A3637" t="str">
        <f>"3633"</f>
        <v>3633</v>
      </c>
      <c r="B3637" t="str">
        <f t="shared" si="199"/>
        <v>1</v>
      </c>
      <c r="C3637" t="str">
        <f t="shared" ref="C3637:C3654" si="202">"73"</f>
        <v>73</v>
      </c>
      <c r="D3637" t="str">
        <f>"45"</f>
        <v>45</v>
      </c>
      <c r="E3637" t="str">
        <f>"1-73-45"</f>
        <v>1-73-45</v>
      </c>
      <c r="F3637" t="s">
        <v>65</v>
      </c>
      <c r="G3637" t="s">
        <v>66</v>
      </c>
      <c r="H3637" t="s">
        <v>67</v>
      </c>
      <c r="S3637">
        <v>0</v>
      </c>
      <c r="T3637">
        <v>1</v>
      </c>
      <c r="U3637">
        <v>0</v>
      </c>
      <c r="V3637">
        <v>0</v>
      </c>
      <c r="W3637">
        <v>1</v>
      </c>
      <c r="X3637">
        <v>0</v>
      </c>
      <c r="Y3637">
        <v>1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1</v>
      </c>
      <c r="AF3637">
        <v>1</v>
      </c>
      <c r="AG3637">
        <v>1</v>
      </c>
      <c r="AH3637">
        <v>1</v>
      </c>
      <c r="AI3637">
        <v>1</v>
      </c>
      <c r="AJ3637">
        <v>1</v>
      </c>
      <c r="AK3637">
        <v>1</v>
      </c>
      <c r="AL3637">
        <v>1</v>
      </c>
      <c r="AM3637">
        <v>1</v>
      </c>
    </row>
    <row r="3638" spans="1:39" x14ac:dyDescent="0.2">
      <c r="A3638" t="str">
        <f>"3634"</f>
        <v>3634</v>
      </c>
      <c r="B3638" t="str">
        <f t="shared" si="199"/>
        <v>1</v>
      </c>
      <c r="C3638" t="str">
        <f t="shared" si="202"/>
        <v>73</v>
      </c>
      <c r="D3638" t="str">
        <f>"27"</f>
        <v>27</v>
      </c>
      <c r="E3638" t="str">
        <f>"1-73-27"</f>
        <v>1-73-27</v>
      </c>
      <c r="F3638" t="s">
        <v>65</v>
      </c>
      <c r="G3638" t="s">
        <v>66</v>
      </c>
      <c r="H3638" t="s">
        <v>67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1</v>
      </c>
      <c r="AM3638">
        <v>0</v>
      </c>
    </row>
    <row r="3639" spans="1:39" x14ac:dyDescent="0.2">
      <c r="A3639" t="str">
        <f>"3635"</f>
        <v>3635</v>
      </c>
      <c r="B3639" t="str">
        <f t="shared" ref="B3639:B3702" si="203">"1"</f>
        <v>1</v>
      </c>
      <c r="C3639" t="str">
        <f t="shared" si="202"/>
        <v>73</v>
      </c>
      <c r="D3639" t="str">
        <f>"13"</f>
        <v>13</v>
      </c>
      <c r="E3639" t="str">
        <f>"1-73-13"</f>
        <v>1-73-13</v>
      </c>
      <c r="F3639" t="s">
        <v>65</v>
      </c>
      <c r="G3639" t="s">
        <v>66</v>
      </c>
      <c r="H3639" t="s">
        <v>67</v>
      </c>
      <c r="S3639">
        <v>1</v>
      </c>
      <c r="T3639">
        <v>0</v>
      </c>
      <c r="U3639">
        <v>0</v>
      </c>
      <c r="V3639">
        <v>0</v>
      </c>
      <c r="W3639">
        <v>1</v>
      </c>
      <c r="X3639">
        <v>0</v>
      </c>
      <c r="Y3639">
        <v>0</v>
      </c>
      <c r="Z3639">
        <v>1</v>
      </c>
      <c r="AA3639">
        <v>0</v>
      </c>
      <c r="AB3639">
        <v>0</v>
      </c>
      <c r="AC3639">
        <v>1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</row>
    <row r="3640" spans="1:39" x14ac:dyDescent="0.2">
      <c r="A3640" t="str">
        <f>"3636"</f>
        <v>3636</v>
      </c>
      <c r="B3640" t="str">
        <f t="shared" si="203"/>
        <v>1</v>
      </c>
      <c r="C3640" t="str">
        <f t="shared" si="202"/>
        <v>73</v>
      </c>
      <c r="D3640" t="str">
        <f>"46"</f>
        <v>46</v>
      </c>
      <c r="E3640" t="str">
        <f>"1-73-46"</f>
        <v>1-73-46</v>
      </c>
      <c r="F3640" t="s">
        <v>65</v>
      </c>
      <c r="G3640" t="s">
        <v>66</v>
      </c>
      <c r="H3640" t="s">
        <v>67</v>
      </c>
      <c r="S3640">
        <v>1</v>
      </c>
      <c r="T3640">
        <v>0</v>
      </c>
      <c r="U3640">
        <v>0</v>
      </c>
      <c r="V3640">
        <v>0</v>
      </c>
      <c r="W3640">
        <v>1</v>
      </c>
      <c r="X3640">
        <v>0</v>
      </c>
      <c r="Y3640">
        <v>1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1</v>
      </c>
      <c r="AF3640">
        <v>1</v>
      </c>
      <c r="AG3640">
        <v>1</v>
      </c>
      <c r="AH3640">
        <v>1</v>
      </c>
      <c r="AI3640">
        <v>1</v>
      </c>
      <c r="AJ3640">
        <v>1</v>
      </c>
      <c r="AK3640">
        <v>1</v>
      </c>
      <c r="AL3640">
        <v>1</v>
      </c>
      <c r="AM3640">
        <v>1</v>
      </c>
    </row>
    <row r="3641" spans="1:39" x14ac:dyDescent="0.2">
      <c r="A3641" t="str">
        <f>"3637"</f>
        <v>3637</v>
      </c>
      <c r="B3641" t="str">
        <f t="shared" si="203"/>
        <v>1</v>
      </c>
      <c r="C3641" t="str">
        <f t="shared" si="202"/>
        <v>73</v>
      </c>
      <c r="D3641" t="str">
        <f>"28"</f>
        <v>28</v>
      </c>
      <c r="E3641" t="str">
        <f>"1-73-28"</f>
        <v>1-73-28</v>
      </c>
      <c r="F3641" t="s">
        <v>65</v>
      </c>
      <c r="G3641" t="s">
        <v>66</v>
      </c>
      <c r="H3641" t="s">
        <v>67</v>
      </c>
      <c r="S3641">
        <v>0</v>
      </c>
      <c r="T3641">
        <v>1</v>
      </c>
      <c r="U3641">
        <v>0</v>
      </c>
      <c r="V3641">
        <v>0</v>
      </c>
      <c r="W3641">
        <v>0</v>
      </c>
      <c r="X3641">
        <v>1</v>
      </c>
      <c r="Y3641">
        <v>1</v>
      </c>
      <c r="Z3641">
        <v>0</v>
      </c>
      <c r="AA3641">
        <v>0</v>
      </c>
      <c r="AB3641">
        <v>0</v>
      </c>
      <c r="AC3641">
        <v>1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</row>
    <row r="3642" spans="1:39" x14ac:dyDescent="0.2">
      <c r="A3642" t="str">
        <f>"3638"</f>
        <v>3638</v>
      </c>
      <c r="B3642" t="str">
        <f t="shared" si="203"/>
        <v>1</v>
      </c>
      <c r="C3642" t="str">
        <f t="shared" si="202"/>
        <v>73</v>
      </c>
      <c r="D3642" t="str">
        <f>"4"</f>
        <v>4</v>
      </c>
      <c r="E3642" t="str">
        <f>"1-73-4"</f>
        <v>1-73-4</v>
      </c>
      <c r="F3642" t="s">
        <v>65</v>
      </c>
      <c r="G3642" t="s">
        <v>66</v>
      </c>
      <c r="H3642" t="s">
        <v>67</v>
      </c>
      <c r="S3642">
        <v>0</v>
      </c>
      <c r="T3642">
        <v>1</v>
      </c>
      <c r="U3642">
        <v>0</v>
      </c>
      <c r="V3642">
        <v>0</v>
      </c>
      <c r="W3642">
        <v>0</v>
      </c>
      <c r="X3642">
        <v>1</v>
      </c>
      <c r="Y3642">
        <v>0</v>
      </c>
      <c r="Z3642">
        <v>1</v>
      </c>
      <c r="AA3642">
        <v>0</v>
      </c>
      <c r="AB3642">
        <v>0</v>
      </c>
      <c r="AC3642">
        <v>1</v>
      </c>
      <c r="AD3642">
        <v>1</v>
      </c>
      <c r="AE3642">
        <v>1</v>
      </c>
      <c r="AF3642">
        <v>0</v>
      </c>
      <c r="AG3642">
        <v>1</v>
      </c>
      <c r="AH3642">
        <v>1</v>
      </c>
      <c r="AI3642">
        <v>1</v>
      </c>
      <c r="AJ3642">
        <v>1</v>
      </c>
      <c r="AK3642">
        <v>1</v>
      </c>
      <c r="AL3642">
        <v>1</v>
      </c>
      <c r="AM3642">
        <v>1</v>
      </c>
    </row>
    <row r="3643" spans="1:39" x14ac:dyDescent="0.2">
      <c r="A3643" t="str">
        <f>"3639"</f>
        <v>3639</v>
      </c>
      <c r="B3643" t="str">
        <f t="shared" si="203"/>
        <v>1</v>
      </c>
      <c r="C3643" t="str">
        <f t="shared" si="202"/>
        <v>73</v>
      </c>
      <c r="D3643" t="str">
        <f>"47"</f>
        <v>47</v>
      </c>
      <c r="E3643" t="str">
        <f>"1-73-47"</f>
        <v>1-73-47</v>
      </c>
      <c r="F3643" t="s">
        <v>65</v>
      </c>
      <c r="G3643" t="s">
        <v>66</v>
      </c>
      <c r="H3643" t="s">
        <v>67</v>
      </c>
      <c r="S3643">
        <v>0</v>
      </c>
      <c r="T3643">
        <v>1</v>
      </c>
      <c r="U3643">
        <v>0</v>
      </c>
      <c r="V3643">
        <v>0</v>
      </c>
      <c r="W3643">
        <v>0</v>
      </c>
      <c r="X3643">
        <v>1</v>
      </c>
      <c r="Y3643">
        <v>0</v>
      </c>
      <c r="Z3643">
        <v>1</v>
      </c>
      <c r="AA3643">
        <v>0</v>
      </c>
      <c r="AB3643">
        <v>0</v>
      </c>
      <c r="AC3643">
        <v>1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</row>
    <row r="3644" spans="1:39" x14ac:dyDescent="0.2">
      <c r="A3644" t="str">
        <f>"3640"</f>
        <v>3640</v>
      </c>
      <c r="B3644" t="str">
        <f t="shared" si="203"/>
        <v>1</v>
      </c>
      <c r="C3644" t="str">
        <f t="shared" si="202"/>
        <v>73</v>
      </c>
      <c r="D3644" t="str">
        <f>"29"</f>
        <v>29</v>
      </c>
      <c r="E3644" t="str">
        <f>"1-73-29"</f>
        <v>1-73-29</v>
      </c>
      <c r="F3644" t="s">
        <v>65</v>
      </c>
      <c r="G3644" t="s">
        <v>66</v>
      </c>
      <c r="H3644" t="s">
        <v>67</v>
      </c>
      <c r="S3644">
        <v>0</v>
      </c>
      <c r="T3644">
        <v>1</v>
      </c>
      <c r="U3644">
        <v>0</v>
      </c>
      <c r="V3644">
        <v>0</v>
      </c>
      <c r="W3644">
        <v>1</v>
      </c>
      <c r="X3644">
        <v>0</v>
      </c>
      <c r="Y3644">
        <v>0</v>
      </c>
      <c r="Z3644">
        <v>1</v>
      </c>
      <c r="AA3644">
        <v>0</v>
      </c>
      <c r="AB3644">
        <v>0</v>
      </c>
      <c r="AC3644">
        <v>1</v>
      </c>
      <c r="AD3644">
        <v>1</v>
      </c>
      <c r="AE3644">
        <v>1</v>
      </c>
      <c r="AF3644">
        <v>1</v>
      </c>
      <c r="AG3644">
        <v>1</v>
      </c>
      <c r="AH3644">
        <v>0</v>
      </c>
      <c r="AI3644">
        <v>1</v>
      </c>
      <c r="AJ3644">
        <v>0</v>
      </c>
      <c r="AK3644">
        <v>1</v>
      </c>
      <c r="AL3644">
        <v>1</v>
      </c>
      <c r="AM3644">
        <v>1</v>
      </c>
    </row>
    <row r="3645" spans="1:39" x14ac:dyDescent="0.2">
      <c r="A3645" t="str">
        <f>"3641"</f>
        <v>3641</v>
      </c>
      <c r="B3645" t="str">
        <f t="shared" si="203"/>
        <v>1</v>
      </c>
      <c r="C3645" t="str">
        <f t="shared" si="202"/>
        <v>73</v>
      </c>
      <c r="D3645" t="str">
        <f>"14"</f>
        <v>14</v>
      </c>
      <c r="E3645" t="str">
        <f>"1-73-14"</f>
        <v>1-73-14</v>
      </c>
      <c r="F3645" t="s">
        <v>65</v>
      </c>
      <c r="G3645" t="s">
        <v>66</v>
      </c>
      <c r="H3645" t="s">
        <v>67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0</v>
      </c>
      <c r="AB3645">
        <v>0</v>
      </c>
      <c r="AC3645">
        <v>1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</row>
    <row r="3646" spans="1:39" x14ac:dyDescent="0.2">
      <c r="A3646" t="str">
        <f>"3642"</f>
        <v>3642</v>
      </c>
      <c r="B3646" t="str">
        <f t="shared" si="203"/>
        <v>1</v>
      </c>
      <c r="C3646" t="str">
        <f t="shared" si="202"/>
        <v>73</v>
      </c>
      <c r="D3646" t="str">
        <f>"48"</f>
        <v>48</v>
      </c>
      <c r="E3646" t="str">
        <f>"1-73-48"</f>
        <v>1-73-48</v>
      </c>
      <c r="F3646" t="s">
        <v>65</v>
      </c>
      <c r="G3646" t="s">
        <v>66</v>
      </c>
      <c r="H3646" t="s">
        <v>67</v>
      </c>
      <c r="S3646">
        <v>0</v>
      </c>
      <c r="T3646">
        <v>1</v>
      </c>
      <c r="U3646">
        <v>0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</row>
    <row r="3647" spans="1:39" x14ac:dyDescent="0.2">
      <c r="A3647" t="str">
        <f>"3643"</f>
        <v>3643</v>
      </c>
      <c r="B3647" t="str">
        <f t="shared" si="203"/>
        <v>1</v>
      </c>
      <c r="C3647" t="str">
        <f t="shared" si="202"/>
        <v>73</v>
      </c>
      <c r="D3647" t="str">
        <f>"32"</f>
        <v>32</v>
      </c>
      <c r="E3647" t="str">
        <f>"1-73-32"</f>
        <v>1-73-32</v>
      </c>
      <c r="F3647" t="s">
        <v>65</v>
      </c>
      <c r="G3647" t="s">
        <v>66</v>
      </c>
      <c r="H3647" t="s">
        <v>67</v>
      </c>
      <c r="S3647">
        <v>0</v>
      </c>
      <c r="T3647">
        <v>0</v>
      </c>
      <c r="U3647">
        <v>0</v>
      </c>
      <c r="V3647">
        <v>0</v>
      </c>
      <c r="W3647">
        <v>1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</row>
    <row r="3648" spans="1:39" x14ac:dyDescent="0.2">
      <c r="A3648" t="str">
        <f>"3644"</f>
        <v>3644</v>
      </c>
      <c r="B3648" t="str">
        <f t="shared" si="203"/>
        <v>1</v>
      </c>
      <c r="C3648" t="str">
        <f t="shared" si="202"/>
        <v>73</v>
      </c>
      <c r="D3648" t="str">
        <f>"3"</f>
        <v>3</v>
      </c>
      <c r="E3648" t="str">
        <f>"1-73-3"</f>
        <v>1-73-3</v>
      </c>
      <c r="F3648" t="s">
        <v>65</v>
      </c>
      <c r="G3648" t="s">
        <v>66</v>
      </c>
      <c r="H3648" t="s">
        <v>67</v>
      </c>
      <c r="S3648">
        <v>0</v>
      </c>
      <c r="T3648">
        <v>1</v>
      </c>
      <c r="U3648">
        <v>0</v>
      </c>
      <c r="V3648">
        <v>0</v>
      </c>
      <c r="W3648">
        <v>1</v>
      </c>
      <c r="X3648">
        <v>0</v>
      </c>
      <c r="Y3648">
        <v>0</v>
      </c>
      <c r="Z3648">
        <v>1</v>
      </c>
      <c r="AA3648">
        <v>1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</row>
    <row r="3649" spans="1:39" x14ac:dyDescent="0.2">
      <c r="A3649" t="str">
        <f>"3645"</f>
        <v>3645</v>
      </c>
      <c r="B3649" t="str">
        <f t="shared" si="203"/>
        <v>1</v>
      </c>
      <c r="C3649" t="str">
        <f t="shared" si="202"/>
        <v>73</v>
      </c>
      <c r="D3649" t="str">
        <f>"50"</f>
        <v>50</v>
      </c>
      <c r="E3649" t="str">
        <f>"1-73-50"</f>
        <v>1-73-50</v>
      </c>
      <c r="F3649" t="s">
        <v>65</v>
      </c>
      <c r="G3649" t="s">
        <v>66</v>
      </c>
      <c r="H3649" t="s">
        <v>67</v>
      </c>
      <c r="S3649">
        <v>0</v>
      </c>
      <c r="T3649">
        <v>1</v>
      </c>
      <c r="U3649">
        <v>0</v>
      </c>
      <c r="V3649">
        <v>0</v>
      </c>
      <c r="W3649">
        <v>0</v>
      </c>
      <c r="X3649">
        <v>1</v>
      </c>
      <c r="Y3649">
        <v>0</v>
      </c>
      <c r="Z3649">
        <v>1</v>
      </c>
      <c r="AA3649">
        <v>0</v>
      </c>
      <c r="AB3649">
        <v>1</v>
      </c>
      <c r="AC3649">
        <v>0</v>
      </c>
      <c r="AD3649">
        <v>1</v>
      </c>
      <c r="AE3649">
        <v>1</v>
      </c>
      <c r="AF3649">
        <v>1</v>
      </c>
      <c r="AG3649">
        <v>1</v>
      </c>
      <c r="AH3649">
        <v>1</v>
      </c>
      <c r="AI3649">
        <v>1</v>
      </c>
      <c r="AJ3649">
        <v>1</v>
      </c>
      <c r="AK3649">
        <v>1</v>
      </c>
      <c r="AL3649">
        <v>1</v>
      </c>
      <c r="AM3649">
        <v>1</v>
      </c>
    </row>
    <row r="3650" spans="1:39" x14ac:dyDescent="0.2">
      <c r="A3650" t="str">
        <f>"3646"</f>
        <v>3646</v>
      </c>
      <c r="B3650" t="str">
        <f t="shared" si="203"/>
        <v>1</v>
      </c>
      <c r="C3650" t="str">
        <f t="shared" si="202"/>
        <v>73</v>
      </c>
      <c r="D3650" t="str">
        <f>"33"</f>
        <v>33</v>
      </c>
      <c r="E3650" t="str">
        <f>"1-73-33"</f>
        <v>1-73-33</v>
      </c>
      <c r="F3650" t="s">
        <v>65</v>
      </c>
      <c r="G3650" t="s">
        <v>66</v>
      </c>
      <c r="H3650" t="s">
        <v>67</v>
      </c>
      <c r="S3650">
        <v>1</v>
      </c>
      <c r="T3650">
        <v>0</v>
      </c>
      <c r="U3650">
        <v>0</v>
      </c>
      <c r="V3650">
        <v>0</v>
      </c>
      <c r="W3650">
        <v>1</v>
      </c>
      <c r="X3650">
        <v>0</v>
      </c>
      <c r="Y3650">
        <v>1</v>
      </c>
      <c r="Z3650">
        <v>0</v>
      </c>
      <c r="AA3650">
        <v>0</v>
      </c>
      <c r="AB3650">
        <v>1</v>
      </c>
      <c r="AC3650">
        <v>0</v>
      </c>
      <c r="AD3650">
        <v>1</v>
      </c>
      <c r="AE3650">
        <v>1</v>
      </c>
      <c r="AF3650">
        <v>1</v>
      </c>
      <c r="AG3650">
        <v>1</v>
      </c>
      <c r="AH3650">
        <v>1</v>
      </c>
      <c r="AI3650">
        <v>1</v>
      </c>
      <c r="AJ3650">
        <v>1</v>
      </c>
      <c r="AK3650">
        <v>1</v>
      </c>
      <c r="AL3650">
        <v>1</v>
      </c>
      <c r="AM3650">
        <v>1</v>
      </c>
    </row>
    <row r="3651" spans="1:39" x14ac:dyDescent="0.2">
      <c r="A3651" t="str">
        <f>"3647"</f>
        <v>3647</v>
      </c>
      <c r="B3651" t="str">
        <f t="shared" si="203"/>
        <v>1</v>
      </c>
      <c r="C3651" t="str">
        <f t="shared" si="202"/>
        <v>73</v>
      </c>
      <c r="D3651" t="str">
        <f>"12"</f>
        <v>12</v>
      </c>
      <c r="E3651" t="str">
        <f>"1-73-12"</f>
        <v>1-73-12</v>
      </c>
      <c r="F3651" t="s">
        <v>65</v>
      </c>
      <c r="G3651" t="s">
        <v>66</v>
      </c>
      <c r="H3651" t="s">
        <v>67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0</v>
      </c>
      <c r="AB3651">
        <v>1</v>
      </c>
      <c r="AC3651">
        <v>0</v>
      </c>
      <c r="AD3651">
        <v>0</v>
      </c>
      <c r="AE3651">
        <v>0</v>
      </c>
      <c r="AF3651">
        <v>0</v>
      </c>
      <c r="AG3651">
        <v>1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</row>
    <row r="3652" spans="1:39" x14ac:dyDescent="0.2">
      <c r="A3652" t="str">
        <f>"3648"</f>
        <v>3648</v>
      </c>
      <c r="B3652" t="str">
        <f t="shared" si="203"/>
        <v>1</v>
      </c>
      <c r="C3652" t="str">
        <f t="shared" si="202"/>
        <v>73</v>
      </c>
      <c r="D3652" t="str">
        <f>"49"</f>
        <v>49</v>
      </c>
      <c r="E3652" t="str">
        <f>"1-73-49"</f>
        <v>1-73-49</v>
      </c>
      <c r="F3652" t="s">
        <v>65</v>
      </c>
      <c r="G3652" t="s">
        <v>66</v>
      </c>
      <c r="H3652" t="s">
        <v>67</v>
      </c>
      <c r="S3652">
        <v>1</v>
      </c>
      <c r="T3652">
        <v>0</v>
      </c>
      <c r="U3652">
        <v>0</v>
      </c>
      <c r="V3652">
        <v>0</v>
      </c>
      <c r="W3652">
        <v>0</v>
      </c>
      <c r="X3652">
        <v>1</v>
      </c>
      <c r="Y3652">
        <v>1</v>
      </c>
      <c r="Z3652">
        <v>0</v>
      </c>
      <c r="AA3652">
        <v>0</v>
      </c>
      <c r="AB3652">
        <v>1</v>
      </c>
      <c r="AC3652">
        <v>0</v>
      </c>
      <c r="AD3652">
        <v>1</v>
      </c>
      <c r="AE3652">
        <v>1</v>
      </c>
      <c r="AF3652">
        <v>1</v>
      </c>
      <c r="AG3652">
        <v>1</v>
      </c>
      <c r="AH3652">
        <v>1</v>
      </c>
      <c r="AI3652">
        <v>1</v>
      </c>
      <c r="AJ3652">
        <v>1</v>
      </c>
      <c r="AK3652">
        <v>1</v>
      </c>
      <c r="AL3652">
        <v>1</v>
      </c>
      <c r="AM3652">
        <v>1</v>
      </c>
    </row>
    <row r="3653" spans="1:39" x14ac:dyDescent="0.2">
      <c r="A3653" t="str">
        <f>"3649"</f>
        <v>3649</v>
      </c>
      <c r="B3653" t="str">
        <f t="shared" si="203"/>
        <v>1</v>
      </c>
      <c r="C3653" t="str">
        <f t="shared" si="202"/>
        <v>73</v>
      </c>
      <c r="D3653" t="str">
        <f>"34"</f>
        <v>34</v>
      </c>
      <c r="E3653" t="str">
        <f>"1-73-34"</f>
        <v>1-73-34</v>
      </c>
      <c r="F3653" t="s">
        <v>65</v>
      </c>
      <c r="G3653" t="s">
        <v>66</v>
      </c>
      <c r="H3653" t="s">
        <v>67</v>
      </c>
      <c r="S3653">
        <v>1</v>
      </c>
      <c r="T3653">
        <v>0</v>
      </c>
      <c r="U3653">
        <v>0</v>
      </c>
      <c r="V3653">
        <v>0</v>
      </c>
      <c r="W3653">
        <v>0</v>
      </c>
      <c r="X3653">
        <v>1</v>
      </c>
      <c r="Y3653">
        <v>0</v>
      </c>
      <c r="Z3653">
        <v>1</v>
      </c>
      <c r="AA3653">
        <v>0</v>
      </c>
      <c r="AB3653">
        <v>1</v>
      </c>
      <c r="AC3653">
        <v>0</v>
      </c>
      <c r="AD3653">
        <v>1</v>
      </c>
      <c r="AE3653">
        <v>1</v>
      </c>
      <c r="AF3653">
        <v>1</v>
      </c>
      <c r="AG3653">
        <v>1</v>
      </c>
      <c r="AH3653">
        <v>1</v>
      </c>
      <c r="AI3653">
        <v>1</v>
      </c>
      <c r="AJ3653">
        <v>1</v>
      </c>
      <c r="AK3653">
        <v>1</v>
      </c>
      <c r="AL3653">
        <v>1</v>
      </c>
      <c r="AM3653">
        <v>1</v>
      </c>
    </row>
    <row r="3654" spans="1:39" x14ac:dyDescent="0.2">
      <c r="A3654" t="str">
        <f>"3650"</f>
        <v>3650</v>
      </c>
      <c r="B3654" t="str">
        <f t="shared" si="203"/>
        <v>1</v>
      </c>
      <c r="C3654" t="str">
        <f t="shared" si="202"/>
        <v>73</v>
      </c>
      <c r="D3654" t="str">
        <f>"2"</f>
        <v>2</v>
      </c>
      <c r="E3654" t="str">
        <f>"1-73-2"</f>
        <v>1-73-2</v>
      </c>
      <c r="F3654" t="s">
        <v>65</v>
      </c>
      <c r="G3654" t="s">
        <v>66</v>
      </c>
      <c r="H3654" t="s">
        <v>67</v>
      </c>
      <c r="S3654">
        <v>1</v>
      </c>
      <c r="T3654">
        <v>0</v>
      </c>
      <c r="U3654">
        <v>0</v>
      </c>
      <c r="V3654">
        <v>0</v>
      </c>
      <c r="W3654">
        <v>0</v>
      </c>
      <c r="X3654">
        <v>1</v>
      </c>
      <c r="Y3654">
        <v>0</v>
      </c>
      <c r="Z3654">
        <v>1</v>
      </c>
      <c r="AA3654">
        <v>0</v>
      </c>
      <c r="AB3654">
        <v>0</v>
      </c>
      <c r="AC3654">
        <v>1</v>
      </c>
      <c r="AD3654">
        <v>1</v>
      </c>
      <c r="AE3654">
        <v>1</v>
      </c>
      <c r="AF3654">
        <v>1</v>
      </c>
      <c r="AG3654">
        <v>1</v>
      </c>
      <c r="AH3654">
        <v>1</v>
      </c>
      <c r="AI3654">
        <v>1</v>
      </c>
      <c r="AJ3654">
        <v>1</v>
      </c>
      <c r="AK3654">
        <v>1</v>
      </c>
      <c r="AL3654">
        <v>1</v>
      </c>
      <c r="AM3654">
        <v>1</v>
      </c>
    </row>
    <row r="3655" spans="1:39" x14ac:dyDescent="0.2">
      <c r="A3655" t="str">
        <f>"3651"</f>
        <v>3651</v>
      </c>
      <c r="B3655" t="str">
        <f t="shared" si="203"/>
        <v>1</v>
      </c>
      <c r="C3655" t="str">
        <f t="shared" ref="C3655:C3686" si="204">"74"</f>
        <v>74</v>
      </c>
      <c r="D3655" t="str">
        <f>"39"</f>
        <v>39</v>
      </c>
      <c r="E3655" t="str">
        <f>"1-74-39"</f>
        <v>1-74-39</v>
      </c>
      <c r="F3655" t="s">
        <v>65</v>
      </c>
      <c r="G3655" t="s">
        <v>66</v>
      </c>
      <c r="H3655" t="s">
        <v>67</v>
      </c>
      <c r="S3655">
        <v>0</v>
      </c>
      <c r="T3655">
        <v>1</v>
      </c>
      <c r="U3655">
        <v>0</v>
      </c>
      <c r="V3655">
        <v>0</v>
      </c>
      <c r="W3655">
        <v>1</v>
      </c>
      <c r="X3655">
        <v>0</v>
      </c>
      <c r="Y3655">
        <v>1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1</v>
      </c>
      <c r="AF3655">
        <v>1</v>
      </c>
      <c r="AG3655">
        <v>1</v>
      </c>
      <c r="AH3655">
        <v>1</v>
      </c>
      <c r="AI3655">
        <v>1</v>
      </c>
      <c r="AJ3655">
        <v>1</v>
      </c>
      <c r="AK3655">
        <v>1</v>
      </c>
      <c r="AL3655">
        <v>1</v>
      </c>
      <c r="AM3655">
        <v>1</v>
      </c>
    </row>
    <row r="3656" spans="1:39" x14ac:dyDescent="0.2">
      <c r="A3656" t="str">
        <f>"3652"</f>
        <v>3652</v>
      </c>
      <c r="B3656" t="str">
        <f t="shared" si="203"/>
        <v>1</v>
      </c>
      <c r="C3656" t="str">
        <f t="shared" si="204"/>
        <v>74</v>
      </c>
      <c r="D3656" t="str">
        <f>"38"</f>
        <v>38</v>
      </c>
      <c r="E3656" t="str">
        <f>"1-74-38"</f>
        <v>1-74-38</v>
      </c>
      <c r="F3656" t="s">
        <v>65</v>
      </c>
      <c r="G3656" t="s">
        <v>66</v>
      </c>
      <c r="H3656" t="s">
        <v>67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0</v>
      </c>
      <c r="AB3656">
        <v>1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</row>
    <row r="3657" spans="1:39" x14ac:dyDescent="0.2">
      <c r="A3657" t="str">
        <f>"3653"</f>
        <v>3653</v>
      </c>
      <c r="B3657" t="str">
        <f t="shared" si="203"/>
        <v>1</v>
      </c>
      <c r="C3657" t="str">
        <f t="shared" si="204"/>
        <v>74</v>
      </c>
      <c r="D3657" t="str">
        <f>"30"</f>
        <v>30</v>
      </c>
      <c r="E3657" t="str">
        <f>"1-74-30"</f>
        <v>1-74-30</v>
      </c>
      <c r="F3657" t="s">
        <v>65</v>
      </c>
      <c r="G3657" t="s">
        <v>66</v>
      </c>
      <c r="H3657" t="s">
        <v>67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1</v>
      </c>
      <c r="Y3657">
        <v>0</v>
      </c>
      <c r="Z3657">
        <v>1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</row>
    <row r="3658" spans="1:39" x14ac:dyDescent="0.2">
      <c r="A3658" t="str">
        <f>"3654"</f>
        <v>3654</v>
      </c>
      <c r="B3658" t="str">
        <f t="shared" si="203"/>
        <v>1</v>
      </c>
      <c r="C3658" t="str">
        <f t="shared" si="204"/>
        <v>74</v>
      </c>
      <c r="D3658" t="str">
        <f>"29"</f>
        <v>29</v>
      </c>
      <c r="E3658" t="str">
        <f>"1-74-29"</f>
        <v>1-74-29</v>
      </c>
      <c r="F3658" t="s">
        <v>65</v>
      </c>
      <c r="G3658" t="s">
        <v>66</v>
      </c>
      <c r="H3658" t="s">
        <v>67</v>
      </c>
      <c r="S3658">
        <v>0</v>
      </c>
      <c r="T3658">
        <v>1</v>
      </c>
      <c r="U3658">
        <v>0</v>
      </c>
      <c r="V3658">
        <v>0</v>
      </c>
      <c r="W3658">
        <v>1</v>
      </c>
      <c r="X3658">
        <v>0</v>
      </c>
      <c r="Y3658">
        <v>0</v>
      </c>
      <c r="Z3658">
        <v>1</v>
      </c>
      <c r="AA3658">
        <v>0</v>
      </c>
      <c r="AB3658">
        <v>0</v>
      </c>
      <c r="AC3658">
        <v>1</v>
      </c>
      <c r="AD3658">
        <v>1</v>
      </c>
      <c r="AE3658">
        <v>1</v>
      </c>
      <c r="AF3658">
        <v>1</v>
      </c>
      <c r="AG3658">
        <v>1</v>
      </c>
      <c r="AH3658">
        <v>1</v>
      </c>
      <c r="AI3658">
        <v>1</v>
      </c>
      <c r="AJ3658">
        <v>1</v>
      </c>
      <c r="AK3658">
        <v>1</v>
      </c>
      <c r="AL3658">
        <v>1</v>
      </c>
      <c r="AM3658">
        <v>1</v>
      </c>
    </row>
    <row r="3659" spans="1:39" x14ac:dyDescent="0.2">
      <c r="A3659" t="str">
        <f>"3655"</f>
        <v>3655</v>
      </c>
      <c r="B3659" t="str">
        <f t="shared" si="203"/>
        <v>1</v>
      </c>
      <c r="C3659" t="str">
        <f t="shared" si="204"/>
        <v>74</v>
      </c>
      <c r="D3659" t="str">
        <f>"17"</f>
        <v>17</v>
      </c>
      <c r="E3659" t="str">
        <f>"1-74-17"</f>
        <v>1-74-17</v>
      </c>
      <c r="F3659" t="s">
        <v>65</v>
      </c>
      <c r="G3659" t="s">
        <v>66</v>
      </c>
      <c r="H3659" t="s">
        <v>67</v>
      </c>
      <c r="S3659">
        <v>0</v>
      </c>
      <c r="T3659">
        <v>1</v>
      </c>
      <c r="U3659">
        <v>0</v>
      </c>
      <c r="V3659">
        <v>0</v>
      </c>
      <c r="W3659">
        <v>0</v>
      </c>
      <c r="X3659">
        <v>1</v>
      </c>
      <c r="Y3659">
        <v>0</v>
      </c>
      <c r="Z3659">
        <v>1</v>
      </c>
      <c r="AA3659">
        <v>0</v>
      </c>
      <c r="AB3659">
        <v>0</v>
      </c>
      <c r="AC3659">
        <v>1</v>
      </c>
      <c r="AD3659">
        <v>1</v>
      </c>
      <c r="AE3659">
        <v>1</v>
      </c>
      <c r="AF3659">
        <v>1</v>
      </c>
      <c r="AG3659">
        <v>1</v>
      </c>
      <c r="AH3659">
        <v>1</v>
      </c>
      <c r="AI3659">
        <v>1</v>
      </c>
      <c r="AJ3659">
        <v>1</v>
      </c>
      <c r="AK3659">
        <v>1</v>
      </c>
      <c r="AL3659">
        <v>1</v>
      </c>
      <c r="AM3659">
        <v>1</v>
      </c>
    </row>
    <row r="3660" spans="1:39" x14ac:dyDescent="0.2">
      <c r="A3660" t="str">
        <f>"3656"</f>
        <v>3656</v>
      </c>
      <c r="B3660" t="str">
        <f t="shared" si="203"/>
        <v>1</v>
      </c>
      <c r="C3660" t="str">
        <f t="shared" si="204"/>
        <v>74</v>
      </c>
      <c r="D3660" t="str">
        <f>"15"</f>
        <v>15</v>
      </c>
      <c r="E3660" t="str">
        <f>"1-74-15"</f>
        <v>1-74-15</v>
      </c>
      <c r="F3660" t="s">
        <v>65</v>
      </c>
      <c r="G3660" t="s">
        <v>66</v>
      </c>
      <c r="H3660" t="s">
        <v>67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0</v>
      </c>
      <c r="AB3660">
        <v>0</v>
      </c>
      <c r="AC3660">
        <v>1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</row>
    <row r="3661" spans="1:39" x14ac:dyDescent="0.2">
      <c r="A3661" t="str">
        <f>"3657"</f>
        <v>3657</v>
      </c>
      <c r="B3661" t="str">
        <f t="shared" si="203"/>
        <v>1</v>
      </c>
      <c r="C3661" t="str">
        <f t="shared" si="204"/>
        <v>74</v>
      </c>
      <c r="D3661" t="str">
        <f>"3"</f>
        <v>3</v>
      </c>
      <c r="E3661" t="str">
        <f>"1-74-3"</f>
        <v>1-74-3</v>
      </c>
      <c r="F3661" t="s">
        <v>65</v>
      </c>
      <c r="G3661" t="s">
        <v>66</v>
      </c>
      <c r="H3661" t="s">
        <v>67</v>
      </c>
      <c r="S3661">
        <v>1</v>
      </c>
      <c r="T3661">
        <v>0</v>
      </c>
      <c r="U3661">
        <v>0</v>
      </c>
      <c r="V3661">
        <v>0</v>
      </c>
      <c r="W3661">
        <v>1</v>
      </c>
      <c r="X3661">
        <v>0</v>
      </c>
      <c r="Y3661">
        <v>0</v>
      </c>
      <c r="Z3661">
        <v>1</v>
      </c>
      <c r="AA3661">
        <v>0</v>
      </c>
      <c r="AB3661">
        <v>0</v>
      </c>
      <c r="AC3661">
        <v>1</v>
      </c>
      <c r="AD3661">
        <v>1</v>
      </c>
      <c r="AE3661">
        <v>1</v>
      </c>
      <c r="AF3661">
        <v>1</v>
      </c>
      <c r="AG3661">
        <v>1</v>
      </c>
      <c r="AH3661">
        <v>1</v>
      </c>
      <c r="AI3661">
        <v>1</v>
      </c>
      <c r="AJ3661">
        <v>1</v>
      </c>
      <c r="AK3661">
        <v>1</v>
      </c>
      <c r="AL3661">
        <v>0</v>
      </c>
      <c r="AM3661">
        <v>1</v>
      </c>
    </row>
    <row r="3662" spans="1:39" x14ac:dyDescent="0.2">
      <c r="A3662" t="str">
        <f>"3658"</f>
        <v>3658</v>
      </c>
      <c r="B3662" t="str">
        <f t="shared" si="203"/>
        <v>1</v>
      </c>
      <c r="C3662" t="str">
        <f t="shared" si="204"/>
        <v>74</v>
      </c>
      <c r="D3662" t="str">
        <f>"42"</f>
        <v>42</v>
      </c>
      <c r="E3662" t="str">
        <f>"1-74-42"</f>
        <v>1-74-42</v>
      </c>
      <c r="F3662" t="s">
        <v>65</v>
      </c>
      <c r="G3662" t="s">
        <v>66</v>
      </c>
      <c r="H3662" t="s">
        <v>67</v>
      </c>
      <c r="S3662">
        <v>0</v>
      </c>
      <c r="T3662">
        <v>1</v>
      </c>
      <c r="U3662">
        <v>0</v>
      </c>
      <c r="V3662">
        <v>0</v>
      </c>
      <c r="W3662">
        <v>0</v>
      </c>
      <c r="X3662">
        <v>1</v>
      </c>
      <c r="Y3662">
        <v>1</v>
      </c>
      <c r="Z3662">
        <v>0</v>
      </c>
      <c r="AA3662">
        <v>0</v>
      </c>
      <c r="AB3662">
        <v>0</v>
      </c>
      <c r="AC3662">
        <v>1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1</v>
      </c>
      <c r="AJ3662">
        <v>1</v>
      </c>
      <c r="AK3662">
        <v>0</v>
      </c>
      <c r="AL3662">
        <v>1</v>
      </c>
      <c r="AM3662">
        <v>0</v>
      </c>
    </row>
    <row r="3663" spans="1:39" x14ac:dyDescent="0.2">
      <c r="A3663" t="str">
        <f>"3659"</f>
        <v>3659</v>
      </c>
      <c r="B3663" t="str">
        <f t="shared" si="203"/>
        <v>1</v>
      </c>
      <c r="C3663" t="str">
        <f t="shared" si="204"/>
        <v>74</v>
      </c>
      <c r="D3663" t="str">
        <f>"41"</f>
        <v>41</v>
      </c>
      <c r="E3663" t="str">
        <f>"1-74-41"</f>
        <v>1-74-41</v>
      </c>
      <c r="F3663" t="s">
        <v>65</v>
      </c>
      <c r="G3663" t="s">
        <v>66</v>
      </c>
      <c r="H3663" t="s">
        <v>67</v>
      </c>
      <c r="S3663">
        <v>0</v>
      </c>
      <c r="T3663">
        <v>0</v>
      </c>
      <c r="U3663">
        <v>0</v>
      </c>
      <c r="V3663">
        <v>0</v>
      </c>
      <c r="W3663">
        <v>1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</row>
    <row r="3664" spans="1:39" x14ac:dyDescent="0.2">
      <c r="A3664" t="str">
        <f>"3660"</f>
        <v>3660</v>
      </c>
      <c r="B3664" t="str">
        <f t="shared" si="203"/>
        <v>1</v>
      </c>
      <c r="C3664" t="str">
        <f t="shared" si="204"/>
        <v>74</v>
      </c>
      <c r="D3664" t="str">
        <f>"33"</f>
        <v>33</v>
      </c>
      <c r="E3664" t="str">
        <f>"1-74-33"</f>
        <v>1-74-33</v>
      </c>
      <c r="F3664" t="s">
        <v>65</v>
      </c>
      <c r="G3664" t="s">
        <v>66</v>
      </c>
      <c r="H3664" t="s">
        <v>67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0</v>
      </c>
      <c r="AB3664">
        <v>1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</row>
    <row r="3665" spans="1:39" x14ac:dyDescent="0.2">
      <c r="A3665" t="str">
        <f>"3661"</f>
        <v>3661</v>
      </c>
      <c r="B3665" t="str">
        <f t="shared" si="203"/>
        <v>1</v>
      </c>
      <c r="C3665" t="str">
        <f t="shared" si="204"/>
        <v>74</v>
      </c>
      <c r="D3665" t="str">
        <f>"32"</f>
        <v>32</v>
      </c>
      <c r="E3665" t="str">
        <f>"1-74-32"</f>
        <v>1-74-32</v>
      </c>
      <c r="F3665" t="s">
        <v>65</v>
      </c>
      <c r="G3665" t="s">
        <v>66</v>
      </c>
      <c r="H3665" t="s">
        <v>67</v>
      </c>
      <c r="S3665">
        <v>1</v>
      </c>
      <c r="T3665">
        <v>0</v>
      </c>
      <c r="U3665">
        <v>0</v>
      </c>
      <c r="V3665">
        <v>0</v>
      </c>
      <c r="W3665">
        <v>1</v>
      </c>
      <c r="X3665">
        <v>0</v>
      </c>
      <c r="Y3665">
        <v>0</v>
      </c>
      <c r="Z3665">
        <v>1</v>
      </c>
      <c r="AA3665">
        <v>0</v>
      </c>
      <c r="AB3665">
        <v>0</v>
      </c>
      <c r="AC3665">
        <v>1</v>
      </c>
      <c r="AD3665">
        <v>1</v>
      </c>
      <c r="AE3665">
        <v>1</v>
      </c>
      <c r="AF3665">
        <v>1</v>
      </c>
      <c r="AG3665">
        <v>1</v>
      </c>
      <c r="AH3665">
        <v>1</v>
      </c>
      <c r="AI3665">
        <v>1</v>
      </c>
      <c r="AJ3665">
        <v>1</v>
      </c>
      <c r="AK3665">
        <v>1</v>
      </c>
      <c r="AL3665">
        <v>1</v>
      </c>
      <c r="AM3665">
        <v>1</v>
      </c>
    </row>
    <row r="3666" spans="1:39" x14ac:dyDescent="0.2">
      <c r="A3666" t="str">
        <f>"3662"</f>
        <v>3662</v>
      </c>
      <c r="B3666" t="str">
        <f t="shared" si="203"/>
        <v>1</v>
      </c>
      <c r="C3666" t="str">
        <f t="shared" si="204"/>
        <v>74</v>
      </c>
      <c r="D3666" t="str">
        <f>"19"</f>
        <v>19</v>
      </c>
      <c r="E3666" t="str">
        <f>"1-74-19"</f>
        <v>1-74-19</v>
      </c>
      <c r="F3666" t="s">
        <v>65</v>
      </c>
      <c r="G3666" t="s">
        <v>66</v>
      </c>
      <c r="H3666" t="s">
        <v>67</v>
      </c>
      <c r="S3666">
        <v>0</v>
      </c>
      <c r="T3666">
        <v>1</v>
      </c>
      <c r="U3666">
        <v>0</v>
      </c>
      <c r="V3666">
        <v>0</v>
      </c>
      <c r="W3666">
        <v>0</v>
      </c>
      <c r="X3666">
        <v>1</v>
      </c>
      <c r="Y3666">
        <v>0</v>
      </c>
      <c r="Z3666">
        <v>1</v>
      </c>
      <c r="AA3666">
        <v>0</v>
      </c>
      <c r="AB3666">
        <v>0</v>
      </c>
      <c r="AC3666">
        <v>1</v>
      </c>
      <c r="AD3666">
        <v>1</v>
      </c>
      <c r="AE3666">
        <v>1</v>
      </c>
      <c r="AF3666">
        <v>1</v>
      </c>
      <c r="AG3666">
        <v>1</v>
      </c>
      <c r="AH3666">
        <v>1</v>
      </c>
      <c r="AI3666">
        <v>1</v>
      </c>
      <c r="AJ3666">
        <v>1</v>
      </c>
      <c r="AK3666">
        <v>1</v>
      </c>
      <c r="AL3666">
        <v>1</v>
      </c>
      <c r="AM3666">
        <v>1</v>
      </c>
    </row>
    <row r="3667" spans="1:39" x14ac:dyDescent="0.2">
      <c r="A3667" t="str">
        <f>"3663"</f>
        <v>3663</v>
      </c>
      <c r="B3667" t="str">
        <f t="shared" si="203"/>
        <v>1</v>
      </c>
      <c r="C3667" t="str">
        <f t="shared" si="204"/>
        <v>74</v>
      </c>
      <c r="D3667" t="str">
        <f>"16"</f>
        <v>16</v>
      </c>
      <c r="E3667" t="str">
        <f>"1-74-16"</f>
        <v>1-74-16</v>
      </c>
      <c r="F3667" t="s">
        <v>65</v>
      </c>
      <c r="G3667" t="s">
        <v>66</v>
      </c>
      <c r="H3667" t="s">
        <v>67</v>
      </c>
      <c r="S3667">
        <v>1</v>
      </c>
      <c r="T3667">
        <v>0</v>
      </c>
      <c r="U3667">
        <v>0</v>
      </c>
      <c r="V3667">
        <v>0</v>
      </c>
      <c r="W3667">
        <v>0</v>
      </c>
      <c r="X3667">
        <v>1</v>
      </c>
      <c r="Y3667">
        <v>0</v>
      </c>
      <c r="Z3667">
        <v>1</v>
      </c>
      <c r="AA3667">
        <v>1</v>
      </c>
      <c r="AB3667">
        <v>0</v>
      </c>
      <c r="AC3667">
        <v>0</v>
      </c>
      <c r="AD3667">
        <v>1</v>
      </c>
      <c r="AE3667">
        <v>1</v>
      </c>
      <c r="AF3667">
        <v>1</v>
      </c>
      <c r="AG3667">
        <v>1</v>
      </c>
      <c r="AH3667">
        <v>1</v>
      </c>
      <c r="AI3667">
        <v>1</v>
      </c>
      <c r="AJ3667">
        <v>1</v>
      </c>
      <c r="AK3667">
        <v>1</v>
      </c>
      <c r="AL3667">
        <v>1</v>
      </c>
      <c r="AM3667">
        <v>1</v>
      </c>
    </row>
    <row r="3668" spans="1:39" x14ac:dyDescent="0.2">
      <c r="A3668" t="str">
        <f>"3664"</f>
        <v>3664</v>
      </c>
      <c r="B3668" t="str">
        <f t="shared" si="203"/>
        <v>1</v>
      </c>
      <c r="C3668" t="str">
        <f t="shared" si="204"/>
        <v>74</v>
      </c>
      <c r="D3668" t="str">
        <f>"1"</f>
        <v>1</v>
      </c>
      <c r="E3668" t="str">
        <f>"1-74-1"</f>
        <v>1-74-1</v>
      </c>
      <c r="F3668" t="s">
        <v>65</v>
      </c>
      <c r="G3668" t="s">
        <v>66</v>
      </c>
      <c r="H3668" t="s">
        <v>67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</row>
    <row r="3669" spans="1:39" x14ac:dyDescent="0.2">
      <c r="A3669" t="str">
        <f>"3665"</f>
        <v>3665</v>
      </c>
      <c r="B3669" t="str">
        <f t="shared" si="203"/>
        <v>1</v>
      </c>
      <c r="C3669" t="str">
        <f t="shared" si="204"/>
        <v>74</v>
      </c>
      <c r="D3669" t="str">
        <f>"36"</f>
        <v>36</v>
      </c>
      <c r="E3669" t="str">
        <f>"1-74-36"</f>
        <v>1-74-36</v>
      </c>
      <c r="F3669" t="s">
        <v>65</v>
      </c>
      <c r="G3669" t="s">
        <v>66</v>
      </c>
      <c r="H3669" t="s">
        <v>67</v>
      </c>
      <c r="S3669">
        <v>0</v>
      </c>
      <c r="T3669">
        <v>1</v>
      </c>
      <c r="U3669">
        <v>0</v>
      </c>
      <c r="V3669">
        <v>0</v>
      </c>
      <c r="W3669">
        <v>0</v>
      </c>
      <c r="X3669">
        <v>1</v>
      </c>
      <c r="Y3669">
        <v>0</v>
      </c>
      <c r="Z3669">
        <v>1</v>
      </c>
      <c r="AA3669">
        <v>0</v>
      </c>
      <c r="AB3669">
        <v>0</v>
      </c>
      <c r="AC3669">
        <v>1</v>
      </c>
      <c r="AD3669">
        <v>0</v>
      </c>
      <c r="AE3669">
        <v>0</v>
      </c>
      <c r="AF3669">
        <v>0</v>
      </c>
      <c r="AG3669">
        <v>0</v>
      </c>
      <c r="AH3669">
        <v>1</v>
      </c>
      <c r="AI3669">
        <v>1</v>
      </c>
      <c r="AJ3669">
        <v>1</v>
      </c>
      <c r="AK3669">
        <v>1</v>
      </c>
      <c r="AL3669">
        <v>1</v>
      </c>
      <c r="AM3669">
        <v>1</v>
      </c>
    </row>
    <row r="3670" spans="1:39" x14ac:dyDescent="0.2">
      <c r="A3670" t="str">
        <f>"3666"</f>
        <v>3666</v>
      </c>
      <c r="B3670" t="str">
        <f t="shared" si="203"/>
        <v>1</v>
      </c>
      <c r="C3670" t="str">
        <f t="shared" si="204"/>
        <v>74</v>
      </c>
      <c r="D3670" t="str">
        <f>"18"</f>
        <v>18</v>
      </c>
      <c r="E3670" t="str">
        <f>"1-74-18"</f>
        <v>1-74-18</v>
      </c>
      <c r="F3670" t="s">
        <v>65</v>
      </c>
      <c r="G3670" t="s">
        <v>66</v>
      </c>
      <c r="H3670" t="s">
        <v>67</v>
      </c>
      <c r="S3670">
        <v>1</v>
      </c>
      <c r="T3670">
        <v>0</v>
      </c>
      <c r="U3670">
        <v>0</v>
      </c>
      <c r="V3670">
        <v>0</v>
      </c>
      <c r="W3670">
        <v>1</v>
      </c>
      <c r="X3670">
        <v>0</v>
      </c>
      <c r="Y3670">
        <v>0</v>
      </c>
      <c r="Z3670">
        <v>1</v>
      </c>
      <c r="AA3670">
        <v>0</v>
      </c>
      <c r="AB3670">
        <v>1</v>
      </c>
      <c r="AC3670">
        <v>0</v>
      </c>
      <c r="AD3670">
        <v>1</v>
      </c>
      <c r="AE3670">
        <v>1</v>
      </c>
      <c r="AF3670">
        <v>1</v>
      </c>
      <c r="AG3670">
        <v>1</v>
      </c>
      <c r="AH3670">
        <v>1</v>
      </c>
      <c r="AI3670">
        <v>1</v>
      </c>
      <c r="AJ3670">
        <v>1</v>
      </c>
      <c r="AK3670">
        <v>0</v>
      </c>
      <c r="AL3670">
        <v>1</v>
      </c>
      <c r="AM3670">
        <v>1</v>
      </c>
    </row>
    <row r="3671" spans="1:39" x14ac:dyDescent="0.2">
      <c r="A3671" t="str">
        <f>"3667"</f>
        <v>3667</v>
      </c>
      <c r="B3671" t="str">
        <f t="shared" si="203"/>
        <v>1</v>
      </c>
      <c r="C3671" t="str">
        <f t="shared" si="204"/>
        <v>74</v>
      </c>
      <c r="D3671" t="str">
        <f>"7"</f>
        <v>7</v>
      </c>
      <c r="E3671" t="str">
        <f>"1-74-7"</f>
        <v>1-74-7</v>
      </c>
      <c r="F3671" t="s">
        <v>65</v>
      </c>
      <c r="G3671" t="s">
        <v>66</v>
      </c>
      <c r="H3671" t="s">
        <v>68</v>
      </c>
      <c r="I3671">
        <v>1</v>
      </c>
      <c r="J3671">
        <v>0</v>
      </c>
      <c r="K3671">
        <v>0</v>
      </c>
      <c r="L3671">
        <v>1</v>
      </c>
      <c r="M3671">
        <v>1</v>
      </c>
      <c r="N3671">
        <v>1</v>
      </c>
      <c r="O3671">
        <v>1</v>
      </c>
      <c r="P3671">
        <v>1</v>
      </c>
      <c r="Q3671">
        <v>1</v>
      </c>
      <c r="R3671">
        <v>1</v>
      </c>
    </row>
    <row r="3672" spans="1:39" x14ac:dyDescent="0.2">
      <c r="A3672" t="str">
        <f>"3668"</f>
        <v>3668</v>
      </c>
      <c r="B3672" t="str">
        <f t="shared" si="203"/>
        <v>1</v>
      </c>
      <c r="C3672" t="str">
        <f t="shared" si="204"/>
        <v>74</v>
      </c>
      <c r="D3672" t="str">
        <f>"37"</f>
        <v>37</v>
      </c>
      <c r="E3672" t="str">
        <f>"1-74-37"</f>
        <v>1-74-37</v>
      </c>
      <c r="F3672" t="s">
        <v>65</v>
      </c>
      <c r="G3672" t="s">
        <v>66</v>
      </c>
      <c r="H3672" t="s">
        <v>67</v>
      </c>
      <c r="S3672">
        <v>0</v>
      </c>
      <c r="T3672">
        <v>1</v>
      </c>
      <c r="U3672">
        <v>0</v>
      </c>
      <c r="V3672">
        <v>0</v>
      </c>
      <c r="W3672">
        <v>1</v>
      </c>
      <c r="X3672">
        <v>0</v>
      </c>
      <c r="Y3672">
        <v>1</v>
      </c>
      <c r="Z3672">
        <v>0</v>
      </c>
      <c r="AA3672">
        <v>0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0</v>
      </c>
      <c r="AH3672">
        <v>1</v>
      </c>
      <c r="AI3672">
        <v>1</v>
      </c>
      <c r="AJ3672">
        <v>0</v>
      </c>
      <c r="AK3672">
        <v>0</v>
      </c>
      <c r="AL3672">
        <v>1</v>
      </c>
      <c r="AM3672">
        <v>0</v>
      </c>
    </row>
    <row r="3673" spans="1:39" x14ac:dyDescent="0.2">
      <c r="A3673" t="str">
        <f>"3669"</f>
        <v>3669</v>
      </c>
      <c r="B3673" t="str">
        <f t="shared" si="203"/>
        <v>1</v>
      </c>
      <c r="C3673" t="str">
        <f t="shared" si="204"/>
        <v>74</v>
      </c>
      <c r="D3673" t="str">
        <f>"20"</f>
        <v>20</v>
      </c>
      <c r="E3673" t="str">
        <f>"1-74-20"</f>
        <v>1-74-20</v>
      </c>
      <c r="F3673" t="s">
        <v>65</v>
      </c>
      <c r="G3673" t="s">
        <v>66</v>
      </c>
      <c r="H3673" t="s">
        <v>67</v>
      </c>
      <c r="S3673">
        <v>0</v>
      </c>
      <c r="T3673">
        <v>1</v>
      </c>
      <c r="U3673">
        <v>0</v>
      </c>
      <c r="V3673">
        <v>0</v>
      </c>
      <c r="W3673">
        <v>0</v>
      </c>
      <c r="X3673">
        <v>1</v>
      </c>
      <c r="Y3673">
        <v>0</v>
      </c>
      <c r="Z3673">
        <v>1</v>
      </c>
      <c r="AA3673">
        <v>0</v>
      </c>
      <c r="AB3673">
        <v>0</v>
      </c>
      <c r="AC3673">
        <v>1</v>
      </c>
      <c r="AD3673">
        <v>1</v>
      </c>
      <c r="AE3673">
        <v>1</v>
      </c>
      <c r="AF3673">
        <v>1</v>
      </c>
      <c r="AG3673">
        <v>1</v>
      </c>
      <c r="AH3673">
        <v>1</v>
      </c>
      <c r="AI3673">
        <v>1</v>
      </c>
      <c r="AJ3673">
        <v>1</v>
      </c>
      <c r="AK3673">
        <v>1</v>
      </c>
      <c r="AL3673">
        <v>1</v>
      </c>
      <c r="AM3673">
        <v>1</v>
      </c>
    </row>
    <row r="3674" spans="1:39" x14ac:dyDescent="0.2">
      <c r="A3674" t="str">
        <f>"3670"</f>
        <v>3670</v>
      </c>
      <c r="B3674" t="str">
        <f t="shared" si="203"/>
        <v>1</v>
      </c>
      <c r="C3674" t="str">
        <f t="shared" si="204"/>
        <v>74</v>
      </c>
      <c r="D3674" t="str">
        <f>"8"</f>
        <v>8</v>
      </c>
      <c r="E3674" t="str">
        <f>"1-74-8"</f>
        <v>1-74-8</v>
      </c>
      <c r="F3674" t="s">
        <v>65</v>
      </c>
      <c r="G3674" t="s">
        <v>66</v>
      </c>
      <c r="H3674" t="s">
        <v>68</v>
      </c>
      <c r="I3674">
        <v>1</v>
      </c>
      <c r="J3674">
        <v>0</v>
      </c>
      <c r="K3674">
        <v>0</v>
      </c>
      <c r="L3674">
        <v>1</v>
      </c>
      <c r="M3674">
        <v>1</v>
      </c>
      <c r="N3674">
        <v>1</v>
      </c>
      <c r="O3674">
        <v>0</v>
      </c>
      <c r="P3674">
        <v>0</v>
      </c>
      <c r="Q3674">
        <v>0</v>
      </c>
      <c r="R3674">
        <v>0</v>
      </c>
    </row>
    <row r="3675" spans="1:39" x14ac:dyDescent="0.2">
      <c r="A3675" t="str">
        <f>"3671"</f>
        <v>3671</v>
      </c>
      <c r="B3675" t="str">
        <f t="shared" si="203"/>
        <v>1</v>
      </c>
      <c r="C3675" t="str">
        <f t="shared" si="204"/>
        <v>74</v>
      </c>
      <c r="D3675" t="str">
        <f>"35"</f>
        <v>35</v>
      </c>
      <c r="E3675" t="str">
        <f>"1-74-35"</f>
        <v>1-74-35</v>
      </c>
      <c r="F3675" t="s">
        <v>65</v>
      </c>
      <c r="G3675" t="s">
        <v>66</v>
      </c>
      <c r="H3675" t="s">
        <v>67</v>
      </c>
      <c r="S3675">
        <v>0</v>
      </c>
      <c r="T3675">
        <v>1</v>
      </c>
      <c r="U3675">
        <v>0</v>
      </c>
      <c r="V3675">
        <v>0</v>
      </c>
      <c r="W3675">
        <v>1</v>
      </c>
      <c r="X3675">
        <v>0</v>
      </c>
      <c r="Y3675">
        <v>0</v>
      </c>
      <c r="Z3675">
        <v>1</v>
      </c>
      <c r="AA3675">
        <v>0</v>
      </c>
      <c r="AB3675">
        <v>0</v>
      </c>
      <c r="AC3675">
        <v>1</v>
      </c>
      <c r="AD3675">
        <v>0</v>
      </c>
      <c r="AE3675">
        <v>0</v>
      </c>
      <c r="AF3675">
        <v>0</v>
      </c>
      <c r="AG3675">
        <v>1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</row>
    <row r="3676" spans="1:39" x14ac:dyDescent="0.2">
      <c r="A3676" t="str">
        <f>"3672"</f>
        <v>3672</v>
      </c>
      <c r="B3676" t="str">
        <f t="shared" si="203"/>
        <v>1</v>
      </c>
      <c r="C3676" t="str">
        <f t="shared" si="204"/>
        <v>74</v>
      </c>
      <c r="D3676" t="str">
        <f>"21"</f>
        <v>21</v>
      </c>
      <c r="E3676" t="str">
        <f>"1-74-21"</f>
        <v>1-74-21</v>
      </c>
      <c r="F3676" t="s">
        <v>65</v>
      </c>
      <c r="G3676" t="s">
        <v>66</v>
      </c>
      <c r="H3676" t="s">
        <v>67</v>
      </c>
      <c r="S3676">
        <v>1</v>
      </c>
      <c r="T3676">
        <v>0</v>
      </c>
      <c r="U3676">
        <v>0</v>
      </c>
      <c r="V3676">
        <v>0</v>
      </c>
      <c r="W3676">
        <v>1</v>
      </c>
      <c r="X3676">
        <v>0</v>
      </c>
      <c r="Y3676">
        <v>0</v>
      </c>
      <c r="Z3676">
        <v>1</v>
      </c>
      <c r="AA3676">
        <v>0</v>
      </c>
      <c r="AB3676">
        <v>1</v>
      </c>
      <c r="AC3676">
        <v>0</v>
      </c>
      <c r="AD3676">
        <v>1</v>
      </c>
      <c r="AE3676">
        <v>1</v>
      </c>
      <c r="AF3676">
        <v>1</v>
      </c>
      <c r="AG3676">
        <v>1</v>
      </c>
      <c r="AH3676">
        <v>1</v>
      </c>
      <c r="AI3676">
        <v>1</v>
      </c>
      <c r="AJ3676">
        <v>1</v>
      </c>
      <c r="AK3676">
        <v>0</v>
      </c>
      <c r="AL3676">
        <v>1</v>
      </c>
      <c r="AM3676">
        <v>1</v>
      </c>
    </row>
    <row r="3677" spans="1:39" x14ac:dyDescent="0.2">
      <c r="A3677" t="str">
        <f>"3673"</f>
        <v>3673</v>
      </c>
      <c r="B3677" t="str">
        <f t="shared" si="203"/>
        <v>1</v>
      </c>
      <c r="C3677" t="str">
        <f t="shared" si="204"/>
        <v>74</v>
      </c>
      <c r="D3677" t="str">
        <f>"40"</f>
        <v>40</v>
      </c>
      <c r="E3677" t="str">
        <f>"1-74-40"</f>
        <v>1-74-40</v>
      </c>
      <c r="F3677" t="s">
        <v>65</v>
      </c>
      <c r="G3677" t="s">
        <v>66</v>
      </c>
      <c r="H3677" t="s">
        <v>67</v>
      </c>
      <c r="S3677">
        <v>1</v>
      </c>
      <c r="T3677">
        <v>0</v>
      </c>
      <c r="U3677">
        <v>0</v>
      </c>
      <c r="V3677">
        <v>0</v>
      </c>
      <c r="W3677">
        <v>1</v>
      </c>
      <c r="X3677">
        <v>0</v>
      </c>
      <c r="Y3677">
        <v>1</v>
      </c>
      <c r="Z3677">
        <v>0</v>
      </c>
      <c r="AA3677">
        <v>0</v>
      </c>
      <c r="AB3677">
        <v>1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</row>
    <row r="3678" spans="1:39" x14ac:dyDescent="0.2">
      <c r="A3678" t="str">
        <f>"3674"</f>
        <v>3674</v>
      </c>
      <c r="B3678" t="str">
        <f t="shared" si="203"/>
        <v>1</v>
      </c>
      <c r="C3678" t="str">
        <f t="shared" si="204"/>
        <v>74</v>
      </c>
      <c r="D3678" t="str">
        <f>"22"</f>
        <v>22</v>
      </c>
      <c r="E3678" t="str">
        <f>"1-74-22"</f>
        <v>1-74-22</v>
      </c>
      <c r="F3678" t="s">
        <v>65</v>
      </c>
      <c r="G3678" t="s">
        <v>66</v>
      </c>
      <c r="H3678" t="s">
        <v>67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1</v>
      </c>
      <c r="AJ3678">
        <v>1</v>
      </c>
      <c r="AK3678">
        <v>1</v>
      </c>
      <c r="AL3678">
        <v>1</v>
      </c>
      <c r="AM3678">
        <v>1</v>
      </c>
    </row>
    <row r="3679" spans="1:39" x14ac:dyDescent="0.2">
      <c r="A3679" t="str">
        <f>"3675"</f>
        <v>3675</v>
      </c>
      <c r="B3679" t="str">
        <f t="shared" si="203"/>
        <v>1</v>
      </c>
      <c r="C3679" t="str">
        <f t="shared" si="204"/>
        <v>74</v>
      </c>
      <c r="D3679" t="str">
        <f>"9"</f>
        <v>9</v>
      </c>
      <c r="E3679" t="str">
        <f>"1-74-9"</f>
        <v>1-74-9</v>
      </c>
      <c r="F3679" t="s">
        <v>65</v>
      </c>
      <c r="G3679" t="s">
        <v>66</v>
      </c>
      <c r="H3679" t="s">
        <v>68</v>
      </c>
      <c r="I3679">
        <v>1</v>
      </c>
      <c r="J3679">
        <v>0</v>
      </c>
      <c r="K3679">
        <v>0</v>
      </c>
      <c r="L3679">
        <v>1</v>
      </c>
      <c r="M3679">
        <v>1</v>
      </c>
      <c r="N3679">
        <v>1</v>
      </c>
      <c r="O3679">
        <v>1</v>
      </c>
      <c r="P3679">
        <v>1</v>
      </c>
      <c r="Q3679">
        <v>0</v>
      </c>
      <c r="R3679">
        <v>1</v>
      </c>
    </row>
    <row r="3680" spans="1:39" x14ac:dyDescent="0.2">
      <c r="A3680" t="str">
        <f>"3676"</f>
        <v>3676</v>
      </c>
      <c r="B3680" t="str">
        <f t="shared" si="203"/>
        <v>1</v>
      </c>
      <c r="C3680" t="str">
        <f t="shared" si="204"/>
        <v>74</v>
      </c>
      <c r="D3680" t="str">
        <f>"44"</f>
        <v>44</v>
      </c>
      <c r="E3680" t="str">
        <f>"1-74-44"</f>
        <v>1-74-44</v>
      </c>
      <c r="F3680" t="s">
        <v>65</v>
      </c>
      <c r="G3680" t="s">
        <v>66</v>
      </c>
      <c r="H3680" t="s">
        <v>67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0</v>
      </c>
      <c r="AB3680">
        <v>0</v>
      </c>
      <c r="AC3680">
        <v>1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</row>
    <row r="3681" spans="1:39" x14ac:dyDescent="0.2">
      <c r="A3681" t="str">
        <f>"3677"</f>
        <v>3677</v>
      </c>
      <c r="B3681" t="str">
        <f t="shared" si="203"/>
        <v>1</v>
      </c>
      <c r="C3681" t="str">
        <f t="shared" si="204"/>
        <v>74</v>
      </c>
      <c r="D3681" t="str">
        <f>"23"</f>
        <v>23</v>
      </c>
      <c r="E3681" t="str">
        <f>"1-74-23"</f>
        <v>1-74-23</v>
      </c>
      <c r="F3681" t="s">
        <v>65</v>
      </c>
      <c r="G3681" t="s">
        <v>66</v>
      </c>
      <c r="H3681" t="s">
        <v>67</v>
      </c>
      <c r="S3681">
        <v>0</v>
      </c>
      <c r="T3681">
        <v>1</v>
      </c>
      <c r="U3681">
        <v>0</v>
      </c>
      <c r="V3681">
        <v>0</v>
      </c>
      <c r="W3681">
        <v>0</v>
      </c>
      <c r="X3681">
        <v>1</v>
      </c>
      <c r="Y3681">
        <v>0</v>
      </c>
      <c r="Z3681">
        <v>1</v>
      </c>
      <c r="AA3681">
        <v>0</v>
      </c>
      <c r="AB3681">
        <v>0</v>
      </c>
      <c r="AC3681">
        <v>1</v>
      </c>
      <c r="AD3681">
        <v>1</v>
      </c>
      <c r="AE3681">
        <v>1</v>
      </c>
      <c r="AF3681">
        <v>1</v>
      </c>
      <c r="AG3681">
        <v>1</v>
      </c>
      <c r="AH3681">
        <v>1</v>
      </c>
      <c r="AI3681">
        <v>1</v>
      </c>
      <c r="AJ3681">
        <v>1</v>
      </c>
      <c r="AK3681">
        <v>1</v>
      </c>
      <c r="AL3681">
        <v>1</v>
      </c>
      <c r="AM3681">
        <v>1</v>
      </c>
    </row>
    <row r="3682" spans="1:39" x14ac:dyDescent="0.2">
      <c r="A3682" t="str">
        <f>"3678"</f>
        <v>3678</v>
      </c>
      <c r="B3682" t="str">
        <f t="shared" si="203"/>
        <v>1</v>
      </c>
      <c r="C3682" t="str">
        <f t="shared" si="204"/>
        <v>74</v>
      </c>
      <c r="D3682" t="str">
        <f>"6"</f>
        <v>6</v>
      </c>
      <c r="E3682" t="str">
        <f>"1-74-6"</f>
        <v>1-74-6</v>
      </c>
      <c r="F3682" t="s">
        <v>65</v>
      </c>
      <c r="G3682" t="s">
        <v>66</v>
      </c>
      <c r="H3682" t="s">
        <v>68</v>
      </c>
      <c r="I3682">
        <v>1</v>
      </c>
      <c r="J3682">
        <v>0</v>
      </c>
      <c r="K3682">
        <v>0</v>
      </c>
      <c r="L3682">
        <v>1</v>
      </c>
      <c r="M3682">
        <v>1</v>
      </c>
      <c r="N3682">
        <v>1</v>
      </c>
      <c r="O3682">
        <v>1</v>
      </c>
      <c r="P3682">
        <v>1</v>
      </c>
      <c r="Q3682">
        <v>1</v>
      </c>
      <c r="R3682">
        <v>1</v>
      </c>
    </row>
    <row r="3683" spans="1:39" x14ac:dyDescent="0.2">
      <c r="A3683" t="str">
        <f>"3679"</f>
        <v>3679</v>
      </c>
      <c r="B3683" t="str">
        <f t="shared" si="203"/>
        <v>1</v>
      </c>
      <c r="C3683" t="str">
        <f t="shared" si="204"/>
        <v>74</v>
      </c>
      <c r="D3683" t="str">
        <f>"43"</f>
        <v>43</v>
      </c>
      <c r="E3683" t="str">
        <f>"1-74-43"</f>
        <v>1-74-43</v>
      </c>
      <c r="F3683" t="s">
        <v>65</v>
      </c>
      <c r="G3683" t="s">
        <v>66</v>
      </c>
      <c r="H3683" t="s">
        <v>67</v>
      </c>
      <c r="S3683">
        <v>1</v>
      </c>
      <c r="T3683">
        <v>0</v>
      </c>
      <c r="U3683">
        <v>0</v>
      </c>
      <c r="V3683">
        <v>0</v>
      </c>
      <c r="W3683">
        <v>0</v>
      </c>
      <c r="X3683">
        <v>1</v>
      </c>
      <c r="Y3683">
        <v>1</v>
      </c>
      <c r="Z3683">
        <v>0</v>
      </c>
      <c r="AA3683">
        <v>0</v>
      </c>
      <c r="AB3683">
        <v>1</v>
      </c>
      <c r="AC3683">
        <v>0</v>
      </c>
      <c r="AD3683">
        <v>1</v>
      </c>
      <c r="AE3683">
        <v>1</v>
      </c>
      <c r="AF3683">
        <v>1</v>
      </c>
      <c r="AG3683">
        <v>1</v>
      </c>
      <c r="AH3683">
        <v>1</v>
      </c>
      <c r="AI3683">
        <v>1</v>
      </c>
      <c r="AJ3683">
        <v>1</v>
      </c>
      <c r="AK3683">
        <v>1</v>
      </c>
      <c r="AL3683">
        <v>1</v>
      </c>
      <c r="AM3683">
        <v>1</v>
      </c>
    </row>
    <row r="3684" spans="1:39" x14ac:dyDescent="0.2">
      <c r="A3684" t="str">
        <f>"3680"</f>
        <v>3680</v>
      </c>
      <c r="B3684" t="str">
        <f t="shared" si="203"/>
        <v>1</v>
      </c>
      <c r="C3684" t="str">
        <f t="shared" si="204"/>
        <v>74</v>
      </c>
      <c r="D3684" t="str">
        <f>"24"</f>
        <v>24</v>
      </c>
      <c r="E3684" t="str">
        <f>"1-74-24"</f>
        <v>1-74-24</v>
      </c>
      <c r="F3684" t="s">
        <v>65</v>
      </c>
      <c r="G3684" t="s">
        <v>66</v>
      </c>
      <c r="H3684" t="s">
        <v>67</v>
      </c>
      <c r="S3684">
        <v>0</v>
      </c>
      <c r="T3684">
        <v>1</v>
      </c>
      <c r="U3684">
        <v>0</v>
      </c>
      <c r="V3684">
        <v>0</v>
      </c>
      <c r="W3684">
        <v>0</v>
      </c>
      <c r="X3684">
        <v>1</v>
      </c>
      <c r="Y3684">
        <v>1</v>
      </c>
      <c r="Z3684">
        <v>0</v>
      </c>
      <c r="AA3684">
        <v>0</v>
      </c>
      <c r="AB3684">
        <v>0</v>
      </c>
      <c r="AC3684">
        <v>1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</row>
    <row r="3685" spans="1:39" x14ac:dyDescent="0.2">
      <c r="A3685" t="str">
        <f>"3681"</f>
        <v>3681</v>
      </c>
      <c r="B3685" t="str">
        <f t="shared" si="203"/>
        <v>1</v>
      </c>
      <c r="C3685" t="str">
        <f t="shared" si="204"/>
        <v>74</v>
      </c>
      <c r="D3685" t="str">
        <f>"5"</f>
        <v>5</v>
      </c>
      <c r="E3685" t="str">
        <f>"1-74-5"</f>
        <v>1-74-5</v>
      </c>
      <c r="F3685" t="s">
        <v>65</v>
      </c>
      <c r="G3685" t="s">
        <v>66</v>
      </c>
      <c r="H3685" t="s">
        <v>67</v>
      </c>
      <c r="S3685">
        <v>0</v>
      </c>
      <c r="T3685">
        <v>1</v>
      </c>
      <c r="U3685">
        <v>0</v>
      </c>
      <c r="V3685">
        <v>0</v>
      </c>
      <c r="W3685">
        <v>0</v>
      </c>
      <c r="X3685">
        <v>1</v>
      </c>
      <c r="Y3685">
        <v>0</v>
      </c>
      <c r="Z3685">
        <v>1</v>
      </c>
      <c r="AA3685">
        <v>0</v>
      </c>
      <c r="AB3685">
        <v>1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1</v>
      </c>
      <c r="AJ3685">
        <v>0</v>
      </c>
      <c r="AK3685">
        <v>0</v>
      </c>
      <c r="AL3685">
        <v>0</v>
      </c>
      <c r="AM3685">
        <v>0</v>
      </c>
    </row>
    <row r="3686" spans="1:39" x14ac:dyDescent="0.2">
      <c r="A3686" t="str">
        <f>"3682"</f>
        <v>3682</v>
      </c>
      <c r="B3686" t="str">
        <f t="shared" si="203"/>
        <v>1</v>
      </c>
      <c r="C3686" t="str">
        <f t="shared" si="204"/>
        <v>74</v>
      </c>
      <c r="D3686" t="str">
        <f>"47"</f>
        <v>47</v>
      </c>
      <c r="E3686" t="str">
        <f>"1-74-47"</f>
        <v>1-74-47</v>
      </c>
      <c r="F3686" t="s">
        <v>65</v>
      </c>
      <c r="G3686" t="s">
        <v>66</v>
      </c>
      <c r="H3686" t="s">
        <v>67</v>
      </c>
      <c r="S3686">
        <v>1</v>
      </c>
      <c r="T3686">
        <v>0</v>
      </c>
      <c r="U3686">
        <v>0</v>
      </c>
      <c r="V3686">
        <v>0</v>
      </c>
      <c r="W3686">
        <v>1</v>
      </c>
      <c r="X3686">
        <v>0</v>
      </c>
      <c r="Y3686">
        <v>0</v>
      </c>
      <c r="Z3686">
        <v>1</v>
      </c>
      <c r="AA3686">
        <v>0</v>
      </c>
      <c r="AB3686">
        <v>1</v>
      </c>
      <c r="AC3686">
        <v>0</v>
      </c>
      <c r="AD3686">
        <v>1</v>
      </c>
      <c r="AE3686">
        <v>1</v>
      </c>
      <c r="AF3686">
        <v>1</v>
      </c>
      <c r="AG3686">
        <v>1</v>
      </c>
      <c r="AH3686">
        <v>1</v>
      </c>
      <c r="AI3686">
        <v>1</v>
      </c>
      <c r="AJ3686">
        <v>1</v>
      </c>
      <c r="AK3686">
        <v>1</v>
      </c>
      <c r="AL3686">
        <v>1</v>
      </c>
      <c r="AM3686">
        <v>1</v>
      </c>
    </row>
    <row r="3687" spans="1:39" x14ac:dyDescent="0.2">
      <c r="A3687" t="str">
        <f>"3683"</f>
        <v>3683</v>
      </c>
      <c r="B3687" t="str">
        <f t="shared" si="203"/>
        <v>1</v>
      </c>
      <c r="C3687" t="str">
        <f t="shared" ref="C3687:C3704" si="205">"74"</f>
        <v>74</v>
      </c>
      <c r="D3687" t="str">
        <f>"25"</f>
        <v>25</v>
      </c>
      <c r="E3687" t="str">
        <f>"1-74-25"</f>
        <v>1-74-25</v>
      </c>
      <c r="F3687" t="s">
        <v>65</v>
      </c>
      <c r="G3687" t="s">
        <v>66</v>
      </c>
      <c r="H3687" t="s">
        <v>67</v>
      </c>
      <c r="S3687">
        <v>0</v>
      </c>
      <c r="T3687">
        <v>1</v>
      </c>
      <c r="U3687">
        <v>0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0</v>
      </c>
      <c r="AB3687">
        <v>0</v>
      </c>
      <c r="AC3687">
        <v>1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</row>
    <row r="3688" spans="1:39" x14ac:dyDescent="0.2">
      <c r="A3688" t="str">
        <f>"3684"</f>
        <v>3684</v>
      </c>
      <c r="B3688" t="str">
        <f t="shared" si="203"/>
        <v>1</v>
      </c>
      <c r="C3688" t="str">
        <f t="shared" si="205"/>
        <v>74</v>
      </c>
      <c r="D3688" t="str">
        <f>"4"</f>
        <v>4</v>
      </c>
      <c r="E3688" t="str">
        <f>"1-74-4"</f>
        <v>1-74-4</v>
      </c>
      <c r="F3688" t="s">
        <v>65</v>
      </c>
      <c r="G3688" t="s">
        <v>66</v>
      </c>
      <c r="H3688" t="s">
        <v>67</v>
      </c>
      <c r="S3688">
        <v>1</v>
      </c>
      <c r="T3688">
        <v>0</v>
      </c>
      <c r="U3688">
        <v>0</v>
      </c>
      <c r="V3688">
        <v>0</v>
      </c>
      <c r="W3688">
        <v>1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1</v>
      </c>
      <c r="AD3688">
        <v>1</v>
      </c>
      <c r="AE3688">
        <v>1</v>
      </c>
      <c r="AF3688">
        <v>1</v>
      </c>
      <c r="AG3688">
        <v>1</v>
      </c>
      <c r="AH3688">
        <v>1</v>
      </c>
      <c r="AI3688">
        <v>1</v>
      </c>
      <c r="AJ3688">
        <v>1</v>
      </c>
      <c r="AK3688">
        <v>1</v>
      </c>
      <c r="AL3688">
        <v>0</v>
      </c>
      <c r="AM3688">
        <v>1</v>
      </c>
    </row>
    <row r="3689" spans="1:39" x14ac:dyDescent="0.2">
      <c r="A3689" t="str">
        <f>"3685"</f>
        <v>3685</v>
      </c>
      <c r="B3689" t="str">
        <f t="shared" si="203"/>
        <v>1</v>
      </c>
      <c r="C3689" t="str">
        <f t="shared" si="205"/>
        <v>74</v>
      </c>
      <c r="D3689" t="str">
        <f>"45"</f>
        <v>45</v>
      </c>
      <c r="E3689" t="str">
        <f>"1-74-45"</f>
        <v>1-74-45</v>
      </c>
      <c r="F3689" t="s">
        <v>65</v>
      </c>
      <c r="G3689" t="s">
        <v>66</v>
      </c>
      <c r="H3689" t="s">
        <v>67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0</v>
      </c>
      <c r="AB3689">
        <v>1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</row>
    <row r="3690" spans="1:39" x14ac:dyDescent="0.2">
      <c r="A3690" t="str">
        <f>"3686"</f>
        <v>3686</v>
      </c>
      <c r="B3690" t="str">
        <f t="shared" si="203"/>
        <v>1</v>
      </c>
      <c r="C3690" t="str">
        <f t="shared" si="205"/>
        <v>74</v>
      </c>
      <c r="D3690" t="str">
        <f>"26"</f>
        <v>26</v>
      </c>
      <c r="E3690" t="str">
        <f>"1-74-26"</f>
        <v>1-74-26</v>
      </c>
      <c r="F3690" t="s">
        <v>65</v>
      </c>
      <c r="G3690" t="s">
        <v>66</v>
      </c>
      <c r="H3690" t="s">
        <v>67</v>
      </c>
      <c r="S3690">
        <v>1</v>
      </c>
      <c r="T3690">
        <v>0</v>
      </c>
      <c r="U3690">
        <v>0</v>
      </c>
      <c r="V3690">
        <v>0</v>
      </c>
      <c r="W3690">
        <v>1</v>
      </c>
      <c r="X3690">
        <v>0</v>
      </c>
      <c r="Y3690">
        <v>0</v>
      </c>
      <c r="Z3690">
        <v>1</v>
      </c>
      <c r="AA3690">
        <v>0</v>
      </c>
      <c r="AB3690">
        <v>0</v>
      </c>
      <c r="AC3690">
        <v>1</v>
      </c>
      <c r="AD3690">
        <v>1</v>
      </c>
      <c r="AE3690">
        <v>1</v>
      </c>
      <c r="AF3690">
        <v>1</v>
      </c>
      <c r="AG3690">
        <v>1</v>
      </c>
      <c r="AH3690">
        <v>1</v>
      </c>
      <c r="AI3690">
        <v>1</v>
      </c>
      <c r="AJ3690">
        <v>1</v>
      </c>
      <c r="AK3690">
        <v>1</v>
      </c>
      <c r="AL3690">
        <v>1</v>
      </c>
      <c r="AM3690">
        <v>1</v>
      </c>
    </row>
    <row r="3691" spans="1:39" x14ac:dyDescent="0.2">
      <c r="A3691" t="str">
        <f>"3687"</f>
        <v>3687</v>
      </c>
      <c r="B3691" t="str">
        <f t="shared" si="203"/>
        <v>1</v>
      </c>
      <c r="C3691" t="str">
        <f t="shared" si="205"/>
        <v>74</v>
      </c>
      <c r="D3691" t="str">
        <f>"12"</f>
        <v>12</v>
      </c>
      <c r="E3691" t="str">
        <f>"1-74-12"</f>
        <v>1-74-12</v>
      </c>
      <c r="F3691" t="s">
        <v>65</v>
      </c>
      <c r="G3691" t="s">
        <v>66</v>
      </c>
      <c r="H3691" t="s">
        <v>67</v>
      </c>
      <c r="S3691">
        <v>1</v>
      </c>
      <c r="T3691">
        <v>0</v>
      </c>
      <c r="U3691">
        <v>0</v>
      </c>
      <c r="V3691">
        <v>0</v>
      </c>
      <c r="W3691">
        <v>1</v>
      </c>
      <c r="X3691">
        <v>0</v>
      </c>
      <c r="Y3691">
        <v>1</v>
      </c>
      <c r="Z3691">
        <v>0</v>
      </c>
      <c r="AA3691">
        <v>0</v>
      </c>
      <c r="AB3691">
        <v>1</v>
      </c>
      <c r="AC3691">
        <v>0</v>
      </c>
      <c r="AD3691">
        <v>1</v>
      </c>
      <c r="AE3691">
        <v>1</v>
      </c>
      <c r="AF3691">
        <v>1</v>
      </c>
      <c r="AG3691">
        <v>1</v>
      </c>
      <c r="AH3691">
        <v>1</v>
      </c>
      <c r="AI3691">
        <v>1</v>
      </c>
      <c r="AJ3691">
        <v>1</v>
      </c>
      <c r="AK3691">
        <v>1</v>
      </c>
      <c r="AL3691">
        <v>1</v>
      </c>
      <c r="AM3691">
        <v>1</v>
      </c>
    </row>
    <row r="3692" spans="1:39" x14ac:dyDescent="0.2">
      <c r="A3692" t="str">
        <f>"3688"</f>
        <v>3688</v>
      </c>
      <c r="B3692" t="str">
        <f t="shared" si="203"/>
        <v>1</v>
      </c>
      <c r="C3692" t="str">
        <f t="shared" si="205"/>
        <v>74</v>
      </c>
      <c r="D3692" t="str">
        <f>"46"</f>
        <v>46</v>
      </c>
      <c r="E3692" t="str">
        <f>"1-74-46"</f>
        <v>1-74-46</v>
      </c>
      <c r="F3692" t="s">
        <v>65</v>
      </c>
      <c r="G3692" t="s">
        <v>66</v>
      </c>
      <c r="H3692" t="s">
        <v>67</v>
      </c>
      <c r="S3692">
        <v>1</v>
      </c>
      <c r="T3692">
        <v>0</v>
      </c>
      <c r="U3692">
        <v>0</v>
      </c>
      <c r="V3692">
        <v>0</v>
      </c>
      <c r="W3692">
        <v>0</v>
      </c>
      <c r="X3692">
        <v>1</v>
      </c>
      <c r="Y3692">
        <v>0</v>
      </c>
      <c r="Z3692">
        <v>1</v>
      </c>
      <c r="AA3692">
        <v>0</v>
      </c>
      <c r="AB3692">
        <v>0</v>
      </c>
      <c r="AC3692">
        <v>1</v>
      </c>
      <c r="AD3692">
        <v>1</v>
      </c>
      <c r="AE3692">
        <v>1</v>
      </c>
      <c r="AF3692">
        <v>1</v>
      </c>
      <c r="AG3692">
        <v>1</v>
      </c>
      <c r="AH3692">
        <v>1</v>
      </c>
      <c r="AI3692">
        <v>1</v>
      </c>
      <c r="AJ3692">
        <v>1</v>
      </c>
      <c r="AK3692">
        <v>1</v>
      </c>
      <c r="AL3692">
        <v>1</v>
      </c>
      <c r="AM3692">
        <v>1</v>
      </c>
    </row>
    <row r="3693" spans="1:39" x14ac:dyDescent="0.2">
      <c r="A3693" t="str">
        <f>"3689"</f>
        <v>3689</v>
      </c>
      <c r="B3693" t="str">
        <f t="shared" si="203"/>
        <v>1</v>
      </c>
      <c r="C3693" t="str">
        <f t="shared" si="205"/>
        <v>74</v>
      </c>
      <c r="D3693" t="str">
        <f>"27"</f>
        <v>27</v>
      </c>
      <c r="E3693" t="str">
        <f>"1-74-27"</f>
        <v>1-74-27</v>
      </c>
      <c r="F3693" t="s">
        <v>65</v>
      </c>
      <c r="G3693" t="s">
        <v>66</v>
      </c>
      <c r="H3693" t="s">
        <v>67</v>
      </c>
      <c r="S3693">
        <v>0</v>
      </c>
      <c r="T3693">
        <v>1</v>
      </c>
      <c r="U3693">
        <v>0</v>
      </c>
      <c r="V3693">
        <v>0</v>
      </c>
      <c r="W3693">
        <v>1</v>
      </c>
      <c r="X3693">
        <v>0</v>
      </c>
      <c r="Y3693">
        <v>0</v>
      </c>
      <c r="Z3693">
        <v>1</v>
      </c>
      <c r="AA3693">
        <v>0</v>
      </c>
      <c r="AB3693">
        <v>1</v>
      </c>
      <c r="AC3693">
        <v>0</v>
      </c>
      <c r="AD3693">
        <v>1</v>
      </c>
      <c r="AE3693">
        <v>1</v>
      </c>
      <c r="AF3693">
        <v>1</v>
      </c>
      <c r="AG3693">
        <v>1</v>
      </c>
      <c r="AH3693">
        <v>1</v>
      </c>
      <c r="AI3693">
        <v>1</v>
      </c>
      <c r="AJ3693">
        <v>1</v>
      </c>
      <c r="AK3693">
        <v>1</v>
      </c>
      <c r="AL3693">
        <v>1</v>
      </c>
      <c r="AM3693">
        <v>1</v>
      </c>
    </row>
    <row r="3694" spans="1:39" x14ac:dyDescent="0.2">
      <c r="A3694" t="str">
        <f>"3690"</f>
        <v>3690</v>
      </c>
      <c r="B3694" t="str">
        <f t="shared" si="203"/>
        <v>1</v>
      </c>
      <c r="C3694" t="str">
        <f t="shared" si="205"/>
        <v>74</v>
      </c>
      <c r="D3694" t="str">
        <f>"2"</f>
        <v>2</v>
      </c>
      <c r="E3694" t="str">
        <f>"1-74-2"</f>
        <v>1-74-2</v>
      </c>
      <c r="F3694" t="s">
        <v>65</v>
      </c>
      <c r="G3694" t="s">
        <v>66</v>
      </c>
      <c r="H3694" t="s">
        <v>67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</row>
    <row r="3695" spans="1:39" x14ac:dyDescent="0.2">
      <c r="A3695" t="str">
        <f>"3691"</f>
        <v>3691</v>
      </c>
      <c r="B3695" t="str">
        <f t="shared" si="203"/>
        <v>1</v>
      </c>
      <c r="C3695" t="str">
        <f t="shared" si="205"/>
        <v>74</v>
      </c>
      <c r="D3695" t="str">
        <f>"48"</f>
        <v>48</v>
      </c>
      <c r="E3695" t="str">
        <f>"1-74-48"</f>
        <v>1-74-48</v>
      </c>
      <c r="F3695" t="s">
        <v>65</v>
      </c>
      <c r="G3695" t="s">
        <v>66</v>
      </c>
      <c r="H3695" t="s">
        <v>67</v>
      </c>
      <c r="S3695">
        <v>1</v>
      </c>
      <c r="T3695">
        <v>0</v>
      </c>
      <c r="U3695">
        <v>0</v>
      </c>
      <c r="V3695">
        <v>0</v>
      </c>
      <c r="W3695">
        <v>1</v>
      </c>
      <c r="X3695">
        <v>0</v>
      </c>
      <c r="Y3695">
        <v>1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1</v>
      </c>
      <c r="AF3695">
        <v>1</v>
      </c>
      <c r="AG3695">
        <v>1</v>
      </c>
      <c r="AH3695">
        <v>1</v>
      </c>
      <c r="AI3695">
        <v>1</v>
      </c>
      <c r="AJ3695">
        <v>1</v>
      </c>
      <c r="AK3695">
        <v>1</v>
      </c>
      <c r="AL3695">
        <v>1</v>
      </c>
      <c r="AM3695">
        <v>1</v>
      </c>
    </row>
    <row r="3696" spans="1:39" x14ac:dyDescent="0.2">
      <c r="A3696" t="str">
        <f>"3692"</f>
        <v>3692</v>
      </c>
      <c r="B3696" t="str">
        <f t="shared" si="203"/>
        <v>1</v>
      </c>
      <c r="C3696" t="str">
        <f t="shared" si="205"/>
        <v>74</v>
      </c>
      <c r="D3696" t="str">
        <f>"28"</f>
        <v>28</v>
      </c>
      <c r="E3696" t="str">
        <f>"1-74-28"</f>
        <v>1-74-28</v>
      </c>
      <c r="F3696" t="s">
        <v>65</v>
      </c>
      <c r="G3696" t="s">
        <v>66</v>
      </c>
      <c r="H3696" t="s">
        <v>67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</row>
    <row r="3697" spans="1:39" x14ac:dyDescent="0.2">
      <c r="A3697" t="str">
        <f>"3693"</f>
        <v>3693</v>
      </c>
      <c r="B3697" t="str">
        <f t="shared" si="203"/>
        <v>1</v>
      </c>
      <c r="C3697" t="str">
        <f t="shared" si="205"/>
        <v>74</v>
      </c>
      <c r="D3697" t="str">
        <f>"11"</f>
        <v>11</v>
      </c>
      <c r="E3697" t="str">
        <f>"1-74-11"</f>
        <v>1-74-11</v>
      </c>
      <c r="F3697" t="s">
        <v>65</v>
      </c>
      <c r="G3697" t="s">
        <v>66</v>
      </c>
      <c r="H3697" t="s">
        <v>67</v>
      </c>
      <c r="S3697">
        <v>0</v>
      </c>
      <c r="T3697">
        <v>0</v>
      </c>
      <c r="U3697">
        <v>0</v>
      </c>
      <c r="V3697">
        <v>0</v>
      </c>
      <c r="W3697">
        <v>1</v>
      </c>
      <c r="X3697">
        <v>0</v>
      </c>
      <c r="Y3697">
        <v>0</v>
      </c>
      <c r="Z3697">
        <v>1</v>
      </c>
      <c r="AA3697">
        <v>0</v>
      </c>
      <c r="AB3697">
        <v>1</v>
      </c>
      <c r="AC3697">
        <v>0</v>
      </c>
      <c r="AD3697">
        <v>1</v>
      </c>
      <c r="AE3697">
        <v>1</v>
      </c>
      <c r="AF3697">
        <v>1</v>
      </c>
      <c r="AG3697">
        <v>1</v>
      </c>
      <c r="AH3697">
        <v>1</v>
      </c>
      <c r="AI3697">
        <v>1</v>
      </c>
      <c r="AJ3697">
        <v>1</v>
      </c>
      <c r="AK3697">
        <v>1</v>
      </c>
      <c r="AL3697">
        <v>1</v>
      </c>
      <c r="AM3697">
        <v>1</v>
      </c>
    </row>
    <row r="3698" spans="1:39" x14ac:dyDescent="0.2">
      <c r="A3698" t="str">
        <f>"3694"</f>
        <v>3694</v>
      </c>
      <c r="B3698" t="str">
        <f t="shared" si="203"/>
        <v>1</v>
      </c>
      <c r="C3698" t="str">
        <f t="shared" si="205"/>
        <v>74</v>
      </c>
      <c r="D3698" t="str">
        <f>"49"</f>
        <v>49</v>
      </c>
      <c r="E3698" t="str">
        <f>"1-74-49"</f>
        <v>1-74-49</v>
      </c>
      <c r="F3698" t="s">
        <v>65</v>
      </c>
      <c r="G3698" t="s">
        <v>66</v>
      </c>
      <c r="H3698" t="s">
        <v>67</v>
      </c>
      <c r="S3698">
        <v>0</v>
      </c>
      <c r="T3698">
        <v>1</v>
      </c>
      <c r="U3698">
        <v>0</v>
      </c>
      <c r="V3698">
        <v>0</v>
      </c>
      <c r="W3698">
        <v>1</v>
      </c>
      <c r="X3698">
        <v>0</v>
      </c>
      <c r="Y3698">
        <v>1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1</v>
      </c>
      <c r="AF3698">
        <v>1</v>
      </c>
      <c r="AG3698">
        <v>1</v>
      </c>
      <c r="AH3698">
        <v>1</v>
      </c>
      <c r="AI3698">
        <v>1</v>
      </c>
      <c r="AJ3698">
        <v>1</v>
      </c>
      <c r="AK3698">
        <v>1</v>
      </c>
      <c r="AL3698">
        <v>1</v>
      </c>
      <c r="AM3698">
        <v>1</v>
      </c>
    </row>
    <row r="3699" spans="1:39" x14ac:dyDescent="0.2">
      <c r="A3699" t="str">
        <f>"3695"</f>
        <v>3695</v>
      </c>
      <c r="B3699" t="str">
        <f t="shared" si="203"/>
        <v>1</v>
      </c>
      <c r="C3699" t="str">
        <f t="shared" si="205"/>
        <v>74</v>
      </c>
      <c r="D3699" t="str">
        <f>"31"</f>
        <v>31</v>
      </c>
      <c r="E3699" t="str">
        <f>"1-74-31"</f>
        <v>1-74-31</v>
      </c>
      <c r="F3699" t="s">
        <v>65</v>
      </c>
      <c r="G3699" t="s">
        <v>66</v>
      </c>
      <c r="H3699" t="s">
        <v>67</v>
      </c>
      <c r="S3699">
        <v>0</v>
      </c>
      <c r="T3699">
        <v>1</v>
      </c>
      <c r="U3699">
        <v>0</v>
      </c>
      <c r="V3699">
        <v>0</v>
      </c>
      <c r="W3699">
        <v>0</v>
      </c>
      <c r="X3699">
        <v>1</v>
      </c>
      <c r="Y3699">
        <v>0</v>
      </c>
      <c r="Z3699">
        <v>1</v>
      </c>
      <c r="AA3699">
        <v>0</v>
      </c>
      <c r="AB3699">
        <v>1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</row>
    <row r="3700" spans="1:39" x14ac:dyDescent="0.2">
      <c r="A3700" t="str">
        <f>"3696"</f>
        <v>3696</v>
      </c>
      <c r="B3700" t="str">
        <f t="shared" si="203"/>
        <v>1</v>
      </c>
      <c r="C3700" t="str">
        <f t="shared" si="205"/>
        <v>74</v>
      </c>
      <c r="D3700" t="str">
        <f>"10"</f>
        <v>10</v>
      </c>
      <c r="E3700" t="str">
        <f>"1-74-10"</f>
        <v>1-74-10</v>
      </c>
      <c r="F3700" t="s">
        <v>65</v>
      </c>
      <c r="G3700" t="s">
        <v>66</v>
      </c>
      <c r="H3700" t="s">
        <v>67</v>
      </c>
      <c r="S3700">
        <v>0</v>
      </c>
      <c r="T3700">
        <v>1</v>
      </c>
      <c r="U3700">
        <v>0</v>
      </c>
      <c r="V3700">
        <v>0</v>
      </c>
      <c r="W3700">
        <v>0</v>
      </c>
      <c r="X3700">
        <v>1</v>
      </c>
      <c r="Y3700">
        <v>1</v>
      </c>
      <c r="Z3700">
        <v>0</v>
      </c>
      <c r="AA3700">
        <v>0</v>
      </c>
      <c r="AB3700">
        <v>1</v>
      </c>
      <c r="AC3700">
        <v>0</v>
      </c>
      <c r="AD3700">
        <v>1</v>
      </c>
      <c r="AE3700">
        <v>1</v>
      </c>
      <c r="AF3700">
        <v>1</v>
      </c>
      <c r="AG3700">
        <v>1</v>
      </c>
      <c r="AH3700">
        <v>1</v>
      </c>
      <c r="AI3700">
        <v>1</v>
      </c>
      <c r="AJ3700">
        <v>1</v>
      </c>
      <c r="AK3700">
        <v>0</v>
      </c>
      <c r="AL3700">
        <v>1</v>
      </c>
      <c r="AM3700">
        <v>1</v>
      </c>
    </row>
    <row r="3701" spans="1:39" x14ac:dyDescent="0.2">
      <c r="A3701" t="str">
        <f>"3697"</f>
        <v>3697</v>
      </c>
      <c r="B3701" t="str">
        <f t="shared" si="203"/>
        <v>1</v>
      </c>
      <c r="C3701" t="str">
        <f t="shared" si="205"/>
        <v>74</v>
      </c>
      <c r="D3701" t="str">
        <f>"50"</f>
        <v>50</v>
      </c>
      <c r="E3701" t="str">
        <f>"1-74-50"</f>
        <v>1-74-50</v>
      </c>
      <c r="F3701" t="s">
        <v>65</v>
      </c>
      <c r="G3701" t="s">
        <v>66</v>
      </c>
      <c r="H3701" t="s">
        <v>67</v>
      </c>
      <c r="S3701">
        <v>1</v>
      </c>
      <c r="T3701">
        <v>0</v>
      </c>
      <c r="U3701">
        <v>0</v>
      </c>
      <c r="V3701">
        <v>0</v>
      </c>
      <c r="W3701">
        <v>1</v>
      </c>
      <c r="X3701">
        <v>0</v>
      </c>
      <c r="Y3701">
        <v>1</v>
      </c>
      <c r="Z3701">
        <v>0</v>
      </c>
      <c r="AA3701">
        <v>0</v>
      </c>
      <c r="AB3701">
        <v>1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</row>
    <row r="3702" spans="1:39" x14ac:dyDescent="0.2">
      <c r="A3702" t="str">
        <f>"3698"</f>
        <v>3698</v>
      </c>
      <c r="B3702" t="str">
        <f t="shared" si="203"/>
        <v>1</v>
      </c>
      <c r="C3702" t="str">
        <f t="shared" si="205"/>
        <v>74</v>
      </c>
      <c r="D3702" t="str">
        <f>"34"</f>
        <v>34</v>
      </c>
      <c r="E3702" t="str">
        <f>"1-74-34"</f>
        <v>1-74-34</v>
      </c>
      <c r="F3702" t="s">
        <v>65</v>
      </c>
      <c r="G3702" t="s">
        <v>66</v>
      </c>
      <c r="H3702" t="s">
        <v>67</v>
      </c>
      <c r="S3702">
        <v>0</v>
      </c>
      <c r="T3702">
        <v>1</v>
      </c>
      <c r="U3702">
        <v>0</v>
      </c>
      <c r="V3702">
        <v>0</v>
      </c>
      <c r="W3702">
        <v>1</v>
      </c>
      <c r="X3702">
        <v>0</v>
      </c>
      <c r="Y3702">
        <v>1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1</v>
      </c>
      <c r="AF3702">
        <v>1</v>
      </c>
      <c r="AG3702">
        <v>1</v>
      </c>
      <c r="AH3702">
        <v>1</v>
      </c>
      <c r="AI3702">
        <v>1</v>
      </c>
      <c r="AJ3702">
        <v>1</v>
      </c>
      <c r="AK3702">
        <v>1</v>
      </c>
      <c r="AL3702">
        <v>1</v>
      </c>
      <c r="AM3702">
        <v>1</v>
      </c>
    </row>
    <row r="3703" spans="1:39" x14ac:dyDescent="0.2">
      <c r="A3703" t="str">
        <f>"3699"</f>
        <v>3699</v>
      </c>
      <c r="B3703" t="str">
        <f t="shared" ref="B3703:B3766" si="206">"1"</f>
        <v>1</v>
      </c>
      <c r="C3703" t="str">
        <f t="shared" si="205"/>
        <v>74</v>
      </c>
      <c r="D3703" t="str">
        <f>"14"</f>
        <v>14</v>
      </c>
      <c r="E3703" t="str">
        <f>"1-74-14"</f>
        <v>1-74-14</v>
      </c>
      <c r="F3703" t="s">
        <v>65</v>
      </c>
      <c r="G3703" t="s">
        <v>66</v>
      </c>
      <c r="H3703" t="s">
        <v>67</v>
      </c>
      <c r="S3703">
        <v>0</v>
      </c>
      <c r="T3703">
        <v>1</v>
      </c>
      <c r="U3703">
        <v>0</v>
      </c>
      <c r="V3703">
        <v>0</v>
      </c>
      <c r="W3703">
        <v>0</v>
      </c>
      <c r="X3703">
        <v>1</v>
      </c>
      <c r="Y3703">
        <v>1</v>
      </c>
      <c r="Z3703">
        <v>0</v>
      </c>
      <c r="AA3703">
        <v>0</v>
      </c>
      <c r="AB3703">
        <v>0</v>
      </c>
      <c r="AC3703">
        <v>1</v>
      </c>
      <c r="AD3703">
        <v>1</v>
      </c>
      <c r="AE3703">
        <v>1</v>
      </c>
      <c r="AF3703">
        <v>1</v>
      </c>
      <c r="AG3703">
        <v>1</v>
      </c>
      <c r="AH3703">
        <v>1</v>
      </c>
      <c r="AI3703">
        <v>1</v>
      </c>
      <c r="AJ3703">
        <v>1</v>
      </c>
      <c r="AK3703">
        <v>1</v>
      </c>
      <c r="AL3703">
        <v>1</v>
      </c>
      <c r="AM3703">
        <v>1</v>
      </c>
    </row>
    <row r="3704" spans="1:39" x14ac:dyDescent="0.2">
      <c r="A3704" t="str">
        <f>"3700"</f>
        <v>3700</v>
      </c>
      <c r="B3704" t="str">
        <f t="shared" si="206"/>
        <v>1</v>
      </c>
      <c r="C3704" t="str">
        <f t="shared" si="205"/>
        <v>74</v>
      </c>
      <c r="D3704" t="str">
        <f>"13"</f>
        <v>13</v>
      </c>
      <c r="E3704" t="str">
        <f>"1-74-13"</f>
        <v>1-74-13</v>
      </c>
      <c r="F3704" t="s">
        <v>65</v>
      </c>
      <c r="G3704" t="s">
        <v>66</v>
      </c>
      <c r="H3704" t="s">
        <v>67</v>
      </c>
      <c r="S3704">
        <v>1</v>
      </c>
      <c r="T3704">
        <v>0</v>
      </c>
      <c r="U3704">
        <v>0</v>
      </c>
      <c r="V3704">
        <v>0</v>
      </c>
      <c r="W3704">
        <v>1</v>
      </c>
      <c r="X3704">
        <v>0</v>
      </c>
      <c r="Y3704">
        <v>0</v>
      </c>
      <c r="Z3704">
        <v>1</v>
      </c>
      <c r="AA3704">
        <v>1</v>
      </c>
      <c r="AB3704">
        <v>0</v>
      </c>
      <c r="AC3704">
        <v>0</v>
      </c>
      <c r="AD3704">
        <v>1</v>
      </c>
      <c r="AE3704">
        <v>1</v>
      </c>
      <c r="AF3704">
        <v>1</v>
      </c>
      <c r="AG3704">
        <v>1</v>
      </c>
      <c r="AH3704">
        <v>1</v>
      </c>
      <c r="AI3704">
        <v>1</v>
      </c>
      <c r="AJ3704">
        <v>1</v>
      </c>
      <c r="AK3704">
        <v>1</v>
      </c>
      <c r="AL3704">
        <v>1</v>
      </c>
      <c r="AM3704">
        <v>1</v>
      </c>
    </row>
    <row r="3705" spans="1:39" x14ac:dyDescent="0.2">
      <c r="A3705" t="str">
        <f>"3701"</f>
        <v>3701</v>
      </c>
      <c r="B3705" t="str">
        <f t="shared" si="206"/>
        <v>1</v>
      </c>
      <c r="C3705" t="str">
        <f t="shared" ref="C3705:C3736" si="207">"75"</f>
        <v>75</v>
      </c>
      <c r="D3705" t="str">
        <f>"40"</f>
        <v>40</v>
      </c>
      <c r="E3705" t="str">
        <f>"1-75-40"</f>
        <v>1-75-40</v>
      </c>
      <c r="F3705" t="s">
        <v>65</v>
      </c>
      <c r="G3705" t="s">
        <v>66</v>
      </c>
      <c r="H3705" t="s">
        <v>67</v>
      </c>
      <c r="S3705">
        <v>1</v>
      </c>
      <c r="T3705">
        <v>0</v>
      </c>
      <c r="U3705">
        <v>0</v>
      </c>
      <c r="V3705">
        <v>0</v>
      </c>
      <c r="W3705">
        <v>1</v>
      </c>
      <c r="X3705">
        <v>0</v>
      </c>
      <c r="Y3705">
        <v>0</v>
      </c>
      <c r="Z3705">
        <v>1</v>
      </c>
      <c r="AA3705">
        <v>1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</row>
    <row r="3706" spans="1:39" x14ac:dyDescent="0.2">
      <c r="A3706" t="str">
        <f>"3702"</f>
        <v>3702</v>
      </c>
      <c r="B3706" t="str">
        <f t="shared" si="206"/>
        <v>1</v>
      </c>
      <c r="C3706" t="str">
        <f t="shared" si="207"/>
        <v>75</v>
      </c>
      <c r="D3706" t="str">
        <f>"39"</f>
        <v>39</v>
      </c>
      <c r="E3706" t="str">
        <f>"1-75-39"</f>
        <v>1-75-39</v>
      </c>
      <c r="F3706" t="s">
        <v>65</v>
      </c>
      <c r="G3706" t="s">
        <v>66</v>
      </c>
      <c r="H3706" t="s">
        <v>67</v>
      </c>
      <c r="S3706">
        <v>0</v>
      </c>
      <c r="T3706">
        <v>1</v>
      </c>
      <c r="U3706">
        <v>0</v>
      </c>
      <c r="V3706">
        <v>0</v>
      </c>
      <c r="W3706">
        <v>0</v>
      </c>
      <c r="X3706">
        <v>1</v>
      </c>
      <c r="Y3706">
        <v>0</v>
      </c>
      <c r="Z3706">
        <v>1</v>
      </c>
      <c r="AA3706">
        <v>0</v>
      </c>
      <c r="AB3706">
        <v>1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</row>
    <row r="3707" spans="1:39" x14ac:dyDescent="0.2">
      <c r="A3707" t="str">
        <f>"3703"</f>
        <v>3703</v>
      </c>
      <c r="B3707" t="str">
        <f t="shared" si="206"/>
        <v>1</v>
      </c>
      <c r="C3707" t="str">
        <f t="shared" si="207"/>
        <v>75</v>
      </c>
      <c r="D3707" t="str">
        <f>"31"</f>
        <v>31</v>
      </c>
      <c r="E3707" t="str">
        <f>"1-75-31"</f>
        <v>1-75-31</v>
      </c>
      <c r="F3707" t="s">
        <v>65</v>
      </c>
      <c r="G3707" t="s">
        <v>66</v>
      </c>
      <c r="H3707" t="s">
        <v>67</v>
      </c>
      <c r="S3707">
        <v>1</v>
      </c>
      <c r="T3707">
        <v>0</v>
      </c>
      <c r="U3707">
        <v>0</v>
      </c>
      <c r="V3707">
        <v>0</v>
      </c>
      <c r="W3707">
        <v>1</v>
      </c>
      <c r="X3707">
        <v>0</v>
      </c>
      <c r="Y3707">
        <v>0</v>
      </c>
      <c r="Z3707">
        <v>1</v>
      </c>
      <c r="AA3707">
        <v>1</v>
      </c>
      <c r="AB3707">
        <v>0</v>
      </c>
      <c r="AC3707">
        <v>0</v>
      </c>
      <c r="AD3707">
        <v>1</v>
      </c>
      <c r="AE3707">
        <v>1</v>
      </c>
      <c r="AF3707">
        <v>0</v>
      </c>
      <c r="AG3707">
        <v>1</v>
      </c>
      <c r="AH3707">
        <v>1</v>
      </c>
      <c r="AI3707">
        <v>1</v>
      </c>
      <c r="AJ3707">
        <v>1</v>
      </c>
      <c r="AK3707">
        <v>1</v>
      </c>
      <c r="AL3707">
        <v>1</v>
      </c>
      <c r="AM3707">
        <v>1</v>
      </c>
    </row>
    <row r="3708" spans="1:39" x14ac:dyDescent="0.2">
      <c r="A3708" t="str">
        <f>"3704"</f>
        <v>3704</v>
      </c>
      <c r="B3708" t="str">
        <f t="shared" si="206"/>
        <v>1</v>
      </c>
      <c r="C3708" t="str">
        <f t="shared" si="207"/>
        <v>75</v>
      </c>
      <c r="D3708" t="str">
        <f>"30"</f>
        <v>30</v>
      </c>
      <c r="E3708" t="str">
        <f>"1-75-30"</f>
        <v>1-75-30</v>
      </c>
      <c r="F3708" t="s">
        <v>65</v>
      </c>
      <c r="G3708" t="s">
        <v>66</v>
      </c>
      <c r="H3708" t="s">
        <v>67</v>
      </c>
      <c r="S3708">
        <v>0</v>
      </c>
      <c r="T3708">
        <v>1</v>
      </c>
      <c r="U3708">
        <v>0</v>
      </c>
      <c r="V3708">
        <v>0</v>
      </c>
      <c r="W3708">
        <v>1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</row>
    <row r="3709" spans="1:39" x14ac:dyDescent="0.2">
      <c r="A3709" t="str">
        <f>"3705"</f>
        <v>3705</v>
      </c>
      <c r="B3709" t="str">
        <f t="shared" si="206"/>
        <v>1</v>
      </c>
      <c r="C3709" t="str">
        <f t="shared" si="207"/>
        <v>75</v>
      </c>
      <c r="D3709" t="str">
        <f>"18"</f>
        <v>18</v>
      </c>
      <c r="E3709" t="str">
        <f>"1-75-18"</f>
        <v>1-75-18</v>
      </c>
      <c r="F3709" t="s">
        <v>65</v>
      </c>
      <c r="G3709" t="s">
        <v>66</v>
      </c>
      <c r="H3709" t="s">
        <v>67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1</v>
      </c>
      <c r="Y3709">
        <v>0</v>
      </c>
      <c r="Z3709">
        <v>1</v>
      </c>
      <c r="AA3709">
        <v>0</v>
      </c>
      <c r="AB3709">
        <v>0</v>
      </c>
      <c r="AC3709">
        <v>1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</row>
    <row r="3710" spans="1:39" x14ac:dyDescent="0.2">
      <c r="A3710" t="str">
        <f>"3706"</f>
        <v>3706</v>
      </c>
      <c r="B3710" t="str">
        <f t="shared" si="206"/>
        <v>1</v>
      </c>
      <c r="C3710" t="str">
        <f t="shared" si="207"/>
        <v>75</v>
      </c>
      <c r="D3710" t="str">
        <f>"15"</f>
        <v>15</v>
      </c>
      <c r="E3710" t="str">
        <f>"1-75-15"</f>
        <v>1-75-15</v>
      </c>
      <c r="F3710" t="s">
        <v>65</v>
      </c>
      <c r="G3710" t="s">
        <v>66</v>
      </c>
      <c r="H3710" t="s">
        <v>67</v>
      </c>
      <c r="S3710">
        <v>1</v>
      </c>
      <c r="T3710">
        <v>0</v>
      </c>
      <c r="U3710">
        <v>0</v>
      </c>
      <c r="V3710">
        <v>0</v>
      </c>
      <c r="W3710">
        <v>1</v>
      </c>
      <c r="X3710">
        <v>0</v>
      </c>
      <c r="Y3710">
        <v>0</v>
      </c>
      <c r="Z3710">
        <v>1</v>
      </c>
      <c r="AA3710">
        <v>0</v>
      </c>
      <c r="AB3710">
        <v>0</v>
      </c>
      <c r="AC3710">
        <v>1</v>
      </c>
      <c r="AD3710">
        <v>1</v>
      </c>
      <c r="AE3710">
        <v>1</v>
      </c>
      <c r="AF3710">
        <v>1</v>
      </c>
      <c r="AG3710">
        <v>1</v>
      </c>
      <c r="AH3710">
        <v>1</v>
      </c>
      <c r="AI3710">
        <v>1</v>
      </c>
      <c r="AJ3710">
        <v>1</v>
      </c>
      <c r="AK3710">
        <v>1</v>
      </c>
      <c r="AL3710">
        <v>1</v>
      </c>
      <c r="AM3710">
        <v>1</v>
      </c>
    </row>
    <row r="3711" spans="1:39" x14ac:dyDescent="0.2">
      <c r="A3711" t="str">
        <f>"3707"</f>
        <v>3707</v>
      </c>
      <c r="B3711" t="str">
        <f t="shared" si="206"/>
        <v>1</v>
      </c>
      <c r="C3711" t="str">
        <f t="shared" si="207"/>
        <v>75</v>
      </c>
      <c r="D3711" t="str">
        <f>"1"</f>
        <v>1</v>
      </c>
      <c r="E3711" t="str">
        <f>"1-75-1"</f>
        <v>1-75-1</v>
      </c>
      <c r="F3711" t="s">
        <v>65</v>
      </c>
      <c r="G3711" t="s">
        <v>66</v>
      </c>
      <c r="H3711" t="s">
        <v>67</v>
      </c>
      <c r="S3711">
        <v>1</v>
      </c>
      <c r="T3711">
        <v>0</v>
      </c>
      <c r="U3711">
        <v>0</v>
      </c>
      <c r="V3711">
        <v>0</v>
      </c>
      <c r="W3711">
        <v>0</v>
      </c>
      <c r="X3711">
        <v>1</v>
      </c>
      <c r="Y3711">
        <v>0</v>
      </c>
      <c r="Z3711">
        <v>1</v>
      </c>
      <c r="AA3711">
        <v>0</v>
      </c>
      <c r="AB3711">
        <v>0</v>
      </c>
      <c r="AC3711">
        <v>1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</row>
    <row r="3712" spans="1:39" x14ac:dyDescent="0.2">
      <c r="A3712" t="str">
        <f>"3708"</f>
        <v>3708</v>
      </c>
      <c r="B3712" t="str">
        <f t="shared" si="206"/>
        <v>1</v>
      </c>
      <c r="C3712" t="str">
        <f t="shared" si="207"/>
        <v>75</v>
      </c>
      <c r="D3712" t="str">
        <f>"38"</f>
        <v>38</v>
      </c>
      <c r="E3712" t="str">
        <f>"1-75-38"</f>
        <v>1-75-38</v>
      </c>
      <c r="F3712" t="s">
        <v>65</v>
      </c>
      <c r="G3712" t="s">
        <v>66</v>
      </c>
      <c r="H3712" t="s">
        <v>67</v>
      </c>
      <c r="S3712">
        <v>0</v>
      </c>
      <c r="T3712">
        <v>1</v>
      </c>
      <c r="U3712">
        <v>0</v>
      </c>
      <c r="V3712">
        <v>0</v>
      </c>
      <c r="W3712">
        <v>1</v>
      </c>
      <c r="X3712">
        <v>0</v>
      </c>
      <c r="Y3712">
        <v>0</v>
      </c>
      <c r="Z3712">
        <v>1</v>
      </c>
      <c r="AA3712">
        <v>0</v>
      </c>
      <c r="AB3712">
        <v>1</v>
      </c>
      <c r="AC3712">
        <v>0</v>
      </c>
      <c r="AD3712">
        <v>1</v>
      </c>
      <c r="AE3712">
        <v>1</v>
      </c>
      <c r="AF3712">
        <v>1</v>
      </c>
      <c r="AG3712">
        <v>1</v>
      </c>
      <c r="AH3712">
        <v>1</v>
      </c>
      <c r="AI3712">
        <v>1</v>
      </c>
      <c r="AJ3712">
        <v>1</v>
      </c>
      <c r="AK3712">
        <v>1</v>
      </c>
      <c r="AL3712">
        <v>1</v>
      </c>
      <c r="AM3712">
        <v>1</v>
      </c>
    </row>
    <row r="3713" spans="1:39" x14ac:dyDescent="0.2">
      <c r="A3713" t="str">
        <f>"3709"</f>
        <v>3709</v>
      </c>
      <c r="B3713" t="str">
        <f t="shared" si="206"/>
        <v>1</v>
      </c>
      <c r="C3713" t="str">
        <f t="shared" si="207"/>
        <v>75</v>
      </c>
      <c r="D3713" t="str">
        <f>"37"</f>
        <v>37</v>
      </c>
      <c r="E3713" t="str">
        <f>"1-75-37"</f>
        <v>1-75-37</v>
      </c>
      <c r="F3713" t="s">
        <v>65</v>
      </c>
      <c r="G3713" t="s">
        <v>66</v>
      </c>
      <c r="H3713" t="s">
        <v>67</v>
      </c>
      <c r="S3713">
        <v>1</v>
      </c>
      <c r="T3713">
        <v>0</v>
      </c>
      <c r="U3713">
        <v>0</v>
      </c>
      <c r="V3713">
        <v>0</v>
      </c>
      <c r="W3713">
        <v>0</v>
      </c>
      <c r="X3713">
        <v>1</v>
      </c>
      <c r="Y3713">
        <v>1</v>
      </c>
      <c r="Z3713">
        <v>0</v>
      </c>
      <c r="AA3713">
        <v>1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</row>
    <row r="3714" spans="1:39" x14ac:dyDescent="0.2">
      <c r="A3714" t="str">
        <f>"3710"</f>
        <v>3710</v>
      </c>
      <c r="B3714" t="str">
        <f t="shared" si="206"/>
        <v>1</v>
      </c>
      <c r="C3714" t="str">
        <f t="shared" si="207"/>
        <v>75</v>
      </c>
      <c r="D3714" t="str">
        <f>"27"</f>
        <v>27</v>
      </c>
      <c r="E3714" t="str">
        <f>"1-75-27"</f>
        <v>1-75-27</v>
      </c>
      <c r="F3714" t="s">
        <v>65</v>
      </c>
      <c r="G3714" t="s">
        <v>66</v>
      </c>
      <c r="H3714" t="s">
        <v>67</v>
      </c>
      <c r="S3714">
        <v>1</v>
      </c>
      <c r="T3714">
        <v>0</v>
      </c>
      <c r="U3714">
        <v>0</v>
      </c>
      <c r="V3714">
        <v>0</v>
      </c>
      <c r="W3714">
        <v>1</v>
      </c>
      <c r="X3714">
        <v>0</v>
      </c>
      <c r="Y3714">
        <v>1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1</v>
      </c>
      <c r="AF3714">
        <v>1</v>
      </c>
      <c r="AG3714">
        <v>1</v>
      </c>
      <c r="AH3714">
        <v>1</v>
      </c>
      <c r="AI3714">
        <v>1</v>
      </c>
      <c r="AJ3714">
        <v>1</v>
      </c>
      <c r="AK3714">
        <v>1</v>
      </c>
      <c r="AL3714">
        <v>1</v>
      </c>
      <c r="AM3714">
        <v>1</v>
      </c>
    </row>
    <row r="3715" spans="1:39" x14ac:dyDescent="0.2">
      <c r="A3715" t="str">
        <f>"3711"</f>
        <v>3711</v>
      </c>
      <c r="B3715" t="str">
        <f t="shared" si="206"/>
        <v>1</v>
      </c>
      <c r="C3715" t="str">
        <f t="shared" si="207"/>
        <v>75</v>
      </c>
      <c r="D3715" t="str">
        <f>"16"</f>
        <v>16</v>
      </c>
      <c r="E3715" t="str">
        <f>"1-75-16"</f>
        <v>1-75-16</v>
      </c>
      <c r="F3715" t="s">
        <v>65</v>
      </c>
      <c r="G3715" t="s">
        <v>66</v>
      </c>
      <c r="H3715" t="s">
        <v>67</v>
      </c>
      <c r="S3715">
        <v>1</v>
      </c>
      <c r="T3715">
        <v>0</v>
      </c>
      <c r="U3715">
        <v>0</v>
      </c>
      <c r="V3715">
        <v>0</v>
      </c>
      <c r="W3715">
        <v>1</v>
      </c>
      <c r="X3715">
        <v>0</v>
      </c>
      <c r="Y3715">
        <v>0</v>
      </c>
      <c r="Z3715">
        <v>1</v>
      </c>
      <c r="AA3715">
        <v>0</v>
      </c>
      <c r="AB3715">
        <v>1</v>
      </c>
      <c r="AC3715">
        <v>0</v>
      </c>
      <c r="AD3715">
        <v>1</v>
      </c>
      <c r="AE3715">
        <v>1</v>
      </c>
      <c r="AF3715">
        <v>1</v>
      </c>
      <c r="AG3715">
        <v>1</v>
      </c>
      <c r="AH3715">
        <v>1</v>
      </c>
      <c r="AI3715">
        <v>1</v>
      </c>
      <c r="AJ3715">
        <v>1</v>
      </c>
      <c r="AK3715">
        <v>1</v>
      </c>
      <c r="AL3715">
        <v>1</v>
      </c>
      <c r="AM3715">
        <v>0</v>
      </c>
    </row>
    <row r="3716" spans="1:39" x14ac:dyDescent="0.2">
      <c r="A3716" t="str">
        <f>"3712"</f>
        <v>3712</v>
      </c>
      <c r="B3716" t="str">
        <f t="shared" si="206"/>
        <v>1</v>
      </c>
      <c r="C3716" t="str">
        <f t="shared" si="207"/>
        <v>75</v>
      </c>
      <c r="D3716" t="str">
        <f>"9"</f>
        <v>9</v>
      </c>
      <c r="E3716" t="str">
        <f>"1-75-9"</f>
        <v>1-75-9</v>
      </c>
      <c r="F3716" t="s">
        <v>65</v>
      </c>
      <c r="G3716" t="s">
        <v>66</v>
      </c>
      <c r="H3716" t="s">
        <v>67</v>
      </c>
      <c r="S3716">
        <v>0</v>
      </c>
      <c r="T3716">
        <v>1</v>
      </c>
      <c r="U3716">
        <v>0</v>
      </c>
      <c r="V3716">
        <v>0</v>
      </c>
      <c r="W3716">
        <v>1</v>
      </c>
      <c r="X3716">
        <v>0</v>
      </c>
      <c r="Y3716">
        <v>0</v>
      </c>
      <c r="Z3716">
        <v>1</v>
      </c>
      <c r="AA3716">
        <v>0</v>
      </c>
      <c r="AB3716">
        <v>0</v>
      </c>
      <c r="AC3716">
        <v>1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</row>
    <row r="3717" spans="1:39" x14ac:dyDescent="0.2">
      <c r="A3717" t="str">
        <f>"3713"</f>
        <v>3713</v>
      </c>
      <c r="B3717" t="str">
        <f t="shared" si="206"/>
        <v>1</v>
      </c>
      <c r="C3717" t="str">
        <f t="shared" si="207"/>
        <v>75</v>
      </c>
      <c r="D3717" t="str">
        <f>"44"</f>
        <v>44</v>
      </c>
      <c r="E3717" t="str">
        <f>"1-75-44"</f>
        <v>1-75-44</v>
      </c>
      <c r="F3717" t="s">
        <v>65</v>
      </c>
      <c r="G3717" t="s">
        <v>66</v>
      </c>
      <c r="H3717" t="s">
        <v>67</v>
      </c>
      <c r="S3717">
        <v>1</v>
      </c>
      <c r="T3717">
        <v>0</v>
      </c>
      <c r="U3717">
        <v>0</v>
      </c>
      <c r="V3717">
        <v>0</v>
      </c>
      <c r="W3717">
        <v>1</v>
      </c>
      <c r="X3717">
        <v>0</v>
      </c>
      <c r="Y3717">
        <v>1</v>
      </c>
      <c r="Z3717">
        <v>0</v>
      </c>
      <c r="AA3717">
        <v>1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1</v>
      </c>
      <c r="AH3717">
        <v>1</v>
      </c>
      <c r="AI3717">
        <v>1</v>
      </c>
      <c r="AJ3717">
        <v>1</v>
      </c>
      <c r="AK3717">
        <v>1</v>
      </c>
      <c r="AL3717">
        <v>1</v>
      </c>
      <c r="AM3717">
        <v>0</v>
      </c>
    </row>
    <row r="3718" spans="1:39" x14ac:dyDescent="0.2">
      <c r="A3718" t="str">
        <f>"3714"</f>
        <v>3714</v>
      </c>
      <c r="B3718" t="str">
        <f t="shared" si="206"/>
        <v>1</v>
      </c>
      <c r="C3718" t="str">
        <f t="shared" si="207"/>
        <v>75</v>
      </c>
      <c r="D3718" t="str">
        <f>"43"</f>
        <v>43</v>
      </c>
      <c r="E3718" t="str">
        <f>"1-75-43"</f>
        <v>1-75-43</v>
      </c>
      <c r="F3718" t="s">
        <v>65</v>
      </c>
      <c r="G3718" t="s">
        <v>66</v>
      </c>
      <c r="H3718" t="s">
        <v>67</v>
      </c>
      <c r="S3718">
        <v>1</v>
      </c>
      <c r="T3718">
        <v>0</v>
      </c>
      <c r="U3718">
        <v>0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1</v>
      </c>
      <c r="AH3718">
        <v>1</v>
      </c>
      <c r="AI3718">
        <v>1</v>
      </c>
      <c r="AJ3718">
        <v>1</v>
      </c>
      <c r="AK3718">
        <v>1</v>
      </c>
      <c r="AL3718">
        <v>1</v>
      </c>
      <c r="AM3718">
        <v>0</v>
      </c>
    </row>
    <row r="3719" spans="1:39" x14ac:dyDescent="0.2">
      <c r="A3719" t="str">
        <f>"3715"</f>
        <v>3715</v>
      </c>
      <c r="B3719" t="str">
        <f t="shared" si="206"/>
        <v>1</v>
      </c>
      <c r="C3719" t="str">
        <f t="shared" si="207"/>
        <v>75</v>
      </c>
      <c r="D3719" t="str">
        <f>"33"</f>
        <v>33</v>
      </c>
      <c r="E3719" t="str">
        <f>"1-75-33"</f>
        <v>1-75-33</v>
      </c>
      <c r="F3719" t="s">
        <v>65</v>
      </c>
      <c r="G3719" t="s">
        <v>66</v>
      </c>
      <c r="H3719" t="s">
        <v>67</v>
      </c>
      <c r="S3719">
        <v>0</v>
      </c>
      <c r="T3719">
        <v>1</v>
      </c>
      <c r="U3719">
        <v>0</v>
      </c>
      <c r="V3719">
        <v>0</v>
      </c>
      <c r="W3719">
        <v>0</v>
      </c>
      <c r="X3719">
        <v>1</v>
      </c>
      <c r="Y3719">
        <v>0</v>
      </c>
      <c r="Z3719">
        <v>1</v>
      </c>
      <c r="AA3719">
        <v>0</v>
      </c>
      <c r="AB3719">
        <v>0</v>
      </c>
      <c r="AC3719">
        <v>1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</row>
    <row r="3720" spans="1:39" x14ac:dyDescent="0.2">
      <c r="A3720" t="str">
        <f>"3716"</f>
        <v>3716</v>
      </c>
      <c r="B3720" t="str">
        <f t="shared" si="206"/>
        <v>1</v>
      </c>
      <c r="C3720" t="str">
        <f t="shared" si="207"/>
        <v>75</v>
      </c>
      <c r="D3720" t="str">
        <f>"17"</f>
        <v>17</v>
      </c>
      <c r="E3720" t="str">
        <f>"1-75-17"</f>
        <v>1-75-17</v>
      </c>
      <c r="F3720" t="s">
        <v>65</v>
      </c>
      <c r="G3720" t="s">
        <v>66</v>
      </c>
      <c r="H3720" t="s">
        <v>67</v>
      </c>
      <c r="S3720">
        <v>0</v>
      </c>
      <c r="T3720">
        <v>1</v>
      </c>
      <c r="U3720">
        <v>0</v>
      </c>
      <c r="V3720">
        <v>0</v>
      </c>
      <c r="W3720">
        <v>1</v>
      </c>
      <c r="X3720">
        <v>0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1</v>
      </c>
      <c r="AM3720">
        <v>0</v>
      </c>
    </row>
    <row r="3721" spans="1:39" x14ac:dyDescent="0.2">
      <c r="A3721" t="str">
        <f>"3717"</f>
        <v>3717</v>
      </c>
      <c r="B3721" t="str">
        <f t="shared" si="206"/>
        <v>1</v>
      </c>
      <c r="C3721" t="str">
        <f t="shared" si="207"/>
        <v>75</v>
      </c>
      <c r="D3721" t="str">
        <f>"13"</f>
        <v>13</v>
      </c>
      <c r="E3721" t="str">
        <f>"1-75-13"</f>
        <v>1-75-13</v>
      </c>
      <c r="F3721" t="s">
        <v>65</v>
      </c>
      <c r="G3721" t="s">
        <v>66</v>
      </c>
      <c r="H3721" t="s">
        <v>67</v>
      </c>
      <c r="S3721">
        <v>0</v>
      </c>
      <c r="T3721">
        <v>1</v>
      </c>
      <c r="U3721">
        <v>0</v>
      </c>
      <c r="V3721">
        <v>0</v>
      </c>
      <c r="W3721">
        <v>0</v>
      </c>
      <c r="X3721">
        <v>1</v>
      </c>
      <c r="Y3721">
        <v>1</v>
      </c>
      <c r="Z3721">
        <v>0</v>
      </c>
      <c r="AA3721">
        <v>0</v>
      </c>
      <c r="AB3721">
        <v>1</v>
      </c>
      <c r="AC3721">
        <v>0</v>
      </c>
      <c r="AD3721">
        <v>1</v>
      </c>
      <c r="AE3721">
        <v>1</v>
      </c>
      <c r="AF3721">
        <v>1</v>
      </c>
      <c r="AG3721">
        <v>1</v>
      </c>
      <c r="AH3721">
        <v>1</v>
      </c>
      <c r="AI3721">
        <v>1</v>
      </c>
      <c r="AJ3721">
        <v>1</v>
      </c>
      <c r="AK3721">
        <v>1</v>
      </c>
      <c r="AL3721">
        <v>1</v>
      </c>
      <c r="AM3721">
        <v>1</v>
      </c>
    </row>
    <row r="3722" spans="1:39" x14ac:dyDescent="0.2">
      <c r="A3722" t="str">
        <f>"3718"</f>
        <v>3718</v>
      </c>
      <c r="B3722" t="str">
        <f t="shared" si="206"/>
        <v>1</v>
      </c>
      <c r="C3722" t="str">
        <f t="shared" si="207"/>
        <v>75</v>
      </c>
      <c r="D3722" t="str">
        <f>"36"</f>
        <v>36</v>
      </c>
      <c r="E3722" t="str">
        <f>"1-75-36"</f>
        <v>1-75-36</v>
      </c>
      <c r="F3722" t="s">
        <v>65</v>
      </c>
      <c r="G3722" t="s">
        <v>66</v>
      </c>
      <c r="H3722" t="s">
        <v>67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</row>
    <row r="3723" spans="1:39" x14ac:dyDescent="0.2">
      <c r="A3723" t="str">
        <f>"3719"</f>
        <v>3719</v>
      </c>
      <c r="B3723" t="str">
        <f t="shared" si="206"/>
        <v>1</v>
      </c>
      <c r="C3723" t="str">
        <f t="shared" si="207"/>
        <v>75</v>
      </c>
      <c r="D3723" t="str">
        <f>"19"</f>
        <v>19</v>
      </c>
      <c r="E3723" t="str">
        <f>"1-75-19"</f>
        <v>1-75-19</v>
      </c>
      <c r="F3723" t="s">
        <v>65</v>
      </c>
      <c r="G3723" t="s">
        <v>66</v>
      </c>
      <c r="H3723" t="s">
        <v>67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0</v>
      </c>
      <c r="AB3723">
        <v>0</v>
      </c>
      <c r="AC3723">
        <v>1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</row>
    <row r="3724" spans="1:39" x14ac:dyDescent="0.2">
      <c r="A3724" t="str">
        <f>"3720"</f>
        <v>3720</v>
      </c>
      <c r="B3724" t="str">
        <f t="shared" si="206"/>
        <v>1</v>
      </c>
      <c r="C3724" t="str">
        <f t="shared" si="207"/>
        <v>75</v>
      </c>
      <c r="D3724" t="str">
        <f>"6"</f>
        <v>6</v>
      </c>
      <c r="E3724" t="str">
        <f>"1-75-6"</f>
        <v>1-75-6</v>
      </c>
      <c r="F3724" t="s">
        <v>65</v>
      </c>
      <c r="G3724" t="s">
        <v>66</v>
      </c>
      <c r="H3724" t="s">
        <v>67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0</v>
      </c>
      <c r="AB3724">
        <v>0</v>
      </c>
      <c r="AC3724">
        <v>1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</row>
    <row r="3725" spans="1:39" x14ac:dyDescent="0.2">
      <c r="A3725" t="str">
        <f>"3721"</f>
        <v>3721</v>
      </c>
      <c r="B3725" t="str">
        <f t="shared" si="206"/>
        <v>1</v>
      </c>
      <c r="C3725" t="str">
        <f t="shared" si="207"/>
        <v>75</v>
      </c>
      <c r="D3725" t="str">
        <f>"34"</f>
        <v>34</v>
      </c>
      <c r="E3725" t="str">
        <f>"1-75-34"</f>
        <v>1-75-34</v>
      </c>
      <c r="F3725" t="s">
        <v>65</v>
      </c>
      <c r="G3725" t="s">
        <v>66</v>
      </c>
      <c r="H3725" t="s">
        <v>67</v>
      </c>
      <c r="S3725">
        <v>0</v>
      </c>
      <c r="T3725">
        <v>1</v>
      </c>
      <c r="U3725">
        <v>0</v>
      </c>
      <c r="V3725">
        <v>0</v>
      </c>
      <c r="W3725">
        <v>0</v>
      </c>
      <c r="X3725">
        <v>1</v>
      </c>
      <c r="Y3725">
        <v>1</v>
      </c>
      <c r="Z3725">
        <v>0</v>
      </c>
      <c r="AA3725">
        <v>0</v>
      </c>
      <c r="AB3725">
        <v>0</v>
      </c>
      <c r="AC3725">
        <v>1</v>
      </c>
      <c r="AD3725">
        <v>1</v>
      </c>
      <c r="AE3725">
        <v>1</v>
      </c>
      <c r="AF3725">
        <v>1</v>
      </c>
      <c r="AG3725">
        <v>1</v>
      </c>
      <c r="AH3725">
        <v>1</v>
      </c>
      <c r="AI3725">
        <v>1</v>
      </c>
      <c r="AJ3725">
        <v>1</v>
      </c>
      <c r="AK3725">
        <v>1</v>
      </c>
      <c r="AL3725">
        <v>1</v>
      </c>
      <c r="AM3725">
        <v>1</v>
      </c>
    </row>
    <row r="3726" spans="1:39" x14ac:dyDescent="0.2">
      <c r="A3726" t="str">
        <f>"3722"</f>
        <v>3722</v>
      </c>
      <c r="B3726" t="str">
        <f t="shared" si="206"/>
        <v>1</v>
      </c>
      <c r="C3726" t="str">
        <f t="shared" si="207"/>
        <v>75</v>
      </c>
      <c r="D3726" t="str">
        <f>"20"</f>
        <v>20</v>
      </c>
      <c r="E3726" t="str">
        <f>"1-75-20"</f>
        <v>1-75-20</v>
      </c>
      <c r="F3726" t="s">
        <v>65</v>
      </c>
      <c r="G3726" t="s">
        <v>66</v>
      </c>
      <c r="H3726" t="s">
        <v>67</v>
      </c>
      <c r="S3726">
        <v>0</v>
      </c>
      <c r="T3726">
        <v>1</v>
      </c>
      <c r="U3726">
        <v>0</v>
      </c>
      <c r="V3726">
        <v>0</v>
      </c>
      <c r="W3726">
        <v>0</v>
      </c>
      <c r="X3726">
        <v>1</v>
      </c>
      <c r="Y3726">
        <v>0</v>
      </c>
      <c r="Z3726">
        <v>1</v>
      </c>
      <c r="AA3726">
        <v>0</v>
      </c>
      <c r="AB3726">
        <v>0</v>
      </c>
      <c r="AC3726">
        <v>1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</row>
    <row r="3727" spans="1:39" x14ac:dyDescent="0.2">
      <c r="A3727" t="str">
        <f>"3723"</f>
        <v>3723</v>
      </c>
      <c r="B3727" t="str">
        <f t="shared" si="206"/>
        <v>1</v>
      </c>
      <c r="C3727" t="str">
        <f t="shared" si="207"/>
        <v>75</v>
      </c>
      <c r="D3727" t="str">
        <f>"35"</f>
        <v>35</v>
      </c>
      <c r="E3727" t="str">
        <f>"1-75-35"</f>
        <v>1-75-35</v>
      </c>
      <c r="F3727" t="s">
        <v>65</v>
      </c>
      <c r="G3727" t="s">
        <v>66</v>
      </c>
      <c r="H3727" t="s">
        <v>67</v>
      </c>
      <c r="S3727">
        <v>0</v>
      </c>
      <c r="T3727">
        <v>1</v>
      </c>
      <c r="U3727">
        <v>0</v>
      </c>
      <c r="V3727">
        <v>0</v>
      </c>
      <c r="W3727">
        <v>1</v>
      </c>
      <c r="X3727">
        <v>0</v>
      </c>
      <c r="Y3727">
        <v>0</v>
      </c>
      <c r="Z3727">
        <v>1</v>
      </c>
      <c r="AA3727">
        <v>0</v>
      </c>
      <c r="AB3727">
        <v>1</v>
      </c>
      <c r="AC3727">
        <v>0</v>
      </c>
      <c r="AD3727">
        <v>1</v>
      </c>
      <c r="AE3727">
        <v>1</v>
      </c>
      <c r="AF3727">
        <v>1</v>
      </c>
      <c r="AG3727">
        <v>1</v>
      </c>
      <c r="AH3727">
        <v>1</v>
      </c>
      <c r="AI3727">
        <v>1</v>
      </c>
      <c r="AJ3727">
        <v>1</v>
      </c>
      <c r="AK3727">
        <v>1</v>
      </c>
      <c r="AL3727">
        <v>0</v>
      </c>
      <c r="AM3727">
        <v>1</v>
      </c>
    </row>
    <row r="3728" spans="1:39" x14ac:dyDescent="0.2">
      <c r="A3728" t="str">
        <f>"3724"</f>
        <v>3724</v>
      </c>
      <c r="B3728" t="str">
        <f t="shared" si="206"/>
        <v>1</v>
      </c>
      <c r="C3728" t="str">
        <f t="shared" si="207"/>
        <v>75</v>
      </c>
      <c r="D3728" t="str">
        <f>"21"</f>
        <v>21</v>
      </c>
      <c r="E3728" t="str">
        <f>"1-75-21"</f>
        <v>1-75-21</v>
      </c>
      <c r="F3728" t="s">
        <v>65</v>
      </c>
      <c r="G3728" t="s">
        <v>66</v>
      </c>
      <c r="H3728" t="s">
        <v>67</v>
      </c>
      <c r="S3728">
        <v>1</v>
      </c>
      <c r="T3728">
        <v>0</v>
      </c>
      <c r="U3728">
        <v>0</v>
      </c>
      <c r="V3728">
        <v>0</v>
      </c>
      <c r="W3728">
        <v>0</v>
      </c>
      <c r="X3728">
        <v>1</v>
      </c>
      <c r="Y3728">
        <v>0</v>
      </c>
      <c r="Z3728">
        <v>1</v>
      </c>
      <c r="AA3728">
        <v>0</v>
      </c>
      <c r="AB3728">
        <v>0</v>
      </c>
      <c r="AC3728">
        <v>1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1</v>
      </c>
      <c r="AJ3728">
        <v>0</v>
      </c>
      <c r="AK3728">
        <v>0</v>
      </c>
      <c r="AL3728">
        <v>0</v>
      </c>
      <c r="AM3728">
        <v>0</v>
      </c>
    </row>
    <row r="3729" spans="1:39" x14ac:dyDescent="0.2">
      <c r="A3729" t="str">
        <f>"3725"</f>
        <v>3725</v>
      </c>
      <c r="B3729" t="str">
        <f t="shared" si="206"/>
        <v>1</v>
      </c>
      <c r="C3729" t="str">
        <f t="shared" si="207"/>
        <v>75</v>
      </c>
      <c r="D3729" t="str">
        <f>"12"</f>
        <v>12</v>
      </c>
      <c r="E3729" t="str">
        <f>"1-75-12"</f>
        <v>1-75-12</v>
      </c>
      <c r="F3729" t="s">
        <v>65</v>
      </c>
      <c r="G3729" t="s">
        <v>66</v>
      </c>
      <c r="H3729" t="s">
        <v>67</v>
      </c>
      <c r="S3729">
        <v>0</v>
      </c>
      <c r="T3729">
        <v>0</v>
      </c>
      <c r="U3729">
        <v>0</v>
      </c>
      <c r="V3729">
        <v>0</v>
      </c>
      <c r="W3729">
        <v>1</v>
      </c>
      <c r="X3729">
        <v>0</v>
      </c>
      <c r="Y3729">
        <v>0</v>
      </c>
      <c r="Z3729">
        <v>1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1</v>
      </c>
    </row>
    <row r="3730" spans="1:39" x14ac:dyDescent="0.2">
      <c r="A3730" t="str">
        <f>"3726"</f>
        <v>3726</v>
      </c>
      <c r="B3730" t="str">
        <f t="shared" si="206"/>
        <v>1</v>
      </c>
      <c r="C3730" t="str">
        <f t="shared" si="207"/>
        <v>75</v>
      </c>
      <c r="D3730" t="str">
        <f>"42"</f>
        <v>42</v>
      </c>
      <c r="E3730" t="str">
        <f>"1-75-42"</f>
        <v>1-75-42</v>
      </c>
      <c r="F3730" t="s">
        <v>65</v>
      </c>
      <c r="G3730" t="s">
        <v>66</v>
      </c>
      <c r="H3730" t="s">
        <v>67</v>
      </c>
      <c r="S3730">
        <v>0</v>
      </c>
      <c r="T3730">
        <v>1</v>
      </c>
      <c r="U3730">
        <v>0</v>
      </c>
      <c r="V3730">
        <v>0</v>
      </c>
      <c r="W3730">
        <v>0</v>
      </c>
      <c r="X3730">
        <v>1</v>
      </c>
      <c r="Y3730">
        <v>0</v>
      </c>
      <c r="Z3730">
        <v>1</v>
      </c>
      <c r="AA3730">
        <v>0</v>
      </c>
      <c r="AB3730">
        <v>1</v>
      </c>
      <c r="AC3730">
        <v>0</v>
      </c>
      <c r="AD3730">
        <v>1</v>
      </c>
      <c r="AE3730">
        <v>1</v>
      </c>
      <c r="AF3730">
        <v>1</v>
      </c>
      <c r="AG3730">
        <v>1</v>
      </c>
      <c r="AH3730">
        <v>1</v>
      </c>
      <c r="AI3730">
        <v>1</v>
      </c>
      <c r="AJ3730">
        <v>1</v>
      </c>
      <c r="AK3730">
        <v>1</v>
      </c>
      <c r="AL3730">
        <v>1</v>
      </c>
      <c r="AM3730">
        <v>1</v>
      </c>
    </row>
    <row r="3731" spans="1:39" x14ac:dyDescent="0.2">
      <c r="A3731" t="str">
        <f>"3727"</f>
        <v>3727</v>
      </c>
      <c r="B3731" t="str">
        <f t="shared" si="206"/>
        <v>1</v>
      </c>
      <c r="C3731" t="str">
        <f t="shared" si="207"/>
        <v>75</v>
      </c>
      <c r="D3731" t="str">
        <f>"22"</f>
        <v>22</v>
      </c>
      <c r="E3731" t="str">
        <f>"1-75-22"</f>
        <v>1-75-22</v>
      </c>
      <c r="F3731" t="s">
        <v>65</v>
      </c>
      <c r="G3731" t="s">
        <v>66</v>
      </c>
      <c r="H3731" t="s">
        <v>67</v>
      </c>
      <c r="S3731">
        <v>0</v>
      </c>
      <c r="T3731">
        <v>1</v>
      </c>
      <c r="U3731">
        <v>0</v>
      </c>
      <c r="V3731">
        <v>0</v>
      </c>
      <c r="W3731">
        <v>0</v>
      </c>
      <c r="X3731">
        <v>1</v>
      </c>
      <c r="Y3731">
        <v>0</v>
      </c>
      <c r="Z3731">
        <v>1</v>
      </c>
      <c r="AA3731">
        <v>0</v>
      </c>
      <c r="AB3731">
        <v>0</v>
      </c>
      <c r="AC3731">
        <v>1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</row>
    <row r="3732" spans="1:39" x14ac:dyDescent="0.2">
      <c r="A3732" t="str">
        <f>"3728"</f>
        <v>3728</v>
      </c>
      <c r="B3732" t="str">
        <f t="shared" si="206"/>
        <v>1</v>
      </c>
      <c r="C3732" t="str">
        <f t="shared" si="207"/>
        <v>75</v>
      </c>
      <c r="D3732" t="str">
        <f>"3"</f>
        <v>3</v>
      </c>
      <c r="E3732" t="str">
        <f>"1-75-3"</f>
        <v>1-75-3</v>
      </c>
      <c r="F3732" t="s">
        <v>65</v>
      </c>
      <c r="G3732" t="s">
        <v>66</v>
      </c>
      <c r="H3732" t="s">
        <v>67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</row>
    <row r="3733" spans="1:39" x14ac:dyDescent="0.2">
      <c r="A3733" t="str">
        <f>"3729"</f>
        <v>3729</v>
      </c>
      <c r="B3733" t="str">
        <f t="shared" si="206"/>
        <v>1</v>
      </c>
      <c r="C3733" t="str">
        <f t="shared" si="207"/>
        <v>75</v>
      </c>
      <c r="D3733" t="str">
        <f>"41"</f>
        <v>41</v>
      </c>
      <c r="E3733" t="str">
        <f>"1-75-41"</f>
        <v>1-75-41</v>
      </c>
      <c r="F3733" t="s">
        <v>65</v>
      </c>
      <c r="G3733" t="s">
        <v>66</v>
      </c>
      <c r="H3733" t="s">
        <v>67</v>
      </c>
      <c r="S3733">
        <v>1</v>
      </c>
      <c r="T3733">
        <v>0</v>
      </c>
      <c r="U3733">
        <v>0</v>
      </c>
      <c r="V3733">
        <v>0</v>
      </c>
      <c r="W3733">
        <v>1</v>
      </c>
      <c r="X3733">
        <v>0</v>
      </c>
      <c r="Y3733">
        <v>0</v>
      </c>
      <c r="Z3733">
        <v>1</v>
      </c>
      <c r="AA3733">
        <v>1</v>
      </c>
      <c r="AB3733">
        <v>0</v>
      </c>
      <c r="AC3733">
        <v>0</v>
      </c>
      <c r="AD3733">
        <v>1</v>
      </c>
      <c r="AE3733">
        <v>1</v>
      </c>
      <c r="AF3733">
        <v>1</v>
      </c>
      <c r="AG3733">
        <v>1</v>
      </c>
      <c r="AH3733">
        <v>1</v>
      </c>
      <c r="AI3733">
        <v>1</v>
      </c>
      <c r="AJ3733">
        <v>1</v>
      </c>
      <c r="AK3733">
        <v>1</v>
      </c>
      <c r="AL3733">
        <v>1</v>
      </c>
      <c r="AM3733">
        <v>1</v>
      </c>
    </row>
    <row r="3734" spans="1:39" x14ac:dyDescent="0.2">
      <c r="A3734" t="str">
        <f>"3730"</f>
        <v>3730</v>
      </c>
      <c r="B3734" t="str">
        <f t="shared" si="206"/>
        <v>1</v>
      </c>
      <c r="C3734" t="str">
        <f t="shared" si="207"/>
        <v>75</v>
      </c>
      <c r="D3734" t="str">
        <f>"23"</f>
        <v>23</v>
      </c>
      <c r="E3734" t="str">
        <f>"1-75-23"</f>
        <v>1-75-23</v>
      </c>
      <c r="F3734" t="s">
        <v>65</v>
      </c>
      <c r="G3734" t="s">
        <v>66</v>
      </c>
      <c r="H3734" t="s">
        <v>67</v>
      </c>
      <c r="S3734">
        <v>1</v>
      </c>
      <c r="T3734">
        <v>0</v>
      </c>
      <c r="U3734">
        <v>0</v>
      </c>
      <c r="V3734">
        <v>0</v>
      </c>
      <c r="W3734">
        <v>1</v>
      </c>
      <c r="X3734">
        <v>0</v>
      </c>
      <c r="Y3734">
        <v>0</v>
      </c>
      <c r="Z3734">
        <v>1</v>
      </c>
      <c r="AA3734">
        <v>0</v>
      </c>
      <c r="AB3734">
        <v>1</v>
      </c>
      <c r="AC3734">
        <v>0</v>
      </c>
      <c r="AD3734">
        <v>1</v>
      </c>
      <c r="AE3734">
        <v>1</v>
      </c>
      <c r="AF3734">
        <v>1</v>
      </c>
      <c r="AG3734">
        <v>1</v>
      </c>
      <c r="AH3734">
        <v>1</v>
      </c>
      <c r="AI3734">
        <v>1</v>
      </c>
      <c r="AJ3734">
        <v>1</v>
      </c>
      <c r="AK3734">
        <v>1</v>
      </c>
      <c r="AL3734">
        <v>1</v>
      </c>
      <c r="AM3734">
        <v>1</v>
      </c>
    </row>
    <row r="3735" spans="1:39" x14ac:dyDescent="0.2">
      <c r="A3735" t="str">
        <f>"3731"</f>
        <v>3731</v>
      </c>
      <c r="B3735" t="str">
        <f t="shared" si="206"/>
        <v>1</v>
      </c>
      <c r="C3735" t="str">
        <f t="shared" si="207"/>
        <v>75</v>
      </c>
      <c r="D3735" t="str">
        <f>"10"</f>
        <v>10</v>
      </c>
      <c r="E3735" t="str">
        <f>"1-75-10"</f>
        <v>1-75-10</v>
      </c>
      <c r="F3735" t="s">
        <v>65</v>
      </c>
      <c r="G3735" t="s">
        <v>66</v>
      </c>
      <c r="H3735" t="s">
        <v>67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</row>
    <row r="3736" spans="1:39" x14ac:dyDescent="0.2">
      <c r="A3736" t="str">
        <f>"3732"</f>
        <v>3732</v>
      </c>
      <c r="B3736" t="str">
        <f t="shared" si="206"/>
        <v>1</v>
      </c>
      <c r="C3736" t="str">
        <f t="shared" si="207"/>
        <v>75</v>
      </c>
      <c r="D3736" t="str">
        <f>"49"</f>
        <v>49</v>
      </c>
      <c r="E3736" t="str">
        <f>"1-75-49"</f>
        <v>1-75-49</v>
      </c>
      <c r="F3736" t="s">
        <v>65</v>
      </c>
      <c r="G3736" t="s">
        <v>66</v>
      </c>
      <c r="H3736" t="s">
        <v>68</v>
      </c>
      <c r="I3736">
        <v>1</v>
      </c>
      <c r="J3736">
        <v>0</v>
      </c>
      <c r="K3736">
        <v>0</v>
      </c>
      <c r="L3736">
        <v>1</v>
      </c>
      <c r="M3736">
        <v>1</v>
      </c>
      <c r="N3736">
        <v>1</v>
      </c>
      <c r="O3736">
        <v>1</v>
      </c>
      <c r="P3736">
        <v>1</v>
      </c>
      <c r="Q3736">
        <v>1</v>
      </c>
      <c r="R3736">
        <v>1</v>
      </c>
    </row>
    <row r="3737" spans="1:39" x14ac:dyDescent="0.2">
      <c r="A3737" t="str">
        <f>"3733"</f>
        <v>3733</v>
      </c>
      <c r="B3737" t="str">
        <f t="shared" si="206"/>
        <v>1</v>
      </c>
      <c r="C3737" t="str">
        <f t="shared" ref="C3737:C3754" si="208">"75"</f>
        <v>75</v>
      </c>
      <c r="D3737" t="str">
        <f>"24"</f>
        <v>24</v>
      </c>
      <c r="E3737" t="str">
        <f>"1-75-24"</f>
        <v>1-75-24</v>
      </c>
      <c r="F3737" t="s">
        <v>65</v>
      </c>
      <c r="G3737" t="s">
        <v>66</v>
      </c>
      <c r="H3737" t="s">
        <v>67</v>
      </c>
      <c r="S3737">
        <v>0</v>
      </c>
      <c r="T3737">
        <v>1</v>
      </c>
      <c r="U3737">
        <v>0</v>
      </c>
      <c r="V3737">
        <v>0</v>
      </c>
      <c r="W3737">
        <v>0</v>
      </c>
      <c r="X3737">
        <v>1</v>
      </c>
      <c r="Y3737">
        <v>0</v>
      </c>
      <c r="Z3737">
        <v>1</v>
      </c>
      <c r="AA3737">
        <v>1</v>
      </c>
      <c r="AB3737">
        <v>0</v>
      </c>
      <c r="AC3737">
        <v>0</v>
      </c>
      <c r="AD3737">
        <v>0</v>
      </c>
      <c r="AE3737">
        <v>1</v>
      </c>
      <c r="AF3737">
        <v>0</v>
      </c>
      <c r="AG3737">
        <v>1</v>
      </c>
      <c r="AH3737">
        <v>1</v>
      </c>
      <c r="AI3737">
        <v>1</v>
      </c>
      <c r="AJ3737">
        <v>1</v>
      </c>
      <c r="AK3737">
        <v>1</v>
      </c>
      <c r="AL3737">
        <v>1</v>
      </c>
      <c r="AM3737">
        <v>1</v>
      </c>
    </row>
    <row r="3738" spans="1:39" x14ac:dyDescent="0.2">
      <c r="A3738" t="str">
        <f>"3734"</f>
        <v>3734</v>
      </c>
      <c r="B3738" t="str">
        <f t="shared" si="206"/>
        <v>1</v>
      </c>
      <c r="C3738" t="str">
        <f t="shared" si="208"/>
        <v>75</v>
      </c>
      <c r="D3738" t="str">
        <f>"8"</f>
        <v>8</v>
      </c>
      <c r="E3738" t="str">
        <f>"1-75-8"</f>
        <v>1-75-8</v>
      </c>
      <c r="F3738" t="s">
        <v>65</v>
      </c>
      <c r="G3738" t="s">
        <v>66</v>
      </c>
      <c r="H3738" t="s">
        <v>67</v>
      </c>
      <c r="S3738">
        <v>0</v>
      </c>
      <c r="T3738">
        <v>1</v>
      </c>
      <c r="U3738">
        <v>0</v>
      </c>
      <c r="V3738">
        <v>0</v>
      </c>
      <c r="W3738">
        <v>0</v>
      </c>
      <c r="X3738">
        <v>1</v>
      </c>
      <c r="Y3738">
        <v>1</v>
      </c>
      <c r="Z3738">
        <v>0</v>
      </c>
      <c r="AA3738">
        <v>1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</row>
    <row r="3739" spans="1:39" x14ac:dyDescent="0.2">
      <c r="A3739" t="str">
        <f>"3735"</f>
        <v>3735</v>
      </c>
      <c r="B3739" t="str">
        <f t="shared" si="206"/>
        <v>1</v>
      </c>
      <c r="C3739" t="str">
        <f t="shared" si="208"/>
        <v>75</v>
      </c>
      <c r="D3739" t="str">
        <f>"45"</f>
        <v>45</v>
      </c>
      <c r="E3739" t="str">
        <f>"1-75-45"</f>
        <v>1-75-45</v>
      </c>
      <c r="F3739" t="s">
        <v>65</v>
      </c>
      <c r="G3739" t="s">
        <v>66</v>
      </c>
      <c r="H3739" t="s">
        <v>67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1</v>
      </c>
      <c r="Y3739">
        <v>0</v>
      </c>
      <c r="Z3739">
        <v>1</v>
      </c>
      <c r="AA3739">
        <v>0</v>
      </c>
      <c r="AB3739">
        <v>0</v>
      </c>
      <c r="AC3739">
        <v>1</v>
      </c>
      <c r="AD3739">
        <v>0</v>
      </c>
      <c r="AE3739">
        <v>0</v>
      </c>
      <c r="AF3739">
        <v>0</v>
      </c>
      <c r="AG3739">
        <v>0</v>
      </c>
      <c r="AH3739">
        <v>1</v>
      </c>
      <c r="AI3739">
        <v>1</v>
      </c>
      <c r="AJ3739">
        <v>0</v>
      </c>
      <c r="AK3739">
        <v>0</v>
      </c>
      <c r="AL3739">
        <v>1</v>
      </c>
      <c r="AM3739">
        <v>0</v>
      </c>
    </row>
    <row r="3740" spans="1:39" x14ac:dyDescent="0.2">
      <c r="A3740" t="str">
        <f>"3736"</f>
        <v>3736</v>
      </c>
      <c r="B3740" t="str">
        <f t="shared" si="206"/>
        <v>1</v>
      </c>
      <c r="C3740" t="str">
        <f t="shared" si="208"/>
        <v>75</v>
      </c>
      <c r="D3740" t="str">
        <f>"25"</f>
        <v>25</v>
      </c>
      <c r="E3740" t="str">
        <f>"1-75-25"</f>
        <v>1-75-25</v>
      </c>
      <c r="F3740" t="s">
        <v>65</v>
      </c>
      <c r="G3740" t="s">
        <v>66</v>
      </c>
      <c r="H3740" t="s">
        <v>67</v>
      </c>
      <c r="S3740">
        <v>0</v>
      </c>
      <c r="T3740">
        <v>1</v>
      </c>
      <c r="U3740">
        <v>0</v>
      </c>
      <c r="V3740">
        <v>0</v>
      </c>
      <c r="W3740">
        <v>1</v>
      </c>
      <c r="X3740">
        <v>0</v>
      </c>
      <c r="Y3740">
        <v>1</v>
      </c>
      <c r="Z3740">
        <v>0</v>
      </c>
      <c r="AA3740">
        <v>0</v>
      </c>
      <c r="AB3740">
        <v>0</v>
      </c>
      <c r="AC3740">
        <v>1</v>
      </c>
      <c r="AD3740">
        <v>1</v>
      </c>
      <c r="AE3740">
        <v>1</v>
      </c>
      <c r="AF3740">
        <v>1</v>
      </c>
      <c r="AG3740">
        <v>1</v>
      </c>
      <c r="AH3740">
        <v>1</v>
      </c>
      <c r="AI3740">
        <v>1</v>
      </c>
      <c r="AJ3740">
        <v>1</v>
      </c>
      <c r="AK3740">
        <v>1</v>
      </c>
      <c r="AL3740">
        <v>1</v>
      </c>
      <c r="AM3740">
        <v>1</v>
      </c>
    </row>
    <row r="3741" spans="1:39" x14ac:dyDescent="0.2">
      <c r="A3741" t="str">
        <f>"3737"</f>
        <v>3737</v>
      </c>
      <c r="B3741" t="str">
        <f t="shared" si="206"/>
        <v>1</v>
      </c>
      <c r="C3741" t="str">
        <f t="shared" si="208"/>
        <v>75</v>
      </c>
      <c r="D3741" t="str">
        <f>"5"</f>
        <v>5</v>
      </c>
      <c r="E3741" t="str">
        <f>"1-75-5"</f>
        <v>1-75-5</v>
      </c>
      <c r="F3741" t="s">
        <v>65</v>
      </c>
      <c r="G3741" t="s">
        <v>66</v>
      </c>
      <c r="H3741" t="s">
        <v>67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0</v>
      </c>
      <c r="AB3741">
        <v>0</v>
      </c>
      <c r="AC3741">
        <v>1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</row>
    <row r="3742" spans="1:39" x14ac:dyDescent="0.2">
      <c r="A3742" t="str">
        <f>"3738"</f>
        <v>3738</v>
      </c>
      <c r="B3742" t="str">
        <f t="shared" si="206"/>
        <v>1</v>
      </c>
      <c r="C3742" t="str">
        <f t="shared" si="208"/>
        <v>75</v>
      </c>
      <c r="D3742" t="str">
        <f>"47"</f>
        <v>47</v>
      </c>
      <c r="E3742" t="str">
        <f>"1-75-47"</f>
        <v>1-75-47</v>
      </c>
      <c r="F3742" t="s">
        <v>65</v>
      </c>
      <c r="G3742" t="s">
        <v>66</v>
      </c>
      <c r="H3742" t="s">
        <v>68</v>
      </c>
      <c r="I3742">
        <v>1</v>
      </c>
      <c r="J3742">
        <v>0</v>
      </c>
      <c r="K3742">
        <v>0</v>
      </c>
      <c r="L3742">
        <v>1</v>
      </c>
      <c r="M3742">
        <v>1</v>
      </c>
      <c r="N3742">
        <v>1</v>
      </c>
      <c r="O3742">
        <v>0</v>
      </c>
      <c r="P3742">
        <v>0</v>
      </c>
      <c r="Q3742">
        <v>0</v>
      </c>
      <c r="R3742">
        <v>0</v>
      </c>
    </row>
    <row r="3743" spans="1:39" x14ac:dyDescent="0.2">
      <c r="A3743" t="str">
        <f>"3739"</f>
        <v>3739</v>
      </c>
      <c r="B3743" t="str">
        <f t="shared" si="206"/>
        <v>1</v>
      </c>
      <c r="C3743" t="str">
        <f t="shared" si="208"/>
        <v>75</v>
      </c>
      <c r="D3743" t="str">
        <f>"26"</f>
        <v>26</v>
      </c>
      <c r="E3743" t="str">
        <f>"1-75-26"</f>
        <v>1-75-26</v>
      </c>
      <c r="F3743" t="s">
        <v>65</v>
      </c>
      <c r="G3743" t="s">
        <v>66</v>
      </c>
      <c r="H3743" t="s">
        <v>67</v>
      </c>
      <c r="S3743">
        <v>1</v>
      </c>
      <c r="T3743">
        <v>0</v>
      </c>
      <c r="U3743">
        <v>0</v>
      </c>
      <c r="V3743">
        <v>0</v>
      </c>
      <c r="W3743">
        <v>1</v>
      </c>
      <c r="X3743">
        <v>0</v>
      </c>
      <c r="Y3743">
        <v>1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1</v>
      </c>
      <c r="AF3743">
        <v>1</v>
      </c>
      <c r="AG3743">
        <v>1</v>
      </c>
      <c r="AH3743">
        <v>1</v>
      </c>
      <c r="AI3743">
        <v>1</v>
      </c>
      <c r="AJ3743">
        <v>1</v>
      </c>
      <c r="AK3743">
        <v>1</v>
      </c>
      <c r="AL3743">
        <v>1</v>
      </c>
      <c r="AM3743">
        <v>1</v>
      </c>
    </row>
    <row r="3744" spans="1:39" x14ac:dyDescent="0.2">
      <c r="A3744" t="str">
        <f>"3740"</f>
        <v>3740</v>
      </c>
      <c r="B3744" t="str">
        <f t="shared" si="206"/>
        <v>1</v>
      </c>
      <c r="C3744" t="str">
        <f t="shared" si="208"/>
        <v>75</v>
      </c>
      <c r="D3744" t="str">
        <f>"14"</f>
        <v>14</v>
      </c>
      <c r="E3744" t="str">
        <f>"1-75-14"</f>
        <v>1-75-14</v>
      </c>
      <c r="F3744" t="s">
        <v>65</v>
      </c>
      <c r="G3744" t="s">
        <v>66</v>
      </c>
      <c r="H3744" t="s">
        <v>67</v>
      </c>
      <c r="S3744">
        <v>1</v>
      </c>
      <c r="T3744">
        <v>0</v>
      </c>
      <c r="U3744">
        <v>0</v>
      </c>
      <c r="V3744">
        <v>0</v>
      </c>
      <c r="W3744">
        <v>1</v>
      </c>
      <c r="X3744">
        <v>0</v>
      </c>
      <c r="Y3744">
        <v>0</v>
      </c>
      <c r="Z3744">
        <v>1</v>
      </c>
      <c r="AA3744">
        <v>1</v>
      </c>
      <c r="AB3744">
        <v>0</v>
      </c>
      <c r="AC3744">
        <v>0</v>
      </c>
      <c r="AD3744">
        <v>1</v>
      </c>
      <c r="AE3744">
        <v>1</v>
      </c>
      <c r="AF3744">
        <v>1</v>
      </c>
      <c r="AG3744">
        <v>1</v>
      </c>
      <c r="AH3744">
        <v>1</v>
      </c>
      <c r="AI3744">
        <v>1</v>
      </c>
      <c r="AJ3744">
        <v>1</v>
      </c>
      <c r="AK3744">
        <v>1</v>
      </c>
      <c r="AL3744">
        <v>1</v>
      </c>
      <c r="AM3744">
        <v>1</v>
      </c>
    </row>
    <row r="3745" spans="1:39" x14ac:dyDescent="0.2">
      <c r="A3745" t="str">
        <f>"3741"</f>
        <v>3741</v>
      </c>
      <c r="B3745" t="str">
        <f t="shared" si="206"/>
        <v>1</v>
      </c>
      <c r="C3745" t="str">
        <f t="shared" si="208"/>
        <v>75</v>
      </c>
      <c r="D3745" t="str">
        <f>"46"</f>
        <v>46</v>
      </c>
      <c r="E3745" t="str">
        <f>"1-75-46"</f>
        <v>1-75-46</v>
      </c>
      <c r="F3745" t="s">
        <v>65</v>
      </c>
      <c r="G3745" t="s">
        <v>66</v>
      </c>
      <c r="H3745" t="s">
        <v>67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0</v>
      </c>
      <c r="AB3745">
        <v>1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</row>
    <row r="3746" spans="1:39" x14ac:dyDescent="0.2">
      <c r="A3746" t="str">
        <f>"3742"</f>
        <v>3742</v>
      </c>
      <c r="B3746" t="str">
        <f t="shared" si="206"/>
        <v>1</v>
      </c>
      <c r="C3746" t="str">
        <f t="shared" si="208"/>
        <v>75</v>
      </c>
      <c r="D3746" t="str">
        <f>"28"</f>
        <v>28</v>
      </c>
      <c r="E3746" t="str">
        <f>"1-75-28"</f>
        <v>1-75-28</v>
      </c>
      <c r="F3746" t="s">
        <v>65</v>
      </c>
      <c r="G3746" t="s">
        <v>66</v>
      </c>
      <c r="H3746" t="s">
        <v>67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1</v>
      </c>
      <c r="Y3746">
        <v>1</v>
      </c>
      <c r="Z3746">
        <v>0</v>
      </c>
      <c r="AA3746">
        <v>0</v>
      </c>
      <c r="AB3746">
        <v>0</v>
      </c>
      <c r="AC3746">
        <v>0</v>
      </c>
      <c r="AD3746">
        <v>1</v>
      </c>
      <c r="AE3746">
        <v>1</v>
      </c>
      <c r="AF3746">
        <v>1</v>
      </c>
      <c r="AG3746">
        <v>1</v>
      </c>
      <c r="AH3746">
        <v>1</v>
      </c>
      <c r="AI3746">
        <v>1</v>
      </c>
      <c r="AJ3746">
        <v>1</v>
      </c>
      <c r="AK3746">
        <v>1</v>
      </c>
      <c r="AL3746">
        <v>1</v>
      </c>
      <c r="AM3746">
        <v>1</v>
      </c>
    </row>
    <row r="3747" spans="1:39" x14ac:dyDescent="0.2">
      <c r="A3747" t="str">
        <f>"3743"</f>
        <v>3743</v>
      </c>
      <c r="B3747" t="str">
        <f t="shared" si="206"/>
        <v>1</v>
      </c>
      <c r="C3747" t="str">
        <f t="shared" si="208"/>
        <v>75</v>
      </c>
      <c r="D3747" t="str">
        <f>"11"</f>
        <v>11</v>
      </c>
      <c r="E3747" t="str">
        <f>"1-75-11"</f>
        <v>1-75-11</v>
      </c>
      <c r="F3747" t="s">
        <v>65</v>
      </c>
      <c r="G3747" t="s">
        <v>66</v>
      </c>
      <c r="H3747" t="s">
        <v>67</v>
      </c>
      <c r="S3747">
        <v>0</v>
      </c>
      <c r="T3747">
        <v>0</v>
      </c>
      <c r="U3747">
        <v>0</v>
      </c>
      <c r="V3747">
        <v>0</v>
      </c>
      <c r="W3747">
        <v>1</v>
      </c>
      <c r="X3747">
        <v>0</v>
      </c>
      <c r="Y3747">
        <v>0</v>
      </c>
      <c r="Z3747">
        <v>1</v>
      </c>
      <c r="AA3747">
        <v>0</v>
      </c>
      <c r="AB3747">
        <v>0</v>
      </c>
      <c r="AC3747">
        <v>1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</row>
    <row r="3748" spans="1:39" x14ac:dyDescent="0.2">
      <c r="A3748" t="str">
        <f>"3744"</f>
        <v>3744</v>
      </c>
      <c r="B3748" t="str">
        <f t="shared" si="206"/>
        <v>1</v>
      </c>
      <c r="C3748" t="str">
        <f t="shared" si="208"/>
        <v>75</v>
      </c>
      <c r="D3748" t="str">
        <f>"50"</f>
        <v>50</v>
      </c>
      <c r="E3748" t="str">
        <f>"1-75-50"</f>
        <v>1-75-50</v>
      </c>
      <c r="F3748" t="s">
        <v>65</v>
      </c>
      <c r="G3748" t="s">
        <v>66</v>
      </c>
      <c r="H3748" t="s">
        <v>67</v>
      </c>
      <c r="S3748">
        <v>1</v>
      </c>
      <c r="T3748">
        <v>0</v>
      </c>
      <c r="U3748">
        <v>0</v>
      </c>
      <c r="V3748">
        <v>0</v>
      </c>
      <c r="W3748">
        <v>1</v>
      </c>
      <c r="X3748">
        <v>0</v>
      </c>
      <c r="Y3748">
        <v>0</v>
      </c>
      <c r="Z3748">
        <v>1</v>
      </c>
      <c r="AA3748">
        <v>0</v>
      </c>
      <c r="AB3748">
        <v>0</v>
      </c>
      <c r="AC3748">
        <v>1</v>
      </c>
      <c r="AD3748">
        <v>1</v>
      </c>
      <c r="AE3748">
        <v>1</v>
      </c>
      <c r="AF3748">
        <v>1</v>
      </c>
      <c r="AG3748">
        <v>1</v>
      </c>
      <c r="AH3748">
        <v>1</v>
      </c>
      <c r="AI3748">
        <v>1</v>
      </c>
      <c r="AJ3748">
        <v>1</v>
      </c>
      <c r="AK3748">
        <v>1</v>
      </c>
      <c r="AL3748">
        <v>1</v>
      </c>
      <c r="AM3748">
        <v>0</v>
      </c>
    </row>
    <row r="3749" spans="1:39" x14ac:dyDescent="0.2">
      <c r="A3749" t="str">
        <f>"3745"</f>
        <v>3745</v>
      </c>
      <c r="B3749" t="str">
        <f t="shared" si="206"/>
        <v>1</v>
      </c>
      <c r="C3749" t="str">
        <f t="shared" si="208"/>
        <v>75</v>
      </c>
      <c r="D3749" t="str">
        <f>"29"</f>
        <v>29</v>
      </c>
      <c r="E3749" t="str">
        <f>"1-75-29"</f>
        <v>1-75-29</v>
      </c>
      <c r="F3749" t="s">
        <v>65</v>
      </c>
      <c r="G3749" t="s">
        <v>66</v>
      </c>
      <c r="H3749" t="s">
        <v>67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1</v>
      </c>
      <c r="Y3749">
        <v>0</v>
      </c>
      <c r="Z3749">
        <v>1</v>
      </c>
      <c r="AA3749">
        <v>0</v>
      </c>
      <c r="AB3749">
        <v>0</v>
      </c>
      <c r="AC3749">
        <v>1</v>
      </c>
      <c r="AD3749">
        <v>1</v>
      </c>
      <c r="AE3749">
        <v>1</v>
      </c>
      <c r="AF3749">
        <v>1</v>
      </c>
      <c r="AG3749">
        <v>1</v>
      </c>
      <c r="AH3749">
        <v>1</v>
      </c>
      <c r="AI3749">
        <v>1</v>
      </c>
      <c r="AJ3749">
        <v>1</v>
      </c>
      <c r="AK3749">
        <v>1</v>
      </c>
      <c r="AL3749">
        <v>1</v>
      </c>
      <c r="AM3749">
        <v>1</v>
      </c>
    </row>
    <row r="3750" spans="1:39" x14ac:dyDescent="0.2">
      <c r="A3750" t="str">
        <f>"3746"</f>
        <v>3746</v>
      </c>
      <c r="B3750" t="str">
        <f t="shared" si="206"/>
        <v>1</v>
      </c>
      <c r="C3750" t="str">
        <f t="shared" si="208"/>
        <v>75</v>
      </c>
      <c r="D3750" t="str">
        <f>"4"</f>
        <v>4</v>
      </c>
      <c r="E3750" t="str">
        <f>"1-75-4"</f>
        <v>1-75-4</v>
      </c>
      <c r="F3750" t="s">
        <v>65</v>
      </c>
      <c r="G3750" t="s">
        <v>66</v>
      </c>
      <c r="H3750" t="s">
        <v>67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0</v>
      </c>
      <c r="AB3750">
        <v>1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</row>
    <row r="3751" spans="1:39" x14ac:dyDescent="0.2">
      <c r="A3751" t="str">
        <f>"3747"</f>
        <v>3747</v>
      </c>
      <c r="B3751" t="str">
        <f t="shared" si="206"/>
        <v>1</v>
      </c>
      <c r="C3751" t="str">
        <f t="shared" si="208"/>
        <v>75</v>
      </c>
      <c r="D3751" t="str">
        <f>"48"</f>
        <v>48</v>
      </c>
      <c r="E3751" t="str">
        <f>"1-75-48"</f>
        <v>1-75-48</v>
      </c>
      <c r="F3751" t="s">
        <v>65</v>
      </c>
      <c r="G3751" t="s">
        <v>66</v>
      </c>
      <c r="H3751" t="s">
        <v>68</v>
      </c>
      <c r="I3751">
        <v>1</v>
      </c>
      <c r="J3751">
        <v>0</v>
      </c>
      <c r="K3751">
        <v>0</v>
      </c>
      <c r="L3751">
        <v>1</v>
      </c>
      <c r="M3751">
        <v>1</v>
      </c>
      <c r="N3751">
        <v>1</v>
      </c>
      <c r="O3751">
        <v>1</v>
      </c>
      <c r="P3751">
        <v>1</v>
      </c>
      <c r="Q3751">
        <v>1</v>
      </c>
      <c r="R3751">
        <v>1</v>
      </c>
    </row>
    <row r="3752" spans="1:39" x14ac:dyDescent="0.2">
      <c r="A3752" t="str">
        <f>"3748"</f>
        <v>3748</v>
      </c>
      <c r="B3752" t="str">
        <f t="shared" si="206"/>
        <v>1</v>
      </c>
      <c r="C3752" t="str">
        <f t="shared" si="208"/>
        <v>75</v>
      </c>
      <c r="D3752" t="str">
        <f>"32"</f>
        <v>32</v>
      </c>
      <c r="E3752" t="str">
        <f>"1-75-32"</f>
        <v>1-75-32</v>
      </c>
      <c r="F3752" t="s">
        <v>65</v>
      </c>
      <c r="G3752" t="s">
        <v>66</v>
      </c>
      <c r="H3752" t="s">
        <v>67</v>
      </c>
      <c r="S3752">
        <v>1</v>
      </c>
      <c r="T3752">
        <v>0</v>
      </c>
      <c r="U3752">
        <v>0</v>
      </c>
      <c r="V3752">
        <v>0</v>
      </c>
      <c r="W3752">
        <v>1</v>
      </c>
      <c r="X3752">
        <v>0</v>
      </c>
      <c r="Y3752">
        <v>1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1</v>
      </c>
      <c r="AF3752">
        <v>1</v>
      </c>
      <c r="AG3752">
        <v>1</v>
      </c>
      <c r="AH3752">
        <v>1</v>
      </c>
      <c r="AI3752">
        <v>1</v>
      </c>
      <c r="AJ3752">
        <v>1</v>
      </c>
      <c r="AK3752">
        <v>1</v>
      </c>
      <c r="AL3752">
        <v>1</v>
      </c>
      <c r="AM3752">
        <v>1</v>
      </c>
    </row>
    <row r="3753" spans="1:39" x14ac:dyDescent="0.2">
      <c r="A3753" t="str">
        <f>"3749"</f>
        <v>3749</v>
      </c>
      <c r="B3753" t="str">
        <f t="shared" si="206"/>
        <v>1</v>
      </c>
      <c r="C3753" t="str">
        <f t="shared" si="208"/>
        <v>75</v>
      </c>
      <c r="D3753" t="str">
        <f>"7"</f>
        <v>7</v>
      </c>
      <c r="E3753" t="str">
        <f>"1-75-7"</f>
        <v>1-75-7</v>
      </c>
      <c r="F3753" t="s">
        <v>65</v>
      </c>
      <c r="G3753" t="s">
        <v>66</v>
      </c>
      <c r="H3753" t="s">
        <v>67</v>
      </c>
      <c r="S3753">
        <v>0</v>
      </c>
      <c r="T3753">
        <v>1</v>
      </c>
      <c r="U3753">
        <v>0</v>
      </c>
      <c r="V3753">
        <v>0</v>
      </c>
      <c r="W3753">
        <v>0</v>
      </c>
      <c r="X3753">
        <v>1</v>
      </c>
      <c r="Y3753">
        <v>1</v>
      </c>
      <c r="Z3753">
        <v>0</v>
      </c>
      <c r="AA3753">
        <v>1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</row>
    <row r="3754" spans="1:39" x14ac:dyDescent="0.2">
      <c r="A3754" t="str">
        <f>"3750"</f>
        <v>3750</v>
      </c>
      <c r="B3754" t="str">
        <f t="shared" si="206"/>
        <v>1</v>
      </c>
      <c r="C3754" t="str">
        <f t="shared" si="208"/>
        <v>75</v>
      </c>
      <c r="D3754" t="str">
        <f>"2"</f>
        <v>2</v>
      </c>
      <c r="E3754" t="str">
        <f>"1-75-2"</f>
        <v>1-75-2</v>
      </c>
      <c r="F3754" t="s">
        <v>65</v>
      </c>
      <c r="G3754" t="s">
        <v>66</v>
      </c>
      <c r="H3754" t="s">
        <v>67</v>
      </c>
      <c r="S3754">
        <v>1</v>
      </c>
      <c r="T3754">
        <v>0</v>
      </c>
      <c r="U3754">
        <v>0</v>
      </c>
      <c r="V3754">
        <v>0</v>
      </c>
      <c r="W3754">
        <v>1</v>
      </c>
      <c r="X3754">
        <v>0</v>
      </c>
      <c r="Y3754">
        <v>0</v>
      </c>
      <c r="Z3754">
        <v>1</v>
      </c>
      <c r="AA3754">
        <v>1</v>
      </c>
      <c r="AB3754">
        <v>0</v>
      </c>
      <c r="AC3754">
        <v>0</v>
      </c>
      <c r="AD3754">
        <v>1</v>
      </c>
      <c r="AE3754">
        <v>1</v>
      </c>
      <c r="AF3754">
        <v>1</v>
      </c>
      <c r="AG3754">
        <v>1</v>
      </c>
      <c r="AH3754">
        <v>1</v>
      </c>
      <c r="AI3754">
        <v>1</v>
      </c>
      <c r="AJ3754">
        <v>1</v>
      </c>
      <c r="AK3754">
        <v>1</v>
      </c>
      <c r="AL3754">
        <v>1</v>
      </c>
      <c r="AM3754">
        <v>1</v>
      </c>
    </row>
    <row r="3755" spans="1:39" x14ac:dyDescent="0.2">
      <c r="A3755" t="str">
        <f>"3751"</f>
        <v>3751</v>
      </c>
      <c r="B3755" t="str">
        <f t="shared" si="206"/>
        <v>1</v>
      </c>
      <c r="C3755" t="str">
        <f t="shared" ref="C3755:C3786" si="209">"76"</f>
        <v>76</v>
      </c>
      <c r="D3755" t="str">
        <f>"41"</f>
        <v>41</v>
      </c>
      <c r="E3755" t="str">
        <f>"1-76-41"</f>
        <v>1-76-41</v>
      </c>
      <c r="F3755" t="s">
        <v>65</v>
      </c>
      <c r="G3755" t="s">
        <v>66</v>
      </c>
      <c r="H3755" t="s">
        <v>68</v>
      </c>
      <c r="I3755">
        <v>0</v>
      </c>
      <c r="J3755">
        <v>0</v>
      </c>
      <c r="K3755">
        <v>0</v>
      </c>
      <c r="L3755">
        <v>1</v>
      </c>
      <c r="M3755">
        <v>1</v>
      </c>
      <c r="N3755">
        <v>1</v>
      </c>
      <c r="O3755">
        <v>1</v>
      </c>
      <c r="P3755">
        <v>1</v>
      </c>
      <c r="Q3755">
        <v>1</v>
      </c>
      <c r="R3755">
        <v>1</v>
      </c>
    </row>
    <row r="3756" spans="1:39" x14ac:dyDescent="0.2">
      <c r="A3756" t="str">
        <f>"3752"</f>
        <v>3752</v>
      </c>
      <c r="B3756" t="str">
        <f t="shared" si="206"/>
        <v>1</v>
      </c>
      <c r="C3756" t="str">
        <f t="shared" si="209"/>
        <v>76</v>
      </c>
      <c r="D3756" t="str">
        <f>"40"</f>
        <v>40</v>
      </c>
      <c r="E3756" t="str">
        <f>"1-76-40"</f>
        <v>1-76-40</v>
      </c>
      <c r="F3756" t="s">
        <v>65</v>
      </c>
      <c r="G3756" t="s">
        <v>66</v>
      </c>
      <c r="H3756" t="s">
        <v>67</v>
      </c>
      <c r="S3756">
        <v>1</v>
      </c>
      <c r="T3756">
        <v>0</v>
      </c>
      <c r="U3756">
        <v>0</v>
      </c>
      <c r="V3756">
        <v>0</v>
      </c>
      <c r="W3756">
        <v>1</v>
      </c>
      <c r="X3756">
        <v>0</v>
      </c>
      <c r="Y3756">
        <v>0</v>
      </c>
      <c r="Z3756">
        <v>1</v>
      </c>
      <c r="AA3756">
        <v>0</v>
      </c>
      <c r="AB3756">
        <v>0</v>
      </c>
      <c r="AC3756">
        <v>1</v>
      </c>
      <c r="AD3756">
        <v>1</v>
      </c>
      <c r="AE3756">
        <v>1</v>
      </c>
      <c r="AF3756">
        <v>1</v>
      </c>
      <c r="AG3756">
        <v>1</v>
      </c>
      <c r="AH3756">
        <v>1</v>
      </c>
      <c r="AI3756">
        <v>1</v>
      </c>
      <c r="AJ3756">
        <v>1</v>
      </c>
      <c r="AK3756">
        <v>1</v>
      </c>
      <c r="AL3756">
        <v>1</v>
      </c>
      <c r="AM3756">
        <v>1</v>
      </c>
    </row>
    <row r="3757" spans="1:39" x14ac:dyDescent="0.2">
      <c r="A3757" t="str">
        <f>"3753"</f>
        <v>3753</v>
      </c>
      <c r="B3757" t="str">
        <f t="shared" si="206"/>
        <v>1</v>
      </c>
      <c r="C3757" t="str">
        <f t="shared" si="209"/>
        <v>76</v>
      </c>
      <c r="D3757" t="str">
        <f>"33"</f>
        <v>33</v>
      </c>
      <c r="E3757" t="str">
        <f>"1-76-33"</f>
        <v>1-76-33</v>
      </c>
      <c r="F3757" t="s">
        <v>65</v>
      </c>
      <c r="G3757" t="s">
        <v>66</v>
      </c>
      <c r="H3757" t="s">
        <v>67</v>
      </c>
      <c r="S3757">
        <v>0</v>
      </c>
      <c r="T3757">
        <v>0</v>
      </c>
      <c r="U3757">
        <v>0</v>
      </c>
      <c r="V3757">
        <v>0</v>
      </c>
      <c r="W3757">
        <v>1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1</v>
      </c>
      <c r="AD3757">
        <v>0</v>
      </c>
      <c r="AE3757">
        <v>0</v>
      </c>
      <c r="AF3757">
        <v>0</v>
      </c>
      <c r="AG3757">
        <v>1</v>
      </c>
      <c r="AH3757">
        <v>1</v>
      </c>
      <c r="AI3757">
        <v>0</v>
      </c>
      <c r="AJ3757">
        <v>0</v>
      </c>
      <c r="AK3757">
        <v>0</v>
      </c>
      <c r="AL3757">
        <v>1</v>
      </c>
      <c r="AM3757">
        <v>0</v>
      </c>
    </row>
    <row r="3758" spans="1:39" x14ac:dyDescent="0.2">
      <c r="A3758" t="str">
        <f>"3754"</f>
        <v>3754</v>
      </c>
      <c r="B3758" t="str">
        <f t="shared" si="206"/>
        <v>1</v>
      </c>
      <c r="C3758" t="str">
        <f t="shared" si="209"/>
        <v>76</v>
      </c>
      <c r="D3758" t="str">
        <f>"32"</f>
        <v>32</v>
      </c>
      <c r="E3758" t="str">
        <f>"1-76-32"</f>
        <v>1-76-32</v>
      </c>
      <c r="F3758" t="s">
        <v>65</v>
      </c>
      <c r="G3758" t="s">
        <v>66</v>
      </c>
      <c r="H3758" t="s">
        <v>67</v>
      </c>
      <c r="S3758">
        <v>1</v>
      </c>
      <c r="T3758">
        <v>0</v>
      </c>
      <c r="U3758">
        <v>0</v>
      </c>
      <c r="V3758">
        <v>0</v>
      </c>
      <c r="W3758">
        <v>1</v>
      </c>
      <c r="X3758">
        <v>0</v>
      </c>
      <c r="Y3758">
        <v>1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1</v>
      </c>
      <c r="AF3758">
        <v>1</v>
      </c>
      <c r="AG3758">
        <v>1</v>
      </c>
      <c r="AH3758">
        <v>1</v>
      </c>
      <c r="AI3758">
        <v>1</v>
      </c>
      <c r="AJ3758">
        <v>1</v>
      </c>
      <c r="AK3758">
        <v>1</v>
      </c>
      <c r="AL3758">
        <v>1</v>
      </c>
      <c r="AM3758">
        <v>1</v>
      </c>
    </row>
    <row r="3759" spans="1:39" x14ac:dyDescent="0.2">
      <c r="A3759" t="str">
        <f>"3755"</f>
        <v>3755</v>
      </c>
      <c r="B3759" t="str">
        <f t="shared" si="206"/>
        <v>1</v>
      </c>
      <c r="C3759" t="str">
        <f t="shared" si="209"/>
        <v>76</v>
      </c>
      <c r="D3759" t="str">
        <f>"21"</f>
        <v>21</v>
      </c>
      <c r="E3759" t="str">
        <f>"1-76-21"</f>
        <v>1-76-21</v>
      </c>
      <c r="F3759" t="s">
        <v>65</v>
      </c>
      <c r="G3759" t="s">
        <v>66</v>
      </c>
      <c r="H3759" t="s">
        <v>67</v>
      </c>
      <c r="S3759">
        <v>0</v>
      </c>
      <c r="T3759">
        <v>1</v>
      </c>
      <c r="U3759">
        <v>0</v>
      </c>
      <c r="V3759">
        <v>0</v>
      </c>
      <c r="W3759">
        <v>0</v>
      </c>
      <c r="X3759">
        <v>1</v>
      </c>
      <c r="Y3759">
        <v>0</v>
      </c>
      <c r="Z3759">
        <v>1</v>
      </c>
      <c r="AA3759">
        <v>0</v>
      </c>
      <c r="AB3759">
        <v>0</v>
      </c>
      <c r="AC3759">
        <v>1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</row>
    <row r="3760" spans="1:39" x14ac:dyDescent="0.2">
      <c r="A3760" t="str">
        <f>"3756"</f>
        <v>3756</v>
      </c>
      <c r="B3760" t="str">
        <f t="shared" si="206"/>
        <v>1</v>
      </c>
      <c r="C3760" t="str">
        <f t="shared" si="209"/>
        <v>76</v>
      </c>
      <c r="D3760" t="str">
        <f>"20"</f>
        <v>20</v>
      </c>
      <c r="E3760" t="str">
        <f>"1-76-20"</f>
        <v>1-76-20</v>
      </c>
      <c r="F3760" t="s">
        <v>65</v>
      </c>
      <c r="G3760" t="s">
        <v>66</v>
      </c>
      <c r="H3760" t="s">
        <v>67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1</v>
      </c>
      <c r="Y3760">
        <v>1</v>
      </c>
      <c r="Z3760">
        <v>0</v>
      </c>
      <c r="AA3760">
        <v>0</v>
      </c>
      <c r="AB3760">
        <v>0</v>
      </c>
      <c r="AC3760">
        <v>1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</row>
    <row r="3761" spans="1:39" x14ac:dyDescent="0.2">
      <c r="A3761" t="str">
        <f>"3757"</f>
        <v>3757</v>
      </c>
      <c r="B3761" t="str">
        <f t="shared" si="206"/>
        <v>1</v>
      </c>
      <c r="C3761" t="str">
        <f t="shared" si="209"/>
        <v>76</v>
      </c>
      <c r="D3761" t="str">
        <f>"17"</f>
        <v>17</v>
      </c>
      <c r="E3761" t="str">
        <f>"1-76-17"</f>
        <v>1-76-17</v>
      </c>
      <c r="F3761" t="s">
        <v>65</v>
      </c>
      <c r="G3761" t="s">
        <v>66</v>
      </c>
      <c r="H3761" t="s">
        <v>67</v>
      </c>
      <c r="S3761">
        <v>0</v>
      </c>
      <c r="T3761">
        <v>1</v>
      </c>
      <c r="U3761">
        <v>0</v>
      </c>
      <c r="V3761">
        <v>0</v>
      </c>
      <c r="W3761">
        <v>0</v>
      </c>
      <c r="X3761">
        <v>1</v>
      </c>
      <c r="Y3761">
        <v>0</v>
      </c>
      <c r="Z3761">
        <v>1</v>
      </c>
      <c r="AA3761">
        <v>1</v>
      </c>
      <c r="AB3761">
        <v>0</v>
      </c>
      <c r="AC3761">
        <v>0</v>
      </c>
      <c r="AD3761">
        <v>1</v>
      </c>
      <c r="AE3761">
        <v>1</v>
      </c>
      <c r="AF3761">
        <v>1</v>
      </c>
      <c r="AG3761">
        <v>1</v>
      </c>
      <c r="AH3761">
        <v>1</v>
      </c>
      <c r="AI3761">
        <v>1</v>
      </c>
      <c r="AJ3761">
        <v>1</v>
      </c>
      <c r="AK3761">
        <v>1</v>
      </c>
      <c r="AL3761">
        <v>1</v>
      </c>
      <c r="AM3761">
        <v>1</v>
      </c>
    </row>
    <row r="3762" spans="1:39" x14ac:dyDescent="0.2">
      <c r="A3762" t="str">
        <f>"3758"</f>
        <v>3758</v>
      </c>
      <c r="B3762" t="str">
        <f t="shared" si="206"/>
        <v>1</v>
      </c>
      <c r="C3762" t="str">
        <f t="shared" si="209"/>
        <v>76</v>
      </c>
      <c r="D3762" t="str">
        <f>"15"</f>
        <v>15</v>
      </c>
      <c r="E3762" t="str">
        <f>"1-76-15"</f>
        <v>1-76-15</v>
      </c>
      <c r="F3762" t="s">
        <v>65</v>
      </c>
      <c r="G3762" t="s">
        <v>66</v>
      </c>
      <c r="H3762" t="s">
        <v>67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</row>
    <row r="3763" spans="1:39" x14ac:dyDescent="0.2">
      <c r="A3763" t="str">
        <f>"3759"</f>
        <v>3759</v>
      </c>
      <c r="B3763" t="str">
        <f t="shared" si="206"/>
        <v>1</v>
      </c>
      <c r="C3763" t="str">
        <f t="shared" si="209"/>
        <v>76</v>
      </c>
      <c r="D3763" t="str">
        <f>"1"</f>
        <v>1</v>
      </c>
      <c r="E3763" t="str">
        <f>"1-76-1"</f>
        <v>1-76-1</v>
      </c>
      <c r="F3763" t="s">
        <v>65</v>
      </c>
      <c r="G3763" t="s">
        <v>66</v>
      </c>
      <c r="H3763" t="s">
        <v>67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1</v>
      </c>
      <c r="AI3763">
        <v>1</v>
      </c>
      <c r="AJ3763">
        <v>1</v>
      </c>
      <c r="AK3763">
        <v>1</v>
      </c>
      <c r="AL3763">
        <v>1</v>
      </c>
      <c r="AM3763">
        <v>1</v>
      </c>
    </row>
    <row r="3764" spans="1:39" x14ac:dyDescent="0.2">
      <c r="A3764" t="str">
        <f>"3760"</f>
        <v>3760</v>
      </c>
      <c r="B3764" t="str">
        <f t="shared" si="206"/>
        <v>1</v>
      </c>
      <c r="C3764" t="str">
        <f t="shared" si="209"/>
        <v>76</v>
      </c>
      <c r="D3764" t="str">
        <f>"38"</f>
        <v>38</v>
      </c>
      <c r="E3764" t="str">
        <f>"1-76-38"</f>
        <v>1-76-38</v>
      </c>
      <c r="F3764" t="s">
        <v>65</v>
      </c>
      <c r="G3764" t="s">
        <v>66</v>
      </c>
      <c r="H3764" t="s">
        <v>67</v>
      </c>
      <c r="S3764">
        <v>0</v>
      </c>
      <c r="T3764">
        <v>1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1</v>
      </c>
      <c r="AJ3764">
        <v>0</v>
      </c>
      <c r="AK3764">
        <v>0</v>
      </c>
      <c r="AL3764">
        <v>0</v>
      </c>
      <c r="AM3764">
        <v>1</v>
      </c>
    </row>
    <row r="3765" spans="1:39" x14ac:dyDescent="0.2">
      <c r="A3765" t="str">
        <f>"3761"</f>
        <v>3761</v>
      </c>
      <c r="B3765" t="str">
        <f t="shared" si="206"/>
        <v>1</v>
      </c>
      <c r="C3765" t="str">
        <f t="shared" si="209"/>
        <v>76</v>
      </c>
      <c r="D3765" t="str">
        <f>"37"</f>
        <v>37</v>
      </c>
      <c r="E3765" t="str">
        <f>"1-76-37"</f>
        <v>1-76-37</v>
      </c>
      <c r="F3765" t="s">
        <v>65</v>
      </c>
      <c r="G3765" t="s">
        <v>66</v>
      </c>
      <c r="H3765" t="s">
        <v>67</v>
      </c>
      <c r="S3765">
        <v>1</v>
      </c>
      <c r="T3765">
        <v>0</v>
      </c>
      <c r="U3765">
        <v>0</v>
      </c>
      <c r="V3765">
        <v>0</v>
      </c>
      <c r="W3765">
        <v>1</v>
      </c>
      <c r="X3765">
        <v>0</v>
      </c>
      <c r="Y3765">
        <v>1</v>
      </c>
      <c r="Z3765">
        <v>0</v>
      </c>
      <c r="AA3765">
        <v>0</v>
      </c>
      <c r="AB3765">
        <v>1</v>
      </c>
      <c r="AC3765">
        <v>0</v>
      </c>
      <c r="AD3765">
        <v>1</v>
      </c>
      <c r="AE3765">
        <v>1</v>
      </c>
      <c r="AF3765">
        <v>1</v>
      </c>
      <c r="AG3765">
        <v>1</v>
      </c>
      <c r="AH3765">
        <v>1</v>
      </c>
      <c r="AI3765">
        <v>1</v>
      </c>
      <c r="AJ3765">
        <v>1</v>
      </c>
      <c r="AK3765">
        <v>1</v>
      </c>
      <c r="AL3765">
        <v>1</v>
      </c>
      <c r="AM3765">
        <v>1</v>
      </c>
    </row>
    <row r="3766" spans="1:39" x14ac:dyDescent="0.2">
      <c r="A3766" t="str">
        <f>"3762"</f>
        <v>3762</v>
      </c>
      <c r="B3766" t="str">
        <f t="shared" si="206"/>
        <v>1</v>
      </c>
      <c r="C3766" t="str">
        <f t="shared" si="209"/>
        <v>76</v>
      </c>
      <c r="D3766" t="str">
        <f>"31"</f>
        <v>31</v>
      </c>
      <c r="E3766" t="str">
        <f>"1-76-31"</f>
        <v>1-76-31</v>
      </c>
      <c r="F3766" t="s">
        <v>65</v>
      </c>
      <c r="G3766" t="s">
        <v>66</v>
      </c>
      <c r="H3766" t="s">
        <v>67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0</v>
      </c>
      <c r="AB3766">
        <v>0</v>
      </c>
      <c r="AC3766">
        <v>1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1</v>
      </c>
      <c r="AJ3766">
        <v>0</v>
      </c>
      <c r="AK3766">
        <v>0</v>
      </c>
      <c r="AL3766">
        <v>0</v>
      </c>
      <c r="AM3766">
        <v>0</v>
      </c>
    </row>
    <row r="3767" spans="1:39" x14ac:dyDescent="0.2">
      <c r="A3767" t="str">
        <f>"3763"</f>
        <v>3763</v>
      </c>
      <c r="B3767" t="str">
        <f t="shared" ref="B3767:B3830" si="210">"1"</f>
        <v>1</v>
      </c>
      <c r="C3767" t="str">
        <f t="shared" si="209"/>
        <v>76</v>
      </c>
      <c r="D3767" t="str">
        <f>"16"</f>
        <v>16</v>
      </c>
      <c r="E3767" t="str">
        <f>"1-76-16"</f>
        <v>1-76-16</v>
      </c>
      <c r="F3767" t="s">
        <v>65</v>
      </c>
      <c r="G3767" t="s">
        <v>66</v>
      </c>
      <c r="H3767" t="s">
        <v>67</v>
      </c>
      <c r="S3767">
        <v>0</v>
      </c>
      <c r="T3767">
        <v>1</v>
      </c>
      <c r="U3767">
        <v>0</v>
      </c>
      <c r="V3767">
        <v>0</v>
      </c>
      <c r="W3767">
        <v>0</v>
      </c>
      <c r="X3767">
        <v>1</v>
      </c>
      <c r="Y3767">
        <v>0</v>
      </c>
      <c r="Z3767">
        <v>1</v>
      </c>
      <c r="AA3767">
        <v>0</v>
      </c>
      <c r="AB3767">
        <v>0</v>
      </c>
      <c r="AC3767">
        <v>1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</row>
    <row r="3768" spans="1:39" x14ac:dyDescent="0.2">
      <c r="A3768" t="str">
        <f>"3764"</f>
        <v>3764</v>
      </c>
      <c r="B3768" t="str">
        <f t="shared" si="210"/>
        <v>1</v>
      </c>
      <c r="C3768" t="str">
        <f t="shared" si="209"/>
        <v>76</v>
      </c>
      <c r="D3768" t="str">
        <f>"2"</f>
        <v>2</v>
      </c>
      <c r="E3768" t="str">
        <f>"1-76-2"</f>
        <v>1-76-2</v>
      </c>
      <c r="F3768" t="s">
        <v>65</v>
      </c>
      <c r="G3768" t="s">
        <v>66</v>
      </c>
      <c r="H3768" t="s">
        <v>67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0</v>
      </c>
      <c r="AB3768">
        <v>0</v>
      </c>
      <c r="AC3768">
        <v>1</v>
      </c>
      <c r="AD3768">
        <v>1</v>
      </c>
      <c r="AE3768">
        <v>1</v>
      </c>
      <c r="AF3768">
        <v>0</v>
      </c>
      <c r="AG3768">
        <v>1</v>
      </c>
      <c r="AH3768">
        <v>1</v>
      </c>
      <c r="AI3768">
        <v>1</v>
      </c>
      <c r="AJ3768">
        <v>1</v>
      </c>
      <c r="AK3768">
        <v>1</v>
      </c>
      <c r="AL3768">
        <v>1</v>
      </c>
      <c r="AM3768">
        <v>1</v>
      </c>
    </row>
    <row r="3769" spans="1:39" x14ac:dyDescent="0.2">
      <c r="A3769" t="str">
        <f>"3765"</f>
        <v>3765</v>
      </c>
      <c r="B3769" t="str">
        <f t="shared" si="210"/>
        <v>1</v>
      </c>
      <c r="C3769" t="str">
        <f t="shared" si="209"/>
        <v>76</v>
      </c>
      <c r="D3769" t="str">
        <f>"35"</f>
        <v>35</v>
      </c>
      <c r="E3769" t="str">
        <f>"1-76-35"</f>
        <v>1-76-35</v>
      </c>
      <c r="F3769" t="s">
        <v>65</v>
      </c>
      <c r="G3769" t="s">
        <v>66</v>
      </c>
      <c r="H3769" t="s">
        <v>67</v>
      </c>
      <c r="S3769">
        <v>0</v>
      </c>
      <c r="T3769">
        <v>1</v>
      </c>
      <c r="U3769">
        <v>0</v>
      </c>
      <c r="V3769">
        <v>0</v>
      </c>
      <c r="W3769">
        <v>1</v>
      </c>
      <c r="X3769">
        <v>0</v>
      </c>
      <c r="Y3769">
        <v>1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1</v>
      </c>
      <c r="AF3769">
        <v>1</v>
      </c>
      <c r="AG3769">
        <v>1</v>
      </c>
      <c r="AH3769">
        <v>1</v>
      </c>
      <c r="AI3769">
        <v>0</v>
      </c>
      <c r="AJ3769">
        <v>1</v>
      </c>
      <c r="AK3769">
        <v>1</v>
      </c>
      <c r="AL3769">
        <v>1</v>
      </c>
      <c r="AM3769">
        <v>0</v>
      </c>
    </row>
    <row r="3770" spans="1:39" x14ac:dyDescent="0.2">
      <c r="A3770" t="str">
        <f>"3766"</f>
        <v>3766</v>
      </c>
      <c r="B3770" t="str">
        <f t="shared" si="210"/>
        <v>1</v>
      </c>
      <c r="C3770" t="str">
        <f t="shared" si="209"/>
        <v>76</v>
      </c>
      <c r="D3770" t="str">
        <f>"18"</f>
        <v>18</v>
      </c>
      <c r="E3770" t="str">
        <f>"1-76-18"</f>
        <v>1-76-18</v>
      </c>
      <c r="F3770" t="s">
        <v>65</v>
      </c>
      <c r="G3770" t="s">
        <v>66</v>
      </c>
      <c r="H3770" t="s">
        <v>67</v>
      </c>
      <c r="S3770">
        <v>0</v>
      </c>
      <c r="T3770">
        <v>1</v>
      </c>
      <c r="U3770">
        <v>0</v>
      </c>
      <c r="V3770">
        <v>0</v>
      </c>
      <c r="W3770">
        <v>0</v>
      </c>
      <c r="X3770">
        <v>1</v>
      </c>
      <c r="Y3770">
        <v>0</v>
      </c>
      <c r="Z3770">
        <v>1</v>
      </c>
      <c r="AA3770">
        <v>0</v>
      </c>
      <c r="AB3770">
        <v>1</v>
      </c>
      <c r="AC3770">
        <v>0</v>
      </c>
      <c r="AD3770">
        <v>1</v>
      </c>
      <c r="AE3770">
        <v>1</v>
      </c>
      <c r="AF3770">
        <v>1</v>
      </c>
      <c r="AG3770">
        <v>1</v>
      </c>
      <c r="AH3770">
        <v>1</v>
      </c>
      <c r="AI3770">
        <v>1</v>
      </c>
      <c r="AJ3770">
        <v>1</v>
      </c>
      <c r="AK3770">
        <v>1</v>
      </c>
      <c r="AL3770">
        <v>1</v>
      </c>
      <c r="AM3770">
        <v>1</v>
      </c>
    </row>
    <row r="3771" spans="1:39" x14ac:dyDescent="0.2">
      <c r="A3771" t="str">
        <f>"3767"</f>
        <v>3767</v>
      </c>
      <c r="B3771" t="str">
        <f t="shared" si="210"/>
        <v>1</v>
      </c>
      <c r="C3771" t="str">
        <f t="shared" si="209"/>
        <v>76</v>
      </c>
      <c r="D3771" t="str">
        <f>"11"</f>
        <v>11</v>
      </c>
      <c r="E3771" t="str">
        <f>"1-76-11"</f>
        <v>1-76-11</v>
      </c>
      <c r="F3771" t="s">
        <v>65</v>
      </c>
      <c r="G3771" t="s">
        <v>66</v>
      </c>
      <c r="H3771" t="s">
        <v>67</v>
      </c>
      <c r="S3771">
        <v>0</v>
      </c>
      <c r="T3771">
        <v>1</v>
      </c>
      <c r="U3771">
        <v>0</v>
      </c>
      <c r="V3771">
        <v>0</v>
      </c>
      <c r="W3771">
        <v>1</v>
      </c>
      <c r="X3771">
        <v>0</v>
      </c>
      <c r="Y3771">
        <v>0</v>
      </c>
      <c r="Z3771">
        <v>1</v>
      </c>
      <c r="AA3771">
        <v>0</v>
      </c>
      <c r="AB3771">
        <v>0</v>
      </c>
      <c r="AC3771">
        <v>1</v>
      </c>
      <c r="AD3771">
        <v>1</v>
      </c>
      <c r="AE3771">
        <v>1</v>
      </c>
      <c r="AF3771">
        <v>1</v>
      </c>
      <c r="AG3771">
        <v>1</v>
      </c>
      <c r="AH3771">
        <v>1</v>
      </c>
      <c r="AI3771">
        <v>1</v>
      </c>
      <c r="AJ3771">
        <v>1</v>
      </c>
      <c r="AK3771">
        <v>1</v>
      </c>
      <c r="AL3771">
        <v>1</v>
      </c>
      <c r="AM3771">
        <v>1</v>
      </c>
    </row>
    <row r="3772" spans="1:39" x14ac:dyDescent="0.2">
      <c r="A3772" t="str">
        <f>"3768"</f>
        <v>3768</v>
      </c>
      <c r="B3772" t="str">
        <f t="shared" si="210"/>
        <v>1</v>
      </c>
      <c r="C3772" t="str">
        <f t="shared" si="209"/>
        <v>76</v>
      </c>
      <c r="D3772" t="str">
        <f>"36"</f>
        <v>36</v>
      </c>
      <c r="E3772" t="str">
        <f>"1-76-36"</f>
        <v>1-76-36</v>
      </c>
      <c r="F3772" t="s">
        <v>65</v>
      </c>
      <c r="G3772" t="s">
        <v>66</v>
      </c>
      <c r="H3772" t="s">
        <v>67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0</v>
      </c>
      <c r="AB3772">
        <v>1</v>
      </c>
      <c r="AC3772">
        <v>0</v>
      </c>
      <c r="AD3772">
        <v>0</v>
      </c>
      <c r="AE3772">
        <v>0</v>
      </c>
      <c r="AF3772">
        <v>0</v>
      </c>
      <c r="AG3772">
        <v>1</v>
      </c>
      <c r="AH3772">
        <v>0</v>
      </c>
      <c r="AI3772">
        <v>1</v>
      </c>
      <c r="AJ3772">
        <v>1</v>
      </c>
      <c r="AK3772">
        <v>1</v>
      </c>
      <c r="AL3772">
        <v>1</v>
      </c>
      <c r="AM3772">
        <v>1</v>
      </c>
    </row>
    <row r="3773" spans="1:39" x14ac:dyDescent="0.2">
      <c r="A3773" t="str">
        <f>"3769"</f>
        <v>3769</v>
      </c>
      <c r="B3773" t="str">
        <f t="shared" si="210"/>
        <v>1</v>
      </c>
      <c r="C3773" t="str">
        <f t="shared" si="209"/>
        <v>76</v>
      </c>
      <c r="D3773" t="str">
        <f>"19"</f>
        <v>19</v>
      </c>
      <c r="E3773" t="str">
        <f>"1-76-19"</f>
        <v>1-76-19</v>
      </c>
      <c r="F3773" t="s">
        <v>65</v>
      </c>
      <c r="G3773" t="s">
        <v>66</v>
      </c>
      <c r="H3773" t="s">
        <v>67</v>
      </c>
      <c r="S3773">
        <v>0</v>
      </c>
      <c r="T3773">
        <v>1</v>
      </c>
      <c r="U3773">
        <v>0</v>
      </c>
      <c r="V3773">
        <v>0</v>
      </c>
      <c r="W3773">
        <v>0</v>
      </c>
      <c r="X3773">
        <v>1</v>
      </c>
      <c r="Y3773">
        <v>0</v>
      </c>
      <c r="Z3773">
        <v>1</v>
      </c>
      <c r="AA3773">
        <v>0</v>
      </c>
      <c r="AB3773">
        <v>1</v>
      </c>
      <c r="AC3773">
        <v>0</v>
      </c>
      <c r="AD3773">
        <v>1</v>
      </c>
      <c r="AE3773">
        <v>1</v>
      </c>
      <c r="AF3773">
        <v>1</v>
      </c>
      <c r="AG3773">
        <v>1</v>
      </c>
      <c r="AH3773">
        <v>1</v>
      </c>
      <c r="AI3773">
        <v>1</v>
      </c>
      <c r="AJ3773">
        <v>1</v>
      </c>
      <c r="AK3773">
        <v>1</v>
      </c>
      <c r="AL3773">
        <v>1</v>
      </c>
      <c r="AM3773">
        <v>1</v>
      </c>
    </row>
    <row r="3774" spans="1:39" x14ac:dyDescent="0.2">
      <c r="A3774" t="str">
        <f>"3770"</f>
        <v>3770</v>
      </c>
      <c r="B3774" t="str">
        <f t="shared" si="210"/>
        <v>1</v>
      </c>
      <c r="C3774" t="str">
        <f t="shared" si="209"/>
        <v>76</v>
      </c>
      <c r="D3774" t="str">
        <f>"5"</f>
        <v>5</v>
      </c>
      <c r="E3774" t="str">
        <f>"1-76-5"</f>
        <v>1-76-5</v>
      </c>
      <c r="F3774" t="s">
        <v>65</v>
      </c>
      <c r="G3774" t="s">
        <v>66</v>
      </c>
      <c r="H3774" t="s">
        <v>67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1</v>
      </c>
      <c r="AI3774">
        <v>0</v>
      </c>
      <c r="AJ3774">
        <v>0</v>
      </c>
      <c r="AK3774">
        <v>0</v>
      </c>
      <c r="AL3774">
        <v>0</v>
      </c>
      <c r="AM3774">
        <v>0</v>
      </c>
    </row>
    <row r="3775" spans="1:39" x14ac:dyDescent="0.2">
      <c r="A3775" t="str">
        <f>"3771"</f>
        <v>3771</v>
      </c>
      <c r="B3775" t="str">
        <f t="shared" si="210"/>
        <v>1</v>
      </c>
      <c r="C3775" t="str">
        <f t="shared" si="209"/>
        <v>76</v>
      </c>
      <c r="D3775" t="str">
        <f>"39"</f>
        <v>39</v>
      </c>
      <c r="E3775" t="str">
        <f>"1-76-39"</f>
        <v>1-76-39</v>
      </c>
      <c r="F3775" t="s">
        <v>65</v>
      </c>
      <c r="G3775" t="s">
        <v>66</v>
      </c>
      <c r="H3775" t="s">
        <v>67</v>
      </c>
      <c r="S3775">
        <v>0</v>
      </c>
      <c r="T3775">
        <v>1</v>
      </c>
      <c r="U3775">
        <v>0</v>
      </c>
      <c r="V3775">
        <v>0</v>
      </c>
      <c r="W3775">
        <v>0</v>
      </c>
      <c r="X3775">
        <v>1</v>
      </c>
      <c r="Y3775">
        <v>0</v>
      </c>
      <c r="Z3775">
        <v>1</v>
      </c>
      <c r="AA3775">
        <v>0</v>
      </c>
      <c r="AB3775">
        <v>1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</row>
    <row r="3776" spans="1:39" x14ac:dyDescent="0.2">
      <c r="A3776" t="str">
        <f>"3772"</f>
        <v>3772</v>
      </c>
      <c r="B3776" t="str">
        <f t="shared" si="210"/>
        <v>1</v>
      </c>
      <c r="C3776" t="str">
        <f t="shared" si="209"/>
        <v>76</v>
      </c>
      <c r="D3776" t="str">
        <f>"22"</f>
        <v>22</v>
      </c>
      <c r="E3776" t="str">
        <f>"1-76-22"</f>
        <v>1-76-22</v>
      </c>
      <c r="F3776" t="s">
        <v>65</v>
      </c>
      <c r="G3776" t="s">
        <v>66</v>
      </c>
      <c r="H3776" t="s">
        <v>67</v>
      </c>
      <c r="S3776">
        <v>0</v>
      </c>
      <c r="T3776">
        <v>1</v>
      </c>
      <c r="U3776">
        <v>0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1</v>
      </c>
      <c r="AI3776">
        <v>0</v>
      </c>
      <c r="AJ3776">
        <v>0</v>
      </c>
      <c r="AK3776">
        <v>0</v>
      </c>
      <c r="AL3776">
        <v>0</v>
      </c>
      <c r="AM3776">
        <v>0</v>
      </c>
    </row>
    <row r="3777" spans="1:39" x14ac:dyDescent="0.2">
      <c r="A3777" t="str">
        <f>"3773"</f>
        <v>3773</v>
      </c>
      <c r="B3777" t="str">
        <f t="shared" si="210"/>
        <v>1</v>
      </c>
      <c r="C3777" t="str">
        <f t="shared" si="209"/>
        <v>76</v>
      </c>
      <c r="D3777" t="str">
        <f>"8"</f>
        <v>8</v>
      </c>
      <c r="E3777" t="str">
        <f>"1-76-8"</f>
        <v>1-76-8</v>
      </c>
      <c r="F3777" t="s">
        <v>65</v>
      </c>
      <c r="G3777" t="s">
        <v>66</v>
      </c>
      <c r="H3777" t="s">
        <v>67</v>
      </c>
      <c r="S3777">
        <v>0</v>
      </c>
      <c r="T3777">
        <v>1</v>
      </c>
      <c r="U3777">
        <v>0</v>
      </c>
      <c r="V3777">
        <v>0</v>
      </c>
      <c r="W3777">
        <v>0</v>
      </c>
      <c r="X3777">
        <v>1</v>
      </c>
      <c r="Y3777">
        <v>0</v>
      </c>
      <c r="Z3777">
        <v>1</v>
      </c>
      <c r="AA3777">
        <v>0</v>
      </c>
      <c r="AB3777">
        <v>0</v>
      </c>
      <c r="AC3777">
        <v>1</v>
      </c>
      <c r="AD3777">
        <v>1</v>
      </c>
      <c r="AE3777">
        <v>1</v>
      </c>
      <c r="AF3777">
        <v>1</v>
      </c>
      <c r="AG3777">
        <v>1</v>
      </c>
      <c r="AH3777">
        <v>1</v>
      </c>
      <c r="AI3777">
        <v>1</v>
      </c>
      <c r="AJ3777">
        <v>1</v>
      </c>
      <c r="AK3777">
        <v>1</v>
      </c>
      <c r="AL3777">
        <v>1</v>
      </c>
      <c r="AM3777">
        <v>1</v>
      </c>
    </row>
    <row r="3778" spans="1:39" x14ac:dyDescent="0.2">
      <c r="A3778" t="str">
        <f>"3774"</f>
        <v>3774</v>
      </c>
      <c r="B3778" t="str">
        <f t="shared" si="210"/>
        <v>1</v>
      </c>
      <c r="C3778" t="str">
        <f t="shared" si="209"/>
        <v>76</v>
      </c>
      <c r="D3778" t="str">
        <f>"42"</f>
        <v>42</v>
      </c>
      <c r="E3778" t="str">
        <f>"1-76-42"</f>
        <v>1-76-42</v>
      </c>
      <c r="F3778" t="s">
        <v>65</v>
      </c>
      <c r="G3778" t="s">
        <v>66</v>
      </c>
      <c r="H3778" t="s">
        <v>68</v>
      </c>
      <c r="I3778">
        <v>1</v>
      </c>
      <c r="J3778">
        <v>0</v>
      </c>
      <c r="K3778">
        <v>1</v>
      </c>
      <c r="L3778">
        <v>0</v>
      </c>
      <c r="M3778">
        <v>1</v>
      </c>
      <c r="N3778">
        <v>1</v>
      </c>
      <c r="O3778">
        <v>1</v>
      </c>
      <c r="P3778">
        <v>1</v>
      </c>
      <c r="Q3778">
        <v>1</v>
      </c>
      <c r="R3778">
        <v>1</v>
      </c>
    </row>
    <row r="3779" spans="1:39" x14ac:dyDescent="0.2">
      <c r="A3779" t="str">
        <f>"3775"</f>
        <v>3775</v>
      </c>
      <c r="B3779" t="str">
        <f t="shared" si="210"/>
        <v>1</v>
      </c>
      <c r="C3779" t="str">
        <f t="shared" si="209"/>
        <v>76</v>
      </c>
      <c r="D3779" t="str">
        <f>"23"</f>
        <v>23</v>
      </c>
      <c r="E3779" t="str">
        <f>"1-76-23"</f>
        <v>1-76-23</v>
      </c>
      <c r="F3779" t="s">
        <v>65</v>
      </c>
      <c r="G3779" t="s">
        <v>66</v>
      </c>
      <c r="H3779" t="s">
        <v>67</v>
      </c>
      <c r="S3779">
        <v>1</v>
      </c>
      <c r="T3779">
        <v>0</v>
      </c>
      <c r="U3779">
        <v>0</v>
      </c>
      <c r="V3779">
        <v>0</v>
      </c>
      <c r="W3779">
        <v>1</v>
      </c>
      <c r="X3779">
        <v>0</v>
      </c>
      <c r="Y3779">
        <v>1</v>
      </c>
      <c r="Z3779">
        <v>0</v>
      </c>
      <c r="AA3779">
        <v>0</v>
      </c>
      <c r="AB3779">
        <v>1</v>
      </c>
      <c r="AC3779">
        <v>0</v>
      </c>
      <c r="AD3779">
        <v>1</v>
      </c>
      <c r="AE3779">
        <v>1</v>
      </c>
      <c r="AF3779">
        <v>1</v>
      </c>
      <c r="AG3779">
        <v>1</v>
      </c>
      <c r="AH3779">
        <v>1</v>
      </c>
      <c r="AI3779">
        <v>1</v>
      </c>
      <c r="AJ3779">
        <v>1</v>
      </c>
      <c r="AK3779">
        <v>1</v>
      </c>
      <c r="AL3779">
        <v>1</v>
      </c>
      <c r="AM3779">
        <v>1</v>
      </c>
    </row>
    <row r="3780" spans="1:39" x14ac:dyDescent="0.2">
      <c r="A3780" t="str">
        <f>"3776"</f>
        <v>3776</v>
      </c>
      <c r="B3780" t="str">
        <f t="shared" si="210"/>
        <v>1</v>
      </c>
      <c r="C3780" t="str">
        <f t="shared" si="209"/>
        <v>76</v>
      </c>
      <c r="D3780" t="str">
        <f>"12"</f>
        <v>12</v>
      </c>
      <c r="E3780" t="str">
        <f>"1-76-12"</f>
        <v>1-76-12</v>
      </c>
      <c r="F3780" t="s">
        <v>65</v>
      </c>
      <c r="G3780" t="s">
        <v>66</v>
      </c>
      <c r="H3780" t="s">
        <v>67</v>
      </c>
      <c r="S3780">
        <v>0</v>
      </c>
      <c r="T3780">
        <v>1</v>
      </c>
      <c r="U3780">
        <v>0</v>
      </c>
      <c r="V3780">
        <v>0</v>
      </c>
      <c r="W3780">
        <v>1</v>
      </c>
      <c r="X3780">
        <v>0</v>
      </c>
      <c r="Y3780">
        <v>0</v>
      </c>
      <c r="Z3780">
        <v>1</v>
      </c>
      <c r="AA3780">
        <v>0</v>
      </c>
      <c r="AB3780">
        <v>0</v>
      </c>
      <c r="AC3780">
        <v>1</v>
      </c>
      <c r="AD3780">
        <v>1</v>
      </c>
      <c r="AE3780">
        <v>1</v>
      </c>
      <c r="AF3780">
        <v>1</v>
      </c>
      <c r="AG3780">
        <v>1</v>
      </c>
      <c r="AH3780">
        <v>1</v>
      </c>
      <c r="AI3780">
        <v>1</v>
      </c>
      <c r="AJ3780">
        <v>1</v>
      </c>
      <c r="AK3780">
        <v>1</v>
      </c>
      <c r="AL3780">
        <v>1</v>
      </c>
      <c r="AM3780">
        <v>1</v>
      </c>
    </row>
    <row r="3781" spans="1:39" x14ac:dyDescent="0.2">
      <c r="A3781" t="str">
        <f>"3777"</f>
        <v>3777</v>
      </c>
      <c r="B3781" t="str">
        <f t="shared" si="210"/>
        <v>1</v>
      </c>
      <c r="C3781" t="str">
        <f t="shared" si="209"/>
        <v>76</v>
      </c>
      <c r="D3781" t="str">
        <f>"44"</f>
        <v>44</v>
      </c>
      <c r="E3781" t="str">
        <f>"1-76-44"</f>
        <v>1-76-44</v>
      </c>
      <c r="F3781" t="s">
        <v>65</v>
      </c>
      <c r="G3781" t="s">
        <v>66</v>
      </c>
      <c r="H3781" t="s">
        <v>68</v>
      </c>
      <c r="I3781">
        <v>1</v>
      </c>
      <c r="J3781">
        <v>0</v>
      </c>
      <c r="K3781">
        <v>0</v>
      </c>
      <c r="L3781">
        <v>1</v>
      </c>
      <c r="M3781">
        <v>1</v>
      </c>
      <c r="N3781">
        <v>0</v>
      </c>
      <c r="O3781">
        <v>0</v>
      </c>
      <c r="P3781">
        <v>1</v>
      </c>
      <c r="Q3781">
        <v>1</v>
      </c>
      <c r="R3781">
        <v>1</v>
      </c>
    </row>
    <row r="3782" spans="1:39" x14ac:dyDescent="0.2">
      <c r="A3782" t="str">
        <f>"3778"</f>
        <v>3778</v>
      </c>
      <c r="B3782" t="str">
        <f t="shared" si="210"/>
        <v>1</v>
      </c>
      <c r="C3782" t="str">
        <f t="shared" si="209"/>
        <v>76</v>
      </c>
      <c r="D3782" t="str">
        <f>"24"</f>
        <v>24</v>
      </c>
      <c r="E3782" t="str">
        <f>"1-76-24"</f>
        <v>1-76-24</v>
      </c>
      <c r="F3782" t="s">
        <v>65</v>
      </c>
      <c r="G3782" t="s">
        <v>66</v>
      </c>
      <c r="H3782" t="s">
        <v>67</v>
      </c>
      <c r="S3782">
        <v>0</v>
      </c>
      <c r="T3782">
        <v>1</v>
      </c>
      <c r="U3782">
        <v>0</v>
      </c>
      <c r="V3782">
        <v>0</v>
      </c>
      <c r="W3782">
        <v>1</v>
      </c>
      <c r="X3782">
        <v>0</v>
      </c>
      <c r="Y3782">
        <v>0</v>
      </c>
      <c r="Z3782">
        <v>1</v>
      </c>
      <c r="AA3782">
        <v>0</v>
      </c>
      <c r="AB3782">
        <v>0</v>
      </c>
      <c r="AC3782">
        <v>1</v>
      </c>
      <c r="AD3782">
        <v>1</v>
      </c>
      <c r="AE3782">
        <v>1</v>
      </c>
      <c r="AF3782">
        <v>1</v>
      </c>
      <c r="AG3782">
        <v>1</v>
      </c>
      <c r="AH3782">
        <v>1</v>
      </c>
      <c r="AI3782">
        <v>1</v>
      </c>
      <c r="AJ3782">
        <v>1</v>
      </c>
      <c r="AK3782">
        <v>1</v>
      </c>
      <c r="AL3782">
        <v>1</v>
      </c>
      <c r="AM3782">
        <v>1</v>
      </c>
    </row>
    <row r="3783" spans="1:39" x14ac:dyDescent="0.2">
      <c r="A3783" t="str">
        <f>"3779"</f>
        <v>3779</v>
      </c>
      <c r="B3783" t="str">
        <f t="shared" si="210"/>
        <v>1</v>
      </c>
      <c r="C3783" t="str">
        <f t="shared" si="209"/>
        <v>76</v>
      </c>
      <c r="D3783" t="str">
        <f>"10"</f>
        <v>10</v>
      </c>
      <c r="E3783" t="str">
        <f>"1-76-10"</f>
        <v>1-76-10</v>
      </c>
      <c r="F3783" t="s">
        <v>65</v>
      </c>
      <c r="G3783" t="s">
        <v>66</v>
      </c>
      <c r="H3783" t="s">
        <v>67</v>
      </c>
      <c r="S3783">
        <v>1</v>
      </c>
      <c r="T3783">
        <v>0</v>
      </c>
      <c r="U3783">
        <v>0</v>
      </c>
      <c r="V3783">
        <v>0</v>
      </c>
      <c r="W3783">
        <v>1</v>
      </c>
      <c r="X3783">
        <v>0</v>
      </c>
      <c r="Y3783">
        <v>1</v>
      </c>
      <c r="Z3783">
        <v>0</v>
      </c>
      <c r="AA3783">
        <v>1</v>
      </c>
      <c r="AB3783">
        <v>0</v>
      </c>
      <c r="AC3783">
        <v>0</v>
      </c>
      <c r="AD3783">
        <v>0</v>
      </c>
      <c r="AE3783">
        <v>0</v>
      </c>
      <c r="AF3783">
        <v>1</v>
      </c>
      <c r="AG3783">
        <v>1</v>
      </c>
      <c r="AH3783">
        <v>1</v>
      </c>
      <c r="AI3783">
        <v>0</v>
      </c>
      <c r="AJ3783">
        <v>1</v>
      </c>
      <c r="AK3783">
        <v>1</v>
      </c>
      <c r="AL3783">
        <v>1</v>
      </c>
      <c r="AM3783">
        <v>0</v>
      </c>
    </row>
    <row r="3784" spans="1:39" x14ac:dyDescent="0.2">
      <c r="A3784" t="str">
        <f>"3780"</f>
        <v>3780</v>
      </c>
      <c r="B3784" t="str">
        <f t="shared" si="210"/>
        <v>1</v>
      </c>
      <c r="C3784" t="str">
        <f t="shared" si="209"/>
        <v>76</v>
      </c>
      <c r="D3784" t="str">
        <f>"46"</f>
        <v>46</v>
      </c>
      <c r="E3784" t="str">
        <f>"1-76-46"</f>
        <v>1-76-46</v>
      </c>
      <c r="F3784" t="s">
        <v>65</v>
      </c>
      <c r="G3784" t="s">
        <v>66</v>
      </c>
      <c r="H3784" t="s">
        <v>68</v>
      </c>
      <c r="I3784">
        <v>1</v>
      </c>
      <c r="J3784">
        <v>0</v>
      </c>
      <c r="K3784">
        <v>0</v>
      </c>
      <c r="L3784">
        <v>1</v>
      </c>
      <c r="M3784">
        <v>1</v>
      </c>
      <c r="N3784">
        <v>0</v>
      </c>
      <c r="O3784">
        <v>0</v>
      </c>
      <c r="P3784">
        <v>0</v>
      </c>
      <c r="Q3784">
        <v>0</v>
      </c>
      <c r="R3784">
        <v>0</v>
      </c>
    </row>
    <row r="3785" spans="1:39" x14ac:dyDescent="0.2">
      <c r="A3785" t="str">
        <f>"3781"</f>
        <v>3781</v>
      </c>
      <c r="B3785" t="str">
        <f t="shared" si="210"/>
        <v>1</v>
      </c>
      <c r="C3785" t="str">
        <f t="shared" si="209"/>
        <v>76</v>
      </c>
      <c r="D3785" t="str">
        <f>"25"</f>
        <v>25</v>
      </c>
      <c r="E3785" t="str">
        <f>"1-76-25"</f>
        <v>1-76-25</v>
      </c>
      <c r="F3785" t="s">
        <v>65</v>
      </c>
      <c r="G3785" t="s">
        <v>66</v>
      </c>
      <c r="H3785" t="s">
        <v>67</v>
      </c>
      <c r="S3785">
        <v>1</v>
      </c>
      <c r="T3785">
        <v>0</v>
      </c>
      <c r="U3785">
        <v>0</v>
      </c>
      <c r="V3785">
        <v>0</v>
      </c>
      <c r="W3785">
        <v>1</v>
      </c>
      <c r="X3785">
        <v>0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1</v>
      </c>
      <c r="AF3785">
        <v>1</v>
      </c>
      <c r="AG3785">
        <v>1</v>
      </c>
      <c r="AH3785">
        <v>1</v>
      </c>
      <c r="AI3785">
        <v>1</v>
      </c>
      <c r="AJ3785">
        <v>1</v>
      </c>
      <c r="AK3785">
        <v>1</v>
      </c>
      <c r="AL3785">
        <v>1</v>
      </c>
      <c r="AM3785">
        <v>1</v>
      </c>
    </row>
    <row r="3786" spans="1:39" x14ac:dyDescent="0.2">
      <c r="A3786" t="str">
        <f>"3782"</f>
        <v>3782</v>
      </c>
      <c r="B3786" t="str">
        <f t="shared" si="210"/>
        <v>1</v>
      </c>
      <c r="C3786" t="str">
        <f t="shared" si="209"/>
        <v>76</v>
      </c>
      <c r="D3786" t="str">
        <f>"3"</f>
        <v>3</v>
      </c>
      <c r="E3786" t="str">
        <f>"1-76-3"</f>
        <v>1-76-3</v>
      </c>
      <c r="F3786" t="s">
        <v>65</v>
      </c>
      <c r="G3786" t="s">
        <v>66</v>
      </c>
      <c r="H3786" t="s">
        <v>67</v>
      </c>
      <c r="S3786">
        <v>0</v>
      </c>
      <c r="T3786">
        <v>1</v>
      </c>
      <c r="U3786">
        <v>0</v>
      </c>
      <c r="V3786">
        <v>0</v>
      </c>
      <c r="W3786">
        <v>1</v>
      </c>
      <c r="X3786">
        <v>0</v>
      </c>
      <c r="Y3786">
        <v>1</v>
      </c>
      <c r="Z3786">
        <v>0</v>
      </c>
      <c r="AA3786">
        <v>0</v>
      </c>
      <c r="AB3786">
        <v>1</v>
      </c>
      <c r="AC3786">
        <v>0</v>
      </c>
      <c r="AD3786">
        <v>1</v>
      </c>
      <c r="AE3786">
        <v>1</v>
      </c>
      <c r="AF3786">
        <v>1</v>
      </c>
      <c r="AG3786">
        <v>1</v>
      </c>
      <c r="AH3786">
        <v>1</v>
      </c>
      <c r="AI3786">
        <v>1</v>
      </c>
      <c r="AJ3786">
        <v>1</v>
      </c>
      <c r="AK3786">
        <v>1</v>
      </c>
      <c r="AL3786">
        <v>1</v>
      </c>
      <c r="AM3786">
        <v>1</v>
      </c>
    </row>
    <row r="3787" spans="1:39" x14ac:dyDescent="0.2">
      <c r="A3787" t="str">
        <f>"3783"</f>
        <v>3783</v>
      </c>
      <c r="B3787" t="str">
        <f t="shared" si="210"/>
        <v>1</v>
      </c>
      <c r="C3787" t="str">
        <f t="shared" ref="C3787:C3804" si="211">"76"</f>
        <v>76</v>
      </c>
      <c r="D3787" t="str">
        <f>"43"</f>
        <v>43</v>
      </c>
      <c r="E3787" t="str">
        <f>"1-76-43"</f>
        <v>1-76-43</v>
      </c>
      <c r="F3787" t="s">
        <v>65</v>
      </c>
      <c r="G3787" t="s">
        <v>66</v>
      </c>
      <c r="H3787" t="s">
        <v>68</v>
      </c>
      <c r="I3787">
        <v>1</v>
      </c>
      <c r="J3787">
        <v>0</v>
      </c>
      <c r="K3787">
        <v>0</v>
      </c>
      <c r="L3787">
        <v>0</v>
      </c>
      <c r="M3787">
        <v>1</v>
      </c>
      <c r="N3787">
        <v>1</v>
      </c>
      <c r="O3787">
        <v>1</v>
      </c>
      <c r="P3787">
        <v>1</v>
      </c>
      <c r="Q3787">
        <v>1</v>
      </c>
      <c r="R3787">
        <v>1</v>
      </c>
    </row>
    <row r="3788" spans="1:39" x14ac:dyDescent="0.2">
      <c r="A3788" t="str">
        <f>"3784"</f>
        <v>3784</v>
      </c>
      <c r="B3788" t="str">
        <f t="shared" si="210"/>
        <v>1</v>
      </c>
      <c r="C3788" t="str">
        <f t="shared" si="211"/>
        <v>76</v>
      </c>
      <c r="D3788" t="str">
        <f>"26"</f>
        <v>26</v>
      </c>
      <c r="E3788" t="str">
        <f>"1-76-26"</f>
        <v>1-76-26</v>
      </c>
      <c r="F3788" t="s">
        <v>65</v>
      </c>
      <c r="G3788" t="s">
        <v>66</v>
      </c>
      <c r="H3788" t="s">
        <v>67</v>
      </c>
      <c r="S3788">
        <v>0</v>
      </c>
      <c r="T3788">
        <v>1</v>
      </c>
      <c r="U3788">
        <v>0</v>
      </c>
      <c r="V3788">
        <v>0</v>
      </c>
      <c r="W3788">
        <v>1</v>
      </c>
      <c r="X3788">
        <v>0</v>
      </c>
      <c r="Y3788">
        <v>0</v>
      </c>
      <c r="Z3788">
        <v>1</v>
      </c>
      <c r="AA3788">
        <v>1</v>
      </c>
      <c r="AB3788">
        <v>0</v>
      </c>
      <c r="AC3788">
        <v>0</v>
      </c>
      <c r="AD3788">
        <v>1</v>
      </c>
      <c r="AE3788">
        <v>1</v>
      </c>
      <c r="AF3788">
        <v>1</v>
      </c>
      <c r="AG3788">
        <v>1</v>
      </c>
      <c r="AH3788">
        <v>1</v>
      </c>
      <c r="AI3788">
        <v>1</v>
      </c>
      <c r="AJ3788">
        <v>1</v>
      </c>
      <c r="AK3788">
        <v>1</v>
      </c>
      <c r="AL3788">
        <v>1</v>
      </c>
      <c r="AM3788">
        <v>1</v>
      </c>
    </row>
    <row r="3789" spans="1:39" x14ac:dyDescent="0.2">
      <c r="A3789" t="str">
        <f>"3785"</f>
        <v>3785</v>
      </c>
      <c r="B3789" t="str">
        <f t="shared" si="210"/>
        <v>1</v>
      </c>
      <c r="C3789" t="str">
        <f t="shared" si="211"/>
        <v>76</v>
      </c>
      <c r="D3789" t="str">
        <f>"13"</f>
        <v>13</v>
      </c>
      <c r="E3789" t="str">
        <f>"1-76-13"</f>
        <v>1-76-13</v>
      </c>
      <c r="F3789" t="s">
        <v>65</v>
      </c>
      <c r="G3789" t="s">
        <v>66</v>
      </c>
      <c r="H3789" t="s">
        <v>67</v>
      </c>
      <c r="S3789">
        <v>1</v>
      </c>
      <c r="T3789">
        <v>0</v>
      </c>
      <c r="U3789">
        <v>0</v>
      </c>
      <c r="V3789">
        <v>0</v>
      </c>
      <c r="W3789">
        <v>0</v>
      </c>
      <c r="X3789">
        <v>1</v>
      </c>
      <c r="Y3789">
        <v>1</v>
      </c>
      <c r="Z3789">
        <v>0</v>
      </c>
      <c r="AA3789">
        <v>0</v>
      </c>
      <c r="AB3789">
        <v>1</v>
      </c>
      <c r="AC3789">
        <v>0</v>
      </c>
      <c r="AD3789">
        <v>1</v>
      </c>
      <c r="AE3789">
        <v>1</v>
      </c>
      <c r="AF3789">
        <v>1</v>
      </c>
      <c r="AG3789">
        <v>1</v>
      </c>
      <c r="AH3789">
        <v>1</v>
      </c>
      <c r="AI3789">
        <v>1</v>
      </c>
      <c r="AJ3789">
        <v>1</v>
      </c>
      <c r="AK3789">
        <v>1</v>
      </c>
      <c r="AL3789">
        <v>1</v>
      </c>
      <c r="AM3789">
        <v>1</v>
      </c>
    </row>
    <row r="3790" spans="1:39" x14ac:dyDescent="0.2">
      <c r="A3790" t="str">
        <f>"3786"</f>
        <v>3786</v>
      </c>
      <c r="B3790" t="str">
        <f t="shared" si="210"/>
        <v>1</v>
      </c>
      <c r="C3790" t="str">
        <f t="shared" si="211"/>
        <v>76</v>
      </c>
      <c r="D3790" t="str">
        <f>"45"</f>
        <v>45</v>
      </c>
      <c r="E3790" t="str">
        <f>"1-76-45"</f>
        <v>1-76-45</v>
      </c>
      <c r="F3790" t="s">
        <v>65</v>
      </c>
      <c r="G3790" t="s">
        <v>66</v>
      </c>
      <c r="H3790" t="s">
        <v>68</v>
      </c>
      <c r="I3790">
        <v>1</v>
      </c>
      <c r="J3790">
        <v>1</v>
      </c>
      <c r="K3790">
        <v>0</v>
      </c>
      <c r="L3790">
        <v>0</v>
      </c>
      <c r="M3790">
        <v>1</v>
      </c>
      <c r="N3790">
        <v>1</v>
      </c>
      <c r="O3790">
        <v>1</v>
      </c>
      <c r="P3790">
        <v>1</v>
      </c>
      <c r="Q3790">
        <v>1</v>
      </c>
      <c r="R3790">
        <v>1</v>
      </c>
    </row>
    <row r="3791" spans="1:39" x14ac:dyDescent="0.2">
      <c r="A3791" t="str">
        <f>"3787"</f>
        <v>3787</v>
      </c>
      <c r="B3791" t="str">
        <f t="shared" si="210"/>
        <v>1</v>
      </c>
      <c r="C3791" t="str">
        <f t="shared" si="211"/>
        <v>76</v>
      </c>
      <c r="D3791" t="str">
        <f>"27"</f>
        <v>27</v>
      </c>
      <c r="E3791" t="str">
        <f>"1-76-27"</f>
        <v>1-76-27</v>
      </c>
      <c r="F3791" t="s">
        <v>65</v>
      </c>
      <c r="G3791" t="s">
        <v>66</v>
      </c>
      <c r="H3791" t="s">
        <v>67</v>
      </c>
      <c r="S3791">
        <v>0</v>
      </c>
      <c r="T3791">
        <v>1</v>
      </c>
      <c r="U3791">
        <v>0</v>
      </c>
      <c r="V3791">
        <v>0</v>
      </c>
      <c r="W3791">
        <v>1</v>
      </c>
      <c r="X3791">
        <v>0</v>
      </c>
      <c r="Y3791">
        <v>0</v>
      </c>
      <c r="Z3791">
        <v>1</v>
      </c>
      <c r="AA3791">
        <v>1</v>
      </c>
      <c r="AB3791">
        <v>0</v>
      </c>
      <c r="AC3791">
        <v>0</v>
      </c>
      <c r="AD3791">
        <v>1</v>
      </c>
      <c r="AE3791">
        <v>1</v>
      </c>
      <c r="AF3791">
        <v>1</v>
      </c>
      <c r="AG3791">
        <v>1</v>
      </c>
      <c r="AH3791">
        <v>1</v>
      </c>
      <c r="AI3791">
        <v>1</v>
      </c>
      <c r="AJ3791">
        <v>1</v>
      </c>
      <c r="AK3791">
        <v>1</v>
      </c>
      <c r="AL3791">
        <v>1</v>
      </c>
      <c r="AM3791">
        <v>1</v>
      </c>
    </row>
    <row r="3792" spans="1:39" x14ac:dyDescent="0.2">
      <c r="A3792" t="str">
        <f>"3788"</f>
        <v>3788</v>
      </c>
      <c r="B3792" t="str">
        <f t="shared" si="210"/>
        <v>1</v>
      </c>
      <c r="C3792" t="str">
        <f t="shared" si="211"/>
        <v>76</v>
      </c>
      <c r="D3792" t="str">
        <f>"7"</f>
        <v>7</v>
      </c>
      <c r="E3792" t="str">
        <f>"1-76-7"</f>
        <v>1-76-7</v>
      </c>
      <c r="F3792" t="s">
        <v>65</v>
      </c>
      <c r="G3792" t="s">
        <v>66</v>
      </c>
      <c r="H3792" t="s">
        <v>67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1</v>
      </c>
      <c r="Y3792">
        <v>0</v>
      </c>
      <c r="Z3792">
        <v>1</v>
      </c>
      <c r="AA3792">
        <v>0</v>
      </c>
      <c r="AB3792">
        <v>0</v>
      </c>
      <c r="AC3792">
        <v>1</v>
      </c>
      <c r="AD3792">
        <v>1</v>
      </c>
      <c r="AE3792">
        <v>1</v>
      </c>
      <c r="AF3792">
        <v>1</v>
      </c>
      <c r="AG3792">
        <v>1</v>
      </c>
      <c r="AH3792">
        <v>1</v>
      </c>
      <c r="AI3792">
        <v>1</v>
      </c>
      <c r="AJ3792">
        <v>1</v>
      </c>
      <c r="AK3792">
        <v>1</v>
      </c>
      <c r="AL3792">
        <v>1</v>
      </c>
      <c r="AM3792">
        <v>1</v>
      </c>
    </row>
    <row r="3793" spans="1:39" x14ac:dyDescent="0.2">
      <c r="A3793" t="str">
        <f>"3789"</f>
        <v>3789</v>
      </c>
      <c r="B3793" t="str">
        <f t="shared" si="210"/>
        <v>1</v>
      </c>
      <c r="C3793" t="str">
        <f t="shared" si="211"/>
        <v>76</v>
      </c>
      <c r="D3793" t="str">
        <f>"28"</f>
        <v>28</v>
      </c>
      <c r="E3793" t="str">
        <f>"1-76-28"</f>
        <v>1-76-28</v>
      </c>
      <c r="F3793" t="s">
        <v>65</v>
      </c>
      <c r="G3793" t="s">
        <v>66</v>
      </c>
      <c r="H3793" t="s">
        <v>67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0</v>
      </c>
      <c r="AB3793">
        <v>0</v>
      </c>
      <c r="AC3793">
        <v>1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</row>
    <row r="3794" spans="1:39" x14ac:dyDescent="0.2">
      <c r="A3794" t="str">
        <f>"3790"</f>
        <v>3790</v>
      </c>
      <c r="B3794" t="str">
        <f t="shared" si="210"/>
        <v>1</v>
      </c>
      <c r="C3794" t="str">
        <f t="shared" si="211"/>
        <v>76</v>
      </c>
      <c r="D3794" t="str">
        <f>"6"</f>
        <v>6</v>
      </c>
      <c r="E3794" t="str">
        <f>"1-76-6"</f>
        <v>1-76-6</v>
      </c>
      <c r="F3794" t="s">
        <v>65</v>
      </c>
      <c r="G3794" t="s">
        <v>66</v>
      </c>
      <c r="H3794" t="s">
        <v>67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1</v>
      </c>
      <c r="AJ3794">
        <v>1</v>
      </c>
      <c r="AK3794">
        <v>1</v>
      </c>
      <c r="AL3794">
        <v>1</v>
      </c>
      <c r="AM3794">
        <v>1</v>
      </c>
    </row>
    <row r="3795" spans="1:39" x14ac:dyDescent="0.2">
      <c r="A3795" t="str">
        <f>"3791"</f>
        <v>3791</v>
      </c>
      <c r="B3795" t="str">
        <f t="shared" si="210"/>
        <v>1</v>
      </c>
      <c r="C3795" t="str">
        <f t="shared" si="211"/>
        <v>76</v>
      </c>
      <c r="D3795" t="str">
        <f>"29"</f>
        <v>29</v>
      </c>
      <c r="E3795" t="str">
        <f>"1-76-29"</f>
        <v>1-76-29</v>
      </c>
      <c r="F3795" t="s">
        <v>65</v>
      </c>
      <c r="G3795" t="s">
        <v>66</v>
      </c>
      <c r="H3795" t="s">
        <v>67</v>
      </c>
      <c r="S3795">
        <v>1</v>
      </c>
      <c r="T3795">
        <v>0</v>
      </c>
      <c r="U3795">
        <v>0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0</v>
      </c>
      <c r="AB3795">
        <v>1</v>
      </c>
      <c r="AC3795">
        <v>0</v>
      </c>
      <c r="AD3795">
        <v>1</v>
      </c>
      <c r="AE3795">
        <v>1</v>
      </c>
      <c r="AF3795">
        <v>1</v>
      </c>
      <c r="AG3795">
        <v>1</v>
      </c>
      <c r="AH3795">
        <v>1</v>
      </c>
      <c r="AI3795">
        <v>1</v>
      </c>
      <c r="AJ3795">
        <v>1</v>
      </c>
      <c r="AK3795">
        <v>1</v>
      </c>
      <c r="AL3795">
        <v>1</v>
      </c>
      <c r="AM3795">
        <v>1</v>
      </c>
    </row>
    <row r="3796" spans="1:39" x14ac:dyDescent="0.2">
      <c r="A3796" t="str">
        <f>"3792"</f>
        <v>3792</v>
      </c>
      <c r="B3796" t="str">
        <f t="shared" si="210"/>
        <v>1</v>
      </c>
      <c r="C3796" t="str">
        <f t="shared" si="211"/>
        <v>76</v>
      </c>
      <c r="D3796" t="str">
        <f>"4"</f>
        <v>4</v>
      </c>
      <c r="E3796" t="str">
        <f>"1-76-4"</f>
        <v>1-76-4</v>
      </c>
      <c r="F3796" t="s">
        <v>65</v>
      </c>
      <c r="G3796" t="s">
        <v>66</v>
      </c>
      <c r="H3796" t="s">
        <v>67</v>
      </c>
      <c r="S3796">
        <v>0</v>
      </c>
      <c r="T3796">
        <v>1</v>
      </c>
      <c r="U3796">
        <v>0</v>
      </c>
      <c r="V3796">
        <v>0</v>
      </c>
      <c r="W3796">
        <v>0</v>
      </c>
      <c r="X3796">
        <v>1</v>
      </c>
      <c r="Y3796">
        <v>0</v>
      </c>
      <c r="Z3796">
        <v>1</v>
      </c>
      <c r="AA3796">
        <v>0</v>
      </c>
      <c r="AB3796">
        <v>0</v>
      </c>
      <c r="AC3796">
        <v>1</v>
      </c>
      <c r="AD3796">
        <v>1</v>
      </c>
      <c r="AE3796">
        <v>1</v>
      </c>
      <c r="AF3796">
        <v>1</v>
      </c>
      <c r="AG3796">
        <v>1</v>
      </c>
      <c r="AH3796">
        <v>1</v>
      </c>
      <c r="AI3796">
        <v>1</v>
      </c>
      <c r="AJ3796">
        <v>1</v>
      </c>
      <c r="AK3796">
        <v>1</v>
      </c>
      <c r="AL3796">
        <v>1</v>
      </c>
      <c r="AM3796">
        <v>1</v>
      </c>
    </row>
    <row r="3797" spans="1:39" x14ac:dyDescent="0.2">
      <c r="A3797" t="str">
        <f>"3793"</f>
        <v>3793</v>
      </c>
      <c r="B3797" t="str">
        <f t="shared" si="210"/>
        <v>1</v>
      </c>
      <c r="C3797" t="str">
        <f t="shared" si="211"/>
        <v>76</v>
      </c>
      <c r="D3797" t="str">
        <f>"30"</f>
        <v>30</v>
      </c>
      <c r="E3797" t="str">
        <f>"1-76-30"</f>
        <v>1-76-30</v>
      </c>
      <c r="F3797" t="s">
        <v>65</v>
      </c>
      <c r="G3797" t="s">
        <v>66</v>
      </c>
      <c r="H3797" t="s">
        <v>67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0</v>
      </c>
      <c r="AB3797">
        <v>0</v>
      </c>
      <c r="AC3797">
        <v>1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1</v>
      </c>
      <c r="AJ3797">
        <v>1</v>
      </c>
      <c r="AK3797">
        <v>1</v>
      </c>
      <c r="AL3797">
        <v>1</v>
      </c>
      <c r="AM3797">
        <v>1</v>
      </c>
    </row>
    <row r="3798" spans="1:39" x14ac:dyDescent="0.2">
      <c r="A3798" t="str">
        <f>"3794"</f>
        <v>3794</v>
      </c>
      <c r="B3798" t="str">
        <f t="shared" si="210"/>
        <v>1</v>
      </c>
      <c r="C3798" t="str">
        <f t="shared" si="211"/>
        <v>76</v>
      </c>
      <c r="D3798" t="str">
        <f>"9"</f>
        <v>9</v>
      </c>
      <c r="E3798" t="str">
        <f>"1-76-9"</f>
        <v>1-76-9</v>
      </c>
      <c r="F3798" t="s">
        <v>65</v>
      </c>
      <c r="G3798" t="s">
        <v>66</v>
      </c>
      <c r="H3798" t="s">
        <v>67</v>
      </c>
      <c r="S3798">
        <v>0</v>
      </c>
      <c r="T3798">
        <v>1</v>
      </c>
      <c r="U3798">
        <v>0</v>
      </c>
      <c r="V3798">
        <v>0</v>
      </c>
      <c r="W3798">
        <v>0</v>
      </c>
      <c r="X3798">
        <v>1</v>
      </c>
      <c r="Y3798">
        <v>0</v>
      </c>
      <c r="Z3798">
        <v>1</v>
      </c>
      <c r="AA3798">
        <v>0</v>
      </c>
      <c r="AB3798">
        <v>1</v>
      </c>
      <c r="AC3798">
        <v>0</v>
      </c>
      <c r="AD3798">
        <v>1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</row>
    <row r="3799" spans="1:39" x14ac:dyDescent="0.2">
      <c r="A3799" t="str">
        <f>"3795"</f>
        <v>3795</v>
      </c>
      <c r="B3799" t="str">
        <f t="shared" si="210"/>
        <v>1</v>
      </c>
      <c r="C3799" t="str">
        <f t="shared" si="211"/>
        <v>76</v>
      </c>
      <c r="D3799" t="str">
        <f>"34"</f>
        <v>34</v>
      </c>
      <c r="E3799" t="str">
        <f>"1-76-34"</f>
        <v>1-76-34</v>
      </c>
      <c r="F3799" t="s">
        <v>65</v>
      </c>
      <c r="G3799" t="s">
        <v>66</v>
      </c>
      <c r="H3799" t="s">
        <v>67</v>
      </c>
      <c r="S3799">
        <v>0</v>
      </c>
      <c r="T3799">
        <v>1</v>
      </c>
      <c r="U3799">
        <v>0</v>
      </c>
      <c r="V3799">
        <v>0</v>
      </c>
      <c r="W3799">
        <v>1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1</v>
      </c>
      <c r="AD3799">
        <v>0</v>
      </c>
      <c r="AE3799">
        <v>0</v>
      </c>
      <c r="AF3799">
        <v>0</v>
      </c>
      <c r="AG3799">
        <v>1</v>
      </c>
      <c r="AH3799">
        <v>0</v>
      </c>
      <c r="AI3799">
        <v>0</v>
      </c>
      <c r="AJ3799">
        <v>0</v>
      </c>
      <c r="AK3799">
        <v>0</v>
      </c>
      <c r="AL3799">
        <v>1</v>
      </c>
      <c r="AM3799">
        <v>0</v>
      </c>
    </row>
    <row r="3800" spans="1:39" x14ac:dyDescent="0.2">
      <c r="A3800" t="str">
        <f>"3796"</f>
        <v>3796</v>
      </c>
      <c r="B3800" t="str">
        <f t="shared" si="210"/>
        <v>1</v>
      </c>
      <c r="C3800" t="str">
        <f t="shared" si="211"/>
        <v>76</v>
      </c>
      <c r="D3800" t="str">
        <f>"14"</f>
        <v>14</v>
      </c>
      <c r="E3800" t="str">
        <f>"1-76-14"</f>
        <v>1-76-14</v>
      </c>
      <c r="F3800" t="s">
        <v>65</v>
      </c>
      <c r="G3800" t="s">
        <v>66</v>
      </c>
      <c r="H3800" t="s">
        <v>67</v>
      </c>
      <c r="S3800">
        <v>1</v>
      </c>
      <c r="T3800">
        <v>0</v>
      </c>
      <c r="U3800">
        <v>0</v>
      </c>
      <c r="V3800">
        <v>0</v>
      </c>
      <c r="W3800">
        <v>0</v>
      </c>
      <c r="X3800">
        <v>1</v>
      </c>
      <c r="Y3800">
        <v>0</v>
      </c>
      <c r="Z3800">
        <v>1</v>
      </c>
      <c r="AA3800">
        <v>0</v>
      </c>
      <c r="AB3800">
        <v>0</v>
      </c>
      <c r="AC3800">
        <v>1</v>
      </c>
      <c r="AD3800">
        <v>1</v>
      </c>
      <c r="AE3800">
        <v>1</v>
      </c>
      <c r="AF3800">
        <v>1</v>
      </c>
      <c r="AG3800">
        <v>1</v>
      </c>
      <c r="AH3800">
        <v>1</v>
      </c>
      <c r="AI3800">
        <v>1</v>
      </c>
      <c r="AJ3800">
        <v>1</v>
      </c>
      <c r="AK3800">
        <v>1</v>
      </c>
      <c r="AL3800">
        <v>1</v>
      </c>
      <c r="AM3800">
        <v>1</v>
      </c>
    </row>
    <row r="3801" spans="1:39" x14ac:dyDescent="0.2">
      <c r="A3801" t="str">
        <f>"3797"</f>
        <v>3797</v>
      </c>
      <c r="B3801" t="str">
        <f t="shared" si="210"/>
        <v>1</v>
      </c>
      <c r="C3801" t="str">
        <f t="shared" si="211"/>
        <v>76</v>
      </c>
      <c r="D3801" t="str">
        <f>"47"</f>
        <v>47</v>
      </c>
      <c r="E3801" t="str">
        <f>"1-76-47"</f>
        <v>1-76-47</v>
      </c>
      <c r="F3801" t="s">
        <v>65</v>
      </c>
      <c r="G3801" t="s">
        <v>66</v>
      </c>
      <c r="H3801" t="s">
        <v>67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0</v>
      </c>
      <c r="AB3801">
        <v>0</v>
      </c>
      <c r="AC3801">
        <v>1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</row>
    <row r="3802" spans="1:39" x14ac:dyDescent="0.2">
      <c r="A3802" t="str">
        <f>"3798"</f>
        <v>3798</v>
      </c>
      <c r="B3802" t="str">
        <f t="shared" si="210"/>
        <v>1</v>
      </c>
      <c r="C3802" t="str">
        <f t="shared" si="211"/>
        <v>76</v>
      </c>
      <c r="D3802" t="str">
        <f>"48"</f>
        <v>48</v>
      </c>
      <c r="E3802" t="str">
        <f>"1-76-48"</f>
        <v>1-76-48</v>
      </c>
      <c r="F3802" t="s">
        <v>65</v>
      </c>
      <c r="G3802" t="s">
        <v>66</v>
      </c>
      <c r="H3802" t="s">
        <v>67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1</v>
      </c>
      <c r="Y3802">
        <v>1</v>
      </c>
      <c r="Z3802">
        <v>0</v>
      </c>
      <c r="AA3802">
        <v>0</v>
      </c>
      <c r="AB3802">
        <v>0</v>
      </c>
      <c r="AC3802">
        <v>1</v>
      </c>
      <c r="AD3802">
        <v>1</v>
      </c>
      <c r="AE3802">
        <v>1</v>
      </c>
      <c r="AF3802">
        <v>1</v>
      </c>
      <c r="AG3802">
        <v>1</v>
      </c>
      <c r="AH3802">
        <v>1</v>
      </c>
      <c r="AI3802">
        <v>1</v>
      </c>
      <c r="AJ3802">
        <v>1</v>
      </c>
      <c r="AK3802">
        <v>1</v>
      </c>
      <c r="AL3802">
        <v>1</v>
      </c>
      <c r="AM3802">
        <v>1</v>
      </c>
    </row>
    <row r="3803" spans="1:39" x14ac:dyDescent="0.2">
      <c r="A3803" t="str">
        <f>"3799"</f>
        <v>3799</v>
      </c>
      <c r="B3803" t="str">
        <f t="shared" si="210"/>
        <v>1</v>
      </c>
      <c r="C3803" t="str">
        <f t="shared" si="211"/>
        <v>76</v>
      </c>
      <c r="D3803" t="str">
        <f>"49"</f>
        <v>49</v>
      </c>
      <c r="E3803" t="str">
        <f>"1-76-49"</f>
        <v>1-76-49</v>
      </c>
      <c r="F3803" t="s">
        <v>65</v>
      </c>
      <c r="G3803" t="s">
        <v>66</v>
      </c>
      <c r="H3803" t="s">
        <v>67</v>
      </c>
      <c r="S3803">
        <v>0</v>
      </c>
      <c r="T3803">
        <v>1</v>
      </c>
      <c r="U3803">
        <v>0</v>
      </c>
      <c r="V3803">
        <v>0</v>
      </c>
      <c r="W3803">
        <v>1</v>
      </c>
      <c r="X3803">
        <v>0</v>
      </c>
      <c r="Y3803">
        <v>0</v>
      </c>
      <c r="Z3803">
        <v>1</v>
      </c>
      <c r="AA3803">
        <v>1</v>
      </c>
      <c r="AB3803">
        <v>0</v>
      </c>
      <c r="AC3803">
        <v>0</v>
      </c>
      <c r="AD3803">
        <v>1</v>
      </c>
      <c r="AE3803">
        <v>1</v>
      </c>
      <c r="AF3803">
        <v>1</v>
      </c>
      <c r="AG3803">
        <v>1</v>
      </c>
      <c r="AH3803">
        <v>1</v>
      </c>
      <c r="AI3803">
        <v>1</v>
      </c>
      <c r="AJ3803">
        <v>1</v>
      </c>
      <c r="AK3803">
        <v>1</v>
      </c>
      <c r="AL3803">
        <v>1</v>
      </c>
      <c r="AM3803">
        <v>1</v>
      </c>
    </row>
    <row r="3804" spans="1:39" x14ac:dyDescent="0.2">
      <c r="A3804" t="str">
        <f>"3800"</f>
        <v>3800</v>
      </c>
      <c r="B3804" t="str">
        <f t="shared" si="210"/>
        <v>1</v>
      </c>
      <c r="C3804" t="str">
        <f t="shared" si="211"/>
        <v>76</v>
      </c>
      <c r="D3804" t="str">
        <f>"50"</f>
        <v>50</v>
      </c>
      <c r="E3804" t="str">
        <f>"1-76-50"</f>
        <v>1-76-50</v>
      </c>
      <c r="F3804" t="s">
        <v>65</v>
      </c>
      <c r="G3804" t="s">
        <v>66</v>
      </c>
      <c r="H3804" t="s">
        <v>67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</row>
    <row r="3805" spans="1:39" x14ac:dyDescent="0.2">
      <c r="A3805" t="str">
        <f>"3801"</f>
        <v>3801</v>
      </c>
      <c r="B3805" t="str">
        <f t="shared" si="210"/>
        <v>1</v>
      </c>
      <c r="C3805" t="str">
        <f t="shared" ref="C3805:C3836" si="212">"77"</f>
        <v>77</v>
      </c>
      <c r="D3805" t="str">
        <f>"41"</f>
        <v>41</v>
      </c>
      <c r="E3805" t="str">
        <f>"1-77-41"</f>
        <v>1-77-41</v>
      </c>
      <c r="F3805" t="s">
        <v>65</v>
      </c>
      <c r="G3805" t="s">
        <v>66</v>
      </c>
      <c r="H3805" t="s">
        <v>67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1</v>
      </c>
      <c r="Y3805">
        <v>0</v>
      </c>
      <c r="Z3805">
        <v>1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</row>
    <row r="3806" spans="1:39" x14ac:dyDescent="0.2">
      <c r="A3806" t="str">
        <f>"3802"</f>
        <v>3802</v>
      </c>
      <c r="B3806" t="str">
        <f t="shared" si="210"/>
        <v>1</v>
      </c>
      <c r="C3806" t="str">
        <f t="shared" si="212"/>
        <v>77</v>
      </c>
      <c r="D3806" t="str">
        <f>"40"</f>
        <v>40</v>
      </c>
      <c r="E3806" t="str">
        <f>"1-77-40"</f>
        <v>1-77-40</v>
      </c>
      <c r="F3806" t="s">
        <v>65</v>
      </c>
      <c r="G3806" t="s">
        <v>66</v>
      </c>
      <c r="H3806" t="s">
        <v>67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</row>
    <row r="3807" spans="1:39" x14ac:dyDescent="0.2">
      <c r="A3807" t="str">
        <f>"3803"</f>
        <v>3803</v>
      </c>
      <c r="B3807" t="str">
        <f t="shared" si="210"/>
        <v>1</v>
      </c>
      <c r="C3807" t="str">
        <f t="shared" si="212"/>
        <v>77</v>
      </c>
      <c r="D3807" t="str">
        <f>"34"</f>
        <v>34</v>
      </c>
      <c r="E3807" t="str">
        <f>"1-77-34"</f>
        <v>1-77-34</v>
      </c>
      <c r="F3807" t="s">
        <v>65</v>
      </c>
      <c r="G3807" t="s">
        <v>66</v>
      </c>
      <c r="H3807" t="s">
        <v>67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</row>
    <row r="3808" spans="1:39" x14ac:dyDescent="0.2">
      <c r="A3808" t="str">
        <f>"3804"</f>
        <v>3804</v>
      </c>
      <c r="B3808" t="str">
        <f t="shared" si="210"/>
        <v>1</v>
      </c>
      <c r="C3808" t="str">
        <f t="shared" si="212"/>
        <v>77</v>
      </c>
      <c r="D3808" t="str">
        <f>"33"</f>
        <v>33</v>
      </c>
      <c r="E3808" t="str">
        <f>"1-77-33"</f>
        <v>1-77-33</v>
      </c>
      <c r="F3808" t="s">
        <v>65</v>
      </c>
      <c r="G3808" t="s">
        <v>66</v>
      </c>
      <c r="H3808" t="s">
        <v>67</v>
      </c>
      <c r="S3808">
        <v>0</v>
      </c>
      <c r="T3808">
        <v>1</v>
      </c>
      <c r="U3808">
        <v>0</v>
      </c>
      <c r="V3808">
        <v>0</v>
      </c>
      <c r="W3808">
        <v>0</v>
      </c>
      <c r="X3808">
        <v>1</v>
      </c>
      <c r="Y3808">
        <v>0</v>
      </c>
      <c r="Z3808">
        <v>1</v>
      </c>
      <c r="AA3808">
        <v>0</v>
      </c>
      <c r="AB3808">
        <v>0</v>
      </c>
      <c r="AC3808">
        <v>1</v>
      </c>
      <c r="AD3808">
        <v>0</v>
      </c>
      <c r="AE3808">
        <v>1</v>
      </c>
      <c r="AF3808">
        <v>0</v>
      </c>
      <c r="AG3808">
        <v>0</v>
      </c>
      <c r="AH3808">
        <v>0</v>
      </c>
      <c r="AI3808">
        <v>1</v>
      </c>
      <c r="AJ3808">
        <v>1</v>
      </c>
      <c r="AK3808">
        <v>1</v>
      </c>
      <c r="AL3808">
        <v>1</v>
      </c>
      <c r="AM3808">
        <v>1</v>
      </c>
    </row>
    <row r="3809" spans="1:39" x14ac:dyDescent="0.2">
      <c r="A3809" t="str">
        <f>"3805"</f>
        <v>3805</v>
      </c>
      <c r="B3809" t="str">
        <f t="shared" si="210"/>
        <v>1</v>
      </c>
      <c r="C3809" t="str">
        <f t="shared" si="212"/>
        <v>77</v>
      </c>
      <c r="D3809" t="str">
        <f>"21"</f>
        <v>21</v>
      </c>
      <c r="E3809" t="str">
        <f>"1-77-21"</f>
        <v>1-77-21</v>
      </c>
      <c r="F3809" t="s">
        <v>65</v>
      </c>
      <c r="G3809" t="s">
        <v>66</v>
      </c>
      <c r="H3809" t="s">
        <v>67</v>
      </c>
      <c r="S3809">
        <v>0</v>
      </c>
      <c r="T3809">
        <v>1</v>
      </c>
      <c r="U3809">
        <v>0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0</v>
      </c>
      <c r="AB3809">
        <v>0</v>
      </c>
      <c r="AC3809">
        <v>1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</row>
    <row r="3810" spans="1:39" x14ac:dyDescent="0.2">
      <c r="A3810" t="str">
        <f>"3806"</f>
        <v>3806</v>
      </c>
      <c r="B3810" t="str">
        <f t="shared" si="210"/>
        <v>1</v>
      </c>
      <c r="C3810" t="str">
        <f t="shared" si="212"/>
        <v>77</v>
      </c>
      <c r="D3810" t="str">
        <f>"20"</f>
        <v>20</v>
      </c>
      <c r="E3810" t="str">
        <f>"1-77-20"</f>
        <v>1-77-20</v>
      </c>
      <c r="F3810" t="s">
        <v>65</v>
      </c>
      <c r="G3810" t="s">
        <v>66</v>
      </c>
      <c r="H3810" t="s">
        <v>67</v>
      </c>
      <c r="S3810">
        <v>0</v>
      </c>
      <c r="T3810">
        <v>1</v>
      </c>
      <c r="U3810">
        <v>0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0</v>
      </c>
      <c r="AB3810">
        <v>0</v>
      </c>
      <c r="AC3810">
        <v>1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</row>
    <row r="3811" spans="1:39" x14ac:dyDescent="0.2">
      <c r="A3811" t="str">
        <f>"3807"</f>
        <v>3807</v>
      </c>
      <c r="B3811" t="str">
        <f t="shared" si="210"/>
        <v>1</v>
      </c>
      <c r="C3811" t="str">
        <f t="shared" si="212"/>
        <v>77</v>
      </c>
      <c r="D3811" t="str">
        <f>"17"</f>
        <v>17</v>
      </c>
      <c r="E3811" t="str">
        <f>"1-77-17"</f>
        <v>1-77-17</v>
      </c>
      <c r="F3811" t="s">
        <v>65</v>
      </c>
      <c r="G3811" t="s">
        <v>66</v>
      </c>
      <c r="H3811" t="s">
        <v>67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1</v>
      </c>
      <c r="Y3811">
        <v>0</v>
      </c>
      <c r="Z3811">
        <v>1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</row>
    <row r="3812" spans="1:39" x14ac:dyDescent="0.2">
      <c r="A3812" t="str">
        <f>"3808"</f>
        <v>3808</v>
      </c>
      <c r="B3812" t="str">
        <f t="shared" si="210"/>
        <v>1</v>
      </c>
      <c r="C3812" t="str">
        <f t="shared" si="212"/>
        <v>77</v>
      </c>
      <c r="D3812" t="str">
        <f>"15"</f>
        <v>15</v>
      </c>
      <c r="E3812" t="str">
        <f>"1-77-15"</f>
        <v>1-77-15</v>
      </c>
      <c r="F3812" t="s">
        <v>65</v>
      </c>
      <c r="G3812" t="s">
        <v>66</v>
      </c>
      <c r="H3812" t="s">
        <v>67</v>
      </c>
      <c r="S3812">
        <v>1</v>
      </c>
      <c r="T3812">
        <v>0</v>
      </c>
      <c r="U3812">
        <v>0</v>
      </c>
      <c r="V3812">
        <v>0</v>
      </c>
      <c r="W3812">
        <v>1</v>
      </c>
      <c r="X3812">
        <v>0</v>
      </c>
      <c r="Y3812">
        <v>0</v>
      </c>
      <c r="Z3812">
        <v>1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1</v>
      </c>
      <c r="AH3812">
        <v>0</v>
      </c>
      <c r="AI3812">
        <v>0</v>
      </c>
      <c r="AJ3812">
        <v>0</v>
      </c>
      <c r="AK3812">
        <v>0</v>
      </c>
      <c r="AL3812">
        <v>1</v>
      </c>
      <c r="AM3812">
        <v>0</v>
      </c>
    </row>
    <row r="3813" spans="1:39" x14ac:dyDescent="0.2">
      <c r="A3813" t="str">
        <f>"3809"</f>
        <v>3809</v>
      </c>
      <c r="B3813" t="str">
        <f t="shared" si="210"/>
        <v>1</v>
      </c>
      <c r="C3813" t="str">
        <f t="shared" si="212"/>
        <v>77</v>
      </c>
      <c r="D3813" t="str">
        <f>"1"</f>
        <v>1</v>
      </c>
      <c r="E3813" t="str">
        <f>"1-77-1"</f>
        <v>1-77-1</v>
      </c>
      <c r="F3813" t="s">
        <v>65</v>
      </c>
      <c r="G3813" t="s">
        <v>66</v>
      </c>
      <c r="H3813" t="s">
        <v>67</v>
      </c>
      <c r="S3813">
        <v>1</v>
      </c>
      <c r="T3813">
        <v>0</v>
      </c>
      <c r="U3813">
        <v>0</v>
      </c>
      <c r="V3813">
        <v>0</v>
      </c>
      <c r="W3813">
        <v>1</v>
      </c>
      <c r="X3813">
        <v>0</v>
      </c>
      <c r="Y3813">
        <v>1</v>
      </c>
      <c r="Z3813">
        <v>0</v>
      </c>
      <c r="AA3813">
        <v>1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</row>
    <row r="3814" spans="1:39" x14ac:dyDescent="0.2">
      <c r="A3814" t="str">
        <f>"3810"</f>
        <v>3810</v>
      </c>
      <c r="B3814" t="str">
        <f t="shared" si="210"/>
        <v>1</v>
      </c>
      <c r="C3814" t="str">
        <f t="shared" si="212"/>
        <v>77</v>
      </c>
      <c r="D3814" t="str">
        <f>"38"</f>
        <v>38</v>
      </c>
      <c r="E3814" t="str">
        <f>"1-77-38"</f>
        <v>1-77-38</v>
      </c>
      <c r="F3814" t="s">
        <v>65</v>
      </c>
      <c r="G3814" t="s">
        <v>66</v>
      </c>
      <c r="H3814" t="s">
        <v>67</v>
      </c>
      <c r="S3814">
        <v>1</v>
      </c>
      <c r="T3814">
        <v>0</v>
      </c>
      <c r="U3814">
        <v>0</v>
      </c>
      <c r="V3814">
        <v>0</v>
      </c>
      <c r="W3814">
        <v>0</v>
      </c>
      <c r="X3814">
        <v>1</v>
      </c>
      <c r="Y3814">
        <v>1</v>
      </c>
      <c r="Z3814">
        <v>0</v>
      </c>
      <c r="AA3814">
        <v>0</v>
      </c>
      <c r="AB3814">
        <v>1</v>
      </c>
      <c r="AC3814">
        <v>0</v>
      </c>
      <c r="AD3814">
        <v>1</v>
      </c>
      <c r="AE3814">
        <v>1</v>
      </c>
      <c r="AF3814">
        <v>1</v>
      </c>
      <c r="AG3814">
        <v>1</v>
      </c>
      <c r="AH3814">
        <v>1</v>
      </c>
      <c r="AI3814">
        <v>1</v>
      </c>
      <c r="AJ3814">
        <v>1</v>
      </c>
      <c r="AK3814">
        <v>1</v>
      </c>
      <c r="AL3814">
        <v>1</v>
      </c>
      <c r="AM3814">
        <v>0</v>
      </c>
    </row>
    <row r="3815" spans="1:39" x14ac:dyDescent="0.2">
      <c r="A3815" t="str">
        <f>"3811"</f>
        <v>3811</v>
      </c>
      <c r="B3815" t="str">
        <f t="shared" si="210"/>
        <v>1</v>
      </c>
      <c r="C3815" t="str">
        <f t="shared" si="212"/>
        <v>77</v>
      </c>
      <c r="D3815" t="str">
        <f>"37"</f>
        <v>37</v>
      </c>
      <c r="E3815" t="str">
        <f>"1-77-37"</f>
        <v>1-77-37</v>
      </c>
      <c r="F3815" t="s">
        <v>65</v>
      </c>
      <c r="G3815" t="s">
        <v>66</v>
      </c>
      <c r="H3815" t="s">
        <v>67</v>
      </c>
      <c r="S3815">
        <v>1</v>
      </c>
      <c r="T3815">
        <v>0</v>
      </c>
      <c r="U3815">
        <v>0</v>
      </c>
      <c r="V3815">
        <v>0</v>
      </c>
      <c r="W3815">
        <v>1</v>
      </c>
      <c r="X3815">
        <v>0</v>
      </c>
      <c r="Y3815">
        <v>1</v>
      </c>
      <c r="Z3815">
        <v>0</v>
      </c>
      <c r="AA3815">
        <v>1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1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1</v>
      </c>
    </row>
    <row r="3816" spans="1:39" x14ac:dyDescent="0.2">
      <c r="A3816" t="str">
        <f>"3812"</f>
        <v>3812</v>
      </c>
      <c r="B3816" t="str">
        <f t="shared" si="210"/>
        <v>1</v>
      </c>
      <c r="C3816" t="str">
        <f t="shared" si="212"/>
        <v>77</v>
      </c>
      <c r="D3816" t="str">
        <f>"27"</f>
        <v>27</v>
      </c>
      <c r="E3816" t="str">
        <f>"1-77-27"</f>
        <v>1-77-27</v>
      </c>
      <c r="F3816" t="s">
        <v>65</v>
      </c>
      <c r="G3816" t="s">
        <v>66</v>
      </c>
      <c r="H3816" t="s">
        <v>67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1</v>
      </c>
      <c r="AJ3816">
        <v>0</v>
      </c>
      <c r="AK3816">
        <v>0</v>
      </c>
      <c r="AL3816">
        <v>0</v>
      </c>
      <c r="AM3816">
        <v>0</v>
      </c>
    </row>
    <row r="3817" spans="1:39" x14ac:dyDescent="0.2">
      <c r="A3817" t="str">
        <f>"3813"</f>
        <v>3813</v>
      </c>
      <c r="B3817" t="str">
        <f t="shared" si="210"/>
        <v>1</v>
      </c>
      <c r="C3817" t="str">
        <f t="shared" si="212"/>
        <v>77</v>
      </c>
      <c r="D3817" t="str">
        <f>"16"</f>
        <v>16</v>
      </c>
      <c r="E3817" t="str">
        <f>"1-77-16"</f>
        <v>1-77-16</v>
      </c>
      <c r="F3817" t="s">
        <v>65</v>
      </c>
      <c r="G3817" t="s">
        <v>66</v>
      </c>
      <c r="H3817" t="s">
        <v>67</v>
      </c>
      <c r="S3817">
        <v>1</v>
      </c>
      <c r="T3817">
        <v>0</v>
      </c>
      <c r="U3817">
        <v>0</v>
      </c>
      <c r="V3817">
        <v>0</v>
      </c>
      <c r="W3817">
        <v>1</v>
      </c>
      <c r="X3817">
        <v>0</v>
      </c>
      <c r="Y3817">
        <v>1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1</v>
      </c>
      <c r="AF3817">
        <v>1</v>
      </c>
      <c r="AG3817">
        <v>1</v>
      </c>
      <c r="AH3817">
        <v>1</v>
      </c>
      <c r="AI3817">
        <v>1</v>
      </c>
      <c r="AJ3817">
        <v>1</v>
      </c>
      <c r="AK3817">
        <v>1</v>
      </c>
      <c r="AL3817">
        <v>1</v>
      </c>
      <c r="AM3817">
        <v>1</v>
      </c>
    </row>
    <row r="3818" spans="1:39" x14ac:dyDescent="0.2">
      <c r="A3818" t="str">
        <f>"3814"</f>
        <v>3814</v>
      </c>
      <c r="B3818" t="str">
        <f t="shared" si="210"/>
        <v>1</v>
      </c>
      <c r="C3818" t="str">
        <f t="shared" si="212"/>
        <v>77</v>
      </c>
      <c r="D3818" t="str">
        <f>"5"</f>
        <v>5</v>
      </c>
      <c r="E3818" t="str">
        <f>"1-77-5"</f>
        <v>1-77-5</v>
      </c>
      <c r="F3818" t="s">
        <v>65</v>
      </c>
      <c r="G3818" t="s">
        <v>66</v>
      </c>
      <c r="H3818" t="s">
        <v>67</v>
      </c>
      <c r="S3818">
        <v>0</v>
      </c>
      <c r="T3818">
        <v>1</v>
      </c>
      <c r="U3818">
        <v>0</v>
      </c>
      <c r="V3818">
        <v>0</v>
      </c>
      <c r="W3818">
        <v>0</v>
      </c>
      <c r="X3818">
        <v>1</v>
      </c>
      <c r="Y3818">
        <v>0</v>
      </c>
      <c r="Z3818">
        <v>1</v>
      </c>
      <c r="AA3818">
        <v>1</v>
      </c>
      <c r="AB3818">
        <v>0</v>
      </c>
      <c r="AC3818">
        <v>0</v>
      </c>
      <c r="AD3818">
        <v>1</v>
      </c>
      <c r="AE3818">
        <v>1</v>
      </c>
      <c r="AF3818">
        <v>1</v>
      </c>
      <c r="AG3818">
        <v>1</v>
      </c>
      <c r="AH3818">
        <v>1</v>
      </c>
      <c r="AI3818">
        <v>1</v>
      </c>
      <c r="AJ3818">
        <v>1</v>
      </c>
      <c r="AK3818">
        <v>1</v>
      </c>
      <c r="AL3818">
        <v>1</v>
      </c>
      <c r="AM3818">
        <v>1</v>
      </c>
    </row>
    <row r="3819" spans="1:39" x14ac:dyDescent="0.2">
      <c r="A3819" t="str">
        <f>"3815"</f>
        <v>3815</v>
      </c>
      <c r="B3819" t="str">
        <f t="shared" si="210"/>
        <v>1</v>
      </c>
      <c r="C3819" t="str">
        <f t="shared" si="212"/>
        <v>77</v>
      </c>
      <c r="D3819" t="str">
        <f>"35"</f>
        <v>35</v>
      </c>
      <c r="E3819" t="str">
        <f>"1-77-35"</f>
        <v>1-77-35</v>
      </c>
      <c r="F3819" t="s">
        <v>65</v>
      </c>
      <c r="G3819" t="s">
        <v>66</v>
      </c>
      <c r="H3819" t="s">
        <v>67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1</v>
      </c>
      <c r="Y3819">
        <v>0</v>
      </c>
      <c r="Z3819">
        <v>1</v>
      </c>
      <c r="AA3819">
        <v>0</v>
      </c>
      <c r="AB3819">
        <v>1</v>
      </c>
      <c r="AC3819">
        <v>0</v>
      </c>
      <c r="AD3819">
        <v>1</v>
      </c>
      <c r="AE3819">
        <v>1</v>
      </c>
      <c r="AF3819">
        <v>1</v>
      </c>
      <c r="AG3819">
        <v>1</v>
      </c>
      <c r="AH3819">
        <v>1</v>
      </c>
      <c r="AI3819">
        <v>1</v>
      </c>
      <c r="AJ3819">
        <v>1</v>
      </c>
      <c r="AK3819">
        <v>1</v>
      </c>
      <c r="AL3819">
        <v>1</v>
      </c>
      <c r="AM3819">
        <v>1</v>
      </c>
    </row>
    <row r="3820" spans="1:39" x14ac:dyDescent="0.2">
      <c r="A3820" t="str">
        <f>"3816"</f>
        <v>3816</v>
      </c>
      <c r="B3820" t="str">
        <f t="shared" si="210"/>
        <v>1</v>
      </c>
      <c r="C3820" t="str">
        <f t="shared" si="212"/>
        <v>77</v>
      </c>
      <c r="D3820" t="str">
        <f>"18"</f>
        <v>18</v>
      </c>
      <c r="E3820" t="str">
        <f>"1-77-18"</f>
        <v>1-77-18</v>
      </c>
      <c r="F3820" t="s">
        <v>65</v>
      </c>
      <c r="G3820" t="s">
        <v>66</v>
      </c>
      <c r="H3820" t="s">
        <v>67</v>
      </c>
      <c r="S3820">
        <v>0</v>
      </c>
      <c r="T3820">
        <v>1</v>
      </c>
      <c r="U3820">
        <v>0</v>
      </c>
      <c r="V3820">
        <v>0</v>
      </c>
      <c r="W3820">
        <v>1</v>
      </c>
      <c r="X3820">
        <v>0</v>
      </c>
      <c r="Y3820">
        <v>0</v>
      </c>
      <c r="Z3820">
        <v>1</v>
      </c>
      <c r="AA3820">
        <v>1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</row>
    <row r="3821" spans="1:39" x14ac:dyDescent="0.2">
      <c r="A3821" t="str">
        <f>"3817"</f>
        <v>3817</v>
      </c>
      <c r="B3821" t="str">
        <f t="shared" si="210"/>
        <v>1</v>
      </c>
      <c r="C3821" t="str">
        <f t="shared" si="212"/>
        <v>77</v>
      </c>
      <c r="D3821" t="str">
        <f>"6"</f>
        <v>6</v>
      </c>
      <c r="E3821" t="str">
        <f>"1-77-6"</f>
        <v>1-77-6</v>
      </c>
      <c r="F3821" t="s">
        <v>65</v>
      </c>
      <c r="G3821" t="s">
        <v>66</v>
      </c>
      <c r="H3821" t="s">
        <v>67</v>
      </c>
      <c r="S3821">
        <v>0</v>
      </c>
      <c r="T3821">
        <v>1</v>
      </c>
      <c r="U3821">
        <v>0</v>
      </c>
      <c r="V3821">
        <v>0</v>
      </c>
      <c r="W3821">
        <v>1</v>
      </c>
      <c r="X3821">
        <v>0</v>
      </c>
      <c r="Y3821">
        <v>1</v>
      </c>
      <c r="Z3821">
        <v>0</v>
      </c>
      <c r="AA3821">
        <v>0</v>
      </c>
      <c r="AB3821">
        <v>1</v>
      </c>
      <c r="AC3821">
        <v>0</v>
      </c>
      <c r="AD3821">
        <v>1</v>
      </c>
      <c r="AE3821">
        <v>1</v>
      </c>
      <c r="AF3821">
        <v>1</v>
      </c>
      <c r="AG3821">
        <v>1</v>
      </c>
      <c r="AH3821">
        <v>1</v>
      </c>
      <c r="AI3821">
        <v>1</v>
      </c>
      <c r="AJ3821">
        <v>1</v>
      </c>
      <c r="AK3821">
        <v>1</v>
      </c>
      <c r="AL3821">
        <v>1</v>
      </c>
      <c r="AM3821">
        <v>1</v>
      </c>
    </row>
    <row r="3822" spans="1:39" x14ac:dyDescent="0.2">
      <c r="A3822" t="str">
        <f>"3818"</f>
        <v>3818</v>
      </c>
      <c r="B3822" t="str">
        <f t="shared" si="210"/>
        <v>1</v>
      </c>
      <c r="C3822" t="str">
        <f t="shared" si="212"/>
        <v>77</v>
      </c>
      <c r="D3822" t="str">
        <f>"36"</f>
        <v>36</v>
      </c>
      <c r="E3822" t="str">
        <f>"1-77-36"</f>
        <v>1-77-36</v>
      </c>
      <c r="F3822" t="s">
        <v>65</v>
      </c>
      <c r="G3822" t="s">
        <v>66</v>
      </c>
      <c r="H3822" t="s">
        <v>67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1</v>
      </c>
      <c r="Y3822">
        <v>0</v>
      </c>
      <c r="Z3822">
        <v>1</v>
      </c>
      <c r="AA3822">
        <v>0</v>
      </c>
      <c r="AB3822">
        <v>1</v>
      </c>
      <c r="AC3822">
        <v>0</v>
      </c>
      <c r="AD3822">
        <v>1</v>
      </c>
      <c r="AE3822">
        <v>1</v>
      </c>
      <c r="AF3822">
        <v>1</v>
      </c>
      <c r="AG3822">
        <v>1</v>
      </c>
      <c r="AH3822">
        <v>1</v>
      </c>
      <c r="AI3822">
        <v>1</v>
      </c>
      <c r="AJ3822">
        <v>1</v>
      </c>
      <c r="AK3822">
        <v>1</v>
      </c>
      <c r="AL3822">
        <v>1</v>
      </c>
      <c r="AM3822">
        <v>1</v>
      </c>
    </row>
    <row r="3823" spans="1:39" x14ac:dyDescent="0.2">
      <c r="A3823" t="str">
        <f>"3819"</f>
        <v>3819</v>
      </c>
      <c r="B3823" t="str">
        <f t="shared" si="210"/>
        <v>1</v>
      </c>
      <c r="C3823" t="str">
        <f t="shared" si="212"/>
        <v>77</v>
      </c>
      <c r="D3823" t="str">
        <f>"19"</f>
        <v>19</v>
      </c>
      <c r="E3823" t="str">
        <f>"1-77-19"</f>
        <v>1-77-19</v>
      </c>
      <c r="F3823" t="s">
        <v>65</v>
      </c>
      <c r="G3823" t="s">
        <v>66</v>
      </c>
      <c r="H3823" t="s">
        <v>67</v>
      </c>
      <c r="S3823">
        <v>1</v>
      </c>
      <c r="T3823">
        <v>0</v>
      </c>
      <c r="U3823">
        <v>0</v>
      </c>
      <c r="V3823">
        <v>0</v>
      </c>
      <c r="W3823">
        <v>1</v>
      </c>
      <c r="X3823">
        <v>0</v>
      </c>
      <c r="Y3823">
        <v>1</v>
      </c>
      <c r="Z3823">
        <v>0</v>
      </c>
      <c r="AA3823">
        <v>0</v>
      </c>
      <c r="AB3823">
        <v>0</v>
      </c>
      <c r="AC3823">
        <v>1</v>
      </c>
      <c r="AD3823">
        <v>1</v>
      </c>
      <c r="AE3823">
        <v>1</v>
      </c>
      <c r="AF3823">
        <v>1</v>
      </c>
      <c r="AG3823">
        <v>1</v>
      </c>
      <c r="AH3823">
        <v>1</v>
      </c>
      <c r="AI3823">
        <v>1</v>
      </c>
      <c r="AJ3823">
        <v>1</v>
      </c>
      <c r="AK3823">
        <v>1</v>
      </c>
      <c r="AL3823">
        <v>1</v>
      </c>
      <c r="AM3823">
        <v>1</v>
      </c>
    </row>
    <row r="3824" spans="1:39" x14ac:dyDescent="0.2">
      <c r="A3824" t="str">
        <f>"3820"</f>
        <v>3820</v>
      </c>
      <c r="B3824" t="str">
        <f t="shared" si="210"/>
        <v>1</v>
      </c>
      <c r="C3824" t="str">
        <f t="shared" si="212"/>
        <v>77</v>
      </c>
      <c r="D3824" t="str">
        <f>"7"</f>
        <v>7</v>
      </c>
      <c r="E3824" t="str">
        <f>"1-77-7"</f>
        <v>1-77-7</v>
      </c>
      <c r="F3824" t="s">
        <v>65</v>
      </c>
      <c r="G3824" t="s">
        <v>66</v>
      </c>
      <c r="H3824" t="s">
        <v>67</v>
      </c>
      <c r="S3824">
        <v>0</v>
      </c>
      <c r="T3824">
        <v>1</v>
      </c>
      <c r="U3824">
        <v>0</v>
      </c>
      <c r="V3824">
        <v>0</v>
      </c>
      <c r="W3824">
        <v>0</v>
      </c>
      <c r="X3824">
        <v>1</v>
      </c>
      <c r="Y3824">
        <v>0</v>
      </c>
      <c r="Z3824">
        <v>1</v>
      </c>
      <c r="AA3824">
        <v>0</v>
      </c>
      <c r="AB3824">
        <v>0</v>
      </c>
      <c r="AC3824">
        <v>1</v>
      </c>
      <c r="AD3824">
        <v>1</v>
      </c>
      <c r="AE3824">
        <v>1</v>
      </c>
      <c r="AF3824">
        <v>1</v>
      </c>
      <c r="AG3824">
        <v>1</v>
      </c>
      <c r="AH3824">
        <v>1</v>
      </c>
      <c r="AI3824">
        <v>1</v>
      </c>
      <c r="AJ3824">
        <v>1</v>
      </c>
      <c r="AK3824">
        <v>1</v>
      </c>
      <c r="AL3824">
        <v>1</v>
      </c>
      <c r="AM3824">
        <v>1</v>
      </c>
    </row>
    <row r="3825" spans="1:39" x14ac:dyDescent="0.2">
      <c r="A3825" t="str">
        <f>"3821"</f>
        <v>3821</v>
      </c>
      <c r="B3825" t="str">
        <f t="shared" si="210"/>
        <v>1</v>
      </c>
      <c r="C3825" t="str">
        <f t="shared" si="212"/>
        <v>77</v>
      </c>
      <c r="D3825" t="str">
        <f>"39"</f>
        <v>39</v>
      </c>
      <c r="E3825" t="str">
        <f>"1-77-39"</f>
        <v>1-77-39</v>
      </c>
      <c r="F3825" t="s">
        <v>65</v>
      </c>
      <c r="G3825" t="s">
        <v>66</v>
      </c>
      <c r="H3825" t="s">
        <v>67</v>
      </c>
      <c r="S3825">
        <v>1</v>
      </c>
      <c r="T3825">
        <v>0</v>
      </c>
      <c r="U3825">
        <v>0</v>
      </c>
      <c r="V3825">
        <v>0</v>
      </c>
      <c r="W3825">
        <v>1</v>
      </c>
      <c r="X3825">
        <v>0</v>
      </c>
      <c r="Y3825">
        <v>1</v>
      </c>
      <c r="Z3825">
        <v>0</v>
      </c>
      <c r="AA3825">
        <v>0</v>
      </c>
      <c r="AB3825">
        <v>1</v>
      </c>
      <c r="AC3825">
        <v>0</v>
      </c>
      <c r="AD3825">
        <v>1</v>
      </c>
      <c r="AE3825">
        <v>1</v>
      </c>
      <c r="AF3825">
        <v>1</v>
      </c>
      <c r="AG3825">
        <v>1</v>
      </c>
      <c r="AH3825">
        <v>1</v>
      </c>
      <c r="AI3825">
        <v>1</v>
      </c>
      <c r="AJ3825">
        <v>1</v>
      </c>
      <c r="AK3825">
        <v>1</v>
      </c>
      <c r="AL3825">
        <v>1</v>
      </c>
      <c r="AM3825">
        <v>1</v>
      </c>
    </row>
    <row r="3826" spans="1:39" x14ac:dyDescent="0.2">
      <c r="A3826" t="str">
        <f>"3822"</f>
        <v>3822</v>
      </c>
      <c r="B3826" t="str">
        <f t="shared" si="210"/>
        <v>1</v>
      </c>
      <c r="C3826" t="str">
        <f t="shared" si="212"/>
        <v>77</v>
      </c>
      <c r="D3826" t="str">
        <f>"22"</f>
        <v>22</v>
      </c>
      <c r="E3826" t="str">
        <f>"1-77-22"</f>
        <v>1-77-22</v>
      </c>
      <c r="F3826" t="s">
        <v>65</v>
      </c>
      <c r="G3826" t="s">
        <v>66</v>
      </c>
      <c r="H3826" t="s">
        <v>67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1</v>
      </c>
      <c r="AI3826">
        <v>1</v>
      </c>
      <c r="AJ3826">
        <v>1</v>
      </c>
      <c r="AK3826">
        <v>1</v>
      </c>
      <c r="AL3826">
        <v>1</v>
      </c>
      <c r="AM3826">
        <v>1</v>
      </c>
    </row>
    <row r="3827" spans="1:39" x14ac:dyDescent="0.2">
      <c r="A3827" t="str">
        <f>"3823"</f>
        <v>3823</v>
      </c>
      <c r="B3827" t="str">
        <f t="shared" si="210"/>
        <v>1</v>
      </c>
      <c r="C3827" t="str">
        <f t="shared" si="212"/>
        <v>77</v>
      </c>
      <c r="D3827" t="str">
        <f>"3"</f>
        <v>3</v>
      </c>
      <c r="E3827" t="str">
        <f>"1-77-3"</f>
        <v>1-77-3</v>
      </c>
      <c r="F3827" t="s">
        <v>65</v>
      </c>
      <c r="G3827" t="s">
        <v>66</v>
      </c>
      <c r="H3827" t="s">
        <v>68</v>
      </c>
      <c r="I3827">
        <v>1</v>
      </c>
      <c r="J3827">
        <v>0</v>
      </c>
      <c r="K3827">
        <v>1</v>
      </c>
      <c r="L3827">
        <v>0</v>
      </c>
      <c r="M3827">
        <v>1</v>
      </c>
      <c r="N3827">
        <v>1</v>
      </c>
      <c r="O3827">
        <v>1</v>
      </c>
      <c r="P3827">
        <v>1</v>
      </c>
      <c r="Q3827">
        <v>1</v>
      </c>
      <c r="R3827">
        <v>0</v>
      </c>
    </row>
    <row r="3828" spans="1:39" x14ac:dyDescent="0.2">
      <c r="A3828" t="str">
        <f>"3824"</f>
        <v>3824</v>
      </c>
      <c r="B3828" t="str">
        <f t="shared" si="210"/>
        <v>1</v>
      </c>
      <c r="C3828" t="str">
        <f t="shared" si="212"/>
        <v>77</v>
      </c>
      <c r="D3828" t="str">
        <f>"42"</f>
        <v>42</v>
      </c>
      <c r="E3828" t="str">
        <f>"1-77-42"</f>
        <v>1-77-42</v>
      </c>
      <c r="F3828" t="s">
        <v>65</v>
      </c>
      <c r="G3828" t="s">
        <v>66</v>
      </c>
      <c r="H3828" t="s">
        <v>67</v>
      </c>
      <c r="S3828">
        <v>0</v>
      </c>
      <c r="T3828">
        <v>1</v>
      </c>
      <c r="U3828">
        <v>0</v>
      </c>
      <c r="V3828">
        <v>0</v>
      </c>
      <c r="W3828">
        <v>0</v>
      </c>
      <c r="X3828">
        <v>1</v>
      </c>
      <c r="Y3828">
        <v>0</v>
      </c>
      <c r="Z3828">
        <v>1</v>
      </c>
      <c r="AA3828">
        <v>0</v>
      </c>
      <c r="AB3828">
        <v>1</v>
      </c>
      <c r="AC3828">
        <v>0</v>
      </c>
      <c r="AD3828">
        <v>1</v>
      </c>
      <c r="AE3828">
        <v>1</v>
      </c>
      <c r="AF3828">
        <v>1</v>
      </c>
      <c r="AG3828">
        <v>1</v>
      </c>
      <c r="AH3828">
        <v>1</v>
      </c>
      <c r="AI3828">
        <v>1</v>
      </c>
      <c r="AJ3828">
        <v>1</v>
      </c>
      <c r="AK3828">
        <v>1</v>
      </c>
      <c r="AL3828">
        <v>1</v>
      </c>
      <c r="AM3828">
        <v>1</v>
      </c>
    </row>
    <row r="3829" spans="1:39" x14ac:dyDescent="0.2">
      <c r="A3829" t="str">
        <f>"3825"</f>
        <v>3825</v>
      </c>
      <c r="B3829" t="str">
        <f t="shared" si="210"/>
        <v>1</v>
      </c>
      <c r="C3829" t="str">
        <f t="shared" si="212"/>
        <v>77</v>
      </c>
      <c r="D3829" t="str">
        <f>"2"</f>
        <v>2</v>
      </c>
      <c r="E3829" t="str">
        <f>"1-77-2"</f>
        <v>1-77-2</v>
      </c>
      <c r="F3829" t="s">
        <v>65</v>
      </c>
      <c r="G3829" t="s">
        <v>66</v>
      </c>
      <c r="H3829" t="s">
        <v>67</v>
      </c>
      <c r="S3829">
        <v>0</v>
      </c>
      <c r="T3829">
        <v>1</v>
      </c>
      <c r="U3829">
        <v>0</v>
      </c>
      <c r="V3829">
        <v>0</v>
      </c>
      <c r="W3829">
        <v>0</v>
      </c>
      <c r="X3829">
        <v>1</v>
      </c>
      <c r="Y3829">
        <v>1</v>
      </c>
      <c r="Z3829">
        <v>0</v>
      </c>
      <c r="AA3829">
        <v>0</v>
      </c>
      <c r="AB3829">
        <v>0</v>
      </c>
      <c r="AC3829">
        <v>1</v>
      </c>
      <c r="AD3829">
        <v>0</v>
      </c>
      <c r="AE3829">
        <v>0</v>
      </c>
      <c r="AF3829">
        <v>0</v>
      </c>
      <c r="AG3829">
        <v>0</v>
      </c>
      <c r="AH3829">
        <v>1</v>
      </c>
      <c r="AI3829">
        <v>1</v>
      </c>
      <c r="AJ3829">
        <v>1</v>
      </c>
      <c r="AK3829">
        <v>0</v>
      </c>
      <c r="AL3829">
        <v>1</v>
      </c>
      <c r="AM3829">
        <v>0</v>
      </c>
    </row>
    <row r="3830" spans="1:39" x14ac:dyDescent="0.2">
      <c r="A3830" t="str">
        <f>"3826"</f>
        <v>3826</v>
      </c>
      <c r="B3830" t="str">
        <f t="shared" si="210"/>
        <v>1</v>
      </c>
      <c r="C3830" t="str">
        <f t="shared" si="212"/>
        <v>77</v>
      </c>
      <c r="D3830" t="str">
        <f>"44"</f>
        <v>44</v>
      </c>
      <c r="E3830" t="str">
        <f>"1-77-44"</f>
        <v>1-77-44</v>
      </c>
      <c r="F3830" t="s">
        <v>65</v>
      </c>
      <c r="G3830" t="s">
        <v>66</v>
      </c>
      <c r="H3830" t="s">
        <v>67</v>
      </c>
      <c r="S3830">
        <v>1</v>
      </c>
      <c r="T3830">
        <v>0</v>
      </c>
      <c r="U3830">
        <v>0</v>
      </c>
      <c r="V3830">
        <v>0</v>
      </c>
      <c r="W3830">
        <v>0</v>
      </c>
      <c r="X3830">
        <v>1</v>
      </c>
      <c r="Y3830">
        <v>0</v>
      </c>
      <c r="Z3830">
        <v>1</v>
      </c>
      <c r="AA3830">
        <v>0</v>
      </c>
      <c r="AB3830">
        <v>0</v>
      </c>
      <c r="AC3830">
        <v>1</v>
      </c>
      <c r="AD3830">
        <v>1</v>
      </c>
      <c r="AE3830">
        <v>1</v>
      </c>
      <c r="AF3830">
        <v>1</v>
      </c>
      <c r="AG3830">
        <v>1</v>
      </c>
      <c r="AH3830">
        <v>1</v>
      </c>
      <c r="AI3830">
        <v>1</v>
      </c>
      <c r="AJ3830">
        <v>1</v>
      </c>
      <c r="AK3830">
        <v>1</v>
      </c>
      <c r="AL3830">
        <v>1</v>
      </c>
      <c r="AM3830">
        <v>1</v>
      </c>
    </row>
    <row r="3831" spans="1:39" x14ac:dyDescent="0.2">
      <c r="A3831" t="str">
        <f>"3827"</f>
        <v>3827</v>
      </c>
      <c r="B3831" t="str">
        <f t="shared" ref="B3831:B3894" si="213">"1"</f>
        <v>1</v>
      </c>
      <c r="C3831" t="str">
        <f t="shared" si="212"/>
        <v>77</v>
      </c>
      <c r="D3831" t="str">
        <f>"24"</f>
        <v>24</v>
      </c>
      <c r="E3831" t="str">
        <f>"1-77-24"</f>
        <v>1-77-24</v>
      </c>
      <c r="F3831" t="s">
        <v>65</v>
      </c>
      <c r="G3831" t="s">
        <v>66</v>
      </c>
      <c r="H3831" t="s">
        <v>67</v>
      </c>
      <c r="S3831">
        <v>0</v>
      </c>
      <c r="T3831">
        <v>1</v>
      </c>
      <c r="U3831">
        <v>0</v>
      </c>
      <c r="V3831">
        <v>0</v>
      </c>
      <c r="W3831">
        <v>0</v>
      </c>
      <c r="X3831">
        <v>1</v>
      </c>
      <c r="Y3831">
        <v>0</v>
      </c>
      <c r="Z3831">
        <v>1</v>
      </c>
      <c r="AA3831">
        <v>1</v>
      </c>
      <c r="AB3831">
        <v>0</v>
      </c>
      <c r="AC3831">
        <v>0</v>
      </c>
      <c r="AD3831">
        <v>1</v>
      </c>
      <c r="AE3831">
        <v>1</v>
      </c>
      <c r="AF3831">
        <v>1</v>
      </c>
      <c r="AG3831">
        <v>1</v>
      </c>
      <c r="AH3831">
        <v>1</v>
      </c>
      <c r="AI3831">
        <v>1</v>
      </c>
      <c r="AJ3831">
        <v>1</v>
      </c>
      <c r="AK3831">
        <v>1</v>
      </c>
      <c r="AL3831">
        <v>1</v>
      </c>
      <c r="AM3831">
        <v>1</v>
      </c>
    </row>
    <row r="3832" spans="1:39" x14ac:dyDescent="0.2">
      <c r="A3832" t="str">
        <f>"3828"</f>
        <v>3828</v>
      </c>
      <c r="B3832" t="str">
        <f t="shared" si="213"/>
        <v>1</v>
      </c>
      <c r="C3832" t="str">
        <f t="shared" si="212"/>
        <v>77</v>
      </c>
      <c r="D3832" t="str">
        <f>"12"</f>
        <v>12</v>
      </c>
      <c r="E3832" t="str">
        <f>"1-77-12"</f>
        <v>1-77-12</v>
      </c>
      <c r="F3832" t="s">
        <v>65</v>
      </c>
      <c r="G3832" t="s">
        <v>66</v>
      </c>
      <c r="H3832" t="s">
        <v>67</v>
      </c>
      <c r="S3832">
        <v>0</v>
      </c>
      <c r="T3832">
        <v>1</v>
      </c>
      <c r="U3832">
        <v>0</v>
      </c>
      <c r="V3832">
        <v>0</v>
      </c>
      <c r="W3832">
        <v>0</v>
      </c>
      <c r="X3832">
        <v>1</v>
      </c>
      <c r="Y3832">
        <v>0</v>
      </c>
      <c r="Z3832">
        <v>1</v>
      </c>
      <c r="AA3832">
        <v>0</v>
      </c>
      <c r="AB3832">
        <v>0</v>
      </c>
      <c r="AC3832">
        <v>1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</row>
    <row r="3833" spans="1:39" x14ac:dyDescent="0.2">
      <c r="A3833" t="str">
        <f>"3829"</f>
        <v>3829</v>
      </c>
      <c r="B3833" t="str">
        <f t="shared" si="213"/>
        <v>1</v>
      </c>
      <c r="C3833" t="str">
        <f t="shared" si="212"/>
        <v>77</v>
      </c>
      <c r="D3833" t="str">
        <f>"43"</f>
        <v>43</v>
      </c>
      <c r="E3833" t="str">
        <f>"1-77-43"</f>
        <v>1-77-43</v>
      </c>
      <c r="F3833" t="s">
        <v>65</v>
      </c>
      <c r="G3833" t="s">
        <v>66</v>
      </c>
      <c r="H3833" t="s">
        <v>67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1</v>
      </c>
      <c r="Y3833">
        <v>0</v>
      </c>
      <c r="Z3833">
        <v>1</v>
      </c>
      <c r="AA3833">
        <v>0</v>
      </c>
      <c r="AB3833">
        <v>0</v>
      </c>
      <c r="AC3833">
        <v>1</v>
      </c>
      <c r="AD3833">
        <v>1</v>
      </c>
      <c r="AE3833">
        <v>1</v>
      </c>
      <c r="AF3833">
        <v>1</v>
      </c>
      <c r="AG3833">
        <v>1</v>
      </c>
      <c r="AH3833">
        <v>1</v>
      </c>
      <c r="AI3833">
        <v>1</v>
      </c>
      <c r="AJ3833">
        <v>1</v>
      </c>
      <c r="AK3833">
        <v>1</v>
      </c>
      <c r="AL3833">
        <v>1</v>
      </c>
      <c r="AM3833">
        <v>1</v>
      </c>
    </row>
    <row r="3834" spans="1:39" x14ac:dyDescent="0.2">
      <c r="A3834" t="str">
        <f>"3830"</f>
        <v>3830</v>
      </c>
      <c r="B3834" t="str">
        <f t="shared" si="213"/>
        <v>1</v>
      </c>
      <c r="C3834" t="str">
        <f t="shared" si="212"/>
        <v>77</v>
      </c>
      <c r="D3834" t="str">
        <f>"25"</f>
        <v>25</v>
      </c>
      <c r="E3834" t="str">
        <f>"1-77-25"</f>
        <v>1-77-25</v>
      </c>
      <c r="F3834" t="s">
        <v>65</v>
      </c>
      <c r="G3834" t="s">
        <v>66</v>
      </c>
      <c r="H3834" t="s">
        <v>67</v>
      </c>
      <c r="S3834">
        <v>1</v>
      </c>
      <c r="T3834">
        <v>0</v>
      </c>
      <c r="U3834">
        <v>0</v>
      </c>
      <c r="V3834">
        <v>0</v>
      </c>
      <c r="W3834">
        <v>1</v>
      </c>
      <c r="X3834">
        <v>0</v>
      </c>
      <c r="Y3834">
        <v>0</v>
      </c>
      <c r="Z3834">
        <v>1</v>
      </c>
      <c r="AA3834">
        <v>1</v>
      </c>
      <c r="AB3834">
        <v>0</v>
      </c>
      <c r="AC3834">
        <v>0</v>
      </c>
      <c r="AD3834">
        <v>1</v>
      </c>
      <c r="AE3834">
        <v>1</v>
      </c>
      <c r="AF3834">
        <v>1</v>
      </c>
      <c r="AG3834">
        <v>1</v>
      </c>
      <c r="AH3834">
        <v>1</v>
      </c>
      <c r="AI3834">
        <v>1</v>
      </c>
      <c r="AJ3834">
        <v>1</v>
      </c>
      <c r="AK3834">
        <v>1</v>
      </c>
      <c r="AL3834">
        <v>1</v>
      </c>
      <c r="AM3834">
        <v>1</v>
      </c>
    </row>
    <row r="3835" spans="1:39" x14ac:dyDescent="0.2">
      <c r="A3835" t="str">
        <f>"3831"</f>
        <v>3831</v>
      </c>
      <c r="B3835" t="str">
        <f t="shared" si="213"/>
        <v>1</v>
      </c>
      <c r="C3835" t="str">
        <f t="shared" si="212"/>
        <v>77</v>
      </c>
      <c r="D3835" t="str">
        <f>"14"</f>
        <v>14</v>
      </c>
      <c r="E3835" t="str">
        <f>"1-77-14"</f>
        <v>1-77-14</v>
      </c>
      <c r="F3835" t="s">
        <v>65</v>
      </c>
      <c r="G3835" t="s">
        <v>66</v>
      </c>
      <c r="H3835" t="s">
        <v>67</v>
      </c>
      <c r="S3835">
        <v>1</v>
      </c>
      <c r="T3835">
        <v>0</v>
      </c>
      <c r="U3835">
        <v>0</v>
      </c>
      <c r="V3835">
        <v>0</v>
      </c>
      <c r="W3835">
        <v>0</v>
      </c>
      <c r="X3835">
        <v>1</v>
      </c>
      <c r="Y3835">
        <v>1</v>
      </c>
      <c r="Z3835">
        <v>0</v>
      </c>
      <c r="AA3835">
        <v>0</v>
      </c>
      <c r="AB3835">
        <v>1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</row>
    <row r="3836" spans="1:39" x14ac:dyDescent="0.2">
      <c r="A3836" t="str">
        <f>"3832"</f>
        <v>3832</v>
      </c>
      <c r="B3836" t="str">
        <f t="shared" si="213"/>
        <v>1</v>
      </c>
      <c r="C3836" t="str">
        <f t="shared" si="212"/>
        <v>77</v>
      </c>
      <c r="D3836" t="str">
        <f>"49"</f>
        <v>49</v>
      </c>
      <c r="E3836" t="str">
        <f>"1-77-49"</f>
        <v>1-77-49</v>
      </c>
      <c r="F3836" t="s">
        <v>65</v>
      </c>
      <c r="G3836" t="s">
        <v>66</v>
      </c>
      <c r="H3836" t="s">
        <v>67</v>
      </c>
      <c r="S3836">
        <v>1</v>
      </c>
      <c r="T3836">
        <v>0</v>
      </c>
      <c r="U3836">
        <v>0</v>
      </c>
      <c r="V3836">
        <v>0</v>
      </c>
      <c r="W3836">
        <v>1</v>
      </c>
      <c r="X3836">
        <v>0</v>
      </c>
      <c r="Y3836">
        <v>1</v>
      </c>
      <c r="Z3836">
        <v>0</v>
      </c>
      <c r="AA3836">
        <v>0</v>
      </c>
      <c r="AB3836">
        <v>0</v>
      </c>
      <c r="AC3836">
        <v>1</v>
      </c>
      <c r="AD3836">
        <v>1</v>
      </c>
      <c r="AE3836">
        <v>1</v>
      </c>
      <c r="AF3836">
        <v>0</v>
      </c>
      <c r="AG3836">
        <v>1</v>
      </c>
      <c r="AH3836">
        <v>1</v>
      </c>
      <c r="AI3836">
        <v>1</v>
      </c>
      <c r="AJ3836">
        <v>1</v>
      </c>
      <c r="AK3836">
        <v>1</v>
      </c>
      <c r="AL3836">
        <v>1</v>
      </c>
      <c r="AM3836">
        <v>0</v>
      </c>
    </row>
    <row r="3837" spans="1:39" x14ac:dyDescent="0.2">
      <c r="A3837" t="str">
        <f>"3833"</f>
        <v>3833</v>
      </c>
      <c r="B3837" t="str">
        <f t="shared" si="213"/>
        <v>1</v>
      </c>
      <c r="C3837" t="str">
        <f t="shared" ref="C3837:C3854" si="214">"77"</f>
        <v>77</v>
      </c>
      <c r="D3837" t="str">
        <f>"26"</f>
        <v>26</v>
      </c>
      <c r="E3837" t="str">
        <f>"1-77-26"</f>
        <v>1-77-26</v>
      </c>
      <c r="F3837" t="s">
        <v>65</v>
      </c>
      <c r="G3837" t="s">
        <v>66</v>
      </c>
      <c r="H3837" t="s">
        <v>67</v>
      </c>
      <c r="S3837">
        <v>1</v>
      </c>
      <c r="T3837">
        <v>0</v>
      </c>
      <c r="U3837">
        <v>0</v>
      </c>
      <c r="V3837">
        <v>0</v>
      </c>
      <c r="W3837">
        <v>1</v>
      </c>
      <c r="X3837">
        <v>0</v>
      </c>
      <c r="Y3837">
        <v>0</v>
      </c>
      <c r="Z3837">
        <v>1</v>
      </c>
      <c r="AA3837">
        <v>0</v>
      </c>
      <c r="AB3837">
        <v>1</v>
      </c>
      <c r="AC3837">
        <v>0</v>
      </c>
      <c r="AD3837">
        <v>1</v>
      </c>
      <c r="AE3837">
        <v>1</v>
      </c>
      <c r="AF3837">
        <v>1</v>
      </c>
      <c r="AG3837">
        <v>1</v>
      </c>
      <c r="AH3837">
        <v>1</v>
      </c>
      <c r="AI3837">
        <v>1</v>
      </c>
      <c r="AJ3837">
        <v>1</v>
      </c>
      <c r="AK3837">
        <v>1</v>
      </c>
      <c r="AL3837">
        <v>1</v>
      </c>
      <c r="AM3837">
        <v>1</v>
      </c>
    </row>
    <row r="3838" spans="1:39" x14ac:dyDescent="0.2">
      <c r="A3838" t="str">
        <f>"3834"</f>
        <v>3834</v>
      </c>
      <c r="B3838" t="str">
        <f t="shared" si="213"/>
        <v>1</v>
      </c>
      <c r="C3838" t="str">
        <f t="shared" si="214"/>
        <v>77</v>
      </c>
      <c r="D3838" t="str">
        <f>"11"</f>
        <v>11</v>
      </c>
      <c r="E3838" t="str">
        <f>"1-77-11"</f>
        <v>1-77-11</v>
      </c>
      <c r="F3838" t="s">
        <v>65</v>
      </c>
      <c r="G3838" t="s">
        <v>66</v>
      </c>
      <c r="H3838" t="s">
        <v>67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</row>
    <row r="3839" spans="1:39" x14ac:dyDescent="0.2">
      <c r="A3839" t="str">
        <f>"3835"</f>
        <v>3835</v>
      </c>
      <c r="B3839" t="str">
        <f t="shared" si="213"/>
        <v>1</v>
      </c>
      <c r="C3839" t="str">
        <f t="shared" si="214"/>
        <v>77</v>
      </c>
      <c r="D3839" t="str">
        <f>"46"</f>
        <v>46</v>
      </c>
      <c r="E3839" t="str">
        <f>"1-77-46"</f>
        <v>1-77-46</v>
      </c>
      <c r="F3839" t="s">
        <v>65</v>
      </c>
      <c r="G3839" t="s">
        <v>66</v>
      </c>
      <c r="H3839" t="s">
        <v>67</v>
      </c>
      <c r="S3839">
        <v>1</v>
      </c>
      <c r="T3839">
        <v>0</v>
      </c>
      <c r="U3839">
        <v>0</v>
      </c>
      <c r="V3839">
        <v>0</v>
      </c>
      <c r="W3839">
        <v>1</v>
      </c>
      <c r="X3839">
        <v>0</v>
      </c>
      <c r="Y3839">
        <v>0</v>
      </c>
      <c r="Z3839">
        <v>1</v>
      </c>
      <c r="AA3839">
        <v>0</v>
      </c>
      <c r="AB3839">
        <v>1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1</v>
      </c>
      <c r="AM3839">
        <v>0</v>
      </c>
    </row>
    <row r="3840" spans="1:39" x14ac:dyDescent="0.2">
      <c r="A3840" t="str">
        <f>"3836"</f>
        <v>3836</v>
      </c>
      <c r="B3840" t="str">
        <f t="shared" si="213"/>
        <v>1</v>
      </c>
      <c r="C3840" t="str">
        <f t="shared" si="214"/>
        <v>77</v>
      </c>
      <c r="D3840" t="str">
        <f>"28"</f>
        <v>28</v>
      </c>
      <c r="E3840" t="str">
        <f>"1-77-28"</f>
        <v>1-77-28</v>
      </c>
      <c r="F3840" t="s">
        <v>65</v>
      </c>
      <c r="G3840" t="s">
        <v>66</v>
      </c>
      <c r="H3840" t="s">
        <v>67</v>
      </c>
      <c r="S3840">
        <v>0</v>
      </c>
      <c r="T3840">
        <v>1</v>
      </c>
      <c r="U3840">
        <v>0</v>
      </c>
      <c r="V3840">
        <v>0</v>
      </c>
      <c r="W3840">
        <v>1</v>
      </c>
      <c r="X3840">
        <v>0</v>
      </c>
      <c r="Y3840">
        <v>0</v>
      </c>
      <c r="Z3840">
        <v>1</v>
      </c>
      <c r="AA3840">
        <v>0</v>
      </c>
      <c r="AB3840">
        <v>0</v>
      </c>
      <c r="AC3840">
        <v>1</v>
      </c>
      <c r="AD3840">
        <v>1</v>
      </c>
      <c r="AE3840">
        <v>1</v>
      </c>
      <c r="AF3840">
        <v>1</v>
      </c>
      <c r="AG3840">
        <v>1</v>
      </c>
      <c r="AH3840">
        <v>1</v>
      </c>
      <c r="AI3840">
        <v>1</v>
      </c>
      <c r="AJ3840">
        <v>1</v>
      </c>
      <c r="AK3840">
        <v>1</v>
      </c>
      <c r="AL3840">
        <v>1</v>
      </c>
      <c r="AM3840">
        <v>1</v>
      </c>
    </row>
    <row r="3841" spans="1:39" x14ac:dyDescent="0.2">
      <c r="A3841" t="str">
        <f>"3837"</f>
        <v>3837</v>
      </c>
      <c r="B3841" t="str">
        <f t="shared" si="213"/>
        <v>1</v>
      </c>
      <c r="C3841" t="str">
        <f t="shared" si="214"/>
        <v>77</v>
      </c>
      <c r="D3841" t="str">
        <f>"10"</f>
        <v>10</v>
      </c>
      <c r="E3841" t="str">
        <f>"1-77-10"</f>
        <v>1-77-10</v>
      </c>
      <c r="F3841" t="s">
        <v>65</v>
      </c>
      <c r="G3841" t="s">
        <v>66</v>
      </c>
      <c r="H3841" t="s">
        <v>67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0</v>
      </c>
      <c r="AB3841">
        <v>0</v>
      </c>
      <c r="AC3841">
        <v>1</v>
      </c>
      <c r="AD3841">
        <v>0</v>
      </c>
      <c r="AE3841">
        <v>0</v>
      </c>
      <c r="AF3841">
        <v>0</v>
      </c>
      <c r="AG3841">
        <v>1</v>
      </c>
      <c r="AH3841">
        <v>0</v>
      </c>
      <c r="AI3841">
        <v>0</v>
      </c>
      <c r="AJ3841">
        <v>1</v>
      </c>
      <c r="AK3841">
        <v>0</v>
      </c>
      <c r="AL3841">
        <v>1</v>
      </c>
      <c r="AM3841">
        <v>1</v>
      </c>
    </row>
    <row r="3842" spans="1:39" x14ac:dyDescent="0.2">
      <c r="A3842" t="str">
        <f>"3838"</f>
        <v>3838</v>
      </c>
      <c r="B3842" t="str">
        <f t="shared" si="213"/>
        <v>1</v>
      </c>
      <c r="C3842" t="str">
        <f t="shared" si="214"/>
        <v>77</v>
      </c>
      <c r="D3842" t="str">
        <f>"45"</f>
        <v>45</v>
      </c>
      <c r="E3842" t="str">
        <f>"1-77-45"</f>
        <v>1-77-45</v>
      </c>
      <c r="F3842" t="s">
        <v>65</v>
      </c>
      <c r="G3842" t="s">
        <v>66</v>
      </c>
      <c r="H3842" t="s">
        <v>67</v>
      </c>
      <c r="S3842">
        <v>0</v>
      </c>
      <c r="T3842">
        <v>1</v>
      </c>
      <c r="U3842">
        <v>0</v>
      </c>
      <c r="V3842">
        <v>0</v>
      </c>
      <c r="W3842">
        <v>0</v>
      </c>
      <c r="X3842">
        <v>1</v>
      </c>
      <c r="Y3842">
        <v>1</v>
      </c>
      <c r="Z3842">
        <v>0</v>
      </c>
      <c r="AA3842">
        <v>0</v>
      </c>
      <c r="AB3842">
        <v>1</v>
      </c>
      <c r="AC3842">
        <v>0</v>
      </c>
      <c r="AD3842">
        <v>1</v>
      </c>
      <c r="AE3842">
        <v>1</v>
      </c>
      <c r="AF3842">
        <v>1</v>
      </c>
      <c r="AG3842">
        <v>1</v>
      </c>
      <c r="AH3842">
        <v>1</v>
      </c>
      <c r="AI3842">
        <v>1</v>
      </c>
      <c r="AJ3842">
        <v>1</v>
      </c>
      <c r="AK3842">
        <v>1</v>
      </c>
      <c r="AL3842">
        <v>1</v>
      </c>
      <c r="AM3842">
        <v>1</v>
      </c>
    </row>
    <row r="3843" spans="1:39" x14ac:dyDescent="0.2">
      <c r="A3843" t="str">
        <f>"3839"</f>
        <v>3839</v>
      </c>
      <c r="B3843" t="str">
        <f t="shared" si="213"/>
        <v>1</v>
      </c>
      <c r="C3843" t="str">
        <f t="shared" si="214"/>
        <v>77</v>
      </c>
      <c r="D3843" t="str">
        <f>"29"</f>
        <v>29</v>
      </c>
      <c r="E3843" t="str">
        <f>"1-77-29"</f>
        <v>1-77-29</v>
      </c>
      <c r="F3843" t="s">
        <v>65</v>
      </c>
      <c r="G3843" t="s">
        <v>66</v>
      </c>
      <c r="H3843" t="s">
        <v>67</v>
      </c>
      <c r="S3843">
        <v>0</v>
      </c>
      <c r="T3843">
        <v>1</v>
      </c>
      <c r="U3843">
        <v>0</v>
      </c>
      <c r="V3843">
        <v>0</v>
      </c>
      <c r="W3843">
        <v>0</v>
      </c>
      <c r="X3843">
        <v>1</v>
      </c>
      <c r="Y3843">
        <v>0</v>
      </c>
      <c r="Z3843">
        <v>1</v>
      </c>
      <c r="AA3843">
        <v>0</v>
      </c>
      <c r="AB3843">
        <v>0</v>
      </c>
      <c r="AC3843">
        <v>1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</row>
    <row r="3844" spans="1:39" x14ac:dyDescent="0.2">
      <c r="A3844" t="str">
        <f>"3840"</f>
        <v>3840</v>
      </c>
      <c r="B3844" t="str">
        <f t="shared" si="213"/>
        <v>1</v>
      </c>
      <c r="C3844" t="str">
        <f t="shared" si="214"/>
        <v>77</v>
      </c>
      <c r="D3844" t="str">
        <f>"9"</f>
        <v>9</v>
      </c>
      <c r="E3844" t="str">
        <f>"1-77-9"</f>
        <v>1-77-9</v>
      </c>
      <c r="F3844" t="s">
        <v>65</v>
      </c>
      <c r="G3844" t="s">
        <v>66</v>
      </c>
      <c r="H3844" t="s">
        <v>67</v>
      </c>
      <c r="S3844">
        <v>0</v>
      </c>
      <c r="T3844">
        <v>0</v>
      </c>
      <c r="U3844">
        <v>0</v>
      </c>
      <c r="V3844">
        <v>0</v>
      </c>
      <c r="W3844">
        <v>1</v>
      </c>
      <c r="X3844">
        <v>0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</row>
    <row r="3845" spans="1:39" x14ac:dyDescent="0.2">
      <c r="A3845" t="str">
        <f>"3841"</f>
        <v>3841</v>
      </c>
      <c r="B3845" t="str">
        <f t="shared" si="213"/>
        <v>1</v>
      </c>
      <c r="C3845" t="str">
        <f t="shared" si="214"/>
        <v>77</v>
      </c>
      <c r="D3845" t="str">
        <f>"47"</f>
        <v>47</v>
      </c>
      <c r="E3845" t="str">
        <f>"1-77-47"</f>
        <v>1-77-47</v>
      </c>
      <c r="F3845" t="s">
        <v>65</v>
      </c>
      <c r="G3845" t="s">
        <v>66</v>
      </c>
      <c r="H3845" t="s">
        <v>67</v>
      </c>
      <c r="S3845">
        <v>1</v>
      </c>
      <c r="T3845">
        <v>0</v>
      </c>
      <c r="U3845">
        <v>0</v>
      </c>
      <c r="V3845">
        <v>0</v>
      </c>
      <c r="W3845">
        <v>1</v>
      </c>
      <c r="X3845">
        <v>0</v>
      </c>
      <c r="Y3845">
        <v>1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1</v>
      </c>
      <c r="AF3845">
        <v>1</v>
      </c>
      <c r="AG3845">
        <v>1</v>
      </c>
      <c r="AH3845">
        <v>1</v>
      </c>
      <c r="AI3845">
        <v>1</v>
      </c>
      <c r="AJ3845">
        <v>1</v>
      </c>
      <c r="AK3845">
        <v>1</v>
      </c>
      <c r="AL3845">
        <v>1</v>
      </c>
      <c r="AM3845">
        <v>1</v>
      </c>
    </row>
    <row r="3846" spans="1:39" x14ac:dyDescent="0.2">
      <c r="A3846" t="str">
        <f>"3842"</f>
        <v>3842</v>
      </c>
      <c r="B3846" t="str">
        <f t="shared" si="213"/>
        <v>1</v>
      </c>
      <c r="C3846" t="str">
        <f t="shared" si="214"/>
        <v>77</v>
      </c>
      <c r="D3846" t="str">
        <f>"30"</f>
        <v>30</v>
      </c>
      <c r="E3846" t="str">
        <f>"1-77-30"</f>
        <v>1-77-30</v>
      </c>
      <c r="F3846" t="s">
        <v>65</v>
      </c>
      <c r="G3846" t="s">
        <v>66</v>
      </c>
      <c r="H3846" t="s">
        <v>67</v>
      </c>
      <c r="S3846">
        <v>1</v>
      </c>
      <c r="T3846">
        <v>0</v>
      </c>
      <c r="U3846">
        <v>0</v>
      </c>
      <c r="V3846">
        <v>0</v>
      </c>
      <c r="W3846">
        <v>1</v>
      </c>
      <c r="X3846">
        <v>0</v>
      </c>
      <c r="Y3846">
        <v>1</v>
      </c>
      <c r="Z3846">
        <v>0</v>
      </c>
      <c r="AA3846">
        <v>0</v>
      </c>
      <c r="AB3846">
        <v>0</v>
      </c>
      <c r="AC3846">
        <v>1</v>
      </c>
      <c r="AD3846">
        <v>1</v>
      </c>
      <c r="AE3846">
        <v>1</v>
      </c>
      <c r="AF3846">
        <v>1</v>
      </c>
      <c r="AG3846">
        <v>1</v>
      </c>
      <c r="AH3846">
        <v>1</v>
      </c>
      <c r="AI3846">
        <v>1</v>
      </c>
      <c r="AJ3846">
        <v>1</v>
      </c>
      <c r="AK3846">
        <v>1</v>
      </c>
      <c r="AL3846">
        <v>1</v>
      </c>
      <c r="AM3846">
        <v>1</v>
      </c>
    </row>
    <row r="3847" spans="1:39" x14ac:dyDescent="0.2">
      <c r="A3847" t="str">
        <f>"3843"</f>
        <v>3843</v>
      </c>
      <c r="B3847" t="str">
        <f t="shared" si="213"/>
        <v>1</v>
      </c>
      <c r="C3847" t="str">
        <f t="shared" si="214"/>
        <v>77</v>
      </c>
      <c r="D3847" t="str">
        <f>"13"</f>
        <v>13</v>
      </c>
      <c r="E3847" t="str">
        <f>"1-77-13"</f>
        <v>1-77-13</v>
      </c>
      <c r="F3847" t="s">
        <v>65</v>
      </c>
      <c r="G3847" t="s">
        <v>66</v>
      </c>
      <c r="H3847" t="s">
        <v>67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</row>
    <row r="3848" spans="1:39" x14ac:dyDescent="0.2">
      <c r="A3848" t="str">
        <f>"3844"</f>
        <v>3844</v>
      </c>
      <c r="B3848" t="str">
        <f t="shared" si="213"/>
        <v>1</v>
      </c>
      <c r="C3848" t="str">
        <f t="shared" si="214"/>
        <v>77</v>
      </c>
      <c r="D3848" t="str">
        <f>"48"</f>
        <v>48</v>
      </c>
      <c r="E3848" t="str">
        <f>"1-77-48"</f>
        <v>1-77-48</v>
      </c>
      <c r="F3848" t="s">
        <v>65</v>
      </c>
      <c r="G3848" t="s">
        <v>66</v>
      </c>
      <c r="H3848" t="s">
        <v>67</v>
      </c>
      <c r="S3848">
        <v>0</v>
      </c>
      <c r="T3848">
        <v>1</v>
      </c>
      <c r="U3848">
        <v>0</v>
      </c>
      <c r="V3848">
        <v>0</v>
      </c>
      <c r="W3848">
        <v>0</v>
      </c>
      <c r="X3848">
        <v>1</v>
      </c>
      <c r="Y3848">
        <v>1</v>
      </c>
      <c r="Z3848">
        <v>0</v>
      </c>
      <c r="AA3848">
        <v>0</v>
      </c>
      <c r="AB3848">
        <v>1</v>
      </c>
      <c r="AC3848">
        <v>0</v>
      </c>
      <c r="AD3848">
        <v>1</v>
      </c>
      <c r="AE3848">
        <v>1</v>
      </c>
      <c r="AF3848">
        <v>1</v>
      </c>
      <c r="AG3848">
        <v>1</v>
      </c>
      <c r="AH3848">
        <v>1</v>
      </c>
      <c r="AI3848">
        <v>1</v>
      </c>
      <c r="AJ3848">
        <v>1</v>
      </c>
      <c r="AK3848">
        <v>1</v>
      </c>
      <c r="AL3848">
        <v>1</v>
      </c>
      <c r="AM3848">
        <v>1</v>
      </c>
    </row>
    <row r="3849" spans="1:39" x14ac:dyDescent="0.2">
      <c r="A3849" t="str">
        <f>"3845"</f>
        <v>3845</v>
      </c>
      <c r="B3849" t="str">
        <f t="shared" si="213"/>
        <v>1</v>
      </c>
      <c r="C3849" t="str">
        <f t="shared" si="214"/>
        <v>77</v>
      </c>
      <c r="D3849" t="str">
        <f>"31"</f>
        <v>31</v>
      </c>
      <c r="E3849" t="str">
        <f>"1-77-31"</f>
        <v>1-77-31</v>
      </c>
      <c r="F3849" t="s">
        <v>65</v>
      </c>
      <c r="G3849" t="s">
        <v>66</v>
      </c>
      <c r="H3849" t="s">
        <v>67</v>
      </c>
      <c r="S3849">
        <v>0</v>
      </c>
      <c r="T3849">
        <v>0</v>
      </c>
      <c r="U3849">
        <v>0</v>
      </c>
      <c r="V3849">
        <v>0</v>
      </c>
      <c r="W3849">
        <v>1</v>
      </c>
      <c r="X3849">
        <v>0</v>
      </c>
      <c r="Y3849">
        <v>1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1</v>
      </c>
      <c r="AM3849">
        <v>0</v>
      </c>
    </row>
    <row r="3850" spans="1:39" x14ac:dyDescent="0.2">
      <c r="A3850" t="str">
        <f>"3846"</f>
        <v>3846</v>
      </c>
      <c r="B3850" t="str">
        <f t="shared" si="213"/>
        <v>1</v>
      </c>
      <c r="C3850" t="str">
        <f t="shared" si="214"/>
        <v>77</v>
      </c>
      <c r="D3850" t="str">
        <f>"4"</f>
        <v>4</v>
      </c>
      <c r="E3850" t="str">
        <f>"1-77-4"</f>
        <v>1-77-4</v>
      </c>
      <c r="F3850" t="s">
        <v>65</v>
      </c>
      <c r="G3850" t="s">
        <v>66</v>
      </c>
      <c r="H3850" t="s">
        <v>67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0</v>
      </c>
      <c r="AB3850">
        <v>0</v>
      </c>
      <c r="AC3850">
        <v>1</v>
      </c>
      <c r="AD3850">
        <v>0</v>
      </c>
      <c r="AE3850">
        <v>0</v>
      </c>
      <c r="AF3850">
        <v>0</v>
      </c>
      <c r="AG3850">
        <v>0</v>
      </c>
      <c r="AH3850">
        <v>1</v>
      </c>
      <c r="AI3850">
        <v>0</v>
      </c>
      <c r="AJ3850">
        <v>1</v>
      </c>
      <c r="AK3850">
        <v>1</v>
      </c>
      <c r="AL3850">
        <v>1</v>
      </c>
      <c r="AM3850">
        <v>1</v>
      </c>
    </row>
    <row r="3851" spans="1:39" x14ac:dyDescent="0.2">
      <c r="A3851" t="str">
        <f>"3847"</f>
        <v>3847</v>
      </c>
      <c r="B3851" t="str">
        <f t="shared" si="213"/>
        <v>1</v>
      </c>
      <c r="C3851" t="str">
        <f t="shared" si="214"/>
        <v>77</v>
      </c>
      <c r="D3851" t="str">
        <f>"32"</f>
        <v>32</v>
      </c>
      <c r="E3851" t="str">
        <f>"1-77-32"</f>
        <v>1-77-32</v>
      </c>
      <c r="F3851" t="s">
        <v>65</v>
      </c>
      <c r="G3851" t="s">
        <v>66</v>
      </c>
      <c r="H3851" t="s">
        <v>67</v>
      </c>
      <c r="S3851">
        <v>0</v>
      </c>
      <c r="T3851">
        <v>1</v>
      </c>
      <c r="U3851">
        <v>0</v>
      </c>
      <c r="V3851">
        <v>0</v>
      </c>
      <c r="W3851">
        <v>0</v>
      </c>
      <c r="X3851">
        <v>1</v>
      </c>
      <c r="Y3851">
        <v>1</v>
      </c>
      <c r="Z3851">
        <v>0</v>
      </c>
      <c r="AA3851">
        <v>0</v>
      </c>
      <c r="AB3851">
        <v>0</v>
      </c>
      <c r="AC3851">
        <v>1</v>
      </c>
      <c r="AD3851">
        <v>1</v>
      </c>
      <c r="AE3851">
        <v>1</v>
      </c>
      <c r="AF3851">
        <v>1</v>
      </c>
      <c r="AG3851">
        <v>1</v>
      </c>
      <c r="AH3851">
        <v>1</v>
      </c>
      <c r="AI3851">
        <v>1</v>
      </c>
      <c r="AJ3851">
        <v>1</v>
      </c>
      <c r="AK3851">
        <v>1</v>
      </c>
      <c r="AL3851">
        <v>1</v>
      </c>
      <c r="AM3851">
        <v>1</v>
      </c>
    </row>
    <row r="3852" spans="1:39" x14ac:dyDescent="0.2">
      <c r="A3852" t="str">
        <f>"3848"</f>
        <v>3848</v>
      </c>
      <c r="B3852" t="str">
        <f t="shared" si="213"/>
        <v>1</v>
      </c>
      <c r="C3852" t="str">
        <f t="shared" si="214"/>
        <v>77</v>
      </c>
      <c r="D3852" t="str">
        <f>"8"</f>
        <v>8</v>
      </c>
      <c r="E3852" t="str">
        <f>"1-77-8"</f>
        <v>1-77-8</v>
      </c>
      <c r="F3852" t="s">
        <v>65</v>
      </c>
      <c r="G3852" t="s">
        <v>66</v>
      </c>
      <c r="H3852" t="s">
        <v>67</v>
      </c>
      <c r="S3852">
        <v>0</v>
      </c>
      <c r="T3852">
        <v>1</v>
      </c>
      <c r="U3852">
        <v>0</v>
      </c>
      <c r="V3852">
        <v>0</v>
      </c>
      <c r="W3852">
        <v>0</v>
      </c>
      <c r="X3852">
        <v>1</v>
      </c>
      <c r="Y3852">
        <v>0</v>
      </c>
      <c r="Z3852">
        <v>1</v>
      </c>
      <c r="AA3852">
        <v>0</v>
      </c>
      <c r="AB3852">
        <v>0</v>
      </c>
      <c r="AC3852">
        <v>1</v>
      </c>
      <c r="AD3852">
        <v>0</v>
      </c>
      <c r="AE3852">
        <v>0</v>
      </c>
      <c r="AF3852">
        <v>0</v>
      </c>
      <c r="AG3852">
        <v>1</v>
      </c>
      <c r="AH3852">
        <v>1</v>
      </c>
      <c r="AI3852">
        <v>0</v>
      </c>
      <c r="AJ3852">
        <v>0</v>
      </c>
      <c r="AK3852">
        <v>0</v>
      </c>
      <c r="AL3852">
        <v>0</v>
      </c>
      <c r="AM3852">
        <v>0</v>
      </c>
    </row>
    <row r="3853" spans="1:39" x14ac:dyDescent="0.2">
      <c r="A3853" t="str">
        <f>"3849"</f>
        <v>3849</v>
      </c>
      <c r="B3853" t="str">
        <f t="shared" si="213"/>
        <v>1</v>
      </c>
      <c r="C3853" t="str">
        <f t="shared" si="214"/>
        <v>77</v>
      </c>
      <c r="D3853" t="str">
        <f>"23"</f>
        <v>23</v>
      </c>
      <c r="E3853" t="str">
        <f>"1-77-23"</f>
        <v>1-77-23</v>
      </c>
      <c r="F3853" t="s">
        <v>65</v>
      </c>
      <c r="G3853" t="s">
        <v>66</v>
      </c>
      <c r="H3853" t="s">
        <v>67</v>
      </c>
      <c r="S3853">
        <v>0</v>
      </c>
      <c r="T3853">
        <v>1</v>
      </c>
      <c r="U3853">
        <v>0</v>
      </c>
      <c r="V3853">
        <v>0</v>
      </c>
      <c r="W3853">
        <v>0</v>
      </c>
      <c r="X3853">
        <v>1</v>
      </c>
      <c r="Y3853">
        <v>0</v>
      </c>
      <c r="Z3853">
        <v>1</v>
      </c>
      <c r="AA3853">
        <v>0</v>
      </c>
      <c r="AB3853">
        <v>0</v>
      </c>
      <c r="AC3853">
        <v>1</v>
      </c>
      <c r="AD3853">
        <v>1</v>
      </c>
      <c r="AE3853">
        <v>1</v>
      </c>
      <c r="AF3853">
        <v>1</v>
      </c>
      <c r="AG3853">
        <v>1</v>
      </c>
      <c r="AH3853">
        <v>1</v>
      </c>
      <c r="AI3853">
        <v>1</v>
      </c>
      <c r="AJ3853">
        <v>1</v>
      </c>
      <c r="AK3853">
        <v>1</v>
      </c>
      <c r="AL3853">
        <v>1</v>
      </c>
      <c r="AM3853">
        <v>1</v>
      </c>
    </row>
    <row r="3854" spans="1:39" x14ac:dyDescent="0.2">
      <c r="A3854" t="str">
        <f>"3850"</f>
        <v>3850</v>
      </c>
      <c r="B3854" t="str">
        <f t="shared" si="213"/>
        <v>1</v>
      </c>
      <c r="C3854" t="str">
        <f t="shared" si="214"/>
        <v>77</v>
      </c>
      <c r="D3854" t="str">
        <f>"50"</f>
        <v>50</v>
      </c>
      <c r="E3854" t="str">
        <f>"1-77-50"</f>
        <v>1-77-50</v>
      </c>
      <c r="F3854" t="s">
        <v>65</v>
      </c>
      <c r="G3854" t="s">
        <v>66</v>
      </c>
      <c r="H3854" t="s">
        <v>67</v>
      </c>
      <c r="S3854">
        <v>0</v>
      </c>
      <c r="T3854">
        <v>1</v>
      </c>
      <c r="U3854">
        <v>0</v>
      </c>
      <c r="V3854">
        <v>0</v>
      </c>
      <c r="W3854">
        <v>0</v>
      </c>
      <c r="X3854">
        <v>1</v>
      </c>
      <c r="Y3854">
        <v>0</v>
      </c>
      <c r="Z3854">
        <v>1</v>
      </c>
      <c r="AA3854">
        <v>0</v>
      </c>
      <c r="AB3854">
        <v>0</v>
      </c>
      <c r="AC3854">
        <v>1</v>
      </c>
      <c r="AD3854">
        <v>0</v>
      </c>
      <c r="AE3854">
        <v>0</v>
      </c>
      <c r="AF3854">
        <v>0</v>
      </c>
      <c r="AG3854">
        <v>1</v>
      </c>
      <c r="AH3854">
        <v>1</v>
      </c>
      <c r="AI3854">
        <v>0</v>
      </c>
      <c r="AJ3854">
        <v>0</v>
      </c>
      <c r="AK3854">
        <v>0</v>
      </c>
      <c r="AL3854">
        <v>1</v>
      </c>
      <c r="AM3854">
        <v>1</v>
      </c>
    </row>
    <row r="3855" spans="1:39" x14ac:dyDescent="0.2">
      <c r="A3855" t="str">
        <f>"3851"</f>
        <v>3851</v>
      </c>
      <c r="B3855" t="str">
        <f t="shared" si="213"/>
        <v>1</v>
      </c>
      <c r="C3855" t="str">
        <f t="shared" ref="C3855:C3886" si="215">"78"</f>
        <v>78</v>
      </c>
      <c r="D3855" t="str">
        <f>"32"</f>
        <v>32</v>
      </c>
      <c r="E3855" t="str">
        <f>"1-78-32"</f>
        <v>1-78-32</v>
      </c>
      <c r="F3855" t="s">
        <v>65</v>
      </c>
      <c r="G3855" t="s">
        <v>66</v>
      </c>
      <c r="H3855" t="s">
        <v>67</v>
      </c>
      <c r="S3855">
        <v>1</v>
      </c>
      <c r="T3855">
        <v>0</v>
      </c>
      <c r="U3855">
        <v>0</v>
      </c>
      <c r="V3855">
        <v>0</v>
      </c>
      <c r="W3855">
        <v>1</v>
      </c>
      <c r="X3855">
        <v>0</v>
      </c>
      <c r="Y3855">
        <v>1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1</v>
      </c>
      <c r="AF3855">
        <v>1</v>
      </c>
      <c r="AG3855">
        <v>1</v>
      </c>
      <c r="AH3855">
        <v>1</v>
      </c>
      <c r="AI3855">
        <v>1</v>
      </c>
      <c r="AJ3855">
        <v>1</v>
      </c>
      <c r="AK3855">
        <v>1</v>
      </c>
      <c r="AL3855">
        <v>1</v>
      </c>
      <c r="AM3855">
        <v>1</v>
      </c>
    </row>
    <row r="3856" spans="1:39" x14ac:dyDescent="0.2">
      <c r="A3856" t="str">
        <f>"3852"</f>
        <v>3852</v>
      </c>
      <c r="B3856" t="str">
        <f t="shared" si="213"/>
        <v>1</v>
      </c>
      <c r="C3856" t="str">
        <f t="shared" si="215"/>
        <v>78</v>
      </c>
      <c r="D3856" t="str">
        <f>"31"</f>
        <v>31</v>
      </c>
      <c r="E3856" t="str">
        <f>"1-78-31"</f>
        <v>1-78-31</v>
      </c>
      <c r="F3856" t="s">
        <v>65</v>
      </c>
      <c r="G3856" t="s">
        <v>66</v>
      </c>
      <c r="H3856" t="s">
        <v>67</v>
      </c>
      <c r="S3856">
        <v>1</v>
      </c>
      <c r="T3856">
        <v>0</v>
      </c>
      <c r="U3856">
        <v>0</v>
      </c>
      <c r="V3856">
        <v>0</v>
      </c>
      <c r="W3856">
        <v>1</v>
      </c>
      <c r="X3856">
        <v>0</v>
      </c>
      <c r="Y3856">
        <v>1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1</v>
      </c>
      <c r="AF3856">
        <v>1</v>
      </c>
      <c r="AG3856">
        <v>1</v>
      </c>
      <c r="AH3856">
        <v>1</v>
      </c>
      <c r="AI3856">
        <v>1</v>
      </c>
      <c r="AJ3856">
        <v>1</v>
      </c>
      <c r="AK3856">
        <v>1</v>
      </c>
      <c r="AL3856">
        <v>1</v>
      </c>
      <c r="AM3856">
        <v>1</v>
      </c>
    </row>
    <row r="3857" spans="1:39" x14ac:dyDescent="0.2">
      <c r="A3857" t="str">
        <f>"3853"</f>
        <v>3853</v>
      </c>
      <c r="B3857" t="str">
        <f t="shared" si="213"/>
        <v>1</v>
      </c>
      <c r="C3857" t="str">
        <f t="shared" si="215"/>
        <v>78</v>
      </c>
      <c r="D3857" t="str">
        <f>"24"</f>
        <v>24</v>
      </c>
      <c r="E3857" t="str">
        <f>"1-78-24"</f>
        <v>1-78-24</v>
      </c>
      <c r="F3857" t="s">
        <v>65</v>
      </c>
      <c r="G3857" t="s">
        <v>66</v>
      </c>
      <c r="H3857" t="s">
        <v>67</v>
      </c>
      <c r="S3857">
        <v>0</v>
      </c>
      <c r="T3857">
        <v>1</v>
      </c>
      <c r="U3857">
        <v>0</v>
      </c>
      <c r="V3857">
        <v>0</v>
      </c>
      <c r="W3857">
        <v>0</v>
      </c>
      <c r="X3857">
        <v>1</v>
      </c>
      <c r="Y3857">
        <v>1</v>
      </c>
      <c r="Z3857">
        <v>0</v>
      </c>
      <c r="AA3857">
        <v>0</v>
      </c>
      <c r="AB3857">
        <v>1</v>
      </c>
      <c r="AC3857">
        <v>0</v>
      </c>
      <c r="AD3857">
        <v>1</v>
      </c>
      <c r="AE3857">
        <v>1</v>
      </c>
      <c r="AF3857">
        <v>1</v>
      </c>
      <c r="AG3857">
        <v>1</v>
      </c>
      <c r="AH3857">
        <v>1</v>
      </c>
      <c r="AI3857">
        <v>1</v>
      </c>
      <c r="AJ3857">
        <v>1</v>
      </c>
      <c r="AK3857">
        <v>1</v>
      </c>
      <c r="AL3857">
        <v>1</v>
      </c>
      <c r="AM3857">
        <v>1</v>
      </c>
    </row>
    <row r="3858" spans="1:39" x14ac:dyDescent="0.2">
      <c r="A3858" t="str">
        <f>"3854"</f>
        <v>3854</v>
      </c>
      <c r="B3858" t="str">
        <f t="shared" si="213"/>
        <v>1</v>
      </c>
      <c r="C3858" t="str">
        <f t="shared" si="215"/>
        <v>78</v>
      </c>
      <c r="D3858" t="str">
        <f>"15"</f>
        <v>15</v>
      </c>
      <c r="E3858" t="str">
        <f>"1-78-15"</f>
        <v>1-78-15</v>
      </c>
      <c r="F3858" t="s">
        <v>65</v>
      </c>
      <c r="G3858" t="s">
        <v>66</v>
      </c>
      <c r="H3858" t="s">
        <v>68</v>
      </c>
      <c r="I3858">
        <v>1</v>
      </c>
      <c r="J3858">
        <v>0</v>
      </c>
      <c r="K3858">
        <v>0</v>
      </c>
      <c r="L3858">
        <v>1</v>
      </c>
      <c r="M3858">
        <v>1</v>
      </c>
      <c r="N3858">
        <v>1</v>
      </c>
      <c r="O3858">
        <v>1</v>
      </c>
      <c r="P3858">
        <v>1</v>
      </c>
      <c r="Q3858">
        <v>1</v>
      </c>
      <c r="R3858">
        <v>1</v>
      </c>
    </row>
    <row r="3859" spans="1:39" x14ac:dyDescent="0.2">
      <c r="A3859" t="str">
        <f>"3855"</f>
        <v>3855</v>
      </c>
      <c r="B3859" t="str">
        <f t="shared" si="213"/>
        <v>1</v>
      </c>
      <c r="C3859" t="str">
        <f t="shared" si="215"/>
        <v>78</v>
      </c>
      <c r="D3859" t="str">
        <f>"5"</f>
        <v>5</v>
      </c>
      <c r="E3859" t="str">
        <f>"1-78-5"</f>
        <v>1-78-5</v>
      </c>
      <c r="F3859" t="s">
        <v>65</v>
      </c>
      <c r="G3859" t="s">
        <v>66</v>
      </c>
      <c r="H3859" t="s">
        <v>67</v>
      </c>
      <c r="S3859">
        <v>1</v>
      </c>
      <c r="T3859">
        <v>0</v>
      </c>
      <c r="U3859">
        <v>0</v>
      </c>
      <c r="V3859">
        <v>0</v>
      </c>
      <c r="W3859">
        <v>1</v>
      </c>
      <c r="X3859">
        <v>0</v>
      </c>
      <c r="Y3859">
        <v>1</v>
      </c>
      <c r="Z3859">
        <v>0</v>
      </c>
      <c r="AA3859">
        <v>0</v>
      </c>
      <c r="AB3859">
        <v>1</v>
      </c>
      <c r="AC3859">
        <v>0</v>
      </c>
      <c r="AD3859">
        <v>1</v>
      </c>
      <c r="AE3859">
        <v>1</v>
      </c>
      <c r="AF3859">
        <v>1</v>
      </c>
      <c r="AG3859">
        <v>1</v>
      </c>
      <c r="AH3859">
        <v>1</v>
      </c>
      <c r="AI3859">
        <v>1</v>
      </c>
      <c r="AJ3859">
        <v>1</v>
      </c>
      <c r="AK3859">
        <v>1</v>
      </c>
      <c r="AL3859">
        <v>1</v>
      </c>
      <c r="AM3859">
        <v>1</v>
      </c>
    </row>
    <row r="3860" spans="1:39" x14ac:dyDescent="0.2">
      <c r="A3860" t="str">
        <f>"3856"</f>
        <v>3856</v>
      </c>
      <c r="B3860" t="str">
        <f t="shared" si="213"/>
        <v>1</v>
      </c>
      <c r="C3860" t="str">
        <f t="shared" si="215"/>
        <v>78</v>
      </c>
      <c r="D3860" t="str">
        <f>"36"</f>
        <v>36</v>
      </c>
      <c r="E3860" t="str">
        <f>"1-78-36"</f>
        <v>1-78-36</v>
      </c>
      <c r="F3860" t="s">
        <v>65</v>
      </c>
      <c r="G3860" t="s">
        <v>66</v>
      </c>
      <c r="H3860" t="s">
        <v>67</v>
      </c>
      <c r="S3860">
        <v>0</v>
      </c>
      <c r="T3860">
        <v>1</v>
      </c>
      <c r="U3860">
        <v>0</v>
      </c>
      <c r="V3860">
        <v>0</v>
      </c>
      <c r="W3860">
        <v>1</v>
      </c>
      <c r="X3860">
        <v>0</v>
      </c>
      <c r="Y3860">
        <v>1</v>
      </c>
      <c r="Z3860">
        <v>0</v>
      </c>
      <c r="AA3860">
        <v>0</v>
      </c>
      <c r="AB3860">
        <v>1</v>
      </c>
      <c r="AC3860">
        <v>0</v>
      </c>
      <c r="AD3860">
        <v>1</v>
      </c>
      <c r="AE3860">
        <v>1</v>
      </c>
      <c r="AF3860">
        <v>1</v>
      </c>
      <c r="AG3860">
        <v>1</v>
      </c>
      <c r="AH3860">
        <v>1</v>
      </c>
      <c r="AI3860">
        <v>1</v>
      </c>
      <c r="AJ3860">
        <v>1</v>
      </c>
      <c r="AK3860">
        <v>1</v>
      </c>
      <c r="AL3860">
        <v>1</v>
      </c>
      <c r="AM3860">
        <v>1</v>
      </c>
    </row>
    <row r="3861" spans="1:39" x14ac:dyDescent="0.2">
      <c r="A3861" t="str">
        <f>"3857"</f>
        <v>3857</v>
      </c>
      <c r="B3861" t="str">
        <f t="shared" si="213"/>
        <v>1</v>
      </c>
      <c r="C3861" t="str">
        <f t="shared" si="215"/>
        <v>78</v>
      </c>
      <c r="D3861" t="str">
        <f>"35"</f>
        <v>35</v>
      </c>
      <c r="E3861" t="str">
        <f>"1-78-35"</f>
        <v>1-78-35</v>
      </c>
      <c r="F3861" t="s">
        <v>65</v>
      </c>
      <c r="G3861" t="s">
        <v>66</v>
      </c>
      <c r="H3861" t="s">
        <v>67</v>
      </c>
      <c r="S3861">
        <v>0</v>
      </c>
      <c r="T3861">
        <v>1</v>
      </c>
      <c r="U3861">
        <v>0</v>
      </c>
      <c r="V3861">
        <v>0</v>
      </c>
      <c r="W3861">
        <v>0</v>
      </c>
      <c r="X3861">
        <v>1</v>
      </c>
      <c r="Y3861">
        <v>1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1</v>
      </c>
      <c r="AF3861">
        <v>1</v>
      </c>
      <c r="AG3861">
        <v>1</v>
      </c>
      <c r="AH3861">
        <v>1</v>
      </c>
      <c r="AI3861">
        <v>1</v>
      </c>
      <c r="AJ3861">
        <v>1</v>
      </c>
      <c r="AK3861">
        <v>1</v>
      </c>
      <c r="AL3861">
        <v>1</v>
      </c>
      <c r="AM3861">
        <v>0</v>
      </c>
    </row>
    <row r="3862" spans="1:39" x14ac:dyDescent="0.2">
      <c r="A3862" t="str">
        <f>"3858"</f>
        <v>3858</v>
      </c>
      <c r="B3862" t="str">
        <f t="shared" si="213"/>
        <v>1</v>
      </c>
      <c r="C3862" t="str">
        <f t="shared" si="215"/>
        <v>78</v>
      </c>
      <c r="D3862" t="str">
        <f>"27"</f>
        <v>27</v>
      </c>
      <c r="E3862" t="str">
        <f>"1-78-27"</f>
        <v>1-78-27</v>
      </c>
      <c r="F3862" t="s">
        <v>65</v>
      </c>
      <c r="G3862" t="s">
        <v>66</v>
      </c>
      <c r="H3862" t="s">
        <v>67</v>
      </c>
      <c r="S3862">
        <v>0</v>
      </c>
      <c r="T3862">
        <v>1</v>
      </c>
      <c r="U3862">
        <v>0</v>
      </c>
      <c r="V3862">
        <v>0</v>
      </c>
      <c r="W3862">
        <v>0</v>
      </c>
      <c r="X3862">
        <v>1</v>
      </c>
      <c r="Y3862">
        <v>0</v>
      </c>
      <c r="Z3862">
        <v>1</v>
      </c>
      <c r="AA3862">
        <v>0</v>
      </c>
      <c r="AB3862">
        <v>1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</row>
    <row r="3863" spans="1:39" x14ac:dyDescent="0.2">
      <c r="A3863" t="str">
        <f>"3859"</f>
        <v>3859</v>
      </c>
      <c r="B3863" t="str">
        <f t="shared" si="213"/>
        <v>1</v>
      </c>
      <c r="C3863" t="str">
        <f t="shared" si="215"/>
        <v>78</v>
      </c>
      <c r="D3863" t="str">
        <f>"16"</f>
        <v>16</v>
      </c>
      <c r="E3863" t="str">
        <f>"1-78-16"</f>
        <v>1-78-16</v>
      </c>
      <c r="F3863" t="s">
        <v>65</v>
      </c>
      <c r="G3863" t="s">
        <v>66</v>
      </c>
      <c r="H3863" t="s">
        <v>67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</row>
    <row r="3864" spans="1:39" x14ac:dyDescent="0.2">
      <c r="A3864" t="str">
        <f>"3860"</f>
        <v>3860</v>
      </c>
      <c r="B3864" t="str">
        <f t="shared" si="213"/>
        <v>1</v>
      </c>
      <c r="C3864" t="str">
        <f t="shared" si="215"/>
        <v>78</v>
      </c>
      <c r="D3864" t="str">
        <f>"10"</f>
        <v>10</v>
      </c>
      <c r="E3864" t="str">
        <f>"1-78-10"</f>
        <v>1-78-10</v>
      </c>
      <c r="F3864" t="s">
        <v>65</v>
      </c>
      <c r="G3864" t="s">
        <v>66</v>
      </c>
      <c r="H3864" t="s">
        <v>67</v>
      </c>
      <c r="S3864">
        <v>0</v>
      </c>
      <c r="T3864">
        <v>1</v>
      </c>
      <c r="U3864">
        <v>0</v>
      </c>
      <c r="V3864">
        <v>0</v>
      </c>
      <c r="W3864">
        <v>0</v>
      </c>
      <c r="X3864">
        <v>1</v>
      </c>
      <c r="Y3864">
        <v>0</v>
      </c>
      <c r="Z3864">
        <v>1</v>
      </c>
      <c r="AA3864">
        <v>0</v>
      </c>
      <c r="AB3864">
        <v>1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</row>
    <row r="3865" spans="1:39" x14ac:dyDescent="0.2">
      <c r="A3865" t="str">
        <f>"3861"</f>
        <v>3861</v>
      </c>
      <c r="B3865" t="str">
        <f t="shared" si="213"/>
        <v>1</v>
      </c>
      <c r="C3865" t="str">
        <f t="shared" si="215"/>
        <v>78</v>
      </c>
      <c r="D3865" t="str">
        <f>"37"</f>
        <v>37</v>
      </c>
      <c r="E3865" t="str">
        <f>"1-78-37"</f>
        <v>1-78-37</v>
      </c>
      <c r="F3865" t="s">
        <v>65</v>
      </c>
      <c r="G3865" t="s">
        <v>66</v>
      </c>
      <c r="H3865" t="s">
        <v>67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1</v>
      </c>
      <c r="AI3865">
        <v>1</v>
      </c>
      <c r="AJ3865">
        <v>1</v>
      </c>
      <c r="AK3865">
        <v>1</v>
      </c>
      <c r="AL3865">
        <v>1</v>
      </c>
      <c r="AM3865">
        <v>0</v>
      </c>
    </row>
    <row r="3866" spans="1:39" x14ac:dyDescent="0.2">
      <c r="A3866" t="str">
        <f>"3862"</f>
        <v>3862</v>
      </c>
      <c r="B3866" t="str">
        <f t="shared" si="213"/>
        <v>1</v>
      </c>
      <c r="C3866" t="str">
        <f t="shared" si="215"/>
        <v>78</v>
      </c>
      <c r="D3866" t="str">
        <f>"17"</f>
        <v>17</v>
      </c>
      <c r="E3866" t="str">
        <f>"1-78-17"</f>
        <v>1-78-17</v>
      </c>
      <c r="F3866" t="s">
        <v>65</v>
      </c>
      <c r="G3866" t="s">
        <v>66</v>
      </c>
      <c r="H3866" t="s">
        <v>67</v>
      </c>
      <c r="S3866">
        <v>0</v>
      </c>
      <c r="T3866">
        <v>1</v>
      </c>
      <c r="U3866">
        <v>0</v>
      </c>
      <c r="V3866">
        <v>0</v>
      </c>
      <c r="W3866">
        <v>1</v>
      </c>
      <c r="X3866">
        <v>0</v>
      </c>
      <c r="Y3866">
        <v>1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1</v>
      </c>
      <c r="AF3866">
        <v>1</v>
      </c>
      <c r="AG3866">
        <v>1</v>
      </c>
      <c r="AH3866">
        <v>1</v>
      </c>
      <c r="AI3866">
        <v>1</v>
      </c>
      <c r="AJ3866">
        <v>1</v>
      </c>
      <c r="AK3866">
        <v>1</v>
      </c>
      <c r="AL3866">
        <v>1</v>
      </c>
      <c r="AM3866">
        <v>1</v>
      </c>
    </row>
    <row r="3867" spans="1:39" x14ac:dyDescent="0.2">
      <c r="A3867" t="str">
        <f>"3863"</f>
        <v>3863</v>
      </c>
      <c r="B3867" t="str">
        <f t="shared" si="213"/>
        <v>1</v>
      </c>
      <c r="C3867" t="str">
        <f t="shared" si="215"/>
        <v>78</v>
      </c>
      <c r="D3867" t="str">
        <f>"9"</f>
        <v>9</v>
      </c>
      <c r="E3867" t="str">
        <f>"1-78-9"</f>
        <v>1-78-9</v>
      </c>
      <c r="F3867" t="s">
        <v>65</v>
      </c>
      <c r="G3867" t="s">
        <v>66</v>
      </c>
      <c r="H3867" t="s">
        <v>67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1</v>
      </c>
      <c r="Y3867">
        <v>0</v>
      </c>
      <c r="Z3867">
        <v>1</v>
      </c>
      <c r="AA3867">
        <v>0</v>
      </c>
      <c r="AB3867">
        <v>0</v>
      </c>
      <c r="AC3867">
        <v>1</v>
      </c>
      <c r="AD3867">
        <v>1</v>
      </c>
      <c r="AE3867">
        <v>1</v>
      </c>
      <c r="AF3867">
        <v>1</v>
      </c>
      <c r="AG3867">
        <v>1</v>
      </c>
      <c r="AH3867">
        <v>1</v>
      </c>
      <c r="AI3867">
        <v>1</v>
      </c>
      <c r="AJ3867">
        <v>1</v>
      </c>
      <c r="AK3867">
        <v>1</v>
      </c>
      <c r="AL3867">
        <v>1</v>
      </c>
      <c r="AM3867">
        <v>1</v>
      </c>
    </row>
    <row r="3868" spans="1:39" x14ac:dyDescent="0.2">
      <c r="A3868" t="str">
        <f>"3864"</f>
        <v>3864</v>
      </c>
      <c r="B3868" t="str">
        <f t="shared" si="213"/>
        <v>1</v>
      </c>
      <c r="C3868" t="str">
        <f t="shared" si="215"/>
        <v>78</v>
      </c>
      <c r="D3868" t="str">
        <f>"49"</f>
        <v>49</v>
      </c>
      <c r="E3868" t="str">
        <f>"1-78-49"</f>
        <v>1-78-49</v>
      </c>
      <c r="F3868" t="s">
        <v>65</v>
      </c>
      <c r="G3868" t="s">
        <v>66</v>
      </c>
      <c r="H3868" t="s">
        <v>67</v>
      </c>
      <c r="S3868">
        <v>0</v>
      </c>
      <c r="T3868">
        <v>1</v>
      </c>
      <c r="U3868">
        <v>0</v>
      </c>
      <c r="V3868">
        <v>0</v>
      </c>
      <c r="W3868">
        <v>0</v>
      </c>
      <c r="X3868">
        <v>1</v>
      </c>
      <c r="Y3868">
        <v>0</v>
      </c>
      <c r="Z3868">
        <v>1</v>
      </c>
      <c r="AA3868">
        <v>0</v>
      </c>
      <c r="AB3868">
        <v>0</v>
      </c>
      <c r="AC3868">
        <v>1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</row>
    <row r="3869" spans="1:39" x14ac:dyDescent="0.2">
      <c r="A3869" t="str">
        <f>"3865"</f>
        <v>3865</v>
      </c>
      <c r="B3869" t="str">
        <f t="shared" si="213"/>
        <v>1</v>
      </c>
      <c r="C3869" t="str">
        <f t="shared" si="215"/>
        <v>78</v>
      </c>
      <c r="D3869" t="str">
        <f>"33"</f>
        <v>33</v>
      </c>
      <c r="E3869" t="str">
        <f>"1-78-33"</f>
        <v>1-78-33</v>
      </c>
      <c r="F3869" t="s">
        <v>65</v>
      </c>
      <c r="G3869" t="s">
        <v>66</v>
      </c>
      <c r="H3869" t="s">
        <v>67</v>
      </c>
      <c r="S3869">
        <v>0</v>
      </c>
      <c r="T3869">
        <v>1</v>
      </c>
      <c r="U3869">
        <v>0</v>
      </c>
      <c r="V3869">
        <v>0</v>
      </c>
      <c r="W3869">
        <v>0</v>
      </c>
      <c r="X3869">
        <v>1</v>
      </c>
      <c r="Y3869">
        <v>1</v>
      </c>
      <c r="Z3869">
        <v>0</v>
      </c>
      <c r="AA3869">
        <v>0</v>
      </c>
      <c r="AB3869">
        <v>1</v>
      </c>
      <c r="AC3869">
        <v>0</v>
      </c>
      <c r="AD3869">
        <v>1</v>
      </c>
      <c r="AE3869">
        <v>1</v>
      </c>
      <c r="AF3869">
        <v>1</v>
      </c>
      <c r="AG3869">
        <v>1</v>
      </c>
      <c r="AH3869">
        <v>1</v>
      </c>
      <c r="AI3869">
        <v>1</v>
      </c>
      <c r="AJ3869">
        <v>1</v>
      </c>
      <c r="AK3869">
        <v>1</v>
      </c>
      <c r="AL3869">
        <v>1</v>
      </c>
      <c r="AM3869">
        <v>1</v>
      </c>
    </row>
    <row r="3870" spans="1:39" x14ac:dyDescent="0.2">
      <c r="A3870" t="str">
        <f>"3866"</f>
        <v>3866</v>
      </c>
      <c r="B3870" t="str">
        <f t="shared" si="213"/>
        <v>1</v>
      </c>
      <c r="C3870" t="str">
        <f t="shared" si="215"/>
        <v>78</v>
      </c>
      <c r="D3870" t="str">
        <f>"18"</f>
        <v>18</v>
      </c>
      <c r="E3870" t="str">
        <f>"1-78-18"</f>
        <v>1-78-18</v>
      </c>
      <c r="F3870" t="s">
        <v>65</v>
      </c>
      <c r="G3870" t="s">
        <v>66</v>
      </c>
      <c r="H3870" t="s">
        <v>67</v>
      </c>
      <c r="S3870">
        <v>1</v>
      </c>
      <c r="T3870">
        <v>0</v>
      </c>
      <c r="U3870">
        <v>0</v>
      </c>
      <c r="V3870">
        <v>0</v>
      </c>
      <c r="W3870">
        <v>0</v>
      </c>
      <c r="X3870">
        <v>1</v>
      </c>
      <c r="Y3870">
        <v>0</v>
      </c>
      <c r="Z3870">
        <v>1</v>
      </c>
      <c r="AA3870">
        <v>0</v>
      </c>
      <c r="AB3870">
        <v>1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</row>
    <row r="3871" spans="1:39" x14ac:dyDescent="0.2">
      <c r="A3871" t="str">
        <f>"3867"</f>
        <v>3867</v>
      </c>
      <c r="B3871" t="str">
        <f t="shared" si="213"/>
        <v>1</v>
      </c>
      <c r="C3871" t="str">
        <f t="shared" si="215"/>
        <v>78</v>
      </c>
      <c r="D3871" t="str">
        <f>"2"</f>
        <v>2</v>
      </c>
      <c r="E3871" t="str">
        <f>"1-78-2"</f>
        <v>1-78-2</v>
      </c>
      <c r="F3871" t="s">
        <v>65</v>
      </c>
      <c r="G3871" t="s">
        <v>66</v>
      </c>
      <c r="H3871" t="s">
        <v>67</v>
      </c>
      <c r="S3871">
        <v>1</v>
      </c>
      <c r="T3871">
        <v>0</v>
      </c>
      <c r="U3871">
        <v>0</v>
      </c>
      <c r="V3871">
        <v>0</v>
      </c>
      <c r="W3871">
        <v>1</v>
      </c>
      <c r="X3871">
        <v>0</v>
      </c>
      <c r="Y3871">
        <v>1</v>
      </c>
      <c r="Z3871">
        <v>0</v>
      </c>
      <c r="AA3871">
        <v>0</v>
      </c>
      <c r="AB3871">
        <v>0</v>
      </c>
      <c r="AC3871">
        <v>1</v>
      </c>
      <c r="AD3871">
        <v>1</v>
      </c>
      <c r="AE3871">
        <v>1</v>
      </c>
      <c r="AF3871">
        <v>1</v>
      </c>
      <c r="AG3871">
        <v>1</v>
      </c>
      <c r="AH3871">
        <v>1</v>
      </c>
      <c r="AI3871">
        <v>1</v>
      </c>
      <c r="AJ3871">
        <v>1</v>
      </c>
      <c r="AK3871">
        <v>0</v>
      </c>
      <c r="AL3871">
        <v>1</v>
      </c>
      <c r="AM3871">
        <v>1</v>
      </c>
    </row>
    <row r="3872" spans="1:39" x14ac:dyDescent="0.2">
      <c r="A3872" t="str">
        <f>"3868"</f>
        <v>3868</v>
      </c>
      <c r="B3872" t="str">
        <f t="shared" si="213"/>
        <v>1</v>
      </c>
      <c r="C3872" t="str">
        <f t="shared" si="215"/>
        <v>78</v>
      </c>
      <c r="D3872" t="str">
        <f>"34"</f>
        <v>34</v>
      </c>
      <c r="E3872" t="str">
        <f>"1-78-34"</f>
        <v>1-78-34</v>
      </c>
      <c r="F3872" t="s">
        <v>65</v>
      </c>
      <c r="G3872" t="s">
        <v>66</v>
      </c>
      <c r="H3872" t="s">
        <v>67</v>
      </c>
      <c r="S3872">
        <v>1</v>
      </c>
      <c r="T3872">
        <v>0</v>
      </c>
      <c r="U3872">
        <v>0</v>
      </c>
      <c r="V3872">
        <v>0</v>
      </c>
      <c r="W3872">
        <v>1</v>
      </c>
      <c r="X3872">
        <v>0</v>
      </c>
      <c r="Y3872">
        <v>1</v>
      </c>
      <c r="Z3872">
        <v>0</v>
      </c>
      <c r="AA3872">
        <v>0</v>
      </c>
      <c r="AB3872">
        <v>0</v>
      </c>
      <c r="AC3872">
        <v>1</v>
      </c>
      <c r="AD3872">
        <v>1</v>
      </c>
      <c r="AE3872">
        <v>1</v>
      </c>
      <c r="AF3872">
        <v>1</v>
      </c>
      <c r="AG3872">
        <v>1</v>
      </c>
      <c r="AH3872">
        <v>1</v>
      </c>
      <c r="AI3872">
        <v>1</v>
      </c>
      <c r="AJ3872">
        <v>1</v>
      </c>
      <c r="AK3872">
        <v>1</v>
      </c>
      <c r="AL3872">
        <v>1</v>
      </c>
      <c r="AM3872">
        <v>1</v>
      </c>
    </row>
    <row r="3873" spans="1:39" x14ac:dyDescent="0.2">
      <c r="A3873" t="str">
        <f>"3869"</f>
        <v>3869</v>
      </c>
      <c r="B3873" t="str">
        <f t="shared" si="213"/>
        <v>1</v>
      </c>
      <c r="C3873" t="str">
        <f t="shared" si="215"/>
        <v>78</v>
      </c>
      <c r="D3873" t="str">
        <f>"19"</f>
        <v>19</v>
      </c>
      <c r="E3873" t="str">
        <f>"1-78-19"</f>
        <v>1-78-19</v>
      </c>
      <c r="F3873" t="s">
        <v>65</v>
      </c>
      <c r="G3873" t="s">
        <v>66</v>
      </c>
      <c r="H3873" t="s">
        <v>67</v>
      </c>
      <c r="S3873">
        <v>0</v>
      </c>
      <c r="T3873">
        <v>1</v>
      </c>
      <c r="U3873">
        <v>0</v>
      </c>
      <c r="V3873">
        <v>0</v>
      </c>
      <c r="W3873">
        <v>1</v>
      </c>
      <c r="X3873">
        <v>0</v>
      </c>
      <c r="Y3873">
        <v>1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1</v>
      </c>
      <c r="AF3873">
        <v>1</v>
      </c>
      <c r="AG3873">
        <v>1</v>
      </c>
      <c r="AH3873">
        <v>1</v>
      </c>
      <c r="AI3873">
        <v>1</v>
      </c>
      <c r="AJ3873">
        <v>1</v>
      </c>
      <c r="AK3873">
        <v>1</v>
      </c>
      <c r="AL3873">
        <v>1</v>
      </c>
      <c r="AM3873">
        <v>0</v>
      </c>
    </row>
    <row r="3874" spans="1:39" x14ac:dyDescent="0.2">
      <c r="A3874" t="str">
        <f>"3870"</f>
        <v>3870</v>
      </c>
      <c r="B3874" t="str">
        <f t="shared" si="213"/>
        <v>1</v>
      </c>
      <c r="C3874" t="str">
        <f t="shared" si="215"/>
        <v>78</v>
      </c>
      <c r="D3874" t="str">
        <f>"14"</f>
        <v>14</v>
      </c>
      <c r="E3874" t="str">
        <f>"1-78-14"</f>
        <v>1-78-14</v>
      </c>
      <c r="F3874" t="s">
        <v>65</v>
      </c>
      <c r="G3874" t="s">
        <v>66</v>
      </c>
      <c r="H3874" t="s">
        <v>68</v>
      </c>
      <c r="I3874">
        <v>1</v>
      </c>
      <c r="J3874">
        <v>0</v>
      </c>
      <c r="K3874">
        <v>0</v>
      </c>
      <c r="L3874">
        <v>1</v>
      </c>
      <c r="M3874">
        <v>1</v>
      </c>
      <c r="N3874">
        <v>1</v>
      </c>
      <c r="O3874">
        <v>1</v>
      </c>
      <c r="P3874">
        <v>1</v>
      </c>
      <c r="Q3874">
        <v>1</v>
      </c>
      <c r="R3874">
        <v>1</v>
      </c>
    </row>
    <row r="3875" spans="1:39" x14ac:dyDescent="0.2">
      <c r="A3875" t="str">
        <f>"3871"</f>
        <v>3871</v>
      </c>
      <c r="B3875" t="str">
        <f t="shared" si="213"/>
        <v>1</v>
      </c>
      <c r="C3875" t="str">
        <f t="shared" si="215"/>
        <v>78</v>
      </c>
      <c r="D3875" t="str">
        <f>"39"</f>
        <v>39</v>
      </c>
      <c r="E3875" t="str">
        <f>"1-78-39"</f>
        <v>1-78-39</v>
      </c>
      <c r="F3875" t="s">
        <v>65</v>
      </c>
      <c r="G3875" t="s">
        <v>66</v>
      </c>
      <c r="H3875" t="s">
        <v>67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1</v>
      </c>
      <c r="Y3875">
        <v>0</v>
      </c>
      <c r="Z3875">
        <v>1</v>
      </c>
      <c r="AA3875">
        <v>0</v>
      </c>
      <c r="AB3875">
        <v>0</v>
      </c>
      <c r="AC3875">
        <v>1</v>
      </c>
      <c r="AD3875">
        <v>1</v>
      </c>
      <c r="AE3875">
        <v>1</v>
      </c>
      <c r="AF3875">
        <v>1</v>
      </c>
      <c r="AG3875">
        <v>1</v>
      </c>
      <c r="AH3875">
        <v>1</v>
      </c>
      <c r="AI3875">
        <v>1</v>
      </c>
      <c r="AJ3875">
        <v>1</v>
      </c>
      <c r="AK3875">
        <v>1</v>
      </c>
      <c r="AL3875">
        <v>1</v>
      </c>
      <c r="AM3875">
        <v>1</v>
      </c>
    </row>
    <row r="3876" spans="1:39" x14ac:dyDescent="0.2">
      <c r="A3876" t="str">
        <f>"3872"</f>
        <v>3872</v>
      </c>
      <c r="B3876" t="str">
        <f t="shared" si="213"/>
        <v>1</v>
      </c>
      <c r="C3876" t="str">
        <f t="shared" si="215"/>
        <v>78</v>
      </c>
      <c r="D3876" t="str">
        <f>"20"</f>
        <v>20</v>
      </c>
      <c r="E3876" t="str">
        <f>"1-78-20"</f>
        <v>1-78-20</v>
      </c>
      <c r="F3876" t="s">
        <v>65</v>
      </c>
      <c r="G3876" t="s">
        <v>66</v>
      </c>
      <c r="H3876" t="s">
        <v>67</v>
      </c>
      <c r="S3876">
        <v>0</v>
      </c>
      <c r="T3876">
        <v>1</v>
      </c>
      <c r="U3876">
        <v>0</v>
      </c>
      <c r="V3876">
        <v>0</v>
      </c>
      <c r="W3876">
        <v>1</v>
      </c>
      <c r="X3876">
        <v>0</v>
      </c>
      <c r="Y3876">
        <v>1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1</v>
      </c>
      <c r="AF3876">
        <v>1</v>
      </c>
      <c r="AG3876">
        <v>1</v>
      </c>
      <c r="AH3876">
        <v>1</v>
      </c>
      <c r="AI3876">
        <v>1</v>
      </c>
      <c r="AJ3876">
        <v>1</v>
      </c>
      <c r="AK3876">
        <v>1</v>
      </c>
      <c r="AL3876">
        <v>1</v>
      </c>
      <c r="AM3876">
        <v>1</v>
      </c>
    </row>
    <row r="3877" spans="1:39" x14ac:dyDescent="0.2">
      <c r="A3877" t="str">
        <f>"3873"</f>
        <v>3873</v>
      </c>
      <c r="B3877" t="str">
        <f t="shared" si="213"/>
        <v>1</v>
      </c>
      <c r="C3877" t="str">
        <f t="shared" si="215"/>
        <v>78</v>
      </c>
      <c r="D3877" t="str">
        <f>"1"</f>
        <v>1</v>
      </c>
      <c r="E3877" t="str">
        <f>"1-78-1"</f>
        <v>1-78-1</v>
      </c>
      <c r="F3877" t="s">
        <v>65</v>
      </c>
      <c r="G3877" t="s">
        <v>66</v>
      </c>
      <c r="H3877" t="s">
        <v>67</v>
      </c>
      <c r="S3877">
        <v>0</v>
      </c>
      <c r="T3877">
        <v>1</v>
      </c>
      <c r="U3877">
        <v>0</v>
      </c>
      <c r="V3877">
        <v>0</v>
      </c>
      <c r="W3877">
        <v>0</v>
      </c>
      <c r="X3877">
        <v>1</v>
      </c>
      <c r="Y3877">
        <v>0</v>
      </c>
      <c r="Z3877">
        <v>1</v>
      </c>
      <c r="AA3877">
        <v>0</v>
      </c>
      <c r="AB3877">
        <v>1</v>
      </c>
      <c r="AC3877">
        <v>0</v>
      </c>
      <c r="AD3877">
        <v>1</v>
      </c>
      <c r="AE3877">
        <v>1</v>
      </c>
      <c r="AF3877">
        <v>1</v>
      </c>
      <c r="AG3877">
        <v>1</v>
      </c>
      <c r="AH3877">
        <v>1</v>
      </c>
      <c r="AI3877">
        <v>1</v>
      </c>
      <c r="AJ3877">
        <v>1</v>
      </c>
      <c r="AK3877">
        <v>1</v>
      </c>
      <c r="AL3877">
        <v>1</v>
      </c>
      <c r="AM3877">
        <v>1</v>
      </c>
    </row>
    <row r="3878" spans="1:39" x14ac:dyDescent="0.2">
      <c r="A3878" t="str">
        <f>"3874"</f>
        <v>3874</v>
      </c>
      <c r="B3878" t="str">
        <f t="shared" si="213"/>
        <v>1</v>
      </c>
      <c r="C3878" t="str">
        <f t="shared" si="215"/>
        <v>78</v>
      </c>
      <c r="D3878" t="str">
        <f>"40"</f>
        <v>40</v>
      </c>
      <c r="E3878" t="str">
        <f>"1-78-40"</f>
        <v>1-78-40</v>
      </c>
      <c r="F3878" t="s">
        <v>65</v>
      </c>
      <c r="G3878" t="s">
        <v>66</v>
      </c>
      <c r="H3878" t="s">
        <v>67</v>
      </c>
      <c r="S3878">
        <v>0</v>
      </c>
      <c r="T3878">
        <v>1</v>
      </c>
      <c r="U3878">
        <v>0</v>
      </c>
      <c r="V3878">
        <v>0</v>
      </c>
      <c r="W3878">
        <v>1</v>
      </c>
      <c r="X3878">
        <v>0</v>
      </c>
      <c r="Y3878">
        <v>0</v>
      </c>
      <c r="Z3878">
        <v>1</v>
      </c>
      <c r="AA3878">
        <v>1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1</v>
      </c>
      <c r="AH3878">
        <v>1</v>
      </c>
      <c r="AI3878">
        <v>0</v>
      </c>
      <c r="AJ3878">
        <v>0</v>
      </c>
      <c r="AK3878">
        <v>0</v>
      </c>
      <c r="AL3878">
        <v>1</v>
      </c>
      <c r="AM3878">
        <v>1</v>
      </c>
    </row>
    <row r="3879" spans="1:39" x14ac:dyDescent="0.2">
      <c r="A3879" t="str">
        <f>"3875"</f>
        <v>3875</v>
      </c>
      <c r="B3879" t="str">
        <f t="shared" si="213"/>
        <v>1</v>
      </c>
      <c r="C3879" t="str">
        <f t="shared" si="215"/>
        <v>78</v>
      </c>
      <c r="D3879" t="str">
        <f>"21"</f>
        <v>21</v>
      </c>
      <c r="E3879" t="str">
        <f>"1-78-21"</f>
        <v>1-78-21</v>
      </c>
      <c r="F3879" t="s">
        <v>65</v>
      </c>
      <c r="G3879" t="s">
        <v>66</v>
      </c>
      <c r="H3879" t="s">
        <v>67</v>
      </c>
      <c r="S3879">
        <v>1</v>
      </c>
      <c r="T3879">
        <v>0</v>
      </c>
      <c r="U3879">
        <v>0</v>
      </c>
      <c r="V3879">
        <v>0</v>
      </c>
      <c r="W3879">
        <v>0</v>
      </c>
      <c r="X3879">
        <v>1</v>
      </c>
      <c r="Y3879">
        <v>1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1</v>
      </c>
      <c r="AF3879">
        <v>1</v>
      </c>
      <c r="AG3879">
        <v>1</v>
      </c>
      <c r="AH3879">
        <v>1</v>
      </c>
      <c r="AI3879">
        <v>1</v>
      </c>
      <c r="AJ3879">
        <v>1</v>
      </c>
      <c r="AK3879">
        <v>1</v>
      </c>
      <c r="AL3879">
        <v>1</v>
      </c>
      <c r="AM3879">
        <v>1</v>
      </c>
    </row>
    <row r="3880" spans="1:39" x14ac:dyDescent="0.2">
      <c r="A3880" t="str">
        <f>"3876"</f>
        <v>3876</v>
      </c>
      <c r="B3880" t="str">
        <f t="shared" si="213"/>
        <v>1</v>
      </c>
      <c r="C3880" t="str">
        <f t="shared" si="215"/>
        <v>78</v>
      </c>
      <c r="D3880" t="str">
        <f>"11"</f>
        <v>11</v>
      </c>
      <c r="E3880" t="str">
        <f>"1-78-11"</f>
        <v>1-78-11</v>
      </c>
      <c r="F3880" t="s">
        <v>65</v>
      </c>
      <c r="G3880" t="s">
        <v>66</v>
      </c>
      <c r="H3880" t="s">
        <v>67</v>
      </c>
      <c r="S3880">
        <v>0</v>
      </c>
      <c r="T3880">
        <v>1</v>
      </c>
      <c r="U3880">
        <v>0</v>
      </c>
      <c r="V3880">
        <v>0</v>
      </c>
      <c r="W3880">
        <v>0</v>
      </c>
      <c r="X3880">
        <v>1</v>
      </c>
      <c r="Y3880">
        <v>0</v>
      </c>
      <c r="Z3880">
        <v>1</v>
      </c>
      <c r="AA3880">
        <v>0</v>
      </c>
      <c r="AB3880">
        <v>1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</row>
    <row r="3881" spans="1:39" x14ac:dyDescent="0.2">
      <c r="A3881" t="str">
        <f>"3877"</f>
        <v>3877</v>
      </c>
      <c r="B3881" t="str">
        <f t="shared" si="213"/>
        <v>1</v>
      </c>
      <c r="C3881" t="str">
        <f t="shared" si="215"/>
        <v>78</v>
      </c>
      <c r="D3881" t="str">
        <f>"41"</f>
        <v>41</v>
      </c>
      <c r="E3881" t="str">
        <f>"1-78-41"</f>
        <v>1-78-41</v>
      </c>
      <c r="F3881" t="s">
        <v>65</v>
      </c>
      <c r="G3881" t="s">
        <v>66</v>
      </c>
      <c r="H3881" t="s">
        <v>67</v>
      </c>
      <c r="S3881">
        <v>0</v>
      </c>
      <c r="T3881">
        <v>1</v>
      </c>
      <c r="U3881">
        <v>0</v>
      </c>
      <c r="V3881">
        <v>0</v>
      </c>
      <c r="W3881">
        <v>0</v>
      </c>
      <c r="X3881">
        <v>1</v>
      </c>
      <c r="Y3881">
        <v>0</v>
      </c>
      <c r="Z3881">
        <v>1</v>
      </c>
      <c r="AA3881">
        <v>0</v>
      </c>
      <c r="AB3881">
        <v>0</v>
      </c>
      <c r="AC3881">
        <v>1</v>
      </c>
      <c r="AD3881">
        <v>1</v>
      </c>
      <c r="AE3881">
        <v>1</v>
      </c>
      <c r="AF3881">
        <v>1</v>
      </c>
      <c r="AG3881">
        <v>1</v>
      </c>
      <c r="AH3881">
        <v>1</v>
      </c>
      <c r="AI3881">
        <v>1</v>
      </c>
      <c r="AJ3881">
        <v>1</v>
      </c>
      <c r="AK3881">
        <v>1</v>
      </c>
      <c r="AL3881">
        <v>1</v>
      </c>
      <c r="AM3881">
        <v>1</v>
      </c>
    </row>
    <row r="3882" spans="1:39" x14ac:dyDescent="0.2">
      <c r="A3882" t="str">
        <f>"3878"</f>
        <v>3878</v>
      </c>
      <c r="B3882" t="str">
        <f t="shared" si="213"/>
        <v>1</v>
      </c>
      <c r="C3882" t="str">
        <f t="shared" si="215"/>
        <v>78</v>
      </c>
      <c r="D3882" t="str">
        <f>"22"</f>
        <v>22</v>
      </c>
      <c r="E3882" t="str">
        <f>"1-78-22"</f>
        <v>1-78-22</v>
      </c>
      <c r="F3882" t="s">
        <v>65</v>
      </c>
      <c r="G3882" t="s">
        <v>66</v>
      </c>
      <c r="H3882" t="s">
        <v>67</v>
      </c>
      <c r="S3882">
        <v>1</v>
      </c>
      <c r="T3882">
        <v>0</v>
      </c>
      <c r="U3882">
        <v>0</v>
      </c>
      <c r="V3882">
        <v>0</v>
      </c>
      <c r="W3882">
        <v>1</v>
      </c>
      <c r="X3882">
        <v>0</v>
      </c>
      <c r="Y3882">
        <v>1</v>
      </c>
      <c r="Z3882">
        <v>0</v>
      </c>
      <c r="AA3882">
        <v>0</v>
      </c>
      <c r="AB3882">
        <v>1</v>
      </c>
      <c r="AC3882">
        <v>0</v>
      </c>
      <c r="AD3882">
        <v>1</v>
      </c>
      <c r="AE3882">
        <v>1</v>
      </c>
      <c r="AF3882">
        <v>1</v>
      </c>
      <c r="AG3882">
        <v>1</v>
      </c>
      <c r="AH3882">
        <v>1</v>
      </c>
      <c r="AI3882">
        <v>1</v>
      </c>
      <c r="AJ3882">
        <v>1</v>
      </c>
      <c r="AK3882">
        <v>1</v>
      </c>
      <c r="AL3882">
        <v>1</v>
      </c>
      <c r="AM3882">
        <v>1</v>
      </c>
    </row>
    <row r="3883" spans="1:39" x14ac:dyDescent="0.2">
      <c r="A3883" t="str">
        <f>"3879"</f>
        <v>3879</v>
      </c>
      <c r="B3883" t="str">
        <f t="shared" si="213"/>
        <v>1</v>
      </c>
      <c r="C3883" t="str">
        <f t="shared" si="215"/>
        <v>78</v>
      </c>
      <c r="D3883" t="str">
        <f>"13"</f>
        <v>13</v>
      </c>
      <c r="E3883" t="str">
        <f>"1-78-13"</f>
        <v>1-78-13</v>
      </c>
      <c r="F3883" t="s">
        <v>65</v>
      </c>
      <c r="G3883" t="s">
        <v>66</v>
      </c>
      <c r="H3883" t="s">
        <v>68</v>
      </c>
      <c r="I3883">
        <v>1</v>
      </c>
      <c r="J3883">
        <v>0</v>
      </c>
      <c r="K3883">
        <v>0</v>
      </c>
      <c r="L3883">
        <v>1</v>
      </c>
      <c r="M3883">
        <v>1</v>
      </c>
      <c r="N3883">
        <v>1</v>
      </c>
      <c r="O3883">
        <v>1</v>
      </c>
      <c r="P3883">
        <v>1</v>
      </c>
      <c r="Q3883">
        <v>1</v>
      </c>
      <c r="R3883">
        <v>1</v>
      </c>
    </row>
    <row r="3884" spans="1:39" x14ac:dyDescent="0.2">
      <c r="A3884" t="str">
        <f>"3880"</f>
        <v>3880</v>
      </c>
      <c r="B3884" t="str">
        <f t="shared" si="213"/>
        <v>1</v>
      </c>
      <c r="C3884" t="str">
        <f t="shared" si="215"/>
        <v>78</v>
      </c>
      <c r="D3884" t="str">
        <f>"42"</f>
        <v>42</v>
      </c>
      <c r="E3884" t="str">
        <f>"1-78-42"</f>
        <v>1-78-42</v>
      </c>
      <c r="F3884" t="s">
        <v>65</v>
      </c>
      <c r="G3884" t="s">
        <v>66</v>
      </c>
      <c r="H3884" t="s">
        <v>67</v>
      </c>
      <c r="S3884">
        <v>0</v>
      </c>
      <c r="T3884">
        <v>1</v>
      </c>
      <c r="U3884">
        <v>0</v>
      </c>
      <c r="V3884">
        <v>0</v>
      </c>
      <c r="W3884">
        <v>0</v>
      </c>
      <c r="X3884">
        <v>1</v>
      </c>
      <c r="Y3884">
        <v>1</v>
      </c>
      <c r="Z3884">
        <v>0</v>
      </c>
      <c r="AA3884">
        <v>0</v>
      </c>
      <c r="AB3884">
        <v>1</v>
      </c>
      <c r="AC3884">
        <v>0</v>
      </c>
      <c r="AD3884">
        <v>1</v>
      </c>
      <c r="AE3884">
        <v>1</v>
      </c>
      <c r="AF3884">
        <v>1</v>
      </c>
      <c r="AG3884">
        <v>1</v>
      </c>
      <c r="AH3884">
        <v>1</v>
      </c>
      <c r="AI3884">
        <v>1</v>
      </c>
      <c r="AJ3884">
        <v>1</v>
      </c>
      <c r="AK3884">
        <v>1</v>
      </c>
      <c r="AL3884">
        <v>1</v>
      </c>
      <c r="AM3884">
        <v>1</v>
      </c>
    </row>
    <row r="3885" spans="1:39" x14ac:dyDescent="0.2">
      <c r="A3885" t="str">
        <f>"3881"</f>
        <v>3881</v>
      </c>
      <c r="B3885" t="str">
        <f t="shared" si="213"/>
        <v>1</v>
      </c>
      <c r="C3885" t="str">
        <f t="shared" si="215"/>
        <v>78</v>
      </c>
      <c r="D3885" t="str">
        <f>"23"</f>
        <v>23</v>
      </c>
      <c r="E3885" t="str">
        <f>"1-78-23"</f>
        <v>1-78-23</v>
      </c>
      <c r="F3885" t="s">
        <v>65</v>
      </c>
      <c r="G3885" t="s">
        <v>66</v>
      </c>
      <c r="H3885" t="s">
        <v>67</v>
      </c>
      <c r="S3885">
        <v>0</v>
      </c>
      <c r="T3885">
        <v>1</v>
      </c>
      <c r="U3885">
        <v>0</v>
      </c>
      <c r="V3885">
        <v>0</v>
      </c>
      <c r="W3885">
        <v>1</v>
      </c>
      <c r="X3885">
        <v>0</v>
      </c>
      <c r="Y3885">
        <v>0</v>
      </c>
      <c r="Z3885">
        <v>1</v>
      </c>
      <c r="AA3885">
        <v>0</v>
      </c>
      <c r="AB3885">
        <v>0</v>
      </c>
      <c r="AC3885">
        <v>1</v>
      </c>
      <c r="AD3885">
        <v>1</v>
      </c>
      <c r="AE3885">
        <v>1</v>
      </c>
      <c r="AF3885">
        <v>1</v>
      </c>
      <c r="AG3885">
        <v>1</v>
      </c>
      <c r="AH3885">
        <v>1</v>
      </c>
      <c r="AI3885">
        <v>1</v>
      </c>
      <c r="AJ3885">
        <v>1</v>
      </c>
      <c r="AK3885">
        <v>1</v>
      </c>
      <c r="AL3885">
        <v>1</v>
      </c>
      <c r="AM3885">
        <v>1</v>
      </c>
    </row>
    <row r="3886" spans="1:39" x14ac:dyDescent="0.2">
      <c r="A3886" t="str">
        <f>"3882"</f>
        <v>3882</v>
      </c>
      <c r="B3886" t="str">
        <f t="shared" si="213"/>
        <v>1</v>
      </c>
      <c r="C3886" t="str">
        <f t="shared" si="215"/>
        <v>78</v>
      </c>
      <c r="D3886" t="str">
        <f>"12"</f>
        <v>12</v>
      </c>
      <c r="E3886" t="str">
        <f>"1-78-12"</f>
        <v>1-78-12</v>
      </c>
      <c r="F3886" t="s">
        <v>65</v>
      </c>
      <c r="G3886" t="s">
        <v>66</v>
      </c>
      <c r="H3886" t="s">
        <v>68</v>
      </c>
      <c r="I3886">
        <v>1</v>
      </c>
      <c r="J3886">
        <v>0</v>
      </c>
      <c r="K3886">
        <v>0</v>
      </c>
      <c r="L3886">
        <v>1</v>
      </c>
      <c r="M3886">
        <v>1</v>
      </c>
      <c r="N3886">
        <v>1</v>
      </c>
      <c r="O3886">
        <v>1</v>
      </c>
      <c r="P3886">
        <v>1</v>
      </c>
      <c r="Q3886">
        <v>0</v>
      </c>
      <c r="R3886">
        <v>0</v>
      </c>
    </row>
    <row r="3887" spans="1:39" x14ac:dyDescent="0.2">
      <c r="A3887" t="str">
        <f>"3883"</f>
        <v>3883</v>
      </c>
      <c r="B3887" t="str">
        <f t="shared" si="213"/>
        <v>1</v>
      </c>
      <c r="C3887" t="str">
        <f t="shared" ref="C3887:C3904" si="216">"78"</f>
        <v>78</v>
      </c>
      <c r="D3887" t="str">
        <f>"43"</f>
        <v>43</v>
      </c>
      <c r="E3887" t="str">
        <f>"1-78-43"</f>
        <v>1-78-43</v>
      </c>
      <c r="F3887" t="s">
        <v>65</v>
      </c>
      <c r="G3887" t="s">
        <v>66</v>
      </c>
      <c r="H3887" t="s">
        <v>67</v>
      </c>
      <c r="S3887">
        <v>0</v>
      </c>
      <c r="T3887">
        <v>1</v>
      </c>
      <c r="U3887">
        <v>0</v>
      </c>
      <c r="V3887">
        <v>0</v>
      </c>
      <c r="W3887">
        <v>0</v>
      </c>
      <c r="X3887">
        <v>1</v>
      </c>
      <c r="Y3887">
        <v>1</v>
      </c>
      <c r="Z3887">
        <v>0</v>
      </c>
      <c r="AA3887">
        <v>0</v>
      </c>
      <c r="AB3887">
        <v>1</v>
      </c>
      <c r="AC3887">
        <v>0</v>
      </c>
      <c r="AD3887">
        <v>1</v>
      </c>
      <c r="AE3887">
        <v>1</v>
      </c>
      <c r="AF3887">
        <v>1</v>
      </c>
      <c r="AG3887">
        <v>1</v>
      </c>
      <c r="AH3887">
        <v>1</v>
      </c>
      <c r="AI3887">
        <v>1</v>
      </c>
      <c r="AJ3887">
        <v>1</v>
      </c>
      <c r="AK3887">
        <v>1</v>
      </c>
      <c r="AL3887">
        <v>1</v>
      </c>
      <c r="AM3887">
        <v>1</v>
      </c>
    </row>
    <row r="3888" spans="1:39" x14ac:dyDescent="0.2">
      <c r="A3888" t="str">
        <f>"3884"</f>
        <v>3884</v>
      </c>
      <c r="B3888" t="str">
        <f t="shared" si="213"/>
        <v>1</v>
      </c>
      <c r="C3888" t="str">
        <f t="shared" si="216"/>
        <v>78</v>
      </c>
      <c r="D3888" t="str">
        <f>"25"</f>
        <v>25</v>
      </c>
      <c r="E3888" t="str">
        <f>"1-78-25"</f>
        <v>1-78-25</v>
      </c>
      <c r="F3888" t="s">
        <v>65</v>
      </c>
      <c r="G3888" t="s">
        <v>66</v>
      </c>
      <c r="H3888" t="s">
        <v>67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</row>
    <row r="3889" spans="1:39" x14ac:dyDescent="0.2">
      <c r="A3889" t="str">
        <f>"3885"</f>
        <v>3885</v>
      </c>
      <c r="B3889" t="str">
        <f t="shared" si="213"/>
        <v>1</v>
      </c>
      <c r="C3889" t="str">
        <f t="shared" si="216"/>
        <v>78</v>
      </c>
      <c r="D3889" t="str">
        <f>"4"</f>
        <v>4</v>
      </c>
      <c r="E3889" t="str">
        <f>"1-78-4"</f>
        <v>1-78-4</v>
      </c>
      <c r="F3889" t="s">
        <v>65</v>
      </c>
      <c r="G3889" t="s">
        <v>66</v>
      </c>
      <c r="H3889" t="s">
        <v>67</v>
      </c>
      <c r="S3889">
        <v>0</v>
      </c>
      <c r="T3889">
        <v>1</v>
      </c>
      <c r="U3889">
        <v>0</v>
      </c>
      <c r="V3889">
        <v>0</v>
      </c>
      <c r="W3889">
        <v>1</v>
      </c>
      <c r="X3889">
        <v>0</v>
      </c>
      <c r="Y3889">
        <v>0</v>
      </c>
      <c r="Z3889">
        <v>1</v>
      </c>
      <c r="AA3889">
        <v>0</v>
      </c>
      <c r="AB3889">
        <v>1</v>
      </c>
      <c r="AC3889">
        <v>0</v>
      </c>
      <c r="AD3889">
        <v>1</v>
      </c>
      <c r="AE3889">
        <v>1</v>
      </c>
      <c r="AF3889">
        <v>1</v>
      </c>
      <c r="AG3889">
        <v>1</v>
      </c>
      <c r="AH3889">
        <v>1</v>
      </c>
      <c r="AI3889">
        <v>1</v>
      </c>
      <c r="AJ3889">
        <v>1</v>
      </c>
      <c r="AK3889">
        <v>1</v>
      </c>
      <c r="AL3889">
        <v>1</v>
      </c>
      <c r="AM3889">
        <v>1</v>
      </c>
    </row>
    <row r="3890" spans="1:39" x14ac:dyDescent="0.2">
      <c r="A3890" t="str">
        <f>"3886"</f>
        <v>3886</v>
      </c>
      <c r="B3890" t="str">
        <f t="shared" si="213"/>
        <v>1</v>
      </c>
      <c r="C3890" t="str">
        <f t="shared" si="216"/>
        <v>78</v>
      </c>
      <c r="D3890" t="str">
        <f>"44"</f>
        <v>44</v>
      </c>
      <c r="E3890" t="str">
        <f>"1-78-44"</f>
        <v>1-78-44</v>
      </c>
      <c r="F3890" t="s">
        <v>65</v>
      </c>
      <c r="G3890" t="s">
        <v>66</v>
      </c>
      <c r="H3890" t="s">
        <v>67</v>
      </c>
      <c r="S3890">
        <v>0</v>
      </c>
      <c r="T3890">
        <v>1</v>
      </c>
      <c r="U3890">
        <v>0</v>
      </c>
      <c r="V3890">
        <v>0</v>
      </c>
      <c r="W3890">
        <v>0</v>
      </c>
      <c r="X3890">
        <v>1</v>
      </c>
      <c r="Y3890">
        <v>0</v>
      </c>
      <c r="Z3890">
        <v>1</v>
      </c>
      <c r="AA3890">
        <v>0</v>
      </c>
      <c r="AB3890">
        <v>1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</row>
    <row r="3891" spans="1:39" x14ac:dyDescent="0.2">
      <c r="A3891" t="str">
        <f>"3887"</f>
        <v>3887</v>
      </c>
      <c r="B3891" t="str">
        <f t="shared" si="213"/>
        <v>1</v>
      </c>
      <c r="C3891" t="str">
        <f t="shared" si="216"/>
        <v>78</v>
      </c>
      <c r="D3891" t="str">
        <f>"26"</f>
        <v>26</v>
      </c>
      <c r="E3891" t="str">
        <f>"1-78-26"</f>
        <v>1-78-26</v>
      </c>
      <c r="F3891" t="s">
        <v>65</v>
      </c>
      <c r="G3891" t="s">
        <v>66</v>
      </c>
      <c r="H3891" t="s">
        <v>67</v>
      </c>
      <c r="S3891">
        <v>0</v>
      </c>
      <c r="T3891">
        <v>1</v>
      </c>
      <c r="U3891">
        <v>0</v>
      </c>
      <c r="V3891">
        <v>0</v>
      </c>
      <c r="W3891">
        <v>0</v>
      </c>
      <c r="X3891">
        <v>1</v>
      </c>
      <c r="Y3891">
        <v>0</v>
      </c>
      <c r="Z3891">
        <v>1</v>
      </c>
      <c r="AA3891">
        <v>0</v>
      </c>
      <c r="AB3891">
        <v>1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</row>
    <row r="3892" spans="1:39" x14ac:dyDescent="0.2">
      <c r="A3892" t="str">
        <f>"3888"</f>
        <v>3888</v>
      </c>
      <c r="B3892" t="str">
        <f t="shared" si="213"/>
        <v>1</v>
      </c>
      <c r="C3892" t="str">
        <f t="shared" si="216"/>
        <v>78</v>
      </c>
      <c r="D3892" t="str">
        <f>"3"</f>
        <v>3</v>
      </c>
      <c r="E3892" t="str">
        <f>"1-78-3"</f>
        <v>1-78-3</v>
      </c>
      <c r="F3892" t="s">
        <v>65</v>
      </c>
      <c r="G3892" t="s">
        <v>66</v>
      </c>
      <c r="H3892" t="s">
        <v>67</v>
      </c>
      <c r="S3892">
        <v>1</v>
      </c>
      <c r="T3892">
        <v>0</v>
      </c>
      <c r="U3892">
        <v>0</v>
      </c>
      <c r="V3892">
        <v>0</v>
      </c>
      <c r="W3892">
        <v>1</v>
      </c>
      <c r="X3892">
        <v>0</v>
      </c>
      <c r="Y3892">
        <v>1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1</v>
      </c>
      <c r="AF3892">
        <v>1</v>
      </c>
      <c r="AG3892">
        <v>1</v>
      </c>
      <c r="AH3892">
        <v>1</v>
      </c>
      <c r="AI3892">
        <v>1</v>
      </c>
      <c r="AJ3892">
        <v>1</v>
      </c>
      <c r="AK3892">
        <v>1</v>
      </c>
      <c r="AL3892">
        <v>1</v>
      </c>
      <c r="AM3892">
        <v>1</v>
      </c>
    </row>
    <row r="3893" spans="1:39" x14ac:dyDescent="0.2">
      <c r="A3893" t="str">
        <f>"3889"</f>
        <v>3889</v>
      </c>
      <c r="B3893" t="str">
        <f t="shared" si="213"/>
        <v>1</v>
      </c>
      <c r="C3893" t="str">
        <f t="shared" si="216"/>
        <v>78</v>
      </c>
      <c r="D3893" t="str">
        <f>"45"</f>
        <v>45</v>
      </c>
      <c r="E3893" t="str">
        <f>"1-78-45"</f>
        <v>1-78-45</v>
      </c>
      <c r="F3893" t="s">
        <v>65</v>
      </c>
      <c r="G3893" t="s">
        <v>66</v>
      </c>
      <c r="H3893" t="s">
        <v>67</v>
      </c>
      <c r="S3893">
        <v>1</v>
      </c>
      <c r="T3893">
        <v>0</v>
      </c>
      <c r="U3893">
        <v>0</v>
      </c>
      <c r="V3893">
        <v>0</v>
      </c>
      <c r="W3893">
        <v>1</v>
      </c>
      <c r="X3893">
        <v>0</v>
      </c>
      <c r="Y3893">
        <v>1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1</v>
      </c>
      <c r="AF3893">
        <v>1</v>
      </c>
      <c r="AG3893">
        <v>1</v>
      </c>
      <c r="AH3893">
        <v>1</v>
      </c>
      <c r="AI3893">
        <v>1</v>
      </c>
      <c r="AJ3893">
        <v>1</v>
      </c>
      <c r="AK3893">
        <v>1</v>
      </c>
      <c r="AL3893">
        <v>1</v>
      </c>
      <c r="AM3893">
        <v>1</v>
      </c>
    </row>
    <row r="3894" spans="1:39" x14ac:dyDescent="0.2">
      <c r="A3894" t="str">
        <f>"3890"</f>
        <v>3890</v>
      </c>
      <c r="B3894" t="str">
        <f t="shared" si="213"/>
        <v>1</v>
      </c>
      <c r="C3894" t="str">
        <f t="shared" si="216"/>
        <v>78</v>
      </c>
      <c r="D3894" t="str">
        <f>"28"</f>
        <v>28</v>
      </c>
      <c r="E3894" t="str">
        <f>"1-78-28"</f>
        <v>1-78-28</v>
      </c>
      <c r="F3894" t="s">
        <v>65</v>
      </c>
      <c r="G3894" t="s">
        <v>66</v>
      </c>
      <c r="H3894" t="s">
        <v>67</v>
      </c>
      <c r="S3894">
        <v>0</v>
      </c>
      <c r="T3894">
        <v>1</v>
      </c>
      <c r="U3894">
        <v>0</v>
      </c>
      <c r="V3894">
        <v>0</v>
      </c>
      <c r="W3894">
        <v>0</v>
      </c>
      <c r="X3894">
        <v>1</v>
      </c>
      <c r="Y3894">
        <v>0</v>
      </c>
      <c r="Z3894">
        <v>1</v>
      </c>
      <c r="AA3894">
        <v>0</v>
      </c>
      <c r="AB3894">
        <v>1</v>
      </c>
      <c r="AC3894">
        <v>0</v>
      </c>
      <c r="AD3894">
        <v>1</v>
      </c>
      <c r="AE3894">
        <v>1</v>
      </c>
      <c r="AF3894">
        <v>1</v>
      </c>
      <c r="AG3894">
        <v>1</v>
      </c>
      <c r="AH3894">
        <v>1</v>
      </c>
      <c r="AI3894">
        <v>1</v>
      </c>
      <c r="AJ3894">
        <v>1</v>
      </c>
      <c r="AK3894">
        <v>1</v>
      </c>
      <c r="AL3894">
        <v>1</v>
      </c>
      <c r="AM3894">
        <v>1</v>
      </c>
    </row>
    <row r="3895" spans="1:39" x14ac:dyDescent="0.2">
      <c r="A3895" t="str">
        <f>"3891"</f>
        <v>3891</v>
      </c>
      <c r="B3895" t="str">
        <f t="shared" ref="B3895:B3958" si="217">"1"</f>
        <v>1</v>
      </c>
      <c r="C3895" t="str">
        <f t="shared" si="216"/>
        <v>78</v>
      </c>
      <c r="D3895" t="str">
        <f>"7"</f>
        <v>7</v>
      </c>
      <c r="E3895" t="str">
        <f>"1-78-7"</f>
        <v>1-78-7</v>
      </c>
      <c r="F3895" t="s">
        <v>65</v>
      </c>
      <c r="G3895" t="s">
        <v>66</v>
      </c>
      <c r="H3895" t="s">
        <v>67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1</v>
      </c>
      <c r="AH3895">
        <v>1</v>
      </c>
      <c r="AI3895">
        <v>1</v>
      </c>
      <c r="AJ3895">
        <v>1</v>
      </c>
      <c r="AK3895">
        <v>1</v>
      </c>
      <c r="AL3895">
        <v>1</v>
      </c>
      <c r="AM3895">
        <v>0</v>
      </c>
    </row>
    <row r="3896" spans="1:39" x14ac:dyDescent="0.2">
      <c r="A3896" t="str">
        <f>"3892"</f>
        <v>3892</v>
      </c>
      <c r="B3896" t="str">
        <f t="shared" si="217"/>
        <v>1</v>
      </c>
      <c r="C3896" t="str">
        <f t="shared" si="216"/>
        <v>78</v>
      </c>
      <c r="D3896" t="str">
        <f>"46"</f>
        <v>46</v>
      </c>
      <c r="E3896" t="str">
        <f>"1-78-46"</f>
        <v>1-78-46</v>
      </c>
      <c r="F3896" t="s">
        <v>65</v>
      </c>
      <c r="G3896" t="s">
        <v>66</v>
      </c>
      <c r="H3896" t="s">
        <v>67</v>
      </c>
      <c r="S3896">
        <v>1</v>
      </c>
      <c r="T3896">
        <v>0</v>
      </c>
      <c r="U3896">
        <v>0</v>
      </c>
      <c r="V3896">
        <v>0</v>
      </c>
      <c r="W3896">
        <v>1</v>
      </c>
      <c r="X3896">
        <v>0</v>
      </c>
      <c r="Y3896">
        <v>0</v>
      </c>
      <c r="Z3896">
        <v>1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</row>
    <row r="3897" spans="1:39" x14ac:dyDescent="0.2">
      <c r="A3897" t="str">
        <f>"3893"</f>
        <v>3893</v>
      </c>
      <c r="B3897" t="str">
        <f t="shared" si="217"/>
        <v>1</v>
      </c>
      <c r="C3897" t="str">
        <f t="shared" si="216"/>
        <v>78</v>
      </c>
      <c r="D3897" t="str">
        <f>"38"</f>
        <v>38</v>
      </c>
      <c r="E3897" t="str">
        <f>"1-78-38"</f>
        <v>1-78-38</v>
      </c>
      <c r="F3897" t="s">
        <v>65</v>
      </c>
      <c r="G3897" t="s">
        <v>66</v>
      </c>
      <c r="H3897" t="s">
        <v>67</v>
      </c>
      <c r="S3897">
        <v>1</v>
      </c>
      <c r="T3897">
        <v>0</v>
      </c>
      <c r="U3897">
        <v>0</v>
      </c>
      <c r="V3897">
        <v>0</v>
      </c>
      <c r="W3897">
        <v>1</v>
      </c>
      <c r="X3897">
        <v>0</v>
      </c>
      <c r="Y3897">
        <v>1</v>
      </c>
      <c r="Z3897">
        <v>0</v>
      </c>
      <c r="AA3897">
        <v>0</v>
      </c>
      <c r="AB3897">
        <v>1</v>
      </c>
      <c r="AC3897">
        <v>0</v>
      </c>
      <c r="AD3897">
        <v>1</v>
      </c>
      <c r="AE3897">
        <v>1</v>
      </c>
      <c r="AF3897">
        <v>1</v>
      </c>
      <c r="AG3897">
        <v>1</v>
      </c>
      <c r="AH3897">
        <v>1</v>
      </c>
      <c r="AI3897">
        <v>1</v>
      </c>
      <c r="AJ3897">
        <v>1</v>
      </c>
      <c r="AK3897">
        <v>1</v>
      </c>
      <c r="AL3897">
        <v>1</v>
      </c>
      <c r="AM3897">
        <v>1</v>
      </c>
    </row>
    <row r="3898" spans="1:39" x14ac:dyDescent="0.2">
      <c r="A3898" t="str">
        <f>"3894"</f>
        <v>3894</v>
      </c>
      <c r="B3898" t="str">
        <f t="shared" si="217"/>
        <v>1</v>
      </c>
      <c r="C3898" t="str">
        <f t="shared" si="216"/>
        <v>78</v>
      </c>
      <c r="D3898" t="str">
        <f>"29"</f>
        <v>29</v>
      </c>
      <c r="E3898" t="str">
        <f>"1-78-29"</f>
        <v>1-78-29</v>
      </c>
      <c r="F3898" t="s">
        <v>65</v>
      </c>
      <c r="G3898" t="s">
        <v>66</v>
      </c>
      <c r="H3898" t="s">
        <v>67</v>
      </c>
      <c r="S3898">
        <v>0</v>
      </c>
      <c r="T3898">
        <v>1</v>
      </c>
      <c r="U3898">
        <v>0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</row>
    <row r="3899" spans="1:39" x14ac:dyDescent="0.2">
      <c r="A3899" t="str">
        <f>"3895"</f>
        <v>3895</v>
      </c>
      <c r="B3899" t="str">
        <f t="shared" si="217"/>
        <v>1</v>
      </c>
      <c r="C3899" t="str">
        <f t="shared" si="216"/>
        <v>78</v>
      </c>
      <c r="D3899" t="str">
        <f>"6"</f>
        <v>6</v>
      </c>
      <c r="E3899" t="str">
        <f>"1-78-6"</f>
        <v>1-78-6</v>
      </c>
      <c r="F3899" t="s">
        <v>65</v>
      </c>
      <c r="G3899" t="s">
        <v>66</v>
      </c>
      <c r="H3899" t="s">
        <v>67</v>
      </c>
      <c r="S3899">
        <v>0</v>
      </c>
      <c r="T3899">
        <v>1</v>
      </c>
      <c r="U3899">
        <v>0</v>
      </c>
      <c r="V3899">
        <v>0</v>
      </c>
      <c r="W3899">
        <v>1</v>
      </c>
      <c r="X3899">
        <v>0</v>
      </c>
      <c r="Y3899">
        <v>0</v>
      </c>
      <c r="Z3899">
        <v>1</v>
      </c>
      <c r="AA3899">
        <v>0</v>
      </c>
      <c r="AB3899">
        <v>0</v>
      </c>
      <c r="AC3899">
        <v>1</v>
      </c>
      <c r="AD3899">
        <v>1</v>
      </c>
      <c r="AE3899">
        <v>1</v>
      </c>
      <c r="AF3899">
        <v>1</v>
      </c>
      <c r="AG3899">
        <v>1</v>
      </c>
      <c r="AH3899">
        <v>1</v>
      </c>
      <c r="AI3899">
        <v>1</v>
      </c>
      <c r="AJ3899">
        <v>1</v>
      </c>
      <c r="AK3899">
        <v>1</v>
      </c>
      <c r="AL3899">
        <v>1</v>
      </c>
      <c r="AM3899">
        <v>1</v>
      </c>
    </row>
    <row r="3900" spans="1:39" x14ac:dyDescent="0.2">
      <c r="A3900" t="str">
        <f>"3896"</f>
        <v>3896</v>
      </c>
      <c r="B3900" t="str">
        <f t="shared" si="217"/>
        <v>1</v>
      </c>
      <c r="C3900" t="str">
        <f t="shared" si="216"/>
        <v>78</v>
      </c>
      <c r="D3900" t="str">
        <f>"48"</f>
        <v>48</v>
      </c>
      <c r="E3900" t="str">
        <f>"1-78-48"</f>
        <v>1-78-48</v>
      </c>
      <c r="F3900" t="s">
        <v>65</v>
      </c>
      <c r="G3900" t="s">
        <v>66</v>
      </c>
      <c r="H3900" t="s">
        <v>67</v>
      </c>
      <c r="S3900">
        <v>1</v>
      </c>
      <c r="T3900">
        <v>0</v>
      </c>
      <c r="U3900">
        <v>0</v>
      </c>
      <c r="V3900">
        <v>0</v>
      </c>
      <c r="W3900">
        <v>1</v>
      </c>
      <c r="X3900">
        <v>0</v>
      </c>
      <c r="Y3900">
        <v>1</v>
      </c>
      <c r="Z3900">
        <v>0</v>
      </c>
      <c r="AA3900">
        <v>0</v>
      </c>
      <c r="AB3900">
        <v>1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1</v>
      </c>
      <c r="AM3900">
        <v>0</v>
      </c>
    </row>
    <row r="3901" spans="1:39" x14ac:dyDescent="0.2">
      <c r="A3901" t="str">
        <f>"3897"</f>
        <v>3897</v>
      </c>
      <c r="B3901" t="str">
        <f t="shared" si="217"/>
        <v>1</v>
      </c>
      <c r="C3901" t="str">
        <f t="shared" si="216"/>
        <v>78</v>
      </c>
      <c r="D3901" t="str">
        <f>"30"</f>
        <v>30</v>
      </c>
      <c r="E3901" t="str">
        <f>"1-78-30"</f>
        <v>1-78-30</v>
      </c>
      <c r="F3901" t="s">
        <v>65</v>
      </c>
      <c r="G3901" t="s">
        <v>66</v>
      </c>
      <c r="H3901" t="s">
        <v>67</v>
      </c>
      <c r="S3901">
        <v>0</v>
      </c>
      <c r="T3901">
        <v>1</v>
      </c>
      <c r="U3901">
        <v>0</v>
      </c>
      <c r="V3901">
        <v>0</v>
      </c>
      <c r="W3901">
        <v>1</v>
      </c>
      <c r="X3901">
        <v>0</v>
      </c>
      <c r="Y3901">
        <v>1</v>
      </c>
      <c r="Z3901">
        <v>0</v>
      </c>
      <c r="AA3901">
        <v>1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</row>
    <row r="3902" spans="1:39" x14ac:dyDescent="0.2">
      <c r="A3902" t="str">
        <f>"3898"</f>
        <v>3898</v>
      </c>
      <c r="B3902" t="str">
        <f t="shared" si="217"/>
        <v>1</v>
      </c>
      <c r="C3902" t="str">
        <f t="shared" si="216"/>
        <v>78</v>
      </c>
      <c r="D3902" t="str">
        <f>"8"</f>
        <v>8</v>
      </c>
      <c r="E3902" t="str">
        <f>"1-78-8"</f>
        <v>1-78-8</v>
      </c>
      <c r="F3902" t="s">
        <v>65</v>
      </c>
      <c r="G3902" t="s">
        <v>66</v>
      </c>
      <c r="H3902" t="s">
        <v>67</v>
      </c>
      <c r="S3902">
        <v>1</v>
      </c>
      <c r="T3902">
        <v>0</v>
      </c>
      <c r="U3902">
        <v>0</v>
      </c>
      <c r="V3902">
        <v>0</v>
      </c>
      <c r="W3902">
        <v>0</v>
      </c>
      <c r="X3902">
        <v>1</v>
      </c>
      <c r="Y3902">
        <v>0</v>
      </c>
      <c r="Z3902">
        <v>1</v>
      </c>
      <c r="AA3902">
        <v>0</v>
      </c>
      <c r="AB3902">
        <v>1</v>
      </c>
      <c r="AC3902">
        <v>0</v>
      </c>
      <c r="AD3902">
        <v>0</v>
      </c>
      <c r="AE3902">
        <v>0</v>
      </c>
      <c r="AF3902">
        <v>0</v>
      </c>
      <c r="AG3902">
        <v>1</v>
      </c>
      <c r="AH3902">
        <v>1</v>
      </c>
      <c r="AI3902">
        <v>1</v>
      </c>
      <c r="AJ3902">
        <v>1</v>
      </c>
      <c r="AK3902">
        <v>1</v>
      </c>
      <c r="AL3902">
        <v>1</v>
      </c>
      <c r="AM3902">
        <v>1</v>
      </c>
    </row>
    <row r="3903" spans="1:39" x14ac:dyDescent="0.2">
      <c r="A3903" t="str">
        <f>"3899"</f>
        <v>3899</v>
      </c>
      <c r="B3903" t="str">
        <f t="shared" si="217"/>
        <v>1</v>
      </c>
      <c r="C3903" t="str">
        <f t="shared" si="216"/>
        <v>78</v>
      </c>
      <c r="D3903" t="str">
        <f>"47"</f>
        <v>47</v>
      </c>
      <c r="E3903" t="str">
        <f>"1-78-47"</f>
        <v>1-78-47</v>
      </c>
      <c r="F3903" t="s">
        <v>65</v>
      </c>
      <c r="G3903" t="s">
        <v>66</v>
      </c>
      <c r="H3903" t="s">
        <v>67</v>
      </c>
      <c r="S3903">
        <v>1</v>
      </c>
      <c r="T3903">
        <v>0</v>
      </c>
      <c r="U3903">
        <v>0</v>
      </c>
      <c r="V3903">
        <v>0</v>
      </c>
      <c r="W3903">
        <v>1</v>
      </c>
      <c r="X3903">
        <v>0</v>
      </c>
      <c r="Y3903">
        <v>1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1</v>
      </c>
      <c r="AF3903">
        <v>1</v>
      </c>
      <c r="AG3903">
        <v>1</v>
      </c>
      <c r="AH3903">
        <v>1</v>
      </c>
      <c r="AI3903">
        <v>1</v>
      </c>
      <c r="AJ3903">
        <v>1</v>
      </c>
      <c r="AK3903">
        <v>1</v>
      </c>
      <c r="AL3903">
        <v>1</v>
      </c>
      <c r="AM3903">
        <v>1</v>
      </c>
    </row>
    <row r="3904" spans="1:39" x14ac:dyDescent="0.2">
      <c r="A3904" t="str">
        <f>"3900"</f>
        <v>3900</v>
      </c>
      <c r="B3904" t="str">
        <f t="shared" si="217"/>
        <v>1</v>
      </c>
      <c r="C3904" t="str">
        <f t="shared" si="216"/>
        <v>78</v>
      </c>
      <c r="D3904" t="str">
        <f>"50"</f>
        <v>50</v>
      </c>
      <c r="E3904" t="str">
        <f>"1-78-50"</f>
        <v>1-78-50</v>
      </c>
      <c r="F3904" t="s">
        <v>65</v>
      </c>
      <c r="G3904" t="s">
        <v>66</v>
      </c>
      <c r="H3904" t="s">
        <v>67</v>
      </c>
      <c r="S3904">
        <v>1</v>
      </c>
      <c r="T3904">
        <v>0</v>
      </c>
      <c r="U3904">
        <v>0</v>
      </c>
      <c r="V3904">
        <v>0</v>
      </c>
      <c r="W3904">
        <v>1</v>
      </c>
      <c r="X3904">
        <v>0</v>
      </c>
      <c r="Y3904">
        <v>1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1</v>
      </c>
      <c r="AF3904">
        <v>1</v>
      </c>
      <c r="AG3904">
        <v>1</v>
      </c>
      <c r="AH3904">
        <v>1</v>
      </c>
      <c r="AI3904">
        <v>1</v>
      </c>
      <c r="AJ3904">
        <v>1</v>
      </c>
      <c r="AK3904">
        <v>1</v>
      </c>
      <c r="AL3904">
        <v>1</v>
      </c>
      <c r="AM3904">
        <v>1</v>
      </c>
    </row>
    <row r="3905" spans="1:39" x14ac:dyDescent="0.2">
      <c r="A3905" t="str">
        <f>"3901"</f>
        <v>3901</v>
      </c>
      <c r="B3905" t="str">
        <f t="shared" si="217"/>
        <v>1</v>
      </c>
      <c r="C3905" t="str">
        <f t="shared" ref="C3905:C3936" si="218">"79"</f>
        <v>79</v>
      </c>
      <c r="D3905" t="str">
        <f>"35"</f>
        <v>35</v>
      </c>
      <c r="E3905" t="str">
        <f>"1-79-35"</f>
        <v>1-79-35</v>
      </c>
      <c r="F3905" t="s">
        <v>65</v>
      </c>
      <c r="G3905" t="s">
        <v>66</v>
      </c>
      <c r="H3905" t="s">
        <v>67</v>
      </c>
      <c r="S3905">
        <v>0</v>
      </c>
      <c r="T3905">
        <v>0</v>
      </c>
      <c r="U3905">
        <v>0</v>
      </c>
      <c r="V3905">
        <v>0</v>
      </c>
      <c r="W3905">
        <v>1</v>
      </c>
      <c r="X3905">
        <v>0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</row>
    <row r="3906" spans="1:39" x14ac:dyDescent="0.2">
      <c r="A3906" t="str">
        <f>"3902"</f>
        <v>3902</v>
      </c>
      <c r="B3906" t="str">
        <f t="shared" si="217"/>
        <v>1</v>
      </c>
      <c r="C3906" t="str">
        <f t="shared" si="218"/>
        <v>79</v>
      </c>
      <c r="D3906" t="str">
        <f>"34"</f>
        <v>34</v>
      </c>
      <c r="E3906" t="str">
        <f>"1-79-34"</f>
        <v>1-79-34</v>
      </c>
      <c r="F3906" t="s">
        <v>65</v>
      </c>
      <c r="G3906" t="s">
        <v>66</v>
      </c>
      <c r="H3906" t="s">
        <v>67</v>
      </c>
      <c r="S3906">
        <v>0</v>
      </c>
      <c r="T3906">
        <v>1</v>
      </c>
      <c r="U3906">
        <v>0</v>
      </c>
      <c r="V3906">
        <v>0</v>
      </c>
      <c r="W3906">
        <v>0</v>
      </c>
      <c r="X3906">
        <v>1</v>
      </c>
      <c r="Y3906">
        <v>0</v>
      </c>
      <c r="Z3906">
        <v>1</v>
      </c>
      <c r="AA3906">
        <v>0</v>
      </c>
      <c r="AB3906">
        <v>0</v>
      </c>
      <c r="AC3906">
        <v>1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</row>
    <row r="3907" spans="1:39" x14ac:dyDescent="0.2">
      <c r="A3907" t="str">
        <f>"3903"</f>
        <v>3903</v>
      </c>
      <c r="B3907" t="str">
        <f t="shared" si="217"/>
        <v>1</v>
      </c>
      <c r="C3907" t="str">
        <f t="shared" si="218"/>
        <v>79</v>
      </c>
      <c r="D3907" t="str">
        <f>"24"</f>
        <v>24</v>
      </c>
      <c r="E3907" t="str">
        <f>"1-79-24"</f>
        <v>1-79-24</v>
      </c>
      <c r="F3907" t="s">
        <v>65</v>
      </c>
      <c r="G3907" t="s">
        <v>66</v>
      </c>
      <c r="H3907" t="s">
        <v>67</v>
      </c>
      <c r="S3907">
        <v>1</v>
      </c>
      <c r="T3907">
        <v>0</v>
      </c>
      <c r="U3907">
        <v>0</v>
      </c>
      <c r="V3907">
        <v>0</v>
      </c>
      <c r="W3907">
        <v>1</v>
      </c>
      <c r="X3907">
        <v>0</v>
      </c>
      <c r="Y3907">
        <v>0</v>
      </c>
      <c r="Z3907">
        <v>1</v>
      </c>
      <c r="AA3907">
        <v>0</v>
      </c>
      <c r="AB3907">
        <v>1</v>
      </c>
      <c r="AC3907">
        <v>0</v>
      </c>
      <c r="AD3907">
        <v>1</v>
      </c>
      <c r="AE3907">
        <v>1</v>
      </c>
      <c r="AF3907">
        <v>1</v>
      </c>
      <c r="AG3907">
        <v>1</v>
      </c>
      <c r="AH3907">
        <v>1</v>
      </c>
      <c r="AI3907">
        <v>1</v>
      </c>
      <c r="AJ3907">
        <v>1</v>
      </c>
      <c r="AK3907">
        <v>1</v>
      </c>
      <c r="AL3907">
        <v>1</v>
      </c>
      <c r="AM3907">
        <v>1</v>
      </c>
    </row>
    <row r="3908" spans="1:39" x14ac:dyDescent="0.2">
      <c r="A3908" t="str">
        <f>"3904"</f>
        <v>3904</v>
      </c>
      <c r="B3908" t="str">
        <f t="shared" si="217"/>
        <v>1</v>
      </c>
      <c r="C3908" t="str">
        <f t="shared" si="218"/>
        <v>79</v>
      </c>
      <c r="D3908" t="str">
        <f>"15"</f>
        <v>15</v>
      </c>
      <c r="E3908" t="str">
        <f>"1-79-15"</f>
        <v>1-79-15</v>
      </c>
      <c r="F3908" t="s">
        <v>65</v>
      </c>
      <c r="G3908" t="s">
        <v>66</v>
      </c>
      <c r="H3908" t="s">
        <v>67</v>
      </c>
      <c r="S3908">
        <v>1</v>
      </c>
      <c r="T3908">
        <v>0</v>
      </c>
      <c r="U3908">
        <v>0</v>
      </c>
      <c r="V3908">
        <v>0</v>
      </c>
      <c r="W3908">
        <v>1</v>
      </c>
      <c r="X3908">
        <v>0</v>
      </c>
      <c r="Y3908">
        <v>1</v>
      </c>
      <c r="Z3908">
        <v>0</v>
      </c>
      <c r="AA3908">
        <v>1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</row>
    <row r="3909" spans="1:39" x14ac:dyDescent="0.2">
      <c r="A3909" t="str">
        <f>"3905"</f>
        <v>3905</v>
      </c>
      <c r="B3909" t="str">
        <f t="shared" si="217"/>
        <v>1</v>
      </c>
      <c r="C3909" t="str">
        <f t="shared" si="218"/>
        <v>79</v>
      </c>
      <c r="D3909" t="str">
        <f>"5"</f>
        <v>5</v>
      </c>
      <c r="E3909" t="str">
        <f>"1-79-5"</f>
        <v>1-79-5</v>
      </c>
      <c r="F3909" t="s">
        <v>65</v>
      </c>
      <c r="G3909" t="s">
        <v>66</v>
      </c>
      <c r="H3909" t="s">
        <v>68</v>
      </c>
      <c r="I3909">
        <v>1</v>
      </c>
      <c r="J3909">
        <v>1</v>
      </c>
      <c r="K3909">
        <v>0</v>
      </c>
      <c r="L3909">
        <v>0</v>
      </c>
      <c r="M3909">
        <v>1</v>
      </c>
      <c r="N3909">
        <v>1</v>
      </c>
      <c r="O3909">
        <v>1</v>
      </c>
      <c r="P3909">
        <v>1</v>
      </c>
      <c r="Q3909">
        <v>1</v>
      </c>
      <c r="R3909">
        <v>1</v>
      </c>
    </row>
    <row r="3910" spans="1:39" x14ac:dyDescent="0.2">
      <c r="A3910" t="str">
        <f>"3906"</f>
        <v>3906</v>
      </c>
      <c r="B3910" t="str">
        <f t="shared" si="217"/>
        <v>1</v>
      </c>
      <c r="C3910" t="str">
        <f t="shared" si="218"/>
        <v>79</v>
      </c>
      <c r="D3910" t="str">
        <f>"37"</f>
        <v>37</v>
      </c>
      <c r="E3910" t="str">
        <f>"1-79-37"</f>
        <v>1-79-37</v>
      </c>
      <c r="F3910" t="s">
        <v>65</v>
      </c>
      <c r="G3910" t="s">
        <v>66</v>
      </c>
      <c r="H3910" t="s">
        <v>67</v>
      </c>
      <c r="S3910">
        <v>0</v>
      </c>
      <c r="T3910">
        <v>1</v>
      </c>
      <c r="U3910">
        <v>0</v>
      </c>
      <c r="V3910">
        <v>0</v>
      </c>
      <c r="W3910">
        <v>1</v>
      </c>
      <c r="X3910">
        <v>0</v>
      </c>
      <c r="Y3910">
        <v>0</v>
      </c>
      <c r="Z3910">
        <v>1</v>
      </c>
      <c r="AA3910">
        <v>0</v>
      </c>
      <c r="AB3910">
        <v>0</v>
      </c>
      <c r="AC3910">
        <v>1</v>
      </c>
      <c r="AD3910">
        <v>1</v>
      </c>
      <c r="AE3910">
        <v>1</v>
      </c>
      <c r="AF3910">
        <v>1</v>
      </c>
      <c r="AG3910">
        <v>1</v>
      </c>
      <c r="AH3910">
        <v>1</v>
      </c>
      <c r="AI3910">
        <v>1</v>
      </c>
      <c r="AJ3910">
        <v>1</v>
      </c>
      <c r="AK3910">
        <v>1</v>
      </c>
      <c r="AL3910">
        <v>1</v>
      </c>
      <c r="AM3910">
        <v>1</v>
      </c>
    </row>
    <row r="3911" spans="1:39" x14ac:dyDescent="0.2">
      <c r="A3911" t="str">
        <f>"3907"</f>
        <v>3907</v>
      </c>
      <c r="B3911" t="str">
        <f t="shared" si="217"/>
        <v>1</v>
      </c>
      <c r="C3911" t="str">
        <f t="shared" si="218"/>
        <v>79</v>
      </c>
      <c r="D3911" t="str">
        <f>"36"</f>
        <v>36</v>
      </c>
      <c r="E3911" t="str">
        <f>"1-79-36"</f>
        <v>1-79-36</v>
      </c>
      <c r="F3911" t="s">
        <v>65</v>
      </c>
      <c r="G3911" t="s">
        <v>66</v>
      </c>
      <c r="H3911" t="s">
        <v>67</v>
      </c>
      <c r="S3911">
        <v>0</v>
      </c>
      <c r="T3911">
        <v>1</v>
      </c>
      <c r="U3911">
        <v>0</v>
      </c>
      <c r="V3911">
        <v>0</v>
      </c>
      <c r="W3911">
        <v>1</v>
      </c>
      <c r="X3911">
        <v>0</v>
      </c>
      <c r="Y3911">
        <v>1</v>
      </c>
      <c r="Z3911">
        <v>0</v>
      </c>
      <c r="AA3911">
        <v>0</v>
      </c>
      <c r="AB3911">
        <v>1</v>
      </c>
      <c r="AC3911">
        <v>0</v>
      </c>
      <c r="AD3911">
        <v>1</v>
      </c>
      <c r="AE3911">
        <v>1</v>
      </c>
      <c r="AF3911">
        <v>1</v>
      </c>
      <c r="AG3911">
        <v>1</v>
      </c>
      <c r="AH3911">
        <v>1</v>
      </c>
      <c r="AI3911">
        <v>1</v>
      </c>
      <c r="AJ3911">
        <v>1</v>
      </c>
      <c r="AK3911">
        <v>1</v>
      </c>
      <c r="AL3911">
        <v>1</v>
      </c>
      <c r="AM3911">
        <v>1</v>
      </c>
    </row>
    <row r="3912" spans="1:39" x14ac:dyDescent="0.2">
      <c r="A3912" t="str">
        <f>"3908"</f>
        <v>3908</v>
      </c>
      <c r="B3912" t="str">
        <f t="shared" si="217"/>
        <v>1</v>
      </c>
      <c r="C3912" t="str">
        <f t="shared" si="218"/>
        <v>79</v>
      </c>
      <c r="D3912" t="str">
        <f>"28"</f>
        <v>28</v>
      </c>
      <c r="E3912" t="str">
        <f>"1-79-28"</f>
        <v>1-79-28</v>
      </c>
      <c r="F3912" t="s">
        <v>65</v>
      </c>
      <c r="G3912" t="s">
        <v>66</v>
      </c>
      <c r="H3912" t="s">
        <v>67</v>
      </c>
      <c r="S3912">
        <v>1</v>
      </c>
      <c r="T3912">
        <v>0</v>
      </c>
      <c r="U3912">
        <v>0</v>
      </c>
      <c r="V3912">
        <v>0</v>
      </c>
      <c r="W3912">
        <v>0</v>
      </c>
      <c r="X3912">
        <v>1</v>
      </c>
      <c r="Y3912">
        <v>1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1</v>
      </c>
      <c r="AF3912">
        <v>1</v>
      </c>
      <c r="AG3912">
        <v>1</v>
      </c>
      <c r="AH3912">
        <v>1</v>
      </c>
      <c r="AI3912">
        <v>1</v>
      </c>
      <c r="AJ3912">
        <v>1</v>
      </c>
      <c r="AK3912">
        <v>1</v>
      </c>
      <c r="AL3912">
        <v>1</v>
      </c>
      <c r="AM3912">
        <v>1</v>
      </c>
    </row>
    <row r="3913" spans="1:39" x14ac:dyDescent="0.2">
      <c r="A3913" t="str">
        <f>"3909"</f>
        <v>3909</v>
      </c>
      <c r="B3913" t="str">
        <f t="shared" si="217"/>
        <v>1</v>
      </c>
      <c r="C3913" t="str">
        <f t="shared" si="218"/>
        <v>79</v>
      </c>
      <c r="D3913" t="str">
        <f>"16"</f>
        <v>16</v>
      </c>
      <c r="E3913" t="str">
        <f>"1-79-16"</f>
        <v>1-79-16</v>
      </c>
      <c r="F3913" t="s">
        <v>65</v>
      </c>
      <c r="G3913" t="s">
        <v>66</v>
      </c>
      <c r="H3913" t="s">
        <v>67</v>
      </c>
      <c r="S3913">
        <v>0</v>
      </c>
      <c r="T3913">
        <v>1</v>
      </c>
      <c r="U3913">
        <v>0</v>
      </c>
      <c r="V3913">
        <v>0</v>
      </c>
      <c r="W3913">
        <v>0</v>
      </c>
      <c r="X3913">
        <v>1</v>
      </c>
      <c r="Y3913">
        <v>0</v>
      </c>
      <c r="Z3913">
        <v>1</v>
      </c>
      <c r="AA3913">
        <v>0</v>
      </c>
      <c r="AB3913">
        <v>0</v>
      </c>
      <c r="AC3913">
        <v>1</v>
      </c>
      <c r="AD3913">
        <v>1</v>
      </c>
      <c r="AE3913">
        <v>1</v>
      </c>
      <c r="AF3913">
        <v>1</v>
      </c>
      <c r="AG3913">
        <v>1</v>
      </c>
      <c r="AH3913">
        <v>1</v>
      </c>
      <c r="AI3913">
        <v>1</v>
      </c>
      <c r="AJ3913">
        <v>1</v>
      </c>
      <c r="AK3913">
        <v>1</v>
      </c>
      <c r="AL3913">
        <v>1</v>
      </c>
      <c r="AM3913">
        <v>1</v>
      </c>
    </row>
    <row r="3914" spans="1:39" x14ac:dyDescent="0.2">
      <c r="A3914" t="str">
        <f>"3910"</f>
        <v>3910</v>
      </c>
      <c r="B3914" t="str">
        <f t="shared" si="217"/>
        <v>1</v>
      </c>
      <c r="C3914" t="str">
        <f t="shared" si="218"/>
        <v>79</v>
      </c>
      <c r="D3914" t="str">
        <f>"11"</f>
        <v>11</v>
      </c>
      <c r="E3914" t="str">
        <f>"1-79-11"</f>
        <v>1-79-11</v>
      </c>
      <c r="F3914" t="s">
        <v>65</v>
      </c>
      <c r="G3914" t="s">
        <v>66</v>
      </c>
      <c r="H3914" t="s">
        <v>67</v>
      </c>
      <c r="S3914">
        <v>1</v>
      </c>
      <c r="T3914">
        <v>0</v>
      </c>
      <c r="U3914">
        <v>0</v>
      </c>
      <c r="V3914">
        <v>0</v>
      </c>
      <c r="W3914">
        <v>0</v>
      </c>
      <c r="X3914">
        <v>1</v>
      </c>
      <c r="Y3914">
        <v>0</v>
      </c>
      <c r="Z3914">
        <v>1</v>
      </c>
      <c r="AA3914">
        <v>0</v>
      </c>
      <c r="AB3914">
        <v>0</v>
      </c>
      <c r="AC3914">
        <v>1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</row>
    <row r="3915" spans="1:39" x14ac:dyDescent="0.2">
      <c r="A3915" t="str">
        <f>"3911"</f>
        <v>3911</v>
      </c>
      <c r="B3915" t="str">
        <f t="shared" si="217"/>
        <v>1</v>
      </c>
      <c r="C3915" t="str">
        <f t="shared" si="218"/>
        <v>79</v>
      </c>
      <c r="D3915" t="str">
        <f>"31"</f>
        <v>31</v>
      </c>
      <c r="E3915" t="str">
        <f>"1-79-31"</f>
        <v>1-79-31</v>
      </c>
      <c r="F3915" t="s">
        <v>65</v>
      </c>
      <c r="G3915" t="s">
        <v>66</v>
      </c>
      <c r="H3915" t="s">
        <v>67</v>
      </c>
      <c r="S3915">
        <v>0</v>
      </c>
      <c r="T3915">
        <v>1</v>
      </c>
      <c r="U3915">
        <v>0</v>
      </c>
      <c r="V3915">
        <v>0</v>
      </c>
      <c r="W3915">
        <v>1</v>
      </c>
      <c r="X3915">
        <v>0</v>
      </c>
      <c r="Y3915">
        <v>1</v>
      </c>
      <c r="Z3915">
        <v>0</v>
      </c>
      <c r="AA3915">
        <v>0</v>
      </c>
      <c r="AB3915">
        <v>1</v>
      </c>
      <c r="AC3915">
        <v>0</v>
      </c>
      <c r="AD3915">
        <v>1</v>
      </c>
      <c r="AE3915">
        <v>1</v>
      </c>
      <c r="AF3915">
        <v>1</v>
      </c>
      <c r="AG3915">
        <v>1</v>
      </c>
      <c r="AH3915">
        <v>1</v>
      </c>
      <c r="AI3915">
        <v>1</v>
      </c>
      <c r="AJ3915">
        <v>1</v>
      </c>
      <c r="AK3915">
        <v>1</v>
      </c>
      <c r="AL3915">
        <v>1</v>
      </c>
      <c r="AM3915">
        <v>1</v>
      </c>
    </row>
    <row r="3916" spans="1:39" x14ac:dyDescent="0.2">
      <c r="A3916" t="str">
        <f>"3912"</f>
        <v>3912</v>
      </c>
      <c r="B3916" t="str">
        <f t="shared" si="217"/>
        <v>1</v>
      </c>
      <c r="C3916" t="str">
        <f t="shared" si="218"/>
        <v>79</v>
      </c>
      <c r="D3916" t="str">
        <f>"17"</f>
        <v>17</v>
      </c>
      <c r="E3916" t="str">
        <f>"1-79-17"</f>
        <v>1-79-17</v>
      </c>
      <c r="F3916" t="s">
        <v>65</v>
      </c>
      <c r="G3916" t="s">
        <v>66</v>
      </c>
      <c r="H3916" t="s">
        <v>67</v>
      </c>
      <c r="S3916">
        <v>0</v>
      </c>
      <c r="T3916">
        <v>1</v>
      </c>
      <c r="U3916">
        <v>0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0</v>
      </c>
      <c r="AB3916">
        <v>0</v>
      </c>
      <c r="AC3916">
        <v>1</v>
      </c>
      <c r="AD3916">
        <v>1</v>
      </c>
      <c r="AE3916">
        <v>1</v>
      </c>
      <c r="AF3916">
        <v>1</v>
      </c>
      <c r="AG3916">
        <v>1</v>
      </c>
      <c r="AH3916">
        <v>1</v>
      </c>
      <c r="AI3916">
        <v>1</v>
      </c>
      <c r="AJ3916">
        <v>1</v>
      </c>
      <c r="AK3916">
        <v>1</v>
      </c>
      <c r="AL3916">
        <v>1</v>
      </c>
      <c r="AM3916">
        <v>1</v>
      </c>
    </row>
    <row r="3917" spans="1:39" x14ac:dyDescent="0.2">
      <c r="A3917" t="str">
        <f>"3913"</f>
        <v>3913</v>
      </c>
      <c r="B3917" t="str">
        <f t="shared" si="217"/>
        <v>1</v>
      </c>
      <c r="C3917" t="str">
        <f t="shared" si="218"/>
        <v>79</v>
      </c>
      <c r="D3917" t="str">
        <f>"2"</f>
        <v>2</v>
      </c>
      <c r="E3917" t="str">
        <f>"1-79-2"</f>
        <v>1-79-2</v>
      </c>
      <c r="F3917" t="s">
        <v>65</v>
      </c>
      <c r="G3917" t="s">
        <v>66</v>
      </c>
      <c r="H3917" t="s">
        <v>68</v>
      </c>
      <c r="I3917">
        <v>1</v>
      </c>
      <c r="J3917">
        <v>1</v>
      </c>
      <c r="K3917">
        <v>0</v>
      </c>
      <c r="L3917">
        <v>0</v>
      </c>
      <c r="M3917">
        <v>0</v>
      </c>
      <c r="N3917">
        <v>1</v>
      </c>
      <c r="O3917">
        <v>1</v>
      </c>
      <c r="P3917">
        <v>1</v>
      </c>
      <c r="Q3917">
        <v>1</v>
      </c>
      <c r="R3917">
        <v>1</v>
      </c>
    </row>
    <row r="3918" spans="1:39" x14ac:dyDescent="0.2">
      <c r="A3918" t="str">
        <f>"3914"</f>
        <v>3914</v>
      </c>
      <c r="B3918" t="str">
        <f t="shared" si="217"/>
        <v>1</v>
      </c>
      <c r="C3918" t="str">
        <f t="shared" si="218"/>
        <v>79</v>
      </c>
      <c r="D3918" t="str">
        <f>"41"</f>
        <v>41</v>
      </c>
      <c r="E3918" t="str">
        <f>"1-79-41"</f>
        <v>1-79-41</v>
      </c>
      <c r="F3918" t="s">
        <v>65</v>
      </c>
      <c r="G3918" t="s">
        <v>66</v>
      </c>
      <c r="H3918" t="s">
        <v>67</v>
      </c>
      <c r="S3918">
        <v>0</v>
      </c>
      <c r="T3918">
        <v>1</v>
      </c>
      <c r="U3918">
        <v>0</v>
      </c>
      <c r="V3918">
        <v>0</v>
      </c>
      <c r="W3918">
        <v>0</v>
      </c>
      <c r="X3918">
        <v>1</v>
      </c>
      <c r="Y3918">
        <v>1</v>
      </c>
      <c r="Z3918">
        <v>0</v>
      </c>
      <c r="AA3918">
        <v>0</v>
      </c>
      <c r="AB3918">
        <v>1</v>
      </c>
      <c r="AC3918">
        <v>0</v>
      </c>
      <c r="AD3918">
        <v>1</v>
      </c>
      <c r="AE3918">
        <v>1</v>
      </c>
      <c r="AF3918">
        <v>1</v>
      </c>
      <c r="AG3918">
        <v>1</v>
      </c>
      <c r="AH3918">
        <v>1</v>
      </c>
      <c r="AI3918">
        <v>1</v>
      </c>
      <c r="AJ3918">
        <v>1</v>
      </c>
      <c r="AK3918">
        <v>1</v>
      </c>
      <c r="AL3918">
        <v>1</v>
      </c>
      <c r="AM3918">
        <v>1</v>
      </c>
    </row>
    <row r="3919" spans="1:39" x14ac:dyDescent="0.2">
      <c r="A3919" t="str">
        <f>"3915"</f>
        <v>3915</v>
      </c>
      <c r="B3919" t="str">
        <f t="shared" si="217"/>
        <v>1</v>
      </c>
      <c r="C3919" t="str">
        <f t="shared" si="218"/>
        <v>79</v>
      </c>
      <c r="D3919" t="str">
        <f>"40"</f>
        <v>40</v>
      </c>
      <c r="E3919" t="str">
        <f>"1-79-40"</f>
        <v>1-79-40</v>
      </c>
      <c r="F3919" t="s">
        <v>65</v>
      </c>
      <c r="G3919" t="s">
        <v>66</v>
      </c>
      <c r="H3919" t="s">
        <v>67</v>
      </c>
      <c r="S3919">
        <v>0</v>
      </c>
      <c r="T3919">
        <v>1</v>
      </c>
      <c r="U3919">
        <v>0</v>
      </c>
      <c r="V3919">
        <v>0</v>
      </c>
      <c r="W3919">
        <v>1</v>
      </c>
      <c r="X3919">
        <v>0</v>
      </c>
      <c r="Y3919">
        <v>1</v>
      </c>
      <c r="Z3919">
        <v>0</v>
      </c>
      <c r="AA3919">
        <v>0</v>
      </c>
      <c r="AB3919">
        <v>0</v>
      </c>
      <c r="AC3919">
        <v>1</v>
      </c>
      <c r="AD3919">
        <v>1</v>
      </c>
      <c r="AE3919">
        <v>1</v>
      </c>
      <c r="AF3919">
        <v>1</v>
      </c>
      <c r="AG3919">
        <v>1</v>
      </c>
      <c r="AH3919">
        <v>1</v>
      </c>
      <c r="AI3919">
        <v>1</v>
      </c>
      <c r="AJ3919">
        <v>1</v>
      </c>
      <c r="AK3919">
        <v>1</v>
      </c>
      <c r="AL3919">
        <v>1</v>
      </c>
      <c r="AM3919">
        <v>1</v>
      </c>
    </row>
    <row r="3920" spans="1:39" x14ac:dyDescent="0.2">
      <c r="A3920" t="str">
        <f>"3916"</f>
        <v>3916</v>
      </c>
      <c r="B3920" t="str">
        <f t="shared" si="217"/>
        <v>1</v>
      </c>
      <c r="C3920" t="str">
        <f t="shared" si="218"/>
        <v>79</v>
      </c>
      <c r="D3920" t="str">
        <f>"32"</f>
        <v>32</v>
      </c>
      <c r="E3920" t="str">
        <f>"1-79-32"</f>
        <v>1-79-32</v>
      </c>
      <c r="F3920" t="s">
        <v>65</v>
      </c>
      <c r="G3920" t="s">
        <v>66</v>
      </c>
      <c r="H3920" t="s">
        <v>67</v>
      </c>
      <c r="S3920">
        <v>0</v>
      </c>
      <c r="T3920">
        <v>1</v>
      </c>
      <c r="U3920">
        <v>0</v>
      </c>
      <c r="V3920">
        <v>0</v>
      </c>
      <c r="W3920">
        <v>0</v>
      </c>
      <c r="X3920">
        <v>1</v>
      </c>
      <c r="Y3920">
        <v>0</v>
      </c>
      <c r="Z3920">
        <v>1</v>
      </c>
      <c r="AA3920">
        <v>0</v>
      </c>
      <c r="AB3920">
        <v>0</v>
      </c>
      <c r="AC3920">
        <v>1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</row>
    <row r="3921" spans="1:39" x14ac:dyDescent="0.2">
      <c r="A3921" t="str">
        <f>"3917"</f>
        <v>3917</v>
      </c>
      <c r="B3921" t="str">
        <f t="shared" si="217"/>
        <v>1</v>
      </c>
      <c r="C3921" t="str">
        <f t="shared" si="218"/>
        <v>79</v>
      </c>
      <c r="D3921" t="str">
        <f>"18"</f>
        <v>18</v>
      </c>
      <c r="E3921" t="str">
        <f>"1-79-18"</f>
        <v>1-79-18</v>
      </c>
      <c r="F3921" t="s">
        <v>65</v>
      </c>
      <c r="G3921" t="s">
        <v>66</v>
      </c>
      <c r="H3921" t="s">
        <v>67</v>
      </c>
      <c r="S3921">
        <v>0</v>
      </c>
      <c r="T3921">
        <v>1</v>
      </c>
      <c r="U3921">
        <v>0</v>
      </c>
      <c r="V3921">
        <v>0</v>
      </c>
      <c r="W3921">
        <v>1</v>
      </c>
      <c r="X3921">
        <v>0</v>
      </c>
      <c r="Y3921">
        <v>0</v>
      </c>
      <c r="Z3921">
        <v>1</v>
      </c>
      <c r="AA3921">
        <v>0</v>
      </c>
      <c r="AB3921">
        <v>1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</row>
    <row r="3922" spans="1:39" x14ac:dyDescent="0.2">
      <c r="A3922" t="str">
        <f>"3918"</f>
        <v>3918</v>
      </c>
      <c r="B3922" t="str">
        <f t="shared" si="217"/>
        <v>1</v>
      </c>
      <c r="C3922" t="str">
        <f t="shared" si="218"/>
        <v>79</v>
      </c>
      <c r="D3922" t="str">
        <f>"6"</f>
        <v>6</v>
      </c>
      <c r="E3922" t="str">
        <f>"1-79-6"</f>
        <v>1-79-6</v>
      </c>
      <c r="F3922" t="s">
        <v>65</v>
      </c>
      <c r="G3922" t="s">
        <v>66</v>
      </c>
      <c r="H3922" t="s">
        <v>68</v>
      </c>
      <c r="I3922">
        <v>0</v>
      </c>
      <c r="J3922">
        <v>1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39" x14ac:dyDescent="0.2">
      <c r="A3923" t="str">
        <f>"3919"</f>
        <v>3919</v>
      </c>
      <c r="B3923" t="str">
        <f t="shared" si="217"/>
        <v>1</v>
      </c>
      <c r="C3923" t="str">
        <f t="shared" si="218"/>
        <v>79</v>
      </c>
      <c r="D3923" t="str">
        <f>"45"</f>
        <v>45</v>
      </c>
      <c r="E3923" t="str">
        <f>"1-79-45"</f>
        <v>1-79-45</v>
      </c>
      <c r="F3923" t="s">
        <v>65</v>
      </c>
      <c r="G3923" t="s">
        <v>66</v>
      </c>
      <c r="H3923" t="s">
        <v>67</v>
      </c>
      <c r="S3923">
        <v>1</v>
      </c>
      <c r="T3923">
        <v>0</v>
      </c>
      <c r="U3923">
        <v>0</v>
      </c>
      <c r="V3923">
        <v>0</v>
      </c>
      <c r="W3923">
        <v>0</v>
      </c>
      <c r="X3923">
        <v>1</v>
      </c>
      <c r="Y3923">
        <v>0</v>
      </c>
      <c r="Z3923">
        <v>1</v>
      </c>
      <c r="AA3923">
        <v>0</v>
      </c>
      <c r="AB3923">
        <v>1</v>
      </c>
      <c r="AC3923">
        <v>0</v>
      </c>
      <c r="AD3923">
        <v>1</v>
      </c>
      <c r="AE3923">
        <v>1</v>
      </c>
      <c r="AF3923">
        <v>1</v>
      </c>
      <c r="AG3923">
        <v>1</v>
      </c>
      <c r="AH3923">
        <v>1</v>
      </c>
      <c r="AI3923">
        <v>1</v>
      </c>
      <c r="AJ3923">
        <v>1</v>
      </c>
      <c r="AK3923">
        <v>1</v>
      </c>
      <c r="AL3923">
        <v>1</v>
      </c>
      <c r="AM3923">
        <v>1</v>
      </c>
    </row>
    <row r="3924" spans="1:39" x14ac:dyDescent="0.2">
      <c r="A3924" t="str">
        <f>"3920"</f>
        <v>3920</v>
      </c>
      <c r="B3924" t="str">
        <f t="shared" si="217"/>
        <v>1</v>
      </c>
      <c r="C3924" t="str">
        <f t="shared" si="218"/>
        <v>79</v>
      </c>
      <c r="D3924" t="str">
        <f>"44"</f>
        <v>44</v>
      </c>
      <c r="E3924" t="str">
        <f>"1-79-44"</f>
        <v>1-79-44</v>
      </c>
      <c r="F3924" t="s">
        <v>65</v>
      </c>
      <c r="G3924" t="s">
        <v>66</v>
      </c>
      <c r="H3924" t="s">
        <v>67</v>
      </c>
      <c r="S3924">
        <v>1</v>
      </c>
      <c r="T3924">
        <v>0</v>
      </c>
      <c r="U3924">
        <v>0</v>
      </c>
      <c r="V3924">
        <v>0</v>
      </c>
      <c r="W3924">
        <v>1</v>
      </c>
      <c r="X3924">
        <v>0</v>
      </c>
      <c r="Y3924">
        <v>1</v>
      </c>
      <c r="Z3924">
        <v>0</v>
      </c>
      <c r="AA3924">
        <v>0</v>
      </c>
      <c r="AB3924">
        <v>0</v>
      </c>
      <c r="AC3924">
        <v>1</v>
      </c>
      <c r="AD3924">
        <v>1</v>
      </c>
      <c r="AE3924">
        <v>0</v>
      </c>
      <c r="AF3924">
        <v>0</v>
      </c>
      <c r="AG3924">
        <v>0</v>
      </c>
      <c r="AH3924">
        <v>1</v>
      </c>
      <c r="AI3924">
        <v>1</v>
      </c>
      <c r="AJ3924">
        <v>1</v>
      </c>
      <c r="AK3924">
        <v>0</v>
      </c>
      <c r="AL3924">
        <v>1</v>
      </c>
      <c r="AM3924">
        <v>0</v>
      </c>
    </row>
    <row r="3925" spans="1:39" x14ac:dyDescent="0.2">
      <c r="A3925" t="str">
        <f>"3921"</f>
        <v>3921</v>
      </c>
      <c r="B3925" t="str">
        <f t="shared" si="217"/>
        <v>1</v>
      </c>
      <c r="C3925" t="str">
        <f t="shared" si="218"/>
        <v>79</v>
      </c>
      <c r="D3925" t="str">
        <f>"33"</f>
        <v>33</v>
      </c>
      <c r="E3925" t="str">
        <f>"1-79-33"</f>
        <v>1-79-33</v>
      </c>
      <c r="F3925" t="s">
        <v>65</v>
      </c>
      <c r="G3925" t="s">
        <v>66</v>
      </c>
      <c r="H3925" t="s">
        <v>67</v>
      </c>
      <c r="S3925">
        <v>0</v>
      </c>
      <c r="T3925">
        <v>1</v>
      </c>
      <c r="U3925">
        <v>0</v>
      </c>
      <c r="V3925">
        <v>0</v>
      </c>
      <c r="W3925">
        <v>1</v>
      </c>
      <c r="X3925">
        <v>0</v>
      </c>
      <c r="Y3925">
        <v>0</v>
      </c>
      <c r="Z3925">
        <v>1</v>
      </c>
      <c r="AA3925">
        <v>0</v>
      </c>
      <c r="AB3925">
        <v>1</v>
      </c>
      <c r="AC3925">
        <v>0</v>
      </c>
      <c r="AD3925">
        <v>1</v>
      </c>
      <c r="AE3925">
        <v>1</v>
      </c>
      <c r="AF3925">
        <v>1</v>
      </c>
      <c r="AG3925">
        <v>1</v>
      </c>
      <c r="AH3925">
        <v>1</v>
      </c>
      <c r="AI3925">
        <v>1</v>
      </c>
      <c r="AJ3925">
        <v>1</v>
      </c>
      <c r="AK3925">
        <v>1</v>
      </c>
      <c r="AL3925">
        <v>1</v>
      </c>
      <c r="AM3925">
        <v>1</v>
      </c>
    </row>
    <row r="3926" spans="1:39" x14ac:dyDescent="0.2">
      <c r="A3926" t="str">
        <f>"3922"</f>
        <v>3922</v>
      </c>
      <c r="B3926" t="str">
        <f t="shared" si="217"/>
        <v>1</v>
      </c>
      <c r="C3926" t="str">
        <f t="shared" si="218"/>
        <v>79</v>
      </c>
      <c r="D3926" t="str">
        <f>"19"</f>
        <v>19</v>
      </c>
      <c r="E3926" t="str">
        <f>"1-79-19"</f>
        <v>1-79-19</v>
      </c>
      <c r="F3926" t="s">
        <v>65</v>
      </c>
      <c r="G3926" t="s">
        <v>66</v>
      </c>
      <c r="H3926" t="s">
        <v>67</v>
      </c>
      <c r="S3926">
        <v>1</v>
      </c>
      <c r="T3926">
        <v>0</v>
      </c>
      <c r="U3926">
        <v>0</v>
      </c>
      <c r="V3926">
        <v>0</v>
      </c>
      <c r="W3926">
        <v>0</v>
      </c>
      <c r="X3926">
        <v>1</v>
      </c>
      <c r="Y3926">
        <v>1</v>
      </c>
      <c r="Z3926">
        <v>0</v>
      </c>
      <c r="AA3926">
        <v>0</v>
      </c>
      <c r="AB3926">
        <v>0</v>
      </c>
      <c r="AC3926">
        <v>1</v>
      </c>
      <c r="AD3926">
        <v>1</v>
      </c>
      <c r="AE3926">
        <v>1</v>
      </c>
      <c r="AF3926">
        <v>1</v>
      </c>
      <c r="AG3926">
        <v>1</v>
      </c>
      <c r="AH3926">
        <v>1</v>
      </c>
      <c r="AI3926">
        <v>0</v>
      </c>
      <c r="AJ3926">
        <v>1</v>
      </c>
      <c r="AK3926">
        <v>1</v>
      </c>
      <c r="AL3926">
        <v>1</v>
      </c>
      <c r="AM3926">
        <v>1</v>
      </c>
    </row>
    <row r="3927" spans="1:39" x14ac:dyDescent="0.2">
      <c r="A3927" t="str">
        <f>"3923"</f>
        <v>3923</v>
      </c>
      <c r="B3927" t="str">
        <f t="shared" si="217"/>
        <v>1</v>
      </c>
      <c r="C3927" t="str">
        <f t="shared" si="218"/>
        <v>79</v>
      </c>
      <c r="D3927" t="str">
        <f>"7"</f>
        <v>7</v>
      </c>
      <c r="E3927" t="str">
        <f>"1-79-7"</f>
        <v>1-79-7</v>
      </c>
      <c r="F3927" t="s">
        <v>65</v>
      </c>
      <c r="G3927" t="s">
        <v>66</v>
      </c>
      <c r="H3927" t="s">
        <v>68</v>
      </c>
      <c r="I3927">
        <v>1</v>
      </c>
      <c r="J3927">
        <v>1</v>
      </c>
      <c r="K3927">
        <v>0</v>
      </c>
      <c r="L3927">
        <v>0</v>
      </c>
      <c r="M3927">
        <v>1</v>
      </c>
      <c r="N3927">
        <v>1</v>
      </c>
      <c r="O3927">
        <v>1</v>
      </c>
      <c r="P3927">
        <v>1</v>
      </c>
      <c r="Q3927">
        <v>1</v>
      </c>
      <c r="R3927">
        <v>1</v>
      </c>
    </row>
    <row r="3928" spans="1:39" x14ac:dyDescent="0.2">
      <c r="A3928" t="str">
        <f>"3924"</f>
        <v>3924</v>
      </c>
      <c r="B3928" t="str">
        <f t="shared" si="217"/>
        <v>1</v>
      </c>
      <c r="C3928" t="str">
        <f t="shared" si="218"/>
        <v>79</v>
      </c>
      <c r="D3928" t="str">
        <f>"38"</f>
        <v>38</v>
      </c>
      <c r="E3928" t="str">
        <f>"1-79-38"</f>
        <v>1-79-38</v>
      </c>
      <c r="F3928" t="s">
        <v>65</v>
      </c>
      <c r="G3928" t="s">
        <v>66</v>
      </c>
      <c r="H3928" t="s">
        <v>67</v>
      </c>
      <c r="S3928">
        <v>1</v>
      </c>
      <c r="T3928">
        <v>0</v>
      </c>
      <c r="U3928">
        <v>0</v>
      </c>
      <c r="V3928">
        <v>0</v>
      </c>
      <c r="W3928">
        <v>1</v>
      </c>
      <c r="X3928">
        <v>0</v>
      </c>
      <c r="Y3928">
        <v>1</v>
      </c>
      <c r="Z3928">
        <v>0</v>
      </c>
      <c r="AA3928">
        <v>0</v>
      </c>
      <c r="AB3928">
        <v>0</v>
      </c>
      <c r="AC3928">
        <v>0</v>
      </c>
      <c r="AD3928">
        <v>1</v>
      </c>
      <c r="AE3928">
        <v>1</v>
      </c>
      <c r="AF3928">
        <v>1</v>
      </c>
      <c r="AG3928">
        <v>1</v>
      </c>
      <c r="AH3928">
        <v>0</v>
      </c>
      <c r="AI3928">
        <v>1</v>
      </c>
      <c r="AJ3928">
        <v>1</v>
      </c>
      <c r="AK3928">
        <v>1</v>
      </c>
      <c r="AL3928">
        <v>1</v>
      </c>
      <c r="AM3928">
        <v>1</v>
      </c>
    </row>
    <row r="3929" spans="1:39" x14ac:dyDescent="0.2">
      <c r="A3929" t="str">
        <f>"3925"</f>
        <v>3925</v>
      </c>
      <c r="B3929" t="str">
        <f t="shared" si="217"/>
        <v>1</v>
      </c>
      <c r="C3929" t="str">
        <f t="shared" si="218"/>
        <v>79</v>
      </c>
      <c r="D3929" t="str">
        <f>"20"</f>
        <v>20</v>
      </c>
      <c r="E3929" t="str">
        <f>"1-79-20"</f>
        <v>1-79-20</v>
      </c>
      <c r="F3929" t="s">
        <v>65</v>
      </c>
      <c r="G3929" t="s">
        <v>66</v>
      </c>
      <c r="H3929" t="s">
        <v>67</v>
      </c>
      <c r="S3929">
        <v>0</v>
      </c>
      <c r="T3929">
        <v>1</v>
      </c>
      <c r="U3929">
        <v>0</v>
      </c>
      <c r="V3929">
        <v>0</v>
      </c>
      <c r="W3929">
        <v>1</v>
      </c>
      <c r="X3929">
        <v>0</v>
      </c>
      <c r="Y3929">
        <v>0</v>
      </c>
      <c r="Z3929">
        <v>1</v>
      </c>
      <c r="AA3929">
        <v>0</v>
      </c>
      <c r="AB3929">
        <v>0</v>
      </c>
      <c r="AC3929">
        <v>1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</row>
    <row r="3930" spans="1:39" x14ac:dyDescent="0.2">
      <c r="A3930" t="str">
        <f>"3926"</f>
        <v>3926</v>
      </c>
      <c r="B3930" t="str">
        <f t="shared" si="217"/>
        <v>1</v>
      </c>
      <c r="C3930" t="str">
        <f t="shared" si="218"/>
        <v>79</v>
      </c>
      <c r="D3930" t="str">
        <f>"10"</f>
        <v>10</v>
      </c>
      <c r="E3930" t="str">
        <f>"1-79-10"</f>
        <v>1-79-10</v>
      </c>
      <c r="F3930" t="s">
        <v>65</v>
      </c>
      <c r="G3930" t="s">
        <v>66</v>
      </c>
      <c r="H3930" t="s">
        <v>67</v>
      </c>
      <c r="S3930">
        <v>1</v>
      </c>
      <c r="T3930">
        <v>0</v>
      </c>
      <c r="U3930">
        <v>0</v>
      </c>
      <c r="V3930">
        <v>0</v>
      </c>
      <c r="W3930">
        <v>1</v>
      </c>
      <c r="X3930">
        <v>0</v>
      </c>
      <c r="Y3930">
        <v>1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1</v>
      </c>
      <c r="AF3930">
        <v>1</v>
      </c>
      <c r="AG3930">
        <v>1</v>
      </c>
      <c r="AH3930">
        <v>1</v>
      </c>
      <c r="AI3930">
        <v>1</v>
      </c>
      <c r="AJ3930">
        <v>1</v>
      </c>
      <c r="AK3930">
        <v>1</v>
      </c>
      <c r="AL3930">
        <v>1</v>
      </c>
      <c r="AM3930">
        <v>1</v>
      </c>
    </row>
    <row r="3931" spans="1:39" x14ac:dyDescent="0.2">
      <c r="A3931" t="str">
        <f>"3927"</f>
        <v>3927</v>
      </c>
      <c r="B3931" t="str">
        <f t="shared" si="217"/>
        <v>1</v>
      </c>
      <c r="C3931" t="str">
        <f t="shared" si="218"/>
        <v>79</v>
      </c>
      <c r="D3931" t="str">
        <f>"39"</f>
        <v>39</v>
      </c>
      <c r="E3931" t="str">
        <f>"1-79-39"</f>
        <v>1-79-39</v>
      </c>
      <c r="F3931" t="s">
        <v>65</v>
      </c>
      <c r="G3931" t="s">
        <v>66</v>
      </c>
      <c r="H3931" t="s">
        <v>67</v>
      </c>
      <c r="S3931">
        <v>1</v>
      </c>
      <c r="T3931">
        <v>0</v>
      </c>
      <c r="U3931">
        <v>0</v>
      </c>
      <c r="V3931">
        <v>0</v>
      </c>
      <c r="W3931">
        <v>1</v>
      </c>
      <c r="X3931">
        <v>0</v>
      </c>
      <c r="Y3931">
        <v>1</v>
      </c>
      <c r="Z3931">
        <v>0</v>
      </c>
      <c r="AA3931">
        <v>0</v>
      </c>
      <c r="AB3931">
        <v>1</v>
      </c>
      <c r="AC3931">
        <v>0</v>
      </c>
      <c r="AD3931">
        <v>1</v>
      </c>
      <c r="AE3931">
        <v>1</v>
      </c>
      <c r="AF3931">
        <v>1</v>
      </c>
      <c r="AG3931">
        <v>1</v>
      </c>
      <c r="AH3931">
        <v>1</v>
      </c>
      <c r="AI3931">
        <v>1</v>
      </c>
      <c r="AJ3931">
        <v>1</v>
      </c>
      <c r="AK3931">
        <v>1</v>
      </c>
      <c r="AL3931">
        <v>1</v>
      </c>
      <c r="AM3931">
        <v>1</v>
      </c>
    </row>
    <row r="3932" spans="1:39" x14ac:dyDescent="0.2">
      <c r="A3932" t="str">
        <f>"3928"</f>
        <v>3928</v>
      </c>
      <c r="B3932" t="str">
        <f t="shared" si="217"/>
        <v>1</v>
      </c>
      <c r="C3932" t="str">
        <f t="shared" si="218"/>
        <v>79</v>
      </c>
      <c r="D3932" t="str">
        <f>"21"</f>
        <v>21</v>
      </c>
      <c r="E3932" t="str">
        <f>"1-79-21"</f>
        <v>1-79-21</v>
      </c>
      <c r="F3932" t="s">
        <v>65</v>
      </c>
      <c r="G3932" t="s">
        <v>66</v>
      </c>
      <c r="H3932" t="s">
        <v>67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1</v>
      </c>
    </row>
    <row r="3933" spans="1:39" x14ac:dyDescent="0.2">
      <c r="A3933" t="str">
        <f>"3929"</f>
        <v>3929</v>
      </c>
      <c r="B3933" t="str">
        <f t="shared" si="217"/>
        <v>1</v>
      </c>
      <c r="C3933" t="str">
        <f t="shared" si="218"/>
        <v>79</v>
      </c>
      <c r="D3933" t="str">
        <f>"4"</f>
        <v>4</v>
      </c>
      <c r="E3933" t="str">
        <f>"1-79-4"</f>
        <v>1-79-4</v>
      </c>
      <c r="F3933" t="s">
        <v>65</v>
      </c>
      <c r="G3933" t="s">
        <v>66</v>
      </c>
      <c r="H3933" t="s">
        <v>68</v>
      </c>
      <c r="I3933">
        <v>1</v>
      </c>
      <c r="J3933">
        <v>0</v>
      </c>
      <c r="K3933">
        <v>0</v>
      </c>
      <c r="L3933">
        <v>1</v>
      </c>
      <c r="M3933">
        <v>1</v>
      </c>
      <c r="N3933">
        <v>1</v>
      </c>
      <c r="O3933">
        <v>1</v>
      </c>
      <c r="P3933">
        <v>1</v>
      </c>
      <c r="Q3933">
        <v>1</v>
      </c>
      <c r="R3933">
        <v>1</v>
      </c>
    </row>
    <row r="3934" spans="1:39" x14ac:dyDescent="0.2">
      <c r="A3934" t="str">
        <f>"3930"</f>
        <v>3930</v>
      </c>
      <c r="B3934" t="str">
        <f t="shared" si="217"/>
        <v>1</v>
      </c>
      <c r="C3934" t="str">
        <f t="shared" si="218"/>
        <v>79</v>
      </c>
      <c r="D3934" t="str">
        <f>"42"</f>
        <v>42</v>
      </c>
      <c r="E3934" t="str">
        <f>"1-79-42"</f>
        <v>1-79-42</v>
      </c>
      <c r="F3934" t="s">
        <v>65</v>
      </c>
      <c r="G3934" t="s">
        <v>66</v>
      </c>
      <c r="H3934" t="s">
        <v>67</v>
      </c>
      <c r="S3934">
        <v>1</v>
      </c>
      <c r="T3934">
        <v>0</v>
      </c>
      <c r="U3934">
        <v>0</v>
      </c>
      <c r="V3934">
        <v>0</v>
      </c>
      <c r="W3934">
        <v>1</v>
      </c>
      <c r="X3934">
        <v>0</v>
      </c>
      <c r="Y3934">
        <v>0</v>
      </c>
      <c r="Z3934">
        <v>1</v>
      </c>
      <c r="AA3934">
        <v>0</v>
      </c>
      <c r="AB3934">
        <v>1</v>
      </c>
      <c r="AC3934">
        <v>0</v>
      </c>
      <c r="AD3934">
        <v>1</v>
      </c>
      <c r="AE3934">
        <v>1</v>
      </c>
      <c r="AF3934">
        <v>1</v>
      </c>
      <c r="AG3934">
        <v>1</v>
      </c>
      <c r="AH3934">
        <v>1</v>
      </c>
      <c r="AI3934">
        <v>1</v>
      </c>
      <c r="AJ3934">
        <v>1</v>
      </c>
      <c r="AK3934">
        <v>1</v>
      </c>
      <c r="AL3934">
        <v>1</v>
      </c>
      <c r="AM3934">
        <v>1</v>
      </c>
    </row>
    <row r="3935" spans="1:39" x14ac:dyDescent="0.2">
      <c r="A3935" t="str">
        <f>"3931"</f>
        <v>3931</v>
      </c>
      <c r="B3935" t="str">
        <f t="shared" si="217"/>
        <v>1</v>
      </c>
      <c r="C3935" t="str">
        <f t="shared" si="218"/>
        <v>79</v>
      </c>
      <c r="D3935" t="str">
        <f>"22"</f>
        <v>22</v>
      </c>
      <c r="E3935" t="str">
        <f>"1-79-22"</f>
        <v>1-79-22</v>
      </c>
      <c r="F3935" t="s">
        <v>65</v>
      </c>
      <c r="G3935" t="s">
        <v>66</v>
      </c>
      <c r="H3935" t="s">
        <v>67</v>
      </c>
      <c r="S3935">
        <v>0</v>
      </c>
      <c r="T3935">
        <v>1</v>
      </c>
      <c r="U3935">
        <v>0</v>
      </c>
      <c r="V3935">
        <v>0</v>
      </c>
      <c r="W3935">
        <v>0</v>
      </c>
      <c r="X3935">
        <v>1</v>
      </c>
      <c r="Y3935">
        <v>0</v>
      </c>
      <c r="Z3935">
        <v>1</v>
      </c>
      <c r="AA3935">
        <v>0</v>
      </c>
      <c r="AB3935">
        <v>0</v>
      </c>
      <c r="AC3935">
        <v>1</v>
      </c>
      <c r="AD3935">
        <v>1</v>
      </c>
      <c r="AE3935">
        <v>1</v>
      </c>
      <c r="AF3935">
        <v>1</v>
      </c>
      <c r="AG3935">
        <v>1</v>
      </c>
      <c r="AH3935">
        <v>1</v>
      </c>
      <c r="AI3935">
        <v>1</v>
      </c>
      <c r="AJ3935">
        <v>1</v>
      </c>
      <c r="AK3935">
        <v>1</v>
      </c>
      <c r="AL3935">
        <v>1</v>
      </c>
      <c r="AM3935">
        <v>1</v>
      </c>
    </row>
    <row r="3936" spans="1:39" x14ac:dyDescent="0.2">
      <c r="A3936" t="str">
        <f>"3932"</f>
        <v>3932</v>
      </c>
      <c r="B3936" t="str">
        <f t="shared" si="217"/>
        <v>1</v>
      </c>
      <c r="C3936" t="str">
        <f t="shared" si="218"/>
        <v>79</v>
      </c>
      <c r="D3936" t="str">
        <f>"8"</f>
        <v>8</v>
      </c>
      <c r="E3936" t="str">
        <f>"1-79-8"</f>
        <v>1-79-8</v>
      </c>
      <c r="F3936" t="s">
        <v>65</v>
      </c>
      <c r="G3936" t="s">
        <v>66</v>
      </c>
      <c r="H3936" t="s">
        <v>68</v>
      </c>
      <c r="I3936">
        <v>1</v>
      </c>
      <c r="J3936">
        <v>1</v>
      </c>
      <c r="K3936">
        <v>0</v>
      </c>
      <c r="L3936">
        <v>0</v>
      </c>
      <c r="M3936">
        <v>1</v>
      </c>
      <c r="N3936">
        <v>1</v>
      </c>
      <c r="O3936">
        <v>1</v>
      </c>
      <c r="P3936">
        <v>1</v>
      </c>
      <c r="Q3936">
        <v>1</v>
      </c>
      <c r="R3936">
        <v>1</v>
      </c>
    </row>
    <row r="3937" spans="1:39" x14ac:dyDescent="0.2">
      <c r="A3937" t="str">
        <f>"3933"</f>
        <v>3933</v>
      </c>
      <c r="B3937" t="str">
        <f t="shared" si="217"/>
        <v>1</v>
      </c>
      <c r="C3937" t="str">
        <f t="shared" ref="C3937:C3954" si="219">"79"</f>
        <v>79</v>
      </c>
      <c r="D3937" t="str">
        <f>"43"</f>
        <v>43</v>
      </c>
      <c r="E3937" t="str">
        <f>"1-79-43"</f>
        <v>1-79-43</v>
      </c>
      <c r="F3937" t="s">
        <v>65</v>
      </c>
      <c r="G3937" t="s">
        <v>66</v>
      </c>
      <c r="H3937" t="s">
        <v>67</v>
      </c>
      <c r="S3937">
        <v>1</v>
      </c>
      <c r="T3937">
        <v>0</v>
      </c>
      <c r="U3937">
        <v>0</v>
      </c>
      <c r="V3937">
        <v>0</v>
      </c>
      <c r="W3937">
        <v>1</v>
      </c>
      <c r="X3937">
        <v>0</v>
      </c>
      <c r="Y3937">
        <v>0</v>
      </c>
      <c r="Z3937">
        <v>1</v>
      </c>
      <c r="AA3937">
        <v>1</v>
      </c>
      <c r="AB3937">
        <v>0</v>
      </c>
      <c r="AC3937">
        <v>0</v>
      </c>
      <c r="AD3937">
        <v>1</v>
      </c>
      <c r="AE3937">
        <v>1</v>
      </c>
      <c r="AF3937">
        <v>1</v>
      </c>
      <c r="AG3937">
        <v>1</v>
      </c>
      <c r="AH3937">
        <v>1</v>
      </c>
      <c r="AI3937">
        <v>1</v>
      </c>
      <c r="AJ3937">
        <v>1</v>
      </c>
      <c r="AK3937">
        <v>1</v>
      </c>
      <c r="AL3937">
        <v>1</v>
      </c>
      <c r="AM3937">
        <v>1</v>
      </c>
    </row>
    <row r="3938" spans="1:39" x14ac:dyDescent="0.2">
      <c r="A3938" t="str">
        <f>"3934"</f>
        <v>3934</v>
      </c>
      <c r="B3938" t="str">
        <f t="shared" si="217"/>
        <v>1</v>
      </c>
      <c r="C3938" t="str">
        <f t="shared" si="219"/>
        <v>79</v>
      </c>
      <c r="D3938" t="str">
        <f>"23"</f>
        <v>23</v>
      </c>
      <c r="E3938" t="str">
        <f>"1-79-23"</f>
        <v>1-79-23</v>
      </c>
      <c r="F3938" t="s">
        <v>65</v>
      </c>
      <c r="G3938" t="s">
        <v>66</v>
      </c>
      <c r="H3938" t="s">
        <v>67</v>
      </c>
      <c r="S3938">
        <v>0</v>
      </c>
      <c r="T3938">
        <v>1</v>
      </c>
      <c r="U3938">
        <v>0</v>
      </c>
      <c r="V3938">
        <v>0</v>
      </c>
      <c r="W3938">
        <v>0</v>
      </c>
      <c r="X3938">
        <v>1</v>
      </c>
      <c r="Y3938">
        <v>0</v>
      </c>
      <c r="Z3938">
        <v>1</v>
      </c>
      <c r="AA3938">
        <v>0</v>
      </c>
      <c r="AB3938">
        <v>1</v>
      </c>
      <c r="AC3938">
        <v>0</v>
      </c>
      <c r="AD3938">
        <v>1</v>
      </c>
      <c r="AE3938">
        <v>1</v>
      </c>
      <c r="AF3938">
        <v>1</v>
      </c>
      <c r="AG3938">
        <v>1</v>
      </c>
      <c r="AH3938">
        <v>1</v>
      </c>
      <c r="AI3938">
        <v>1</v>
      </c>
      <c r="AJ3938">
        <v>1</v>
      </c>
      <c r="AK3938">
        <v>1</v>
      </c>
      <c r="AL3938">
        <v>1</v>
      </c>
      <c r="AM3938">
        <v>1</v>
      </c>
    </row>
    <row r="3939" spans="1:39" x14ac:dyDescent="0.2">
      <c r="A3939" t="str">
        <f>"3935"</f>
        <v>3935</v>
      </c>
      <c r="B3939" t="str">
        <f t="shared" si="217"/>
        <v>1</v>
      </c>
      <c r="C3939" t="str">
        <f t="shared" si="219"/>
        <v>79</v>
      </c>
      <c r="D3939" t="str">
        <f>"3"</f>
        <v>3</v>
      </c>
      <c r="E3939" t="str">
        <f>"1-79-3"</f>
        <v>1-79-3</v>
      </c>
      <c r="F3939" t="s">
        <v>65</v>
      </c>
      <c r="G3939" t="s">
        <v>66</v>
      </c>
      <c r="H3939" t="s">
        <v>68</v>
      </c>
      <c r="I3939">
        <v>1</v>
      </c>
      <c r="J3939">
        <v>0</v>
      </c>
      <c r="K3939">
        <v>0</v>
      </c>
      <c r="L3939">
        <v>1</v>
      </c>
      <c r="M3939">
        <v>1</v>
      </c>
      <c r="N3939">
        <v>1</v>
      </c>
      <c r="O3939">
        <v>1</v>
      </c>
      <c r="P3939">
        <v>1</v>
      </c>
      <c r="Q3939">
        <v>1</v>
      </c>
      <c r="R3939">
        <v>1</v>
      </c>
    </row>
    <row r="3940" spans="1:39" x14ac:dyDescent="0.2">
      <c r="A3940" t="str">
        <f>"3936"</f>
        <v>3936</v>
      </c>
      <c r="B3940" t="str">
        <f t="shared" si="217"/>
        <v>1</v>
      </c>
      <c r="C3940" t="str">
        <f t="shared" si="219"/>
        <v>79</v>
      </c>
      <c r="D3940" t="str">
        <f>"46"</f>
        <v>46</v>
      </c>
      <c r="E3940" t="str">
        <f>"1-79-46"</f>
        <v>1-79-46</v>
      </c>
      <c r="F3940" t="s">
        <v>65</v>
      </c>
      <c r="G3940" t="s">
        <v>66</v>
      </c>
      <c r="H3940" t="s">
        <v>67</v>
      </c>
      <c r="S3940">
        <v>1</v>
      </c>
      <c r="T3940">
        <v>0</v>
      </c>
      <c r="U3940">
        <v>0</v>
      </c>
      <c r="V3940">
        <v>0</v>
      </c>
      <c r="W3940">
        <v>1</v>
      </c>
      <c r="X3940">
        <v>0</v>
      </c>
      <c r="Y3940">
        <v>1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1</v>
      </c>
      <c r="AF3940">
        <v>1</v>
      </c>
      <c r="AG3940">
        <v>1</v>
      </c>
      <c r="AH3940">
        <v>1</v>
      </c>
      <c r="AI3940">
        <v>1</v>
      </c>
      <c r="AJ3940">
        <v>1</v>
      </c>
      <c r="AK3940">
        <v>1</v>
      </c>
      <c r="AL3940">
        <v>1</v>
      </c>
      <c r="AM3940">
        <v>1</v>
      </c>
    </row>
    <row r="3941" spans="1:39" x14ac:dyDescent="0.2">
      <c r="A3941" t="str">
        <f>"3937"</f>
        <v>3937</v>
      </c>
      <c r="B3941" t="str">
        <f t="shared" si="217"/>
        <v>1</v>
      </c>
      <c r="C3941" t="str">
        <f t="shared" si="219"/>
        <v>79</v>
      </c>
      <c r="D3941" t="str">
        <f>"25"</f>
        <v>25</v>
      </c>
      <c r="E3941" t="str">
        <f>"1-79-25"</f>
        <v>1-79-25</v>
      </c>
      <c r="F3941" t="s">
        <v>65</v>
      </c>
      <c r="G3941" t="s">
        <v>66</v>
      </c>
      <c r="H3941" t="s">
        <v>67</v>
      </c>
      <c r="S3941">
        <v>1</v>
      </c>
      <c r="T3941">
        <v>0</v>
      </c>
      <c r="U3941">
        <v>0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1</v>
      </c>
      <c r="AH3941">
        <v>1</v>
      </c>
      <c r="AI3941">
        <v>1</v>
      </c>
      <c r="AJ3941">
        <v>1</v>
      </c>
      <c r="AK3941">
        <v>1</v>
      </c>
      <c r="AL3941">
        <v>1</v>
      </c>
      <c r="AM3941">
        <v>0</v>
      </c>
    </row>
    <row r="3942" spans="1:39" x14ac:dyDescent="0.2">
      <c r="A3942" t="str">
        <f>"3938"</f>
        <v>3938</v>
      </c>
      <c r="B3942" t="str">
        <f t="shared" si="217"/>
        <v>1</v>
      </c>
      <c r="C3942" t="str">
        <f t="shared" si="219"/>
        <v>79</v>
      </c>
      <c r="D3942" t="str">
        <f>"13"</f>
        <v>13</v>
      </c>
      <c r="E3942" t="str">
        <f>"1-79-13"</f>
        <v>1-79-13</v>
      </c>
      <c r="F3942" t="s">
        <v>65</v>
      </c>
      <c r="G3942" t="s">
        <v>66</v>
      </c>
      <c r="H3942" t="s">
        <v>67</v>
      </c>
      <c r="S3942">
        <v>0</v>
      </c>
      <c r="T3942">
        <v>1</v>
      </c>
      <c r="U3942">
        <v>0</v>
      </c>
      <c r="V3942">
        <v>0</v>
      </c>
      <c r="W3942">
        <v>1</v>
      </c>
      <c r="X3942">
        <v>0</v>
      </c>
      <c r="Y3942">
        <v>0</v>
      </c>
      <c r="Z3942">
        <v>1</v>
      </c>
      <c r="AA3942">
        <v>0</v>
      </c>
      <c r="AB3942">
        <v>0</v>
      </c>
      <c r="AC3942">
        <v>1</v>
      </c>
      <c r="AD3942">
        <v>1</v>
      </c>
      <c r="AE3942">
        <v>1</v>
      </c>
      <c r="AF3942">
        <v>1</v>
      </c>
      <c r="AG3942">
        <v>1</v>
      </c>
      <c r="AH3942">
        <v>1</v>
      </c>
      <c r="AI3942">
        <v>0</v>
      </c>
      <c r="AJ3942">
        <v>1</v>
      </c>
      <c r="AK3942">
        <v>1</v>
      </c>
      <c r="AL3942">
        <v>1</v>
      </c>
      <c r="AM3942">
        <v>1</v>
      </c>
    </row>
    <row r="3943" spans="1:39" x14ac:dyDescent="0.2">
      <c r="A3943" t="str">
        <f>"3939"</f>
        <v>3939</v>
      </c>
      <c r="B3943" t="str">
        <f t="shared" si="217"/>
        <v>1</v>
      </c>
      <c r="C3943" t="str">
        <f t="shared" si="219"/>
        <v>79</v>
      </c>
      <c r="D3943" t="str">
        <f>"26"</f>
        <v>26</v>
      </c>
      <c r="E3943" t="str">
        <f>"1-79-26"</f>
        <v>1-79-26</v>
      </c>
      <c r="F3943" t="s">
        <v>65</v>
      </c>
      <c r="G3943" t="s">
        <v>66</v>
      </c>
      <c r="H3943" t="s">
        <v>67</v>
      </c>
      <c r="S3943">
        <v>1</v>
      </c>
      <c r="T3943">
        <v>0</v>
      </c>
      <c r="U3943">
        <v>0</v>
      </c>
      <c r="V3943">
        <v>0</v>
      </c>
      <c r="W3943">
        <v>1</v>
      </c>
      <c r="X3943">
        <v>0</v>
      </c>
      <c r="Y3943">
        <v>0</v>
      </c>
      <c r="Z3943">
        <v>1</v>
      </c>
      <c r="AA3943">
        <v>1</v>
      </c>
      <c r="AB3943">
        <v>0</v>
      </c>
      <c r="AC3943">
        <v>0</v>
      </c>
      <c r="AD3943">
        <v>1</v>
      </c>
      <c r="AE3943">
        <v>1</v>
      </c>
      <c r="AF3943">
        <v>1</v>
      </c>
      <c r="AG3943">
        <v>0</v>
      </c>
      <c r="AH3943">
        <v>1</v>
      </c>
      <c r="AI3943">
        <v>1</v>
      </c>
      <c r="AJ3943">
        <v>1</v>
      </c>
      <c r="AK3943">
        <v>1</v>
      </c>
      <c r="AL3943">
        <v>1</v>
      </c>
      <c r="AM3943">
        <v>1</v>
      </c>
    </row>
    <row r="3944" spans="1:39" x14ac:dyDescent="0.2">
      <c r="A3944" t="str">
        <f>"3940"</f>
        <v>3940</v>
      </c>
      <c r="B3944" t="str">
        <f t="shared" si="217"/>
        <v>1</v>
      </c>
      <c r="C3944" t="str">
        <f t="shared" si="219"/>
        <v>79</v>
      </c>
      <c r="D3944" t="str">
        <f>"1"</f>
        <v>1</v>
      </c>
      <c r="E3944" t="str">
        <f>"1-79-1"</f>
        <v>1-79-1</v>
      </c>
      <c r="F3944" t="s">
        <v>65</v>
      </c>
      <c r="G3944" t="s">
        <v>66</v>
      </c>
      <c r="H3944" t="s">
        <v>67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1</v>
      </c>
      <c r="Y3944">
        <v>0</v>
      </c>
      <c r="Z3944">
        <v>1</v>
      </c>
      <c r="AA3944">
        <v>0</v>
      </c>
      <c r="AB3944">
        <v>0</v>
      </c>
      <c r="AC3944">
        <v>1</v>
      </c>
      <c r="AD3944">
        <v>1</v>
      </c>
      <c r="AE3944">
        <v>1</v>
      </c>
      <c r="AF3944">
        <v>1</v>
      </c>
      <c r="AG3944">
        <v>1</v>
      </c>
      <c r="AH3944">
        <v>1</v>
      </c>
      <c r="AI3944">
        <v>1</v>
      </c>
      <c r="AJ3944">
        <v>1</v>
      </c>
      <c r="AK3944">
        <v>1</v>
      </c>
      <c r="AL3944">
        <v>1</v>
      </c>
      <c r="AM3944">
        <v>1</v>
      </c>
    </row>
    <row r="3945" spans="1:39" x14ac:dyDescent="0.2">
      <c r="A3945" t="str">
        <f>"3941"</f>
        <v>3941</v>
      </c>
      <c r="B3945" t="str">
        <f t="shared" si="217"/>
        <v>1</v>
      </c>
      <c r="C3945" t="str">
        <f t="shared" si="219"/>
        <v>79</v>
      </c>
      <c r="D3945" t="str">
        <f>"27"</f>
        <v>27</v>
      </c>
      <c r="E3945" t="str">
        <f>"1-79-27"</f>
        <v>1-79-27</v>
      </c>
      <c r="F3945" t="s">
        <v>65</v>
      </c>
      <c r="G3945" t="s">
        <v>66</v>
      </c>
      <c r="H3945" t="s">
        <v>67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0</v>
      </c>
      <c r="AB3945">
        <v>1</v>
      </c>
      <c r="AC3945">
        <v>0</v>
      </c>
      <c r="AD3945">
        <v>1</v>
      </c>
      <c r="AE3945">
        <v>1</v>
      </c>
      <c r="AF3945">
        <v>1</v>
      </c>
      <c r="AG3945">
        <v>1</v>
      </c>
      <c r="AH3945">
        <v>1</v>
      </c>
      <c r="AI3945">
        <v>1</v>
      </c>
      <c r="AJ3945">
        <v>1</v>
      </c>
      <c r="AK3945">
        <v>1</v>
      </c>
      <c r="AL3945">
        <v>1</v>
      </c>
      <c r="AM3945">
        <v>0</v>
      </c>
    </row>
    <row r="3946" spans="1:39" x14ac:dyDescent="0.2">
      <c r="A3946" t="str">
        <f>"3942"</f>
        <v>3942</v>
      </c>
      <c r="B3946" t="str">
        <f t="shared" si="217"/>
        <v>1</v>
      </c>
      <c r="C3946" t="str">
        <f t="shared" si="219"/>
        <v>79</v>
      </c>
      <c r="D3946" t="str">
        <f>"9"</f>
        <v>9</v>
      </c>
      <c r="E3946" t="str">
        <f>"1-79-9"</f>
        <v>1-79-9</v>
      </c>
      <c r="F3946" t="s">
        <v>65</v>
      </c>
      <c r="G3946" t="s">
        <v>66</v>
      </c>
      <c r="H3946" t="s">
        <v>67</v>
      </c>
      <c r="S3946">
        <v>0</v>
      </c>
      <c r="T3946">
        <v>1</v>
      </c>
      <c r="U3946">
        <v>0</v>
      </c>
      <c r="V3946">
        <v>0</v>
      </c>
      <c r="W3946">
        <v>0</v>
      </c>
      <c r="X3946">
        <v>1</v>
      </c>
      <c r="Y3946">
        <v>0</v>
      </c>
      <c r="Z3946">
        <v>1</v>
      </c>
      <c r="AA3946">
        <v>0</v>
      </c>
      <c r="AB3946">
        <v>0</v>
      </c>
      <c r="AC3946">
        <v>1</v>
      </c>
      <c r="AD3946">
        <v>1</v>
      </c>
      <c r="AE3946">
        <v>1</v>
      </c>
      <c r="AF3946">
        <v>1</v>
      </c>
      <c r="AG3946">
        <v>1</v>
      </c>
      <c r="AH3946">
        <v>1</v>
      </c>
      <c r="AI3946">
        <v>1</v>
      </c>
      <c r="AJ3946">
        <v>1</v>
      </c>
      <c r="AK3946">
        <v>1</v>
      </c>
      <c r="AL3946">
        <v>1</v>
      </c>
      <c r="AM3946">
        <v>1</v>
      </c>
    </row>
    <row r="3947" spans="1:39" x14ac:dyDescent="0.2">
      <c r="A3947" t="str">
        <f>"3943"</f>
        <v>3943</v>
      </c>
      <c r="B3947" t="str">
        <f t="shared" si="217"/>
        <v>1</v>
      </c>
      <c r="C3947" t="str">
        <f t="shared" si="219"/>
        <v>79</v>
      </c>
      <c r="D3947" t="str">
        <f>"47"</f>
        <v>47</v>
      </c>
      <c r="E3947" t="str">
        <f>"1-79-47"</f>
        <v>1-79-47</v>
      </c>
      <c r="F3947" t="s">
        <v>65</v>
      </c>
      <c r="G3947" t="s">
        <v>66</v>
      </c>
      <c r="H3947" t="s">
        <v>67</v>
      </c>
      <c r="S3947">
        <v>0</v>
      </c>
      <c r="T3947">
        <v>1</v>
      </c>
      <c r="U3947">
        <v>0</v>
      </c>
      <c r="V3947">
        <v>0</v>
      </c>
      <c r="W3947">
        <v>1</v>
      </c>
      <c r="X3947">
        <v>0</v>
      </c>
      <c r="Y3947">
        <v>0</v>
      </c>
      <c r="Z3947">
        <v>1</v>
      </c>
      <c r="AA3947">
        <v>1</v>
      </c>
      <c r="AB3947">
        <v>0</v>
      </c>
      <c r="AC3947">
        <v>0</v>
      </c>
      <c r="AD3947">
        <v>1</v>
      </c>
      <c r="AE3947">
        <v>1</v>
      </c>
      <c r="AF3947">
        <v>1</v>
      </c>
      <c r="AG3947">
        <v>1</v>
      </c>
      <c r="AH3947">
        <v>1</v>
      </c>
      <c r="AI3947">
        <v>1</v>
      </c>
      <c r="AJ3947">
        <v>1</v>
      </c>
      <c r="AK3947">
        <v>1</v>
      </c>
      <c r="AL3947">
        <v>1</v>
      </c>
      <c r="AM3947">
        <v>1</v>
      </c>
    </row>
    <row r="3948" spans="1:39" x14ac:dyDescent="0.2">
      <c r="A3948" t="str">
        <f>"3944"</f>
        <v>3944</v>
      </c>
      <c r="B3948" t="str">
        <f t="shared" si="217"/>
        <v>1</v>
      </c>
      <c r="C3948" t="str">
        <f t="shared" si="219"/>
        <v>79</v>
      </c>
      <c r="D3948" t="str">
        <f>"29"</f>
        <v>29</v>
      </c>
      <c r="E3948" t="str">
        <f>"1-79-29"</f>
        <v>1-79-29</v>
      </c>
      <c r="F3948" t="s">
        <v>65</v>
      </c>
      <c r="G3948" t="s">
        <v>66</v>
      </c>
      <c r="H3948" t="s">
        <v>67</v>
      </c>
      <c r="S3948">
        <v>1</v>
      </c>
      <c r="T3948">
        <v>0</v>
      </c>
      <c r="U3948">
        <v>0</v>
      </c>
      <c r="V3948">
        <v>0</v>
      </c>
      <c r="W3948">
        <v>0</v>
      </c>
      <c r="X3948">
        <v>1</v>
      </c>
      <c r="Y3948">
        <v>0</v>
      </c>
      <c r="Z3948">
        <v>1</v>
      </c>
      <c r="AA3948">
        <v>0</v>
      </c>
      <c r="AB3948">
        <v>1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</row>
    <row r="3949" spans="1:39" x14ac:dyDescent="0.2">
      <c r="A3949" t="str">
        <f>"3945"</f>
        <v>3945</v>
      </c>
      <c r="B3949" t="str">
        <f t="shared" si="217"/>
        <v>1</v>
      </c>
      <c r="C3949" t="str">
        <f t="shared" si="219"/>
        <v>79</v>
      </c>
      <c r="D3949" t="str">
        <f>"12"</f>
        <v>12</v>
      </c>
      <c r="E3949" t="str">
        <f>"1-79-12"</f>
        <v>1-79-12</v>
      </c>
      <c r="F3949" t="s">
        <v>65</v>
      </c>
      <c r="G3949" t="s">
        <v>66</v>
      </c>
      <c r="H3949" t="s">
        <v>67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1</v>
      </c>
      <c r="AH3949">
        <v>0</v>
      </c>
      <c r="AI3949">
        <v>0</v>
      </c>
      <c r="AJ3949">
        <v>1</v>
      </c>
      <c r="AK3949">
        <v>1</v>
      </c>
      <c r="AL3949">
        <v>1</v>
      </c>
      <c r="AM3949">
        <v>0</v>
      </c>
    </row>
    <row r="3950" spans="1:39" x14ac:dyDescent="0.2">
      <c r="A3950" t="str">
        <f>"3946"</f>
        <v>3946</v>
      </c>
      <c r="B3950" t="str">
        <f t="shared" si="217"/>
        <v>1</v>
      </c>
      <c r="C3950" t="str">
        <f t="shared" si="219"/>
        <v>79</v>
      </c>
      <c r="D3950" t="str">
        <f>"48"</f>
        <v>48</v>
      </c>
      <c r="E3950" t="str">
        <f>"1-79-48"</f>
        <v>1-79-48</v>
      </c>
      <c r="F3950" t="s">
        <v>65</v>
      </c>
      <c r="G3950" t="s">
        <v>66</v>
      </c>
      <c r="H3950" t="s">
        <v>67</v>
      </c>
      <c r="S3950">
        <v>1</v>
      </c>
      <c r="T3950">
        <v>0</v>
      </c>
      <c r="U3950">
        <v>0</v>
      </c>
      <c r="V3950">
        <v>0</v>
      </c>
      <c r="W3950">
        <v>1</v>
      </c>
      <c r="X3950">
        <v>0</v>
      </c>
      <c r="Y3950">
        <v>1</v>
      </c>
      <c r="Z3950">
        <v>0</v>
      </c>
      <c r="AA3950">
        <v>0</v>
      </c>
      <c r="AB3950">
        <v>1</v>
      </c>
      <c r="AC3950">
        <v>0</v>
      </c>
      <c r="AD3950">
        <v>1</v>
      </c>
      <c r="AE3950">
        <v>1</v>
      </c>
      <c r="AF3950">
        <v>1</v>
      </c>
      <c r="AG3950">
        <v>1</v>
      </c>
      <c r="AH3950">
        <v>1</v>
      </c>
      <c r="AI3950">
        <v>1</v>
      </c>
      <c r="AJ3950">
        <v>1</v>
      </c>
      <c r="AK3950">
        <v>1</v>
      </c>
      <c r="AL3950">
        <v>1</v>
      </c>
      <c r="AM3950">
        <v>1</v>
      </c>
    </row>
    <row r="3951" spans="1:39" x14ac:dyDescent="0.2">
      <c r="A3951" t="str">
        <f>"3947"</f>
        <v>3947</v>
      </c>
      <c r="B3951" t="str">
        <f t="shared" si="217"/>
        <v>1</v>
      </c>
      <c r="C3951" t="str">
        <f t="shared" si="219"/>
        <v>79</v>
      </c>
      <c r="D3951" t="str">
        <f>"30"</f>
        <v>30</v>
      </c>
      <c r="E3951" t="str">
        <f>"1-79-30"</f>
        <v>1-79-30</v>
      </c>
      <c r="F3951" t="s">
        <v>65</v>
      </c>
      <c r="G3951" t="s">
        <v>66</v>
      </c>
      <c r="H3951" t="s">
        <v>67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0</v>
      </c>
      <c r="AB3951">
        <v>0</v>
      </c>
      <c r="AC3951">
        <v>1</v>
      </c>
      <c r="AD3951">
        <v>1</v>
      </c>
      <c r="AE3951">
        <v>1</v>
      </c>
      <c r="AF3951">
        <v>1</v>
      </c>
      <c r="AG3951">
        <v>1</v>
      </c>
      <c r="AH3951">
        <v>1</v>
      </c>
      <c r="AI3951">
        <v>1</v>
      </c>
      <c r="AJ3951">
        <v>1</v>
      </c>
      <c r="AK3951">
        <v>1</v>
      </c>
      <c r="AL3951">
        <v>1</v>
      </c>
      <c r="AM3951">
        <v>1</v>
      </c>
    </row>
    <row r="3952" spans="1:39" x14ac:dyDescent="0.2">
      <c r="A3952" t="str">
        <f>"3948"</f>
        <v>3948</v>
      </c>
      <c r="B3952" t="str">
        <f t="shared" si="217"/>
        <v>1</v>
      </c>
      <c r="C3952" t="str">
        <f t="shared" si="219"/>
        <v>79</v>
      </c>
      <c r="D3952" t="str">
        <f>"14"</f>
        <v>14</v>
      </c>
      <c r="E3952" t="str">
        <f>"1-79-14"</f>
        <v>1-79-14</v>
      </c>
      <c r="F3952" t="s">
        <v>65</v>
      </c>
      <c r="G3952" t="s">
        <v>66</v>
      </c>
      <c r="H3952" t="s">
        <v>67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1</v>
      </c>
      <c r="Y3952">
        <v>0</v>
      </c>
      <c r="Z3952">
        <v>1</v>
      </c>
      <c r="AA3952">
        <v>0</v>
      </c>
      <c r="AB3952">
        <v>0</v>
      </c>
      <c r="AC3952">
        <v>1</v>
      </c>
      <c r="AD3952">
        <v>1</v>
      </c>
      <c r="AE3952">
        <v>1</v>
      </c>
      <c r="AF3952">
        <v>1</v>
      </c>
      <c r="AG3952">
        <v>1</v>
      </c>
      <c r="AH3952">
        <v>1</v>
      </c>
      <c r="AI3952">
        <v>1</v>
      </c>
      <c r="AJ3952">
        <v>1</v>
      </c>
      <c r="AK3952">
        <v>1</v>
      </c>
      <c r="AL3952">
        <v>1</v>
      </c>
      <c r="AM3952">
        <v>1</v>
      </c>
    </row>
    <row r="3953" spans="1:39" x14ac:dyDescent="0.2">
      <c r="A3953" t="str">
        <f>"3949"</f>
        <v>3949</v>
      </c>
      <c r="B3953" t="str">
        <f t="shared" si="217"/>
        <v>1</v>
      </c>
      <c r="C3953" t="str">
        <f t="shared" si="219"/>
        <v>79</v>
      </c>
      <c r="D3953" t="str">
        <f>"50"</f>
        <v>50</v>
      </c>
      <c r="E3953" t="str">
        <f>"1-79-50"</f>
        <v>1-79-50</v>
      </c>
      <c r="F3953" t="s">
        <v>65</v>
      </c>
      <c r="G3953" t="s">
        <v>66</v>
      </c>
      <c r="H3953" t="s">
        <v>67</v>
      </c>
      <c r="S3953">
        <v>0</v>
      </c>
      <c r="T3953">
        <v>0</v>
      </c>
      <c r="U3953">
        <v>0</v>
      </c>
      <c r="V3953">
        <v>0</v>
      </c>
      <c r="W3953">
        <v>1</v>
      </c>
      <c r="X3953">
        <v>0</v>
      </c>
      <c r="Y3953">
        <v>0</v>
      </c>
      <c r="Z3953">
        <v>1</v>
      </c>
      <c r="AA3953">
        <v>0</v>
      </c>
      <c r="AB3953">
        <v>1</v>
      </c>
      <c r="AC3953">
        <v>0</v>
      </c>
      <c r="AD3953">
        <v>1</v>
      </c>
      <c r="AE3953">
        <v>1</v>
      </c>
      <c r="AF3953">
        <v>1</v>
      </c>
      <c r="AG3953">
        <v>1</v>
      </c>
      <c r="AH3953">
        <v>1</v>
      </c>
      <c r="AI3953">
        <v>1</v>
      </c>
      <c r="AJ3953">
        <v>1</v>
      </c>
      <c r="AK3953">
        <v>1</v>
      </c>
      <c r="AL3953">
        <v>1</v>
      </c>
      <c r="AM3953">
        <v>1</v>
      </c>
    </row>
    <row r="3954" spans="1:39" x14ac:dyDescent="0.2">
      <c r="A3954" t="str">
        <f>"3950"</f>
        <v>3950</v>
      </c>
      <c r="B3954" t="str">
        <f t="shared" si="217"/>
        <v>1</v>
      </c>
      <c r="C3954" t="str">
        <f t="shared" si="219"/>
        <v>79</v>
      </c>
      <c r="D3954" t="str">
        <f>"49"</f>
        <v>49</v>
      </c>
      <c r="E3954" t="str">
        <f>"1-79-49"</f>
        <v>1-79-49</v>
      </c>
      <c r="F3954" t="s">
        <v>65</v>
      </c>
      <c r="G3954" t="s">
        <v>66</v>
      </c>
      <c r="H3954" t="s">
        <v>67</v>
      </c>
      <c r="S3954">
        <v>1</v>
      </c>
      <c r="T3954">
        <v>0</v>
      </c>
      <c r="U3954">
        <v>0</v>
      </c>
      <c r="V3954">
        <v>0</v>
      </c>
      <c r="W3954">
        <v>1</v>
      </c>
      <c r="X3954">
        <v>0</v>
      </c>
      <c r="Y3954">
        <v>1</v>
      </c>
      <c r="Z3954">
        <v>0</v>
      </c>
      <c r="AA3954">
        <v>1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1</v>
      </c>
      <c r="AM3954">
        <v>0</v>
      </c>
    </row>
    <row r="3955" spans="1:39" x14ac:dyDescent="0.2">
      <c r="A3955" t="str">
        <f>"3951"</f>
        <v>3951</v>
      </c>
      <c r="B3955" t="str">
        <f t="shared" si="217"/>
        <v>1</v>
      </c>
      <c r="C3955" t="str">
        <f t="shared" ref="C3955:C3986" si="220">"80"</f>
        <v>80</v>
      </c>
      <c r="D3955" t="str">
        <f>"34"</f>
        <v>34</v>
      </c>
      <c r="E3955" t="str">
        <f>"1-80-34"</f>
        <v>1-80-34</v>
      </c>
      <c r="F3955" t="s">
        <v>65</v>
      </c>
      <c r="G3955" t="s">
        <v>66</v>
      </c>
      <c r="H3955" t="s">
        <v>67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0</v>
      </c>
      <c r="AB3955">
        <v>1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</row>
    <row r="3956" spans="1:39" x14ac:dyDescent="0.2">
      <c r="A3956" t="str">
        <f>"3952"</f>
        <v>3952</v>
      </c>
      <c r="B3956" t="str">
        <f t="shared" si="217"/>
        <v>1</v>
      </c>
      <c r="C3956" t="str">
        <f t="shared" si="220"/>
        <v>80</v>
      </c>
      <c r="D3956" t="str">
        <f>"33"</f>
        <v>33</v>
      </c>
      <c r="E3956" t="str">
        <f>"1-80-33"</f>
        <v>1-80-33</v>
      </c>
      <c r="F3956" t="s">
        <v>65</v>
      </c>
      <c r="G3956" t="s">
        <v>66</v>
      </c>
      <c r="H3956" t="s">
        <v>67</v>
      </c>
      <c r="S3956">
        <v>0</v>
      </c>
      <c r="T3956">
        <v>1</v>
      </c>
      <c r="U3956">
        <v>0</v>
      </c>
      <c r="V3956">
        <v>0</v>
      </c>
      <c r="W3956">
        <v>0</v>
      </c>
      <c r="X3956">
        <v>1</v>
      </c>
      <c r="Y3956">
        <v>0</v>
      </c>
      <c r="Z3956">
        <v>1</v>
      </c>
      <c r="AA3956">
        <v>0</v>
      </c>
      <c r="AB3956">
        <v>1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1</v>
      </c>
      <c r="AI3956">
        <v>1</v>
      </c>
      <c r="AJ3956">
        <v>1</v>
      </c>
      <c r="AK3956">
        <v>1</v>
      </c>
      <c r="AL3956">
        <v>1</v>
      </c>
      <c r="AM3956">
        <v>1</v>
      </c>
    </row>
    <row r="3957" spans="1:39" x14ac:dyDescent="0.2">
      <c r="A3957" t="str">
        <f>"3953"</f>
        <v>3953</v>
      </c>
      <c r="B3957" t="str">
        <f t="shared" si="217"/>
        <v>1</v>
      </c>
      <c r="C3957" t="str">
        <f t="shared" si="220"/>
        <v>80</v>
      </c>
      <c r="D3957" t="str">
        <f>"22"</f>
        <v>22</v>
      </c>
      <c r="E3957" t="str">
        <f>"1-80-22"</f>
        <v>1-80-22</v>
      </c>
      <c r="F3957" t="s">
        <v>65</v>
      </c>
      <c r="G3957" t="s">
        <v>66</v>
      </c>
      <c r="H3957" t="s">
        <v>67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0</v>
      </c>
      <c r="AB3957">
        <v>1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</row>
    <row r="3958" spans="1:39" x14ac:dyDescent="0.2">
      <c r="A3958" t="str">
        <f>"3954"</f>
        <v>3954</v>
      </c>
      <c r="B3958" t="str">
        <f t="shared" si="217"/>
        <v>1</v>
      </c>
      <c r="C3958" t="str">
        <f t="shared" si="220"/>
        <v>80</v>
      </c>
      <c r="D3958" t="str">
        <f>"15"</f>
        <v>15</v>
      </c>
      <c r="E3958" t="str">
        <f>"1-80-15"</f>
        <v>1-80-15</v>
      </c>
      <c r="F3958" t="s">
        <v>65</v>
      </c>
      <c r="G3958" t="s">
        <v>66</v>
      </c>
      <c r="H3958" t="s">
        <v>67</v>
      </c>
      <c r="S3958">
        <v>0</v>
      </c>
      <c r="T3958">
        <v>1</v>
      </c>
      <c r="U3958">
        <v>0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</row>
    <row r="3959" spans="1:39" x14ac:dyDescent="0.2">
      <c r="A3959" t="str">
        <f>"3955"</f>
        <v>3955</v>
      </c>
      <c r="B3959" t="str">
        <f t="shared" ref="B3959:B4022" si="221">"1"</f>
        <v>1</v>
      </c>
      <c r="C3959" t="str">
        <f t="shared" si="220"/>
        <v>80</v>
      </c>
      <c r="D3959" t="str">
        <f>"2"</f>
        <v>2</v>
      </c>
      <c r="E3959" t="str">
        <f>"1-80-2"</f>
        <v>1-80-2</v>
      </c>
      <c r="F3959" t="s">
        <v>65</v>
      </c>
      <c r="G3959" t="s">
        <v>66</v>
      </c>
      <c r="H3959" t="s">
        <v>68</v>
      </c>
      <c r="I3959">
        <v>1</v>
      </c>
      <c r="J3959">
        <v>0</v>
      </c>
      <c r="K3959">
        <v>1</v>
      </c>
      <c r="L3959">
        <v>0</v>
      </c>
      <c r="M3959">
        <v>1</v>
      </c>
      <c r="N3959">
        <v>1</v>
      </c>
      <c r="O3959">
        <v>1</v>
      </c>
      <c r="P3959">
        <v>1</v>
      </c>
      <c r="Q3959">
        <v>1</v>
      </c>
      <c r="R3959">
        <v>1</v>
      </c>
    </row>
    <row r="3960" spans="1:39" x14ac:dyDescent="0.2">
      <c r="A3960" t="str">
        <f>"3956"</f>
        <v>3956</v>
      </c>
      <c r="B3960" t="str">
        <f t="shared" si="221"/>
        <v>1</v>
      </c>
      <c r="C3960" t="str">
        <f t="shared" si="220"/>
        <v>80</v>
      </c>
      <c r="D3960" t="str">
        <f>"36"</f>
        <v>36</v>
      </c>
      <c r="E3960" t="str">
        <f>"1-80-36"</f>
        <v>1-80-36</v>
      </c>
      <c r="F3960" t="s">
        <v>65</v>
      </c>
      <c r="G3960" t="s">
        <v>66</v>
      </c>
      <c r="H3960" t="s">
        <v>67</v>
      </c>
      <c r="S3960">
        <v>1</v>
      </c>
      <c r="T3960">
        <v>0</v>
      </c>
      <c r="U3960">
        <v>0</v>
      </c>
      <c r="V3960">
        <v>0</v>
      </c>
      <c r="W3960">
        <v>1</v>
      </c>
      <c r="X3960">
        <v>0</v>
      </c>
      <c r="Y3960">
        <v>1</v>
      </c>
      <c r="Z3960">
        <v>0</v>
      </c>
      <c r="AA3960">
        <v>1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</row>
    <row r="3961" spans="1:39" x14ac:dyDescent="0.2">
      <c r="A3961" t="str">
        <f>"3957"</f>
        <v>3957</v>
      </c>
      <c r="B3961" t="str">
        <f t="shared" si="221"/>
        <v>1</v>
      </c>
      <c r="C3961" t="str">
        <f t="shared" si="220"/>
        <v>80</v>
      </c>
      <c r="D3961" t="str">
        <f>"35"</f>
        <v>35</v>
      </c>
      <c r="E3961" t="str">
        <f>"1-80-35"</f>
        <v>1-80-35</v>
      </c>
      <c r="F3961" t="s">
        <v>65</v>
      </c>
      <c r="G3961" t="s">
        <v>66</v>
      </c>
      <c r="H3961" t="s">
        <v>67</v>
      </c>
      <c r="S3961">
        <v>1</v>
      </c>
      <c r="T3961">
        <v>0</v>
      </c>
      <c r="U3961">
        <v>0</v>
      </c>
      <c r="V3961">
        <v>0</v>
      </c>
      <c r="W3961">
        <v>1</v>
      </c>
      <c r="X3961">
        <v>0</v>
      </c>
      <c r="Y3961">
        <v>1</v>
      </c>
      <c r="Z3961">
        <v>0</v>
      </c>
      <c r="AA3961">
        <v>0</v>
      </c>
      <c r="AB3961">
        <v>0</v>
      </c>
      <c r="AC3961">
        <v>1</v>
      </c>
      <c r="AD3961">
        <v>1</v>
      </c>
      <c r="AE3961">
        <v>1</v>
      </c>
      <c r="AF3961">
        <v>1</v>
      </c>
      <c r="AG3961">
        <v>1</v>
      </c>
      <c r="AH3961">
        <v>1</v>
      </c>
      <c r="AI3961">
        <v>1</v>
      </c>
      <c r="AJ3961">
        <v>1</v>
      </c>
      <c r="AK3961">
        <v>1</v>
      </c>
      <c r="AL3961">
        <v>1</v>
      </c>
      <c r="AM3961">
        <v>1</v>
      </c>
    </row>
    <row r="3962" spans="1:39" x14ac:dyDescent="0.2">
      <c r="A3962" t="str">
        <f>"3958"</f>
        <v>3958</v>
      </c>
      <c r="B3962" t="str">
        <f t="shared" si="221"/>
        <v>1</v>
      </c>
      <c r="C3962" t="str">
        <f t="shared" si="220"/>
        <v>80</v>
      </c>
      <c r="D3962" t="str">
        <f>"23"</f>
        <v>23</v>
      </c>
      <c r="E3962" t="str">
        <f>"1-80-23"</f>
        <v>1-80-23</v>
      </c>
      <c r="F3962" t="s">
        <v>65</v>
      </c>
      <c r="G3962" t="s">
        <v>66</v>
      </c>
      <c r="H3962" t="s">
        <v>67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</row>
    <row r="3963" spans="1:39" x14ac:dyDescent="0.2">
      <c r="A3963" t="str">
        <f>"3959"</f>
        <v>3959</v>
      </c>
      <c r="B3963" t="str">
        <f t="shared" si="221"/>
        <v>1</v>
      </c>
      <c r="C3963" t="str">
        <f t="shared" si="220"/>
        <v>80</v>
      </c>
      <c r="D3963" t="str">
        <f>"16"</f>
        <v>16</v>
      </c>
      <c r="E3963" t="str">
        <f>"1-80-16"</f>
        <v>1-80-16</v>
      </c>
      <c r="F3963" t="s">
        <v>65</v>
      </c>
      <c r="G3963" t="s">
        <v>66</v>
      </c>
      <c r="H3963" t="s">
        <v>67</v>
      </c>
      <c r="S3963">
        <v>1</v>
      </c>
      <c r="T3963">
        <v>0</v>
      </c>
      <c r="U3963">
        <v>0</v>
      </c>
      <c r="V3963">
        <v>0</v>
      </c>
      <c r="W3963">
        <v>1</v>
      </c>
      <c r="X3963">
        <v>0</v>
      </c>
      <c r="Y3963">
        <v>0</v>
      </c>
      <c r="Z3963">
        <v>1</v>
      </c>
      <c r="AA3963">
        <v>0</v>
      </c>
      <c r="AB3963">
        <v>1</v>
      </c>
      <c r="AC3963">
        <v>0</v>
      </c>
      <c r="AD3963">
        <v>1</v>
      </c>
      <c r="AE3963">
        <v>1</v>
      </c>
      <c r="AF3963">
        <v>1</v>
      </c>
      <c r="AG3963">
        <v>1</v>
      </c>
      <c r="AH3963">
        <v>1</v>
      </c>
      <c r="AI3963">
        <v>1</v>
      </c>
      <c r="AJ3963">
        <v>1</v>
      </c>
      <c r="AK3963">
        <v>1</v>
      </c>
      <c r="AL3963">
        <v>1</v>
      </c>
      <c r="AM3963">
        <v>1</v>
      </c>
    </row>
    <row r="3964" spans="1:39" x14ac:dyDescent="0.2">
      <c r="A3964" t="str">
        <f>"3960"</f>
        <v>3960</v>
      </c>
      <c r="B3964" t="str">
        <f t="shared" si="221"/>
        <v>1</v>
      </c>
      <c r="C3964" t="str">
        <f t="shared" si="220"/>
        <v>80</v>
      </c>
      <c r="D3964" t="str">
        <f>"3"</f>
        <v>3</v>
      </c>
      <c r="E3964" t="str">
        <f>"1-80-3"</f>
        <v>1-80-3</v>
      </c>
      <c r="F3964" t="s">
        <v>65</v>
      </c>
      <c r="G3964" t="s">
        <v>66</v>
      </c>
      <c r="H3964" t="s">
        <v>68</v>
      </c>
      <c r="I3964">
        <v>1</v>
      </c>
      <c r="J3964">
        <v>0</v>
      </c>
      <c r="K3964">
        <v>1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39" x14ac:dyDescent="0.2">
      <c r="A3965" t="str">
        <f>"3961"</f>
        <v>3961</v>
      </c>
      <c r="B3965" t="str">
        <f t="shared" si="221"/>
        <v>1</v>
      </c>
      <c r="C3965" t="str">
        <f t="shared" si="220"/>
        <v>80</v>
      </c>
      <c r="D3965" t="str">
        <f>"40"</f>
        <v>40</v>
      </c>
      <c r="E3965" t="str">
        <f>"1-80-40"</f>
        <v>1-80-40</v>
      </c>
      <c r="F3965" t="s">
        <v>65</v>
      </c>
      <c r="G3965" t="s">
        <v>66</v>
      </c>
      <c r="H3965" t="s">
        <v>67</v>
      </c>
      <c r="S3965">
        <v>1</v>
      </c>
      <c r="T3965">
        <v>0</v>
      </c>
      <c r="U3965">
        <v>0</v>
      </c>
      <c r="V3965">
        <v>0</v>
      </c>
      <c r="W3965">
        <v>1</v>
      </c>
      <c r="X3965">
        <v>0</v>
      </c>
      <c r="Y3965">
        <v>1</v>
      </c>
      <c r="Z3965">
        <v>0</v>
      </c>
      <c r="AA3965">
        <v>0</v>
      </c>
      <c r="AB3965">
        <v>1</v>
      </c>
      <c r="AC3965">
        <v>0</v>
      </c>
      <c r="AD3965">
        <v>0</v>
      </c>
      <c r="AE3965">
        <v>0</v>
      </c>
      <c r="AF3965">
        <v>0</v>
      </c>
      <c r="AG3965">
        <v>1</v>
      </c>
      <c r="AH3965">
        <v>1</v>
      </c>
      <c r="AI3965">
        <v>1</v>
      </c>
      <c r="AJ3965">
        <v>1</v>
      </c>
      <c r="AK3965">
        <v>1</v>
      </c>
      <c r="AL3965">
        <v>1</v>
      </c>
      <c r="AM3965">
        <v>1</v>
      </c>
    </row>
    <row r="3966" spans="1:39" x14ac:dyDescent="0.2">
      <c r="A3966" t="str">
        <f>"3962"</f>
        <v>3962</v>
      </c>
      <c r="B3966" t="str">
        <f t="shared" si="221"/>
        <v>1</v>
      </c>
      <c r="C3966" t="str">
        <f t="shared" si="220"/>
        <v>80</v>
      </c>
      <c r="D3966" t="str">
        <f>"39"</f>
        <v>39</v>
      </c>
      <c r="E3966" t="str">
        <f>"1-80-39"</f>
        <v>1-80-39</v>
      </c>
      <c r="F3966" t="s">
        <v>65</v>
      </c>
      <c r="G3966" t="s">
        <v>66</v>
      </c>
      <c r="H3966" t="s">
        <v>67</v>
      </c>
      <c r="S3966">
        <v>0</v>
      </c>
      <c r="T3966">
        <v>0</v>
      </c>
      <c r="U3966">
        <v>0</v>
      </c>
      <c r="V3966">
        <v>0</v>
      </c>
      <c r="W3966">
        <v>1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</row>
    <row r="3967" spans="1:39" x14ac:dyDescent="0.2">
      <c r="A3967" t="str">
        <f>"3963"</f>
        <v>3963</v>
      </c>
      <c r="B3967" t="str">
        <f t="shared" si="221"/>
        <v>1</v>
      </c>
      <c r="C3967" t="str">
        <f t="shared" si="220"/>
        <v>80</v>
      </c>
      <c r="D3967" t="str">
        <f>"28"</f>
        <v>28</v>
      </c>
      <c r="E3967" t="str">
        <f>"1-80-28"</f>
        <v>1-80-28</v>
      </c>
      <c r="F3967" t="s">
        <v>65</v>
      </c>
      <c r="G3967" t="s">
        <v>66</v>
      </c>
      <c r="H3967" t="s">
        <v>67</v>
      </c>
      <c r="S3967">
        <v>1</v>
      </c>
      <c r="T3967">
        <v>0</v>
      </c>
      <c r="U3967">
        <v>0</v>
      </c>
      <c r="V3967">
        <v>0</v>
      </c>
      <c r="W3967">
        <v>0</v>
      </c>
      <c r="X3967">
        <v>1</v>
      </c>
      <c r="Y3967">
        <v>1</v>
      </c>
      <c r="Z3967">
        <v>0</v>
      </c>
      <c r="AA3967">
        <v>0</v>
      </c>
      <c r="AB3967">
        <v>0</v>
      </c>
      <c r="AC3967">
        <v>1</v>
      </c>
      <c r="AD3967">
        <v>1</v>
      </c>
      <c r="AE3967">
        <v>1</v>
      </c>
      <c r="AF3967">
        <v>1</v>
      </c>
      <c r="AG3967">
        <v>1</v>
      </c>
      <c r="AH3967">
        <v>1</v>
      </c>
      <c r="AI3967">
        <v>1</v>
      </c>
      <c r="AJ3967">
        <v>1</v>
      </c>
      <c r="AK3967">
        <v>1</v>
      </c>
      <c r="AL3967">
        <v>1</v>
      </c>
      <c r="AM3967">
        <v>1</v>
      </c>
    </row>
    <row r="3968" spans="1:39" x14ac:dyDescent="0.2">
      <c r="A3968" t="str">
        <f>"3964"</f>
        <v>3964</v>
      </c>
      <c r="B3968" t="str">
        <f t="shared" si="221"/>
        <v>1</v>
      </c>
      <c r="C3968" t="str">
        <f t="shared" si="220"/>
        <v>80</v>
      </c>
      <c r="D3968" t="str">
        <f>"17"</f>
        <v>17</v>
      </c>
      <c r="E3968" t="str">
        <f>"1-80-17"</f>
        <v>1-80-17</v>
      </c>
      <c r="F3968" t="s">
        <v>65</v>
      </c>
      <c r="G3968" t="s">
        <v>66</v>
      </c>
      <c r="H3968" t="s">
        <v>67</v>
      </c>
      <c r="S3968">
        <v>0</v>
      </c>
      <c r="T3968">
        <v>1</v>
      </c>
      <c r="U3968">
        <v>0</v>
      </c>
      <c r="V3968">
        <v>0</v>
      </c>
      <c r="W3968">
        <v>0</v>
      </c>
      <c r="X3968">
        <v>1</v>
      </c>
      <c r="Y3968">
        <v>0</v>
      </c>
      <c r="Z3968">
        <v>1</v>
      </c>
      <c r="AA3968">
        <v>0</v>
      </c>
      <c r="AB3968">
        <v>1</v>
      </c>
      <c r="AC3968">
        <v>0</v>
      </c>
      <c r="AD3968">
        <v>0</v>
      </c>
      <c r="AE3968">
        <v>0</v>
      </c>
      <c r="AF3968">
        <v>0</v>
      </c>
      <c r="AG3968">
        <v>1</v>
      </c>
      <c r="AH3968">
        <v>1</v>
      </c>
      <c r="AI3968">
        <v>1</v>
      </c>
      <c r="AJ3968">
        <v>0</v>
      </c>
      <c r="AK3968">
        <v>1</v>
      </c>
      <c r="AL3968">
        <v>1</v>
      </c>
      <c r="AM3968">
        <v>1</v>
      </c>
    </row>
    <row r="3969" spans="1:39" x14ac:dyDescent="0.2">
      <c r="A3969" t="str">
        <f>"3965"</f>
        <v>3965</v>
      </c>
      <c r="B3969" t="str">
        <f t="shared" si="221"/>
        <v>1</v>
      </c>
      <c r="C3969" t="str">
        <f t="shared" si="220"/>
        <v>80</v>
      </c>
      <c r="D3969" t="str">
        <f>"6"</f>
        <v>6</v>
      </c>
      <c r="E3969" t="str">
        <f>"1-80-6"</f>
        <v>1-80-6</v>
      </c>
      <c r="F3969" t="s">
        <v>65</v>
      </c>
      <c r="G3969" t="s">
        <v>66</v>
      </c>
      <c r="H3969" t="s">
        <v>67</v>
      </c>
      <c r="S3969">
        <v>1</v>
      </c>
      <c r="T3969">
        <v>0</v>
      </c>
      <c r="U3969">
        <v>0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0</v>
      </c>
      <c r="AB3969">
        <v>1</v>
      </c>
      <c r="AC3969">
        <v>0</v>
      </c>
      <c r="AD3969">
        <v>0</v>
      </c>
      <c r="AE3969">
        <v>1</v>
      </c>
      <c r="AF3969">
        <v>0</v>
      </c>
      <c r="AG3969">
        <v>0</v>
      </c>
      <c r="AH3969">
        <v>0</v>
      </c>
      <c r="AI3969">
        <v>1</v>
      </c>
      <c r="AJ3969">
        <v>1</v>
      </c>
      <c r="AK3969">
        <v>1</v>
      </c>
      <c r="AL3969">
        <v>1</v>
      </c>
      <c r="AM3969">
        <v>0</v>
      </c>
    </row>
    <row r="3970" spans="1:39" x14ac:dyDescent="0.2">
      <c r="A3970" t="str">
        <f>"3966"</f>
        <v>3966</v>
      </c>
      <c r="B3970" t="str">
        <f t="shared" si="221"/>
        <v>1</v>
      </c>
      <c r="C3970" t="str">
        <f t="shared" si="220"/>
        <v>80</v>
      </c>
      <c r="D3970" t="str">
        <f>"42"</f>
        <v>42</v>
      </c>
      <c r="E3970" t="str">
        <f>"1-80-42"</f>
        <v>1-80-42</v>
      </c>
      <c r="F3970" t="s">
        <v>65</v>
      </c>
      <c r="G3970" t="s">
        <v>66</v>
      </c>
      <c r="H3970" t="s">
        <v>67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1</v>
      </c>
      <c r="AH3970">
        <v>0</v>
      </c>
      <c r="AI3970">
        <v>0</v>
      </c>
      <c r="AJ3970">
        <v>0</v>
      </c>
      <c r="AK3970">
        <v>0</v>
      </c>
      <c r="AL3970">
        <v>1</v>
      </c>
      <c r="AM3970">
        <v>0</v>
      </c>
    </row>
    <row r="3971" spans="1:39" x14ac:dyDescent="0.2">
      <c r="A3971" t="str">
        <f>"3967"</f>
        <v>3967</v>
      </c>
      <c r="B3971" t="str">
        <f t="shared" si="221"/>
        <v>1</v>
      </c>
      <c r="C3971" t="str">
        <f t="shared" si="220"/>
        <v>80</v>
      </c>
      <c r="D3971" t="str">
        <f>"41"</f>
        <v>41</v>
      </c>
      <c r="E3971" t="str">
        <f>"1-80-41"</f>
        <v>1-80-41</v>
      </c>
      <c r="F3971" t="s">
        <v>65</v>
      </c>
      <c r="G3971" t="s">
        <v>66</v>
      </c>
      <c r="H3971" t="s">
        <v>67</v>
      </c>
      <c r="S3971">
        <v>1</v>
      </c>
      <c r="T3971">
        <v>0</v>
      </c>
      <c r="U3971">
        <v>0</v>
      </c>
      <c r="V3971">
        <v>0</v>
      </c>
      <c r="W3971">
        <v>1</v>
      </c>
      <c r="X3971">
        <v>0</v>
      </c>
      <c r="Y3971">
        <v>1</v>
      </c>
      <c r="Z3971">
        <v>0</v>
      </c>
      <c r="AA3971">
        <v>0</v>
      </c>
      <c r="AB3971">
        <v>1</v>
      </c>
      <c r="AC3971">
        <v>0</v>
      </c>
      <c r="AD3971">
        <v>0</v>
      </c>
      <c r="AE3971">
        <v>0</v>
      </c>
      <c r="AF3971">
        <v>0</v>
      </c>
      <c r="AG3971">
        <v>1</v>
      </c>
      <c r="AH3971">
        <v>1</v>
      </c>
      <c r="AI3971">
        <v>1</v>
      </c>
      <c r="AJ3971">
        <v>1</v>
      </c>
      <c r="AK3971">
        <v>1</v>
      </c>
      <c r="AL3971">
        <v>1</v>
      </c>
      <c r="AM3971">
        <v>1</v>
      </c>
    </row>
    <row r="3972" spans="1:39" x14ac:dyDescent="0.2">
      <c r="A3972" t="str">
        <f>"3968"</f>
        <v>3968</v>
      </c>
      <c r="B3972" t="str">
        <f t="shared" si="221"/>
        <v>1</v>
      </c>
      <c r="C3972" t="str">
        <f t="shared" si="220"/>
        <v>80</v>
      </c>
      <c r="D3972" t="str">
        <f>"30"</f>
        <v>30</v>
      </c>
      <c r="E3972" t="str">
        <f>"1-80-30"</f>
        <v>1-80-30</v>
      </c>
      <c r="F3972" t="s">
        <v>65</v>
      </c>
      <c r="G3972" t="s">
        <v>66</v>
      </c>
      <c r="H3972" t="s">
        <v>67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1</v>
      </c>
      <c r="AK3972">
        <v>1</v>
      </c>
      <c r="AL3972">
        <v>1</v>
      </c>
      <c r="AM3972">
        <v>0</v>
      </c>
    </row>
    <row r="3973" spans="1:39" x14ac:dyDescent="0.2">
      <c r="A3973" t="str">
        <f>"3969"</f>
        <v>3969</v>
      </c>
      <c r="B3973" t="str">
        <f t="shared" si="221"/>
        <v>1</v>
      </c>
      <c r="C3973" t="str">
        <f t="shared" si="220"/>
        <v>80</v>
      </c>
      <c r="D3973" t="str">
        <f>"18"</f>
        <v>18</v>
      </c>
      <c r="E3973" t="str">
        <f>"1-80-18"</f>
        <v>1-80-18</v>
      </c>
      <c r="F3973" t="s">
        <v>65</v>
      </c>
      <c r="G3973" t="s">
        <v>66</v>
      </c>
      <c r="H3973" t="s">
        <v>67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</row>
    <row r="3974" spans="1:39" x14ac:dyDescent="0.2">
      <c r="A3974" t="str">
        <f>"3970"</f>
        <v>3970</v>
      </c>
      <c r="B3974" t="str">
        <f t="shared" si="221"/>
        <v>1</v>
      </c>
      <c r="C3974" t="str">
        <f t="shared" si="220"/>
        <v>80</v>
      </c>
      <c r="D3974" t="str">
        <f>"11"</f>
        <v>11</v>
      </c>
      <c r="E3974" t="str">
        <f>"1-80-11"</f>
        <v>1-80-11</v>
      </c>
      <c r="F3974" t="s">
        <v>65</v>
      </c>
      <c r="G3974" t="s">
        <v>66</v>
      </c>
      <c r="H3974" t="s">
        <v>67</v>
      </c>
      <c r="S3974">
        <v>0</v>
      </c>
      <c r="T3974">
        <v>1</v>
      </c>
      <c r="U3974">
        <v>0</v>
      </c>
      <c r="V3974">
        <v>0</v>
      </c>
      <c r="W3974">
        <v>0</v>
      </c>
      <c r="X3974">
        <v>1</v>
      </c>
      <c r="Y3974">
        <v>1</v>
      </c>
      <c r="Z3974">
        <v>0</v>
      </c>
      <c r="AA3974">
        <v>0</v>
      </c>
      <c r="AB3974">
        <v>0</v>
      </c>
      <c r="AC3974">
        <v>1</v>
      </c>
      <c r="AD3974">
        <v>0</v>
      </c>
      <c r="AE3974">
        <v>0</v>
      </c>
      <c r="AF3974">
        <v>0</v>
      </c>
      <c r="AG3974">
        <v>0</v>
      </c>
      <c r="AH3974">
        <v>1</v>
      </c>
      <c r="AI3974">
        <v>1</v>
      </c>
      <c r="AJ3974">
        <v>1</v>
      </c>
      <c r="AK3974">
        <v>0</v>
      </c>
      <c r="AL3974">
        <v>1</v>
      </c>
      <c r="AM3974">
        <v>0</v>
      </c>
    </row>
    <row r="3975" spans="1:39" x14ac:dyDescent="0.2">
      <c r="A3975" t="str">
        <f>"3971"</f>
        <v>3971</v>
      </c>
      <c r="B3975" t="str">
        <f t="shared" si="221"/>
        <v>1</v>
      </c>
      <c r="C3975" t="str">
        <f t="shared" si="220"/>
        <v>80</v>
      </c>
      <c r="D3975" t="str">
        <f>"38"</f>
        <v>38</v>
      </c>
      <c r="E3975" t="str">
        <f>"1-80-38"</f>
        <v>1-80-38</v>
      </c>
      <c r="F3975" t="s">
        <v>65</v>
      </c>
      <c r="G3975" t="s">
        <v>66</v>
      </c>
      <c r="H3975" t="s">
        <v>67</v>
      </c>
      <c r="S3975">
        <v>0</v>
      </c>
      <c r="T3975">
        <v>1</v>
      </c>
      <c r="U3975">
        <v>0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0</v>
      </c>
      <c r="AB3975">
        <v>0</v>
      </c>
      <c r="AC3975">
        <v>1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</row>
    <row r="3976" spans="1:39" x14ac:dyDescent="0.2">
      <c r="A3976" t="str">
        <f>"3972"</f>
        <v>3972</v>
      </c>
      <c r="B3976" t="str">
        <f t="shared" si="221"/>
        <v>1</v>
      </c>
      <c r="C3976" t="str">
        <f t="shared" si="220"/>
        <v>80</v>
      </c>
      <c r="D3976" t="str">
        <f>"19"</f>
        <v>19</v>
      </c>
      <c r="E3976" t="str">
        <f>"1-80-19"</f>
        <v>1-80-19</v>
      </c>
      <c r="F3976" t="s">
        <v>65</v>
      </c>
      <c r="G3976" t="s">
        <v>66</v>
      </c>
      <c r="H3976" t="s">
        <v>67</v>
      </c>
      <c r="S3976">
        <v>0</v>
      </c>
      <c r="T3976">
        <v>1</v>
      </c>
      <c r="U3976">
        <v>0</v>
      </c>
      <c r="V3976">
        <v>0</v>
      </c>
      <c r="W3976">
        <v>0</v>
      </c>
      <c r="X3976">
        <v>1</v>
      </c>
      <c r="Y3976">
        <v>0</v>
      </c>
      <c r="Z3976">
        <v>1</v>
      </c>
      <c r="AA3976">
        <v>0</v>
      </c>
      <c r="AB3976">
        <v>0</v>
      </c>
      <c r="AC3976">
        <v>1</v>
      </c>
      <c r="AD3976">
        <v>1</v>
      </c>
      <c r="AE3976">
        <v>1</v>
      </c>
      <c r="AF3976">
        <v>1</v>
      </c>
      <c r="AG3976">
        <v>1</v>
      </c>
      <c r="AH3976">
        <v>1</v>
      </c>
      <c r="AI3976">
        <v>1</v>
      </c>
      <c r="AJ3976">
        <v>1</v>
      </c>
      <c r="AK3976">
        <v>1</v>
      </c>
      <c r="AL3976">
        <v>1</v>
      </c>
      <c r="AM3976">
        <v>1</v>
      </c>
    </row>
    <row r="3977" spans="1:39" x14ac:dyDescent="0.2">
      <c r="A3977" t="str">
        <f>"3973"</f>
        <v>3973</v>
      </c>
      <c r="B3977" t="str">
        <f t="shared" si="221"/>
        <v>1</v>
      </c>
      <c r="C3977" t="str">
        <f t="shared" si="220"/>
        <v>80</v>
      </c>
      <c r="D3977" t="str">
        <f>"12"</f>
        <v>12</v>
      </c>
      <c r="E3977" t="str">
        <f>"1-80-12"</f>
        <v>1-80-12</v>
      </c>
      <c r="F3977" t="s">
        <v>65</v>
      </c>
      <c r="G3977" t="s">
        <v>66</v>
      </c>
      <c r="H3977" t="s">
        <v>67</v>
      </c>
      <c r="S3977">
        <v>1</v>
      </c>
      <c r="T3977">
        <v>0</v>
      </c>
      <c r="U3977">
        <v>0</v>
      </c>
      <c r="V3977">
        <v>0</v>
      </c>
      <c r="W3977">
        <v>1</v>
      </c>
      <c r="X3977">
        <v>0</v>
      </c>
      <c r="Y3977">
        <v>0</v>
      </c>
      <c r="Z3977">
        <v>1</v>
      </c>
      <c r="AA3977">
        <v>0</v>
      </c>
      <c r="AB3977">
        <v>1</v>
      </c>
      <c r="AC3977">
        <v>0</v>
      </c>
      <c r="AD3977">
        <v>1</v>
      </c>
      <c r="AE3977">
        <v>1</v>
      </c>
      <c r="AF3977">
        <v>1</v>
      </c>
      <c r="AG3977">
        <v>1</v>
      </c>
      <c r="AH3977">
        <v>1</v>
      </c>
      <c r="AI3977">
        <v>1</v>
      </c>
      <c r="AJ3977">
        <v>1</v>
      </c>
      <c r="AK3977">
        <v>1</v>
      </c>
      <c r="AL3977">
        <v>1</v>
      </c>
      <c r="AM3977">
        <v>1</v>
      </c>
    </row>
    <row r="3978" spans="1:39" x14ac:dyDescent="0.2">
      <c r="A3978" t="str">
        <f>"3974"</f>
        <v>3974</v>
      </c>
      <c r="B3978" t="str">
        <f t="shared" si="221"/>
        <v>1</v>
      </c>
      <c r="C3978" t="str">
        <f t="shared" si="220"/>
        <v>80</v>
      </c>
      <c r="D3978" t="str">
        <f>"37"</f>
        <v>37</v>
      </c>
      <c r="E3978" t="str">
        <f>"1-80-37"</f>
        <v>1-80-37</v>
      </c>
      <c r="F3978" t="s">
        <v>65</v>
      </c>
      <c r="G3978" t="s">
        <v>66</v>
      </c>
      <c r="H3978" t="s">
        <v>67</v>
      </c>
      <c r="S3978">
        <v>0</v>
      </c>
      <c r="T3978">
        <v>1</v>
      </c>
      <c r="U3978">
        <v>0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0</v>
      </c>
      <c r="AB3978">
        <v>0</v>
      </c>
      <c r="AC3978">
        <v>1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</row>
    <row r="3979" spans="1:39" x14ac:dyDescent="0.2">
      <c r="A3979" t="str">
        <f>"3975"</f>
        <v>3975</v>
      </c>
      <c r="B3979" t="str">
        <f t="shared" si="221"/>
        <v>1</v>
      </c>
      <c r="C3979" t="str">
        <f t="shared" si="220"/>
        <v>80</v>
      </c>
      <c r="D3979" t="str">
        <f>"20"</f>
        <v>20</v>
      </c>
      <c r="E3979" t="str">
        <f>"1-80-20"</f>
        <v>1-80-20</v>
      </c>
      <c r="F3979" t="s">
        <v>65</v>
      </c>
      <c r="G3979" t="s">
        <v>66</v>
      </c>
      <c r="H3979" t="s">
        <v>67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1</v>
      </c>
      <c r="Y3979">
        <v>0</v>
      </c>
      <c r="Z3979">
        <v>1</v>
      </c>
      <c r="AA3979">
        <v>0</v>
      </c>
      <c r="AB3979">
        <v>0</v>
      </c>
      <c r="AC3979">
        <v>1</v>
      </c>
      <c r="AD3979">
        <v>1</v>
      </c>
      <c r="AE3979">
        <v>1</v>
      </c>
      <c r="AF3979">
        <v>1</v>
      </c>
      <c r="AG3979">
        <v>1</v>
      </c>
      <c r="AH3979">
        <v>1</v>
      </c>
      <c r="AI3979">
        <v>1</v>
      </c>
      <c r="AJ3979">
        <v>1</v>
      </c>
      <c r="AK3979">
        <v>1</v>
      </c>
      <c r="AL3979">
        <v>1</v>
      </c>
      <c r="AM3979">
        <v>1</v>
      </c>
    </row>
    <row r="3980" spans="1:39" x14ac:dyDescent="0.2">
      <c r="A3980" t="str">
        <f>"3976"</f>
        <v>3976</v>
      </c>
      <c r="B3980" t="str">
        <f t="shared" si="221"/>
        <v>1</v>
      </c>
      <c r="C3980" t="str">
        <f t="shared" si="220"/>
        <v>80</v>
      </c>
      <c r="D3980" t="str">
        <f>"5"</f>
        <v>5</v>
      </c>
      <c r="E3980" t="str">
        <f>"1-80-5"</f>
        <v>1-80-5</v>
      </c>
      <c r="F3980" t="s">
        <v>65</v>
      </c>
      <c r="G3980" t="s">
        <v>66</v>
      </c>
      <c r="H3980" t="s">
        <v>67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1</v>
      </c>
      <c r="AI3980">
        <v>1</v>
      </c>
      <c r="AJ3980">
        <v>1</v>
      </c>
      <c r="AK3980">
        <v>1</v>
      </c>
      <c r="AL3980">
        <v>1</v>
      </c>
      <c r="AM3980">
        <v>1</v>
      </c>
    </row>
    <row r="3981" spans="1:39" x14ac:dyDescent="0.2">
      <c r="A3981" t="str">
        <f>"3977"</f>
        <v>3977</v>
      </c>
      <c r="B3981" t="str">
        <f t="shared" si="221"/>
        <v>1</v>
      </c>
      <c r="C3981" t="str">
        <f t="shared" si="220"/>
        <v>80</v>
      </c>
      <c r="D3981" t="str">
        <f>"43"</f>
        <v>43</v>
      </c>
      <c r="E3981" t="str">
        <f>"1-80-43"</f>
        <v>1-80-43</v>
      </c>
      <c r="F3981" t="s">
        <v>65</v>
      </c>
      <c r="G3981" t="s">
        <v>66</v>
      </c>
      <c r="H3981" t="s">
        <v>67</v>
      </c>
      <c r="S3981">
        <v>1</v>
      </c>
      <c r="T3981">
        <v>0</v>
      </c>
      <c r="U3981">
        <v>0</v>
      </c>
      <c r="V3981">
        <v>0</v>
      </c>
      <c r="W3981">
        <v>1</v>
      </c>
      <c r="X3981">
        <v>0</v>
      </c>
      <c r="Y3981">
        <v>1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1</v>
      </c>
      <c r="AF3981">
        <v>1</v>
      </c>
      <c r="AG3981">
        <v>1</v>
      </c>
      <c r="AH3981">
        <v>1</v>
      </c>
      <c r="AI3981">
        <v>1</v>
      </c>
      <c r="AJ3981">
        <v>1</v>
      </c>
      <c r="AK3981">
        <v>1</v>
      </c>
      <c r="AL3981">
        <v>1</v>
      </c>
      <c r="AM3981">
        <v>1</v>
      </c>
    </row>
    <row r="3982" spans="1:39" x14ac:dyDescent="0.2">
      <c r="A3982" t="str">
        <f>"3978"</f>
        <v>3978</v>
      </c>
      <c r="B3982" t="str">
        <f t="shared" si="221"/>
        <v>1</v>
      </c>
      <c r="C3982" t="str">
        <f t="shared" si="220"/>
        <v>80</v>
      </c>
      <c r="D3982" t="str">
        <f>"21"</f>
        <v>21</v>
      </c>
      <c r="E3982" t="str">
        <f>"1-80-21"</f>
        <v>1-80-21</v>
      </c>
      <c r="F3982" t="s">
        <v>65</v>
      </c>
      <c r="G3982" t="s">
        <v>66</v>
      </c>
      <c r="H3982" t="s">
        <v>67</v>
      </c>
      <c r="S3982">
        <v>0</v>
      </c>
      <c r="T3982">
        <v>1</v>
      </c>
      <c r="U3982">
        <v>0</v>
      </c>
      <c r="V3982">
        <v>0</v>
      </c>
      <c r="W3982">
        <v>0</v>
      </c>
      <c r="X3982">
        <v>1</v>
      </c>
      <c r="Y3982">
        <v>0</v>
      </c>
      <c r="Z3982">
        <v>1</v>
      </c>
      <c r="AA3982">
        <v>0</v>
      </c>
      <c r="AB3982">
        <v>0</v>
      </c>
      <c r="AC3982">
        <v>1</v>
      </c>
      <c r="AD3982">
        <v>1</v>
      </c>
      <c r="AE3982">
        <v>1</v>
      </c>
      <c r="AF3982">
        <v>1</v>
      </c>
      <c r="AG3982">
        <v>1</v>
      </c>
      <c r="AH3982">
        <v>1</v>
      </c>
      <c r="AI3982">
        <v>1</v>
      </c>
      <c r="AJ3982">
        <v>1</v>
      </c>
      <c r="AK3982">
        <v>1</v>
      </c>
      <c r="AL3982">
        <v>1</v>
      </c>
      <c r="AM3982">
        <v>1</v>
      </c>
    </row>
    <row r="3983" spans="1:39" x14ac:dyDescent="0.2">
      <c r="A3983" t="str">
        <f>"3979"</f>
        <v>3979</v>
      </c>
      <c r="B3983" t="str">
        <f t="shared" si="221"/>
        <v>1</v>
      </c>
      <c r="C3983" t="str">
        <f t="shared" si="220"/>
        <v>80</v>
      </c>
      <c r="D3983" t="str">
        <f>"1"</f>
        <v>1</v>
      </c>
      <c r="E3983" t="str">
        <f>"1-80-1"</f>
        <v>1-80-1</v>
      </c>
      <c r="F3983" t="s">
        <v>65</v>
      </c>
      <c r="G3983" t="s">
        <v>66</v>
      </c>
      <c r="H3983" t="s">
        <v>68</v>
      </c>
      <c r="I3983">
        <v>1</v>
      </c>
      <c r="J3983">
        <v>1</v>
      </c>
      <c r="K3983">
        <v>0</v>
      </c>
      <c r="L3983">
        <v>0</v>
      </c>
      <c r="M3983">
        <v>1</v>
      </c>
      <c r="N3983">
        <v>1</v>
      </c>
      <c r="O3983">
        <v>1</v>
      </c>
      <c r="P3983">
        <v>1</v>
      </c>
      <c r="Q3983">
        <v>1</v>
      </c>
      <c r="R3983">
        <v>1</v>
      </c>
    </row>
    <row r="3984" spans="1:39" x14ac:dyDescent="0.2">
      <c r="A3984" t="str">
        <f>"3980"</f>
        <v>3980</v>
      </c>
      <c r="B3984" t="str">
        <f t="shared" si="221"/>
        <v>1</v>
      </c>
      <c r="C3984" t="str">
        <f t="shared" si="220"/>
        <v>80</v>
      </c>
      <c r="D3984" t="str">
        <f>"45"</f>
        <v>45</v>
      </c>
      <c r="E3984" t="str">
        <f>"1-80-45"</f>
        <v>1-80-45</v>
      </c>
      <c r="F3984" t="s">
        <v>65</v>
      </c>
      <c r="G3984" t="s">
        <v>66</v>
      </c>
      <c r="H3984" t="s">
        <v>67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</row>
    <row r="3985" spans="1:39" x14ac:dyDescent="0.2">
      <c r="A3985" t="str">
        <f>"3981"</f>
        <v>3981</v>
      </c>
      <c r="B3985" t="str">
        <f t="shared" si="221"/>
        <v>1</v>
      </c>
      <c r="C3985" t="str">
        <f t="shared" si="220"/>
        <v>80</v>
      </c>
      <c r="D3985" t="str">
        <f>"24"</f>
        <v>24</v>
      </c>
      <c r="E3985" t="str">
        <f>"1-80-24"</f>
        <v>1-80-24</v>
      </c>
      <c r="F3985" t="s">
        <v>65</v>
      </c>
      <c r="G3985" t="s">
        <v>66</v>
      </c>
      <c r="H3985" t="s">
        <v>67</v>
      </c>
      <c r="S3985">
        <v>0</v>
      </c>
      <c r="T3985">
        <v>1</v>
      </c>
      <c r="U3985">
        <v>0</v>
      </c>
      <c r="V3985">
        <v>0</v>
      </c>
      <c r="W3985">
        <v>0</v>
      </c>
      <c r="X3985">
        <v>1</v>
      </c>
      <c r="Y3985">
        <v>0</v>
      </c>
      <c r="Z3985">
        <v>1</v>
      </c>
      <c r="AA3985">
        <v>0</v>
      </c>
      <c r="AB3985">
        <v>0</v>
      </c>
      <c r="AC3985">
        <v>1</v>
      </c>
      <c r="AD3985">
        <v>1</v>
      </c>
      <c r="AE3985">
        <v>1</v>
      </c>
      <c r="AF3985">
        <v>1</v>
      </c>
      <c r="AG3985">
        <v>1</v>
      </c>
      <c r="AH3985">
        <v>1</v>
      </c>
      <c r="AI3985">
        <v>1</v>
      </c>
      <c r="AJ3985">
        <v>1</v>
      </c>
      <c r="AK3985">
        <v>1</v>
      </c>
      <c r="AL3985">
        <v>1</v>
      </c>
      <c r="AM3985">
        <v>1</v>
      </c>
    </row>
    <row r="3986" spans="1:39" x14ac:dyDescent="0.2">
      <c r="A3986" t="str">
        <f>"3982"</f>
        <v>3982</v>
      </c>
      <c r="B3986" t="str">
        <f t="shared" si="221"/>
        <v>1</v>
      </c>
      <c r="C3986" t="str">
        <f t="shared" si="220"/>
        <v>80</v>
      </c>
      <c r="D3986" t="str">
        <f>"13"</f>
        <v>13</v>
      </c>
      <c r="E3986" t="str">
        <f>"1-80-13"</f>
        <v>1-80-13</v>
      </c>
      <c r="F3986" t="s">
        <v>65</v>
      </c>
      <c r="G3986" t="s">
        <v>66</v>
      </c>
      <c r="H3986" t="s">
        <v>67</v>
      </c>
      <c r="S3986">
        <v>0</v>
      </c>
      <c r="T3986">
        <v>1</v>
      </c>
      <c r="U3986">
        <v>0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</row>
    <row r="3987" spans="1:39" x14ac:dyDescent="0.2">
      <c r="A3987" t="str">
        <f>"3983"</f>
        <v>3983</v>
      </c>
      <c r="B3987" t="str">
        <f t="shared" si="221"/>
        <v>1</v>
      </c>
      <c r="C3987" t="str">
        <f t="shared" ref="C3987:C4004" si="222">"80"</f>
        <v>80</v>
      </c>
      <c r="D3987" t="str">
        <f>"46"</f>
        <v>46</v>
      </c>
      <c r="E3987" t="str">
        <f>"1-80-46"</f>
        <v>1-80-46</v>
      </c>
      <c r="F3987" t="s">
        <v>65</v>
      </c>
      <c r="G3987" t="s">
        <v>66</v>
      </c>
      <c r="H3987" t="s">
        <v>67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1</v>
      </c>
      <c r="Y3987">
        <v>0</v>
      </c>
      <c r="Z3987">
        <v>1</v>
      </c>
      <c r="AA3987">
        <v>0</v>
      </c>
      <c r="AB3987">
        <v>1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</row>
    <row r="3988" spans="1:39" x14ac:dyDescent="0.2">
      <c r="A3988" t="str">
        <f>"3984"</f>
        <v>3984</v>
      </c>
      <c r="B3988" t="str">
        <f t="shared" si="221"/>
        <v>1</v>
      </c>
      <c r="C3988" t="str">
        <f t="shared" si="222"/>
        <v>80</v>
      </c>
      <c r="D3988" t="str">
        <f>"25"</f>
        <v>25</v>
      </c>
      <c r="E3988" t="str">
        <f>"1-80-25"</f>
        <v>1-80-25</v>
      </c>
      <c r="F3988" t="s">
        <v>65</v>
      </c>
      <c r="G3988" t="s">
        <v>66</v>
      </c>
      <c r="H3988" t="s">
        <v>67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1</v>
      </c>
      <c r="Y3988">
        <v>0</v>
      </c>
      <c r="Z3988">
        <v>1</v>
      </c>
      <c r="AA3988">
        <v>0</v>
      </c>
      <c r="AB3988">
        <v>0</v>
      </c>
      <c r="AC3988">
        <v>1</v>
      </c>
      <c r="AD3988">
        <v>1</v>
      </c>
      <c r="AE3988">
        <v>1</v>
      </c>
      <c r="AF3988">
        <v>1</v>
      </c>
      <c r="AG3988">
        <v>1</v>
      </c>
      <c r="AH3988">
        <v>1</v>
      </c>
      <c r="AI3988">
        <v>1</v>
      </c>
      <c r="AJ3988">
        <v>1</v>
      </c>
      <c r="AK3988">
        <v>1</v>
      </c>
      <c r="AL3988">
        <v>1</v>
      </c>
      <c r="AM3988">
        <v>0</v>
      </c>
    </row>
    <row r="3989" spans="1:39" x14ac:dyDescent="0.2">
      <c r="A3989" t="str">
        <f>"3985"</f>
        <v>3985</v>
      </c>
      <c r="B3989" t="str">
        <f t="shared" si="221"/>
        <v>1</v>
      </c>
      <c r="C3989" t="str">
        <f t="shared" si="222"/>
        <v>80</v>
      </c>
      <c r="D3989" t="str">
        <f>"7"</f>
        <v>7</v>
      </c>
      <c r="E3989" t="str">
        <f>"1-80-7"</f>
        <v>1-80-7</v>
      </c>
      <c r="F3989" t="s">
        <v>65</v>
      </c>
      <c r="G3989" t="s">
        <v>66</v>
      </c>
      <c r="H3989" t="s">
        <v>67</v>
      </c>
      <c r="S3989">
        <v>1</v>
      </c>
      <c r="T3989">
        <v>0</v>
      </c>
      <c r="U3989">
        <v>0</v>
      </c>
      <c r="V3989">
        <v>0</v>
      </c>
      <c r="W3989">
        <v>1</v>
      </c>
      <c r="X3989">
        <v>0</v>
      </c>
      <c r="Y3989">
        <v>1</v>
      </c>
      <c r="Z3989">
        <v>0</v>
      </c>
      <c r="AA3989">
        <v>0</v>
      </c>
      <c r="AB3989">
        <v>1</v>
      </c>
      <c r="AC3989">
        <v>0</v>
      </c>
      <c r="AD3989">
        <v>1</v>
      </c>
      <c r="AE3989">
        <v>1</v>
      </c>
      <c r="AF3989">
        <v>1</v>
      </c>
      <c r="AG3989">
        <v>1</v>
      </c>
      <c r="AH3989">
        <v>1</v>
      </c>
      <c r="AI3989">
        <v>1</v>
      </c>
      <c r="AJ3989">
        <v>1</v>
      </c>
      <c r="AK3989">
        <v>1</v>
      </c>
      <c r="AL3989">
        <v>1</v>
      </c>
      <c r="AM3989">
        <v>1</v>
      </c>
    </row>
    <row r="3990" spans="1:39" x14ac:dyDescent="0.2">
      <c r="A3990" t="str">
        <f>"3986"</f>
        <v>3986</v>
      </c>
      <c r="B3990" t="str">
        <f t="shared" si="221"/>
        <v>1</v>
      </c>
      <c r="C3990" t="str">
        <f t="shared" si="222"/>
        <v>80</v>
      </c>
      <c r="D3990" t="str">
        <f>"44"</f>
        <v>44</v>
      </c>
      <c r="E3990" t="str">
        <f>"1-80-44"</f>
        <v>1-80-44</v>
      </c>
      <c r="F3990" t="s">
        <v>65</v>
      </c>
      <c r="G3990" t="s">
        <v>66</v>
      </c>
      <c r="H3990" t="s">
        <v>67</v>
      </c>
      <c r="S3990">
        <v>0</v>
      </c>
      <c r="T3990">
        <v>1</v>
      </c>
      <c r="U3990">
        <v>0</v>
      </c>
      <c r="V3990">
        <v>0</v>
      </c>
      <c r="W3990">
        <v>1</v>
      </c>
      <c r="X3990">
        <v>0</v>
      </c>
      <c r="Y3990">
        <v>1</v>
      </c>
      <c r="Z3990">
        <v>0</v>
      </c>
      <c r="AA3990">
        <v>0</v>
      </c>
      <c r="AB3990">
        <v>0</v>
      </c>
      <c r="AC3990">
        <v>1</v>
      </c>
      <c r="AD3990">
        <v>1</v>
      </c>
      <c r="AE3990">
        <v>1</v>
      </c>
      <c r="AF3990">
        <v>1</v>
      </c>
      <c r="AG3990">
        <v>1</v>
      </c>
      <c r="AH3990">
        <v>1</v>
      </c>
      <c r="AI3990">
        <v>1</v>
      </c>
      <c r="AJ3990">
        <v>1</v>
      </c>
      <c r="AK3990">
        <v>1</v>
      </c>
      <c r="AL3990">
        <v>1</v>
      </c>
      <c r="AM3990">
        <v>1</v>
      </c>
    </row>
    <row r="3991" spans="1:39" x14ac:dyDescent="0.2">
      <c r="A3991" t="str">
        <f>"3987"</f>
        <v>3987</v>
      </c>
      <c r="B3991" t="str">
        <f t="shared" si="221"/>
        <v>1</v>
      </c>
      <c r="C3991" t="str">
        <f t="shared" si="222"/>
        <v>80</v>
      </c>
      <c r="D3991" t="str">
        <f>"26"</f>
        <v>26</v>
      </c>
      <c r="E3991" t="str">
        <f>"1-80-26"</f>
        <v>1-80-26</v>
      </c>
      <c r="F3991" t="s">
        <v>65</v>
      </c>
      <c r="G3991" t="s">
        <v>66</v>
      </c>
      <c r="H3991" t="s">
        <v>67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</row>
    <row r="3992" spans="1:39" x14ac:dyDescent="0.2">
      <c r="A3992" t="str">
        <f>"3988"</f>
        <v>3988</v>
      </c>
      <c r="B3992" t="str">
        <f t="shared" si="221"/>
        <v>1</v>
      </c>
      <c r="C3992" t="str">
        <f t="shared" si="222"/>
        <v>80</v>
      </c>
      <c r="D3992" t="str">
        <f>"8"</f>
        <v>8</v>
      </c>
      <c r="E3992" t="str">
        <f>"1-80-8"</f>
        <v>1-80-8</v>
      </c>
      <c r="F3992" t="s">
        <v>65</v>
      </c>
      <c r="G3992" t="s">
        <v>66</v>
      </c>
      <c r="H3992" t="s">
        <v>67</v>
      </c>
      <c r="S3992">
        <v>0</v>
      </c>
      <c r="T3992">
        <v>1</v>
      </c>
      <c r="U3992">
        <v>0</v>
      </c>
      <c r="V3992">
        <v>0</v>
      </c>
      <c r="W3992">
        <v>0</v>
      </c>
      <c r="X3992">
        <v>1</v>
      </c>
      <c r="Y3992">
        <v>1</v>
      </c>
      <c r="Z3992">
        <v>0</v>
      </c>
      <c r="AA3992">
        <v>0</v>
      </c>
      <c r="AB3992">
        <v>1</v>
      </c>
      <c r="AC3992">
        <v>0</v>
      </c>
      <c r="AD3992">
        <v>1</v>
      </c>
      <c r="AE3992">
        <v>1</v>
      </c>
      <c r="AF3992">
        <v>1</v>
      </c>
      <c r="AG3992">
        <v>1</v>
      </c>
      <c r="AH3992">
        <v>1</v>
      </c>
      <c r="AI3992">
        <v>1</v>
      </c>
      <c r="AJ3992">
        <v>1</v>
      </c>
      <c r="AK3992">
        <v>1</v>
      </c>
      <c r="AL3992">
        <v>1</v>
      </c>
      <c r="AM3992">
        <v>1</v>
      </c>
    </row>
    <row r="3993" spans="1:39" x14ac:dyDescent="0.2">
      <c r="A3993" t="str">
        <f>"3989"</f>
        <v>3989</v>
      </c>
      <c r="B3993" t="str">
        <f t="shared" si="221"/>
        <v>1</v>
      </c>
      <c r="C3993" t="str">
        <f t="shared" si="222"/>
        <v>80</v>
      </c>
      <c r="D3993" t="str">
        <f>"49"</f>
        <v>49</v>
      </c>
      <c r="E3993" t="str">
        <f>"1-80-49"</f>
        <v>1-80-49</v>
      </c>
      <c r="F3993" t="s">
        <v>65</v>
      </c>
      <c r="G3993" t="s">
        <v>66</v>
      </c>
      <c r="H3993" t="s">
        <v>67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1</v>
      </c>
      <c r="AH3993">
        <v>0</v>
      </c>
      <c r="AI3993">
        <v>0</v>
      </c>
      <c r="AJ3993">
        <v>0</v>
      </c>
      <c r="AK3993">
        <v>0</v>
      </c>
      <c r="AL3993">
        <v>1</v>
      </c>
      <c r="AM3993">
        <v>0</v>
      </c>
    </row>
    <row r="3994" spans="1:39" x14ac:dyDescent="0.2">
      <c r="A3994" t="str">
        <f>"3990"</f>
        <v>3990</v>
      </c>
      <c r="B3994" t="str">
        <f t="shared" si="221"/>
        <v>1</v>
      </c>
      <c r="C3994" t="str">
        <f t="shared" si="222"/>
        <v>80</v>
      </c>
      <c r="D3994" t="str">
        <f>"27"</f>
        <v>27</v>
      </c>
      <c r="E3994" t="str">
        <f>"1-80-27"</f>
        <v>1-80-27</v>
      </c>
      <c r="F3994" t="s">
        <v>65</v>
      </c>
      <c r="G3994" t="s">
        <v>66</v>
      </c>
      <c r="H3994" t="s">
        <v>67</v>
      </c>
      <c r="S3994">
        <v>1</v>
      </c>
      <c r="T3994">
        <v>0</v>
      </c>
      <c r="U3994">
        <v>0</v>
      </c>
      <c r="V3994">
        <v>0</v>
      </c>
      <c r="W3994">
        <v>1</v>
      </c>
      <c r="X3994">
        <v>0</v>
      </c>
      <c r="Y3994">
        <v>0</v>
      </c>
      <c r="Z3994">
        <v>1</v>
      </c>
      <c r="AA3994">
        <v>1</v>
      </c>
      <c r="AB3994">
        <v>0</v>
      </c>
      <c r="AC3994">
        <v>0</v>
      </c>
      <c r="AD3994">
        <v>1</v>
      </c>
      <c r="AE3994">
        <v>1</v>
      </c>
      <c r="AF3994">
        <v>1</v>
      </c>
      <c r="AG3994">
        <v>1</v>
      </c>
      <c r="AH3994">
        <v>1</v>
      </c>
      <c r="AI3994">
        <v>1</v>
      </c>
      <c r="AJ3994">
        <v>1</v>
      </c>
      <c r="AK3994">
        <v>1</v>
      </c>
      <c r="AL3994">
        <v>1</v>
      </c>
      <c r="AM3994">
        <v>1</v>
      </c>
    </row>
    <row r="3995" spans="1:39" x14ac:dyDescent="0.2">
      <c r="A3995" t="str">
        <f>"3991"</f>
        <v>3991</v>
      </c>
      <c r="B3995" t="str">
        <f t="shared" si="221"/>
        <v>1</v>
      </c>
      <c r="C3995" t="str">
        <f t="shared" si="222"/>
        <v>80</v>
      </c>
      <c r="D3995" t="str">
        <f>"4"</f>
        <v>4</v>
      </c>
      <c r="E3995" t="str">
        <f>"1-80-4"</f>
        <v>1-80-4</v>
      </c>
      <c r="F3995" t="s">
        <v>65</v>
      </c>
      <c r="G3995" t="s">
        <v>66</v>
      </c>
      <c r="H3995" t="s">
        <v>67</v>
      </c>
      <c r="S3995">
        <v>0</v>
      </c>
      <c r="T3995">
        <v>1</v>
      </c>
      <c r="U3995">
        <v>0</v>
      </c>
      <c r="V3995">
        <v>0</v>
      </c>
      <c r="W3995">
        <v>1</v>
      </c>
      <c r="X3995">
        <v>0</v>
      </c>
      <c r="Y3995">
        <v>0</v>
      </c>
      <c r="Z3995">
        <v>1</v>
      </c>
      <c r="AA3995">
        <v>1</v>
      </c>
      <c r="AB3995">
        <v>0</v>
      </c>
      <c r="AC3995">
        <v>0</v>
      </c>
      <c r="AD3995">
        <v>1</v>
      </c>
      <c r="AE3995">
        <v>1</v>
      </c>
      <c r="AF3995">
        <v>1</v>
      </c>
      <c r="AG3995">
        <v>1</v>
      </c>
      <c r="AH3995">
        <v>1</v>
      </c>
      <c r="AI3995">
        <v>0</v>
      </c>
      <c r="AJ3995">
        <v>0</v>
      </c>
      <c r="AK3995">
        <v>0</v>
      </c>
      <c r="AL3995">
        <v>0</v>
      </c>
      <c r="AM3995">
        <v>0</v>
      </c>
    </row>
    <row r="3996" spans="1:39" x14ac:dyDescent="0.2">
      <c r="A3996" t="str">
        <f>"3992"</f>
        <v>3992</v>
      </c>
      <c r="B3996" t="str">
        <f t="shared" si="221"/>
        <v>1</v>
      </c>
      <c r="C3996" t="str">
        <f t="shared" si="222"/>
        <v>80</v>
      </c>
      <c r="D3996" t="str">
        <f>"47"</f>
        <v>47</v>
      </c>
      <c r="E3996" t="str">
        <f>"1-80-47"</f>
        <v>1-80-47</v>
      </c>
      <c r="F3996" t="s">
        <v>65</v>
      </c>
      <c r="G3996" t="s">
        <v>66</v>
      </c>
      <c r="H3996" t="s">
        <v>67</v>
      </c>
      <c r="S3996">
        <v>0</v>
      </c>
      <c r="T3996">
        <v>1</v>
      </c>
      <c r="U3996">
        <v>0</v>
      </c>
      <c r="V3996">
        <v>0</v>
      </c>
      <c r="W3996">
        <v>0</v>
      </c>
      <c r="X3996">
        <v>1</v>
      </c>
      <c r="Y3996">
        <v>0</v>
      </c>
      <c r="Z3996">
        <v>1</v>
      </c>
      <c r="AA3996">
        <v>0</v>
      </c>
      <c r="AB3996">
        <v>1</v>
      </c>
      <c r="AC3996">
        <v>0</v>
      </c>
      <c r="AD3996">
        <v>1</v>
      </c>
      <c r="AE3996">
        <v>1</v>
      </c>
      <c r="AF3996">
        <v>1</v>
      </c>
      <c r="AG3996">
        <v>1</v>
      </c>
      <c r="AH3996">
        <v>1</v>
      </c>
      <c r="AI3996">
        <v>1</v>
      </c>
      <c r="AJ3996">
        <v>1</v>
      </c>
      <c r="AK3996">
        <v>1</v>
      </c>
      <c r="AL3996">
        <v>1</v>
      </c>
      <c r="AM3996">
        <v>1</v>
      </c>
    </row>
    <row r="3997" spans="1:39" x14ac:dyDescent="0.2">
      <c r="A3997" t="str">
        <f>"3993"</f>
        <v>3993</v>
      </c>
      <c r="B3997" t="str">
        <f t="shared" si="221"/>
        <v>1</v>
      </c>
      <c r="C3997" t="str">
        <f t="shared" si="222"/>
        <v>80</v>
      </c>
      <c r="D3997" t="str">
        <f>"29"</f>
        <v>29</v>
      </c>
      <c r="E3997" t="str">
        <f>"1-80-29"</f>
        <v>1-80-29</v>
      </c>
      <c r="F3997" t="s">
        <v>65</v>
      </c>
      <c r="G3997" t="s">
        <v>66</v>
      </c>
      <c r="H3997" t="s">
        <v>67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1</v>
      </c>
      <c r="AJ3997">
        <v>1</v>
      </c>
      <c r="AK3997">
        <v>1</v>
      </c>
      <c r="AL3997">
        <v>1</v>
      </c>
      <c r="AM3997">
        <v>0</v>
      </c>
    </row>
    <row r="3998" spans="1:39" x14ac:dyDescent="0.2">
      <c r="A3998" t="str">
        <f>"3994"</f>
        <v>3994</v>
      </c>
      <c r="B3998" t="str">
        <f t="shared" si="221"/>
        <v>1</v>
      </c>
      <c r="C3998" t="str">
        <f t="shared" si="222"/>
        <v>80</v>
      </c>
      <c r="D3998" t="str">
        <f>"14"</f>
        <v>14</v>
      </c>
      <c r="E3998" t="str">
        <f>"1-80-14"</f>
        <v>1-80-14</v>
      </c>
      <c r="F3998" t="s">
        <v>65</v>
      </c>
      <c r="G3998" t="s">
        <v>66</v>
      </c>
      <c r="H3998" t="s">
        <v>67</v>
      </c>
      <c r="S3998">
        <v>0</v>
      </c>
      <c r="T3998">
        <v>1</v>
      </c>
      <c r="U3998">
        <v>0</v>
      </c>
      <c r="V3998">
        <v>0</v>
      </c>
      <c r="W3998">
        <v>0</v>
      </c>
      <c r="X3998">
        <v>1</v>
      </c>
      <c r="Y3998">
        <v>0</v>
      </c>
      <c r="Z3998">
        <v>1</v>
      </c>
      <c r="AA3998">
        <v>0</v>
      </c>
      <c r="AB3998">
        <v>0</v>
      </c>
      <c r="AC3998">
        <v>1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</row>
    <row r="3999" spans="1:39" x14ac:dyDescent="0.2">
      <c r="A3999" t="str">
        <f>"3995"</f>
        <v>3995</v>
      </c>
      <c r="B3999" t="str">
        <f t="shared" si="221"/>
        <v>1</v>
      </c>
      <c r="C3999" t="str">
        <f t="shared" si="222"/>
        <v>80</v>
      </c>
      <c r="D3999" t="str">
        <f>"31"</f>
        <v>31</v>
      </c>
      <c r="E3999" t="str">
        <f>"1-80-31"</f>
        <v>1-80-31</v>
      </c>
      <c r="F3999" t="s">
        <v>65</v>
      </c>
      <c r="G3999" t="s">
        <v>66</v>
      </c>
      <c r="H3999" t="s">
        <v>67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0</v>
      </c>
      <c r="AB3999">
        <v>0</v>
      </c>
      <c r="AC3999">
        <v>1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1</v>
      </c>
      <c r="AJ3999">
        <v>1</v>
      </c>
      <c r="AK3999">
        <v>0</v>
      </c>
      <c r="AL3999">
        <v>0</v>
      </c>
      <c r="AM3999">
        <v>0</v>
      </c>
    </row>
    <row r="4000" spans="1:39" x14ac:dyDescent="0.2">
      <c r="A4000" t="str">
        <f>"3996"</f>
        <v>3996</v>
      </c>
      <c r="B4000" t="str">
        <f t="shared" si="221"/>
        <v>1</v>
      </c>
      <c r="C4000" t="str">
        <f t="shared" si="222"/>
        <v>80</v>
      </c>
      <c r="D4000" t="str">
        <f>"9"</f>
        <v>9</v>
      </c>
      <c r="E4000" t="str">
        <f>"1-80-9"</f>
        <v>1-80-9</v>
      </c>
      <c r="F4000" t="s">
        <v>65</v>
      </c>
      <c r="G4000" t="s">
        <v>66</v>
      </c>
      <c r="H4000" t="s">
        <v>67</v>
      </c>
      <c r="S4000">
        <v>0</v>
      </c>
      <c r="T4000">
        <v>1</v>
      </c>
      <c r="U4000">
        <v>0</v>
      </c>
      <c r="V4000">
        <v>0</v>
      </c>
      <c r="W4000">
        <v>1</v>
      </c>
      <c r="X4000">
        <v>0</v>
      </c>
      <c r="Y4000">
        <v>1</v>
      </c>
      <c r="Z4000">
        <v>0</v>
      </c>
      <c r="AA4000">
        <v>0</v>
      </c>
      <c r="AB4000">
        <v>0</v>
      </c>
      <c r="AC4000">
        <v>1</v>
      </c>
      <c r="AD4000">
        <v>1</v>
      </c>
      <c r="AE4000">
        <v>1</v>
      </c>
      <c r="AF4000">
        <v>1</v>
      </c>
      <c r="AG4000">
        <v>1</v>
      </c>
      <c r="AH4000">
        <v>1</v>
      </c>
      <c r="AI4000">
        <v>1</v>
      </c>
      <c r="AJ4000">
        <v>1</v>
      </c>
      <c r="AK4000">
        <v>1</v>
      </c>
      <c r="AL4000">
        <v>1</v>
      </c>
      <c r="AM4000">
        <v>1</v>
      </c>
    </row>
    <row r="4001" spans="1:39" x14ac:dyDescent="0.2">
      <c r="A4001" t="str">
        <f>"3997"</f>
        <v>3997</v>
      </c>
      <c r="B4001" t="str">
        <f t="shared" si="221"/>
        <v>1</v>
      </c>
      <c r="C4001" t="str">
        <f t="shared" si="222"/>
        <v>80</v>
      </c>
      <c r="D4001" t="str">
        <f>"48"</f>
        <v>48</v>
      </c>
      <c r="E4001" t="str">
        <f>"1-80-48"</f>
        <v>1-80-48</v>
      </c>
      <c r="F4001" t="s">
        <v>65</v>
      </c>
      <c r="G4001" t="s">
        <v>66</v>
      </c>
      <c r="H4001" t="s">
        <v>67</v>
      </c>
      <c r="S4001">
        <v>0</v>
      </c>
      <c r="T4001">
        <v>1</v>
      </c>
      <c r="U4001">
        <v>0</v>
      </c>
      <c r="V4001">
        <v>0</v>
      </c>
      <c r="W4001">
        <v>0</v>
      </c>
      <c r="X4001">
        <v>1</v>
      </c>
      <c r="Y4001">
        <v>0</v>
      </c>
      <c r="Z4001">
        <v>1</v>
      </c>
      <c r="AA4001">
        <v>0</v>
      </c>
      <c r="AB4001">
        <v>0</v>
      </c>
      <c r="AC4001">
        <v>1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</row>
    <row r="4002" spans="1:39" x14ac:dyDescent="0.2">
      <c r="A4002" t="str">
        <f>"3998"</f>
        <v>3998</v>
      </c>
      <c r="B4002" t="str">
        <f t="shared" si="221"/>
        <v>1</v>
      </c>
      <c r="C4002" t="str">
        <f t="shared" si="222"/>
        <v>80</v>
      </c>
      <c r="D4002" t="str">
        <f>"32"</f>
        <v>32</v>
      </c>
      <c r="E4002" t="str">
        <f>"1-80-32"</f>
        <v>1-80-32</v>
      </c>
      <c r="F4002" t="s">
        <v>65</v>
      </c>
      <c r="G4002" t="s">
        <v>66</v>
      </c>
      <c r="H4002" t="s">
        <v>67</v>
      </c>
      <c r="S4002">
        <v>0</v>
      </c>
      <c r="T4002">
        <v>1</v>
      </c>
      <c r="U4002">
        <v>0</v>
      </c>
      <c r="V4002">
        <v>0</v>
      </c>
      <c r="W4002">
        <v>0</v>
      </c>
      <c r="X4002">
        <v>1</v>
      </c>
      <c r="Y4002">
        <v>1</v>
      </c>
      <c r="Z4002">
        <v>0</v>
      </c>
      <c r="AA4002">
        <v>0</v>
      </c>
      <c r="AB4002">
        <v>1</v>
      </c>
      <c r="AC4002">
        <v>0</v>
      </c>
      <c r="AD4002">
        <v>0</v>
      </c>
      <c r="AE4002">
        <v>0</v>
      </c>
      <c r="AF4002">
        <v>1</v>
      </c>
      <c r="AG4002">
        <v>0</v>
      </c>
      <c r="AH4002">
        <v>1</v>
      </c>
      <c r="AI4002">
        <v>1</v>
      </c>
      <c r="AJ4002">
        <v>1</v>
      </c>
      <c r="AK4002">
        <v>1</v>
      </c>
      <c r="AL4002">
        <v>1</v>
      </c>
      <c r="AM4002">
        <v>0</v>
      </c>
    </row>
    <row r="4003" spans="1:39" x14ac:dyDescent="0.2">
      <c r="A4003" t="str">
        <f>"3999"</f>
        <v>3999</v>
      </c>
      <c r="B4003" t="str">
        <f t="shared" si="221"/>
        <v>1</v>
      </c>
      <c r="C4003" t="str">
        <f t="shared" si="222"/>
        <v>80</v>
      </c>
      <c r="D4003" t="str">
        <f>"10"</f>
        <v>10</v>
      </c>
      <c r="E4003" t="str">
        <f>"1-80-10"</f>
        <v>1-80-10</v>
      </c>
      <c r="F4003" t="s">
        <v>65</v>
      </c>
      <c r="G4003" t="s">
        <v>66</v>
      </c>
      <c r="H4003" t="s">
        <v>67</v>
      </c>
      <c r="S4003">
        <v>0</v>
      </c>
      <c r="T4003">
        <v>1</v>
      </c>
      <c r="U4003">
        <v>0</v>
      </c>
      <c r="V4003">
        <v>0</v>
      </c>
      <c r="W4003">
        <v>0</v>
      </c>
      <c r="X4003">
        <v>1</v>
      </c>
      <c r="Y4003">
        <v>1</v>
      </c>
      <c r="Z4003">
        <v>0</v>
      </c>
      <c r="AA4003">
        <v>0</v>
      </c>
      <c r="AB4003">
        <v>0</v>
      </c>
      <c r="AC4003">
        <v>1</v>
      </c>
      <c r="AD4003">
        <v>1</v>
      </c>
      <c r="AE4003">
        <v>1</v>
      </c>
      <c r="AF4003">
        <v>1</v>
      </c>
      <c r="AG4003">
        <v>1</v>
      </c>
      <c r="AH4003">
        <v>1</v>
      </c>
      <c r="AI4003">
        <v>1</v>
      </c>
      <c r="AJ4003">
        <v>1</v>
      </c>
      <c r="AK4003">
        <v>1</v>
      </c>
      <c r="AL4003">
        <v>1</v>
      </c>
      <c r="AM4003">
        <v>1</v>
      </c>
    </row>
    <row r="4004" spans="1:39" x14ac:dyDescent="0.2">
      <c r="A4004" t="str">
        <f>"4000"</f>
        <v>4000</v>
      </c>
      <c r="B4004" t="str">
        <f t="shared" si="221"/>
        <v>1</v>
      </c>
      <c r="C4004" t="str">
        <f t="shared" si="222"/>
        <v>80</v>
      </c>
      <c r="D4004" t="str">
        <f>"50"</f>
        <v>50</v>
      </c>
      <c r="E4004" t="str">
        <f>"1-80-50"</f>
        <v>1-80-50</v>
      </c>
      <c r="F4004" t="s">
        <v>65</v>
      </c>
      <c r="G4004" t="s">
        <v>66</v>
      </c>
      <c r="H4004" t="s">
        <v>67</v>
      </c>
      <c r="S4004">
        <v>1</v>
      </c>
      <c r="T4004">
        <v>0</v>
      </c>
      <c r="U4004">
        <v>0</v>
      </c>
      <c r="V4004">
        <v>0</v>
      </c>
      <c r="W4004">
        <v>1</v>
      </c>
      <c r="X4004">
        <v>0</v>
      </c>
      <c r="Y4004">
        <v>1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1</v>
      </c>
      <c r="AF4004">
        <v>1</v>
      </c>
      <c r="AG4004">
        <v>1</v>
      </c>
      <c r="AH4004">
        <v>1</v>
      </c>
      <c r="AI4004">
        <v>1</v>
      </c>
      <c r="AJ4004">
        <v>1</v>
      </c>
      <c r="AK4004">
        <v>1</v>
      </c>
      <c r="AL4004">
        <v>1</v>
      </c>
      <c r="AM4004">
        <v>1</v>
      </c>
    </row>
    <row r="4005" spans="1:39" x14ac:dyDescent="0.2">
      <c r="A4005" t="str">
        <f>"4001"</f>
        <v>4001</v>
      </c>
      <c r="B4005" t="str">
        <f t="shared" si="221"/>
        <v>1</v>
      </c>
      <c r="C4005" t="str">
        <f t="shared" ref="C4005:C4036" si="223">"81"</f>
        <v>81</v>
      </c>
      <c r="D4005" t="str">
        <f>"35"</f>
        <v>35</v>
      </c>
      <c r="E4005" t="str">
        <f>"1-81-35"</f>
        <v>1-81-35</v>
      </c>
      <c r="F4005" t="s">
        <v>65</v>
      </c>
      <c r="G4005" t="s">
        <v>66</v>
      </c>
      <c r="H4005" t="s">
        <v>67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1</v>
      </c>
      <c r="AH4005">
        <v>1</v>
      </c>
      <c r="AI4005">
        <v>1</v>
      </c>
      <c r="AJ4005">
        <v>1</v>
      </c>
      <c r="AK4005">
        <v>1</v>
      </c>
      <c r="AL4005">
        <v>1</v>
      </c>
      <c r="AM4005">
        <v>0</v>
      </c>
    </row>
    <row r="4006" spans="1:39" x14ac:dyDescent="0.2">
      <c r="A4006" t="str">
        <f>"4002"</f>
        <v>4002</v>
      </c>
      <c r="B4006" t="str">
        <f t="shared" si="221"/>
        <v>1</v>
      </c>
      <c r="C4006" t="str">
        <f t="shared" si="223"/>
        <v>81</v>
      </c>
      <c r="D4006" t="str">
        <f>"34"</f>
        <v>34</v>
      </c>
      <c r="E4006" t="str">
        <f>"1-81-34"</f>
        <v>1-81-34</v>
      </c>
      <c r="F4006" t="s">
        <v>65</v>
      </c>
      <c r="G4006" t="s">
        <v>66</v>
      </c>
      <c r="H4006" t="s">
        <v>67</v>
      </c>
      <c r="S4006">
        <v>0</v>
      </c>
      <c r="T4006">
        <v>1</v>
      </c>
      <c r="U4006">
        <v>0</v>
      </c>
      <c r="V4006">
        <v>0</v>
      </c>
      <c r="W4006">
        <v>0</v>
      </c>
      <c r="X4006">
        <v>1</v>
      </c>
      <c r="Y4006">
        <v>1</v>
      </c>
      <c r="Z4006">
        <v>0</v>
      </c>
      <c r="AA4006">
        <v>0</v>
      </c>
      <c r="AB4006">
        <v>0</v>
      </c>
      <c r="AC4006">
        <v>1</v>
      </c>
      <c r="AD4006">
        <v>1</v>
      </c>
      <c r="AE4006">
        <v>1</v>
      </c>
      <c r="AF4006">
        <v>1</v>
      </c>
      <c r="AG4006">
        <v>1</v>
      </c>
      <c r="AH4006">
        <v>1</v>
      </c>
      <c r="AI4006">
        <v>1</v>
      </c>
      <c r="AJ4006">
        <v>1</v>
      </c>
      <c r="AK4006">
        <v>1</v>
      </c>
      <c r="AL4006">
        <v>1</v>
      </c>
      <c r="AM4006">
        <v>1</v>
      </c>
    </row>
    <row r="4007" spans="1:39" x14ac:dyDescent="0.2">
      <c r="A4007" t="str">
        <f>"4003"</f>
        <v>4003</v>
      </c>
      <c r="B4007" t="str">
        <f t="shared" si="221"/>
        <v>1</v>
      </c>
      <c r="C4007" t="str">
        <f t="shared" si="223"/>
        <v>81</v>
      </c>
      <c r="D4007" t="str">
        <f>"23"</f>
        <v>23</v>
      </c>
      <c r="E4007" t="str">
        <f>"1-81-23"</f>
        <v>1-81-23</v>
      </c>
      <c r="F4007" t="s">
        <v>65</v>
      </c>
      <c r="G4007" t="s">
        <v>66</v>
      </c>
      <c r="H4007" t="s">
        <v>67</v>
      </c>
      <c r="S4007">
        <v>1</v>
      </c>
      <c r="T4007">
        <v>0</v>
      </c>
      <c r="U4007">
        <v>0</v>
      </c>
      <c r="V4007">
        <v>0</v>
      </c>
      <c r="W4007">
        <v>1</v>
      </c>
      <c r="X4007">
        <v>0</v>
      </c>
      <c r="Y4007">
        <v>0</v>
      </c>
      <c r="Z4007">
        <v>1</v>
      </c>
      <c r="AA4007">
        <v>0</v>
      </c>
      <c r="AB4007">
        <v>0</v>
      </c>
      <c r="AC4007">
        <v>1</v>
      </c>
      <c r="AD4007">
        <v>1</v>
      </c>
      <c r="AE4007">
        <v>1</v>
      </c>
      <c r="AF4007">
        <v>1</v>
      </c>
      <c r="AG4007">
        <v>1</v>
      </c>
      <c r="AH4007">
        <v>1</v>
      </c>
      <c r="AI4007">
        <v>1</v>
      </c>
      <c r="AJ4007">
        <v>1</v>
      </c>
      <c r="AK4007">
        <v>1</v>
      </c>
      <c r="AL4007">
        <v>1</v>
      </c>
      <c r="AM4007">
        <v>1</v>
      </c>
    </row>
    <row r="4008" spans="1:39" x14ac:dyDescent="0.2">
      <c r="A4008" t="str">
        <f>"4004"</f>
        <v>4004</v>
      </c>
      <c r="B4008" t="str">
        <f t="shared" si="221"/>
        <v>1</v>
      </c>
      <c r="C4008" t="str">
        <f t="shared" si="223"/>
        <v>81</v>
      </c>
      <c r="D4008" t="str">
        <f>"15"</f>
        <v>15</v>
      </c>
      <c r="E4008" t="str">
        <f>"1-81-15"</f>
        <v>1-81-15</v>
      </c>
      <c r="F4008" t="s">
        <v>65</v>
      </c>
      <c r="G4008" t="s">
        <v>66</v>
      </c>
      <c r="H4008" t="s">
        <v>67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0</v>
      </c>
      <c r="AB4008">
        <v>0</v>
      </c>
      <c r="AC4008">
        <v>1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</row>
    <row r="4009" spans="1:39" x14ac:dyDescent="0.2">
      <c r="A4009" t="str">
        <f>"4005"</f>
        <v>4005</v>
      </c>
      <c r="B4009" t="str">
        <f t="shared" si="221"/>
        <v>1</v>
      </c>
      <c r="C4009" t="str">
        <f t="shared" si="223"/>
        <v>81</v>
      </c>
      <c r="D4009" t="str">
        <f>"3"</f>
        <v>3</v>
      </c>
      <c r="E4009" t="str">
        <f>"1-81-3"</f>
        <v>1-81-3</v>
      </c>
      <c r="F4009" t="s">
        <v>65</v>
      </c>
      <c r="G4009" t="s">
        <v>66</v>
      </c>
      <c r="H4009" t="s">
        <v>68</v>
      </c>
      <c r="I4009">
        <v>1</v>
      </c>
      <c r="J4009">
        <v>0</v>
      </c>
      <c r="K4009">
        <v>1</v>
      </c>
      <c r="L4009">
        <v>0</v>
      </c>
      <c r="M4009">
        <v>1</v>
      </c>
      <c r="N4009">
        <v>1</v>
      </c>
      <c r="O4009">
        <v>1</v>
      </c>
      <c r="P4009">
        <v>1</v>
      </c>
      <c r="Q4009">
        <v>1</v>
      </c>
      <c r="R4009">
        <v>1</v>
      </c>
    </row>
    <row r="4010" spans="1:39" x14ac:dyDescent="0.2">
      <c r="A4010" t="str">
        <f>"4006"</f>
        <v>4006</v>
      </c>
      <c r="B4010" t="str">
        <f t="shared" si="221"/>
        <v>1</v>
      </c>
      <c r="C4010" t="str">
        <f t="shared" si="223"/>
        <v>81</v>
      </c>
      <c r="D4010" t="str">
        <f>"44"</f>
        <v>44</v>
      </c>
      <c r="E4010" t="str">
        <f>"1-81-44"</f>
        <v>1-81-44</v>
      </c>
      <c r="F4010" t="s">
        <v>65</v>
      </c>
      <c r="G4010" t="s">
        <v>66</v>
      </c>
      <c r="H4010" t="s">
        <v>67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0</v>
      </c>
      <c r="AB4010">
        <v>0</v>
      </c>
      <c r="AC4010">
        <v>1</v>
      </c>
      <c r="AD4010">
        <v>1</v>
      </c>
      <c r="AE4010">
        <v>1</v>
      </c>
      <c r="AF4010">
        <v>1</v>
      </c>
      <c r="AG4010">
        <v>1</v>
      </c>
      <c r="AH4010">
        <v>1</v>
      </c>
      <c r="AI4010">
        <v>1</v>
      </c>
      <c r="AJ4010">
        <v>0</v>
      </c>
      <c r="AK4010">
        <v>0</v>
      </c>
      <c r="AL4010">
        <v>0</v>
      </c>
      <c r="AM4010">
        <v>0</v>
      </c>
    </row>
    <row r="4011" spans="1:39" x14ac:dyDescent="0.2">
      <c r="A4011" t="str">
        <f>"4007"</f>
        <v>4007</v>
      </c>
      <c r="B4011" t="str">
        <f t="shared" si="221"/>
        <v>1</v>
      </c>
      <c r="C4011" t="str">
        <f t="shared" si="223"/>
        <v>81</v>
      </c>
      <c r="D4011" t="str">
        <f>"43"</f>
        <v>43</v>
      </c>
      <c r="E4011" t="str">
        <f>"1-81-43"</f>
        <v>1-81-43</v>
      </c>
      <c r="F4011" t="s">
        <v>65</v>
      </c>
      <c r="G4011" t="s">
        <v>66</v>
      </c>
      <c r="H4011" t="s">
        <v>67</v>
      </c>
      <c r="S4011">
        <v>1</v>
      </c>
      <c r="T4011">
        <v>0</v>
      </c>
      <c r="U4011">
        <v>0</v>
      </c>
      <c r="V4011">
        <v>0</v>
      </c>
      <c r="W4011">
        <v>1</v>
      </c>
      <c r="X4011">
        <v>0</v>
      </c>
      <c r="Y4011">
        <v>1</v>
      </c>
      <c r="Z4011">
        <v>0</v>
      </c>
      <c r="AA4011">
        <v>0</v>
      </c>
      <c r="AB4011">
        <v>1</v>
      </c>
      <c r="AC4011">
        <v>0</v>
      </c>
      <c r="AD4011">
        <v>1</v>
      </c>
      <c r="AE4011">
        <v>1</v>
      </c>
      <c r="AF4011">
        <v>1</v>
      </c>
      <c r="AG4011">
        <v>1</v>
      </c>
      <c r="AH4011">
        <v>1</v>
      </c>
      <c r="AI4011">
        <v>1</v>
      </c>
      <c r="AJ4011">
        <v>1</v>
      </c>
      <c r="AK4011">
        <v>1</v>
      </c>
      <c r="AL4011">
        <v>1</v>
      </c>
      <c r="AM4011">
        <v>1</v>
      </c>
    </row>
    <row r="4012" spans="1:39" x14ac:dyDescent="0.2">
      <c r="A4012" t="str">
        <f>"4008"</f>
        <v>4008</v>
      </c>
      <c r="B4012" t="str">
        <f t="shared" si="221"/>
        <v>1</v>
      </c>
      <c r="C4012" t="str">
        <f t="shared" si="223"/>
        <v>81</v>
      </c>
      <c r="D4012" t="str">
        <f>"31"</f>
        <v>31</v>
      </c>
      <c r="E4012" t="str">
        <f>"1-81-31"</f>
        <v>1-81-31</v>
      </c>
      <c r="F4012" t="s">
        <v>65</v>
      </c>
      <c r="G4012" t="s">
        <v>66</v>
      </c>
      <c r="H4012" t="s">
        <v>67</v>
      </c>
      <c r="S4012">
        <v>1</v>
      </c>
      <c r="T4012">
        <v>0</v>
      </c>
      <c r="U4012">
        <v>0</v>
      </c>
      <c r="V4012">
        <v>0</v>
      </c>
      <c r="W4012">
        <v>1</v>
      </c>
      <c r="X4012">
        <v>0</v>
      </c>
      <c r="Y4012">
        <v>1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1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</row>
    <row r="4013" spans="1:39" x14ac:dyDescent="0.2">
      <c r="A4013" t="str">
        <f>"4009"</f>
        <v>4009</v>
      </c>
      <c r="B4013" t="str">
        <f t="shared" si="221"/>
        <v>1</v>
      </c>
      <c r="C4013" t="str">
        <f t="shared" si="223"/>
        <v>81</v>
      </c>
      <c r="D4013" t="str">
        <f>"16"</f>
        <v>16</v>
      </c>
      <c r="E4013" t="str">
        <f>"1-81-16"</f>
        <v>1-81-16</v>
      </c>
      <c r="F4013" t="s">
        <v>65</v>
      </c>
      <c r="G4013" t="s">
        <v>66</v>
      </c>
      <c r="H4013" t="s">
        <v>67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1</v>
      </c>
      <c r="AH4013">
        <v>1</v>
      </c>
      <c r="AI4013">
        <v>1</v>
      </c>
      <c r="AJ4013">
        <v>1</v>
      </c>
      <c r="AK4013">
        <v>1</v>
      </c>
      <c r="AL4013">
        <v>1</v>
      </c>
      <c r="AM4013">
        <v>0</v>
      </c>
    </row>
    <row r="4014" spans="1:39" x14ac:dyDescent="0.2">
      <c r="A4014" t="str">
        <f>"4010"</f>
        <v>4010</v>
      </c>
      <c r="B4014" t="str">
        <f t="shared" si="221"/>
        <v>1</v>
      </c>
      <c r="C4014" t="str">
        <f t="shared" si="223"/>
        <v>81</v>
      </c>
      <c r="D4014" t="str">
        <f>"1"</f>
        <v>1</v>
      </c>
      <c r="E4014" t="str">
        <f>"1-81-1"</f>
        <v>1-81-1</v>
      </c>
      <c r="F4014" t="s">
        <v>65</v>
      </c>
      <c r="G4014" t="s">
        <v>66</v>
      </c>
      <c r="H4014" t="s">
        <v>68</v>
      </c>
      <c r="I4014">
        <v>1</v>
      </c>
      <c r="J4014">
        <v>0</v>
      </c>
      <c r="K4014">
        <v>0</v>
      </c>
      <c r="L4014">
        <v>0</v>
      </c>
      <c r="M4014">
        <v>1</v>
      </c>
      <c r="N4014">
        <v>1</v>
      </c>
      <c r="O4014">
        <v>0</v>
      </c>
      <c r="P4014">
        <v>0</v>
      </c>
      <c r="Q4014">
        <v>0</v>
      </c>
      <c r="R4014">
        <v>0</v>
      </c>
    </row>
    <row r="4015" spans="1:39" x14ac:dyDescent="0.2">
      <c r="A4015" t="str">
        <f>"4011"</f>
        <v>4011</v>
      </c>
      <c r="B4015" t="str">
        <f t="shared" si="221"/>
        <v>1</v>
      </c>
      <c r="C4015" t="str">
        <f t="shared" si="223"/>
        <v>81</v>
      </c>
      <c r="D4015" t="str">
        <f>"38"</f>
        <v>38</v>
      </c>
      <c r="E4015" t="str">
        <f>"1-81-38"</f>
        <v>1-81-38</v>
      </c>
      <c r="F4015" t="s">
        <v>65</v>
      </c>
      <c r="G4015" t="s">
        <v>66</v>
      </c>
      <c r="H4015" t="s">
        <v>67</v>
      </c>
      <c r="S4015">
        <v>0</v>
      </c>
      <c r="T4015">
        <v>1</v>
      </c>
      <c r="U4015">
        <v>0</v>
      </c>
      <c r="V4015">
        <v>0</v>
      </c>
      <c r="W4015">
        <v>0</v>
      </c>
      <c r="X4015">
        <v>1</v>
      </c>
      <c r="Y4015">
        <v>0</v>
      </c>
      <c r="Z4015">
        <v>1</v>
      </c>
      <c r="AA4015">
        <v>0</v>
      </c>
      <c r="AB4015">
        <v>0</v>
      </c>
      <c r="AC4015">
        <v>1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</row>
    <row r="4016" spans="1:39" x14ac:dyDescent="0.2">
      <c r="A4016" t="str">
        <f>"4012"</f>
        <v>4012</v>
      </c>
      <c r="B4016" t="str">
        <f t="shared" si="221"/>
        <v>1</v>
      </c>
      <c r="C4016" t="str">
        <f t="shared" si="223"/>
        <v>81</v>
      </c>
      <c r="D4016" t="str">
        <f>"37"</f>
        <v>37</v>
      </c>
      <c r="E4016" t="str">
        <f>"1-81-37"</f>
        <v>1-81-37</v>
      </c>
      <c r="F4016" t="s">
        <v>65</v>
      </c>
      <c r="G4016" t="s">
        <v>66</v>
      </c>
      <c r="H4016" t="s">
        <v>67</v>
      </c>
      <c r="S4016">
        <v>0</v>
      </c>
      <c r="T4016">
        <v>1</v>
      </c>
      <c r="U4016">
        <v>0</v>
      </c>
      <c r="V4016">
        <v>0</v>
      </c>
      <c r="W4016">
        <v>0</v>
      </c>
      <c r="X4016">
        <v>1</v>
      </c>
      <c r="Y4016">
        <v>0</v>
      </c>
      <c r="Z4016">
        <v>1</v>
      </c>
      <c r="AA4016">
        <v>0</v>
      </c>
      <c r="AB4016">
        <v>0</v>
      </c>
      <c r="AC4016">
        <v>1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</row>
    <row r="4017" spans="1:39" x14ac:dyDescent="0.2">
      <c r="A4017" t="str">
        <f>"4013"</f>
        <v>4013</v>
      </c>
      <c r="B4017" t="str">
        <f t="shared" si="221"/>
        <v>1</v>
      </c>
      <c r="C4017" t="str">
        <f t="shared" si="223"/>
        <v>81</v>
      </c>
      <c r="D4017" t="str">
        <f>"27"</f>
        <v>27</v>
      </c>
      <c r="E4017" t="str">
        <f>"1-81-27"</f>
        <v>1-81-27</v>
      </c>
      <c r="F4017" t="s">
        <v>65</v>
      </c>
      <c r="G4017" t="s">
        <v>66</v>
      </c>
      <c r="H4017" t="s">
        <v>67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1</v>
      </c>
      <c r="Y4017">
        <v>1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</row>
    <row r="4018" spans="1:39" x14ac:dyDescent="0.2">
      <c r="A4018" t="str">
        <f>"4014"</f>
        <v>4014</v>
      </c>
      <c r="B4018" t="str">
        <f t="shared" si="221"/>
        <v>1</v>
      </c>
      <c r="C4018" t="str">
        <f t="shared" si="223"/>
        <v>81</v>
      </c>
      <c r="D4018" t="str">
        <f>"17"</f>
        <v>17</v>
      </c>
      <c r="E4018" t="str">
        <f>"1-81-17"</f>
        <v>1-81-17</v>
      </c>
      <c r="F4018" t="s">
        <v>65</v>
      </c>
      <c r="G4018" t="s">
        <v>66</v>
      </c>
      <c r="H4018" t="s">
        <v>67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0</v>
      </c>
      <c r="AB4018">
        <v>1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</row>
    <row r="4019" spans="1:39" x14ac:dyDescent="0.2">
      <c r="A4019" t="str">
        <f>"4015"</f>
        <v>4015</v>
      </c>
      <c r="B4019" t="str">
        <f t="shared" si="221"/>
        <v>1</v>
      </c>
      <c r="C4019" t="str">
        <f t="shared" si="223"/>
        <v>81</v>
      </c>
      <c r="D4019" t="str">
        <f>"8"</f>
        <v>8</v>
      </c>
      <c r="E4019" t="str">
        <f>"1-81-8"</f>
        <v>1-81-8</v>
      </c>
      <c r="F4019" t="s">
        <v>65</v>
      </c>
      <c r="G4019" t="s">
        <v>66</v>
      </c>
      <c r="H4019" t="s">
        <v>67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1</v>
      </c>
      <c r="Y4019">
        <v>0</v>
      </c>
      <c r="Z4019">
        <v>1</v>
      </c>
      <c r="AA4019">
        <v>0</v>
      </c>
      <c r="AB4019">
        <v>0</v>
      </c>
      <c r="AC4019">
        <v>1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</row>
    <row r="4020" spans="1:39" x14ac:dyDescent="0.2">
      <c r="A4020" t="str">
        <f>"4016"</f>
        <v>4016</v>
      </c>
      <c r="B4020" t="str">
        <f t="shared" si="221"/>
        <v>1</v>
      </c>
      <c r="C4020" t="str">
        <f t="shared" si="223"/>
        <v>81</v>
      </c>
      <c r="D4020" t="str">
        <f>"40"</f>
        <v>40</v>
      </c>
      <c r="E4020" t="str">
        <f>"1-81-40"</f>
        <v>1-81-40</v>
      </c>
      <c r="F4020" t="s">
        <v>65</v>
      </c>
      <c r="G4020" t="s">
        <v>66</v>
      </c>
      <c r="H4020" t="s">
        <v>67</v>
      </c>
      <c r="S4020">
        <v>1</v>
      </c>
      <c r="T4020">
        <v>0</v>
      </c>
      <c r="U4020">
        <v>0</v>
      </c>
      <c r="V4020">
        <v>0</v>
      </c>
      <c r="W4020">
        <v>0</v>
      </c>
      <c r="X4020">
        <v>1</v>
      </c>
      <c r="Y4020">
        <v>1</v>
      </c>
      <c r="Z4020">
        <v>0</v>
      </c>
      <c r="AA4020">
        <v>0</v>
      </c>
      <c r="AB4020">
        <v>1</v>
      </c>
      <c r="AC4020">
        <v>0</v>
      </c>
      <c r="AD4020">
        <v>1</v>
      </c>
      <c r="AE4020">
        <v>1</v>
      </c>
      <c r="AF4020">
        <v>1</v>
      </c>
      <c r="AG4020">
        <v>1</v>
      </c>
      <c r="AH4020">
        <v>1</v>
      </c>
      <c r="AI4020">
        <v>1</v>
      </c>
      <c r="AJ4020">
        <v>1</v>
      </c>
      <c r="AK4020">
        <v>1</v>
      </c>
      <c r="AL4020">
        <v>1</v>
      </c>
      <c r="AM4020">
        <v>1</v>
      </c>
    </row>
    <row r="4021" spans="1:39" x14ac:dyDescent="0.2">
      <c r="A4021" t="str">
        <f>"4017"</f>
        <v>4017</v>
      </c>
      <c r="B4021" t="str">
        <f t="shared" si="221"/>
        <v>1</v>
      </c>
      <c r="C4021" t="str">
        <f t="shared" si="223"/>
        <v>81</v>
      </c>
      <c r="D4021" t="str">
        <f>"39"</f>
        <v>39</v>
      </c>
      <c r="E4021" t="str">
        <f>"1-81-39"</f>
        <v>1-81-39</v>
      </c>
      <c r="F4021" t="s">
        <v>65</v>
      </c>
      <c r="G4021" t="s">
        <v>66</v>
      </c>
      <c r="H4021" t="s">
        <v>67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</row>
    <row r="4022" spans="1:39" x14ac:dyDescent="0.2">
      <c r="A4022" t="str">
        <f>"4018"</f>
        <v>4018</v>
      </c>
      <c r="B4022" t="str">
        <f t="shared" si="221"/>
        <v>1</v>
      </c>
      <c r="C4022" t="str">
        <f t="shared" si="223"/>
        <v>81</v>
      </c>
      <c r="D4022" t="str">
        <f>"26"</f>
        <v>26</v>
      </c>
      <c r="E4022" t="str">
        <f>"1-81-26"</f>
        <v>1-81-26</v>
      </c>
      <c r="F4022" t="s">
        <v>65</v>
      </c>
      <c r="G4022" t="s">
        <v>66</v>
      </c>
      <c r="H4022" t="s">
        <v>67</v>
      </c>
      <c r="S4022">
        <v>0</v>
      </c>
      <c r="T4022">
        <v>1</v>
      </c>
      <c r="U4022">
        <v>0</v>
      </c>
      <c r="V4022">
        <v>0</v>
      </c>
      <c r="W4022">
        <v>0</v>
      </c>
      <c r="X4022">
        <v>1</v>
      </c>
      <c r="Y4022">
        <v>1</v>
      </c>
      <c r="Z4022">
        <v>0</v>
      </c>
      <c r="AA4022">
        <v>0</v>
      </c>
      <c r="AB4022">
        <v>1</v>
      </c>
      <c r="AC4022">
        <v>0</v>
      </c>
      <c r="AD4022">
        <v>1</v>
      </c>
      <c r="AE4022">
        <v>1</v>
      </c>
      <c r="AF4022">
        <v>1</v>
      </c>
      <c r="AG4022">
        <v>1</v>
      </c>
      <c r="AH4022">
        <v>1</v>
      </c>
      <c r="AI4022">
        <v>1</v>
      </c>
      <c r="AJ4022">
        <v>1</v>
      </c>
      <c r="AK4022">
        <v>1</v>
      </c>
      <c r="AL4022">
        <v>1</v>
      </c>
      <c r="AM4022">
        <v>1</v>
      </c>
    </row>
    <row r="4023" spans="1:39" x14ac:dyDescent="0.2">
      <c r="A4023" t="str">
        <f>"4019"</f>
        <v>4019</v>
      </c>
      <c r="B4023" t="str">
        <f t="shared" ref="B4023:B4086" si="224">"1"</f>
        <v>1</v>
      </c>
      <c r="C4023" t="str">
        <f t="shared" si="223"/>
        <v>81</v>
      </c>
      <c r="D4023" t="str">
        <f>"18"</f>
        <v>18</v>
      </c>
      <c r="E4023" t="str">
        <f>"1-81-18"</f>
        <v>1-81-18</v>
      </c>
      <c r="F4023" t="s">
        <v>65</v>
      </c>
      <c r="G4023" t="s">
        <v>66</v>
      </c>
      <c r="H4023" t="s">
        <v>67</v>
      </c>
      <c r="S4023">
        <v>1</v>
      </c>
      <c r="T4023">
        <v>0</v>
      </c>
      <c r="U4023">
        <v>0</v>
      </c>
      <c r="V4023">
        <v>0</v>
      </c>
      <c r="W4023">
        <v>1</v>
      </c>
      <c r="X4023">
        <v>0</v>
      </c>
      <c r="Y4023">
        <v>0</v>
      </c>
      <c r="Z4023">
        <v>1</v>
      </c>
      <c r="AA4023">
        <v>1</v>
      </c>
      <c r="AB4023">
        <v>0</v>
      </c>
      <c r="AC4023">
        <v>0</v>
      </c>
      <c r="AD4023">
        <v>1</v>
      </c>
      <c r="AE4023">
        <v>1</v>
      </c>
      <c r="AF4023">
        <v>1</v>
      </c>
      <c r="AG4023">
        <v>1</v>
      </c>
      <c r="AH4023">
        <v>1</v>
      </c>
      <c r="AI4023">
        <v>1</v>
      </c>
      <c r="AJ4023">
        <v>1</v>
      </c>
      <c r="AK4023">
        <v>1</v>
      </c>
      <c r="AL4023">
        <v>1</v>
      </c>
      <c r="AM4023">
        <v>1</v>
      </c>
    </row>
    <row r="4024" spans="1:39" x14ac:dyDescent="0.2">
      <c r="A4024" t="str">
        <f>"4020"</f>
        <v>4020</v>
      </c>
      <c r="B4024" t="str">
        <f t="shared" si="224"/>
        <v>1</v>
      </c>
      <c r="C4024" t="str">
        <f t="shared" si="223"/>
        <v>81</v>
      </c>
      <c r="D4024" t="str">
        <f>"14"</f>
        <v>14</v>
      </c>
      <c r="E4024" t="str">
        <f>"1-81-14"</f>
        <v>1-81-14</v>
      </c>
      <c r="F4024" t="s">
        <v>65</v>
      </c>
      <c r="G4024" t="s">
        <v>66</v>
      </c>
      <c r="H4024" t="s">
        <v>67</v>
      </c>
      <c r="S4024">
        <v>0</v>
      </c>
      <c r="T4024">
        <v>1</v>
      </c>
      <c r="U4024">
        <v>0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0</v>
      </c>
      <c r="AB4024">
        <v>0</v>
      </c>
      <c r="AC4024">
        <v>1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</row>
    <row r="4025" spans="1:39" x14ac:dyDescent="0.2">
      <c r="A4025" t="str">
        <f>"4021"</f>
        <v>4021</v>
      </c>
      <c r="B4025" t="str">
        <f t="shared" si="224"/>
        <v>1</v>
      </c>
      <c r="C4025" t="str">
        <f t="shared" si="223"/>
        <v>81</v>
      </c>
      <c r="D4025" t="str">
        <f>"49"</f>
        <v>49</v>
      </c>
      <c r="E4025" t="str">
        <f>"1-81-49"</f>
        <v>1-81-49</v>
      </c>
      <c r="F4025" t="s">
        <v>65</v>
      </c>
      <c r="G4025" t="s">
        <v>66</v>
      </c>
      <c r="H4025" t="s">
        <v>67</v>
      </c>
      <c r="S4025">
        <v>0</v>
      </c>
      <c r="T4025">
        <v>1</v>
      </c>
      <c r="U4025">
        <v>0</v>
      </c>
      <c r="V4025">
        <v>0</v>
      </c>
      <c r="W4025">
        <v>1</v>
      </c>
      <c r="X4025">
        <v>0</v>
      </c>
      <c r="Y4025">
        <v>0</v>
      </c>
      <c r="Z4025">
        <v>1</v>
      </c>
      <c r="AA4025">
        <v>0</v>
      </c>
      <c r="AB4025">
        <v>0</v>
      </c>
      <c r="AC4025">
        <v>1</v>
      </c>
      <c r="AD4025">
        <v>1</v>
      </c>
      <c r="AE4025">
        <v>1</v>
      </c>
      <c r="AF4025">
        <v>1</v>
      </c>
      <c r="AG4025">
        <v>1</v>
      </c>
      <c r="AH4025">
        <v>1</v>
      </c>
      <c r="AI4025">
        <v>1</v>
      </c>
      <c r="AJ4025">
        <v>1</v>
      </c>
      <c r="AK4025">
        <v>1</v>
      </c>
      <c r="AL4025">
        <v>1</v>
      </c>
      <c r="AM4025">
        <v>1</v>
      </c>
    </row>
    <row r="4026" spans="1:39" x14ac:dyDescent="0.2">
      <c r="A4026" t="str">
        <f>"4022"</f>
        <v>4022</v>
      </c>
      <c r="B4026" t="str">
        <f t="shared" si="224"/>
        <v>1</v>
      </c>
      <c r="C4026" t="str">
        <f t="shared" si="223"/>
        <v>81</v>
      </c>
      <c r="D4026" t="str">
        <f>"33"</f>
        <v>33</v>
      </c>
      <c r="E4026" t="str">
        <f>"1-81-33"</f>
        <v>1-81-33</v>
      </c>
      <c r="F4026" t="s">
        <v>65</v>
      </c>
      <c r="G4026" t="s">
        <v>66</v>
      </c>
      <c r="H4026" t="s">
        <v>67</v>
      </c>
      <c r="S4026">
        <v>0</v>
      </c>
      <c r="T4026">
        <v>1</v>
      </c>
      <c r="U4026">
        <v>0</v>
      </c>
      <c r="V4026">
        <v>0</v>
      </c>
      <c r="W4026">
        <v>1</v>
      </c>
      <c r="X4026">
        <v>0</v>
      </c>
      <c r="Y4026">
        <v>0</v>
      </c>
      <c r="Z4026">
        <v>1</v>
      </c>
      <c r="AA4026">
        <v>0</v>
      </c>
      <c r="AB4026">
        <v>1</v>
      </c>
      <c r="AC4026">
        <v>0</v>
      </c>
      <c r="AD4026">
        <v>1</v>
      </c>
      <c r="AE4026">
        <v>1</v>
      </c>
      <c r="AF4026">
        <v>1</v>
      </c>
      <c r="AG4026">
        <v>1</v>
      </c>
      <c r="AH4026">
        <v>1</v>
      </c>
      <c r="AI4026">
        <v>1</v>
      </c>
      <c r="AJ4026">
        <v>1</v>
      </c>
      <c r="AK4026">
        <v>1</v>
      </c>
      <c r="AL4026">
        <v>1</v>
      </c>
      <c r="AM4026">
        <v>1</v>
      </c>
    </row>
    <row r="4027" spans="1:39" x14ac:dyDescent="0.2">
      <c r="A4027" t="str">
        <f>"4023"</f>
        <v>4023</v>
      </c>
      <c r="B4027" t="str">
        <f t="shared" si="224"/>
        <v>1</v>
      </c>
      <c r="C4027" t="str">
        <f t="shared" si="223"/>
        <v>81</v>
      </c>
      <c r="D4027" t="str">
        <f>"19"</f>
        <v>19</v>
      </c>
      <c r="E4027" t="str">
        <f>"1-81-19"</f>
        <v>1-81-19</v>
      </c>
      <c r="F4027" t="s">
        <v>65</v>
      </c>
      <c r="G4027" t="s">
        <v>66</v>
      </c>
      <c r="H4027" t="s">
        <v>67</v>
      </c>
      <c r="S4027">
        <v>1</v>
      </c>
      <c r="T4027">
        <v>0</v>
      </c>
      <c r="U4027">
        <v>0</v>
      </c>
      <c r="V4027">
        <v>0</v>
      </c>
      <c r="W4027">
        <v>1</v>
      </c>
      <c r="X4027">
        <v>0</v>
      </c>
      <c r="Y4027">
        <v>0</v>
      </c>
      <c r="Z4027">
        <v>1</v>
      </c>
      <c r="AA4027">
        <v>0</v>
      </c>
      <c r="AB4027">
        <v>0</v>
      </c>
      <c r="AC4027">
        <v>0</v>
      </c>
      <c r="AD4027">
        <v>1</v>
      </c>
      <c r="AE4027">
        <v>1</v>
      </c>
      <c r="AF4027">
        <v>1</v>
      </c>
      <c r="AG4027">
        <v>1</v>
      </c>
      <c r="AH4027">
        <v>1</v>
      </c>
      <c r="AI4027">
        <v>1</v>
      </c>
      <c r="AJ4027">
        <v>1</v>
      </c>
      <c r="AK4027">
        <v>1</v>
      </c>
      <c r="AL4027">
        <v>1</v>
      </c>
      <c r="AM4027">
        <v>1</v>
      </c>
    </row>
    <row r="4028" spans="1:39" x14ac:dyDescent="0.2">
      <c r="A4028" t="str">
        <f>"4024"</f>
        <v>4024</v>
      </c>
      <c r="B4028" t="str">
        <f t="shared" si="224"/>
        <v>1</v>
      </c>
      <c r="C4028" t="str">
        <f t="shared" si="223"/>
        <v>81</v>
      </c>
      <c r="D4028" t="str">
        <f>"5"</f>
        <v>5</v>
      </c>
      <c r="E4028" t="str">
        <f>"1-81-5"</f>
        <v>1-81-5</v>
      </c>
      <c r="F4028" t="s">
        <v>65</v>
      </c>
      <c r="G4028" t="s">
        <v>66</v>
      </c>
      <c r="H4028" t="s">
        <v>68</v>
      </c>
      <c r="I4028">
        <v>1</v>
      </c>
      <c r="J4028">
        <v>1</v>
      </c>
      <c r="K4028">
        <v>0</v>
      </c>
      <c r="L4028">
        <v>0</v>
      </c>
      <c r="M4028">
        <v>1</v>
      </c>
      <c r="N4028">
        <v>1</v>
      </c>
      <c r="O4028">
        <v>1</v>
      </c>
      <c r="P4028">
        <v>1</v>
      </c>
      <c r="Q4028">
        <v>1</v>
      </c>
      <c r="R4028">
        <v>1</v>
      </c>
    </row>
    <row r="4029" spans="1:39" x14ac:dyDescent="0.2">
      <c r="A4029" t="str">
        <f>"4025"</f>
        <v>4025</v>
      </c>
      <c r="B4029" t="str">
        <f t="shared" si="224"/>
        <v>1</v>
      </c>
      <c r="C4029" t="str">
        <f t="shared" si="223"/>
        <v>81</v>
      </c>
      <c r="D4029" t="str">
        <f>"36"</f>
        <v>36</v>
      </c>
      <c r="E4029" t="str">
        <f>"1-81-36"</f>
        <v>1-81-36</v>
      </c>
      <c r="F4029" t="s">
        <v>65</v>
      </c>
      <c r="G4029" t="s">
        <v>66</v>
      </c>
      <c r="H4029" t="s">
        <v>67</v>
      </c>
      <c r="S4029">
        <v>0</v>
      </c>
      <c r="T4029">
        <v>1</v>
      </c>
      <c r="U4029">
        <v>0</v>
      </c>
      <c r="V4029">
        <v>0</v>
      </c>
      <c r="W4029">
        <v>0</v>
      </c>
      <c r="X4029">
        <v>1</v>
      </c>
      <c r="Y4029">
        <v>0</v>
      </c>
      <c r="Z4029">
        <v>1</v>
      </c>
      <c r="AA4029">
        <v>0</v>
      </c>
      <c r="AB4029">
        <v>1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</row>
    <row r="4030" spans="1:39" x14ac:dyDescent="0.2">
      <c r="A4030" t="str">
        <f>"4026"</f>
        <v>4026</v>
      </c>
      <c r="B4030" t="str">
        <f t="shared" si="224"/>
        <v>1</v>
      </c>
      <c r="C4030" t="str">
        <f t="shared" si="223"/>
        <v>81</v>
      </c>
      <c r="D4030" t="str">
        <f>"20"</f>
        <v>20</v>
      </c>
      <c r="E4030" t="str">
        <f>"1-81-20"</f>
        <v>1-81-20</v>
      </c>
      <c r="F4030" t="s">
        <v>65</v>
      </c>
      <c r="G4030" t="s">
        <v>66</v>
      </c>
      <c r="H4030" t="s">
        <v>67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</row>
    <row r="4031" spans="1:39" x14ac:dyDescent="0.2">
      <c r="A4031" t="str">
        <f>"4027"</f>
        <v>4027</v>
      </c>
      <c r="B4031" t="str">
        <f t="shared" si="224"/>
        <v>1</v>
      </c>
      <c r="C4031" t="str">
        <f t="shared" si="223"/>
        <v>81</v>
      </c>
      <c r="D4031" t="str">
        <f>"10"</f>
        <v>10</v>
      </c>
      <c r="E4031" t="str">
        <f>"1-81-10"</f>
        <v>1-81-10</v>
      </c>
      <c r="F4031" t="s">
        <v>65</v>
      </c>
      <c r="G4031" t="s">
        <v>66</v>
      </c>
      <c r="H4031" t="s">
        <v>67</v>
      </c>
      <c r="S4031">
        <v>0</v>
      </c>
      <c r="T4031">
        <v>1</v>
      </c>
      <c r="U4031">
        <v>0</v>
      </c>
      <c r="V4031">
        <v>0</v>
      </c>
      <c r="W4031">
        <v>0</v>
      </c>
      <c r="X4031">
        <v>1</v>
      </c>
      <c r="Y4031">
        <v>0</v>
      </c>
      <c r="Z4031">
        <v>1</v>
      </c>
      <c r="AA4031">
        <v>0</v>
      </c>
      <c r="AB4031">
        <v>1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</row>
    <row r="4032" spans="1:39" x14ac:dyDescent="0.2">
      <c r="A4032" t="str">
        <f>"4028"</f>
        <v>4028</v>
      </c>
      <c r="B4032" t="str">
        <f t="shared" si="224"/>
        <v>1</v>
      </c>
      <c r="C4032" t="str">
        <f t="shared" si="223"/>
        <v>81</v>
      </c>
      <c r="D4032" t="str">
        <f>"42"</f>
        <v>42</v>
      </c>
      <c r="E4032" t="str">
        <f>"1-81-42"</f>
        <v>1-81-42</v>
      </c>
      <c r="F4032" t="s">
        <v>65</v>
      </c>
      <c r="G4032" t="s">
        <v>66</v>
      </c>
      <c r="H4032" t="s">
        <v>67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</row>
    <row r="4033" spans="1:39" x14ac:dyDescent="0.2">
      <c r="A4033" t="str">
        <f>"4029"</f>
        <v>4029</v>
      </c>
      <c r="B4033" t="str">
        <f t="shared" si="224"/>
        <v>1</v>
      </c>
      <c r="C4033" t="str">
        <f t="shared" si="223"/>
        <v>81</v>
      </c>
      <c r="D4033" t="str">
        <f>"21"</f>
        <v>21</v>
      </c>
      <c r="E4033" t="str">
        <f>"1-81-21"</f>
        <v>1-81-21</v>
      </c>
      <c r="F4033" t="s">
        <v>65</v>
      </c>
      <c r="G4033" t="s">
        <v>66</v>
      </c>
      <c r="H4033" t="s">
        <v>67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0</v>
      </c>
      <c r="AB4033">
        <v>0</v>
      </c>
      <c r="AC4033">
        <v>1</v>
      </c>
      <c r="AD4033">
        <v>0</v>
      </c>
      <c r="AE4033">
        <v>1</v>
      </c>
      <c r="AF4033">
        <v>1</v>
      </c>
      <c r="AG4033">
        <v>1</v>
      </c>
      <c r="AH4033">
        <v>1</v>
      </c>
      <c r="AI4033">
        <v>1</v>
      </c>
      <c r="AJ4033">
        <v>1</v>
      </c>
      <c r="AK4033">
        <v>1</v>
      </c>
      <c r="AL4033">
        <v>1</v>
      </c>
      <c r="AM4033">
        <v>1</v>
      </c>
    </row>
    <row r="4034" spans="1:39" x14ac:dyDescent="0.2">
      <c r="A4034" t="str">
        <f>"4030"</f>
        <v>4030</v>
      </c>
      <c r="B4034" t="str">
        <f t="shared" si="224"/>
        <v>1</v>
      </c>
      <c r="C4034" t="str">
        <f t="shared" si="223"/>
        <v>81</v>
      </c>
      <c r="D4034" t="str">
        <f>"2"</f>
        <v>2</v>
      </c>
      <c r="E4034" t="str">
        <f>"1-81-2"</f>
        <v>1-81-2</v>
      </c>
      <c r="F4034" t="s">
        <v>65</v>
      </c>
      <c r="G4034" t="s">
        <v>66</v>
      </c>
      <c r="H4034" t="s">
        <v>68</v>
      </c>
      <c r="I4034">
        <v>1</v>
      </c>
      <c r="J4034">
        <v>0</v>
      </c>
      <c r="K4034">
        <v>0</v>
      </c>
      <c r="L4034">
        <v>0</v>
      </c>
      <c r="M4034">
        <v>1</v>
      </c>
      <c r="N4034">
        <v>1</v>
      </c>
      <c r="O4034">
        <v>0</v>
      </c>
      <c r="P4034">
        <v>0</v>
      </c>
      <c r="Q4034">
        <v>0</v>
      </c>
      <c r="R4034">
        <v>0</v>
      </c>
    </row>
    <row r="4035" spans="1:39" x14ac:dyDescent="0.2">
      <c r="A4035" t="str">
        <f>"4031"</f>
        <v>4031</v>
      </c>
      <c r="B4035" t="str">
        <f t="shared" si="224"/>
        <v>1</v>
      </c>
      <c r="C4035" t="str">
        <f t="shared" si="223"/>
        <v>81</v>
      </c>
      <c r="D4035" t="str">
        <f>"41"</f>
        <v>41</v>
      </c>
      <c r="E4035" t="str">
        <f>"1-81-41"</f>
        <v>1-81-41</v>
      </c>
      <c r="F4035" t="s">
        <v>65</v>
      </c>
      <c r="G4035" t="s">
        <v>66</v>
      </c>
      <c r="H4035" t="s">
        <v>67</v>
      </c>
      <c r="S4035">
        <v>1</v>
      </c>
      <c r="T4035">
        <v>0</v>
      </c>
      <c r="U4035">
        <v>0</v>
      </c>
      <c r="V4035">
        <v>0</v>
      </c>
      <c r="W4035">
        <v>1</v>
      </c>
      <c r="X4035">
        <v>0</v>
      </c>
      <c r="Y4035">
        <v>1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1</v>
      </c>
      <c r="AF4035">
        <v>1</v>
      </c>
      <c r="AG4035">
        <v>1</v>
      </c>
      <c r="AH4035">
        <v>1</v>
      </c>
      <c r="AI4035">
        <v>1</v>
      </c>
      <c r="AJ4035">
        <v>1</v>
      </c>
      <c r="AK4035">
        <v>1</v>
      </c>
      <c r="AL4035">
        <v>1</v>
      </c>
      <c r="AM4035">
        <v>1</v>
      </c>
    </row>
    <row r="4036" spans="1:39" x14ac:dyDescent="0.2">
      <c r="A4036" t="str">
        <f>"4032"</f>
        <v>4032</v>
      </c>
      <c r="B4036" t="str">
        <f t="shared" si="224"/>
        <v>1</v>
      </c>
      <c r="C4036" t="str">
        <f t="shared" si="223"/>
        <v>81</v>
      </c>
      <c r="D4036" t="str">
        <f>"22"</f>
        <v>22</v>
      </c>
      <c r="E4036" t="str">
        <f>"1-81-22"</f>
        <v>1-81-22</v>
      </c>
      <c r="F4036" t="s">
        <v>65</v>
      </c>
      <c r="G4036" t="s">
        <v>66</v>
      </c>
      <c r="H4036" t="s">
        <v>67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1</v>
      </c>
      <c r="Y4036">
        <v>1</v>
      </c>
      <c r="Z4036">
        <v>0</v>
      </c>
      <c r="AA4036">
        <v>0</v>
      </c>
      <c r="AB4036">
        <v>1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</row>
    <row r="4037" spans="1:39" x14ac:dyDescent="0.2">
      <c r="A4037" t="str">
        <f>"4033"</f>
        <v>4033</v>
      </c>
      <c r="B4037" t="str">
        <f t="shared" si="224"/>
        <v>1</v>
      </c>
      <c r="C4037" t="str">
        <f t="shared" ref="C4037:C4054" si="225">"81"</f>
        <v>81</v>
      </c>
      <c r="D4037" t="str">
        <f>"4"</f>
        <v>4</v>
      </c>
      <c r="E4037" t="str">
        <f>"1-81-4"</f>
        <v>1-81-4</v>
      </c>
      <c r="F4037" t="s">
        <v>65</v>
      </c>
      <c r="G4037" t="s">
        <v>66</v>
      </c>
      <c r="H4037" t="s">
        <v>68</v>
      </c>
      <c r="I4037">
        <v>1</v>
      </c>
      <c r="J4037">
        <v>0</v>
      </c>
      <c r="K4037">
        <v>0</v>
      </c>
      <c r="L4037">
        <v>1</v>
      </c>
      <c r="M4037">
        <v>1</v>
      </c>
      <c r="N4037">
        <v>1</v>
      </c>
      <c r="O4037">
        <v>1</v>
      </c>
      <c r="P4037">
        <v>1</v>
      </c>
      <c r="Q4037">
        <v>1</v>
      </c>
      <c r="R4037">
        <v>1</v>
      </c>
    </row>
    <row r="4038" spans="1:39" x14ac:dyDescent="0.2">
      <c r="A4038" t="str">
        <f>"4034"</f>
        <v>4034</v>
      </c>
      <c r="B4038" t="str">
        <f t="shared" si="224"/>
        <v>1</v>
      </c>
      <c r="C4038" t="str">
        <f t="shared" si="225"/>
        <v>81</v>
      </c>
      <c r="D4038" t="str">
        <f>"45"</f>
        <v>45</v>
      </c>
      <c r="E4038" t="str">
        <f>"1-81-45"</f>
        <v>1-81-45</v>
      </c>
      <c r="F4038" t="s">
        <v>65</v>
      </c>
      <c r="G4038" t="s">
        <v>66</v>
      </c>
      <c r="H4038" t="s">
        <v>67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1</v>
      </c>
      <c r="Y4038">
        <v>0</v>
      </c>
      <c r="Z4038">
        <v>1</v>
      </c>
      <c r="AA4038">
        <v>0</v>
      </c>
      <c r="AB4038">
        <v>0</v>
      </c>
      <c r="AC4038">
        <v>1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</row>
    <row r="4039" spans="1:39" x14ac:dyDescent="0.2">
      <c r="A4039" t="str">
        <f>"4035"</f>
        <v>4035</v>
      </c>
      <c r="B4039" t="str">
        <f t="shared" si="224"/>
        <v>1</v>
      </c>
      <c r="C4039" t="str">
        <f t="shared" si="225"/>
        <v>81</v>
      </c>
      <c r="D4039" t="str">
        <f>"24"</f>
        <v>24</v>
      </c>
      <c r="E4039" t="str">
        <f>"1-81-24"</f>
        <v>1-81-24</v>
      </c>
      <c r="F4039" t="s">
        <v>65</v>
      </c>
      <c r="G4039" t="s">
        <v>66</v>
      </c>
      <c r="H4039" t="s">
        <v>67</v>
      </c>
      <c r="S4039">
        <v>1</v>
      </c>
      <c r="T4039">
        <v>0</v>
      </c>
      <c r="U4039">
        <v>0</v>
      </c>
      <c r="V4039">
        <v>0</v>
      </c>
      <c r="W4039">
        <v>1</v>
      </c>
      <c r="X4039">
        <v>0</v>
      </c>
      <c r="Y4039">
        <v>0</v>
      </c>
      <c r="Z4039">
        <v>1</v>
      </c>
      <c r="AA4039">
        <v>0</v>
      </c>
      <c r="AB4039">
        <v>0</v>
      </c>
      <c r="AC4039">
        <v>1</v>
      </c>
      <c r="AD4039">
        <v>1</v>
      </c>
      <c r="AE4039">
        <v>1</v>
      </c>
      <c r="AF4039">
        <v>1</v>
      </c>
      <c r="AG4039">
        <v>1</v>
      </c>
      <c r="AH4039">
        <v>1</v>
      </c>
      <c r="AI4039">
        <v>1</v>
      </c>
      <c r="AJ4039">
        <v>1</v>
      </c>
      <c r="AK4039">
        <v>1</v>
      </c>
      <c r="AL4039">
        <v>1</v>
      </c>
      <c r="AM4039">
        <v>1</v>
      </c>
    </row>
    <row r="4040" spans="1:39" x14ac:dyDescent="0.2">
      <c r="A4040" t="str">
        <f>"4036"</f>
        <v>4036</v>
      </c>
      <c r="B4040" t="str">
        <f t="shared" si="224"/>
        <v>1</v>
      </c>
      <c r="C4040" t="str">
        <f t="shared" si="225"/>
        <v>81</v>
      </c>
      <c r="D4040" t="str">
        <f>"9"</f>
        <v>9</v>
      </c>
      <c r="E4040" t="str">
        <f>"1-81-9"</f>
        <v>1-81-9</v>
      </c>
      <c r="F4040" t="s">
        <v>65</v>
      </c>
      <c r="G4040" t="s">
        <v>66</v>
      </c>
      <c r="H4040" t="s">
        <v>67</v>
      </c>
      <c r="S4040">
        <v>0</v>
      </c>
      <c r="T4040">
        <v>1</v>
      </c>
      <c r="U4040">
        <v>0</v>
      </c>
      <c r="V4040">
        <v>0</v>
      </c>
      <c r="W4040">
        <v>0</v>
      </c>
      <c r="X4040">
        <v>1</v>
      </c>
      <c r="Y4040">
        <v>0</v>
      </c>
      <c r="Z4040">
        <v>1</v>
      </c>
      <c r="AA4040">
        <v>0</v>
      </c>
      <c r="AB4040">
        <v>0</v>
      </c>
      <c r="AC4040">
        <v>1</v>
      </c>
      <c r="AD4040">
        <v>0</v>
      </c>
      <c r="AE4040">
        <v>0</v>
      </c>
      <c r="AF4040">
        <v>0</v>
      </c>
      <c r="AG4040">
        <v>0</v>
      </c>
      <c r="AH4040">
        <v>1</v>
      </c>
      <c r="AI4040">
        <v>1</v>
      </c>
      <c r="AJ4040">
        <v>1</v>
      </c>
      <c r="AK4040">
        <v>0</v>
      </c>
      <c r="AL4040">
        <v>1</v>
      </c>
      <c r="AM4040">
        <v>0</v>
      </c>
    </row>
    <row r="4041" spans="1:39" x14ac:dyDescent="0.2">
      <c r="A4041" t="str">
        <f>"4037"</f>
        <v>4037</v>
      </c>
      <c r="B4041" t="str">
        <f t="shared" si="224"/>
        <v>1</v>
      </c>
      <c r="C4041" t="str">
        <f t="shared" si="225"/>
        <v>81</v>
      </c>
      <c r="D4041" t="str">
        <f>"46"</f>
        <v>46</v>
      </c>
      <c r="E4041" t="str">
        <f>"1-81-46"</f>
        <v>1-81-46</v>
      </c>
      <c r="F4041" t="s">
        <v>65</v>
      </c>
      <c r="G4041" t="s">
        <v>66</v>
      </c>
      <c r="H4041" t="s">
        <v>67</v>
      </c>
      <c r="S4041">
        <v>0</v>
      </c>
      <c r="T4041">
        <v>1</v>
      </c>
      <c r="U4041">
        <v>0</v>
      </c>
      <c r="V4041">
        <v>0</v>
      </c>
      <c r="W4041">
        <v>0</v>
      </c>
      <c r="X4041">
        <v>1</v>
      </c>
      <c r="Y4041">
        <v>0</v>
      </c>
      <c r="Z4041">
        <v>1</v>
      </c>
      <c r="AA4041">
        <v>0</v>
      </c>
      <c r="AB4041">
        <v>0</v>
      </c>
      <c r="AC4041">
        <v>1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</row>
    <row r="4042" spans="1:39" x14ac:dyDescent="0.2">
      <c r="A4042" t="str">
        <f>"4038"</f>
        <v>4038</v>
      </c>
      <c r="B4042" t="str">
        <f t="shared" si="224"/>
        <v>1</v>
      </c>
      <c r="C4042" t="str">
        <f t="shared" si="225"/>
        <v>81</v>
      </c>
      <c r="D4042" t="str">
        <f>"25"</f>
        <v>25</v>
      </c>
      <c r="E4042" t="str">
        <f>"1-81-25"</f>
        <v>1-81-25</v>
      </c>
      <c r="F4042" t="s">
        <v>65</v>
      </c>
      <c r="G4042" t="s">
        <v>66</v>
      </c>
      <c r="H4042" t="s">
        <v>67</v>
      </c>
      <c r="S4042">
        <v>1</v>
      </c>
      <c r="T4042">
        <v>0</v>
      </c>
      <c r="U4042">
        <v>0</v>
      </c>
      <c r="V4042">
        <v>0</v>
      </c>
      <c r="W4042">
        <v>0</v>
      </c>
      <c r="X4042">
        <v>1</v>
      </c>
      <c r="Y4042">
        <v>1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1</v>
      </c>
      <c r="AF4042">
        <v>1</v>
      </c>
      <c r="AG4042">
        <v>1</v>
      </c>
      <c r="AH4042">
        <v>1</v>
      </c>
      <c r="AI4042">
        <v>1</v>
      </c>
      <c r="AJ4042">
        <v>1</v>
      </c>
      <c r="AK4042">
        <v>1</v>
      </c>
      <c r="AL4042">
        <v>1</v>
      </c>
      <c r="AM4042">
        <v>1</v>
      </c>
    </row>
    <row r="4043" spans="1:39" x14ac:dyDescent="0.2">
      <c r="A4043" t="str">
        <f>"4039"</f>
        <v>4039</v>
      </c>
      <c r="B4043" t="str">
        <f t="shared" si="224"/>
        <v>1</v>
      </c>
      <c r="C4043" t="str">
        <f t="shared" si="225"/>
        <v>81</v>
      </c>
      <c r="D4043" t="str">
        <f>"12"</f>
        <v>12</v>
      </c>
      <c r="E4043" t="str">
        <f>"1-81-12"</f>
        <v>1-81-12</v>
      </c>
      <c r="F4043" t="s">
        <v>65</v>
      </c>
      <c r="G4043" t="s">
        <v>66</v>
      </c>
      <c r="H4043" t="s">
        <v>67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1</v>
      </c>
      <c r="Y4043">
        <v>0</v>
      </c>
      <c r="Z4043">
        <v>1</v>
      </c>
      <c r="AA4043">
        <v>0</v>
      </c>
      <c r="AB4043">
        <v>1</v>
      </c>
      <c r="AC4043">
        <v>0</v>
      </c>
      <c r="AD4043">
        <v>0</v>
      </c>
      <c r="AE4043">
        <v>0</v>
      </c>
      <c r="AF4043">
        <v>0</v>
      </c>
      <c r="AG4043">
        <v>1</v>
      </c>
      <c r="AH4043">
        <v>1</v>
      </c>
      <c r="AI4043">
        <v>1</v>
      </c>
      <c r="AJ4043">
        <v>1</v>
      </c>
      <c r="AK4043">
        <v>1</v>
      </c>
      <c r="AL4043">
        <v>1</v>
      </c>
      <c r="AM4043">
        <v>1</v>
      </c>
    </row>
    <row r="4044" spans="1:39" x14ac:dyDescent="0.2">
      <c r="A4044" t="str">
        <f>"4040"</f>
        <v>4040</v>
      </c>
      <c r="B4044" t="str">
        <f t="shared" si="224"/>
        <v>1</v>
      </c>
      <c r="C4044" t="str">
        <f t="shared" si="225"/>
        <v>81</v>
      </c>
      <c r="D4044" t="str">
        <f>"28"</f>
        <v>28</v>
      </c>
      <c r="E4044" t="str">
        <f>"1-81-28"</f>
        <v>1-81-28</v>
      </c>
      <c r="F4044" t="s">
        <v>65</v>
      </c>
      <c r="G4044" t="s">
        <v>66</v>
      </c>
      <c r="H4044" t="s">
        <v>67</v>
      </c>
      <c r="S4044">
        <v>1</v>
      </c>
      <c r="T4044">
        <v>0</v>
      </c>
      <c r="U4044">
        <v>0</v>
      </c>
      <c r="V4044">
        <v>0</v>
      </c>
      <c r="W4044">
        <v>1</v>
      </c>
      <c r="X4044">
        <v>0</v>
      </c>
      <c r="Y4044">
        <v>1</v>
      </c>
      <c r="Z4044">
        <v>0</v>
      </c>
      <c r="AA4044">
        <v>0</v>
      </c>
      <c r="AB4044">
        <v>1</v>
      </c>
      <c r="AC4044">
        <v>0</v>
      </c>
      <c r="AD4044">
        <v>1</v>
      </c>
      <c r="AE4044">
        <v>1</v>
      </c>
      <c r="AF4044">
        <v>1</v>
      </c>
      <c r="AG4044">
        <v>0</v>
      </c>
      <c r="AH4044">
        <v>1</v>
      </c>
      <c r="AI4044">
        <v>1</v>
      </c>
      <c r="AJ4044">
        <v>1</v>
      </c>
      <c r="AK4044">
        <v>1</v>
      </c>
      <c r="AL4044">
        <v>1</v>
      </c>
      <c r="AM4044">
        <v>1</v>
      </c>
    </row>
    <row r="4045" spans="1:39" x14ac:dyDescent="0.2">
      <c r="A4045" t="str">
        <f>"4041"</f>
        <v>4041</v>
      </c>
      <c r="B4045" t="str">
        <f t="shared" si="224"/>
        <v>1</v>
      </c>
      <c r="C4045" t="str">
        <f t="shared" si="225"/>
        <v>81</v>
      </c>
      <c r="D4045" t="str">
        <f>"11"</f>
        <v>11</v>
      </c>
      <c r="E4045" t="str">
        <f>"1-81-11"</f>
        <v>1-81-11</v>
      </c>
      <c r="F4045" t="s">
        <v>65</v>
      </c>
      <c r="G4045" t="s">
        <v>66</v>
      </c>
      <c r="H4045" t="s">
        <v>67</v>
      </c>
      <c r="S4045">
        <v>1</v>
      </c>
      <c r="T4045">
        <v>0</v>
      </c>
      <c r="U4045">
        <v>0</v>
      </c>
      <c r="V4045">
        <v>0</v>
      </c>
      <c r="W4045">
        <v>1</v>
      </c>
      <c r="X4045">
        <v>0</v>
      </c>
      <c r="Y4045">
        <v>1</v>
      </c>
      <c r="Z4045">
        <v>0</v>
      </c>
      <c r="AA4045">
        <v>1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1</v>
      </c>
      <c r="AJ4045">
        <v>0</v>
      </c>
      <c r="AK4045">
        <v>0</v>
      </c>
      <c r="AL4045">
        <v>0</v>
      </c>
      <c r="AM4045">
        <v>0</v>
      </c>
    </row>
    <row r="4046" spans="1:39" x14ac:dyDescent="0.2">
      <c r="A4046" t="str">
        <f>"4042"</f>
        <v>4042</v>
      </c>
      <c r="B4046" t="str">
        <f t="shared" si="224"/>
        <v>1</v>
      </c>
      <c r="C4046" t="str">
        <f t="shared" si="225"/>
        <v>81</v>
      </c>
      <c r="D4046" t="str">
        <f>"47"</f>
        <v>47</v>
      </c>
      <c r="E4046" t="str">
        <f>"1-81-47"</f>
        <v>1-81-47</v>
      </c>
      <c r="F4046" t="s">
        <v>65</v>
      </c>
      <c r="G4046" t="s">
        <v>66</v>
      </c>
      <c r="H4046" t="s">
        <v>67</v>
      </c>
      <c r="S4046">
        <v>0</v>
      </c>
      <c r="T4046">
        <v>1</v>
      </c>
      <c r="U4046">
        <v>0</v>
      </c>
      <c r="V4046">
        <v>0</v>
      </c>
      <c r="W4046">
        <v>1</v>
      </c>
      <c r="X4046">
        <v>0</v>
      </c>
      <c r="Y4046">
        <v>0</v>
      </c>
      <c r="Z4046">
        <v>1</v>
      </c>
      <c r="AA4046">
        <v>1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</row>
    <row r="4047" spans="1:39" x14ac:dyDescent="0.2">
      <c r="A4047" t="str">
        <f>"4043"</f>
        <v>4043</v>
      </c>
      <c r="B4047" t="str">
        <f t="shared" si="224"/>
        <v>1</v>
      </c>
      <c r="C4047" t="str">
        <f t="shared" si="225"/>
        <v>81</v>
      </c>
      <c r="D4047" t="str">
        <f>"29"</f>
        <v>29</v>
      </c>
      <c r="E4047" t="str">
        <f>"1-81-29"</f>
        <v>1-81-29</v>
      </c>
      <c r="F4047" t="s">
        <v>65</v>
      </c>
      <c r="G4047" t="s">
        <v>66</v>
      </c>
      <c r="H4047" t="s">
        <v>67</v>
      </c>
      <c r="S4047">
        <v>1</v>
      </c>
      <c r="T4047">
        <v>0</v>
      </c>
      <c r="U4047">
        <v>0</v>
      </c>
      <c r="V4047">
        <v>0</v>
      </c>
      <c r="W4047">
        <v>1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</row>
    <row r="4048" spans="1:39" x14ac:dyDescent="0.2">
      <c r="A4048" t="str">
        <f>"4044"</f>
        <v>4044</v>
      </c>
      <c r="B4048" t="str">
        <f t="shared" si="224"/>
        <v>1</v>
      </c>
      <c r="C4048" t="str">
        <f t="shared" si="225"/>
        <v>81</v>
      </c>
      <c r="D4048" t="str">
        <f>"7"</f>
        <v>7</v>
      </c>
      <c r="E4048" t="str">
        <f>"1-81-7"</f>
        <v>1-81-7</v>
      </c>
      <c r="F4048" t="s">
        <v>65</v>
      </c>
      <c r="G4048" t="s">
        <v>66</v>
      </c>
      <c r="H4048" t="s">
        <v>67</v>
      </c>
      <c r="S4048">
        <v>1</v>
      </c>
      <c r="T4048">
        <v>0</v>
      </c>
      <c r="U4048">
        <v>0</v>
      </c>
      <c r="V4048">
        <v>0</v>
      </c>
      <c r="W4048">
        <v>1</v>
      </c>
      <c r="X4048">
        <v>0</v>
      </c>
      <c r="Y4048">
        <v>0</v>
      </c>
      <c r="Z4048">
        <v>1</v>
      </c>
      <c r="AA4048">
        <v>0</v>
      </c>
      <c r="AB4048">
        <v>0</v>
      </c>
      <c r="AC4048">
        <v>1</v>
      </c>
      <c r="AD4048">
        <v>1</v>
      </c>
      <c r="AE4048">
        <v>1</v>
      </c>
      <c r="AF4048">
        <v>1</v>
      </c>
      <c r="AG4048">
        <v>1</v>
      </c>
      <c r="AH4048">
        <v>1</v>
      </c>
      <c r="AI4048">
        <v>1</v>
      </c>
      <c r="AJ4048">
        <v>1</v>
      </c>
      <c r="AK4048">
        <v>1</v>
      </c>
      <c r="AL4048">
        <v>1</v>
      </c>
      <c r="AM4048">
        <v>1</v>
      </c>
    </row>
    <row r="4049" spans="1:39" x14ac:dyDescent="0.2">
      <c r="A4049" t="str">
        <f>"4045"</f>
        <v>4045</v>
      </c>
      <c r="B4049" t="str">
        <f t="shared" si="224"/>
        <v>1</v>
      </c>
      <c r="C4049" t="str">
        <f t="shared" si="225"/>
        <v>81</v>
      </c>
      <c r="D4049" t="str">
        <f>"30"</f>
        <v>30</v>
      </c>
      <c r="E4049" t="str">
        <f>"1-81-30"</f>
        <v>1-81-30</v>
      </c>
      <c r="F4049" t="s">
        <v>65</v>
      </c>
      <c r="G4049" t="s">
        <v>66</v>
      </c>
      <c r="H4049" t="s">
        <v>67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0</v>
      </c>
      <c r="AB4049">
        <v>0</v>
      </c>
      <c r="AC4049">
        <v>1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</row>
    <row r="4050" spans="1:39" x14ac:dyDescent="0.2">
      <c r="A4050" t="str">
        <f>"4046"</f>
        <v>4046</v>
      </c>
      <c r="B4050" t="str">
        <f t="shared" si="224"/>
        <v>1</v>
      </c>
      <c r="C4050" t="str">
        <f t="shared" si="225"/>
        <v>81</v>
      </c>
      <c r="D4050" t="str">
        <f>"6"</f>
        <v>6</v>
      </c>
      <c r="E4050" t="str">
        <f>"1-81-6"</f>
        <v>1-81-6</v>
      </c>
      <c r="F4050" t="s">
        <v>65</v>
      </c>
      <c r="G4050" t="s">
        <v>66</v>
      </c>
      <c r="H4050" t="s">
        <v>67</v>
      </c>
      <c r="S4050">
        <v>1</v>
      </c>
      <c r="T4050">
        <v>0</v>
      </c>
      <c r="U4050">
        <v>0</v>
      </c>
      <c r="V4050">
        <v>0</v>
      </c>
      <c r="W4050">
        <v>1</v>
      </c>
      <c r="X4050">
        <v>0</v>
      </c>
      <c r="Y4050">
        <v>1</v>
      </c>
      <c r="Z4050">
        <v>0</v>
      </c>
      <c r="AA4050">
        <v>0</v>
      </c>
      <c r="AB4050">
        <v>1</v>
      </c>
      <c r="AC4050">
        <v>0</v>
      </c>
      <c r="AD4050">
        <v>1</v>
      </c>
      <c r="AE4050">
        <v>1</v>
      </c>
      <c r="AF4050">
        <v>1</v>
      </c>
      <c r="AG4050">
        <v>1</v>
      </c>
      <c r="AH4050">
        <v>1</v>
      </c>
      <c r="AI4050">
        <v>1</v>
      </c>
      <c r="AJ4050">
        <v>1</v>
      </c>
      <c r="AK4050">
        <v>1</v>
      </c>
      <c r="AL4050">
        <v>1</v>
      </c>
      <c r="AM4050">
        <v>1</v>
      </c>
    </row>
    <row r="4051" spans="1:39" x14ac:dyDescent="0.2">
      <c r="A4051" t="str">
        <f>"4047"</f>
        <v>4047</v>
      </c>
      <c r="B4051" t="str">
        <f t="shared" si="224"/>
        <v>1</v>
      </c>
      <c r="C4051" t="str">
        <f t="shared" si="225"/>
        <v>81</v>
      </c>
      <c r="D4051" t="str">
        <f>"32"</f>
        <v>32</v>
      </c>
      <c r="E4051" t="str">
        <f>"1-81-32"</f>
        <v>1-81-32</v>
      </c>
      <c r="F4051" t="s">
        <v>65</v>
      </c>
      <c r="G4051" t="s">
        <v>66</v>
      </c>
      <c r="H4051" t="s">
        <v>67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1</v>
      </c>
      <c r="Y4051">
        <v>0</v>
      </c>
      <c r="Z4051">
        <v>1</v>
      </c>
      <c r="AA4051">
        <v>0</v>
      </c>
      <c r="AB4051">
        <v>0</v>
      </c>
      <c r="AC4051">
        <v>1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</row>
    <row r="4052" spans="1:39" x14ac:dyDescent="0.2">
      <c r="A4052" t="str">
        <f>"4048"</f>
        <v>4048</v>
      </c>
      <c r="B4052" t="str">
        <f t="shared" si="224"/>
        <v>1</v>
      </c>
      <c r="C4052" t="str">
        <f t="shared" si="225"/>
        <v>81</v>
      </c>
      <c r="D4052" t="str">
        <f>"13"</f>
        <v>13</v>
      </c>
      <c r="E4052" t="str">
        <f>"1-81-13"</f>
        <v>1-81-13</v>
      </c>
      <c r="F4052" t="s">
        <v>65</v>
      </c>
      <c r="G4052" t="s">
        <v>66</v>
      </c>
      <c r="H4052" t="s">
        <v>67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0</v>
      </c>
      <c r="AB4052">
        <v>0</v>
      </c>
      <c r="AC4052">
        <v>1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</row>
    <row r="4053" spans="1:39" x14ac:dyDescent="0.2">
      <c r="A4053" t="str">
        <f>"4049"</f>
        <v>4049</v>
      </c>
      <c r="B4053" t="str">
        <f t="shared" si="224"/>
        <v>1</v>
      </c>
      <c r="C4053" t="str">
        <f t="shared" si="225"/>
        <v>81</v>
      </c>
      <c r="D4053" t="str">
        <f>"50"</f>
        <v>50</v>
      </c>
      <c r="E4053" t="str">
        <f>"1-81-50"</f>
        <v>1-81-50</v>
      </c>
      <c r="F4053" t="s">
        <v>65</v>
      </c>
      <c r="G4053" t="s">
        <v>66</v>
      </c>
      <c r="H4053" t="s">
        <v>67</v>
      </c>
      <c r="S4053">
        <v>0</v>
      </c>
      <c r="T4053">
        <v>1</v>
      </c>
      <c r="U4053">
        <v>0</v>
      </c>
      <c r="V4053">
        <v>0</v>
      </c>
      <c r="W4053">
        <v>0</v>
      </c>
      <c r="X4053">
        <v>1</v>
      </c>
      <c r="Y4053">
        <v>0</v>
      </c>
      <c r="Z4053">
        <v>1</v>
      </c>
      <c r="AA4053">
        <v>0</v>
      </c>
      <c r="AB4053">
        <v>0</v>
      </c>
      <c r="AC4053">
        <v>1</v>
      </c>
      <c r="AD4053">
        <v>1</v>
      </c>
      <c r="AE4053">
        <v>1</v>
      </c>
      <c r="AF4053">
        <v>1</v>
      </c>
      <c r="AG4053">
        <v>1</v>
      </c>
      <c r="AH4053">
        <v>1</v>
      </c>
      <c r="AI4053">
        <v>1</v>
      </c>
      <c r="AJ4053">
        <v>1</v>
      </c>
      <c r="AK4053">
        <v>1</v>
      </c>
      <c r="AL4053">
        <v>1</v>
      </c>
      <c r="AM4053">
        <v>1</v>
      </c>
    </row>
    <row r="4054" spans="1:39" x14ac:dyDescent="0.2">
      <c r="A4054" t="str">
        <f>"4050"</f>
        <v>4050</v>
      </c>
      <c r="B4054" t="str">
        <f t="shared" si="224"/>
        <v>1</v>
      </c>
      <c r="C4054" t="str">
        <f t="shared" si="225"/>
        <v>81</v>
      </c>
      <c r="D4054" t="str">
        <f>"48"</f>
        <v>48</v>
      </c>
      <c r="E4054" t="str">
        <f>"1-81-48"</f>
        <v>1-81-48</v>
      </c>
      <c r="F4054" t="s">
        <v>65</v>
      </c>
      <c r="G4054" t="s">
        <v>66</v>
      </c>
      <c r="H4054" t="s">
        <v>67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0</v>
      </c>
      <c r="AB4054">
        <v>1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</row>
    <row r="4055" spans="1:39" x14ac:dyDescent="0.2">
      <c r="A4055" t="str">
        <f>"4051"</f>
        <v>4051</v>
      </c>
      <c r="B4055" t="str">
        <f t="shared" si="224"/>
        <v>1</v>
      </c>
      <c r="C4055" t="str">
        <f t="shared" ref="C4055:C4086" si="226">"82"</f>
        <v>82</v>
      </c>
      <c r="D4055" t="str">
        <f>"49"</f>
        <v>49</v>
      </c>
      <c r="E4055" t="str">
        <f>"1-82-49"</f>
        <v>1-82-49</v>
      </c>
      <c r="F4055" t="s">
        <v>65</v>
      </c>
      <c r="G4055" t="s">
        <v>66</v>
      </c>
      <c r="H4055" t="s">
        <v>67</v>
      </c>
      <c r="S4055">
        <v>1</v>
      </c>
      <c r="T4055">
        <v>0</v>
      </c>
      <c r="U4055">
        <v>0</v>
      </c>
      <c r="V4055">
        <v>0</v>
      </c>
      <c r="W4055">
        <v>1</v>
      </c>
      <c r="X4055">
        <v>0</v>
      </c>
      <c r="Y4055">
        <v>1</v>
      </c>
      <c r="Z4055">
        <v>0</v>
      </c>
      <c r="AA4055">
        <v>1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</row>
    <row r="4056" spans="1:39" x14ac:dyDescent="0.2">
      <c r="A4056" t="str">
        <f>"4052"</f>
        <v>4052</v>
      </c>
      <c r="B4056" t="str">
        <f t="shared" si="224"/>
        <v>1</v>
      </c>
      <c r="C4056" t="str">
        <f t="shared" si="226"/>
        <v>82</v>
      </c>
      <c r="D4056" t="str">
        <f>"36"</f>
        <v>36</v>
      </c>
      <c r="E4056" t="str">
        <f>"1-82-36"</f>
        <v>1-82-36</v>
      </c>
      <c r="F4056" t="s">
        <v>65</v>
      </c>
      <c r="G4056" t="s">
        <v>66</v>
      </c>
      <c r="H4056" t="s">
        <v>67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1</v>
      </c>
      <c r="Y4056">
        <v>0</v>
      </c>
      <c r="Z4056">
        <v>1</v>
      </c>
      <c r="AA4056">
        <v>0</v>
      </c>
      <c r="AB4056">
        <v>0</v>
      </c>
      <c r="AC4056">
        <v>1</v>
      </c>
      <c r="AD4056">
        <v>1</v>
      </c>
      <c r="AE4056">
        <v>1</v>
      </c>
      <c r="AF4056">
        <v>1</v>
      </c>
      <c r="AG4056">
        <v>1</v>
      </c>
      <c r="AH4056">
        <v>1</v>
      </c>
      <c r="AI4056">
        <v>1</v>
      </c>
      <c r="AJ4056">
        <v>1</v>
      </c>
      <c r="AK4056">
        <v>1</v>
      </c>
      <c r="AL4056">
        <v>1</v>
      </c>
      <c r="AM4056">
        <v>1</v>
      </c>
    </row>
    <row r="4057" spans="1:39" x14ac:dyDescent="0.2">
      <c r="A4057" t="str">
        <f>"4053"</f>
        <v>4053</v>
      </c>
      <c r="B4057" t="str">
        <f t="shared" si="224"/>
        <v>1</v>
      </c>
      <c r="C4057" t="str">
        <f t="shared" si="226"/>
        <v>82</v>
      </c>
      <c r="D4057" t="str">
        <f>"35"</f>
        <v>35</v>
      </c>
      <c r="E4057" t="str">
        <f>"1-82-35"</f>
        <v>1-82-35</v>
      </c>
      <c r="F4057" t="s">
        <v>65</v>
      </c>
      <c r="G4057" t="s">
        <v>66</v>
      </c>
      <c r="H4057" t="s">
        <v>67</v>
      </c>
      <c r="S4057">
        <v>1</v>
      </c>
      <c r="T4057">
        <v>0</v>
      </c>
      <c r="U4057">
        <v>0</v>
      </c>
      <c r="V4057">
        <v>0</v>
      </c>
      <c r="W4057">
        <v>0</v>
      </c>
      <c r="X4057">
        <v>1</v>
      </c>
      <c r="Y4057">
        <v>0</v>
      </c>
      <c r="Z4057">
        <v>1</v>
      </c>
      <c r="AA4057">
        <v>0</v>
      </c>
      <c r="AB4057">
        <v>1</v>
      </c>
      <c r="AC4057">
        <v>0</v>
      </c>
      <c r="AD4057">
        <v>1</v>
      </c>
      <c r="AE4057">
        <v>1</v>
      </c>
      <c r="AF4057">
        <v>1</v>
      </c>
      <c r="AG4057">
        <v>1</v>
      </c>
      <c r="AH4057">
        <v>1</v>
      </c>
      <c r="AI4057">
        <v>1</v>
      </c>
      <c r="AJ4057">
        <v>1</v>
      </c>
      <c r="AK4057">
        <v>1</v>
      </c>
      <c r="AL4057">
        <v>1</v>
      </c>
      <c r="AM4057">
        <v>1</v>
      </c>
    </row>
    <row r="4058" spans="1:39" x14ac:dyDescent="0.2">
      <c r="A4058" t="str">
        <f>"4054"</f>
        <v>4054</v>
      </c>
      <c r="B4058" t="str">
        <f t="shared" si="224"/>
        <v>1</v>
      </c>
      <c r="C4058" t="str">
        <f t="shared" si="226"/>
        <v>82</v>
      </c>
      <c r="D4058" t="str">
        <f>"27"</f>
        <v>27</v>
      </c>
      <c r="E4058" t="str">
        <f>"1-82-27"</f>
        <v>1-82-27</v>
      </c>
      <c r="F4058" t="s">
        <v>65</v>
      </c>
      <c r="G4058" t="s">
        <v>66</v>
      </c>
      <c r="H4058" t="s">
        <v>67</v>
      </c>
      <c r="S4058">
        <v>1</v>
      </c>
      <c r="T4058">
        <v>0</v>
      </c>
      <c r="U4058">
        <v>0</v>
      </c>
      <c r="V4058">
        <v>0</v>
      </c>
      <c r="W4058">
        <v>1</v>
      </c>
      <c r="X4058">
        <v>0</v>
      </c>
      <c r="Y4058">
        <v>1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1</v>
      </c>
      <c r="AF4058">
        <v>1</v>
      </c>
      <c r="AG4058">
        <v>1</v>
      </c>
      <c r="AH4058">
        <v>1</v>
      </c>
      <c r="AI4058">
        <v>1</v>
      </c>
      <c r="AJ4058">
        <v>1</v>
      </c>
      <c r="AK4058">
        <v>1</v>
      </c>
      <c r="AL4058">
        <v>1</v>
      </c>
      <c r="AM4058">
        <v>1</v>
      </c>
    </row>
    <row r="4059" spans="1:39" x14ac:dyDescent="0.2">
      <c r="A4059" t="str">
        <f>"4055"</f>
        <v>4055</v>
      </c>
      <c r="B4059" t="str">
        <f t="shared" si="224"/>
        <v>1</v>
      </c>
      <c r="C4059" t="str">
        <f t="shared" si="226"/>
        <v>82</v>
      </c>
      <c r="D4059" t="str">
        <f>"26"</f>
        <v>26</v>
      </c>
      <c r="E4059" t="str">
        <f>"1-82-26"</f>
        <v>1-82-26</v>
      </c>
      <c r="F4059" t="s">
        <v>65</v>
      </c>
      <c r="G4059" t="s">
        <v>66</v>
      </c>
      <c r="H4059" t="s">
        <v>67</v>
      </c>
      <c r="S4059">
        <v>0</v>
      </c>
      <c r="T4059">
        <v>1</v>
      </c>
      <c r="U4059">
        <v>0</v>
      </c>
      <c r="V4059">
        <v>0</v>
      </c>
      <c r="W4059">
        <v>1</v>
      </c>
      <c r="X4059">
        <v>0</v>
      </c>
      <c r="Y4059">
        <v>1</v>
      </c>
      <c r="Z4059">
        <v>0</v>
      </c>
      <c r="AA4059">
        <v>0</v>
      </c>
      <c r="AB4059">
        <v>0</v>
      </c>
      <c r="AC4059">
        <v>1</v>
      </c>
      <c r="AD4059">
        <v>1</v>
      </c>
      <c r="AE4059">
        <v>1</v>
      </c>
      <c r="AF4059">
        <v>1</v>
      </c>
      <c r="AG4059">
        <v>1</v>
      </c>
      <c r="AH4059">
        <v>1</v>
      </c>
      <c r="AI4059">
        <v>1</v>
      </c>
      <c r="AJ4059">
        <v>1</v>
      </c>
      <c r="AK4059">
        <v>1</v>
      </c>
      <c r="AL4059">
        <v>1</v>
      </c>
      <c r="AM4059">
        <v>1</v>
      </c>
    </row>
    <row r="4060" spans="1:39" x14ac:dyDescent="0.2">
      <c r="A4060" t="str">
        <f>"4056"</f>
        <v>4056</v>
      </c>
      <c r="B4060" t="str">
        <f t="shared" si="224"/>
        <v>1</v>
      </c>
      <c r="C4060" t="str">
        <f t="shared" si="226"/>
        <v>82</v>
      </c>
      <c r="D4060" t="str">
        <f>"16"</f>
        <v>16</v>
      </c>
      <c r="E4060" t="str">
        <f>"1-82-16"</f>
        <v>1-82-16</v>
      </c>
      <c r="F4060" t="s">
        <v>65</v>
      </c>
      <c r="G4060" t="s">
        <v>66</v>
      </c>
      <c r="H4060" t="s">
        <v>67</v>
      </c>
      <c r="S4060">
        <v>1</v>
      </c>
      <c r="T4060">
        <v>0</v>
      </c>
      <c r="U4060">
        <v>0</v>
      </c>
      <c r="V4060">
        <v>0</v>
      </c>
      <c r="W4060">
        <v>1</v>
      </c>
      <c r="X4060">
        <v>0</v>
      </c>
      <c r="Y4060">
        <v>1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1</v>
      </c>
      <c r="AF4060">
        <v>1</v>
      </c>
      <c r="AG4060">
        <v>1</v>
      </c>
      <c r="AH4060">
        <v>1</v>
      </c>
      <c r="AI4060">
        <v>1</v>
      </c>
      <c r="AJ4060">
        <v>1</v>
      </c>
      <c r="AK4060">
        <v>1</v>
      </c>
      <c r="AL4060">
        <v>1</v>
      </c>
      <c r="AM4060">
        <v>1</v>
      </c>
    </row>
    <row r="4061" spans="1:39" x14ac:dyDescent="0.2">
      <c r="A4061" t="str">
        <f>"4057"</f>
        <v>4057</v>
      </c>
      <c r="B4061" t="str">
        <f t="shared" si="224"/>
        <v>1</v>
      </c>
      <c r="C4061" t="str">
        <f t="shared" si="226"/>
        <v>82</v>
      </c>
      <c r="D4061" t="str">
        <f>"15"</f>
        <v>15</v>
      </c>
      <c r="E4061" t="str">
        <f>"1-82-15"</f>
        <v>1-82-15</v>
      </c>
      <c r="F4061" t="s">
        <v>65</v>
      </c>
      <c r="G4061" t="s">
        <v>66</v>
      </c>
      <c r="H4061" t="s">
        <v>67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0</v>
      </c>
      <c r="AB4061">
        <v>0</v>
      </c>
      <c r="AC4061">
        <v>1</v>
      </c>
      <c r="AD4061">
        <v>0</v>
      </c>
      <c r="AE4061">
        <v>0</v>
      </c>
      <c r="AF4061">
        <v>0</v>
      </c>
      <c r="AG4061">
        <v>1</v>
      </c>
      <c r="AH4061">
        <v>1</v>
      </c>
      <c r="AI4061">
        <v>1</v>
      </c>
      <c r="AJ4061">
        <v>1</v>
      </c>
      <c r="AK4061">
        <v>1</v>
      </c>
      <c r="AL4061">
        <v>1</v>
      </c>
      <c r="AM4061">
        <v>1</v>
      </c>
    </row>
    <row r="4062" spans="1:39" x14ac:dyDescent="0.2">
      <c r="A4062" t="str">
        <f>"4058"</f>
        <v>4058</v>
      </c>
      <c r="B4062" t="str">
        <f t="shared" si="224"/>
        <v>1</v>
      </c>
      <c r="C4062" t="str">
        <f t="shared" si="226"/>
        <v>82</v>
      </c>
      <c r="D4062" t="str">
        <f>"2"</f>
        <v>2</v>
      </c>
      <c r="E4062" t="str">
        <f>"1-82-2"</f>
        <v>1-82-2</v>
      </c>
      <c r="F4062" t="s">
        <v>65</v>
      </c>
      <c r="G4062" t="s">
        <v>66</v>
      </c>
      <c r="H4062" t="s">
        <v>68</v>
      </c>
      <c r="I4062">
        <v>1</v>
      </c>
      <c r="J4062">
        <v>0</v>
      </c>
      <c r="K4062">
        <v>1</v>
      </c>
      <c r="L4062">
        <v>0</v>
      </c>
      <c r="M4062">
        <v>1</v>
      </c>
      <c r="N4062">
        <v>1</v>
      </c>
      <c r="O4062">
        <v>1</v>
      </c>
      <c r="P4062">
        <v>1</v>
      </c>
      <c r="Q4062">
        <v>1</v>
      </c>
      <c r="R4062">
        <v>1</v>
      </c>
    </row>
    <row r="4063" spans="1:39" x14ac:dyDescent="0.2">
      <c r="A4063" t="str">
        <f>"4059"</f>
        <v>4059</v>
      </c>
      <c r="B4063" t="str">
        <f t="shared" si="224"/>
        <v>1</v>
      </c>
      <c r="C4063" t="str">
        <f t="shared" si="226"/>
        <v>82</v>
      </c>
      <c r="D4063" t="str">
        <f>"33"</f>
        <v>33</v>
      </c>
      <c r="E4063" t="str">
        <f>"1-82-33"</f>
        <v>1-82-33</v>
      </c>
      <c r="F4063" t="s">
        <v>65</v>
      </c>
      <c r="G4063" t="s">
        <v>66</v>
      </c>
      <c r="H4063" t="s">
        <v>67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1</v>
      </c>
      <c r="Y4063">
        <v>0</v>
      </c>
      <c r="Z4063">
        <v>1</v>
      </c>
      <c r="AA4063">
        <v>0</v>
      </c>
      <c r="AB4063">
        <v>0</v>
      </c>
      <c r="AC4063">
        <v>1</v>
      </c>
      <c r="AD4063">
        <v>1</v>
      </c>
      <c r="AE4063">
        <v>1</v>
      </c>
      <c r="AF4063">
        <v>1</v>
      </c>
      <c r="AG4063">
        <v>1</v>
      </c>
      <c r="AH4063">
        <v>1</v>
      </c>
      <c r="AI4063">
        <v>1</v>
      </c>
      <c r="AJ4063">
        <v>1</v>
      </c>
      <c r="AK4063">
        <v>0</v>
      </c>
      <c r="AL4063">
        <v>1</v>
      </c>
      <c r="AM4063">
        <v>1</v>
      </c>
    </row>
    <row r="4064" spans="1:39" x14ac:dyDescent="0.2">
      <c r="A4064" t="str">
        <f>"4060"</f>
        <v>4060</v>
      </c>
      <c r="B4064" t="str">
        <f t="shared" si="224"/>
        <v>1</v>
      </c>
      <c r="C4064" t="str">
        <f t="shared" si="226"/>
        <v>82</v>
      </c>
      <c r="D4064" t="str">
        <f>"17"</f>
        <v>17</v>
      </c>
      <c r="E4064" t="str">
        <f>"1-82-17"</f>
        <v>1-82-17</v>
      </c>
      <c r="F4064" t="s">
        <v>65</v>
      </c>
      <c r="G4064" t="s">
        <v>66</v>
      </c>
      <c r="H4064" t="s">
        <v>67</v>
      </c>
      <c r="S4064">
        <v>1</v>
      </c>
      <c r="T4064">
        <v>0</v>
      </c>
      <c r="U4064">
        <v>0</v>
      </c>
      <c r="V4064">
        <v>0</v>
      </c>
      <c r="W4064">
        <v>1</v>
      </c>
      <c r="X4064">
        <v>0</v>
      </c>
      <c r="Y4064">
        <v>1</v>
      </c>
      <c r="Z4064">
        <v>0</v>
      </c>
      <c r="AA4064">
        <v>0</v>
      </c>
      <c r="AB4064">
        <v>1</v>
      </c>
      <c r="AC4064">
        <v>0</v>
      </c>
      <c r="AD4064">
        <v>1</v>
      </c>
      <c r="AE4064">
        <v>1</v>
      </c>
      <c r="AF4064">
        <v>1</v>
      </c>
      <c r="AG4064">
        <v>1</v>
      </c>
      <c r="AH4064">
        <v>1</v>
      </c>
      <c r="AI4064">
        <v>1</v>
      </c>
      <c r="AJ4064">
        <v>1</v>
      </c>
      <c r="AK4064">
        <v>1</v>
      </c>
      <c r="AL4064">
        <v>1</v>
      </c>
      <c r="AM4064">
        <v>1</v>
      </c>
    </row>
    <row r="4065" spans="1:39" x14ac:dyDescent="0.2">
      <c r="A4065" t="str">
        <f>"4061"</f>
        <v>4061</v>
      </c>
      <c r="B4065" t="str">
        <f t="shared" si="224"/>
        <v>1</v>
      </c>
      <c r="C4065" t="str">
        <f t="shared" si="226"/>
        <v>82</v>
      </c>
      <c r="D4065" t="str">
        <f>"3"</f>
        <v>3</v>
      </c>
      <c r="E4065" t="str">
        <f>"1-82-3"</f>
        <v>1-82-3</v>
      </c>
      <c r="F4065" t="s">
        <v>65</v>
      </c>
      <c r="G4065" t="s">
        <v>66</v>
      </c>
      <c r="H4065" t="s">
        <v>68</v>
      </c>
      <c r="I4065">
        <v>1</v>
      </c>
      <c r="J4065">
        <v>0</v>
      </c>
      <c r="K4065">
        <v>1</v>
      </c>
      <c r="L4065">
        <v>0</v>
      </c>
      <c r="M4065">
        <v>1</v>
      </c>
      <c r="N4065">
        <v>1</v>
      </c>
      <c r="O4065">
        <v>1</v>
      </c>
      <c r="P4065">
        <v>1</v>
      </c>
      <c r="Q4065">
        <v>1</v>
      </c>
      <c r="R4065">
        <v>1</v>
      </c>
    </row>
    <row r="4066" spans="1:39" x14ac:dyDescent="0.2">
      <c r="A4066" t="str">
        <f>"4062"</f>
        <v>4062</v>
      </c>
      <c r="B4066" t="str">
        <f t="shared" si="224"/>
        <v>1</v>
      </c>
      <c r="C4066" t="str">
        <f t="shared" si="226"/>
        <v>82</v>
      </c>
      <c r="D4066" t="str">
        <f>"34"</f>
        <v>34</v>
      </c>
      <c r="E4066" t="str">
        <f>"1-82-34"</f>
        <v>1-82-34</v>
      </c>
      <c r="F4066" t="s">
        <v>65</v>
      </c>
      <c r="G4066" t="s">
        <v>66</v>
      </c>
      <c r="H4066" t="s">
        <v>67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1</v>
      </c>
      <c r="AI4066">
        <v>0</v>
      </c>
      <c r="AJ4066">
        <v>0</v>
      </c>
      <c r="AK4066">
        <v>0</v>
      </c>
      <c r="AL4066">
        <v>1</v>
      </c>
      <c r="AM4066">
        <v>0</v>
      </c>
    </row>
    <row r="4067" spans="1:39" x14ac:dyDescent="0.2">
      <c r="A4067" t="str">
        <f>"4063"</f>
        <v>4063</v>
      </c>
      <c r="B4067" t="str">
        <f t="shared" si="224"/>
        <v>1</v>
      </c>
      <c r="C4067" t="str">
        <f t="shared" si="226"/>
        <v>82</v>
      </c>
      <c r="D4067" t="str">
        <f>"18"</f>
        <v>18</v>
      </c>
      <c r="E4067" t="str">
        <f>"1-82-18"</f>
        <v>1-82-18</v>
      </c>
      <c r="F4067" t="s">
        <v>65</v>
      </c>
      <c r="G4067" t="s">
        <v>66</v>
      </c>
      <c r="H4067" t="s">
        <v>67</v>
      </c>
      <c r="S4067">
        <v>1</v>
      </c>
      <c r="T4067">
        <v>0</v>
      </c>
      <c r="U4067">
        <v>0</v>
      </c>
      <c r="V4067">
        <v>0</v>
      </c>
      <c r="W4067">
        <v>1</v>
      </c>
      <c r="X4067">
        <v>0</v>
      </c>
      <c r="Y4067">
        <v>1</v>
      </c>
      <c r="Z4067">
        <v>0</v>
      </c>
      <c r="AA4067">
        <v>1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</row>
    <row r="4068" spans="1:39" x14ac:dyDescent="0.2">
      <c r="A4068" t="str">
        <f>"4064"</f>
        <v>4064</v>
      </c>
      <c r="B4068" t="str">
        <f t="shared" si="224"/>
        <v>1</v>
      </c>
      <c r="C4068" t="str">
        <f t="shared" si="226"/>
        <v>82</v>
      </c>
      <c r="D4068" t="str">
        <f>"10"</f>
        <v>10</v>
      </c>
      <c r="E4068" t="str">
        <f>"1-82-10"</f>
        <v>1-82-10</v>
      </c>
      <c r="F4068" t="s">
        <v>65</v>
      </c>
      <c r="G4068" t="s">
        <v>66</v>
      </c>
      <c r="H4068" t="s">
        <v>68</v>
      </c>
      <c r="I4068">
        <v>1</v>
      </c>
      <c r="J4068">
        <v>0</v>
      </c>
      <c r="K4068">
        <v>1</v>
      </c>
      <c r="L4068">
        <v>0</v>
      </c>
      <c r="M4068">
        <v>1</v>
      </c>
      <c r="N4068">
        <v>1</v>
      </c>
      <c r="O4068">
        <v>1</v>
      </c>
      <c r="P4068">
        <v>1</v>
      </c>
      <c r="Q4068">
        <v>1</v>
      </c>
      <c r="R4068">
        <v>1</v>
      </c>
    </row>
    <row r="4069" spans="1:39" x14ac:dyDescent="0.2">
      <c r="A4069" t="str">
        <f>"4065"</f>
        <v>4065</v>
      </c>
      <c r="B4069" t="str">
        <f t="shared" si="224"/>
        <v>1</v>
      </c>
      <c r="C4069" t="str">
        <f t="shared" si="226"/>
        <v>82</v>
      </c>
      <c r="D4069" t="str">
        <f>"44"</f>
        <v>44</v>
      </c>
      <c r="E4069" t="str">
        <f>"1-82-44"</f>
        <v>1-82-44</v>
      </c>
      <c r="F4069" t="s">
        <v>65</v>
      </c>
      <c r="G4069" t="s">
        <v>66</v>
      </c>
      <c r="H4069" t="s">
        <v>67</v>
      </c>
      <c r="S4069">
        <v>1</v>
      </c>
      <c r="T4069">
        <v>0</v>
      </c>
      <c r="U4069">
        <v>0</v>
      </c>
      <c r="V4069">
        <v>0</v>
      </c>
      <c r="W4069">
        <v>1</v>
      </c>
      <c r="X4069">
        <v>0</v>
      </c>
      <c r="Y4069">
        <v>0</v>
      </c>
      <c r="Z4069">
        <v>1</v>
      </c>
      <c r="AA4069">
        <v>1</v>
      </c>
      <c r="AB4069">
        <v>0</v>
      </c>
      <c r="AC4069">
        <v>0</v>
      </c>
      <c r="AD4069">
        <v>1</v>
      </c>
      <c r="AE4069">
        <v>1</v>
      </c>
      <c r="AF4069">
        <v>1</v>
      </c>
      <c r="AG4069">
        <v>1</v>
      </c>
      <c r="AH4069">
        <v>1</v>
      </c>
      <c r="AI4069">
        <v>1</v>
      </c>
      <c r="AJ4069">
        <v>1</v>
      </c>
      <c r="AK4069">
        <v>1</v>
      </c>
      <c r="AL4069">
        <v>1</v>
      </c>
      <c r="AM4069">
        <v>1</v>
      </c>
    </row>
    <row r="4070" spans="1:39" x14ac:dyDescent="0.2">
      <c r="A4070" t="str">
        <f>"4066"</f>
        <v>4066</v>
      </c>
      <c r="B4070" t="str">
        <f t="shared" si="224"/>
        <v>1</v>
      </c>
      <c r="C4070" t="str">
        <f t="shared" si="226"/>
        <v>82</v>
      </c>
      <c r="D4070" t="str">
        <f>"43"</f>
        <v>43</v>
      </c>
      <c r="E4070" t="str">
        <f>"1-82-43"</f>
        <v>1-82-43</v>
      </c>
      <c r="F4070" t="s">
        <v>65</v>
      </c>
      <c r="G4070" t="s">
        <v>66</v>
      </c>
      <c r="H4070" t="s">
        <v>67</v>
      </c>
      <c r="S4070">
        <v>0</v>
      </c>
      <c r="T4070">
        <v>1</v>
      </c>
      <c r="U4070">
        <v>0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1</v>
      </c>
      <c r="AH4070">
        <v>0</v>
      </c>
      <c r="AI4070">
        <v>1</v>
      </c>
      <c r="AJ4070">
        <v>0</v>
      </c>
      <c r="AK4070">
        <v>0</v>
      </c>
      <c r="AL4070">
        <v>1</v>
      </c>
      <c r="AM4070">
        <v>0</v>
      </c>
    </row>
    <row r="4071" spans="1:39" x14ac:dyDescent="0.2">
      <c r="A4071" t="str">
        <f>"4067"</f>
        <v>4067</v>
      </c>
      <c r="B4071" t="str">
        <f t="shared" si="224"/>
        <v>1</v>
      </c>
      <c r="C4071" t="str">
        <f t="shared" si="226"/>
        <v>82</v>
      </c>
      <c r="D4071" t="str">
        <f>"32"</f>
        <v>32</v>
      </c>
      <c r="E4071" t="str">
        <f>"1-82-32"</f>
        <v>1-82-32</v>
      </c>
      <c r="F4071" t="s">
        <v>65</v>
      </c>
      <c r="G4071" t="s">
        <v>66</v>
      </c>
      <c r="H4071" t="s">
        <v>67</v>
      </c>
      <c r="S4071">
        <v>1</v>
      </c>
      <c r="T4071">
        <v>0</v>
      </c>
      <c r="U4071">
        <v>0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0</v>
      </c>
      <c r="AB4071">
        <v>1</v>
      </c>
      <c r="AC4071">
        <v>0</v>
      </c>
      <c r="AD4071">
        <v>1</v>
      </c>
      <c r="AE4071">
        <v>1</v>
      </c>
      <c r="AF4071">
        <v>1</v>
      </c>
      <c r="AG4071">
        <v>1</v>
      </c>
      <c r="AH4071">
        <v>1</v>
      </c>
      <c r="AI4071">
        <v>1</v>
      </c>
      <c r="AJ4071">
        <v>1</v>
      </c>
      <c r="AK4071">
        <v>1</v>
      </c>
      <c r="AL4071">
        <v>0</v>
      </c>
      <c r="AM4071">
        <v>1</v>
      </c>
    </row>
    <row r="4072" spans="1:39" x14ac:dyDescent="0.2">
      <c r="A4072" t="str">
        <f>"4068"</f>
        <v>4068</v>
      </c>
      <c r="B4072" t="str">
        <f t="shared" si="224"/>
        <v>1</v>
      </c>
      <c r="C4072" t="str">
        <f t="shared" si="226"/>
        <v>82</v>
      </c>
      <c r="D4072" t="str">
        <f>"19"</f>
        <v>19</v>
      </c>
      <c r="E4072" t="str">
        <f>"1-82-19"</f>
        <v>1-82-19</v>
      </c>
      <c r="F4072" t="s">
        <v>65</v>
      </c>
      <c r="G4072" t="s">
        <v>66</v>
      </c>
      <c r="H4072" t="s">
        <v>67</v>
      </c>
      <c r="S4072">
        <v>1</v>
      </c>
      <c r="T4072">
        <v>0</v>
      </c>
      <c r="U4072">
        <v>0</v>
      </c>
      <c r="V4072">
        <v>0</v>
      </c>
      <c r="W4072">
        <v>1</v>
      </c>
      <c r="X4072">
        <v>0</v>
      </c>
      <c r="Y4072">
        <v>0</v>
      </c>
      <c r="Z4072">
        <v>1</v>
      </c>
      <c r="AA4072">
        <v>0</v>
      </c>
      <c r="AB4072">
        <v>0</v>
      </c>
      <c r="AC4072">
        <v>1</v>
      </c>
      <c r="AD4072">
        <v>1</v>
      </c>
      <c r="AE4072">
        <v>1</v>
      </c>
      <c r="AF4072">
        <v>1</v>
      </c>
      <c r="AG4072">
        <v>1</v>
      </c>
      <c r="AH4072">
        <v>1</v>
      </c>
      <c r="AI4072">
        <v>1</v>
      </c>
      <c r="AJ4072">
        <v>1</v>
      </c>
      <c r="AK4072">
        <v>1</v>
      </c>
      <c r="AL4072">
        <v>1</v>
      </c>
      <c r="AM4072">
        <v>1</v>
      </c>
    </row>
    <row r="4073" spans="1:39" x14ac:dyDescent="0.2">
      <c r="A4073" t="str">
        <f>"4069"</f>
        <v>4069</v>
      </c>
      <c r="B4073" t="str">
        <f t="shared" si="224"/>
        <v>1</v>
      </c>
      <c r="C4073" t="str">
        <f t="shared" si="226"/>
        <v>82</v>
      </c>
      <c r="D4073" t="str">
        <f>"1"</f>
        <v>1</v>
      </c>
      <c r="E4073" t="str">
        <f>"1-82-1"</f>
        <v>1-82-1</v>
      </c>
      <c r="F4073" t="s">
        <v>65</v>
      </c>
      <c r="G4073" t="s">
        <v>66</v>
      </c>
      <c r="H4073" t="s">
        <v>67</v>
      </c>
      <c r="S4073">
        <v>0</v>
      </c>
      <c r="T4073">
        <v>1</v>
      </c>
      <c r="U4073">
        <v>0</v>
      </c>
      <c r="V4073">
        <v>0</v>
      </c>
      <c r="W4073">
        <v>0</v>
      </c>
      <c r="X4073">
        <v>1</v>
      </c>
      <c r="Y4073">
        <v>0</v>
      </c>
      <c r="Z4073">
        <v>1</v>
      </c>
      <c r="AA4073">
        <v>0</v>
      </c>
      <c r="AB4073">
        <v>0</v>
      </c>
      <c r="AC4073">
        <v>1</v>
      </c>
      <c r="AD4073">
        <v>0</v>
      </c>
      <c r="AE4073">
        <v>0</v>
      </c>
      <c r="AF4073">
        <v>0</v>
      </c>
      <c r="AG4073">
        <v>1</v>
      </c>
      <c r="AH4073">
        <v>0</v>
      </c>
      <c r="AI4073">
        <v>1</v>
      </c>
      <c r="AJ4073">
        <v>1</v>
      </c>
      <c r="AK4073">
        <v>1</v>
      </c>
      <c r="AL4073">
        <v>1</v>
      </c>
      <c r="AM4073">
        <v>0</v>
      </c>
    </row>
    <row r="4074" spans="1:39" x14ac:dyDescent="0.2">
      <c r="A4074" t="str">
        <f>"4070"</f>
        <v>4070</v>
      </c>
      <c r="B4074" t="str">
        <f t="shared" si="224"/>
        <v>1</v>
      </c>
      <c r="C4074" t="str">
        <f t="shared" si="226"/>
        <v>82</v>
      </c>
      <c r="D4074" t="str">
        <f>"39"</f>
        <v>39</v>
      </c>
      <c r="E4074" t="str">
        <f>"1-82-39"</f>
        <v>1-82-39</v>
      </c>
      <c r="F4074" t="s">
        <v>65</v>
      </c>
      <c r="G4074" t="s">
        <v>66</v>
      </c>
      <c r="H4074" t="s">
        <v>67</v>
      </c>
      <c r="S4074">
        <v>0</v>
      </c>
      <c r="T4074">
        <v>1</v>
      </c>
      <c r="U4074">
        <v>0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1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</row>
    <row r="4075" spans="1:39" x14ac:dyDescent="0.2">
      <c r="A4075" t="str">
        <f>"4071"</f>
        <v>4071</v>
      </c>
      <c r="B4075" t="str">
        <f t="shared" si="224"/>
        <v>1</v>
      </c>
      <c r="C4075" t="str">
        <f t="shared" si="226"/>
        <v>82</v>
      </c>
      <c r="D4075" t="str">
        <f>"20"</f>
        <v>20</v>
      </c>
      <c r="E4075" t="str">
        <f>"1-82-20"</f>
        <v>1-82-20</v>
      </c>
      <c r="F4075" t="s">
        <v>65</v>
      </c>
      <c r="G4075" t="s">
        <v>66</v>
      </c>
      <c r="H4075" t="s">
        <v>67</v>
      </c>
      <c r="S4075">
        <v>0</v>
      </c>
      <c r="T4075">
        <v>1</v>
      </c>
      <c r="U4075">
        <v>0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0</v>
      </c>
      <c r="AB4075">
        <v>0</v>
      </c>
      <c r="AC4075">
        <v>1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</row>
    <row r="4076" spans="1:39" x14ac:dyDescent="0.2">
      <c r="A4076" t="str">
        <f>"4072"</f>
        <v>4072</v>
      </c>
      <c r="B4076" t="str">
        <f t="shared" si="224"/>
        <v>1</v>
      </c>
      <c r="C4076" t="str">
        <f t="shared" si="226"/>
        <v>82</v>
      </c>
      <c r="D4076" t="str">
        <f>"5"</f>
        <v>5</v>
      </c>
      <c r="E4076" t="str">
        <f>"1-82-5"</f>
        <v>1-82-5</v>
      </c>
      <c r="F4076" t="s">
        <v>65</v>
      </c>
      <c r="G4076" t="s">
        <v>66</v>
      </c>
      <c r="H4076" t="s">
        <v>68</v>
      </c>
      <c r="I4076">
        <v>1</v>
      </c>
      <c r="J4076">
        <v>0</v>
      </c>
      <c r="K4076">
        <v>1</v>
      </c>
      <c r="L4076">
        <v>0</v>
      </c>
      <c r="M4076">
        <v>1</v>
      </c>
      <c r="N4076">
        <v>1</v>
      </c>
      <c r="O4076">
        <v>1</v>
      </c>
      <c r="P4076">
        <v>1</v>
      </c>
      <c r="Q4076">
        <v>1</v>
      </c>
      <c r="R4076">
        <v>1</v>
      </c>
    </row>
    <row r="4077" spans="1:39" x14ac:dyDescent="0.2">
      <c r="A4077" t="str">
        <f>"4073"</f>
        <v>4073</v>
      </c>
      <c r="B4077" t="str">
        <f t="shared" si="224"/>
        <v>1</v>
      </c>
      <c r="C4077" t="str">
        <f t="shared" si="226"/>
        <v>82</v>
      </c>
      <c r="D4077" t="str">
        <f>"37"</f>
        <v>37</v>
      </c>
      <c r="E4077" t="str">
        <f>"1-82-37"</f>
        <v>1-82-37</v>
      </c>
      <c r="F4077" t="s">
        <v>65</v>
      </c>
      <c r="G4077" t="s">
        <v>66</v>
      </c>
      <c r="H4077" t="s">
        <v>67</v>
      </c>
      <c r="S4077">
        <v>0</v>
      </c>
      <c r="T4077">
        <v>1</v>
      </c>
      <c r="U4077">
        <v>0</v>
      </c>
      <c r="V4077">
        <v>0</v>
      </c>
      <c r="W4077">
        <v>0</v>
      </c>
      <c r="X4077">
        <v>1</v>
      </c>
      <c r="Y4077">
        <v>0</v>
      </c>
      <c r="Z4077">
        <v>1</v>
      </c>
      <c r="AA4077">
        <v>0</v>
      </c>
      <c r="AB4077">
        <v>1</v>
      </c>
      <c r="AC4077">
        <v>0</v>
      </c>
      <c r="AD4077">
        <v>1</v>
      </c>
      <c r="AE4077">
        <v>1</v>
      </c>
      <c r="AF4077">
        <v>1</v>
      </c>
      <c r="AG4077">
        <v>1</v>
      </c>
      <c r="AH4077">
        <v>1</v>
      </c>
      <c r="AI4077">
        <v>1</v>
      </c>
      <c r="AJ4077">
        <v>1</v>
      </c>
      <c r="AK4077">
        <v>1</v>
      </c>
      <c r="AL4077">
        <v>1</v>
      </c>
      <c r="AM4077">
        <v>1</v>
      </c>
    </row>
    <row r="4078" spans="1:39" x14ac:dyDescent="0.2">
      <c r="A4078" t="str">
        <f>"4074"</f>
        <v>4074</v>
      </c>
      <c r="B4078" t="str">
        <f t="shared" si="224"/>
        <v>1</v>
      </c>
      <c r="C4078" t="str">
        <f t="shared" si="226"/>
        <v>82</v>
      </c>
      <c r="D4078" t="str">
        <f>"21"</f>
        <v>21</v>
      </c>
      <c r="E4078" t="str">
        <f>"1-82-21"</f>
        <v>1-82-21</v>
      </c>
      <c r="F4078" t="s">
        <v>65</v>
      </c>
      <c r="G4078" t="s">
        <v>66</v>
      </c>
      <c r="H4078" t="s">
        <v>67</v>
      </c>
      <c r="S4078">
        <v>0</v>
      </c>
      <c r="T4078">
        <v>1</v>
      </c>
      <c r="U4078">
        <v>0</v>
      </c>
      <c r="V4078">
        <v>0</v>
      </c>
      <c r="W4078">
        <v>1</v>
      </c>
      <c r="X4078">
        <v>0</v>
      </c>
      <c r="Y4078">
        <v>0</v>
      </c>
      <c r="Z4078">
        <v>1</v>
      </c>
      <c r="AA4078">
        <v>0</v>
      </c>
      <c r="AB4078">
        <v>0</v>
      </c>
      <c r="AC4078">
        <v>1</v>
      </c>
      <c r="AD4078">
        <v>1</v>
      </c>
      <c r="AE4078">
        <v>1</v>
      </c>
      <c r="AF4078">
        <v>1</v>
      </c>
      <c r="AG4078">
        <v>1</v>
      </c>
      <c r="AH4078">
        <v>1</v>
      </c>
      <c r="AI4078">
        <v>1</v>
      </c>
      <c r="AJ4078">
        <v>1</v>
      </c>
      <c r="AK4078">
        <v>1</v>
      </c>
      <c r="AL4078">
        <v>1</v>
      </c>
      <c r="AM4078">
        <v>1</v>
      </c>
    </row>
    <row r="4079" spans="1:39" x14ac:dyDescent="0.2">
      <c r="A4079" t="str">
        <f>"4075"</f>
        <v>4075</v>
      </c>
      <c r="B4079" t="str">
        <f t="shared" si="224"/>
        <v>1</v>
      </c>
      <c r="C4079" t="str">
        <f t="shared" si="226"/>
        <v>82</v>
      </c>
      <c r="D4079" t="str">
        <f>"6"</f>
        <v>6</v>
      </c>
      <c r="E4079" t="str">
        <f>"1-82-6"</f>
        <v>1-82-6</v>
      </c>
      <c r="F4079" t="s">
        <v>65</v>
      </c>
      <c r="G4079" t="s">
        <v>66</v>
      </c>
      <c r="H4079" t="s">
        <v>68</v>
      </c>
      <c r="I4079">
        <v>1</v>
      </c>
      <c r="J4079">
        <v>0</v>
      </c>
      <c r="K4079">
        <v>1</v>
      </c>
      <c r="L4079">
        <v>0</v>
      </c>
      <c r="M4079">
        <v>1</v>
      </c>
      <c r="N4079">
        <v>1</v>
      </c>
      <c r="O4079">
        <v>1</v>
      </c>
      <c r="P4079">
        <v>1</v>
      </c>
      <c r="Q4079">
        <v>1</v>
      </c>
      <c r="R4079">
        <v>1</v>
      </c>
    </row>
    <row r="4080" spans="1:39" x14ac:dyDescent="0.2">
      <c r="A4080" t="str">
        <f>"4076"</f>
        <v>4076</v>
      </c>
      <c r="B4080" t="str">
        <f t="shared" si="224"/>
        <v>1</v>
      </c>
      <c r="C4080" t="str">
        <f t="shared" si="226"/>
        <v>82</v>
      </c>
      <c r="D4080" t="str">
        <f>"38"</f>
        <v>38</v>
      </c>
      <c r="E4080" t="str">
        <f>"1-82-38"</f>
        <v>1-82-38</v>
      </c>
      <c r="F4080" t="s">
        <v>65</v>
      </c>
      <c r="G4080" t="s">
        <v>66</v>
      </c>
      <c r="H4080" t="s">
        <v>67</v>
      </c>
      <c r="S4080">
        <v>1</v>
      </c>
      <c r="T4080">
        <v>0</v>
      </c>
      <c r="U4080">
        <v>0</v>
      </c>
      <c r="V4080">
        <v>0</v>
      </c>
      <c r="W4080">
        <v>1</v>
      </c>
      <c r="X4080">
        <v>0</v>
      </c>
      <c r="Y4080">
        <v>1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1</v>
      </c>
      <c r="AF4080">
        <v>1</v>
      </c>
      <c r="AG4080">
        <v>1</v>
      </c>
      <c r="AH4080">
        <v>1</v>
      </c>
      <c r="AI4080">
        <v>1</v>
      </c>
      <c r="AJ4080">
        <v>1</v>
      </c>
      <c r="AK4080">
        <v>1</v>
      </c>
      <c r="AL4080">
        <v>1</v>
      </c>
      <c r="AM4080">
        <v>1</v>
      </c>
    </row>
    <row r="4081" spans="1:39" x14ac:dyDescent="0.2">
      <c r="A4081" t="str">
        <f>"4077"</f>
        <v>4077</v>
      </c>
      <c r="B4081" t="str">
        <f t="shared" si="224"/>
        <v>1</v>
      </c>
      <c r="C4081" t="str">
        <f t="shared" si="226"/>
        <v>82</v>
      </c>
      <c r="D4081" t="str">
        <f>"22"</f>
        <v>22</v>
      </c>
      <c r="E4081" t="str">
        <f>"1-82-22"</f>
        <v>1-82-22</v>
      </c>
      <c r="F4081" t="s">
        <v>65</v>
      </c>
      <c r="G4081" t="s">
        <v>66</v>
      </c>
      <c r="H4081" t="s">
        <v>67</v>
      </c>
      <c r="S4081">
        <v>0</v>
      </c>
      <c r="T4081">
        <v>1</v>
      </c>
      <c r="U4081">
        <v>0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0</v>
      </c>
      <c r="AB4081">
        <v>0</v>
      </c>
      <c r="AC4081">
        <v>1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</row>
    <row r="4082" spans="1:39" x14ac:dyDescent="0.2">
      <c r="A4082" t="str">
        <f>"4078"</f>
        <v>4078</v>
      </c>
      <c r="B4082" t="str">
        <f t="shared" si="224"/>
        <v>1</v>
      </c>
      <c r="C4082" t="str">
        <f t="shared" si="226"/>
        <v>82</v>
      </c>
      <c r="D4082" t="str">
        <f>"8"</f>
        <v>8</v>
      </c>
      <c r="E4082" t="str">
        <f>"1-82-8"</f>
        <v>1-82-8</v>
      </c>
      <c r="F4082" t="s">
        <v>65</v>
      </c>
      <c r="G4082" t="s">
        <v>66</v>
      </c>
      <c r="H4082" t="s">
        <v>68</v>
      </c>
      <c r="I4082">
        <v>1</v>
      </c>
      <c r="J4082">
        <v>0</v>
      </c>
      <c r="K4082">
        <v>0</v>
      </c>
      <c r="L4082">
        <v>0</v>
      </c>
      <c r="M4082">
        <v>1</v>
      </c>
      <c r="N4082">
        <v>1</v>
      </c>
      <c r="O4082">
        <v>1</v>
      </c>
      <c r="P4082">
        <v>1</v>
      </c>
      <c r="Q4082">
        <v>1</v>
      </c>
      <c r="R4082">
        <v>1</v>
      </c>
    </row>
    <row r="4083" spans="1:39" x14ac:dyDescent="0.2">
      <c r="A4083" t="str">
        <f>"4079"</f>
        <v>4079</v>
      </c>
      <c r="B4083" t="str">
        <f t="shared" si="224"/>
        <v>1</v>
      </c>
      <c r="C4083" t="str">
        <f t="shared" si="226"/>
        <v>82</v>
      </c>
      <c r="D4083" t="str">
        <f>"40"</f>
        <v>40</v>
      </c>
      <c r="E4083" t="str">
        <f>"1-82-40"</f>
        <v>1-82-40</v>
      </c>
      <c r="F4083" t="s">
        <v>65</v>
      </c>
      <c r="G4083" t="s">
        <v>66</v>
      </c>
      <c r="H4083" t="s">
        <v>67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0</v>
      </c>
      <c r="AB4083">
        <v>1</v>
      </c>
      <c r="AC4083">
        <v>0</v>
      </c>
      <c r="AD4083">
        <v>0</v>
      </c>
      <c r="AE4083">
        <v>0</v>
      </c>
      <c r="AF4083">
        <v>0</v>
      </c>
      <c r="AG4083">
        <v>1</v>
      </c>
      <c r="AH4083">
        <v>1</v>
      </c>
      <c r="AI4083">
        <v>1</v>
      </c>
      <c r="AJ4083">
        <v>1</v>
      </c>
      <c r="AK4083">
        <v>0</v>
      </c>
      <c r="AL4083">
        <v>0</v>
      </c>
      <c r="AM4083">
        <v>0</v>
      </c>
    </row>
    <row r="4084" spans="1:39" x14ac:dyDescent="0.2">
      <c r="A4084" t="str">
        <f>"4080"</f>
        <v>4080</v>
      </c>
      <c r="B4084" t="str">
        <f t="shared" si="224"/>
        <v>1</v>
      </c>
      <c r="C4084" t="str">
        <f t="shared" si="226"/>
        <v>82</v>
      </c>
      <c r="D4084" t="str">
        <f>"23"</f>
        <v>23</v>
      </c>
      <c r="E4084" t="str">
        <f>"1-82-23"</f>
        <v>1-82-23</v>
      </c>
      <c r="F4084" t="s">
        <v>65</v>
      </c>
      <c r="G4084" t="s">
        <v>66</v>
      </c>
      <c r="H4084" t="s">
        <v>67</v>
      </c>
      <c r="S4084">
        <v>0</v>
      </c>
      <c r="T4084">
        <v>1</v>
      </c>
      <c r="U4084">
        <v>0</v>
      </c>
      <c r="V4084">
        <v>0</v>
      </c>
      <c r="W4084">
        <v>0</v>
      </c>
      <c r="X4084">
        <v>1</v>
      </c>
      <c r="Y4084">
        <v>0</v>
      </c>
      <c r="Z4084">
        <v>1</v>
      </c>
      <c r="AA4084">
        <v>0</v>
      </c>
      <c r="AB4084">
        <v>1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</row>
    <row r="4085" spans="1:39" x14ac:dyDescent="0.2">
      <c r="A4085" t="str">
        <f>"4081"</f>
        <v>4081</v>
      </c>
      <c r="B4085" t="str">
        <f t="shared" si="224"/>
        <v>1</v>
      </c>
      <c r="C4085" t="str">
        <f t="shared" si="226"/>
        <v>82</v>
      </c>
      <c r="D4085" t="str">
        <f>"4"</f>
        <v>4</v>
      </c>
      <c r="E4085" t="str">
        <f>"1-82-4"</f>
        <v>1-82-4</v>
      </c>
      <c r="F4085" t="s">
        <v>65</v>
      </c>
      <c r="G4085" t="s">
        <v>66</v>
      </c>
      <c r="H4085" t="s">
        <v>68</v>
      </c>
      <c r="I4085">
        <v>1</v>
      </c>
      <c r="J4085">
        <v>0</v>
      </c>
      <c r="K4085">
        <v>0</v>
      </c>
      <c r="L4085">
        <v>1</v>
      </c>
      <c r="M4085">
        <v>1</v>
      </c>
      <c r="N4085">
        <v>1</v>
      </c>
      <c r="O4085">
        <v>1</v>
      </c>
      <c r="P4085">
        <v>1</v>
      </c>
      <c r="Q4085">
        <v>1</v>
      </c>
      <c r="R4085">
        <v>0</v>
      </c>
    </row>
    <row r="4086" spans="1:39" x14ac:dyDescent="0.2">
      <c r="A4086" t="str">
        <f>"4082"</f>
        <v>4082</v>
      </c>
      <c r="B4086" t="str">
        <f t="shared" si="224"/>
        <v>1</v>
      </c>
      <c r="C4086" t="str">
        <f t="shared" si="226"/>
        <v>82</v>
      </c>
      <c r="D4086" t="str">
        <f>"41"</f>
        <v>41</v>
      </c>
      <c r="E4086" t="str">
        <f>"1-82-41"</f>
        <v>1-82-41</v>
      </c>
      <c r="F4086" t="s">
        <v>65</v>
      </c>
      <c r="G4086" t="s">
        <v>66</v>
      </c>
      <c r="H4086" t="s">
        <v>67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1</v>
      </c>
      <c r="Y4086">
        <v>0</v>
      </c>
      <c r="Z4086">
        <v>1</v>
      </c>
      <c r="AA4086">
        <v>0</v>
      </c>
      <c r="AB4086">
        <v>0</v>
      </c>
      <c r="AC4086">
        <v>1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</row>
    <row r="4087" spans="1:39" x14ac:dyDescent="0.2">
      <c r="A4087" t="str">
        <f>"4083"</f>
        <v>4083</v>
      </c>
      <c r="B4087" t="str">
        <f t="shared" ref="B4087:B4150" si="227">"1"</f>
        <v>1</v>
      </c>
      <c r="C4087" t="str">
        <f t="shared" ref="C4087:C4104" si="228">"82"</f>
        <v>82</v>
      </c>
      <c r="D4087" t="str">
        <f>"24"</f>
        <v>24</v>
      </c>
      <c r="E4087" t="str">
        <f>"1-82-24"</f>
        <v>1-82-24</v>
      </c>
      <c r="F4087" t="s">
        <v>65</v>
      </c>
      <c r="G4087" t="s">
        <v>66</v>
      </c>
      <c r="H4087" t="s">
        <v>67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0</v>
      </c>
      <c r="AB4087">
        <v>0</v>
      </c>
      <c r="AC4087">
        <v>1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</row>
    <row r="4088" spans="1:39" x14ac:dyDescent="0.2">
      <c r="A4088" t="str">
        <f>"4084"</f>
        <v>4084</v>
      </c>
      <c r="B4088" t="str">
        <f t="shared" si="227"/>
        <v>1</v>
      </c>
      <c r="C4088" t="str">
        <f t="shared" si="228"/>
        <v>82</v>
      </c>
      <c r="D4088" t="str">
        <f>"11"</f>
        <v>11</v>
      </c>
      <c r="E4088" t="str">
        <f>"1-82-11"</f>
        <v>1-82-11</v>
      </c>
      <c r="F4088" t="s">
        <v>65</v>
      </c>
      <c r="G4088" t="s">
        <v>66</v>
      </c>
      <c r="H4088" t="s">
        <v>68</v>
      </c>
      <c r="I4088">
        <v>0</v>
      </c>
      <c r="J4088">
        <v>0</v>
      </c>
      <c r="K4088">
        <v>0</v>
      </c>
      <c r="L4088">
        <v>1</v>
      </c>
      <c r="M4088">
        <v>1</v>
      </c>
      <c r="N4088">
        <v>1</v>
      </c>
      <c r="O4088">
        <v>1</v>
      </c>
      <c r="P4088">
        <v>1</v>
      </c>
      <c r="Q4088">
        <v>1</v>
      </c>
      <c r="R4088">
        <v>1</v>
      </c>
    </row>
    <row r="4089" spans="1:39" x14ac:dyDescent="0.2">
      <c r="A4089" t="str">
        <f>"4085"</f>
        <v>4085</v>
      </c>
      <c r="B4089" t="str">
        <f t="shared" si="227"/>
        <v>1</v>
      </c>
      <c r="C4089" t="str">
        <f t="shared" si="228"/>
        <v>82</v>
      </c>
      <c r="D4089" t="str">
        <f>"42"</f>
        <v>42</v>
      </c>
      <c r="E4089" t="str">
        <f>"1-82-42"</f>
        <v>1-82-42</v>
      </c>
      <c r="F4089" t="s">
        <v>65</v>
      </c>
      <c r="G4089" t="s">
        <v>66</v>
      </c>
      <c r="H4089" t="s">
        <v>67</v>
      </c>
      <c r="S4089">
        <v>0</v>
      </c>
      <c r="T4089">
        <v>1</v>
      </c>
      <c r="U4089">
        <v>0</v>
      </c>
      <c r="V4089">
        <v>0</v>
      </c>
      <c r="W4089">
        <v>1</v>
      </c>
      <c r="X4089">
        <v>0</v>
      </c>
      <c r="Y4089">
        <v>0</v>
      </c>
      <c r="Z4089">
        <v>1</v>
      </c>
      <c r="AA4089">
        <v>0</v>
      </c>
      <c r="AB4089">
        <v>0</v>
      </c>
      <c r="AC4089">
        <v>1</v>
      </c>
      <c r="AD4089">
        <v>1</v>
      </c>
      <c r="AE4089">
        <v>1</v>
      </c>
      <c r="AF4089">
        <v>1</v>
      </c>
      <c r="AG4089">
        <v>1</v>
      </c>
      <c r="AH4089">
        <v>1</v>
      </c>
      <c r="AI4089">
        <v>1</v>
      </c>
      <c r="AJ4089">
        <v>1</v>
      </c>
      <c r="AK4089">
        <v>1</v>
      </c>
      <c r="AL4089">
        <v>1</v>
      </c>
      <c r="AM4089">
        <v>1</v>
      </c>
    </row>
    <row r="4090" spans="1:39" x14ac:dyDescent="0.2">
      <c r="A4090" t="str">
        <f>"4086"</f>
        <v>4086</v>
      </c>
      <c r="B4090" t="str">
        <f t="shared" si="227"/>
        <v>1</v>
      </c>
      <c r="C4090" t="str">
        <f t="shared" si="228"/>
        <v>82</v>
      </c>
      <c r="D4090" t="str">
        <f>"25"</f>
        <v>25</v>
      </c>
      <c r="E4090" t="str">
        <f>"1-82-25"</f>
        <v>1-82-25</v>
      </c>
      <c r="F4090" t="s">
        <v>65</v>
      </c>
      <c r="G4090" t="s">
        <v>66</v>
      </c>
      <c r="H4090" t="s">
        <v>67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1</v>
      </c>
      <c r="AE4090">
        <v>1</v>
      </c>
      <c r="AF4090">
        <v>1</v>
      </c>
      <c r="AG4090">
        <v>1</v>
      </c>
      <c r="AH4090">
        <v>1</v>
      </c>
      <c r="AI4090">
        <v>1</v>
      </c>
      <c r="AJ4090">
        <v>1</v>
      </c>
      <c r="AK4090">
        <v>1</v>
      </c>
      <c r="AL4090">
        <v>1</v>
      </c>
      <c r="AM4090">
        <v>1</v>
      </c>
    </row>
    <row r="4091" spans="1:39" x14ac:dyDescent="0.2">
      <c r="A4091" t="str">
        <f>"4087"</f>
        <v>4087</v>
      </c>
      <c r="B4091" t="str">
        <f t="shared" si="227"/>
        <v>1</v>
      </c>
      <c r="C4091" t="str">
        <f t="shared" si="228"/>
        <v>82</v>
      </c>
      <c r="D4091" t="str">
        <f>"7"</f>
        <v>7</v>
      </c>
      <c r="E4091" t="str">
        <f>"1-82-7"</f>
        <v>1-82-7</v>
      </c>
      <c r="F4091" t="s">
        <v>65</v>
      </c>
      <c r="G4091" t="s">
        <v>66</v>
      </c>
      <c r="H4091" t="s">
        <v>68</v>
      </c>
      <c r="I4091">
        <v>1</v>
      </c>
      <c r="J4091">
        <v>0</v>
      </c>
      <c r="K4091">
        <v>1</v>
      </c>
      <c r="L4091">
        <v>0</v>
      </c>
      <c r="M4091">
        <v>1</v>
      </c>
      <c r="N4091">
        <v>1</v>
      </c>
      <c r="O4091">
        <v>1</v>
      </c>
      <c r="P4091">
        <v>1</v>
      </c>
      <c r="Q4091">
        <v>1</v>
      </c>
      <c r="R4091">
        <v>1</v>
      </c>
    </row>
    <row r="4092" spans="1:39" x14ac:dyDescent="0.2">
      <c r="A4092" t="str">
        <f>"4088"</f>
        <v>4088</v>
      </c>
      <c r="B4092" t="str">
        <f t="shared" si="227"/>
        <v>1</v>
      </c>
      <c r="C4092" t="str">
        <f t="shared" si="228"/>
        <v>82</v>
      </c>
      <c r="D4092" t="str">
        <f>"45"</f>
        <v>45</v>
      </c>
      <c r="E4092" t="str">
        <f>"1-82-45"</f>
        <v>1-82-45</v>
      </c>
      <c r="F4092" t="s">
        <v>65</v>
      </c>
      <c r="G4092" t="s">
        <v>66</v>
      </c>
      <c r="H4092" t="s">
        <v>67</v>
      </c>
      <c r="S4092">
        <v>1</v>
      </c>
      <c r="T4092">
        <v>0</v>
      </c>
      <c r="U4092">
        <v>0</v>
      </c>
      <c r="V4092">
        <v>0</v>
      </c>
      <c r="W4092">
        <v>0</v>
      </c>
      <c r="X4092">
        <v>1</v>
      </c>
      <c r="Y4092">
        <v>1</v>
      </c>
      <c r="Z4092">
        <v>0</v>
      </c>
      <c r="AA4092">
        <v>0</v>
      </c>
      <c r="AB4092">
        <v>0</v>
      </c>
      <c r="AC4092">
        <v>1</v>
      </c>
      <c r="AD4092">
        <v>1</v>
      </c>
      <c r="AE4092">
        <v>1</v>
      </c>
      <c r="AF4092">
        <v>1</v>
      </c>
      <c r="AG4092">
        <v>1</v>
      </c>
      <c r="AH4092">
        <v>1</v>
      </c>
      <c r="AI4092">
        <v>1</v>
      </c>
      <c r="AJ4092">
        <v>1</v>
      </c>
      <c r="AK4092">
        <v>1</v>
      </c>
      <c r="AL4092">
        <v>1</v>
      </c>
      <c r="AM4092">
        <v>1</v>
      </c>
    </row>
    <row r="4093" spans="1:39" x14ac:dyDescent="0.2">
      <c r="A4093" t="str">
        <f>"4089"</f>
        <v>4089</v>
      </c>
      <c r="B4093" t="str">
        <f t="shared" si="227"/>
        <v>1</v>
      </c>
      <c r="C4093" t="str">
        <f t="shared" si="228"/>
        <v>82</v>
      </c>
      <c r="D4093" t="str">
        <f>"28"</f>
        <v>28</v>
      </c>
      <c r="E4093" t="str">
        <f>"1-82-28"</f>
        <v>1-82-28</v>
      </c>
      <c r="F4093" t="s">
        <v>65</v>
      </c>
      <c r="G4093" t="s">
        <v>66</v>
      </c>
      <c r="H4093" t="s">
        <v>67</v>
      </c>
      <c r="S4093">
        <v>0</v>
      </c>
      <c r="T4093">
        <v>1</v>
      </c>
      <c r="U4093">
        <v>0</v>
      </c>
      <c r="V4093">
        <v>0</v>
      </c>
      <c r="W4093">
        <v>0</v>
      </c>
      <c r="X4093">
        <v>1</v>
      </c>
      <c r="Y4093">
        <v>0</v>
      </c>
      <c r="Z4093">
        <v>1</v>
      </c>
      <c r="AA4093">
        <v>1</v>
      </c>
      <c r="AB4093">
        <v>0</v>
      </c>
      <c r="AC4093">
        <v>0</v>
      </c>
      <c r="AD4093">
        <v>1</v>
      </c>
      <c r="AE4093">
        <v>1</v>
      </c>
      <c r="AF4093">
        <v>1</v>
      </c>
      <c r="AG4093">
        <v>1</v>
      </c>
      <c r="AH4093">
        <v>1</v>
      </c>
      <c r="AI4093">
        <v>1</v>
      </c>
      <c r="AJ4093">
        <v>1</v>
      </c>
      <c r="AK4093">
        <v>1</v>
      </c>
      <c r="AL4093">
        <v>1</v>
      </c>
      <c r="AM4093">
        <v>1</v>
      </c>
    </row>
    <row r="4094" spans="1:39" x14ac:dyDescent="0.2">
      <c r="A4094" t="str">
        <f>"4090"</f>
        <v>4090</v>
      </c>
      <c r="B4094" t="str">
        <f t="shared" si="227"/>
        <v>1</v>
      </c>
      <c r="C4094" t="str">
        <f t="shared" si="228"/>
        <v>82</v>
      </c>
      <c r="D4094" t="str">
        <f>"13"</f>
        <v>13</v>
      </c>
      <c r="E4094" t="str">
        <f>"1-82-13"</f>
        <v>1-82-13</v>
      </c>
      <c r="F4094" t="s">
        <v>65</v>
      </c>
      <c r="G4094" t="s">
        <v>66</v>
      </c>
      <c r="H4094" t="s">
        <v>67</v>
      </c>
      <c r="S4094">
        <v>0</v>
      </c>
      <c r="T4094">
        <v>1</v>
      </c>
      <c r="U4094">
        <v>0</v>
      </c>
      <c r="V4094">
        <v>0</v>
      </c>
      <c r="W4094">
        <v>1</v>
      </c>
      <c r="X4094">
        <v>0</v>
      </c>
      <c r="Y4094">
        <v>1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1</v>
      </c>
      <c r="AF4094">
        <v>1</v>
      </c>
      <c r="AG4094">
        <v>1</v>
      </c>
      <c r="AH4094">
        <v>1</v>
      </c>
      <c r="AI4094">
        <v>1</v>
      </c>
      <c r="AJ4094">
        <v>1</v>
      </c>
      <c r="AK4094">
        <v>1</v>
      </c>
      <c r="AL4094">
        <v>1</v>
      </c>
      <c r="AM4094">
        <v>1</v>
      </c>
    </row>
    <row r="4095" spans="1:39" x14ac:dyDescent="0.2">
      <c r="A4095" t="str">
        <f>"4091"</f>
        <v>4091</v>
      </c>
      <c r="B4095" t="str">
        <f t="shared" si="227"/>
        <v>1</v>
      </c>
      <c r="C4095" t="str">
        <f t="shared" si="228"/>
        <v>82</v>
      </c>
      <c r="D4095" t="str">
        <f>"46"</f>
        <v>46</v>
      </c>
      <c r="E4095" t="str">
        <f>"1-82-46"</f>
        <v>1-82-46</v>
      </c>
      <c r="F4095" t="s">
        <v>65</v>
      </c>
      <c r="G4095" t="s">
        <v>66</v>
      </c>
      <c r="H4095" t="s">
        <v>67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0</v>
      </c>
      <c r="AB4095">
        <v>0</v>
      </c>
      <c r="AC4095">
        <v>1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</row>
    <row r="4096" spans="1:39" x14ac:dyDescent="0.2">
      <c r="A4096" t="str">
        <f>"4092"</f>
        <v>4092</v>
      </c>
      <c r="B4096" t="str">
        <f t="shared" si="227"/>
        <v>1</v>
      </c>
      <c r="C4096" t="str">
        <f t="shared" si="228"/>
        <v>82</v>
      </c>
      <c r="D4096" t="str">
        <f>"29"</f>
        <v>29</v>
      </c>
      <c r="E4096" t="str">
        <f>"1-82-29"</f>
        <v>1-82-29</v>
      </c>
      <c r="F4096" t="s">
        <v>65</v>
      </c>
      <c r="G4096" t="s">
        <v>66</v>
      </c>
      <c r="H4096" t="s">
        <v>67</v>
      </c>
      <c r="S4096">
        <v>1</v>
      </c>
      <c r="T4096">
        <v>0</v>
      </c>
      <c r="U4096">
        <v>0</v>
      </c>
      <c r="V4096">
        <v>0</v>
      </c>
      <c r="W4096">
        <v>0</v>
      </c>
      <c r="X4096">
        <v>1</v>
      </c>
      <c r="Y4096">
        <v>0</v>
      </c>
      <c r="Z4096">
        <v>1</v>
      </c>
      <c r="AA4096">
        <v>0</v>
      </c>
      <c r="AB4096">
        <v>0</v>
      </c>
      <c r="AC4096">
        <v>1</v>
      </c>
      <c r="AD4096">
        <v>1</v>
      </c>
      <c r="AE4096">
        <v>1</v>
      </c>
      <c r="AF4096">
        <v>1</v>
      </c>
      <c r="AG4096">
        <v>1</v>
      </c>
      <c r="AH4096">
        <v>1</v>
      </c>
      <c r="AI4096">
        <v>1</v>
      </c>
      <c r="AJ4096">
        <v>1</v>
      </c>
      <c r="AK4096">
        <v>1</v>
      </c>
      <c r="AL4096">
        <v>1</v>
      </c>
      <c r="AM4096">
        <v>1</v>
      </c>
    </row>
    <row r="4097" spans="1:39" x14ac:dyDescent="0.2">
      <c r="A4097" t="str">
        <f>"4093"</f>
        <v>4093</v>
      </c>
      <c r="B4097" t="str">
        <f t="shared" si="227"/>
        <v>1</v>
      </c>
      <c r="C4097" t="str">
        <f t="shared" si="228"/>
        <v>82</v>
      </c>
      <c r="D4097" t="str">
        <f>"9"</f>
        <v>9</v>
      </c>
      <c r="E4097" t="str">
        <f>"1-82-9"</f>
        <v>1-82-9</v>
      </c>
      <c r="F4097" t="s">
        <v>65</v>
      </c>
      <c r="G4097" t="s">
        <v>66</v>
      </c>
      <c r="H4097" t="s">
        <v>68</v>
      </c>
      <c r="I4097">
        <v>1</v>
      </c>
      <c r="J4097">
        <v>0</v>
      </c>
      <c r="K4097">
        <v>0</v>
      </c>
      <c r="L4097">
        <v>1</v>
      </c>
      <c r="M4097">
        <v>1</v>
      </c>
      <c r="N4097">
        <v>1</v>
      </c>
      <c r="O4097">
        <v>1</v>
      </c>
      <c r="P4097">
        <v>1</v>
      </c>
      <c r="Q4097">
        <v>1</v>
      </c>
      <c r="R4097">
        <v>1</v>
      </c>
    </row>
    <row r="4098" spans="1:39" x14ac:dyDescent="0.2">
      <c r="A4098" t="str">
        <f>"4094"</f>
        <v>4094</v>
      </c>
      <c r="B4098" t="str">
        <f t="shared" si="227"/>
        <v>1</v>
      </c>
      <c r="C4098" t="str">
        <f t="shared" si="228"/>
        <v>82</v>
      </c>
      <c r="D4098" t="str">
        <f>"47"</f>
        <v>47</v>
      </c>
      <c r="E4098" t="str">
        <f>"1-82-47"</f>
        <v>1-82-47</v>
      </c>
      <c r="F4098" t="s">
        <v>65</v>
      </c>
      <c r="G4098" t="s">
        <v>66</v>
      </c>
      <c r="H4098" t="s">
        <v>67</v>
      </c>
      <c r="S4098">
        <v>0</v>
      </c>
      <c r="T4098">
        <v>1</v>
      </c>
      <c r="U4098">
        <v>0</v>
      </c>
      <c r="V4098">
        <v>0</v>
      </c>
      <c r="W4098">
        <v>0</v>
      </c>
      <c r="X4098">
        <v>1</v>
      </c>
      <c r="Y4098">
        <v>1</v>
      </c>
      <c r="Z4098">
        <v>0</v>
      </c>
      <c r="AA4098">
        <v>0</v>
      </c>
      <c r="AB4098">
        <v>0</v>
      </c>
      <c r="AC4098">
        <v>0</v>
      </c>
      <c r="AD4098">
        <v>1</v>
      </c>
      <c r="AE4098">
        <v>1</v>
      </c>
      <c r="AF4098">
        <v>1</v>
      </c>
      <c r="AG4098">
        <v>1</v>
      </c>
      <c r="AH4098">
        <v>1</v>
      </c>
      <c r="AI4098">
        <v>1</v>
      </c>
      <c r="AJ4098">
        <v>1</v>
      </c>
      <c r="AK4098">
        <v>0</v>
      </c>
      <c r="AL4098">
        <v>1</v>
      </c>
      <c r="AM4098">
        <v>1</v>
      </c>
    </row>
    <row r="4099" spans="1:39" x14ac:dyDescent="0.2">
      <c r="A4099" t="str">
        <f>"4095"</f>
        <v>4095</v>
      </c>
      <c r="B4099" t="str">
        <f t="shared" si="227"/>
        <v>1</v>
      </c>
      <c r="C4099" t="str">
        <f t="shared" si="228"/>
        <v>82</v>
      </c>
      <c r="D4099" t="str">
        <f>"30"</f>
        <v>30</v>
      </c>
      <c r="E4099" t="str">
        <f>"1-82-30"</f>
        <v>1-82-30</v>
      </c>
      <c r="F4099" t="s">
        <v>65</v>
      </c>
      <c r="G4099" t="s">
        <v>66</v>
      </c>
      <c r="H4099" t="s">
        <v>67</v>
      </c>
      <c r="S4099">
        <v>1</v>
      </c>
      <c r="T4099">
        <v>0</v>
      </c>
      <c r="U4099">
        <v>0</v>
      </c>
      <c r="V4099">
        <v>0</v>
      </c>
      <c r="W4099">
        <v>0</v>
      </c>
      <c r="X4099">
        <v>1</v>
      </c>
      <c r="Y4099">
        <v>1</v>
      </c>
      <c r="Z4099">
        <v>0</v>
      </c>
      <c r="AA4099">
        <v>0</v>
      </c>
      <c r="AB4099">
        <v>1</v>
      </c>
      <c r="AC4099">
        <v>0</v>
      </c>
      <c r="AD4099">
        <v>1</v>
      </c>
      <c r="AE4099">
        <v>1</v>
      </c>
      <c r="AF4099">
        <v>1</v>
      </c>
      <c r="AG4099">
        <v>1</v>
      </c>
      <c r="AH4099">
        <v>1</v>
      </c>
      <c r="AI4099">
        <v>1</v>
      </c>
      <c r="AJ4099">
        <v>1</v>
      </c>
      <c r="AK4099">
        <v>1</v>
      </c>
      <c r="AL4099">
        <v>0</v>
      </c>
      <c r="AM4099">
        <v>1</v>
      </c>
    </row>
    <row r="4100" spans="1:39" x14ac:dyDescent="0.2">
      <c r="A4100" t="str">
        <f>"4096"</f>
        <v>4096</v>
      </c>
      <c r="B4100" t="str">
        <f t="shared" si="227"/>
        <v>1</v>
      </c>
      <c r="C4100" t="str">
        <f t="shared" si="228"/>
        <v>82</v>
      </c>
      <c r="D4100" t="str">
        <f>"14"</f>
        <v>14</v>
      </c>
      <c r="E4100" t="str">
        <f>"1-82-14"</f>
        <v>1-82-14</v>
      </c>
      <c r="F4100" t="s">
        <v>65</v>
      </c>
      <c r="G4100" t="s">
        <v>66</v>
      </c>
      <c r="H4100" t="s">
        <v>67</v>
      </c>
      <c r="S4100">
        <v>1</v>
      </c>
      <c r="T4100">
        <v>0</v>
      </c>
      <c r="U4100">
        <v>0</v>
      </c>
      <c r="V4100">
        <v>0</v>
      </c>
      <c r="W4100">
        <v>1</v>
      </c>
      <c r="X4100">
        <v>0</v>
      </c>
      <c r="Y4100">
        <v>1</v>
      </c>
      <c r="Z4100">
        <v>0</v>
      </c>
      <c r="AA4100">
        <v>1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1</v>
      </c>
      <c r="AJ4100">
        <v>0</v>
      </c>
      <c r="AK4100">
        <v>0</v>
      </c>
      <c r="AL4100">
        <v>0</v>
      </c>
      <c r="AM4100">
        <v>0</v>
      </c>
    </row>
    <row r="4101" spans="1:39" x14ac:dyDescent="0.2">
      <c r="A4101" t="str">
        <f>"4097"</f>
        <v>4097</v>
      </c>
      <c r="B4101" t="str">
        <f t="shared" si="227"/>
        <v>1</v>
      </c>
      <c r="C4101" t="str">
        <f t="shared" si="228"/>
        <v>82</v>
      </c>
      <c r="D4101" t="str">
        <f>"48"</f>
        <v>48</v>
      </c>
      <c r="E4101" t="str">
        <f>"1-82-48"</f>
        <v>1-82-48</v>
      </c>
      <c r="F4101" t="s">
        <v>65</v>
      </c>
      <c r="G4101" t="s">
        <v>66</v>
      </c>
      <c r="H4101" t="s">
        <v>67</v>
      </c>
      <c r="S4101">
        <v>0</v>
      </c>
      <c r="T4101">
        <v>1</v>
      </c>
      <c r="U4101">
        <v>0</v>
      </c>
      <c r="V4101">
        <v>0</v>
      </c>
      <c r="W4101">
        <v>0</v>
      </c>
      <c r="X4101">
        <v>1</v>
      </c>
      <c r="Y4101">
        <v>0</v>
      </c>
      <c r="Z4101">
        <v>1</v>
      </c>
      <c r="AA4101">
        <v>1</v>
      </c>
      <c r="AB4101">
        <v>0</v>
      </c>
      <c r="AC4101">
        <v>0</v>
      </c>
      <c r="AD4101">
        <v>1</v>
      </c>
      <c r="AE4101">
        <v>1</v>
      </c>
      <c r="AF4101">
        <v>1</v>
      </c>
      <c r="AG4101">
        <v>1</v>
      </c>
      <c r="AH4101">
        <v>1</v>
      </c>
      <c r="AI4101">
        <v>1</v>
      </c>
      <c r="AJ4101">
        <v>1</v>
      </c>
      <c r="AK4101">
        <v>1</v>
      </c>
      <c r="AL4101">
        <v>1</v>
      </c>
      <c r="AM4101">
        <v>1</v>
      </c>
    </row>
    <row r="4102" spans="1:39" x14ac:dyDescent="0.2">
      <c r="A4102" t="str">
        <f>"4098"</f>
        <v>4098</v>
      </c>
      <c r="B4102" t="str">
        <f t="shared" si="227"/>
        <v>1</v>
      </c>
      <c r="C4102" t="str">
        <f t="shared" si="228"/>
        <v>82</v>
      </c>
      <c r="D4102" t="str">
        <f>"31"</f>
        <v>31</v>
      </c>
      <c r="E4102" t="str">
        <f>"1-82-31"</f>
        <v>1-82-31</v>
      </c>
      <c r="F4102" t="s">
        <v>65</v>
      </c>
      <c r="G4102" t="s">
        <v>66</v>
      </c>
      <c r="H4102" t="s">
        <v>67</v>
      </c>
      <c r="S4102">
        <v>0</v>
      </c>
      <c r="T4102">
        <v>1</v>
      </c>
      <c r="U4102">
        <v>0</v>
      </c>
      <c r="V4102">
        <v>0</v>
      </c>
      <c r="W4102">
        <v>1</v>
      </c>
      <c r="X4102">
        <v>0</v>
      </c>
      <c r="Y4102">
        <v>0</v>
      </c>
      <c r="Z4102">
        <v>1</v>
      </c>
      <c r="AA4102">
        <v>0</v>
      </c>
      <c r="AB4102">
        <v>1</v>
      </c>
      <c r="AC4102">
        <v>0</v>
      </c>
      <c r="AD4102">
        <v>1</v>
      </c>
      <c r="AE4102">
        <v>1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1</v>
      </c>
      <c r="AM4102">
        <v>0</v>
      </c>
    </row>
    <row r="4103" spans="1:39" x14ac:dyDescent="0.2">
      <c r="A4103" t="str">
        <f>"4099"</f>
        <v>4099</v>
      </c>
      <c r="B4103" t="str">
        <f t="shared" si="227"/>
        <v>1</v>
      </c>
      <c r="C4103" t="str">
        <f t="shared" si="228"/>
        <v>82</v>
      </c>
      <c r="D4103" t="str">
        <f>"12"</f>
        <v>12</v>
      </c>
      <c r="E4103" t="str">
        <f>"1-82-12"</f>
        <v>1-82-12</v>
      </c>
      <c r="F4103" t="s">
        <v>65</v>
      </c>
      <c r="G4103" t="s">
        <v>66</v>
      </c>
      <c r="H4103" t="s">
        <v>68</v>
      </c>
      <c r="I4103">
        <v>1</v>
      </c>
      <c r="J4103">
        <v>1</v>
      </c>
      <c r="K4103">
        <v>0</v>
      </c>
      <c r="L4103">
        <v>0</v>
      </c>
      <c r="M4103">
        <v>1</v>
      </c>
      <c r="N4103">
        <v>1</v>
      </c>
      <c r="O4103">
        <v>1</v>
      </c>
      <c r="P4103">
        <v>1</v>
      </c>
      <c r="Q4103">
        <v>1</v>
      </c>
      <c r="R4103">
        <v>1</v>
      </c>
    </row>
    <row r="4104" spans="1:39" x14ac:dyDescent="0.2">
      <c r="A4104" t="str">
        <f>"4100"</f>
        <v>4100</v>
      </c>
      <c r="B4104" t="str">
        <f t="shared" si="227"/>
        <v>1</v>
      </c>
      <c r="C4104" t="str">
        <f t="shared" si="228"/>
        <v>82</v>
      </c>
      <c r="D4104" t="str">
        <f>"50"</f>
        <v>50</v>
      </c>
      <c r="E4104" t="str">
        <f>"1-82-50"</f>
        <v>1-82-50</v>
      </c>
      <c r="F4104" t="s">
        <v>65</v>
      </c>
      <c r="G4104" t="s">
        <v>66</v>
      </c>
      <c r="H4104" t="s">
        <v>67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1</v>
      </c>
      <c r="Y4104">
        <v>0</v>
      </c>
      <c r="Z4104">
        <v>1</v>
      </c>
      <c r="AA4104">
        <v>0</v>
      </c>
      <c r="AB4104">
        <v>0</v>
      </c>
      <c r="AC4104">
        <v>1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1</v>
      </c>
      <c r="AJ4104">
        <v>0</v>
      </c>
      <c r="AK4104">
        <v>0</v>
      </c>
      <c r="AL4104">
        <v>0</v>
      </c>
      <c r="AM4104">
        <v>0</v>
      </c>
    </row>
    <row r="4105" spans="1:39" x14ac:dyDescent="0.2">
      <c r="A4105" t="str">
        <f>"4101"</f>
        <v>4101</v>
      </c>
      <c r="B4105" t="str">
        <f t="shared" si="227"/>
        <v>1</v>
      </c>
      <c r="C4105" t="str">
        <f t="shared" ref="C4105:C4136" si="229">"83"</f>
        <v>83</v>
      </c>
      <c r="D4105" t="str">
        <f>"43"</f>
        <v>43</v>
      </c>
      <c r="E4105" t="str">
        <f>"1-83-43"</f>
        <v>1-83-43</v>
      </c>
      <c r="F4105" t="s">
        <v>65</v>
      </c>
      <c r="G4105" t="s">
        <v>66</v>
      </c>
      <c r="H4105" t="s">
        <v>67</v>
      </c>
      <c r="S4105">
        <v>1</v>
      </c>
      <c r="T4105">
        <v>0</v>
      </c>
      <c r="U4105">
        <v>0</v>
      </c>
      <c r="V4105">
        <v>0</v>
      </c>
      <c r="W4105">
        <v>1</v>
      </c>
      <c r="X4105">
        <v>0</v>
      </c>
      <c r="Y4105">
        <v>0</v>
      </c>
      <c r="Z4105">
        <v>1</v>
      </c>
      <c r="AA4105">
        <v>0</v>
      </c>
      <c r="AB4105">
        <v>0</v>
      </c>
      <c r="AC4105">
        <v>1</v>
      </c>
      <c r="AD4105">
        <v>1</v>
      </c>
      <c r="AE4105">
        <v>1</v>
      </c>
      <c r="AF4105">
        <v>1</v>
      </c>
      <c r="AG4105">
        <v>1</v>
      </c>
      <c r="AH4105">
        <v>1</v>
      </c>
      <c r="AI4105">
        <v>1</v>
      </c>
      <c r="AJ4105">
        <v>1</v>
      </c>
      <c r="AK4105">
        <v>1</v>
      </c>
      <c r="AL4105">
        <v>1</v>
      </c>
      <c r="AM4105">
        <v>1</v>
      </c>
    </row>
    <row r="4106" spans="1:39" x14ac:dyDescent="0.2">
      <c r="A4106" t="str">
        <f>"4102"</f>
        <v>4102</v>
      </c>
      <c r="B4106" t="str">
        <f t="shared" si="227"/>
        <v>1</v>
      </c>
      <c r="C4106" t="str">
        <f t="shared" si="229"/>
        <v>83</v>
      </c>
      <c r="D4106" t="str">
        <f>"42"</f>
        <v>42</v>
      </c>
      <c r="E4106" t="str">
        <f>"1-83-42"</f>
        <v>1-83-42</v>
      </c>
      <c r="F4106" t="s">
        <v>65</v>
      </c>
      <c r="G4106" t="s">
        <v>66</v>
      </c>
      <c r="H4106" t="s">
        <v>67</v>
      </c>
      <c r="S4106">
        <v>0</v>
      </c>
      <c r="T4106">
        <v>1</v>
      </c>
      <c r="U4106">
        <v>0</v>
      </c>
      <c r="V4106">
        <v>0</v>
      </c>
      <c r="W4106">
        <v>0</v>
      </c>
      <c r="X4106">
        <v>1</v>
      </c>
      <c r="Y4106">
        <v>0</v>
      </c>
      <c r="Z4106">
        <v>1</v>
      </c>
      <c r="AA4106">
        <v>0</v>
      </c>
      <c r="AB4106">
        <v>1</v>
      </c>
      <c r="AC4106">
        <v>0</v>
      </c>
      <c r="AD4106">
        <v>1</v>
      </c>
      <c r="AE4106">
        <v>1</v>
      </c>
      <c r="AF4106">
        <v>1</v>
      </c>
      <c r="AG4106">
        <v>1</v>
      </c>
      <c r="AH4106">
        <v>1</v>
      </c>
      <c r="AI4106">
        <v>1</v>
      </c>
      <c r="AJ4106">
        <v>1</v>
      </c>
      <c r="AK4106">
        <v>1</v>
      </c>
      <c r="AL4106">
        <v>1</v>
      </c>
      <c r="AM4106">
        <v>1</v>
      </c>
    </row>
    <row r="4107" spans="1:39" x14ac:dyDescent="0.2">
      <c r="A4107" t="str">
        <f>"4103"</f>
        <v>4103</v>
      </c>
      <c r="B4107" t="str">
        <f t="shared" si="227"/>
        <v>1</v>
      </c>
      <c r="C4107" t="str">
        <f t="shared" si="229"/>
        <v>83</v>
      </c>
      <c r="D4107" t="str">
        <f>"31"</f>
        <v>31</v>
      </c>
      <c r="E4107" t="str">
        <f>"1-83-31"</f>
        <v>1-83-31</v>
      </c>
      <c r="F4107" t="s">
        <v>65</v>
      </c>
      <c r="G4107" t="s">
        <v>66</v>
      </c>
      <c r="H4107" t="s">
        <v>67</v>
      </c>
      <c r="S4107">
        <v>0</v>
      </c>
      <c r="T4107">
        <v>1</v>
      </c>
      <c r="U4107">
        <v>0</v>
      </c>
      <c r="V4107">
        <v>0</v>
      </c>
      <c r="W4107">
        <v>1</v>
      </c>
      <c r="X4107">
        <v>0</v>
      </c>
      <c r="Y4107">
        <v>1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1</v>
      </c>
      <c r="AF4107">
        <v>1</v>
      </c>
      <c r="AG4107">
        <v>1</v>
      </c>
      <c r="AH4107">
        <v>1</v>
      </c>
      <c r="AI4107">
        <v>1</v>
      </c>
      <c r="AJ4107">
        <v>1</v>
      </c>
      <c r="AK4107">
        <v>1</v>
      </c>
      <c r="AL4107">
        <v>1</v>
      </c>
      <c r="AM4107">
        <v>1</v>
      </c>
    </row>
    <row r="4108" spans="1:39" x14ac:dyDescent="0.2">
      <c r="A4108" t="str">
        <f>"4104"</f>
        <v>4104</v>
      </c>
      <c r="B4108" t="str">
        <f t="shared" si="227"/>
        <v>1</v>
      </c>
      <c r="C4108" t="str">
        <f t="shared" si="229"/>
        <v>83</v>
      </c>
      <c r="D4108" t="str">
        <f>"30"</f>
        <v>30</v>
      </c>
      <c r="E4108" t="str">
        <f>"1-83-30"</f>
        <v>1-83-30</v>
      </c>
      <c r="F4108" t="s">
        <v>65</v>
      </c>
      <c r="G4108" t="s">
        <v>66</v>
      </c>
      <c r="H4108" t="s">
        <v>67</v>
      </c>
      <c r="S4108">
        <v>0</v>
      </c>
      <c r="T4108">
        <v>1</v>
      </c>
      <c r="U4108">
        <v>0</v>
      </c>
      <c r="V4108">
        <v>0</v>
      </c>
      <c r="W4108">
        <v>1</v>
      </c>
      <c r="X4108">
        <v>0</v>
      </c>
      <c r="Y4108">
        <v>1</v>
      </c>
      <c r="Z4108">
        <v>0</v>
      </c>
      <c r="AA4108">
        <v>0</v>
      </c>
      <c r="AB4108">
        <v>0</v>
      </c>
      <c r="AC4108">
        <v>1</v>
      </c>
      <c r="AD4108">
        <v>1</v>
      </c>
      <c r="AE4108">
        <v>1</v>
      </c>
      <c r="AF4108">
        <v>1</v>
      </c>
      <c r="AG4108">
        <v>1</v>
      </c>
      <c r="AH4108">
        <v>1</v>
      </c>
      <c r="AI4108">
        <v>1</v>
      </c>
      <c r="AJ4108">
        <v>1</v>
      </c>
      <c r="AK4108">
        <v>1</v>
      </c>
      <c r="AL4108">
        <v>1</v>
      </c>
      <c r="AM4108">
        <v>1</v>
      </c>
    </row>
    <row r="4109" spans="1:39" x14ac:dyDescent="0.2">
      <c r="A4109" t="str">
        <f>"4105"</f>
        <v>4105</v>
      </c>
      <c r="B4109" t="str">
        <f t="shared" si="227"/>
        <v>1</v>
      </c>
      <c r="C4109" t="str">
        <f t="shared" si="229"/>
        <v>83</v>
      </c>
      <c r="D4109" t="str">
        <f>"20"</f>
        <v>20</v>
      </c>
      <c r="E4109" t="str">
        <f>"1-83-20"</f>
        <v>1-83-20</v>
      </c>
      <c r="F4109" t="s">
        <v>65</v>
      </c>
      <c r="G4109" t="s">
        <v>66</v>
      </c>
      <c r="H4109" t="s">
        <v>67</v>
      </c>
      <c r="S4109">
        <v>1</v>
      </c>
      <c r="T4109">
        <v>0</v>
      </c>
      <c r="U4109">
        <v>0</v>
      </c>
      <c r="V4109">
        <v>0</v>
      </c>
      <c r="W4109">
        <v>1</v>
      </c>
      <c r="X4109">
        <v>0</v>
      </c>
      <c r="Y4109">
        <v>0</v>
      </c>
      <c r="Z4109">
        <v>1</v>
      </c>
      <c r="AA4109">
        <v>0</v>
      </c>
      <c r="AB4109">
        <v>0</v>
      </c>
      <c r="AC4109">
        <v>1</v>
      </c>
      <c r="AD4109">
        <v>1</v>
      </c>
      <c r="AE4109">
        <v>1</v>
      </c>
      <c r="AF4109">
        <v>1</v>
      </c>
      <c r="AG4109">
        <v>1</v>
      </c>
      <c r="AH4109">
        <v>1</v>
      </c>
      <c r="AI4109">
        <v>1</v>
      </c>
      <c r="AJ4109">
        <v>1</v>
      </c>
      <c r="AK4109">
        <v>1</v>
      </c>
      <c r="AL4109">
        <v>1</v>
      </c>
      <c r="AM4109">
        <v>1</v>
      </c>
    </row>
    <row r="4110" spans="1:39" x14ac:dyDescent="0.2">
      <c r="A4110" t="str">
        <f>"4106"</f>
        <v>4106</v>
      </c>
      <c r="B4110" t="str">
        <f t="shared" si="227"/>
        <v>1</v>
      </c>
      <c r="C4110" t="str">
        <f t="shared" si="229"/>
        <v>83</v>
      </c>
      <c r="D4110" t="str">
        <f>"15"</f>
        <v>15</v>
      </c>
      <c r="E4110" t="str">
        <f>"1-83-15"</f>
        <v>1-83-15</v>
      </c>
      <c r="F4110" t="s">
        <v>65</v>
      </c>
      <c r="G4110" t="s">
        <v>66</v>
      </c>
      <c r="H4110" t="s">
        <v>67</v>
      </c>
      <c r="S4110">
        <v>1</v>
      </c>
      <c r="T4110">
        <v>0</v>
      </c>
      <c r="U4110">
        <v>0</v>
      </c>
      <c r="V4110">
        <v>0</v>
      </c>
      <c r="W4110">
        <v>1</v>
      </c>
      <c r="X4110">
        <v>0</v>
      </c>
      <c r="Y4110">
        <v>1</v>
      </c>
      <c r="Z4110">
        <v>0</v>
      </c>
      <c r="AA4110">
        <v>0</v>
      </c>
      <c r="AB4110">
        <v>1</v>
      </c>
      <c r="AC4110">
        <v>0</v>
      </c>
      <c r="AD4110">
        <v>1</v>
      </c>
      <c r="AE4110">
        <v>1</v>
      </c>
      <c r="AF4110">
        <v>1</v>
      </c>
      <c r="AG4110">
        <v>0</v>
      </c>
      <c r="AH4110">
        <v>1</v>
      </c>
      <c r="AI4110">
        <v>1</v>
      </c>
      <c r="AJ4110">
        <v>1</v>
      </c>
      <c r="AK4110">
        <v>1</v>
      </c>
      <c r="AL4110">
        <v>1</v>
      </c>
      <c r="AM4110">
        <v>1</v>
      </c>
    </row>
    <row r="4111" spans="1:39" x14ac:dyDescent="0.2">
      <c r="A4111" t="str">
        <f>"4107"</f>
        <v>4107</v>
      </c>
      <c r="B4111" t="str">
        <f t="shared" si="227"/>
        <v>1</v>
      </c>
      <c r="C4111" t="str">
        <f t="shared" si="229"/>
        <v>83</v>
      </c>
      <c r="D4111" t="str">
        <f>"4"</f>
        <v>4</v>
      </c>
      <c r="E4111" t="str">
        <f>"1-83-4"</f>
        <v>1-83-4</v>
      </c>
      <c r="F4111" t="s">
        <v>65</v>
      </c>
      <c r="G4111" t="s">
        <v>66</v>
      </c>
      <c r="H4111" t="s">
        <v>67</v>
      </c>
      <c r="S4111">
        <v>0</v>
      </c>
      <c r="T4111">
        <v>1</v>
      </c>
      <c r="U4111">
        <v>0</v>
      </c>
      <c r="V4111">
        <v>0</v>
      </c>
      <c r="W4111">
        <v>1</v>
      </c>
      <c r="X4111">
        <v>0</v>
      </c>
      <c r="Y4111">
        <v>0</v>
      </c>
      <c r="Z4111">
        <v>1</v>
      </c>
      <c r="AA4111">
        <v>1</v>
      </c>
      <c r="AB4111">
        <v>0</v>
      </c>
      <c r="AC4111">
        <v>0</v>
      </c>
      <c r="AD4111">
        <v>1</v>
      </c>
      <c r="AE4111">
        <v>1</v>
      </c>
      <c r="AF4111">
        <v>1</v>
      </c>
      <c r="AG4111">
        <v>1</v>
      </c>
      <c r="AH4111">
        <v>1</v>
      </c>
      <c r="AI4111">
        <v>1</v>
      </c>
      <c r="AJ4111">
        <v>1</v>
      </c>
      <c r="AK4111">
        <v>1</v>
      </c>
      <c r="AL4111">
        <v>1</v>
      </c>
      <c r="AM4111">
        <v>1</v>
      </c>
    </row>
    <row r="4112" spans="1:39" x14ac:dyDescent="0.2">
      <c r="A4112" t="str">
        <f>"4108"</f>
        <v>4108</v>
      </c>
      <c r="B4112" t="str">
        <f t="shared" si="227"/>
        <v>1</v>
      </c>
      <c r="C4112" t="str">
        <f t="shared" si="229"/>
        <v>83</v>
      </c>
      <c r="D4112" t="str">
        <f>"39"</f>
        <v>39</v>
      </c>
      <c r="E4112" t="str">
        <f>"1-83-39"</f>
        <v>1-83-39</v>
      </c>
      <c r="F4112" t="s">
        <v>65</v>
      </c>
      <c r="G4112" t="s">
        <v>66</v>
      </c>
      <c r="H4112" t="s">
        <v>67</v>
      </c>
      <c r="S4112">
        <v>1</v>
      </c>
      <c r="T4112">
        <v>0</v>
      </c>
      <c r="U4112">
        <v>0</v>
      </c>
      <c r="V4112">
        <v>0</v>
      </c>
      <c r="W4112">
        <v>0</v>
      </c>
      <c r="X4112">
        <v>1</v>
      </c>
      <c r="Y4112">
        <v>1</v>
      </c>
      <c r="Z4112">
        <v>0</v>
      </c>
      <c r="AA4112">
        <v>1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</row>
    <row r="4113" spans="1:39" x14ac:dyDescent="0.2">
      <c r="A4113" t="str">
        <f>"4109"</f>
        <v>4109</v>
      </c>
      <c r="B4113" t="str">
        <f t="shared" si="227"/>
        <v>1</v>
      </c>
      <c r="C4113" t="str">
        <f t="shared" si="229"/>
        <v>83</v>
      </c>
      <c r="D4113" t="str">
        <f>"38"</f>
        <v>38</v>
      </c>
      <c r="E4113" t="str">
        <f>"1-83-38"</f>
        <v>1-83-38</v>
      </c>
      <c r="F4113" t="s">
        <v>65</v>
      </c>
      <c r="G4113" t="s">
        <v>66</v>
      </c>
      <c r="H4113" t="s">
        <v>67</v>
      </c>
      <c r="S4113">
        <v>0</v>
      </c>
      <c r="T4113">
        <v>1</v>
      </c>
      <c r="U4113">
        <v>0</v>
      </c>
      <c r="V4113">
        <v>0</v>
      </c>
      <c r="W4113">
        <v>0</v>
      </c>
      <c r="X4113">
        <v>1</v>
      </c>
      <c r="Y4113">
        <v>0</v>
      </c>
      <c r="Z4113">
        <v>1</v>
      </c>
      <c r="AA4113">
        <v>1</v>
      </c>
      <c r="AB4113">
        <v>0</v>
      </c>
      <c r="AC4113">
        <v>0</v>
      </c>
      <c r="AD4113">
        <v>1</v>
      </c>
      <c r="AE4113">
        <v>1</v>
      </c>
      <c r="AF4113">
        <v>1</v>
      </c>
      <c r="AG4113">
        <v>1</v>
      </c>
      <c r="AH4113">
        <v>1</v>
      </c>
      <c r="AI4113">
        <v>1</v>
      </c>
      <c r="AJ4113">
        <v>1</v>
      </c>
      <c r="AK4113">
        <v>1</v>
      </c>
      <c r="AL4113">
        <v>1</v>
      </c>
      <c r="AM4113">
        <v>1</v>
      </c>
    </row>
    <row r="4114" spans="1:39" x14ac:dyDescent="0.2">
      <c r="A4114" t="str">
        <f>"4110"</f>
        <v>4110</v>
      </c>
      <c r="B4114" t="str">
        <f t="shared" si="227"/>
        <v>1</v>
      </c>
      <c r="C4114" t="str">
        <f t="shared" si="229"/>
        <v>83</v>
      </c>
      <c r="D4114" t="str">
        <f>"28"</f>
        <v>28</v>
      </c>
      <c r="E4114" t="str">
        <f>"1-83-28"</f>
        <v>1-83-28</v>
      </c>
      <c r="F4114" t="s">
        <v>65</v>
      </c>
      <c r="G4114" t="s">
        <v>66</v>
      </c>
      <c r="H4114" t="s">
        <v>67</v>
      </c>
      <c r="S4114">
        <v>0</v>
      </c>
      <c r="T4114">
        <v>1</v>
      </c>
      <c r="U4114">
        <v>0</v>
      </c>
      <c r="V4114">
        <v>0</v>
      </c>
      <c r="W4114">
        <v>0</v>
      </c>
      <c r="X4114">
        <v>1</v>
      </c>
      <c r="Y4114">
        <v>0</v>
      </c>
      <c r="Z4114">
        <v>1</v>
      </c>
      <c r="AA4114">
        <v>0</v>
      </c>
      <c r="AB4114">
        <v>0</v>
      </c>
      <c r="AC4114">
        <v>1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1</v>
      </c>
    </row>
    <row r="4115" spans="1:39" x14ac:dyDescent="0.2">
      <c r="A4115" t="str">
        <f>"4111"</f>
        <v>4111</v>
      </c>
      <c r="B4115" t="str">
        <f t="shared" si="227"/>
        <v>1</v>
      </c>
      <c r="C4115" t="str">
        <f t="shared" si="229"/>
        <v>83</v>
      </c>
      <c r="D4115" t="str">
        <f>"16"</f>
        <v>16</v>
      </c>
      <c r="E4115" t="str">
        <f>"1-83-16"</f>
        <v>1-83-16</v>
      </c>
      <c r="F4115" t="s">
        <v>65</v>
      </c>
      <c r="G4115" t="s">
        <v>66</v>
      </c>
      <c r="H4115" t="s">
        <v>67</v>
      </c>
      <c r="S4115">
        <v>0</v>
      </c>
      <c r="T4115">
        <v>1</v>
      </c>
      <c r="U4115">
        <v>0</v>
      </c>
      <c r="V4115">
        <v>0</v>
      </c>
      <c r="W4115">
        <v>1</v>
      </c>
      <c r="X4115">
        <v>0</v>
      </c>
      <c r="Y4115">
        <v>1</v>
      </c>
      <c r="Z4115">
        <v>0</v>
      </c>
      <c r="AA4115">
        <v>0</v>
      </c>
      <c r="AB4115">
        <v>0</v>
      </c>
      <c r="AC4115">
        <v>1</v>
      </c>
      <c r="AD4115">
        <v>1</v>
      </c>
      <c r="AE4115">
        <v>1</v>
      </c>
      <c r="AF4115">
        <v>1</v>
      </c>
      <c r="AG4115">
        <v>1</v>
      </c>
      <c r="AH4115">
        <v>1</v>
      </c>
      <c r="AI4115">
        <v>1</v>
      </c>
      <c r="AJ4115">
        <v>1</v>
      </c>
      <c r="AK4115">
        <v>1</v>
      </c>
      <c r="AL4115">
        <v>1</v>
      </c>
      <c r="AM4115">
        <v>1</v>
      </c>
    </row>
    <row r="4116" spans="1:39" x14ac:dyDescent="0.2">
      <c r="A4116" t="str">
        <f>"4112"</f>
        <v>4112</v>
      </c>
      <c r="B4116" t="str">
        <f t="shared" si="227"/>
        <v>1</v>
      </c>
      <c r="C4116" t="str">
        <f t="shared" si="229"/>
        <v>83</v>
      </c>
      <c r="D4116" t="str">
        <f>"1"</f>
        <v>1</v>
      </c>
      <c r="E4116" t="str">
        <f>"1-83-1"</f>
        <v>1-83-1</v>
      </c>
      <c r="F4116" t="s">
        <v>65</v>
      </c>
      <c r="G4116" t="s">
        <v>66</v>
      </c>
      <c r="H4116" t="s">
        <v>68</v>
      </c>
      <c r="I4116">
        <v>1</v>
      </c>
      <c r="J4116">
        <v>0</v>
      </c>
      <c r="K4116">
        <v>0</v>
      </c>
      <c r="L4116">
        <v>1</v>
      </c>
      <c r="M4116">
        <v>1</v>
      </c>
      <c r="N4116">
        <v>1</v>
      </c>
      <c r="O4116">
        <v>1</v>
      </c>
      <c r="P4116">
        <v>1</v>
      </c>
      <c r="Q4116">
        <v>1</v>
      </c>
      <c r="R4116">
        <v>1</v>
      </c>
    </row>
    <row r="4117" spans="1:39" x14ac:dyDescent="0.2">
      <c r="A4117" t="str">
        <f>"4113"</f>
        <v>4113</v>
      </c>
      <c r="B4117" t="str">
        <f t="shared" si="227"/>
        <v>1</v>
      </c>
      <c r="C4117" t="str">
        <f t="shared" si="229"/>
        <v>83</v>
      </c>
      <c r="D4117" t="str">
        <f>"37"</f>
        <v>37</v>
      </c>
      <c r="E4117" t="str">
        <f>"1-83-37"</f>
        <v>1-83-37</v>
      </c>
      <c r="F4117" t="s">
        <v>65</v>
      </c>
      <c r="G4117" t="s">
        <v>66</v>
      </c>
      <c r="H4117" t="s">
        <v>67</v>
      </c>
      <c r="S4117">
        <v>1</v>
      </c>
      <c r="T4117">
        <v>0</v>
      </c>
      <c r="U4117">
        <v>0</v>
      </c>
      <c r="V4117">
        <v>0</v>
      </c>
      <c r="W4117">
        <v>1</v>
      </c>
      <c r="X4117">
        <v>0</v>
      </c>
      <c r="Y4117">
        <v>0</v>
      </c>
      <c r="Z4117">
        <v>1</v>
      </c>
      <c r="AA4117">
        <v>0</v>
      </c>
      <c r="AB4117">
        <v>0</v>
      </c>
      <c r="AC4117">
        <v>1</v>
      </c>
      <c r="AD4117">
        <v>1</v>
      </c>
      <c r="AE4117">
        <v>1</v>
      </c>
      <c r="AF4117">
        <v>1</v>
      </c>
      <c r="AG4117">
        <v>1</v>
      </c>
      <c r="AH4117">
        <v>1</v>
      </c>
      <c r="AI4117">
        <v>1</v>
      </c>
      <c r="AJ4117">
        <v>1</v>
      </c>
      <c r="AK4117">
        <v>1</v>
      </c>
      <c r="AL4117">
        <v>1</v>
      </c>
      <c r="AM4117">
        <v>0</v>
      </c>
    </row>
    <row r="4118" spans="1:39" x14ac:dyDescent="0.2">
      <c r="A4118" t="str">
        <f>"4114"</f>
        <v>4114</v>
      </c>
      <c r="B4118" t="str">
        <f t="shared" si="227"/>
        <v>1</v>
      </c>
      <c r="C4118" t="str">
        <f t="shared" si="229"/>
        <v>83</v>
      </c>
      <c r="D4118" t="str">
        <f>"36"</f>
        <v>36</v>
      </c>
      <c r="E4118" t="str">
        <f>"1-83-36"</f>
        <v>1-83-36</v>
      </c>
      <c r="F4118" t="s">
        <v>65</v>
      </c>
      <c r="G4118" t="s">
        <v>66</v>
      </c>
      <c r="H4118" t="s">
        <v>67</v>
      </c>
      <c r="S4118">
        <v>0</v>
      </c>
      <c r="T4118">
        <v>1</v>
      </c>
      <c r="U4118">
        <v>0</v>
      </c>
      <c r="V4118">
        <v>0</v>
      </c>
      <c r="W4118">
        <v>0</v>
      </c>
      <c r="X4118">
        <v>1</v>
      </c>
      <c r="Y4118">
        <v>0</v>
      </c>
      <c r="Z4118">
        <v>1</v>
      </c>
      <c r="AA4118">
        <v>0</v>
      </c>
      <c r="AB4118">
        <v>0</v>
      </c>
      <c r="AC4118">
        <v>1</v>
      </c>
      <c r="AD4118">
        <v>0</v>
      </c>
      <c r="AE4118">
        <v>1</v>
      </c>
      <c r="AF4118">
        <v>0</v>
      </c>
      <c r="AG4118">
        <v>1</v>
      </c>
      <c r="AH4118">
        <v>0</v>
      </c>
      <c r="AI4118">
        <v>1</v>
      </c>
      <c r="AJ4118">
        <v>1</v>
      </c>
      <c r="AK4118">
        <v>1</v>
      </c>
      <c r="AL4118">
        <v>1</v>
      </c>
      <c r="AM4118">
        <v>1</v>
      </c>
    </row>
    <row r="4119" spans="1:39" x14ac:dyDescent="0.2">
      <c r="A4119" t="str">
        <f>"4115"</f>
        <v>4115</v>
      </c>
      <c r="B4119" t="str">
        <f t="shared" si="227"/>
        <v>1</v>
      </c>
      <c r="C4119" t="str">
        <f t="shared" si="229"/>
        <v>83</v>
      </c>
      <c r="D4119" t="str">
        <f>"29"</f>
        <v>29</v>
      </c>
      <c r="E4119" t="str">
        <f>"1-83-29"</f>
        <v>1-83-29</v>
      </c>
      <c r="F4119" t="s">
        <v>65</v>
      </c>
      <c r="G4119" t="s">
        <v>66</v>
      </c>
      <c r="H4119" t="s">
        <v>67</v>
      </c>
      <c r="S4119">
        <v>0</v>
      </c>
      <c r="T4119">
        <v>1</v>
      </c>
      <c r="U4119">
        <v>0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0</v>
      </c>
      <c r="AB4119">
        <v>1</v>
      </c>
      <c r="AC4119">
        <v>0</v>
      </c>
      <c r="AD4119">
        <v>1</v>
      </c>
      <c r="AE4119">
        <v>1</v>
      </c>
      <c r="AF4119">
        <v>1</v>
      </c>
      <c r="AG4119">
        <v>1</v>
      </c>
      <c r="AH4119">
        <v>1</v>
      </c>
      <c r="AI4119">
        <v>1</v>
      </c>
      <c r="AJ4119">
        <v>1</v>
      </c>
      <c r="AK4119">
        <v>1</v>
      </c>
      <c r="AL4119">
        <v>1</v>
      </c>
      <c r="AM4119">
        <v>1</v>
      </c>
    </row>
    <row r="4120" spans="1:39" x14ac:dyDescent="0.2">
      <c r="A4120" t="str">
        <f>"4116"</f>
        <v>4116</v>
      </c>
      <c r="B4120" t="str">
        <f t="shared" si="227"/>
        <v>1</v>
      </c>
      <c r="C4120" t="str">
        <f t="shared" si="229"/>
        <v>83</v>
      </c>
      <c r="D4120" t="str">
        <f>"17"</f>
        <v>17</v>
      </c>
      <c r="E4120" t="str">
        <f>"1-83-17"</f>
        <v>1-83-17</v>
      </c>
      <c r="F4120" t="s">
        <v>65</v>
      </c>
      <c r="G4120" t="s">
        <v>66</v>
      </c>
      <c r="H4120" t="s">
        <v>67</v>
      </c>
      <c r="S4120">
        <v>0</v>
      </c>
      <c r="T4120">
        <v>1</v>
      </c>
      <c r="U4120">
        <v>0</v>
      </c>
      <c r="V4120">
        <v>0</v>
      </c>
      <c r="W4120">
        <v>1</v>
      </c>
      <c r="X4120">
        <v>0</v>
      </c>
      <c r="Y4120">
        <v>1</v>
      </c>
      <c r="Z4120">
        <v>0</v>
      </c>
      <c r="AA4120">
        <v>0</v>
      </c>
      <c r="AB4120">
        <v>1</v>
      </c>
      <c r="AC4120">
        <v>0</v>
      </c>
      <c r="AD4120">
        <v>1</v>
      </c>
      <c r="AE4120">
        <v>1</v>
      </c>
      <c r="AF4120">
        <v>1</v>
      </c>
      <c r="AG4120">
        <v>1</v>
      </c>
      <c r="AH4120">
        <v>1</v>
      </c>
      <c r="AI4120">
        <v>1</v>
      </c>
      <c r="AJ4120">
        <v>1</v>
      </c>
      <c r="AK4120">
        <v>1</v>
      </c>
      <c r="AL4120">
        <v>1</v>
      </c>
      <c r="AM4120">
        <v>1</v>
      </c>
    </row>
    <row r="4121" spans="1:39" x14ac:dyDescent="0.2">
      <c r="A4121" t="str">
        <f>"4117"</f>
        <v>4117</v>
      </c>
      <c r="B4121" t="str">
        <f t="shared" si="227"/>
        <v>1</v>
      </c>
      <c r="C4121" t="str">
        <f t="shared" si="229"/>
        <v>83</v>
      </c>
      <c r="D4121" t="str">
        <f>"10"</f>
        <v>10</v>
      </c>
      <c r="E4121" t="str">
        <f>"1-83-10"</f>
        <v>1-83-10</v>
      </c>
      <c r="F4121" t="s">
        <v>65</v>
      </c>
      <c r="G4121" t="s">
        <v>66</v>
      </c>
      <c r="H4121" t="s">
        <v>67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0</v>
      </c>
      <c r="AB4121">
        <v>1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</row>
    <row r="4122" spans="1:39" x14ac:dyDescent="0.2">
      <c r="A4122" t="str">
        <f>"4118"</f>
        <v>4118</v>
      </c>
      <c r="B4122" t="str">
        <f t="shared" si="227"/>
        <v>1</v>
      </c>
      <c r="C4122" t="str">
        <f t="shared" si="229"/>
        <v>83</v>
      </c>
      <c r="D4122" t="str">
        <f>"41"</f>
        <v>41</v>
      </c>
      <c r="E4122" t="str">
        <f>"1-83-41"</f>
        <v>1-83-41</v>
      </c>
      <c r="F4122" t="s">
        <v>65</v>
      </c>
      <c r="G4122" t="s">
        <v>66</v>
      </c>
      <c r="H4122" t="s">
        <v>67</v>
      </c>
      <c r="S4122">
        <v>1</v>
      </c>
      <c r="T4122">
        <v>0</v>
      </c>
      <c r="U4122">
        <v>0</v>
      </c>
      <c r="V4122">
        <v>0</v>
      </c>
      <c r="W4122">
        <v>1</v>
      </c>
      <c r="X4122">
        <v>0</v>
      </c>
      <c r="Y4122">
        <v>1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1</v>
      </c>
      <c r="AF4122">
        <v>1</v>
      </c>
      <c r="AG4122">
        <v>1</v>
      </c>
      <c r="AH4122">
        <v>1</v>
      </c>
      <c r="AI4122">
        <v>1</v>
      </c>
      <c r="AJ4122">
        <v>1</v>
      </c>
      <c r="AK4122">
        <v>1</v>
      </c>
      <c r="AL4122">
        <v>1</v>
      </c>
      <c r="AM4122">
        <v>1</v>
      </c>
    </row>
    <row r="4123" spans="1:39" x14ac:dyDescent="0.2">
      <c r="A4123" t="str">
        <f>"4119"</f>
        <v>4119</v>
      </c>
      <c r="B4123" t="str">
        <f t="shared" si="227"/>
        <v>1</v>
      </c>
      <c r="C4123" t="str">
        <f t="shared" si="229"/>
        <v>83</v>
      </c>
      <c r="D4123" t="str">
        <f>"40"</f>
        <v>40</v>
      </c>
      <c r="E4123" t="str">
        <f>"1-83-40"</f>
        <v>1-83-40</v>
      </c>
      <c r="F4123" t="s">
        <v>65</v>
      </c>
      <c r="G4123" t="s">
        <v>66</v>
      </c>
      <c r="H4123" t="s">
        <v>67</v>
      </c>
      <c r="S4123">
        <v>0</v>
      </c>
      <c r="T4123">
        <v>1</v>
      </c>
      <c r="U4123">
        <v>0</v>
      </c>
      <c r="V4123">
        <v>0</v>
      </c>
      <c r="W4123">
        <v>0</v>
      </c>
      <c r="X4123">
        <v>1</v>
      </c>
      <c r="Y4123">
        <v>0</v>
      </c>
      <c r="Z4123">
        <v>1</v>
      </c>
      <c r="AA4123">
        <v>0</v>
      </c>
      <c r="AB4123">
        <v>0</v>
      </c>
      <c r="AC4123">
        <v>1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</row>
    <row r="4124" spans="1:39" x14ac:dyDescent="0.2">
      <c r="A4124" t="str">
        <f>"4120"</f>
        <v>4120</v>
      </c>
      <c r="B4124" t="str">
        <f t="shared" si="227"/>
        <v>1</v>
      </c>
      <c r="C4124" t="str">
        <f t="shared" si="229"/>
        <v>83</v>
      </c>
      <c r="D4124" t="str">
        <f>"32"</f>
        <v>32</v>
      </c>
      <c r="E4124" t="str">
        <f>"1-83-32"</f>
        <v>1-83-32</v>
      </c>
      <c r="F4124" t="s">
        <v>65</v>
      </c>
      <c r="G4124" t="s">
        <v>66</v>
      </c>
      <c r="H4124" t="s">
        <v>67</v>
      </c>
      <c r="S4124">
        <v>1</v>
      </c>
      <c r="T4124">
        <v>0</v>
      </c>
      <c r="U4124">
        <v>0</v>
      </c>
      <c r="V4124">
        <v>0</v>
      </c>
      <c r="W4124">
        <v>1</v>
      </c>
      <c r="X4124">
        <v>0</v>
      </c>
      <c r="Y4124">
        <v>0</v>
      </c>
      <c r="Z4124">
        <v>1</v>
      </c>
      <c r="AA4124">
        <v>0</v>
      </c>
      <c r="AB4124">
        <v>0</v>
      </c>
      <c r="AC4124">
        <v>1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1</v>
      </c>
      <c r="AM4124">
        <v>0</v>
      </c>
    </row>
    <row r="4125" spans="1:39" x14ac:dyDescent="0.2">
      <c r="A4125" t="str">
        <f>"4121"</f>
        <v>4121</v>
      </c>
      <c r="B4125" t="str">
        <f t="shared" si="227"/>
        <v>1</v>
      </c>
      <c r="C4125" t="str">
        <f t="shared" si="229"/>
        <v>83</v>
      </c>
      <c r="D4125" t="str">
        <f>"18"</f>
        <v>18</v>
      </c>
      <c r="E4125" t="str">
        <f>"1-83-18"</f>
        <v>1-83-18</v>
      </c>
      <c r="F4125" t="s">
        <v>65</v>
      </c>
      <c r="G4125" t="s">
        <v>66</v>
      </c>
      <c r="H4125" t="s">
        <v>67</v>
      </c>
      <c r="S4125">
        <v>0</v>
      </c>
      <c r="T4125">
        <v>1</v>
      </c>
      <c r="U4125">
        <v>0</v>
      </c>
      <c r="V4125">
        <v>0</v>
      </c>
      <c r="W4125">
        <v>0</v>
      </c>
      <c r="X4125">
        <v>1</v>
      </c>
      <c r="Y4125">
        <v>0</v>
      </c>
      <c r="Z4125">
        <v>1</v>
      </c>
      <c r="AA4125">
        <v>0</v>
      </c>
      <c r="AB4125">
        <v>0</v>
      </c>
      <c r="AC4125">
        <v>1</v>
      </c>
      <c r="AD4125">
        <v>1</v>
      </c>
      <c r="AE4125">
        <v>1</v>
      </c>
      <c r="AF4125">
        <v>1</v>
      </c>
      <c r="AG4125">
        <v>1</v>
      </c>
      <c r="AH4125">
        <v>1</v>
      </c>
      <c r="AI4125">
        <v>1</v>
      </c>
      <c r="AJ4125">
        <v>1</v>
      </c>
      <c r="AK4125">
        <v>1</v>
      </c>
      <c r="AL4125">
        <v>1</v>
      </c>
      <c r="AM4125">
        <v>1</v>
      </c>
    </row>
    <row r="4126" spans="1:39" x14ac:dyDescent="0.2">
      <c r="A4126" t="str">
        <f>"4122"</f>
        <v>4122</v>
      </c>
      <c r="B4126" t="str">
        <f t="shared" si="227"/>
        <v>1</v>
      </c>
      <c r="C4126" t="str">
        <f t="shared" si="229"/>
        <v>83</v>
      </c>
      <c r="D4126" t="str">
        <f>"3"</f>
        <v>3</v>
      </c>
      <c r="E4126" t="str">
        <f>"1-83-3"</f>
        <v>1-83-3</v>
      </c>
      <c r="F4126" t="s">
        <v>65</v>
      </c>
      <c r="G4126" t="s">
        <v>66</v>
      </c>
      <c r="H4126" t="s">
        <v>67</v>
      </c>
      <c r="S4126">
        <v>0</v>
      </c>
      <c r="T4126">
        <v>1</v>
      </c>
      <c r="U4126">
        <v>0</v>
      </c>
      <c r="V4126">
        <v>0</v>
      </c>
      <c r="W4126">
        <v>1</v>
      </c>
      <c r="X4126">
        <v>0</v>
      </c>
      <c r="Y4126">
        <v>0</v>
      </c>
      <c r="Z4126">
        <v>1</v>
      </c>
      <c r="AA4126">
        <v>0</v>
      </c>
      <c r="AB4126">
        <v>0</v>
      </c>
      <c r="AC4126">
        <v>1</v>
      </c>
      <c r="AD4126">
        <v>1</v>
      </c>
      <c r="AE4126">
        <v>1</v>
      </c>
      <c r="AF4126">
        <v>1</v>
      </c>
      <c r="AG4126">
        <v>1</v>
      </c>
      <c r="AH4126">
        <v>1</v>
      </c>
      <c r="AI4126">
        <v>1</v>
      </c>
      <c r="AJ4126">
        <v>1</v>
      </c>
      <c r="AK4126">
        <v>1</v>
      </c>
      <c r="AL4126">
        <v>1</v>
      </c>
      <c r="AM4126">
        <v>1</v>
      </c>
    </row>
    <row r="4127" spans="1:39" x14ac:dyDescent="0.2">
      <c r="A4127" t="str">
        <f>"4123"</f>
        <v>4123</v>
      </c>
      <c r="B4127" t="str">
        <f t="shared" si="227"/>
        <v>1</v>
      </c>
      <c r="C4127" t="str">
        <f t="shared" si="229"/>
        <v>83</v>
      </c>
      <c r="D4127" t="str">
        <f>"35"</f>
        <v>35</v>
      </c>
      <c r="E4127" t="str">
        <f>"1-83-35"</f>
        <v>1-83-35</v>
      </c>
      <c r="F4127" t="s">
        <v>65</v>
      </c>
      <c r="G4127" t="s">
        <v>66</v>
      </c>
      <c r="H4127" t="s">
        <v>67</v>
      </c>
      <c r="S4127">
        <v>0</v>
      </c>
      <c r="T4127">
        <v>1</v>
      </c>
      <c r="U4127">
        <v>0</v>
      </c>
      <c r="V4127">
        <v>0</v>
      </c>
      <c r="W4127">
        <v>0</v>
      </c>
      <c r="X4127">
        <v>1</v>
      </c>
      <c r="Y4127">
        <v>0</v>
      </c>
      <c r="Z4127">
        <v>1</v>
      </c>
      <c r="AA4127">
        <v>0</v>
      </c>
      <c r="AB4127">
        <v>1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</row>
    <row r="4128" spans="1:39" x14ac:dyDescent="0.2">
      <c r="A4128" t="str">
        <f>"4124"</f>
        <v>4124</v>
      </c>
      <c r="B4128" t="str">
        <f t="shared" si="227"/>
        <v>1</v>
      </c>
      <c r="C4128" t="str">
        <f t="shared" si="229"/>
        <v>83</v>
      </c>
      <c r="D4128" t="str">
        <f>"19"</f>
        <v>19</v>
      </c>
      <c r="E4128" t="str">
        <f>"1-83-19"</f>
        <v>1-83-19</v>
      </c>
      <c r="F4128" t="s">
        <v>65</v>
      </c>
      <c r="G4128" t="s">
        <v>66</v>
      </c>
      <c r="H4128" t="s">
        <v>67</v>
      </c>
      <c r="S4128">
        <v>1</v>
      </c>
      <c r="T4128">
        <v>0</v>
      </c>
      <c r="U4128">
        <v>0</v>
      </c>
      <c r="V4128">
        <v>0</v>
      </c>
      <c r="W4128">
        <v>1</v>
      </c>
      <c r="X4128">
        <v>0</v>
      </c>
      <c r="Y4128">
        <v>0</v>
      </c>
      <c r="Z4128">
        <v>1</v>
      </c>
      <c r="AA4128">
        <v>0</v>
      </c>
      <c r="AB4128">
        <v>0</v>
      </c>
      <c r="AC4128">
        <v>1</v>
      </c>
      <c r="AD4128">
        <v>1</v>
      </c>
      <c r="AE4128">
        <v>1</v>
      </c>
      <c r="AF4128">
        <v>1</v>
      </c>
      <c r="AG4128">
        <v>1</v>
      </c>
      <c r="AH4128">
        <v>1</v>
      </c>
      <c r="AI4128">
        <v>1</v>
      </c>
      <c r="AJ4128">
        <v>1</v>
      </c>
      <c r="AK4128">
        <v>1</v>
      </c>
      <c r="AL4128">
        <v>1</v>
      </c>
      <c r="AM4128">
        <v>1</v>
      </c>
    </row>
    <row r="4129" spans="1:39" x14ac:dyDescent="0.2">
      <c r="A4129" t="str">
        <f>"4125"</f>
        <v>4125</v>
      </c>
      <c r="B4129" t="str">
        <f t="shared" si="227"/>
        <v>1</v>
      </c>
      <c r="C4129" t="str">
        <f t="shared" si="229"/>
        <v>83</v>
      </c>
      <c r="D4129" t="str">
        <f>"2"</f>
        <v>2</v>
      </c>
      <c r="E4129" t="str">
        <f>"1-83-2"</f>
        <v>1-83-2</v>
      </c>
      <c r="F4129" t="s">
        <v>65</v>
      </c>
      <c r="G4129" t="s">
        <v>66</v>
      </c>
      <c r="H4129" t="s">
        <v>68</v>
      </c>
      <c r="I4129">
        <v>1</v>
      </c>
      <c r="J4129">
        <v>1</v>
      </c>
      <c r="K4129">
        <v>0</v>
      </c>
      <c r="L4129">
        <v>0</v>
      </c>
      <c r="M4129">
        <v>1</v>
      </c>
      <c r="N4129">
        <v>0</v>
      </c>
      <c r="O4129">
        <v>1</v>
      </c>
      <c r="P4129">
        <v>1</v>
      </c>
      <c r="Q4129">
        <v>1</v>
      </c>
      <c r="R4129">
        <v>1</v>
      </c>
    </row>
    <row r="4130" spans="1:39" x14ac:dyDescent="0.2">
      <c r="A4130" t="str">
        <f>"4126"</f>
        <v>4126</v>
      </c>
      <c r="B4130" t="str">
        <f t="shared" si="227"/>
        <v>1</v>
      </c>
      <c r="C4130" t="str">
        <f t="shared" si="229"/>
        <v>83</v>
      </c>
      <c r="D4130" t="str">
        <f>"44"</f>
        <v>44</v>
      </c>
      <c r="E4130" t="str">
        <f>"1-83-44"</f>
        <v>1-83-44</v>
      </c>
      <c r="F4130" t="s">
        <v>65</v>
      </c>
      <c r="G4130" t="s">
        <v>66</v>
      </c>
      <c r="H4130" t="s">
        <v>67</v>
      </c>
      <c r="S4130">
        <v>1</v>
      </c>
      <c r="T4130">
        <v>0</v>
      </c>
      <c r="U4130">
        <v>0</v>
      </c>
      <c r="V4130">
        <v>0</v>
      </c>
      <c r="W4130">
        <v>1</v>
      </c>
      <c r="X4130">
        <v>0</v>
      </c>
      <c r="Y4130">
        <v>1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1</v>
      </c>
      <c r="AF4130">
        <v>1</v>
      </c>
      <c r="AG4130">
        <v>1</v>
      </c>
      <c r="AH4130">
        <v>1</v>
      </c>
      <c r="AI4130">
        <v>1</v>
      </c>
      <c r="AJ4130">
        <v>1</v>
      </c>
      <c r="AK4130">
        <v>1</v>
      </c>
      <c r="AL4130">
        <v>1</v>
      </c>
      <c r="AM4130">
        <v>1</v>
      </c>
    </row>
    <row r="4131" spans="1:39" x14ac:dyDescent="0.2">
      <c r="A4131" t="str">
        <f>"4127"</f>
        <v>4127</v>
      </c>
      <c r="B4131" t="str">
        <f t="shared" si="227"/>
        <v>1</v>
      </c>
      <c r="C4131" t="str">
        <f t="shared" si="229"/>
        <v>83</v>
      </c>
      <c r="D4131" t="str">
        <f>"21"</f>
        <v>21</v>
      </c>
      <c r="E4131" t="str">
        <f>"1-83-21"</f>
        <v>1-83-21</v>
      </c>
      <c r="F4131" t="s">
        <v>65</v>
      </c>
      <c r="G4131" t="s">
        <v>66</v>
      </c>
      <c r="H4131" t="s">
        <v>67</v>
      </c>
      <c r="S4131">
        <v>0</v>
      </c>
      <c r="T4131">
        <v>1</v>
      </c>
      <c r="U4131">
        <v>0</v>
      </c>
      <c r="V4131">
        <v>0</v>
      </c>
      <c r="W4131">
        <v>1</v>
      </c>
      <c r="X4131">
        <v>0</v>
      </c>
      <c r="Y4131">
        <v>1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1</v>
      </c>
      <c r="AF4131">
        <v>1</v>
      </c>
      <c r="AG4131">
        <v>1</v>
      </c>
      <c r="AH4131">
        <v>1</v>
      </c>
      <c r="AI4131">
        <v>1</v>
      </c>
      <c r="AJ4131">
        <v>1</v>
      </c>
      <c r="AK4131">
        <v>1</v>
      </c>
      <c r="AL4131">
        <v>1</v>
      </c>
      <c r="AM4131">
        <v>1</v>
      </c>
    </row>
    <row r="4132" spans="1:39" x14ac:dyDescent="0.2">
      <c r="A4132" t="str">
        <f>"4128"</f>
        <v>4128</v>
      </c>
      <c r="B4132" t="str">
        <f t="shared" si="227"/>
        <v>1</v>
      </c>
      <c r="C4132" t="str">
        <f t="shared" si="229"/>
        <v>83</v>
      </c>
      <c r="D4132" t="str">
        <f>"9"</f>
        <v>9</v>
      </c>
      <c r="E4132" t="str">
        <f>"1-83-9"</f>
        <v>1-83-9</v>
      </c>
      <c r="F4132" t="s">
        <v>65</v>
      </c>
      <c r="G4132" t="s">
        <v>66</v>
      </c>
      <c r="H4132" t="s">
        <v>67</v>
      </c>
      <c r="S4132">
        <v>0</v>
      </c>
      <c r="T4132">
        <v>1</v>
      </c>
      <c r="U4132">
        <v>0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1</v>
      </c>
      <c r="AE4132">
        <v>1</v>
      </c>
      <c r="AF4132">
        <v>1</v>
      </c>
      <c r="AG4132">
        <v>1</v>
      </c>
      <c r="AH4132">
        <v>1</v>
      </c>
      <c r="AI4132">
        <v>1</v>
      </c>
      <c r="AJ4132">
        <v>1</v>
      </c>
      <c r="AK4132">
        <v>1</v>
      </c>
      <c r="AL4132">
        <v>1</v>
      </c>
      <c r="AM4132">
        <v>1</v>
      </c>
    </row>
    <row r="4133" spans="1:39" x14ac:dyDescent="0.2">
      <c r="A4133" t="str">
        <f>"4129"</f>
        <v>4129</v>
      </c>
      <c r="B4133" t="str">
        <f t="shared" si="227"/>
        <v>1</v>
      </c>
      <c r="C4133" t="str">
        <f t="shared" si="229"/>
        <v>83</v>
      </c>
      <c r="D4133" t="str">
        <f>"45"</f>
        <v>45</v>
      </c>
      <c r="E4133" t="str">
        <f>"1-83-45"</f>
        <v>1-83-45</v>
      </c>
      <c r="F4133" t="s">
        <v>65</v>
      </c>
      <c r="G4133" t="s">
        <v>66</v>
      </c>
      <c r="H4133" t="s">
        <v>67</v>
      </c>
      <c r="S4133">
        <v>1</v>
      </c>
      <c r="T4133">
        <v>0</v>
      </c>
      <c r="U4133">
        <v>0</v>
      </c>
      <c r="V4133">
        <v>0</v>
      </c>
      <c r="W4133">
        <v>1</v>
      </c>
      <c r="X4133">
        <v>0</v>
      </c>
      <c r="Y4133">
        <v>0</v>
      </c>
      <c r="Z4133">
        <v>1</v>
      </c>
      <c r="AA4133">
        <v>1</v>
      </c>
      <c r="AB4133">
        <v>0</v>
      </c>
      <c r="AC4133">
        <v>0</v>
      </c>
      <c r="AD4133">
        <v>1</v>
      </c>
      <c r="AE4133">
        <v>1</v>
      </c>
      <c r="AF4133">
        <v>1</v>
      </c>
      <c r="AG4133">
        <v>1</v>
      </c>
      <c r="AH4133">
        <v>1</v>
      </c>
      <c r="AI4133">
        <v>1</v>
      </c>
      <c r="AJ4133">
        <v>1</v>
      </c>
      <c r="AK4133">
        <v>1</v>
      </c>
      <c r="AL4133">
        <v>1</v>
      </c>
      <c r="AM4133">
        <v>1</v>
      </c>
    </row>
    <row r="4134" spans="1:39" x14ac:dyDescent="0.2">
      <c r="A4134" t="str">
        <f>"4130"</f>
        <v>4130</v>
      </c>
      <c r="B4134" t="str">
        <f t="shared" si="227"/>
        <v>1</v>
      </c>
      <c r="C4134" t="str">
        <f t="shared" si="229"/>
        <v>83</v>
      </c>
      <c r="D4134" t="str">
        <f>"22"</f>
        <v>22</v>
      </c>
      <c r="E4134" t="str">
        <f>"1-83-22"</f>
        <v>1-83-22</v>
      </c>
      <c r="F4134" t="s">
        <v>65</v>
      </c>
      <c r="G4134" t="s">
        <v>66</v>
      </c>
      <c r="H4134" t="s">
        <v>67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0</v>
      </c>
      <c r="AB4134">
        <v>0</v>
      </c>
      <c r="AC4134">
        <v>1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</row>
    <row r="4135" spans="1:39" x14ac:dyDescent="0.2">
      <c r="A4135" t="str">
        <f>"4131"</f>
        <v>4131</v>
      </c>
      <c r="B4135" t="str">
        <f t="shared" si="227"/>
        <v>1</v>
      </c>
      <c r="C4135" t="str">
        <f t="shared" si="229"/>
        <v>83</v>
      </c>
      <c r="D4135" t="str">
        <f>"7"</f>
        <v>7</v>
      </c>
      <c r="E4135" t="str">
        <f>"1-83-7"</f>
        <v>1-83-7</v>
      </c>
      <c r="F4135" t="s">
        <v>65</v>
      </c>
      <c r="G4135" t="s">
        <v>66</v>
      </c>
      <c r="H4135" t="s">
        <v>67</v>
      </c>
      <c r="S4135">
        <v>1</v>
      </c>
      <c r="T4135">
        <v>0</v>
      </c>
      <c r="U4135">
        <v>0</v>
      </c>
      <c r="V4135">
        <v>0</v>
      </c>
      <c r="W4135">
        <v>1</v>
      </c>
      <c r="X4135">
        <v>0</v>
      </c>
      <c r="Y4135">
        <v>0</v>
      </c>
      <c r="Z4135">
        <v>1</v>
      </c>
      <c r="AA4135">
        <v>0</v>
      </c>
      <c r="AB4135">
        <v>0</v>
      </c>
      <c r="AC4135">
        <v>1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1</v>
      </c>
      <c r="AM4135">
        <v>0</v>
      </c>
    </row>
    <row r="4136" spans="1:39" x14ac:dyDescent="0.2">
      <c r="A4136" t="str">
        <f>"4132"</f>
        <v>4132</v>
      </c>
      <c r="B4136" t="str">
        <f t="shared" si="227"/>
        <v>1</v>
      </c>
      <c r="C4136" t="str">
        <f t="shared" si="229"/>
        <v>83</v>
      </c>
      <c r="D4136" t="str">
        <f>"46"</f>
        <v>46</v>
      </c>
      <c r="E4136" t="str">
        <f>"1-83-46"</f>
        <v>1-83-46</v>
      </c>
      <c r="F4136" t="s">
        <v>65</v>
      </c>
      <c r="G4136" t="s">
        <v>66</v>
      </c>
      <c r="H4136" t="s">
        <v>67</v>
      </c>
      <c r="S4136">
        <v>0</v>
      </c>
      <c r="T4136">
        <v>1</v>
      </c>
      <c r="U4136">
        <v>0</v>
      </c>
      <c r="V4136">
        <v>0</v>
      </c>
      <c r="W4136">
        <v>0</v>
      </c>
      <c r="X4136">
        <v>1</v>
      </c>
      <c r="Y4136">
        <v>0</v>
      </c>
      <c r="Z4136">
        <v>1</v>
      </c>
      <c r="AA4136">
        <v>0</v>
      </c>
      <c r="AB4136">
        <v>0</v>
      </c>
      <c r="AC4136">
        <v>1</v>
      </c>
      <c r="AD4136">
        <v>1</v>
      </c>
      <c r="AE4136">
        <v>1</v>
      </c>
      <c r="AF4136">
        <v>1</v>
      </c>
      <c r="AG4136">
        <v>1</v>
      </c>
      <c r="AH4136">
        <v>1</v>
      </c>
      <c r="AI4136">
        <v>1</v>
      </c>
      <c r="AJ4136">
        <v>1</v>
      </c>
      <c r="AK4136">
        <v>1</v>
      </c>
      <c r="AL4136">
        <v>1</v>
      </c>
      <c r="AM4136">
        <v>1</v>
      </c>
    </row>
    <row r="4137" spans="1:39" x14ac:dyDescent="0.2">
      <c r="A4137" t="str">
        <f>"4133"</f>
        <v>4133</v>
      </c>
      <c r="B4137" t="str">
        <f t="shared" si="227"/>
        <v>1</v>
      </c>
      <c r="C4137" t="str">
        <f t="shared" ref="C4137:C4154" si="230">"83"</f>
        <v>83</v>
      </c>
      <c r="D4137" t="str">
        <f>"23"</f>
        <v>23</v>
      </c>
      <c r="E4137" t="str">
        <f>"1-83-23"</f>
        <v>1-83-23</v>
      </c>
      <c r="F4137" t="s">
        <v>65</v>
      </c>
      <c r="G4137" t="s">
        <v>66</v>
      </c>
      <c r="H4137" t="s">
        <v>67</v>
      </c>
      <c r="S4137">
        <v>0</v>
      </c>
      <c r="T4137">
        <v>1</v>
      </c>
      <c r="U4137">
        <v>0</v>
      </c>
      <c r="V4137">
        <v>0</v>
      </c>
      <c r="W4137">
        <v>1</v>
      </c>
      <c r="X4137">
        <v>0</v>
      </c>
      <c r="Y4137">
        <v>1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1</v>
      </c>
      <c r="AF4137">
        <v>1</v>
      </c>
      <c r="AG4137">
        <v>1</v>
      </c>
      <c r="AH4137">
        <v>1</v>
      </c>
      <c r="AI4137">
        <v>1</v>
      </c>
      <c r="AJ4137">
        <v>1</v>
      </c>
      <c r="AK4137">
        <v>1</v>
      </c>
      <c r="AL4137">
        <v>1</v>
      </c>
      <c r="AM4137">
        <v>1</v>
      </c>
    </row>
    <row r="4138" spans="1:39" x14ac:dyDescent="0.2">
      <c r="A4138" t="str">
        <f>"4134"</f>
        <v>4134</v>
      </c>
      <c r="B4138" t="str">
        <f t="shared" si="227"/>
        <v>1</v>
      </c>
      <c r="C4138" t="str">
        <f t="shared" si="230"/>
        <v>83</v>
      </c>
      <c r="D4138" t="str">
        <f>"8"</f>
        <v>8</v>
      </c>
      <c r="E4138" t="str">
        <f>"1-83-8"</f>
        <v>1-83-8</v>
      </c>
      <c r="F4138" t="s">
        <v>65</v>
      </c>
      <c r="G4138" t="s">
        <v>66</v>
      </c>
      <c r="H4138" t="s">
        <v>67</v>
      </c>
      <c r="S4138">
        <v>0</v>
      </c>
      <c r="T4138">
        <v>1</v>
      </c>
      <c r="U4138">
        <v>0</v>
      </c>
      <c r="V4138">
        <v>0</v>
      </c>
      <c r="W4138">
        <v>0</v>
      </c>
      <c r="X4138">
        <v>1</v>
      </c>
      <c r="Y4138">
        <v>0</v>
      </c>
      <c r="Z4138">
        <v>1</v>
      </c>
      <c r="AA4138">
        <v>0</v>
      </c>
      <c r="AB4138">
        <v>0</v>
      </c>
      <c r="AC4138">
        <v>1</v>
      </c>
      <c r="AD4138">
        <v>1</v>
      </c>
      <c r="AE4138">
        <v>1</v>
      </c>
      <c r="AF4138">
        <v>1</v>
      </c>
      <c r="AG4138">
        <v>1</v>
      </c>
      <c r="AH4138">
        <v>1</v>
      </c>
      <c r="AI4138">
        <v>1</v>
      </c>
      <c r="AJ4138">
        <v>1</v>
      </c>
      <c r="AK4138">
        <v>1</v>
      </c>
      <c r="AL4138">
        <v>1</v>
      </c>
      <c r="AM4138">
        <v>1</v>
      </c>
    </row>
    <row r="4139" spans="1:39" x14ac:dyDescent="0.2">
      <c r="A4139" t="str">
        <f>"4135"</f>
        <v>4135</v>
      </c>
      <c r="B4139" t="str">
        <f t="shared" si="227"/>
        <v>1</v>
      </c>
      <c r="C4139" t="str">
        <f t="shared" si="230"/>
        <v>83</v>
      </c>
      <c r="D4139" t="str">
        <f>"48"</f>
        <v>48</v>
      </c>
      <c r="E4139" t="str">
        <f>"1-83-48"</f>
        <v>1-83-48</v>
      </c>
      <c r="F4139" t="s">
        <v>65</v>
      </c>
      <c r="G4139" t="s">
        <v>66</v>
      </c>
      <c r="H4139" t="s">
        <v>67</v>
      </c>
      <c r="S4139">
        <v>1</v>
      </c>
      <c r="T4139">
        <v>0</v>
      </c>
      <c r="U4139">
        <v>0</v>
      </c>
      <c r="V4139">
        <v>0</v>
      </c>
      <c r="W4139">
        <v>1</v>
      </c>
      <c r="X4139">
        <v>0</v>
      </c>
      <c r="Y4139">
        <v>1</v>
      </c>
      <c r="Z4139">
        <v>0</v>
      </c>
      <c r="AA4139">
        <v>0</v>
      </c>
      <c r="AB4139">
        <v>0</v>
      </c>
      <c r="AC4139">
        <v>1</v>
      </c>
      <c r="AD4139">
        <v>1</v>
      </c>
      <c r="AE4139">
        <v>1</v>
      </c>
      <c r="AF4139">
        <v>1</v>
      </c>
      <c r="AG4139">
        <v>1</v>
      </c>
      <c r="AH4139">
        <v>1</v>
      </c>
      <c r="AI4139">
        <v>1</v>
      </c>
      <c r="AJ4139">
        <v>1</v>
      </c>
      <c r="AK4139">
        <v>1</v>
      </c>
      <c r="AL4139">
        <v>1</v>
      </c>
      <c r="AM4139">
        <v>1</v>
      </c>
    </row>
    <row r="4140" spans="1:39" x14ac:dyDescent="0.2">
      <c r="A4140" t="str">
        <f>"4136"</f>
        <v>4136</v>
      </c>
      <c r="B4140" t="str">
        <f t="shared" si="227"/>
        <v>1</v>
      </c>
      <c r="C4140" t="str">
        <f t="shared" si="230"/>
        <v>83</v>
      </c>
      <c r="D4140" t="str">
        <f>"24"</f>
        <v>24</v>
      </c>
      <c r="E4140" t="str">
        <f>"1-83-24"</f>
        <v>1-83-24</v>
      </c>
      <c r="F4140" t="s">
        <v>65</v>
      </c>
      <c r="G4140" t="s">
        <v>66</v>
      </c>
      <c r="H4140" t="s">
        <v>67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1</v>
      </c>
      <c r="AH4140">
        <v>1</v>
      </c>
      <c r="AI4140">
        <v>0</v>
      </c>
      <c r="AJ4140">
        <v>1</v>
      </c>
      <c r="AK4140">
        <v>1</v>
      </c>
      <c r="AL4140">
        <v>1</v>
      </c>
      <c r="AM4140">
        <v>0</v>
      </c>
    </row>
    <row r="4141" spans="1:39" x14ac:dyDescent="0.2">
      <c r="A4141" t="str">
        <f>"4137"</f>
        <v>4137</v>
      </c>
      <c r="B4141" t="str">
        <f t="shared" si="227"/>
        <v>1</v>
      </c>
      <c r="C4141" t="str">
        <f t="shared" si="230"/>
        <v>83</v>
      </c>
      <c r="D4141" t="str">
        <f>"14"</f>
        <v>14</v>
      </c>
      <c r="E4141" t="str">
        <f>"1-83-14"</f>
        <v>1-83-14</v>
      </c>
      <c r="F4141" t="s">
        <v>65</v>
      </c>
      <c r="G4141" t="s">
        <v>66</v>
      </c>
      <c r="H4141" t="s">
        <v>67</v>
      </c>
      <c r="S4141">
        <v>0</v>
      </c>
      <c r="T4141">
        <v>1</v>
      </c>
      <c r="U4141">
        <v>0</v>
      </c>
      <c r="V4141">
        <v>0</v>
      </c>
      <c r="W4141">
        <v>1</v>
      </c>
      <c r="X4141">
        <v>0</v>
      </c>
      <c r="Y4141">
        <v>1</v>
      </c>
      <c r="Z4141">
        <v>0</v>
      </c>
      <c r="AA4141">
        <v>0</v>
      </c>
      <c r="AB4141">
        <v>0</v>
      </c>
      <c r="AC4141">
        <v>0</v>
      </c>
      <c r="AD4141">
        <v>1</v>
      </c>
      <c r="AE4141">
        <v>1</v>
      </c>
      <c r="AF4141">
        <v>1</v>
      </c>
      <c r="AG4141">
        <v>1</v>
      </c>
      <c r="AH4141">
        <v>1</v>
      </c>
      <c r="AI4141">
        <v>1</v>
      </c>
      <c r="AJ4141">
        <v>1</v>
      </c>
      <c r="AK4141">
        <v>1</v>
      </c>
      <c r="AL4141">
        <v>1</v>
      </c>
      <c r="AM4141">
        <v>1</v>
      </c>
    </row>
    <row r="4142" spans="1:39" x14ac:dyDescent="0.2">
      <c r="A4142" t="str">
        <f>"4138"</f>
        <v>4138</v>
      </c>
      <c r="B4142" t="str">
        <f t="shared" si="227"/>
        <v>1</v>
      </c>
      <c r="C4142" t="str">
        <f t="shared" si="230"/>
        <v>83</v>
      </c>
      <c r="D4142" t="str">
        <f>"49"</f>
        <v>49</v>
      </c>
      <c r="E4142" t="str">
        <f>"1-83-49"</f>
        <v>1-83-49</v>
      </c>
      <c r="F4142" t="s">
        <v>65</v>
      </c>
      <c r="G4142" t="s">
        <v>66</v>
      </c>
      <c r="H4142" t="s">
        <v>67</v>
      </c>
      <c r="S4142">
        <v>0</v>
      </c>
      <c r="T4142">
        <v>1</v>
      </c>
      <c r="U4142">
        <v>0</v>
      </c>
      <c r="V4142">
        <v>0</v>
      </c>
      <c r="W4142">
        <v>0</v>
      </c>
      <c r="X4142">
        <v>1</v>
      </c>
      <c r="Y4142">
        <v>0</v>
      </c>
      <c r="Z4142">
        <v>1</v>
      </c>
      <c r="AA4142">
        <v>0</v>
      </c>
      <c r="AB4142">
        <v>0</v>
      </c>
      <c r="AC4142">
        <v>1</v>
      </c>
      <c r="AD4142">
        <v>0</v>
      </c>
      <c r="AE4142">
        <v>0</v>
      </c>
      <c r="AF4142">
        <v>0</v>
      </c>
      <c r="AG4142">
        <v>0</v>
      </c>
      <c r="AH4142">
        <v>1</v>
      </c>
      <c r="AI4142">
        <v>1</v>
      </c>
      <c r="AJ4142">
        <v>1</v>
      </c>
      <c r="AK4142">
        <v>1</v>
      </c>
      <c r="AL4142">
        <v>1</v>
      </c>
      <c r="AM4142">
        <v>1</v>
      </c>
    </row>
    <row r="4143" spans="1:39" x14ac:dyDescent="0.2">
      <c r="A4143" t="str">
        <f>"4139"</f>
        <v>4139</v>
      </c>
      <c r="B4143" t="str">
        <f t="shared" si="227"/>
        <v>1</v>
      </c>
      <c r="C4143" t="str">
        <f t="shared" si="230"/>
        <v>83</v>
      </c>
      <c r="D4143" t="str">
        <f>"25"</f>
        <v>25</v>
      </c>
      <c r="E4143" t="str">
        <f>"1-83-25"</f>
        <v>1-83-25</v>
      </c>
      <c r="F4143" t="s">
        <v>65</v>
      </c>
      <c r="G4143" t="s">
        <v>66</v>
      </c>
      <c r="H4143" t="s">
        <v>67</v>
      </c>
      <c r="S4143">
        <v>0</v>
      </c>
      <c r="T4143">
        <v>1</v>
      </c>
      <c r="U4143">
        <v>0</v>
      </c>
      <c r="V4143">
        <v>0</v>
      </c>
      <c r="W4143">
        <v>0</v>
      </c>
      <c r="X4143">
        <v>1</v>
      </c>
      <c r="Y4143">
        <v>0</v>
      </c>
      <c r="Z4143">
        <v>1</v>
      </c>
      <c r="AA4143">
        <v>0</v>
      </c>
      <c r="AB4143">
        <v>0</v>
      </c>
      <c r="AC4143">
        <v>1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</row>
    <row r="4144" spans="1:39" x14ac:dyDescent="0.2">
      <c r="A4144" t="str">
        <f>"4140"</f>
        <v>4140</v>
      </c>
      <c r="B4144" t="str">
        <f t="shared" si="227"/>
        <v>1</v>
      </c>
      <c r="C4144" t="str">
        <f t="shared" si="230"/>
        <v>83</v>
      </c>
      <c r="D4144" t="str">
        <f>"6"</f>
        <v>6</v>
      </c>
      <c r="E4144" t="str">
        <f>"1-83-6"</f>
        <v>1-83-6</v>
      </c>
      <c r="F4144" t="s">
        <v>65</v>
      </c>
      <c r="G4144" t="s">
        <v>66</v>
      </c>
      <c r="H4144" t="s">
        <v>67</v>
      </c>
      <c r="S4144">
        <v>0</v>
      </c>
      <c r="T4144">
        <v>1</v>
      </c>
      <c r="U4144">
        <v>0</v>
      </c>
      <c r="V4144">
        <v>0</v>
      </c>
      <c r="W4144">
        <v>1</v>
      </c>
      <c r="X4144">
        <v>0</v>
      </c>
      <c r="Y4144">
        <v>1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1</v>
      </c>
      <c r="AF4144">
        <v>1</v>
      </c>
      <c r="AG4144">
        <v>1</v>
      </c>
      <c r="AH4144">
        <v>1</v>
      </c>
      <c r="AI4144">
        <v>1</v>
      </c>
      <c r="AJ4144">
        <v>1</v>
      </c>
      <c r="AK4144">
        <v>1</v>
      </c>
      <c r="AL4144">
        <v>1</v>
      </c>
      <c r="AM4144">
        <v>1</v>
      </c>
    </row>
    <row r="4145" spans="1:39" x14ac:dyDescent="0.2">
      <c r="A4145" t="str">
        <f>"4141"</f>
        <v>4141</v>
      </c>
      <c r="B4145" t="str">
        <f t="shared" si="227"/>
        <v>1</v>
      </c>
      <c r="C4145" t="str">
        <f t="shared" si="230"/>
        <v>83</v>
      </c>
      <c r="D4145" t="str">
        <f>"47"</f>
        <v>47</v>
      </c>
      <c r="E4145" t="str">
        <f>"1-83-47"</f>
        <v>1-83-47</v>
      </c>
      <c r="F4145" t="s">
        <v>65</v>
      </c>
      <c r="G4145" t="s">
        <v>66</v>
      </c>
      <c r="H4145" t="s">
        <v>67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1</v>
      </c>
      <c r="AJ4145">
        <v>1</v>
      </c>
      <c r="AK4145">
        <v>1</v>
      </c>
      <c r="AL4145">
        <v>1</v>
      </c>
      <c r="AM4145">
        <v>1</v>
      </c>
    </row>
    <row r="4146" spans="1:39" x14ac:dyDescent="0.2">
      <c r="A4146" t="str">
        <f>"4142"</f>
        <v>4142</v>
      </c>
      <c r="B4146" t="str">
        <f t="shared" si="227"/>
        <v>1</v>
      </c>
      <c r="C4146" t="str">
        <f t="shared" si="230"/>
        <v>83</v>
      </c>
      <c r="D4146" t="str">
        <f>"26"</f>
        <v>26</v>
      </c>
      <c r="E4146" t="str">
        <f>"1-83-26"</f>
        <v>1-83-26</v>
      </c>
      <c r="F4146" t="s">
        <v>65</v>
      </c>
      <c r="G4146" t="s">
        <v>66</v>
      </c>
      <c r="H4146" t="s">
        <v>67</v>
      </c>
      <c r="S4146">
        <v>1</v>
      </c>
      <c r="T4146">
        <v>0</v>
      </c>
      <c r="U4146">
        <v>0</v>
      </c>
      <c r="V4146">
        <v>0</v>
      </c>
      <c r="W4146">
        <v>1</v>
      </c>
      <c r="X4146">
        <v>0</v>
      </c>
      <c r="Y4146">
        <v>0</v>
      </c>
      <c r="Z4146">
        <v>1</v>
      </c>
      <c r="AA4146">
        <v>0</v>
      </c>
      <c r="AB4146">
        <v>1</v>
      </c>
      <c r="AC4146">
        <v>0</v>
      </c>
      <c r="AD4146">
        <v>1</v>
      </c>
      <c r="AE4146">
        <v>1</v>
      </c>
      <c r="AF4146">
        <v>1</v>
      </c>
      <c r="AG4146">
        <v>0</v>
      </c>
      <c r="AH4146">
        <v>1</v>
      </c>
      <c r="AI4146">
        <v>1</v>
      </c>
      <c r="AJ4146">
        <v>1</v>
      </c>
      <c r="AK4146">
        <v>1</v>
      </c>
      <c r="AL4146">
        <v>1</v>
      </c>
      <c r="AM4146">
        <v>1</v>
      </c>
    </row>
    <row r="4147" spans="1:39" x14ac:dyDescent="0.2">
      <c r="A4147" t="str">
        <f>"4143"</f>
        <v>4143</v>
      </c>
      <c r="B4147" t="str">
        <f t="shared" si="227"/>
        <v>1</v>
      </c>
      <c r="C4147" t="str">
        <f t="shared" si="230"/>
        <v>83</v>
      </c>
      <c r="D4147" t="str">
        <f>"12"</f>
        <v>12</v>
      </c>
      <c r="E4147" t="str">
        <f>"1-83-12"</f>
        <v>1-83-12</v>
      </c>
      <c r="F4147" t="s">
        <v>65</v>
      </c>
      <c r="G4147" t="s">
        <v>66</v>
      </c>
      <c r="H4147" t="s">
        <v>67</v>
      </c>
      <c r="S4147">
        <v>1</v>
      </c>
      <c r="T4147">
        <v>0</v>
      </c>
      <c r="U4147">
        <v>0</v>
      </c>
      <c r="V4147">
        <v>0</v>
      </c>
      <c r="W4147">
        <v>1</v>
      </c>
      <c r="X4147">
        <v>0</v>
      </c>
      <c r="Y4147">
        <v>1</v>
      </c>
      <c r="Z4147">
        <v>0</v>
      </c>
      <c r="AA4147">
        <v>0</v>
      </c>
      <c r="AB4147">
        <v>1</v>
      </c>
      <c r="AC4147">
        <v>0</v>
      </c>
      <c r="AD4147">
        <v>1</v>
      </c>
      <c r="AE4147">
        <v>1</v>
      </c>
      <c r="AF4147">
        <v>1</v>
      </c>
      <c r="AG4147">
        <v>1</v>
      </c>
      <c r="AH4147">
        <v>1</v>
      </c>
      <c r="AI4147">
        <v>1</v>
      </c>
      <c r="AJ4147">
        <v>1</v>
      </c>
      <c r="AK4147">
        <v>1</v>
      </c>
      <c r="AL4147">
        <v>1</v>
      </c>
      <c r="AM4147">
        <v>1</v>
      </c>
    </row>
    <row r="4148" spans="1:39" x14ac:dyDescent="0.2">
      <c r="A4148" t="str">
        <f>"4144"</f>
        <v>4144</v>
      </c>
      <c r="B4148" t="str">
        <f t="shared" si="227"/>
        <v>1</v>
      </c>
      <c r="C4148" t="str">
        <f t="shared" si="230"/>
        <v>83</v>
      </c>
      <c r="D4148" t="str">
        <f>"27"</f>
        <v>27</v>
      </c>
      <c r="E4148" t="str">
        <f>"1-83-27"</f>
        <v>1-83-27</v>
      </c>
      <c r="F4148" t="s">
        <v>65</v>
      </c>
      <c r="G4148" t="s">
        <v>66</v>
      </c>
      <c r="H4148" t="s">
        <v>67</v>
      </c>
      <c r="S4148">
        <v>0</v>
      </c>
      <c r="T4148">
        <v>1</v>
      </c>
      <c r="U4148">
        <v>0</v>
      </c>
      <c r="V4148">
        <v>0</v>
      </c>
      <c r="W4148">
        <v>0</v>
      </c>
      <c r="X4148">
        <v>1</v>
      </c>
      <c r="Y4148">
        <v>0</v>
      </c>
      <c r="Z4148">
        <v>1</v>
      </c>
      <c r="AA4148">
        <v>0</v>
      </c>
      <c r="AB4148">
        <v>0</v>
      </c>
      <c r="AC4148">
        <v>1</v>
      </c>
      <c r="AD4148">
        <v>1</v>
      </c>
      <c r="AE4148">
        <v>1</v>
      </c>
      <c r="AF4148">
        <v>1</v>
      </c>
      <c r="AG4148">
        <v>1</v>
      </c>
      <c r="AH4148">
        <v>1</v>
      </c>
      <c r="AI4148">
        <v>1</v>
      </c>
      <c r="AJ4148">
        <v>1</v>
      </c>
      <c r="AK4148">
        <v>1</v>
      </c>
      <c r="AL4148">
        <v>1</v>
      </c>
      <c r="AM4148">
        <v>1</v>
      </c>
    </row>
    <row r="4149" spans="1:39" x14ac:dyDescent="0.2">
      <c r="A4149" t="str">
        <f>"4145"</f>
        <v>4145</v>
      </c>
      <c r="B4149" t="str">
        <f t="shared" si="227"/>
        <v>1</v>
      </c>
      <c r="C4149" t="str">
        <f t="shared" si="230"/>
        <v>83</v>
      </c>
      <c r="D4149" t="str">
        <f>"11"</f>
        <v>11</v>
      </c>
      <c r="E4149" t="str">
        <f>"1-83-11"</f>
        <v>1-83-11</v>
      </c>
      <c r="F4149" t="s">
        <v>65</v>
      </c>
      <c r="G4149" t="s">
        <v>66</v>
      </c>
      <c r="H4149" t="s">
        <v>67</v>
      </c>
      <c r="S4149">
        <v>1</v>
      </c>
      <c r="T4149">
        <v>0</v>
      </c>
      <c r="U4149">
        <v>0</v>
      </c>
      <c r="V4149">
        <v>0</v>
      </c>
      <c r="W4149">
        <v>1</v>
      </c>
      <c r="X4149">
        <v>0</v>
      </c>
      <c r="Y4149">
        <v>1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1</v>
      </c>
      <c r="AF4149">
        <v>1</v>
      </c>
      <c r="AG4149">
        <v>1</v>
      </c>
      <c r="AH4149">
        <v>1</v>
      </c>
      <c r="AI4149">
        <v>1</v>
      </c>
      <c r="AJ4149">
        <v>1</v>
      </c>
      <c r="AK4149">
        <v>1</v>
      </c>
      <c r="AL4149">
        <v>1</v>
      </c>
      <c r="AM4149">
        <v>1</v>
      </c>
    </row>
    <row r="4150" spans="1:39" x14ac:dyDescent="0.2">
      <c r="A4150" t="str">
        <f>"4146"</f>
        <v>4146</v>
      </c>
      <c r="B4150" t="str">
        <f t="shared" si="227"/>
        <v>1</v>
      </c>
      <c r="C4150" t="str">
        <f t="shared" si="230"/>
        <v>83</v>
      </c>
      <c r="D4150" t="str">
        <f>"50"</f>
        <v>50</v>
      </c>
      <c r="E4150" t="str">
        <f>"1-83-50"</f>
        <v>1-83-50</v>
      </c>
      <c r="F4150" t="s">
        <v>65</v>
      </c>
      <c r="G4150" t="s">
        <v>66</v>
      </c>
      <c r="H4150" t="s">
        <v>67</v>
      </c>
      <c r="S4150">
        <v>0</v>
      </c>
      <c r="T4150">
        <v>1</v>
      </c>
      <c r="U4150">
        <v>0</v>
      </c>
      <c r="V4150">
        <v>0</v>
      </c>
      <c r="W4150">
        <v>0</v>
      </c>
      <c r="X4150">
        <v>1</v>
      </c>
      <c r="Y4150">
        <v>0</v>
      </c>
      <c r="Z4150">
        <v>1</v>
      </c>
      <c r="AA4150">
        <v>0</v>
      </c>
      <c r="AB4150">
        <v>0</v>
      </c>
      <c r="AC4150">
        <v>1</v>
      </c>
      <c r="AD4150">
        <v>0</v>
      </c>
      <c r="AE4150">
        <v>0</v>
      </c>
      <c r="AF4150">
        <v>0</v>
      </c>
      <c r="AG4150">
        <v>1</v>
      </c>
      <c r="AH4150">
        <v>0</v>
      </c>
      <c r="AI4150">
        <v>1</v>
      </c>
      <c r="AJ4150">
        <v>1</v>
      </c>
      <c r="AK4150">
        <v>1</v>
      </c>
      <c r="AL4150">
        <v>1</v>
      </c>
      <c r="AM4150">
        <v>0</v>
      </c>
    </row>
    <row r="4151" spans="1:39" x14ac:dyDescent="0.2">
      <c r="A4151" t="str">
        <f>"4147"</f>
        <v>4147</v>
      </c>
      <c r="B4151" t="str">
        <f t="shared" ref="B4151:B4214" si="231">"1"</f>
        <v>1</v>
      </c>
      <c r="C4151" t="str">
        <f t="shared" si="230"/>
        <v>83</v>
      </c>
      <c r="D4151" t="str">
        <f>"33"</f>
        <v>33</v>
      </c>
      <c r="E4151" t="str">
        <f>"1-83-33"</f>
        <v>1-83-33</v>
      </c>
      <c r="F4151" t="s">
        <v>65</v>
      </c>
      <c r="G4151" t="s">
        <v>66</v>
      </c>
      <c r="H4151" t="s">
        <v>67</v>
      </c>
      <c r="S4151">
        <v>0</v>
      </c>
      <c r="T4151">
        <v>1</v>
      </c>
      <c r="U4151">
        <v>0</v>
      </c>
      <c r="V4151">
        <v>0</v>
      </c>
      <c r="W4151">
        <v>0</v>
      </c>
      <c r="X4151">
        <v>1</v>
      </c>
      <c r="Y4151">
        <v>1</v>
      </c>
      <c r="Z4151">
        <v>0</v>
      </c>
      <c r="AA4151">
        <v>0</v>
      </c>
      <c r="AB4151">
        <v>1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</row>
    <row r="4152" spans="1:39" x14ac:dyDescent="0.2">
      <c r="A4152" t="str">
        <f>"4148"</f>
        <v>4148</v>
      </c>
      <c r="B4152" t="str">
        <f t="shared" si="231"/>
        <v>1</v>
      </c>
      <c r="C4152" t="str">
        <f t="shared" si="230"/>
        <v>83</v>
      </c>
      <c r="D4152" t="str">
        <f>"13"</f>
        <v>13</v>
      </c>
      <c r="E4152" t="str">
        <f>"1-83-13"</f>
        <v>1-83-13</v>
      </c>
      <c r="F4152" t="s">
        <v>65</v>
      </c>
      <c r="G4152" t="s">
        <v>66</v>
      </c>
      <c r="H4152" t="s">
        <v>67</v>
      </c>
      <c r="S4152">
        <v>0</v>
      </c>
      <c r="T4152">
        <v>1</v>
      </c>
      <c r="U4152">
        <v>0</v>
      </c>
      <c r="V4152">
        <v>0</v>
      </c>
      <c r="W4152">
        <v>0</v>
      </c>
      <c r="X4152">
        <v>1</v>
      </c>
      <c r="Y4152">
        <v>0</v>
      </c>
      <c r="Z4152">
        <v>1</v>
      </c>
      <c r="AA4152">
        <v>0</v>
      </c>
      <c r="AB4152">
        <v>0</v>
      </c>
      <c r="AC4152">
        <v>1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</row>
    <row r="4153" spans="1:39" x14ac:dyDescent="0.2">
      <c r="A4153" t="str">
        <f>"4149"</f>
        <v>4149</v>
      </c>
      <c r="B4153" t="str">
        <f t="shared" si="231"/>
        <v>1</v>
      </c>
      <c r="C4153" t="str">
        <f t="shared" si="230"/>
        <v>83</v>
      </c>
      <c r="D4153" t="str">
        <f>"34"</f>
        <v>34</v>
      </c>
      <c r="E4153" t="str">
        <f>"1-83-34"</f>
        <v>1-83-34</v>
      </c>
      <c r="F4153" t="s">
        <v>65</v>
      </c>
      <c r="G4153" t="s">
        <v>66</v>
      </c>
      <c r="H4153" t="s">
        <v>67</v>
      </c>
      <c r="S4153">
        <v>0</v>
      </c>
      <c r="T4153">
        <v>0</v>
      </c>
      <c r="U4153">
        <v>0</v>
      </c>
      <c r="V4153">
        <v>0</v>
      </c>
      <c r="W4153">
        <v>1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</row>
    <row r="4154" spans="1:39" x14ac:dyDescent="0.2">
      <c r="A4154" t="str">
        <f>"4150"</f>
        <v>4150</v>
      </c>
      <c r="B4154" t="str">
        <f t="shared" si="231"/>
        <v>1</v>
      </c>
      <c r="C4154" t="str">
        <f t="shared" si="230"/>
        <v>83</v>
      </c>
      <c r="D4154" t="str">
        <f>"5"</f>
        <v>5</v>
      </c>
      <c r="E4154" t="str">
        <f>"1-83-5"</f>
        <v>1-83-5</v>
      </c>
      <c r="F4154" t="s">
        <v>65</v>
      </c>
      <c r="G4154" t="s">
        <v>66</v>
      </c>
      <c r="H4154" t="s">
        <v>67</v>
      </c>
      <c r="S4154">
        <v>0</v>
      </c>
      <c r="T4154">
        <v>1</v>
      </c>
      <c r="U4154">
        <v>0</v>
      </c>
      <c r="V4154">
        <v>0</v>
      </c>
      <c r="W4154">
        <v>1</v>
      </c>
      <c r="X4154">
        <v>0</v>
      </c>
      <c r="Y4154">
        <v>1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1</v>
      </c>
      <c r="AF4154">
        <v>1</v>
      </c>
      <c r="AG4154">
        <v>1</v>
      </c>
      <c r="AH4154">
        <v>1</v>
      </c>
      <c r="AI4154">
        <v>1</v>
      </c>
      <c r="AJ4154">
        <v>1</v>
      </c>
      <c r="AK4154">
        <v>1</v>
      </c>
      <c r="AL4154">
        <v>1</v>
      </c>
      <c r="AM4154">
        <v>1</v>
      </c>
    </row>
    <row r="4155" spans="1:39" x14ac:dyDescent="0.2">
      <c r="A4155" t="str">
        <f>"4151"</f>
        <v>4151</v>
      </c>
      <c r="B4155" t="str">
        <f t="shared" si="231"/>
        <v>1</v>
      </c>
      <c r="C4155" t="str">
        <f t="shared" ref="C4155:C4186" si="232">"84"</f>
        <v>84</v>
      </c>
      <c r="D4155" t="str">
        <f>"42"</f>
        <v>42</v>
      </c>
      <c r="E4155" t="str">
        <f>"1-84-42"</f>
        <v>1-84-42</v>
      </c>
      <c r="F4155" t="s">
        <v>65</v>
      </c>
      <c r="G4155" t="s">
        <v>66</v>
      </c>
      <c r="H4155" t="s">
        <v>67</v>
      </c>
      <c r="S4155">
        <v>1</v>
      </c>
      <c r="T4155">
        <v>0</v>
      </c>
      <c r="U4155">
        <v>0</v>
      </c>
      <c r="V4155">
        <v>0</v>
      </c>
      <c r="W4155">
        <v>1</v>
      </c>
      <c r="X4155">
        <v>0</v>
      </c>
      <c r="Y4155">
        <v>1</v>
      </c>
      <c r="Z4155">
        <v>0</v>
      </c>
      <c r="AA4155">
        <v>0</v>
      </c>
      <c r="AB4155">
        <v>1</v>
      </c>
      <c r="AC4155">
        <v>0</v>
      </c>
      <c r="AD4155">
        <v>1</v>
      </c>
      <c r="AE4155">
        <v>1</v>
      </c>
      <c r="AF4155">
        <v>1</v>
      </c>
      <c r="AG4155">
        <v>1</v>
      </c>
      <c r="AH4155">
        <v>1</v>
      </c>
      <c r="AI4155">
        <v>1</v>
      </c>
      <c r="AJ4155">
        <v>1</v>
      </c>
      <c r="AK4155">
        <v>1</v>
      </c>
      <c r="AL4155">
        <v>1</v>
      </c>
      <c r="AM4155">
        <v>1</v>
      </c>
    </row>
    <row r="4156" spans="1:39" x14ac:dyDescent="0.2">
      <c r="A4156" t="str">
        <f>"4152"</f>
        <v>4152</v>
      </c>
      <c r="B4156" t="str">
        <f t="shared" si="231"/>
        <v>1</v>
      </c>
      <c r="C4156" t="str">
        <f t="shared" si="232"/>
        <v>84</v>
      </c>
      <c r="D4156" t="str">
        <f>"41"</f>
        <v>41</v>
      </c>
      <c r="E4156" t="str">
        <f>"1-84-41"</f>
        <v>1-84-41</v>
      </c>
      <c r="F4156" t="s">
        <v>65</v>
      </c>
      <c r="G4156" t="s">
        <v>66</v>
      </c>
      <c r="H4156" t="s">
        <v>67</v>
      </c>
      <c r="S4156">
        <v>1</v>
      </c>
      <c r="T4156">
        <v>0</v>
      </c>
      <c r="U4156">
        <v>0</v>
      </c>
      <c r="V4156">
        <v>0</v>
      </c>
      <c r="W4156">
        <v>0</v>
      </c>
      <c r="X4156">
        <v>1</v>
      </c>
      <c r="Y4156">
        <v>0</v>
      </c>
      <c r="Z4156">
        <v>1</v>
      </c>
      <c r="AA4156">
        <v>1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1</v>
      </c>
      <c r="AM4156">
        <v>0</v>
      </c>
    </row>
    <row r="4157" spans="1:39" x14ac:dyDescent="0.2">
      <c r="A4157" t="str">
        <f>"4153"</f>
        <v>4153</v>
      </c>
      <c r="B4157" t="str">
        <f t="shared" si="231"/>
        <v>1</v>
      </c>
      <c r="C4157" t="str">
        <f t="shared" si="232"/>
        <v>84</v>
      </c>
      <c r="D4157" t="str">
        <f>"34"</f>
        <v>34</v>
      </c>
      <c r="E4157" t="str">
        <f>"1-84-34"</f>
        <v>1-84-34</v>
      </c>
      <c r="F4157" t="s">
        <v>65</v>
      </c>
      <c r="G4157" t="s">
        <v>66</v>
      </c>
      <c r="H4157" t="s">
        <v>67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</row>
    <row r="4158" spans="1:39" x14ac:dyDescent="0.2">
      <c r="A4158" t="str">
        <f>"4154"</f>
        <v>4154</v>
      </c>
      <c r="B4158" t="str">
        <f t="shared" si="231"/>
        <v>1</v>
      </c>
      <c r="C4158" t="str">
        <f t="shared" si="232"/>
        <v>84</v>
      </c>
      <c r="D4158" t="str">
        <f>"33"</f>
        <v>33</v>
      </c>
      <c r="E4158" t="str">
        <f>"1-84-33"</f>
        <v>1-84-33</v>
      </c>
      <c r="F4158" t="s">
        <v>65</v>
      </c>
      <c r="G4158" t="s">
        <v>66</v>
      </c>
      <c r="H4158" t="s">
        <v>67</v>
      </c>
      <c r="S4158">
        <v>0</v>
      </c>
      <c r="T4158">
        <v>1</v>
      </c>
      <c r="U4158">
        <v>0</v>
      </c>
      <c r="V4158">
        <v>0</v>
      </c>
      <c r="W4158">
        <v>1</v>
      </c>
      <c r="X4158">
        <v>0</v>
      </c>
      <c r="Y4158">
        <v>1</v>
      </c>
      <c r="Z4158">
        <v>0</v>
      </c>
      <c r="AA4158">
        <v>0</v>
      </c>
      <c r="AB4158">
        <v>1</v>
      </c>
      <c r="AC4158">
        <v>0</v>
      </c>
      <c r="AD4158">
        <v>1</v>
      </c>
      <c r="AE4158">
        <v>1</v>
      </c>
      <c r="AF4158">
        <v>1</v>
      </c>
      <c r="AG4158">
        <v>1</v>
      </c>
      <c r="AH4158">
        <v>1</v>
      </c>
      <c r="AI4158">
        <v>1</v>
      </c>
      <c r="AJ4158">
        <v>1</v>
      </c>
      <c r="AK4158">
        <v>1</v>
      </c>
      <c r="AL4158">
        <v>1</v>
      </c>
      <c r="AM4158">
        <v>1</v>
      </c>
    </row>
    <row r="4159" spans="1:39" x14ac:dyDescent="0.2">
      <c r="A4159" t="str">
        <f>"4155"</f>
        <v>4155</v>
      </c>
      <c r="B4159" t="str">
        <f t="shared" si="231"/>
        <v>1</v>
      </c>
      <c r="C4159" t="str">
        <f t="shared" si="232"/>
        <v>84</v>
      </c>
      <c r="D4159" t="str">
        <f>"21"</f>
        <v>21</v>
      </c>
      <c r="E4159" t="str">
        <f>"1-84-21"</f>
        <v>1-84-21</v>
      </c>
      <c r="F4159" t="s">
        <v>65</v>
      </c>
      <c r="G4159" t="s">
        <v>66</v>
      </c>
      <c r="H4159" t="s">
        <v>67</v>
      </c>
      <c r="S4159">
        <v>0</v>
      </c>
      <c r="T4159">
        <v>1</v>
      </c>
      <c r="U4159">
        <v>0</v>
      </c>
      <c r="V4159">
        <v>0</v>
      </c>
      <c r="W4159">
        <v>1</v>
      </c>
      <c r="X4159">
        <v>0</v>
      </c>
      <c r="Y4159">
        <v>0</v>
      </c>
      <c r="Z4159">
        <v>1</v>
      </c>
      <c r="AA4159">
        <v>0</v>
      </c>
      <c r="AB4159">
        <v>0</v>
      </c>
      <c r="AC4159">
        <v>1</v>
      </c>
      <c r="AD4159">
        <v>1</v>
      </c>
      <c r="AE4159">
        <v>1</v>
      </c>
      <c r="AF4159">
        <v>1</v>
      </c>
      <c r="AG4159">
        <v>1</v>
      </c>
      <c r="AH4159">
        <v>1</v>
      </c>
      <c r="AI4159">
        <v>1</v>
      </c>
      <c r="AJ4159">
        <v>1</v>
      </c>
      <c r="AK4159">
        <v>1</v>
      </c>
      <c r="AL4159">
        <v>1</v>
      </c>
      <c r="AM4159">
        <v>1</v>
      </c>
    </row>
    <row r="4160" spans="1:39" x14ac:dyDescent="0.2">
      <c r="A4160" t="str">
        <f>"4156"</f>
        <v>4156</v>
      </c>
      <c r="B4160" t="str">
        <f t="shared" si="231"/>
        <v>1</v>
      </c>
      <c r="C4160" t="str">
        <f t="shared" si="232"/>
        <v>84</v>
      </c>
      <c r="D4160" t="str">
        <f>"20"</f>
        <v>20</v>
      </c>
      <c r="E4160" t="str">
        <f>"1-84-20"</f>
        <v>1-84-20</v>
      </c>
      <c r="F4160" t="s">
        <v>65</v>
      </c>
      <c r="G4160" t="s">
        <v>66</v>
      </c>
      <c r="H4160" t="s">
        <v>67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1</v>
      </c>
      <c r="AJ4160">
        <v>1</v>
      </c>
      <c r="AK4160">
        <v>1</v>
      </c>
      <c r="AL4160">
        <v>1</v>
      </c>
      <c r="AM4160">
        <v>0</v>
      </c>
    </row>
    <row r="4161" spans="1:39" x14ac:dyDescent="0.2">
      <c r="A4161" t="str">
        <f>"4157"</f>
        <v>4157</v>
      </c>
      <c r="B4161" t="str">
        <f t="shared" si="231"/>
        <v>1</v>
      </c>
      <c r="C4161" t="str">
        <f t="shared" si="232"/>
        <v>84</v>
      </c>
      <c r="D4161" t="str">
        <f>"17"</f>
        <v>17</v>
      </c>
      <c r="E4161" t="str">
        <f>"1-84-17"</f>
        <v>1-84-17</v>
      </c>
      <c r="F4161" t="s">
        <v>65</v>
      </c>
      <c r="G4161" t="s">
        <v>66</v>
      </c>
      <c r="H4161" t="s">
        <v>67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1</v>
      </c>
      <c r="AH4161">
        <v>0</v>
      </c>
      <c r="AI4161">
        <v>1</v>
      </c>
      <c r="AJ4161">
        <v>1</v>
      </c>
      <c r="AK4161">
        <v>1</v>
      </c>
      <c r="AL4161">
        <v>1</v>
      </c>
      <c r="AM4161">
        <v>0</v>
      </c>
    </row>
    <row r="4162" spans="1:39" x14ac:dyDescent="0.2">
      <c r="A4162" t="str">
        <f>"4158"</f>
        <v>4158</v>
      </c>
      <c r="B4162" t="str">
        <f t="shared" si="231"/>
        <v>1</v>
      </c>
      <c r="C4162" t="str">
        <f t="shared" si="232"/>
        <v>84</v>
      </c>
      <c r="D4162" t="str">
        <f>"15"</f>
        <v>15</v>
      </c>
      <c r="E4162" t="str">
        <f>"1-84-15"</f>
        <v>1-84-15</v>
      </c>
      <c r="F4162" t="s">
        <v>65</v>
      </c>
      <c r="G4162" t="s">
        <v>66</v>
      </c>
      <c r="H4162" t="s">
        <v>67</v>
      </c>
      <c r="S4162">
        <v>0</v>
      </c>
      <c r="T4162">
        <v>1</v>
      </c>
      <c r="U4162">
        <v>0</v>
      </c>
      <c r="V4162">
        <v>0</v>
      </c>
      <c r="W4162">
        <v>0</v>
      </c>
      <c r="X4162">
        <v>1</v>
      </c>
      <c r="Y4162">
        <v>0</v>
      </c>
      <c r="Z4162">
        <v>1</v>
      </c>
      <c r="AA4162">
        <v>0</v>
      </c>
      <c r="AB4162">
        <v>0</v>
      </c>
      <c r="AC4162">
        <v>1</v>
      </c>
      <c r="AD4162">
        <v>1</v>
      </c>
      <c r="AE4162">
        <v>1</v>
      </c>
      <c r="AF4162">
        <v>1</v>
      </c>
      <c r="AG4162">
        <v>1</v>
      </c>
      <c r="AH4162">
        <v>1</v>
      </c>
      <c r="AI4162">
        <v>1</v>
      </c>
      <c r="AJ4162">
        <v>1</v>
      </c>
      <c r="AK4162">
        <v>1</v>
      </c>
      <c r="AL4162">
        <v>1</v>
      </c>
      <c r="AM4162">
        <v>1</v>
      </c>
    </row>
    <row r="4163" spans="1:39" x14ac:dyDescent="0.2">
      <c r="A4163" t="str">
        <f>"4159"</f>
        <v>4159</v>
      </c>
      <c r="B4163" t="str">
        <f t="shared" si="231"/>
        <v>1</v>
      </c>
      <c r="C4163" t="str">
        <f t="shared" si="232"/>
        <v>84</v>
      </c>
      <c r="D4163" t="str">
        <f>"7"</f>
        <v>7</v>
      </c>
      <c r="E4163" t="str">
        <f>"1-84-7"</f>
        <v>1-84-7</v>
      </c>
      <c r="F4163" t="s">
        <v>65</v>
      </c>
      <c r="G4163" t="s">
        <v>66</v>
      </c>
      <c r="H4163" t="s">
        <v>67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</row>
    <row r="4164" spans="1:39" x14ac:dyDescent="0.2">
      <c r="A4164" t="str">
        <f>"4160"</f>
        <v>4160</v>
      </c>
      <c r="B4164" t="str">
        <f t="shared" si="231"/>
        <v>1</v>
      </c>
      <c r="C4164" t="str">
        <f t="shared" si="232"/>
        <v>84</v>
      </c>
      <c r="D4164" t="str">
        <f>"36"</f>
        <v>36</v>
      </c>
      <c r="E4164" t="str">
        <f>"1-84-36"</f>
        <v>1-84-36</v>
      </c>
      <c r="F4164" t="s">
        <v>65</v>
      </c>
      <c r="G4164" t="s">
        <v>66</v>
      </c>
      <c r="H4164" t="s">
        <v>67</v>
      </c>
      <c r="S4164">
        <v>1</v>
      </c>
      <c r="T4164">
        <v>0</v>
      </c>
      <c r="U4164">
        <v>0</v>
      </c>
      <c r="V4164">
        <v>0</v>
      </c>
      <c r="W4164">
        <v>1</v>
      </c>
      <c r="X4164">
        <v>0</v>
      </c>
      <c r="Y4164">
        <v>1</v>
      </c>
      <c r="Z4164">
        <v>0</v>
      </c>
      <c r="AA4164">
        <v>0</v>
      </c>
      <c r="AB4164">
        <v>1</v>
      </c>
      <c r="AC4164">
        <v>0</v>
      </c>
      <c r="AD4164">
        <v>1</v>
      </c>
      <c r="AE4164">
        <v>1</v>
      </c>
      <c r="AF4164">
        <v>1</v>
      </c>
      <c r="AG4164">
        <v>1</v>
      </c>
      <c r="AH4164">
        <v>1</v>
      </c>
      <c r="AI4164">
        <v>1</v>
      </c>
      <c r="AJ4164">
        <v>1</v>
      </c>
      <c r="AK4164">
        <v>1</v>
      </c>
      <c r="AL4164">
        <v>1</v>
      </c>
      <c r="AM4164">
        <v>1</v>
      </c>
    </row>
    <row r="4165" spans="1:39" x14ac:dyDescent="0.2">
      <c r="A4165" t="str">
        <f>"4161"</f>
        <v>4161</v>
      </c>
      <c r="B4165" t="str">
        <f t="shared" si="231"/>
        <v>1</v>
      </c>
      <c r="C4165" t="str">
        <f t="shared" si="232"/>
        <v>84</v>
      </c>
      <c r="D4165" t="str">
        <f>"35"</f>
        <v>35</v>
      </c>
      <c r="E4165" t="str">
        <f>"1-84-35"</f>
        <v>1-84-35</v>
      </c>
      <c r="F4165" t="s">
        <v>65</v>
      </c>
      <c r="G4165" t="s">
        <v>66</v>
      </c>
      <c r="H4165" t="s">
        <v>67</v>
      </c>
      <c r="S4165">
        <v>0</v>
      </c>
      <c r="T4165">
        <v>1</v>
      </c>
      <c r="U4165">
        <v>0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0</v>
      </c>
      <c r="AB4165">
        <v>1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</row>
    <row r="4166" spans="1:39" x14ac:dyDescent="0.2">
      <c r="A4166" t="str">
        <f>"4162"</f>
        <v>4162</v>
      </c>
      <c r="B4166" t="str">
        <f t="shared" si="231"/>
        <v>1</v>
      </c>
      <c r="C4166" t="str">
        <f t="shared" si="232"/>
        <v>84</v>
      </c>
      <c r="D4166" t="str">
        <f>"24"</f>
        <v>24</v>
      </c>
      <c r="E4166" t="str">
        <f>"1-84-24"</f>
        <v>1-84-24</v>
      </c>
      <c r="F4166" t="s">
        <v>65</v>
      </c>
      <c r="G4166" t="s">
        <v>66</v>
      </c>
      <c r="H4166" t="s">
        <v>67</v>
      </c>
      <c r="S4166">
        <v>0</v>
      </c>
      <c r="T4166">
        <v>1</v>
      </c>
      <c r="U4166">
        <v>0</v>
      </c>
      <c r="V4166">
        <v>0</v>
      </c>
      <c r="W4166">
        <v>1</v>
      </c>
      <c r="X4166">
        <v>0</v>
      </c>
      <c r="Y4166">
        <v>1</v>
      </c>
      <c r="Z4166">
        <v>0</v>
      </c>
      <c r="AA4166">
        <v>1</v>
      </c>
      <c r="AB4166">
        <v>0</v>
      </c>
      <c r="AC4166">
        <v>0</v>
      </c>
      <c r="AD4166">
        <v>0</v>
      </c>
      <c r="AE4166">
        <v>1</v>
      </c>
      <c r="AF4166">
        <v>1</v>
      </c>
      <c r="AG4166">
        <v>1</v>
      </c>
      <c r="AH4166">
        <v>1</v>
      </c>
      <c r="AI4166">
        <v>1</v>
      </c>
      <c r="AJ4166">
        <v>1</v>
      </c>
      <c r="AK4166">
        <v>1</v>
      </c>
      <c r="AL4166">
        <v>1</v>
      </c>
      <c r="AM4166">
        <v>1</v>
      </c>
    </row>
    <row r="4167" spans="1:39" x14ac:dyDescent="0.2">
      <c r="A4167" t="str">
        <f>"4163"</f>
        <v>4163</v>
      </c>
      <c r="B4167" t="str">
        <f t="shared" si="231"/>
        <v>1</v>
      </c>
      <c r="C4167" t="str">
        <f t="shared" si="232"/>
        <v>84</v>
      </c>
      <c r="D4167" t="str">
        <f>"16"</f>
        <v>16</v>
      </c>
      <c r="E4167" t="str">
        <f>"1-84-16"</f>
        <v>1-84-16</v>
      </c>
      <c r="F4167" t="s">
        <v>65</v>
      </c>
      <c r="G4167" t="s">
        <v>66</v>
      </c>
      <c r="H4167" t="s">
        <v>67</v>
      </c>
      <c r="S4167">
        <v>1</v>
      </c>
      <c r="T4167">
        <v>0</v>
      </c>
      <c r="U4167">
        <v>0</v>
      </c>
      <c r="V4167">
        <v>0</v>
      </c>
      <c r="W4167">
        <v>0</v>
      </c>
      <c r="X4167">
        <v>1</v>
      </c>
      <c r="Y4167">
        <v>0</v>
      </c>
      <c r="Z4167">
        <v>1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</row>
    <row r="4168" spans="1:39" x14ac:dyDescent="0.2">
      <c r="A4168" t="str">
        <f>"4164"</f>
        <v>4164</v>
      </c>
      <c r="B4168" t="str">
        <f t="shared" si="231"/>
        <v>1</v>
      </c>
      <c r="C4168" t="str">
        <f t="shared" si="232"/>
        <v>84</v>
      </c>
      <c r="D4168" t="str">
        <f>"3"</f>
        <v>3</v>
      </c>
      <c r="E4168" t="str">
        <f>"1-84-3"</f>
        <v>1-84-3</v>
      </c>
      <c r="F4168" t="s">
        <v>65</v>
      </c>
      <c r="G4168" t="s">
        <v>66</v>
      </c>
      <c r="H4168" t="s">
        <v>68</v>
      </c>
      <c r="I4168">
        <v>1</v>
      </c>
      <c r="J4168">
        <v>0</v>
      </c>
      <c r="K4168">
        <v>1</v>
      </c>
      <c r="L4168">
        <v>0</v>
      </c>
      <c r="M4168">
        <v>1</v>
      </c>
      <c r="N4168">
        <v>1</v>
      </c>
      <c r="O4168">
        <v>1</v>
      </c>
      <c r="P4168">
        <v>1</v>
      </c>
      <c r="Q4168">
        <v>1</v>
      </c>
      <c r="R4168">
        <v>1</v>
      </c>
    </row>
    <row r="4169" spans="1:39" x14ac:dyDescent="0.2">
      <c r="A4169" t="str">
        <f>"4165"</f>
        <v>4165</v>
      </c>
      <c r="B4169" t="str">
        <f t="shared" si="231"/>
        <v>1</v>
      </c>
      <c r="C4169" t="str">
        <f t="shared" si="232"/>
        <v>84</v>
      </c>
      <c r="D4169" t="str">
        <f>"37"</f>
        <v>37</v>
      </c>
      <c r="E4169" t="str">
        <f>"1-84-37"</f>
        <v>1-84-37</v>
      </c>
      <c r="F4169" t="s">
        <v>65</v>
      </c>
      <c r="G4169" t="s">
        <v>66</v>
      </c>
      <c r="H4169" t="s">
        <v>67</v>
      </c>
      <c r="S4169">
        <v>0</v>
      </c>
      <c r="T4169">
        <v>1</v>
      </c>
      <c r="U4169">
        <v>0</v>
      </c>
      <c r="V4169">
        <v>0</v>
      </c>
      <c r="W4169">
        <v>1</v>
      </c>
      <c r="X4169">
        <v>0</v>
      </c>
      <c r="Y4169">
        <v>1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1</v>
      </c>
      <c r="AF4169">
        <v>1</v>
      </c>
      <c r="AG4169">
        <v>1</v>
      </c>
      <c r="AH4169">
        <v>1</v>
      </c>
      <c r="AI4169">
        <v>1</v>
      </c>
      <c r="AJ4169">
        <v>1</v>
      </c>
      <c r="AK4169">
        <v>1</v>
      </c>
      <c r="AL4169">
        <v>1</v>
      </c>
      <c r="AM4169">
        <v>1</v>
      </c>
    </row>
    <row r="4170" spans="1:39" x14ac:dyDescent="0.2">
      <c r="A4170" t="str">
        <f>"4166"</f>
        <v>4166</v>
      </c>
      <c r="B4170" t="str">
        <f t="shared" si="231"/>
        <v>1</v>
      </c>
      <c r="C4170" t="str">
        <f t="shared" si="232"/>
        <v>84</v>
      </c>
      <c r="D4170" t="str">
        <f>"18"</f>
        <v>18</v>
      </c>
      <c r="E4170" t="str">
        <f>"1-84-18"</f>
        <v>1-84-18</v>
      </c>
      <c r="F4170" t="s">
        <v>65</v>
      </c>
      <c r="G4170" t="s">
        <v>66</v>
      </c>
      <c r="H4170" t="s">
        <v>67</v>
      </c>
      <c r="S4170">
        <v>1</v>
      </c>
      <c r="T4170">
        <v>0</v>
      </c>
      <c r="U4170">
        <v>0</v>
      </c>
      <c r="V4170">
        <v>0</v>
      </c>
      <c r="W4170">
        <v>0</v>
      </c>
      <c r="X4170">
        <v>1</v>
      </c>
      <c r="Y4170">
        <v>1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1</v>
      </c>
      <c r="AF4170">
        <v>1</v>
      </c>
      <c r="AG4170">
        <v>1</v>
      </c>
      <c r="AH4170">
        <v>1</v>
      </c>
      <c r="AI4170">
        <v>1</v>
      </c>
      <c r="AJ4170">
        <v>1</v>
      </c>
      <c r="AK4170">
        <v>1</v>
      </c>
      <c r="AL4170">
        <v>1</v>
      </c>
      <c r="AM4170">
        <v>1</v>
      </c>
    </row>
    <row r="4171" spans="1:39" x14ac:dyDescent="0.2">
      <c r="A4171" t="str">
        <f>"4167"</f>
        <v>4167</v>
      </c>
      <c r="B4171" t="str">
        <f t="shared" si="231"/>
        <v>1</v>
      </c>
      <c r="C4171" t="str">
        <f t="shared" si="232"/>
        <v>84</v>
      </c>
      <c r="D4171" t="str">
        <f>"4"</f>
        <v>4</v>
      </c>
      <c r="E4171" t="str">
        <f>"1-84-4"</f>
        <v>1-84-4</v>
      </c>
      <c r="F4171" t="s">
        <v>65</v>
      </c>
      <c r="G4171" t="s">
        <v>66</v>
      </c>
      <c r="H4171" t="s">
        <v>67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1</v>
      </c>
      <c r="AI4171">
        <v>0</v>
      </c>
      <c r="AJ4171">
        <v>0</v>
      </c>
      <c r="AK4171">
        <v>0</v>
      </c>
      <c r="AL4171">
        <v>0</v>
      </c>
      <c r="AM4171">
        <v>0</v>
      </c>
    </row>
    <row r="4172" spans="1:39" x14ac:dyDescent="0.2">
      <c r="A4172" t="str">
        <f>"4168"</f>
        <v>4168</v>
      </c>
      <c r="B4172" t="str">
        <f t="shared" si="231"/>
        <v>1</v>
      </c>
      <c r="C4172" t="str">
        <f t="shared" si="232"/>
        <v>84</v>
      </c>
      <c r="D4172" t="str">
        <f>"39"</f>
        <v>39</v>
      </c>
      <c r="E4172" t="str">
        <f>"1-84-39"</f>
        <v>1-84-39</v>
      </c>
      <c r="F4172" t="s">
        <v>65</v>
      </c>
      <c r="G4172" t="s">
        <v>66</v>
      </c>
      <c r="H4172" t="s">
        <v>67</v>
      </c>
      <c r="S4172">
        <v>1</v>
      </c>
      <c r="T4172">
        <v>0</v>
      </c>
      <c r="U4172">
        <v>0</v>
      </c>
      <c r="V4172">
        <v>0</v>
      </c>
      <c r="W4172">
        <v>1</v>
      </c>
      <c r="X4172">
        <v>0</v>
      </c>
      <c r="Y4172">
        <v>0</v>
      </c>
      <c r="Z4172">
        <v>1</v>
      </c>
      <c r="AA4172">
        <v>0</v>
      </c>
      <c r="AB4172">
        <v>0</v>
      </c>
      <c r="AC4172">
        <v>1</v>
      </c>
      <c r="AD4172">
        <v>1</v>
      </c>
      <c r="AE4172">
        <v>1</v>
      </c>
      <c r="AF4172">
        <v>1</v>
      </c>
      <c r="AG4172">
        <v>1</v>
      </c>
      <c r="AH4172">
        <v>1</v>
      </c>
      <c r="AI4172">
        <v>1</v>
      </c>
      <c r="AJ4172">
        <v>1</v>
      </c>
      <c r="AK4172">
        <v>1</v>
      </c>
      <c r="AL4172">
        <v>1</v>
      </c>
      <c r="AM4172">
        <v>1</v>
      </c>
    </row>
    <row r="4173" spans="1:39" x14ac:dyDescent="0.2">
      <c r="A4173" t="str">
        <f>"4169"</f>
        <v>4169</v>
      </c>
      <c r="B4173" t="str">
        <f t="shared" si="231"/>
        <v>1</v>
      </c>
      <c r="C4173" t="str">
        <f t="shared" si="232"/>
        <v>84</v>
      </c>
      <c r="D4173" t="str">
        <f>"19"</f>
        <v>19</v>
      </c>
      <c r="E4173" t="str">
        <f>"1-84-19"</f>
        <v>1-84-19</v>
      </c>
      <c r="F4173" t="s">
        <v>65</v>
      </c>
      <c r="G4173" t="s">
        <v>66</v>
      </c>
      <c r="H4173" t="s">
        <v>67</v>
      </c>
      <c r="S4173">
        <v>1</v>
      </c>
      <c r="T4173">
        <v>0</v>
      </c>
      <c r="U4173">
        <v>0</v>
      </c>
      <c r="V4173">
        <v>0</v>
      </c>
      <c r="W4173">
        <v>0</v>
      </c>
      <c r="X4173">
        <v>1</v>
      </c>
      <c r="Y4173">
        <v>1</v>
      </c>
      <c r="Z4173">
        <v>0</v>
      </c>
      <c r="AA4173">
        <v>0</v>
      </c>
      <c r="AB4173">
        <v>1</v>
      </c>
      <c r="AC4173">
        <v>0</v>
      </c>
      <c r="AD4173">
        <v>1</v>
      </c>
      <c r="AE4173">
        <v>1</v>
      </c>
      <c r="AF4173">
        <v>1</v>
      </c>
      <c r="AG4173">
        <v>1</v>
      </c>
      <c r="AH4173">
        <v>1</v>
      </c>
      <c r="AI4173">
        <v>1</v>
      </c>
      <c r="AJ4173">
        <v>1</v>
      </c>
      <c r="AK4173">
        <v>1</v>
      </c>
      <c r="AL4173">
        <v>1</v>
      </c>
      <c r="AM4173">
        <v>1</v>
      </c>
    </row>
    <row r="4174" spans="1:39" x14ac:dyDescent="0.2">
      <c r="A4174" t="str">
        <f>"4170"</f>
        <v>4170</v>
      </c>
      <c r="B4174" t="str">
        <f t="shared" si="231"/>
        <v>1</v>
      </c>
      <c r="C4174" t="str">
        <f t="shared" si="232"/>
        <v>84</v>
      </c>
      <c r="D4174" t="str">
        <f>"1"</f>
        <v>1</v>
      </c>
      <c r="E4174" t="str">
        <f>"1-84-1"</f>
        <v>1-84-1</v>
      </c>
      <c r="F4174" t="s">
        <v>65</v>
      </c>
      <c r="G4174" t="s">
        <v>66</v>
      </c>
      <c r="H4174" t="s">
        <v>68</v>
      </c>
      <c r="I4174">
        <v>0</v>
      </c>
      <c r="J4174">
        <v>0</v>
      </c>
      <c r="K4174">
        <v>0</v>
      </c>
      <c r="L4174">
        <v>1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39" x14ac:dyDescent="0.2">
      <c r="A4175" t="str">
        <f>"4171"</f>
        <v>4171</v>
      </c>
      <c r="B4175" t="str">
        <f t="shared" si="231"/>
        <v>1</v>
      </c>
      <c r="C4175" t="str">
        <f t="shared" si="232"/>
        <v>84</v>
      </c>
      <c r="D4175" t="str">
        <f>"40"</f>
        <v>40</v>
      </c>
      <c r="E4175" t="str">
        <f>"1-84-40"</f>
        <v>1-84-40</v>
      </c>
      <c r="F4175" t="s">
        <v>65</v>
      </c>
      <c r="G4175" t="s">
        <v>66</v>
      </c>
      <c r="H4175" t="s">
        <v>67</v>
      </c>
      <c r="S4175">
        <v>0</v>
      </c>
      <c r="T4175">
        <v>1</v>
      </c>
      <c r="U4175">
        <v>0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0</v>
      </c>
      <c r="AB4175">
        <v>0</v>
      </c>
      <c r="AC4175">
        <v>1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</row>
    <row r="4176" spans="1:39" x14ac:dyDescent="0.2">
      <c r="A4176" t="str">
        <f>"4172"</f>
        <v>4172</v>
      </c>
      <c r="B4176" t="str">
        <f t="shared" si="231"/>
        <v>1</v>
      </c>
      <c r="C4176" t="str">
        <f t="shared" si="232"/>
        <v>84</v>
      </c>
      <c r="D4176" t="str">
        <f>"22"</f>
        <v>22</v>
      </c>
      <c r="E4176" t="str">
        <f>"1-84-22"</f>
        <v>1-84-22</v>
      </c>
      <c r="F4176" t="s">
        <v>65</v>
      </c>
      <c r="G4176" t="s">
        <v>66</v>
      </c>
      <c r="H4176" t="s">
        <v>67</v>
      </c>
      <c r="S4176">
        <v>0</v>
      </c>
      <c r="T4176">
        <v>1</v>
      </c>
      <c r="U4176">
        <v>0</v>
      </c>
      <c r="V4176">
        <v>0</v>
      </c>
      <c r="W4176">
        <v>1</v>
      </c>
      <c r="X4176">
        <v>0</v>
      </c>
      <c r="Y4176">
        <v>0</v>
      </c>
      <c r="Z4176">
        <v>1</v>
      </c>
      <c r="AA4176">
        <v>0</v>
      </c>
      <c r="AB4176">
        <v>0</v>
      </c>
      <c r="AC4176">
        <v>1</v>
      </c>
      <c r="AD4176">
        <v>1</v>
      </c>
      <c r="AE4176">
        <v>1</v>
      </c>
      <c r="AF4176">
        <v>1</v>
      </c>
      <c r="AG4176">
        <v>1</v>
      </c>
      <c r="AH4176">
        <v>1</v>
      </c>
      <c r="AI4176">
        <v>1</v>
      </c>
      <c r="AJ4176">
        <v>1</v>
      </c>
      <c r="AK4176">
        <v>1</v>
      </c>
      <c r="AL4176">
        <v>1</v>
      </c>
      <c r="AM4176">
        <v>1</v>
      </c>
    </row>
    <row r="4177" spans="1:39" x14ac:dyDescent="0.2">
      <c r="A4177" t="str">
        <f>"4173"</f>
        <v>4173</v>
      </c>
      <c r="B4177" t="str">
        <f t="shared" si="231"/>
        <v>1</v>
      </c>
      <c r="C4177" t="str">
        <f t="shared" si="232"/>
        <v>84</v>
      </c>
      <c r="D4177" t="str">
        <f>"2"</f>
        <v>2</v>
      </c>
      <c r="E4177" t="str">
        <f>"1-84-2"</f>
        <v>1-84-2</v>
      </c>
      <c r="F4177" t="s">
        <v>65</v>
      </c>
      <c r="G4177" t="s">
        <v>66</v>
      </c>
      <c r="H4177" t="s">
        <v>68</v>
      </c>
      <c r="I4177">
        <v>1</v>
      </c>
      <c r="J4177">
        <v>0</v>
      </c>
      <c r="K4177">
        <v>0</v>
      </c>
      <c r="L4177">
        <v>1</v>
      </c>
      <c r="M4177">
        <v>1</v>
      </c>
      <c r="N4177">
        <v>1</v>
      </c>
      <c r="O4177">
        <v>1</v>
      </c>
      <c r="P4177">
        <v>1</v>
      </c>
      <c r="Q4177">
        <v>1</v>
      </c>
      <c r="R4177">
        <v>1</v>
      </c>
    </row>
    <row r="4178" spans="1:39" x14ac:dyDescent="0.2">
      <c r="A4178" t="str">
        <f>"4174"</f>
        <v>4174</v>
      </c>
      <c r="B4178" t="str">
        <f t="shared" si="231"/>
        <v>1</v>
      </c>
      <c r="C4178" t="str">
        <f t="shared" si="232"/>
        <v>84</v>
      </c>
      <c r="D4178" t="str">
        <f>"38"</f>
        <v>38</v>
      </c>
      <c r="E4178" t="str">
        <f>"1-84-38"</f>
        <v>1-84-38</v>
      </c>
      <c r="F4178" t="s">
        <v>65</v>
      </c>
      <c r="G4178" t="s">
        <v>66</v>
      </c>
      <c r="H4178" t="s">
        <v>67</v>
      </c>
      <c r="S4178">
        <v>0</v>
      </c>
      <c r="T4178">
        <v>1</v>
      </c>
      <c r="U4178">
        <v>0</v>
      </c>
      <c r="V4178">
        <v>0</v>
      </c>
      <c r="W4178">
        <v>1</v>
      </c>
      <c r="X4178">
        <v>0</v>
      </c>
      <c r="Y4178">
        <v>1</v>
      </c>
      <c r="Z4178">
        <v>0</v>
      </c>
      <c r="AA4178">
        <v>1</v>
      </c>
      <c r="AB4178">
        <v>0</v>
      </c>
      <c r="AC4178">
        <v>0</v>
      </c>
      <c r="AD4178">
        <v>0</v>
      </c>
      <c r="AE4178">
        <v>1</v>
      </c>
      <c r="AF4178">
        <v>1</v>
      </c>
      <c r="AG4178">
        <v>1</v>
      </c>
      <c r="AH4178">
        <v>1</v>
      </c>
      <c r="AI4178">
        <v>1</v>
      </c>
      <c r="AJ4178">
        <v>1</v>
      </c>
      <c r="AK4178">
        <v>1</v>
      </c>
      <c r="AL4178">
        <v>1</v>
      </c>
      <c r="AM4178">
        <v>1</v>
      </c>
    </row>
    <row r="4179" spans="1:39" x14ac:dyDescent="0.2">
      <c r="A4179" t="str">
        <f>"4175"</f>
        <v>4175</v>
      </c>
      <c r="B4179" t="str">
        <f t="shared" si="231"/>
        <v>1</v>
      </c>
      <c r="C4179" t="str">
        <f t="shared" si="232"/>
        <v>84</v>
      </c>
      <c r="D4179" t="str">
        <f>"23"</f>
        <v>23</v>
      </c>
      <c r="E4179" t="str">
        <f>"1-84-23"</f>
        <v>1-84-23</v>
      </c>
      <c r="F4179" t="s">
        <v>65</v>
      </c>
      <c r="G4179" t="s">
        <v>66</v>
      </c>
      <c r="H4179" t="s">
        <v>67</v>
      </c>
      <c r="S4179">
        <v>0</v>
      </c>
      <c r="T4179">
        <v>1</v>
      </c>
      <c r="U4179">
        <v>0</v>
      </c>
      <c r="V4179">
        <v>0</v>
      </c>
      <c r="W4179">
        <v>1</v>
      </c>
      <c r="X4179">
        <v>0</v>
      </c>
      <c r="Y4179">
        <v>1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1</v>
      </c>
      <c r="AF4179">
        <v>1</v>
      </c>
      <c r="AG4179">
        <v>1</v>
      </c>
      <c r="AH4179">
        <v>1</v>
      </c>
      <c r="AI4179">
        <v>1</v>
      </c>
      <c r="AJ4179">
        <v>1</v>
      </c>
      <c r="AK4179">
        <v>1</v>
      </c>
      <c r="AL4179">
        <v>1</v>
      </c>
      <c r="AM4179">
        <v>1</v>
      </c>
    </row>
    <row r="4180" spans="1:39" x14ac:dyDescent="0.2">
      <c r="A4180" t="str">
        <f>"4176"</f>
        <v>4176</v>
      </c>
      <c r="B4180" t="str">
        <f t="shared" si="231"/>
        <v>1</v>
      </c>
      <c r="C4180" t="str">
        <f t="shared" si="232"/>
        <v>84</v>
      </c>
      <c r="D4180" t="str">
        <f>"12"</f>
        <v>12</v>
      </c>
      <c r="E4180" t="str">
        <f>"1-84-12"</f>
        <v>1-84-12</v>
      </c>
      <c r="F4180" t="s">
        <v>65</v>
      </c>
      <c r="G4180" t="s">
        <v>66</v>
      </c>
      <c r="H4180" t="s">
        <v>67</v>
      </c>
      <c r="S4180">
        <v>0</v>
      </c>
      <c r="T4180">
        <v>1</v>
      </c>
      <c r="U4180">
        <v>0</v>
      </c>
      <c r="V4180">
        <v>0</v>
      </c>
      <c r="W4180">
        <v>1</v>
      </c>
      <c r="X4180">
        <v>0</v>
      </c>
      <c r="Y4180">
        <v>1</v>
      </c>
      <c r="Z4180">
        <v>0</v>
      </c>
      <c r="AA4180">
        <v>0</v>
      </c>
      <c r="AB4180">
        <v>1</v>
      </c>
      <c r="AC4180">
        <v>0</v>
      </c>
      <c r="AD4180">
        <v>1</v>
      </c>
      <c r="AE4180">
        <v>1</v>
      </c>
      <c r="AF4180">
        <v>1</v>
      </c>
      <c r="AG4180">
        <v>1</v>
      </c>
      <c r="AH4180">
        <v>1</v>
      </c>
      <c r="AI4180">
        <v>1</v>
      </c>
      <c r="AJ4180">
        <v>1</v>
      </c>
      <c r="AK4180">
        <v>1</v>
      </c>
      <c r="AL4180">
        <v>1</v>
      </c>
      <c r="AM4180">
        <v>1</v>
      </c>
    </row>
    <row r="4181" spans="1:39" x14ac:dyDescent="0.2">
      <c r="A4181" t="str">
        <f>"4177"</f>
        <v>4177</v>
      </c>
      <c r="B4181" t="str">
        <f t="shared" si="231"/>
        <v>1</v>
      </c>
      <c r="C4181" t="str">
        <f t="shared" si="232"/>
        <v>84</v>
      </c>
      <c r="D4181" t="str">
        <f>"48"</f>
        <v>48</v>
      </c>
      <c r="E4181" t="str">
        <f>"1-84-48"</f>
        <v>1-84-48</v>
      </c>
      <c r="F4181" t="s">
        <v>65</v>
      </c>
      <c r="G4181" t="s">
        <v>66</v>
      </c>
      <c r="H4181" t="s">
        <v>68</v>
      </c>
      <c r="I4181">
        <v>1</v>
      </c>
      <c r="J4181">
        <v>0</v>
      </c>
      <c r="K4181">
        <v>1</v>
      </c>
      <c r="L4181">
        <v>0</v>
      </c>
      <c r="M4181">
        <v>1</v>
      </c>
      <c r="N4181">
        <v>1</v>
      </c>
      <c r="O4181">
        <v>1</v>
      </c>
      <c r="P4181">
        <v>1</v>
      </c>
      <c r="Q4181">
        <v>1</v>
      </c>
      <c r="R4181">
        <v>1</v>
      </c>
    </row>
    <row r="4182" spans="1:39" x14ac:dyDescent="0.2">
      <c r="A4182" t="str">
        <f>"4178"</f>
        <v>4178</v>
      </c>
      <c r="B4182" t="str">
        <f t="shared" si="231"/>
        <v>1</v>
      </c>
      <c r="C4182" t="str">
        <f t="shared" si="232"/>
        <v>84</v>
      </c>
      <c r="D4182" t="str">
        <f>"25"</f>
        <v>25</v>
      </c>
      <c r="E4182" t="str">
        <f>"1-84-25"</f>
        <v>1-84-25</v>
      </c>
      <c r="F4182" t="s">
        <v>65</v>
      </c>
      <c r="G4182" t="s">
        <v>66</v>
      </c>
      <c r="H4182" t="s">
        <v>67</v>
      </c>
      <c r="S4182">
        <v>0</v>
      </c>
      <c r="T4182">
        <v>1</v>
      </c>
      <c r="U4182">
        <v>0</v>
      </c>
      <c r="V4182">
        <v>0</v>
      </c>
      <c r="W4182">
        <v>1</v>
      </c>
      <c r="X4182">
        <v>0</v>
      </c>
      <c r="Y4182">
        <v>1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1</v>
      </c>
      <c r="AF4182">
        <v>1</v>
      </c>
      <c r="AG4182">
        <v>1</v>
      </c>
      <c r="AH4182">
        <v>1</v>
      </c>
      <c r="AI4182">
        <v>1</v>
      </c>
      <c r="AJ4182">
        <v>1</v>
      </c>
      <c r="AK4182">
        <v>1</v>
      </c>
      <c r="AL4182">
        <v>1</v>
      </c>
      <c r="AM4182">
        <v>1</v>
      </c>
    </row>
    <row r="4183" spans="1:39" x14ac:dyDescent="0.2">
      <c r="A4183" t="str">
        <f>"4179"</f>
        <v>4179</v>
      </c>
      <c r="B4183" t="str">
        <f t="shared" si="231"/>
        <v>1</v>
      </c>
      <c r="C4183" t="str">
        <f t="shared" si="232"/>
        <v>84</v>
      </c>
      <c r="D4183" t="str">
        <f>"9"</f>
        <v>9</v>
      </c>
      <c r="E4183" t="str">
        <f>"1-84-9"</f>
        <v>1-84-9</v>
      </c>
      <c r="F4183" t="s">
        <v>65</v>
      </c>
      <c r="G4183" t="s">
        <v>66</v>
      </c>
      <c r="H4183" t="s">
        <v>67</v>
      </c>
      <c r="S4183">
        <v>0</v>
      </c>
      <c r="T4183">
        <v>1</v>
      </c>
      <c r="U4183">
        <v>0</v>
      </c>
      <c r="V4183">
        <v>0</v>
      </c>
      <c r="W4183">
        <v>0</v>
      </c>
      <c r="X4183">
        <v>1</v>
      </c>
      <c r="Y4183">
        <v>0</v>
      </c>
      <c r="Z4183">
        <v>1</v>
      </c>
      <c r="AA4183">
        <v>0</v>
      </c>
      <c r="AB4183">
        <v>0</v>
      </c>
      <c r="AC4183">
        <v>1</v>
      </c>
      <c r="AD4183">
        <v>1</v>
      </c>
      <c r="AE4183">
        <v>1</v>
      </c>
      <c r="AF4183">
        <v>1</v>
      </c>
      <c r="AG4183">
        <v>1</v>
      </c>
      <c r="AH4183">
        <v>1</v>
      </c>
      <c r="AI4183">
        <v>1</v>
      </c>
      <c r="AJ4183">
        <v>1</v>
      </c>
      <c r="AK4183">
        <v>1</v>
      </c>
      <c r="AL4183">
        <v>1</v>
      </c>
      <c r="AM4183">
        <v>1</v>
      </c>
    </row>
    <row r="4184" spans="1:39" x14ac:dyDescent="0.2">
      <c r="A4184" t="str">
        <f>"4180"</f>
        <v>4180</v>
      </c>
      <c r="B4184" t="str">
        <f t="shared" si="231"/>
        <v>1</v>
      </c>
      <c r="C4184" t="str">
        <f t="shared" si="232"/>
        <v>84</v>
      </c>
      <c r="D4184" t="str">
        <f>"44"</f>
        <v>44</v>
      </c>
      <c r="E4184" t="str">
        <f>"1-84-44"</f>
        <v>1-84-44</v>
      </c>
      <c r="F4184" t="s">
        <v>65</v>
      </c>
      <c r="G4184" t="s">
        <v>66</v>
      </c>
      <c r="H4184" t="s">
        <v>68</v>
      </c>
      <c r="I4184">
        <v>1</v>
      </c>
      <c r="J4184">
        <v>1</v>
      </c>
      <c r="K4184">
        <v>0</v>
      </c>
      <c r="L4184">
        <v>0</v>
      </c>
      <c r="M4184">
        <v>1</v>
      </c>
      <c r="N4184">
        <v>1</v>
      </c>
      <c r="O4184">
        <v>1</v>
      </c>
      <c r="P4184">
        <v>1</v>
      </c>
      <c r="Q4184">
        <v>1</v>
      </c>
      <c r="R4184">
        <v>1</v>
      </c>
    </row>
    <row r="4185" spans="1:39" x14ac:dyDescent="0.2">
      <c r="A4185" t="str">
        <f>"4181"</f>
        <v>4181</v>
      </c>
      <c r="B4185" t="str">
        <f t="shared" si="231"/>
        <v>1</v>
      </c>
      <c r="C4185" t="str">
        <f t="shared" si="232"/>
        <v>84</v>
      </c>
      <c r="D4185" t="str">
        <f>"26"</f>
        <v>26</v>
      </c>
      <c r="E4185" t="str">
        <f>"1-84-26"</f>
        <v>1-84-26</v>
      </c>
      <c r="F4185" t="s">
        <v>65</v>
      </c>
      <c r="G4185" t="s">
        <v>66</v>
      </c>
      <c r="H4185" t="s">
        <v>67</v>
      </c>
      <c r="S4185">
        <v>0</v>
      </c>
      <c r="T4185">
        <v>1</v>
      </c>
      <c r="U4185">
        <v>0</v>
      </c>
      <c r="V4185">
        <v>0</v>
      </c>
      <c r="W4185">
        <v>1</v>
      </c>
      <c r="X4185">
        <v>0</v>
      </c>
      <c r="Y4185">
        <v>0</v>
      </c>
      <c r="Z4185">
        <v>1</v>
      </c>
      <c r="AA4185">
        <v>0</v>
      </c>
      <c r="AB4185">
        <v>0</v>
      </c>
      <c r="AC4185">
        <v>1</v>
      </c>
      <c r="AD4185">
        <v>1</v>
      </c>
      <c r="AE4185">
        <v>1</v>
      </c>
      <c r="AF4185">
        <v>1</v>
      </c>
      <c r="AG4185">
        <v>1</v>
      </c>
      <c r="AH4185">
        <v>1</v>
      </c>
      <c r="AI4185">
        <v>1</v>
      </c>
      <c r="AJ4185">
        <v>1</v>
      </c>
      <c r="AK4185">
        <v>1</v>
      </c>
      <c r="AL4185">
        <v>1</v>
      </c>
      <c r="AM4185">
        <v>1</v>
      </c>
    </row>
    <row r="4186" spans="1:39" x14ac:dyDescent="0.2">
      <c r="A4186" t="str">
        <f>"4182"</f>
        <v>4182</v>
      </c>
      <c r="B4186" t="str">
        <f t="shared" si="231"/>
        <v>1</v>
      </c>
      <c r="C4186" t="str">
        <f t="shared" si="232"/>
        <v>84</v>
      </c>
      <c r="D4186" t="str">
        <f>"8"</f>
        <v>8</v>
      </c>
      <c r="E4186" t="str">
        <f>"1-84-8"</f>
        <v>1-84-8</v>
      </c>
      <c r="F4186" t="s">
        <v>65</v>
      </c>
      <c r="G4186" t="s">
        <v>66</v>
      </c>
      <c r="H4186" t="s">
        <v>67</v>
      </c>
      <c r="S4186">
        <v>1</v>
      </c>
      <c r="T4186">
        <v>0</v>
      </c>
      <c r="U4186">
        <v>0</v>
      </c>
      <c r="V4186">
        <v>0</v>
      </c>
      <c r="W4186">
        <v>0</v>
      </c>
      <c r="X4186">
        <v>1</v>
      </c>
      <c r="Y4186">
        <v>0</v>
      </c>
      <c r="Z4186">
        <v>1</v>
      </c>
      <c r="AA4186">
        <v>1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</row>
    <row r="4187" spans="1:39" x14ac:dyDescent="0.2">
      <c r="A4187" t="str">
        <f>"4183"</f>
        <v>4183</v>
      </c>
      <c r="B4187" t="str">
        <f t="shared" si="231"/>
        <v>1</v>
      </c>
      <c r="C4187" t="str">
        <f t="shared" ref="C4187:C4204" si="233">"84"</f>
        <v>84</v>
      </c>
      <c r="D4187" t="str">
        <f>"43"</f>
        <v>43</v>
      </c>
      <c r="E4187" t="str">
        <f>"1-84-43"</f>
        <v>1-84-43</v>
      </c>
      <c r="F4187" t="s">
        <v>65</v>
      </c>
      <c r="G4187" t="s">
        <v>66</v>
      </c>
      <c r="H4187" t="s">
        <v>68</v>
      </c>
      <c r="I4187">
        <v>0</v>
      </c>
      <c r="J4187">
        <v>1</v>
      </c>
      <c r="K4187">
        <v>0</v>
      </c>
      <c r="L4187">
        <v>0</v>
      </c>
      <c r="M4187">
        <v>1</v>
      </c>
      <c r="N4187">
        <v>1</v>
      </c>
      <c r="O4187">
        <v>1</v>
      </c>
      <c r="P4187">
        <v>1</v>
      </c>
      <c r="Q4187">
        <v>1</v>
      </c>
      <c r="R4187">
        <v>1</v>
      </c>
    </row>
    <row r="4188" spans="1:39" x14ac:dyDescent="0.2">
      <c r="A4188" t="str">
        <f>"4184"</f>
        <v>4184</v>
      </c>
      <c r="B4188" t="str">
        <f t="shared" si="231"/>
        <v>1</v>
      </c>
      <c r="C4188" t="str">
        <f t="shared" si="233"/>
        <v>84</v>
      </c>
      <c r="D4188" t="str">
        <f>"27"</f>
        <v>27</v>
      </c>
      <c r="E4188" t="str">
        <f>"1-84-27"</f>
        <v>1-84-27</v>
      </c>
      <c r="F4188" t="s">
        <v>65</v>
      </c>
      <c r="G4188" t="s">
        <v>66</v>
      </c>
      <c r="H4188" t="s">
        <v>67</v>
      </c>
      <c r="S4188">
        <v>0</v>
      </c>
      <c r="T4188">
        <v>1</v>
      </c>
      <c r="U4188">
        <v>0</v>
      </c>
      <c r="V4188">
        <v>0</v>
      </c>
      <c r="W4188">
        <v>1</v>
      </c>
      <c r="X4188">
        <v>0</v>
      </c>
      <c r="Y4188">
        <v>0</v>
      </c>
      <c r="Z4188">
        <v>1</v>
      </c>
      <c r="AA4188">
        <v>0</v>
      </c>
      <c r="AB4188">
        <v>1</v>
      </c>
      <c r="AC4188">
        <v>0</v>
      </c>
      <c r="AD4188">
        <v>1</v>
      </c>
      <c r="AE4188">
        <v>1</v>
      </c>
      <c r="AF4188">
        <v>1</v>
      </c>
      <c r="AG4188">
        <v>1</v>
      </c>
      <c r="AH4188">
        <v>1</v>
      </c>
      <c r="AI4188">
        <v>1</v>
      </c>
      <c r="AJ4188">
        <v>1</v>
      </c>
      <c r="AK4188">
        <v>1</v>
      </c>
      <c r="AL4188">
        <v>1</v>
      </c>
      <c r="AM4188">
        <v>1</v>
      </c>
    </row>
    <row r="4189" spans="1:39" x14ac:dyDescent="0.2">
      <c r="A4189" t="str">
        <f>"4185"</f>
        <v>4185</v>
      </c>
      <c r="B4189" t="str">
        <f t="shared" si="231"/>
        <v>1</v>
      </c>
      <c r="C4189" t="str">
        <f t="shared" si="233"/>
        <v>84</v>
      </c>
      <c r="D4189" t="str">
        <f>"10"</f>
        <v>10</v>
      </c>
      <c r="E4189" t="str">
        <f>"1-84-10"</f>
        <v>1-84-10</v>
      </c>
      <c r="F4189" t="s">
        <v>65</v>
      </c>
      <c r="G4189" t="s">
        <v>66</v>
      </c>
      <c r="H4189" t="s">
        <v>67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0</v>
      </c>
      <c r="AB4189">
        <v>0</v>
      </c>
      <c r="AC4189">
        <v>1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</row>
    <row r="4190" spans="1:39" x14ac:dyDescent="0.2">
      <c r="A4190" t="str">
        <f>"4186"</f>
        <v>4186</v>
      </c>
      <c r="B4190" t="str">
        <f t="shared" si="231"/>
        <v>1</v>
      </c>
      <c r="C4190" t="str">
        <f t="shared" si="233"/>
        <v>84</v>
      </c>
      <c r="D4190" t="str">
        <f>"28"</f>
        <v>28</v>
      </c>
      <c r="E4190" t="str">
        <f>"1-84-28"</f>
        <v>1-84-28</v>
      </c>
      <c r="F4190" t="s">
        <v>65</v>
      </c>
      <c r="G4190" t="s">
        <v>66</v>
      </c>
      <c r="H4190" t="s">
        <v>67</v>
      </c>
      <c r="S4190">
        <v>0</v>
      </c>
      <c r="T4190">
        <v>1</v>
      </c>
      <c r="U4190">
        <v>0</v>
      </c>
      <c r="V4190">
        <v>0</v>
      </c>
      <c r="W4190">
        <v>1</v>
      </c>
      <c r="X4190">
        <v>0</v>
      </c>
      <c r="Y4190">
        <v>0</v>
      </c>
      <c r="Z4190">
        <v>1</v>
      </c>
      <c r="AA4190">
        <v>0</v>
      </c>
      <c r="AB4190">
        <v>1</v>
      </c>
      <c r="AC4190">
        <v>0</v>
      </c>
      <c r="AD4190">
        <v>1</v>
      </c>
      <c r="AE4190">
        <v>1</v>
      </c>
      <c r="AF4190">
        <v>1</v>
      </c>
      <c r="AG4190">
        <v>1</v>
      </c>
      <c r="AH4190">
        <v>1</v>
      </c>
      <c r="AI4190">
        <v>1</v>
      </c>
      <c r="AJ4190">
        <v>1</v>
      </c>
      <c r="AK4190">
        <v>1</v>
      </c>
      <c r="AL4190">
        <v>1</v>
      </c>
      <c r="AM4190">
        <v>1</v>
      </c>
    </row>
    <row r="4191" spans="1:39" x14ac:dyDescent="0.2">
      <c r="A4191" t="str">
        <f>"4187"</f>
        <v>4187</v>
      </c>
      <c r="B4191" t="str">
        <f t="shared" si="231"/>
        <v>1</v>
      </c>
      <c r="C4191" t="str">
        <f t="shared" si="233"/>
        <v>84</v>
      </c>
      <c r="D4191" t="str">
        <f>"14"</f>
        <v>14</v>
      </c>
      <c r="E4191" t="str">
        <f>"1-84-14"</f>
        <v>1-84-14</v>
      </c>
      <c r="F4191" t="s">
        <v>65</v>
      </c>
      <c r="G4191" t="s">
        <v>66</v>
      </c>
      <c r="H4191" t="s">
        <v>67</v>
      </c>
      <c r="S4191">
        <v>0</v>
      </c>
      <c r="T4191">
        <v>1</v>
      </c>
      <c r="U4191">
        <v>0</v>
      </c>
      <c r="V4191">
        <v>0</v>
      </c>
      <c r="W4191">
        <v>0</v>
      </c>
      <c r="X4191">
        <v>1</v>
      </c>
      <c r="Y4191">
        <v>1</v>
      </c>
      <c r="Z4191">
        <v>0</v>
      </c>
      <c r="AA4191">
        <v>0</v>
      </c>
      <c r="AB4191">
        <v>0</v>
      </c>
      <c r="AC4191">
        <v>1</v>
      </c>
      <c r="AD4191">
        <v>1</v>
      </c>
      <c r="AE4191">
        <v>1</v>
      </c>
      <c r="AF4191">
        <v>1</v>
      </c>
      <c r="AG4191">
        <v>1</v>
      </c>
      <c r="AH4191">
        <v>1</v>
      </c>
      <c r="AI4191">
        <v>1</v>
      </c>
      <c r="AJ4191">
        <v>1</v>
      </c>
      <c r="AK4191">
        <v>1</v>
      </c>
      <c r="AL4191">
        <v>1</v>
      </c>
      <c r="AM4191">
        <v>1</v>
      </c>
    </row>
    <row r="4192" spans="1:39" x14ac:dyDescent="0.2">
      <c r="A4192" t="str">
        <f>"4188"</f>
        <v>4188</v>
      </c>
      <c r="B4192" t="str">
        <f t="shared" si="231"/>
        <v>1</v>
      </c>
      <c r="C4192" t="str">
        <f t="shared" si="233"/>
        <v>84</v>
      </c>
      <c r="D4192" t="str">
        <f>"45"</f>
        <v>45</v>
      </c>
      <c r="E4192" t="str">
        <f>"1-84-45"</f>
        <v>1-84-45</v>
      </c>
      <c r="F4192" t="s">
        <v>65</v>
      </c>
      <c r="G4192" t="s">
        <v>66</v>
      </c>
      <c r="H4192" t="s">
        <v>68</v>
      </c>
      <c r="I4192">
        <v>1</v>
      </c>
      <c r="J4192">
        <v>0</v>
      </c>
      <c r="K4192">
        <v>0</v>
      </c>
      <c r="L4192">
        <v>1</v>
      </c>
      <c r="M4192">
        <v>1</v>
      </c>
      <c r="N4192">
        <v>1</v>
      </c>
      <c r="O4192">
        <v>1</v>
      </c>
      <c r="P4192">
        <v>1</v>
      </c>
      <c r="Q4192">
        <v>1</v>
      </c>
      <c r="R4192">
        <v>1</v>
      </c>
    </row>
    <row r="4193" spans="1:39" x14ac:dyDescent="0.2">
      <c r="A4193" t="str">
        <f>"4189"</f>
        <v>4189</v>
      </c>
      <c r="B4193" t="str">
        <f t="shared" si="231"/>
        <v>1</v>
      </c>
      <c r="C4193" t="str">
        <f t="shared" si="233"/>
        <v>84</v>
      </c>
      <c r="D4193" t="str">
        <f>"29"</f>
        <v>29</v>
      </c>
      <c r="E4193" t="str">
        <f>"1-84-29"</f>
        <v>1-84-29</v>
      </c>
      <c r="F4193" t="s">
        <v>65</v>
      </c>
      <c r="G4193" t="s">
        <v>66</v>
      </c>
      <c r="H4193" t="s">
        <v>67</v>
      </c>
      <c r="S4193">
        <v>0</v>
      </c>
      <c r="T4193">
        <v>1</v>
      </c>
      <c r="U4193">
        <v>0</v>
      </c>
      <c r="V4193">
        <v>0</v>
      </c>
      <c r="W4193">
        <v>0</v>
      </c>
      <c r="X4193">
        <v>1</v>
      </c>
      <c r="Y4193">
        <v>0</v>
      </c>
      <c r="Z4193">
        <v>1</v>
      </c>
      <c r="AA4193">
        <v>0</v>
      </c>
      <c r="AB4193">
        <v>0</v>
      </c>
      <c r="AC4193">
        <v>1</v>
      </c>
      <c r="AD4193">
        <v>1</v>
      </c>
      <c r="AE4193">
        <v>1</v>
      </c>
      <c r="AF4193">
        <v>1</v>
      </c>
      <c r="AG4193">
        <v>1</v>
      </c>
      <c r="AH4193">
        <v>1</v>
      </c>
      <c r="AI4193">
        <v>1</v>
      </c>
      <c r="AJ4193">
        <v>1</v>
      </c>
      <c r="AK4193">
        <v>1</v>
      </c>
      <c r="AL4193">
        <v>1</v>
      </c>
      <c r="AM4193">
        <v>1</v>
      </c>
    </row>
    <row r="4194" spans="1:39" x14ac:dyDescent="0.2">
      <c r="A4194" t="str">
        <f>"4190"</f>
        <v>4190</v>
      </c>
      <c r="B4194" t="str">
        <f t="shared" si="231"/>
        <v>1</v>
      </c>
      <c r="C4194" t="str">
        <f t="shared" si="233"/>
        <v>84</v>
      </c>
      <c r="D4194" t="str">
        <f>"11"</f>
        <v>11</v>
      </c>
      <c r="E4194" t="str">
        <f>"1-84-11"</f>
        <v>1-84-11</v>
      </c>
      <c r="F4194" t="s">
        <v>65</v>
      </c>
      <c r="G4194" t="s">
        <v>66</v>
      </c>
      <c r="H4194" t="s">
        <v>67</v>
      </c>
      <c r="S4194">
        <v>0</v>
      </c>
      <c r="T4194">
        <v>1</v>
      </c>
      <c r="U4194">
        <v>0</v>
      </c>
      <c r="V4194">
        <v>0</v>
      </c>
      <c r="W4194">
        <v>0</v>
      </c>
      <c r="X4194">
        <v>1</v>
      </c>
      <c r="Y4194">
        <v>0</v>
      </c>
      <c r="Z4194">
        <v>1</v>
      </c>
      <c r="AA4194">
        <v>0</v>
      </c>
      <c r="AB4194">
        <v>0</v>
      </c>
      <c r="AC4194">
        <v>1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1</v>
      </c>
      <c r="AM4194">
        <v>0</v>
      </c>
    </row>
    <row r="4195" spans="1:39" x14ac:dyDescent="0.2">
      <c r="A4195" t="str">
        <f>"4191"</f>
        <v>4191</v>
      </c>
      <c r="B4195" t="str">
        <f t="shared" si="231"/>
        <v>1</v>
      </c>
      <c r="C4195" t="str">
        <f t="shared" si="233"/>
        <v>84</v>
      </c>
      <c r="D4195" t="str">
        <f>"30"</f>
        <v>30</v>
      </c>
      <c r="E4195" t="str">
        <f>"1-84-30"</f>
        <v>1-84-30</v>
      </c>
      <c r="F4195" t="s">
        <v>65</v>
      </c>
      <c r="G4195" t="s">
        <v>66</v>
      </c>
      <c r="H4195" t="s">
        <v>67</v>
      </c>
      <c r="S4195">
        <v>1</v>
      </c>
      <c r="T4195">
        <v>0</v>
      </c>
      <c r="U4195">
        <v>0</v>
      </c>
      <c r="V4195">
        <v>0</v>
      </c>
      <c r="W4195">
        <v>1</v>
      </c>
      <c r="X4195">
        <v>0</v>
      </c>
      <c r="Y4195">
        <v>1</v>
      </c>
      <c r="Z4195">
        <v>0</v>
      </c>
      <c r="AA4195">
        <v>1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</row>
    <row r="4196" spans="1:39" x14ac:dyDescent="0.2">
      <c r="A4196" t="str">
        <f>"4192"</f>
        <v>4192</v>
      </c>
      <c r="B4196" t="str">
        <f t="shared" si="231"/>
        <v>1</v>
      </c>
      <c r="C4196" t="str">
        <f t="shared" si="233"/>
        <v>84</v>
      </c>
      <c r="D4196" t="str">
        <f>"6"</f>
        <v>6</v>
      </c>
      <c r="E4196" t="str">
        <f>"1-84-6"</f>
        <v>1-84-6</v>
      </c>
      <c r="F4196" t="s">
        <v>65</v>
      </c>
      <c r="G4196" t="s">
        <v>66</v>
      </c>
      <c r="H4196" t="s">
        <v>67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1</v>
      </c>
      <c r="Y4196">
        <v>0</v>
      </c>
      <c r="Z4196">
        <v>1</v>
      </c>
      <c r="AA4196">
        <v>0</v>
      </c>
      <c r="AB4196">
        <v>0</v>
      </c>
      <c r="AC4196">
        <v>1</v>
      </c>
      <c r="AD4196">
        <v>1</v>
      </c>
      <c r="AE4196">
        <v>1</v>
      </c>
      <c r="AF4196">
        <v>1</v>
      </c>
      <c r="AG4196">
        <v>1</v>
      </c>
      <c r="AH4196">
        <v>1</v>
      </c>
      <c r="AI4196">
        <v>1</v>
      </c>
      <c r="AJ4196">
        <v>1</v>
      </c>
      <c r="AK4196">
        <v>1</v>
      </c>
      <c r="AL4196">
        <v>1</v>
      </c>
      <c r="AM4196">
        <v>1</v>
      </c>
    </row>
    <row r="4197" spans="1:39" x14ac:dyDescent="0.2">
      <c r="A4197" t="str">
        <f>"4193"</f>
        <v>4193</v>
      </c>
      <c r="B4197" t="str">
        <f t="shared" si="231"/>
        <v>1</v>
      </c>
      <c r="C4197" t="str">
        <f t="shared" si="233"/>
        <v>84</v>
      </c>
      <c r="D4197" t="str">
        <f>"46"</f>
        <v>46</v>
      </c>
      <c r="E4197" t="str">
        <f>"1-84-46"</f>
        <v>1-84-46</v>
      </c>
      <c r="F4197" t="s">
        <v>65</v>
      </c>
      <c r="G4197" t="s">
        <v>66</v>
      </c>
      <c r="H4197" t="s">
        <v>68</v>
      </c>
      <c r="I4197">
        <v>1</v>
      </c>
      <c r="J4197">
        <v>0</v>
      </c>
      <c r="K4197">
        <v>1</v>
      </c>
      <c r="L4197">
        <v>0</v>
      </c>
      <c r="M4197">
        <v>1</v>
      </c>
      <c r="N4197">
        <v>1</v>
      </c>
      <c r="O4197">
        <v>1</v>
      </c>
      <c r="P4197">
        <v>1</v>
      </c>
      <c r="Q4197">
        <v>1</v>
      </c>
      <c r="R4197">
        <v>1</v>
      </c>
    </row>
    <row r="4198" spans="1:39" x14ac:dyDescent="0.2">
      <c r="A4198" t="str">
        <f>"4194"</f>
        <v>4194</v>
      </c>
      <c r="B4198" t="str">
        <f t="shared" si="231"/>
        <v>1</v>
      </c>
      <c r="C4198" t="str">
        <f t="shared" si="233"/>
        <v>84</v>
      </c>
      <c r="D4198" t="str">
        <f>"31"</f>
        <v>31</v>
      </c>
      <c r="E4198" t="str">
        <f>"1-84-31"</f>
        <v>1-84-31</v>
      </c>
      <c r="F4198" t="s">
        <v>65</v>
      </c>
      <c r="G4198" t="s">
        <v>66</v>
      </c>
      <c r="H4198" t="s">
        <v>67</v>
      </c>
      <c r="S4198">
        <v>1</v>
      </c>
      <c r="T4198">
        <v>0</v>
      </c>
      <c r="U4198">
        <v>0</v>
      </c>
      <c r="V4198">
        <v>0</v>
      </c>
      <c r="W4198">
        <v>1</v>
      </c>
      <c r="X4198">
        <v>0</v>
      </c>
      <c r="Y4198">
        <v>1</v>
      </c>
      <c r="Z4198">
        <v>0</v>
      </c>
      <c r="AA4198">
        <v>1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1</v>
      </c>
      <c r="AJ4198">
        <v>1</v>
      </c>
      <c r="AK4198">
        <v>0</v>
      </c>
      <c r="AL4198">
        <v>1</v>
      </c>
      <c r="AM4198">
        <v>0</v>
      </c>
    </row>
    <row r="4199" spans="1:39" x14ac:dyDescent="0.2">
      <c r="A4199" t="str">
        <f>"4195"</f>
        <v>4195</v>
      </c>
      <c r="B4199" t="str">
        <f t="shared" si="231"/>
        <v>1</v>
      </c>
      <c r="C4199" t="str">
        <f t="shared" si="233"/>
        <v>84</v>
      </c>
      <c r="D4199" t="str">
        <f>"5"</f>
        <v>5</v>
      </c>
      <c r="E4199" t="str">
        <f>"1-84-5"</f>
        <v>1-84-5</v>
      </c>
      <c r="F4199" t="s">
        <v>65</v>
      </c>
      <c r="G4199" t="s">
        <v>66</v>
      </c>
      <c r="H4199" t="s">
        <v>67</v>
      </c>
      <c r="S4199">
        <v>0</v>
      </c>
      <c r="T4199">
        <v>1</v>
      </c>
      <c r="U4199">
        <v>0</v>
      </c>
      <c r="V4199">
        <v>0</v>
      </c>
      <c r="W4199">
        <v>0</v>
      </c>
      <c r="X4199">
        <v>1</v>
      </c>
      <c r="Y4199">
        <v>0</v>
      </c>
      <c r="Z4199">
        <v>1</v>
      </c>
      <c r="AA4199">
        <v>1</v>
      </c>
      <c r="AB4199">
        <v>0</v>
      </c>
      <c r="AC4199">
        <v>0</v>
      </c>
      <c r="AD4199">
        <v>1</v>
      </c>
      <c r="AE4199">
        <v>1</v>
      </c>
      <c r="AF4199">
        <v>1</v>
      </c>
      <c r="AG4199">
        <v>1</v>
      </c>
      <c r="AH4199">
        <v>1</v>
      </c>
      <c r="AI4199">
        <v>1</v>
      </c>
      <c r="AJ4199">
        <v>1</v>
      </c>
      <c r="AK4199">
        <v>1</v>
      </c>
      <c r="AL4199">
        <v>1</v>
      </c>
      <c r="AM4199">
        <v>1</v>
      </c>
    </row>
    <row r="4200" spans="1:39" x14ac:dyDescent="0.2">
      <c r="A4200" t="str">
        <f>"4196"</f>
        <v>4196</v>
      </c>
      <c r="B4200" t="str">
        <f t="shared" si="231"/>
        <v>1</v>
      </c>
      <c r="C4200" t="str">
        <f t="shared" si="233"/>
        <v>84</v>
      </c>
      <c r="D4200" t="str">
        <f>"47"</f>
        <v>47</v>
      </c>
      <c r="E4200" t="str">
        <f>"1-84-47"</f>
        <v>1-84-47</v>
      </c>
      <c r="F4200" t="s">
        <v>65</v>
      </c>
      <c r="G4200" t="s">
        <v>66</v>
      </c>
      <c r="H4200" t="s">
        <v>68</v>
      </c>
      <c r="I4200">
        <v>1</v>
      </c>
      <c r="J4200">
        <v>1</v>
      </c>
      <c r="K4200">
        <v>0</v>
      </c>
      <c r="L4200">
        <v>0</v>
      </c>
      <c r="M4200">
        <v>1</v>
      </c>
      <c r="N4200">
        <v>1</v>
      </c>
      <c r="O4200">
        <v>1</v>
      </c>
      <c r="P4200">
        <v>1</v>
      </c>
      <c r="Q4200">
        <v>1</v>
      </c>
      <c r="R4200">
        <v>1</v>
      </c>
    </row>
    <row r="4201" spans="1:39" x14ac:dyDescent="0.2">
      <c r="A4201" t="str">
        <f>"4197"</f>
        <v>4197</v>
      </c>
      <c r="B4201" t="str">
        <f t="shared" si="231"/>
        <v>1</v>
      </c>
      <c r="C4201" t="str">
        <f t="shared" si="233"/>
        <v>84</v>
      </c>
      <c r="D4201" t="str">
        <f>"32"</f>
        <v>32</v>
      </c>
      <c r="E4201" t="str">
        <f>"1-84-32"</f>
        <v>1-84-32</v>
      </c>
      <c r="F4201" t="s">
        <v>65</v>
      </c>
      <c r="G4201" t="s">
        <v>66</v>
      </c>
      <c r="H4201" t="s">
        <v>67</v>
      </c>
      <c r="S4201">
        <v>0</v>
      </c>
      <c r="T4201">
        <v>1</v>
      </c>
      <c r="U4201">
        <v>0</v>
      </c>
      <c r="V4201">
        <v>0</v>
      </c>
      <c r="W4201">
        <v>0</v>
      </c>
      <c r="X4201">
        <v>1</v>
      </c>
      <c r="Y4201">
        <v>0</v>
      </c>
      <c r="Z4201">
        <v>1</v>
      </c>
      <c r="AA4201">
        <v>0</v>
      </c>
      <c r="AB4201">
        <v>1</v>
      </c>
      <c r="AC4201">
        <v>0</v>
      </c>
      <c r="AD4201">
        <v>1</v>
      </c>
      <c r="AE4201">
        <v>1</v>
      </c>
      <c r="AF4201">
        <v>1</v>
      </c>
      <c r="AG4201">
        <v>1</v>
      </c>
      <c r="AH4201">
        <v>1</v>
      </c>
      <c r="AI4201">
        <v>1</v>
      </c>
      <c r="AJ4201">
        <v>1</v>
      </c>
      <c r="AK4201">
        <v>1</v>
      </c>
      <c r="AL4201">
        <v>1</v>
      </c>
      <c r="AM4201">
        <v>1</v>
      </c>
    </row>
    <row r="4202" spans="1:39" x14ac:dyDescent="0.2">
      <c r="A4202" t="str">
        <f>"4198"</f>
        <v>4198</v>
      </c>
      <c r="B4202" t="str">
        <f t="shared" si="231"/>
        <v>1</v>
      </c>
      <c r="C4202" t="str">
        <f t="shared" si="233"/>
        <v>84</v>
      </c>
      <c r="D4202" t="str">
        <f>"13"</f>
        <v>13</v>
      </c>
      <c r="E4202" t="str">
        <f>"1-84-13"</f>
        <v>1-84-13</v>
      </c>
      <c r="F4202" t="s">
        <v>65</v>
      </c>
      <c r="G4202" t="s">
        <v>66</v>
      </c>
      <c r="H4202" t="s">
        <v>67</v>
      </c>
      <c r="S4202">
        <v>0</v>
      </c>
      <c r="T4202">
        <v>1</v>
      </c>
      <c r="U4202">
        <v>0</v>
      </c>
      <c r="V4202">
        <v>0</v>
      </c>
      <c r="W4202">
        <v>1</v>
      </c>
      <c r="X4202">
        <v>0</v>
      </c>
      <c r="Y4202">
        <v>0</v>
      </c>
      <c r="Z4202">
        <v>1</v>
      </c>
      <c r="AA4202">
        <v>0</v>
      </c>
      <c r="AB4202">
        <v>0</v>
      </c>
      <c r="AC4202">
        <v>1</v>
      </c>
      <c r="AD4202">
        <v>1</v>
      </c>
      <c r="AE4202">
        <v>1</v>
      </c>
      <c r="AF4202">
        <v>1</v>
      </c>
      <c r="AG4202">
        <v>1</v>
      </c>
      <c r="AH4202">
        <v>1</v>
      </c>
      <c r="AI4202">
        <v>1</v>
      </c>
      <c r="AJ4202">
        <v>1</v>
      </c>
      <c r="AK4202">
        <v>1</v>
      </c>
      <c r="AL4202">
        <v>1</v>
      </c>
      <c r="AM4202">
        <v>1</v>
      </c>
    </row>
    <row r="4203" spans="1:39" x14ac:dyDescent="0.2">
      <c r="A4203" t="str">
        <f>"4199"</f>
        <v>4199</v>
      </c>
      <c r="B4203" t="str">
        <f t="shared" si="231"/>
        <v>1</v>
      </c>
      <c r="C4203" t="str">
        <f t="shared" si="233"/>
        <v>84</v>
      </c>
      <c r="D4203" t="str">
        <f>"49"</f>
        <v>49</v>
      </c>
      <c r="E4203" t="str">
        <f>"1-84-49"</f>
        <v>1-84-49</v>
      </c>
      <c r="F4203" t="s">
        <v>65</v>
      </c>
      <c r="G4203" t="s">
        <v>66</v>
      </c>
      <c r="H4203" t="s">
        <v>67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0</v>
      </c>
      <c r="AB4203">
        <v>0</v>
      </c>
      <c r="AC4203">
        <v>1</v>
      </c>
      <c r="AD4203">
        <v>1</v>
      </c>
      <c r="AE4203">
        <v>1</v>
      </c>
      <c r="AF4203">
        <v>1</v>
      </c>
      <c r="AG4203">
        <v>1</v>
      </c>
      <c r="AH4203">
        <v>1</v>
      </c>
      <c r="AI4203">
        <v>1</v>
      </c>
      <c r="AJ4203">
        <v>1</v>
      </c>
      <c r="AK4203">
        <v>1</v>
      </c>
      <c r="AL4203">
        <v>1</v>
      </c>
      <c r="AM4203">
        <v>1</v>
      </c>
    </row>
    <row r="4204" spans="1:39" x14ac:dyDescent="0.2">
      <c r="A4204" t="str">
        <f>"4200"</f>
        <v>4200</v>
      </c>
      <c r="B4204" t="str">
        <f t="shared" si="231"/>
        <v>1</v>
      </c>
      <c r="C4204" t="str">
        <f t="shared" si="233"/>
        <v>84</v>
      </c>
      <c r="D4204" t="str">
        <f>"50"</f>
        <v>50</v>
      </c>
      <c r="E4204" t="str">
        <f>"1-84-50"</f>
        <v>1-84-50</v>
      </c>
      <c r="F4204" t="s">
        <v>65</v>
      </c>
      <c r="G4204" t="s">
        <v>66</v>
      </c>
      <c r="H4204" t="s">
        <v>67</v>
      </c>
      <c r="S4204">
        <v>1</v>
      </c>
      <c r="T4204">
        <v>0</v>
      </c>
      <c r="U4204">
        <v>0</v>
      </c>
      <c r="V4204">
        <v>0</v>
      </c>
      <c r="W4204">
        <v>1</v>
      </c>
      <c r="X4204">
        <v>0</v>
      </c>
      <c r="Y4204">
        <v>0</v>
      </c>
      <c r="Z4204">
        <v>1</v>
      </c>
      <c r="AA4204">
        <v>0</v>
      </c>
      <c r="AB4204">
        <v>1</v>
      </c>
      <c r="AC4204">
        <v>0</v>
      </c>
      <c r="AD4204">
        <v>1</v>
      </c>
      <c r="AE4204">
        <v>1</v>
      </c>
      <c r="AF4204">
        <v>1</v>
      </c>
      <c r="AG4204">
        <v>1</v>
      </c>
      <c r="AH4204">
        <v>1</v>
      </c>
      <c r="AI4204">
        <v>1</v>
      </c>
      <c r="AJ4204">
        <v>1</v>
      </c>
      <c r="AK4204">
        <v>1</v>
      </c>
      <c r="AL4204">
        <v>1</v>
      </c>
      <c r="AM4204">
        <v>1</v>
      </c>
    </row>
    <row r="4205" spans="1:39" x14ac:dyDescent="0.2">
      <c r="A4205" t="str">
        <f>"4201"</f>
        <v>4201</v>
      </c>
      <c r="B4205" t="str">
        <f t="shared" si="231"/>
        <v>1</v>
      </c>
      <c r="C4205" t="str">
        <f t="shared" ref="C4205:C4236" si="234">"85"</f>
        <v>85</v>
      </c>
      <c r="D4205" t="str">
        <f>"46"</f>
        <v>46</v>
      </c>
      <c r="E4205" t="str">
        <f>"1-85-46"</f>
        <v>1-85-46</v>
      </c>
      <c r="F4205" t="s">
        <v>65</v>
      </c>
      <c r="G4205" t="s">
        <v>66</v>
      </c>
      <c r="H4205" t="s">
        <v>67</v>
      </c>
      <c r="S4205">
        <v>0</v>
      </c>
      <c r="T4205">
        <v>1</v>
      </c>
      <c r="U4205">
        <v>0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0</v>
      </c>
      <c r="AB4205">
        <v>0</v>
      </c>
      <c r="AC4205">
        <v>1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</row>
    <row r="4206" spans="1:39" x14ac:dyDescent="0.2">
      <c r="A4206" t="str">
        <f>"4202"</f>
        <v>4202</v>
      </c>
      <c r="B4206" t="str">
        <f t="shared" si="231"/>
        <v>1</v>
      </c>
      <c r="C4206" t="str">
        <f t="shared" si="234"/>
        <v>85</v>
      </c>
      <c r="D4206" t="str">
        <f>"45"</f>
        <v>45</v>
      </c>
      <c r="E4206" t="str">
        <f>"1-85-45"</f>
        <v>1-85-45</v>
      </c>
      <c r="F4206" t="s">
        <v>65</v>
      </c>
      <c r="G4206" t="s">
        <v>66</v>
      </c>
      <c r="H4206" t="s">
        <v>67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1</v>
      </c>
      <c r="Y4206">
        <v>0</v>
      </c>
      <c r="Z4206">
        <v>1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1</v>
      </c>
      <c r="AI4206">
        <v>1</v>
      </c>
      <c r="AJ4206">
        <v>1</v>
      </c>
      <c r="AK4206">
        <v>1</v>
      </c>
      <c r="AL4206">
        <v>1</v>
      </c>
      <c r="AM4206">
        <v>1</v>
      </c>
    </row>
    <row r="4207" spans="1:39" x14ac:dyDescent="0.2">
      <c r="A4207" t="str">
        <f>"4203"</f>
        <v>4203</v>
      </c>
      <c r="B4207" t="str">
        <f t="shared" si="231"/>
        <v>1</v>
      </c>
      <c r="C4207" t="str">
        <f t="shared" si="234"/>
        <v>85</v>
      </c>
      <c r="D4207" t="str">
        <f>"31"</f>
        <v>31</v>
      </c>
      <c r="E4207" t="str">
        <f>"1-85-31"</f>
        <v>1-85-31</v>
      </c>
      <c r="F4207" t="s">
        <v>65</v>
      </c>
      <c r="G4207" t="s">
        <v>66</v>
      </c>
      <c r="H4207" t="s">
        <v>67</v>
      </c>
      <c r="S4207">
        <v>1</v>
      </c>
      <c r="T4207">
        <v>0</v>
      </c>
      <c r="U4207">
        <v>0</v>
      </c>
      <c r="V4207">
        <v>0</v>
      </c>
      <c r="W4207">
        <v>0</v>
      </c>
      <c r="X4207">
        <v>1</v>
      </c>
      <c r="Y4207">
        <v>1</v>
      </c>
      <c r="Z4207">
        <v>0</v>
      </c>
      <c r="AA4207">
        <v>0</v>
      </c>
      <c r="AB4207">
        <v>1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</row>
    <row r="4208" spans="1:39" x14ac:dyDescent="0.2">
      <c r="A4208" t="str">
        <f>"4204"</f>
        <v>4204</v>
      </c>
      <c r="B4208" t="str">
        <f t="shared" si="231"/>
        <v>1</v>
      </c>
      <c r="C4208" t="str">
        <f t="shared" si="234"/>
        <v>85</v>
      </c>
      <c r="D4208" t="str">
        <f>"30"</f>
        <v>30</v>
      </c>
      <c r="E4208" t="str">
        <f>"1-85-30"</f>
        <v>1-85-30</v>
      </c>
      <c r="F4208" t="s">
        <v>65</v>
      </c>
      <c r="G4208" t="s">
        <v>66</v>
      </c>
      <c r="H4208" t="s">
        <v>67</v>
      </c>
      <c r="S4208">
        <v>1</v>
      </c>
      <c r="T4208">
        <v>0</v>
      </c>
      <c r="U4208">
        <v>0</v>
      </c>
      <c r="V4208">
        <v>0</v>
      </c>
      <c r="W4208">
        <v>1</v>
      </c>
      <c r="X4208">
        <v>0</v>
      </c>
      <c r="Y4208">
        <v>0</v>
      </c>
      <c r="Z4208">
        <v>1</v>
      </c>
      <c r="AA4208">
        <v>0</v>
      </c>
      <c r="AB4208">
        <v>1</v>
      </c>
      <c r="AC4208">
        <v>0</v>
      </c>
      <c r="AD4208">
        <v>1</v>
      </c>
      <c r="AE4208">
        <v>1</v>
      </c>
      <c r="AF4208">
        <v>1</v>
      </c>
      <c r="AG4208">
        <v>1</v>
      </c>
      <c r="AH4208">
        <v>1</v>
      </c>
      <c r="AI4208">
        <v>1</v>
      </c>
      <c r="AJ4208">
        <v>1</v>
      </c>
      <c r="AK4208">
        <v>1</v>
      </c>
      <c r="AL4208">
        <v>1</v>
      </c>
      <c r="AM4208">
        <v>1</v>
      </c>
    </row>
    <row r="4209" spans="1:39" x14ac:dyDescent="0.2">
      <c r="A4209" t="str">
        <f>"4205"</f>
        <v>4205</v>
      </c>
      <c r="B4209" t="str">
        <f t="shared" si="231"/>
        <v>1</v>
      </c>
      <c r="C4209" t="str">
        <f t="shared" si="234"/>
        <v>85</v>
      </c>
      <c r="D4209" t="str">
        <f>"19"</f>
        <v>19</v>
      </c>
      <c r="E4209" t="str">
        <f>"1-85-19"</f>
        <v>1-85-19</v>
      </c>
      <c r="F4209" t="s">
        <v>65</v>
      </c>
      <c r="G4209" t="s">
        <v>66</v>
      </c>
      <c r="H4209" t="s">
        <v>67</v>
      </c>
      <c r="S4209">
        <v>0</v>
      </c>
      <c r="T4209">
        <v>1</v>
      </c>
      <c r="U4209">
        <v>0</v>
      </c>
      <c r="V4209">
        <v>0</v>
      </c>
      <c r="W4209">
        <v>0</v>
      </c>
      <c r="X4209">
        <v>1</v>
      </c>
      <c r="Y4209">
        <v>0</v>
      </c>
      <c r="Z4209">
        <v>1</v>
      </c>
      <c r="AA4209">
        <v>0</v>
      </c>
      <c r="AB4209">
        <v>0</v>
      </c>
      <c r="AC4209">
        <v>1</v>
      </c>
      <c r="AD4209">
        <v>1</v>
      </c>
      <c r="AE4209">
        <v>1</v>
      </c>
      <c r="AF4209">
        <v>1</v>
      </c>
      <c r="AG4209">
        <v>1</v>
      </c>
      <c r="AH4209">
        <v>1</v>
      </c>
      <c r="AI4209">
        <v>1</v>
      </c>
      <c r="AJ4209">
        <v>1</v>
      </c>
      <c r="AK4209">
        <v>1</v>
      </c>
      <c r="AL4209">
        <v>1</v>
      </c>
      <c r="AM4209">
        <v>1</v>
      </c>
    </row>
    <row r="4210" spans="1:39" x14ac:dyDescent="0.2">
      <c r="A4210" t="str">
        <f>"4206"</f>
        <v>4206</v>
      </c>
      <c r="B4210" t="str">
        <f t="shared" si="231"/>
        <v>1</v>
      </c>
      <c r="C4210" t="str">
        <f t="shared" si="234"/>
        <v>85</v>
      </c>
      <c r="D4210" t="str">
        <f>"15"</f>
        <v>15</v>
      </c>
      <c r="E4210" t="str">
        <f>"1-85-15"</f>
        <v>1-85-15</v>
      </c>
      <c r="F4210" t="s">
        <v>65</v>
      </c>
      <c r="G4210" t="s">
        <v>66</v>
      </c>
      <c r="H4210" t="s">
        <v>67</v>
      </c>
      <c r="S4210">
        <v>0</v>
      </c>
      <c r="T4210">
        <v>1</v>
      </c>
      <c r="U4210">
        <v>0</v>
      </c>
      <c r="V4210">
        <v>0</v>
      </c>
      <c r="W4210">
        <v>0</v>
      </c>
      <c r="X4210">
        <v>1</v>
      </c>
      <c r="Y4210">
        <v>1</v>
      </c>
      <c r="Z4210">
        <v>0</v>
      </c>
      <c r="AA4210">
        <v>0</v>
      </c>
      <c r="AB4210">
        <v>0</v>
      </c>
      <c r="AC4210">
        <v>1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</row>
    <row r="4211" spans="1:39" x14ac:dyDescent="0.2">
      <c r="A4211" t="str">
        <f>"4207"</f>
        <v>4207</v>
      </c>
      <c r="B4211" t="str">
        <f t="shared" si="231"/>
        <v>1</v>
      </c>
      <c r="C4211" t="str">
        <f t="shared" si="234"/>
        <v>85</v>
      </c>
      <c r="D4211" t="str">
        <f>"3"</f>
        <v>3</v>
      </c>
      <c r="E4211" t="str">
        <f>"1-85-3"</f>
        <v>1-85-3</v>
      </c>
      <c r="F4211" t="s">
        <v>65</v>
      </c>
      <c r="G4211" t="s">
        <v>66</v>
      </c>
      <c r="H4211" t="s">
        <v>68</v>
      </c>
      <c r="I4211">
        <v>0</v>
      </c>
      <c r="J4211">
        <v>0</v>
      </c>
      <c r="K4211">
        <v>0</v>
      </c>
      <c r="L4211">
        <v>1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</row>
    <row r="4212" spans="1:39" x14ac:dyDescent="0.2">
      <c r="A4212" t="str">
        <f>"4208"</f>
        <v>4208</v>
      </c>
      <c r="B4212" t="str">
        <f t="shared" si="231"/>
        <v>1</v>
      </c>
      <c r="C4212" t="str">
        <f t="shared" si="234"/>
        <v>85</v>
      </c>
      <c r="D4212" t="str">
        <f>"36"</f>
        <v>36</v>
      </c>
      <c r="E4212" t="str">
        <f>"1-85-36"</f>
        <v>1-85-36</v>
      </c>
      <c r="F4212" t="s">
        <v>65</v>
      </c>
      <c r="G4212" t="s">
        <v>66</v>
      </c>
      <c r="H4212" t="s">
        <v>67</v>
      </c>
      <c r="S4212">
        <v>1</v>
      </c>
      <c r="T4212">
        <v>0</v>
      </c>
      <c r="U4212">
        <v>0</v>
      </c>
      <c r="V4212">
        <v>0</v>
      </c>
      <c r="W4212">
        <v>1</v>
      </c>
      <c r="X4212">
        <v>0</v>
      </c>
      <c r="Y4212">
        <v>1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1</v>
      </c>
      <c r="AF4212">
        <v>1</v>
      </c>
      <c r="AG4212">
        <v>1</v>
      </c>
      <c r="AH4212">
        <v>1</v>
      </c>
      <c r="AI4212">
        <v>1</v>
      </c>
      <c r="AJ4212">
        <v>1</v>
      </c>
      <c r="AK4212">
        <v>1</v>
      </c>
      <c r="AL4212">
        <v>1</v>
      </c>
      <c r="AM4212">
        <v>1</v>
      </c>
    </row>
    <row r="4213" spans="1:39" x14ac:dyDescent="0.2">
      <c r="A4213" t="str">
        <f>"4209"</f>
        <v>4209</v>
      </c>
      <c r="B4213" t="str">
        <f t="shared" si="231"/>
        <v>1</v>
      </c>
      <c r="C4213" t="str">
        <f t="shared" si="234"/>
        <v>85</v>
      </c>
      <c r="D4213" t="str">
        <f>"35"</f>
        <v>35</v>
      </c>
      <c r="E4213" t="str">
        <f>"1-85-35"</f>
        <v>1-85-35</v>
      </c>
      <c r="F4213" t="s">
        <v>65</v>
      </c>
      <c r="G4213" t="s">
        <v>66</v>
      </c>
      <c r="H4213" t="s">
        <v>67</v>
      </c>
      <c r="S4213">
        <v>0</v>
      </c>
      <c r="T4213">
        <v>1</v>
      </c>
      <c r="U4213">
        <v>0</v>
      </c>
      <c r="V4213">
        <v>0</v>
      </c>
      <c r="W4213">
        <v>0</v>
      </c>
      <c r="X4213">
        <v>1</v>
      </c>
      <c r="Y4213">
        <v>0</v>
      </c>
      <c r="Z4213">
        <v>1</v>
      </c>
      <c r="AA4213">
        <v>0</v>
      </c>
      <c r="AB4213">
        <v>0</v>
      </c>
      <c r="AC4213">
        <v>1</v>
      </c>
      <c r="AD4213">
        <v>1</v>
      </c>
      <c r="AE4213">
        <v>1</v>
      </c>
      <c r="AF4213">
        <v>1</v>
      </c>
      <c r="AG4213">
        <v>1</v>
      </c>
      <c r="AH4213">
        <v>1</v>
      </c>
      <c r="AI4213">
        <v>1</v>
      </c>
      <c r="AJ4213">
        <v>1</v>
      </c>
      <c r="AK4213">
        <v>1</v>
      </c>
      <c r="AL4213">
        <v>1</v>
      </c>
      <c r="AM4213">
        <v>1</v>
      </c>
    </row>
    <row r="4214" spans="1:39" x14ac:dyDescent="0.2">
      <c r="A4214" t="str">
        <f>"4210"</f>
        <v>4210</v>
      </c>
      <c r="B4214" t="str">
        <f t="shared" si="231"/>
        <v>1</v>
      </c>
      <c r="C4214" t="str">
        <f t="shared" si="234"/>
        <v>85</v>
      </c>
      <c r="D4214" t="str">
        <f>"25"</f>
        <v>25</v>
      </c>
      <c r="E4214" t="str">
        <f>"1-85-25"</f>
        <v>1-85-25</v>
      </c>
      <c r="F4214" t="s">
        <v>65</v>
      </c>
      <c r="G4214" t="s">
        <v>66</v>
      </c>
      <c r="H4214" t="s">
        <v>67</v>
      </c>
      <c r="S4214">
        <v>1</v>
      </c>
      <c r="T4214">
        <v>0</v>
      </c>
      <c r="U4214">
        <v>0</v>
      </c>
      <c r="V4214">
        <v>0</v>
      </c>
      <c r="W4214">
        <v>0</v>
      </c>
      <c r="X4214">
        <v>1</v>
      </c>
      <c r="Y4214">
        <v>0</v>
      </c>
      <c r="Z4214">
        <v>1</v>
      </c>
      <c r="AA4214">
        <v>1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</row>
    <row r="4215" spans="1:39" x14ac:dyDescent="0.2">
      <c r="A4215" t="str">
        <f>"4211"</f>
        <v>4211</v>
      </c>
      <c r="B4215" t="str">
        <f t="shared" ref="B4215:B4278" si="235">"1"</f>
        <v>1</v>
      </c>
      <c r="C4215" t="str">
        <f t="shared" si="234"/>
        <v>85</v>
      </c>
      <c r="D4215" t="str">
        <f>"16"</f>
        <v>16</v>
      </c>
      <c r="E4215" t="str">
        <f>"1-85-16"</f>
        <v>1-85-16</v>
      </c>
      <c r="F4215" t="s">
        <v>65</v>
      </c>
      <c r="G4215" t="s">
        <v>66</v>
      </c>
      <c r="H4215" t="s">
        <v>67</v>
      </c>
      <c r="S4215">
        <v>0</v>
      </c>
      <c r="T4215">
        <v>1</v>
      </c>
      <c r="U4215">
        <v>0</v>
      </c>
      <c r="V4215">
        <v>0</v>
      </c>
      <c r="W4215">
        <v>0</v>
      </c>
      <c r="X4215">
        <v>1</v>
      </c>
      <c r="Y4215">
        <v>0</v>
      </c>
      <c r="Z4215">
        <v>1</v>
      </c>
      <c r="AA4215">
        <v>0</v>
      </c>
      <c r="AB4215">
        <v>0</v>
      </c>
      <c r="AC4215">
        <v>1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</row>
    <row r="4216" spans="1:39" x14ac:dyDescent="0.2">
      <c r="A4216" t="str">
        <f>"4212"</f>
        <v>4212</v>
      </c>
      <c r="B4216" t="str">
        <f t="shared" si="235"/>
        <v>1</v>
      </c>
      <c r="C4216" t="str">
        <f t="shared" si="234"/>
        <v>85</v>
      </c>
      <c r="D4216" t="str">
        <f>"6"</f>
        <v>6</v>
      </c>
      <c r="E4216" t="str">
        <f>"1-85-6"</f>
        <v>1-85-6</v>
      </c>
      <c r="F4216" t="s">
        <v>65</v>
      </c>
      <c r="G4216" t="s">
        <v>66</v>
      </c>
      <c r="H4216" t="s">
        <v>68</v>
      </c>
      <c r="I4216">
        <v>1</v>
      </c>
      <c r="J4216">
        <v>1</v>
      </c>
      <c r="K4216">
        <v>0</v>
      </c>
      <c r="L4216">
        <v>0</v>
      </c>
      <c r="M4216">
        <v>1</v>
      </c>
      <c r="N4216">
        <v>1</v>
      </c>
      <c r="O4216">
        <v>1</v>
      </c>
      <c r="P4216">
        <v>1</v>
      </c>
      <c r="Q4216">
        <v>1</v>
      </c>
      <c r="R4216">
        <v>1</v>
      </c>
    </row>
    <row r="4217" spans="1:39" x14ac:dyDescent="0.2">
      <c r="A4217" t="str">
        <f>"4213"</f>
        <v>4213</v>
      </c>
      <c r="B4217" t="str">
        <f t="shared" si="235"/>
        <v>1</v>
      </c>
      <c r="C4217" t="str">
        <f t="shared" si="234"/>
        <v>85</v>
      </c>
      <c r="D4217" t="str">
        <f>"38"</f>
        <v>38</v>
      </c>
      <c r="E4217" t="str">
        <f>"1-85-38"</f>
        <v>1-85-38</v>
      </c>
      <c r="F4217" t="s">
        <v>65</v>
      </c>
      <c r="G4217" t="s">
        <v>66</v>
      </c>
      <c r="H4217" t="s">
        <v>67</v>
      </c>
      <c r="S4217">
        <v>0</v>
      </c>
      <c r="T4217">
        <v>1</v>
      </c>
      <c r="U4217">
        <v>0</v>
      </c>
      <c r="V4217">
        <v>0</v>
      </c>
      <c r="W4217">
        <v>0</v>
      </c>
      <c r="X4217">
        <v>1</v>
      </c>
      <c r="Y4217">
        <v>1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1</v>
      </c>
      <c r="AF4217">
        <v>1</v>
      </c>
      <c r="AG4217">
        <v>1</v>
      </c>
      <c r="AH4217">
        <v>1</v>
      </c>
      <c r="AI4217">
        <v>1</v>
      </c>
      <c r="AJ4217">
        <v>1</v>
      </c>
      <c r="AK4217">
        <v>1</v>
      </c>
      <c r="AL4217">
        <v>1</v>
      </c>
      <c r="AM4217">
        <v>1</v>
      </c>
    </row>
    <row r="4218" spans="1:39" x14ac:dyDescent="0.2">
      <c r="A4218" t="str">
        <f>"4214"</f>
        <v>4214</v>
      </c>
      <c r="B4218" t="str">
        <f t="shared" si="235"/>
        <v>1</v>
      </c>
      <c r="C4218" t="str">
        <f t="shared" si="234"/>
        <v>85</v>
      </c>
      <c r="D4218" t="str">
        <f>"37"</f>
        <v>37</v>
      </c>
      <c r="E4218" t="str">
        <f>"1-85-37"</f>
        <v>1-85-37</v>
      </c>
      <c r="F4218" t="s">
        <v>65</v>
      </c>
      <c r="G4218" t="s">
        <v>66</v>
      </c>
      <c r="H4218" t="s">
        <v>67</v>
      </c>
      <c r="S4218">
        <v>1</v>
      </c>
      <c r="T4218">
        <v>0</v>
      </c>
      <c r="U4218">
        <v>0</v>
      </c>
      <c r="V4218">
        <v>0</v>
      </c>
      <c r="W4218">
        <v>0</v>
      </c>
      <c r="X4218">
        <v>1</v>
      </c>
      <c r="Y4218">
        <v>0</v>
      </c>
      <c r="Z4218">
        <v>1</v>
      </c>
      <c r="AA4218">
        <v>0</v>
      </c>
      <c r="AB4218">
        <v>0</v>
      </c>
      <c r="AC4218">
        <v>1</v>
      </c>
      <c r="AD4218">
        <v>1</v>
      </c>
      <c r="AE4218">
        <v>1</v>
      </c>
      <c r="AF4218">
        <v>1</v>
      </c>
      <c r="AG4218">
        <v>1</v>
      </c>
      <c r="AH4218">
        <v>1</v>
      </c>
      <c r="AI4218">
        <v>1</v>
      </c>
      <c r="AJ4218">
        <v>1</v>
      </c>
      <c r="AK4218">
        <v>1</v>
      </c>
      <c r="AL4218">
        <v>1</v>
      </c>
      <c r="AM4218">
        <v>1</v>
      </c>
    </row>
    <row r="4219" spans="1:39" x14ac:dyDescent="0.2">
      <c r="A4219" t="str">
        <f>"4215"</f>
        <v>4215</v>
      </c>
      <c r="B4219" t="str">
        <f t="shared" si="235"/>
        <v>1</v>
      </c>
      <c r="C4219" t="str">
        <f t="shared" si="234"/>
        <v>85</v>
      </c>
      <c r="D4219" t="str">
        <f>"28"</f>
        <v>28</v>
      </c>
      <c r="E4219" t="str">
        <f>"1-85-28"</f>
        <v>1-85-28</v>
      </c>
      <c r="F4219" t="s">
        <v>65</v>
      </c>
      <c r="G4219" t="s">
        <v>66</v>
      </c>
      <c r="H4219" t="s">
        <v>67</v>
      </c>
      <c r="S4219">
        <v>1</v>
      </c>
      <c r="T4219">
        <v>0</v>
      </c>
      <c r="U4219">
        <v>0</v>
      </c>
      <c r="V4219">
        <v>0</v>
      </c>
      <c r="W4219">
        <v>1</v>
      </c>
      <c r="X4219">
        <v>0</v>
      </c>
      <c r="Y4219">
        <v>1</v>
      </c>
      <c r="Z4219">
        <v>0</v>
      </c>
      <c r="AA4219">
        <v>1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1</v>
      </c>
    </row>
    <row r="4220" spans="1:39" x14ac:dyDescent="0.2">
      <c r="A4220" t="str">
        <f>"4216"</f>
        <v>4216</v>
      </c>
      <c r="B4220" t="str">
        <f t="shared" si="235"/>
        <v>1</v>
      </c>
      <c r="C4220" t="str">
        <f t="shared" si="234"/>
        <v>85</v>
      </c>
      <c r="D4220" t="str">
        <f>"17"</f>
        <v>17</v>
      </c>
      <c r="E4220" t="str">
        <f>"1-85-17"</f>
        <v>1-85-17</v>
      </c>
      <c r="F4220" t="s">
        <v>65</v>
      </c>
      <c r="G4220" t="s">
        <v>66</v>
      </c>
      <c r="H4220" t="s">
        <v>67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1</v>
      </c>
      <c r="Y4220">
        <v>0</v>
      </c>
      <c r="Z4220">
        <v>1</v>
      </c>
      <c r="AA4220">
        <v>0</v>
      </c>
      <c r="AB4220">
        <v>0</v>
      </c>
      <c r="AC4220">
        <v>1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</row>
    <row r="4221" spans="1:39" x14ac:dyDescent="0.2">
      <c r="A4221" t="str">
        <f>"4217"</f>
        <v>4217</v>
      </c>
      <c r="B4221" t="str">
        <f t="shared" si="235"/>
        <v>1</v>
      </c>
      <c r="C4221" t="str">
        <f t="shared" si="234"/>
        <v>85</v>
      </c>
      <c r="D4221" t="str">
        <f>"9"</f>
        <v>9</v>
      </c>
      <c r="E4221" t="str">
        <f>"1-85-9"</f>
        <v>1-85-9</v>
      </c>
      <c r="F4221" t="s">
        <v>65</v>
      </c>
      <c r="G4221" t="s">
        <v>66</v>
      </c>
      <c r="H4221" t="s">
        <v>67</v>
      </c>
      <c r="S4221">
        <v>0</v>
      </c>
      <c r="T4221">
        <v>0</v>
      </c>
      <c r="U4221">
        <v>0</v>
      </c>
      <c r="V4221">
        <v>0</v>
      </c>
      <c r="W4221">
        <v>1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</row>
    <row r="4222" spans="1:39" x14ac:dyDescent="0.2">
      <c r="A4222" t="str">
        <f>"4218"</f>
        <v>4218</v>
      </c>
      <c r="B4222" t="str">
        <f t="shared" si="235"/>
        <v>1</v>
      </c>
      <c r="C4222" t="str">
        <f t="shared" si="234"/>
        <v>85</v>
      </c>
      <c r="D4222" t="str">
        <f>"40"</f>
        <v>40</v>
      </c>
      <c r="E4222" t="str">
        <f>"1-85-40"</f>
        <v>1-85-40</v>
      </c>
      <c r="F4222" t="s">
        <v>65</v>
      </c>
      <c r="G4222" t="s">
        <v>66</v>
      </c>
      <c r="H4222" t="s">
        <v>67</v>
      </c>
      <c r="S4222">
        <v>1</v>
      </c>
      <c r="T4222">
        <v>0</v>
      </c>
      <c r="U4222">
        <v>0</v>
      </c>
      <c r="V4222">
        <v>0</v>
      </c>
      <c r="W4222">
        <v>1</v>
      </c>
      <c r="X4222">
        <v>0</v>
      </c>
      <c r="Y4222">
        <v>1</v>
      </c>
      <c r="Z4222">
        <v>0</v>
      </c>
      <c r="AA4222">
        <v>0</v>
      </c>
      <c r="AB4222">
        <v>1</v>
      </c>
      <c r="AC4222">
        <v>0</v>
      </c>
      <c r="AD4222">
        <v>1</v>
      </c>
      <c r="AE4222">
        <v>1</v>
      </c>
      <c r="AF4222">
        <v>1</v>
      </c>
      <c r="AG4222">
        <v>1</v>
      </c>
      <c r="AH4222">
        <v>1</v>
      </c>
      <c r="AI4222">
        <v>1</v>
      </c>
      <c r="AJ4222">
        <v>1</v>
      </c>
      <c r="AK4222">
        <v>1</v>
      </c>
      <c r="AL4222">
        <v>1</v>
      </c>
      <c r="AM4222">
        <v>1</v>
      </c>
    </row>
    <row r="4223" spans="1:39" x14ac:dyDescent="0.2">
      <c r="A4223" t="str">
        <f>"4219"</f>
        <v>4219</v>
      </c>
      <c r="B4223" t="str">
        <f t="shared" si="235"/>
        <v>1</v>
      </c>
      <c r="C4223" t="str">
        <f t="shared" si="234"/>
        <v>85</v>
      </c>
      <c r="D4223" t="str">
        <f>"39"</f>
        <v>39</v>
      </c>
      <c r="E4223" t="str">
        <f>"1-85-39"</f>
        <v>1-85-39</v>
      </c>
      <c r="F4223" t="s">
        <v>65</v>
      </c>
      <c r="G4223" t="s">
        <v>66</v>
      </c>
      <c r="H4223" t="s">
        <v>67</v>
      </c>
      <c r="S4223">
        <v>0</v>
      </c>
      <c r="T4223">
        <v>1</v>
      </c>
      <c r="U4223">
        <v>0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1</v>
      </c>
      <c r="AH4223">
        <v>0</v>
      </c>
      <c r="AI4223">
        <v>1</v>
      </c>
      <c r="AJ4223">
        <v>1</v>
      </c>
      <c r="AK4223">
        <v>0</v>
      </c>
      <c r="AL4223">
        <v>1</v>
      </c>
      <c r="AM4223">
        <v>0</v>
      </c>
    </row>
    <row r="4224" spans="1:39" x14ac:dyDescent="0.2">
      <c r="A4224" t="str">
        <f>"4220"</f>
        <v>4220</v>
      </c>
      <c r="B4224" t="str">
        <f t="shared" si="235"/>
        <v>1</v>
      </c>
      <c r="C4224" t="str">
        <f t="shared" si="234"/>
        <v>85</v>
      </c>
      <c r="D4224" t="str">
        <f>"29"</f>
        <v>29</v>
      </c>
      <c r="E4224" t="str">
        <f>"1-85-29"</f>
        <v>1-85-29</v>
      </c>
      <c r="F4224" t="s">
        <v>65</v>
      </c>
      <c r="G4224" t="s">
        <v>66</v>
      </c>
      <c r="H4224" t="s">
        <v>67</v>
      </c>
      <c r="S4224">
        <v>1</v>
      </c>
      <c r="T4224">
        <v>0</v>
      </c>
      <c r="U4224">
        <v>0</v>
      </c>
      <c r="V4224">
        <v>0</v>
      </c>
      <c r="W4224">
        <v>1</v>
      </c>
      <c r="X4224">
        <v>0</v>
      </c>
      <c r="Y4224">
        <v>1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1</v>
      </c>
      <c r="AF4224">
        <v>1</v>
      </c>
      <c r="AG4224">
        <v>1</v>
      </c>
      <c r="AH4224">
        <v>1</v>
      </c>
      <c r="AI4224">
        <v>1</v>
      </c>
      <c r="AJ4224">
        <v>1</v>
      </c>
      <c r="AK4224">
        <v>0</v>
      </c>
      <c r="AL4224">
        <v>1</v>
      </c>
      <c r="AM4224">
        <v>1</v>
      </c>
    </row>
    <row r="4225" spans="1:39" x14ac:dyDescent="0.2">
      <c r="A4225" t="str">
        <f>"4221"</f>
        <v>4221</v>
      </c>
      <c r="B4225" t="str">
        <f t="shared" si="235"/>
        <v>1</v>
      </c>
      <c r="C4225" t="str">
        <f t="shared" si="234"/>
        <v>85</v>
      </c>
      <c r="D4225" t="str">
        <f>"18"</f>
        <v>18</v>
      </c>
      <c r="E4225" t="str">
        <f>"1-85-18"</f>
        <v>1-85-18</v>
      </c>
      <c r="F4225" t="s">
        <v>65</v>
      </c>
      <c r="G4225" t="s">
        <v>66</v>
      </c>
      <c r="H4225" t="s">
        <v>67</v>
      </c>
      <c r="S4225">
        <v>1</v>
      </c>
      <c r="T4225">
        <v>0</v>
      </c>
      <c r="U4225">
        <v>0</v>
      </c>
      <c r="V4225">
        <v>0</v>
      </c>
      <c r="W4225">
        <v>1</v>
      </c>
      <c r="X4225">
        <v>0</v>
      </c>
      <c r="Y4225">
        <v>0</v>
      </c>
      <c r="Z4225">
        <v>1</v>
      </c>
      <c r="AA4225">
        <v>0</v>
      </c>
      <c r="AB4225">
        <v>1</v>
      </c>
      <c r="AC4225">
        <v>0</v>
      </c>
      <c r="AD4225">
        <v>1</v>
      </c>
      <c r="AE4225">
        <v>1</v>
      </c>
      <c r="AF4225">
        <v>1</v>
      </c>
      <c r="AG4225">
        <v>1</v>
      </c>
      <c r="AH4225">
        <v>1</v>
      </c>
      <c r="AI4225">
        <v>1</v>
      </c>
      <c r="AJ4225">
        <v>1</v>
      </c>
      <c r="AK4225">
        <v>1</v>
      </c>
      <c r="AL4225">
        <v>1</v>
      </c>
      <c r="AM4225">
        <v>1</v>
      </c>
    </row>
    <row r="4226" spans="1:39" x14ac:dyDescent="0.2">
      <c r="A4226" t="str">
        <f>"4222"</f>
        <v>4222</v>
      </c>
      <c r="B4226" t="str">
        <f t="shared" si="235"/>
        <v>1</v>
      </c>
      <c r="C4226" t="str">
        <f t="shared" si="234"/>
        <v>85</v>
      </c>
      <c r="D4226" t="str">
        <f>"8"</f>
        <v>8</v>
      </c>
      <c r="E4226" t="str">
        <f>"1-85-8"</f>
        <v>1-85-8</v>
      </c>
      <c r="F4226" t="s">
        <v>65</v>
      </c>
      <c r="G4226" t="s">
        <v>66</v>
      </c>
      <c r="H4226" t="s">
        <v>67</v>
      </c>
      <c r="S4226">
        <v>0</v>
      </c>
      <c r="T4226">
        <v>1</v>
      </c>
      <c r="U4226">
        <v>0</v>
      </c>
      <c r="V4226">
        <v>0</v>
      </c>
      <c r="W4226">
        <v>0</v>
      </c>
      <c r="X4226">
        <v>1</v>
      </c>
      <c r="Y4226">
        <v>0</v>
      </c>
      <c r="Z4226">
        <v>1</v>
      </c>
      <c r="AA4226">
        <v>0</v>
      </c>
      <c r="AB4226">
        <v>0</v>
      </c>
      <c r="AC4226">
        <v>1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</row>
    <row r="4227" spans="1:39" x14ac:dyDescent="0.2">
      <c r="A4227" t="str">
        <f>"4223"</f>
        <v>4223</v>
      </c>
      <c r="B4227" t="str">
        <f t="shared" si="235"/>
        <v>1</v>
      </c>
      <c r="C4227" t="str">
        <f t="shared" si="234"/>
        <v>85</v>
      </c>
      <c r="D4227" t="str">
        <f>"42"</f>
        <v>42</v>
      </c>
      <c r="E4227" t="str">
        <f>"1-85-42"</f>
        <v>1-85-42</v>
      </c>
      <c r="F4227" t="s">
        <v>65</v>
      </c>
      <c r="G4227" t="s">
        <v>66</v>
      </c>
      <c r="H4227" t="s">
        <v>67</v>
      </c>
      <c r="S4227">
        <v>1</v>
      </c>
      <c r="T4227">
        <v>0</v>
      </c>
      <c r="U4227">
        <v>0</v>
      </c>
      <c r="V4227">
        <v>0</v>
      </c>
      <c r="W4227">
        <v>1</v>
      </c>
      <c r="X4227">
        <v>0</v>
      </c>
      <c r="Y4227">
        <v>1</v>
      </c>
      <c r="Z4227">
        <v>0</v>
      </c>
      <c r="AA4227">
        <v>0</v>
      </c>
      <c r="AB4227">
        <v>0</v>
      </c>
      <c r="AC4227">
        <v>0</v>
      </c>
      <c r="AD4227">
        <v>1</v>
      </c>
      <c r="AE4227">
        <v>1</v>
      </c>
      <c r="AF4227">
        <v>1</v>
      </c>
      <c r="AG4227">
        <v>1</v>
      </c>
      <c r="AH4227">
        <v>1</v>
      </c>
      <c r="AI4227">
        <v>1</v>
      </c>
      <c r="AJ4227">
        <v>1</v>
      </c>
      <c r="AK4227">
        <v>1</v>
      </c>
      <c r="AL4227">
        <v>1</v>
      </c>
      <c r="AM4227">
        <v>1</v>
      </c>
    </row>
    <row r="4228" spans="1:39" x14ac:dyDescent="0.2">
      <c r="A4228" t="str">
        <f>"4224"</f>
        <v>4224</v>
      </c>
      <c r="B4228" t="str">
        <f t="shared" si="235"/>
        <v>1</v>
      </c>
      <c r="C4228" t="str">
        <f t="shared" si="234"/>
        <v>85</v>
      </c>
      <c r="D4228" t="str">
        <f>"20"</f>
        <v>20</v>
      </c>
      <c r="E4228" t="str">
        <f>"1-85-20"</f>
        <v>1-85-20</v>
      </c>
      <c r="F4228" t="s">
        <v>65</v>
      </c>
      <c r="G4228" t="s">
        <v>66</v>
      </c>
      <c r="H4228" t="s">
        <v>67</v>
      </c>
      <c r="S4228">
        <v>1</v>
      </c>
      <c r="T4228">
        <v>0</v>
      </c>
      <c r="U4228">
        <v>0</v>
      </c>
      <c r="V4228">
        <v>0</v>
      </c>
      <c r="W4228">
        <v>0</v>
      </c>
      <c r="X4228">
        <v>1</v>
      </c>
      <c r="Y4228">
        <v>0</v>
      </c>
      <c r="Z4228">
        <v>1</v>
      </c>
      <c r="AA4228">
        <v>1</v>
      </c>
      <c r="AB4228">
        <v>0</v>
      </c>
      <c r="AC4228">
        <v>0</v>
      </c>
      <c r="AD4228">
        <v>1</v>
      </c>
      <c r="AE4228">
        <v>1</v>
      </c>
      <c r="AF4228">
        <v>1</v>
      </c>
      <c r="AG4228">
        <v>1</v>
      </c>
      <c r="AH4228">
        <v>1</v>
      </c>
      <c r="AI4228">
        <v>1</v>
      </c>
      <c r="AJ4228">
        <v>1</v>
      </c>
      <c r="AK4228">
        <v>1</v>
      </c>
      <c r="AL4228">
        <v>1</v>
      </c>
      <c r="AM4228">
        <v>1</v>
      </c>
    </row>
    <row r="4229" spans="1:39" x14ac:dyDescent="0.2">
      <c r="A4229" t="str">
        <f>"4225"</f>
        <v>4225</v>
      </c>
      <c r="B4229" t="str">
        <f t="shared" si="235"/>
        <v>1</v>
      </c>
      <c r="C4229" t="str">
        <f t="shared" si="234"/>
        <v>85</v>
      </c>
      <c r="D4229" t="str">
        <f>"1"</f>
        <v>1</v>
      </c>
      <c r="E4229" t="str">
        <f>"1-85-1"</f>
        <v>1-85-1</v>
      </c>
      <c r="F4229" t="s">
        <v>65</v>
      </c>
      <c r="G4229" t="s">
        <v>66</v>
      </c>
      <c r="H4229" t="s">
        <v>68</v>
      </c>
      <c r="I4229">
        <v>1</v>
      </c>
      <c r="J4229">
        <v>0</v>
      </c>
      <c r="K4229">
        <v>1</v>
      </c>
      <c r="L4229">
        <v>0</v>
      </c>
      <c r="M4229">
        <v>1</v>
      </c>
      <c r="N4229">
        <v>1</v>
      </c>
      <c r="O4229">
        <v>1</v>
      </c>
      <c r="P4229">
        <v>1</v>
      </c>
      <c r="Q4229">
        <v>1</v>
      </c>
      <c r="R4229">
        <v>1</v>
      </c>
    </row>
    <row r="4230" spans="1:39" x14ac:dyDescent="0.2">
      <c r="A4230" t="str">
        <f>"4226"</f>
        <v>4226</v>
      </c>
      <c r="B4230" t="str">
        <f t="shared" si="235"/>
        <v>1</v>
      </c>
      <c r="C4230" t="str">
        <f t="shared" si="234"/>
        <v>85</v>
      </c>
      <c r="D4230" t="str">
        <f>"41"</f>
        <v>41</v>
      </c>
      <c r="E4230" t="str">
        <f>"1-85-41"</f>
        <v>1-85-41</v>
      </c>
      <c r="F4230" t="s">
        <v>65</v>
      </c>
      <c r="G4230" t="s">
        <v>66</v>
      </c>
      <c r="H4230" t="s">
        <v>67</v>
      </c>
      <c r="S4230">
        <v>1</v>
      </c>
      <c r="T4230">
        <v>0</v>
      </c>
      <c r="U4230">
        <v>0</v>
      </c>
      <c r="V4230">
        <v>0</v>
      </c>
      <c r="W4230">
        <v>0</v>
      </c>
      <c r="X4230">
        <v>1</v>
      </c>
      <c r="Y4230">
        <v>1</v>
      </c>
      <c r="Z4230">
        <v>0</v>
      </c>
      <c r="AA4230">
        <v>1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1</v>
      </c>
      <c r="AI4230">
        <v>1</v>
      </c>
      <c r="AJ4230">
        <v>1</v>
      </c>
      <c r="AK4230">
        <v>1</v>
      </c>
      <c r="AL4230">
        <v>1</v>
      </c>
      <c r="AM4230">
        <v>1</v>
      </c>
    </row>
    <row r="4231" spans="1:39" x14ac:dyDescent="0.2">
      <c r="A4231" t="str">
        <f>"4227"</f>
        <v>4227</v>
      </c>
      <c r="B4231" t="str">
        <f t="shared" si="235"/>
        <v>1</v>
      </c>
      <c r="C4231" t="str">
        <f t="shared" si="234"/>
        <v>85</v>
      </c>
      <c r="D4231" t="str">
        <f>"21"</f>
        <v>21</v>
      </c>
      <c r="E4231" t="str">
        <f>"1-85-21"</f>
        <v>1-85-21</v>
      </c>
      <c r="F4231" t="s">
        <v>65</v>
      </c>
      <c r="G4231" t="s">
        <v>66</v>
      </c>
      <c r="H4231" t="s">
        <v>67</v>
      </c>
      <c r="S4231">
        <v>0</v>
      </c>
      <c r="T4231">
        <v>1</v>
      </c>
      <c r="U4231">
        <v>0</v>
      </c>
      <c r="V4231">
        <v>0</v>
      </c>
      <c r="W4231">
        <v>0</v>
      </c>
      <c r="X4231">
        <v>1</v>
      </c>
      <c r="Y4231">
        <v>1</v>
      </c>
      <c r="Z4231">
        <v>0</v>
      </c>
      <c r="AA4231">
        <v>0</v>
      </c>
      <c r="AB4231">
        <v>0</v>
      </c>
      <c r="AC4231">
        <v>1</v>
      </c>
      <c r="AD4231">
        <v>1</v>
      </c>
      <c r="AE4231">
        <v>1</v>
      </c>
      <c r="AF4231">
        <v>1</v>
      </c>
      <c r="AG4231">
        <v>1</v>
      </c>
      <c r="AH4231">
        <v>1</v>
      </c>
      <c r="AI4231">
        <v>1</v>
      </c>
      <c r="AJ4231">
        <v>1</v>
      </c>
      <c r="AK4231">
        <v>1</v>
      </c>
      <c r="AL4231">
        <v>1</v>
      </c>
      <c r="AM4231">
        <v>1</v>
      </c>
    </row>
    <row r="4232" spans="1:39" x14ac:dyDescent="0.2">
      <c r="A4232" t="str">
        <f>"4228"</f>
        <v>4228</v>
      </c>
      <c r="B4232" t="str">
        <f t="shared" si="235"/>
        <v>1</v>
      </c>
      <c r="C4232" t="str">
        <f t="shared" si="234"/>
        <v>85</v>
      </c>
      <c r="D4232" t="str">
        <f>"2"</f>
        <v>2</v>
      </c>
      <c r="E4232" t="str">
        <f>"1-85-2"</f>
        <v>1-85-2</v>
      </c>
      <c r="F4232" t="s">
        <v>65</v>
      </c>
      <c r="G4232" t="s">
        <v>66</v>
      </c>
      <c r="H4232" t="s">
        <v>68</v>
      </c>
      <c r="I4232">
        <v>1</v>
      </c>
      <c r="J4232">
        <v>0</v>
      </c>
      <c r="K4232">
        <v>0</v>
      </c>
      <c r="L4232">
        <v>1</v>
      </c>
      <c r="M4232">
        <v>1</v>
      </c>
      <c r="N4232">
        <v>1</v>
      </c>
      <c r="O4232">
        <v>1</v>
      </c>
      <c r="P4232">
        <v>1</v>
      </c>
      <c r="Q4232">
        <v>1</v>
      </c>
      <c r="R4232">
        <v>1</v>
      </c>
    </row>
    <row r="4233" spans="1:39" x14ac:dyDescent="0.2">
      <c r="A4233" t="str">
        <f>"4229"</f>
        <v>4229</v>
      </c>
      <c r="B4233" t="str">
        <f t="shared" si="235"/>
        <v>1</v>
      </c>
      <c r="C4233" t="str">
        <f t="shared" si="234"/>
        <v>85</v>
      </c>
      <c r="D4233" t="str">
        <f>"43"</f>
        <v>43</v>
      </c>
      <c r="E4233" t="str">
        <f>"1-85-43"</f>
        <v>1-85-43</v>
      </c>
      <c r="F4233" t="s">
        <v>65</v>
      </c>
      <c r="G4233" t="s">
        <v>66</v>
      </c>
      <c r="H4233" t="s">
        <v>67</v>
      </c>
      <c r="S4233">
        <v>1</v>
      </c>
      <c r="T4233">
        <v>0</v>
      </c>
      <c r="U4233">
        <v>0</v>
      </c>
      <c r="V4233">
        <v>0</v>
      </c>
      <c r="W4233">
        <v>1</v>
      </c>
      <c r="X4233">
        <v>0</v>
      </c>
      <c r="Y4233">
        <v>1</v>
      </c>
      <c r="Z4233">
        <v>0</v>
      </c>
      <c r="AA4233">
        <v>0</v>
      </c>
      <c r="AB4233">
        <v>1</v>
      </c>
      <c r="AC4233">
        <v>0</v>
      </c>
      <c r="AD4233">
        <v>1</v>
      </c>
      <c r="AE4233">
        <v>1</v>
      </c>
      <c r="AF4233">
        <v>1</v>
      </c>
      <c r="AG4233">
        <v>1</v>
      </c>
      <c r="AH4233">
        <v>1</v>
      </c>
      <c r="AI4233">
        <v>1</v>
      </c>
      <c r="AJ4233">
        <v>1</v>
      </c>
      <c r="AK4233">
        <v>1</v>
      </c>
      <c r="AL4233">
        <v>1</v>
      </c>
      <c r="AM4233">
        <v>1</v>
      </c>
    </row>
    <row r="4234" spans="1:39" x14ac:dyDescent="0.2">
      <c r="A4234" t="str">
        <f>"4230"</f>
        <v>4230</v>
      </c>
      <c r="B4234" t="str">
        <f t="shared" si="235"/>
        <v>1</v>
      </c>
      <c r="C4234" t="str">
        <f t="shared" si="234"/>
        <v>85</v>
      </c>
      <c r="D4234" t="str">
        <f>"22"</f>
        <v>22</v>
      </c>
      <c r="E4234" t="str">
        <f>"1-85-22"</f>
        <v>1-85-22</v>
      </c>
      <c r="F4234" t="s">
        <v>65</v>
      </c>
      <c r="G4234" t="s">
        <v>66</v>
      </c>
      <c r="H4234" t="s">
        <v>67</v>
      </c>
      <c r="S4234">
        <v>0</v>
      </c>
      <c r="T4234">
        <v>1</v>
      </c>
      <c r="U4234">
        <v>0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0</v>
      </c>
      <c r="AB4234">
        <v>0</v>
      </c>
      <c r="AC4234">
        <v>1</v>
      </c>
      <c r="AD4234">
        <v>0</v>
      </c>
      <c r="AE4234">
        <v>0</v>
      </c>
      <c r="AF4234">
        <v>0</v>
      </c>
      <c r="AG4234">
        <v>0</v>
      </c>
      <c r="AH4234">
        <v>1</v>
      </c>
      <c r="AI4234">
        <v>1</v>
      </c>
      <c r="AJ4234">
        <v>1</v>
      </c>
      <c r="AK4234">
        <v>1</v>
      </c>
      <c r="AL4234">
        <v>1</v>
      </c>
      <c r="AM4234">
        <v>0</v>
      </c>
    </row>
    <row r="4235" spans="1:39" x14ac:dyDescent="0.2">
      <c r="A4235" t="str">
        <f>"4231"</f>
        <v>4231</v>
      </c>
      <c r="B4235" t="str">
        <f t="shared" si="235"/>
        <v>1</v>
      </c>
      <c r="C4235" t="str">
        <f t="shared" si="234"/>
        <v>85</v>
      </c>
      <c r="D4235" t="str">
        <f>"4"</f>
        <v>4</v>
      </c>
      <c r="E4235" t="str">
        <f>"1-85-4"</f>
        <v>1-85-4</v>
      </c>
      <c r="F4235" t="s">
        <v>65</v>
      </c>
      <c r="G4235" t="s">
        <v>66</v>
      </c>
      <c r="H4235" t="s">
        <v>68</v>
      </c>
      <c r="I4235">
        <v>1</v>
      </c>
      <c r="J4235">
        <v>0</v>
      </c>
      <c r="K4235">
        <v>0</v>
      </c>
      <c r="L4235">
        <v>1</v>
      </c>
      <c r="M4235">
        <v>1</v>
      </c>
      <c r="N4235">
        <v>1</v>
      </c>
      <c r="O4235">
        <v>1</v>
      </c>
      <c r="P4235">
        <v>1</v>
      </c>
      <c r="Q4235">
        <v>1</v>
      </c>
      <c r="R4235">
        <v>1</v>
      </c>
    </row>
    <row r="4236" spans="1:39" x14ac:dyDescent="0.2">
      <c r="A4236" t="str">
        <f>"4232"</f>
        <v>4232</v>
      </c>
      <c r="B4236" t="str">
        <f t="shared" si="235"/>
        <v>1</v>
      </c>
      <c r="C4236" t="str">
        <f t="shared" si="234"/>
        <v>85</v>
      </c>
      <c r="D4236" t="str">
        <f>"47"</f>
        <v>47</v>
      </c>
      <c r="E4236" t="str">
        <f>"1-85-47"</f>
        <v>1-85-47</v>
      </c>
      <c r="F4236" t="s">
        <v>65</v>
      </c>
      <c r="G4236" t="s">
        <v>66</v>
      </c>
      <c r="H4236" t="s">
        <v>67</v>
      </c>
      <c r="S4236">
        <v>1</v>
      </c>
      <c r="T4236">
        <v>0</v>
      </c>
      <c r="U4236">
        <v>0</v>
      </c>
      <c r="V4236">
        <v>0</v>
      </c>
      <c r="W4236">
        <v>1</v>
      </c>
      <c r="X4236">
        <v>0</v>
      </c>
      <c r="Y4236">
        <v>1</v>
      </c>
      <c r="Z4236">
        <v>0</v>
      </c>
      <c r="AA4236">
        <v>0</v>
      </c>
      <c r="AB4236">
        <v>0</v>
      </c>
      <c r="AC4236">
        <v>1</v>
      </c>
      <c r="AD4236">
        <v>1</v>
      </c>
      <c r="AE4236">
        <v>1</v>
      </c>
      <c r="AF4236">
        <v>1</v>
      </c>
      <c r="AG4236">
        <v>1</v>
      </c>
      <c r="AH4236">
        <v>1</v>
      </c>
      <c r="AI4236">
        <v>1</v>
      </c>
      <c r="AJ4236">
        <v>1</v>
      </c>
      <c r="AK4236">
        <v>1</v>
      </c>
      <c r="AL4236">
        <v>1</v>
      </c>
      <c r="AM4236">
        <v>1</v>
      </c>
    </row>
    <row r="4237" spans="1:39" x14ac:dyDescent="0.2">
      <c r="A4237" t="str">
        <f>"4233"</f>
        <v>4233</v>
      </c>
      <c r="B4237" t="str">
        <f t="shared" si="235"/>
        <v>1</v>
      </c>
      <c r="C4237" t="str">
        <f t="shared" ref="C4237:C4254" si="236">"85"</f>
        <v>85</v>
      </c>
      <c r="D4237" t="str">
        <f>"23"</f>
        <v>23</v>
      </c>
      <c r="E4237" t="str">
        <f>"1-85-23"</f>
        <v>1-85-23</v>
      </c>
      <c r="F4237" t="s">
        <v>65</v>
      </c>
      <c r="G4237" t="s">
        <v>66</v>
      </c>
      <c r="H4237" t="s">
        <v>67</v>
      </c>
      <c r="S4237">
        <v>1</v>
      </c>
      <c r="T4237">
        <v>0</v>
      </c>
      <c r="U4237">
        <v>0</v>
      </c>
      <c r="V4237">
        <v>0</v>
      </c>
      <c r="W4237">
        <v>1</v>
      </c>
      <c r="X4237">
        <v>0</v>
      </c>
      <c r="Y4237">
        <v>1</v>
      </c>
      <c r="Z4237">
        <v>0</v>
      </c>
      <c r="AA4237">
        <v>1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1</v>
      </c>
      <c r="AH4237">
        <v>0</v>
      </c>
      <c r="AI4237">
        <v>1</v>
      </c>
      <c r="AJ4237">
        <v>0</v>
      </c>
      <c r="AK4237">
        <v>0</v>
      </c>
      <c r="AL4237">
        <v>1</v>
      </c>
      <c r="AM4237">
        <v>1</v>
      </c>
    </row>
    <row r="4238" spans="1:39" x14ac:dyDescent="0.2">
      <c r="A4238" t="str">
        <f>"4234"</f>
        <v>4234</v>
      </c>
      <c r="B4238" t="str">
        <f t="shared" si="235"/>
        <v>1</v>
      </c>
      <c r="C4238" t="str">
        <f t="shared" si="236"/>
        <v>85</v>
      </c>
      <c r="D4238" t="str">
        <f>"5"</f>
        <v>5</v>
      </c>
      <c r="E4238" t="str">
        <f>"1-85-5"</f>
        <v>1-85-5</v>
      </c>
      <c r="F4238" t="s">
        <v>65</v>
      </c>
      <c r="G4238" t="s">
        <v>66</v>
      </c>
      <c r="H4238" t="s">
        <v>68</v>
      </c>
      <c r="I4238">
        <v>1</v>
      </c>
      <c r="J4238">
        <v>0</v>
      </c>
      <c r="K4238">
        <v>0</v>
      </c>
      <c r="L4238">
        <v>1</v>
      </c>
      <c r="M4238">
        <v>1</v>
      </c>
      <c r="N4238">
        <v>1</v>
      </c>
      <c r="O4238">
        <v>1</v>
      </c>
      <c r="P4238">
        <v>1</v>
      </c>
      <c r="Q4238">
        <v>1</v>
      </c>
      <c r="R4238">
        <v>1</v>
      </c>
    </row>
    <row r="4239" spans="1:39" x14ac:dyDescent="0.2">
      <c r="A4239" t="str">
        <f>"4235"</f>
        <v>4235</v>
      </c>
      <c r="B4239" t="str">
        <f t="shared" si="235"/>
        <v>1</v>
      </c>
      <c r="C4239" t="str">
        <f t="shared" si="236"/>
        <v>85</v>
      </c>
      <c r="D4239" t="str">
        <f>"44"</f>
        <v>44</v>
      </c>
      <c r="E4239" t="str">
        <f>"1-85-44"</f>
        <v>1-85-44</v>
      </c>
      <c r="F4239" t="s">
        <v>65</v>
      </c>
      <c r="G4239" t="s">
        <v>66</v>
      </c>
      <c r="H4239" t="s">
        <v>67</v>
      </c>
      <c r="S4239">
        <v>1</v>
      </c>
      <c r="T4239">
        <v>0</v>
      </c>
      <c r="U4239">
        <v>0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1</v>
      </c>
      <c r="AH4239">
        <v>1</v>
      </c>
      <c r="AI4239">
        <v>1</v>
      </c>
      <c r="AJ4239">
        <v>1</v>
      </c>
      <c r="AK4239">
        <v>0</v>
      </c>
      <c r="AL4239">
        <v>1</v>
      </c>
      <c r="AM4239">
        <v>0</v>
      </c>
    </row>
    <row r="4240" spans="1:39" x14ac:dyDescent="0.2">
      <c r="A4240" t="str">
        <f>"4236"</f>
        <v>4236</v>
      </c>
      <c r="B4240" t="str">
        <f t="shared" si="235"/>
        <v>1</v>
      </c>
      <c r="C4240" t="str">
        <f t="shared" si="236"/>
        <v>85</v>
      </c>
      <c r="D4240" t="str">
        <f>"24"</f>
        <v>24</v>
      </c>
      <c r="E4240" t="str">
        <f>"1-85-24"</f>
        <v>1-85-24</v>
      </c>
      <c r="F4240" t="s">
        <v>65</v>
      </c>
      <c r="G4240" t="s">
        <v>66</v>
      </c>
      <c r="H4240" t="s">
        <v>67</v>
      </c>
      <c r="S4240">
        <v>1</v>
      </c>
      <c r="T4240">
        <v>0</v>
      </c>
      <c r="U4240">
        <v>0</v>
      </c>
      <c r="V4240">
        <v>0</v>
      </c>
      <c r="W4240">
        <v>1</v>
      </c>
      <c r="X4240">
        <v>0</v>
      </c>
      <c r="Y4240">
        <v>0</v>
      </c>
      <c r="Z4240">
        <v>1</v>
      </c>
      <c r="AA4240">
        <v>0</v>
      </c>
      <c r="AB4240">
        <v>0</v>
      </c>
      <c r="AC4240">
        <v>1</v>
      </c>
      <c r="AD4240">
        <v>1</v>
      </c>
      <c r="AE4240">
        <v>1</v>
      </c>
      <c r="AF4240">
        <v>1</v>
      </c>
      <c r="AG4240">
        <v>1</v>
      </c>
      <c r="AH4240">
        <v>1</v>
      </c>
      <c r="AI4240">
        <v>1</v>
      </c>
      <c r="AJ4240">
        <v>1</v>
      </c>
      <c r="AK4240">
        <v>1</v>
      </c>
      <c r="AL4240">
        <v>1</v>
      </c>
      <c r="AM4240">
        <v>1</v>
      </c>
    </row>
    <row r="4241" spans="1:39" x14ac:dyDescent="0.2">
      <c r="A4241" t="str">
        <f>"4237"</f>
        <v>4237</v>
      </c>
      <c r="B4241" t="str">
        <f t="shared" si="235"/>
        <v>1</v>
      </c>
      <c r="C4241" t="str">
        <f t="shared" si="236"/>
        <v>85</v>
      </c>
      <c r="D4241" t="str">
        <f>"7"</f>
        <v>7</v>
      </c>
      <c r="E4241" t="str">
        <f>"1-85-7"</f>
        <v>1-85-7</v>
      </c>
      <c r="F4241" t="s">
        <v>65</v>
      </c>
      <c r="G4241" t="s">
        <v>66</v>
      </c>
      <c r="H4241" t="s">
        <v>68</v>
      </c>
      <c r="I4241">
        <v>1</v>
      </c>
      <c r="J4241">
        <v>0</v>
      </c>
      <c r="K4241">
        <v>0</v>
      </c>
      <c r="L4241">
        <v>1</v>
      </c>
      <c r="M4241">
        <v>1</v>
      </c>
      <c r="N4241">
        <v>1</v>
      </c>
      <c r="O4241">
        <v>1</v>
      </c>
      <c r="P4241">
        <v>1</v>
      </c>
      <c r="Q4241">
        <v>1</v>
      </c>
      <c r="R4241">
        <v>1</v>
      </c>
    </row>
    <row r="4242" spans="1:39" x14ac:dyDescent="0.2">
      <c r="A4242" t="str">
        <f>"4238"</f>
        <v>4238</v>
      </c>
      <c r="B4242" t="str">
        <f t="shared" si="235"/>
        <v>1</v>
      </c>
      <c r="C4242" t="str">
        <f t="shared" si="236"/>
        <v>85</v>
      </c>
      <c r="D4242" t="str">
        <f>"48"</f>
        <v>48</v>
      </c>
      <c r="E4242" t="str">
        <f>"1-85-48"</f>
        <v>1-85-48</v>
      </c>
      <c r="F4242" t="s">
        <v>65</v>
      </c>
      <c r="G4242" t="s">
        <v>66</v>
      </c>
      <c r="H4242" t="s">
        <v>67</v>
      </c>
      <c r="S4242">
        <v>1</v>
      </c>
      <c r="T4242">
        <v>0</v>
      </c>
      <c r="U4242">
        <v>0</v>
      </c>
      <c r="V4242">
        <v>0</v>
      </c>
      <c r="W4242">
        <v>1</v>
      </c>
      <c r="X4242">
        <v>0</v>
      </c>
      <c r="Y4242">
        <v>0</v>
      </c>
      <c r="Z4242">
        <v>1</v>
      </c>
      <c r="AA4242">
        <v>1</v>
      </c>
      <c r="AB4242">
        <v>0</v>
      </c>
      <c r="AC4242">
        <v>0</v>
      </c>
      <c r="AD4242">
        <v>1</v>
      </c>
      <c r="AE4242">
        <v>1</v>
      </c>
      <c r="AF4242">
        <v>1</v>
      </c>
      <c r="AG4242">
        <v>1</v>
      </c>
      <c r="AH4242">
        <v>1</v>
      </c>
      <c r="AI4242">
        <v>1</v>
      </c>
      <c r="AJ4242">
        <v>1</v>
      </c>
      <c r="AK4242">
        <v>1</v>
      </c>
      <c r="AL4242">
        <v>1</v>
      </c>
      <c r="AM4242">
        <v>1</v>
      </c>
    </row>
    <row r="4243" spans="1:39" x14ac:dyDescent="0.2">
      <c r="A4243" t="str">
        <f>"4239"</f>
        <v>4239</v>
      </c>
      <c r="B4243" t="str">
        <f t="shared" si="235"/>
        <v>1</v>
      </c>
      <c r="C4243" t="str">
        <f t="shared" si="236"/>
        <v>85</v>
      </c>
      <c r="D4243" t="str">
        <f>"26"</f>
        <v>26</v>
      </c>
      <c r="E4243" t="str">
        <f>"1-85-26"</f>
        <v>1-85-26</v>
      </c>
      <c r="F4243" t="s">
        <v>65</v>
      </c>
      <c r="G4243" t="s">
        <v>66</v>
      </c>
      <c r="H4243" t="s">
        <v>67</v>
      </c>
      <c r="S4243">
        <v>0</v>
      </c>
      <c r="T4243">
        <v>1</v>
      </c>
      <c r="U4243">
        <v>0</v>
      </c>
      <c r="V4243">
        <v>0</v>
      </c>
      <c r="W4243">
        <v>0</v>
      </c>
      <c r="X4243">
        <v>1</v>
      </c>
      <c r="Y4243">
        <v>0</v>
      </c>
      <c r="Z4243">
        <v>1</v>
      </c>
      <c r="AA4243">
        <v>0</v>
      </c>
      <c r="AB4243">
        <v>0</v>
      </c>
      <c r="AC4243">
        <v>1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</row>
    <row r="4244" spans="1:39" x14ac:dyDescent="0.2">
      <c r="A4244" t="str">
        <f>"4240"</f>
        <v>4240</v>
      </c>
      <c r="B4244" t="str">
        <f t="shared" si="235"/>
        <v>1</v>
      </c>
      <c r="C4244" t="str">
        <f t="shared" si="236"/>
        <v>85</v>
      </c>
      <c r="D4244" t="str">
        <f>"12"</f>
        <v>12</v>
      </c>
      <c r="E4244" t="str">
        <f>"1-85-12"</f>
        <v>1-85-12</v>
      </c>
      <c r="F4244" t="s">
        <v>65</v>
      </c>
      <c r="G4244" t="s">
        <v>66</v>
      </c>
      <c r="H4244" t="s">
        <v>67</v>
      </c>
      <c r="S4244">
        <v>0</v>
      </c>
      <c r="T4244">
        <v>1</v>
      </c>
      <c r="U4244">
        <v>0</v>
      </c>
      <c r="V4244">
        <v>0</v>
      </c>
      <c r="W4244">
        <v>0</v>
      </c>
      <c r="X4244">
        <v>1</v>
      </c>
      <c r="Y4244">
        <v>0</v>
      </c>
      <c r="Z4244">
        <v>1</v>
      </c>
      <c r="AA4244">
        <v>0</v>
      </c>
      <c r="AB4244">
        <v>0</v>
      </c>
      <c r="AC4244">
        <v>1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</row>
    <row r="4245" spans="1:39" x14ac:dyDescent="0.2">
      <c r="A4245" t="str">
        <f>"4241"</f>
        <v>4241</v>
      </c>
      <c r="B4245" t="str">
        <f t="shared" si="235"/>
        <v>1</v>
      </c>
      <c r="C4245" t="str">
        <f t="shared" si="236"/>
        <v>85</v>
      </c>
      <c r="D4245" t="str">
        <f>"27"</f>
        <v>27</v>
      </c>
      <c r="E4245" t="str">
        <f>"1-85-27"</f>
        <v>1-85-27</v>
      </c>
      <c r="F4245" t="s">
        <v>65</v>
      </c>
      <c r="G4245" t="s">
        <v>66</v>
      </c>
      <c r="H4245" t="s">
        <v>67</v>
      </c>
      <c r="S4245">
        <v>1</v>
      </c>
      <c r="T4245">
        <v>0</v>
      </c>
      <c r="U4245">
        <v>0</v>
      </c>
      <c r="V4245">
        <v>0</v>
      </c>
      <c r="W4245">
        <v>1</v>
      </c>
      <c r="X4245">
        <v>0</v>
      </c>
      <c r="Y4245">
        <v>1</v>
      </c>
      <c r="Z4245">
        <v>0</v>
      </c>
      <c r="AA4245">
        <v>0</v>
      </c>
      <c r="AB4245">
        <v>1</v>
      </c>
      <c r="AC4245">
        <v>0</v>
      </c>
      <c r="AD4245">
        <v>1</v>
      </c>
      <c r="AE4245">
        <v>1</v>
      </c>
      <c r="AF4245">
        <v>1</v>
      </c>
      <c r="AG4245">
        <v>1</v>
      </c>
      <c r="AH4245">
        <v>1</v>
      </c>
      <c r="AI4245">
        <v>1</v>
      </c>
      <c r="AJ4245">
        <v>1</v>
      </c>
      <c r="AK4245">
        <v>1</v>
      </c>
      <c r="AL4245">
        <v>1</v>
      </c>
      <c r="AM4245">
        <v>1</v>
      </c>
    </row>
    <row r="4246" spans="1:39" x14ac:dyDescent="0.2">
      <c r="A4246" t="str">
        <f>"4242"</f>
        <v>4242</v>
      </c>
      <c r="B4246" t="str">
        <f t="shared" si="235"/>
        <v>1</v>
      </c>
      <c r="C4246" t="str">
        <f t="shared" si="236"/>
        <v>85</v>
      </c>
      <c r="D4246" t="str">
        <f>"13"</f>
        <v>13</v>
      </c>
      <c r="E4246" t="str">
        <f>"1-85-13"</f>
        <v>1-85-13</v>
      </c>
      <c r="F4246" t="s">
        <v>65</v>
      </c>
      <c r="G4246" t="s">
        <v>66</v>
      </c>
      <c r="H4246" t="s">
        <v>67</v>
      </c>
      <c r="S4246">
        <v>0</v>
      </c>
      <c r="T4246">
        <v>1</v>
      </c>
      <c r="U4246">
        <v>0</v>
      </c>
      <c r="V4246">
        <v>0</v>
      </c>
      <c r="W4246">
        <v>0</v>
      </c>
      <c r="X4246">
        <v>1</v>
      </c>
      <c r="Y4246">
        <v>0</v>
      </c>
      <c r="Z4246">
        <v>1</v>
      </c>
      <c r="AA4246">
        <v>0</v>
      </c>
      <c r="AB4246">
        <v>0</v>
      </c>
      <c r="AC4246">
        <v>1</v>
      </c>
      <c r="AD4246">
        <v>0</v>
      </c>
      <c r="AE4246">
        <v>0</v>
      </c>
      <c r="AF4246">
        <v>0</v>
      </c>
      <c r="AG4246">
        <v>1</v>
      </c>
      <c r="AH4246">
        <v>1</v>
      </c>
      <c r="AI4246">
        <v>1</v>
      </c>
      <c r="AJ4246">
        <v>1</v>
      </c>
      <c r="AK4246">
        <v>1</v>
      </c>
      <c r="AL4246">
        <v>1</v>
      </c>
      <c r="AM4246">
        <v>1</v>
      </c>
    </row>
    <row r="4247" spans="1:39" x14ac:dyDescent="0.2">
      <c r="A4247" t="str">
        <f>"4243"</f>
        <v>4243</v>
      </c>
      <c r="B4247" t="str">
        <f t="shared" si="235"/>
        <v>1</v>
      </c>
      <c r="C4247" t="str">
        <f t="shared" si="236"/>
        <v>85</v>
      </c>
      <c r="D4247" t="str">
        <f>"32"</f>
        <v>32</v>
      </c>
      <c r="E4247" t="str">
        <f>"1-85-32"</f>
        <v>1-85-32</v>
      </c>
      <c r="F4247" t="s">
        <v>65</v>
      </c>
      <c r="G4247" t="s">
        <v>66</v>
      </c>
      <c r="H4247" t="s">
        <v>67</v>
      </c>
      <c r="S4247">
        <v>0</v>
      </c>
      <c r="T4247">
        <v>1</v>
      </c>
      <c r="U4247">
        <v>0</v>
      </c>
      <c r="V4247">
        <v>0</v>
      </c>
      <c r="W4247">
        <v>1</v>
      </c>
      <c r="X4247">
        <v>0</v>
      </c>
      <c r="Y4247">
        <v>0</v>
      </c>
      <c r="Z4247">
        <v>1</v>
      </c>
      <c r="AA4247">
        <v>0</v>
      </c>
      <c r="AB4247">
        <v>1</v>
      </c>
      <c r="AC4247">
        <v>0</v>
      </c>
      <c r="AD4247">
        <v>1</v>
      </c>
      <c r="AE4247">
        <v>1</v>
      </c>
      <c r="AF4247">
        <v>1</v>
      </c>
      <c r="AG4247">
        <v>1</v>
      </c>
      <c r="AH4247">
        <v>1</v>
      </c>
      <c r="AI4247">
        <v>1</v>
      </c>
      <c r="AJ4247">
        <v>1</v>
      </c>
      <c r="AK4247">
        <v>1</v>
      </c>
      <c r="AL4247">
        <v>1</v>
      </c>
      <c r="AM4247">
        <v>1</v>
      </c>
    </row>
    <row r="4248" spans="1:39" x14ac:dyDescent="0.2">
      <c r="A4248" t="str">
        <f>"4244"</f>
        <v>4244</v>
      </c>
      <c r="B4248" t="str">
        <f t="shared" si="235"/>
        <v>1</v>
      </c>
      <c r="C4248" t="str">
        <f t="shared" si="236"/>
        <v>85</v>
      </c>
      <c r="D4248" t="str">
        <f>"11"</f>
        <v>11</v>
      </c>
      <c r="E4248" t="str">
        <f>"1-85-11"</f>
        <v>1-85-11</v>
      </c>
      <c r="F4248" t="s">
        <v>65</v>
      </c>
      <c r="G4248" t="s">
        <v>66</v>
      </c>
      <c r="H4248" t="s">
        <v>67</v>
      </c>
      <c r="S4248">
        <v>0</v>
      </c>
      <c r="T4248">
        <v>1</v>
      </c>
      <c r="U4248">
        <v>0</v>
      </c>
      <c r="V4248">
        <v>0</v>
      </c>
      <c r="W4248">
        <v>0</v>
      </c>
      <c r="X4248">
        <v>1</v>
      </c>
      <c r="Y4248">
        <v>0</v>
      </c>
      <c r="Z4248">
        <v>1</v>
      </c>
      <c r="AA4248">
        <v>0</v>
      </c>
      <c r="AB4248">
        <v>0</v>
      </c>
      <c r="AC4248">
        <v>1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</row>
    <row r="4249" spans="1:39" x14ac:dyDescent="0.2">
      <c r="A4249" t="str">
        <f>"4245"</f>
        <v>4245</v>
      </c>
      <c r="B4249" t="str">
        <f t="shared" si="235"/>
        <v>1</v>
      </c>
      <c r="C4249" t="str">
        <f t="shared" si="236"/>
        <v>85</v>
      </c>
      <c r="D4249" t="str">
        <f>"33"</f>
        <v>33</v>
      </c>
      <c r="E4249" t="str">
        <f>"1-85-33"</f>
        <v>1-85-33</v>
      </c>
      <c r="F4249" t="s">
        <v>65</v>
      </c>
      <c r="G4249" t="s">
        <v>66</v>
      </c>
      <c r="H4249" t="s">
        <v>67</v>
      </c>
      <c r="S4249">
        <v>1</v>
      </c>
      <c r="T4249">
        <v>0</v>
      </c>
      <c r="U4249">
        <v>0</v>
      </c>
      <c r="V4249">
        <v>0</v>
      </c>
      <c r="W4249">
        <v>0</v>
      </c>
      <c r="X4249">
        <v>1</v>
      </c>
      <c r="Y4249">
        <v>1</v>
      </c>
      <c r="Z4249">
        <v>0</v>
      </c>
      <c r="AA4249">
        <v>0</v>
      </c>
      <c r="AB4249">
        <v>1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</row>
    <row r="4250" spans="1:39" x14ac:dyDescent="0.2">
      <c r="A4250" t="str">
        <f>"4246"</f>
        <v>4246</v>
      </c>
      <c r="B4250" t="str">
        <f t="shared" si="235"/>
        <v>1</v>
      </c>
      <c r="C4250" t="str">
        <f t="shared" si="236"/>
        <v>85</v>
      </c>
      <c r="D4250" t="str">
        <f>"14"</f>
        <v>14</v>
      </c>
      <c r="E4250" t="str">
        <f>"1-85-14"</f>
        <v>1-85-14</v>
      </c>
      <c r="F4250" t="s">
        <v>65</v>
      </c>
      <c r="G4250" t="s">
        <v>66</v>
      </c>
      <c r="H4250" t="s">
        <v>67</v>
      </c>
      <c r="S4250">
        <v>1</v>
      </c>
      <c r="T4250">
        <v>0</v>
      </c>
      <c r="U4250">
        <v>0</v>
      </c>
      <c r="V4250">
        <v>0</v>
      </c>
      <c r="W4250">
        <v>0</v>
      </c>
      <c r="X4250">
        <v>1</v>
      </c>
      <c r="Y4250">
        <v>0</v>
      </c>
      <c r="Z4250">
        <v>1</v>
      </c>
      <c r="AA4250">
        <v>0</v>
      </c>
      <c r="AB4250">
        <v>1</v>
      </c>
      <c r="AC4250">
        <v>0</v>
      </c>
      <c r="AD4250">
        <v>1</v>
      </c>
      <c r="AE4250">
        <v>1</v>
      </c>
      <c r="AF4250">
        <v>1</v>
      </c>
      <c r="AG4250">
        <v>1</v>
      </c>
      <c r="AH4250">
        <v>1</v>
      </c>
      <c r="AI4250">
        <v>1</v>
      </c>
      <c r="AJ4250">
        <v>1</v>
      </c>
      <c r="AK4250">
        <v>1</v>
      </c>
      <c r="AL4250">
        <v>1</v>
      </c>
      <c r="AM4250">
        <v>1</v>
      </c>
    </row>
    <row r="4251" spans="1:39" x14ac:dyDescent="0.2">
      <c r="A4251" t="str">
        <f>"4247"</f>
        <v>4247</v>
      </c>
      <c r="B4251" t="str">
        <f t="shared" si="235"/>
        <v>1</v>
      </c>
      <c r="C4251" t="str">
        <f t="shared" si="236"/>
        <v>85</v>
      </c>
      <c r="D4251" t="str">
        <f>"34"</f>
        <v>34</v>
      </c>
      <c r="E4251" t="str">
        <f>"1-85-34"</f>
        <v>1-85-34</v>
      </c>
      <c r="F4251" t="s">
        <v>65</v>
      </c>
      <c r="G4251" t="s">
        <v>66</v>
      </c>
      <c r="H4251" t="s">
        <v>67</v>
      </c>
      <c r="S4251">
        <v>1</v>
      </c>
      <c r="T4251">
        <v>0</v>
      </c>
      <c r="U4251">
        <v>0</v>
      </c>
      <c r="V4251">
        <v>0</v>
      </c>
      <c r="W4251">
        <v>1</v>
      </c>
      <c r="X4251">
        <v>0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1</v>
      </c>
      <c r="AF4251">
        <v>1</v>
      </c>
      <c r="AG4251">
        <v>1</v>
      </c>
      <c r="AH4251">
        <v>1</v>
      </c>
      <c r="AI4251">
        <v>1</v>
      </c>
      <c r="AJ4251">
        <v>1</v>
      </c>
      <c r="AK4251">
        <v>1</v>
      </c>
      <c r="AL4251">
        <v>1</v>
      </c>
      <c r="AM4251">
        <v>1</v>
      </c>
    </row>
    <row r="4252" spans="1:39" x14ac:dyDescent="0.2">
      <c r="A4252" t="str">
        <f>"4248"</f>
        <v>4248</v>
      </c>
      <c r="B4252" t="str">
        <f t="shared" si="235"/>
        <v>1</v>
      </c>
      <c r="C4252" t="str">
        <f t="shared" si="236"/>
        <v>85</v>
      </c>
      <c r="D4252" t="str">
        <f>"10"</f>
        <v>10</v>
      </c>
      <c r="E4252" t="str">
        <f>"1-85-10"</f>
        <v>1-85-10</v>
      </c>
      <c r="F4252" t="s">
        <v>65</v>
      </c>
      <c r="G4252" t="s">
        <v>66</v>
      </c>
      <c r="H4252" t="s">
        <v>67</v>
      </c>
      <c r="S4252">
        <v>0</v>
      </c>
      <c r="T4252">
        <v>0</v>
      </c>
      <c r="U4252">
        <v>0</v>
      </c>
      <c r="V4252">
        <v>0</v>
      </c>
      <c r="W4252">
        <v>1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</row>
    <row r="4253" spans="1:39" x14ac:dyDescent="0.2">
      <c r="A4253" t="str">
        <f>"4249"</f>
        <v>4249</v>
      </c>
      <c r="B4253" t="str">
        <f t="shared" si="235"/>
        <v>1</v>
      </c>
      <c r="C4253" t="str">
        <f t="shared" si="236"/>
        <v>85</v>
      </c>
      <c r="D4253" t="str">
        <f>"50"</f>
        <v>50</v>
      </c>
      <c r="E4253" t="str">
        <f>"1-85-50"</f>
        <v>1-85-50</v>
      </c>
      <c r="F4253" t="s">
        <v>65</v>
      </c>
      <c r="G4253" t="s">
        <v>66</v>
      </c>
      <c r="H4253" t="s">
        <v>67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0</v>
      </c>
      <c r="AB4253">
        <v>0</v>
      </c>
      <c r="AC4253">
        <v>1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1</v>
      </c>
      <c r="AJ4253">
        <v>0</v>
      </c>
      <c r="AK4253">
        <v>0</v>
      </c>
      <c r="AL4253">
        <v>1</v>
      </c>
      <c r="AM4253">
        <v>0</v>
      </c>
    </row>
    <row r="4254" spans="1:39" x14ac:dyDescent="0.2">
      <c r="A4254" t="str">
        <f>"4250"</f>
        <v>4250</v>
      </c>
      <c r="B4254" t="str">
        <f t="shared" si="235"/>
        <v>1</v>
      </c>
      <c r="C4254" t="str">
        <f t="shared" si="236"/>
        <v>85</v>
      </c>
      <c r="D4254" t="str">
        <f>"49"</f>
        <v>49</v>
      </c>
      <c r="E4254" t="str">
        <f>"1-85-49"</f>
        <v>1-85-49</v>
      </c>
      <c r="F4254" t="s">
        <v>65</v>
      </c>
      <c r="G4254" t="s">
        <v>66</v>
      </c>
      <c r="H4254" t="s">
        <v>67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1</v>
      </c>
      <c r="AE4254">
        <v>1</v>
      </c>
      <c r="AF4254">
        <v>1</v>
      </c>
      <c r="AG4254">
        <v>1</v>
      </c>
      <c r="AH4254">
        <v>1</v>
      </c>
      <c r="AI4254">
        <v>1</v>
      </c>
      <c r="AJ4254">
        <v>1</v>
      </c>
      <c r="AK4254">
        <v>1</v>
      </c>
      <c r="AL4254">
        <v>1</v>
      </c>
      <c r="AM4254">
        <v>1</v>
      </c>
    </row>
    <row r="4255" spans="1:39" x14ac:dyDescent="0.2">
      <c r="A4255" t="str">
        <f>"4251"</f>
        <v>4251</v>
      </c>
      <c r="B4255" t="str">
        <f t="shared" si="235"/>
        <v>1</v>
      </c>
      <c r="C4255" t="str">
        <f t="shared" ref="C4255:C4286" si="237">"86"</f>
        <v>86</v>
      </c>
      <c r="D4255" t="str">
        <f>"36"</f>
        <v>36</v>
      </c>
      <c r="E4255" t="str">
        <f>"1-86-36"</f>
        <v>1-86-36</v>
      </c>
      <c r="F4255" t="s">
        <v>65</v>
      </c>
      <c r="G4255" t="s">
        <v>66</v>
      </c>
      <c r="H4255" t="s">
        <v>67</v>
      </c>
      <c r="S4255">
        <v>1</v>
      </c>
      <c r="T4255">
        <v>0</v>
      </c>
      <c r="U4255">
        <v>0</v>
      </c>
      <c r="V4255">
        <v>0</v>
      </c>
      <c r="W4255">
        <v>1</v>
      </c>
      <c r="X4255">
        <v>0</v>
      </c>
      <c r="Y4255">
        <v>0</v>
      </c>
      <c r="Z4255">
        <v>1</v>
      </c>
      <c r="AA4255">
        <v>0</v>
      </c>
      <c r="AB4255">
        <v>1</v>
      </c>
      <c r="AC4255">
        <v>0</v>
      </c>
      <c r="AD4255">
        <v>1</v>
      </c>
      <c r="AE4255">
        <v>1</v>
      </c>
      <c r="AF4255">
        <v>1</v>
      </c>
      <c r="AG4255">
        <v>1</v>
      </c>
      <c r="AH4255">
        <v>1</v>
      </c>
      <c r="AI4255">
        <v>1</v>
      </c>
      <c r="AJ4255">
        <v>1</v>
      </c>
      <c r="AK4255">
        <v>1</v>
      </c>
      <c r="AL4255">
        <v>1</v>
      </c>
      <c r="AM4255">
        <v>1</v>
      </c>
    </row>
    <row r="4256" spans="1:39" x14ac:dyDescent="0.2">
      <c r="A4256" t="str">
        <f>"4252"</f>
        <v>4252</v>
      </c>
      <c r="B4256" t="str">
        <f t="shared" si="235"/>
        <v>1</v>
      </c>
      <c r="C4256" t="str">
        <f t="shared" si="237"/>
        <v>86</v>
      </c>
      <c r="D4256" t="str">
        <f>"35"</f>
        <v>35</v>
      </c>
      <c r="E4256" t="str">
        <f>"1-86-35"</f>
        <v>1-86-35</v>
      </c>
      <c r="F4256" t="s">
        <v>65</v>
      </c>
      <c r="G4256" t="s">
        <v>66</v>
      </c>
      <c r="H4256" t="s">
        <v>67</v>
      </c>
      <c r="S4256">
        <v>1</v>
      </c>
      <c r="T4256">
        <v>0</v>
      </c>
      <c r="U4256">
        <v>0</v>
      </c>
      <c r="V4256">
        <v>0</v>
      </c>
      <c r="W4256">
        <v>1</v>
      </c>
      <c r="X4256">
        <v>0</v>
      </c>
      <c r="Y4256">
        <v>0</v>
      </c>
      <c r="Z4256">
        <v>1</v>
      </c>
      <c r="AA4256">
        <v>0</v>
      </c>
      <c r="AB4256">
        <v>1</v>
      </c>
      <c r="AC4256">
        <v>0</v>
      </c>
      <c r="AD4256">
        <v>1</v>
      </c>
      <c r="AE4256">
        <v>1</v>
      </c>
      <c r="AF4256">
        <v>1</v>
      </c>
      <c r="AG4256">
        <v>1</v>
      </c>
      <c r="AH4256">
        <v>1</v>
      </c>
      <c r="AI4256">
        <v>1</v>
      </c>
      <c r="AJ4256">
        <v>1</v>
      </c>
      <c r="AK4256">
        <v>1</v>
      </c>
      <c r="AL4256">
        <v>1</v>
      </c>
      <c r="AM4256">
        <v>1</v>
      </c>
    </row>
    <row r="4257" spans="1:39" x14ac:dyDescent="0.2">
      <c r="A4257" t="str">
        <f>"4253"</f>
        <v>4253</v>
      </c>
      <c r="B4257" t="str">
        <f t="shared" si="235"/>
        <v>1</v>
      </c>
      <c r="C4257" t="str">
        <f t="shared" si="237"/>
        <v>86</v>
      </c>
      <c r="D4257" t="str">
        <f>"22"</f>
        <v>22</v>
      </c>
      <c r="E4257" t="str">
        <f>"1-86-22"</f>
        <v>1-86-22</v>
      </c>
      <c r="F4257" t="s">
        <v>65</v>
      </c>
      <c r="G4257" t="s">
        <v>66</v>
      </c>
      <c r="H4257" t="s">
        <v>67</v>
      </c>
      <c r="S4257">
        <v>1</v>
      </c>
      <c r="T4257">
        <v>0</v>
      </c>
      <c r="U4257">
        <v>0</v>
      </c>
      <c r="V4257">
        <v>0</v>
      </c>
      <c r="W4257">
        <v>0</v>
      </c>
      <c r="X4257">
        <v>1</v>
      </c>
      <c r="Y4257">
        <v>0</v>
      </c>
      <c r="Z4257">
        <v>1</v>
      </c>
      <c r="AA4257">
        <v>0</v>
      </c>
      <c r="AB4257">
        <v>1</v>
      </c>
      <c r="AC4257">
        <v>0</v>
      </c>
      <c r="AD4257">
        <v>1</v>
      </c>
      <c r="AE4257">
        <v>1</v>
      </c>
      <c r="AF4257">
        <v>1</v>
      </c>
      <c r="AG4257">
        <v>1</v>
      </c>
      <c r="AH4257">
        <v>1</v>
      </c>
      <c r="AI4257">
        <v>1</v>
      </c>
      <c r="AJ4257">
        <v>1</v>
      </c>
      <c r="AK4257">
        <v>1</v>
      </c>
      <c r="AL4257">
        <v>1</v>
      </c>
      <c r="AM4257">
        <v>1</v>
      </c>
    </row>
    <row r="4258" spans="1:39" x14ac:dyDescent="0.2">
      <c r="A4258" t="str">
        <f>"4254"</f>
        <v>4254</v>
      </c>
      <c r="B4258" t="str">
        <f t="shared" si="235"/>
        <v>1</v>
      </c>
      <c r="C4258" t="str">
        <f t="shared" si="237"/>
        <v>86</v>
      </c>
      <c r="D4258" t="str">
        <f>"15"</f>
        <v>15</v>
      </c>
      <c r="E4258" t="str">
        <f>"1-86-15"</f>
        <v>1-86-15</v>
      </c>
      <c r="F4258" t="s">
        <v>65</v>
      </c>
      <c r="G4258" t="s">
        <v>66</v>
      </c>
      <c r="H4258" t="s">
        <v>67</v>
      </c>
      <c r="S4258">
        <v>0</v>
      </c>
      <c r="T4258">
        <v>1</v>
      </c>
      <c r="U4258">
        <v>0</v>
      </c>
      <c r="V4258">
        <v>0</v>
      </c>
      <c r="W4258">
        <v>1</v>
      </c>
      <c r="X4258">
        <v>0</v>
      </c>
      <c r="Y4258">
        <v>1</v>
      </c>
      <c r="Z4258">
        <v>0</v>
      </c>
      <c r="AA4258">
        <v>0</v>
      </c>
      <c r="AB4258">
        <v>1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</row>
    <row r="4259" spans="1:39" x14ac:dyDescent="0.2">
      <c r="A4259" t="str">
        <f>"4255"</f>
        <v>4255</v>
      </c>
      <c r="B4259" t="str">
        <f t="shared" si="235"/>
        <v>1</v>
      </c>
      <c r="C4259" t="str">
        <f t="shared" si="237"/>
        <v>86</v>
      </c>
      <c r="D4259" t="str">
        <f>"2"</f>
        <v>2</v>
      </c>
      <c r="E4259" t="str">
        <f>"1-86-2"</f>
        <v>1-86-2</v>
      </c>
      <c r="F4259" t="s">
        <v>65</v>
      </c>
      <c r="G4259" t="s">
        <v>66</v>
      </c>
      <c r="H4259" t="s">
        <v>68</v>
      </c>
      <c r="I4259">
        <v>1</v>
      </c>
      <c r="J4259">
        <v>1</v>
      </c>
      <c r="K4259">
        <v>0</v>
      </c>
      <c r="L4259">
        <v>0</v>
      </c>
      <c r="M4259">
        <v>1</v>
      </c>
      <c r="N4259">
        <v>1</v>
      </c>
      <c r="O4259">
        <v>1</v>
      </c>
      <c r="P4259">
        <v>1</v>
      </c>
      <c r="Q4259">
        <v>1</v>
      </c>
      <c r="R4259">
        <v>1</v>
      </c>
    </row>
    <row r="4260" spans="1:39" x14ac:dyDescent="0.2">
      <c r="A4260" t="str">
        <f>"4256"</f>
        <v>4256</v>
      </c>
      <c r="B4260" t="str">
        <f t="shared" si="235"/>
        <v>1</v>
      </c>
      <c r="C4260" t="str">
        <f t="shared" si="237"/>
        <v>86</v>
      </c>
      <c r="D4260" t="str">
        <f>"34"</f>
        <v>34</v>
      </c>
      <c r="E4260" t="str">
        <f>"1-86-34"</f>
        <v>1-86-34</v>
      </c>
      <c r="F4260" t="s">
        <v>65</v>
      </c>
      <c r="G4260" t="s">
        <v>66</v>
      </c>
      <c r="H4260" t="s">
        <v>67</v>
      </c>
      <c r="S4260">
        <v>1</v>
      </c>
      <c r="T4260">
        <v>0</v>
      </c>
      <c r="U4260">
        <v>0</v>
      </c>
      <c r="V4260">
        <v>0</v>
      </c>
      <c r="W4260">
        <v>0</v>
      </c>
      <c r="X4260">
        <v>1</v>
      </c>
      <c r="Y4260">
        <v>0</v>
      </c>
      <c r="Z4260">
        <v>1</v>
      </c>
      <c r="AA4260">
        <v>0</v>
      </c>
      <c r="AB4260">
        <v>0</v>
      </c>
      <c r="AC4260">
        <v>1</v>
      </c>
      <c r="AD4260">
        <v>1</v>
      </c>
      <c r="AE4260">
        <v>1</v>
      </c>
      <c r="AF4260">
        <v>1</v>
      </c>
      <c r="AG4260">
        <v>1</v>
      </c>
      <c r="AH4260">
        <v>1</v>
      </c>
      <c r="AI4260">
        <v>1</v>
      </c>
      <c r="AJ4260">
        <v>1</v>
      </c>
      <c r="AK4260">
        <v>1</v>
      </c>
      <c r="AL4260">
        <v>1</v>
      </c>
      <c r="AM4260">
        <v>1</v>
      </c>
    </row>
    <row r="4261" spans="1:39" x14ac:dyDescent="0.2">
      <c r="A4261" t="str">
        <f>"4257"</f>
        <v>4257</v>
      </c>
      <c r="B4261" t="str">
        <f t="shared" si="235"/>
        <v>1</v>
      </c>
      <c r="C4261" t="str">
        <f t="shared" si="237"/>
        <v>86</v>
      </c>
      <c r="D4261" t="str">
        <f>"33"</f>
        <v>33</v>
      </c>
      <c r="E4261" t="str">
        <f>"1-86-33"</f>
        <v>1-86-33</v>
      </c>
      <c r="F4261" t="s">
        <v>65</v>
      </c>
      <c r="G4261" t="s">
        <v>66</v>
      </c>
      <c r="H4261" t="s">
        <v>67</v>
      </c>
      <c r="S4261">
        <v>0</v>
      </c>
      <c r="T4261">
        <v>1</v>
      </c>
      <c r="U4261">
        <v>0</v>
      </c>
      <c r="V4261">
        <v>0</v>
      </c>
      <c r="W4261">
        <v>0</v>
      </c>
      <c r="X4261">
        <v>1</v>
      </c>
      <c r="Y4261">
        <v>0</v>
      </c>
      <c r="Z4261">
        <v>1</v>
      </c>
      <c r="AA4261">
        <v>0</v>
      </c>
      <c r="AB4261">
        <v>0</v>
      </c>
      <c r="AC4261">
        <v>1</v>
      </c>
      <c r="AD4261">
        <v>0</v>
      </c>
      <c r="AE4261">
        <v>0</v>
      </c>
      <c r="AF4261">
        <v>0</v>
      </c>
      <c r="AG4261">
        <v>0</v>
      </c>
      <c r="AH4261">
        <v>1</v>
      </c>
      <c r="AI4261">
        <v>0</v>
      </c>
      <c r="AJ4261">
        <v>0</v>
      </c>
      <c r="AK4261">
        <v>1</v>
      </c>
      <c r="AL4261">
        <v>0</v>
      </c>
      <c r="AM4261">
        <v>0</v>
      </c>
    </row>
    <row r="4262" spans="1:39" x14ac:dyDescent="0.2">
      <c r="A4262" t="str">
        <f>"4258"</f>
        <v>4258</v>
      </c>
      <c r="B4262" t="str">
        <f t="shared" si="235"/>
        <v>1</v>
      </c>
      <c r="C4262" t="str">
        <f t="shared" si="237"/>
        <v>86</v>
      </c>
      <c r="D4262" t="str">
        <f>"23"</f>
        <v>23</v>
      </c>
      <c r="E4262" t="str">
        <f>"1-86-23"</f>
        <v>1-86-23</v>
      </c>
      <c r="F4262" t="s">
        <v>65</v>
      </c>
      <c r="G4262" t="s">
        <v>66</v>
      </c>
      <c r="H4262" t="s">
        <v>67</v>
      </c>
      <c r="S4262">
        <v>1</v>
      </c>
      <c r="T4262">
        <v>0</v>
      </c>
      <c r="U4262">
        <v>0</v>
      </c>
      <c r="V4262">
        <v>0</v>
      </c>
      <c r="W4262">
        <v>1</v>
      </c>
      <c r="X4262">
        <v>0</v>
      </c>
      <c r="Y4262">
        <v>1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1</v>
      </c>
      <c r="AF4262">
        <v>1</v>
      </c>
      <c r="AG4262">
        <v>1</v>
      </c>
      <c r="AH4262">
        <v>1</v>
      </c>
      <c r="AI4262">
        <v>1</v>
      </c>
      <c r="AJ4262">
        <v>1</v>
      </c>
      <c r="AK4262">
        <v>1</v>
      </c>
      <c r="AL4262">
        <v>1</v>
      </c>
      <c r="AM4262">
        <v>1</v>
      </c>
    </row>
    <row r="4263" spans="1:39" x14ac:dyDescent="0.2">
      <c r="A4263" t="str">
        <f>"4259"</f>
        <v>4259</v>
      </c>
      <c r="B4263" t="str">
        <f t="shared" si="235"/>
        <v>1</v>
      </c>
      <c r="C4263" t="str">
        <f t="shared" si="237"/>
        <v>86</v>
      </c>
      <c r="D4263" t="str">
        <f>"16"</f>
        <v>16</v>
      </c>
      <c r="E4263" t="str">
        <f>"1-86-16"</f>
        <v>1-86-16</v>
      </c>
      <c r="F4263" t="s">
        <v>65</v>
      </c>
      <c r="G4263" t="s">
        <v>66</v>
      </c>
      <c r="H4263" t="s">
        <v>67</v>
      </c>
      <c r="S4263">
        <v>0</v>
      </c>
      <c r="T4263">
        <v>1</v>
      </c>
      <c r="U4263">
        <v>0</v>
      </c>
      <c r="V4263">
        <v>0</v>
      </c>
      <c r="W4263">
        <v>0</v>
      </c>
      <c r="X4263">
        <v>1</v>
      </c>
      <c r="Y4263">
        <v>1</v>
      </c>
      <c r="Z4263">
        <v>0</v>
      </c>
      <c r="AA4263">
        <v>0</v>
      </c>
      <c r="AB4263">
        <v>1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</row>
    <row r="4264" spans="1:39" x14ac:dyDescent="0.2">
      <c r="A4264" t="str">
        <f>"4260"</f>
        <v>4260</v>
      </c>
      <c r="B4264" t="str">
        <f t="shared" si="235"/>
        <v>1</v>
      </c>
      <c r="C4264" t="str">
        <f t="shared" si="237"/>
        <v>86</v>
      </c>
      <c r="D4264" t="str">
        <f>"3"</f>
        <v>3</v>
      </c>
      <c r="E4264" t="str">
        <f>"1-86-3"</f>
        <v>1-86-3</v>
      </c>
      <c r="F4264" t="s">
        <v>65</v>
      </c>
      <c r="G4264" t="s">
        <v>66</v>
      </c>
      <c r="H4264" t="s">
        <v>68</v>
      </c>
      <c r="I4264">
        <v>1</v>
      </c>
      <c r="J4264">
        <v>1</v>
      </c>
      <c r="K4264">
        <v>0</v>
      </c>
      <c r="L4264">
        <v>0</v>
      </c>
      <c r="M4264">
        <v>1</v>
      </c>
      <c r="N4264">
        <v>1</v>
      </c>
      <c r="O4264">
        <v>1</v>
      </c>
      <c r="P4264">
        <v>1</v>
      </c>
      <c r="Q4264">
        <v>1</v>
      </c>
      <c r="R4264">
        <v>1</v>
      </c>
    </row>
    <row r="4265" spans="1:39" x14ac:dyDescent="0.2">
      <c r="A4265" t="str">
        <f>"4261"</f>
        <v>4261</v>
      </c>
      <c r="B4265" t="str">
        <f t="shared" si="235"/>
        <v>1</v>
      </c>
      <c r="C4265" t="str">
        <f t="shared" si="237"/>
        <v>86</v>
      </c>
      <c r="D4265" t="str">
        <f>"40"</f>
        <v>40</v>
      </c>
      <c r="E4265" t="str">
        <f>"1-86-40"</f>
        <v>1-86-40</v>
      </c>
      <c r="F4265" t="s">
        <v>65</v>
      </c>
      <c r="G4265" t="s">
        <v>66</v>
      </c>
      <c r="H4265" t="s">
        <v>67</v>
      </c>
      <c r="S4265">
        <v>1</v>
      </c>
      <c r="T4265">
        <v>0</v>
      </c>
      <c r="U4265">
        <v>0</v>
      </c>
      <c r="V4265">
        <v>0</v>
      </c>
      <c r="W4265">
        <v>1</v>
      </c>
      <c r="X4265">
        <v>0</v>
      </c>
      <c r="Y4265">
        <v>0</v>
      </c>
      <c r="Z4265">
        <v>1</v>
      </c>
      <c r="AA4265">
        <v>0</v>
      </c>
      <c r="AB4265">
        <v>0</v>
      </c>
      <c r="AC4265">
        <v>1</v>
      </c>
      <c r="AD4265">
        <v>1</v>
      </c>
      <c r="AE4265">
        <v>1</v>
      </c>
      <c r="AF4265">
        <v>1</v>
      </c>
      <c r="AG4265">
        <v>1</v>
      </c>
      <c r="AH4265">
        <v>1</v>
      </c>
      <c r="AI4265">
        <v>1</v>
      </c>
      <c r="AJ4265">
        <v>1</v>
      </c>
      <c r="AK4265">
        <v>1</v>
      </c>
      <c r="AL4265">
        <v>1</v>
      </c>
      <c r="AM4265">
        <v>1</v>
      </c>
    </row>
    <row r="4266" spans="1:39" x14ac:dyDescent="0.2">
      <c r="A4266" t="str">
        <f>"4262"</f>
        <v>4262</v>
      </c>
      <c r="B4266" t="str">
        <f t="shared" si="235"/>
        <v>1</v>
      </c>
      <c r="C4266" t="str">
        <f t="shared" si="237"/>
        <v>86</v>
      </c>
      <c r="D4266" t="str">
        <f>"39"</f>
        <v>39</v>
      </c>
      <c r="E4266" t="str">
        <f>"1-86-39"</f>
        <v>1-86-39</v>
      </c>
      <c r="F4266" t="s">
        <v>65</v>
      </c>
      <c r="G4266" t="s">
        <v>66</v>
      </c>
      <c r="H4266" t="s">
        <v>67</v>
      </c>
      <c r="S4266">
        <v>1</v>
      </c>
      <c r="T4266">
        <v>0</v>
      </c>
      <c r="U4266">
        <v>0</v>
      </c>
      <c r="V4266">
        <v>0</v>
      </c>
      <c r="W4266">
        <v>1</v>
      </c>
      <c r="X4266">
        <v>0</v>
      </c>
      <c r="Y4266">
        <v>0</v>
      </c>
      <c r="Z4266">
        <v>1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</row>
    <row r="4267" spans="1:39" x14ac:dyDescent="0.2">
      <c r="A4267" t="str">
        <f>"4263"</f>
        <v>4263</v>
      </c>
      <c r="B4267" t="str">
        <f t="shared" si="235"/>
        <v>1</v>
      </c>
      <c r="C4267" t="str">
        <f t="shared" si="237"/>
        <v>86</v>
      </c>
      <c r="D4267" t="str">
        <f>"24"</f>
        <v>24</v>
      </c>
      <c r="E4267" t="str">
        <f>"1-86-24"</f>
        <v>1-86-24</v>
      </c>
      <c r="F4267" t="s">
        <v>65</v>
      </c>
      <c r="G4267" t="s">
        <v>66</v>
      </c>
      <c r="H4267" t="s">
        <v>67</v>
      </c>
      <c r="S4267">
        <v>1</v>
      </c>
      <c r="T4267">
        <v>0</v>
      </c>
      <c r="U4267">
        <v>0</v>
      </c>
      <c r="V4267">
        <v>0</v>
      </c>
      <c r="W4267">
        <v>1</v>
      </c>
      <c r="X4267">
        <v>0</v>
      </c>
      <c r="Y4267">
        <v>1</v>
      </c>
      <c r="Z4267">
        <v>0</v>
      </c>
      <c r="AA4267">
        <v>0</v>
      </c>
      <c r="AB4267">
        <v>1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</row>
    <row r="4268" spans="1:39" x14ac:dyDescent="0.2">
      <c r="A4268" t="str">
        <f>"4264"</f>
        <v>4264</v>
      </c>
      <c r="B4268" t="str">
        <f t="shared" si="235"/>
        <v>1</v>
      </c>
      <c r="C4268" t="str">
        <f t="shared" si="237"/>
        <v>86</v>
      </c>
      <c r="D4268" t="str">
        <f>"17"</f>
        <v>17</v>
      </c>
      <c r="E4268" t="str">
        <f>"1-86-17"</f>
        <v>1-86-17</v>
      </c>
      <c r="F4268" t="s">
        <v>65</v>
      </c>
      <c r="G4268" t="s">
        <v>66</v>
      </c>
      <c r="H4268" t="s">
        <v>67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1</v>
      </c>
      <c r="AH4268">
        <v>1</v>
      </c>
      <c r="AI4268">
        <v>1</v>
      </c>
      <c r="AJ4268">
        <v>1</v>
      </c>
      <c r="AK4268">
        <v>1</v>
      </c>
      <c r="AL4268">
        <v>0</v>
      </c>
      <c r="AM4268">
        <v>0</v>
      </c>
    </row>
    <row r="4269" spans="1:39" x14ac:dyDescent="0.2">
      <c r="A4269" t="str">
        <f>"4265"</f>
        <v>4265</v>
      </c>
      <c r="B4269" t="str">
        <f t="shared" si="235"/>
        <v>1</v>
      </c>
      <c r="C4269" t="str">
        <f t="shared" si="237"/>
        <v>86</v>
      </c>
      <c r="D4269" t="str">
        <f>"9"</f>
        <v>9</v>
      </c>
      <c r="E4269" t="str">
        <f>"1-86-9"</f>
        <v>1-86-9</v>
      </c>
      <c r="F4269" t="s">
        <v>65</v>
      </c>
      <c r="G4269" t="s">
        <v>66</v>
      </c>
      <c r="H4269" t="s">
        <v>67</v>
      </c>
      <c r="S4269">
        <v>1</v>
      </c>
      <c r="T4269">
        <v>0</v>
      </c>
      <c r="U4269">
        <v>0</v>
      </c>
      <c r="V4269">
        <v>0</v>
      </c>
      <c r="W4269">
        <v>1</v>
      </c>
      <c r="X4269">
        <v>0</v>
      </c>
      <c r="Y4269">
        <v>0</v>
      </c>
      <c r="Z4269">
        <v>1</v>
      </c>
      <c r="AA4269">
        <v>1</v>
      </c>
      <c r="AB4269">
        <v>0</v>
      </c>
      <c r="AC4269">
        <v>0</v>
      </c>
      <c r="AD4269">
        <v>1</v>
      </c>
      <c r="AE4269">
        <v>1</v>
      </c>
      <c r="AF4269">
        <v>1</v>
      </c>
      <c r="AG4269">
        <v>1</v>
      </c>
      <c r="AH4269">
        <v>1</v>
      </c>
      <c r="AI4269">
        <v>1</v>
      </c>
      <c r="AJ4269">
        <v>1</v>
      </c>
      <c r="AK4269">
        <v>1</v>
      </c>
      <c r="AL4269">
        <v>1</v>
      </c>
      <c r="AM4269">
        <v>1</v>
      </c>
    </row>
    <row r="4270" spans="1:39" x14ac:dyDescent="0.2">
      <c r="A4270" t="str">
        <f>"4266"</f>
        <v>4266</v>
      </c>
      <c r="B4270" t="str">
        <f t="shared" si="235"/>
        <v>1</v>
      </c>
      <c r="C4270" t="str">
        <f t="shared" si="237"/>
        <v>86</v>
      </c>
      <c r="D4270" t="str">
        <f>"42"</f>
        <v>42</v>
      </c>
      <c r="E4270" t="str">
        <f>"1-86-42"</f>
        <v>1-86-42</v>
      </c>
      <c r="F4270" t="s">
        <v>65</v>
      </c>
      <c r="G4270" t="s">
        <v>66</v>
      </c>
      <c r="H4270" t="s">
        <v>67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0</v>
      </c>
      <c r="AB4270">
        <v>1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1</v>
      </c>
      <c r="AI4270">
        <v>0</v>
      </c>
      <c r="AJ4270">
        <v>1</v>
      </c>
      <c r="AK4270">
        <v>1</v>
      </c>
      <c r="AL4270">
        <v>0</v>
      </c>
      <c r="AM4270">
        <v>0</v>
      </c>
    </row>
    <row r="4271" spans="1:39" x14ac:dyDescent="0.2">
      <c r="A4271" t="str">
        <f>"4267"</f>
        <v>4267</v>
      </c>
      <c r="B4271" t="str">
        <f t="shared" si="235"/>
        <v>1</v>
      </c>
      <c r="C4271" t="str">
        <f t="shared" si="237"/>
        <v>86</v>
      </c>
      <c r="D4271" t="str">
        <f>"41"</f>
        <v>41</v>
      </c>
      <c r="E4271" t="str">
        <f>"1-86-41"</f>
        <v>1-86-41</v>
      </c>
      <c r="F4271" t="s">
        <v>65</v>
      </c>
      <c r="G4271" t="s">
        <v>66</v>
      </c>
      <c r="H4271" t="s">
        <v>67</v>
      </c>
      <c r="S4271">
        <v>1</v>
      </c>
      <c r="T4271">
        <v>0</v>
      </c>
      <c r="U4271">
        <v>0</v>
      </c>
      <c r="V4271">
        <v>0</v>
      </c>
      <c r="W4271">
        <v>1</v>
      </c>
      <c r="X4271">
        <v>0</v>
      </c>
      <c r="Y4271">
        <v>0</v>
      </c>
      <c r="Z4271">
        <v>1</v>
      </c>
      <c r="AA4271">
        <v>0</v>
      </c>
      <c r="AB4271">
        <v>0</v>
      </c>
      <c r="AC4271">
        <v>1</v>
      </c>
      <c r="AD4271">
        <v>1</v>
      </c>
      <c r="AE4271">
        <v>1</v>
      </c>
      <c r="AF4271">
        <v>1</v>
      </c>
      <c r="AG4271">
        <v>1</v>
      </c>
      <c r="AH4271">
        <v>1</v>
      </c>
      <c r="AI4271">
        <v>1</v>
      </c>
      <c r="AJ4271">
        <v>1</v>
      </c>
      <c r="AK4271">
        <v>1</v>
      </c>
      <c r="AL4271">
        <v>1</v>
      </c>
      <c r="AM4271">
        <v>1</v>
      </c>
    </row>
    <row r="4272" spans="1:39" x14ac:dyDescent="0.2">
      <c r="A4272" t="str">
        <f>"4268"</f>
        <v>4268</v>
      </c>
      <c r="B4272" t="str">
        <f t="shared" si="235"/>
        <v>1</v>
      </c>
      <c r="C4272" t="str">
        <f t="shared" si="237"/>
        <v>86</v>
      </c>
      <c r="D4272" t="str">
        <f>"26"</f>
        <v>26</v>
      </c>
      <c r="E4272" t="str">
        <f>"1-86-26"</f>
        <v>1-86-26</v>
      </c>
      <c r="F4272" t="s">
        <v>65</v>
      </c>
      <c r="G4272" t="s">
        <v>66</v>
      </c>
      <c r="H4272" t="s">
        <v>67</v>
      </c>
      <c r="S4272">
        <v>0</v>
      </c>
      <c r="T4272">
        <v>1</v>
      </c>
      <c r="U4272">
        <v>0</v>
      </c>
      <c r="V4272">
        <v>0</v>
      </c>
      <c r="W4272">
        <v>1</v>
      </c>
      <c r="X4272">
        <v>0</v>
      </c>
      <c r="Y4272">
        <v>0</v>
      </c>
      <c r="Z4272">
        <v>1</v>
      </c>
      <c r="AA4272">
        <v>0</v>
      </c>
      <c r="AB4272">
        <v>0</v>
      </c>
      <c r="AC4272">
        <v>1</v>
      </c>
      <c r="AD4272">
        <v>1</v>
      </c>
      <c r="AE4272">
        <v>1</v>
      </c>
      <c r="AF4272">
        <v>1</v>
      </c>
      <c r="AG4272">
        <v>1</v>
      </c>
      <c r="AH4272">
        <v>1</v>
      </c>
      <c r="AI4272">
        <v>1</v>
      </c>
      <c r="AJ4272">
        <v>1</v>
      </c>
      <c r="AK4272">
        <v>1</v>
      </c>
      <c r="AL4272">
        <v>1</v>
      </c>
      <c r="AM4272">
        <v>1</v>
      </c>
    </row>
    <row r="4273" spans="1:39" x14ac:dyDescent="0.2">
      <c r="A4273" t="str">
        <f>"4269"</f>
        <v>4269</v>
      </c>
      <c r="B4273" t="str">
        <f t="shared" si="235"/>
        <v>1</v>
      </c>
      <c r="C4273" t="str">
        <f t="shared" si="237"/>
        <v>86</v>
      </c>
      <c r="D4273" t="str">
        <f>"18"</f>
        <v>18</v>
      </c>
      <c r="E4273" t="str">
        <f>"1-86-18"</f>
        <v>1-86-18</v>
      </c>
      <c r="F4273" t="s">
        <v>65</v>
      </c>
      <c r="G4273" t="s">
        <v>66</v>
      </c>
      <c r="H4273" t="s">
        <v>67</v>
      </c>
      <c r="S4273">
        <v>0</v>
      </c>
      <c r="T4273">
        <v>1</v>
      </c>
      <c r="U4273">
        <v>0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1</v>
      </c>
      <c r="AM4273">
        <v>0</v>
      </c>
    </row>
    <row r="4274" spans="1:39" x14ac:dyDescent="0.2">
      <c r="A4274" t="str">
        <f>"4270"</f>
        <v>4270</v>
      </c>
      <c r="B4274" t="str">
        <f t="shared" si="235"/>
        <v>1</v>
      </c>
      <c r="C4274" t="str">
        <f t="shared" si="237"/>
        <v>86</v>
      </c>
      <c r="D4274" t="str">
        <f>"7"</f>
        <v>7</v>
      </c>
      <c r="E4274" t="str">
        <f>"1-86-7"</f>
        <v>1-86-7</v>
      </c>
      <c r="F4274" t="s">
        <v>65</v>
      </c>
      <c r="G4274" t="s">
        <v>66</v>
      </c>
      <c r="H4274" t="s">
        <v>67</v>
      </c>
      <c r="S4274">
        <v>1</v>
      </c>
      <c r="T4274">
        <v>0</v>
      </c>
      <c r="U4274">
        <v>0</v>
      </c>
      <c r="V4274">
        <v>0</v>
      </c>
      <c r="W4274">
        <v>1</v>
      </c>
      <c r="X4274">
        <v>0</v>
      </c>
      <c r="Y4274">
        <v>1</v>
      </c>
      <c r="Z4274">
        <v>0</v>
      </c>
      <c r="AA4274">
        <v>0</v>
      </c>
      <c r="AB4274">
        <v>0</v>
      </c>
      <c r="AC4274">
        <v>1</v>
      </c>
      <c r="AD4274">
        <v>1</v>
      </c>
      <c r="AE4274">
        <v>1</v>
      </c>
      <c r="AF4274">
        <v>1</v>
      </c>
      <c r="AG4274">
        <v>1</v>
      </c>
      <c r="AH4274">
        <v>1</v>
      </c>
      <c r="AI4274">
        <v>1</v>
      </c>
      <c r="AJ4274">
        <v>1</v>
      </c>
      <c r="AK4274">
        <v>1</v>
      </c>
      <c r="AL4274">
        <v>1</v>
      </c>
      <c r="AM4274">
        <v>1</v>
      </c>
    </row>
    <row r="4275" spans="1:39" x14ac:dyDescent="0.2">
      <c r="A4275" t="str">
        <f>"4271"</f>
        <v>4271</v>
      </c>
      <c r="B4275" t="str">
        <f t="shared" si="235"/>
        <v>1</v>
      </c>
      <c r="C4275" t="str">
        <f t="shared" si="237"/>
        <v>86</v>
      </c>
      <c r="D4275" t="str">
        <f>"37"</f>
        <v>37</v>
      </c>
      <c r="E4275" t="str">
        <f>"1-86-37"</f>
        <v>1-86-37</v>
      </c>
      <c r="F4275" t="s">
        <v>65</v>
      </c>
      <c r="G4275" t="s">
        <v>66</v>
      </c>
      <c r="H4275" t="s">
        <v>67</v>
      </c>
      <c r="S4275">
        <v>0</v>
      </c>
      <c r="T4275">
        <v>1</v>
      </c>
      <c r="U4275">
        <v>0</v>
      </c>
      <c r="V4275">
        <v>0</v>
      </c>
      <c r="W4275">
        <v>0</v>
      </c>
      <c r="X4275">
        <v>1</v>
      </c>
      <c r="Y4275">
        <v>0</v>
      </c>
      <c r="Z4275">
        <v>1</v>
      </c>
      <c r="AA4275">
        <v>0</v>
      </c>
      <c r="AB4275">
        <v>0</v>
      </c>
      <c r="AC4275">
        <v>1</v>
      </c>
      <c r="AD4275">
        <v>0</v>
      </c>
      <c r="AE4275">
        <v>0</v>
      </c>
      <c r="AF4275">
        <v>0</v>
      </c>
      <c r="AG4275">
        <v>0</v>
      </c>
      <c r="AH4275">
        <v>1</v>
      </c>
      <c r="AI4275">
        <v>1</v>
      </c>
      <c r="AJ4275">
        <v>0</v>
      </c>
      <c r="AK4275">
        <v>0</v>
      </c>
      <c r="AL4275">
        <v>1</v>
      </c>
      <c r="AM4275">
        <v>0</v>
      </c>
    </row>
    <row r="4276" spans="1:39" x14ac:dyDescent="0.2">
      <c r="A4276" t="str">
        <f>"4272"</f>
        <v>4272</v>
      </c>
      <c r="B4276" t="str">
        <f t="shared" si="235"/>
        <v>1</v>
      </c>
      <c r="C4276" t="str">
        <f t="shared" si="237"/>
        <v>86</v>
      </c>
      <c r="D4276" t="str">
        <f>"19"</f>
        <v>19</v>
      </c>
      <c r="E4276" t="str">
        <f>"1-86-19"</f>
        <v>1-86-19</v>
      </c>
      <c r="F4276" t="s">
        <v>65</v>
      </c>
      <c r="G4276" t="s">
        <v>66</v>
      </c>
      <c r="H4276" t="s">
        <v>67</v>
      </c>
      <c r="S4276">
        <v>0</v>
      </c>
      <c r="T4276">
        <v>1</v>
      </c>
      <c r="U4276">
        <v>0</v>
      </c>
      <c r="V4276">
        <v>0</v>
      </c>
      <c r="W4276">
        <v>0</v>
      </c>
      <c r="X4276">
        <v>1</v>
      </c>
      <c r="Y4276">
        <v>0</v>
      </c>
      <c r="Z4276">
        <v>1</v>
      </c>
      <c r="AA4276">
        <v>0</v>
      </c>
      <c r="AB4276">
        <v>0</v>
      </c>
      <c r="AC4276">
        <v>1</v>
      </c>
      <c r="AD4276">
        <v>1</v>
      </c>
      <c r="AE4276">
        <v>1</v>
      </c>
      <c r="AF4276">
        <v>1</v>
      </c>
      <c r="AG4276">
        <v>1</v>
      </c>
      <c r="AH4276">
        <v>1</v>
      </c>
      <c r="AI4276">
        <v>1</v>
      </c>
      <c r="AJ4276">
        <v>1</v>
      </c>
      <c r="AK4276">
        <v>1</v>
      </c>
      <c r="AL4276">
        <v>1</v>
      </c>
      <c r="AM4276">
        <v>1</v>
      </c>
    </row>
    <row r="4277" spans="1:39" x14ac:dyDescent="0.2">
      <c r="A4277" t="str">
        <f>"4273"</f>
        <v>4273</v>
      </c>
      <c r="B4277" t="str">
        <f t="shared" si="235"/>
        <v>1</v>
      </c>
      <c r="C4277" t="str">
        <f t="shared" si="237"/>
        <v>86</v>
      </c>
      <c r="D4277" t="str">
        <f>"5"</f>
        <v>5</v>
      </c>
      <c r="E4277" t="str">
        <f>"1-86-5"</f>
        <v>1-86-5</v>
      </c>
      <c r="F4277" t="s">
        <v>65</v>
      </c>
      <c r="G4277" t="s">
        <v>66</v>
      </c>
      <c r="H4277" t="s">
        <v>67</v>
      </c>
      <c r="S4277">
        <v>1</v>
      </c>
      <c r="T4277">
        <v>0</v>
      </c>
      <c r="U4277">
        <v>0</v>
      </c>
      <c r="V4277">
        <v>0</v>
      </c>
      <c r="W4277">
        <v>0</v>
      </c>
      <c r="X4277">
        <v>1</v>
      </c>
      <c r="Y4277">
        <v>1</v>
      </c>
      <c r="Z4277">
        <v>0</v>
      </c>
      <c r="AA4277">
        <v>0</v>
      </c>
      <c r="AB4277">
        <v>1</v>
      </c>
      <c r="AC4277">
        <v>0</v>
      </c>
      <c r="AD4277">
        <v>1</v>
      </c>
      <c r="AE4277">
        <v>1</v>
      </c>
      <c r="AF4277">
        <v>1</v>
      </c>
      <c r="AG4277">
        <v>1</v>
      </c>
      <c r="AH4277">
        <v>1</v>
      </c>
      <c r="AI4277">
        <v>1</v>
      </c>
      <c r="AJ4277">
        <v>1</v>
      </c>
      <c r="AK4277">
        <v>1</v>
      </c>
      <c r="AL4277">
        <v>1</v>
      </c>
      <c r="AM4277">
        <v>1</v>
      </c>
    </row>
    <row r="4278" spans="1:39" x14ac:dyDescent="0.2">
      <c r="A4278" t="str">
        <f>"4274"</f>
        <v>4274</v>
      </c>
      <c r="B4278" t="str">
        <f t="shared" si="235"/>
        <v>1</v>
      </c>
      <c r="C4278" t="str">
        <f t="shared" si="237"/>
        <v>86</v>
      </c>
      <c r="D4278" t="str">
        <f>"38"</f>
        <v>38</v>
      </c>
      <c r="E4278" t="str">
        <f>"1-86-38"</f>
        <v>1-86-38</v>
      </c>
      <c r="F4278" t="s">
        <v>65</v>
      </c>
      <c r="G4278" t="s">
        <v>66</v>
      </c>
      <c r="H4278" t="s">
        <v>67</v>
      </c>
      <c r="S4278">
        <v>0</v>
      </c>
      <c r="T4278">
        <v>1</v>
      </c>
      <c r="U4278">
        <v>0</v>
      </c>
      <c r="V4278">
        <v>0</v>
      </c>
      <c r="W4278">
        <v>1</v>
      </c>
      <c r="X4278">
        <v>0</v>
      </c>
      <c r="Y4278">
        <v>1</v>
      </c>
      <c r="Z4278">
        <v>0</v>
      </c>
      <c r="AA4278">
        <v>0</v>
      </c>
      <c r="AB4278">
        <v>0</v>
      </c>
      <c r="AC4278">
        <v>1</v>
      </c>
      <c r="AD4278">
        <v>1</v>
      </c>
      <c r="AE4278">
        <v>1</v>
      </c>
      <c r="AF4278">
        <v>1</v>
      </c>
      <c r="AG4278">
        <v>1</v>
      </c>
      <c r="AH4278">
        <v>1</v>
      </c>
      <c r="AI4278">
        <v>1</v>
      </c>
      <c r="AJ4278">
        <v>1</v>
      </c>
      <c r="AK4278">
        <v>1</v>
      </c>
      <c r="AL4278">
        <v>1</v>
      </c>
      <c r="AM4278">
        <v>1</v>
      </c>
    </row>
    <row r="4279" spans="1:39" x14ac:dyDescent="0.2">
      <c r="A4279" t="str">
        <f>"4275"</f>
        <v>4275</v>
      </c>
      <c r="B4279" t="str">
        <f t="shared" ref="B4279:B4342" si="238">"1"</f>
        <v>1</v>
      </c>
      <c r="C4279" t="str">
        <f t="shared" si="237"/>
        <v>86</v>
      </c>
      <c r="D4279" t="str">
        <f>"20"</f>
        <v>20</v>
      </c>
      <c r="E4279" t="str">
        <f>"1-86-20"</f>
        <v>1-86-20</v>
      </c>
      <c r="F4279" t="s">
        <v>65</v>
      </c>
      <c r="G4279" t="s">
        <v>66</v>
      </c>
      <c r="H4279" t="s">
        <v>67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1</v>
      </c>
      <c r="Y4279">
        <v>0</v>
      </c>
      <c r="Z4279">
        <v>1</v>
      </c>
      <c r="AA4279">
        <v>0</v>
      </c>
      <c r="AB4279">
        <v>0</v>
      </c>
      <c r="AC4279">
        <v>1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</row>
    <row r="4280" spans="1:39" x14ac:dyDescent="0.2">
      <c r="A4280" t="str">
        <f>"4276"</f>
        <v>4276</v>
      </c>
      <c r="B4280" t="str">
        <f t="shared" si="238"/>
        <v>1</v>
      </c>
      <c r="C4280" t="str">
        <f t="shared" si="237"/>
        <v>86</v>
      </c>
      <c r="D4280" t="str">
        <f>"13"</f>
        <v>13</v>
      </c>
      <c r="E4280" t="str">
        <f>"1-86-13"</f>
        <v>1-86-13</v>
      </c>
      <c r="F4280" t="s">
        <v>65</v>
      </c>
      <c r="G4280" t="s">
        <v>66</v>
      </c>
      <c r="H4280" t="s">
        <v>67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0</v>
      </c>
      <c r="AB4280">
        <v>0</v>
      </c>
      <c r="AC4280">
        <v>1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1</v>
      </c>
      <c r="AJ4280">
        <v>1</v>
      </c>
      <c r="AK4280">
        <v>1</v>
      </c>
      <c r="AL4280">
        <v>1</v>
      </c>
      <c r="AM4280">
        <v>1</v>
      </c>
    </row>
    <row r="4281" spans="1:39" x14ac:dyDescent="0.2">
      <c r="A4281" t="str">
        <f>"4277"</f>
        <v>4277</v>
      </c>
      <c r="B4281" t="str">
        <f t="shared" si="238"/>
        <v>1</v>
      </c>
      <c r="C4281" t="str">
        <f t="shared" si="237"/>
        <v>86</v>
      </c>
      <c r="D4281" t="str">
        <f>"43"</f>
        <v>43</v>
      </c>
      <c r="E4281" t="str">
        <f>"1-86-43"</f>
        <v>1-86-43</v>
      </c>
      <c r="F4281" t="s">
        <v>65</v>
      </c>
      <c r="G4281" t="s">
        <v>66</v>
      </c>
      <c r="H4281" t="s">
        <v>67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0</v>
      </c>
      <c r="AB4281">
        <v>0</v>
      </c>
      <c r="AC4281">
        <v>1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</row>
    <row r="4282" spans="1:39" x14ac:dyDescent="0.2">
      <c r="A4282" t="str">
        <f>"4278"</f>
        <v>4278</v>
      </c>
      <c r="B4282" t="str">
        <f t="shared" si="238"/>
        <v>1</v>
      </c>
      <c r="C4282" t="str">
        <f t="shared" si="237"/>
        <v>86</v>
      </c>
      <c r="D4282" t="str">
        <f>"21"</f>
        <v>21</v>
      </c>
      <c r="E4282" t="str">
        <f>"1-86-21"</f>
        <v>1-86-21</v>
      </c>
      <c r="F4282" t="s">
        <v>65</v>
      </c>
      <c r="G4282" t="s">
        <v>66</v>
      </c>
      <c r="H4282" t="s">
        <v>67</v>
      </c>
      <c r="S4282">
        <v>0</v>
      </c>
      <c r="T4282">
        <v>1</v>
      </c>
      <c r="U4282">
        <v>0</v>
      </c>
      <c r="V4282">
        <v>0</v>
      </c>
      <c r="W4282">
        <v>0</v>
      </c>
      <c r="X4282">
        <v>1</v>
      </c>
      <c r="Y4282">
        <v>1</v>
      </c>
      <c r="Z4282">
        <v>0</v>
      </c>
      <c r="AA4282">
        <v>0</v>
      </c>
      <c r="AB4282">
        <v>0</v>
      </c>
      <c r="AC4282">
        <v>1</v>
      </c>
      <c r="AD4282">
        <v>1</v>
      </c>
      <c r="AE4282">
        <v>1</v>
      </c>
      <c r="AF4282">
        <v>1</v>
      </c>
      <c r="AG4282">
        <v>1</v>
      </c>
      <c r="AH4282">
        <v>1</v>
      </c>
      <c r="AI4282">
        <v>1</v>
      </c>
      <c r="AJ4282">
        <v>1</v>
      </c>
      <c r="AK4282">
        <v>1</v>
      </c>
      <c r="AL4282">
        <v>1</v>
      </c>
      <c r="AM4282">
        <v>1</v>
      </c>
    </row>
    <row r="4283" spans="1:39" x14ac:dyDescent="0.2">
      <c r="A4283" t="str">
        <f>"4279"</f>
        <v>4279</v>
      </c>
      <c r="B4283" t="str">
        <f t="shared" si="238"/>
        <v>1</v>
      </c>
      <c r="C4283" t="str">
        <f t="shared" si="237"/>
        <v>86</v>
      </c>
      <c r="D4283" t="str">
        <f>"1"</f>
        <v>1</v>
      </c>
      <c r="E4283" t="str">
        <f>"1-86-1"</f>
        <v>1-86-1</v>
      </c>
      <c r="F4283" t="s">
        <v>65</v>
      </c>
      <c r="G4283" t="s">
        <v>66</v>
      </c>
      <c r="H4283" t="s">
        <v>68</v>
      </c>
      <c r="I4283">
        <v>1</v>
      </c>
      <c r="J4283">
        <v>0</v>
      </c>
      <c r="K4283">
        <v>0</v>
      </c>
      <c r="L4283">
        <v>1</v>
      </c>
      <c r="M4283">
        <v>0</v>
      </c>
      <c r="N4283">
        <v>1</v>
      </c>
      <c r="O4283">
        <v>0</v>
      </c>
      <c r="P4283">
        <v>0</v>
      </c>
      <c r="Q4283">
        <v>0</v>
      </c>
      <c r="R4283">
        <v>0</v>
      </c>
    </row>
    <row r="4284" spans="1:39" x14ac:dyDescent="0.2">
      <c r="A4284" t="str">
        <f>"4280"</f>
        <v>4280</v>
      </c>
      <c r="B4284" t="str">
        <f t="shared" si="238"/>
        <v>1</v>
      </c>
      <c r="C4284" t="str">
        <f t="shared" si="237"/>
        <v>86</v>
      </c>
      <c r="D4284" t="str">
        <f>"44"</f>
        <v>44</v>
      </c>
      <c r="E4284" t="str">
        <f>"1-86-44"</f>
        <v>1-86-44</v>
      </c>
      <c r="F4284" t="s">
        <v>65</v>
      </c>
      <c r="G4284" t="s">
        <v>66</v>
      </c>
      <c r="H4284" t="s">
        <v>67</v>
      </c>
      <c r="S4284">
        <v>0</v>
      </c>
      <c r="T4284">
        <v>1</v>
      </c>
      <c r="U4284">
        <v>0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0</v>
      </c>
      <c r="AB4284">
        <v>0</v>
      </c>
      <c r="AC4284">
        <v>1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</row>
    <row r="4285" spans="1:39" x14ac:dyDescent="0.2">
      <c r="A4285" t="str">
        <f>"4281"</f>
        <v>4281</v>
      </c>
      <c r="B4285" t="str">
        <f t="shared" si="238"/>
        <v>1</v>
      </c>
      <c r="C4285" t="str">
        <f t="shared" si="237"/>
        <v>86</v>
      </c>
      <c r="D4285" t="str">
        <f>"25"</f>
        <v>25</v>
      </c>
      <c r="E4285" t="str">
        <f>"1-86-25"</f>
        <v>1-86-25</v>
      </c>
      <c r="F4285" t="s">
        <v>65</v>
      </c>
      <c r="G4285" t="s">
        <v>66</v>
      </c>
      <c r="H4285" t="s">
        <v>67</v>
      </c>
      <c r="S4285">
        <v>1</v>
      </c>
      <c r="T4285">
        <v>0</v>
      </c>
      <c r="U4285">
        <v>0</v>
      </c>
      <c r="V4285">
        <v>0</v>
      </c>
      <c r="W4285">
        <v>0</v>
      </c>
      <c r="X4285">
        <v>1</v>
      </c>
      <c r="Y4285">
        <v>1</v>
      </c>
      <c r="Z4285">
        <v>0</v>
      </c>
      <c r="AA4285">
        <v>0</v>
      </c>
      <c r="AB4285">
        <v>0</v>
      </c>
      <c r="AC4285">
        <v>1</v>
      </c>
      <c r="AD4285">
        <v>1</v>
      </c>
      <c r="AE4285">
        <v>1</v>
      </c>
      <c r="AF4285">
        <v>1</v>
      </c>
      <c r="AG4285">
        <v>1</v>
      </c>
      <c r="AH4285">
        <v>1</v>
      </c>
      <c r="AI4285">
        <v>1</v>
      </c>
      <c r="AJ4285">
        <v>1</v>
      </c>
      <c r="AK4285">
        <v>1</v>
      </c>
      <c r="AL4285">
        <v>1</v>
      </c>
      <c r="AM4285">
        <v>1</v>
      </c>
    </row>
    <row r="4286" spans="1:39" x14ac:dyDescent="0.2">
      <c r="A4286" t="str">
        <f>"4282"</f>
        <v>4282</v>
      </c>
      <c r="B4286" t="str">
        <f t="shared" si="238"/>
        <v>1</v>
      </c>
      <c r="C4286" t="str">
        <f t="shared" si="237"/>
        <v>86</v>
      </c>
      <c r="D4286" t="str">
        <f>"4"</f>
        <v>4</v>
      </c>
      <c r="E4286" t="str">
        <f>"1-86-4"</f>
        <v>1-86-4</v>
      </c>
      <c r="F4286" t="s">
        <v>65</v>
      </c>
      <c r="G4286" t="s">
        <v>66</v>
      </c>
      <c r="H4286" t="s">
        <v>67</v>
      </c>
      <c r="S4286">
        <v>0</v>
      </c>
      <c r="T4286">
        <v>1</v>
      </c>
      <c r="U4286">
        <v>0</v>
      </c>
      <c r="V4286">
        <v>0</v>
      </c>
      <c r="W4286">
        <v>1</v>
      </c>
      <c r="X4286">
        <v>0</v>
      </c>
      <c r="Y4286">
        <v>1</v>
      </c>
      <c r="Z4286">
        <v>0</v>
      </c>
      <c r="AA4286">
        <v>0</v>
      </c>
      <c r="AB4286">
        <v>0</v>
      </c>
      <c r="AC4286">
        <v>1</v>
      </c>
      <c r="AD4286">
        <v>1</v>
      </c>
      <c r="AE4286">
        <v>1</v>
      </c>
      <c r="AF4286">
        <v>1</v>
      </c>
      <c r="AG4286">
        <v>1</v>
      </c>
      <c r="AH4286">
        <v>1</v>
      </c>
      <c r="AI4286">
        <v>1</v>
      </c>
      <c r="AJ4286">
        <v>1</v>
      </c>
      <c r="AK4286">
        <v>1</v>
      </c>
      <c r="AL4286">
        <v>1</v>
      </c>
      <c r="AM4286">
        <v>1</v>
      </c>
    </row>
    <row r="4287" spans="1:39" x14ac:dyDescent="0.2">
      <c r="A4287" t="str">
        <f>"4283"</f>
        <v>4283</v>
      </c>
      <c r="B4287" t="str">
        <f t="shared" si="238"/>
        <v>1</v>
      </c>
      <c r="C4287" t="str">
        <f t="shared" ref="C4287:C4304" si="239">"86"</f>
        <v>86</v>
      </c>
      <c r="D4287" t="str">
        <f>"46"</f>
        <v>46</v>
      </c>
      <c r="E4287" t="str">
        <f>"1-86-46"</f>
        <v>1-86-46</v>
      </c>
      <c r="F4287" t="s">
        <v>65</v>
      </c>
      <c r="G4287" t="s">
        <v>66</v>
      </c>
      <c r="H4287" t="s">
        <v>67</v>
      </c>
      <c r="S4287">
        <v>1</v>
      </c>
      <c r="T4287">
        <v>0</v>
      </c>
      <c r="U4287">
        <v>0</v>
      </c>
      <c r="V4287">
        <v>0</v>
      </c>
      <c r="W4287">
        <v>1</v>
      </c>
      <c r="X4287">
        <v>0</v>
      </c>
      <c r="Y4287">
        <v>1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1</v>
      </c>
      <c r="AF4287">
        <v>1</v>
      </c>
      <c r="AG4287">
        <v>1</v>
      </c>
      <c r="AH4287">
        <v>1</v>
      </c>
      <c r="AI4287">
        <v>1</v>
      </c>
      <c r="AJ4287">
        <v>1</v>
      </c>
      <c r="AK4287">
        <v>1</v>
      </c>
      <c r="AL4287">
        <v>1</v>
      </c>
      <c r="AM4287">
        <v>1</v>
      </c>
    </row>
    <row r="4288" spans="1:39" x14ac:dyDescent="0.2">
      <c r="A4288" t="str">
        <f>"4284"</f>
        <v>4284</v>
      </c>
      <c r="B4288" t="str">
        <f t="shared" si="238"/>
        <v>1</v>
      </c>
      <c r="C4288" t="str">
        <f t="shared" si="239"/>
        <v>86</v>
      </c>
      <c r="D4288" t="str">
        <f>"27"</f>
        <v>27</v>
      </c>
      <c r="E4288" t="str">
        <f>"1-86-27"</f>
        <v>1-86-27</v>
      </c>
      <c r="F4288" t="s">
        <v>65</v>
      </c>
      <c r="G4288" t="s">
        <v>66</v>
      </c>
      <c r="H4288" t="s">
        <v>67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1</v>
      </c>
      <c r="Y4288">
        <v>1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</row>
    <row r="4289" spans="1:39" x14ac:dyDescent="0.2">
      <c r="A4289" t="str">
        <f>"4285"</f>
        <v>4285</v>
      </c>
      <c r="B4289" t="str">
        <f t="shared" si="238"/>
        <v>1</v>
      </c>
      <c r="C4289" t="str">
        <f t="shared" si="239"/>
        <v>86</v>
      </c>
      <c r="D4289" t="str">
        <f>"8"</f>
        <v>8</v>
      </c>
      <c r="E4289" t="str">
        <f>"1-86-8"</f>
        <v>1-86-8</v>
      </c>
      <c r="F4289" t="s">
        <v>65</v>
      </c>
      <c r="G4289" t="s">
        <v>66</v>
      </c>
      <c r="H4289" t="s">
        <v>67</v>
      </c>
      <c r="S4289">
        <v>0</v>
      </c>
      <c r="T4289">
        <v>1</v>
      </c>
      <c r="U4289">
        <v>0</v>
      </c>
      <c r="V4289">
        <v>0</v>
      </c>
      <c r="W4289">
        <v>1</v>
      </c>
      <c r="X4289">
        <v>0</v>
      </c>
      <c r="Y4289">
        <v>0</v>
      </c>
      <c r="Z4289">
        <v>1</v>
      </c>
      <c r="AA4289">
        <v>0</v>
      </c>
      <c r="AB4289">
        <v>0</v>
      </c>
      <c r="AC4289">
        <v>1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</row>
    <row r="4290" spans="1:39" x14ac:dyDescent="0.2">
      <c r="A4290" t="str">
        <f>"4286"</f>
        <v>4286</v>
      </c>
      <c r="B4290" t="str">
        <f t="shared" si="238"/>
        <v>1</v>
      </c>
      <c r="C4290" t="str">
        <f t="shared" si="239"/>
        <v>86</v>
      </c>
      <c r="D4290" t="str">
        <f>"47"</f>
        <v>47</v>
      </c>
      <c r="E4290" t="str">
        <f>"1-86-47"</f>
        <v>1-86-47</v>
      </c>
      <c r="F4290" t="s">
        <v>65</v>
      </c>
      <c r="G4290" t="s">
        <v>66</v>
      </c>
      <c r="H4290" t="s">
        <v>67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1</v>
      </c>
      <c r="AE4290">
        <v>1</v>
      </c>
      <c r="AF4290">
        <v>1</v>
      </c>
      <c r="AG4290">
        <v>1</v>
      </c>
      <c r="AH4290">
        <v>1</v>
      </c>
      <c r="AI4290">
        <v>1</v>
      </c>
      <c r="AJ4290">
        <v>1</v>
      </c>
      <c r="AK4290">
        <v>1</v>
      </c>
      <c r="AL4290">
        <v>1</v>
      </c>
      <c r="AM4290">
        <v>1</v>
      </c>
    </row>
    <row r="4291" spans="1:39" x14ac:dyDescent="0.2">
      <c r="A4291" t="str">
        <f>"4287"</f>
        <v>4287</v>
      </c>
      <c r="B4291" t="str">
        <f t="shared" si="238"/>
        <v>1</v>
      </c>
      <c r="C4291" t="str">
        <f t="shared" si="239"/>
        <v>86</v>
      </c>
      <c r="D4291" t="str">
        <f>"28"</f>
        <v>28</v>
      </c>
      <c r="E4291" t="str">
        <f>"1-86-28"</f>
        <v>1-86-28</v>
      </c>
      <c r="F4291" t="s">
        <v>65</v>
      </c>
      <c r="G4291" t="s">
        <v>66</v>
      </c>
      <c r="H4291" t="s">
        <v>67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1</v>
      </c>
      <c r="Y4291">
        <v>1</v>
      </c>
      <c r="Z4291">
        <v>0</v>
      </c>
      <c r="AA4291">
        <v>0</v>
      </c>
      <c r="AB4291">
        <v>0</v>
      </c>
      <c r="AC4291">
        <v>1</v>
      </c>
      <c r="AD4291">
        <v>1</v>
      </c>
      <c r="AE4291">
        <v>1</v>
      </c>
      <c r="AF4291">
        <v>1</v>
      </c>
      <c r="AG4291">
        <v>1</v>
      </c>
      <c r="AH4291">
        <v>1</v>
      </c>
      <c r="AI4291">
        <v>1</v>
      </c>
      <c r="AJ4291">
        <v>1</v>
      </c>
      <c r="AK4291">
        <v>1</v>
      </c>
      <c r="AL4291">
        <v>1</v>
      </c>
      <c r="AM4291">
        <v>1</v>
      </c>
    </row>
    <row r="4292" spans="1:39" x14ac:dyDescent="0.2">
      <c r="A4292" t="str">
        <f>"4288"</f>
        <v>4288</v>
      </c>
      <c r="B4292" t="str">
        <f t="shared" si="238"/>
        <v>1</v>
      </c>
      <c r="C4292" t="str">
        <f t="shared" si="239"/>
        <v>86</v>
      </c>
      <c r="D4292" t="str">
        <f>"12"</f>
        <v>12</v>
      </c>
      <c r="E4292" t="str">
        <f>"1-86-12"</f>
        <v>1-86-12</v>
      </c>
      <c r="F4292" t="s">
        <v>65</v>
      </c>
      <c r="G4292" t="s">
        <v>66</v>
      </c>
      <c r="H4292" t="s">
        <v>67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1</v>
      </c>
      <c r="AI4292">
        <v>0</v>
      </c>
      <c r="AJ4292">
        <v>0</v>
      </c>
      <c r="AK4292">
        <v>0</v>
      </c>
      <c r="AL4292">
        <v>0</v>
      </c>
      <c r="AM4292">
        <v>0</v>
      </c>
    </row>
    <row r="4293" spans="1:39" x14ac:dyDescent="0.2">
      <c r="A4293" t="str">
        <f>"4289"</f>
        <v>4289</v>
      </c>
      <c r="B4293" t="str">
        <f t="shared" si="238"/>
        <v>1</v>
      </c>
      <c r="C4293" t="str">
        <f t="shared" si="239"/>
        <v>86</v>
      </c>
      <c r="D4293" t="str">
        <f>"45"</f>
        <v>45</v>
      </c>
      <c r="E4293" t="str">
        <f>"1-86-45"</f>
        <v>1-86-45</v>
      </c>
      <c r="F4293" t="s">
        <v>65</v>
      </c>
      <c r="G4293" t="s">
        <v>66</v>
      </c>
      <c r="H4293" t="s">
        <v>67</v>
      </c>
      <c r="S4293">
        <v>1</v>
      </c>
      <c r="T4293">
        <v>0</v>
      </c>
      <c r="U4293">
        <v>0</v>
      </c>
      <c r="V4293">
        <v>0</v>
      </c>
      <c r="W4293">
        <v>1</v>
      </c>
      <c r="X4293">
        <v>0</v>
      </c>
      <c r="Y4293">
        <v>1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1</v>
      </c>
      <c r="AF4293">
        <v>1</v>
      </c>
      <c r="AG4293">
        <v>1</v>
      </c>
      <c r="AH4293">
        <v>1</v>
      </c>
      <c r="AI4293">
        <v>1</v>
      </c>
      <c r="AJ4293">
        <v>1</v>
      </c>
      <c r="AK4293">
        <v>1</v>
      </c>
      <c r="AL4293">
        <v>1</v>
      </c>
      <c r="AM4293">
        <v>1</v>
      </c>
    </row>
    <row r="4294" spans="1:39" x14ac:dyDescent="0.2">
      <c r="A4294" t="str">
        <f>"4290"</f>
        <v>4290</v>
      </c>
      <c r="B4294" t="str">
        <f t="shared" si="238"/>
        <v>1</v>
      </c>
      <c r="C4294" t="str">
        <f t="shared" si="239"/>
        <v>86</v>
      </c>
      <c r="D4294" t="str">
        <f>"29"</f>
        <v>29</v>
      </c>
      <c r="E4294" t="str">
        <f>"1-86-29"</f>
        <v>1-86-29</v>
      </c>
      <c r="F4294" t="s">
        <v>65</v>
      </c>
      <c r="G4294" t="s">
        <v>66</v>
      </c>
      <c r="H4294" t="s">
        <v>67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1</v>
      </c>
      <c r="Y4294">
        <v>1</v>
      </c>
      <c r="Z4294">
        <v>0</v>
      </c>
      <c r="AA4294">
        <v>0</v>
      </c>
      <c r="AB4294">
        <v>1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1</v>
      </c>
      <c r="AI4294">
        <v>1</v>
      </c>
      <c r="AJ4294">
        <v>0</v>
      </c>
      <c r="AK4294">
        <v>0</v>
      </c>
      <c r="AL4294">
        <v>1</v>
      </c>
      <c r="AM4294">
        <v>0</v>
      </c>
    </row>
    <row r="4295" spans="1:39" x14ac:dyDescent="0.2">
      <c r="A4295" t="str">
        <f>"4291"</f>
        <v>4291</v>
      </c>
      <c r="B4295" t="str">
        <f t="shared" si="238"/>
        <v>1</v>
      </c>
      <c r="C4295" t="str">
        <f t="shared" si="239"/>
        <v>86</v>
      </c>
      <c r="D4295" t="str">
        <f>"10"</f>
        <v>10</v>
      </c>
      <c r="E4295" t="str">
        <f>"1-86-10"</f>
        <v>1-86-10</v>
      </c>
      <c r="F4295" t="s">
        <v>65</v>
      </c>
      <c r="G4295" t="s">
        <v>66</v>
      </c>
      <c r="H4295" t="s">
        <v>67</v>
      </c>
      <c r="S4295">
        <v>0</v>
      </c>
      <c r="T4295">
        <v>1</v>
      </c>
      <c r="U4295">
        <v>0</v>
      </c>
      <c r="V4295">
        <v>0</v>
      </c>
      <c r="W4295">
        <v>1</v>
      </c>
      <c r="X4295">
        <v>0</v>
      </c>
      <c r="Y4295">
        <v>1</v>
      </c>
      <c r="Z4295">
        <v>0</v>
      </c>
      <c r="AA4295">
        <v>0</v>
      </c>
      <c r="AB4295">
        <v>1</v>
      </c>
      <c r="AC4295">
        <v>0</v>
      </c>
      <c r="AD4295">
        <v>1</v>
      </c>
      <c r="AE4295">
        <v>1</v>
      </c>
      <c r="AF4295">
        <v>1</v>
      </c>
      <c r="AG4295">
        <v>1</v>
      </c>
      <c r="AH4295">
        <v>0</v>
      </c>
      <c r="AI4295">
        <v>1</v>
      </c>
      <c r="AJ4295">
        <v>1</v>
      </c>
      <c r="AK4295">
        <v>1</v>
      </c>
      <c r="AL4295">
        <v>1</v>
      </c>
      <c r="AM4295">
        <v>1</v>
      </c>
    </row>
    <row r="4296" spans="1:39" x14ac:dyDescent="0.2">
      <c r="A4296" t="str">
        <f>"4292"</f>
        <v>4292</v>
      </c>
      <c r="B4296" t="str">
        <f t="shared" si="238"/>
        <v>1</v>
      </c>
      <c r="C4296" t="str">
        <f t="shared" si="239"/>
        <v>86</v>
      </c>
      <c r="D4296" t="str">
        <f>"49"</f>
        <v>49</v>
      </c>
      <c r="E4296" t="str">
        <f>"1-86-49"</f>
        <v>1-86-49</v>
      </c>
      <c r="F4296" t="s">
        <v>65</v>
      </c>
      <c r="G4296" t="s">
        <v>66</v>
      </c>
      <c r="H4296" t="s">
        <v>67</v>
      </c>
      <c r="S4296">
        <v>1</v>
      </c>
      <c r="T4296">
        <v>0</v>
      </c>
      <c r="U4296">
        <v>0</v>
      </c>
      <c r="V4296">
        <v>0</v>
      </c>
      <c r="W4296">
        <v>0</v>
      </c>
      <c r="X4296">
        <v>1</v>
      </c>
      <c r="Y4296">
        <v>1</v>
      </c>
      <c r="Z4296">
        <v>0</v>
      </c>
      <c r="AA4296">
        <v>0</v>
      </c>
      <c r="AB4296">
        <v>0</v>
      </c>
      <c r="AC4296">
        <v>1</v>
      </c>
      <c r="AD4296">
        <v>1</v>
      </c>
      <c r="AE4296">
        <v>1</v>
      </c>
      <c r="AF4296">
        <v>1</v>
      </c>
      <c r="AG4296">
        <v>1</v>
      </c>
      <c r="AH4296">
        <v>1</v>
      </c>
      <c r="AI4296">
        <v>1</v>
      </c>
      <c r="AJ4296">
        <v>1</v>
      </c>
      <c r="AK4296">
        <v>1</v>
      </c>
      <c r="AL4296">
        <v>1</v>
      </c>
      <c r="AM4296">
        <v>1</v>
      </c>
    </row>
    <row r="4297" spans="1:39" x14ac:dyDescent="0.2">
      <c r="A4297" t="str">
        <f>"4293"</f>
        <v>4293</v>
      </c>
      <c r="B4297" t="str">
        <f t="shared" si="238"/>
        <v>1</v>
      </c>
      <c r="C4297" t="str">
        <f t="shared" si="239"/>
        <v>86</v>
      </c>
      <c r="D4297" t="str">
        <f>"30"</f>
        <v>30</v>
      </c>
      <c r="E4297" t="str">
        <f>"1-86-30"</f>
        <v>1-86-30</v>
      </c>
      <c r="F4297" t="s">
        <v>65</v>
      </c>
      <c r="G4297" t="s">
        <v>66</v>
      </c>
      <c r="H4297" t="s">
        <v>67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1</v>
      </c>
      <c r="AE4297">
        <v>1</v>
      </c>
      <c r="AF4297">
        <v>1</v>
      </c>
      <c r="AG4297">
        <v>1</v>
      </c>
      <c r="AH4297">
        <v>1</v>
      </c>
      <c r="AI4297">
        <v>1</v>
      </c>
      <c r="AJ4297">
        <v>1</v>
      </c>
      <c r="AK4297">
        <v>1</v>
      </c>
      <c r="AL4297">
        <v>1</v>
      </c>
      <c r="AM4297">
        <v>1</v>
      </c>
    </row>
    <row r="4298" spans="1:39" x14ac:dyDescent="0.2">
      <c r="A4298" t="str">
        <f>"4294"</f>
        <v>4294</v>
      </c>
      <c r="B4298" t="str">
        <f t="shared" si="238"/>
        <v>1</v>
      </c>
      <c r="C4298" t="str">
        <f t="shared" si="239"/>
        <v>86</v>
      </c>
      <c r="D4298" t="str">
        <f>"6"</f>
        <v>6</v>
      </c>
      <c r="E4298" t="str">
        <f>"1-86-6"</f>
        <v>1-86-6</v>
      </c>
      <c r="F4298" t="s">
        <v>65</v>
      </c>
      <c r="G4298" t="s">
        <v>66</v>
      </c>
      <c r="H4298" t="s">
        <v>67</v>
      </c>
      <c r="S4298">
        <v>1</v>
      </c>
      <c r="T4298">
        <v>0</v>
      </c>
      <c r="U4298">
        <v>0</v>
      </c>
      <c r="V4298">
        <v>0</v>
      </c>
      <c r="W4298">
        <v>1</v>
      </c>
      <c r="X4298">
        <v>0</v>
      </c>
      <c r="Y4298">
        <v>0</v>
      </c>
      <c r="Z4298">
        <v>1</v>
      </c>
      <c r="AA4298">
        <v>1</v>
      </c>
      <c r="AB4298">
        <v>0</v>
      </c>
      <c r="AC4298">
        <v>0</v>
      </c>
      <c r="AD4298">
        <v>1</v>
      </c>
      <c r="AE4298">
        <v>1</v>
      </c>
      <c r="AF4298">
        <v>1</v>
      </c>
      <c r="AG4298">
        <v>1</v>
      </c>
      <c r="AH4298">
        <v>1</v>
      </c>
      <c r="AI4298">
        <v>1</v>
      </c>
      <c r="AJ4298">
        <v>1</v>
      </c>
      <c r="AK4298">
        <v>1</v>
      </c>
      <c r="AL4298">
        <v>1</v>
      </c>
      <c r="AM4298">
        <v>1</v>
      </c>
    </row>
    <row r="4299" spans="1:39" x14ac:dyDescent="0.2">
      <c r="A4299" t="str">
        <f>"4295"</f>
        <v>4295</v>
      </c>
      <c r="B4299" t="str">
        <f t="shared" si="238"/>
        <v>1</v>
      </c>
      <c r="C4299" t="str">
        <f t="shared" si="239"/>
        <v>86</v>
      </c>
      <c r="D4299" t="str">
        <f>"48"</f>
        <v>48</v>
      </c>
      <c r="E4299" t="str">
        <f>"1-86-48"</f>
        <v>1-86-48</v>
      </c>
      <c r="F4299" t="s">
        <v>65</v>
      </c>
      <c r="G4299" t="s">
        <v>66</v>
      </c>
      <c r="H4299" t="s">
        <v>67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</row>
    <row r="4300" spans="1:39" x14ac:dyDescent="0.2">
      <c r="A4300" t="str">
        <f>"4296"</f>
        <v>4296</v>
      </c>
      <c r="B4300" t="str">
        <f t="shared" si="238"/>
        <v>1</v>
      </c>
      <c r="C4300" t="str">
        <f t="shared" si="239"/>
        <v>86</v>
      </c>
      <c r="D4300" t="str">
        <f>"31"</f>
        <v>31</v>
      </c>
      <c r="E4300" t="str">
        <f>"1-86-31"</f>
        <v>1-86-31</v>
      </c>
      <c r="F4300" t="s">
        <v>65</v>
      </c>
      <c r="G4300" t="s">
        <v>66</v>
      </c>
      <c r="H4300" t="s">
        <v>67</v>
      </c>
      <c r="S4300">
        <v>0</v>
      </c>
      <c r="T4300">
        <v>1</v>
      </c>
      <c r="U4300">
        <v>0</v>
      </c>
      <c r="V4300">
        <v>0</v>
      </c>
      <c r="W4300">
        <v>1</v>
      </c>
      <c r="X4300">
        <v>0</v>
      </c>
      <c r="Y4300">
        <v>0</v>
      </c>
      <c r="Z4300">
        <v>1</v>
      </c>
      <c r="AA4300">
        <v>0</v>
      </c>
      <c r="AB4300">
        <v>0</v>
      </c>
      <c r="AC4300">
        <v>1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</row>
    <row r="4301" spans="1:39" x14ac:dyDescent="0.2">
      <c r="A4301" t="str">
        <f>"4297"</f>
        <v>4297</v>
      </c>
      <c r="B4301" t="str">
        <f t="shared" si="238"/>
        <v>1</v>
      </c>
      <c r="C4301" t="str">
        <f t="shared" si="239"/>
        <v>86</v>
      </c>
      <c r="D4301" t="str">
        <f>"11"</f>
        <v>11</v>
      </c>
      <c r="E4301" t="str">
        <f>"1-86-11"</f>
        <v>1-86-11</v>
      </c>
      <c r="F4301" t="s">
        <v>65</v>
      </c>
      <c r="G4301" t="s">
        <v>66</v>
      </c>
      <c r="H4301" t="s">
        <v>67</v>
      </c>
      <c r="S4301">
        <v>1</v>
      </c>
      <c r="T4301">
        <v>0</v>
      </c>
      <c r="U4301">
        <v>0</v>
      </c>
      <c r="V4301">
        <v>0</v>
      </c>
      <c r="W4301">
        <v>1</v>
      </c>
      <c r="X4301">
        <v>0</v>
      </c>
      <c r="Y4301">
        <v>0</v>
      </c>
      <c r="Z4301">
        <v>1</v>
      </c>
      <c r="AA4301">
        <v>0</v>
      </c>
      <c r="AB4301">
        <v>0</v>
      </c>
      <c r="AC4301">
        <v>1</v>
      </c>
      <c r="AD4301">
        <v>1</v>
      </c>
      <c r="AE4301">
        <v>1</v>
      </c>
      <c r="AF4301">
        <v>1</v>
      </c>
      <c r="AG4301">
        <v>1</v>
      </c>
      <c r="AH4301">
        <v>1</v>
      </c>
      <c r="AI4301">
        <v>1</v>
      </c>
      <c r="AJ4301">
        <v>1</v>
      </c>
      <c r="AK4301">
        <v>1</v>
      </c>
      <c r="AL4301">
        <v>1</v>
      </c>
      <c r="AM4301">
        <v>1</v>
      </c>
    </row>
    <row r="4302" spans="1:39" x14ac:dyDescent="0.2">
      <c r="A4302" t="str">
        <f>"4298"</f>
        <v>4298</v>
      </c>
      <c r="B4302" t="str">
        <f t="shared" si="238"/>
        <v>1</v>
      </c>
      <c r="C4302" t="str">
        <f t="shared" si="239"/>
        <v>86</v>
      </c>
      <c r="D4302" t="str">
        <f>"32"</f>
        <v>32</v>
      </c>
      <c r="E4302" t="str">
        <f>"1-86-32"</f>
        <v>1-86-32</v>
      </c>
      <c r="F4302" t="s">
        <v>65</v>
      </c>
      <c r="G4302" t="s">
        <v>66</v>
      </c>
      <c r="H4302" t="s">
        <v>67</v>
      </c>
      <c r="S4302">
        <v>1</v>
      </c>
      <c r="T4302">
        <v>0</v>
      </c>
      <c r="U4302">
        <v>0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</row>
    <row r="4303" spans="1:39" x14ac:dyDescent="0.2">
      <c r="A4303" t="str">
        <f>"4299"</f>
        <v>4299</v>
      </c>
      <c r="B4303" t="str">
        <f t="shared" si="238"/>
        <v>1</v>
      </c>
      <c r="C4303" t="str">
        <f t="shared" si="239"/>
        <v>86</v>
      </c>
      <c r="D4303" t="str">
        <f>"14"</f>
        <v>14</v>
      </c>
      <c r="E4303" t="str">
        <f>"1-86-14"</f>
        <v>1-86-14</v>
      </c>
      <c r="F4303" t="s">
        <v>65</v>
      </c>
      <c r="G4303" t="s">
        <v>66</v>
      </c>
      <c r="H4303" t="s">
        <v>67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1</v>
      </c>
      <c r="AI4303">
        <v>1</v>
      </c>
      <c r="AJ4303">
        <v>1</v>
      </c>
      <c r="AK4303">
        <v>1</v>
      </c>
      <c r="AL4303">
        <v>1</v>
      </c>
      <c r="AM4303">
        <v>1</v>
      </c>
    </row>
    <row r="4304" spans="1:39" x14ac:dyDescent="0.2">
      <c r="A4304" t="str">
        <f>"4300"</f>
        <v>4300</v>
      </c>
      <c r="B4304" t="str">
        <f t="shared" si="238"/>
        <v>1</v>
      </c>
      <c r="C4304" t="str">
        <f t="shared" si="239"/>
        <v>86</v>
      </c>
      <c r="D4304" t="str">
        <f>"50"</f>
        <v>50</v>
      </c>
      <c r="E4304" t="str">
        <f>"1-86-50"</f>
        <v>1-86-50</v>
      </c>
      <c r="F4304" t="s">
        <v>65</v>
      </c>
      <c r="G4304" t="s">
        <v>66</v>
      </c>
      <c r="H4304" t="s">
        <v>67</v>
      </c>
      <c r="S4304">
        <v>0</v>
      </c>
      <c r="T4304">
        <v>1</v>
      </c>
      <c r="U4304">
        <v>0</v>
      </c>
      <c r="V4304">
        <v>0</v>
      </c>
      <c r="W4304">
        <v>0</v>
      </c>
      <c r="X4304">
        <v>1</v>
      </c>
      <c r="Y4304">
        <v>0</v>
      </c>
      <c r="Z4304">
        <v>1</v>
      </c>
      <c r="AA4304">
        <v>0</v>
      </c>
      <c r="AB4304">
        <v>1</v>
      </c>
      <c r="AC4304">
        <v>0</v>
      </c>
      <c r="AD4304">
        <v>1</v>
      </c>
      <c r="AE4304">
        <v>1</v>
      </c>
      <c r="AF4304">
        <v>1</v>
      </c>
      <c r="AG4304">
        <v>1</v>
      </c>
      <c r="AH4304">
        <v>1</v>
      </c>
      <c r="AI4304">
        <v>1</v>
      </c>
      <c r="AJ4304">
        <v>1</v>
      </c>
      <c r="AK4304">
        <v>1</v>
      </c>
      <c r="AL4304">
        <v>1</v>
      </c>
      <c r="AM4304">
        <v>1</v>
      </c>
    </row>
    <row r="4305" spans="1:39" x14ac:dyDescent="0.2">
      <c r="A4305" t="str">
        <f>"4301"</f>
        <v>4301</v>
      </c>
      <c r="B4305" t="str">
        <f t="shared" si="238"/>
        <v>1</v>
      </c>
      <c r="C4305" t="str">
        <f t="shared" ref="C4305:C4336" si="240">"87"</f>
        <v>87</v>
      </c>
      <c r="D4305" t="str">
        <f>"42"</f>
        <v>42</v>
      </c>
      <c r="E4305" t="str">
        <f>"1-87-42"</f>
        <v>1-87-42</v>
      </c>
      <c r="F4305" t="s">
        <v>65</v>
      </c>
      <c r="G4305" t="s">
        <v>66</v>
      </c>
      <c r="H4305" t="s">
        <v>67</v>
      </c>
      <c r="S4305">
        <v>0</v>
      </c>
      <c r="T4305">
        <v>1</v>
      </c>
      <c r="U4305">
        <v>0</v>
      </c>
      <c r="V4305">
        <v>0</v>
      </c>
      <c r="W4305">
        <v>1</v>
      </c>
      <c r="X4305">
        <v>0</v>
      </c>
      <c r="Y4305">
        <v>1</v>
      </c>
      <c r="Z4305">
        <v>0</v>
      </c>
      <c r="AA4305">
        <v>0</v>
      </c>
      <c r="AB4305">
        <v>1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1</v>
      </c>
      <c r="AI4305">
        <v>1</v>
      </c>
      <c r="AJ4305">
        <v>0</v>
      </c>
      <c r="AK4305">
        <v>0</v>
      </c>
      <c r="AL4305">
        <v>1</v>
      </c>
      <c r="AM4305">
        <v>0</v>
      </c>
    </row>
    <row r="4306" spans="1:39" x14ac:dyDescent="0.2">
      <c r="A4306" t="str">
        <f>"4302"</f>
        <v>4302</v>
      </c>
      <c r="B4306" t="str">
        <f t="shared" si="238"/>
        <v>1</v>
      </c>
      <c r="C4306" t="str">
        <f t="shared" si="240"/>
        <v>87</v>
      </c>
      <c r="D4306" t="str">
        <f>"41"</f>
        <v>41</v>
      </c>
      <c r="E4306" t="str">
        <f>"1-87-41"</f>
        <v>1-87-41</v>
      </c>
      <c r="F4306" t="s">
        <v>65</v>
      </c>
      <c r="G4306" t="s">
        <v>66</v>
      </c>
      <c r="H4306" t="s">
        <v>67</v>
      </c>
      <c r="S4306">
        <v>1</v>
      </c>
      <c r="T4306">
        <v>0</v>
      </c>
      <c r="U4306">
        <v>0</v>
      </c>
      <c r="V4306">
        <v>0</v>
      </c>
      <c r="W4306">
        <v>1</v>
      </c>
      <c r="X4306">
        <v>0</v>
      </c>
      <c r="Y4306">
        <v>1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1</v>
      </c>
      <c r="AF4306">
        <v>1</v>
      </c>
      <c r="AG4306">
        <v>1</v>
      </c>
      <c r="AH4306">
        <v>1</v>
      </c>
      <c r="AI4306">
        <v>1</v>
      </c>
      <c r="AJ4306">
        <v>1</v>
      </c>
      <c r="AK4306">
        <v>1</v>
      </c>
      <c r="AL4306">
        <v>1</v>
      </c>
      <c r="AM4306">
        <v>1</v>
      </c>
    </row>
    <row r="4307" spans="1:39" x14ac:dyDescent="0.2">
      <c r="A4307" t="str">
        <f>"4303"</f>
        <v>4303</v>
      </c>
      <c r="B4307" t="str">
        <f t="shared" si="238"/>
        <v>1</v>
      </c>
      <c r="C4307" t="str">
        <f t="shared" si="240"/>
        <v>87</v>
      </c>
      <c r="D4307" t="str">
        <f>"21"</f>
        <v>21</v>
      </c>
      <c r="E4307" t="str">
        <f>"1-87-21"</f>
        <v>1-87-21</v>
      </c>
      <c r="F4307" t="s">
        <v>65</v>
      </c>
      <c r="G4307" t="s">
        <v>66</v>
      </c>
      <c r="H4307" t="s">
        <v>67</v>
      </c>
      <c r="S4307">
        <v>1</v>
      </c>
      <c r="T4307">
        <v>0</v>
      </c>
      <c r="U4307">
        <v>0</v>
      </c>
      <c r="V4307">
        <v>0</v>
      </c>
      <c r="W4307">
        <v>1</v>
      </c>
      <c r="X4307">
        <v>0</v>
      </c>
      <c r="Y4307">
        <v>0</v>
      </c>
      <c r="Z4307">
        <v>1</v>
      </c>
      <c r="AA4307">
        <v>1</v>
      </c>
      <c r="AB4307">
        <v>0</v>
      </c>
      <c r="AC4307">
        <v>0</v>
      </c>
      <c r="AD4307">
        <v>1</v>
      </c>
      <c r="AE4307">
        <v>1</v>
      </c>
      <c r="AF4307">
        <v>1</v>
      </c>
      <c r="AG4307">
        <v>1</v>
      </c>
      <c r="AH4307">
        <v>1</v>
      </c>
      <c r="AI4307">
        <v>1</v>
      </c>
      <c r="AJ4307">
        <v>1</v>
      </c>
      <c r="AK4307">
        <v>1</v>
      </c>
      <c r="AL4307">
        <v>1</v>
      </c>
      <c r="AM4307">
        <v>1</v>
      </c>
    </row>
    <row r="4308" spans="1:39" x14ac:dyDescent="0.2">
      <c r="A4308" t="str">
        <f>"4304"</f>
        <v>4304</v>
      </c>
      <c r="B4308" t="str">
        <f t="shared" si="238"/>
        <v>1</v>
      </c>
      <c r="C4308" t="str">
        <f t="shared" si="240"/>
        <v>87</v>
      </c>
      <c r="D4308" t="str">
        <f>"15"</f>
        <v>15</v>
      </c>
      <c r="E4308" t="str">
        <f>"1-87-15"</f>
        <v>1-87-15</v>
      </c>
      <c r="F4308" t="s">
        <v>65</v>
      </c>
      <c r="G4308" t="s">
        <v>66</v>
      </c>
      <c r="H4308" t="s">
        <v>67</v>
      </c>
      <c r="S4308">
        <v>0</v>
      </c>
      <c r="T4308">
        <v>1</v>
      </c>
      <c r="U4308">
        <v>0</v>
      </c>
      <c r="V4308">
        <v>0</v>
      </c>
      <c r="W4308">
        <v>1</v>
      </c>
      <c r="X4308">
        <v>0</v>
      </c>
      <c r="Y4308">
        <v>1</v>
      </c>
      <c r="Z4308">
        <v>0</v>
      </c>
      <c r="AA4308">
        <v>0</v>
      </c>
      <c r="AB4308">
        <v>0</v>
      </c>
      <c r="AC4308">
        <v>1</v>
      </c>
      <c r="AD4308">
        <v>1</v>
      </c>
      <c r="AE4308">
        <v>1</v>
      </c>
      <c r="AF4308">
        <v>1</v>
      </c>
      <c r="AG4308">
        <v>1</v>
      </c>
      <c r="AH4308">
        <v>1</v>
      </c>
      <c r="AI4308">
        <v>1</v>
      </c>
      <c r="AJ4308">
        <v>1</v>
      </c>
      <c r="AK4308">
        <v>1</v>
      </c>
      <c r="AL4308">
        <v>1</v>
      </c>
      <c r="AM4308">
        <v>1</v>
      </c>
    </row>
    <row r="4309" spans="1:39" x14ac:dyDescent="0.2">
      <c r="A4309" t="str">
        <f>"4305"</f>
        <v>4305</v>
      </c>
      <c r="B4309" t="str">
        <f t="shared" si="238"/>
        <v>1</v>
      </c>
      <c r="C4309" t="str">
        <f t="shared" si="240"/>
        <v>87</v>
      </c>
      <c r="D4309" t="str">
        <f>"3"</f>
        <v>3</v>
      </c>
      <c r="E4309" t="str">
        <f>"1-87-3"</f>
        <v>1-87-3</v>
      </c>
      <c r="F4309" t="s">
        <v>65</v>
      </c>
      <c r="G4309" t="s">
        <v>66</v>
      </c>
      <c r="H4309" t="s">
        <v>67</v>
      </c>
      <c r="S4309">
        <v>0</v>
      </c>
      <c r="T4309">
        <v>1</v>
      </c>
      <c r="U4309">
        <v>0</v>
      </c>
      <c r="V4309">
        <v>0</v>
      </c>
      <c r="W4309">
        <v>1</v>
      </c>
      <c r="X4309">
        <v>0</v>
      </c>
      <c r="Y4309">
        <v>1</v>
      </c>
      <c r="Z4309">
        <v>0</v>
      </c>
      <c r="AA4309">
        <v>0</v>
      </c>
      <c r="AB4309">
        <v>0</v>
      </c>
      <c r="AC4309">
        <v>1</v>
      </c>
      <c r="AD4309">
        <v>0</v>
      </c>
      <c r="AE4309">
        <v>0</v>
      </c>
      <c r="AF4309">
        <v>0</v>
      </c>
      <c r="AG4309">
        <v>1</v>
      </c>
      <c r="AH4309">
        <v>0</v>
      </c>
      <c r="AI4309">
        <v>1</v>
      </c>
      <c r="AJ4309">
        <v>1</v>
      </c>
      <c r="AK4309">
        <v>1</v>
      </c>
      <c r="AL4309">
        <v>1</v>
      </c>
      <c r="AM4309">
        <v>1</v>
      </c>
    </row>
    <row r="4310" spans="1:39" x14ac:dyDescent="0.2">
      <c r="A4310" t="str">
        <f>"4306"</f>
        <v>4306</v>
      </c>
      <c r="B4310" t="str">
        <f t="shared" si="238"/>
        <v>1</v>
      </c>
      <c r="C4310" t="str">
        <f t="shared" si="240"/>
        <v>87</v>
      </c>
      <c r="D4310" t="str">
        <f>"38"</f>
        <v>38</v>
      </c>
      <c r="E4310" t="str">
        <f>"1-87-38"</f>
        <v>1-87-38</v>
      </c>
      <c r="F4310" t="s">
        <v>65</v>
      </c>
      <c r="G4310" t="s">
        <v>66</v>
      </c>
      <c r="H4310" t="s">
        <v>67</v>
      </c>
      <c r="S4310">
        <v>1</v>
      </c>
      <c r="T4310">
        <v>0</v>
      </c>
      <c r="U4310">
        <v>0</v>
      </c>
      <c r="V4310">
        <v>0</v>
      </c>
      <c r="W4310">
        <v>1</v>
      </c>
      <c r="X4310">
        <v>0</v>
      </c>
      <c r="Y4310">
        <v>0</v>
      </c>
      <c r="Z4310">
        <v>1</v>
      </c>
      <c r="AA4310">
        <v>0</v>
      </c>
      <c r="AB4310">
        <v>0</v>
      </c>
      <c r="AC4310">
        <v>1</v>
      </c>
      <c r="AD4310">
        <v>0</v>
      </c>
      <c r="AE4310">
        <v>0</v>
      </c>
      <c r="AF4310">
        <v>0</v>
      </c>
      <c r="AG4310">
        <v>0</v>
      </c>
      <c r="AH4310">
        <v>1</v>
      </c>
      <c r="AI4310">
        <v>1</v>
      </c>
      <c r="AJ4310">
        <v>0</v>
      </c>
      <c r="AK4310">
        <v>0</v>
      </c>
      <c r="AL4310">
        <v>1</v>
      </c>
      <c r="AM4310">
        <v>1</v>
      </c>
    </row>
    <row r="4311" spans="1:39" x14ac:dyDescent="0.2">
      <c r="A4311" t="str">
        <f>"4307"</f>
        <v>4307</v>
      </c>
      <c r="B4311" t="str">
        <f t="shared" si="238"/>
        <v>1</v>
      </c>
      <c r="C4311" t="str">
        <f t="shared" si="240"/>
        <v>87</v>
      </c>
      <c r="D4311" t="str">
        <f>"37"</f>
        <v>37</v>
      </c>
      <c r="E4311" t="str">
        <f>"1-87-37"</f>
        <v>1-87-37</v>
      </c>
      <c r="F4311" t="s">
        <v>65</v>
      </c>
      <c r="G4311" t="s">
        <v>66</v>
      </c>
      <c r="H4311" t="s">
        <v>67</v>
      </c>
      <c r="S4311">
        <v>1</v>
      </c>
      <c r="T4311">
        <v>0</v>
      </c>
      <c r="U4311">
        <v>0</v>
      </c>
      <c r="V4311">
        <v>0</v>
      </c>
      <c r="W4311">
        <v>1</v>
      </c>
      <c r="X4311">
        <v>0</v>
      </c>
      <c r="Y4311">
        <v>1</v>
      </c>
      <c r="Z4311">
        <v>0</v>
      </c>
      <c r="AA4311">
        <v>1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</row>
    <row r="4312" spans="1:39" x14ac:dyDescent="0.2">
      <c r="A4312" t="str">
        <f>"4308"</f>
        <v>4308</v>
      </c>
      <c r="B4312" t="str">
        <f t="shared" si="238"/>
        <v>1</v>
      </c>
      <c r="C4312" t="str">
        <f t="shared" si="240"/>
        <v>87</v>
      </c>
      <c r="D4312" t="str">
        <f>"22"</f>
        <v>22</v>
      </c>
      <c r="E4312" t="str">
        <f>"1-87-22"</f>
        <v>1-87-22</v>
      </c>
      <c r="F4312" t="s">
        <v>65</v>
      </c>
      <c r="G4312" t="s">
        <v>66</v>
      </c>
      <c r="H4312" t="s">
        <v>67</v>
      </c>
      <c r="S4312">
        <v>1</v>
      </c>
      <c r="T4312">
        <v>0</v>
      </c>
      <c r="U4312">
        <v>0</v>
      </c>
      <c r="V4312">
        <v>0</v>
      </c>
      <c r="W4312">
        <v>1</v>
      </c>
      <c r="X4312">
        <v>0</v>
      </c>
      <c r="Y4312">
        <v>1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1</v>
      </c>
      <c r="AF4312">
        <v>1</v>
      </c>
      <c r="AG4312">
        <v>1</v>
      </c>
      <c r="AH4312">
        <v>1</v>
      </c>
      <c r="AI4312">
        <v>1</v>
      </c>
      <c r="AJ4312">
        <v>1</v>
      </c>
      <c r="AK4312">
        <v>1</v>
      </c>
      <c r="AL4312">
        <v>1</v>
      </c>
      <c r="AM4312">
        <v>1</v>
      </c>
    </row>
    <row r="4313" spans="1:39" x14ac:dyDescent="0.2">
      <c r="A4313" t="str">
        <f>"4309"</f>
        <v>4309</v>
      </c>
      <c r="B4313" t="str">
        <f t="shared" si="238"/>
        <v>1</v>
      </c>
      <c r="C4313" t="str">
        <f t="shared" si="240"/>
        <v>87</v>
      </c>
      <c r="D4313" t="str">
        <f>"16"</f>
        <v>16</v>
      </c>
      <c r="E4313" t="str">
        <f>"1-87-16"</f>
        <v>1-87-16</v>
      </c>
      <c r="F4313" t="s">
        <v>65</v>
      </c>
      <c r="G4313" t="s">
        <v>66</v>
      </c>
      <c r="H4313" t="s">
        <v>67</v>
      </c>
      <c r="S4313">
        <v>0</v>
      </c>
      <c r="T4313">
        <v>1</v>
      </c>
      <c r="U4313">
        <v>0</v>
      </c>
      <c r="V4313">
        <v>0</v>
      </c>
      <c r="W4313">
        <v>1</v>
      </c>
      <c r="X4313">
        <v>0</v>
      </c>
      <c r="Y4313">
        <v>1</v>
      </c>
      <c r="Z4313">
        <v>0</v>
      </c>
      <c r="AA4313">
        <v>0</v>
      </c>
      <c r="AB4313">
        <v>0</v>
      </c>
      <c r="AC4313">
        <v>1</v>
      </c>
      <c r="AD4313">
        <v>1</v>
      </c>
      <c r="AE4313">
        <v>1</v>
      </c>
      <c r="AF4313">
        <v>1</v>
      </c>
      <c r="AG4313">
        <v>1</v>
      </c>
      <c r="AH4313">
        <v>1</v>
      </c>
      <c r="AI4313">
        <v>1</v>
      </c>
      <c r="AJ4313">
        <v>1</v>
      </c>
      <c r="AK4313">
        <v>1</v>
      </c>
      <c r="AL4313">
        <v>1</v>
      </c>
      <c r="AM4313">
        <v>1</v>
      </c>
    </row>
    <row r="4314" spans="1:39" x14ac:dyDescent="0.2">
      <c r="A4314" t="str">
        <f>"4310"</f>
        <v>4310</v>
      </c>
      <c r="B4314" t="str">
        <f t="shared" si="238"/>
        <v>1</v>
      </c>
      <c r="C4314" t="str">
        <f t="shared" si="240"/>
        <v>87</v>
      </c>
      <c r="D4314" t="str">
        <f>"1"</f>
        <v>1</v>
      </c>
      <c r="E4314" t="str">
        <f>"1-87-1"</f>
        <v>1-87-1</v>
      </c>
      <c r="F4314" t="s">
        <v>65</v>
      </c>
      <c r="G4314" t="s">
        <v>66</v>
      </c>
      <c r="H4314" t="s">
        <v>67</v>
      </c>
      <c r="S4314">
        <v>1</v>
      </c>
      <c r="T4314">
        <v>0</v>
      </c>
      <c r="U4314">
        <v>0</v>
      </c>
      <c r="V4314">
        <v>0</v>
      </c>
      <c r="W4314">
        <v>0</v>
      </c>
      <c r="X4314">
        <v>1</v>
      </c>
      <c r="Y4314">
        <v>0</v>
      </c>
      <c r="Z4314">
        <v>1</v>
      </c>
      <c r="AA4314">
        <v>0</v>
      </c>
      <c r="AB4314">
        <v>1</v>
      </c>
      <c r="AC4314">
        <v>0</v>
      </c>
      <c r="AD4314">
        <v>1</v>
      </c>
      <c r="AE4314">
        <v>1</v>
      </c>
      <c r="AF4314">
        <v>1</v>
      </c>
      <c r="AG4314">
        <v>1</v>
      </c>
      <c r="AH4314">
        <v>1</v>
      </c>
      <c r="AI4314">
        <v>1</v>
      </c>
      <c r="AJ4314">
        <v>1</v>
      </c>
      <c r="AK4314">
        <v>1</v>
      </c>
      <c r="AL4314">
        <v>1</v>
      </c>
      <c r="AM4314">
        <v>1</v>
      </c>
    </row>
    <row r="4315" spans="1:39" x14ac:dyDescent="0.2">
      <c r="A4315" t="str">
        <f>"4311"</f>
        <v>4311</v>
      </c>
      <c r="B4315" t="str">
        <f t="shared" si="238"/>
        <v>1</v>
      </c>
      <c r="C4315" t="str">
        <f t="shared" si="240"/>
        <v>87</v>
      </c>
      <c r="D4315" t="str">
        <f>"36"</f>
        <v>36</v>
      </c>
      <c r="E4315" t="str">
        <f>"1-87-36"</f>
        <v>1-87-36</v>
      </c>
      <c r="F4315" t="s">
        <v>65</v>
      </c>
      <c r="G4315" t="s">
        <v>66</v>
      </c>
      <c r="H4315" t="s">
        <v>67</v>
      </c>
      <c r="S4315">
        <v>0</v>
      </c>
      <c r="T4315">
        <v>1</v>
      </c>
      <c r="U4315">
        <v>0</v>
      </c>
      <c r="V4315">
        <v>0</v>
      </c>
      <c r="W4315">
        <v>1</v>
      </c>
      <c r="X4315">
        <v>0</v>
      </c>
      <c r="Y4315">
        <v>0</v>
      </c>
      <c r="Z4315">
        <v>1</v>
      </c>
      <c r="AA4315">
        <v>1</v>
      </c>
      <c r="AB4315">
        <v>0</v>
      </c>
      <c r="AC4315">
        <v>0</v>
      </c>
      <c r="AD4315">
        <v>1</v>
      </c>
      <c r="AE4315">
        <v>1</v>
      </c>
      <c r="AF4315">
        <v>1</v>
      </c>
      <c r="AG4315">
        <v>1</v>
      </c>
      <c r="AH4315">
        <v>1</v>
      </c>
      <c r="AI4315">
        <v>1</v>
      </c>
      <c r="AJ4315">
        <v>1</v>
      </c>
      <c r="AK4315">
        <v>1</v>
      </c>
      <c r="AL4315">
        <v>1</v>
      </c>
      <c r="AM4315">
        <v>1</v>
      </c>
    </row>
    <row r="4316" spans="1:39" x14ac:dyDescent="0.2">
      <c r="A4316" t="str">
        <f>"4312"</f>
        <v>4312</v>
      </c>
      <c r="B4316" t="str">
        <f t="shared" si="238"/>
        <v>1</v>
      </c>
      <c r="C4316" t="str">
        <f t="shared" si="240"/>
        <v>87</v>
      </c>
      <c r="D4316" t="str">
        <f>"35"</f>
        <v>35</v>
      </c>
      <c r="E4316" t="str">
        <f>"1-87-35"</f>
        <v>1-87-35</v>
      </c>
      <c r="F4316" t="s">
        <v>65</v>
      </c>
      <c r="G4316" t="s">
        <v>66</v>
      </c>
      <c r="H4316" t="s">
        <v>67</v>
      </c>
      <c r="S4316">
        <v>0</v>
      </c>
      <c r="T4316">
        <v>1</v>
      </c>
      <c r="U4316">
        <v>0</v>
      </c>
      <c r="V4316">
        <v>0</v>
      </c>
      <c r="W4316">
        <v>1</v>
      </c>
      <c r="X4316">
        <v>0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1</v>
      </c>
      <c r="AF4316">
        <v>1</v>
      </c>
      <c r="AG4316">
        <v>1</v>
      </c>
      <c r="AH4316">
        <v>0</v>
      </c>
      <c r="AI4316">
        <v>1</v>
      </c>
      <c r="AJ4316">
        <v>1</v>
      </c>
      <c r="AK4316">
        <v>1</v>
      </c>
      <c r="AL4316">
        <v>1</v>
      </c>
      <c r="AM4316">
        <v>1</v>
      </c>
    </row>
    <row r="4317" spans="1:39" x14ac:dyDescent="0.2">
      <c r="A4317" t="str">
        <f>"4313"</f>
        <v>4313</v>
      </c>
      <c r="B4317" t="str">
        <f t="shared" si="238"/>
        <v>1</v>
      </c>
      <c r="C4317" t="str">
        <f t="shared" si="240"/>
        <v>87</v>
      </c>
      <c r="D4317" t="str">
        <f>"24"</f>
        <v>24</v>
      </c>
      <c r="E4317" t="str">
        <f>"1-87-24"</f>
        <v>1-87-24</v>
      </c>
      <c r="F4317" t="s">
        <v>65</v>
      </c>
      <c r="G4317" t="s">
        <v>66</v>
      </c>
      <c r="H4317" t="s">
        <v>67</v>
      </c>
      <c r="S4317">
        <v>1</v>
      </c>
      <c r="T4317">
        <v>0</v>
      </c>
      <c r="U4317">
        <v>0</v>
      </c>
      <c r="V4317">
        <v>0</v>
      </c>
      <c r="W4317">
        <v>1</v>
      </c>
      <c r="X4317">
        <v>0</v>
      </c>
      <c r="Y4317">
        <v>0</v>
      </c>
      <c r="Z4317">
        <v>1</v>
      </c>
      <c r="AA4317">
        <v>1</v>
      </c>
      <c r="AB4317">
        <v>0</v>
      </c>
      <c r="AC4317">
        <v>0</v>
      </c>
      <c r="AD4317">
        <v>1</v>
      </c>
      <c r="AE4317">
        <v>1</v>
      </c>
      <c r="AF4317">
        <v>1</v>
      </c>
      <c r="AG4317">
        <v>1</v>
      </c>
      <c r="AH4317">
        <v>1</v>
      </c>
      <c r="AI4317">
        <v>1</v>
      </c>
      <c r="AJ4317">
        <v>1</v>
      </c>
      <c r="AK4317">
        <v>1</v>
      </c>
      <c r="AL4317">
        <v>1</v>
      </c>
      <c r="AM4317">
        <v>1</v>
      </c>
    </row>
    <row r="4318" spans="1:39" x14ac:dyDescent="0.2">
      <c r="A4318" t="str">
        <f>"4314"</f>
        <v>4314</v>
      </c>
      <c r="B4318" t="str">
        <f t="shared" si="238"/>
        <v>1</v>
      </c>
      <c r="C4318" t="str">
        <f t="shared" si="240"/>
        <v>87</v>
      </c>
      <c r="D4318" t="str">
        <f>"17"</f>
        <v>17</v>
      </c>
      <c r="E4318" t="str">
        <f>"1-87-17"</f>
        <v>1-87-17</v>
      </c>
      <c r="F4318" t="s">
        <v>65</v>
      </c>
      <c r="G4318" t="s">
        <v>66</v>
      </c>
      <c r="H4318" t="s">
        <v>67</v>
      </c>
      <c r="S4318">
        <v>1</v>
      </c>
      <c r="T4318">
        <v>0</v>
      </c>
      <c r="U4318">
        <v>0</v>
      </c>
      <c r="V4318">
        <v>0</v>
      </c>
      <c r="W4318">
        <v>1</v>
      </c>
      <c r="X4318">
        <v>0</v>
      </c>
      <c r="Y4318">
        <v>1</v>
      </c>
      <c r="Z4318">
        <v>0</v>
      </c>
      <c r="AA4318">
        <v>0</v>
      </c>
      <c r="AB4318">
        <v>1</v>
      </c>
      <c r="AC4318">
        <v>0</v>
      </c>
      <c r="AD4318">
        <v>1</v>
      </c>
      <c r="AE4318">
        <v>1</v>
      </c>
      <c r="AF4318">
        <v>1</v>
      </c>
      <c r="AG4318">
        <v>1</v>
      </c>
      <c r="AH4318">
        <v>1</v>
      </c>
      <c r="AI4318">
        <v>1</v>
      </c>
      <c r="AJ4318">
        <v>1</v>
      </c>
      <c r="AK4318">
        <v>1</v>
      </c>
      <c r="AL4318">
        <v>1</v>
      </c>
      <c r="AM4318">
        <v>1</v>
      </c>
    </row>
    <row r="4319" spans="1:39" x14ac:dyDescent="0.2">
      <c r="A4319" t="str">
        <f>"4315"</f>
        <v>4315</v>
      </c>
      <c r="B4319" t="str">
        <f t="shared" si="238"/>
        <v>1</v>
      </c>
      <c r="C4319" t="str">
        <f t="shared" si="240"/>
        <v>87</v>
      </c>
      <c r="D4319" t="str">
        <f>"14"</f>
        <v>14</v>
      </c>
      <c r="E4319" t="str">
        <f>"1-87-14"</f>
        <v>1-87-14</v>
      </c>
      <c r="F4319" t="s">
        <v>65</v>
      </c>
      <c r="G4319" t="s">
        <v>66</v>
      </c>
      <c r="H4319" t="s">
        <v>67</v>
      </c>
      <c r="S4319">
        <v>1</v>
      </c>
      <c r="T4319">
        <v>0</v>
      </c>
      <c r="U4319">
        <v>0</v>
      </c>
      <c r="V4319">
        <v>0</v>
      </c>
      <c r="W4319">
        <v>1</v>
      </c>
      <c r="X4319">
        <v>0</v>
      </c>
      <c r="Y4319">
        <v>1</v>
      </c>
      <c r="Z4319">
        <v>0</v>
      </c>
      <c r="AA4319">
        <v>0</v>
      </c>
      <c r="AB4319">
        <v>1</v>
      </c>
      <c r="AC4319">
        <v>0</v>
      </c>
      <c r="AD4319">
        <v>1</v>
      </c>
      <c r="AE4319">
        <v>1</v>
      </c>
      <c r="AF4319">
        <v>1</v>
      </c>
      <c r="AG4319">
        <v>1</v>
      </c>
      <c r="AH4319">
        <v>1</v>
      </c>
      <c r="AI4319">
        <v>1</v>
      </c>
      <c r="AJ4319">
        <v>1</v>
      </c>
      <c r="AK4319">
        <v>1</v>
      </c>
      <c r="AL4319">
        <v>1</v>
      </c>
      <c r="AM4319">
        <v>1</v>
      </c>
    </row>
    <row r="4320" spans="1:39" x14ac:dyDescent="0.2">
      <c r="A4320" t="str">
        <f>"4316"</f>
        <v>4316</v>
      </c>
      <c r="B4320" t="str">
        <f t="shared" si="238"/>
        <v>1</v>
      </c>
      <c r="C4320" t="str">
        <f t="shared" si="240"/>
        <v>87</v>
      </c>
      <c r="D4320" t="str">
        <f>"40"</f>
        <v>40</v>
      </c>
      <c r="E4320" t="str">
        <f>"1-87-40"</f>
        <v>1-87-40</v>
      </c>
      <c r="F4320" t="s">
        <v>65</v>
      </c>
      <c r="G4320" t="s">
        <v>66</v>
      </c>
      <c r="H4320" t="s">
        <v>67</v>
      </c>
      <c r="S4320">
        <v>0</v>
      </c>
      <c r="T4320">
        <v>1</v>
      </c>
      <c r="U4320">
        <v>0</v>
      </c>
      <c r="V4320">
        <v>0</v>
      </c>
      <c r="W4320">
        <v>1</v>
      </c>
      <c r="X4320">
        <v>0</v>
      </c>
      <c r="Y4320">
        <v>0</v>
      </c>
      <c r="Z4320">
        <v>1</v>
      </c>
      <c r="AA4320">
        <v>0</v>
      </c>
      <c r="AB4320">
        <v>1</v>
      </c>
      <c r="AC4320">
        <v>0</v>
      </c>
      <c r="AD4320">
        <v>1</v>
      </c>
      <c r="AE4320">
        <v>1</v>
      </c>
      <c r="AF4320">
        <v>1</v>
      </c>
      <c r="AG4320">
        <v>1</v>
      </c>
      <c r="AH4320">
        <v>1</v>
      </c>
      <c r="AI4320">
        <v>1</v>
      </c>
      <c r="AJ4320">
        <v>1</v>
      </c>
      <c r="AK4320">
        <v>0</v>
      </c>
      <c r="AL4320">
        <v>1</v>
      </c>
      <c r="AM4320">
        <v>1</v>
      </c>
    </row>
    <row r="4321" spans="1:39" x14ac:dyDescent="0.2">
      <c r="A4321" t="str">
        <f>"4317"</f>
        <v>4317</v>
      </c>
      <c r="B4321" t="str">
        <f t="shared" si="238"/>
        <v>1</v>
      </c>
      <c r="C4321" t="str">
        <f t="shared" si="240"/>
        <v>87</v>
      </c>
      <c r="D4321" t="str">
        <f>"39"</f>
        <v>39</v>
      </c>
      <c r="E4321" t="str">
        <f>"1-87-39"</f>
        <v>1-87-39</v>
      </c>
      <c r="F4321" t="s">
        <v>65</v>
      </c>
      <c r="G4321" t="s">
        <v>66</v>
      </c>
      <c r="H4321" t="s">
        <v>67</v>
      </c>
      <c r="S4321">
        <v>1</v>
      </c>
      <c r="T4321">
        <v>0</v>
      </c>
      <c r="U4321">
        <v>0</v>
      </c>
      <c r="V4321">
        <v>0</v>
      </c>
      <c r="W4321">
        <v>1</v>
      </c>
      <c r="X4321">
        <v>0</v>
      </c>
      <c r="Y4321">
        <v>0</v>
      </c>
      <c r="Z4321">
        <v>1</v>
      </c>
      <c r="AA4321">
        <v>0</v>
      </c>
      <c r="AB4321">
        <v>0</v>
      </c>
      <c r="AC4321">
        <v>1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1</v>
      </c>
      <c r="AJ4321">
        <v>0</v>
      </c>
      <c r="AK4321">
        <v>0</v>
      </c>
      <c r="AL4321">
        <v>1</v>
      </c>
      <c r="AM4321">
        <v>1</v>
      </c>
    </row>
    <row r="4322" spans="1:39" x14ac:dyDescent="0.2">
      <c r="A4322" t="str">
        <f>"4318"</f>
        <v>4318</v>
      </c>
      <c r="B4322" t="str">
        <f t="shared" si="238"/>
        <v>1</v>
      </c>
      <c r="C4322" t="str">
        <f t="shared" si="240"/>
        <v>87</v>
      </c>
      <c r="D4322" t="str">
        <f>"25"</f>
        <v>25</v>
      </c>
      <c r="E4322" t="str">
        <f>"1-87-25"</f>
        <v>1-87-25</v>
      </c>
      <c r="F4322" t="s">
        <v>65</v>
      </c>
      <c r="G4322" t="s">
        <v>66</v>
      </c>
      <c r="H4322" t="s">
        <v>67</v>
      </c>
      <c r="S4322">
        <v>0</v>
      </c>
      <c r="T4322">
        <v>0</v>
      </c>
      <c r="U4322">
        <v>0</v>
      </c>
      <c r="V4322">
        <v>0</v>
      </c>
      <c r="W4322">
        <v>1</v>
      </c>
      <c r="X4322">
        <v>0</v>
      </c>
      <c r="Y4322">
        <v>0</v>
      </c>
      <c r="Z4322">
        <v>1</v>
      </c>
      <c r="AA4322">
        <v>0</v>
      </c>
      <c r="AB4322">
        <v>0</v>
      </c>
      <c r="AC4322">
        <v>1</v>
      </c>
      <c r="AD4322">
        <v>0</v>
      </c>
      <c r="AE4322">
        <v>1</v>
      </c>
      <c r="AF4322">
        <v>1</v>
      </c>
      <c r="AG4322">
        <v>1</v>
      </c>
      <c r="AH4322">
        <v>1</v>
      </c>
      <c r="AI4322">
        <v>1</v>
      </c>
      <c r="AJ4322">
        <v>1</v>
      </c>
      <c r="AK4322">
        <v>1</v>
      </c>
      <c r="AL4322">
        <v>0</v>
      </c>
      <c r="AM4322">
        <v>1</v>
      </c>
    </row>
    <row r="4323" spans="1:39" x14ac:dyDescent="0.2">
      <c r="A4323" t="str">
        <f>"4319"</f>
        <v>4319</v>
      </c>
      <c r="B4323" t="str">
        <f t="shared" si="238"/>
        <v>1</v>
      </c>
      <c r="C4323" t="str">
        <f t="shared" si="240"/>
        <v>87</v>
      </c>
      <c r="D4323" t="str">
        <f>"18"</f>
        <v>18</v>
      </c>
      <c r="E4323" t="str">
        <f>"1-87-18"</f>
        <v>1-87-18</v>
      </c>
      <c r="F4323" t="s">
        <v>65</v>
      </c>
      <c r="G4323" t="s">
        <v>66</v>
      </c>
      <c r="H4323" t="s">
        <v>67</v>
      </c>
      <c r="S4323">
        <v>1</v>
      </c>
      <c r="T4323">
        <v>0</v>
      </c>
      <c r="U4323">
        <v>0</v>
      </c>
      <c r="V4323">
        <v>0</v>
      </c>
      <c r="W4323">
        <v>1</v>
      </c>
      <c r="X4323">
        <v>0</v>
      </c>
      <c r="Y4323">
        <v>1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1</v>
      </c>
      <c r="AF4323">
        <v>1</v>
      </c>
      <c r="AG4323">
        <v>1</v>
      </c>
      <c r="AH4323">
        <v>1</v>
      </c>
      <c r="AI4323">
        <v>1</v>
      </c>
      <c r="AJ4323">
        <v>1</v>
      </c>
      <c r="AK4323">
        <v>1</v>
      </c>
      <c r="AL4323">
        <v>1</v>
      </c>
      <c r="AM4323">
        <v>1</v>
      </c>
    </row>
    <row r="4324" spans="1:39" x14ac:dyDescent="0.2">
      <c r="A4324" t="str">
        <f>"4320"</f>
        <v>4320</v>
      </c>
      <c r="B4324" t="str">
        <f t="shared" si="238"/>
        <v>1</v>
      </c>
      <c r="C4324" t="str">
        <f t="shared" si="240"/>
        <v>87</v>
      </c>
      <c r="D4324" t="str">
        <f>"8"</f>
        <v>8</v>
      </c>
      <c r="E4324" t="str">
        <f>"1-87-8"</f>
        <v>1-87-8</v>
      </c>
      <c r="F4324" t="s">
        <v>65</v>
      </c>
      <c r="G4324" t="s">
        <v>66</v>
      </c>
      <c r="H4324" t="s">
        <v>67</v>
      </c>
      <c r="S4324">
        <v>0</v>
      </c>
      <c r="T4324">
        <v>1</v>
      </c>
      <c r="U4324">
        <v>0</v>
      </c>
      <c r="V4324">
        <v>0</v>
      </c>
      <c r="W4324">
        <v>1</v>
      </c>
      <c r="X4324">
        <v>0</v>
      </c>
      <c r="Y4324">
        <v>1</v>
      </c>
      <c r="Z4324">
        <v>0</v>
      </c>
      <c r="AA4324">
        <v>0</v>
      </c>
      <c r="AB4324">
        <v>0</v>
      </c>
      <c r="AC4324">
        <v>1</v>
      </c>
      <c r="AD4324">
        <v>1</v>
      </c>
      <c r="AE4324">
        <v>1</v>
      </c>
      <c r="AF4324">
        <v>1</v>
      </c>
      <c r="AG4324">
        <v>1</v>
      </c>
      <c r="AH4324">
        <v>1</v>
      </c>
      <c r="AI4324">
        <v>1</v>
      </c>
      <c r="AJ4324">
        <v>1</v>
      </c>
      <c r="AK4324">
        <v>1</v>
      </c>
      <c r="AL4324">
        <v>1</v>
      </c>
      <c r="AM4324">
        <v>1</v>
      </c>
    </row>
    <row r="4325" spans="1:39" x14ac:dyDescent="0.2">
      <c r="A4325" t="str">
        <f>"4321"</f>
        <v>4321</v>
      </c>
      <c r="B4325" t="str">
        <f t="shared" si="238"/>
        <v>1</v>
      </c>
      <c r="C4325" t="str">
        <f t="shared" si="240"/>
        <v>87</v>
      </c>
      <c r="D4325" t="str">
        <f>"33"</f>
        <v>33</v>
      </c>
      <c r="E4325" t="str">
        <f>"1-87-33"</f>
        <v>1-87-33</v>
      </c>
      <c r="F4325" t="s">
        <v>65</v>
      </c>
      <c r="G4325" t="s">
        <v>66</v>
      </c>
      <c r="H4325" t="s">
        <v>67</v>
      </c>
      <c r="S4325">
        <v>0</v>
      </c>
      <c r="T4325">
        <v>1</v>
      </c>
      <c r="U4325">
        <v>0</v>
      </c>
      <c r="V4325">
        <v>0</v>
      </c>
      <c r="W4325">
        <v>1</v>
      </c>
      <c r="X4325">
        <v>0</v>
      </c>
      <c r="Y4325">
        <v>1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1</v>
      </c>
      <c r="AF4325">
        <v>1</v>
      </c>
      <c r="AG4325">
        <v>1</v>
      </c>
      <c r="AH4325">
        <v>1</v>
      </c>
      <c r="AI4325">
        <v>1</v>
      </c>
      <c r="AJ4325">
        <v>1</v>
      </c>
      <c r="AK4325">
        <v>1</v>
      </c>
      <c r="AL4325">
        <v>1</v>
      </c>
      <c r="AM4325">
        <v>1</v>
      </c>
    </row>
    <row r="4326" spans="1:39" x14ac:dyDescent="0.2">
      <c r="A4326" t="str">
        <f>"4322"</f>
        <v>4322</v>
      </c>
      <c r="B4326" t="str">
        <f t="shared" si="238"/>
        <v>1</v>
      </c>
      <c r="C4326" t="str">
        <f t="shared" si="240"/>
        <v>87</v>
      </c>
      <c r="D4326" t="str">
        <f>"19"</f>
        <v>19</v>
      </c>
      <c r="E4326" t="str">
        <f>"1-87-19"</f>
        <v>1-87-19</v>
      </c>
      <c r="F4326" t="s">
        <v>65</v>
      </c>
      <c r="G4326" t="s">
        <v>66</v>
      </c>
      <c r="H4326" t="s">
        <v>67</v>
      </c>
      <c r="S4326">
        <v>1</v>
      </c>
      <c r="T4326">
        <v>0</v>
      </c>
      <c r="U4326">
        <v>0</v>
      </c>
      <c r="V4326">
        <v>0</v>
      </c>
      <c r="W4326">
        <v>1</v>
      </c>
      <c r="X4326">
        <v>0</v>
      </c>
      <c r="Y4326">
        <v>1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1</v>
      </c>
      <c r="AF4326">
        <v>1</v>
      </c>
      <c r="AG4326">
        <v>1</v>
      </c>
      <c r="AH4326">
        <v>1</v>
      </c>
      <c r="AI4326">
        <v>1</v>
      </c>
      <c r="AJ4326">
        <v>1</v>
      </c>
      <c r="AK4326">
        <v>1</v>
      </c>
      <c r="AL4326">
        <v>1</v>
      </c>
      <c r="AM4326">
        <v>1</v>
      </c>
    </row>
    <row r="4327" spans="1:39" x14ac:dyDescent="0.2">
      <c r="A4327" t="str">
        <f>"4323"</f>
        <v>4323</v>
      </c>
      <c r="B4327" t="str">
        <f t="shared" si="238"/>
        <v>1</v>
      </c>
      <c r="C4327" t="str">
        <f t="shared" si="240"/>
        <v>87</v>
      </c>
      <c r="D4327" t="str">
        <f>"7"</f>
        <v>7</v>
      </c>
      <c r="E4327" t="str">
        <f>"1-87-7"</f>
        <v>1-87-7</v>
      </c>
      <c r="F4327" t="s">
        <v>65</v>
      </c>
      <c r="G4327" t="s">
        <v>66</v>
      </c>
      <c r="H4327" t="s">
        <v>67</v>
      </c>
      <c r="S4327">
        <v>0</v>
      </c>
      <c r="T4327">
        <v>1</v>
      </c>
      <c r="U4327">
        <v>0</v>
      </c>
      <c r="V4327">
        <v>0</v>
      </c>
      <c r="W4327">
        <v>1</v>
      </c>
      <c r="X4327">
        <v>0</v>
      </c>
      <c r="Y4327">
        <v>1</v>
      </c>
      <c r="Z4327">
        <v>0</v>
      </c>
      <c r="AA4327">
        <v>0</v>
      </c>
      <c r="AB4327">
        <v>0</v>
      </c>
      <c r="AC4327">
        <v>1</v>
      </c>
      <c r="AD4327">
        <v>1</v>
      </c>
      <c r="AE4327">
        <v>1</v>
      </c>
      <c r="AF4327">
        <v>1</v>
      </c>
      <c r="AG4327">
        <v>1</v>
      </c>
      <c r="AH4327">
        <v>1</v>
      </c>
      <c r="AI4327">
        <v>1</v>
      </c>
      <c r="AJ4327">
        <v>1</v>
      </c>
      <c r="AK4327">
        <v>1</v>
      </c>
      <c r="AL4327">
        <v>1</v>
      </c>
      <c r="AM4327">
        <v>1</v>
      </c>
    </row>
    <row r="4328" spans="1:39" x14ac:dyDescent="0.2">
      <c r="A4328" t="str">
        <f>"4324"</f>
        <v>4324</v>
      </c>
      <c r="B4328" t="str">
        <f t="shared" si="238"/>
        <v>1</v>
      </c>
      <c r="C4328" t="str">
        <f t="shared" si="240"/>
        <v>87</v>
      </c>
      <c r="D4328" t="str">
        <f>"50"</f>
        <v>50</v>
      </c>
      <c r="E4328" t="str">
        <f>"1-87-50"</f>
        <v>1-87-50</v>
      </c>
      <c r="F4328" t="s">
        <v>65</v>
      </c>
      <c r="G4328" t="s">
        <v>66</v>
      </c>
      <c r="H4328" t="s">
        <v>67</v>
      </c>
      <c r="S4328">
        <v>1</v>
      </c>
      <c r="T4328">
        <v>0</v>
      </c>
      <c r="U4328">
        <v>0</v>
      </c>
      <c r="V4328">
        <v>0</v>
      </c>
      <c r="W4328">
        <v>0</v>
      </c>
      <c r="X4328">
        <v>1</v>
      </c>
      <c r="Y4328">
        <v>0</v>
      </c>
      <c r="Z4328">
        <v>1</v>
      </c>
      <c r="AA4328">
        <v>0</v>
      </c>
      <c r="AB4328">
        <v>1</v>
      </c>
      <c r="AC4328">
        <v>0</v>
      </c>
      <c r="AD4328">
        <v>1</v>
      </c>
      <c r="AE4328">
        <v>1</v>
      </c>
      <c r="AF4328">
        <v>1</v>
      </c>
      <c r="AG4328">
        <v>1</v>
      </c>
      <c r="AH4328">
        <v>1</v>
      </c>
      <c r="AI4328">
        <v>1</v>
      </c>
      <c r="AJ4328">
        <v>1</v>
      </c>
      <c r="AK4328">
        <v>1</v>
      </c>
      <c r="AL4328">
        <v>1</v>
      </c>
      <c r="AM4328">
        <v>1</v>
      </c>
    </row>
    <row r="4329" spans="1:39" x14ac:dyDescent="0.2">
      <c r="A4329" t="str">
        <f>"4325"</f>
        <v>4325</v>
      </c>
      <c r="B4329" t="str">
        <f t="shared" si="238"/>
        <v>1</v>
      </c>
      <c r="C4329" t="str">
        <f t="shared" si="240"/>
        <v>87</v>
      </c>
      <c r="D4329" t="str">
        <f>"49"</f>
        <v>49</v>
      </c>
      <c r="E4329" t="str">
        <f>"1-87-49"</f>
        <v>1-87-49</v>
      </c>
      <c r="F4329" t="s">
        <v>65</v>
      </c>
      <c r="G4329" t="s">
        <v>66</v>
      </c>
      <c r="H4329" t="s">
        <v>67</v>
      </c>
      <c r="S4329">
        <v>0</v>
      </c>
      <c r="T4329">
        <v>1</v>
      </c>
      <c r="U4329">
        <v>0</v>
      </c>
      <c r="V4329">
        <v>0</v>
      </c>
      <c r="W4329">
        <v>0</v>
      </c>
      <c r="X4329">
        <v>1</v>
      </c>
      <c r="Y4329">
        <v>0</v>
      </c>
      <c r="Z4329">
        <v>1</v>
      </c>
      <c r="AA4329">
        <v>0</v>
      </c>
      <c r="AB4329">
        <v>1</v>
      </c>
      <c r="AC4329">
        <v>0</v>
      </c>
      <c r="AD4329">
        <v>1</v>
      </c>
      <c r="AE4329">
        <v>1</v>
      </c>
      <c r="AF4329">
        <v>1</v>
      </c>
      <c r="AG4329">
        <v>1</v>
      </c>
      <c r="AH4329">
        <v>1</v>
      </c>
      <c r="AI4329">
        <v>1</v>
      </c>
      <c r="AJ4329">
        <v>1</v>
      </c>
      <c r="AK4329">
        <v>1</v>
      </c>
      <c r="AL4329">
        <v>1</v>
      </c>
      <c r="AM4329">
        <v>1</v>
      </c>
    </row>
    <row r="4330" spans="1:39" x14ac:dyDescent="0.2">
      <c r="A4330" t="str">
        <f>"4326"</f>
        <v>4326</v>
      </c>
      <c r="B4330" t="str">
        <f t="shared" si="238"/>
        <v>1</v>
      </c>
      <c r="C4330" t="str">
        <f t="shared" si="240"/>
        <v>87</v>
      </c>
      <c r="D4330" t="str">
        <f>"34"</f>
        <v>34</v>
      </c>
      <c r="E4330" t="str">
        <f>"1-87-34"</f>
        <v>1-87-34</v>
      </c>
      <c r="F4330" t="s">
        <v>65</v>
      </c>
      <c r="G4330" t="s">
        <v>66</v>
      </c>
      <c r="H4330" t="s">
        <v>67</v>
      </c>
      <c r="S4330">
        <v>1</v>
      </c>
      <c r="T4330">
        <v>0</v>
      </c>
      <c r="U4330">
        <v>0</v>
      </c>
      <c r="V4330">
        <v>0</v>
      </c>
      <c r="W4330">
        <v>1</v>
      </c>
      <c r="X4330">
        <v>0</v>
      </c>
      <c r="Y4330">
        <v>1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1</v>
      </c>
      <c r="AF4330">
        <v>1</v>
      </c>
      <c r="AG4330">
        <v>1</v>
      </c>
      <c r="AH4330">
        <v>1</v>
      </c>
      <c r="AI4330">
        <v>1</v>
      </c>
      <c r="AJ4330">
        <v>1</v>
      </c>
      <c r="AK4330">
        <v>1</v>
      </c>
      <c r="AL4330">
        <v>1</v>
      </c>
      <c r="AM4330">
        <v>1</v>
      </c>
    </row>
    <row r="4331" spans="1:39" x14ac:dyDescent="0.2">
      <c r="A4331" t="str">
        <f>"4327"</f>
        <v>4327</v>
      </c>
      <c r="B4331" t="str">
        <f t="shared" si="238"/>
        <v>1</v>
      </c>
      <c r="C4331" t="str">
        <f t="shared" si="240"/>
        <v>87</v>
      </c>
      <c r="D4331" t="str">
        <f>"20"</f>
        <v>20</v>
      </c>
      <c r="E4331" t="str">
        <f>"1-87-20"</f>
        <v>1-87-20</v>
      </c>
      <c r="F4331" t="s">
        <v>65</v>
      </c>
      <c r="G4331" t="s">
        <v>66</v>
      </c>
      <c r="H4331" t="s">
        <v>67</v>
      </c>
      <c r="S4331">
        <v>1</v>
      </c>
      <c r="T4331">
        <v>0</v>
      </c>
      <c r="U4331">
        <v>0</v>
      </c>
      <c r="V4331">
        <v>0</v>
      </c>
      <c r="W4331">
        <v>1</v>
      </c>
      <c r="X4331">
        <v>0</v>
      </c>
      <c r="Y4331">
        <v>1</v>
      </c>
      <c r="Z4331">
        <v>0</v>
      </c>
      <c r="AA4331">
        <v>0</v>
      </c>
      <c r="AB4331">
        <v>1</v>
      </c>
      <c r="AC4331">
        <v>0</v>
      </c>
      <c r="AD4331">
        <v>1</v>
      </c>
      <c r="AE4331">
        <v>1</v>
      </c>
      <c r="AF4331">
        <v>1</v>
      </c>
      <c r="AG4331">
        <v>1</v>
      </c>
      <c r="AH4331">
        <v>1</v>
      </c>
      <c r="AI4331">
        <v>1</v>
      </c>
      <c r="AJ4331">
        <v>1</v>
      </c>
      <c r="AK4331">
        <v>1</v>
      </c>
      <c r="AL4331">
        <v>1</v>
      </c>
      <c r="AM4331">
        <v>1</v>
      </c>
    </row>
    <row r="4332" spans="1:39" x14ac:dyDescent="0.2">
      <c r="A4332" t="str">
        <f>"4328"</f>
        <v>4328</v>
      </c>
      <c r="B4332" t="str">
        <f t="shared" si="238"/>
        <v>1</v>
      </c>
      <c r="C4332" t="str">
        <f t="shared" si="240"/>
        <v>87</v>
      </c>
      <c r="D4332" t="str">
        <f>"11"</f>
        <v>11</v>
      </c>
      <c r="E4332" t="str">
        <f>"1-87-11"</f>
        <v>1-87-11</v>
      </c>
      <c r="F4332" t="s">
        <v>65</v>
      </c>
      <c r="G4332" t="s">
        <v>66</v>
      </c>
      <c r="H4332" t="s">
        <v>67</v>
      </c>
      <c r="S4332">
        <v>0</v>
      </c>
      <c r="T4332">
        <v>1</v>
      </c>
      <c r="U4332">
        <v>0</v>
      </c>
      <c r="V4332">
        <v>0</v>
      </c>
      <c r="W4332">
        <v>1</v>
      </c>
      <c r="X4332">
        <v>0</v>
      </c>
      <c r="Y4332">
        <v>1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1</v>
      </c>
      <c r="AF4332">
        <v>1</v>
      </c>
      <c r="AG4332">
        <v>1</v>
      </c>
      <c r="AH4332">
        <v>1</v>
      </c>
      <c r="AI4332">
        <v>1</v>
      </c>
      <c r="AJ4332">
        <v>1</v>
      </c>
      <c r="AK4332">
        <v>1</v>
      </c>
      <c r="AL4332">
        <v>1</v>
      </c>
      <c r="AM4332">
        <v>1</v>
      </c>
    </row>
    <row r="4333" spans="1:39" x14ac:dyDescent="0.2">
      <c r="A4333" t="str">
        <f>"4329"</f>
        <v>4329</v>
      </c>
      <c r="B4333" t="str">
        <f t="shared" si="238"/>
        <v>1</v>
      </c>
      <c r="C4333" t="str">
        <f t="shared" si="240"/>
        <v>87</v>
      </c>
      <c r="D4333" t="str">
        <f>"43"</f>
        <v>43</v>
      </c>
      <c r="E4333" t="str">
        <f>"1-87-43"</f>
        <v>1-87-43</v>
      </c>
      <c r="F4333" t="s">
        <v>65</v>
      </c>
      <c r="G4333" t="s">
        <v>66</v>
      </c>
      <c r="H4333" t="s">
        <v>67</v>
      </c>
      <c r="S4333">
        <v>1</v>
      </c>
      <c r="T4333">
        <v>0</v>
      </c>
      <c r="U4333">
        <v>0</v>
      </c>
      <c r="V4333">
        <v>0</v>
      </c>
      <c r="W4333">
        <v>1</v>
      </c>
      <c r="X4333">
        <v>0</v>
      </c>
      <c r="Y4333">
        <v>1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1</v>
      </c>
      <c r="AF4333">
        <v>1</v>
      </c>
      <c r="AG4333">
        <v>1</v>
      </c>
      <c r="AH4333">
        <v>1</v>
      </c>
      <c r="AI4333">
        <v>1</v>
      </c>
      <c r="AJ4333">
        <v>1</v>
      </c>
      <c r="AK4333">
        <v>1</v>
      </c>
      <c r="AL4333">
        <v>1</v>
      </c>
      <c r="AM4333">
        <v>1</v>
      </c>
    </row>
    <row r="4334" spans="1:39" x14ac:dyDescent="0.2">
      <c r="A4334" t="str">
        <f>"4330"</f>
        <v>4330</v>
      </c>
      <c r="B4334" t="str">
        <f t="shared" si="238"/>
        <v>1</v>
      </c>
      <c r="C4334" t="str">
        <f t="shared" si="240"/>
        <v>87</v>
      </c>
      <c r="D4334" t="str">
        <f>"23"</f>
        <v>23</v>
      </c>
      <c r="E4334" t="str">
        <f>"1-87-23"</f>
        <v>1-87-23</v>
      </c>
      <c r="F4334" t="s">
        <v>65</v>
      </c>
      <c r="G4334" t="s">
        <v>66</v>
      </c>
      <c r="H4334" t="s">
        <v>67</v>
      </c>
      <c r="S4334">
        <v>0</v>
      </c>
      <c r="T4334">
        <v>0</v>
      </c>
      <c r="U4334">
        <v>0</v>
      </c>
      <c r="V4334">
        <v>0</v>
      </c>
      <c r="W4334">
        <v>1</v>
      </c>
      <c r="X4334">
        <v>0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1</v>
      </c>
      <c r="AF4334">
        <v>1</v>
      </c>
      <c r="AG4334">
        <v>1</v>
      </c>
      <c r="AH4334">
        <v>1</v>
      </c>
      <c r="AI4334">
        <v>1</v>
      </c>
      <c r="AJ4334">
        <v>1</v>
      </c>
      <c r="AK4334">
        <v>1</v>
      </c>
      <c r="AL4334">
        <v>1</v>
      </c>
      <c r="AM4334">
        <v>1</v>
      </c>
    </row>
    <row r="4335" spans="1:39" x14ac:dyDescent="0.2">
      <c r="A4335" t="str">
        <f>"4331"</f>
        <v>4331</v>
      </c>
      <c r="B4335" t="str">
        <f t="shared" si="238"/>
        <v>1</v>
      </c>
      <c r="C4335" t="str">
        <f t="shared" si="240"/>
        <v>87</v>
      </c>
      <c r="D4335" t="str">
        <f>"9"</f>
        <v>9</v>
      </c>
      <c r="E4335" t="str">
        <f>"1-87-9"</f>
        <v>1-87-9</v>
      </c>
      <c r="F4335" t="s">
        <v>65</v>
      </c>
      <c r="G4335" t="s">
        <v>66</v>
      </c>
      <c r="H4335" t="s">
        <v>67</v>
      </c>
      <c r="S4335">
        <v>1</v>
      </c>
      <c r="T4335">
        <v>0</v>
      </c>
      <c r="U4335">
        <v>0</v>
      </c>
      <c r="V4335">
        <v>0</v>
      </c>
      <c r="W4335">
        <v>1</v>
      </c>
      <c r="X4335">
        <v>0</v>
      </c>
      <c r="Y4335">
        <v>1</v>
      </c>
      <c r="Z4335">
        <v>0</v>
      </c>
      <c r="AA4335">
        <v>1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1</v>
      </c>
      <c r="AH4335">
        <v>0</v>
      </c>
      <c r="AI4335">
        <v>1</v>
      </c>
      <c r="AJ4335">
        <v>0</v>
      </c>
      <c r="AK4335">
        <v>0</v>
      </c>
      <c r="AL4335">
        <v>1</v>
      </c>
      <c r="AM4335">
        <v>0</v>
      </c>
    </row>
    <row r="4336" spans="1:39" x14ac:dyDescent="0.2">
      <c r="A4336" t="str">
        <f>"4332"</f>
        <v>4332</v>
      </c>
      <c r="B4336" t="str">
        <f t="shared" si="238"/>
        <v>1</v>
      </c>
      <c r="C4336" t="str">
        <f t="shared" si="240"/>
        <v>87</v>
      </c>
      <c r="D4336" t="str">
        <f>"44"</f>
        <v>44</v>
      </c>
      <c r="E4336" t="str">
        <f>"1-87-44"</f>
        <v>1-87-44</v>
      </c>
      <c r="F4336" t="s">
        <v>65</v>
      </c>
      <c r="G4336" t="s">
        <v>66</v>
      </c>
      <c r="H4336" t="s">
        <v>67</v>
      </c>
      <c r="S4336">
        <v>0</v>
      </c>
      <c r="T4336">
        <v>0</v>
      </c>
      <c r="U4336">
        <v>0</v>
      </c>
      <c r="V4336">
        <v>0</v>
      </c>
      <c r="W4336">
        <v>1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1</v>
      </c>
      <c r="AJ4336">
        <v>1</v>
      </c>
      <c r="AK4336">
        <v>0</v>
      </c>
      <c r="AL4336">
        <v>1</v>
      </c>
      <c r="AM4336">
        <v>1</v>
      </c>
    </row>
    <row r="4337" spans="1:39" x14ac:dyDescent="0.2">
      <c r="A4337" t="str">
        <f>"4333"</f>
        <v>4333</v>
      </c>
      <c r="B4337" t="str">
        <f t="shared" si="238"/>
        <v>1</v>
      </c>
      <c r="C4337" t="str">
        <f t="shared" ref="C4337:C4354" si="241">"87"</f>
        <v>87</v>
      </c>
      <c r="D4337" t="str">
        <f>"26"</f>
        <v>26</v>
      </c>
      <c r="E4337" t="str">
        <f>"1-87-26"</f>
        <v>1-87-26</v>
      </c>
      <c r="F4337" t="s">
        <v>65</v>
      </c>
      <c r="G4337" t="s">
        <v>66</v>
      </c>
      <c r="H4337" t="s">
        <v>67</v>
      </c>
      <c r="S4337">
        <v>1</v>
      </c>
      <c r="T4337">
        <v>0</v>
      </c>
      <c r="U4337">
        <v>0</v>
      </c>
      <c r="V4337">
        <v>0</v>
      </c>
      <c r="W4337">
        <v>1</v>
      </c>
      <c r="X4337">
        <v>0</v>
      </c>
      <c r="Y4337">
        <v>1</v>
      </c>
      <c r="Z4337">
        <v>0</v>
      </c>
      <c r="AA4337">
        <v>0</v>
      </c>
      <c r="AB4337">
        <v>1</v>
      </c>
      <c r="AC4337">
        <v>0</v>
      </c>
      <c r="AD4337">
        <v>1</v>
      </c>
      <c r="AE4337">
        <v>1</v>
      </c>
      <c r="AF4337">
        <v>1</v>
      </c>
      <c r="AG4337">
        <v>1</v>
      </c>
      <c r="AH4337">
        <v>1</v>
      </c>
      <c r="AI4337">
        <v>1</v>
      </c>
      <c r="AJ4337">
        <v>1</v>
      </c>
      <c r="AK4337">
        <v>1</v>
      </c>
      <c r="AL4337">
        <v>1</v>
      </c>
      <c r="AM4337">
        <v>1</v>
      </c>
    </row>
    <row r="4338" spans="1:39" x14ac:dyDescent="0.2">
      <c r="A4338" t="str">
        <f>"4334"</f>
        <v>4334</v>
      </c>
      <c r="B4338" t="str">
        <f t="shared" si="238"/>
        <v>1</v>
      </c>
      <c r="C4338" t="str">
        <f t="shared" si="241"/>
        <v>87</v>
      </c>
      <c r="D4338" t="str">
        <f>"6"</f>
        <v>6</v>
      </c>
      <c r="E4338" t="str">
        <f>"1-87-6"</f>
        <v>1-87-6</v>
      </c>
      <c r="F4338" t="s">
        <v>65</v>
      </c>
      <c r="G4338" t="s">
        <v>66</v>
      </c>
      <c r="H4338" t="s">
        <v>67</v>
      </c>
      <c r="S4338">
        <v>0</v>
      </c>
      <c r="T4338">
        <v>1</v>
      </c>
      <c r="U4338">
        <v>0</v>
      </c>
      <c r="V4338">
        <v>0</v>
      </c>
      <c r="W4338">
        <v>1</v>
      </c>
      <c r="X4338">
        <v>0</v>
      </c>
      <c r="Y4338">
        <v>0</v>
      </c>
      <c r="Z4338">
        <v>1</v>
      </c>
      <c r="AA4338">
        <v>0</v>
      </c>
      <c r="AB4338">
        <v>1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1</v>
      </c>
      <c r="AM4338">
        <v>0</v>
      </c>
    </row>
    <row r="4339" spans="1:39" x14ac:dyDescent="0.2">
      <c r="A4339" t="str">
        <f>"4335"</f>
        <v>4335</v>
      </c>
      <c r="B4339" t="str">
        <f t="shared" si="238"/>
        <v>1</v>
      </c>
      <c r="C4339" t="str">
        <f t="shared" si="241"/>
        <v>87</v>
      </c>
      <c r="D4339" t="str">
        <f>"27"</f>
        <v>27</v>
      </c>
      <c r="E4339" t="str">
        <f>"1-87-27"</f>
        <v>1-87-27</v>
      </c>
      <c r="F4339" t="s">
        <v>65</v>
      </c>
      <c r="G4339" t="s">
        <v>66</v>
      </c>
      <c r="H4339" t="s">
        <v>67</v>
      </c>
      <c r="S4339">
        <v>1</v>
      </c>
      <c r="T4339">
        <v>0</v>
      </c>
      <c r="U4339">
        <v>0</v>
      </c>
      <c r="V4339">
        <v>0</v>
      </c>
      <c r="W4339">
        <v>0</v>
      </c>
      <c r="X4339">
        <v>1</v>
      </c>
      <c r="Y4339">
        <v>1</v>
      </c>
      <c r="Z4339">
        <v>0</v>
      </c>
      <c r="AA4339">
        <v>0</v>
      </c>
      <c r="AB4339">
        <v>1</v>
      </c>
      <c r="AC4339">
        <v>0</v>
      </c>
      <c r="AD4339">
        <v>0</v>
      </c>
      <c r="AE4339">
        <v>0</v>
      </c>
      <c r="AF4339">
        <v>0</v>
      </c>
      <c r="AG4339">
        <v>1</v>
      </c>
      <c r="AH4339">
        <v>0</v>
      </c>
      <c r="AI4339">
        <v>1</v>
      </c>
      <c r="AJ4339">
        <v>1</v>
      </c>
      <c r="AK4339">
        <v>1</v>
      </c>
      <c r="AL4339">
        <v>1</v>
      </c>
      <c r="AM4339">
        <v>0</v>
      </c>
    </row>
    <row r="4340" spans="1:39" x14ac:dyDescent="0.2">
      <c r="A4340" t="str">
        <f>"4336"</f>
        <v>4336</v>
      </c>
      <c r="B4340" t="str">
        <f t="shared" si="238"/>
        <v>1</v>
      </c>
      <c r="C4340" t="str">
        <f t="shared" si="241"/>
        <v>87</v>
      </c>
      <c r="D4340" t="str">
        <f>"10"</f>
        <v>10</v>
      </c>
      <c r="E4340" t="str">
        <f>"1-87-10"</f>
        <v>1-87-10</v>
      </c>
      <c r="F4340" t="s">
        <v>65</v>
      </c>
      <c r="G4340" t="s">
        <v>66</v>
      </c>
      <c r="H4340" t="s">
        <v>67</v>
      </c>
      <c r="S4340">
        <v>1</v>
      </c>
      <c r="T4340">
        <v>0</v>
      </c>
      <c r="U4340">
        <v>0</v>
      </c>
      <c r="V4340">
        <v>0</v>
      </c>
      <c r="W4340">
        <v>1</v>
      </c>
      <c r="X4340">
        <v>0</v>
      </c>
      <c r="Y4340">
        <v>1</v>
      </c>
      <c r="Z4340">
        <v>0</v>
      </c>
      <c r="AA4340">
        <v>1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</row>
    <row r="4341" spans="1:39" x14ac:dyDescent="0.2">
      <c r="A4341" t="str">
        <f>"4337"</f>
        <v>4337</v>
      </c>
      <c r="B4341" t="str">
        <f t="shared" si="238"/>
        <v>1</v>
      </c>
      <c r="C4341" t="str">
        <f t="shared" si="241"/>
        <v>87</v>
      </c>
      <c r="D4341" t="str">
        <f>"45"</f>
        <v>45</v>
      </c>
      <c r="E4341" t="str">
        <f>"1-87-45"</f>
        <v>1-87-45</v>
      </c>
      <c r="F4341" t="s">
        <v>65</v>
      </c>
      <c r="G4341" t="s">
        <v>66</v>
      </c>
      <c r="H4341" t="s">
        <v>67</v>
      </c>
      <c r="S4341">
        <v>0</v>
      </c>
      <c r="T4341">
        <v>1</v>
      </c>
      <c r="U4341">
        <v>0</v>
      </c>
      <c r="V4341">
        <v>0</v>
      </c>
      <c r="W4341">
        <v>1</v>
      </c>
      <c r="X4341">
        <v>0</v>
      </c>
      <c r="Y4341">
        <v>0</v>
      </c>
      <c r="Z4341">
        <v>1</v>
      </c>
      <c r="AA4341">
        <v>0</v>
      </c>
      <c r="AB4341">
        <v>0</v>
      </c>
      <c r="AC4341">
        <v>1</v>
      </c>
      <c r="AD4341">
        <v>1</v>
      </c>
      <c r="AE4341">
        <v>1</v>
      </c>
      <c r="AF4341">
        <v>1</v>
      </c>
      <c r="AG4341">
        <v>1</v>
      </c>
      <c r="AH4341">
        <v>1</v>
      </c>
      <c r="AI4341">
        <v>1</v>
      </c>
      <c r="AJ4341">
        <v>1</v>
      </c>
      <c r="AK4341">
        <v>1</v>
      </c>
      <c r="AL4341">
        <v>1</v>
      </c>
      <c r="AM4341">
        <v>1</v>
      </c>
    </row>
    <row r="4342" spans="1:39" x14ac:dyDescent="0.2">
      <c r="A4342" t="str">
        <f>"4338"</f>
        <v>4338</v>
      </c>
      <c r="B4342" t="str">
        <f t="shared" si="238"/>
        <v>1</v>
      </c>
      <c r="C4342" t="str">
        <f t="shared" si="241"/>
        <v>87</v>
      </c>
      <c r="D4342" t="str">
        <f>"28"</f>
        <v>28</v>
      </c>
      <c r="E4342" t="str">
        <f>"1-87-28"</f>
        <v>1-87-28</v>
      </c>
      <c r="F4342" t="s">
        <v>65</v>
      </c>
      <c r="G4342" t="s">
        <v>66</v>
      </c>
      <c r="H4342" t="s">
        <v>67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</row>
    <row r="4343" spans="1:39" x14ac:dyDescent="0.2">
      <c r="A4343" t="str">
        <f>"4339"</f>
        <v>4339</v>
      </c>
      <c r="B4343" t="str">
        <f t="shared" ref="B4343:B4406" si="242">"1"</f>
        <v>1</v>
      </c>
      <c r="C4343" t="str">
        <f t="shared" si="241"/>
        <v>87</v>
      </c>
      <c r="D4343" t="str">
        <f>"12"</f>
        <v>12</v>
      </c>
      <c r="E4343" t="str">
        <f>"1-87-12"</f>
        <v>1-87-12</v>
      </c>
      <c r="F4343" t="s">
        <v>65</v>
      </c>
      <c r="G4343" t="s">
        <v>66</v>
      </c>
      <c r="H4343" t="s">
        <v>67</v>
      </c>
      <c r="S4343">
        <v>0</v>
      </c>
      <c r="T4343">
        <v>1</v>
      </c>
      <c r="U4343">
        <v>0</v>
      </c>
      <c r="V4343">
        <v>0</v>
      </c>
      <c r="W4343">
        <v>1</v>
      </c>
      <c r="X4343">
        <v>0</v>
      </c>
      <c r="Y4343">
        <v>1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1</v>
      </c>
      <c r="AF4343">
        <v>1</v>
      </c>
      <c r="AG4343">
        <v>1</v>
      </c>
      <c r="AH4343">
        <v>1</v>
      </c>
      <c r="AI4343">
        <v>1</v>
      </c>
      <c r="AJ4343">
        <v>1</v>
      </c>
      <c r="AK4343">
        <v>1</v>
      </c>
      <c r="AL4343">
        <v>1</v>
      </c>
      <c r="AM4343">
        <v>1</v>
      </c>
    </row>
    <row r="4344" spans="1:39" x14ac:dyDescent="0.2">
      <c r="A4344" t="str">
        <f>"4340"</f>
        <v>4340</v>
      </c>
      <c r="B4344" t="str">
        <f t="shared" si="242"/>
        <v>1</v>
      </c>
      <c r="C4344" t="str">
        <f t="shared" si="241"/>
        <v>87</v>
      </c>
      <c r="D4344" t="str">
        <f>"47"</f>
        <v>47</v>
      </c>
      <c r="E4344" t="str">
        <f>"1-87-47"</f>
        <v>1-87-47</v>
      </c>
      <c r="F4344" t="s">
        <v>65</v>
      </c>
      <c r="G4344" t="s">
        <v>66</v>
      </c>
      <c r="H4344" t="s">
        <v>67</v>
      </c>
      <c r="S4344">
        <v>0</v>
      </c>
      <c r="T4344">
        <v>1</v>
      </c>
      <c r="U4344">
        <v>0</v>
      </c>
      <c r="V4344">
        <v>0</v>
      </c>
      <c r="W4344">
        <v>1</v>
      </c>
      <c r="X4344">
        <v>0</v>
      </c>
      <c r="Y4344">
        <v>0</v>
      </c>
      <c r="Z4344">
        <v>1</v>
      </c>
      <c r="AA4344">
        <v>0</v>
      </c>
      <c r="AB4344">
        <v>0</v>
      </c>
      <c r="AC4344">
        <v>1</v>
      </c>
      <c r="AD4344">
        <v>1</v>
      </c>
      <c r="AE4344">
        <v>1</v>
      </c>
      <c r="AF4344">
        <v>1</v>
      </c>
      <c r="AG4344">
        <v>1</v>
      </c>
      <c r="AH4344">
        <v>1</v>
      </c>
      <c r="AI4344">
        <v>1</v>
      </c>
      <c r="AJ4344">
        <v>1</v>
      </c>
      <c r="AK4344">
        <v>1</v>
      </c>
      <c r="AL4344">
        <v>1</v>
      </c>
      <c r="AM4344">
        <v>1</v>
      </c>
    </row>
    <row r="4345" spans="1:39" x14ac:dyDescent="0.2">
      <c r="A4345" t="str">
        <f>"4341"</f>
        <v>4341</v>
      </c>
      <c r="B4345" t="str">
        <f t="shared" si="242"/>
        <v>1</v>
      </c>
      <c r="C4345" t="str">
        <f t="shared" si="241"/>
        <v>87</v>
      </c>
      <c r="D4345" t="str">
        <f>"13"</f>
        <v>13</v>
      </c>
      <c r="E4345" t="str">
        <f>"1-87-13"</f>
        <v>1-87-13</v>
      </c>
      <c r="F4345" t="s">
        <v>65</v>
      </c>
      <c r="G4345" t="s">
        <v>66</v>
      </c>
      <c r="H4345" t="s">
        <v>67</v>
      </c>
      <c r="S4345">
        <v>0</v>
      </c>
      <c r="T4345">
        <v>0</v>
      </c>
      <c r="U4345">
        <v>0</v>
      </c>
      <c r="V4345">
        <v>0</v>
      </c>
      <c r="W4345">
        <v>1</v>
      </c>
      <c r="X4345">
        <v>0</v>
      </c>
      <c r="Y4345">
        <v>1</v>
      </c>
      <c r="Z4345">
        <v>0</v>
      </c>
      <c r="AA4345">
        <v>0</v>
      </c>
      <c r="AB4345">
        <v>1</v>
      </c>
      <c r="AC4345">
        <v>0</v>
      </c>
      <c r="AD4345">
        <v>1</v>
      </c>
      <c r="AE4345">
        <v>1</v>
      </c>
      <c r="AF4345">
        <v>1</v>
      </c>
      <c r="AG4345">
        <v>1</v>
      </c>
      <c r="AH4345">
        <v>1</v>
      </c>
      <c r="AI4345">
        <v>1</v>
      </c>
      <c r="AJ4345">
        <v>1</v>
      </c>
      <c r="AK4345">
        <v>1</v>
      </c>
      <c r="AL4345">
        <v>1</v>
      </c>
      <c r="AM4345">
        <v>1</v>
      </c>
    </row>
    <row r="4346" spans="1:39" x14ac:dyDescent="0.2">
      <c r="A4346" t="str">
        <f>"4342"</f>
        <v>4342</v>
      </c>
      <c r="B4346" t="str">
        <f t="shared" si="242"/>
        <v>1</v>
      </c>
      <c r="C4346" t="str">
        <f t="shared" si="241"/>
        <v>87</v>
      </c>
      <c r="D4346" t="str">
        <f>"30"</f>
        <v>30</v>
      </c>
      <c r="E4346" t="str">
        <f>"1-87-30"</f>
        <v>1-87-30</v>
      </c>
      <c r="F4346" t="s">
        <v>65</v>
      </c>
      <c r="G4346" t="s">
        <v>66</v>
      </c>
      <c r="H4346" t="s">
        <v>67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</row>
    <row r="4347" spans="1:39" x14ac:dyDescent="0.2">
      <c r="A4347" t="str">
        <f>"4343"</f>
        <v>4343</v>
      </c>
      <c r="B4347" t="str">
        <f t="shared" si="242"/>
        <v>1</v>
      </c>
      <c r="C4347" t="str">
        <f t="shared" si="241"/>
        <v>87</v>
      </c>
      <c r="D4347" t="str">
        <f>"2"</f>
        <v>2</v>
      </c>
      <c r="E4347" t="str">
        <f>"1-87-2"</f>
        <v>1-87-2</v>
      </c>
      <c r="F4347" t="s">
        <v>65</v>
      </c>
      <c r="G4347" t="s">
        <v>66</v>
      </c>
      <c r="H4347" t="s">
        <v>67</v>
      </c>
      <c r="S4347">
        <v>1</v>
      </c>
      <c r="T4347">
        <v>0</v>
      </c>
      <c r="U4347">
        <v>0</v>
      </c>
      <c r="V4347">
        <v>0</v>
      </c>
      <c r="W4347">
        <v>1</v>
      </c>
      <c r="X4347">
        <v>0</v>
      </c>
      <c r="Y4347">
        <v>1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1</v>
      </c>
      <c r="AF4347">
        <v>1</v>
      </c>
      <c r="AG4347">
        <v>1</v>
      </c>
      <c r="AH4347">
        <v>1</v>
      </c>
      <c r="AI4347">
        <v>1</v>
      </c>
      <c r="AJ4347">
        <v>1</v>
      </c>
      <c r="AK4347">
        <v>1</v>
      </c>
      <c r="AL4347">
        <v>1</v>
      </c>
      <c r="AM4347">
        <v>1</v>
      </c>
    </row>
    <row r="4348" spans="1:39" x14ac:dyDescent="0.2">
      <c r="A4348" t="str">
        <f>"4344"</f>
        <v>4344</v>
      </c>
      <c r="B4348" t="str">
        <f t="shared" si="242"/>
        <v>1</v>
      </c>
      <c r="C4348" t="str">
        <f t="shared" si="241"/>
        <v>87</v>
      </c>
      <c r="D4348" t="str">
        <f>"46"</f>
        <v>46</v>
      </c>
      <c r="E4348" t="str">
        <f>"1-87-46"</f>
        <v>1-87-46</v>
      </c>
      <c r="F4348" t="s">
        <v>65</v>
      </c>
      <c r="G4348" t="s">
        <v>66</v>
      </c>
      <c r="H4348" t="s">
        <v>67</v>
      </c>
      <c r="S4348">
        <v>0</v>
      </c>
      <c r="T4348">
        <v>1</v>
      </c>
      <c r="U4348">
        <v>0</v>
      </c>
      <c r="V4348">
        <v>0</v>
      </c>
      <c r="W4348">
        <v>1</v>
      </c>
      <c r="X4348">
        <v>0</v>
      </c>
      <c r="Y4348">
        <v>0</v>
      </c>
      <c r="Z4348">
        <v>1</v>
      </c>
      <c r="AA4348">
        <v>0</v>
      </c>
      <c r="AB4348">
        <v>0</v>
      </c>
      <c r="AC4348">
        <v>1</v>
      </c>
      <c r="AD4348">
        <v>1</v>
      </c>
      <c r="AE4348">
        <v>1</v>
      </c>
      <c r="AF4348">
        <v>1</v>
      </c>
      <c r="AG4348">
        <v>1</v>
      </c>
      <c r="AH4348">
        <v>1</v>
      </c>
      <c r="AI4348">
        <v>1</v>
      </c>
      <c r="AJ4348">
        <v>1</v>
      </c>
      <c r="AK4348">
        <v>1</v>
      </c>
      <c r="AL4348">
        <v>1</v>
      </c>
      <c r="AM4348">
        <v>1</v>
      </c>
    </row>
    <row r="4349" spans="1:39" x14ac:dyDescent="0.2">
      <c r="A4349" t="str">
        <f>"4345"</f>
        <v>4345</v>
      </c>
      <c r="B4349" t="str">
        <f t="shared" si="242"/>
        <v>1</v>
      </c>
      <c r="C4349" t="str">
        <f t="shared" si="241"/>
        <v>87</v>
      </c>
      <c r="D4349" t="str">
        <f>"31"</f>
        <v>31</v>
      </c>
      <c r="E4349" t="str">
        <f>"1-87-31"</f>
        <v>1-87-31</v>
      </c>
      <c r="F4349" t="s">
        <v>65</v>
      </c>
      <c r="G4349" t="s">
        <v>66</v>
      </c>
      <c r="H4349" t="s">
        <v>67</v>
      </c>
      <c r="S4349">
        <v>0</v>
      </c>
      <c r="T4349">
        <v>1</v>
      </c>
      <c r="U4349">
        <v>0</v>
      </c>
      <c r="V4349">
        <v>0</v>
      </c>
      <c r="W4349">
        <v>1</v>
      </c>
      <c r="X4349">
        <v>0</v>
      </c>
      <c r="Y4349">
        <v>0</v>
      </c>
      <c r="Z4349">
        <v>1</v>
      </c>
      <c r="AA4349">
        <v>0</v>
      </c>
      <c r="AB4349">
        <v>1</v>
      </c>
      <c r="AC4349">
        <v>0</v>
      </c>
      <c r="AD4349">
        <v>0</v>
      </c>
      <c r="AE4349">
        <v>0</v>
      </c>
      <c r="AF4349">
        <v>0</v>
      </c>
      <c r="AG4349">
        <v>1</v>
      </c>
      <c r="AH4349">
        <v>0</v>
      </c>
      <c r="AI4349">
        <v>1</v>
      </c>
      <c r="AJ4349">
        <v>1</v>
      </c>
      <c r="AK4349">
        <v>1</v>
      </c>
      <c r="AL4349">
        <v>1</v>
      </c>
      <c r="AM4349">
        <v>1</v>
      </c>
    </row>
    <row r="4350" spans="1:39" x14ac:dyDescent="0.2">
      <c r="A4350" t="str">
        <f>"4346"</f>
        <v>4346</v>
      </c>
      <c r="B4350" t="str">
        <f t="shared" si="242"/>
        <v>1</v>
      </c>
      <c r="C4350" t="str">
        <f t="shared" si="241"/>
        <v>87</v>
      </c>
      <c r="D4350" t="str">
        <f>"48"</f>
        <v>48</v>
      </c>
      <c r="E4350" t="str">
        <f>"1-87-48"</f>
        <v>1-87-48</v>
      </c>
      <c r="F4350" t="s">
        <v>65</v>
      </c>
      <c r="G4350" t="s">
        <v>66</v>
      </c>
      <c r="H4350" t="s">
        <v>67</v>
      </c>
      <c r="S4350">
        <v>0</v>
      </c>
      <c r="T4350">
        <v>1</v>
      </c>
      <c r="U4350">
        <v>0</v>
      </c>
      <c r="V4350">
        <v>0</v>
      </c>
      <c r="W4350">
        <v>1</v>
      </c>
      <c r="X4350">
        <v>0</v>
      </c>
      <c r="Y4350">
        <v>0</v>
      </c>
      <c r="Z4350">
        <v>1</v>
      </c>
      <c r="AA4350">
        <v>1</v>
      </c>
      <c r="AB4350">
        <v>0</v>
      </c>
      <c r="AC4350">
        <v>0</v>
      </c>
      <c r="AD4350">
        <v>1</v>
      </c>
      <c r="AE4350">
        <v>1</v>
      </c>
      <c r="AF4350">
        <v>1</v>
      </c>
      <c r="AG4350">
        <v>1</v>
      </c>
      <c r="AH4350">
        <v>1</v>
      </c>
      <c r="AI4350">
        <v>1</v>
      </c>
      <c r="AJ4350">
        <v>1</v>
      </c>
      <c r="AK4350">
        <v>1</v>
      </c>
      <c r="AL4350">
        <v>1</v>
      </c>
      <c r="AM4350">
        <v>1</v>
      </c>
    </row>
    <row r="4351" spans="1:39" x14ac:dyDescent="0.2">
      <c r="A4351" t="str">
        <f>"4347"</f>
        <v>4347</v>
      </c>
      <c r="B4351" t="str">
        <f t="shared" si="242"/>
        <v>1</v>
      </c>
      <c r="C4351" t="str">
        <f t="shared" si="241"/>
        <v>87</v>
      </c>
      <c r="D4351" t="str">
        <f>"32"</f>
        <v>32</v>
      </c>
      <c r="E4351" t="str">
        <f>"1-87-32"</f>
        <v>1-87-32</v>
      </c>
      <c r="F4351" t="s">
        <v>65</v>
      </c>
      <c r="G4351" t="s">
        <v>66</v>
      </c>
      <c r="H4351" t="s">
        <v>67</v>
      </c>
      <c r="S4351">
        <v>0</v>
      </c>
      <c r="T4351">
        <v>1</v>
      </c>
      <c r="U4351">
        <v>0</v>
      </c>
      <c r="V4351">
        <v>0</v>
      </c>
      <c r="W4351">
        <v>1</v>
      </c>
      <c r="X4351">
        <v>0</v>
      </c>
      <c r="Y4351">
        <v>1</v>
      </c>
      <c r="Z4351">
        <v>0</v>
      </c>
      <c r="AA4351">
        <v>0</v>
      </c>
      <c r="AB4351">
        <v>1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1</v>
      </c>
      <c r="AI4351">
        <v>1</v>
      </c>
      <c r="AJ4351">
        <v>1</v>
      </c>
      <c r="AK4351">
        <v>0</v>
      </c>
      <c r="AL4351">
        <v>1</v>
      </c>
      <c r="AM4351">
        <v>0</v>
      </c>
    </row>
    <row r="4352" spans="1:39" x14ac:dyDescent="0.2">
      <c r="A4352" t="str">
        <f>"4348"</f>
        <v>4348</v>
      </c>
      <c r="B4352" t="str">
        <f t="shared" si="242"/>
        <v>1</v>
      </c>
      <c r="C4352" t="str">
        <f t="shared" si="241"/>
        <v>87</v>
      </c>
      <c r="D4352" t="str">
        <f>"5"</f>
        <v>5</v>
      </c>
      <c r="E4352" t="str">
        <f>"1-87-5"</f>
        <v>1-87-5</v>
      </c>
      <c r="F4352" t="s">
        <v>65</v>
      </c>
      <c r="G4352" t="s">
        <v>66</v>
      </c>
      <c r="H4352" t="s">
        <v>67</v>
      </c>
      <c r="S4352">
        <v>1</v>
      </c>
      <c r="T4352">
        <v>0</v>
      </c>
      <c r="U4352">
        <v>0</v>
      </c>
      <c r="V4352">
        <v>0</v>
      </c>
      <c r="W4352">
        <v>1</v>
      </c>
      <c r="X4352">
        <v>0</v>
      </c>
      <c r="Y4352">
        <v>0</v>
      </c>
      <c r="Z4352">
        <v>1</v>
      </c>
      <c r="AA4352">
        <v>0</v>
      </c>
      <c r="AB4352">
        <v>0</v>
      </c>
      <c r="AC4352">
        <v>1</v>
      </c>
      <c r="AD4352">
        <v>1</v>
      </c>
      <c r="AE4352">
        <v>1</v>
      </c>
      <c r="AF4352">
        <v>1</v>
      </c>
      <c r="AG4352">
        <v>1</v>
      </c>
      <c r="AH4352">
        <v>1</v>
      </c>
      <c r="AI4352">
        <v>1</v>
      </c>
      <c r="AJ4352">
        <v>1</v>
      </c>
      <c r="AK4352">
        <v>1</v>
      </c>
      <c r="AL4352">
        <v>1</v>
      </c>
      <c r="AM4352">
        <v>1</v>
      </c>
    </row>
    <row r="4353" spans="1:39" x14ac:dyDescent="0.2">
      <c r="A4353" t="str">
        <f>"4349"</f>
        <v>4349</v>
      </c>
      <c r="B4353" t="str">
        <f t="shared" si="242"/>
        <v>1</v>
      </c>
      <c r="C4353" t="str">
        <f t="shared" si="241"/>
        <v>87</v>
      </c>
      <c r="D4353" t="str">
        <f>"29"</f>
        <v>29</v>
      </c>
      <c r="E4353" t="str">
        <f>"1-87-29"</f>
        <v>1-87-29</v>
      </c>
      <c r="F4353" t="s">
        <v>65</v>
      </c>
      <c r="G4353" t="s">
        <v>66</v>
      </c>
      <c r="H4353" t="s">
        <v>67</v>
      </c>
      <c r="S4353">
        <v>1</v>
      </c>
      <c r="T4353">
        <v>0</v>
      </c>
      <c r="U4353">
        <v>0</v>
      </c>
      <c r="V4353">
        <v>0</v>
      </c>
      <c r="W4353">
        <v>1</v>
      </c>
      <c r="X4353">
        <v>0</v>
      </c>
      <c r="Y4353">
        <v>1</v>
      </c>
      <c r="Z4353">
        <v>0</v>
      </c>
      <c r="AA4353">
        <v>1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1</v>
      </c>
      <c r="AM4353">
        <v>0</v>
      </c>
    </row>
    <row r="4354" spans="1:39" x14ac:dyDescent="0.2">
      <c r="A4354" t="str">
        <f>"4350"</f>
        <v>4350</v>
      </c>
      <c r="B4354" t="str">
        <f t="shared" si="242"/>
        <v>1</v>
      </c>
      <c r="C4354" t="str">
        <f t="shared" si="241"/>
        <v>87</v>
      </c>
      <c r="D4354" t="str">
        <f>"4"</f>
        <v>4</v>
      </c>
      <c r="E4354" t="str">
        <f>"1-87-4"</f>
        <v>1-87-4</v>
      </c>
      <c r="F4354" t="s">
        <v>65</v>
      </c>
      <c r="G4354" t="s">
        <v>66</v>
      </c>
      <c r="H4354" t="s">
        <v>67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1</v>
      </c>
      <c r="Y4354">
        <v>0</v>
      </c>
      <c r="Z4354">
        <v>1</v>
      </c>
      <c r="AA4354">
        <v>0</v>
      </c>
      <c r="AB4354">
        <v>0</v>
      </c>
      <c r="AC4354">
        <v>1</v>
      </c>
      <c r="AD4354">
        <v>1</v>
      </c>
      <c r="AE4354">
        <v>1</v>
      </c>
      <c r="AF4354">
        <v>1</v>
      </c>
      <c r="AG4354">
        <v>1</v>
      </c>
      <c r="AH4354">
        <v>1</v>
      </c>
      <c r="AI4354">
        <v>1</v>
      </c>
      <c r="AJ4354">
        <v>1</v>
      </c>
      <c r="AK4354">
        <v>1</v>
      </c>
      <c r="AL4354">
        <v>1</v>
      </c>
      <c r="AM4354">
        <v>1</v>
      </c>
    </row>
    <row r="4355" spans="1:39" x14ac:dyDescent="0.2">
      <c r="A4355" t="str">
        <f>"4351"</f>
        <v>4351</v>
      </c>
      <c r="B4355" t="str">
        <f t="shared" si="242"/>
        <v>1</v>
      </c>
      <c r="C4355" t="str">
        <f t="shared" ref="C4355:C4386" si="243">"88"</f>
        <v>88</v>
      </c>
      <c r="D4355" t="str">
        <f>"40"</f>
        <v>40</v>
      </c>
      <c r="E4355" t="str">
        <f>"1-88-40"</f>
        <v>1-88-40</v>
      </c>
      <c r="F4355" t="s">
        <v>65</v>
      </c>
      <c r="G4355" t="s">
        <v>66</v>
      </c>
      <c r="H4355" t="s">
        <v>67</v>
      </c>
      <c r="S4355">
        <v>0</v>
      </c>
      <c r="T4355">
        <v>1</v>
      </c>
      <c r="U4355">
        <v>0</v>
      </c>
      <c r="V4355">
        <v>0</v>
      </c>
      <c r="W4355">
        <v>1</v>
      </c>
      <c r="X4355">
        <v>0</v>
      </c>
      <c r="Y4355">
        <v>0</v>
      </c>
      <c r="Z4355">
        <v>1</v>
      </c>
      <c r="AA4355">
        <v>0</v>
      </c>
      <c r="AB4355">
        <v>1</v>
      </c>
      <c r="AC4355">
        <v>0</v>
      </c>
      <c r="AD4355">
        <v>1</v>
      </c>
      <c r="AE4355">
        <v>1</v>
      </c>
      <c r="AF4355">
        <v>1</v>
      </c>
      <c r="AG4355">
        <v>1</v>
      </c>
      <c r="AH4355">
        <v>1</v>
      </c>
      <c r="AI4355">
        <v>1</v>
      </c>
      <c r="AJ4355">
        <v>1</v>
      </c>
      <c r="AK4355">
        <v>1</v>
      </c>
      <c r="AL4355">
        <v>1</v>
      </c>
      <c r="AM4355">
        <v>1</v>
      </c>
    </row>
    <row r="4356" spans="1:39" x14ac:dyDescent="0.2">
      <c r="A4356" t="str">
        <f>"4352"</f>
        <v>4352</v>
      </c>
      <c r="B4356" t="str">
        <f t="shared" si="242"/>
        <v>1</v>
      </c>
      <c r="C4356" t="str">
        <f t="shared" si="243"/>
        <v>88</v>
      </c>
      <c r="D4356" t="str">
        <f>"39"</f>
        <v>39</v>
      </c>
      <c r="E4356" t="str">
        <f>"1-88-39"</f>
        <v>1-88-39</v>
      </c>
      <c r="F4356" t="s">
        <v>65</v>
      </c>
      <c r="G4356" t="s">
        <v>66</v>
      </c>
      <c r="H4356" t="s">
        <v>67</v>
      </c>
      <c r="S4356">
        <v>0</v>
      </c>
      <c r="T4356">
        <v>1</v>
      </c>
      <c r="U4356">
        <v>0</v>
      </c>
      <c r="V4356">
        <v>0</v>
      </c>
      <c r="W4356">
        <v>1</v>
      </c>
      <c r="X4356">
        <v>0</v>
      </c>
      <c r="Y4356">
        <v>1</v>
      </c>
      <c r="Z4356">
        <v>0</v>
      </c>
      <c r="AA4356">
        <v>1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</row>
    <row r="4357" spans="1:39" x14ac:dyDescent="0.2">
      <c r="A4357" t="str">
        <f>"4353"</f>
        <v>4353</v>
      </c>
      <c r="B4357" t="str">
        <f t="shared" si="242"/>
        <v>1</v>
      </c>
      <c r="C4357" t="str">
        <f t="shared" si="243"/>
        <v>88</v>
      </c>
      <c r="D4357" t="str">
        <f>"34"</f>
        <v>34</v>
      </c>
      <c r="E4357" t="str">
        <f>"1-88-34"</f>
        <v>1-88-34</v>
      </c>
      <c r="F4357" t="s">
        <v>65</v>
      </c>
      <c r="G4357" t="s">
        <v>66</v>
      </c>
      <c r="H4357" t="s">
        <v>67</v>
      </c>
      <c r="S4357">
        <v>0</v>
      </c>
      <c r="T4357">
        <v>1</v>
      </c>
      <c r="U4357">
        <v>0</v>
      </c>
      <c r="V4357">
        <v>0</v>
      </c>
      <c r="W4357">
        <v>1</v>
      </c>
      <c r="X4357">
        <v>0</v>
      </c>
      <c r="Y4357">
        <v>1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1</v>
      </c>
      <c r="AF4357">
        <v>1</v>
      </c>
      <c r="AG4357">
        <v>1</v>
      </c>
      <c r="AH4357">
        <v>1</v>
      </c>
      <c r="AI4357">
        <v>1</v>
      </c>
      <c r="AJ4357">
        <v>1</v>
      </c>
      <c r="AK4357">
        <v>1</v>
      </c>
      <c r="AL4357">
        <v>1</v>
      </c>
      <c r="AM4357">
        <v>1</v>
      </c>
    </row>
    <row r="4358" spans="1:39" x14ac:dyDescent="0.2">
      <c r="A4358" t="str">
        <f>"4354"</f>
        <v>4354</v>
      </c>
      <c r="B4358" t="str">
        <f t="shared" si="242"/>
        <v>1</v>
      </c>
      <c r="C4358" t="str">
        <f t="shared" si="243"/>
        <v>88</v>
      </c>
      <c r="D4358" t="str">
        <f>"33"</f>
        <v>33</v>
      </c>
      <c r="E4358" t="str">
        <f>"1-88-33"</f>
        <v>1-88-33</v>
      </c>
      <c r="F4358" t="s">
        <v>65</v>
      </c>
      <c r="G4358" t="s">
        <v>66</v>
      </c>
      <c r="H4358" t="s">
        <v>67</v>
      </c>
      <c r="S4358">
        <v>0</v>
      </c>
      <c r="T4358">
        <v>0</v>
      </c>
      <c r="U4358">
        <v>0</v>
      </c>
      <c r="V4358">
        <v>0</v>
      </c>
      <c r="W4358">
        <v>1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1</v>
      </c>
      <c r="AE4358">
        <v>1</v>
      </c>
      <c r="AF4358">
        <v>0</v>
      </c>
      <c r="AG4358">
        <v>1</v>
      </c>
      <c r="AH4358">
        <v>1</v>
      </c>
      <c r="AI4358">
        <v>1</v>
      </c>
      <c r="AJ4358">
        <v>1</v>
      </c>
      <c r="AK4358">
        <v>1</v>
      </c>
      <c r="AL4358">
        <v>1</v>
      </c>
      <c r="AM4358">
        <v>1</v>
      </c>
    </row>
    <row r="4359" spans="1:39" x14ac:dyDescent="0.2">
      <c r="A4359" t="str">
        <f>"4355"</f>
        <v>4355</v>
      </c>
      <c r="B4359" t="str">
        <f t="shared" si="242"/>
        <v>1</v>
      </c>
      <c r="C4359" t="str">
        <f t="shared" si="243"/>
        <v>88</v>
      </c>
      <c r="D4359" t="str">
        <f>"21"</f>
        <v>21</v>
      </c>
      <c r="E4359" t="str">
        <f>"1-88-21"</f>
        <v>1-88-21</v>
      </c>
      <c r="F4359" t="s">
        <v>65</v>
      </c>
      <c r="G4359" t="s">
        <v>66</v>
      </c>
      <c r="H4359" t="s">
        <v>67</v>
      </c>
      <c r="S4359">
        <v>1</v>
      </c>
      <c r="T4359">
        <v>0</v>
      </c>
      <c r="U4359">
        <v>0</v>
      </c>
      <c r="V4359">
        <v>0</v>
      </c>
      <c r="W4359">
        <v>1</v>
      </c>
      <c r="X4359">
        <v>0</v>
      </c>
      <c r="Y4359">
        <v>1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1</v>
      </c>
      <c r="AF4359">
        <v>1</v>
      </c>
      <c r="AG4359">
        <v>1</v>
      </c>
      <c r="AH4359">
        <v>1</v>
      </c>
      <c r="AI4359">
        <v>1</v>
      </c>
      <c r="AJ4359">
        <v>1</v>
      </c>
      <c r="AK4359">
        <v>1</v>
      </c>
      <c r="AL4359">
        <v>1</v>
      </c>
      <c r="AM4359">
        <v>1</v>
      </c>
    </row>
    <row r="4360" spans="1:39" x14ac:dyDescent="0.2">
      <c r="A4360" t="str">
        <f>"4356"</f>
        <v>4356</v>
      </c>
      <c r="B4360" t="str">
        <f t="shared" si="242"/>
        <v>1</v>
      </c>
      <c r="C4360" t="str">
        <f t="shared" si="243"/>
        <v>88</v>
      </c>
      <c r="D4360" t="str">
        <f>"20"</f>
        <v>20</v>
      </c>
      <c r="E4360" t="str">
        <f>"1-88-20"</f>
        <v>1-88-20</v>
      </c>
      <c r="F4360" t="s">
        <v>65</v>
      </c>
      <c r="G4360" t="s">
        <v>66</v>
      </c>
      <c r="H4360" t="s">
        <v>67</v>
      </c>
      <c r="S4360">
        <v>0</v>
      </c>
      <c r="T4360">
        <v>1</v>
      </c>
      <c r="U4360">
        <v>0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0</v>
      </c>
      <c r="AB4360">
        <v>1</v>
      </c>
      <c r="AC4360">
        <v>0</v>
      </c>
      <c r="AD4360">
        <v>1</v>
      </c>
      <c r="AE4360">
        <v>1</v>
      </c>
      <c r="AF4360">
        <v>1</v>
      </c>
      <c r="AG4360">
        <v>1</v>
      </c>
      <c r="AH4360">
        <v>1</v>
      </c>
      <c r="AI4360">
        <v>1</v>
      </c>
      <c r="AJ4360">
        <v>1</v>
      </c>
      <c r="AK4360">
        <v>1</v>
      </c>
      <c r="AL4360">
        <v>1</v>
      </c>
      <c r="AM4360">
        <v>1</v>
      </c>
    </row>
    <row r="4361" spans="1:39" x14ac:dyDescent="0.2">
      <c r="A4361" t="str">
        <f>"4357"</f>
        <v>4357</v>
      </c>
      <c r="B4361" t="str">
        <f t="shared" si="242"/>
        <v>1</v>
      </c>
      <c r="C4361" t="str">
        <f t="shared" si="243"/>
        <v>88</v>
      </c>
      <c r="D4361" t="str">
        <f>"17"</f>
        <v>17</v>
      </c>
      <c r="E4361" t="str">
        <f>"1-88-17"</f>
        <v>1-88-17</v>
      </c>
      <c r="F4361" t="s">
        <v>65</v>
      </c>
      <c r="G4361" t="s">
        <v>66</v>
      </c>
      <c r="H4361" t="s">
        <v>67</v>
      </c>
      <c r="S4361">
        <v>1</v>
      </c>
      <c r="T4361">
        <v>0</v>
      </c>
      <c r="U4361">
        <v>0</v>
      </c>
      <c r="V4361">
        <v>0</v>
      </c>
      <c r="W4361">
        <v>1</v>
      </c>
      <c r="X4361">
        <v>0</v>
      </c>
      <c r="Y4361">
        <v>1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1</v>
      </c>
      <c r="AF4361">
        <v>1</v>
      </c>
      <c r="AG4361">
        <v>1</v>
      </c>
      <c r="AH4361">
        <v>1</v>
      </c>
      <c r="AI4361">
        <v>1</v>
      </c>
      <c r="AJ4361">
        <v>1</v>
      </c>
      <c r="AK4361">
        <v>1</v>
      </c>
      <c r="AL4361">
        <v>1</v>
      </c>
      <c r="AM4361">
        <v>1</v>
      </c>
    </row>
    <row r="4362" spans="1:39" x14ac:dyDescent="0.2">
      <c r="A4362" t="str">
        <f>"4358"</f>
        <v>4358</v>
      </c>
      <c r="B4362" t="str">
        <f t="shared" si="242"/>
        <v>1</v>
      </c>
      <c r="C4362" t="str">
        <f t="shared" si="243"/>
        <v>88</v>
      </c>
      <c r="D4362" t="str">
        <f>"15"</f>
        <v>15</v>
      </c>
      <c r="E4362" t="str">
        <f>"1-88-15"</f>
        <v>1-88-15</v>
      </c>
      <c r="F4362" t="s">
        <v>65</v>
      </c>
      <c r="G4362" t="s">
        <v>66</v>
      </c>
      <c r="H4362" t="s">
        <v>67</v>
      </c>
      <c r="S4362">
        <v>0</v>
      </c>
      <c r="T4362">
        <v>1</v>
      </c>
      <c r="U4362">
        <v>0</v>
      </c>
      <c r="V4362">
        <v>0</v>
      </c>
      <c r="W4362">
        <v>0</v>
      </c>
      <c r="X4362">
        <v>1</v>
      </c>
      <c r="Y4362">
        <v>1</v>
      </c>
      <c r="Z4362">
        <v>0</v>
      </c>
      <c r="AA4362">
        <v>0</v>
      </c>
      <c r="AB4362">
        <v>0</v>
      </c>
      <c r="AC4362">
        <v>1</v>
      </c>
      <c r="AD4362">
        <v>1</v>
      </c>
      <c r="AE4362">
        <v>1</v>
      </c>
      <c r="AF4362">
        <v>1</v>
      </c>
      <c r="AG4362">
        <v>1</v>
      </c>
      <c r="AH4362">
        <v>1</v>
      </c>
      <c r="AI4362">
        <v>1</v>
      </c>
      <c r="AJ4362">
        <v>1</v>
      </c>
      <c r="AK4362">
        <v>1</v>
      </c>
      <c r="AL4362">
        <v>1</v>
      </c>
      <c r="AM4362">
        <v>1</v>
      </c>
    </row>
    <row r="4363" spans="1:39" x14ac:dyDescent="0.2">
      <c r="A4363" t="str">
        <f>"4359"</f>
        <v>4359</v>
      </c>
      <c r="B4363" t="str">
        <f t="shared" si="242"/>
        <v>1</v>
      </c>
      <c r="C4363" t="str">
        <f t="shared" si="243"/>
        <v>88</v>
      </c>
      <c r="D4363" t="str">
        <f>"3"</f>
        <v>3</v>
      </c>
      <c r="E4363" t="str">
        <f>"1-88-3"</f>
        <v>1-88-3</v>
      </c>
      <c r="F4363" t="s">
        <v>65</v>
      </c>
      <c r="G4363" t="s">
        <v>66</v>
      </c>
      <c r="H4363" t="s">
        <v>67</v>
      </c>
      <c r="S4363">
        <v>0</v>
      </c>
      <c r="T4363">
        <v>1</v>
      </c>
      <c r="U4363">
        <v>0</v>
      </c>
      <c r="V4363">
        <v>0</v>
      </c>
      <c r="W4363">
        <v>1</v>
      </c>
      <c r="X4363">
        <v>0</v>
      </c>
      <c r="Y4363">
        <v>0</v>
      </c>
      <c r="Z4363">
        <v>1</v>
      </c>
      <c r="AA4363">
        <v>1</v>
      </c>
      <c r="AB4363">
        <v>0</v>
      </c>
      <c r="AC4363">
        <v>0</v>
      </c>
      <c r="AD4363">
        <v>1</v>
      </c>
      <c r="AE4363">
        <v>1</v>
      </c>
      <c r="AF4363">
        <v>1</v>
      </c>
      <c r="AG4363">
        <v>1</v>
      </c>
      <c r="AH4363">
        <v>0</v>
      </c>
      <c r="AI4363">
        <v>1</v>
      </c>
      <c r="AJ4363">
        <v>1</v>
      </c>
      <c r="AK4363">
        <v>1</v>
      </c>
      <c r="AL4363">
        <v>1</v>
      </c>
      <c r="AM4363">
        <v>1</v>
      </c>
    </row>
    <row r="4364" spans="1:39" x14ac:dyDescent="0.2">
      <c r="A4364" t="str">
        <f>"4360"</f>
        <v>4360</v>
      </c>
      <c r="B4364" t="str">
        <f t="shared" si="242"/>
        <v>1</v>
      </c>
      <c r="C4364" t="str">
        <f t="shared" si="243"/>
        <v>88</v>
      </c>
      <c r="D4364" t="str">
        <f>"38"</f>
        <v>38</v>
      </c>
      <c r="E4364" t="str">
        <f>"1-88-38"</f>
        <v>1-88-38</v>
      </c>
      <c r="F4364" t="s">
        <v>65</v>
      </c>
      <c r="G4364" t="s">
        <v>66</v>
      </c>
      <c r="H4364" t="s">
        <v>67</v>
      </c>
      <c r="S4364">
        <v>1</v>
      </c>
      <c r="T4364">
        <v>0</v>
      </c>
      <c r="U4364">
        <v>0</v>
      </c>
      <c r="V4364">
        <v>0</v>
      </c>
      <c r="W4364">
        <v>1</v>
      </c>
      <c r="X4364">
        <v>0</v>
      </c>
      <c r="Y4364">
        <v>1</v>
      </c>
      <c r="Z4364">
        <v>0</v>
      </c>
      <c r="AA4364">
        <v>1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1</v>
      </c>
      <c r="AH4364">
        <v>0</v>
      </c>
      <c r="AI4364">
        <v>0</v>
      </c>
      <c r="AJ4364">
        <v>1</v>
      </c>
      <c r="AK4364">
        <v>0</v>
      </c>
      <c r="AL4364">
        <v>0</v>
      </c>
      <c r="AM4364">
        <v>0</v>
      </c>
    </row>
    <row r="4365" spans="1:39" x14ac:dyDescent="0.2">
      <c r="A4365" t="str">
        <f>"4361"</f>
        <v>4361</v>
      </c>
      <c r="B4365" t="str">
        <f t="shared" si="242"/>
        <v>1</v>
      </c>
      <c r="C4365" t="str">
        <f t="shared" si="243"/>
        <v>88</v>
      </c>
      <c r="D4365" t="str">
        <f>"37"</f>
        <v>37</v>
      </c>
      <c r="E4365" t="str">
        <f>"1-88-37"</f>
        <v>1-88-37</v>
      </c>
      <c r="F4365" t="s">
        <v>65</v>
      </c>
      <c r="G4365" t="s">
        <v>66</v>
      </c>
      <c r="H4365" t="s">
        <v>67</v>
      </c>
      <c r="S4365">
        <v>1</v>
      </c>
      <c r="T4365">
        <v>0</v>
      </c>
      <c r="U4365">
        <v>0</v>
      </c>
      <c r="V4365">
        <v>0</v>
      </c>
      <c r="W4365">
        <v>1</v>
      </c>
      <c r="X4365">
        <v>0</v>
      </c>
      <c r="Y4365">
        <v>1</v>
      </c>
      <c r="Z4365">
        <v>0</v>
      </c>
      <c r="AA4365">
        <v>1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1</v>
      </c>
      <c r="AH4365">
        <v>1</v>
      </c>
      <c r="AI4365">
        <v>1</v>
      </c>
      <c r="AJ4365">
        <v>1</v>
      </c>
      <c r="AK4365">
        <v>1</v>
      </c>
      <c r="AL4365">
        <v>1</v>
      </c>
      <c r="AM4365">
        <v>0</v>
      </c>
    </row>
    <row r="4366" spans="1:39" x14ac:dyDescent="0.2">
      <c r="A4366" t="str">
        <f>"4362"</f>
        <v>4362</v>
      </c>
      <c r="B4366" t="str">
        <f t="shared" si="242"/>
        <v>1</v>
      </c>
      <c r="C4366" t="str">
        <f t="shared" si="243"/>
        <v>88</v>
      </c>
      <c r="D4366" t="str">
        <f>"23"</f>
        <v>23</v>
      </c>
      <c r="E4366" t="str">
        <f>"1-88-23"</f>
        <v>1-88-23</v>
      </c>
      <c r="F4366" t="s">
        <v>65</v>
      </c>
      <c r="G4366" t="s">
        <v>66</v>
      </c>
      <c r="H4366" t="s">
        <v>67</v>
      </c>
      <c r="S4366">
        <v>0</v>
      </c>
      <c r="T4366">
        <v>1</v>
      </c>
      <c r="U4366">
        <v>0</v>
      </c>
      <c r="V4366">
        <v>0</v>
      </c>
      <c r="W4366">
        <v>1</v>
      </c>
      <c r="X4366">
        <v>0</v>
      </c>
      <c r="Y4366">
        <v>1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1</v>
      </c>
      <c r="AF4366">
        <v>1</v>
      </c>
      <c r="AG4366">
        <v>1</v>
      </c>
      <c r="AH4366">
        <v>1</v>
      </c>
      <c r="AI4366">
        <v>1</v>
      </c>
      <c r="AJ4366">
        <v>1</v>
      </c>
      <c r="AK4366">
        <v>1</v>
      </c>
      <c r="AL4366">
        <v>1</v>
      </c>
      <c r="AM4366">
        <v>1</v>
      </c>
    </row>
    <row r="4367" spans="1:39" x14ac:dyDescent="0.2">
      <c r="A4367" t="str">
        <f>"4363"</f>
        <v>4363</v>
      </c>
      <c r="B4367" t="str">
        <f t="shared" si="242"/>
        <v>1</v>
      </c>
      <c r="C4367" t="str">
        <f t="shared" si="243"/>
        <v>88</v>
      </c>
      <c r="D4367" t="str">
        <f>"16"</f>
        <v>16</v>
      </c>
      <c r="E4367" t="str">
        <f>"1-88-16"</f>
        <v>1-88-16</v>
      </c>
      <c r="F4367" t="s">
        <v>65</v>
      </c>
      <c r="G4367" t="s">
        <v>66</v>
      </c>
      <c r="H4367" t="s">
        <v>67</v>
      </c>
      <c r="S4367">
        <v>1</v>
      </c>
      <c r="T4367">
        <v>0</v>
      </c>
      <c r="U4367">
        <v>0</v>
      </c>
      <c r="V4367">
        <v>0</v>
      </c>
      <c r="W4367">
        <v>1</v>
      </c>
      <c r="X4367">
        <v>0</v>
      </c>
      <c r="Y4367">
        <v>1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1</v>
      </c>
      <c r="AF4367">
        <v>0</v>
      </c>
      <c r="AG4367">
        <v>1</v>
      </c>
      <c r="AH4367">
        <v>1</v>
      </c>
      <c r="AI4367">
        <v>1</v>
      </c>
      <c r="AJ4367">
        <v>1</v>
      </c>
      <c r="AK4367">
        <v>1</v>
      </c>
      <c r="AL4367">
        <v>1</v>
      </c>
      <c r="AM4367">
        <v>1</v>
      </c>
    </row>
    <row r="4368" spans="1:39" x14ac:dyDescent="0.2">
      <c r="A4368" t="str">
        <f>"4364"</f>
        <v>4364</v>
      </c>
      <c r="B4368" t="str">
        <f t="shared" si="242"/>
        <v>1</v>
      </c>
      <c r="C4368" t="str">
        <f t="shared" si="243"/>
        <v>88</v>
      </c>
      <c r="D4368" t="str">
        <f>"4"</f>
        <v>4</v>
      </c>
      <c r="E4368" t="str">
        <f>"1-88-4"</f>
        <v>1-88-4</v>
      </c>
      <c r="F4368" t="s">
        <v>65</v>
      </c>
      <c r="G4368" t="s">
        <v>66</v>
      </c>
      <c r="H4368" t="s">
        <v>67</v>
      </c>
      <c r="S4368">
        <v>0</v>
      </c>
      <c r="T4368">
        <v>1</v>
      </c>
      <c r="U4368">
        <v>0</v>
      </c>
      <c r="V4368">
        <v>0</v>
      </c>
      <c r="W4368">
        <v>1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1</v>
      </c>
      <c r="AJ4368">
        <v>0</v>
      </c>
      <c r="AK4368">
        <v>0</v>
      </c>
      <c r="AL4368">
        <v>1</v>
      </c>
      <c r="AM4368">
        <v>1</v>
      </c>
    </row>
    <row r="4369" spans="1:39" x14ac:dyDescent="0.2">
      <c r="A4369" t="str">
        <f>"4365"</f>
        <v>4365</v>
      </c>
      <c r="B4369" t="str">
        <f t="shared" si="242"/>
        <v>1</v>
      </c>
      <c r="C4369" t="str">
        <f t="shared" si="243"/>
        <v>88</v>
      </c>
      <c r="D4369" t="str">
        <f>"35"</f>
        <v>35</v>
      </c>
      <c r="E4369" t="str">
        <f>"1-88-35"</f>
        <v>1-88-35</v>
      </c>
      <c r="F4369" t="s">
        <v>65</v>
      </c>
      <c r="G4369" t="s">
        <v>66</v>
      </c>
      <c r="H4369" t="s">
        <v>67</v>
      </c>
      <c r="S4369">
        <v>1</v>
      </c>
      <c r="T4369">
        <v>0</v>
      </c>
      <c r="U4369">
        <v>0</v>
      </c>
      <c r="V4369">
        <v>0</v>
      </c>
      <c r="W4369">
        <v>0</v>
      </c>
      <c r="X4369">
        <v>1</v>
      </c>
      <c r="Y4369">
        <v>1</v>
      </c>
      <c r="Z4369">
        <v>0</v>
      </c>
      <c r="AA4369">
        <v>0</v>
      </c>
      <c r="AB4369">
        <v>0</v>
      </c>
      <c r="AC4369">
        <v>1</v>
      </c>
      <c r="AD4369">
        <v>1</v>
      </c>
      <c r="AE4369">
        <v>1</v>
      </c>
      <c r="AF4369">
        <v>1</v>
      </c>
      <c r="AG4369">
        <v>1</v>
      </c>
      <c r="AH4369">
        <v>1</v>
      </c>
      <c r="AI4369">
        <v>1</v>
      </c>
      <c r="AJ4369">
        <v>1</v>
      </c>
      <c r="AK4369">
        <v>1</v>
      </c>
      <c r="AL4369">
        <v>1</v>
      </c>
      <c r="AM4369">
        <v>1</v>
      </c>
    </row>
    <row r="4370" spans="1:39" x14ac:dyDescent="0.2">
      <c r="A4370" t="str">
        <f>"4366"</f>
        <v>4366</v>
      </c>
      <c r="B4370" t="str">
        <f t="shared" si="242"/>
        <v>1</v>
      </c>
      <c r="C4370" t="str">
        <f t="shared" si="243"/>
        <v>88</v>
      </c>
      <c r="D4370" t="str">
        <f>"18"</f>
        <v>18</v>
      </c>
      <c r="E4370" t="str">
        <f>"1-88-18"</f>
        <v>1-88-18</v>
      </c>
      <c r="F4370" t="s">
        <v>65</v>
      </c>
      <c r="G4370" t="s">
        <v>66</v>
      </c>
      <c r="H4370" t="s">
        <v>67</v>
      </c>
      <c r="S4370">
        <v>1</v>
      </c>
      <c r="T4370">
        <v>0</v>
      </c>
      <c r="U4370">
        <v>0</v>
      </c>
      <c r="V4370">
        <v>0</v>
      </c>
      <c r="W4370">
        <v>1</v>
      </c>
      <c r="X4370">
        <v>0</v>
      </c>
      <c r="Y4370">
        <v>0</v>
      </c>
      <c r="Z4370">
        <v>1</v>
      </c>
      <c r="AA4370">
        <v>0</v>
      </c>
      <c r="AB4370">
        <v>0</v>
      </c>
      <c r="AC4370">
        <v>1</v>
      </c>
      <c r="AD4370">
        <v>1</v>
      </c>
      <c r="AE4370">
        <v>1</v>
      </c>
      <c r="AF4370">
        <v>1</v>
      </c>
      <c r="AG4370">
        <v>1</v>
      </c>
      <c r="AH4370">
        <v>1</v>
      </c>
      <c r="AI4370">
        <v>1</v>
      </c>
      <c r="AJ4370">
        <v>1</v>
      </c>
      <c r="AK4370">
        <v>1</v>
      </c>
      <c r="AL4370">
        <v>1</v>
      </c>
      <c r="AM4370">
        <v>1</v>
      </c>
    </row>
    <row r="4371" spans="1:39" x14ac:dyDescent="0.2">
      <c r="A4371" t="str">
        <f>"4367"</f>
        <v>4367</v>
      </c>
      <c r="B4371" t="str">
        <f t="shared" si="242"/>
        <v>1</v>
      </c>
      <c r="C4371" t="str">
        <f t="shared" si="243"/>
        <v>88</v>
      </c>
      <c r="D4371" t="str">
        <f>"6"</f>
        <v>6</v>
      </c>
      <c r="E4371" t="str">
        <f>"1-88-6"</f>
        <v>1-88-6</v>
      </c>
      <c r="F4371" t="s">
        <v>65</v>
      </c>
      <c r="G4371" t="s">
        <v>66</v>
      </c>
      <c r="H4371" t="s">
        <v>67</v>
      </c>
      <c r="S4371">
        <v>1</v>
      </c>
      <c r="T4371">
        <v>0</v>
      </c>
      <c r="U4371">
        <v>0</v>
      </c>
      <c r="V4371">
        <v>0</v>
      </c>
      <c r="W4371">
        <v>0</v>
      </c>
      <c r="X4371">
        <v>1</v>
      </c>
      <c r="Y4371">
        <v>1</v>
      </c>
      <c r="Z4371">
        <v>0</v>
      </c>
      <c r="AA4371">
        <v>0</v>
      </c>
      <c r="AB4371">
        <v>0</v>
      </c>
      <c r="AC4371">
        <v>1</v>
      </c>
      <c r="AD4371">
        <v>0</v>
      </c>
      <c r="AE4371">
        <v>1</v>
      </c>
      <c r="AF4371">
        <v>1</v>
      </c>
      <c r="AG4371">
        <v>1</v>
      </c>
      <c r="AH4371">
        <v>1</v>
      </c>
      <c r="AI4371">
        <v>1</v>
      </c>
      <c r="AJ4371">
        <v>1</v>
      </c>
      <c r="AK4371">
        <v>0</v>
      </c>
      <c r="AL4371">
        <v>1</v>
      </c>
      <c r="AM4371">
        <v>1</v>
      </c>
    </row>
    <row r="4372" spans="1:39" x14ac:dyDescent="0.2">
      <c r="A4372" t="str">
        <f>"4368"</f>
        <v>4368</v>
      </c>
      <c r="B4372" t="str">
        <f t="shared" si="242"/>
        <v>1</v>
      </c>
      <c r="C4372" t="str">
        <f t="shared" si="243"/>
        <v>88</v>
      </c>
      <c r="D4372" t="str">
        <f>"36"</f>
        <v>36</v>
      </c>
      <c r="E4372" t="str">
        <f>"1-88-36"</f>
        <v>1-88-36</v>
      </c>
      <c r="F4372" t="s">
        <v>65</v>
      </c>
      <c r="G4372" t="s">
        <v>66</v>
      </c>
      <c r="H4372" t="s">
        <v>67</v>
      </c>
      <c r="S4372">
        <v>1</v>
      </c>
      <c r="T4372">
        <v>0</v>
      </c>
      <c r="U4372">
        <v>0</v>
      </c>
      <c r="V4372">
        <v>0</v>
      </c>
      <c r="W4372">
        <v>0</v>
      </c>
      <c r="X4372">
        <v>1</v>
      </c>
      <c r="Y4372">
        <v>1</v>
      </c>
      <c r="Z4372">
        <v>0</v>
      </c>
      <c r="AA4372">
        <v>0</v>
      </c>
      <c r="AB4372">
        <v>0</v>
      </c>
      <c r="AC4372">
        <v>1</v>
      </c>
      <c r="AD4372">
        <v>1</v>
      </c>
      <c r="AE4372">
        <v>1</v>
      </c>
      <c r="AF4372">
        <v>1</v>
      </c>
      <c r="AG4372">
        <v>1</v>
      </c>
      <c r="AH4372">
        <v>1</v>
      </c>
      <c r="AI4372">
        <v>1</v>
      </c>
      <c r="AJ4372">
        <v>1</v>
      </c>
      <c r="AK4372">
        <v>1</v>
      </c>
      <c r="AL4372">
        <v>1</v>
      </c>
      <c r="AM4372">
        <v>1</v>
      </c>
    </row>
    <row r="4373" spans="1:39" x14ac:dyDescent="0.2">
      <c r="A4373" t="str">
        <f>"4369"</f>
        <v>4369</v>
      </c>
      <c r="B4373" t="str">
        <f t="shared" si="242"/>
        <v>1</v>
      </c>
      <c r="C4373" t="str">
        <f t="shared" si="243"/>
        <v>88</v>
      </c>
      <c r="D4373" t="str">
        <f>"13"</f>
        <v>13</v>
      </c>
      <c r="E4373" t="str">
        <f>"1-88-13"</f>
        <v>1-88-13</v>
      </c>
      <c r="F4373" t="s">
        <v>65</v>
      </c>
      <c r="G4373" t="s">
        <v>66</v>
      </c>
      <c r="H4373" t="s">
        <v>67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1</v>
      </c>
      <c r="Y4373">
        <v>0</v>
      </c>
      <c r="Z4373">
        <v>1</v>
      </c>
      <c r="AA4373">
        <v>0</v>
      </c>
      <c r="AB4373">
        <v>0</v>
      </c>
      <c r="AC4373">
        <v>1</v>
      </c>
      <c r="AD4373">
        <v>1</v>
      </c>
      <c r="AE4373">
        <v>1</v>
      </c>
      <c r="AF4373">
        <v>1</v>
      </c>
      <c r="AG4373">
        <v>1</v>
      </c>
      <c r="AH4373">
        <v>1</v>
      </c>
      <c r="AI4373">
        <v>1</v>
      </c>
      <c r="AJ4373">
        <v>1</v>
      </c>
      <c r="AK4373">
        <v>1</v>
      </c>
      <c r="AL4373">
        <v>1</v>
      </c>
      <c r="AM4373">
        <v>1</v>
      </c>
    </row>
    <row r="4374" spans="1:39" x14ac:dyDescent="0.2">
      <c r="A4374" t="str">
        <f>"4370"</f>
        <v>4370</v>
      </c>
      <c r="B4374" t="str">
        <f t="shared" si="242"/>
        <v>1</v>
      </c>
      <c r="C4374" t="str">
        <f t="shared" si="243"/>
        <v>88</v>
      </c>
      <c r="D4374" t="str">
        <f>"41"</f>
        <v>41</v>
      </c>
      <c r="E4374" t="str">
        <f>"1-88-41"</f>
        <v>1-88-41</v>
      </c>
      <c r="F4374" t="s">
        <v>65</v>
      </c>
      <c r="G4374" t="s">
        <v>66</v>
      </c>
      <c r="H4374" t="s">
        <v>67</v>
      </c>
      <c r="S4374">
        <v>0</v>
      </c>
      <c r="T4374">
        <v>1</v>
      </c>
      <c r="U4374">
        <v>0</v>
      </c>
      <c r="V4374">
        <v>0</v>
      </c>
      <c r="W4374">
        <v>1</v>
      </c>
      <c r="X4374">
        <v>0</v>
      </c>
      <c r="Y4374">
        <v>0</v>
      </c>
      <c r="Z4374">
        <v>1</v>
      </c>
      <c r="AA4374">
        <v>0</v>
      </c>
      <c r="AB4374">
        <v>1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1</v>
      </c>
      <c r="AM4374">
        <v>0</v>
      </c>
    </row>
    <row r="4375" spans="1:39" x14ac:dyDescent="0.2">
      <c r="A4375" t="str">
        <f>"4371"</f>
        <v>4371</v>
      </c>
      <c r="B4375" t="str">
        <f t="shared" si="242"/>
        <v>1</v>
      </c>
      <c r="C4375" t="str">
        <f t="shared" si="243"/>
        <v>88</v>
      </c>
      <c r="D4375" t="str">
        <f>"22"</f>
        <v>22</v>
      </c>
      <c r="E4375" t="str">
        <f>"1-88-22"</f>
        <v>1-88-22</v>
      </c>
      <c r="F4375" t="s">
        <v>65</v>
      </c>
      <c r="G4375" t="s">
        <v>66</v>
      </c>
      <c r="H4375" t="s">
        <v>67</v>
      </c>
      <c r="S4375">
        <v>0</v>
      </c>
      <c r="T4375">
        <v>1</v>
      </c>
      <c r="U4375">
        <v>0</v>
      </c>
      <c r="V4375">
        <v>0</v>
      </c>
      <c r="W4375">
        <v>1</v>
      </c>
      <c r="X4375">
        <v>0</v>
      </c>
      <c r="Y4375">
        <v>0</v>
      </c>
      <c r="Z4375">
        <v>1</v>
      </c>
      <c r="AA4375">
        <v>1</v>
      </c>
      <c r="AB4375">
        <v>0</v>
      </c>
      <c r="AC4375">
        <v>0</v>
      </c>
      <c r="AD4375">
        <v>1</v>
      </c>
      <c r="AE4375">
        <v>1</v>
      </c>
      <c r="AF4375">
        <v>1</v>
      </c>
      <c r="AG4375">
        <v>1</v>
      </c>
      <c r="AH4375">
        <v>1</v>
      </c>
      <c r="AI4375">
        <v>1</v>
      </c>
      <c r="AJ4375">
        <v>1</v>
      </c>
      <c r="AK4375">
        <v>1</v>
      </c>
      <c r="AL4375">
        <v>1</v>
      </c>
      <c r="AM4375">
        <v>1</v>
      </c>
    </row>
    <row r="4376" spans="1:39" x14ac:dyDescent="0.2">
      <c r="A4376" t="str">
        <f>"4372"</f>
        <v>4372</v>
      </c>
      <c r="B4376" t="str">
        <f t="shared" si="242"/>
        <v>1</v>
      </c>
      <c r="C4376" t="str">
        <f t="shared" si="243"/>
        <v>88</v>
      </c>
      <c r="D4376" t="str">
        <f>"1"</f>
        <v>1</v>
      </c>
      <c r="E4376" t="str">
        <f>"1-88-1"</f>
        <v>1-88-1</v>
      </c>
      <c r="F4376" t="s">
        <v>65</v>
      </c>
      <c r="G4376" t="s">
        <v>66</v>
      </c>
      <c r="H4376" t="s">
        <v>67</v>
      </c>
      <c r="S4376">
        <v>1</v>
      </c>
      <c r="T4376">
        <v>0</v>
      </c>
      <c r="U4376">
        <v>0</v>
      </c>
      <c r="V4376">
        <v>0</v>
      </c>
      <c r="W4376">
        <v>1</v>
      </c>
      <c r="X4376">
        <v>0</v>
      </c>
      <c r="Y4376">
        <v>1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1</v>
      </c>
      <c r="AF4376">
        <v>1</v>
      </c>
      <c r="AG4376">
        <v>1</v>
      </c>
      <c r="AH4376">
        <v>1</v>
      </c>
      <c r="AI4376">
        <v>1</v>
      </c>
      <c r="AJ4376">
        <v>1</v>
      </c>
      <c r="AK4376">
        <v>1</v>
      </c>
      <c r="AL4376">
        <v>1</v>
      </c>
      <c r="AM4376">
        <v>1</v>
      </c>
    </row>
    <row r="4377" spans="1:39" x14ac:dyDescent="0.2">
      <c r="A4377" t="str">
        <f>"4373"</f>
        <v>4373</v>
      </c>
      <c r="B4377" t="str">
        <f t="shared" si="242"/>
        <v>1</v>
      </c>
      <c r="C4377" t="str">
        <f t="shared" si="243"/>
        <v>88</v>
      </c>
      <c r="D4377" t="str">
        <f>"43"</f>
        <v>43</v>
      </c>
      <c r="E4377" t="str">
        <f>"1-88-43"</f>
        <v>1-88-43</v>
      </c>
      <c r="F4377" t="s">
        <v>65</v>
      </c>
      <c r="G4377" t="s">
        <v>66</v>
      </c>
      <c r="H4377" t="s">
        <v>67</v>
      </c>
      <c r="S4377">
        <v>1</v>
      </c>
      <c r="T4377">
        <v>0</v>
      </c>
      <c r="U4377">
        <v>0</v>
      </c>
      <c r="V4377">
        <v>0</v>
      </c>
      <c r="W4377">
        <v>0</v>
      </c>
      <c r="X4377">
        <v>1</v>
      </c>
      <c r="Y4377">
        <v>1</v>
      </c>
      <c r="Z4377">
        <v>0</v>
      </c>
      <c r="AA4377">
        <v>0</v>
      </c>
      <c r="AB4377">
        <v>1</v>
      </c>
      <c r="AC4377">
        <v>0</v>
      </c>
      <c r="AD4377">
        <v>1</v>
      </c>
      <c r="AE4377">
        <v>1</v>
      </c>
      <c r="AF4377">
        <v>1</v>
      </c>
      <c r="AG4377">
        <v>1</v>
      </c>
      <c r="AH4377">
        <v>1</v>
      </c>
      <c r="AI4377">
        <v>1</v>
      </c>
      <c r="AJ4377">
        <v>1</v>
      </c>
      <c r="AK4377">
        <v>1</v>
      </c>
      <c r="AL4377">
        <v>1</v>
      </c>
      <c r="AM4377">
        <v>1</v>
      </c>
    </row>
    <row r="4378" spans="1:39" x14ac:dyDescent="0.2">
      <c r="A4378" t="str">
        <f>"4374"</f>
        <v>4374</v>
      </c>
      <c r="B4378" t="str">
        <f t="shared" si="242"/>
        <v>1</v>
      </c>
      <c r="C4378" t="str">
        <f t="shared" si="243"/>
        <v>88</v>
      </c>
      <c r="D4378" t="str">
        <f>"24"</f>
        <v>24</v>
      </c>
      <c r="E4378" t="str">
        <f>"1-88-24"</f>
        <v>1-88-24</v>
      </c>
      <c r="F4378" t="s">
        <v>65</v>
      </c>
      <c r="G4378" t="s">
        <v>66</v>
      </c>
      <c r="H4378" t="s">
        <v>67</v>
      </c>
      <c r="S4378">
        <v>0</v>
      </c>
      <c r="T4378">
        <v>1</v>
      </c>
      <c r="U4378">
        <v>0</v>
      </c>
      <c r="V4378">
        <v>0</v>
      </c>
      <c r="W4378">
        <v>1</v>
      </c>
      <c r="X4378">
        <v>0</v>
      </c>
      <c r="Y4378">
        <v>0</v>
      </c>
      <c r="Z4378">
        <v>1</v>
      </c>
      <c r="AA4378">
        <v>1</v>
      </c>
      <c r="AB4378">
        <v>0</v>
      </c>
      <c r="AC4378">
        <v>0</v>
      </c>
      <c r="AD4378">
        <v>1</v>
      </c>
      <c r="AE4378">
        <v>1</v>
      </c>
      <c r="AF4378">
        <v>1</v>
      </c>
      <c r="AG4378">
        <v>1</v>
      </c>
      <c r="AH4378">
        <v>1</v>
      </c>
      <c r="AI4378">
        <v>1</v>
      </c>
      <c r="AJ4378">
        <v>1</v>
      </c>
      <c r="AK4378">
        <v>1</v>
      </c>
      <c r="AL4378">
        <v>1</v>
      </c>
      <c r="AM4378">
        <v>1</v>
      </c>
    </row>
    <row r="4379" spans="1:39" x14ac:dyDescent="0.2">
      <c r="A4379" t="str">
        <f>"4375"</f>
        <v>4375</v>
      </c>
      <c r="B4379" t="str">
        <f t="shared" si="242"/>
        <v>1</v>
      </c>
      <c r="C4379" t="str">
        <f t="shared" si="243"/>
        <v>88</v>
      </c>
      <c r="D4379" t="str">
        <f>"11"</f>
        <v>11</v>
      </c>
      <c r="E4379" t="str">
        <f>"1-88-11"</f>
        <v>1-88-11</v>
      </c>
      <c r="F4379" t="s">
        <v>65</v>
      </c>
      <c r="G4379" t="s">
        <v>66</v>
      </c>
      <c r="H4379" t="s">
        <v>67</v>
      </c>
      <c r="S4379">
        <v>0</v>
      </c>
      <c r="T4379">
        <v>1</v>
      </c>
      <c r="U4379">
        <v>0</v>
      </c>
      <c r="V4379">
        <v>0</v>
      </c>
      <c r="W4379">
        <v>1</v>
      </c>
      <c r="X4379">
        <v>0</v>
      </c>
      <c r="Y4379">
        <v>1</v>
      </c>
      <c r="Z4379">
        <v>0</v>
      </c>
      <c r="AA4379">
        <v>0</v>
      </c>
      <c r="AB4379">
        <v>0</v>
      </c>
      <c r="AC4379">
        <v>1</v>
      </c>
      <c r="AD4379">
        <v>1</v>
      </c>
      <c r="AE4379">
        <v>1</v>
      </c>
      <c r="AF4379">
        <v>1</v>
      </c>
      <c r="AG4379">
        <v>1</v>
      </c>
      <c r="AH4379">
        <v>1</v>
      </c>
      <c r="AI4379">
        <v>1</v>
      </c>
      <c r="AJ4379">
        <v>1</v>
      </c>
      <c r="AK4379">
        <v>1</v>
      </c>
      <c r="AL4379">
        <v>1</v>
      </c>
      <c r="AM4379">
        <v>1</v>
      </c>
    </row>
    <row r="4380" spans="1:39" x14ac:dyDescent="0.2">
      <c r="A4380" t="str">
        <f>"4376"</f>
        <v>4376</v>
      </c>
      <c r="B4380" t="str">
        <f t="shared" si="242"/>
        <v>1</v>
      </c>
      <c r="C4380" t="str">
        <f t="shared" si="243"/>
        <v>88</v>
      </c>
      <c r="D4380" t="str">
        <f>"42"</f>
        <v>42</v>
      </c>
      <c r="E4380" t="str">
        <f>"1-88-42"</f>
        <v>1-88-42</v>
      </c>
      <c r="F4380" t="s">
        <v>65</v>
      </c>
      <c r="G4380" t="s">
        <v>66</v>
      </c>
      <c r="H4380" t="s">
        <v>67</v>
      </c>
      <c r="S4380">
        <v>1</v>
      </c>
      <c r="T4380">
        <v>0</v>
      </c>
      <c r="U4380">
        <v>0</v>
      </c>
      <c r="V4380">
        <v>0</v>
      </c>
      <c r="W4380">
        <v>1</v>
      </c>
      <c r="X4380">
        <v>0</v>
      </c>
      <c r="Y4380">
        <v>1</v>
      </c>
      <c r="Z4380">
        <v>0</v>
      </c>
      <c r="AA4380">
        <v>1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1</v>
      </c>
      <c r="AH4380">
        <v>0</v>
      </c>
      <c r="AI4380">
        <v>1</v>
      </c>
      <c r="AJ4380">
        <v>0</v>
      </c>
      <c r="AK4380">
        <v>0</v>
      </c>
      <c r="AL4380">
        <v>1</v>
      </c>
      <c r="AM4380">
        <v>0</v>
      </c>
    </row>
    <row r="4381" spans="1:39" x14ac:dyDescent="0.2">
      <c r="A4381" t="str">
        <f>"4377"</f>
        <v>4377</v>
      </c>
      <c r="B4381" t="str">
        <f t="shared" si="242"/>
        <v>1</v>
      </c>
      <c r="C4381" t="str">
        <f t="shared" si="243"/>
        <v>88</v>
      </c>
      <c r="D4381" t="str">
        <f>"25"</f>
        <v>25</v>
      </c>
      <c r="E4381" t="str">
        <f>"1-88-25"</f>
        <v>1-88-25</v>
      </c>
      <c r="F4381" t="s">
        <v>65</v>
      </c>
      <c r="G4381" t="s">
        <v>66</v>
      </c>
      <c r="H4381" t="s">
        <v>67</v>
      </c>
      <c r="S4381">
        <v>1</v>
      </c>
      <c r="T4381">
        <v>0</v>
      </c>
      <c r="U4381">
        <v>0</v>
      </c>
      <c r="V4381">
        <v>0</v>
      </c>
      <c r="W4381">
        <v>1</v>
      </c>
      <c r="X4381">
        <v>0</v>
      </c>
      <c r="Y4381">
        <v>0</v>
      </c>
      <c r="Z4381">
        <v>1</v>
      </c>
      <c r="AA4381">
        <v>1</v>
      </c>
      <c r="AB4381">
        <v>0</v>
      </c>
      <c r="AC4381">
        <v>0</v>
      </c>
      <c r="AD4381">
        <v>1</v>
      </c>
      <c r="AE4381">
        <v>1</v>
      </c>
      <c r="AF4381">
        <v>1</v>
      </c>
      <c r="AG4381">
        <v>1</v>
      </c>
      <c r="AH4381">
        <v>1</v>
      </c>
      <c r="AI4381">
        <v>1</v>
      </c>
      <c r="AJ4381">
        <v>1</v>
      </c>
      <c r="AK4381">
        <v>1</v>
      </c>
      <c r="AL4381">
        <v>1</v>
      </c>
      <c r="AM4381">
        <v>1</v>
      </c>
    </row>
    <row r="4382" spans="1:39" x14ac:dyDescent="0.2">
      <c r="A4382" t="str">
        <f>"4378"</f>
        <v>4378</v>
      </c>
      <c r="B4382" t="str">
        <f t="shared" si="242"/>
        <v>1</v>
      </c>
      <c r="C4382" t="str">
        <f t="shared" si="243"/>
        <v>88</v>
      </c>
      <c r="D4382" t="str">
        <f>"2"</f>
        <v>2</v>
      </c>
      <c r="E4382" t="str">
        <f>"1-88-2"</f>
        <v>1-88-2</v>
      </c>
      <c r="F4382" t="s">
        <v>65</v>
      </c>
      <c r="G4382" t="s">
        <v>66</v>
      </c>
      <c r="H4382" t="s">
        <v>67</v>
      </c>
      <c r="S4382">
        <v>1</v>
      </c>
      <c r="T4382">
        <v>0</v>
      </c>
      <c r="U4382">
        <v>0</v>
      </c>
      <c r="V4382">
        <v>0</v>
      </c>
      <c r="W4382">
        <v>1</v>
      </c>
      <c r="X4382">
        <v>0</v>
      </c>
      <c r="Y4382">
        <v>0</v>
      </c>
      <c r="Z4382">
        <v>1</v>
      </c>
      <c r="AA4382">
        <v>1</v>
      </c>
      <c r="AB4382">
        <v>0</v>
      </c>
      <c r="AC4382">
        <v>0</v>
      </c>
      <c r="AD4382">
        <v>1</v>
      </c>
      <c r="AE4382">
        <v>1</v>
      </c>
      <c r="AF4382">
        <v>1</v>
      </c>
      <c r="AG4382">
        <v>1</v>
      </c>
      <c r="AH4382">
        <v>1</v>
      </c>
      <c r="AI4382">
        <v>1</v>
      </c>
      <c r="AJ4382">
        <v>1</v>
      </c>
      <c r="AK4382">
        <v>1</v>
      </c>
      <c r="AL4382">
        <v>1</v>
      </c>
      <c r="AM4382">
        <v>1</v>
      </c>
    </row>
    <row r="4383" spans="1:39" x14ac:dyDescent="0.2">
      <c r="A4383" t="str">
        <f>"4379"</f>
        <v>4379</v>
      </c>
      <c r="B4383" t="str">
        <f t="shared" si="242"/>
        <v>1</v>
      </c>
      <c r="C4383" t="str">
        <f t="shared" si="243"/>
        <v>88</v>
      </c>
      <c r="D4383" t="str">
        <f>"45"</f>
        <v>45</v>
      </c>
      <c r="E4383" t="str">
        <f>"1-88-45"</f>
        <v>1-88-45</v>
      </c>
      <c r="F4383" t="s">
        <v>65</v>
      </c>
      <c r="G4383" t="s">
        <v>66</v>
      </c>
      <c r="H4383" t="s">
        <v>67</v>
      </c>
      <c r="S4383">
        <v>0</v>
      </c>
      <c r="T4383">
        <v>1</v>
      </c>
      <c r="U4383">
        <v>0</v>
      </c>
      <c r="V4383">
        <v>0</v>
      </c>
      <c r="W4383">
        <v>1</v>
      </c>
      <c r="X4383">
        <v>0</v>
      </c>
      <c r="Y4383">
        <v>0</v>
      </c>
      <c r="Z4383">
        <v>1</v>
      </c>
      <c r="AA4383">
        <v>1</v>
      </c>
      <c r="AB4383">
        <v>0</v>
      </c>
      <c r="AC4383">
        <v>0</v>
      </c>
      <c r="AD4383">
        <v>1</v>
      </c>
      <c r="AE4383">
        <v>1</v>
      </c>
      <c r="AF4383">
        <v>1</v>
      </c>
      <c r="AG4383">
        <v>1</v>
      </c>
      <c r="AH4383">
        <v>1</v>
      </c>
      <c r="AI4383">
        <v>1</v>
      </c>
      <c r="AJ4383">
        <v>1</v>
      </c>
      <c r="AK4383">
        <v>1</v>
      </c>
      <c r="AL4383">
        <v>1</v>
      </c>
      <c r="AM4383">
        <v>1</v>
      </c>
    </row>
    <row r="4384" spans="1:39" x14ac:dyDescent="0.2">
      <c r="A4384" t="str">
        <f>"4380"</f>
        <v>4380</v>
      </c>
      <c r="B4384" t="str">
        <f t="shared" si="242"/>
        <v>1</v>
      </c>
      <c r="C4384" t="str">
        <f t="shared" si="243"/>
        <v>88</v>
      </c>
      <c r="D4384" t="str">
        <f>"26"</f>
        <v>26</v>
      </c>
      <c r="E4384" t="str">
        <f>"1-88-26"</f>
        <v>1-88-26</v>
      </c>
      <c r="F4384" t="s">
        <v>65</v>
      </c>
      <c r="G4384" t="s">
        <v>66</v>
      </c>
      <c r="H4384" t="s">
        <v>67</v>
      </c>
      <c r="S4384">
        <v>0</v>
      </c>
      <c r="T4384">
        <v>0</v>
      </c>
      <c r="U4384">
        <v>0</v>
      </c>
      <c r="V4384">
        <v>0</v>
      </c>
      <c r="W4384">
        <v>1</v>
      </c>
      <c r="X4384">
        <v>0</v>
      </c>
      <c r="Y4384">
        <v>1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</row>
    <row r="4385" spans="1:39" x14ac:dyDescent="0.2">
      <c r="A4385" t="str">
        <f>"4381"</f>
        <v>4381</v>
      </c>
      <c r="B4385" t="str">
        <f t="shared" si="242"/>
        <v>1</v>
      </c>
      <c r="C4385" t="str">
        <f t="shared" si="243"/>
        <v>88</v>
      </c>
      <c r="D4385" t="str">
        <f>"8"</f>
        <v>8</v>
      </c>
      <c r="E4385" t="str">
        <f>"1-88-8"</f>
        <v>1-88-8</v>
      </c>
      <c r="F4385" t="s">
        <v>65</v>
      </c>
      <c r="G4385" t="s">
        <v>66</v>
      </c>
      <c r="H4385" t="s">
        <v>67</v>
      </c>
      <c r="S4385">
        <v>0</v>
      </c>
      <c r="T4385">
        <v>1</v>
      </c>
      <c r="U4385">
        <v>0</v>
      </c>
      <c r="V4385">
        <v>0</v>
      </c>
      <c r="W4385">
        <v>1</v>
      </c>
      <c r="X4385">
        <v>0</v>
      </c>
      <c r="Y4385">
        <v>0</v>
      </c>
      <c r="Z4385">
        <v>1</v>
      </c>
      <c r="AA4385">
        <v>0</v>
      </c>
      <c r="AB4385">
        <v>0</v>
      </c>
      <c r="AC4385">
        <v>1</v>
      </c>
      <c r="AD4385">
        <v>1</v>
      </c>
      <c r="AE4385">
        <v>1</v>
      </c>
      <c r="AF4385">
        <v>1</v>
      </c>
      <c r="AG4385">
        <v>1</v>
      </c>
      <c r="AH4385">
        <v>1</v>
      </c>
      <c r="AI4385">
        <v>1</v>
      </c>
      <c r="AJ4385">
        <v>1</v>
      </c>
      <c r="AK4385">
        <v>1</v>
      </c>
      <c r="AL4385">
        <v>1</v>
      </c>
      <c r="AM4385">
        <v>1</v>
      </c>
    </row>
    <row r="4386" spans="1:39" x14ac:dyDescent="0.2">
      <c r="A4386" t="str">
        <f>"4382"</f>
        <v>4382</v>
      </c>
      <c r="B4386" t="str">
        <f t="shared" si="242"/>
        <v>1</v>
      </c>
      <c r="C4386" t="str">
        <f t="shared" si="243"/>
        <v>88</v>
      </c>
      <c r="D4386" t="str">
        <f>"44"</f>
        <v>44</v>
      </c>
      <c r="E4386" t="str">
        <f>"1-88-44"</f>
        <v>1-88-44</v>
      </c>
      <c r="F4386" t="s">
        <v>65</v>
      </c>
      <c r="G4386" t="s">
        <v>66</v>
      </c>
      <c r="H4386" t="s">
        <v>67</v>
      </c>
      <c r="S4386">
        <v>1</v>
      </c>
      <c r="T4386">
        <v>0</v>
      </c>
      <c r="U4386">
        <v>0</v>
      </c>
      <c r="V4386">
        <v>0</v>
      </c>
      <c r="W4386">
        <v>1</v>
      </c>
      <c r="X4386">
        <v>0</v>
      </c>
      <c r="Y4386">
        <v>1</v>
      </c>
      <c r="Z4386">
        <v>0</v>
      </c>
      <c r="AA4386">
        <v>0</v>
      </c>
      <c r="AB4386">
        <v>1</v>
      </c>
      <c r="AC4386">
        <v>0</v>
      </c>
      <c r="AD4386">
        <v>1</v>
      </c>
      <c r="AE4386">
        <v>1</v>
      </c>
      <c r="AF4386">
        <v>1</v>
      </c>
      <c r="AG4386">
        <v>1</v>
      </c>
      <c r="AH4386">
        <v>1</v>
      </c>
      <c r="AI4386">
        <v>1</v>
      </c>
      <c r="AJ4386">
        <v>1</v>
      </c>
      <c r="AK4386">
        <v>1</v>
      </c>
      <c r="AL4386">
        <v>1</v>
      </c>
      <c r="AM4386">
        <v>1</v>
      </c>
    </row>
    <row r="4387" spans="1:39" x14ac:dyDescent="0.2">
      <c r="A4387" t="str">
        <f>"4383"</f>
        <v>4383</v>
      </c>
      <c r="B4387" t="str">
        <f t="shared" si="242"/>
        <v>1</v>
      </c>
      <c r="C4387" t="str">
        <f t="shared" ref="C4387:C4404" si="244">"88"</f>
        <v>88</v>
      </c>
      <c r="D4387" t="str">
        <f>"27"</f>
        <v>27</v>
      </c>
      <c r="E4387" t="str">
        <f>"1-88-27"</f>
        <v>1-88-27</v>
      </c>
      <c r="F4387" t="s">
        <v>65</v>
      </c>
      <c r="G4387" t="s">
        <v>66</v>
      </c>
      <c r="H4387" t="s">
        <v>67</v>
      </c>
      <c r="S4387">
        <v>0</v>
      </c>
      <c r="T4387">
        <v>1</v>
      </c>
      <c r="U4387">
        <v>0</v>
      </c>
      <c r="V4387">
        <v>0</v>
      </c>
      <c r="W4387">
        <v>1</v>
      </c>
      <c r="X4387">
        <v>0</v>
      </c>
      <c r="Y4387">
        <v>0</v>
      </c>
      <c r="Z4387">
        <v>1</v>
      </c>
      <c r="AA4387">
        <v>1</v>
      </c>
      <c r="AB4387">
        <v>0</v>
      </c>
      <c r="AC4387">
        <v>0</v>
      </c>
      <c r="AD4387">
        <v>1</v>
      </c>
      <c r="AE4387">
        <v>1</v>
      </c>
      <c r="AF4387">
        <v>1</v>
      </c>
      <c r="AG4387">
        <v>1</v>
      </c>
      <c r="AH4387">
        <v>1</v>
      </c>
      <c r="AI4387">
        <v>1</v>
      </c>
      <c r="AJ4387">
        <v>1</v>
      </c>
      <c r="AK4387">
        <v>1</v>
      </c>
      <c r="AL4387">
        <v>1</v>
      </c>
      <c r="AM4387">
        <v>1</v>
      </c>
    </row>
    <row r="4388" spans="1:39" x14ac:dyDescent="0.2">
      <c r="A4388" t="str">
        <f>"4384"</f>
        <v>4384</v>
      </c>
      <c r="B4388" t="str">
        <f t="shared" si="242"/>
        <v>1</v>
      </c>
      <c r="C4388" t="str">
        <f t="shared" si="244"/>
        <v>88</v>
      </c>
      <c r="D4388" t="str">
        <f>"5"</f>
        <v>5</v>
      </c>
      <c r="E4388" t="str">
        <f>"1-88-5"</f>
        <v>1-88-5</v>
      </c>
      <c r="F4388" t="s">
        <v>65</v>
      </c>
      <c r="G4388" t="s">
        <v>66</v>
      </c>
      <c r="H4388" t="s">
        <v>67</v>
      </c>
      <c r="S4388">
        <v>1</v>
      </c>
      <c r="T4388">
        <v>0</v>
      </c>
      <c r="U4388">
        <v>0</v>
      </c>
      <c r="V4388">
        <v>0</v>
      </c>
      <c r="W4388">
        <v>0</v>
      </c>
      <c r="X4388">
        <v>1</v>
      </c>
      <c r="Y4388">
        <v>1</v>
      </c>
      <c r="Z4388">
        <v>0</v>
      </c>
      <c r="AA4388">
        <v>0</v>
      </c>
      <c r="AB4388">
        <v>1</v>
      </c>
      <c r="AC4388">
        <v>0</v>
      </c>
      <c r="AD4388">
        <v>1</v>
      </c>
      <c r="AE4388">
        <v>1</v>
      </c>
      <c r="AF4388">
        <v>0</v>
      </c>
      <c r="AG4388">
        <v>1</v>
      </c>
      <c r="AH4388">
        <v>1</v>
      </c>
      <c r="AI4388">
        <v>1</v>
      </c>
      <c r="AJ4388">
        <v>1</v>
      </c>
      <c r="AK4388">
        <v>1</v>
      </c>
      <c r="AL4388">
        <v>1</v>
      </c>
      <c r="AM4388">
        <v>1</v>
      </c>
    </row>
    <row r="4389" spans="1:39" x14ac:dyDescent="0.2">
      <c r="A4389" t="str">
        <f>"4385"</f>
        <v>4385</v>
      </c>
      <c r="B4389" t="str">
        <f t="shared" si="242"/>
        <v>1</v>
      </c>
      <c r="C4389" t="str">
        <f t="shared" si="244"/>
        <v>88</v>
      </c>
      <c r="D4389" t="str">
        <f>"46"</f>
        <v>46</v>
      </c>
      <c r="E4389" t="str">
        <f>"1-88-46"</f>
        <v>1-88-46</v>
      </c>
      <c r="F4389" t="s">
        <v>65</v>
      </c>
      <c r="G4389" t="s">
        <v>66</v>
      </c>
      <c r="H4389" t="s">
        <v>67</v>
      </c>
      <c r="S4389">
        <v>0</v>
      </c>
      <c r="T4389">
        <v>1</v>
      </c>
      <c r="U4389">
        <v>0</v>
      </c>
      <c r="V4389">
        <v>0</v>
      </c>
      <c r="W4389">
        <v>1</v>
      </c>
      <c r="X4389">
        <v>0</v>
      </c>
      <c r="Y4389">
        <v>0</v>
      </c>
      <c r="Z4389">
        <v>1</v>
      </c>
      <c r="AA4389">
        <v>1</v>
      </c>
      <c r="AB4389">
        <v>0</v>
      </c>
      <c r="AC4389">
        <v>0</v>
      </c>
      <c r="AD4389">
        <v>1</v>
      </c>
      <c r="AE4389">
        <v>1</v>
      </c>
      <c r="AF4389">
        <v>1</v>
      </c>
      <c r="AG4389">
        <v>1</v>
      </c>
      <c r="AH4389">
        <v>1</v>
      </c>
      <c r="AI4389">
        <v>1</v>
      </c>
      <c r="AJ4389">
        <v>1</v>
      </c>
      <c r="AK4389">
        <v>1</v>
      </c>
      <c r="AL4389">
        <v>1</v>
      </c>
      <c r="AM4389">
        <v>1</v>
      </c>
    </row>
    <row r="4390" spans="1:39" x14ac:dyDescent="0.2">
      <c r="A4390" t="str">
        <f>"4386"</f>
        <v>4386</v>
      </c>
      <c r="B4390" t="str">
        <f t="shared" si="242"/>
        <v>1</v>
      </c>
      <c r="C4390" t="str">
        <f t="shared" si="244"/>
        <v>88</v>
      </c>
      <c r="D4390" t="str">
        <f>"28"</f>
        <v>28</v>
      </c>
      <c r="E4390" t="str">
        <f>"1-88-28"</f>
        <v>1-88-28</v>
      </c>
      <c r="F4390" t="s">
        <v>65</v>
      </c>
      <c r="G4390" t="s">
        <v>66</v>
      </c>
      <c r="H4390" t="s">
        <v>67</v>
      </c>
      <c r="S4390">
        <v>1</v>
      </c>
      <c r="T4390">
        <v>0</v>
      </c>
      <c r="U4390">
        <v>0</v>
      </c>
      <c r="V4390">
        <v>0</v>
      </c>
      <c r="W4390">
        <v>1</v>
      </c>
      <c r="X4390">
        <v>0</v>
      </c>
      <c r="Y4390">
        <v>1</v>
      </c>
      <c r="Z4390">
        <v>0</v>
      </c>
      <c r="AA4390">
        <v>0</v>
      </c>
      <c r="AB4390">
        <v>1</v>
      </c>
      <c r="AC4390">
        <v>0</v>
      </c>
      <c r="AD4390">
        <v>1</v>
      </c>
      <c r="AE4390">
        <v>1</v>
      </c>
      <c r="AF4390">
        <v>1</v>
      </c>
      <c r="AG4390">
        <v>1</v>
      </c>
      <c r="AH4390">
        <v>1</v>
      </c>
      <c r="AI4390">
        <v>1</v>
      </c>
      <c r="AJ4390">
        <v>1</v>
      </c>
      <c r="AK4390">
        <v>1</v>
      </c>
      <c r="AL4390">
        <v>1</v>
      </c>
      <c r="AM4390">
        <v>1</v>
      </c>
    </row>
    <row r="4391" spans="1:39" x14ac:dyDescent="0.2">
      <c r="A4391" t="str">
        <f>"4387"</f>
        <v>4387</v>
      </c>
      <c r="B4391" t="str">
        <f t="shared" si="242"/>
        <v>1</v>
      </c>
      <c r="C4391" t="str">
        <f t="shared" si="244"/>
        <v>88</v>
      </c>
      <c r="D4391" t="str">
        <f>"12"</f>
        <v>12</v>
      </c>
      <c r="E4391" t="str">
        <f>"1-88-12"</f>
        <v>1-88-12</v>
      </c>
      <c r="F4391" t="s">
        <v>65</v>
      </c>
      <c r="G4391" t="s">
        <v>66</v>
      </c>
      <c r="H4391" t="s">
        <v>67</v>
      </c>
      <c r="S4391">
        <v>0</v>
      </c>
      <c r="T4391">
        <v>1</v>
      </c>
      <c r="U4391">
        <v>0</v>
      </c>
      <c r="V4391">
        <v>0</v>
      </c>
      <c r="W4391">
        <v>1</v>
      </c>
      <c r="X4391">
        <v>0</v>
      </c>
      <c r="Y4391">
        <v>0</v>
      </c>
      <c r="Z4391">
        <v>1</v>
      </c>
      <c r="AA4391">
        <v>0</v>
      </c>
      <c r="AB4391">
        <v>0</v>
      </c>
      <c r="AC4391">
        <v>1</v>
      </c>
      <c r="AD4391">
        <v>1</v>
      </c>
      <c r="AE4391">
        <v>1</v>
      </c>
      <c r="AF4391">
        <v>1</v>
      </c>
      <c r="AG4391">
        <v>1</v>
      </c>
      <c r="AH4391">
        <v>0</v>
      </c>
      <c r="AI4391">
        <v>1</v>
      </c>
      <c r="AJ4391">
        <v>1</v>
      </c>
      <c r="AK4391">
        <v>1</v>
      </c>
      <c r="AL4391">
        <v>0</v>
      </c>
      <c r="AM4391">
        <v>1</v>
      </c>
    </row>
    <row r="4392" spans="1:39" x14ac:dyDescent="0.2">
      <c r="A4392" t="str">
        <f>"4388"</f>
        <v>4388</v>
      </c>
      <c r="B4392" t="str">
        <f t="shared" si="242"/>
        <v>1</v>
      </c>
      <c r="C4392" t="str">
        <f t="shared" si="244"/>
        <v>88</v>
      </c>
      <c r="D4392" t="str">
        <f>"29"</f>
        <v>29</v>
      </c>
      <c r="E4392" t="str">
        <f>"1-88-29"</f>
        <v>1-88-29</v>
      </c>
      <c r="F4392" t="s">
        <v>65</v>
      </c>
      <c r="G4392" t="s">
        <v>66</v>
      </c>
      <c r="H4392" t="s">
        <v>67</v>
      </c>
      <c r="S4392">
        <v>1</v>
      </c>
      <c r="T4392">
        <v>0</v>
      </c>
      <c r="U4392">
        <v>0</v>
      </c>
      <c r="V4392">
        <v>0</v>
      </c>
      <c r="W4392">
        <v>1</v>
      </c>
      <c r="X4392">
        <v>0</v>
      </c>
      <c r="Y4392">
        <v>0</v>
      </c>
      <c r="Z4392">
        <v>1</v>
      </c>
      <c r="AA4392">
        <v>0</v>
      </c>
      <c r="AB4392">
        <v>0</v>
      </c>
      <c r="AC4392">
        <v>1</v>
      </c>
      <c r="AD4392">
        <v>1</v>
      </c>
      <c r="AE4392">
        <v>1</v>
      </c>
      <c r="AF4392">
        <v>1</v>
      </c>
      <c r="AG4392">
        <v>1</v>
      </c>
      <c r="AH4392">
        <v>1</v>
      </c>
      <c r="AI4392">
        <v>1</v>
      </c>
      <c r="AJ4392">
        <v>1</v>
      </c>
      <c r="AK4392">
        <v>1</v>
      </c>
      <c r="AL4392">
        <v>1</v>
      </c>
      <c r="AM4392">
        <v>1</v>
      </c>
    </row>
    <row r="4393" spans="1:39" x14ac:dyDescent="0.2">
      <c r="A4393" t="str">
        <f>"4389"</f>
        <v>4389</v>
      </c>
      <c r="B4393" t="str">
        <f t="shared" si="242"/>
        <v>1</v>
      </c>
      <c r="C4393" t="str">
        <f t="shared" si="244"/>
        <v>88</v>
      </c>
      <c r="D4393" t="str">
        <f>"10"</f>
        <v>10</v>
      </c>
      <c r="E4393" t="str">
        <f>"1-88-10"</f>
        <v>1-88-10</v>
      </c>
      <c r="F4393" t="s">
        <v>65</v>
      </c>
      <c r="G4393" t="s">
        <v>66</v>
      </c>
      <c r="H4393" t="s">
        <v>67</v>
      </c>
      <c r="S4393">
        <v>1</v>
      </c>
      <c r="T4393">
        <v>0</v>
      </c>
      <c r="U4393">
        <v>0</v>
      </c>
      <c r="V4393">
        <v>0</v>
      </c>
      <c r="W4393">
        <v>1</v>
      </c>
      <c r="X4393">
        <v>0</v>
      </c>
      <c r="Y4393">
        <v>0</v>
      </c>
      <c r="Z4393">
        <v>1</v>
      </c>
      <c r="AA4393">
        <v>1</v>
      </c>
      <c r="AB4393">
        <v>0</v>
      </c>
      <c r="AC4393">
        <v>0</v>
      </c>
      <c r="AD4393">
        <v>1</v>
      </c>
      <c r="AE4393">
        <v>1</v>
      </c>
      <c r="AF4393">
        <v>1</v>
      </c>
      <c r="AG4393">
        <v>1</v>
      </c>
      <c r="AH4393">
        <v>1</v>
      </c>
      <c r="AI4393">
        <v>1</v>
      </c>
      <c r="AJ4393">
        <v>1</v>
      </c>
      <c r="AK4393">
        <v>1</v>
      </c>
      <c r="AL4393">
        <v>1</v>
      </c>
      <c r="AM4393">
        <v>1</v>
      </c>
    </row>
    <row r="4394" spans="1:39" x14ac:dyDescent="0.2">
      <c r="A4394" t="str">
        <f>"4390"</f>
        <v>4390</v>
      </c>
      <c r="B4394" t="str">
        <f t="shared" si="242"/>
        <v>1</v>
      </c>
      <c r="C4394" t="str">
        <f t="shared" si="244"/>
        <v>88</v>
      </c>
      <c r="D4394" t="str">
        <f>"30"</f>
        <v>30</v>
      </c>
      <c r="E4394" t="str">
        <f>"1-88-30"</f>
        <v>1-88-30</v>
      </c>
      <c r="F4394" t="s">
        <v>65</v>
      </c>
      <c r="G4394" t="s">
        <v>66</v>
      </c>
      <c r="H4394" t="s">
        <v>67</v>
      </c>
      <c r="S4394">
        <v>1</v>
      </c>
      <c r="T4394">
        <v>0</v>
      </c>
      <c r="U4394">
        <v>0</v>
      </c>
      <c r="V4394">
        <v>0</v>
      </c>
      <c r="W4394">
        <v>1</v>
      </c>
      <c r="X4394">
        <v>0</v>
      </c>
      <c r="Y4394">
        <v>0</v>
      </c>
      <c r="Z4394">
        <v>1</v>
      </c>
      <c r="AA4394">
        <v>1</v>
      </c>
      <c r="AB4394">
        <v>0</v>
      </c>
      <c r="AC4394">
        <v>0</v>
      </c>
      <c r="AD4394">
        <v>1</v>
      </c>
      <c r="AE4394">
        <v>1</v>
      </c>
      <c r="AF4394">
        <v>1</v>
      </c>
      <c r="AG4394">
        <v>1</v>
      </c>
      <c r="AH4394">
        <v>1</v>
      </c>
      <c r="AI4394">
        <v>1</v>
      </c>
      <c r="AJ4394">
        <v>1</v>
      </c>
      <c r="AK4394">
        <v>1</v>
      </c>
      <c r="AL4394">
        <v>1</v>
      </c>
      <c r="AM4394">
        <v>1</v>
      </c>
    </row>
    <row r="4395" spans="1:39" x14ac:dyDescent="0.2">
      <c r="A4395" t="str">
        <f>"4391"</f>
        <v>4391</v>
      </c>
      <c r="B4395" t="str">
        <f t="shared" si="242"/>
        <v>1</v>
      </c>
      <c r="C4395" t="str">
        <f t="shared" si="244"/>
        <v>88</v>
      </c>
      <c r="D4395" t="str">
        <f>"9"</f>
        <v>9</v>
      </c>
      <c r="E4395" t="str">
        <f>"1-88-9"</f>
        <v>1-88-9</v>
      </c>
      <c r="F4395" t="s">
        <v>65</v>
      </c>
      <c r="G4395" t="s">
        <v>66</v>
      </c>
      <c r="H4395" t="s">
        <v>67</v>
      </c>
      <c r="S4395">
        <v>0</v>
      </c>
      <c r="T4395">
        <v>0</v>
      </c>
      <c r="U4395">
        <v>0</v>
      </c>
      <c r="V4395">
        <v>0</v>
      </c>
      <c r="W4395">
        <v>1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1</v>
      </c>
      <c r="AL4395">
        <v>1</v>
      </c>
      <c r="AM4395">
        <v>1</v>
      </c>
    </row>
    <row r="4396" spans="1:39" x14ac:dyDescent="0.2">
      <c r="A4396" t="str">
        <f>"4392"</f>
        <v>4392</v>
      </c>
      <c r="B4396" t="str">
        <f t="shared" si="242"/>
        <v>1</v>
      </c>
      <c r="C4396" t="str">
        <f t="shared" si="244"/>
        <v>88</v>
      </c>
      <c r="D4396" t="str">
        <f>"31"</f>
        <v>31</v>
      </c>
      <c r="E4396" t="str">
        <f>"1-88-31"</f>
        <v>1-88-31</v>
      </c>
      <c r="F4396" t="s">
        <v>65</v>
      </c>
      <c r="G4396" t="s">
        <v>66</v>
      </c>
      <c r="H4396" t="s">
        <v>67</v>
      </c>
      <c r="S4396">
        <v>1</v>
      </c>
      <c r="T4396">
        <v>0</v>
      </c>
      <c r="U4396">
        <v>0</v>
      </c>
      <c r="V4396">
        <v>0</v>
      </c>
      <c r="W4396">
        <v>1</v>
      </c>
      <c r="X4396">
        <v>0</v>
      </c>
      <c r="Y4396">
        <v>1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1</v>
      </c>
      <c r="AF4396">
        <v>1</v>
      </c>
      <c r="AG4396">
        <v>1</v>
      </c>
      <c r="AH4396">
        <v>1</v>
      </c>
      <c r="AI4396">
        <v>1</v>
      </c>
      <c r="AJ4396">
        <v>1</v>
      </c>
      <c r="AK4396">
        <v>1</v>
      </c>
      <c r="AL4396">
        <v>1</v>
      </c>
      <c r="AM4396">
        <v>1</v>
      </c>
    </row>
    <row r="4397" spans="1:39" x14ac:dyDescent="0.2">
      <c r="A4397" t="str">
        <f>"4393"</f>
        <v>4393</v>
      </c>
      <c r="B4397" t="str">
        <f t="shared" si="242"/>
        <v>1</v>
      </c>
      <c r="C4397" t="str">
        <f t="shared" si="244"/>
        <v>88</v>
      </c>
      <c r="D4397" t="str">
        <f>"7"</f>
        <v>7</v>
      </c>
      <c r="E4397" t="str">
        <f>"1-88-7"</f>
        <v>1-88-7</v>
      </c>
      <c r="F4397" t="s">
        <v>65</v>
      </c>
      <c r="G4397" t="s">
        <v>66</v>
      </c>
      <c r="H4397" t="s">
        <v>67</v>
      </c>
      <c r="S4397">
        <v>1</v>
      </c>
      <c r="T4397">
        <v>0</v>
      </c>
      <c r="U4397">
        <v>0</v>
      </c>
      <c r="V4397">
        <v>0</v>
      </c>
      <c r="W4397">
        <v>1</v>
      </c>
      <c r="X4397">
        <v>0</v>
      </c>
      <c r="Y4397">
        <v>1</v>
      </c>
      <c r="Z4397">
        <v>0</v>
      </c>
      <c r="AA4397">
        <v>0</v>
      </c>
      <c r="AB4397">
        <v>1</v>
      </c>
      <c r="AC4397">
        <v>0</v>
      </c>
      <c r="AD4397">
        <v>1</v>
      </c>
      <c r="AE4397">
        <v>1</v>
      </c>
      <c r="AF4397">
        <v>1</v>
      </c>
      <c r="AG4397">
        <v>1</v>
      </c>
      <c r="AH4397">
        <v>1</v>
      </c>
      <c r="AI4397">
        <v>1</v>
      </c>
      <c r="AJ4397">
        <v>1</v>
      </c>
      <c r="AK4397">
        <v>1</v>
      </c>
      <c r="AL4397">
        <v>1</v>
      </c>
      <c r="AM4397">
        <v>1</v>
      </c>
    </row>
    <row r="4398" spans="1:39" x14ac:dyDescent="0.2">
      <c r="A4398" t="str">
        <f>"4394"</f>
        <v>4394</v>
      </c>
      <c r="B4398" t="str">
        <f t="shared" si="242"/>
        <v>1</v>
      </c>
      <c r="C4398" t="str">
        <f t="shared" si="244"/>
        <v>88</v>
      </c>
      <c r="D4398" t="str">
        <f>"49"</f>
        <v>49</v>
      </c>
      <c r="E4398" t="str">
        <f>"1-88-49"</f>
        <v>1-88-49</v>
      </c>
      <c r="F4398" t="s">
        <v>65</v>
      </c>
      <c r="G4398" t="s">
        <v>66</v>
      </c>
      <c r="H4398" t="s">
        <v>67</v>
      </c>
      <c r="S4398">
        <v>1</v>
      </c>
      <c r="T4398">
        <v>0</v>
      </c>
      <c r="U4398">
        <v>0</v>
      </c>
      <c r="V4398">
        <v>0</v>
      </c>
      <c r="W4398">
        <v>0</v>
      </c>
      <c r="X4398">
        <v>1</v>
      </c>
      <c r="Y4398">
        <v>0</v>
      </c>
      <c r="Z4398">
        <v>1</v>
      </c>
      <c r="AA4398">
        <v>0</v>
      </c>
      <c r="AB4398">
        <v>1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1</v>
      </c>
      <c r="AJ4398">
        <v>1</v>
      </c>
      <c r="AK4398">
        <v>1</v>
      </c>
      <c r="AL4398">
        <v>1</v>
      </c>
      <c r="AM4398">
        <v>1</v>
      </c>
    </row>
    <row r="4399" spans="1:39" x14ac:dyDescent="0.2">
      <c r="A4399" t="str">
        <f>"4395"</f>
        <v>4395</v>
      </c>
      <c r="B4399" t="str">
        <f t="shared" si="242"/>
        <v>1</v>
      </c>
      <c r="C4399" t="str">
        <f t="shared" si="244"/>
        <v>88</v>
      </c>
      <c r="D4399" t="str">
        <f>"32"</f>
        <v>32</v>
      </c>
      <c r="E4399" t="str">
        <f>"1-88-32"</f>
        <v>1-88-32</v>
      </c>
      <c r="F4399" t="s">
        <v>65</v>
      </c>
      <c r="G4399" t="s">
        <v>66</v>
      </c>
      <c r="H4399" t="s">
        <v>67</v>
      </c>
      <c r="S4399">
        <v>0</v>
      </c>
      <c r="T4399">
        <v>0</v>
      </c>
      <c r="U4399">
        <v>0</v>
      </c>
      <c r="V4399">
        <v>0</v>
      </c>
      <c r="W4399">
        <v>1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1</v>
      </c>
      <c r="AH4399">
        <v>1</v>
      </c>
      <c r="AI4399">
        <v>1</v>
      </c>
      <c r="AJ4399">
        <v>1</v>
      </c>
      <c r="AK4399">
        <v>1</v>
      </c>
      <c r="AL4399">
        <v>1</v>
      </c>
      <c r="AM4399">
        <v>1</v>
      </c>
    </row>
    <row r="4400" spans="1:39" x14ac:dyDescent="0.2">
      <c r="A4400" t="str">
        <f>"4396"</f>
        <v>4396</v>
      </c>
      <c r="B4400" t="str">
        <f t="shared" si="242"/>
        <v>1</v>
      </c>
      <c r="C4400" t="str">
        <f t="shared" si="244"/>
        <v>88</v>
      </c>
      <c r="D4400" t="str">
        <f>"14"</f>
        <v>14</v>
      </c>
      <c r="E4400" t="str">
        <f>"1-88-14"</f>
        <v>1-88-14</v>
      </c>
      <c r="F4400" t="s">
        <v>65</v>
      </c>
      <c r="G4400" t="s">
        <v>66</v>
      </c>
      <c r="H4400" t="s">
        <v>67</v>
      </c>
      <c r="S4400">
        <v>1</v>
      </c>
      <c r="T4400">
        <v>0</v>
      </c>
      <c r="U4400">
        <v>0</v>
      </c>
      <c r="V4400">
        <v>0</v>
      </c>
      <c r="W4400">
        <v>1</v>
      </c>
      <c r="X4400">
        <v>0</v>
      </c>
      <c r="Y4400">
        <v>1</v>
      </c>
      <c r="Z4400">
        <v>0</v>
      </c>
      <c r="AA4400">
        <v>0</v>
      </c>
      <c r="AB4400">
        <v>1</v>
      </c>
      <c r="AC4400">
        <v>0</v>
      </c>
      <c r="AD4400">
        <v>1</v>
      </c>
      <c r="AE4400">
        <v>1</v>
      </c>
      <c r="AF4400">
        <v>1</v>
      </c>
      <c r="AG4400">
        <v>1</v>
      </c>
      <c r="AH4400">
        <v>1</v>
      </c>
      <c r="AI4400">
        <v>1</v>
      </c>
      <c r="AJ4400">
        <v>1</v>
      </c>
      <c r="AK4400">
        <v>1</v>
      </c>
      <c r="AL4400">
        <v>1</v>
      </c>
      <c r="AM4400">
        <v>1</v>
      </c>
    </row>
    <row r="4401" spans="1:39" x14ac:dyDescent="0.2">
      <c r="A4401" t="str">
        <f>"4397"</f>
        <v>4397</v>
      </c>
      <c r="B4401" t="str">
        <f t="shared" si="242"/>
        <v>1</v>
      </c>
      <c r="C4401" t="str">
        <f t="shared" si="244"/>
        <v>88</v>
      </c>
      <c r="D4401" t="str">
        <f>"48"</f>
        <v>48</v>
      </c>
      <c r="E4401" t="str">
        <f>"1-88-48"</f>
        <v>1-88-48</v>
      </c>
      <c r="F4401" t="s">
        <v>65</v>
      </c>
      <c r="G4401" t="s">
        <v>66</v>
      </c>
      <c r="H4401" t="s">
        <v>67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1</v>
      </c>
      <c r="Y4401">
        <v>1</v>
      </c>
      <c r="Z4401">
        <v>0</v>
      </c>
      <c r="AA4401">
        <v>0</v>
      </c>
      <c r="AB4401">
        <v>1</v>
      </c>
      <c r="AC4401">
        <v>0</v>
      </c>
      <c r="AD4401">
        <v>0</v>
      </c>
      <c r="AE4401">
        <v>0</v>
      </c>
      <c r="AF4401">
        <v>1</v>
      </c>
      <c r="AG4401">
        <v>0</v>
      </c>
      <c r="AH4401">
        <v>1</v>
      </c>
      <c r="AI4401">
        <v>1</v>
      </c>
      <c r="AJ4401">
        <v>1</v>
      </c>
      <c r="AK4401">
        <v>1</v>
      </c>
      <c r="AL4401">
        <v>1</v>
      </c>
      <c r="AM4401">
        <v>1</v>
      </c>
    </row>
    <row r="4402" spans="1:39" x14ac:dyDescent="0.2">
      <c r="A4402" t="str">
        <f>"4398"</f>
        <v>4398</v>
      </c>
      <c r="B4402" t="str">
        <f t="shared" si="242"/>
        <v>1</v>
      </c>
      <c r="C4402" t="str">
        <f t="shared" si="244"/>
        <v>88</v>
      </c>
      <c r="D4402" t="str">
        <f>"19"</f>
        <v>19</v>
      </c>
      <c r="E4402" t="str">
        <f>"1-88-19"</f>
        <v>1-88-19</v>
      </c>
      <c r="F4402" t="s">
        <v>65</v>
      </c>
      <c r="G4402" t="s">
        <v>66</v>
      </c>
      <c r="H4402" t="s">
        <v>67</v>
      </c>
      <c r="S4402">
        <v>1</v>
      </c>
      <c r="T4402">
        <v>0</v>
      </c>
      <c r="U4402">
        <v>0</v>
      </c>
      <c r="V4402">
        <v>0</v>
      </c>
      <c r="W4402">
        <v>1</v>
      </c>
      <c r="X4402">
        <v>0</v>
      </c>
      <c r="Y4402">
        <v>1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1</v>
      </c>
      <c r="AF4402">
        <v>1</v>
      </c>
      <c r="AG4402">
        <v>1</v>
      </c>
      <c r="AH4402">
        <v>0</v>
      </c>
      <c r="AI4402">
        <v>1</v>
      </c>
      <c r="AJ4402">
        <v>1</v>
      </c>
      <c r="AK4402">
        <v>0</v>
      </c>
      <c r="AL4402">
        <v>1</v>
      </c>
      <c r="AM4402">
        <v>0</v>
      </c>
    </row>
    <row r="4403" spans="1:39" x14ac:dyDescent="0.2">
      <c r="A4403" t="str">
        <f>"4399"</f>
        <v>4399</v>
      </c>
      <c r="B4403" t="str">
        <f t="shared" si="242"/>
        <v>1</v>
      </c>
      <c r="C4403" t="str">
        <f t="shared" si="244"/>
        <v>88</v>
      </c>
      <c r="D4403" t="str">
        <f>"50"</f>
        <v>50</v>
      </c>
      <c r="E4403" t="str">
        <f>"1-88-50"</f>
        <v>1-88-50</v>
      </c>
      <c r="F4403" t="s">
        <v>65</v>
      </c>
      <c r="G4403" t="s">
        <v>66</v>
      </c>
      <c r="H4403" t="s">
        <v>67</v>
      </c>
      <c r="S4403">
        <v>1</v>
      </c>
      <c r="T4403">
        <v>0</v>
      </c>
      <c r="U4403">
        <v>0</v>
      </c>
      <c r="V4403">
        <v>0</v>
      </c>
      <c r="W4403">
        <v>1</v>
      </c>
      <c r="X4403">
        <v>0</v>
      </c>
      <c r="Y4403">
        <v>1</v>
      </c>
      <c r="Z4403">
        <v>0</v>
      </c>
      <c r="AA4403">
        <v>0</v>
      </c>
      <c r="AB4403">
        <v>0</v>
      </c>
      <c r="AC4403">
        <v>1</v>
      </c>
      <c r="AD4403">
        <v>1</v>
      </c>
      <c r="AE4403">
        <v>1</v>
      </c>
      <c r="AF4403">
        <v>1</v>
      </c>
      <c r="AG4403">
        <v>1</v>
      </c>
      <c r="AH4403">
        <v>1</v>
      </c>
      <c r="AI4403">
        <v>1</v>
      </c>
      <c r="AJ4403">
        <v>1</v>
      </c>
      <c r="AK4403">
        <v>1</v>
      </c>
      <c r="AL4403">
        <v>1</v>
      </c>
      <c r="AM4403">
        <v>1</v>
      </c>
    </row>
    <row r="4404" spans="1:39" x14ac:dyDescent="0.2">
      <c r="A4404" t="str">
        <f>"4400"</f>
        <v>4400</v>
      </c>
      <c r="B4404" t="str">
        <f t="shared" si="242"/>
        <v>1</v>
      </c>
      <c r="C4404" t="str">
        <f t="shared" si="244"/>
        <v>88</v>
      </c>
      <c r="D4404" t="str">
        <f>"47"</f>
        <v>47</v>
      </c>
      <c r="E4404" t="str">
        <f>"1-88-47"</f>
        <v>1-88-47</v>
      </c>
      <c r="F4404" t="s">
        <v>65</v>
      </c>
      <c r="G4404" t="s">
        <v>66</v>
      </c>
      <c r="H4404" t="s">
        <v>67</v>
      </c>
      <c r="S4404">
        <v>1</v>
      </c>
      <c r="T4404">
        <v>0</v>
      </c>
      <c r="U4404">
        <v>0</v>
      </c>
      <c r="V4404">
        <v>0</v>
      </c>
      <c r="W4404">
        <v>1</v>
      </c>
      <c r="X4404">
        <v>0</v>
      </c>
      <c r="Y4404">
        <v>0</v>
      </c>
      <c r="Z4404">
        <v>1</v>
      </c>
      <c r="AA4404">
        <v>1</v>
      </c>
      <c r="AB4404">
        <v>0</v>
      </c>
      <c r="AC4404">
        <v>0</v>
      </c>
      <c r="AD4404">
        <v>1</v>
      </c>
      <c r="AE4404">
        <v>1</v>
      </c>
      <c r="AF4404">
        <v>1</v>
      </c>
      <c r="AG4404">
        <v>1</v>
      </c>
      <c r="AH4404">
        <v>1</v>
      </c>
      <c r="AI4404">
        <v>1</v>
      </c>
      <c r="AJ4404">
        <v>1</v>
      </c>
      <c r="AK4404">
        <v>1</v>
      </c>
      <c r="AL4404">
        <v>1</v>
      </c>
      <c r="AM4404">
        <v>0</v>
      </c>
    </row>
    <row r="4405" spans="1:39" x14ac:dyDescent="0.2">
      <c r="A4405" t="str">
        <f>"4401"</f>
        <v>4401</v>
      </c>
      <c r="B4405" t="str">
        <f t="shared" si="242"/>
        <v>1</v>
      </c>
      <c r="C4405" t="str">
        <f t="shared" ref="C4405:C4436" si="245">"89"</f>
        <v>89</v>
      </c>
      <c r="D4405" t="str">
        <f>"38"</f>
        <v>38</v>
      </c>
      <c r="E4405" t="str">
        <f>"1-89-38"</f>
        <v>1-89-38</v>
      </c>
      <c r="F4405" t="s">
        <v>65</v>
      </c>
      <c r="G4405" t="s">
        <v>66</v>
      </c>
      <c r="H4405" t="s">
        <v>67</v>
      </c>
      <c r="S4405">
        <v>0</v>
      </c>
      <c r="T4405">
        <v>1</v>
      </c>
      <c r="U4405">
        <v>0</v>
      </c>
      <c r="V4405">
        <v>0</v>
      </c>
      <c r="W4405">
        <v>0</v>
      </c>
      <c r="X4405">
        <v>1</v>
      </c>
      <c r="Y4405">
        <v>0</v>
      </c>
      <c r="Z4405">
        <v>1</v>
      </c>
      <c r="AA4405">
        <v>0</v>
      </c>
      <c r="AB4405">
        <v>0</v>
      </c>
      <c r="AC4405">
        <v>1</v>
      </c>
      <c r="AD4405">
        <v>1</v>
      </c>
      <c r="AE4405">
        <v>1</v>
      </c>
      <c r="AF4405">
        <v>1</v>
      </c>
      <c r="AG4405">
        <v>1</v>
      </c>
      <c r="AH4405">
        <v>1</v>
      </c>
      <c r="AI4405">
        <v>1</v>
      </c>
      <c r="AJ4405">
        <v>1</v>
      </c>
      <c r="AK4405">
        <v>1</v>
      </c>
      <c r="AL4405">
        <v>1</v>
      </c>
      <c r="AM4405">
        <v>1</v>
      </c>
    </row>
    <row r="4406" spans="1:39" x14ac:dyDescent="0.2">
      <c r="A4406" t="str">
        <f>"4402"</f>
        <v>4402</v>
      </c>
      <c r="B4406" t="str">
        <f t="shared" si="242"/>
        <v>1</v>
      </c>
      <c r="C4406" t="str">
        <f t="shared" si="245"/>
        <v>89</v>
      </c>
      <c r="D4406" t="str">
        <f>"37"</f>
        <v>37</v>
      </c>
      <c r="E4406" t="str">
        <f>"1-89-37"</f>
        <v>1-89-37</v>
      </c>
      <c r="F4406" t="s">
        <v>65</v>
      </c>
      <c r="G4406" t="s">
        <v>66</v>
      </c>
      <c r="H4406" t="s">
        <v>67</v>
      </c>
      <c r="S4406">
        <v>0</v>
      </c>
      <c r="T4406">
        <v>1</v>
      </c>
      <c r="U4406">
        <v>0</v>
      </c>
      <c r="V4406">
        <v>0</v>
      </c>
      <c r="W4406">
        <v>1</v>
      </c>
      <c r="X4406">
        <v>0</v>
      </c>
      <c r="Y4406">
        <v>1</v>
      </c>
      <c r="Z4406">
        <v>0</v>
      </c>
      <c r="AA4406">
        <v>0</v>
      </c>
      <c r="AB4406">
        <v>0</v>
      </c>
      <c r="AC4406">
        <v>0</v>
      </c>
      <c r="AD4406">
        <v>1</v>
      </c>
      <c r="AE4406">
        <v>1</v>
      </c>
      <c r="AF4406">
        <v>0</v>
      </c>
      <c r="AG4406">
        <v>0</v>
      </c>
      <c r="AH4406">
        <v>0</v>
      </c>
      <c r="AI4406">
        <v>1</v>
      </c>
      <c r="AJ4406">
        <v>1</v>
      </c>
      <c r="AK4406">
        <v>1</v>
      </c>
      <c r="AL4406">
        <v>1</v>
      </c>
      <c r="AM4406">
        <v>1</v>
      </c>
    </row>
    <row r="4407" spans="1:39" x14ac:dyDescent="0.2">
      <c r="A4407" t="str">
        <f>"4403"</f>
        <v>4403</v>
      </c>
      <c r="B4407" t="str">
        <f t="shared" ref="B4407:B4470" si="246">"1"</f>
        <v>1</v>
      </c>
      <c r="C4407" t="str">
        <f t="shared" si="245"/>
        <v>89</v>
      </c>
      <c r="D4407" t="str">
        <f>"24"</f>
        <v>24</v>
      </c>
      <c r="E4407" t="str">
        <f>"1-89-24"</f>
        <v>1-89-24</v>
      </c>
      <c r="F4407" t="s">
        <v>65</v>
      </c>
      <c r="G4407" t="s">
        <v>66</v>
      </c>
      <c r="H4407" t="s">
        <v>67</v>
      </c>
      <c r="S4407">
        <v>1</v>
      </c>
      <c r="T4407">
        <v>0</v>
      </c>
      <c r="U4407">
        <v>0</v>
      </c>
      <c r="V4407">
        <v>0</v>
      </c>
      <c r="W4407">
        <v>1</v>
      </c>
      <c r="X4407">
        <v>0</v>
      </c>
      <c r="Y4407">
        <v>0</v>
      </c>
      <c r="Z4407">
        <v>1</v>
      </c>
      <c r="AA4407">
        <v>0</v>
      </c>
      <c r="AB4407">
        <v>1</v>
      </c>
      <c r="AC4407">
        <v>0</v>
      </c>
      <c r="AD4407">
        <v>1</v>
      </c>
      <c r="AE4407">
        <v>1</v>
      </c>
      <c r="AF4407">
        <v>1</v>
      </c>
      <c r="AG4407">
        <v>1</v>
      </c>
      <c r="AH4407">
        <v>1</v>
      </c>
      <c r="AI4407">
        <v>1</v>
      </c>
      <c r="AJ4407">
        <v>1</v>
      </c>
      <c r="AK4407">
        <v>1</v>
      </c>
      <c r="AL4407">
        <v>1</v>
      </c>
      <c r="AM4407">
        <v>1</v>
      </c>
    </row>
    <row r="4408" spans="1:39" x14ac:dyDescent="0.2">
      <c r="A4408" t="str">
        <f>"4404"</f>
        <v>4404</v>
      </c>
      <c r="B4408" t="str">
        <f t="shared" si="246"/>
        <v>1</v>
      </c>
      <c r="C4408" t="str">
        <f t="shared" si="245"/>
        <v>89</v>
      </c>
      <c r="D4408" t="str">
        <f>"15"</f>
        <v>15</v>
      </c>
      <c r="E4408" t="str">
        <f>"1-89-15"</f>
        <v>1-89-15</v>
      </c>
      <c r="F4408" t="s">
        <v>65</v>
      </c>
      <c r="G4408" t="s">
        <v>66</v>
      </c>
      <c r="H4408" t="s">
        <v>67</v>
      </c>
      <c r="S4408">
        <v>0</v>
      </c>
      <c r="T4408">
        <v>1</v>
      </c>
      <c r="U4408">
        <v>0</v>
      </c>
      <c r="V4408">
        <v>0</v>
      </c>
      <c r="W4408">
        <v>1</v>
      </c>
      <c r="X4408">
        <v>0</v>
      </c>
      <c r="Y4408">
        <v>1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1</v>
      </c>
      <c r="AF4408">
        <v>1</v>
      </c>
      <c r="AG4408">
        <v>1</v>
      </c>
      <c r="AH4408">
        <v>1</v>
      </c>
      <c r="AI4408">
        <v>1</v>
      </c>
      <c r="AJ4408">
        <v>1</v>
      </c>
      <c r="AK4408">
        <v>1</v>
      </c>
      <c r="AL4408">
        <v>1</v>
      </c>
      <c r="AM4408">
        <v>1</v>
      </c>
    </row>
    <row r="4409" spans="1:39" x14ac:dyDescent="0.2">
      <c r="A4409" t="str">
        <f>"4405"</f>
        <v>4405</v>
      </c>
      <c r="B4409" t="str">
        <f t="shared" si="246"/>
        <v>1</v>
      </c>
      <c r="C4409" t="str">
        <f t="shared" si="245"/>
        <v>89</v>
      </c>
      <c r="D4409" t="str">
        <f>"7"</f>
        <v>7</v>
      </c>
      <c r="E4409" t="str">
        <f>"1-89-7"</f>
        <v>1-89-7</v>
      </c>
      <c r="F4409" t="s">
        <v>65</v>
      </c>
      <c r="G4409" t="s">
        <v>66</v>
      </c>
      <c r="H4409" t="s">
        <v>67</v>
      </c>
      <c r="S4409">
        <v>0</v>
      </c>
      <c r="T4409">
        <v>1</v>
      </c>
      <c r="U4409">
        <v>0</v>
      </c>
      <c r="V4409">
        <v>0</v>
      </c>
      <c r="W4409">
        <v>1</v>
      </c>
      <c r="X4409">
        <v>0</v>
      </c>
      <c r="Y4409">
        <v>1</v>
      </c>
      <c r="Z4409">
        <v>0</v>
      </c>
      <c r="AA4409">
        <v>0</v>
      </c>
      <c r="AB4409">
        <v>1</v>
      </c>
      <c r="AC4409">
        <v>0</v>
      </c>
      <c r="AD4409">
        <v>1</v>
      </c>
      <c r="AE4409">
        <v>1</v>
      </c>
      <c r="AF4409">
        <v>1</v>
      </c>
      <c r="AG4409">
        <v>1</v>
      </c>
      <c r="AH4409">
        <v>1</v>
      </c>
      <c r="AI4409">
        <v>1</v>
      </c>
      <c r="AJ4409">
        <v>1</v>
      </c>
      <c r="AK4409">
        <v>1</v>
      </c>
      <c r="AL4409">
        <v>1</v>
      </c>
      <c r="AM4409">
        <v>1</v>
      </c>
    </row>
    <row r="4410" spans="1:39" x14ac:dyDescent="0.2">
      <c r="A4410" t="str">
        <f>"4406"</f>
        <v>4406</v>
      </c>
      <c r="B4410" t="str">
        <f t="shared" si="246"/>
        <v>1</v>
      </c>
      <c r="C4410" t="str">
        <f t="shared" si="245"/>
        <v>89</v>
      </c>
      <c r="D4410" t="str">
        <f>"42"</f>
        <v>42</v>
      </c>
      <c r="E4410" t="str">
        <f>"1-89-42"</f>
        <v>1-89-42</v>
      </c>
      <c r="F4410" t="s">
        <v>65</v>
      </c>
      <c r="G4410" t="s">
        <v>66</v>
      </c>
      <c r="H4410" t="s">
        <v>67</v>
      </c>
      <c r="S4410">
        <v>1</v>
      </c>
      <c r="T4410">
        <v>0</v>
      </c>
      <c r="U4410">
        <v>0</v>
      </c>
      <c r="V4410">
        <v>0</v>
      </c>
      <c r="W4410">
        <v>1</v>
      </c>
      <c r="X4410">
        <v>0</v>
      </c>
      <c r="Y4410">
        <v>1</v>
      </c>
      <c r="Z4410">
        <v>0</v>
      </c>
      <c r="AA4410">
        <v>0</v>
      </c>
      <c r="AB4410">
        <v>0</v>
      </c>
      <c r="AC4410">
        <v>1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</row>
    <row r="4411" spans="1:39" x14ac:dyDescent="0.2">
      <c r="A4411" t="str">
        <f>"4407"</f>
        <v>4407</v>
      </c>
      <c r="B4411" t="str">
        <f t="shared" si="246"/>
        <v>1</v>
      </c>
      <c r="C4411" t="str">
        <f t="shared" si="245"/>
        <v>89</v>
      </c>
      <c r="D4411" t="str">
        <f>"41"</f>
        <v>41</v>
      </c>
      <c r="E4411" t="str">
        <f>"1-89-41"</f>
        <v>1-89-41</v>
      </c>
      <c r="F4411" t="s">
        <v>65</v>
      </c>
      <c r="G4411" t="s">
        <v>66</v>
      </c>
      <c r="H4411" t="s">
        <v>67</v>
      </c>
      <c r="S4411">
        <v>0</v>
      </c>
      <c r="T4411">
        <v>1</v>
      </c>
      <c r="U4411">
        <v>0</v>
      </c>
      <c r="V4411">
        <v>0</v>
      </c>
      <c r="W4411">
        <v>1</v>
      </c>
      <c r="X4411">
        <v>0</v>
      </c>
      <c r="Y4411">
        <v>1</v>
      </c>
      <c r="Z4411">
        <v>0</v>
      </c>
      <c r="AA4411">
        <v>0</v>
      </c>
      <c r="AB4411">
        <v>0</v>
      </c>
      <c r="AC4411">
        <v>1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</row>
    <row r="4412" spans="1:39" x14ac:dyDescent="0.2">
      <c r="A4412" t="str">
        <f>"4408"</f>
        <v>4408</v>
      </c>
      <c r="B4412" t="str">
        <f t="shared" si="246"/>
        <v>1</v>
      </c>
      <c r="C4412" t="str">
        <f t="shared" si="245"/>
        <v>89</v>
      </c>
      <c r="D4412" t="str">
        <f>"27"</f>
        <v>27</v>
      </c>
      <c r="E4412" t="str">
        <f>"1-89-27"</f>
        <v>1-89-27</v>
      </c>
      <c r="F4412" t="s">
        <v>65</v>
      </c>
      <c r="G4412" t="s">
        <v>66</v>
      </c>
      <c r="H4412" t="s">
        <v>67</v>
      </c>
      <c r="S4412">
        <v>1</v>
      </c>
      <c r="T4412">
        <v>0</v>
      </c>
      <c r="U4412">
        <v>0</v>
      </c>
      <c r="V4412">
        <v>0</v>
      </c>
      <c r="W4412">
        <v>1</v>
      </c>
      <c r="X4412">
        <v>0</v>
      </c>
      <c r="Y4412">
        <v>0</v>
      </c>
      <c r="Z4412">
        <v>1</v>
      </c>
      <c r="AA4412">
        <v>0</v>
      </c>
      <c r="AB4412">
        <v>0</v>
      </c>
      <c r="AC4412">
        <v>1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1</v>
      </c>
      <c r="AJ4412">
        <v>1</v>
      </c>
      <c r="AK4412">
        <v>1</v>
      </c>
      <c r="AL4412">
        <v>1</v>
      </c>
      <c r="AM4412">
        <v>0</v>
      </c>
    </row>
    <row r="4413" spans="1:39" x14ac:dyDescent="0.2">
      <c r="A4413" t="str">
        <f>"4409"</f>
        <v>4409</v>
      </c>
      <c r="B4413" t="str">
        <f t="shared" si="246"/>
        <v>1</v>
      </c>
      <c r="C4413" t="str">
        <f t="shared" si="245"/>
        <v>89</v>
      </c>
      <c r="D4413" t="str">
        <f>"16"</f>
        <v>16</v>
      </c>
      <c r="E4413" t="str">
        <f>"1-89-16"</f>
        <v>1-89-16</v>
      </c>
      <c r="F4413" t="s">
        <v>65</v>
      </c>
      <c r="G4413" t="s">
        <v>66</v>
      </c>
      <c r="H4413" t="s">
        <v>67</v>
      </c>
      <c r="S4413">
        <v>1</v>
      </c>
      <c r="T4413">
        <v>0</v>
      </c>
      <c r="U4413">
        <v>0</v>
      </c>
      <c r="V4413">
        <v>0</v>
      </c>
      <c r="W4413">
        <v>1</v>
      </c>
      <c r="X4413">
        <v>0</v>
      </c>
      <c r="Y4413">
        <v>0</v>
      </c>
      <c r="Z4413">
        <v>1</v>
      </c>
      <c r="AA4413">
        <v>1</v>
      </c>
      <c r="AB4413">
        <v>0</v>
      </c>
      <c r="AC4413">
        <v>0</v>
      </c>
      <c r="AD4413">
        <v>1</v>
      </c>
      <c r="AE4413">
        <v>1</v>
      </c>
      <c r="AF4413">
        <v>1</v>
      </c>
      <c r="AG4413">
        <v>1</v>
      </c>
      <c r="AH4413">
        <v>1</v>
      </c>
      <c r="AI4413">
        <v>1</v>
      </c>
      <c r="AJ4413">
        <v>1</v>
      </c>
      <c r="AK4413">
        <v>1</v>
      </c>
      <c r="AL4413">
        <v>0</v>
      </c>
      <c r="AM4413">
        <v>1</v>
      </c>
    </row>
    <row r="4414" spans="1:39" x14ac:dyDescent="0.2">
      <c r="A4414" t="str">
        <f>"4410"</f>
        <v>4410</v>
      </c>
      <c r="B4414" t="str">
        <f t="shared" si="246"/>
        <v>1</v>
      </c>
      <c r="C4414" t="str">
        <f t="shared" si="245"/>
        <v>89</v>
      </c>
      <c r="D4414" t="str">
        <f>"1"</f>
        <v>1</v>
      </c>
      <c r="E4414" t="str">
        <f>"1-89-1"</f>
        <v>1-89-1</v>
      </c>
      <c r="F4414" t="s">
        <v>65</v>
      </c>
      <c r="G4414" t="s">
        <v>66</v>
      </c>
      <c r="H4414" t="s">
        <v>67</v>
      </c>
      <c r="S4414">
        <v>0</v>
      </c>
      <c r="T4414">
        <v>1</v>
      </c>
      <c r="U4414">
        <v>0</v>
      </c>
      <c r="V4414">
        <v>0</v>
      </c>
      <c r="W4414">
        <v>0</v>
      </c>
      <c r="X4414">
        <v>1</v>
      </c>
      <c r="Y4414">
        <v>0</v>
      </c>
      <c r="Z4414">
        <v>1</v>
      </c>
      <c r="AA4414">
        <v>0</v>
      </c>
      <c r="AB4414">
        <v>0</v>
      </c>
      <c r="AC4414">
        <v>1</v>
      </c>
      <c r="AD4414">
        <v>1</v>
      </c>
      <c r="AE4414">
        <v>1</v>
      </c>
      <c r="AF4414">
        <v>1</v>
      </c>
      <c r="AG4414">
        <v>1</v>
      </c>
      <c r="AH4414">
        <v>1</v>
      </c>
      <c r="AI4414">
        <v>1</v>
      </c>
      <c r="AJ4414">
        <v>1</v>
      </c>
      <c r="AK4414">
        <v>1</v>
      </c>
      <c r="AL4414">
        <v>1</v>
      </c>
      <c r="AM4414">
        <v>1</v>
      </c>
    </row>
    <row r="4415" spans="1:39" x14ac:dyDescent="0.2">
      <c r="A4415" t="str">
        <f>"4411"</f>
        <v>4411</v>
      </c>
      <c r="B4415" t="str">
        <f t="shared" si="246"/>
        <v>1</v>
      </c>
      <c r="C4415" t="str">
        <f t="shared" si="245"/>
        <v>89</v>
      </c>
      <c r="D4415" t="str">
        <f>"36"</f>
        <v>36</v>
      </c>
      <c r="E4415" t="str">
        <f>"1-89-36"</f>
        <v>1-89-36</v>
      </c>
      <c r="F4415" t="s">
        <v>65</v>
      </c>
      <c r="G4415" t="s">
        <v>66</v>
      </c>
      <c r="H4415" t="s">
        <v>67</v>
      </c>
      <c r="S4415">
        <v>0</v>
      </c>
      <c r="T4415">
        <v>1</v>
      </c>
      <c r="U4415">
        <v>0</v>
      </c>
      <c r="V4415">
        <v>0</v>
      </c>
      <c r="W4415">
        <v>1</v>
      </c>
      <c r="X4415">
        <v>0</v>
      </c>
      <c r="Y4415">
        <v>1</v>
      </c>
      <c r="Z4415">
        <v>0</v>
      </c>
      <c r="AA4415">
        <v>0</v>
      </c>
      <c r="AB4415">
        <v>1</v>
      </c>
      <c r="AC4415">
        <v>0</v>
      </c>
      <c r="AD4415">
        <v>1</v>
      </c>
      <c r="AE4415">
        <v>1</v>
      </c>
      <c r="AF4415">
        <v>0</v>
      </c>
      <c r="AG4415">
        <v>0</v>
      </c>
      <c r="AH4415">
        <v>0</v>
      </c>
      <c r="AI4415">
        <v>1</v>
      </c>
      <c r="AJ4415">
        <v>1</v>
      </c>
      <c r="AK4415">
        <v>1</v>
      </c>
      <c r="AL4415">
        <v>1</v>
      </c>
      <c r="AM4415">
        <v>1</v>
      </c>
    </row>
    <row r="4416" spans="1:39" x14ac:dyDescent="0.2">
      <c r="A4416" t="str">
        <f>"4412"</f>
        <v>4412</v>
      </c>
      <c r="B4416" t="str">
        <f t="shared" si="246"/>
        <v>1</v>
      </c>
      <c r="C4416" t="str">
        <f t="shared" si="245"/>
        <v>89</v>
      </c>
      <c r="D4416" t="str">
        <f>"35"</f>
        <v>35</v>
      </c>
      <c r="E4416" t="str">
        <f>"1-89-35"</f>
        <v>1-89-35</v>
      </c>
      <c r="F4416" t="s">
        <v>65</v>
      </c>
      <c r="G4416" t="s">
        <v>66</v>
      </c>
      <c r="H4416" t="s">
        <v>67</v>
      </c>
      <c r="S4416">
        <v>1</v>
      </c>
      <c r="T4416">
        <v>0</v>
      </c>
      <c r="U4416">
        <v>0</v>
      </c>
      <c r="V4416">
        <v>0</v>
      </c>
      <c r="W4416">
        <v>1</v>
      </c>
      <c r="X4416">
        <v>0</v>
      </c>
      <c r="Y4416">
        <v>0</v>
      </c>
      <c r="Z4416">
        <v>1</v>
      </c>
      <c r="AA4416">
        <v>1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1</v>
      </c>
      <c r="AK4416">
        <v>0</v>
      </c>
      <c r="AL4416">
        <v>1</v>
      </c>
      <c r="AM4416">
        <v>0</v>
      </c>
    </row>
    <row r="4417" spans="1:39" x14ac:dyDescent="0.2">
      <c r="A4417" t="str">
        <f>"4413"</f>
        <v>4413</v>
      </c>
      <c r="B4417" t="str">
        <f t="shared" si="246"/>
        <v>1</v>
      </c>
      <c r="C4417" t="str">
        <f t="shared" si="245"/>
        <v>89</v>
      </c>
      <c r="D4417" t="str">
        <f>"22"</f>
        <v>22</v>
      </c>
      <c r="E4417" t="str">
        <f>"1-89-22"</f>
        <v>1-89-22</v>
      </c>
      <c r="F4417" t="s">
        <v>65</v>
      </c>
      <c r="G4417" t="s">
        <v>66</v>
      </c>
      <c r="H4417" t="s">
        <v>67</v>
      </c>
      <c r="S4417">
        <v>0</v>
      </c>
      <c r="T4417">
        <v>1</v>
      </c>
      <c r="U4417">
        <v>0</v>
      </c>
      <c r="V4417">
        <v>0</v>
      </c>
      <c r="W4417">
        <v>1</v>
      </c>
      <c r="X4417">
        <v>0</v>
      </c>
      <c r="Y4417">
        <v>0</v>
      </c>
      <c r="Z4417">
        <v>1</v>
      </c>
      <c r="AA4417">
        <v>0</v>
      </c>
      <c r="AB4417">
        <v>1</v>
      </c>
      <c r="AC4417">
        <v>0</v>
      </c>
      <c r="AD4417">
        <v>1</v>
      </c>
      <c r="AE4417">
        <v>1</v>
      </c>
      <c r="AF4417">
        <v>1</v>
      </c>
      <c r="AG4417">
        <v>1</v>
      </c>
      <c r="AH4417">
        <v>1</v>
      </c>
      <c r="AI4417">
        <v>1</v>
      </c>
      <c r="AJ4417">
        <v>1</v>
      </c>
      <c r="AK4417">
        <v>1</v>
      </c>
      <c r="AL4417">
        <v>1</v>
      </c>
      <c r="AM4417">
        <v>1</v>
      </c>
    </row>
    <row r="4418" spans="1:39" x14ac:dyDescent="0.2">
      <c r="A4418" t="str">
        <f>"4414"</f>
        <v>4414</v>
      </c>
      <c r="B4418" t="str">
        <f t="shared" si="246"/>
        <v>1</v>
      </c>
      <c r="C4418" t="str">
        <f t="shared" si="245"/>
        <v>89</v>
      </c>
      <c r="D4418" t="str">
        <f>"17"</f>
        <v>17</v>
      </c>
      <c r="E4418" t="str">
        <f>"1-89-17"</f>
        <v>1-89-17</v>
      </c>
      <c r="F4418" t="s">
        <v>65</v>
      </c>
      <c r="G4418" t="s">
        <v>66</v>
      </c>
      <c r="H4418" t="s">
        <v>67</v>
      </c>
      <c r="S4418">
        <v>1</v>
      </c>
      <c r="T4418">
        <v>0</v>
      </c>
      <c r="U4418">
        <v>0</v>
      </c>
      <c r="V4418">
        <v>0</v>
      </c>
      <c r="W4418">
        <v>0</v>
      </c>
      <c r="X4418">
        <v>1</v>
      </c>
      <c r="Y4418">
        <v>0</v>
      </c>
      <c r="Z4418">
        <v>1</v>
      </c>
      <c r="AA4418">
        <v>0</v>
      </c>
      <c r="AB4418">
        <v>0</v>
      </c>
      <c r="AC4418">
        <v>1</v>
      </c>
      <c r="AD4418">
        <v>1</v>
      </c>
      <c r="AE4418">
        <v>1</v>
      </c>
      <c r="AF4418">
        <v>1</v>
      </c>
      <c r="AG4418">
        <v>1</v>
      </c>
      <c r="AH4418">
        <v>1</v>
      </c>
      <c r="AI4418">
        <v>1</v>
      </c>
      <c r="AJ4418">
        <v>1</v>
      </c>
      <c r="AK4418">
        <v>1</v>
      </c>
      <c r="AL4418">
        <v>1</v>
      </c>
      <c r="AM4418">
        <v>1</v>
      </c>
    </row>
    <row r="4419" spans="1:39" x14ac:dyDescent="0.2">
      <c r="A4419" t="str">
        <f>"4415"</f>
        <v>4415</v>
      </c>
      <c r="B4419" t="str">
        <f t="shared" si="246"/>
        <v>1</v>
      </c>
      <c r="C4419" t="str">
        <f t="shared" si="245"/>
        <v>89</v>
      </c>
      <c r="D4419" t="str">
        <f>"4"</f>
        <v>4</v>
      </c>
      <c r="E4419" t="str">
        <f>"1-89-4"</f>
        <v>1-89-4</v>
      </c>
      <c r="F4419" t="s">
        <v>65</v>
      </c>
      <c r="G4419" t="s">
        <v>66</v>
      </c>
      <c r="H4419" t="s">
        <v>67</v>
      </c>
      <c r="S4419">
        <v>0</v>
      </c>
      <c r="T4419">
        <v>1</v>
      </c>
      <c r="U4419">
        <v>0</v>
      </c>
      <c r="V4419">
        <v>0</v>
      </c>
      <c r="W4419">
        <v>0</v>
      </c>
      <c r="X4419">
        <v>1</v>
      </c>
      <c r="Y4419">
        <v>0</v>
      </c>
      <c r="Z4419">
        <v>1</v>
      </c>
      <c r="AA4419">
        <v>0</v>
      </c>
      <c r="AB4419">
        <v>0</v>
      </c>
      <c r="AC4419">
        <v>1</v>
      </c>
      <c r="AD4419">
        <v>1</v>
      </c>
      <c r="AE4419">
        <v>1</v>
      </c>
      <c r="AF4419">
        <v>1</v>
      </c>
      <c r="AG4419">
        <v>1</v>
      </c>
      <c r="AH4419">
        <v>1</v>
      </c>
      <c r="AI4419">
        <v>1</v>
      </c>
      <c r="AJ4419">
        <v>1</v>
      </c>
      <c r="AK4419">
        <v>1</v>
      </c>
      <c r="AL4419">
        <v>1</v>
      </c>
      <c r="AM4419">
        <v>1</v>
      </c>
    </row>
    <row r="4420" spans="1:39" x14ac:dyDescent="0.2">
      <c r="A4420" t="str">
        <f>"4416"</f>
        <v>4416</v>
      </c>
      <c r="B4420" t="str">
        <f t="shared" si="246"/>
        <v>1</v>
      </c>
      <c r="C4420" t="str">
        <f t="shared" si="245"/>
        <v>89</v>
      </c>
      <c r="D4420" t="str">
        <f>"40"</f>
        <v>40</v>
      </c>
      <c r="E4420" t="str">
        <f>"1-89-40"</f>
        <v>1-89-40</v>
      </c>
      <c r="F4420" t="s">
        <v>65</v>
      </c>
      <c r="G4420" t="s">
        <v>66</v>
      </c>
      <c r="H4420" t="s">
        <v>67</v>
      </c>
      <c r="S4420">
        <v>1</v>
      </c>
      <c r="T4420">
        <v>0</v>
      </c>
      <c r="U4420">
        <v>0</v>
      </c>
      <c r="V4420">
        <v>0</v>
      </c>
      <c r="W4420">
        <v>1</v>
      </c>
      <c r="X4420">
        <v>0</v>
      </c>
      <c r="Y4420">
        <v>0</v>
      </c>
      <c r="Z4420">
        <v>1</v>
      </c>
      <c r="AA4420">
        <v>1</v>
      </c>
      <c r="AB4420">
        <v>0</v>
      </c>
      <c r="AC4420">
        <v>0</v>
      </c>
      <c r="AD4420">
        <v>1</v>
      </c>
      <c r="AE4420">
        <v>1</v>
      </c>
      <c r="AF4420">
        <v>1</v>
      </c>
      <c r="AG4420">
        <v>1</v>
      </c>
      <c r="AH4420">
        <v>1</v>
      </c>
      <c r="AI4420">
        <v>1</v>
      </c>
      <c r="AJ4420">
        <v>1</v>
      </c>
      <c r="AK4420">
        <v>1</v>
      </c>
      <c r="AL4420">
        <v>1</v>
      </c>
      <c r="AM4420">
        <v>1</v>
      </c>
    </row>
    <row r="4421" spans="1:39" x14ac:dyDescent="0.2">
      <c r="A4421" t="str">
        <f>"4417"</f>
        <v>4417</v>
      </c>
      <c r="B4421" t="str">
        <f t="shared" si="246"/>
        <v>1</v>
      </c>
      <c r="C4421" t="str">
        <f t="shared" si="245"/>
        <v>89</v>
      </c>
      <c r="D4421" t="str">
        <f>"39"</f>
        <v>39</v>
      </c>
      <c r="E4421" t="str">
        <f>"1-89-39"</f>
        <v>1-89-39</v>
      </c>
      <c r="F4421" t="s">
        <v>65</v>
      </c>
      <c r="G4421" t="s">
        <v>66</v>
      </c>
      <c r="H4421" t="s">
        <v>67</v>
      </c>
      <c r="S4421">
        <v>0</v>
      </c>
      <c r="T4421">
        <v>1</v>
      </c>
      <c r="U4421">
        <v>0</v>
      </c>
      <c r="V4421">
        <v>0</v>
      </c>
      <c r="W4421">
        <v>1</v>
      </c>
      <c r="X4421">
        <v>0</v>
      </c>
      <c r="Y4421">
        <v>1</v>
      </c>
      <c r="Z4421">
        <v>0</v>
      </c>
      <c r="AA4421">
        <v>0</v>
      </c>
      <c r="AB4421">
        <v>0</v>
      </c>
      <c r="AC4421">
        <v>1</v>
      </c>
      <c r="AD4421">
        <v>1</v>
      </c>
      <c r="AE4421">
        <v>1</v>
      </c>
      <c r="AF4421">
        <v>1</v>
      </c>
      <c r="AG4421">
        <v>1</v>
      </c>
      <c r="AH4421">
        <v>1</v>
      </c>
      <c r="AI4421">
        <v>1</v>
      </c>
      <c r="AJ4421">
        <v>1</v>
      </c>
      <c r="AK4421">
        <v>1</v>
      </c>
      <c r="AL4421">
        <v>1</v>
      </c>
      <c r="AM4421">
        <v>1</v>
      </c>
    </row>
    <row r="4422" spans="1:39" x14ac:dyDescent="0.2">
      <c r="A4422" t="str">
        <f>"4418"</f>
        <v>4418</v>
      </c>
      <c r="B4422" t="str">
        <f t="shared" si="246"/>
        <v>1</v>
      </c>
      <c r="C4422" t="str">
        <f t="shared" si="245"/>
        <v>89</v>
      </c>
      <c r="D4422" t="str">
        <f>"26"</f>
        <v>26</v>
      </c>
      <c r="E4422" t="str">
        <f>"1-89-26"</f>
        <v>1-89-26</v>
      </c>
      <c r="F4422" t="s">
        <v>65</v>
      </c>
      <c r="G4422" t="s">
        <v>66</v>
      </c>
      <c r="H4422" t="s">
        <v>67</v>
      </c>
      <c r="S4422">
        <v>1</v>
      </c>
      <c r="T4422">
        <v>0</v>
      </c>
      <c r="U4422">
        <v>0</v>
      </c>
      <c r="V4422">
        <v>0</v>
      </c>
      <c r="W4422">
        <v>1</v>
      </c>
      <c r="X4422">
        <v>0</v>
      </c>
      <c r="Y4422">
        <v>1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1</v>
      </c>
      <c r="AF4422">
        <v>1</v>
      </c>
      <c r="AG4422">
        <v>1</v>
      </c>
      <c r="AH4422">
        <v>1</v>
      </c>
      <c r="AI4422">
        <v>1</v>
      </c>
      <c r="AJ4422">
        <v>1</v>
      </c>
      <c r="AK4422">
        <v>1</v>
      </c>
      <c r="AL4422">
        <v>1</v>
      </c>
      <c r="AM4422">
        <v>1</v>
      </c>
    </row>
    <row r="4423" spans="1:39" x14ac:dyDescent="0.2">
      <c r="A4423" t="str">
        <f>"4419"</f>
        <v>4419</v>
      </c>
      <c r="B4423" t="str">
        <f t="shared" si="246"/>
        <v>1</v>
      </c>
      <c r="C4423" t="str">
        <f t="shared" si="245"/>
        <v>89</v>
      </c>
      <c r="D4423" t="str">
        <f>"18"</f>
        <v>18</v>
      </c>
      <c r="E4423" t="str">
        <f>"1-89-18"</f>
        <v>1-89-18</v>
      </c>
      <c r="F4423" t="s">
        <v>65</v>
      </c>
      <c r="G4423" t="s">
        <v>66</v>
      </c>
      <c r="H4423" t="s">
        <v>67</v>
      </c>
      <c r="S4423">
        <v>1</v>
      </c>
      <c r="T4423">
        <v>0</v>
      </c>
      <c r="U4423">
        <v>0</v>
      </c>
      <c r="V4423">
        <v>0</v>
      </c>
      <c r="W4423">
        <v>1</v>
      </c>
      <c r="X4423">
        <v>0</v>
      </c>
      <c r="Y4423">
        <v>1</v>
      </c>
      <c r="Z4423">
        <v>0</v>
      </c>
      <c r="AA4423">
        <v>1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1</v>
      </c>
    </row>
    <row r="4424" spans="1:39" x14ac:dyDescent="0.2">
      <c r="A4424" t="str">
        <f>"4420"</f>
        <v>4420</v>
      </c>
      <c r="B4424" t="str">
        <f t="shared" si="246"/>
        <v>1</v>
      </c>
      <c r="C4424" t="str">
        <f t="shared" si="245"/>
        <v>89</v>
      </c>
      <c r="D4424" t="str">
        <f>"2"</f>
        <v>2</v>
      </c>
      <c r="E4424" t="str">
        <f>"1-89-2"</f>
        <v>1-89-2</v>
      </c>
      <c r="F4424" t="s">
        <v>65</v>
      </c>
      <c r="G4424" t="s">
        <v>66</v>
      </c>
      <c r="H4424" t="s">
        <v>67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1</v>
      </c>
      <c r="Y4424">
        <v>0</v>
      </c>
      <c r="Z4424">
        <v>1</v>
      </c>
      <c r="AA4424">
        <v>0</v>
      </c>
      <c r="AB4424">
        <v>0</v>
      </c>
      <c r="AC4424">
        <v>1</v>
      </c>
      <c r="AD4424">
        <v>1</v>
      </c>
      <c r="AE4424">
        <v>1</v>
      </c>
      <c r="AF4424">
        <v>1</v>
      </c>
      <c r="AG4424">
        <v>1</v>
      </c>
      <c r="AH4424">
        <v>1</v>
      </c>
      <c r="AI4424">
        <v>1</v>
      </c>
      <c r="AJ4424">
        <v>1</v>
      </c>
      <c r="AK4424">
        <v>1</v>
      </c>
      <c r="AL4424">
        <v>1</v>
      </c>
      <c r="AM4424">
        <v>1</v>
      </c>
    </row>
    <row r="4425" spans="1:39" x14ac:dyDescent="0.2">
      <c r="A4425" t="str">
        <f>"4421"</f>
        <v>4421</v>
      </c>
      <c r="B4425" t="str">
        <f t="shared" si="246"/>
        <v>1</v>
      </c>
      <c r="C4425" t="str">
        <f t="shared" si="245"/>
        <v>89</v>
      </c>
      <c r="D4425" t="str">
        <f>"49"</f>
        <v>49</v>
      </c>
      <c r="E4425" t="str">
        <f>"1-89-49"</f>
        <v>1-89-49</v>
      </c>
      <c r="F4425" t="s">
        <v>65</v>
      </c>
      <c r="G4425" t="s">
        <v>66</v>
      </c>
      <c r="H4425" t="s">
        <v>67</v>
      </c>
      <c r="S4425">
        <v>1</v>
      </c>
      <c r="T4425">
        <v>0</v>
      </c>
      <c r="U4425">
        <v>0</v>
      </c>
      <c r="V4425">
        <v>0</v>
      </c>
      <c r="W4425">
        <v>1</v>
      </c>
      <c r="X4425">
        <v>0</v>
      </c>
      <c r="Y4425">
        <v>0</v>
      </c>
      <c r="Z4425">
        <v>1</v>
      </c>
      <c r="AA4425">
        <v>1</v>
      </c>
      <c r="AB4425">
        <v>0</v>
      </c>
      <c r="AC4425">
        <v>0</v>
      </c>
      <c r="AD4425">
        <v>1</v>
      </c>
      <c r="AE4425">
        <v>1</v>
      </c>
      <c r="AF4425">
        <v>1</v>
      </c>
      <c r="AG4425">
        <v>1</v>
      </c>
      <c r="AH4425">
        <v>1</v>
      </c>
      <c r="AI4425">
        <v>1</v>
      </c>
      <c r="AJ4425">
        <v>1</v>
      </c>
      <c r="AK4425">
        <v>1</v>
      </c>
      <c r="AL4425">
        <v>1</v>
      </c>
      <c r="AM4425">
        <v>1</v>
      </c>
    </row>
    <row r="4426" spans="1:39" x14ac:dyDescent="0.2">
      <c r="A4426" t="str">
        <f>"4422"</f>
        <v>4422</v>
      </c>
      <c r="B4426" t="str">
        <f t="shared" si="246"/>
        <v>1</v>
      </c>
      <c r="C4426" t="str">
        <f t="shared" si="245"/>
        <v>89</v>
      </c>
      <c r="D4426" t="str">
        <f>"33"</f>
        <v>33</v>
      </c>
      <c r="E4426" t="str">
        <f>"1-89-33"</f>
        <v>1-89-33</v>
      </c>
      <c r="F4426" t="s">
        <v>65</v>
      </c>
      <c r="G4426" t="s">
        <v>66</v>
      </c>
      <c r="H4426" t="s">
        <v>67</v>
      </c>
      <c r="S4426">
        <v>1</v>
      </c>
      <c r="T4426">
        <v>0</v>
      </c>
      <c r="U4426">
        <v>0</v>
      </c>
      <c r="V4426">
        <v>0</v>
      </c>
      <c r="W4426">
        <v>1</v>
      </c>
      <c r="X4426">
        <v>0</v>
      </c>
      <c r="Y4426">
        <v>1</v>
      </c>
      <c r="Z4426">
        <v>0</v>
      </c>
      <c r="AA4426">
        <v>0</v>
      </c>
      <c r="AB4426">
        <v>1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</row>
    <row r="4427" spans="1:39" x14ac:dyDescent="0.2">
      <c r="A4427" t="str">
        <f>"4423"</f>
        <v>4423</v>
      </c>
      <c r="B4427" t="str">
        <f t="shared" si="246"/>
        <v>1</v>
      </c>
      <c r="C4427" t="str">
        <f t="shared" si="245"/>
        <v>89</v>
      </c>
      <c r="D4427" t="str">
        <f>"19"</f>
        <v>19</v>
      </c>
      <c r="E4427" t="str">
        <f>"1-89-19"</f>
        <v>1-89-19</v>
      </c>
      <c r="F4427" t="s">
        <v>65</v>
      </c>
      <c r="G4427" t="s">
        <v>66</v>
      </c>
      <c r="H4427" t="s">
        <v>67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1</v>
      </c>
      <c r="Y4427">
        <v>1</v>
      </c>
      <c r="Z4427">
        <v>0</v>
      </c>
      <c r="AA4427">
        <v>0</v>
      </c>
      <c r="AB4427">
        <v>0</v>
      </c>
      <c r="AC4427">
        <v>1</v>
      </c>
      <c r="AD4427">
        <v>1</v>
      </c>
      <c r="AE4427">
        <v>1</v>
      </c>
      <c r="AF4427">
        <v>1</v>
      </c>
      <c r="AG4427">
        <v>1</v>
      </c>
      <c r="AH4427">
        <v>1</v>
      </c>
      <c r="AI4427">
        <v>1</v>
      </c>
      <c r="AJ4427">
        <v>1</v>
      </c>
      <c r="AK4427">
        <v>1</v>
      </c>
      <c r="AL4427">
        <v>1</v>
      </c>
      <c r="AM4427">
        <v>1</v>
      </c>
    </row>
    <row r="4428" spans="1:39" x14ac:dyDescent="0.2">
      <c r="A4428" t="str">
        <f>"4424"</f>
        <v>4424</v>
      </c>
      <c r="B4428" t="str">
        <f t="shared" si="246"/>
        <v>1</v>
      </c>
      <c r="C4428" t="str">
        <f t="shared" si="245"/>
        <v>89</v>
      </c>
      <c r="D4428" t="str">
        <f>"9"</f>
        <v>9</v>
      </c>
      <c r="E4428" t="str">
        <f>"1-89-9"</f>
        <v>1-89-9</v>
      </c>
      <c r="F4428" t="s">
        <v>65</v>
      </c>
      <c r="G4428" t="s">
        <v>66</v>
      </c>
      <c r="H4428" t="s">
        <v>67</v>
      </c>
      <c r="S4428">
        <v>1</v>
      </c>
      <c r="T4428">
        <v>0</v>
      </c>
      <c r="U4428">
        <v>0</v>
      </c>
      <c r="V4428">
        <v>0</v>
      </c>
      <c r="W4428">
        <v>1</v>
      </c>
      <c r="X4428">
        <v>0</v>
      </c>
      <c r="Y4428">
        <v>1</v>
      </c>
      <c r="Z4428">
        <v>0</v>
      </c>
      <c r="AA4428">
        <v>0</v>
      </c>
      <c r="AB4428">
        <v>1</v>
      </c>
      <c r="AC4428">
        <v>0</v>
      </c>
      <c r="AD4428">
        <v>1</v>
      </c>
      <c r="AE4428">
        <v>1</v>
      </c>
      <c r="AF4428">
        <v>1</v>
      </c>
      <c r="AG4428">
        <v>1</v>
      </c>
      <c r="AH4428">
        <v>1</v>
      </c>
      <c r="AI4428">
        <v>1</v>
      </c>
      <c r="AJ4428">
        <v>1</v>
      </c>
      <c r="AK4428">
        <v>1</v>
      </c>
      <c r="AL4428">
        <v>1</v>
      </c>
      <c r="AM4428">
        <v>1</v>
      </c>
    </row>
    <row r="4429" spans="1:39" x14ac:dyDescent="0.2">
      <c r="A4429" t="str">
        <f>"4425"</f>
        <v>4425</v>
      </c>
      <c r="B4429" t="str">
        <f t="shared" si="246"/>
        <v>1</v>
      </c>
      <c r="C4429" t="str">
        <f t="shared" si="245"/>
        <v>89</v>
      </c>
      <c r="D4429" t="str">
        <f>"34"</f>
        <v>34</v>
      </c>
      <c r="E4429" t="str">
        <f>"1-89-34"</f>
        <v>1-89-34</v>
      </c>
      <c r="F4429" t="s">
        <v>65</v>
      </c>
      <c r="G4429" t="s">
        <v>66</v>
      </c>
      <c r="H4429" t="s">
        <v>67</v>
      </c>
      <c r="S4429">
        <v>1</v>
      </c>
      <c r="T4429">
        <v>0</v>
      </c>
      <c r="U4429">
        <v>0</v>
      </c>
      <c r="V4429">
        <v>0</v>
      </c>
      <c r="W4429">
        <v>1</v>
      </c>
      <c r="X4429">
        <v>0</v>
      </c>
      <c r="Y4429">
        <v>0</v>
      </c>
      <c r="Z4429">
        <v>1</v>
      </c>
      <c r="AA4429">
        <v>1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1</v>
      </c>
      <c r="AK4429">
        <v>0</v>
      </c>
      <c r="AL4429">
        <v>1</v>
      </c>
      <c r="AM4429">
        <v>0</v>
      </c>
    </row>
    <row r="4430" spans="1:39" x14ac:dyDescent="0.2">
      <c r="A4430" t="str">
        <f>"4426"</f>
        <v>4426</v>
      </c>
      <c r="B4430" t="str">
        <f t="shared" si="246"/>
        <v>1</v>
      </c>
      <c r="C4430" t="str">
        <f t="shared" si="245"/>
        <v>89</v>
      </c>
      <c r="D4430" t="str">
        <f>"20"</f>
        <v>20</v>
      </c>
      <c r="E4430" t="str">
        <f>"1-89-20"</f>
        <v>1-89-20</v>
      </c>
      <c r="F4430" t="s">
        <v>65</v>
      </c>
      <c r="G4430" t="s">
        <v>66</v>
      </c>
      <c r="H4430" t="s">
        <v>67</v>
      </c>
      <c r="S4430">
        <v>0</v>
      </c>
      <c r="T4430">
        <v>1</v>
      </c>
      <c r="U4430">
        <v>0</v>
      </c>
      <c r="V4430">
        <v>0</v>
      </c>
      <c r="W4430">
        <v>1</v>
      </c>
      <c r="X4430">
        <v>0</v>
      </c>
      <c r="Y4430">
        <v>0</v>
      </c>
      <c r="Z4430">
        <v>1</v>
      </c>
      <c r="AA4430">
        <v>0</v>
      </c>
      <c r="AB4430">
        <v>0</v>
      </c>
      <c r="AC4430">
        <v>1</v>
      </c>
      <c r="AD4430">
        <v>1</v>
      </c>
      <c r="AE4430">
        <v>1</v>
      </c>
      <c r="AF4430">
        <v>1</v>
      </c>
      <c r="AG4430">
        <v>1</v>
      </c>
      <c r="AH4430">
        <v>1</v>
      </c>
      <c r="AI4430">
        <v>1</v>
      </c>
      <c r="AJ4430">
        <v>1</v>
      </c>
      <c r="AK4430">
        <v>1</v>
      </c>
      <c r="AL4430">
        <v>1</v>
      </c>
      <c r="AM4430">
        <v>1</v>
      </c>
    </row>
    <row r="4431" spans="1:39" x14ac:dyDescent="0.2">
      <c r="A4431" t="str">
        <f>"4427"</f>
        <v>4427</v>
      </c>
      <c r="B4431" t="str">
        <f t="shared" si="246"/>
        <v>1</v>
      </c>
      <c r="C4431" t="str">
        <f t="shared" si="245"/>
        <v>89</v>
      </c>
      <c r="D4431" t="str">
        <f>"14"</f>
        <v>14</v>
      </c>
      <c r="E4431" t="str">
        <f>"1-89-14"</f>
        <v>1-89-14</v>
      </c>
      <c r="F4431" t="s">
        <v>65</v>
      </c>
      <c r="G4431" t="s">
        <v>66</v>
      </c>
      <c r="H4431" t="s">
        <v>67</v>
      </c>
      <c r="S4431">
        <v>1</v>
      </c>
      <c r="T4431">
        <v>0</v>
      </c>
      <c r="U4431">
        <v>0</v>
      </c>
      <c r="V4431">
        <v>0</v>
      </c>
      <c r="W4431">
        <v>1</v>
      </c>
      <c r="X4431">
        <v>0</v>
      </c>
      <c r="Y4431">
        <v>1</v>
      </c>
      <c r="Z4431">
        <v>0</v>
      </c>
      <c r="AA4431">
        <v>0</v>
      </c>
      <c r="AB4431">
        <v>0</v>
      </c>
      <c r="AC4431">
        <v>1</v>
      </c>
      <c r="AD4431">
        <v>1</v>
      </c>
      <c r="AE4431">
        <v>0</v>
      </c>
      <c r="AF4431">
        <v>1</v>
      </c>
      <c r="AG4431">
        <v>1</v>
      </c>
      <c r="AH4431">
        <v>1</v>
      </c>
      <c r="AI4431">
        <v>1</v>
      </c>
      <c r="AJ4431">
        <v>1</v>
      </c>
      <c r="AK4431">
        <v>1</v>
      </c>
      <c r="AL4431">
        <v>1</v>
      </c>
      <c r="AM4431">
        <v>1</v>
      </c>
    </row>
    <row r="4432" spans="1:39" x14ac:dyDescent="0.2">
      <c r="A4432" t="str">
        <f>"4428"</f>
        <v>4428</v>
      </c>
      <c r="B4432" t="str">
        <f t="shared" si="246"/>
        <v>1</v>
      </c>
      <c r="C4432" t="str">
        <f t="shared" si="245"/>
        <v>89</v>
      </c>
      <c r="D4432" t="str">
        <f>"43"</f>
        <v>43</v>
      </c>
      <c r="E4432" t="str">
        <f>"1-89-43"</f>
        <v>1-89-43</v>
      </c>
      <c r="F4432" t="s">
        <v>65</v>
      </c>
      <c r="G4432" t="s">
        <v>66</v>
      </c>
      <c r="H4432" t="s">
        <v>67</v>
      </c>
      <c r="S4432">
        <v>0</v>
      </c>
      <c r="T4432">
        <v>0</v>
      </c>
      <c r="U4432">
        <v>0</v>
      </c>
      <c r="V4432">
        <v>0</v>
      </c>
      <c r="W4432">
        <v>1</v>
      </c>
      <c r="X4432">
        <v>0</v>
      </c>
      <c r="Y4432">
        <v>1</v>
      </c>
      <c r="Z4432">
        <v>0</v>
      </c>
      <c r="AA4432">
        <v>0</v>
      </c>
      <c r="AB4432">
        <v>1</v>
      </c>
      <c r="AC4432">
        <v>0</v>
      </c>
      <c r="AD4432">
        <v>1</v>
      </c>
      <c r="AE4432">
        <v>1</v>
      </c>
      <c r="AF4432">
        <v>1</v>
      </c>
      <c r="AG4432">
        <v>1</v>
      </c>
      <c r="AH4432">
        <v>1</v>
      </c>
      <c r="AI4432">
        <v>1</v>
      </c>
      <c r="AJ4432">
        <v>1</v>
      </c>
      <c r="AK4432">
        <v>1</v>
      </c>
      <c r="AL4432">
        <v>1</v>
      </c>
      <c r="AM4432">
        <v>1</v>
      </c>
    </row>
    <row r="4433" spans="1:39" x14ac:dyDescent="0.2">
      <c r="A4433" t="str">
        <f>"4429"</f>
        <v>4429</v>
      </c>
      <c r="B4433" t="str">
        <f t="shared" si="246"/>
        <v>1</v>
      </c>
      <c r="C4433" t="str">
        <f t="shared" si="245"/>
        <v>89</v>
      </c>
      <c r="D4433" t="str">
        <f>"21"</f>
        <v>21</v>
      </c>
      <c r="E4433" t="str">
        <f>"1-89-21"</f>
        <v>1-89-21</v>
      </c>
      <c r="F4433" t="s">
        <v>65</v>
      </c>
      <c r="G4433" t="s">
        <v>66</v>
      </c>
      <c r="H4433" t="s">
        <v>67</v>
      </c>
      <c r="S4433">
        <v>0</v>
      </c>
      <c r="T4433">
        <v>1</v>
      </c>
      <c r="U4433">
        <v>0</v>
      </c>
      <c r="V4433">
        <v>0</v>
      </c>
      <c r="W4433">
        <v>1</v>
      </c>
      <c r="X4433">
        <v>0</v>
      </c>
      <c r="Y4433">
        <v>0</v>
      </c>
      <c r="Z4433">
        <v>1</v>
      </c>
      <c r="AA4433">
        <v>0</v>
      </c>
      <c r="AB4433">
        <v>1</v>
      </c>
      <c r="AC4433">
        <v>0</v>
      </c>
      <c r="AD4433">
        <v>1</v>
      </c>
      <c r="AE4433">
        <v>1</v>
      </c>
      <c r="AF4433">
        <v>1</v>
      </c>
      <c r="AG4433">
        <v>1</v>
      </c>
      <c r="AH4433">
        <v>1</v>
      </c>
      <c r="AI4433">
        <v>1</v>
      </c>
      <c r="AJ4433">
        <v>1</v>
      </c>
      <c r="AK4433">
        <v>1</v>
      </c>
      <c r="AL4433">
        <v>1</v>
      </c>
      <c r="AM4433">
        <v>1</v>
      </c>
    </row>
    <row r="4434" spans="1:39" x14ac:dyDescent="0.2">
      <c r="A4434" t="str">
        <f>"4430"</f>
        <v>4430</v>
      </c>
      <c r="B4434" t="str">
        <f t="shared" si="246"/>
        <v>1</v>
      </c>
      <c r="C4434" t="str">
        <f t="shared" si="245"/>
        <v>89</v>
      </c>
      <c r="D4434" t="str">
        <f>"3"</f>
        <v>3</v>
      </c>
      <c r="E4434" t="str">
        <f>"1-89-3"</f>
        <v>1-89-3</v>
      </c>
      <c r="F4434" t="s">
        <v>65</v>
      </c>
      <c r="G4434" t="s">
        <v>66</v>
      </c>
      <c r="H4434" t="s">
        <v>67</v>
      </c>
      <c r="S4434">
        <v>1</v>
      </c>
      <c r="T4434">
        <v>0</v>
      </c>
      <c r="U4434">
        <v>0</v>
      </c>
      <c r="V4434">
        <v>0</v>
      </c>
      <c r="W4434">
        <v>1</v>
      </c>
      <c r="X4434">
        <v>0</v>
      </c>
      <c r="Y4434">
        <v>1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1</v>
      </c>
      <c r="AF4434">
        <v>1</v>
      </c>
      <c r="AG4434">
        <v>1</v>
      </c>
      <c r="AH4434">
        <v>1</v>
      </c>
      <c r="AI4434">
        <v>1</v>
      </c>
      <c r="AJ4434">
        <v>1</v>
      </c>
      <c r="AK4434">
        <v>1</v>
      </c>
      <c r="AL4434">
        <v>1</v>
      </c>
      <c r="AM4434">
        <v>1</v>
      </c>
    </row>
    <row r="4435" spans="1:39" x14ac:dyDescent="0.2">
      <c r="A4435" t="str">
        <f>"4431"</f>
        <v>4431</v>
      </c>
      <c r="B4435" t="str">
        <f t="shared" si="246"/>
        <v>1</v>
      </c>
      <c r="C4435" t="str">
        <f t="shared" si="245"/>
        <v>89</v>
      </c>
      <c r="D4435" t="str">
        <f>"45"</f>
        <v>45</v>
      </c>
      <c r="E4435" t="str">
        <f>"1-89-45"</f>
        <v>1-89-45</v>
      </c>
      <c r="F4435" t="s">
        <v>65</v>
      </c>
      <c r="G4435" t="s">
        <v>66</v>
      </c>
      <c r="H4435" t="s">
        <v>67</v>
      </c>
      <c r="S4435">
        <v>1</v>
      </c>
      <c r="T4435">
        <v>0</v>
      </c>
      <c r="U4435">
        <v>0</v>
      </c>
      <c r="V4435">
        <v>0</v>
      </c>
      <c r="W4435">
        <v>1</v>
      </c>
      <c r="X4435">
        <v>0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1</v>
      </c>
      <c r="AF4435">
        <v>1</v>
      </c>
      <c r="AG4435">
        <v>1</v>
      </c>
      <c r="AH4435">
        <v>1</v>
      </c>
      <c r="AI4435">
        <v>1</v>
      </c>
      <c r="AJ4435">
        <v>1</v>
      </c>
      <c r="AK4435">
        <v>1</v>
      </c>
      <c r="AL4435">
        <v>1</v>
      </c>
      <c r="AM4435">
        <v>1</v>
      </c>
    </row>
    <row r="4436" spans="1:39" x14ac:dyDescent="0.2">
      <c r="A4436" t="str">
        <f>"4432"</f>
        <v>4432</v>
      </c>
      <c r="B4436" t="str">
        <f t="shared" si="246"/>
        <v>1</v>
      </c>
      <c r="C4436" t="str">
        <f t="shared" si="245"/>
        <v>89</v>
      </c>
      <c r="D4436" t="str">
        <f>"23"</f>
        <v>23</v>
      </c>
      <c r="E4436" t="str">
        <f>"1-89-23"</f>
        <v>1-89-23</v>
      </c>
      <c r="F4436" t="s">
        <v>65</v>
      </c>
      <c r="G4436" t="s">
        <v>66</v>
      </c>
      <c r="H4436" t="s">
        <v>67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1</v>
      </c>
      <c r="AE4436">
        <v>1</v>
      </c>
      <c r="AF4436">
        <v>1</v>
      </c>
      <c r="AG4436">
        <v>1</v>
      </c>
      <c r="AH4436">
        <v>1</v>
      </c>
      <c r="AI4436">
        <v>1</v>
      </c>
      <c r="AJ4436">
        <v>1</v>
      </c>
      <c r="AK4436">
        <v>1</v>
      </c>
      <c r="AL4436">
        <v>1</v>
      </c>
      <c r="AM4436">
        <v>0</v>
      </c>
    </row>
    <row r="4437" spans="1:39" x14ac:dyDescent="0.2">
      <c r="A4437" t="str">
        <f>"4433"</f>
        <v>4433</v>
      </c>
      <c r="B4437" t="str">
        <f t="shared" si="246"/>
        <v>1</v>
      </c>
      <c r="C4437" t="str">
        <f t="shared" ref="C4437:C4454" si="247">"89"</f>
        <v>89</v>
      </c>
      <c r="D4437" t="str">
        <f>"10"</f>
        <v>10</v>
      </c>
      <c r="E4437" t="str">
        <f>"1-89-10"</f>
        <v>1-89-10</v>
      </c>
      <c r="F4437" t="s">
        <v>65</v>
      </c>
      <c r="G4437" t="s">
        <v>66</v>
      </c>
      <c r="H4437" t="s">
        <v>67</v>
      </c>
      <c r="S4437">
        <v>0</v>
      </c>
      <c r="T4437">
        <v>1</v>
      </c>
      <c r="U4437">
        <v>0</v>
      </c>
      <c r="V4437">
        <v>0</v>
      </c>
      <c r="W4437">
        <v>0</v>
      </c>
      <c r="X4437">
        <v>1</v>
      </c>
      <c r="Y4437">
        <v>0</v>
      </c>
      <c r="Z4437">
        <v>1</v>
      </c>
      <c r="AA4437">
        <v>0</v>
      </c>
      <c r="AB4437">
        <v>1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</row>
    <row r="4438" spans="1:39" x14ac:dyDescent="0.2">
      <c r="A4438" t="str">
        <f>"4434"</f>
        <v>4434</v>
      </c>
      <c r="B4438" t="str">
        <f t="shared" si="246"/>
        <v>1</v>
      </c>
      <c r="C4438" t="str">
        <f t="shared" si="247"/>
        <v>89</v>
      </c>
      <c r="D4438" t="str">
        <f>"44"</f>
        <v>44</v>
      </c>
      <c r="E4438" t="str">
        <f>"1-89-44"</f>
        <v>1-89-44</v>
      </c>
      <c r="F4438" t="s">
        <v>65</v>
      </c>
      <c r="G4438" t="s">
        <v>66</v>
      </c>
      <c r="H4438" t="s">
        <v>67</v>
      </c>
      <c r="S4438">
        <v>1</v>
      </c>
      <c r="T4438">
        <v>0</v>
      </c>
      <c r="U4438">
        <v>0</v>
      </c>
      <c r="V4438">
        <v>0</v>
      </c>
      <c r="W4438">
        <v>1</v>
      </c>
      <c r="X4438">
        <v>0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1</v>
      </c>
      <c r="AF4438">
        <v>1</v>
      </c>
      <c r="AG4438">
        <v>1</v>
      </c>
      <c r="AH4438">
        <v>1</v>
      </c>
      <c r="AI4438">
        <v>1</v>
      </c>
      <c r="AJ4438">
        <v>1</v>
      </c>
      <c r="AK4438">
        <v>1</v>
      </c>
      <c r="AL4438">
        <v>1</v>
      </c>
      <c r="AM4438">
        <v>1</v>
      </c>
    </row>
    <row r="4439" spans="1:39" x14ac:dyDescent="0.2">
      <c r="A4439" t="str">
        <f>"4435"</f>
        <v>4435</v>
      </c>
      <c r="B4439" t="str">
        <f t="shared" si="246"/>
        <v>1</v>
      </c>
      <c r="C4439" t="str">
        <f t="shared" si="247"/>
        <v>89</v>
      </c>
      <c r="D4439" t="str">
        <f>"25"</f>
        <v>25</v>
      </c>
      <c r="E4439" t="str">
        <f>"1-89-25"</f>
        <v>1-89-25</v>
      </c>
      <c r="F4439" t="s">
        <v>65</v>
      </c>
      <c r="G4439" t="s">
        <v>66</v>
      </c>
      <c r="H4439" t="s">
        <v>67</v>
      </c>
      <c r="S4439">
        <v>1</v>
      </c>
      <c r="T4439">
        <v>0</v>
      </c>
      <c r="U4439">
        <v>0</v>
      </c>
      <c r="V4439">
        <v>0</v>
      </c>
      <c r="W4439">
        <v>1</v>
      </c>
      <c r="X4439">
        <v>0</v>
      </c>
      <c r="Y4439">
        <v>0</v>
      </c>
      <c r="Z4439">
        <v>0</v>
      </c>
      <c r="AA4439">
        <v>0</v>
      </c>
      <c r="AB4439">
        <v>1</v>
      </c>
      <c r="AC4439">
        <v>0</v>
      </c>
      <c r="AD4439">
        <v>1</v>
      </c>
      <c r="AE4439">
        <v>1</v>
      </c>
      <c r="AF4439">
        <v>1</v>
      </c>
      <c r="AG4439">
        <v>1</v>
      </c>
      <c r="AH4439">
        <v>1</v>
      </c>
      <c r="AI4439">
        <v>1</v>
      </c>
      <c r="AJ4439">
        <v>1</v>
      </c>
      <c r="AK4439">
        <v>1</v>
      </c>
      <c r="AL4439">
        <v>1</v>
      </c>
      <c r="AM4439">
        <v>1</v>
      </c>
    </row>
    <row r="4440" spans="1:39" x14ac:dyDescent="0.2">
      <c r="A4440" t="str">
        <f>"4436"</f>
        <v>4436</v>
      </c>
      <c r="B4440" t="str">
        <f t="shared" si="246"/>
        <v>1</v>
      </c>
      <c r="C4440" t="str">
        <f t="shared" si="247"/>
        <v>89</v>
      </c>
      <c r="D4440" t="str">
        <f>"5"</f>
        <v>5</v>
      </c>
      <c r="E4440" t="str">
        <f>"1-89-5"</f>
        <v>1-89-5</v>
      </c>
      <c r="F4440" t="s">
        <v>65</v>
      </c>
      <c r="G4440" t="s">
        <v>66</v>
      </c>
      <c r="H4440" t="s">
        <v>67</v>
      </c>
      <c r="S4440">
        <v>1</v>
      </c>
      <c r="T4440">
        <v>0</v>
      </c>
      <c r="U4440">
        <v>0</v>
      </c>
      <c r="V4440">
        <v>0</v>
      </c>
      <c r="W4440">
        <v>1</v>
      </c>
      <c r="X4440">
        <v>0</v>
      </c>
      <c r="Y4440">
        <v>0</v>
      </c>
      <c r="Z4440">
        <v>0</v>
      </c>
      <c r="AA4440">
        <v>0</v>
      </c>
      <c r="AB4440">
        <v>1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</row>
    <row r="4441" spans="1:39" x14ac:dyDescent="0.2">
      <c r="A4441" t="str">
        <f>"4437"</f>
        <v>4437</v>
      </c>
      <c r="B4441" t="str">
        <f t="shared" si="246"/>
        <v>1</v>
      </c>
      <c r="C4441" t="str">
        <f t="shared" si="247"/>
        <v>89</v>
      </c>
      <c r="D4441" t="str">
        <f>"46"</f>
        <v>46</v>
      </c>
      <c r="E4441" t="str">
        <f>"1-89-46"</f>
        <v>1-89-46</v>
      </c>
      <c r="F4441" t="s">
        <v>65</v>
      </c>
      <c r="G4441" t="s">
        <v>66</v>
      </c>
      <c r="H4441" t="s">
        <v>67</v>
      </c>
      <c r="S4441">
        <v>1</v>
      </c>
      <c r="T4441">
        <v>0</v>
      </c>
      <c r="U4441">
        <v>0</v>
      </c>
      <c r="V4441">
        <v>0</v>
      </c>
      <c r="W4441">
        <v>0</v>
      </c>
      <c r="X4441">
        <v>1</v>
      </c>
      <c r="Y4441">
        <v>1</v>
      </c>
      <c r="Z4441">
        <v>0</v>
      </c>
      <c r="AA4441">
        <v>0</v>
      </c>
      <c r="AB4441">
        <v>1</v>
      </c>
      <c r="AC4441">
        <v>0</v>
      </c>
      <c r="AD4441">
        <v>1</v>
      </c>
      <c r="AE4441">
        <v>1</v>
      </c>
      <c r="AF4441">
        <v>1</v>
      </c>
      <c r="AG4441">
        <v>1</v>
      </c>
      <c r="AH4441">
        <v>1</v>
      </c>
      <c r="AI4441">
        <v>1</v>
      </c>
      <c r="AJ4441">
        <v>1</v>
      </c>
      <c r="AK4441">
        <v>1</v>
      </c>
      <c r="AL4441">
        <v>1</v>
      </c>
      <c r="AM4441">
        <v>1</v>
      </c>
    </row>
    <row r="4442" spans="1:39" x14ac:dyDescent="0.2">
      <c r="A4442" t="str">
        <f>"4438"</f>
        <v>4438</v>
      </c>
      <c r="B4442" t="str">
        <f t="shared" si="246"/>
        <v>1</v>
      </c>
      <c r="C4442" t="str">
        <f t="shared" si="247"/>
        <v>89</v>
      </c>
      <c r="D4442" t="str">
        <f>"28"</f>
        <v>28</v>
      </c>
      <c r="E4442" t="str">
        <f>"1-89-28"</f>
        <v>1-89-28</v>
      </c>
      <c r="F4442" t="s">
        <v>65</v>
      </c>
      <c r="G4442" t="s">
        <v>66</v>
      </c>
      <c r="H4442" t="s">
        <v>67</v>
      </c>
      <c r="S4442">
        <v>0</v>
      </c>
      <c r="T4442">
        <v>1</v>
      </c>
      <c r="U4442">
        <v>0</v>
      </c>
      <c r="V4442">
        <v>0</v>
      </c>
      <c r="W4442">
        <v>1</v>
      </c>
      <c r="X4442">
        <v>0</v>
      </c>
      <c r="Y4442">
        <v>0</v>
      </c>
      <c r="Z4442">
        <v>1</v>
      </c>
      <c r="AA4442">
        <v>0</v>
      </c>
      <c r="AB4442">
        <v>1</v>
      </c>
      <c r="AC4442">
        <v>0</v>
      </c>
      <c r="AD4442">
        <v>1</v>
      </c>
      <c r="AE4442">
        <v>1</v>
      </c>
      <c r="AF4442">
        <v>1</v>
      </c>
      <c r="AG4442">
        <v>1</v>
      </c>
      <c r="AH4442">
        <v>1</v>
      </c>
      <c r="AI4442">
        <v>1</v>
      </c>
      <c r="AJ4442">
        <v>1</v>
      </c>
      <c r="AK4442">
        <v>1</v>
      </c>
      <c r="AL4442">
        <v>1</v>
      </c>
      <c r="AM4442">
        <v>1</v>
      </c>
    </row>
    <row r="4443" spans="1:39" x14ac:dyDescent="0.2">
      <c r="A4443" t="str">
        <f>"4439"</f>
        <v>4439</v>
      </c>
      <c r="B4443" t="str">
        <f t="shared" si="246"/>
        <v>1</v>
      </c>
      <c r="C4443" t="str">
        <f t="shared" si="247"/>
        <v>89</v>
      </c>
      <c r="D4443" t="str">
        <f>"8"</f>
        <v>8</v>
      </c>
      <c r="E4443" t="str">
        <f>"1-89-8"</f>
        <v>1-89-8</v>
      </c>
      <c r="F4443" t="s">
        <v>65</v>
      </c>
      <c r="G4443" t="s">
        <v>66</v>
      </c>
      <c r="H4443" t="s">
        <v>67</v>
      </c>
      <c r="S4443">
        <v>1</v>
      </c>
      <c r="T4443">
        <v>0</v>
      </c>
      <c r="U4443">
        <v>0</v>
      </c>
      <c r="V4443">
        <v>0</v>
      </c>
      <c r="W4443">
        <v>1</v>
      </c>
      <c r="X4443">
        <v>0</v>
      </c>
      <c r="Y4443">
        <v>1</v>
      </c>
      <c r="Z4443">
        <v>0</v>
      </c>
      <c r="AA4443">
        <v>0</v>
      </c>
      <c r="AB4443">
        <v>1</v>
      </c>
      <c r="AC4443">
        <v>0</v>
      </c>
      <c r="AD4443">
        <v>1</v>
      </c>
      <c r="AE4443">
        <v>1</v>
      </c>
      <c r="AF4443">
        <v>1</v>
      </c>
      <c r="AG4443">
        <v>1</v>
      </c>
      <c r="AH4443">
        <v>1</v>
      </c>
      <c r="AI4443">
        <v>1</v>
      </c>
      <c r="AJ4443">
        <v>1</v>
      </c>
      <c r="AK4443">
        <v>1</v>
      </c>
      <c r="AL4443">
        <v>1</v>
      </c>
      <c r="AM4443">
        <v>1</v>
      </c>
    </row>
    <row r="4444" spans="1:39" x14ac:dyDescent="0.2">
      <c r="A4444" t="str">
        <f>"4440"</f>
        <v>4440</v>
      </c>
      <c r="B4444" t="str">
        <f t="shared" si="246"/>
        <v>1</v>
      </c>
      <c r="C4444" t="str">
        <f t="shared" si="247"/>
        <v>89</v>
      </c>
      <c r="D4444" t="str">
        <f>"29"</f>
        <v>29</v>
      </c>
      <c r="E4444" t="str">
        <f>"1-89-29"</f>
        <v>1-89-29</v>
      </c>
      <c r="F4444" t="s">
        <v>65</v>
      </c>
      <c r="G4444" t="s">
        <v>66</v>
      </c>
      <c r="H4444" t="s">
        <v>67</v>
      </c>
      <c r="S4444">
        <v>1</v>
      </c>
      <c r="T4444">
        <v>0</v>
      </c>
      <c r="U4444">
        <v>0</v>
      </c>
      <c r="V4444">
        <v>0</v>
      </c>
      <c r="W4444">
        <v>1</v>
      </c>
      <c r="X4444">
        <v>0</v>
      </c>
      <c r="Y4444">
        <v>0</v>
      </c>
      <c r="Z4444">
        <v>1</v>
      </c>
      <c r="AA4444">
        <v>0</v>
      </c>
      <c r="AB4444">
        <v>1</v>
      </c>
      <c r="AC4444">
        <v>0</v>
      </c>
      <c r="AD4444">
        <v>1</v>
      </c>
      <c r="AE4444">
        <v>1</v>
      </c>
      <c r="AF4444">
        <v>1</v>
      </c>
      <c r="AG4444">
        <v>0</v>
      </c>
      <c r="AH4444">
        <v>1</v>
      </c>
      <c r="AI4444">
        <v>1</v>
      </c>
      <c r="AJ4444">
        <v>1</v>
      </c>
      <c r="AK4444">
        <v>1</v>
      </c>
      <c r="AL4444">
        <v>1</v>
      </c>
      <c r="AM4444">
        <v>1</v>
      </c>
    </row>
    <row r="4445" spans="1:39" x14ac:dyDescent="0.2">
      <c r="A4445" t="str">
        <f>"4441"</f>
        <v>4441</v>
      </c>
      <c r="B4445" t="str">
        <f t="shared" si="246"/>
        <v>1</v>
      </c>
      <c r="C4445" t="str">
        <f t="shared" si="247"/>
        <v>89</v>
      </c>
      <c r="D4445" t="str">
        <f>"6"</f>
        <v>6</v>
      </c>
      <c r="E4445" t="str">
        <f>"1-89-6"</f>
        <v>1-89-6</v>
      </c>
      <c r="F4445" t="s">
        <v>65</v>
      </c>
      <c r="G4445" t="s">
        <v>66</v>
      </c>
      <c r="H4445" t="s">
        <v>67</v>
      </c>
      <c r="S4445">
        <v>1</v>
      </c>
      <c r="T4445">
        <v>0</v>
      </c>
      <c r="U4445">
        <v>0</v>
      </c>
      <c r="V4445">
        <v>0</v>
      </c>
      <c r="W4445">
        <v>1</v>
      </c>
      <c r="X4445">
        <v>0</v>
      </c>
      <c r="Y4445">
        <v>1</v>
      </c>
      <c r="Z4445">
        <v>0</v>
      </c>
      <c r="AA4445">
        <v>0</v>
      </c>
      <c r="AB4445">
        <v>1</v>
      </c>
      <c r="AC4445">
        <v>0</v>
      </c>
      <c r="AD4445">
        <v>1</v>
      </c>
      <c r="AE4445">
        <v>1</v>
      </c>
      <c r="AF4445">
        <v>1</v>
      </c>
      <c r="AG4445">
        <v>1</v>
      </c>
      <c r="AH4445">
        <v>1</v>
      </c>
      <c r="AI4445">
        <v>1</v>
      </c>
      <c r="AJ4445">
        <v>1</v>
      </c>
      <c r="AK4445">
        <v>1</v>
      </c>
      <c r="AL4445">
        <v>1</v>
      </c>
      <c r="AM4445">
        <v>1</v>
      </c>
    </row>
    <row r="4446" spans="1:39" x14ac:dyDescent="0.2">
      <c r="A4446" t="str">
        <f>"4442"</f>
        <v>4442</v>
      </c>
      <c r="B4446" t="str">
        <f t="shared" si="246"/>
        <v>1</v>
      </c>
      <c r="C4446" t="str">
        <f t="shared" si="247"/>
        <v>89</v>
      </c>
      <c r="D4446" t="str">
        <f>"48"</f>
        <v>48</v>
      </c>
      <c r="E4446" t="str">
        <f>"1-89-48"</f>
        <v>1-89-48</v>
      </c>
      <c r="F4446" t="s">
        <v>65</v>
      </c>
      <c r="G4446" t="s">
        <v>66</v>
      </c>
      <c r="H4446" t="s">
        <v>67</v>
      </c>
      <c r="S4446">
        <v>0</v>
      </c>
      <c r="T4446">
        <v>1</v>
      </c>
      <c r="U4446">
        <v>0</v>
      </c>
      <c r="V4446">
        <v>0</v>
      </c>
      <c r="W4446">
        <v>0</v>
      </c>
      <c r="X4446">
        <v>1</v>
      </c>
      <c r="Y4446">
        <v>0</v>
      </c>
      <c r="Z4446">
        <v>1</v>
      </c>
      <c r="AA4446">
        <v>0</v>
      </c>
      <c r="AB4446">
        <v>0</v>
      </c>
      <c r="AC4446">
        <v>1</v>
      </c>
      <c r="AD4446">
        <v>1</v>
      </c>
      <c r="AE4446">
        <v>1</v>
      </c>
      <c r="AF4446">
        <v>1</v>
      </c>
      <c r="AG4446">
        <v>1</v>
      </c>
      <c r="AH4446">
        <v>1</v>
      </c>
      <c r="AI4446">
        <v>1</v>
      </c>
      <c r="AJ4446">
        <v>1</v>
      </c>
      <c r="AK4446">
        <v>1</v>
      </c>
      <c r="AL4446">
        <v>1</v>
      </c>
      <c r="AM4446">
        <v>1</v>
      </c>
    </row>
    <row r="4447" spans="1:39" x14ac:dyDescent="0.2">
      <c r="A4447" t="str">
        <f>"4443"</f>
        <v>4443</v>
      </c>
      <c r="B4447" t="str">
        <f t="shared" si="246"/>
        <v>1</v>
      </c>
      <c r="C4447" t="str">
        <f t="shared" si="247"/>
        <v>89</v>
      </c>
      <c r="D4447" t="str">
        <f>"30"</f>
        <v>30</v>
      </c>
      <c r="E4447" t="str">
        <f>"1-89-30"</f>
        <v>1-89-30</v>
      </c>
      <c r="F4447" t="s">
        <v>65</v>
      </c>
      <c r="G4447" t="s">
        <v>66</v>
      </c>
      <c r="H4447" t="s">
        <v>67</v>
      </c>
      <c r="S4447">
        <v>1</v>
      </c>
      <c r="T4447">
        <v>0</v>
      </c>
      <c r="U4447">
        <v>0</v>
      </c>
      <c r="V4447">
        <v>0</v>
      </c>
      <c r="W4447">
        <v>1</v>
      </c>
      <c r="X4447">
        <v>0</v>
      </c>
      <c r="Y4447">
        <v>0</v>
      </c>
      <c r="Z4447">
        <v>1</v>
      </c>
      <c r="AA4447">
        <v>1</v>
      </c>
      <c r="AB4447">
        <v>0</v>
      </c>
      <c r="AC4447">
        <v>0</v>
      </c>
      <c r="AD4447">
        <v>1</v>
      </c>
      <c r="AE4447">
        <v>1</v>
      </c>
      <c r="AF4447">
        <v>1</v>
      </c>
      <c r="AG4447">
        <v>1</v>
      </c>
      <c r="AH4447">
        <v>1</v>
      </c>
      <c r="AI4447">
        <v>1</v>
      </c>
      <c r="AJ4447">
        <v>1</v>
      </c>
      <c r="AK4447">
        <v>1</v>
      </c>
      <c r="AL4447">
        <v>1</v>
      </c>
      <c r="AM4447">
        <v>1</v>
      </c>
    </row>
    <row r="4448" spans="1:39" x14ac:dyDescent="0.2">
      <c r="A4448" t="str">
        <f>"4444"</f>
        <v>4444</v>
      </c>
      <c r="B4448" t="str">
        <f t="shared" si="246"/>
        <v>1</v>
      </c>
      <c r="C4448" t="str">
        <f t="shared" si="247"/>
        <v>89</v>
      </c>
      <c r="D4448" t="str">
        <f>"13"</f>
        <v>13</v>
      </c>
      <c r="E4448" t="str">
        <f>"1-89-13"</f>
        <v>1-89-13</v>
      </c>
      <c r="F4448" t="s">
        <v>65</v>
      </c>
      <c r="G4448" t="s">
        <v>66</v>
      </c>
      <c r="H4448" t="s">
        <v>67</v>
      </c>
      <c r="S4448">
        <v>1</v>
      </c>
      <c r="T4448">
        <v>0</v>
      </c>
      <c r="U4448">
        <v>0</v>
      </c>
      <c r="V4448">
        <v>0</v>
      </c>
      <c r="W4448">
        <v>1</v>
      </c>
      <c r="X4448">
        <v>0</v>
      </c>
      <c r="Y4448">
        <v>1</v>
      </c>
      <c r="Z4448">
        <v>0</v>
      </c>
      <c r="AA4448">
        <v>0</v>
      </c>
      <c r="AB4448">
        <v>1</v>
      </c>
      <c r="AC4448">
        <v>0</v>
      </c>
      <c r="AD4448">
        <v>1</v>
      </c>
      <c r="AE4448">
        <v>1</v>
      </c>
      <c r="AF4448">
        <v>1</v>
      </c>
      <c r="AG4448">
        <v>1</v>
      </c>
      <c r="AH4448">
        <v>1</v>
      </c>
      <c r="AI4448">
        <v>1</v>
      </c>
      <c r="AJ4448">
        <v>1</v>
      </c>
      <c r="AK4448">
        <v>1</v>
      </c>
      <c r="AL4448">
        <v>1</v>
      </c>
      <c r="AM4448">
        <v>0</v>
      </c>
    </row>
    <row r="4449" spans="1:39" x14ac:dyDescent="0.2">
      <c r="A4449" t="str">
        <f>"4445"</f>
        <v>4445</v>
      </c>
      <c r="B4449" t="str">
        <f t="shared" si="246"/>
        <v>1</v>
      </c>
      <c r="C4449" t="str">
        <f t="shared" si="247"/>
        <v>89</v>
      </c>
      <c r="D4449" t="str">
        <f>"47"</f>
        <v>47</v>
      </c>
      <c r="E4449" t="str">
        <f>"1-89-47"</f>
        <v>1-89-47</v>
      </c>
      <c r="F4449" t="s">
        <v>65</v>
      </c>
      <c r="G4449" t="s">
        <v>66</v>
      </c>
      <c r="H4449" t="s">
        <v>67</v>
      </c>
      <c r="S4449">
        <v>1</v>
      </c>
      <c r="T4449">
        <v>0</v>
      </c>
      <c r="U4449">
        <v>0</v>
      </c>
      <c r="V4449">
        <v>0</v>
      </c>
      <c r="W4449">
        <v>0</v>
      </c>
      <c r="X4449">
        <v>1</v>
      </c>
      <c r="Y4449">
        <v>0</v>
      </c>
      <c r="Z4449">
        <v>1</v>
      </c>
      <c r="AA4449">
        <v>0</v>
      </c>
      <c r="AB4449">
        <v>0</v>
      </c>
      <c r="AC4449">
        <v>1</v>
      </c>
      <c r="AD4449">
        <v>1</v>
      </c>
      <c r="AE4449">
        <v>1</v>
      </c>
      <c r="AF4449">
        <v>1</v>
      </c>
      <c r="AG4449">
        <v>1</v>
      </c>
      <c r="AH4449">
        <v>1</v>
      </c>
      <c r="AI4449">
        <v>1</v>
      </c>
      <c r="AJ4449">
        <v>1</v>
      </c>
      <c r="AK4449">
        <v>1</v>
      </c>
      <c r="AL4449">
        <v>1</v>
      </c>
      <c r="AM4449">
        <v>1</v>
      </c>
    </row>
    <row r="4450" spans="1:39" x14ac:dyDescent="0.2">
      <c r="A4450" t="str">
        <f>"4446"</f>
        <v>4446</v>
      </c>
      <c r="B4450" t="str">
        <f t="shared" si="246"/>
        <v>1</v>
      </c>
      <c r="C4450" t="str">
        <f t="shared" si="247"/>
        <v>89</v>
      </c>
      <c r="D4450" t="str">
        <f>"31"</f>
        <v>31</v>
      </c>
      <c r="E4450" t="str">
        <f>"1-89-31"</f>
        <v>1-89-31</v>
      </c>
      <c r="F4450" t="s">
        <v>65</v>
      </c>
      <c r="G4450" t="s">
        <v>66</v>
      </c>
      <c r="H4450" t="s">
        <v>67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1</v>
      </c>
      <c r="AE4450">
        <v>1</v>
      </c>
      <c r="AF4450">
        <v>1</v>
      </c>
      <c r="AG4450">
        <v>1</v>
      </c>
      <c r="AH4450">
        <v>1</v>
      </c>
      <c r="AI4450">
        <v>1</v>
      </c>
      <c r="AJ4450">
        <v>1</v>
      </c>
      <c r="AK4450">
        <v>1</v>
      </c>
      <c r="AL4450">
        <v>1</v>
      </c>
      <c r="AM4450">
        <v>1</v>
      </c>
    </row>
    <row r="4451" spans="1:39" x14ac:dyDescent="0.2">
      <c r="A4451" t="str">
        <f>"4447"</f>
        <v>4447</v>
      </c>
      <c r="B4451" t="str">
        <f t="shared" si="246"/>
        <v>1</v>
      </c>
      <c r="C4451" t="str">
        <f t="shared" si="247"/>
        <v>89</v>
      </c>
      <c r="D4451" t="str">
        <f>"12"</f>
        <v>12</v>
      </c>
      <c r="E4451" t="str">
        <f>"1-89-12"</f>
        <v>1-89-12</v>
      </c>
      <c r="F4451" t="s">
        <v>65</v>
      </c>
      <c r="G4451" t="s">
        <v>66</v>
      </c>
      <c r="H4451" t="s">
        <v>67</v>
      </c>
      <c r="S4451">
        <v>1</v>
      </c>
      <c r="T4451">
        <v>0</v>
      </c>
      <c r="U4451">
        <v>0</v>
      </c>
      <c r="V4451">
        <v>0</v>
      </c>
      <c r="W4451">
        <v>1</v>
      </c>
      <c r="X4451">
        <v>0</v>
      </c>
      <c r="Y4451">
        <v>0</v>
      </c>
      <c r="Z4451">
        <v>1</v>
      </c>
      <c r="AA4451">
        <v>1</v>
      </c>
      <c r="AB4451">
        <v>0</v>
      </c>
      <c r="AC4451">
        <v>0</v>
      </c>
      <c r="AD4451">
        <v>1</v>
      </c>
      <c r="AE4451">
        <v>1</v>
      </c>
      <c r="AF4451">
        <v>1</v>
      </c>
      <c r="AG4451">
        <v>1</v>
      </c>
      <c r="AH4451">
        <v>1</v>
      </c>
      <c r="AI4451">
        <v>1</v>
      </c>
      <c r="AJ4451">
        <v>1</v>
      </c>
      <c r="AK4451">
        <v>1</v>
      </c>
      <c r="AL4451">
        <v>1</v>
      </c>
      <c r="AM4451">
        <v>1</v>
      </c>
    </row>
    <row r="4452" spans="1:39" x14ac:dyDescent="0.2">
      <c r="A4452" t="str">
        <f>"4448"</f>
        <v>4448</v>
      </c>
      <c r="B4452" t="str">
        <f t="shared" si="246"/>
        <v>1</v>
      </c>
      <c r="C4452" t="str">
        <f t="shared" si="247"/>
        <v>89</v>
      </c>
      <c r="D4452" t="str">
        <f>"32"</f>
        <v>32</v>
      </c>
      <c r="E4452" t="str">
        <f>"1-89-32"</f>
        <v>1-89-32</v>
      </c>
      <c r="F4452" t="s">
        <v>65</v>
      </c>
      <c r="G4452" t="s">
        <v>66</v>
      </c>
      <c r="H4452" t="s">
        <v>67</v>
      </c>
      <c r="S4452">
        <v>0</v>
      </c>
      <c r="T4452">
        <v>0</v>
      </c>
      <c r="U4452">
        <v>0</v>
      </c>
      <c r="V4452">
        <v>0</v>
      </c>
      <c r="W4452">
        <v>1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</row>
    <row r="4453" spans="1:39" x14ac:dyDescent="0.2">
      <c r="A4453" t="str">
        <f>"4449"</f>
        <v>4449</v>
      </c>
      <c r="B4453" t="str">
        <f t="shared" si="246"/>
        <v>1</v>
      </c>
      <c r="C4453" t="str">
        <f t="shared" si="247"/>
        <v>89</v>
      </c>
      <c r="D4453" t="str">
        <f>"11"</f>
        <v>11</v>
      </c>
      <c r="E4453" t="str">
        <f>"1-89-11"</f>
        <v>1-89-11</v>
      </c>
      <c r="F4453" t="s">
        <v>65</v>
      </c>
      <c r="G4453" t="s">
        <v>66</v>
      </c>
      <c r="H4453" t="s">
        <v>67</v>
      </c>
      <c r="S4453">
        <v>1</v>
      </c>
      <c r="T4453">
        <v>0</v>
      </c>
      <c r="U4453">
        <v>0</v>
      </c>
      <c r="V4453">
        <v>0</v>
      </c>
      <c r="W4453">
        <v>1</v>
      </c>
      <c r="X4453">
        <v>0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1</v>
      </c>
      <c r="AF4453">
        <v>1</v>
      </c>
      <c r="AG4453">
        <v>1</v>
      </c>
      <c r="AH4453">
        <v>1</v>
      </c>
      <c r="AI4453">
        <v>1</v>
      </c>
      <c r="AJ4453">
        <v>1</v>
      </c>
      <c r="AK4453">
        <v>1</v>
      </c>
      <c r="AL4453">
        <v>1</v>
      </c>
      <c r="AM4453">
        <v>1</v>
      </c>
    </row>
    <row r="4454" spans="1:39" x14ac:dyDescent="0.2">
      <c r="A4454" t="str">
        <f>"4450"</f>
        <v>4450</v>
      </c>
      <c r="B4454" t="str">
        <f t="shared" si="246"/>
        <v>1</v>
      </c>
      <c r="C4454" t="str">
        <f t="shared" si="247"/>
        <v>89</v>
      </c>
      <c r="D4454" t="str">
        <f>"50"</f>
        <v>50</v>
      </c>
      <c r="E4454" t="str">
        <f>"1-89-50"</f>
        <v>1-89-50</v>
      </c>
      <c r="F4454" t="s">
        <v>65</v>
      </c>
      <c r="G4454" t="s">
        <v>66</v>
      </c>
      <c r="H4454" t="s">
        <v>67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1</v>
      </c>
      <c r="Y4454">
        <v>0</v>
      </c>
      <c r="Z4454">
        <v>1</v>
      </c>
      <c r="AA4454">
        <v>0</v>
      </c>
      <c r="AB4454">
        <v>0</v>
      </c>
      <c r="AC4454">
        <v>1</v>
      </c>
      <c r="AD4454">
        <v>1</v>
      </c>
      <c r="AE4454">
        <v>1</v>
      </c>
      <c r="AF4454">
        <v>1</v>
      </c>
      <c r="AG4454">
        <v>1</v>
      </c>
      <c r="AH4454">
        <v>1</v>
      </c>
      <c r="AI4454">
        <v>1</v>
      </c>
      <c r="AJ4454">
        <v>1</v>
      </c>
      <c r="AK4454">
        <v>1</v>
      </c>
      <c r="AL4454">
        <v>1</v>
      </c>
      <c r="AM4454">
        <v>1</v>
      </c>
    </row>
    <row r="4455" spans="1:39" x14ac:dyDescent="0.2">
      <c r="A4455" t="str">
        <f>"4451"</f>
        <v>4451</v>
      </c>
      <c r="B4455" t="str">
        <f t="shared" si="246"/>
        <v>1</v>
      </c>
      <c r="C4455" t="str">
        <f t="shared" ref="C4455:C4486" si="248">"90"</f>
        <v>90</v>
      </c>
      <c r="D4455" t="str">
        <f>"36"</f>
        <v>36</v>
      </c>
      <c r="E4455" t="str">
        <f>"1-90-36"</f>
        <v>1-90-36</v>
      </c>
      <c r="F4455" t="s">
        <v>65</v>
      </c>
      <c r="G4455" t="s">
        <v>66</v>
      </c>
      <c r="H4455" t="s">
        <v>67</v>
      </c>
      <c r="S4455">
        <v>0</v>
      </c>
      <c r="T4455">
        <v>1</v>
      </c>
      <c r="U4455">
        <v>0</v>
      </c>
      <c r="V4455">
        <v>0</v>
      </c>
      <c r="W4455">
        <v>1</v>
      </c>
      <c r="X4455">
        <v>0</v>
      </c>
      <c r="Y4455">
        <v>1</v>
      </c>
      <c r="Z4455">
        <v>0</v>
      </c>
      <c r="AA4455">
        <v>0</v>
      </c>
      <c r="AB4455">
        <v>1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</row>
    <row r="4456" spans="1:39" x14ac:dyDescent="0.2">
      <c r="A4456" t="str">
        <f>"4452"</f>
        <v>4452</v>
      </c>
      <c r="B4456" t="str">
        <f t="shared" si="246"/>
        <v>1</v>
      </c>
      <c r="C4456" t="str">
        <f t="shared" si="248"/>
        <v>90</v>
      </c>
      <c r="D4456" t="str">
        <f>"35"</f>
        <v>35</v>
      </c>
      <c r="E4456" t="str">
        <f>"1-90-35"</f>
        <v>1-90-35</v>
      </c>
      <c r="F4456" t="s">
        <v>65</v>
      </c>
      <c r="G4456" t="s">
        <v>66</v>
      </c>
      <c r="H4456" t="s">
        <v>67</v>
      </c>
      <c r="S4456">
        <v>1</v>
      </c>
      <c r="T4456">
        <v>0</v>
      </c>
      <c r="U4456">
        <v>0</v>
      </c>
      <c r="V4456">
        <v>0</v>
      </c>
      <c r="W4456">
        <v>1</v>
      </c>
      <c r="X4456">
        <v>0</v>
      </c>
      <c r="Y4456">
        <v>1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1</v>
      </c>
      <c r="AF4456">
        <v>1</v>
      </c>
      <c r="AG4456">
        <v>1</v>
      </c>
      <c r="AH4456">
        <v>1</v>
      </c>
      <c r="AI4456">
        <v>1</v>
      </c>
      <c r="AJ4456">
        <v>1</v>
      </c>
      <c r="AK4456">
        <v>1</v>
      </c>
      <c r="AL4456">
        <v>1</v>
      </c>
      <c r="AM4456">
        <v>1</v>
      </c>
    </row>
    <row r="4457" spans="1:39" x14ac:dyDescent="0.2">
      <c r="A4457" t="str">
        <f>"4453"</f>
        <v>4453</v>
      </c>
      <c r="B4457" t="str">
        <f t="shared" si="246"/>
        <v>1</v>
      </c>
      <c r="C4457" t="str">
        <f t="shared" si="248"/>
        <v>90</v>
      </c>
      <c r="D4457" t="str">
        <f>"25"</f>
        <v>25</v>
      </c>
      <c r="E4457" t="str">
        <f>"1-90-25"</f>
        <v>1-90-25</v>
      </c>
      <c r="F4457" t="s">
        <v>65</v>
      </c>
      <c r="G4457" t="s">
        <v>66</v>
      </c>
      <c r="H4457" t="s">
        <v>67</v>
      </c>
      <c r="S4457">
        <v>1</v>
      </c>
      <c r="T4457">
        <v>0</v>
      </c>
      <c r="U4457">
        <v>0</v>
      </c>
      <c r="V4457">
        <v>0</v>
      </c>
      <c r="W4457">
        <v>1</v>
      </c>
      <c r="X4457">
        <v>0</v>
      </c>
      <c r="Y4457">
        <v>1</v>
      </c>
      <c r="Z4457">
        <v>0</v>
      </c>
      <c r="AA4457">
        <v>1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</row>
    <row r="4458" spans="1:39" x14ac:dyDescent="0.2">
      <c r="A4458" t="str">
        <f>"4454"</f>
        <v>4454</v>
      </c>
      <c r="B4458" t="str">
        <f t="shared" si="246"/>
        <v>1</v>
      </c>
      <c r="C4458" t="str">
        <f t="shared" si="248"/>
        <v>90</v>
      </c>
      <c r="D4458" t="str">
        <f>"15"</f>
        <v>15</v>
      </c>
      <c r="E4458" t="str">
        <f>"1-90-15"</f>
        <v>1-90-15</v>
      </c>
      <c r="F4458" t="s">
        <v>65</v>
      </c>
      <c r="G4458" t="s">
        <v>66</v>
      </c>
      <c r="H4458" t="s">
        <v>67</v>
      </c>
      <c r="S4458">
        <v>1</v>
      </c>
      <c r="T4458">
        <v>0</v>
      </c>
      <c r="U4458">
        <v>0</v>
      </c>
      <c r="V4458">
        <v>0</v>
      </c>
      <c r="W4458">
        <v>1</v>
      </c>
      <c r="X4458">
        <v>0</v>
      </c>
      <c r="Y4458">
        <v>0</v>
      </c>
      <c r="Z4458">
        <v>1</v>
      </c>
      <c r="AA4458">
        <v>1</v>
      </c>
      <c r="AB4458">
        <v>0</v>
      </c>
      <c r="AC4458">
        <v>0</v>
      </c>
      <c r="AD4458">
        <v>1</v>
      </c>
      <c r="AE4458">
        <v>1</v>
      </c>
      <c r="AF4458">
        <v>1</v>
      </c>
      <c r="AG4458">
        <v>1</v>
      </c>
      <c r="AH4458">
        <v>1</v>
      </c>
      <c r="AI4458">
        <v>1</v>
      </c>
      <c r="AJ4458">
        <v>1</v>
      </c>
      <c r="AK4458">
        <v>1</v>
      </c>
      <c r="AL4458">
        <v>1</v>
      </c>
      <c r="AM4458">
        <v>1</v>
      </c>
    </row>
    <row r="4459" spans="1:39" x14ac:dyDescent="0.2">
      <c r="A4459" t="str">
        <f>"4455"</f>
        <v>4455</v>
      </c>
      <c r="B4459" t="str">
        <f t="shared" si="246"/>
        <v>1</v>
      </c>
      <c r="C4459" t="str">
        <f t="shared" si="248"/>
        <v>90</v>
      </c>
      <c r="D4459" t="str">
        <f>"2"</f>
        <v>2</v>
      </c>
      <c r="E4459" t="str">
        <f>"1-90-2"</f>
        <v>1-90-2</v>
      </c>
      <c r="F4459" t="s">
        <v>65</v>
      </c>
      <c r="G4459" t="s">
        <v>66</v>
      </c>
      <c r="H4459" t="s">
        <v>67</v>
      </c>
      <c r="S4459">
        <v>0</v>
      </c>
      <c r="T4459">
        <v>1</v>
      </c>
      <c r="U4459">
        <v>0</v>
      </c>
      <c r="V4459">
        <v>0</v>
      </c>
      <c r="W4459">
        <v>1</v>
      </c>
      <c r="X4459">
        <v>0</v>
      </c>
      <c r="Y4459">
        <v>1</v>
      </c>
      <c r="Z4459">
        <v>0</v>
      </c>
      <c r="AA4459">
        <v>0</v>
      </c>
      <c r="AB4459">
        <v>0</v>
      </c>
      <c r="AC4459">
        <v>1</v>
      </c>
      <c r="AD4459">
        <v>1</v>
      </c>
      <c r="AE4459">
        <v>1</v>
      </c>
      <c r="AF4459">
        <v>1</v>
      </c>
      <c r="AG4459">
        <v>1</v>
      </c>
      <c r="AH4459">
        <v>1</v>
      </c>
      <c r="AI4459">
        <v>1</v>
      </c>
      <c r="AJ4459">
        <v>1</v>
      </c>
      <c r="AK4459">
        <v>1</v>
      </c>
      <c r="AL4459">
        <v>1</v>
      </c>
      <c r="AM4459">
        <v>1</v>
      </c>
    </row>
    <row r="4460" spans="1:39" x14ac:dyDescent="0.2">
      <c r="A4460" t="str">
        <f>"4456"</f>
        <v>4456</v>
      </c>
      <c r="B4460" t="str">
        <f t="shared" si="246"/>
        <v>1</v>
      </c>
      <c r="C4460" t="str">
        <f t="shared" si="248"/>
        <v>90</v>
      </c>
      <c r="D4460" t="str">
        <f>"38"</f>
        <v>38</v>
      </c>
      <c r="E4460" t="str">
        <f>"1-90-38"</f>
        <v>1-90-38</v>
      </c>
      <c r="F4460" t="s">
        <v>65</v>
      </c>
      <c r="G4460" t="s">
        <v>66</v>
      </c>
      <c r="H4460" t="s">
        <v>67</v>
      </c>
      <c r="S4460">
        <v>1</v>
      </c>
      <c r="T4460">
        <v>0</v>
      </c>
      <c r="U4460">
        <v>0</v>
      </c>
      <c r="V4460">
        <v>0</v>
      </c>
      <c r="W4460">
        <v>1</v>
      </c>
      <c r="X4460">
        <v>0</v>
      </c>
      <c r="Y4460">
        <v>1</v>
      </c>
      <c r="Z4460">
        <v>0</v>
      </c>
      <c r="AA4460">
        <v>0</v>
      </c>
      <c r="AB4460">
        <v>0</v>
      </c>
      <c r="AC4460">
        <v>1</v>
      </c>
      <c r="AD4460">
        <v>0</v>
      </c>
      <c r="AE4460">
        <v>0</v>
      </c>
      <c r="AF4460">
        <v>0</v>
      </c>
      <c r="AG4460">
        <v>1</v>
      </c>
      <c r="AH4460">
        <v>1</v>
      </c>
      <c r="AI4460">
        <v>1</v>
      </c>
      <c r="AJ4460">
        <v>1</v>
      </c>
      <c r="AK4460">
        <v>1</v>
      </c>
      <c r="AL4460">
        <v>1</v>
      </c>
      <c r="AM4460">
        <v>0</v>
      </c>
    </row>
    <row r="4461" spans="1:39" x14ac:dyDescent="0.2">
      <c r="A4461" t="str">
        <f>"4457"</f>
        <v>4457</v>
      </c>
      <c r="B4461" t="str">
        <f t="shared" si="246"/>
        <v>1</v>
      </c>
      <c r="C4461" t="str">
        <f t="shared" si="248"/>
        <v>90</v>
      </c>
      <c r="D4461" t="str">
        <f>"37"</f>
        <v>37</v>
      </c>
      <c r="E4461" t="str">
        <f>"1-90-37"</f>
        <v>1-90-37</v>
      </c>
      <c r="F4461" t="s">
        <v>65</v>
      </c>
      <c r="G4461" t="s">
        <v>66</v>
      </c>
      <c r="H4461" t="s">
        <v>67</v>
      </c>
      <c r="S4461">
        <v>1</v>
      </c>
      <c r="T4461">
        <v>0</v>
      </c>
      <c r="U4461">
        <v>0</v>
      </c>
      <c r="V4461">
        <v>0</v>
      </c>
      <c r="W4461">
        <v>1</v>
      </c>
      <c r="X4461">
        <v>0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1</v>
      </c>
      <c r="AH4461">
        <v>1</v>
      </c>
      <c r="AI4461">
        <v>0</v>
      </c>
      <c r="AJ4461">
        <v>1</v>
      </c>
      <c r="AK4461">
        <v>1</v>
      </c>
      <c r="AL4461">
        <v>0</v>
      </c>
      <c r="AM4461">
        <v>0</v>
      </c>
    </row>
    <row r="4462" spans="1:39" x14ac:dyDescent="0.2">
      <c r="A4462" t="str">
        <f>"4458"</f>
        <v>4458</v>
      </c>
      <c r="B4462" t="str">
        <f t="shared" si="246"/>
        <v>1</v>
      </c>
      <c r="C4462" t="str">
        <f t="shared" si="248"/>
        <v>90</v>
      </c>
      <c r="D4462" t="str">
        <f>"28"</f>
        <v>28</v>
      </c>
      <c r="E4462" t="str">
        <f>"1-90-28"</f>
        <v>1-90-28</v>
      </c>
      <c r="F4462" t="s">
        <v>65</v>
      </c>
      <c r="G4462" t="s">
        <v>66</v>
      </c>
      <c r="H4462" t="s">
        <v>67</v>
      </c>
      <c r="S4462">
        <v>1</v>
      </c>
      <c r="T4462">
        <v>0</v>
      </c>
      <c r="U4462">
        <v>0</v>
      </c>
      <c r="V4462">
        <v>0</v>
      </c>
      <c r="W4462">
        <v>1</v>
      </c>
      <c r="X4462">
        <v>0</v>
      </c>
      <c r="Y4462">
        <v>1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1</v>
      </c>
      <c r="AF4462">
        <v>1</v>
      </c>
      <c r="AG4462">
        <v>1</v>
      </c>
      <c r="AH4462">
        <v>1</v>
      </c>
      <c r="AI4462">
        <v>1</v>
      </c>
      <c r="AJ4462">
        <v>1</v>
      </c>
      <c r="AK4462">
        <v>1</v>
      </c>
      <c r="AL4462">
        <v>1</v>
      </c>
      <c r="AM4462">
        <v>1</v>
      </c>
    </row>
    <row r="4463" spans="1:39" x14ac:dyDescent="0.2">
      <c r="A4463" t="str">
        <f>"4459"</f>
        <v>4459</v>
      </c>
      <c r="B4463" t="str">
        <f t="shared" si="246"/>
        <v>1</v>
      </c>
      <c r="C4463" t="str">
        <f t="shared" si="248"/>
        <v>90</v>
      </c>
      <c r="D4463" t="str">
        <f>"16"</f>
        <v>16</v>
      </c>
      <c r="E4463" t="str">
        <f>"1-90-16"</f>
        <v>1-90-16</v>
      </c>
      <c r="F4463" t="s">
        <v>65</v>
      </c>
      <c r="G4463" t="s">
        <v>66</v>
      </c>
      <c r="H4463" t="s">
        <v>67</v>
      </c>
      <c r="S4463">
        <v>1</v>
      </c>
      <c r="T4463">
        <v>0</v>
      </c>
      <c r="U4463">
        <v>0</v>
      </c>
      <c r="V4463">
        <v>0</v>
      </c>
      <c r="W4463">
        <v>1</v>
      </c>
      <c r="X4463">
        <v>0</v>
      </c>
      <c r="Y4463">
        <v>0</v>
      </c>
      <c r="Z4463">
        <v>1</v>
      </c>
      <c r="AA4463">
        <v>1</v>
      </c>
      <c r="AB4463">
        <v>0</v>
      </c>
      <c r="AC4463">
        <v>0</v>
      </c>
      <c r="AD4463">
        <v>1</v>
      </c>
      <c r="AE4463">
        <v>1</v>
      </c>
      <c r="AF4463">
        <v>1</v>
      </c>
      <c r="AG4463">
        <v>1</v>
      </c>
      <c r="AH4463">
        <v>1</v>
      </c>
      <c r="AI4463">
        <v>1</v>
      </c>
      <c r="AJ4463">
        <v>1</v>
      </c>
      <c r="AK4463">
        <v>1</v>
      </c>
      <c r="AL4463">
        <v>1</v>
      </c>
      <c r="AM4463">
        <v>1</v>
      </c>
    </row>
    <row r="4464" spans="1:39" x14ac:dyDescent="0.2">
      <c r="A4464" t="str">
        <f>"4460"</f>
        <v>4460</v>
      </c>
      <c r="B4464" t="str">
        <f t="shared" si="246"/>
        <v>1</v>
      </c>
      <c r="C4464" t="str">
        <f t="shared" si="248"/>
        <v>90</v>
      </c>
      <c r="D4464" t="str">
        <f>"10"</f>
        <v>10</v>
      </c>
      <c r="E4464" t="str">
        <f>"1-90-10"</f>
        <v>1-90-10</v>
      </c>
      <c r="F4464" t="s">
        <v>65</v>
      </c>
      <c r="G4464" t="s">
        <v>66</v>
      </c>
      <c r="H4464" t="s">
        <v>67</v>
      </c>
      <c r="S4464">
        <v>1</v>
      </c>
      <c r="T4464">
        <v>0</v>
      </c>
      <c r="U4464">
        <v>0</v>
      </c>
      <c r="V4464">
        <v>0</v>
      </c>
      <c r="W4464">
        <v>1</v>
      </c>
      <c r="X4464">
        <v>0</v>
      </c>
      <c r="Y4464">
        <v>1</v>
      </c>
      <c r="Z4464">
        <v>0</v>
      </c>
      <c r="AA4464">
        <v>0</v>
      </c>
      <c r="AB4464">
        <v>1</v>
      </c>
      <c r="AC4464">
        <v>0</v>
      </c>
      <c r="AD4464">
        <v>1</v>
      </c>
      <c r="AE4464">
        <v>1</v>
      </c>
      <c r="AF4464">
        <v>1</v>
      </c>
      <c r="AG4464">
        <v>1</v>
      </c>
      <c r="AH4464">
        <v>1</v>
      </c>
      <c r="AI4464">
        <v>1</v>
      </c>
      <c r="AJ4464">
        <v>1</v>
      </c>
      <c r="AK4464">
        <v>1</v>
      </c>
      <c r="AL4464">
        <v>1</v>
      </c>
      <c r="AM4464">
        <v>1</v>
      </c>
    </row>
    <row r="4465" spans="1:39" x14ac:dyDescent="0.2">
      <c r="A4465" t="str">
        <f>"4461"</f>
        <v>4461</v>
      </c>
      <c r="B4465" t="str">
        <f t="shared" si="246"/>
        <v>1</v>
      </c>
      <c r="C4465" t="str">
        <f t="shared" si="248"/>
        <v>90</v>
      </c>
      <c r="D4465" t="str">
        <f>"43"</f>
        <v>43</v>
      </c>
      <c r="E4465" t="str">
        <f>"1-90-43"</f>
        <v>1-90-43</v>
      </c>
      <c r="F4465" t="s">
        <v>65</v>
      </c>
      <c r="G4465" t="s">
        <v>66</v>
      </c>
      <c r="H4465" t="s">
        <v>67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</row>
    <row r="4466" spans="1:39" x14ac:dyDescent="0.2">
      <c r="A4466" t="str">
        <f>"4462"</f>
        <v>4462</v>
      </c>
      <c r="B4466" t="str">
        <f t="shared" si="246"/>
        <v>1</v>
      </c>
      <c r="C4466" t="str">
        <f t="shared" si="248"/>
        <v>90</v>
      </c>
      <c r="D4466" t="str">
        <f>"42"</f>
        <v>42</v>
      </c>
      <c r="E4466" t="str">
        <f>"1-90-42"</f>
        <v>1-90-42</v>
      </c>
      <c r="F4466" t="s">
        <v>65</v>
      </c>
      <c r="G4466" t="s">
        <v>66</v>
      </c>
      <c r="H4466" t="s">
        <v>67</v>
      </c>
      <c r="S4466">
        <v>1</v>
      </c>
      <c r="T4466">
        <v>0</v>
      </c>
      <c r="U4466">
        <v>0</v>
      </c>
      <c r="V4466">
        <v>0</v>
      </c>
      <c r="W4466">
        <v>1</v>
      </c>
      <c r="X4466">
        <v>0</v>
      </c>
      <c r="Y4466">
        <v>1</v>
      </c>
      <c r="Z4466">
        <v>0</v>
      </c>
      <c r="AA4466">
        <v>0</v>
      </c>
      <c r="AB4466">
        <v>0</v>
      </c>
      <c r="AC4466">
        <v>0</v>
      </c>
      <c r="AD4466">
        <v>1</v>
      </c>
      <c r="AE4466">
        <v>1</v>
      </c>
      <c r="AF4466">
        <v>1</v>
      </c>
      <c r="AG4466">
        <v>1</v>
      </c>
      <c r="AH4466">
        <v>1</v>
      </c>
      <c r="AI4466">
        <v>1</v>
      </c>
      <c r="AJ4466">
        <v>1</v>
      </c>
      <c r="AK4466">
        <v>1</v>
      </c>
      <c r="AL4466">
        <v>1</v>
      </c>
      <c r="AM4466">
        <v>1</v>
      </c>
    </row>
    <row r="4467" spans="1:39" x14ac:dyDescent="0.2">
      <c r="A4467" t="str">
        <f>"4463"</f>
        <v>4463</v>
      </c>
      <c r="B4467" t="str">
        <f t="shared" si="246"/>
        <v>1</v>
      </c>
      <c r="C4467" t="str">
        <f t="shared" si="248"/>
        <v>90</v>
      </c>
      <c r="D4467" t="str">
        <f>"32"</f>
        <v>32</v>
      </c>
      <c r="E4467" t="str">
        <f>"1-90-32"</f>
        <v>1-90-32</v>
      </c>
      <c r="F4467" t="s">
        <v>65</v>
      </c>
      <c r="G4467" t="s">
        <v>66</v>
      </c>
      <c r="H4467" t="s">
        <v>67</v>
      </c>
      <c r="S4467">
        <v>1</v>
      </c>
      <c r="T4467">
        <v>0</v>
      </c>
      <c r="U4467">
        <v>0</v>
      </c>
      <c r="V4467">
        <v>0</v>
      </c>
      <c r="W4467">
        <v>1</v>
      </c>
      <c r="X4467">
        <v>0</v>
      </c>
      <c r="Y4467">
        <v>1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1</v>
      </c>
      <c r="AF4467">
        <v>1</v>
      </c>
      <c r="AG4467">
        <v>1</v>
      </c>
      <c r="AH4467">
        <v>1</v>
      </c>
      <c r="AI4467">
        <v>1</v>
      </c>
      <c r="AJ4467">
        <v>1</v>
      </c>
      <c r="AK4467">
        <v>1</v>
      </c>
      <c r="AL4467">
        <v>1</v>
      </c>
      <c r="AM4467">
        <v>1</v>
      </c>
    </row>
    <row r="4468" spans="1:39" x14ac:dyDescent="0.2">
      <c r="A4468" t="str">
        <f>"4464"</f>
        <v>4464</v>
      </c>
      <c r="B4468" t="str">
        <f t="shared" si="246"/>
        <v>1</v>
      </c>
      <c r="C4468" t="str">
        <f t="shared" si="248"/>
        <v>90</v>
      </c>
      <c r="D4468" t="str">
        <f>"17"</f>
        <v>17</v>
      </c>
      <c r="E4468" t="str">
        <f>"1-90-17"</f>
        <v>1-90-17</v>
      </c>
      <c r="F4468" t="s">
        <v>65</v>
      </c>
      <c r="G4468" t="s">
        <v>66</v>
      </c>
      <c r="H4468" t="s">
        <v>67</v>
      </c>
      <c r="S4468">
        <v>1</v>
      </c>
      <c r="T4468">
        <v>0</v>
      </c>
      <c r="U4468">
        <v>0</v>
      </c>
      <c r="V4468">
        <v>0</v>
      </c>
      <c r="W4468">
        <v>1</v>
      </c>
      <c r="X4468">
        <v>0</v>
      </c>
      <c r="Y4468">
        <v>1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1</v>
      </c>
      <c r="AF4468">
        <v>1</v>
      </c>
      <c r="AG4468">
        <v>1</v>
      </c>
      <c r="AH4468">
        <v>1</v>
      </c>
      <c r="AI4468">
        <v>1</v>
      </c>
      <c r="AJ4468">
        <v>1</v>
      </c>
      <c r="AK4468">
        <v>1</v>
      </c>
      <c r="AL4468">
        <v>1</v>
      </c>
      <c r="AM4468">
        <v>1</v>
      </c>
    </row>
    <row r="4469" spans="1:39" x14ac:dyDescent="0.2">
      <c r="A4469" t="str">
        <f>"4465"</f>
        <v>4465</v>
      </c>
      <c r="B4469" t="str">
        <f t="shared" si="246"/>
        <v>1</v>
      </c>
      <c r="C4469" t="str">
        <f t="shared" si="248"/>
        <v>90</v>
      </c>
      <c r="D4469" t="str">
        <f>"1"</f>
        <v>1</v>
      </c>
      <c r="E4469" t="str">
        <f>"1-90-1"</f>
        <v>1-90-1</v>
      </c>
      <c r="F4469" t="s">
        <v>65</v>
      </c>
      <c r="G4469" t="s">
        <v>66</v>
      </c>
      <c r="H4469" t="s">
        <v>67</v>
      </c>
      <c r="S4469">
        <v>0</v>
      </c>
      <c r="T4469">
        <v>1</v>
      </c>
      <c r="U4469">
        <v>0</v>
      </c>
      <c r="V4469">
        <v>0</v>
      </c>
      <c r="W4469">
        <v>1</v>
      </c>
      <c r="X4469">
        <v>0</v>
      </c>
      <c r="Y4469">
        <v>1</v>
      </c>
      <c r="Z4469">
        <v>0</v>
      </c>
      <c r="AA4469">
        <v>0</v>
      </c>
      <c r="AB4469">
        <v>0</v>
      </c>
      <c r="AC4469">
        <v>1</v>
      </c>
      <c r="AD4469">
        <v>1</v>
      </c>
      <c r="AE4469">
        <v>1</v>
      </c>
      <c r="AF4469">
        <v>1</v>
      </c>
      <c r="AG4469">
        <v>1</v>
      </c>
      <c r="AH4469">
        <v>1</v>
      </c>
      <c r="AI4469">
        <v>1</v>
      </c>
      <c r="AJ4469">
        <v>1</v>
      </c>
      <c r="AK4469">
        <v>1</v>
      </c>
      <c r="AL4469">
        <v>1</v>
      </c>
      <c r="AM4469">
        <v>1</v>
      </c>
    </row>
    <row r="4470" spans="1:39" x14ac:dyDescent="0.2">
      <c r="A4470" t="str">
        <f>"4466"</f>
        <v>4466</v>
      </c>
      <c r="B4470" t="str">
        <f t="shared" si="246"/>
        <v>1</v>
      </c>
      <c r="C4470" t="str">
        <f t="shared" si="248"/>
        <v>90</v>
      </c>
      <c r="D4470" t="str">
        <f>"33"</f>
        <v>33</v>
      </c>
      <c r="E4470" t="str">
        <f>"1-90-33"</f>
        <v>1-90-33</v>
      </c>
      <c r="F4470" t="s">
        <v>65</v>
      </c>
      <c r="G4470" t="s">
        <v>66</v>
      </c>
      <c r="H4470" t="s">
        <v>67</v>
      </c>
      <c r="S4470">
        <v>1</v>
      </c>
      <c r="T4470">
        <v>0</v>
      </c>
      <c r="U4470">
        <v>0</v>
      </c>
      <c r="V4470">
        <v>0</v>
      </c>
      <c r="W4470">
        <v>1</v>
      </c>
      <c r="X4470">
        <v>0</v>
      </c>
      <c r="Y4470">
        <v>1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1</v>
      </c>
      <c r="AF4470">
        <v>1</v>
      </c>
      <c r="AG4470">
        <v>1</v>
      </c>
      <c r="AH4470">
        <v>1</v>
      </c>
      <c r="AI4470">
        <v>1</v>
      </c>
      <c r="AJ4470">
        <v>1</v>
      </c>
      <c r="AK4470">
        <v>1</v>
      </c>
      <c r="AL4470">
        <v>1</v>
      </c>
      <c r="AM4470">
        <v>1</v>
      </c>
    </row>
    <row r="4471" spans="1:39" x14ac:dyDescent="0.2">
      <c r="A4471" t="str">
        <f>"4467"</f>
        <v>4467</v>
      </c>
      <c r="B4471" t="str">
        <f t="shared" ref="B4471:B4534" si="249">"1"</f>
        <v>1</v>
      </c>
      <c r="C4471" t="str">
        <f t="shared" si="248"/>
        <v>90</v>
      </c>
      <c r="D4471" t="str">
        <f>"18"</f>
        <v>18</v>
      </c>
      <c r="E4471" t="str">
        <f>"1-90-18"</f>
        <v>1-90-18</v>
      </c>
      <c r="F4471" t="s">
        <v>65</v>
      </c>
      <c r="G4471" t="s">
        <v>66</v>
      </c>
      <c r="H4471" t="s">
        <v>67</v>
      </c>
      <c r="S4471">
        <v>0</v>
      </c>
      <c r="T4471">
        <v>1</v>
      </c>
      <c r="U4471">
        <v>0</v>
      </c>
      <c r="V4471">
        <v>0</v>
      </c>
      <c r="W4471">
        <v>1</v>
      </c>
      <c r="X4471">
        <v>0</v>
      </c>
      <c r="Y4471">
        <v>1</v>
      </c>
      <c r="Z4471">
        <v>0</v>
      </c>
      <c r="AA4471">
        <v>0</v>
      </c>
      <c r="AB4471">
        <v>1</v>
      </c>
      <c r="AC4471">
        <v>0</v>
      </c>
      <c r="AD4471">
        <v>1</v>
      </c>
      <c r="AE4471">
        <v>1</v>
      </c>
      <c r="AF4471">
        <v>1</v>
      </c>
      <c r="AG4471">
        <v>1</v>
      </c>
      <c r="AH4471">
        <v>1</v>
      </c>
      <c r="AI4471">
        <v>1</v>
      </c>
      <c r="AJ4471">
        <v>1</v>
      </c>
      <c r="AK4471">
        <v>1</v>
      </c>
      <c r="AL4471">
        <v>1</v>
      </c>
      <c r="AM4471">
        <v>1</v>
      </c>
    </row>
    <row r="4472" spans="1:39" x14ac:dyDescent="0.2">
      <c r="A4472" t="str">
        <f>"4468"</f>
        <v>4468</v>
      </c>
      <c r="B4472" t="str">
        <f t="shared" si="249"/>
        <v>1</v>
      </c>
      <c r="C4472" t="str">
        <f t="shared" si="248"/>
        <v>90</v>
      </c>
      <c r="D4472" t="str">
        <f>"8"</f>
        <v>8</v>
      </c>
      <c r="E4472" t="str">
        <f>"1-90-8"</f>
        <v>1-90-8</v>
      </c>
      <c r="F4472" t="s">
        <v>65</v>
      </c>
      <c r="G4472" t="s">
        <v>66</v>
      </c>
      <c r="H4472" t="s">
        <v>67</v>
      </c>
      <c r="S4472">
        <v>0</v>
      </c>
      <c r="T4472">
        <v>1</v>
      </c>
      <c r="U4472">
        <v>0</v>
      </c>
      <c r="V4472">
        <v>0</v>
      </c>
      <c r="W4472">
        <v>1</v>
      </c>
      <c r="X4472">
        <v>0</v>
      </c>
      <c r="Y4472">
        <v>0</v>
      </c>
      <c r="Z4472">
        <v>1</v>
      </c>
      <c r="AA4472">
        <v>0</v>
      </c>
      <c r="AB4472">
        <v>1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</row>
    <row r="4473" spans="1:39" x14ac:dyDescent="0.2">
      <c r="A4473" t="str">
        <f>"4469"</f>
        <v>4469</v>
      </c>
      <c r="B4473" t="str">
        <f t="shared" si="249"/>
        <v>1</v>
      </c>
      <c r="C4473" t="str">
        <f t="shared" si="248"/>
        <v>90</v>
      </c>
      <c r="D4473" t="str">
        <f>"31"</f>
        <v>31</v>
      </c>
      <c r="E4473" t="str">
        <f>"1-90-31"</f>
        <v>1-90-31</v>
      </c>
      <c r="F4473" t="s">
        <v>65</v>
      </c>
      <c r="G4473" t="s">
        <v>66</v>
      </c>
      <c r="H4473" t="s">
        <v>67</v>
      </c>
      <c r="S4473">
        <v>0</v>
      </c>
      <c r="T4473">
        <v>1</v>
      </c>
      <c r="U4473">
        <v>0</v>
      </c>
      <c r="V4473">
        <v>0</v>
      </c>
      <c r="W4473">
        <v>0</v>
      </c>
      <c r="X4473">
        <v>1</v>
      </c>
      <c r="Y4473">
        <v>1</v>
      </c>
      <c r="Z4473">
        <v>0</v>
      </c>
      <c r="AA4473">
        <v>0</v>
      </c>
      <c r="AB4473">
        <v>0</v>
      </c>
      <c r="AC4473">
        <v>1</v>
      </c>
      <c r="AD4473">
        <v>1</v>
      </c>
      <c r="AE4473">
        <v>1</v>
      </c>
      <c r="AF4473">
        <v>1</v>
      </c>
      <c r="AG4473">
        <v>1</v>
      </c>
      <c r="AH4473">
        <v>1</v>
      </c>
      <c r="AI4473">
        <v>1</v>
      </c>
      <c r="AJ4473">
        <v>1</v>
      </c>
      <c r="AK4473">
        <v>1</v>
      </c>
      <c r="AL4473">
        <v>1</v>
      </c>
      <c r="AM4473">
        <v>1</v>
      </c>
    </row>
    <row r="4474" spans="1:39" x14ac:dyDescent="0.2">
      <c r="A4474" t="str">
        <f>"4470"</f>
        <v>4470</v>
      </c>
      <c r="B4474" t="str">
        <f t="shared" si="249"/>
        <v>1</v>
      </c>
      <c r="C4474" t="str">
        <f t="shared" si="248"/>
        <v>90</v>
      </c>
      <c r="D4474" t="str">
        <f>"19"</f>
        <v>19</v>
      </c>
      <c r="E4474" t="str">
        <f>"1-90-19"</f>
        <v>1-90-19</v>
      </c>
      <c r="F4474" t="s">
        <v>65</v>
      </c>
      <c r="G4474" t="s">
        <v>66</v>
      </c>
      <c r="H4474" t="s">
        <v>67</v>
      </c>
      <c r="S4474">
        <v>1</v>
      </c>
      <c r="T4474">
        <v>0</v>
      </c>
      <c r="U4474">
        <v>0</v>
      </c>
      <c r="V4474">
        <v>0</v>
      </c>
      <c r="W4474">
        <v>0</v>
      </c>
      <c r="X4474">
        <v>1</v>
      </c>
      <c r="Y4474">
        <v>0</v>
      </c>
      <c r="Z4474">
        <v>1</v>
      </c>
      <c r="AA4474">
        <v>0</v>
      </c>
      <c r="AB4474">
        <v>0</v>
      </c>
      <c r="AC4474">
        <v>1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1</v>
      </c>
      <c r="AJ4474">
        <v>0</v>
      </c>
      <c r="AK4474">
        <v>0</v>
      </c>
      <c r="AL4474">
        <v>0</v>
      </c>
      <c r="AM4474">
        <v>0</v>
      </c>
    </row>
    <row r="4475" spans="1:39" x14ac:dyDescent="0.2">
      <c r="A4475" t="str">
        <f>"4471"</f>
        <v>4471</v>
      </c>
      <c r="B4475" t="str">
        <f t="shared" si="249"/>
        <v>1</v>
      </c>
      <c r="C4475" t="str">
        <f t="shared" si="248"/>
        <v>90</v>
      </c>
      <c r="D4475" t="str">
        <f>"7"</f>
        <v>7</v>
      </c>
      <c r="E4475" t="str">
        <f>"1-90-7"</f>
        <v>1-90-7</v>
      </c>
      <c r="F4475" t="s">
        <v>65</v>
      </c>
      <c r="G4475" t="s">
        <v>66</v>
      </c>
      <c r="H4475" t="s">
        <v>67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1</v>
      </c>
      <c r="Y4475">
        <v>0</v>
      </c>
      <c r="Z4475">
        <v>1</v>
      </c>
      <c r="AA4475">
        <v>0</v>
      </c>
      <c r="AB4475">
        <v>0</v>
      </c>
      <c r="AC4475">
        <v>1</v>
      </c>
      <c r="AD4475">
        <v>1</v>
      </c>
      <c r="AE4475">
        <v>1</v>
      </c>
      <c r="AF4475">
        <v>1</v>
      </c>
      <c r="AG4475">
        <v>1</v>
      </c>
      <c r="AH4475">
        <v>1</v>
      </c>
      <c r="AI4475">
        <v>1</v>
      </c>
      <c r="AJ4475">
        <v>1</v>
      </c>
      <c r="AK4475">
        <v>1</v>
      </c>
      <c r="AL4475">
        <v>1</v>
      </c>
      <c r="AM4475">
        <v>1</v>
      </c>
    </row>
    <row r="4476" spans="1:39" x14ac:dyDescent="0.2">
      <c r="A4476" t="str">
        <f>"4472"</f>
        <v>4472</v>
      </c>
      <c r="B4476" t="str">
        <f t="shared" si="249"/>
        <v>1</v>
      </c>
      <c r="C4476" t="str">
        <f t="shared" si="248"/>
        <v>90</v>
      </c>
      <c r="D4476" t="str">
        <f>"46"</f>
        <v>46</v>
      </c>
      <c r="E4476" t="str">
        <f>"1-90-46"</f>
        <v>1-90-46</v>
      </c>
      <c r="F4476" t="s">
        <v>65</v>
      </c>
      <c r="G4476" t="s">
        <v>66</v>
      </c>
      <c r="H4476" t="s">
        <v>67</v>
      </c>
      <c r="S4476">
        <v>1</v>
      </c>
      <c r="T4476">
        <v>0</v>
      </c>
      <c r="U4476">
        <v>0</v>
      </c>
      <c r="V4476">
        <v>0</v>
      </c>
      <c r="W4476">
        <v>1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1</v>
      </c>
      <c r="AE4476">
        <v>1</v>
      </c>
      <c r="AF4476">
        <v>1</v>
      </c>
      <c r="AG4476">
        <v>1</v>
      </c>
      <c r="AH4476">
        <v>1</v>
      </c>
      <c r="AI4476">
        <v>1</v>
      </c>
      <c r="AJ4476">
        <v>1</v>
      </c>
      <c r="AK4476">
        <v>1</v>
      </c>
      <c r="AL4476">
        <v>1</v>
      </c>
      <c r="AM4476">
        <v>1</v>
      </c>
    </row>
    <row r="4477" spans="1:39" x14ac:dyDescent="0.2">
      <c r="A4477" t="str">
        <f>"4473"</f>
        <v>4473</v>
      </c>
      <c r="B4477" t="str">
        <f t="shared" si="249"/>
        <v>1</v>
      </c>
      <c r="C4477" t="str">
        <f t="shared" si="248"/>
        <v>90</v>
      </c>
      <c r="D4477" t="str">
        <f>"34"</f>
        <v>34</v>
      </c>
      <c r="E4477" t="str">
        <f>"1-90-34"</f>
        <v>1-90-34</v>
      </c>
      <c r="F4477" t="s">
        <v>65</v>
      </c>
      <c r="G4477" t="s">
        <v>66</v>
      </c>
      <c r="H4477" t="s">
        <v>67</v>
      </c>
      <c r="S4477">
        <v>0</v>
      </c>
      <c r="T4477">
        <v>1</v>
      </c>
      <c r="U4477">
        <v>0</v>
      </c>
      <c r="V4477">
        <v>0</v>
      </c>
      <c r="W4477">
        <v>0</v>
      </c>
      <c r="X4477">
        <v>1</v>
      </c>
      <c r="Y4477">
        <v>0</v>
      </c>
      <c r="Z4477">
        <v>1</v>
      </c>
      <c r="AA4477">
        <v>0</v>
      </c>
      <c r="AB4477">
        <v>0</v>
      </c>
      <c r="AC4477">
        <v>1</v>
      </c>
      <c r="AD4477">
        <v>1</v>
      </c>
      <c r="AE4477">
        <v>1</v>
      </c>
      <c r="AF4477">
        <v>1</v>
      </c>
      <c r="AG4477">
        <v>1</v>
      </c>
      <c r="AH4477">
        <v>1</v>
      </c>
      <c r="AI4477">
        <v>1</v>
      </c>
      <c r="AJ4477">
        <v>1</v>
      </c>
      <c r="AK4477">
        <v>1</v>
      </c>
      <c r="AL4477">
        <v>1</v>
      </c>
      <c r="AM4477">
        <v>1</v>
      </c>
    </row>
    <row r="4478" spans="1:39" x14ac:dyDescent="0.2">
      <c r="A4478" t="str">
        <f>"4474"</f>
        <v>4474</v>
      </c>
      <c r="B4478" t="str">
        <f t="shared" si="249"/>
        <v>1</v>
      </c>
      <c r="C4478" t="str">
        <f t="shared" si="248"/>
        <v>90</v>
      </c>
      <c r="D4478" t="str">
        <f>"20"</f>
        <v>20</v>
      </c>
      <c r="E4478" t="str">
        <f>"1-90-20"</f>
        <v>1-90-20</v>
      </c>
      <c r="F4478" t="s">
        <v>65</v>
      </c>
      <c r="G4478" t="s">
        <v>66</v>
      </c>
      <c r="H4478" t="s">
        <v>67</v>
      </c>
      <c r="S4478">
        <v>1</v>
      </c>
      <c r="T4478">
        <v>0</v>
      </c>
      <c r="U4478">
        <v>0</v>
      </c>
      <c r="V4478">
        <v>0</v>
      </c>
      <c r="W4478">
        <v>1</v>
      </c>
      <c r="X4478">
        <v>0</v>
      </c>
      <c r="Y4478">
        <v>1</v>
      </c>
      <c r="Z4478">
        <v>0</v>
      </c>
      <c r="AA4478">
        <v>0</v>
      </c>
      <c r="AB4478">
        <v>0</v>
      </c>
      <c r="AC4478">
        <v>1</v>
      </c>
      <c r="AD4478">
        <v>1</v>
      </c>
      <c r="AE4478">
        <v>1</v>
      </c>
      <c r="AF4478">
        <v>1</v>
      </c>
      <c r="AG4478">
        <v>1</v>
      </c>
      <c r="AH4478">
        <v>1</v>
      </c>
      <c r="AI4478">
        <v>1</v>
      </c>
      <c r="AJ4478">
        <v>1</v>
      </c>
      <c r="AK4478">
        <v>1</v>
      </c>
      <c r="AL4478">
        <v>1</v>
      </c>
      <c r="AM4478">
        <v>1</v>
      </c>
    </row>
    <row r="4479" spans="1:39" x14ac:dyDescent="0.2">
      <c r="A4479" t="str">
        <f>"4475"</f>
        <v>4475</v>
      </c>
      <c r="B4479" t="str">
        <f t="shared" si="249"/>
        <v>1</v>
      </c>
      <c r="C4479" t="str">
        <f t="shared" si="248"/>
        <v>90</v>
      </c>
      <c r="D4479" t="str">
        <f>"14"</f>
        <v>14</v>
      </c>
      <c r="E4479" t="str">
        <f>"1-90-14"</f>
        <v>1-90-14</v>
      </c>
      <c r="F4479" t="s">
        <v>65</v>
      </c>
      <c r="G4479" t="s">
        <v>66</v>
      </c>
      <c r="H4479" t="s">
        <v>67</v>
      </c>
      <c r="S4479">
        <v>1</v>
      </c>
      <c r="T4479">
        <v>0</v>
      </c>
      <c r="U4479">
        <v>0</v>
      </c>
      <c r="V4479">
        <v>0</v>
      </c>
      <c r="W4479">
        <v>0</v>
      </c>
      <c r="X4479">
        <v>1</v>
      </c>
      <c r="Y4479">
        <v>0</v>
      </c>
      <c r="Z4479">
        <v>1</v>
      </c>
      <c r="AA4479">
        <v>0</v>
      </c>
      <c r="AB4479">
        <v>0</v>
      </c>
      <c r="AC4479">
        <v>1</v>
      </c>
      <c r="AD4479">
        <v>1</v>
      </c>
      <c r="AE4479">
        <v>1</v>
      </c>
      <c r="AF4479">
        <v>1</v>
      </c>
      <c r="AG4479">
        <v>1</v>
      </c>
      <c r="AH4479">
        <v>1</v>
      </c>
      <c r="AI4479">
        <v>1</v>
      </c>
      <c r="AJ4479">
        <v>1</v>
      </c>
      <c r="AK4479">
        <v>1</v>
      </c>
      <c r="AL4479">
        <v>1</v>
      </c>
      <c r="AM4479">
        <v>1</v>
      </c>
    </row>
    <row r="4480" spans="1:39" x14ac:dyDescent="0.2">
      <c r="A4480" t="str">
        <f>"4476"</f>
        <v>4476</v>
      </c>
      <c r="B4480" t="str">
        <f t="shared" si="249"/>
        <v>1</v>
      </c>
      <c r="C4480" t="str">
        <f t="shared" si="248"/>
        <v>90</v>
      </c>
      <c r="D4480" t="str">
        <f>"39"</f>
        <v>39</v>
      </c>
      <c r="E4480" t="str">
        <f>"1-90-39"</f>
        <v>1-90-39</v>
      </c>
      <c r="F4480" t="s">
        <v>65</v>
      </c>
      <c r="G4480" t="s">
        <v>66</v>
      </c>
      <c r="H4480" t="s">
        <v>67</v>
      </c>
      <c r="S4480">
        <v>1</v>
      </c>
      <c r="T4480">
        <v>0</v>
      </c>
      <c r="U4480">
        <v>0</v>
      </c>
      <c r="V4480">
        <v>0</v>
      </c>
      <c r="W4480">
        <v>1</v>
      </c>
      <c r="X4480">
        <v>0</v>
      </c>
      <c r="Y4480">
        <v>0</v>
      </c>
      <c r="Z4480">
        <v>1</v>
      </c>
      <c r="AA4480">
        <v>0</v>
      </c>
      <c r="AB4480">
        <v>0</v>
      </c>
      <c r="AC4480">
        <v>1</v>
      </c>
      <c r="AD4480">
        <v>1</v>
      </c>
      <c r="AE4480">
        <v>1</v>
      </c>
      <c r="AF4480">
        <v>1</v>
      </c>
      <c r="AG4480">
        <v>1</v>
      </c>
      <c r="AH4480">
        <v>1</v>
      </c>
      <c r="AI4480">
        <v>1</v>
      </c>
      <c r="AJ4480">
        <v>1</v>
      </c>
      <c r="AK4480">
        <v>1</v>
      </c>
      <c r="AL4480">
        <v>1</v>
      </c>
      <c r="AM4480">
        <v>1</v>
      </c>
    </row>
    <row r="4481" spans="1:39" x14ac:dyDescent="0.2">
      <c r="A4481" t="str">
        <f>"4477"</f>
        <v>4477</v>
      </c>
      <c r="B4481" t="str">
        <f t="shared" si="249"/>
        <v>1</v>
      </c>
      <c r="C4481" t="str">
        <f t="shared" si="248"/>
        <v>90</v>
      </c>
      <c r="D4481" t="str">
        <f>"21"</f>
        <v>21</v>
      </c>
      <c r="E4481" t="str">
        <f>"1-90-21"</f>
        <v>1-90-21</v>
      </c>
      <c r="F4481" t="s">
        <v>65</v>
      </c>
      <c r="G4481" t="s">
        <v>66</v>
      </c>
      <c r="H4481" t="s">
        <v>67</v>
      </c>
      <c r="S4481">
        <v>1</v>
      </c>
      <c r="T4481">
        <v>0</v>
      </c>
      <c r="U4481">
        <v>0</v>
      </c>
      <c r="V4481">
        <v>0</v>
      </c>
      <c r="W4481">
        <v>1</v>
      </c>
      <c r="X4481">
        <v>0</v>
      </c>
      <c r="Y4481">
        <v>1</v>
      </c>
      <c r="Z4481">
        <v>0</v>
      </c>
      <c r="AA4481">
        <v>0</v>
      </c>
      <c r="AB4481">
        <v>0</v>
      </c>
      <c r="AC4481">
        <v>1</v>
      </c>
      <c r="AD4481">
        <v>1</v>
      </c>
      <c r="AE4481">
        <v>1</v>
      </c>
      <c r="AF4481">
        <v>1</v>
      </c>
      <c r="AG4481">
        <v>1</v>
      </c>
      <c r="AH4481">
        <v>1</v>
      </c>
      <c r="AI4481">
        <v>1</v>
      </c>
      <c r="AJ4481">
        <v>1</v>
      </c>
      <c r="AK4481">
        <v>1</v>
      </c>
      <c r="AL4481">
        <v>1</v>
      </c>
      <c r="AM4481">
        <v>1</v>
      </c>
    </row>
    <row r="4482" spans="1:39" x14ac:dyDescent="0.2">
      <c r="A4482" t="str">
        <f>"4478"</f>
        <v>4478</v>
      </c>
      <c r="B4482" t="str">
        <f t="shared" si="249"/>
        <v>1</v>
      </c>
      <c r="C4482" t="str">
        <f t="shared" si="248"/>
        <v>90</v>
      </c>
      <c r="D4482" t="str">
        <f>"4"</f>
        <v>4</v>
      </c>
      <c r="E4482" t="str">
        <f>"1-90-4"</f>
        <v>1-90-4</v>
      </c>
      <c r="F4482" t="s">
        <v>65</v>
      </c>
      <c r="G4482" t="s">
        <v>66</v>
      </c>
      <c r="H4482" t="s">
        <v>67</v>
      </c>
      <c r="S4482">
        <v>0</v>
      </c>
      <c r="T4482">
        <v>1</v>
      </c>
      <c r="U4482">
        <v>0</v>
      </c>
      <c r="V4482">
        <v>0</v>
      </c>
      <c r="W4482">
        <v>0</v>
      </c>
      <c r="X4482">
        <v>1</v>
      </c>
      <c r="Y4482">
        <v>0</v>
      </c>
      <c r="Z4482">
        <v>1</v>
      </c>
      <c r="AA4482">
        <v>0</v>
      </c>
      <c r="AB4482">
        <v>1</v>
      </c>
      <c r="AC4482">
        <v>0</v>
      </c>
      <c r="AD4482">
        <v>1</v>
      </c>
      <c r="AE4482">
        <v>1</v>
      </c>
      <c r="AF4482">
        <v>1</v>
      </c>
      <c r="AG4482">
        <v>1</v>
      </c>
      <c r="AH4482">
        <v>1</v>
      </c>
      <c r="AI4482">
        <v>1</v>
      </c>
      <c r="AJ4482">
        <v>1</v>
      </c>
      <c r="AK4482">
        <v>1</v>
      </c>
      <c r="AL4482">
        <v>1</v>
      </c>
      <c r="AM4482">
        <v>1</v>
      </c>
    </row>
    <row r="4483" spans="1:39" x14ac:dyDescent="0.2">
      <c r="A4483" t="str">
        <f>"4479"</f>
        <v>4479</v>
      </c>
      <c r="B4483" t="str">
        <f t="shared" si="249"/>
        <v>1</v>
      </c>
      <c r="C4483" t="str">
        <f t="shared" si="248"/>
        <v>90</v>
      </c>
      <c r="D4483" t="str">
        <f>"40"</f>
        <v>40</v>
      </c>
      <c r="E4483" t="str">
        <f>"1-90-40"</f>
        <v>1-90-40</v>
      </c>
      <c r="F4483" t="s">
        <v>65</v>
      </c>
      <c r="G4483" t="s">
        <v>66</v>
      </c>
      <c r="H4483" t="s">
        <v>67</v>
      </c>
      <c r="S4483">
        <v>0</v>
      </c>
      <c r="T4483">
        <v>1</v>
      </c>
      <c r="U4483">
        <v>0</v>
      </c>
      <c r="V4483">
        <v>0</v>
      </c>
      <c r="W4483">
        <v>1</v>
      </c>
      <c r="X4483">
        <v>0</v>
      </c>
      <c r="Y4483">
        <v>1</v>
      </c>
      <c r="Z4483">
        <v>0</v>
      </c>
      <c r="AA4483">
        <v>0</v>
      </c>
      <c r="AB4483">
        <v>0</v>
      </c>
      <c r="AC4483">
        <v>1</v>
      </c>
      <c r="AD4483">
        <v>1</v>
      </c>
      <c r="AE4483">
        <v>1</v>
      </c>
      <c r="AF4483">
        <v>1</v>
      </c>
      <c r="AG4483">
        <v>1</v>
      </c>
      <c r="AH4483">
        <v>1</v>
      </c>
      <c r="AI4483">
        <v>1</v>
      </c>
      <c r="AJ4483">
        <v>1</v>
      </c>
      <c r="AK4483">
        <v>1</v>
      </c>
      <c r="AL4483">
        <v>1</v>
      </c>
      <c r="AM4483">
        <v>1</v>
      </c>
    </row>
    <row r="4484" spans="1:39" x14ac:dyDescent="0.2">
      <c r="A4484" t="str">
        <f>"4480"</f>
        <v>4480</v>
      </c>
      <c r="B4484" t="str">
        <f t="shared" si="249"/>
        <v>1</v>
      </c>
      <c r="C4484" t="str">
        <f t="shared" si="248"/>
        <v>90</v>
      </c>
      <c r="D4484" t="str">
        <f>"22"</f>
        <v>22</v>
      </c>
      <c r="E4484" t="str">
        <f>"1-90-22"</f>
        <v>1-90-22</v>
      </c>
      <c r="F4484" t="s">
        <v>65</v>
      </c>
      <c r="G4484" t="s">
        <v>66</v>
      </c>
      <c r="H4484" t="s">
        <v>67</v>
      </c>
      <c r="S4484">
        <v>0</v>
      </c>
      <c r="T4484">
        <v>1</v>
      </c>
      <c r="U4484">
        <v>0</v>
      </c>
      <c r="V4484">
        <v>0</v>
      </c>
      <c r="W4484">
        <v>1</v>
      </c>
      <c r="X4484">
        <v>0</v>
      </c>
      <c r="Y4484">
        <v>1</v>
      </c>
      <c r="Z4484">
        <v>0</v>
      </c>
      <c r="AA4484">
        <v>0</v>
      </c>
      <c r="AB4484">
        <v>1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</row>
    <row r="4485" spans="1:39" x14ac:dyDescent="0.2">
      <c r="A4485" t="str">
        <f>"4481"</f>
        <v>4481</v>
      </c>
      <c r="B4485" t="str">
        <f t="shared" si="249"/>
        <v>1</v>
      </c>
      <c r="C4485" t="str">
        <f t="shared" si="248"/>
        <v>90</v>
      </c>
      <c r="D4485" t="str">
        <f>"5"</f>
        <v>5</v>
      </c>
      <c r="E4485" t="str">
        <f>"1-90-5"</f>
        <v>1-90-5</v>
      </c>
      <c r="F4485" t="s">
        <v>65</v>
      </c>
      <c r="G4485" t="s">
        <v>66</v>
      </c>
      <c r="H4485" t="s">
        <v>67</v>
      </c>
      <c r="S4485">
        <v>0</v>
      </c>
      <c r="T4485">
        <v>0</v>
      </c>
      <c r="U4485">
        <v>0</v>
      </c>
      <c r="V4485">
        <v>0</v>
      </c>
      <c r="W4485">
        <v>1</v>
      </c>
      <c r="X4485">
        <v>0</v>
      </c>
      <c r="Y4485">
        <v>1</v>
      </c>
      <c r="Z4485">
        <v>0</v>
      </c>
      <c r="AA4485">
        <v>0</v>
      </c>
      <c r="AB4485">
        <v>0</v>
      </c>
      <c r="AC4485">
        <v>0</v>
      </c>
      <c r="AD4485">
        <v>1</v>
      </c>
      <c r="AE4485">
        <v>1</v>
      </c>
      <c r="AF4485">
        <v>1</v>
      </c>
      <c r="AG4485">
        <v>1</v>
      </c>
      <c r="AH4485">
        <v>1</v>
      </c>
      <c r="AI4485">
        <v>1</v>
      </c>
      <c r="AJ4485">
        <v>1</v>
      </c>
      <c r="AK4485">
        <v>1</v>
      </c>
      <c r="AL4485">
        <v>1</v>
      </c>
      <c r="AM4485">
        <v>1</v>
      </c>
    </row>
    <row r="4486" spans="1:39" x14ac:dyDescent="0.2">
      <c r="A4486" t="str">
        <f>"4482"</f>
        <v>4482</v>
      </c>
      <c r="B4486" t="str">
        <f t="shared" si="249"/>
        <v>1</v>
      </c>
      <c r="C4486" t="str">
        <f t="shared" si="248"/>
        <v>90</v>
      </c>
      <c r="D4486" t="str">
        <f>"45"</f>
        <v>45</v>
      </c>
      <c r="E4486" t="str">
        <f>"1-90-45"</f>
        <v>1-90-45</v>
      </c>
      <c r="F4486" t="s">
        <v>65</v>
      </c>
      <c r="G4486" t="s">
        <v>66</v>
      </c>
      <c r="H4486" t="s">
        <v>67</v>
      </c>
      <c r="S4486">
        <v>1</v>
      </c>
      <c r="T4486">
        <v>0</v>
      </c>
      <c r="U4486">
        <v>0</v>
      </c>
      <c r="V4486">
        <v>0</v>
      </c>
      <c r="W4486">
        <v>1</v>
      </c>
      <c r="X4486">
        <v>0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1</v>
      </c>
      <c r="AF4486">
        <v>1</v>
      </c>
      <c r="AG4486">
        <v>1</v>
      </c>
      <c r="AH4486">
        <v>1</v>
      </c>
      <c r="AI4486">
        <v>1</v>
      </c>
      <c r="AJ4486">
        <v>1</v>
      </c>
      <c r="AK4486">
        <v>1</v>
      </c>
      <c r="AL4486">
        <v>1</v>
      </c>
      <c r="AM4486">
        <v>1</v>
      </c>
    </row>
    <row r="4487" spans="1:39" x14ac:dyDescent="0.2">
      <c r="A4487" t="str">
        <f>"4483"</f>
        <v>4483</v>
      </c>
      <c r="B4487" t="str">
        <f t="shared" si="249"/>
        <v>1</v>
      </c>
      <c r="C4487" t="str">
        <f t="shared" ref="C4487:C4504" si="250">"90"</f>
        <v>90</v>
      </c>
      <c r="D4487" t="str">
        <f>"23"</f>
        <v>23</v>
      </c>
      <c r="E4487" t="str">
        <f>"1-90-23"</f>
        <v>1-90-23</v>
      </c>
      <c r="F4487" t="s">
        <v>65</v>
      </c>
      <c r="G4487" t="s">
        <v>66</v>
      </c>
      <c r="H4487" t="s">
        <v>67</v>
      </c>
      <c r="S4487">
        <v>1</v>
      </c>
      <c r="T4487">
        <v>0</v>
      </c>
      <c r="U4487">
        <v>0</v>
      </c>
      <c r="V4487">
        <v>0</v>
      </c>
      <c r="W4487">
        <v>1</v>
      </c>
      <c r="X4487">
        <v>0</v>
      </c>
      <c r="Y4487">
        <v>0</v>
      </c>
      <c r="Z4487">
        <v>1</v>
      </c>
      <c r="AA4487">
        <v>0</v>
      </c>
      <c r="AB4487">
        <v>1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</row>
    <row r="4488" spans="1:39" x14ac:dyDescent="0.2">
      <c r="A4488" t="str">
        <f>"4484"</f>
        <v>4484</v>
      </c>
      <c r="B4488" t="str">
        <f t="shared" si="249"/>
        <v>1</v>
      </c>
      <c r="C4488" t="str">
        <f t="shared" si="250"/>
        <v>90</v>
      </c>
      <c r="D4488" t="str">
        <f>"6"</f>
        <v>6</v>
      </c>
      <c r="E4488" t="str">
        <f>"1-90-6"</f>
        <v>1-90-6</v>
      </c>
      <c r="F4488" t="s">
        <v>65</v>
      </c>
      <c r="G4488" t="s">
        <v>66</v>
      </c>
      <c r="H4488" t="s">
        <v>67</v>
      </c>
      <c r="S4488">
        <v>0</v>
      </c>
      <c r="T4488">
        <v>1</v>
      </c>
      <c r="U4488">
        <v>0</v>
      </c>
      <c r="V4488">
        <v>0</v>
      </c>
      <c r="W4488">
        <v>0</v>
      </c>
      <c r="X4488">
        <v>1</v>
      </c>
      <c r="Y4488">
        <v>0</v>
      </c>
      <c r="Z4488">
        <v>1</v>
      </c>
      <c r="AA4488">
        <v>0</v>
      </c>
      <c r="AB4488">
        <v>0</v>
      </c>
      <c r="AC4488">
        <v>1</v>
      </c>
      <c r="AD4488">
        <v>1</v>
      </c>
      <c r="AE4488">
        <v>1</v>
      </c>
      <c r="AF4488">
        <v>1</v>
      </c>
      <c r="AG4488">
        <v>1</v>
      </c>
      <c r="AH4488">
        <v>1</v>
      </c>
      <c r="AI4488">
        <v>1</v>
      </c>
      <c r="AJ4488">
        <v>1</v>
      </c>
      <c r="AK4488">
        <v>1</v>
      </c>
      <c r="AL4488">
        <v>1</v>
      </c>
      <c r="AM4488">
        <v>1</v>
      </c>
    </row>
    <row r="4489" spans="1:39" x14ac:dyDescent="0.2">
      <c r="A4489" t="str">
        <f>"4485"</f>
        <v>4485</v>
      </c>
      <c r="B4489" t="str">
        <f t="shared" si="249"/>
        <v>1</v>
      </c>
      <c r="C4489" t="str">
        <f t="shared" si="250"/>
        <v>90</v>
      </c>
      <c r="D4489" t="str">
        <f>"41"</f>
        <v>41</v>
      </c>
      <c r="E4489" t="str">
        <f>"1-90-41"</f>
        <v>1-90-41</v>
      </c>
      <c r="F4489" t="s">
        <v>65</v>
      </c>
      <c r="G4489" t="s">
        <v>66</v>
      </c>
      <c r="H4489" t="s">
        <v>67</v>
      </c>
      <c r="S4489">
        <v>1</v>
      </c>
      <c r="T4489">
        <v>0</v>
      </c>
      <c r="U4489">
        <v>0</v>
      </c>
      <c r="V4489">
        <v>0</v>
      </c>
      <c r="W4489">
        <v>1</v>
      </c>
      <c r="X4489">
        <v>0</v>
      </c>
      <c r="Y4489">
        <v>0</v>
      </c>
      <c r="Z4489">
        <v>1</v>
      </c>
      <c r="AA4489">
        <v>0</v>
      </c>
      <c r="AB4489">
        <v>0</v>
      </c>
      <c r="AC4489">
        <v>1</v>
      </c>
      <c r="AD4489">
        <v>1</v>
      </c>
      <c r="AE4489">
        <v>1</v>
      </c>
      <c r="AF4489">
        <v>1</v>
      </c>
      <c r="AG4489">
        <v>1</v>
      </c>
      <c r="AH4489">
        <v>1</v>
      </c>
      <c r="AI4489">
        <v>1</v>
      </c>
      <c r="AJ4489">
        <v>1</v>
      </c>
      <c r="AK4489">
        <v>1</v>
      </c>
      <c r="AL4489">
        <v>1</v>
      </c>
      <c r="AM4489">
        <v>1</v>
      </c>
    </row>
    <row r="4490" spans="1:39" x14ac:dyDescent="0.2">
      <c r="A4490" t="str">
        <f>"4486"</f>
        <v>4486</v>
      </c>
      <c r="B4490" t="str">
        <f t="shared" si="249"/>
        <v>1</v>
      </c>
      <c r="C4490" t="str">
        <f t="shared" si="250"/>
        <v>90</v>
      </c>
      <c r="D4490" t="str">
        <f>"24"</f>
        <v>24</v>
      </c>
      <c r="E4490" t="str">
        <f>"1-90-24"</f>
        <v>1-90-24</v>
      </c>
      <c r="F4490" t="s">
        <v>65</v>
      </c>
      <c r="G4490" t="s">
        <v>66</v>
      </c>
      <c r="H4490" t="s">
        <v>67</v>
      </c>
      <c r="S4490">
        <v>0</v>
      </c>
      <c r="T4490">
        <v>1</v>
      </c>
      <c r="U4490">
        <v>0</v>
      </c>
      <c r="V4490">
        <v>0</v>
      </c>
      <c r="W4490">
        <v>1</v>
      </c>
      <c r="X4490">
        <v>0</v>
      </c>
      <c r="Y4490">
        <v>1</v>
      </c>
      <c r="Z4490">
        <v>0</v>
      </c>
      <c r="AA4490">
        <v>0</v>
      </c>
      <c r="AB4490">
        <v>1</v>
      </c>
      <c r="AC4490">
        <v>0</v>
      </c>
      <c r="AD4490">
        <v>0</v>
      </c>
      <c r="AE4490">
        <v>0</v>
      </c>
      <c r="AF4490">
        <v>0</v>
      </c>
      <c r="AG4490">
        <v>1</v>
      </c>
      <c r="AH4490">
        <v>0</v>
      </c>
      <c r="AI4490">
        <v>1</v>
      </c>
      <c r="AJ4490">
        <v>1</v>
      </c>
      <c r="AK4490">
        <v>0</v>
      </c>
      <c r="AL4490">
        <v>0</v>
      </c>
      <c r="AM4490">
        <v>1</v>
      </c>
    </row>
    <row r="4491" spans="1:39" x14ac:dyDescent="0.2">
      <c r="A4491" t="str">
        <f>"4487"</f>
        <v>4487</v>
      </c>
      <c r="B4491" t="str">
        <f t="shared" si="249"/>
        <v>1</v>
      </c>
      <c r="C4491" t="str">
        <f t="shared" si="250"/>
        <v>90</v>
      </c>
      <c r="D4491" t="str">
        <f>"12"</f>
        <v>12</v>
      </c>
      <c r="E4491" t="str">
        <f>"1-90-12"</f>
        <v>1-90-12</v>
      </c>
      <c r="F4491" t="s">
        <v>65</v>
      </c>
      <c r="G4491" t="s">
        <v>66</v>
      </c>
      <c r="H4491" t="s">
        <v>67</v>
      </c>
      <c r="S4491">
        <v>1</v>
      </c>
      <c r="T4491">
        <v>0</v>
      </c>
      <c r="U4491">
        <v>0</v>
      </c>
      <c r="V4491">
        <v>0</v>
      </c>
      <c r="W4491">
        <v>1</v>
      </c>
      <c r="X4491">
        <v>0</v>
      </c>
      <c r="Y4491">
        <v>1</v>
      </c>
      <c r="Z4491">
        <v>0</v>
      </c>
      <c r="AA4491">
        <v>1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</row>
    <row r="4492" spans="1:39" x14ac:dyDescent="0.2">
      <c r="A4492" t="str">
        <f>"4488"</f>
        <v>4488</v>
      </c>
      <c r="B4492" t="str">
        <f t="shared" si="249"/>
        <v>1</v>
      </c>
      <c r="C4492" t="str">
        <f t="shared" si="250"/>
        <v>90</v>
      </c>
      <c r="D4492" t="str">
        <f>"26"</f>
        <v>26</v>
      </c>
      <c r="E4492" t="str">
        <f>"1-90-26"</f>
        <v>1-90-26</v>
      </c>
      <c r="F4492" t="s">
        <v>65</v>
      </c>
      <c r="G4492" t="s">
        <v>66</v>
      </c>
      <c r="H4492" t="s">
        <v>67</v>
      </c>
      <c r="S4492">
        <v>1</v>
      </c>
      <c r="T4492">
        <v>0</v>
      </c>
      <c r="U4492">
        <v>0</v>
      </c>
      <c r="V4492">
        <v>0</v>
      </c>
      <c r="W4492">
        <v>1</v>
      </c>
      <c r="X4492">
        <v>0</v>
      </c>
      <c r="Y4492">
        <v>0</v>
      </c>
      <c r="Z4492">
        <v>1</v>
      </c>
      <c r="AA4492">
        <v>0</v>
      </c>
      <c r="AB4492">
        <v>1</v>
      </c>
      <c r="AC4492">
        <v>0</v>
      </c>
      <c r="AD4492">
        <v>1</v>
      </c>
      <c r="AE4492">
        <v>1</v>
      </c>
      <c r="AF4492">
        <v>1</v>
      </c>
      <c r="AG4492">
        <v>1</v>
      </c>
      <c r="AH4492">
        <v>1</v>
      </c>
      <c r="AI4492">
        <v>1</v>
      </c>
      <c r="AJ4492">
        <v>1</v>
      </c>
      <c r="AK4492">
        <v>1</v>
      </c>
      <c r="AL4492">
        <v>1</v>
      </c>
      <c r="AM4492">
        <v>1</v>
      </c>
    </row>
    <row r="4493" spans="1:39" x14ac:dyDescent="0.2">
      <c r="A4493" t="str">
        <f>"4489"</f>
        <v>4489</v>
      </c>
      <c r="B4493" t="str">
        <f t="shared" si="249"/>
        <v>1</v>
      </c>
      <c r="C4493" t="str">
        <f t="shared" si="250"/>
        <v>90</v>
      </c>
      <c r="D4493" t="str">
        <f>"9"</f>
        <v>9</v>
      </c>
      <c r="E4493" t="str">
        <f>"1-90-9"</f>
        <v>1-90-9</v>
      </c>
      <c r="F4493" t="s">
        <v>65</v>
      </c>
      <c r="G4493" t="s">
        <v>66</v>
      </c>
      <c r="H4493" t="s">
        <v>67</v>
      </c>
      <c r="S4493">
        <v>1</v>
      </c>
      <c r="T4493">
        <v>0</v>
      </c>
      <c r="U4493">
        <v>0</v>
      </c>
      <c r="V4493">
        <v>0</v>
      </c>
      <c r="W4493">
        <v>1</v>
      </c>
      <c r="X4493">
        <v>0</v>
      </c>
      <c r="Y4493">
        <v>0</v>
      </c>
      <c r="Z4493">
        <v>1</v>
      </c>
      <c r="AA4493">
        <v>0</v>
      </c>
      <c r="AB4493">
        <v>1</v>
      </c>
      <c r="AC4493">
        <v>0</v>
      </c>
      <c r="AD4493">
        <v>1</v>
      </c>
      <c r="AE4493">
        <v>1</v>
      </c>
      <c r="AF4493">
        <v>1</v>
      </c>
      <c r="AG4493">
        <v>1</v>
      </c>
      <c r="AH4493">
        <v>1</v>
      </c>
      <c r="AI4493">
        <v>1</v>
      </c>
      <c r="AJ4493">
        <v>1</v>
      </c>
      <c r="AK4493">
        <v>1</v>
      </c>
      <c r="AL4493">
        <v>1</v>
      </c>
      <c r="AM4493">
        <v>1</v>
      </c>
    </row>
    <row r="4494" spans="1:39" x14ac:dyDescent="0.2">
      <c r="A4494" t="str">
        <f>"4490"</f>
        <v>4490</v>
      </c>
      <c r="B4494" t="str">
        <f t="shared" si="249"/>
        <v>1</v>
      </c>
      <c r="C4494" t="str">
        <f t="shared" si="250"/>
        <v>90</v>
      </c>
      <c r="D4494" t="str">
        <f>"44"</f>
        <v>44</v>
      </c>
      <c r="E4494" t="str">
        <f>"1-90-44"</f>
        <v>1-90-44</v>
      </c>
      <c r="F4494" t="s">
        <v>65</v>
      </c>
      <c r="G4494" t="s">
        <v>66</v>
      </c>
      <c r="H4494" t="s">
        <v>67</v>
      </c>
      <c r="S4494">
        <v>1</v>
      </c>
      <c r="T4494">
        <v>0</v>
      </c>
      <c r="U4494">
        <v>0</v>
      </c>
      <c r="V4494">
        <v>0</v>
      </c>
      <c r="W4494">
        <v>1</v>
      </c>
      <c r="X4494">
        <v>0</v>
      </c>
      <c r="Y4494">
        <v>0</v>
      </c>
      <c r="Z4494">
        <v>1</v>
      </c>
      <c r="AA4494">
        <v>0</v>
      </c>
      <c r="AB4494">
        <v>0</v>
      </c>
      <c r="AC4494">
        <v>1</v>
      </c>
      <c r="AD4494">
        <v>1</v>
      </c>
      <c r="AE4494">
        <v>1</v>
      </c>
      <c r="AF4494">
        <v>1</v>
      </c>
      <c r="AG4494">
        <v>1</v>
      </c>
      <c r="AH4494">
        <v>1</v>
      </c>
      <c r="AI4494">
        <v>1</v>
      </c>
      <c r="AJ4494">
        <v>1</v>
      </c>
      <c r="AK4494">
        <v>1</v>
      </c>
      <c r="AL4494">
        <v>1</v>
      </c>
      <c r="AM4494">
        <v>1</v>
      </c>
    </row>
    <row r="4495" spans="1:39" x14ac:dyDescent="0.2">
      <c r="A4495" t="str">
        <f>"4491"</f>
        <v>4491</v>
      </c>
      <c r="B4495" t="str">
        <f t="shared" si="249"/>
        <v>1</v>
      </c>
      <c r="C4495" t="str">
        <f t="shared" si="250"/>
        <v>90</v>
      </c>
      <c r="D4495" t="str">
        <f>"27"</f>
        <v>27</v>
      </c>
      <c r="E4495" t="str">
        <f>"1-90-27"</f>
        <v>1-90-27</v>
      </c>
      <c r="F4495" t="s">
        <v>65</v>
      </c>
      <c r="G4495" t="s">
        <v>66</v>
      </c>
      <c r="H4495" t="s">
        <v>67</v>
      </c>
      <c r="S4495">
        <v>1</v>
      </c>
      <c r="T4495">
        <v>0</v>
      </c>
      <c r="U4495">
        <v>0</v>
      </c>
      <c r="V4495">
        <v>0</v>
      </c>
      <c r="W4495">
        <v>1</v>
      </c>
      <c r="X4495">
        <v>0</v>
      </c>
      <c r="Y4495">
        <v>0</v>
      </c>
      <c r="Z4495">
        <v>1</v>
      </c>
      <c r="AA4495">
        <v>0</v>
      </c>
      <c r="AB4495">
        <v>1</v>
      </c>
      <c r="AC4495">
        <v>0</v>
      </c>
      <c r="AD4495">
        <v>1</v>
      </c>
      <c r="AE4495">
        <v>1</v>
      </c>
      <c r="AF4495">
        <v>1</v>
      </c>
      <c r="AG4495">
        <v>1</v>
      </c>
      <c r="AH4495">
        <v>1</v>
      </c>
      <c r="AI4495">
        <v>1</v>
      </c>
      <c r="AJ4495">
        <v>1</v>
      </c>
      <c r="AK4495">
        <v>1</v>
      </c>
      <c r="AL4495">
        <v>1</v>
      </c>
      <c r="AM4495">
        <v>1</v>
      </c>
    </row>
    <row r="4496" spans="1:39" x14ac:dyDescent="0.2">
      <c r="A4496" t="str">
        <f>"4492"</f>
        <v>4492</v>
      </c>
      <c r="B4496" t="str">
        <f t="shared" si="249"/>
        <v>1</v>
      </c>
      <c r="C4496" t="str">
        <f t="shared" si="250"/>
        <v>90</v>
      </c>
      <c r="D4496" t="str">
        <f>"13"</f>
        <v>13</v>
      </c>
      <c r="E4496" t="str">
        <f>"1-90-13"</f>
        <v>1-90-13</v>
      </c>
      <c r="F4496" t="s">
        <v>65</v>
      </c>
      <c r="G4496" t="s">
        <v>66</v>
      </c>
      <c r="H4496" t="s">
        <v>67</v>
      </c>
      <c r="S4496">
        <v>0</v>
      </c>
      <c r="T4496">
        <v>1</v>
      </c>
      <c r="U4496">
        <v>0</v>
      </c>
      <c r="V4496">
        <v>0</v>
      </c>
      <c r="W4496">
        <v>1</v>
      </c>
      <c r="X4496">
        <v>0</v>
      </c>
      <c r="Y4496">
        <v>1</v>
      </c>
      <c r="Z4496">
        <v>0</v>
      </c>
      <c r="AA4496">
        <v>0</v>
      </c>
      <c r="AB4496">
        <v>0</v>
      </c>
      <c r="AC4496">
        <v>1</v>
      </c>
      <c r="AD4496">
        <v>1</v>
      </c>
      <c r="AE4496">
        <v>1</v>
      </c>
      <c r="AF4496">
        <v>1</v>
      </c>
      <c r="AG4496">
        <v>1</v>
      </c>
      <c r="AH4496">
        <v>1</v>
      </c>
      <c r="AI4496">
        <v>1</v>
      </c>
      <c r="AJ4496">
        <v>1</v>
      </c>
      <c r="AK4496">
        <v>1</v>
      </c>
      <c r="AL4496">
        <v>1</v>
      </c>
      <c r="AM4496">
        <v>1</v>
      </c>
    </row>
    <row r="4497" spans="1:39" x14ac:dyDescent="0.2">
      <c r="A4497" t="str">
        <f>"4493"</f>
        <v>4493</v>
      </c>
      <c r="B4497" t="str">
        <f t="shared" si="249"/>
        <v>1</v>
      </c>
      <c r="C4497" t="str">
        <f t="shared" si="250"/>
        <v>90</v>
      </c>
      <c r="D4497" t="str">
        <f>"29"</f>
        <v>29</v>
      </c>
      <c r="E4497" t="str">
        <f>"1-90-29"</f>
        <v>1-90-29</v>
      </c>
      <c r="F4497" t="s">
        <v>65</v>
      </c>
      <c r="G4497" t="s">
        <v>66</v>
      </c>
      <c r="H4497" t="s">
        <v>67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1</v>
      </c>
      <c r="Y4497">
        <v>1</v>
      </c>
      <c r="Z4497">
        <v>0</v>
      </c>
      <c r="AA4497">
        <v>0</v>
      </c>
      <c r="AB4497">
        <v>0</v>
      </c>
      <c r="AC4497">
        <v>1</v>
      </c>
      <c r="AD4497">
        <v>1</v>
      </c>
      <c r="AE4497">
        <v>1</v>
      </c>
      <c r="AF4497">
        <v>1</v>
      </c>
      <c r="AG4497">
        <v>1</v>
      </c>
      <c r="AH4497">
        <v>1</v>
      </c>
      <c r="AI4497">
        <v>1</v>
      </c>
      <c r="AJ4497">
        <v>1</v>
      </c>
      <c r="AK4497">
        <v>1</v>
      </c>
      <c r="AL4497">
        <v>1</v>
      </c>
      <c r="AM4497">
        <v>1</v>
      </c>
    </row>
    <row r="4498" spans="1:39" x14ac:dyDescent="0.2">
      <c r="A4498" t="str">
        <f>"4494"</f>
        <v>4494</v>
      </c>
      <c r="B4498" t="str">
        <f t="shared" si="249"/>
        <v>1</v>
      </c>
      <c r="C4498" t="str">
        <f t="shared" si="250"/>
        <v>90</v>
      </c>
      <c r="D4498" t="str">
        <f>"11"</f>
        <v>11</v>
      </c>
      <c r="E4498" t="str">
        <f>"1-90-11"</f>
        <v>1-90-11</v>
      </c>
      <c r="F4498" t="s">
        <v>65</v>
      </c>
      <c r="G4498" t="s">
        <v>66</v>
      </c>
      <c r="H4498" t="s">
        <v>67</v>
      </c>
      <c r="S4498">
        <v>0</v>
      </c>
      <c r="T4498">
        <v>1</v>
      </c>
      <c r="U4498">
        <v>0</v>
      </c>
      <c r="V4498">
        <v>0</v>
      </c>
      <c r="W4498">
        <v>1</v>
      </c>
      <c r="X4498">
        <v>0</v>
      </c>
      <c r="Y4498">
        <v>1</v>
      </c>
      <c r="Z4498">
        <v>0</v>
      </c>
      <c r="AA4498">
        <v>1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</row>
    <row r="4499" spans="1:39" x14ac:dyDescent="0.2">
      <c r="A4499" t="str">
        <f>"4495"</f>
        <v>4495</v>
      </c>
      <c r="B4499" t="str">
        <f t="shared" si="249"/>
        <v>1</v>
      </c>
      <c r="C4499" t="str">
        <f t="shared" si="250"/>
        <v>90</v>
      </c>
      <c r="D4499" t="str">
        <f>"30"</f>
        <v>30</v>
      </c>
      <c r="E4499" t="str">
        <f>"1-90-30"</f>
        <v>1-90-30</v>
      </c>
      <c r="F4499" t="s">
        <v>65</v>
      </c>
      <c r="G4499" t="s">
        <v>66</v>
      </c>
      <c r="H4499" t="s">
        <v>67</v>
      </c>
      <c r="S4499">
        <v>1</v>
      </c>
      <c r="T4499">
        <v>0</v>
      </c>
      <c r="U4499">
        <v>0</v>
      </c>
      <c r="V4499">
        <v>0</v>
      </c>
      <c r="W4499">
        <v>1</v>
      </c>
      <c r="X4499">
        <v>0</v>
      </c>
      <c r="Y4499">
        <v>1</v>
      </c>
      <c r="Z4499">
        <v>0</v>
      </c>
      <c r="AA4499">
        <v>0</v>
      </c>
      <c r="AB4499">
        <v>0</v>
      </c>
      <c r="AC4499">
        <v>1</v>
      </c>
      <c r="AD4499">
        <v>1</v>
      </c>
      <c r="AE4499">
        <v>1</v>
      </c>
      <c r="AF4499">
        <v>1</v>
      </c>
      <c r="AG4499">
        <v>1</v>
      </c>
      <c r="AH4499">
        <v>1</v>
      </c>
      <c r="AI4499">
        <v>1</v>
      </c>
      <c r="AJ4499">
        <v>1</v>
      </c>
      <c r="AK4499">
        <v>1</v>
      </c>
      <c r="AL4499">
        <v>1</v>
      </c>
      <c r="AM4499">
        <v>1</v>
      </c>
    </row>
    <row r="4500" spans="1:39" x14ac:dyDescent="0.2">
      <c r="A4500" t="str">
        <f>"4496"</f>
        <v>4496</v>
      </c>
      <c r="B4500" t="str">
        <f t="shared" si="249"/>
        <v>1</v>
      </c>
      <c r="C4500" t="str">
        <f t="shared" si="250"/>
        <v>90</v>
      </c>
      <c r="D4500" t="str">
        <f>"3"</f>
        <v>3</v>
      </c>
      <c r="E4500" t="str">
        <f>"1-90-3"</f>
        <v>1-90-3</v>
      </c>
      <c r="F4500" t="s">
        <v>65</v>
      </c>
      <c r="G4500" t="s">
        <v>66</v>
      </c>
      <c r="H4500" t="s">
        <v>67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1</v>
      </c>
      <c r="AE4500">
        <v>1</v>
      </c>
      <c r="AF4500">
        <v>1</v>
      </c>
      <c r="AG4500">
        <v>1</v>
      </c>
      <c r="AH4500">
        <v>1</v>
      </c>
      <c r="AI4500">
        <v>1</v>
      </c>
      <c r="AJ4500">
        <v>1</v>
      </c>
      <c r="AK4500">
        <v>1</v>
      </c>
      <c r="AL4500">
        <v>1</v>
      </c>
      <c r="AM4500">
        <v>1</v>
      </c>
    </row>
    <row r="4501" spans="1:39" x14ac:dyDescent="0.2">
      <c r="A4501" t="str">
        <f>"4497"</f>
        <v>4497</v>
      </c>
      <c r="B4501" t="str">
        <f t="shared" si="249"/>
        <v>1</v>
      </c>
      <c r="C4501" t="str">
        <f t="shared" si="250"/>
        <v>90</v>
      </c>
      <c r="D4501" t="str">
        <f>"47"</f>
        <v>47</v>
      </c>
      <c r="E4501" t="str">
        <f>"1-90-47"</f>
        <v>1-90-47</v>
      </c>
      <c r="F4501" t="s">
        <v>65</v>
      </c>
      <c r="G4501" t="s">
        <v>66</v>
      </c>
      <c r="H4501" t="s">
        <v>67</v>
      </c>
      <c r="S4501">
        <v>1</v>
      </c>
      <c r="T4501">
        <v>0</v>
      </c>
      <c r="U4501">
        <v>0</v>
      </c>
      <c r="V4501">
        <v>0</v>
      </c>
      <c r="W4501">
        <v>1</v>
      </c>
      <c r="X4501">
        <v>0</v>
      </c>
      <c r="Y4501">
        <v>0</v>
      </c>
      <c r="Z4501">
        <v>1</v>
      </c>
      <c r="AA4501">
        <v>0</v>
      </c>
      <c r="AB4501">
        <v>1</v>
      </c>
      <c r="AC4501">
        <v>0</v>
      </c>
      <c r="AD4501">
        <v>1</v>
      </c>
      <c r="AE4501">
        <v>1</v>
      </c>
      <c r="AF4501">
        <v>1</v>
      </c>
      <c r="AG4501">
        <v>1</v>
      </c>
      <c r="AH4501">
        <v>1</v>
      </c>
      <c r="AI4501">
        <v>1</v>
      </c>
      <c r="AJ4501">
        <v>1</v>
      </c>
      <c r="AK4501">
        <v>1</v>
      </c>
      <c r="AL4501">
        <v>1</v>
      </c>
      <c r="AM4501">
        <v>1</v>
      </c>
    </row>
    <row r="4502" spans="1:39" x14ac:dyDescent="0.2">
      <c r="A4502" t="str">
        <f>"4498"</f>
        <v>4498</v>
      </c>
      <c r="B4502" t="str">
        <f t="shared" si="249"/>
        <v>1</v>
      </c>
      <c r="C4502" t="str">
        <f t="shared" si="250"/>
        <v>90</v>
      </c>
      <c r="D4502" t="str">
        <f>"50"</f>
        <v>50</v>
      </c>
      <c r="E4502" t="str">
        <f>"1-90-50"</f>
        <v>1-90-50</v>
      </c>
      <c r="F4502" t="s">
        <v>65</v>
      </c>
      <c r="G4502" t="s">
        <v>66</v>
      </c>
      <c r="H4502" t="s">
        <v>67</v>
      </c>
      <c r="S4502">
        <v>0</v>
      </c>
      <c r="T4502">
        <v>1</v>
      </c>
      <c r="U4502">
        <v>0</v>
      </c>
      <c r="V4502">
        <v>0</v>
      </c>
      <c r="W4502">
        <v>0</v>
      </c>
      <c r="X4502">
        <v>1</v>
      </c>
      <c r="Y4502">
        <v>0</v>
      </c>
      <c r="Z4502">
        <v>1</v>
      </c>
      <c r="AA4502">
        <v>1</v>
      </c>
      <c r="AB4502">
        <v>0</v>
      </c>
      <c r="AC4502">
        <v>0</v>
      </c>
      <c r="AD4502">
        <v>0</v>
      </c>
      <c r="AE4502">
        <v>1</v>
      </c>
      <c r="AF4502">
        <v>0</v>
      </c>
      <c r="AG4502">
        <v>0</v>
      </c>
      <c r="AH4502">
        <v>1</v>
      </c>
      <c r="AI4502">
        <v>1</v>
      </c>
      <c r="AJ4502">
        <v>1</v>
      </c>
      <c r="AK4502">
        <v>0</v>
      </c>
      <c r="AL4502">
        <v>1</v>
      </c>
      <c r="AM4502">
        <v>1</v>
      </c>
    </row>
    <row r="4503" spans="1:39" x14ac:dyDescent="0.2">
      <c r="A4503" t="str">
        <f>"4499"</f>
        <v>4499</v>
      </c>
      <c r="B4503" t="str">
        <f t="shared" si="249"/>
        <v>1</v>
      </c>
      <c r="C4503" t="str">
        <f t="shared" si="250"/>
        <v>90</v>
      </c>
      <c r="D4503" t="str">
        <f>"48"</f>
        <v>48</v>
      </c>
      <c r="E4503" t="str">
        <f>"1-90-48"</f>
        <v>1-90-48</v>
      </c>
      <c r="F4503" t="s">
        <v>65</v>
      </c>
      <c r="G4503" t="s">
        <v>66</v>
      </c>
      <c r="H4503" t="s">
        <v>67</v>
      </c>
      <c r="S4503">
        <v>1</v>
      </c>
      <c r="T4503">
        <v>0</v>
      </c>
      <c r="U4503">
        <v>0</v>
      </c>
      <c r="V4503">
        <v>0</v>
      </c>
      <c r="W4503">
        <v>1</v>
      </c>
      <c r="X4503">
        <v>0</v>
      </c>
      <c r="Y4503">
        <v>0</v>
      </c>
      <c r="Z4503">
        <v>1</v>
      </c>
      <c r="AA4503">
        <v>0</v>
      </c>
      <c r="AB4503">
        <v>1</v>
      </c>
      <c r="AC4503">
        <v>0</v>
      </c>
      <c r="AD4503">
        <v>1</v>
      </c>
      <c r="AE4503">
        <v>1</v>
      </c>
      <c r="AF4503">
        <v>1</v>
      </c>
      <c r="AG4503">
        <v>1</v>
      </c>
      <c r="AH4503">
        <v>1</v>
      </c>
      <c r="AI4503">
        <v>1</v>
      </c>
      <c r="AJ4503">
        <v>1</v>
      </c>
      <c r="AK4503">
        <v>1</v>
      </c>
      <c r="AL4503">
        <v>1</v>
      </c>
      <c r="AM4503">
        <v>1</v>
      </c>
    </row>
    <row r="4504" spans="1:39" x14ac:dyDescent="0.2">
      <c r="A4504" t="str">
        <f>"4500"</f>
        <v>4500</v>
      </c>
      <c r="B4504" t="str">
        <f t="shared" si="249"/>
        <v>1</v>
      </c>
      <c r="C4504" t="str">
        <f t="shared" si="250"/>
        <v>90</v>
      </c>
      <c r="D4504" t="str">
        <f>"49"</f>
        <v>49</v>
      </c>
      <c r="E4504" t="str">
        <f>"1-90-49"</f>
        <v>1-90-49</v>
      </c>
      <c r="F4504" t="s">
        <v>65</v>
      </c>
      <c r="G4504" t="s">
        <v>66</v>
      </c>
      <c r="H4504" t="s">
        <v>67</v>
      </c>
      <c r="S4504">
        <v>1</v>
      </c>
      <c r="T4504">
        <v>0</v>
      </c>
      <c r="U4504">
        <v>0</v>
      </c>
      <c r="V4504">
        <v>0</v>
      </c>
      <c r="W4504">
        <v>1</v>
      </c>
      <c r="X4504">
        <v>0</v>
      </c>
      <c r="Y4504">
        <v>0</v>
      </c>
      <c r="Z4504">
        <v>1</v>
      </c>
      <c r="AA4504">
        <v>0</v>
      </c>
      <c r="AB4504">
        <v>0</v>
      </c>
      <c r="AC4504">
        <v>1</v>
      </c>
      <c r="AD4504">
        <v>1</v>
      </c>
      <c r="AE4504">
        <v>1</v>
      </c>
      <c r="AF4504">
        <v>1</v>
      </c>
      <c r="AG4504">
        <v>1</v>
      </c>
      <c r="AH4504">
        <v>1</v>
      </c>
      <c r="AI4504">
        <v>1</v>
      </c>
      <c r="AJ4504">
        <v>1</v>
      </c>
      <c r="AK4504">
        <v>1</v>
      </c>
      <c r="AL4504">
        <v>1</v>
      </c>
      <c r="AM4504">
        <v>1</v>
      </c>
    </row>
    <row r="4505" spans="1:39" x14ac:dyDescent="0.2">
      <c r="A4505" t="str">
        <f>"4501"</f>
        <v>4501</v>
      </c>
      <c r="B4505" t="str">
        <f t="shared" si="249"/>
        <v>1</v>
      </c>
      <c r="C4505" t="str">
        <f t="shared" ref="C4505:C4536" si="251">"91"</f>
        <v>91</v>
      </c>
      <c r="D4505" t="str">
        <f>"36"</f>
        <v>36</v>
      </c>
      <c r="E4505" t="str">
        <f>"1-91-36"</f>
        <v>1-91-36</v>
      </c>
      <c r="F4505" t="s">
        <v>65</v>
      </c>
      <c r="G4505" t="s">
        <v>66</v>
      </c>
      <c r="H4505" t="s">
        <v>67</v>
      </c>
      <c r="S4505">
        <v>1</v>
      </c>
      <c r="T4505">
        <v>0</v>
      </c>
      <c r="U4505">
        <v>0</v>
      </c>
      <c r="V4505">
        <v>0</v>
      </c>
      <c r="W4505">
        <v>1</v>
      </c>
      <c r="X4505">
        <v>0</v>
      </c>
      <c r="Y4505">
        <v>1</v>
      </c>
      <c r="Z4505">
        <v>0</v>
      </c>
      <c r="AA4505">
        <v>0</v>
      </c>
      <c r="AB4505">
        <v>1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</row>
    <row r="4506" spans="1:39" x14ac:dyDescent="0.2">
      <c r="A4506" t="str">
        <f>"4502"</f>
        <v>4502</v>
      </c>
      <c r="B4506" t="str">
        <f t="shared" si="249"/>
        <v>1</v>
      </c>
      <c r="C4506" t="str">
        <f t="shared" si="251"/>
        <v>91</v>
      </c>
      <c r="D4506" t="str">
        <f>"35"</f>
        <v>35</v>
      </c>
      <c r="E4506" t="str">
        <f>"1-91-35"</f>
        <v>1-91-35</v>
      </c>
      <c r="F4506" t="s">
        <v>65</v>
      </c>
      <c r="G4506" t="s">
        <v>66</v>
      </c>
      <c r="H4506" t="s">
        <v>67</v>
      </c>
      <c r="S4506">
        <v>1</v>
      </c>
      <c r="T4506">
        <v>0</v>
      </c>
      <c r="U4506">
        <v>0</v>
      </c>
      <c r="V4506">
        <v>0</v>
      </c>
      <c r="W4506">
        <v>1</v>
      </c>
      <c r="X4506">
        <v>0</v>
      </c>
      <c r="Y4506">
        <v>0</v>
      </c>
      <c r="Z4506">
        <v>1</v>
      </c>
      <c r="AA4506">
        <v>0</v>
      </c>
      <c r="AB4506">
        <v>1</v>
      </c>
      <c r="AC4506">
        <v>0</v>
      </c>
      <c r="AD4506">
        <v>1</v>
      </c>
      <c r="AE4506">
        <v>1</v>
      </c>
      <c r="AF4506">
        <v>1</v>
      </c>
      <c r="AG4506">
        <v>1</v>
      </c>
      <c r="AH4506">
        <v>1</v>
      </c>
      <c r="AI4506">
        <v>1</v>
      </c>
      <c r="AJ4506">
        <v>1</v>
      </c>
      <c r="AK4506">
        <v>1</v>
      </c>
      <c r="AL4506">
        <v>1</v>
      </c>
      <c r="AM4506">
        <v>1</v>
      </c>
    </row>
    <row r="4507" spans="1:39" x14ac:dyDescent="0.2">
      <c r="A4507" t="str">
        <f>"4503"</f>
        <v>4503</v>
      </c>
      <c r="B4507" t="str">
        <f t="shared" si="249"/>
        <v>1</v>
      </c>
      <c r="C4507" t="str">
        <f t="shared" si="251"/>
        <v>91</v>
      </c>
      <c r="D4507" t="str">
        <f>"23"</f>
        <v>23</v>
      </c>
      <c r="E4507" t="str">
        <f>"1-91-23"</f>
        <v>1-91-23</v>
      </c>
      <c r="F4507" t="s">
        <v>65</v>
      </c>
      <c r="G4507" t="s">
        <v>66</v>
      </c>
      <c r="H4507" t="s">
        <v>67</v>
      </c>
      <c r="S4507">
        <v>0</v>
      </c>
      <c r="T4507">
        <v>1</v>
      </c>
      <c r="U4507">
        <v>0</v>
      </c>
      <c r="V4507">
        <v>0</v>
      </c>
      <c r="W4507">
        <v>1</v>
      </c>
      <c r="X4507">
        <v>0</v>
      </c>
      <c r="Y4507">
        <v>1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1</v>
      </c>
      <c r="AF4507">
        <v>1</v>
      </c>
      <c r="AG4507">
        <v>1</v>
      </c>
      <c r="AH4507">
        <v>1</v>
      </c>
      <c r="AI4507">
        <v>1</v>
      </c>
      <c r="AJ4507">
        <v>1</v>
      </c>
      <c r="AK4507">
        <v>1</v>
      </c>
      <c r="AL4507">
        <v>1</v>
      </c>
      <c r="AM4507">
        <v>1</v>
      </c>
    </row>
    <row r="4508" spans="1:39" x14ac:dyDescent="0.2">
      <c r="A4508" t="str">
        <f>"4504"</f>
        <v>4504</v>
      </c>
      <c r="B4508" t="str">
        <f t="shared" si="249"/>
        <v>1</v>
      </c>
      <c r="C4508" t="str">
        <f t="shared" si="251"/>
        <v>91</v>
      </c>
      <c r="D4508" t="str">
        <f>"15"</f>
        <v>15</v>
      </c>
      <c r="E4508" t="str">
        <f>"1-91-15"</f>
        <v>1-91-15</v>
      </c>
      <c r="F4508" t="s">
        <v>65</v>
      </c>
      <c r="G4508" t="s">
        <v>66</v>
      </c>
      <c r="H4508" t="s">
        <v>67</v>
      </c>
      <c r="S4508">
        <v>1</v>
      </c>
      <c r="T4508">
        <v>0</v>
      </c>
      <c r="U4508">
        <v>0</v>
      </c>
      <c r="V4508">
        <v>0</v>
      </c>
      <c r="W4508">
        <v>1</v>
      </c>
      <c r="X4508">
        <v>0</v>
      </c>
      <c r="Y4508">
        <v>1</v>
      </c>
      <c r="Z4508">
        <v>0</v>
      </c>
      <c r="AA4508">
        <v>0</v>
      </c>
      <c r="AB4508">
        <v>0</v>
      </c>
      <c r="AC4508">
        <v>1</v>
      </c>
      <c r="AD4508">
        <v>1</v>
      </c>
      <c r="AE4508">
        <v>1</v>
      </c>
      <c r="AF4508">
        <v>1</v>
      </c>
      <c r="AG4508">
        <v>1</v>
      </c>
      <c r="AH4508">
        <v>1</v>
      </c>
      <c r="AI4508">
        <v>1</v>
      </c>
      <c r="AJ4508">
        <v>1</v>
      </c>
      <c r="AK4508">
        <v>1</v>
      </c>
      <c r="AL4508">
        <v>1</v>
      </c>
      <c r="AM4508">
        <v>1</v>
      </c>
    </row>
    <row r="4509" spans="1:39" x14ac:dyDescent="0.2">
      <c r="A4509" t="str">
        <f>"4505"</f>
        <v>4505</v>
      </c>
      <c r="B4509" t="str">
        <f t="shared" si="249"/>
        <v>1</v>
      </c>
      <c r="C4509" t="str">
        <f t="shared" si="251"/>
        <v>91</v>
      </c>
      <c r="D4509" t="str">
        <f>"3"</f>
        <v>3</v>
      </c>
      <c r="E4509" t="str">
        <f>"1-91-3"</f>
        <v>1-91-3</v>
      </c>
      <c r="F4509" t="s">
        <v>65</v>
      </c>
      <c r="G4509" t="s">
        <v>66</v>
      </c>
      <c r="H4509" t="s">
        <v>67</v>
      </c>
      <c r="S4509">
        <v>1</v>
      </c>
      <c r="T4509">
        <v>0</v>
      </c>
      <c r="U4509">
        <v>0</v>
      </c>
      <c r="V4509">
        <v>0</v>
      </c>
      <c r="W4509">
        <v>1</v>
      </c>
      <c r="X4509">
        <v>0</v>
      </c>
      <c r="Y4509">
        <v>1</v>
      </c>
      <c r="Z4509">
        <v>0</v>
      </c>
      <c r="AA4509">
        <v>0</v>
      </c>
      <c r="AB4509">
        <v>0</v>
      </c>
      <c r="AC4509">
        <v>1</v>
      </c>
      <c r="AD4509">
        <v>0</v>
      </c>
      <c r="AE4509">
        <v>0</v>
      </c>
      <c r="AF4509">
        <v>0</v>
      </c>
      <c r="AG4509">
        <v>0</v>
      </c>
      <c r="AH4509">
        <v>1</v>
      </c>
      <c r="AI4509">
        <v>1</v>
      </c>
      <c r="AJ4509">
        <v>1</v>
      </c>
      <c r="AK4509">
        <v>1</v>
      </c>
      <c r="AL4509">
        <v>1</v>
      </c>
      <c r="AM4509">
        <v>0</v>
      </c>
    </row>
    <row r="4510" spans="1:39" x14ac:dyDescent="0.2">
      <c r="A4510" t="str">
        <f>"4506"</f>
        <v>4506</v>
      </c>
      <c r="B4510" t="str">
        <f t="shared" si="249"/>
        <v>1</v>
      </c>
      <c r="C4510" t="str">
        <f t="shared" si="251"/>
        <v>91</v>
      </c>
      <c r="D4510" t="str">
        <f>"38"</f>
        <v>38</v>
      </c>
      <c r="E4510" t="str">
        <f>"1-91-38"</f>
        <v>1-91-38</v>
      </c>
      <c r="F4510" t="s">
        <v>65</v>
      </c>
      <c r="G4510" t="s">
        <v>66</v>
      </c>
      <c r="H4510" t="s">
        <v>67</v>
      </c>
      <c r="S4510">
        <v>1</v>
      </c>
      <c r="T4510">
        <v>0</v>
      </c>
      <c r="U4510">
        <v>0</v>
      </c>
      <c r="V4510">
        <v>0</v>
      </c>
      <c r="W4510">
        <v>1</v>
      </c>
      <c r="X4510">
        <v>0</v>
      </c>
      <c r="Y4510">
        <v>0</v>
      </c>
      <c r="Z4510">
        <v>1</v>
      </c>
      <c r="AA4510">
        <v>1</v>
      </c>
      <c r="AB4510">
        <v>0</v>
      </c>
      <c r="AC4510">
        <v>0</v>
      </c>
      <c r="AD4510">
        <v>1</v>
      </c>
      <c r="AE4510">
        <v>1</v>
      </c>
      <c r="AF4510">
        <v>1</v>
      </c>
      <c r="AG4510">
        <v>1</v>
      </c>
      <c r="AH4510">
        <v>1</v>
      </c>
      <c r="AI4510">
        <v>1</v>
      </c>
      <c r="AJ4510">
        <v>1</v>
      </c>
      <c r="AK4510">
        <v>1</v>
      </c>
      <c r="AL4510">
        <v>1</v>
      </c>
      <c r="AM4510">
        <v>1</v>
      </c>
    </row>
    <row r="4511" spans="1:39" x14ac:dyDescent="0.2">
      <c r="A4511" t="str">
        <f>"4507"</f>
        <v>4507</v>
      </c>
      <c r="B4511" t="str">
        <f t="shared" si="249"/>
        <v>1</v>
      </c>
      <c r="C4511" t="str">
        <f t="shared" si="251"/>
        <v>91</v>
      </c>
      <c r="D4511" t="str">
        <f>"37"</f>
        <v>37</v>
      </c>
      <c r="E4511" t="str">
        <f>"1-91-37"</f>
        <v>1-91-37</v>
      </c>
      <c r="F4511" t="s">
        <v>65</v>
      </c>
      <c r="G4511" t="s">
        <v>66</v>
      </c>
      <c r="H4511" t="s">
        <v>67</v>
      </c>
      <c r="S4511">
        <v>1</v>
      </c>
      <c r="T4511">
        <v>0</v>
      </c>
      <c r="U4511">
        <v>0</v>
      </c>
      <c r="V4511">
        <v>0</v>
      </c>
      <c r="W4511">
        <v>1</v>
      </c>
      <c r="X4511">
        <v>0</v>
      </c>
      <c r="Y4511">
        <v>0</v>
      </c>
      <c r="Z4511">
        <v>1</v>
      </c>
      <c r="AA4511">
        <v>1</v>
      </c>
      <c r="AB4511">
        <v>0</v>
      </c>
      <c r="AC4511">
        <v>0</v>
      </c>
      <c r="AD4511">
        <v>1</v>
      </c>
      <c r="AE4511">
        <v>1</v>
      </c>
      <c r="AF4511">
        <v>1</v>
      </c>
      <c r="AG4511">
        <v>1</v>
      </c>
      <c r="AH4511">
        <v>1</v>
      </c>
      <c r="AI4511">
        <v>1</v>
      </c>
      <c r="AJ4511">
        <v>1</v>
      </c>
      <c r="AK4511">
        <v>1</v>
      </c>
      <c r="AL4511">
        <v>1</v>
      </c>
      <c r="AM4511">
        <v>1</v>
      </c>
    </row>
    <row r="4512" spans="1:39" x14ac:dyDescent="0.2">
      <c r="A4512" t="str">
        <f>"4508"</f>
        <v>4508</v>
      </c>
      <c r="B4512" t="str">
        <f t="shared" si="249"/>
        <v>1</v>
      </c>
      <c r="C4512" t="str">
        <f t="shared" si="251"/>
        <v>91</v>
      </c>
      <c r="D4512" t="str">
        <f>"26"</f>
        <v>26</v>
      </c>
      <c r="E4512" t="str">
        <f>"1-91-26"</f>
        <v>1-91-26</v>
      </c>
      <c r="F4512" t="s">
        <v>65</v>
      </c>
      <c r="G4512" t="s">
        <v>66</v>
      </c>
      <c r="H4512" t="s">
        <v>67</v>
      </c>
      <c r="S4512">
        <v>0</v>
      </c>
      <c r="T4512">
        <v>1</v>
      </c>
      <c r="U4512">
        <v>0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0</v>
      </c>
      <c r="AB4512">
        <v>1</v>
      </c>
      <c r="AC4512">
        <v>0</v>
      </c>
      <c r="AD4512">
        <v>1</v>
      </c>
      <c r="AE4512">
        <v>1</v>
      </c>
      <c r="AF4512">
        <v>1</v>
      </c>
      <c r="AG4512">
        <v>1</v>
      </c>
      <c r="AH4512">
        <v>1</v>
      </c>
      <c r="AI4512">
        <v>1</v>
      </c>
      <c r="AJ4512">
        <v>1</v>
      </c>
      <c r="AK4512">
        <v>1</v>
      </c>
      <c r="AL4512">
        <v>1</v>
      </c>
      <c r="AM4512">
        <v>1</v>
      </c>
    </row>
    <row r="4513" spans="1:39" x14ac:dyDescent="0.2">
      <c r="A4513" t="str">
        <f>"4509"</f>
        <v>4509</v>
      </c>
      <c r="B4513" t="str">
        <f t="shared" si="249"/>
        <v>1</v>
      </c>
      <c r="C4513" t="str">
        <f t="shared" si="251"/>
        <v>91</v>
      </c>
      <c r="D4513" t="str">
        <f>"16"</f>
        <v>16</v>
      </c>
      <c r="E4513" t="str">
        <f>"1-91-16"</f>
        <v>1-91-16</v>
      </c>
      <c r="F4513" t="s">
        <v>65</v>
      </c>
      <c r="G4513" t="s">
        <v>66</v>
      </c>
      <c r="H4513" t="s">
        <v>67</v>
      </c>
      <c r="S4513">
        <v>1</v>
      </c>
      <c r="T4513">
        <v>0</v>
      </c>
      <c r="U4513">
        <v>0</v>
      </c>
      <c r="V4513">
        <v>0</v>
      </c>
      <c r="W4513">
        <v>1</v>
      </c>
      <c r="X4513">
        <v>0</v>
      </c>
      <c r="Y4513">
        <v>1</v>
      </c>
      <c r="Z4513">
        <v>0</v>
      </c>
      <c r="AA4513">
        <v>0</v>
      </c>
      <c r="AB4513">
        <v>1</v>
      </c>
      <c r="AC4513">
        <v>0</v>
      </c>
      <c r="AD4513">
        <v>1</v>
      </c>
      <c r="AE4513">
        <v>1</v>
      </c>
      <c r="AF4513">
        <v>1</v>
      </c>
      <c r="AG4513">
        <v>1</v>
      </c>
      <c r="AH4513">
        <v>1</v>
      </c>
      <c r="AI4513">
        <v>1</v>
      </c>
      <c r="AJ4513">
        <v>1</v>
      </c>
      <c r="AK4513">
        <v>1</v>
      </c>
      <c r="AL4513">
        <v>1</v>
      </c>
      <c r="AM4513">
        <v>1</v>
      </c>
    </row>
    <row r="4514" spans="1:39" x14ac:dyDescent="0.2">
      <c r="A4514" t="str">
        <f>"4510"</f>
        <v>4510</v>
      </c>
      <c r="B4514" t="str">
        <f t="shared" si="249"/>
        <v>1</v>
      </c>
      <c r="C4514" t="str">
        <f t="shared" si="251"/>
        <v>91</v>
      </c>
      <c r="D4514" t="str">
        <f>"7"</f>
        <v>7</v>
      </c>
      <c r="E4514" t="str">
        <f>"1-91-7"</f>
        <v>1-91-7</v>
      </c>
      <c r="F4514" t="s">
        <v>65</v>
      </c>
      <c r="G4514" t="s">
        <v>66</v>
      </c>
      <c r="H4514" t="s">
        <v>67</v>
      </c>
      <c r="S4514">
        <v>1</v>
      </c>
      <c r="T4514">
        <v>0</v>
      </c>
      <c r="U4514">
        <v>0</v>
      </c>
      <c r="V4514">
        <v>0</v>
      </c>
      <c r="W4514">
        <v>1</v>
      </c>
      <c r="X4514">
        <v>0</v>
      </c>
      <c r="Y4514">
        <v>1</v>
      </c>
      <c r="Z4514">
        <v>0</v>
      </c>
      <c r="AA4514">
        <v>1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</row>
    <row r="4515" spans="1:39" x14ac:dyDescent="0.2">
      <c r="A4515" t="str">
        <f>"4511"</f>
        <v>4511</v>
      </c>
      <c r="B4515" t="str">
        <f t="shared" si="249"/>
        <v>1</v>
      </c>
      <c r="C4515" t="str">
        <f t="shared" si="251"/>
        <v>91</v>
      </c>
      <c r="D4515" t="str">
        <f>"43"</f>
        <v>43</v>
      </c>
      <c r="E4515" t="str">
        <f>"1-91-43"</f>
        <v>1-91-43</v>
      </c>
      <c r="F4515" t="s">
        <v>65</v>
      </c>
      <c r="G4515" t="s">
        <v>66</v>
      </c>
      <c r="H4515" t="s">
        <v>67</v>
      </c>
      <c r="S4515">
        <v>0</v>
      </c>
      <c r="T4515">
        <v>1</v>
      </c>
      <c r="U4515">
        <v>0</v>
      </c>
      <c r="V4515">
        <v>0</v>
      </c>
      <c r="W4515">
        <v>1</v>
      </c>
      <c r="X4515">
        <v>0</v>
      </c>
      <c r="Y4515">
        <v>1</v>
      </c>
      <c r="Z4515">
        <v>0</v>
      </c>
      <c r="AA4515">
        <v>0</v>
      </c>
      <c r="AB4515">
        <v>1</v>
      </c>
      <c r="AC4515">
        <v>0</v>
      </c>
      <c r="AD4515">
        <v>1</v>
      </c>
      <c r="AE4515">
        <v>1</v>
      </c>
      <c r="AF4515">
        <v>1</v>
      </c>
      <c r="AG4515">
        <v>1</v>
      </c>
      <c r="AH4515">
        <v>1</v>
      </c>
      <c r="AI4515">
        <v>1</v>
      </c>
      <c r="AJ4515">
        <v>1</v>
      </c>
      <c r="AK4515">
        <v>1</v>
      </c>
      <c r="AL4515">
        <v>1</v>
      </c>
      <c r="AM4515">
        <v>1</v>
      </c>
    </row>
    <row r="4516" spans="1:39" x14ac:dyDescent="0.2">
      <c r="A4516" t="str">
        <f>"4512"</f>
        <v>4512</v>
      </c>
      <c r="B4516" t="str">
        <f t="shared" si="249"/>
        <v>1</v>
      </c>
      <c r="C4516" t="str">
        <f t="shared" si="251"/>
        <v>91</v>
      </c>
      <c r="D4516" t="str">
        <f>"42"</f>
        <v>42</v>
      </c>
      <c r="E4516" t="str">
        <f>"1-91-42"</f>
        <v>1-91-42</v>
      </c>
      <c r="F4516" t="s">
        <v>65</v>
      </c>
      <c r="G4516" t="s">
        <v>66</v>
      </c>
      <c r="H4516" t="s">
        <v>67</v>
      </c>
      <c r="S4516">
        <v>1</v>
      </c>
      <c r="T4516">
        <v>0</v>
      </c>
      <c r="U4516">
        <v>0</v>
      </c>
      <c r="V4516">
        <v>0</v>
      </c>
      <c r="W4516">
        <v>1</v>
      </c>
      <c r="X4516">
        <v>0</v>
      </c>
      <c r="Y4516">
        <v>1</v>
      </c>
      <c r="Z4516">
        <v>0</v>
      </c>
      <c r="AA4516">
        <v>0</v>
      </c>
      <c r="AB4516">
        <v>1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</row>
    <row r="4517" spans="1:39" x14ac:dyDescent="0.2">
      <c r="A4517" t="str">
        <f>"4513"</f>
        <v>4513</v>
      </c>
      <c r="B4517" t="str">
        <f t="shared" si="249"/>
        <v>1</v>
      </c>
      <c r="C4517" t="str">
        <f t="shared" si="251"/>
        <v>91</v>
      </c>
      <c r="D4517" t="str">
        <f>"31"</f>
        <v>31</v>
      </c>
      <c r="E4517" t="str">
        <f>"1-91-31"</f>
        <v>1-91-31</v>
      </c>
      <c r="F4517" t="s">
        <v>65</v>
      </c>
      <c r="G4517" t="s">
        <v>66</v>
      </c>
      <c r="H4517" t="s">
        <v>67</v>
      </c>
      <c r="S4517">
        <v>0</v>
      </c>
      <c r="T4517">
        <v>1</v>
      </c>
      <c r="U4517">
        <v>0</v>
      </c>
      <c r="V4517">
        <v>0</v>
      </c>
      <c r="W4517">
        <v>1</v>
      </c>
      <c r="X4517">
        <v>0</v>
      </c>
      <c r="Y4517">
        <v>0</v>
      </c>
      <c r="Z4517">
        <v>1</v>
      </c>
      <c r="AA4517">
        <v>1</v>
      </c>
      <c r="AB4517">
        <v>0</v>
      </c>
      <c r="AC4517">
        <v>0</v>
      </c>
      <c r="AD4517">
        <v>1</v>
      </c>
      <c r="AE4517">
        <v>1</v>
      </c>
      <c r="AF4517">
        <v>1</v>
      </c>
      <c r="AG4517">
        <v>1</v>
      </c>
      <c r="AH4517">
        <v>1</v>
      </c>
      <c r="AI4517">
        <v>1</v>
      </c>
      <c r="AJ4517">
        <v>1</v>
      </c>
      <c r="AK4517">
        <v>1</v>
      </c>
      <c r="AL4517">
        <v>1</v>
      </c>
      <c r="AM4517">
        <v>1</v>
      </c>
    </row>
    <row r="4518" spans="1:39" x14ac:dyDescent="0.2">
      <c r="A4518" t="str">
        <f>"4514"</f>
        <v>4514</v>
      </c>
      <c r="B4518" t="str">
        <f t="shared" si="249"/>
        <v>1</v>
      </c>
      <c r="C4518" t="str">
        <f t="shared" si="251"/>
        <v>91</v>
      </c>
      <c r="D4518" t="str">
        <f>"17"</f>
        <v>17</v>
      </c>
      <c r="E4518" t="str">
        <f>"1-91-17"</f>
        <v>1-91-17</v>
      </c>
      <c r="F4518" t="s">
        <v>65</v>
      </c>
      <c r="G4518" t="s">
        <v>66</v>
      </c>
      <c r="H4518" t="s">
        <v>67</v>
      </c>
      <c r="S4518">
        <v>0</v>
      </c>
      <c r="T4518">
        <v>1</v>
      </c>
      <c r="U4518">
        <v>0</v>
      </c>
      <c r="V4518">
        <v>0</v>
      </c>
      <c r="W4518">
        <v>1</v>
      </c>
      <c r="X4518">
        <v>0</v>
      </c>
      <c r="Y4518">
        <v>1</v>
      </c>
      <c r="Z4518">
        <v>0</v>
      </c>
      <c r="AA4518">
        <v>0</v>
      </c>
      <c r="AB4518">
        <v>0</v>
      </c>
      <c r="AC4518">
        <v>1</v>
      </c>
      <c r="AD4518">
        <v>1</v>
      </c>
      <c r="AE4518">
        <v>1</v>
      </c>
      <c r="AF4518">
        <v>1</v>
      </c>
      <c r="AG4518">
        <v>1</v>
      </c>
      <c r="AH4518">
        <v>1</v>
      </c>
      <c r="AI4518">
        <v>1</v>
      </c>
      <c r="AJ4518">
        <v>1</v>
      </c>
      <c r="AK4518">
        <v>1</v>
      </c>
      <c r="AL4518">
        <v>1</v>
      </c>
      <c r="AM4518">
        <v>1</v>
      </c>
    </row>
    <row r="4519" spans="1:39" x14ac:dyDescent="0.2">
      <c r="A4519" t="str">
        <f>"4515"</f>
        <v>4515</v>
      </c>
      <c r="B4519" t="str">
        <f t="shared" si="249"/>
        <v>1</v>
      </c>
      <c r="C4519" t="str">
        <f t="shared" si="251"/>
        <v>91</v>
      </c>
      <c r="D4519" t="str">
        <f>"1"</f>
        <v>1</v>
      </c>
      <c r="E4519" t="str">
        <f>"1-91-1"</f>
        <v>1-91-1</v>
      </c>
      <c r="F4519" t="s">
        <v>65</v>
      </c>
      <c r="G4519" t="s">
        <v>66</v>
      </c>
      <c r="H4519" t="s">
        <v>67</v>
      </c>
      <c r="S4519">
        <v>1</v>
      </c>
      <c r="T4519">
        <v>0</v>
      </c>
      <c r="U4519">
        <v>0</v>
      </c>
      <c r="V4519">
        <v>0</v>
      </c>
      <c r="W4519">
        <v>1</v>
      </c>
      <c r="X4519">
        <v>0</v>
      </c>
      <c r="Y4519">
        <v>0</v>
      </c>
      <c r="Z4519">
        <v>1</v>
      </c>
      <c r="AA4519">
        <v>1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1</v>
      </c>
      <c r="AJ4519">
        <v>0</v>
      </c>
      <c r="AK4519">
        <v>0</v>
      </c>
      <c r="AL4519">
        <v>1</v>
      </c>
      <c r="AM4519">
        <v>0</v>
      </c>
    </row>
    <row r="4520" spans="1:39" x14ac:dyDescent="0.2">
      <c r="A4520" t="str">
        <f>"4516"</f>
        <v>4516</v>
      </c>
      <c r="B4520" t="str">
        <f t="shared" si="249"/>
        <v>1</v>
      </c>
      <c r="C4520" t="str">
        <f t="shared" si="251"/>
        <v>91</v>
      </c>
      <c r="D4520" t="str">
        <f>"32"</f>
        <v>32</v>
      </c>
      <c r="E4520" t="str">
        <f>"1-91-32"</f>
        <v>1-91-32</v>
      </c>
      <c r="F4520" t="s">
        <v>65</v>
      </c>
      <c r="G4520" t="s">
        <v>66</v>
      </c>
      <c r="H4520" t="s">
        <v>67</v>
      </c>
      <c r="S4520">
        <v>1</v>
      </c>
      <c r="T4520">
        <v>0</v>
      </c>
      <c r="U4520">
        <v>0</v>
      </c>
      <c r="V4520">
        <v>0</v>
      </c>
      <c r="W4520">
        <v>1</v>
      </c>
      <c r="X4520">
        <v>0</v>
      </c>
      <c r="Y4520">
        <v>0</v>
      </c>
      <c r="Z4520">
        <v>1</v>
      </c>
      <c r="AA4520">
        <v>0</v>
      </c>
      <c r="AB4520">
        <v>0</v>
      </c>
      <c r="AC4520">
        <v>1</v>
      </c>
      <c r="AD4520">
        <v>1</v>
      </c>
      <c r="AE4520">
        <v>1</v>
      </c>
      <c r="AF4520">
        <v>1</v>
      </c>
      <c r="AG4520">
        <v>1</v>
      </c>
      <c r="AH4520">
        <v>1</v>
      </c>
      <c r="AI4520">
        <v>1</v>
      </c>
      <c r="AJ4520">
        <v>1</v>
      </c>
      <c r="AK4520">
        <v>1</v>
      </c>
      <c r="AL4520">
        <v>1</v>
      </c>
      <c r="AM4520">
        <v>1</v>
      </c>
    </row>
    <row r="4521" spans="1:39" x14ac:dyDescent="0.2">
      <c r="A4521" t="str">
        <f>"4517"</f>
        <v>4517</v>
      </c>
      <c r="B4521" t="str">
        <f t="shared" si="249"/>
        <v>1</v>
      </c>
      <c r="C4521" t="str">
        <f t="shared" si="251"/>
        <v>91</v>
      </c>
      <c r="D4521" t="str">
        <f>"18"</f>
        <v>18</v>
      </c>
      <c r="E4521" t="str">
        <f>"1-91-18"</f>
        <v>1-91-18</v>
      </c>
      <c r="F4521" t="s">
        <v>65</v>
      </c>
      <c r="G4521" t="s">
        <v>66</v>
      </c>
      <c r="H4521" t="s">
        <v>67</v>
      </c>
      <c r="S4521">
        <v>1</v>
      </c>
      <c r="T4521">
        <v>0</v>
      </c>
      <c r="U4521">
        <v>0</v>
      </c>
      <c r="V4521">
        <v>0</v>
      </c>
      <c r="W4521">
        <v>1</v>
      </c>
      <c r="X4521">
        <v>0</v>
      </c>
      <c r="Y4521">
        <v>1</v>
      </c>
      <c r="Z4521">
        <v>0</v>
      </c>
      <c r="AA4521">
        <v>0</v>
      </c>
      <c r="AB4521">
        <v>1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</row>
    <row r="4522" spans="1:39" x14ac:dyDescent="0.2">
      <c r="A4522" t="str">
        <f>"4518"</f>
        <v>4518</v>
      </c>
      <c r="B4522" t="str">
        <f t="shared" si="249"/>
        <v>1</v>
      </c>
      <c r="C4522" t="str">
        <f t="shared" si="251"/>
        <v>91</v>
      </c>
      <c r="D4522" t="str">
        <f>"10"</f>
        <v>10</v>
      </c>
      <c r="E4522" t="str">
        <f>"1-91-10"</f>
        <v>1-91-10</v>
      </c>
      <c r="F4522" t="s">
        <v>65</v>
      </c>
      <c r="G4522" t="s">
        <v>66</v>
      </c>
      <c r="H4522" t="s">
        <v>67</v>
      </c>
      <c r="S4522">
        <v>1</v>
      </c>
      <c r="T4522">
        <v>0</v>
      </c>
      <c r="U4522">
        <v>0</v>
      </c>
      <c r="V4522">
        <v>0</v>
      </c>
      <c r="W4522">
        <v>1</v>
      </c>
      <c r="X4522">
        <v>0</v>
      </c>
      <c r="Y4522">
        <v>1</v>
      </c>
      <c r="Z4522">
        <v>0</v>
      </c>
      <c r="AA4522">
        <v>0</v>
      </c>
      <c r="AB4522">
        <v>1</v>
      </c>
      <c r="AC4522">
        <v>0</v>
      </c>
      <c r="AD4522">
        <v>1</v>
      </c>
      <c r="AE4522">
        <v>1</v>
      </c>
      <c r="AF4522">
        <v>0</v>
      </c>
      <c r="AG4522">
        <v>1</v>
      </c>
      <c r="AH4522">
        <v>1</v>
      </c>
      <c r="AI4522">
        <v>1</v>
      </c>
      <c r="AJ4522">
        <v>1</v>
      </c>
      <c r="AK4522">
        <v>1</v>
      </c>
      <c r="AL4522">
        <v>0</v>
      </c>
      <c r="AM4522">
        <v>1</v>
      </c>
    </row>
    <row r="4523" spans="1:39" x14ac:dyDescent="0.2">
      <c r="A4523" t="str">
        <f>"4519"</f>
        <v>4519</v>
      </c>
      <c r="B4523" t="str">
        <f t="shared" si="249"/>
        <v>1</v>
      </c>
      <c r="C4523" t="str">
        <f t="shared" si="251"/>
        <v>91</v>
      </c>
      <c r="D4523" t="str">
        <f>"48"</f>
        <v>48</v>
      </c>
      <c r="E4523" t="str">
        <f>"1-91-48"</f>
        <v>1-91-48</v>
      </c>
      <c r="F4523" t="s">
        <v>65</v>
      </c>
      <c r="G4523" t="s">
        <v>66</v>
      </c>
      <c r="H4523" t="s">
        <v>67</v>
      </c>
      <c r="S4523">
        <v>1</v>
      </c>
      <c r="T4523">
        <v>0</v>
      </c>
      <c r="U4523">
        <v>0</v>
      </c>
      <c r="V4523">
        <v>0</v>
      </c>
      <c r="W4523">
        <v>1</v>
      </c>
      <c r="X4523">
        <v>0</v>
      </c>
      <c r="Y4523">
        <v>1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</row>
    <row r="4524" spans="1:39" x14ac:dyDescent="0.2">
      <c r="A4524" t="str">
        <f>"4520"</f>
        <v>4520</v>
      </c>
      <c r="B4524" t="str">
        <f t="shared" si="249"/>
        <v>1</v>
      </c>
      <c r="C4524" t="str">
        <f t="shared" si="251"/>
        <v>91</v>
      </c>
      <c r="D4524" t="str">
        <f>"47"</f>
        <v>47</v>
      </c>
      <c r="E4524" t="str">
        <f>"1-91-47"</f>
        <v>1-91-47</v>
      </c>
      <c r="F4524" t="s">
        <v>65</v>
      </c>
      <c r="G4524" t="s">
        <v>66</v>
      </c>
      <c r="H4524" t="s">
        <v>67</v>
      </c>
      <c r="S4524">
        <v>0</v>
      </c>
      <c r="T4524">
        <v>1</v>
      </c>
      <c r="U4524">
        <v>0</v>
      </c>
      <c r="V4524">
        <v>0</v>
      </c>
      <c r="W4524">
        <v>1</v>
      </c>
      <c r="X4524">
        <v>0</v>
      </c>
      <c r="Y4524">
        <v>1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1</v>
      </c>
      <c r="AF4524">
        <v>1</v>
      </c>
      <c r="AG4524">
        <v>1</v>
      </c>
      <c r="AH4524">
        <v>1</v>
      </c>
      <c r="AI4524">
        <v>1</v>
      </c>
      <c r="AJ4524">
        <v>1</v>
      </c>
      <c r="AK4524">
        <v>1</v>
      </c>
      <c r="AL4524">
        <v>1</v>
      </c>
      <c r="AM4524">
        <v>1</v>
      </c>
    </row>
    <row r="4525" spans="1:39" x14ac:dyDescent="0.2">
      <c r="A4525" t="str">
        <f>"4521"</f>
        <v>4521</v>
      </c>
      <c r="B4525" t="str">
        <f t="shared" si="249"/>
        <v>1</v>
      </c>
      <c r="C4525" t="str">
        <f t="shared" si="251"/>
        <v>91</v>
      </c>
      <c r="D4525" t="str">
        <f>"34"</f>
        <v>34</v>
      </c>
      <c r="E4525" t="str">
        <f>"1-91-34"</f>
        <v>1-91-34</v>
      </c>
      <c r="F4525" t="s">
        <v>65</v>
      </c>
      <c r="G4525" t="s">
        <v>66</v>
      </c>
      <c r="H4525" t="s">
        <v>67</v>
      </c>
      <c r="S4525">
        <v>0</v>
      </c>
      <c r="T4525">
        <v>1</v>
      </c>
      <c r="U4525">
        <v>0</v>
      </c>
      <c r="V4525">
        <v>0</v>
      </c>
      <c r="W4525">
        <v>0</v>
      </c>
      <c r="X4525">
        <v>1</v>
      </c>
      <c r="Y4525">
        <v>0</v>
      </c>
      <c r="Z4525">
        <v>1</v>
      </c>
      <c r="AA4525">
        <v>0</v>
      </c>
      <c r="AB4525">
        <v>0</v>
      </c>
      <c r="AC4525">
        <v>1</v>
      </c>
      <c r="AD4525">
        <v>1</v>
      </c>
      <c r="AE4525">
        <v>1</v>
      </c>
      <c r="AF4525">
        <v>1</v>
      </c>
      <c r="AG4525">
        <v>1</v>
      </c>
      <c r="AH4525">
        <v>1</v>
      </c>
      <c r="AI4525">
        <v>1</v>
      </c>
      <c r="AJ4525">
        <v>1</v>
      </c>
      <c r="AK4525">
        <v>1</v>
      </c>
      <c r="AL4525">
        <v>1</v>
      </c>
      <c r="AM4525">
        <v>1</v>
      </c>
    </row>
    <row r="4526" spans="1:39" x14ac:dyDescent="0.2">
      <c r="A4526" t="str">
        <f>"4522"</f>
        <v>4522</v>
      </c>
      <c r="B4526" t="str">
        <f t="shared" si="249"/>
        <v>1</v>
      </c>
      <c r="C4526" t="str">
        <f t="shared" si="251"/>
        <v>91</v>
      </c>
      <c r="D4526" t="str">
        <f>"19"</f>
        <v>19</v>
      </c>
      <c r="E4526" t="str">
        <f>"1-91-19"</f>
        <v>1-91-19</v>
      </c>
      <c r="F4526" t="s">
        <v>65</v>
      </c>
      <c r="G4526" t="s">
        <v>66</v>
      </c>
      <c r="H4526" t="s">
        <v>67</v>
      </c>
      <c r="S4526">
        <v>1</v>
      </c>
      <c r="T4526">
        <v>0</v>
      </c>
      <c r="U4526">
        <v>0</v>
      </c>
      <c r="V4526">
        <v>0</v>
      </c>
      <c r="W4526">
        <v>0</v>
      </c>
      <c r="X4526">
        <v>1</v>
      </c>
      <c r="Y4526">
        <v>1</v>
      </c>
      <c r="Z4526">
        <v>0</v>
      </c>
      <c r="AA4526">
        <v>0</v>
      </c>
      <c r="AB4526">
        <v>1</v>
      </c>
      <c r="AC4526">
        <v>0</v>
      </c>
      <c r="AD4526">
        <v>1</v>
      </c>
      <c r="AE4526">
        <v>1</v>
      </c>
      <c r="AF4526">
        <v>1</v>
      </c>
      <c r="AG4526">
        <v>1</v>
      </c>
      <c r="AH4526">
        <v>1</v>
      </c>
      <c r="AI4526">
        <v>1</v>
      </c>
      <c r="AJ4526">
        <v>1</v>
      </c>
      <c r="AK4526">
        <v>1</v>
      </c>
      <c r="AL4526">
        <v>1</v>
      </c>
      <c r="AM4526">
        <v>1</v>
      </c>
    </row>
    <row r="4527" spans="1:39" x14ac:dyDescent="0.2">
      <c r="A4527" t="str">
        <f>"4523"</f>
        <v>4523</v>
      </c>
      <c r="B4527" t="str">
        <f t="shared" si="249"/>
        <v>1</v>
      </c>
      <c r="C4527" t="str">
        <f t="shared" si="251"/>
        <v>91</v>
      </c>
      <c r="D4527" t="str">
        <f>"8"</f>
        <v>8</v>
      </c>
      <c r="E4527" t="str">
        <f>"1-91-8"</f>
        <v>1-91-8</v>
      </c>
      <c r="F4527" t="s">
        <v>65</v>
      </c>
      <c r="G4527" t="s">
        <v>66</v>
      </c>
      <c r="H4527" t="s">
        <v>67</v>
      </c>
      <c r="S4527">
        <v>1</v>
      </c>
      <c r="T4527">
        <v>0</v>
      </c>
      <c r="U4527">
        <v>0</v>
      </c>
      <c r="V4527">
        <v>0</v>
      </c>
      <c r="W4527">
        <v>1</v>
      </c>
      <c r="X4527">
        <v>0</v>
      </c>
      <c r="Y4527">
        <v>1</v>
      </c>
      <c r="Z4527">
        <v>0</v>
      </c>
      <c r="AA4527">
        <v>0</v>
      </c>
      <c r="AB4527">
        <v>1</v>
      </c>
      <c r="AC4527">
        <v>0</v>
      </c>
      <c r="AD4527">
        <v>1</v>
      </c>
      <c r="AE4527">
        <v>1</v>
      </c>
      <c r="AF4527">
        <v>1</v>
      </c>
      <c r="AG4527">
        <v>1</v>
      </c>
      <c r="AH4527">
        <v>1</v>
      </c>
      <c r="AI4527">
        <v>1</v>
      </c>
      <c r="AJ4527">
        <v>1</v>
      </c>
      <c r="AK4527">
        <v>1</v>
      </c>
      <c r="AL4527">
        <v>1</v>
      </c>
      <c r="AM4527">
        <v>1</v>
      </c>
    </row>
    <row r="4528" spans="1:39" x14ac:dyDescent="0.2">
      <c r="A4528" t="str">
        <f>"4524"</f>
        <v>4524</v>
      </c>
      <c r="B4528" t="str">
        <f t="shared" si="249"/>
        <v>1</v>
      </c>
      <c r="C4528" t="str">
        <f t="shared" si="251"/>
        <v>91</v>
      </c>
      <c r="D4528" t="str">
        <f>"46"</f>
        <v>46</v>
      </c>
      <c r="E4528" t="str">
        <f>"1-91-46"</f>
        <v>1-91-46</v>
      </c>
      <c r="F4528" t="s">
        <v>65</v>
      </c>
      <c r="G4528" t="s">
        <v>66</v>
      </c>
      <c r="H4528" t="s">
        <v>67</v>
      </c>
      <c r="S4528">
        <v>1</v>
      </c>
      <c r="T4528">
        <v>0</v>
      </c>
      <c r="U4528">
        <v>0</v>
      </c>
      <c r="V4528">
        <v>0</v>
      </c>
      <c r="W4528">
        <v>1</v>
      </c>
      <c r="X4528">
        <v>0</v>
      </c>
      <c r="Y4528">
        <v>0</v>
      </c>
      <c r="Z4528">
        <v>1</v>
      </c>
      <c r="AA4528">
        <v>0</v>
      </c>
      <c r="AB4528">
        <v>1</v>
      </c>
      <c r="AC4528">
        <v>0</v>
      </c>
      <c r="AD4528">
        <v>0</v>
      </c>
      <c r="AE4528">
        <v>0</v>
      </c>
      <c r="AF4528">
        <v>0</v>
      </c>
      <c r="AG4528">
        <v>1</v>
      </c>
      <c r="AH4528">
        <v>0</v>
      </c>
      <c r="AI4528">
        <v>1</v>
      </c>
      <c r="AJ4528">
        <v>0</v>
      </c>
      <c r="AK4528">
        <v>0</v>
      </c>
      <c r="AL4528">
        <v>1</v>
      </c>
      <c r="AM4528">
        <v>0</v>
      </c>
    </row>
    <row r="4529" spans="1:39" x14ac:dyDescent="0.2">
      <c r="A4529" t="str">
        <f>"4525"</f>
        <v>4525</v>
      </c>
      <c r="B4529" t="str">
        <f t="shared" si="249"/>
        <v>1</v>
      </c>
      <c r="C4529" t="str">
        <f t="shared" si="251"/>
        <v>91</v>
      </c>
      <c r="D4529" t="str">
        <f>"45"</f>
        <v>45</v>
      </c>
      <c r="E4529" t="str">
        <f>"1-91-45"</f>
        <v>1-91-45</v>
      </c>
      <c r="F4529" t="s">
        <v>65</v>
      </c>
      <c r="G4529" t="s">
        <v>66</v>
      </c>
      <c r="H4529" t="s">
        <v>67</v>
      </c>
      <c r="S4529">
        <v>1</v>
      </c>
      <c r="T4529">
        <v>0</v>
      </c>
      <c r="U4529">
        <v>0</v>
      </c>
      <c r="V4529">
        <v>0</v>
      </c>
      <c r="W4529">
        <v>1</v>
      </c>
      <c r="X4529">
        <v>0</v>
      </c>
      <c r="Y4529">
        <v>1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1</v>
      </c>
      <c r="AF4529">
        <v>1</v>
      </c>
      <c r="AG4529">
        <v>1</v>
      </c>
      <c r="AH4529">
        <v>1</v>
      </c>
      <c r="AI4529">
        <v>1</v>
      </c>
      <c r="AJ4529">
        <v>1</v>
      </c>
      <c r="AK4529">
        <v>1</v>
      </c>
      <c r="AL4529">
        <v>1</v>
      </c>
      <c r="AM4529">
        <v>1</v>
      </c>
    </row>
    <row r="4530" spans="1:39" x14ac:dyDescent="0.2">
      <c r="A4530" t="str">
        <f>"4526"</f>
        <v>4526</v>
      </c>
      <c r="B4530" t="str">
        <f t="shared" si="249"/>
        <v>1</v>
      </c>
      <c r="C4530" t="str">
        <f t="shared" si="251"/>
        <v>91</v>
      </c>
      <c r="D4530" t="str">
        <f>"33"</f>
        <v>33</v>
      </c>
      <c r="E4530" t="str">
        <f>"1-91-33"</f>
        <v>1-91-33</v>
      </c>
      <c r="F4530" t="s">
        <v>65</v>
      </c>
      <c r="G4530" t="s">
        <v>66</v>
      </c>
      <c r="H4530" t="s">
        <v>67</v>
      </c>
      <c r="S4530">
        <v>1</v>
      </c>
      <c r="T4530">
        <v>0</v>
      </c>
      <c r="U4530">
        <v>0</v>
      </c>
      <c r="V4530">
        <v>0</v>
      </c>
      <c r="W4530">
        <v>1</v>
      </c>
      <c r="X4530">
        <v>0</v>
      </c>
      <c r="Y4530">
        <v>1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1</v>
      </c>
      <c r="AF4530">
        <v>1</v>
      </c>
      <c r="AG4530">
        <v>1</v>
      </c>
      <c r="AH4530">
        <v>1</v>
      </c>
      <c r="AI4530">
        <v>1</v>
      </c>
      <c r="AJ4530">
        <v>1</v>
      </c>
      <c r="AK4530">
        <v>1</v>
      </c>
      <c r="AL4530">
        <v>1</v>
      </c>
      <c r="AM4530">
        <v>1</v>
      </c>
    </row>
    <row r="4531" spans="1:39" x14ac:dyDescent="0.2">
      <c r="A4531" t="str">
        <f>"4527"</f>
        <v>4527</v>
      </c>
      <c r="B4531" t="str">
        <f t="shared" si="249"/>
        <v>1</v>
      </c>
      <c r="C4531" t="str">
        <f t="shared" si="251"/>
        <v>91</v>
      </c>
      <c r="D4531" t="str">
        <f>"20"</f>
        <v>20</v>
      </c>
      <c r="E4531" t="str">
        <f>"1-91-20"</f>
        <v>1-91-20</v>
      </c>
      <c r="F4531" t="s">
        <v>65</v>
      </c>
      <c r="G4531" t="s">
        <v>66</v>
      </c>
      <c r="H4531" t="s">
        <v>67</v>
      </c>
      <c r="S4531">
        <v>0</v>
      </c>
      <c r="T4531">
        <v>1</v>
      </c>
      <c r="U4531">
        <v>0</v>
      </c>
      <c r="V4531">
        <v>0</v>
      </c>
      <c r="W4531">
        <v>0</v>
      </c>
      <c r="X4531">
        <v>1</v>
      </c>
      <c r="Y4531">
        <v>1</v>
      </c>
      <c r="Z4531">
        <v>0</v>
      </c>
      <c r="AA4531">
        <v>0</v>
      </c>
      <c r="AB4531">
        <v>1</v>
      </c>
      <c r="AC4531">
        <v>0</v>
      </c>
      <c r="AD4531">
        <v>1</v>
      </c>
      <c r="AE4531">
        <v>1</v>
      </c>
      <c r="AF4531">
        <v>1</v>
      </c>
      <c r="AG4531">
        <v>1</v>
      </c>
      <c r="AH4531">
        <v>1</v>
      </c>
      <c r="AI4531">
        <v>1</v>
      </c>
      <c r="AJ4531">
        <v>1</v>
      </c>
      <c r="AK4531">
        <v>1</v>
      </c>
      <c r="AL4531">
        <v>1</v>
      </c>
      <c r="AM4531">
        <v>1</v>
      </c>
    </row>
    <row r="4532" spans="1:39" x14ac:dyDescent="0.2">
      <c r="A4532" t="str">
        <f>"4528"</f>
        <v>4528</v>
      </c>
      <c r="B4532" t="str">
        <f t="shared" si="249"/>
        <v>1</v>
      </c>
      <c r="C4532" t="str">
        <f t="shared" si="251"/>
        <v>91</v>
      </c>
      <c r="D4532" t="str">
        <f>"14"</f>
        <v>14</v>
      </c>
      <c r="E4532" t="str">
        <f>"1-91-14"</f>
        <v>1-91-14</v>
      </c>
      <c r="F4532" t="s">
        <v>65</v>
      </c>
      <c r="G4532" t="s">
        <v>66</v>
      </c>
      <c r="H4532" t="s">
        <v>67</v>
      </c>
      <c r="S4532">
        <v>1</v>
      </c>
      <c r="T4532">
        <v>0</v>
      </c>
      <c r="U4532">
        <v>0</v>
      </c>
      <c r="V4532">
        <v>0</v>
      </c>
      <c r="W4532">
        <v>1</v>
      </c>
      <c r="X4532">
        <v>0</v>
      </c>
      <c r="Y4532">
        <v>1</v>
      </c>
      <c r="Z4532">
        <v>0</v>
      </c>
      <c r="AA4532">
        <v>0</v>
      </c>
      <c r="AB4532">
        <v>1</v>
      </c>
      <c r="AC4532">
        <v>0</v>
      </c>
      <c r="AD4532">
        <v>1</v>
      </c>
      <c r="AE4532">
        <v>1</v>
      </c>
      <c r="AF4532">
        <v>1</v>
      </c>
      <c r="AG4532">
        <v>1</v>
      </c>
      <c r="AH4532">
        <v>1</v>
      </c>
      <c r="AI4532">
        <v>1</v>
      </c>
      <c r="AJ4532">
        <v>1</v>
      </c>
      <c r="AK4532">
        <v>1</v>
      </c>
      <c r="AL4532">
        <v>1</v>
      </c>
      <c r="AM4532">
        <v>1</v>
      </c>
    </row>
    <row r="4533" spans="1:39" x14ac:dyDescent="0.2">
      <c r="A4533" t="str">
        <f>"4529"</f>
        <v>4529</v>
      </c>
      <c r="B4533" t="str">
        <f t="shared" si="249"/>
        <v>1</v>
      </c>
      <c r="C4533" t="str">
        <f t="shared" si="251"/>
        <v>91</v>
      </c>
      <c r="D4533" t="str">
        <f>"39"</f>
        <v>39</v>
      </c>
      <c r="E4533" t="str">
        <f>"1-91-39"</f>
        <v>1-91-39</v>
      </c>
      <c r="F4533" t="s">
        <v>65</v>
      </c>
      <c r="G4533" t="s">
        <v>66</v>
      </c>
      <c r="H4533" t="s">
        <v>67</v>
      </c>
      <c r="S4533">
        <v>0</v>
      </c>
      <c r="T4533">
        <v>1</v>
      </c>
      <c r="U4533">
        <v>0</v>
      </c>
      <c r="V4533">
        <v>0</v>
      </c>
      <c r="W4533">
        <v>1</v>
      </c>
      <c r="X4533">
        <v>0</v>
      </c>
      <c r="Y4533">
        <v>1</v>
      </c>
      <c r="Z4533">
        <v>0</v>
      </c>
      <c r="AA4533">
        <v>0</v>
      </c>
      <c r="AB4533">
        <v>1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</row>
    <row r="4534" spans="1:39" x14ac:dyDescent="0.2">
      <c r="A4534" t="str">
        <f>"4530"</f>
        <v>4530</v>
      </c>
      <c r="B4534" t="str">
        <f t="shared" si="249"/>
        <v>1</v>
      </c>
      <c r="C4534" t="str">
        <f t="shared" si="251"/>
        <v>91</v>
      </c>
      <c r="D4534" t="str">
        <f>"21"</f>
        <v>21</v>
      </c>
      <c r="E4534" t="str">
        <f>"1-91-21"</f>
        <v>1-91-21</v>
      </c>
      <c r="F4534" t="s">
        <v>65</v>
      </c>
      <c r="G4534" t="s">
        <v>66</v>
      </c>
      <c r="H4534" t="s">
        <v>67</v>
      </c>
      <c r="S4534">
        <v>0</v>
      </c>
      <c r="T4534">
        <v>1</v>
      </c>
      <c r="U4534">
        <v>0</v>
      </c>
      <c r="V4534">
        <v>0</v>
      </c>
      <c r="W4534">
        <v>1</v>
      </c>
      <c r="X4534">
        <v>0</v>
      </c>
      <c r="Y4534">
        <v>1</v>
      </c>
      <c r="Z4534">
        <v>0</v>
      </c>
      <c r="AA4534">
        <v>0</v>
      </c>
      <c r="AB4534">
        <v>0</v>
      </c>
      <c r="AC4534">
        <v>1</v>
      </c>
      <c r="AD4534">
        <v>1</v>
      </c>
      <c r="AE4534">
        <v>1</v>
      </c>
      <c r="AF4534">
        <v>1</v>
      </c>
      <c r="AG4534">
        <v>1</v>
      </c>
      <c r="AH4534">
        <v>1</v>
      </c>
      <c r="AI4534">
        <v>1</v>
      </c>
      <c r="AJ4534">
        <v>1</v>
      </c>
      <c r="AK4534">
        <v>1</v>
      </c>
      <c r="AL4534">
        <v>1</v>
      </c>
      <c r="AM4534">
        <v>1</v>
      </c>
    </row>
    <row r="4535" spans="1:39" x14ac:dyDescent="0.2">
      <c r="A4535" t="str">
        <f>"4531"</f>
        <v>4531</v>
      </c>
      <c r="B4535" t="str">
        <f t="shared" ref="B4535:B4598" si="252">"1"</f>
        <v>1</v>
      </c>
      <c r="C4535" t="str">
        <f t="shared" si="251"/>
        <v>91</v>
      </c>
      <c r="D4535" t="str">
        <f>"9"</f>
        <v>9</v>
      </c>
      <c r="E4535" t="str">
        <f>"1-91-9"</f>
        <v>1-91-9</v>
      </c>
      <c r="F4535" t="s">
        <v>65</v>
      </c>
      <c r="G4535" t="s">
        <v>66</v>
      </c>
      <c r="H4535" t="s">
        <v>67</v>
      </c>
      <c r="S4535">
        <v>1</v>
      </c>
      <c r="T4535">
        <v>0</v>
      </c>
      <c r="U4535">
        <v>0</v>
      </c>
      <c r="V4535">
        <v>0</v>
      </c>
      <c r="W4535">
        <v>1</v>
      </c>
      <c r="X4535">
        <v>0</v>
      </c>
      <c r="Y4535">
        <v>1</v>
      </c>
      <c r="Z4535">
        <v>0</v>
      </c>
      <c r="AA4535">
        <v>0</v>
      </c>
      <c r="AB4535">
        <v>1</v>
      </c>
      <c r="AC4535">
        <v>0</v>
      </c>
      <c r="AD4535">
        <v>1</v>
      </c>
      <c r="AE4535">
        <v>1</v>
      </c>
      <c r="AF4535">
        <v>1</v>
      </c>
      <c r="AG4535">
        <v>1</v>
      </c>
      <c r="AH4535">
        <v>1</v>
      </c>
      <c r="AI4535">
        <v>1</v>
      </c>
      <c r="AJ4535">
        <v>1</v>
      </c>
      <c r="AK4535">
        <v>1</v>
      </c>
      <c r="AL4535">
        <v>1</v>
      </c>
      <c r="AM4535">
        <v>1</v>
      </c>
    </row>
    <row r="4536" spans="1:39" x14ac:dyDescent="0.2">
      <c r="A4536" t="str">
        <f>"4532"</f>
        <v>4532</v>
      </c>
      <c r="B4536" t="str">
        <f t="shared" si="252"/>
        <v>1</v>
      </c>
      <c r="C4536" t="str">
        <f t="shared" si="251"/>
        <v>91</v>
      </c>
      <c r="D4536" t="str">
        <f>"40"</f>
        <v>40</v>
      </c>
      <c r="E4536" t="str">
        <f>"1-91-40"</f>
        <v>1-91-40</v>
      </c>
      <c r="F4536" t="s">
        <v>65</v>
      </c>
      <c r="G4536" t="s">
        <v>66</v>
      </c>
      <c r="H4536" t="s">
        <v>67</v>
      </c>
      <c r="S4536">
        <v>0</v>
      </c>
      <c r="T4536">
        <v>1</v>
      </c>
      <c r="U4536">
        <v>0</v>
      </c>
      <c r="V4536">
        <v>0</v>
      </c>
      <c r="W4536">
        <v>1</v>
      </c>
      <c r="X4536">
        <v>0</v>
      </c>
      <c r="Y4536">
        <v>0</v>
      </c>
      <c r="Z4536">
        <v>1</v>
      </c>
      <c r="AA4536">
        <v>1</v>
      </c>
      <c r="AB4536">
        <v>0</v>
      </c>
      <c r="AC4536">
        <v>0</v>
      </c>
      <c r="AD4536">
        <v>1</v>
      </c>
      <c r="AE4536">
        <v>1</v>
      </c>
      <c r="AF4536">
        <v>1</v>
      </c>
      <c r="AG4536">
        <v>1</v>
      </c>
      <c r="AH4536">
        <v>1</v>
      </c>
      <c r="AI4536">
        <v>1</v>
      </c>
      <c r="AJ4536">
        <v>1</v>
      </c>
      <c r="AK4536">
        <v>1</v>
      </c>
      <c r="AL4536">
        <v>1</v>
      </c>
      <c r="AM4536">
        <v>1</v>
      </c>
    </row>
    <row r="4537" spans="1:39" x14ac:dyDescent="0.2">
      <c r="A4537" t="str">
        <f>"4533"</f>
        <v>4533</v>
      </c>
      <c r="B4537" t="str">
        <f t="shared" si="252"/>
        <v>1</v>
      </c>
      <c r="C4537" t="str">
        <f t="shared" ref="C4537:C4554" si="253">"91"</f>
        <v>91</v>
      </c>
      <c r="D4537" t="str">
        <f>"22"</f>
        <v>22</v>
      </c>
      <c r="E4537" t="str">
        <f>"1-91-22"</f>
        <v>1-91-22</v>
      </c>
      <c r="F4537" t="s">
        <v>65</v>
      </c>
      <c r="G4537" t="s">
        <v>66</v>
      </c>
      <c r="H4537" t="s">
        <v>67</v>
      </c>
      <c r="S4537">
        <v>1</v>
      </c>
      <c r="T4537">
        <v>0</v>
      </c>
      <c r="U4537">
        <v>0</v>
      </c>
      <c r="V4537">
        <v>0</v>
      </c>
      <c r="W4537">
        <v>1</v>
      </c>
      <c r="X4537">
        <v>0</v>
      </c>
      <c r="Y4537">
        <v>1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1</v>
      </c>
      <c r="AF4537">
        <v>1</v>
      </c>
      <c r="AG4537">
        <v>1</v>
      </c>
      <c r="AH4537">
        <v>1</v>
      </c>
      <c r="AI4537">
        <v>1</v>
      </c>
      <c r="AJ4537">
        <v>1</v>
      </c>
      <c r="AK4537">
        <v>1</v>
      </c>
      <c r="AL4537">
        <v>1</v>
      </c>
      <c r="AM4537">
        <v>1</v>
      </c>
    </row>
    <row r="4538" spans="1:39" x14ac:dyDescent="0.2">
      <c r="A4538" t="str">
        <f>"4534"</f>
        <v>4534</v>
      </c>
      <c r="B4538" t="str">
        <f t="shared" si="252"/>
        <v>1</v>
      </c>
      <c r="C4538" t="str">
        <f t="shared" si="253"/>
        <v>91</v>
      </c>
      <c r="D4538" t="str">
        <f>"12"</f>
        <v>12</v>
      </c>
      <c r="E4538" t="str">
        <f>"1-91-12"</f>
        <v>1-91-12</v>
      </c>
      <c r="F4538" t="s">
        <v>65</v>
      </c>
      <c r="G4538" t="s">
        <v>66</v>
      </c>
      <c r="H4538" t="s">
        <v>67</v>
      </c>
      <c r="S4538">
        <v>1</v>
      </c>
      <c r="T4538">
        <v>0</v>
      </c>
      <c r="U4538">
        <v>0</v>
      </c>
      <c r="V4538">
        <v>0</v>
      </c>
      <c r="W4538">
        <v>1</v>
      </c>
      <c r="X4538">
        <v>0</v>
      </c>
      <c r="Y4538">
        <v>1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1</v>
      </c>
      <c r="AF4538">
        <v>1</v>
      </c>
      <c r="AG4538">
        <v>1</v>
      </c>
      <c r="AH4538">
        <v>1</v>
      </c>
      <c r="AI4538">
        <v>1</v>
      </c>
      <c r="AJ4538">
        <v>1</v>
      </c>
      <c r="AK4538">
        <v>1</v>
      </c>
      <c r="AL4538">
        <v>1</v>
      </c>
      <c r="AM4538">
        <v>1</v>
      </c>
    </row>
    <row r="4539" spans="1:39" x14ac:dyDescent="0.2">
      <c r="A4539" t="str">
        <f>"4535"</f>
        <v>4535</v>
      </c>
      <c r="B4539" t="str">
        <f t="shared" si="252"/>
        <v>1</v>
      </c>
      <c r="C4539" t="str">
        <f t="shared" si="253"/>
        <v>91</v>
      </c>
      <c r="D4539" t="str">
        <f>"41"</f>
        <v>41</v>
      </c>
      <c r="E4539" t="str">
        <f>"1-91-41"</f>
        <v>1-91-41</v>
      </c>
      <c r="F4539" t="s">
        <v>65</v>
      </c>
      <c r="G4539" t="s">
        <v>66</v>
      </c>
      <c r="H4539" t="s">
        <v>67</v>
      </c>
      <c r="S4539">
        <v>0</v>
      </c>
      <c r="T4539">
        <v>1</v>
      </c>
      <c r="U4539">
        <v>0</v>
      </c>
      <c r="V4539">
        <v>0</v>
      </c>
      <c r="W4539">
        <v>1</v>
      </c>
      <c r="X4539">
        <v>0</v>
      </c>
      <c r="Y4539">
        <v>1</v>
      </c>
      <c r="Z4539">
        <v>0</v>
      </c>
      <c r="AA4539">
        <v>0</v>
      </c>
      <c r="AB4539">
        <v>1</v>
      </c>
      <c r="AC4539">
        <v>0</v>
      </c>
      <c r="AD4539">
        <v>1</v>
      </c>
      <c r="AE4539">
        <v>1</v>
      </c>
      <c r="AF4539">
        <v>1</v>
      </c>
      <c r="AG4539">
        <v>1</v>
      </c>
      <c r="AH4539">
        <v>1</v>
      </c>
      <c r="AI4539">
        <v>1</v>
      </c>
      <c r="AJ4539">
        <v>1</v>
      </c>
      <c r="AK4539">
        <v>1</v>
      </c>
      <c r="AL4539">
        <v>1</v>
      </c>
      <c r="AM4539">
        <v>1</v>
      </c>
    </row>
    <row r="4540" spans="1:39" x14ac:dyDescent="0.2">
      <c r="A4540" t="str">
        <f>"4536"</f>
        <v>4536</v>
      </c>
      <c r="B4540" t="str">
        <f t="shared" si="252"/>
        <v>1</v>
      </c>
      <c r="C4540" t="str">
        <f t="shared" si="253"/>
        <v>91</v>
      </c>
      <c r="D4540" t="str">
        <f>"24"</f>
        <v>24</v>
      </c>
      <c r="E4540" t="str">
        <f>"1-91-24"</f>
        <v>1-91-24</v>
      </c>
      <c r="F4540" t="s">
        <v>65</v>
      </c>
      <c r="G4540" t="s">
        <v>66</v>
      </c>
      <c r="H4540" t="s">
        <v>67</v>
      </c>
      <c r="S4540">
        <v>0</v>
      </c>
      <c r="T4540">
        <v>1</v>
      </c>
      <c r="U4540">
        <v>0</v>
      </c>
      <c r="V4540">
        <v>0</v>
      </c>
      <c r="W4540">
        <v>1</v>
      </c>
      <c r="X4540">
        <v>0</v>
      </c>
      <c r="Y4540">
        <v>1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1</v>
      </c>
      <c r="AF4540">
        <v>1</v>
      </c>
      <c r="AG4540">
        <v>1</v>
      </c>
      <c r="AH4540">
        <v>1</v>
      </c>
      <c r="AI4540">
        <v>1</v>
      </c>
      <c r="AJ4540">
        <v>1</v>
      </c>
      <c r="AK4540">
        <v>1</v>
      </c>
      <c r="AL4540">
        <v>1</v>
      </c>
      <c r="AM4540">
        <v>1</v>
      </c>
    </row>
    <row r="4541" spans="1:39" x14ac:dyDescent="0.2">
      <c r="A4541" t="str">
        <f>"4537"</f>
        <v>4537</v>
      </c>
      <c r="B4541" t="str">
        <f t="shared" si="252"/>
        <v>1</v>
      </c>
      <c r="C4541" t="str">
        <f t="shared" si="253"/>
        <v>91</v>
      </c>
      <c r="D4541" t="str">
        <f>"11"</f>
        <v>11</v>
      </c>
      <c r="E4541" t="str">
        <f>"1-91-11"</f>
        <v>1-91-11</v>
      </c>
      <c r="F4541" t="s">
        <v>65</v>
      </c>
      <c r="G4541" t="s">
        <v>66</v>
      </c>
      <c r="H4541" t="s">
        <v>67</v>
      </c>
      <c r="S4541">
        <v>1</v>
      </c>
      <c r="T4541">
        <v>0</v>
      </c>
      <c r="U4541">
        <v>0</v>
      </c>
      <c r="V4541">
        <v>0</v>
      </c>
      <c r="W4541">
        <v>1</v>
      </c>
      <c r="X4541">
        <v>0</v>
      </c>
      <c r="Y4541">
        <v>1</v>
      </c>
      <c r="Z4541">
        <v>0</v>
      </c>
      <c r="AA4541">
        <v>0</v>
      </c>
      <c r="AB4541">
        <v>1</v>
      </c>
      <c r="AC4541">
        <v>0</v>
      </c>
      <c r="AD4541">
        <v>1</v>
      </c>
      <c r="AE4541">
        <v>1</v>
      </c>
      <c r="AF4541">
        <v>1</v>
      </c>
      <c r="AG4541">
        <v>1</v>
      </c>
      <c r="AH4541">
        <v>1</v>
      </c>
      <c r="AI4541">
        <v>1</v>
      </c>
      <c r="AJ4541">
        <v>1</v>
      </c>
      <c r="AK4541">
        <v>1</v>
      </c>
      <c r="AL4541">
        <v>1</v>
      </c>
      <c r="AM4541">
        <v>1</v>
      </c>
    </row>
    <row r="4542" spans="1:39" x14ac:dyDescent="0.2">
      <c r="A4542" t="str">
        <f>"4538"</f>
        <v>4538</v>
      </c>
      <c r="B4542" t="str">
        <f t="shared" si="252"/>
        <v>1</v>
      </c>
      <c r="C4542" t="str">
        <f t="shared" si="253"/>
        <v>91</v>
      </c>
      <c r="D4542" t="str">
        <f>"25"</f>
        <v>25</v>
      </c>
      <c r="E4542" t="str">
        <f>"1-91-25"</f>
        <v>1-91-25</v>
      </c>
      <c r="F4542" t="s">
        <v>65</v>
      </c>
      <c r="G4542" t="s">
        <v>66</v>
      </c>
      <c r="H4542" t="s">
        <v>67</v>
      </c>
      <c r="S4542">
        <v>1</v>
      </c>
      <c r="T4542">
        <v>0</v>
      </c>
      <c r="U4542">
        <v>0</v>
      </c>
      <c r="V4542">
        <v>0</v>
      </c>
      <c r="W4542">
        <v>1</v>
      </c>
      <c r="X4542">
        <v>0</v>
      </c>
      <c r="Y4542">
        <v>1</v>
      </c>
      <c r="Z4542">
        <v>0</v>
      </c>
      <c r="AA4542">
        <v>0</v>
      </c>
      <c r="AB4542">
        <v>1</v>
      </c>
      <c r="AC4542">
        <v>0</v>
      </c>
      <c r="AD4542">
        <v>1</v>
      </c>
      <c r="AE4542">
        <v>1</v>
      </c>
      <c r="AF4542">
        <v>1</v>
      </c>
      <c r="AG4542">
        <v>1</v>
      </c>
      <c r="AH4542">
        <v>1</v>
      </c>
      <c r="AI4542">
        <v>1</v>
      </c>
      <c r="AJ4542">
        <v>1</v>
      </c>
      <c r="AK4542">
        <v>1</v>
      </c>
      <c r="AL4542">
        <v>1</v>
      </c>
      <c r="AM4542">
        <v>1</v>
      </c>
    </row>
    <row r="4543" spans="1:39" x14ac:dyDescent="0.2">
      <c r="A4543" t="str">
        <f>"4539"</f>
        <v>4539</v>
      </c>
      <c r="B4543" t="str">
        <f t="shared" si="252"/>
        <v>1</v>
      </c>
      <c r="C4543" t="str">
        <f t="shared" si="253"/>
        <v>91</v>
      </c>
      <c r="D4543" t="str">
        <f>"13"</f>
        <v>13</v>
      </c>
      <c r="E4543" t="str">
        <f>"1-91-13"</f>
        <v>1-91-13</v>
      </c>
      <c r="F4543" t="s">
        <v>65</v>
      </c>
      <c r="G4543" t="s">
        <v>66</v>
      </c>
      <c r="H4543" t="s">
        <v>67</v>
      </c>
      <c r="S4543">
        <v>1</v>
      </c>
      <c r="T4543">
        <v>0</v>
      </c>
      <c r="U4543">
        <v>0</v>
      </c>
      <c r="V4543">
        <v>0</v>
      </c>
      <c r="W4543">
        <v>1</v>
      </c>
      <c r="X4543">
        <v>0</v>
      </c>
      <c r="Y4543">
        <v>1</v>
      </c>
      <c r="Z4543">
        <v>0</v>
      </c>
      <c r="AA4543">
        <v>0</v>
      </c>
      <c r="AB4543">
        <v>1</v>
      </c>
      <c r="AC4543">
        <v>0</v>
      </c>
      <c r="AD4543">
        <v>1</v>
      </c>
      <c r="AE4543">
        <v>1</v>
      </c>
      <c r="AF4543">
        <v>1</v>
      </c>
      <c r="AG4543">
        <v>1</v>
      </c>
      <c r="AH4543">
        <v>1</v>
      </c>
      <c r="AI4543">
        <v>1</v>
      </c>
      <c r="AJ4543">
        <v>1</v>
      </c>
      <c r="AK4543">
        <v>1</v>
      </c>
      <c r="AL4543">
        <v>1</v>
      </c>
      <c r="AM4543">
        <v>1</v>
      </c>
    </row>
    <row r="4544" spans="1:39" x14ac:dyDescent="0.2">
      <c r="A4544" t="str">
        <f>"4540"</f>
        <v>4540</v>
      </c>
      <c r="B4544" t="str">
        <f t="shared" si="252"/>
        <v>1</v>
      </c>
      <c r="C4544" t="str">
        <f t="shared" si="253"/>
        <v>91</v>
      </c>
      <c r="D4544" t="str">
        <f>"44"</f>
        <v>44</v>
      </c>
      <c r="E4544" t="str">
        <f>"1-91-44"</f>
        <v>1-91-44</v>
      </c>
      <c r="F4544" t="s">
        <v>65</v>
      </c>
      <c r="G4544" t="s">
        <v>66</v>
      </c>
      <c r="H4544" t="s">
        <v>67</v>
      </c>
      <c r="S4544">
        <v>1</v>
      </c>
      <c r="T4544">
        <v>0</v>
      </c>
      <c r="U4544">
        <v>0</v>
      </c>
      <c r="V4544">
        <v>0</v>
      </c>
      <c r="W4544">
        <v>1</v>
      </c>
      <c r="X4544">
        <v>0</v>
      </c>
      <c r="Y4544">
        <v>1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1</v>
      </c>
      <c r="AF4544">
        <v>1</v>
      </c>
      <c r="AG4544">
        <v>1</v>
      </c>
      <c r="AH4544">
        <v>1</v>
      </c>
      <c r="AI4544">
        <v>1</v>
      </c>
      <c r="AJ4544">
        <v>1</v>
      </c>
      <c r="AK4544">
        <v>1</v>
      </c>
      <c r="AL4544">
        <v>1</v>
      </c>
      <c r="AM4544">
        <v>1</v>
      </c>
    </row>
    <row r="4545" spans="1:39" x14ac:dyDescent="0.2">
      <c r="A4545" t="str">
        <f>"4541"</f>
        <v>4541</v>
      </c>
      <c r="B4545" t="str">
        <f t="shared" si="252"/>
        <v>1</v>
      </c>
      <c r="C4545" t="str">
        <f t="shared" si="253"/>
        <v>91</v>
      </c>
      <c r="D4545" t="str">
        <f>"27"</f>
        <v>27</v>
      </c>
      <c r="E4545" t="str">
        <f>"1-91-27"</f>
        <v>1-91-27</v>
      </c>
      <c r="F4545" t="s">
        <v>65</v>
      </c>
      <c r="G4545" t="s">
        <v>66</v>
      </c>
      <c r="H4545" t="s">
        <v>67</v>
      </c>
      <c r="S4545">
        <v>1</v>
      </c>
      <c r="T4545">
        <v>0</v>
      </c>
      <c r="U4545">
        <v>0</v>
      </c>
      <c r="V4545">
        <v>0</v>
      </c>
      <c r="W4545">
        <v>1</v>
      </c>
      <c r="X4545">
        <v>0</v>
      </c>
      <c r="Y4545">
        <v>1</v>
      </c>
      <c r="Z4545">
        <v>0</v>
      </c>
      <c r="AA4545">
        <v>0</v>
      </c>
      <c r="AB4545">
        <v>0</v>
      </c>
      <c r="AC4545">
        <v>1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</row>
    <row r="4546" spans="1:39" x14ac:dyDescent="0.2">
      <c r="A4546" t="str">
        <f>"4542"</f>
        <v>4542</v>
      </c>
      <c r="B4546" t="str">
        <f t="shared" si="252"/>
        <v>1</v>
      </c>
      <c r="C4546" t="str">
        <f t="shared" si="253"/>
        <v>91</v>
      </c>
      <c r="D4546" t="str">
        <f>"2"</f>
        <v>2</v>
      </c>
      <c r="E4546" t="str">
        <f>"1-91-2"</f>
        <v>1-91-2</v>
      </c>
      <c r="F4546" t="s">
        <v>65</v>
      </c>
      <c r="G4546" t="s">
        <v>66</v>
      </c>
      <c r="H4546" t="s">
        <v>67</v>
      </c>
      <c r="S4546">
        <v>1</v>
      </c>
      <c r="T4546">
        <v>0</v>
      </c>
      <c r="U4546">
        <v>0</v>
      </c>
      <c r="V4546">
        <v>0</v>
      </c>
      <c r="W4546">
        <v>1</v>
      </c>
      <c r="X4546">
        <v>0</v>
      </c>
      <c r="Y4546">
        <v>0</v>
      </c>
      <c r="Z4546">
        <v>1</v>
      </c>
      <c r="AA4546">
        <v>1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1</v>
      </c>
      <c r="AK4546">
        <v>1</v>
      </c>
      <c r="AL4546">
        <v>0</v>
      </c>
      <c r="AM4546">
        <v>0</v>
      </c>
    </row>
    <row r="4547" spans="1:39" x14ac:dyDescent="0.2">
      <c r="A4547" t="str">
        <f>"4543"</f>
        <v>4543</v>
      </c>
      <c r="B4547" t="str">
        <f t="shared" si="252"/>
        <v>1</v>
      </c>
      <c r="C4547" t="str">
        <f t="shared" si="253"/>
        <v>91</v>
      </c>
      <c r="D4547" t="str">
        <f>"50"</f>
        <v>50</v>
      </c>
      <c r="E4547" t="str">
        <f>"1-91-50"</f>
        <v>1-91-50</v>
      </c>
      <c r="F4547" t="s">
        <v>65</v>
      </c>
      <c r="G4547" t="s">
        <v>66</v>
      </c>
      <c r="H4547" t="s">
        <v>67</v>
      </c>
      <c r="S4547">
        <v>1</v>
      </c>
      <c r="T4547">
        <v>0</v>
      </c>
      <c r="U4547">
        <v>0</v>
      </c>
      <c r="V4547">
        <v>0</v>
      </c>
      <c r="W4547">
        <v>1</v>
      </c>
      <c r="X4547">
        <v>0</v>
      </c>
      <c r="Y4547">
        <v>1</v>
      </c>
      <c r="Z4547">
        <v>0</v>
      </c>
      <c r="AA4547">
        <v>1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</row>
    <row r="4548" spans="1:39" x14ac:dyDescent="0.2">
      <c r="A4548" t="str">
        <f>"4544"</f>
        <v>4544</v>
      </c>
      <c r="B4548" t="str">
        <f t="shared" si="252"/>
        <v>1</v>
      </c>
      <c r="C4548" t="str">
        <f t="shared" si="253"/>
        <v>91</v>
      </c>
      <c r="D4548" t="str">
        <f>"28"</f>
        <v>28</v>
      </c>
      <c r="E4548" t="str">
        <f>"1-91-28"</f>
        <v>1-91-28</v>
      </c>
      <c r="F4548" t="s">
        <v>65</v>
      </c>
      <c r="G4548" t="s">
        <v>66</v>
      </c>
      <c r="H4548" t="s">
        <v>67</v>
      </c>
      <c r="S4548">
        <v>1</v>
      </c>
      <c r="T4548">
        <v>0</v>
      </c>
      <c r="U4548">
        <v>0</v>
      </c>
      <c r="V4548">
        <v>0</v>
      </c>
      <c r="W4548">
        <v>1</v>
      </c>
      <c r="X4548">
        <v>0</v>
      </c>
      <c r="Y4548">
        <v>1</v>
      </c>
      <c r="Z4548">
        <v>0</v>
      </c>
      <c r="AA4548">
        <v>1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</row>
    <row r="4549" spans="1:39" x14ac:dyDescent="0.2">
      <c r="A4549" t="str">
        <f>"4545"</f>
        <v>4545</v>
      </c>
      <c r="B4549" t="str">
        <f t="shared" si="252"/>
        <v>1</v>
      </c>
      <c r="C4549" t="str">
        <f t="shared" si="253"/>
        <v>91</v>
      </c>
      <c r="D4549" t="str">
        <f>"5"</f>
        <v>5</v>
      </c>
      <c r="E4549" t="str">
        <f>"1-91-5"</f>
        <v>1-91-5</v>
      </c>
      <c r="F4549" t="s">
        <v>65</v>
      </c>
      <c r="G4549" t="s">
        <v>66</v>
      </c>
      <c r="H4549" t="s">
        <v>67</v>
      </c>
      <c r="S4549">
        <v>0</v>
      </c>
      <c r="T4549">
        <v>1</v>
      </c>
      <c r="U4549">
        <v>0</v>
      </c>
      <c r="V4549">
        <v>0</v>
      </c>
      <c r="W4549">
        <v>0</v>
      </c>
      <c r="X4549">
        <v>1</v>
      </c>
      <c r="Y4549">
        <v>0</v>
      </c>
      <c r="Z4549">
        <v>1</v>
      </c>
      <c r="AA4549">
        <v>0</v>
      </c>
      <c r="AB4549">
        <v>1</v>
      </c>
      <c r="AC4549">
        <v>0</v>
      </c>
      <c r="AD4549">
        <v>1</v>
      </c>
      <c r="AE4549">
        <v>1</v>
      </c>
      <c r="AF4549">
        <v>1</v>
      </c>
      <c r="AG4549">
        <v>1</v>
      </c>
      <c r="AH4549">
        <v>1</v>
      </c>
      <c r="AI4549">
        <v>1</v>
      </c>
      <c r="AJ4549">
        <v>1</v>
      </c>
      <c r="AK4549">
        <v>1</v>
      </c>
      <c r="AL4549">
        <v>1</v>
      </c>
      <c r="AM4549">
        <v>1</v>
      </c>
    </row>
    <row r="4550" spans="1:39" x14ac:dyDescent="0.2">
      <c r="A4550" t="str">
        <f>"4546"</f>
        <v>4546</v>
      </c>
      <c r="B4550" t="str">
        <f t="shared" si="252"/>
        <v>1</v>
      </c>
      <c r="C4550" t="str">
        <f t="shared" si="253"/>
        <v>91</v>
      </c>
      <c r="D4550" t="str">
        <f>"49"</f>
        <v>49</v>
      </c>
      <c r="E4550" t="str">
        <f>"1-91-49"</f>
        <v>1-91-49</v>
      </c>
      <c r="F4550" t="s">
        <v>65</v>
      </c>
      <c r="G4550" t="s">
        <v>66</v>
      </c>
      <c r="H4550" t="s">
        <v>67</v>
      </c>
      <c r="S4550">
        <v>1</v>
      </c>
      <c r="T4550">
        <v>0</v>
      </c>
      <c r="U4550">
        <v>0</v>
      </c>
      <c r="V4550">
        <v>0</v>
      </c>
      <c r="W4550">
        <v>1</v>
      </c>
      <c r="X4550">
        <v>0</v>
      </c>
      <c r="Y4550">
        <v>1</v>
      </c>
      <c r="Z4550">
        <v>0</v>
      </c>
      <c r="AA4550">
        <v>0</v>
      </c>
      <c r="AB4550">
        <v>1</v>
      </c>
      <c r="AC4550">
        <v>0</v>
      </c>
      <c r="AD4550">
        <v>1</v>
      </c>
      <c r="AE4550">
        <v>1</v>
      </c>
      <c r="AF4550">
        <v>1</v>
      </c>
      <c r="AG4550">
        <v>1</v>
      </c>
      <c r="AH4550">
        <v>1</v>
      </c>
      <c r="AI4550">
        <v>1</v>
      </c>
      <c r="AJ4550">
        <v>1</v>
      </c>
      <c r="AK4550">
        <v>1</v>
      </c>
      <c r="AL4550">
        <v>1</v>
      </c>
      <c r="AM4550">
        <v>1</v>
      </c>
    </row>
    <row r="4551" spans="1:39" x14ac:dyDescent="0.2">
      <c r="A4551" t="str">
        <f>"4547"</f>
        <v>4547</v>
      </c>
      <c r="B4551" t="str">
        <f t="shared" si="252"/>
        <v>1</v>
      </c>
      <c r="C4551" t="str">
        <f t="shared" si="253"/>
        <v>91</v>
      </c>
      <c r="D4551" t="str">
        <f>"29"</f>
        <v>29</v>
      </c>
      <c r="E4551" t="str">
        <f>"1-91-29"</f>
        <v>1-91-29</v>
      </c>
      <c r="F4551" t="s">
        <v>65</v>
      </c>
      <c r="G4551" t="s">
        <v>66</v>
      </c>
      <c r="H4551" t="s">
        <v>67</v>
      </c>
      <c r="S4551">
        <v>0</v>
      </c>
      <c r="T4551">
        <v>1</v>
      </c>
      <c r="U4551">
        <v>0</v>
      </c>
      <c r="V4551">
        <v>0</v>
      </c>
      <c r="W4551">
        <v>0</v>
      </c>
      <c r="X4551">
        <v>1</v>
      </c>
      <c r="Y4551">
        <v>1</v>
      </c>
      <c r="Z4551">
        <v>0</v>
      </c>
      <c r="AA4551">
        <v>0</v>
      </c>
      <c r="AB4551">
        <v>1</v>
      </c>
      <c r="AC4551">
        <v>0</v>
      </c>
      <c r="AD4551">
        <v>1</v>
      </c>
      <c r="AE4551">
        <v>1</v>
      </c>
      <c r="AF4551">
        <v>1</v>
      </c>
      <c r="AG4551">
        <v>1</v>
      </c>
      <c r="AH4551">
        <v>0</v>
      </c>
      <c r="AI4551">
        <v>1</v>
      </c>
      <c r="AJ4551">
        <v>1</v>
      </c>
      <c r="AK4551">
        <v>1</v>
      </c>
      <c r="AL4551">
        <v>1</v>
      </c>
      <c r="AM4551">
        <v>1</v>
      </c>
    </row>
    <row r="4552" spans="1:39" x14ac:dyDescent="0.2">
      <c r="A4552" t="str">
        <f>"4548"</f>
        <v>4548</v>
      </c>
      <c r="B4552" t="str">
        <f t="shared" si="252"/>
        <v>1</v>
      </c>
      <c r="C4552" t="str">
        <f t="shared" si="253"/>
        <v>91</v>
      </c>
      <c r="D4552" t="str">
        <f>"6"</f>
        <v>6</v>
      </c>
      <c r="E4552" t="str">
        <f>"1-91-6"</f>
        <v>1-91-6</v>
      </c>
      <c r="F4552" t="s">
        <v>65</v>
      </c>
      <c r="G4552" t="s">
        <v>66</v>
      </c>
      <c r="H4552" t="s">
        <v>67</v>
      </c>
      <c r="S4552">
        <v>1</v>
      </c>
      <c r="T4552">
        <v>0</v>
      </c>
      <c r="U4552">
        <v>0</v>
      </c>
      <c r="V4552">
        <v>0</v>
      </c>
      <c r="W4552">
        <v>1</v>
      </c>
      <c r="X4552">
        <v>0</v>
      </c>
      <c r="Y4552">
        <v>1</v>
      </c>
      <c r="Z4552">
        <v>0</v>
      </c>
      <c r="AA4552">
        <v>0</v>
      </c>
      <c r="AB4552">
        <v>0</v>
      </c>
      <c r="AC4552">
        <v>1</v>
      </c>
      <c r="AD4552">
        <v>1</v>
      </c>
      <c r="AE4552">
        <v>1</v>
      </c>
      <c r="AF4552">
        <v>1</v>
      </c>
      <c r="AG4552">
        <v>1</v>
      </c>
      <c r="AH4552">
        <v>1</v>
      </c>
      <c r="AI4552">
        <v>1</v>
      </c>
      <c r="AJ4552">
        <v>1</v>
      </c>
      <c r="AK4552">
        <v>1</v>
      </c>
      <c r="AL4552">
        <v>1</v>
      </c>
      <c r="AM4552">
        <v>0</v>
      </c>
    </row>
    <row r="4553" spans="1:39" x14ac:dyDescent="0.2">
      <c r="A4553" t="str">
        <f>"4549"</f>
        <v>4549</v>
      </c>
      <c r="B4553" t="str">
        <f t="shared" si="252"/>
        <v>1</v>
      </c>
      <c r="C4553" t="str">
        <f t="shared" si="253"/>
        <v>91</v>
      </c>
      <c r="D4553" t="str">
        <f>"30"</f>
        <v>30</v>
      </c>
      <c r="E4553" t="str">
        <f>"1-91-30"</f>
        <v>1-91-30</v>
      </c>
      <c r="F4553" t="s">
        <v>65</v>
      </c>
      <c r="G4553" t="s">
        <v>66</v>
      </c>
      <c r="H4553" t="s">
        <v>67</v>
      </c>
      <c r="S4553">
        <v>1</v>
      </c>
      <c r="T4553">
        <v>0</v>
      </c>
      <c r="U4553">
        <v>0</v>
      </c>
      <c r="V4553">
        <v>0</v>
      </c>
      <c r="W4553">
        <v>1</v>
      </c>
      <c r="X4553">
        <v>0</v>
      </c>
      <c r="Y4553">
        <v>1</v>
      </c>
      <c r="Z4553">
        <v>0</v>
      </c>
      <c r="AA4553">
        <v>1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</row>
    <row r="4554" spans="1:39" x14ac:dyDescent="0.2">
      <c r="A4554" t="str">
        <f>"4550"</f>
        <v>4550</v>
      </c>
      <c r="B4554" t="str">
        <f t="shared" si="252"/>
        <v>1</v>
      </c>
      <c r="C4554" t="str">
        <f t="shared" si="253"/>
        <v>91</v>
      </c>
      <c r="D4554" t="str">
        <f>"4"</f>
        <v>4</v>
      </c>
      <c r="E4554" t="str">
        <f>"1-91-4"</f>
        <v>1-91-4</v>
      </c>
      <c r="F4554" t="s">
        <v>65</v>
      </c>
      <c r="G4554" t="s">
        <v>66</v>
      </c>
      <c r="H4554" t="s">
        <v>67</v>
      </c>
      <c r="S4554">
        <v>1</v>
      </c>
      <c r="T4554">
        <v>0</v>
      </c>
      <c r="U4554">
        <v>0</v>
      </c>
      <c r="V4554">
        <v>0</v>
      </c>
      <c r="W4554">
        <v>1</v>
      </c>
      <c r="X4554">
        <v>0</v>
      </c>
      <c r="Y4554">
        <v>1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1</v>
      </c>
      <c r="AF4554">
        <v>1</v>
      </c>
      <c r="AG4554">
        <v>1</v>
      </c>
      <c r="AH4554">
        <v>1</v>
      </c>
      <c r="AI4554">
        <v>1</v>
      </c>
      <c r="AJ4554">
        <v>1</v>
      </c>
      <c r="AK4554">
        <v>1</v>
      </c>
      <c r="AL4554">
        <v>1</v>
      </c>
      <c r="AM4554">
        <v>1</v>
      </c>
    </row>
    <row r="4555" spans="1:39" x14ac:dyDescent="0.2">
      <c r="A4555" t="str">
        <f>"4551"</f>
        <v>4551</v>
      </c>
      <c r="B4555" t="str">
        <f t="shared" si="252"/>
        <v>1</v>
      </c>
      <c r="C4555" t="str">
        <f t="shared" ref="C4555:C4586" si="254">"92"</f>
        <v>92</v>
      </c>
      <c r="D4555" t="str">
        <f>"38"</f>
        <v>38</v>
      </c>
      <c r="E4555" t="str">
        <f>"1-92-38"</f>
        <v>1-92-38</v>
      </c>
      <c r="F4555" t="s">
        <v>65</v>
      </c>
      <c r="G4555" t="s">
        <v>66</v>
      </c>
      <c r="H4555" t="s">
        <v>67</v>
      </c>
      <c r="S4555">
        <v>0</v>
      </c>
      <c r="T4555">
        <v>1</v>
      </c>
      <c r="U4555">
        <v>0</v>
      </c>
      <c r="V4555">
        <v>0</v>
      </c>
      <c r="W4555">
        <v>1</v>
      </c>
      <c r="X4555">
        <v>0</v>
      </c>
      <c r="Y4555">
        <v>1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1</v>
      </c>
      <c r="AF4555">
        <v>1</v>
      </c>
      <c r="AG4555">
        <v>1</v>
      </c>
      <c r="AH4555">
        <v>1</v>
      </c>
      <c r="AI4555">
        <v>1</v>
      </c>
      <c r="AJ4555">
        <v>1</v>
      </c>
      <c r="AK4555">
        <v>1</v>
      </c>
      <c r="AL4555">
        <v>1</v>
      </c>
      <c r="AM4555">
        <v>1</v>
      </c>
    </row>
    <row r="4556" spans="1:39" x14ac:dyDescent="0.2">
      <c r="A4556" t="str">
        <f>"4552"</f>
        <v>4552</v>
      </c>
      <c r="B4556" t="str">
        <f t="shared" si="252"/>
        <v>1</v>
      </c>
      <c r="C4556" t="str">
        <f t="shared" si="254"/>
        <v>92</v>
      </c>
      <c r="D4556" t="str">
        <f>"37"</f>
        <v>37</v>
      </c>
      <c r="E4556" t="str">
        <f>"1-92-37"</f>
        <v>1-92-37</v>
      </c>
      <c r="F4556" t="s">
        <v>65</v>
      </c>
      <c r="G4556" t="s">
        <v>66</v>
      </c>
      <c r="H4556" t="s">
        <v>67</v>
      </c>
      <c r="S4556">
        <v>0</v>
      </c>
      <c r="T4556">
        <v>1</v>
      </c>
      <c r="U4556">
        <v>0</v>
      </c>
      <c r="V4556">
        <v>0</v>
      </c>
      <c r="W4556">
        <v>0</v>
      </c>
      <c r="X4556">
        <v>1</v>
      </c>
      <c r="Y4556">
        <v>1</v>
      </c>
      <c r="Z4556">
        <v>0</v>
      </c>
      <c r="AA4556">
        <v>0</v>
      </c>
      <c r="AB4556">
        <v>1</v>
      </c>
      <c r="AC4556">
        <v>0</v>
      </c>
      <c r="AD4556">
        <v>0</v>
      </c>
      <c r="AE4556">
        <v>1</v>
      </c>
      <c r="AF4556">
        <v>1</v>
      </c>
      <c r="AG4556">
        <v>1</v>
      </c>
      <c r="AH4556">
        <v>1</v>
      </c>
      <c r="AI4556">
        <v>0</v>
      </c>
      <c r="AJ4556">
        <v>1</v>
      </c>
      <c r="AK4556">
        <v>1</v>
      </c>
      <c r="AL4556">
        <v>1</v>
      </c>
      <c r="AM4556">
        <v>1</v>
      </c>
    </row>
    <row r="4557" spans="1:39" x14ac:dyDescent="0.2">
      <c r="A4557" t="str">
        <f>"4553"</f>
        <v>4553</v>
      </c>
      <c r="B4557" t="str">
        <f t="shared" si="252"/>
        <v>1</v>
      </c>
      <c r="C4557" t="str">
        <f t="shared" si="254"/>
        <v>92</v>
      </c>
      <c r="D4557" t="str">
        <f>"28"</f>
        <v>28</v>
      </c>
      <c r="E4557" t="str">
        <f>"1-92-28"</f>
        <v>1-92-28</v>
      </c>
      <c r="F4557" t="s">
        <v>65</v>
      </c>
      <c r="G4557" t="s">
        <v>66</v>
      </c>
      <c r="H4557" t="s">
        <v>67</v>
      </c>
      <c r="S4557">
        <v>0</v>
      </c>
      <c r="T4557">
        <v>1</v>
      </c>
      <c r="U4557">
        <v>0</v>
      </c>
      <c r="V4557">
        <v>0</v>
      </c>
      <c r="W4557">
        <v>0</v>
      </c>
      <c r="X4557">
        <v>1</v>
      </c>
      <c r="Y4557">
        <v>0</v>
      </c>
      <c r="Z4557">
        <v>1</v>
      </c>
      <c r="AA4557">
        <v>0</v>
      </c>
      <c r="AB4557">
        <v>0</v>
      </c>
      <c r="AC4557">
        <v>1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1</v>
      </c>
      <c r="AJ4557">
        <v>1</v>
      </c>
      <c r="AK4557">
        <v>0</v>
      </c>
      <c r="AL4557">
        <v>1</v>
      </c>
      <c r="AM4557">
        <v>0</v>
      </c>
    </row>
    <row r="4558" spans="1:39" x14ac:dyDescent="0.2">
      <c r="A4558" t="str">
        <f>"4554"</f>
        <v>4554</v>
      </c>
      <c r="B4558" t="str">
        <f t="shared" si="252"/>
        <v>1</v>
      </c>
      <c r="C4558" t="str">
        <f t="shared" si="254"/>
        <v>92</v>
      </c>
      <c r="D4558" t="str">
        <f>"15"</f>
        <v>15</v>
      </c>
      <c r="E4558" t="str">
        <f>"1-92-15"</f>
        <v>1-92-15</v>
      </c>
      <c r="F4558" t="s">
        <v>65</v>
      </c>
      <c r="G4558" t="s">
        <v>66</v>
      </c>
      <c r="H4558" t="s">
        <v>67</v>
      </c>
      <c r="S4558">
        <v>1</v>
      </c>
      <c r="T4558">
        <v>0</v>
      </c>
      <c r="U4558">
        <v>0</v>
      </c>
      <c r="V4558">
        <v>0</v>
      </c>
      <c r="W4558">
        <v>1</v>
      </c>
      <c r="X4558">
        <v>0</v>
      </c>
      <c r="Y4558">
        <v>1</v>
      </c>
      <c r="Z4558">
        <v>0</v>
      </c>
      <c r="AA4558">
        <v>0</v>
      </c>
      <c r="AB4558">
        <v>0</v>
      </c>
      <c r="AC4558">
        <v>1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</row>
    <row r="4559" spans="1:39" x14ac:dyDescent="0.2">
      <c r="A4559" t="str">
        <f>"4555"</f>
        <v>4555</v>
      </c>
      <c r="B4559" t="str">
        <f t="shared" si="252"/>
        <v>1</v>
      </c>
      <c r="C4559" t="str">
        <f t="shared" si="254"/>
        <v>92</v>
      </c>
      <c r="D4559" t="str">
        <f>"3"</f>
        <v>3</v>
      </c>
      <c r="E4559" t="str">
        <f>"1-92-3"</f>
        <v>1-92-3</v>
      </c>
      <c r="F4559" t="s">
        <v>65</v>
      </c>
      <c r="G4559" t="s">
        <v>66</v>
      </c>
      <c r="H4559" t="s">
        <v>67</v>
      </c>
      <c r="S4559">
        <v>0</v>
      </c>
      <c r="T4559">
        <v>0</v>
      </c>
      <c r="U4559">
        <v>0</v>
      </c>
      <c r="V4559">
        <v>0</v>
      </c>
      <c r="W4559">
        <v>1</v>
      </c>
      <c r="X4559">
        <v>0</v>
      </c>
      <c r="Y4559">
        <v>1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1</v>
      </c>
      <c r="AF4559">
        <v>1</v>
      </c>
      <c r="AG4559">
        <v>1</v>
      </c>
      <c r="AH4559">
        <v>1</v>
      </c>
      <c r="AI4559">
        <v>1</v>
      </c>
      <c r="AJ4559">
        <v>1</v>
      </c>
      <c r="AK4559">
        <v>1</v>
      </c>
      <c r="AL4559">
        <v>1</v>
      </c>
      <c r="AM4559">
        <v>1</v>
      </c>
    </row>
    <row r="4560" spans="1:39" x14ac:dyDescent="0.2">
      <c r="A4560" t="str">
        <f>"4556"</f>
        <v>4556</v>
      </c>
      <c r="B4560" t="str">
        <f t="shared" si="252"/>
        <v>1</v>
      </c>
      <c r="C4560" t="str">
        <f t="shared" si="254"/>
        <v>92</v>
      </c>
      <c r="D4560" t="str">
        <f>"36"</f>
        <v>36</v>
      </c>
      <c r="E4560" t="str">
        <f>"1-92-36"</f>
        <v>1-92-36</v>
      </c>
      <c r="F4560" t="s">
        <v>65</v>
      </c>
      <c r="G4560" t="s">
        <v>66</v>
      </c>
      <c r="H4560" t="s">
        <v>67</v>
      </c>
      <c r="S4560">
        <v>1</v>
      </c>
      <c r="T4560">
        <v>0</v>
      </c>
      <c r="U4560">
        <v>0</v>
      </c>
      <c r="V4560">
        <v>0</v>
      </c>
      <c r="W4560">
        <v>1</v>
      </c>
      <c r="X4560">
        <v>0</v>
      </c>
      <c r="Y4560">
        <v>1</v>
      </c>
      <c r="Z4560">
        <v>0</v>
      </c>
      <c r="AA4560">
        <v>1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1</v>
      </c>
      <c r="AJ4560">
        <v>1</v>
      </c>
      <c r="AK4560">
        <v>1</v>
      </c>
      <c r="AL4560">
        <v>1</v>
      </c>
      <c r="AM4560">
        <v>0</v>
      </c>
    </row>
    <row r="4561" spans="1:39" x14ac:dyDescent="0.2">
      <c r="A4561" t="str">
        <f>"4557"</f>
        <v>4557</v>
      </c>
      <c r="B4561" t="str">
        <f t="shared" si="252"/>
        <v>1</v>
      </c>
      <c r="C4561" t="str">
        <f t="shared" si="254"/>
        <v>92</v>
      </c>
      <c r="D4561" t="str">
        <f>"35"</f>
        <v>35</v>
      </c>
      <c r="E4561" t="str">
        <f>"1-92-35"</f>
        <v>1-92-35</v>
      </c>
      <c r="F4561" t="s">
        <v>65</v>
      </c>
      <c r="G4561" t="s">
        <v>66</v>
      </c>
      <c r="H4561" t="s">
        <v>67</v>
      </c>
      <c r="S4561">
        <v>1</v>
      </c>
      <c r="T4561">
        <v>0</v>
      </c>
      <c r="U4561">
        <v>0</v>
      </c>
      <c r="V4561">
        <v>0</v>
      </c>
      <c r="W4561">
        <v>1</v>
      </c>
      <c r="X4561">
        <v>0</v>
      </c>
      <c r="Y4561">
        <v>1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1</v>
      </c>
      <c r="AF4561">
        <v>1</v>
      </c>
      <c r="AG4561">
        <v>1</v>
      </c>
      <c r="AH4561">
        <v>1</v>
      </c>
      <c r="AI4561">
        <v>1</v>
      </c>
      <c r="AJ4561">
        <v>1</v>
      </c>
      <c r="AK4561">
        <v>1</v>
      </c>
      <c r="AL4561">
        <v>1</v>
      </c>
      <c r="AM4561">
        <v>1</v>
      </c>
    </row>
    <row r="4562" spans="1:39" x14ac:dyDescent="0.2">
      <c r="A4562" t="str">
        <f>"4558"</f>
        <v>4558</v>
      </c>
      <c r="B4562" t="str">
        <f t="shared" si="252"/>
        <v>1</v>
      </c>
      <c r="C4562" t="str">
        <f t="shared" si="254"/>
        <v>92</v>
      </c>
      <c r="D4562" t="str">
        <f>"26"</f>
        <v>26</v>
      </c>
      <c r="E4562" t="str">
        <f>"1-92-26"</f>
        <v>1-92-26</v>
      </c>
      <c r="F4562" t="s">
        <v>65</v>
      </c>
      <c r="G4562" t="s">
        <v>66</v>
      </c>
      <c r="H4562" t="s">
        <v>67</v>
      </c>
      <c r="S4562">
        <v>1</v>
      </c>
      <c r="T4562">
        <v>0</v>
      </c>
      <c r="U4562">
        <v>0</v>
      </c>
      <c r="V4562">
        <v>0</v>
      </c>
      <c r="W4562">
        <v>1</v>
      </c>
      <c r="X4562">
        <v>0</v>
      </c>
      <c r="Y4562">
        <v>0</v>
      </c>
      <c r="Z4562">
        <v>1</v>
      </c>
      <c r="AA4562">
        <v>1</v>
      </c>
      <c r="AB4562">
        <v>0</v>
      </c>
      <c r="AC4562">
        <v>0</v>
      </c>
      <c r="AD4562">
        <v>1</v>
      </c>
      <c r="AE4562">
        <v>1</v>
      </c>
      <c r="AF4562">
        <v>1</v>
      </c>
      <c r="AG4562">
        <v>1</v>
      </c>
      <c r="AH4562">
        <v>1</v>
      </c>
      <c r="AI4562">
        <v>1</v>
      </c>
      <c r="AJ4562">
        <v>1</v>
      </c>
      <c r="AK4562">
        <v>1</v>
      </c>
      <c r="AL4562">
        <v>1</v>
      </c>
      <c r="AM4562">
        <v>1</v>
      </c>
    </row>
    <row r="4563" spans="1:39" x14ac:dyDescent="0.2">
      <c r="A4563" t="str">
        <f>"4559"</f>
        <v>4559</v>
      </c>
      <c r="B4563" t="str">
        <f t="shared" si="252"/>
        <v>1</v>
      </c>
      <c r="C4563" t="str">
        <f t="shared" si="254"/>
        <v>92</v>
      </c>
      <c r="D4563" t="str">
        <f>"16"</f>
        <v>16</v>
      </c>
      <c r="E4563" t="str">
        <f>"1-92-16"</f>
        <v>1-92-16</v>
      </c>
      <c r="F4563" t="s">
        <v>65</v>
      </c>
      <c r="G4563" t="s">
        <v>66</v>
      </c>
      <c r="H4563" t="s">
        <v>67</v>
      </c>
      <c r="S4563">
        <v>0</v>
      </c>
      <c r="T4563">
        <v>1</v>
      </c>
      <c r="U4563">
        <v>0</v>
      </c>
      <c r="V4563">
        <v>0</v>
      </c>
      <c r="W4563">
        <v>1</v>
      </c>
      <c r="X4563">
        <v>0</v>
      </c>
      <c r="Y4563">
        <v>1</v>
      </c>
      <c r="Z4563">
        <v>0</v>
      </c>
      <c r="AA4563">
        <v>0</v>
      </c>
      <c r="AB4563">
        <v>0</v>
      </c>
      <c r="AC4563">
        <v>1</v>
      </c>
      <c r="AD4563">
        <v>1</v>
      </c>
      <c r="AE4563">
        <v>1</v>
      </c>
      <c r="AF4563">
        <v>1</v>
      </c>
      <c r="AG4563">
        <v>1</v>
      </c>
      <c r="AH4563">
        <v>1</v>
      </c>
      <c r="AI4563">
        <v>1</v>
      </c>
      <c r="AJ4563">
        <v>1</v>
      </c>
      <c r="AK4563">
        <v>1</v>
      </c>
      <c r="AL4563">
        <v>1</v>
      </c>
      <c r="AM4563">
        <v>1</v>
      </c>
    </row>
    <row r="4564" spans="1:39" x14ac:dyDescent="0.2">
      <c r="A4564" t="str">
        <f>"4560"</f>
        <v>4560</v>
      </c>
      <c r="B4564" t="str">
        <f t="shared" si="252"/>
        <v>1</v>
      </c>
      <c r="C4564" t="str">
        <f t="shared" si="254"/>
        <v>92</v>
      </c>
      <c r="D4564" t="str">
        <f>"2"</f>
        <v>2</v>
      </c>
      <c r="E4564" t="str">
        <f>"1-92-2"</f>
        <v>1-92-2</v>
      </c>
      <c r="F4564" t="s">
        <v>65</v>
      </c>
      <c r="G4564" t="s">
        <v>66</v>
      </c>
      <c r="H4564" t="s">
        <v>67</v>
      </c>
      <c r="S4564">
        <v>1</v>
      </c>
      <c r="T4564">
        <v>0</v>
      </c>
      <c r="U4564">
        <v>0</v>
      </c>
      <c r="V4564">
        <v>0</v>
      </c>
      <c r="W4564">
        <v>1</v>
      </c>
      <c r="X4564">
        <v>0</v>
      </c>
      <c r="Y4564">
        <v>1</v>
      </c>
      <c r="Z4564">
        <v>0</v>
      </c>
      <c r="AA4564">
        <v>0</v>
      </c>
      <c r="AB4564">
        <v>1</v>
      </c>
      <c r="AC4564">
        <v>0</v>
      </c>
      <c r="AD4564">
        <v>1</v>
      </c>
      <c r="AE4564">
        <v>1</v>
      </c>
      <c r="AF4564">
        <v>1</v>
      </c>
      <c r="AG4564">
        <v>1</v>
      </c>
      <c r="AH4564">
        <v>1</v>
      </c>
      <c r="AI4564">
        <v>1</v>
      </c>
      <c r="AJ4564">
        <v>1</v>
      </c>
      <c r="AK4564">
        <v>1</v>
      </c>
      <c r="AL4564">
        <v>1</v>
      </c>
      <c r="AM4564">
        <v>1</v>
      </c>
    </row>
    <row r="4565" spans="1:39" x14ac:dyDescent="0.2">
      <c r="A4565" t="str">
        <f>"4561"</f>
        <v>4561</v>
      </c>
      <c r="B4565" t="str">
        <f t="shared" si="252"/>
        <v>1</v>
      </c>
      <c r="C4565" t="str">
        <f t="shared" si="254"/>
        <v>92</v>
      </c>
      <c r="D4565" t="str">
        <f>"46"</f>
        <v>46</v>
      </c>
      <c r="E4565" t="str">
        <f>"1-92-46"</f>
        <v>1-92-46</v>
      </c>
      <c r="F4565" t="s">
        <v>65</v>
      </c>
      <c r="G4565" t="s">
        <v>66</v>
      </c>
      <c r="H4565" t="s">
        <v>67</v>
      </c>
      <c r="S4565">
        <v>1</v>
      </c>
      <c r="T4565">
        <v>0</v>
      </c>
      <c r="U4565">
        <v>0</v>
      </c>
      <c r="V4565">
        <v>0</v>
      </c>
      <c r="W4565">
        <v>1</v>
      </c>
      <c r="X4565">
        <v>0</v>
      </c>
      <c r="Y4565">
        <v>1</v>
      </c>
      <c r="Z4565">
        <v>0</v>
      </c>
      <c r="AA4565">
        <v>0</v>
      </c>
      <c r="AB4565">
        <v>1</v>
      </c>
      <c r="AC4565">
        <v>0</v>
      </c>
      <c r="AD4565">
        <v>1</v>
      </c>
      <c r="AE4565">
        <v>1</v>
      </c>
      <c r="AF4565">
        <v>1</v>
      </c>
      <c r="AG4565">
        <v>1</v>
      </c>
      <c r="AH4565">
        <v>1</v>
      </c>
      <c r="AI4565">
        <v>1</v>
      </c>
      <c r="AJ4565">
        <v>1</v>
      </c>
      <c r="AK4565">
        <v>1</v>
      </c>
      <c r="AL4565">
        <v>1</v>
      </c>
      <c r="AM4565">
        <v>1</v>
      </c>
    </row>
    <row r="4566" spans="1:39" x14ac:dyDescent="0.2">
      <c r="A4566" t="str">
        <f>"4562"</f>
        <v>4562</v>
      </c>
      <c r="B4566" t="str">
        <f t="shared" si="252"/>
        <v>1</v>
      </c>
      <c r="C4566" t="str">
        <f t="shared" si="254"/>
        <v>92</v>
      </c>
      <c r="D4566" t="str">
        <f>"45"</f>
        <v>45</v>
      </c>
      <c r="E4566" t="str">
        <f>"1-92-45"</f>
        <v>1-92-45</v>
      </c>
      <c r="F4566" t="s">
        <v>65</v>
      </c>
      <c r="G4566" t="s">
        <v>66</v>
      </c>
      <c r="H4566" t="s">
        <v>67</v>
      </c>
      <c r="S4566">
        <v>1</v>
      </c>
      <c r="T4566">
        <v>0</v>
      </c>
      <c r="U4566">
        <v>0</v>
      </c>
      <c r="V4566">
        <v>0</v>
      </c>
      <c r="W4566">
        <v>1</v>
      </c>
      <c r="X4566">
        <v>0</v>
      </c>
      <c r="Y4566">
        <v>0</v>
      </c>
      <c r="Z4566">
        <v>1</v>
      </c>
      <c r="AA4566">
        <v>1</v>
      </c>
      <c r="AB4566">
        <v>0</v>
      </c>
      <c r="AC4566">
        <v>0</v>
      </c>
      <c r="AD4566">
        <v>1</v>
      </c>
      <c r="AE4566">
        <v>1</v>
      </c>
      <c r="AF4566">
        <v>1</v>
      </c>
      <c r="AG4566">
        <v>1</v>
      </c>
      <c r="AH4566">
        <v>1</v>
      </c>
      <c r="AI4566">
        <v>1</v>
      </c>
      <c r="AJ4566">
        <v>1</v>
      </c>
      <c r="AK4566">
        <v>1</v>
      </c>
      <c r="AL4566">
        <v>0</v>
      </c>
      <c r="AM4566">
        <v>1</v>
      </c>
    </row>
    <row r="4567" spans="1:39" x14ac:dyDescent="0.2">
      <c r="A4567" t="str">
        <f>"4563"</f>
        <v>4563</v>
      </c>
      <c r="B4567" t="str">
        <f t="shared" si="252"/>
        <v>1</v>
      </c>
      <c r="C4567" t="str">
        <f t="shared" si="254"/>
        <v>92</v>
      </c>
      <c r="D4567" t="str">
        <f>"31"</f>
        <v>31</v>
      </c>
      <c r="E4567" t="str">
        <f>"1-92-31"</f>
        <v>1-92-31</v>
      </c>
      <c r="F4567" t="s">
        <v>65</v>
      </c>
      <c r="G4567" t="s">
        <v>66</v>
      </c>
      <c r="H4567" t="s">
        <v>67</v>
      </c>
      <c r="S4567">
        <v>1</v>
      </c>
      <c r="T4567">
        <v>0</v>
      </c>
      <c r="U4567">
        <v>0</v>
      </c>
      <c r="V4567">
        <v>0</v>
      </c>
      <c r="W4567">
        <v>1</v>
      </c>
      <c r="X4567">
        <v>0</v>
      </c>
      <c r="Y4567">
        <v>1</v>
      </c>
      <c r="Z4567">
        <v>0</v>
      </c>
      <c r="AA4567">
        <v>0</v>
      </c>
      <c r="AB4567">
        <v>1</v>
      </c>
      <c r="AC4567">
        <v>0</v>
      </c>
      <c r="AD4567">
        <v>1</v>
      </c>
      <c r="AE4567">
        <v>1</v>
      </c>
      <c r="AF4567">
        <v>1</v>
      </c>
      <c r="AG4567">
        <v>1</v>
      </c>
      <c r="AH4567">
        <v>1</v>
      </c>
      <c r="AI4567">
        <v>1</v>
      </c>
      <c r="AJ4567">
        <v>1</v>
      </c>
      <c r="AK4567">
        <v>1</v>
      </c>
      <c r="AL4567">
        <v>1</v>
      </c>
      <c r="AM4567">
        <v>1</v>
      </c>
    </row>
    <row r="4568" spans="1:39" x14ac:dyDescent="0.2">
      <c r="A4568" t="str">
        <f>"4564"</f>
        <v>4564</v>
      </c>
      <c r="B4568" t="str">
        <f t="shared" si="252"/>
        <v>1</v>
      </c>
      <c r="C4568" t="str">
        <f t="shared" si="254"/>
        <v>92</v>
      </c>
      <c r="D4568" t="str">
        <f>"17"</f>
        <v>17</v>
      </c>
      <c r="E4568" t="str">
        <f>"1-92-17"</f>
        <v>1-92-17</v>
      </c>
      <c r="F4568" t="s">
        <v>65</v>
      </c>
      <c r="G4568" t="s">
        <v>66</v>
      </c>
      <c r="H4568" t="s">
        <v>67</v>
      </c>
      <c r="S4568">
        <v>1</v>
      </c>
      <c r="T4568">
        <v>0</v>
      </c>
      <c r="U4568">
        <v>0</v>
      </c>
      <c r="V4568">
        <v>0</v>
      </c>
      <c r="W4568">
        <v>1</v>
      </c>
      <c r="X4568">
        <v>0</v>
      </c>
      <c r="Y4568">
        <v>1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1</v>
      </c>
      <c r="AF4568">
        <v>1</v>
      </c>
      <c r="AG4568">
        <v>1</v>
      </c>
      <c r="AH4568">
        <v>1</v>
      </c>
      <c r="AI4568">
        <v>1</v>
      </c>
      <c r="AJ4568">
        <v>1</v>
      </c>
      <c r="AK4568">
        <v>1</v>
      </c>
      <c r="AL4568">
        <v>1</v>
      </c>
      <c r="AM4568">
        <v>1</v>
      </c>
    </row>
    <row r="4569" spans="1:39" x14ac:dyDescent="0.2">
      <c r="A4569" t="str">
        <f>"4565"</f>
        <v>4565</v>
      </c>
      <c r="B4569" t="str">
        <f t="shared" si="252"/>
        <v>1</v>
      </c>
      <c r="C4569" t="str">
        <f t="shared" si="254"/>
        <v>92</v>
      </c>
      <c r="D4569" t="str">
        <f>"1"</f>
        <v>1</v>
      </c>
      <c r="E4569" t="str">
        <f>"1-92-1"</f>
        <v>1-92-1</v>
      </c>
      <c r="F4569" t="s">
        <v>65</v>
      </c>
      <c r="G4569" t="s">
        <v>66</v>
      </c>
      <c r="H4569" t="s">
        <v>67</v>
      </c>
      <c r="S4569">
        <v>1</v>
      </c>
      <c r="T4569">
        <v>0</v>
      </c>
      <c r="U4569">
        <v>0</v>
      </c>
      <c r="V4569">
        <v>0</v>
      </c>
      <c r="W4569">
        <v>0</v>
      </c>
      <c r="X4569">
        <v>1</v>
      </c>
      <c r="Y4569">
        <v>1</v>
      </c>
      <c r="Z4569">
        <v>0</v>
      </c>
      <c r="AA4569">
        <v>0</v>
      </c>
      <c r="AB4569">
        <v>0</v>
      </c>
      <c r="AC4569">
        <v>1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</row>
    <row r="4570" spans="1:39" x14ac:dyDescent="0.2">
      <c r="A4570" t="str">
        <f>"4566"</f>
        <v>4566</v>
      </c>
      <c r="B4570" t="str">
        <f t="shared" si="252"/>
        <v>1</v>
      </c>
      <c r="C4570" t="str">
        <f t="shared" si="254"/>
        <v>92</v>
      </c>
      <c r="D4570" t="str">
        <f>"32"</f>
        <v>32</v>
      </c>
      <c r="E4570" t="str">
        <f>"1-92-32"</f>
        <v>1-92-32</v>
      </c>
      <c r="F4570" t="s">
        <v>65</v>
      </c>
      <c r="G4570" t="s">
        <v>66</v>
      </c>
      <c r="H4570" t="s">
        <v>67</v>
      </c>
      <c r="S4570">
        <v>1</v>
      </c>
      <c r="T4570">
        <v>0</v>
      </c>
      <c r="U4570">
        <v>0</v>
      </c>
      <c r="V4570">
        <v>0</v>
      </c>
      <c r="W4570">
        <v>1</v>
      </c>
      <c r="X4570">
        <v>0</v>
      </c>
      <c r="Y4570">
        <v>0</v>
      </c>
      <c r="Z4570">
        <v>1</v>
      </c>
      <c r="AA4570">
        <v>0</v>
      </c>
      <c r="AB4570">
        <v>0</v>
      </c>
      <c r="AC4570">
        <v>0</v>
      </c>
      <c r="AD4570">
        <v>1</v>
      </c>
      <c r="AE4570">
        <v>1</v>
      </c>
      <c r="AF4570">
        <v>1</v>
      </c>
      <c r="AG4570">
        <v>1</v>
      </c>
      <c r="AH4570">
        <v>1</v>
      </c>
      <c r="AI4570">
        <v>1</v>
      </c>
      <c r="AJ4570">
        <v>1</v>
      </c>
      <c r="AK4570">
        <v>1</v>
      </c>
      <c r="AL4570">
        <v>1</v>
      </c>
      <c r="AM4570">
        <v>1</v>
      </c>
    </row>
    <row r="4571" spans="1:39" x14ac:dyDescent="0.2">
      <c r="A4571" t="str">
        <f>"4567"</f>
        <v>4567</v>
      </c>
      <c r="B4571" t="str">
        <f t="shared" si="252"/>
        <v>1</v>
      </c>
      <c r="C4571" t="str">
        <f t="shared" si="254"/>
        <v>92</v>
      </c>
      <c r="D4571" t="str">
        <f>"18"</f>
        <v>18</v>
      </c>
      <c r="E4571" t="str">
        <f>"1-92-18"</f>
        <v>1-92-18</v>
      </c>
      <c r="F4571" t="s">
        <v>65</v>
      </c>
      <c r="G4571" t="s">
        <v>66</v>
      </c>
      <c r="H4571" t="s">
        <v>67</v>
      </c>
      <c r="S4571">
        <v>1</v>
      </c>
      <c r="T4571">
        <v>0</v>
      </c>
      <c r="U4571">
        <v>0</v>
      </c>
      <c r="V4571">
        <v>0</v>
      </c>
      <c r="W4571">
        <v>1</v>
      </c>
      <c r="X4571">
        <v>0</v>
      </c>
      <c r="Y4571">
        <v>1</v>
      </c>
      <c r="Z4571">
        <v>0</v>
      </c>
      <c r="AA4571">
        <v>0</v>
      </c>
      <c r="AB4571">
        <v>1</v>
      </c>
      <c r="AC4571">
        <v>0</v>
      </c>
      <c r="AD4571">
        <v>1</v>
      </c>
      <c r="AE4571">
        <v>1</v>
      </c>
      <c r="AF4571">
        <v>1</v>
      </c>
      <c r="AG4571">
        <v>1</v>
      </c>
      <c r="AH4571">
        <v>1</v>
      </c>
      <c r="AI4571">
        <v>1</v>
      </c>
      <c r="AJ4571">
        <v>1</v>
      </c>
      <c r="AK4571">
        <v>1</v>
      </c>
      <c r="AL4571">
        <v>1</v>
      </c>
      <c r="AM4571">
        <v>1</v>
      </c>
    </row>
    <row r="4572" spans="1:39" x14ac:dyDescent="0.2">
      <c r="A4572" t="str">
        <f>"4568"</f>
        <v>4568</v>
      </c>
      <c r="B4572" t="str">
        <f t="shared" si="252"/>
        <v>1</v>
      </c>
      <c r="C4572" t="str">
        <f t="shared" si="254"/>
        <v>92</v>
      </c>
      <c r="D4572" t="str">
        <f>"8"</f>
        <v>8</v>
      </c>
      <c r="E4572" t="str">
        <f>"1-92-8"</f>
        <v>1-92-8</v>
      </c>
      <c r="F4572" t="s">
        <v>65</v>
      </c>
      <c r="G4572" t="s">
        <v>66</v>
      </c>
      <c r="H4572" t="s">
        <v>67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1</v>
      </c>
      <c r="AE4572">
        <v>1</v>
      </c>
      <c r="AF4572">
        <v>1</v>
      </c>
      <c r="AG4572">
        <v>1</v>
      </c>
      <c r="AH4572">
        <v>1</v>
      </c>
      <c r="AI4572">
        <v>1</v>
      </c>
      <c r="AJ4572">
        <v>1</v>
      </c>
      <c r="AK4572">
        <v>1</v>
      </c>
      <c r="AL4572">
        <v>1</v>
      </c>
      <c r="AM4572">
        <v>1</v>
      </c>
    </row>
    <row r="4573" spans="1:39" x14ac:dyDescent="0.2">
      <c r="A4573" t="str">
        <f>"4569"</f>
        <v>4569</v>
      </c>
      <c r="B4573" t="str">
        <f t="shared" si="252"/>
        <v>1</v>
      </c>
      <c r="C4573" t="str">
        <f t="shared" si="254"/>
        <v>92</v>
      </c>
      <c r="D4573" t="str">
        <f>"48"</f>
        <v>48</v>
      </c>
      <c r="E4573" t="str">
        <f>"1-92-48"</f>
        <v>1-92-48</v>
      </c>
      <c r="F4573" t="s">
        <v>65</v>
      </c>
      <c r="G4573" t="s">
        <v>66</v>
      </c>
      <c r="H4573" t="s">
        <v>67</v>
      </c>
      <c r="S4573">
        <v>1</v>
      </c>
      <c r="T4573">
        <v>0</v>
      </c>
      <c r="U4573">
        <v>0</v>
      </c>
      <c r="V4573">
        <v>0</v>
      </c>
      <c r="W4573">
        <v>1</v>
      </c>
      <c r="X4573">
        <v>0</v>
      </c>
      <c r="Y4573">
        <v>1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1</v>
      </c>
      <c r="AH4573">
        <v>0</v>
      </c>
      <c r="AI4573">
        <v>0</v>
      </c>
      <c r="AJ4573">
        <v>0</v>
      </c>
      <c r="AK4573">
        <v>0</v>
      </c>
      <c r="AL4573">
        <v>1</v>
      </c>
      <c r="AM4573">
        <v>0</v>
      </c>
    </row>
    <row r="4574" spans="1:39" x14ac:dyDescent="0.2">
      <c r="A4574" t="str">
        <f>"4570"</f>
        <v>4570</v>
      </c>
      <c r="B4574" t="str">
        <f t="shared" si="252"/>
        <v>1</v>
      </c>
      <c r="C4574" t="str">
        <f t="shared" si="254"/>
        <v>92</v>
      </c>
      <c r="D4574" t="str">
        <f>"47"</f>
        <v>47</v>
      </c>
      <c r="E4574" t="str">
        <f>"1-92-47"</f>
        <v>1-92-47</v>
      </c>
      <c r="F4574" t="s">
        <v>65</v>
      </c>
      <c r="G4574" t="s">
        <v>66</v>
      </c>
      <c r="H4574" t="s">
        <v>67</v>
      </c>
      <c r="S4574">
        <v>1</v>
      </c>
      <c r="T4574">
        <v>0</v>
      </c>
      <c r="U4574">
        <v>0</v>
      </c>
      <c r="V4574">
        <v>0</v>
      </c>
      <c r="W4574">
        <v>1</v>
      </c>
      <c r="X4574">
        <v>0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1</v>
      </c>
      <c r="AF4574">
        <v>1</v>
      </c>
      <c r="AG4574">
        <v>1</v>
      </c>
      <c r="AH4574">
        <v>1</v>
      </c>
      <c r="AI4574">
        <v>1</v>
      </c>
      <c r="AJ4574">
        <v>1</v>
      </c>
      <c r="AK4574">
        <v>1</v>
      </c>
      <c r="AL4574">
        <v>1</v>
      </c>
      <c r="AM4574">
        <v>1</v>
      </c>
    </row>
    <row r="4575" spans="1:39" x14ac:dyDescent="0.2">
      <c r="A4575" t="str">
        <f>"4571"</f>
        <v>4571</v>
      </c>
      <c r="B4575" t="str">
        <f t="shared" si="252"/>
        <v>1</v>
      </c>
      <c r="C4575" t="str">
        <f t="shared" si="254"/>
        <v>92</v>
      </c>
      <c r="D4575" t="str">
        <f>"34"</f>
        <v>34</v>
      </c>
      <c r="E4575" t="str">
        <f>"1-92-34"</f>
        <v>1-92-34</v>
      </c>
      <c r="F4575" t="s">
        <v>65</v>
      </c>
      <c r="G4575" t="s">
        <v>66</v>
      </c>
      <c r="H4575" t="s">
        <v>67</v>
      </c>
      <c r="S4575">
        <v>1</v>
      </c>
      <c r="T4575">
        <v>0</v>
      </c>
      <c r="U4575">
        <v>0</v>
      </c>
      <c r="V4575">
        <v>0</v>
      </c>
      <c r="W4575">
        <v>0</v>
      </c>
      <c r="X4575">
        <v>1</v>
      </c>
      <c r="Y4575">
        <v>0</v>
      </c>
      <c r="Z4575">
        <v>1</v>
      </c>
      <c r="AA4575">
        <v>0</v>
      </c>
      <c r="AB4575">
        <v>0</v>
      </c>
      <c r="AC4575">
        <v>1</v>
      </c>
      <c r="AD4575">
        <v>1</v>
      </c>
      <c r="AE4575">
        <v>1</v>
      </c>
      <c r="AF4575">
        <v>1</v>
      </c>
      <c r="AG4575">
        <v>1</v>
      </c>
      <c r="AH4575">
        <v>1</v>
      </c>
      <c r="AI4575">
        <v>1</v>
      </c>
      <c r="AJ4575">
        <v>1</v>
      </c>
      <c r="AK4575">
        <v>1</v>
      </c>
      <c r="AL4575">
        <v>1</v>
      </c>
      <c r="AM4575">
        <v>1</v>
      </c>
    </row>
    <row r="4576" spans="1:39" x14ac:dyDescent="0.2">
      <c r="A4576" t="str">
        <f>"4572"</f>
        <v>4572</v>
      </c>
      <c r="B4576" t="str">
        <f t="shared" si="252"/>
        <v>1</v>
      </c>
      <c r="C4576" t="str">
        <f t="shared" si="254"/>
        <v>92</v>
      </c>
      <c r="D4576" t="str">
        <f>"19"</f>
        <v>19</v>
      </c>
      <c r="E4576" t="str">
        <f>"1-92-19"</f>
        <v>1-92-19</v>
      </c>
      <c r="F4576" t="s">
        <v>65</v>
      </c>
      <c r="G4576" t="s">
        <v>66</v>
      </c>
      <c r="H4576" t="s">
        <v>67</v>
      </c>
      <c r="S4576">
        <v>1</v>
      </c>
      <c r="T4576">
        <v>0</v>
      </c>
      <c r="U4576">
        <v>0</v>
      </c>
      <c r="V4576">
        <v>0</v>
      </c>
      <c r="W4576">
        <v>1</v>
      </c>
      <c r="X4576">
        <v>0</v>
      </c>
      <c r="Y4576">
        <v>1</v>
      </c>
      <c r="Z4576">
        <v>0</v>
      </c>
      <c r="AA4576">
        <v>0</v>
      </c>
      <c r="AB4576">
        <v>1</v>
      </c>
      <c r="AC4576">
        <v>0</v>
      </c>
      <c r="AD4576">
        <v>1</v>
      </c>
      <c r="AE4576">
        <v>1</v>
      </c>
      <c r="AF4576">
        <v>1</v>
      </c>
      <c r="AG4576">
        <v>1</v>
      </c>
      <c r="AH4576">
        <v>1</v>
      </c>
      <c r="AI4576">
        <v>1</v>
      </c>
      <c r="AJ4576">
        <v>1</v>
      </c>
      <c r="AK4576">
        <v>1</v>
      </c>
      <c r="AL4576">
        <v>1</v>
      </c>
      <c r="AM4576">
        <v>1</v>
      </c>
    </row>
    <row r="4577" spans="1:39" x14ac:dyDescent="0.2">
      <c r="A4577" t="str">
        <f>"4573"</f>
        <v>4573</v>
      </c>
      <c r="B4577" t="str">
        <f t="shared" si="252"/>
        <v>1</v>
      </c>
      <c r="C4577" t="str">
        <f t="shared" si="254"/>
        <v>92</v>
      </c>
      <c r="D4577" t="str">
        <f>"7"</f>
        <v>7</v>
      </c>
      <c r="E4577" t="str">
        <f>"1-92-7"</f>
        <v>1-92-7</v>
      </c>
      <c r="F4577" t="s">
        <v>65</v>
      </c>
      <c r="G4577" t="s">
        <v>66</v>
      </c>
      <c r="H4577" t="s">
        <v>67</v>
      </c>
      <c r="S4577">
        <v>1</v>
      </c>
      <c r="T4577">
        <v>0</v>
      </c>
      <c r="U4577">
        <v>0</v>
      </c>
      <c r="V4577">
        <v>0</v>
      </c>
      <c r="W4577">
        <v>1</v>
      </c>
      <c r="X4577">
        <v>0</v>
      </c>
      <c r="Y4577">
        <v>1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1</v>
      </c>
      <c r="AF4577">
        <v>1</v>
      </c>
      <c r="AG4577">
        <v>1</v>
      </c>
      <c r="AH4577">
        <v>1</v>
      </c>
      <c r="AI4577">
        <v>1</v>
      </c>
      <c r="AJ4577">
        <v>1</v>
      </c>
      <c r="AK4577">
        <v>1</v>
      </c>
      <c r="AL4577">
        <v>1</v>
      </c>
      <c r="AM4577">
        <v>1</v>
      </c>
    </row>
    <row r="4578" spans="1:39" x14ac:dyDescent="0.2">
      <c r="A4578" t="str">
        <f>"4574"</f>
        <v>4574</v>
      </c>
      <c r="B4578" t="str">
        <f t="shared" si="252"/>
        <v>1</v>
      </c>
      <c r="C4578" t="str">
        <f t="shared" si="254"/>
        <v>92</v>
      </c>
      <c r="D4578" t="str">
        <f>"43"</f>
        <v>43</v>
      </c>
      <c r="E4578" t="str">
        <f>"1-92-43"</f>
        <v>1-92-43</v>
      </c>
      <c r="F4578" t="s">
        <v>65</v>
      </c>
      <c r="G4578" t="s">
        <v>66</v>
      </c>
      <c r="H4578" t="s">
        <v>67</v>
      </c>
      <c r="S4578">
        <v>1</v>
      </c>
      <c r="T4578">
        <v>0</v>
      </c>
      <c r="U4578">
        <v>0</v>
      </c>
      <c r="V4578">
        <v>0</v>
      </c>
      <c r="W4578">
        <v>1</v>
      </c>
      <c r="X4578">
        <v>0</v>
      </c>
      <c r="Y4578">
        <v>1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1</v>
      </c>
      <c r="AF4578">
        <v>1</v>
      </c>
      <c r="AG4578">
        <v>1</v>
      </c>
      <c r="AH4578">
        <v>1</v>
      </c>
      <c r="AI4578">
        <v>1</v>
      </c>
      <c r="AJ4578">
        <v>1</v>
      </c>
      <c r="AK4578">
        <v>1</v>
      </c>
      <c r="AL4578">
        <v>1</v>
      </c>
      <c r="AM4578">
        <v>1</v>
      </c>
    </row>
    <row r="4579" spans="1:39" x14ac:dyDescent="0.2">
      <c r="A4579" t="str">
        <f>"4575"</f>
        <v>4575</v>
      </c>
      <c r="B4579" t="str">
        <f t="shared" si="252"/>
        <v>1</v>
      </c>
      <c r="C4579" t="str">
        <f t="shared" si="254"/>
        <v>92</v>
      </c>
      <c r="D4579" t="str">
        <f>"42"</f>
        <v>42</v>
      </c>
      <c r="E4579" t="str">
        <f>"1-92-42"</f>
        <v>1-92-42</v>
      </c>
      <c r="F4579" t="s">
        <v>65</v>
      </c>
      <c r="G4579" t="s">
        <v>66</v>
      </c>
      <c r="H4579" t="s">
        <v>67</v>
      </c>
      <c r="S4579">
        <v>1</v>
      </c>
      <c r="T4579">
        <v>0</v>
      </c>
      <c r="U4579">
        <v>0</v>
      </c>
      <c r="V4579">
        <v>0</v>
      </c>
      <c r="W4579">
        <v>1</v>
      </c>
      <c r="X4579">
        <v>0</v>
      </c>
      <c r="Y4579">
        <v>1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1</v>
      </c>
      <c r="AF4579">
        <v>1</v>
      </c>
      <c r="AG4579">
        <v>1</v>
      </c>
      <c r="AH4579">
        <v>1</v>
      </c>
      <c r="AI4579">
        <v>1</v>
      </c>
      <c r="AJ4579">
        <v>1</v>
      </c>
      <c r="AK4579">
        <v>1</v>
      </c>
      <c r="AL4579">
        <v>1</v>
      </c>
      <c r="AM4579">
        <v>1</v>
      </c>
    </row>
    <row r="4580" spans="1:39" x14ac:dyDescent="0.2">
      <c r="A4580" t="str">
        <f>"4576"</f>
        <v>4576</v>
      </c>
      <c r="B4580" t="str">
        <f t="shared" si="252"/>
        <v>1</v>
      </c>
      <c r="C4580" t="str">
        <f t="shared" si="254"/>
        <v>92</v>
      </c>
      <c r="D4580" t="str">
        <f>"33"</f>
        <v>33</v>
      </c>
      <c r="E4580" t="str">
        <f>"1-92-33"</f>
        <v>1-92-33</v>
      </c>
      <c r="F4580" t="s">
        <v>65</v>
      </c>
      <c r="G4580" t="s">
        <v>66</v>
      </c>
      <c r="H4580" t="s">
        <v>67</v>
      </c>
      <c r="S4580">
        <v>1</v>
      </c>
      <c r="T4580">
        <v>0</v>
      </c>
      <c r="U4580">
        <v>0</v>
      </c>
      <c r="V4580">
        <v>0</v>
      </c>
      <c r="W4580">
        <v>1</v>
      </c>
      <c r="X4580">
        <v>0</v>
      </c>
      <c r="Y4580">
        <v>1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1</v>
      </c>
      <c r="AF4580">
        <v>1</v>
      </c>
      <c r="AG4580">
        <v>1</v>
      </c>
      <c r="AH4580">
        <v>1</v>
      </c>
      <c r="AI4580">
        <v>1</v>
      </c>
      <c r="AJ4580">
        <v>1</v>
      </c>
      <c r="AK4580">
        <v>1</v>
      </c>
      <c r="AL4580">
        <v>1</v>
      </c>
      <c r="AM4580">
        <v>1</v>
      </c>
    </row>
    <row r="4581" spans="1:39" x14ac:dyDescent="0.2">
      <c r="A4581" t="str">
        <f>"4577"</f>
        <v>4577</v>
      </c>
      <c r="B4581" t="str">
        <f t="shared" si="252"/>
        <v>1</v>
      </c>
      <c r="C4581" t="str">
        <f t="shared" si="254"/>
        <v>92</v>
      </c>
      <c r="D4581" t="str">
        <f>"20"</f>
        <v>20</v>
      </c>
      <c r="E4581" t="str">
        <f>"1-92-20"</f>
        <v>1-92-20</v>
      </c>
      <c r="F4581" t="s">
        <v>65</v>
      </c>
      <c r="G4581" t="s">
        <v>66</v>
      </c>
      <c r="H4581" t="s">
        <v>67</v>
      </c>
      <c r="S4581">
        <v>1</v>
      </c>
      <c r="T4581">
        <v>0</v>
      </c>
      <c r="U4581">
        <v>0</v>
      </c>
      <c r="V4581">
        <v>0</v>
      </c>
      <c r="W4581">
        <v>1</v>
      </c>
      <c r="X4581">
        <v>0</v>
      </c>
      <c r="Y4581">
        <v>1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1</v>
      </c>
      <c r="AF4581">
        <v>1</v>
      </c>
      <c r="AG4581">
        <v>1</v>
      </c>
      <c r="AH4581">
        <v>1</v>
      </c>
      <c r="AI4581">
        <v>1</v>
      </c>
      <c r="AJ4581">
        <v>1</v>
      </c>
      <c r="AK4581">
        <v>1</v>
      </c>
      <c r="AL4581">
        <v>1</v>
      </c>
      <c r="AM4581">
        <v>1</v>
      </c>
    </row>
    <row r="4582" spans="1:39" x14ac:dyDescent="0.2">
      <c r="A4582" t="str">
        <f>"4578"</f>
        <v>4578</v>
      </c>
      <c r="B4582" t="str">
        <f t="shared" si="252"/>
        <v>1</v>
      </c>
      <c r="C4582" t="str">
        <f t="shared" si="254"/>
        <v>92</v>
      </c>
      <c r="D4582" t="str">
        <f>"13"</f>
        <v>13</v>
      </c>
      <c r="E4582" t="str">
        <f>"1-92-13"</f>
        <v>1-92-13</v>
      </c>
      <c r="F4582" t="s">
        <v>65</v>
      </c>
      <c r="G4582" t="s">
        <v>66</v>
      </c>
      <c r="H4582" t="s">
        <v>67</v>
      </c>
      <c r="S4582">
        <v>1</v>
      </c>
      <c r="T4582">
        <v>0</v>
      </c>
      <c r="U4582">
        <v>0</v>
      </c>
      <c r="V4582">
        <v>0</v>
      </c>
      <c r="W4582">
        <v>1</v>
      </c>
      <c r="X4582">
        <v>0</v>
      </c>
      <c r="Y4582">
        <v>1</v>
      </c>
      <c r="Z4582">
        <v>0</v>
      </c>
      <c r="AA4582">
        <v>0</v>
      </c>
      <c r="AB4582">
        <v>0</v>
      </c>
      <c r="AC4582">
        <v>1</v>
      </c>
      <c r="AD4582">
        <v>1</v>
      </c>
      <c r="AE4582">
        <v>1</v>
      </c>
      <c r="AF4582">
        <v>1</v>
      </c>
      <c r="AG4582">
        <v>1</v>
      </c>
      <c r="AH4582">
        <v>1</v>
      </c>
      <c r="AI4582">
        <v>1</v>
      </c>
      <c r="AJ4582">
        <v>1</v>
      </c>
      <c r="AK4582">
        <v>1</v>
      </c>
      <c r="AL4582">
        <v>1</v>
      </c>
      <c r="AM4582">
        <v>1</v>
      </c>
    </row>
    <row r="4583" spans="1:39" x14ac:dyDescent="0.2">
      <c r="A4583" t="str">
        <f>"4579"</f>
        <v>4579</v>
      </c>
      <c r="B4583" t="str">
        <f t="shared" si="252"/>
        <v>1</v>
      </c>
      <c r="C4583" t="str">
        <f t="shared" si="254"/>
        <v>92</v>
      </c>
      <c r="D4583" t="str">
        <f>"21"</f>
        <v>21</v>
      </c>
      <c r="E4583" t="str">
        <f>"1-92-21"</f>
        <v>1-92-21</v>
      </c>
      <c r="F4583" t="s">
        <v>65</v>
      </c>
      <c r="G4583" t="s">
        <v>66</v>
      </c>
      <c r="H4583" t="s">
        <v>67</v>
      </c>
      <c r="S4583">
        <v>1</v>
      </c>
      <c r="T4583">
        <v>0</v>
      </c>
      <c r="U4583">
        <v>0</v>
      </c>
      <c r="V4583">
        <v>0</v>
      </c>
      <c r="W4583">
        <v>1</v>
      </c>
      <c r="X4583">
        <v>0</v>
      </c>
      <c r="Y4583">
        <v>1</v>
      </c>
      <c r="Z4583">
        <v>0</v>
      </c>
      <c r="AA4583">
        <v>0</v>
      </c>
      <c r="AB4583">
        <v>1</v>
      </c>
      <c r="AC4583">
        <v>0</v>
      </c>
      <c r="AD4583">
        <v>1</v>
      </c>
      <c r="AE4583">
        <v>1</v>
      </c>
      <c r="AF4583">
        <v>1</v>
      </c>
      <c r="AG4583">
        <v>1</v>
      </c>
      <c r="AH4583">
        <v>1</v>
      </c>
      <c r="AI4583">
        <v>1</v>
      </c>
      <c r="AJ4583">
        <v>1</v>
      </c>
      <c r="AK4583">
        <v>1</v>
      </c>
      <c r="AL4583">
        <v>1</v>
      </c>
      <c r="AM4583">
        <v>1</v>
      </c>
    </row>
    <row r="4584" spans="1:39" x14ac:dyDescent="0.2">
      <c r="A4584" t="str">
        <f>"4580"</f>
        <v>4580</v>
      </c>
      <c r="B4584" t="str">
        <f t="shared" si="252"/>
        <v>1</v>
      </c>
      <c r="C4584" t="str">
        <f t="shared" si="254"/>
        <v>92</v>
      </c>
      <c r="D4584" t="str">
        <f>"11"</f>
        <v>11</v>
      </c>
      <c r="E4584" t="str">
        <f>"1-92-11"</f>
        <v>1-92-11</v>
      </c>
      <c r="F4584" t="s">
        <v>65</v>
      </c>
      <c r="G4584" t="s">
        <v>66</v>
      </c>
      <c r="H4584" t="s">
        <v>67</v>
      </c>
      <c r="S4584">
        <v>1</v>
      </c>
      <c r="T4584">
        <v>0</v>
      </c>
      <c r="U4584">
        <v>0</v>
      </c>
      <c r="V4584">
        <v>0</v>
      </c>
      <c r="W4584">
        <v>0</v>
      </c>
      <c r="X4584">
        <v>1</v>
      </c>
      <c r="Y4584">
        <v>1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1</v>
      </c>
      <c r="AF4584">
        <v>1</v>
      </c>
      <c r="AG4584">
        <v>1</v>
      </c>
      <c r="AH4584">
        <v>1</v>
      </c>
      <c r="AI4584">
        <v>1</v>
      </c>
      <c r="AJ4584">
        <v>1</v>
      </c>
      <c r="AK4584">
        <v>1</v>
      </c>
      <c r="AL4584">
        <v>1</v>
      </c>
      <c r="AM4584">
        <v>1</v>
      </c>
    </row>
    <row r="4585" spans="1:39" x14ac:dyDescent="0.2">
      <c r="A4585" t="str">
        <f>"4581"</f>
        <v>4581</v>
      </c>
      <c r="B4585" t="str">
        <f t="shared" si="252"/>
        <v>1</v>
      </c>
      <c r="C4585" t="str">
        <f t="shared" si="254"/>
        <v>92</v>
      </c>
      <c r="D4585" t="str">
        <f>"39"</f>
        <v>39</v>
      </c>
      <c r="E4585" t="str">
        <f>"1-92-39"</f>
        <v>1-92-39</v>
      </c>
      <c r="F4585" t="s">
        <v>65</v>
      </c>
      <c r="G4585" t="s">
        <v>66</v>
      </c>
      <c r="H4585" t="s">
        <v>67</v>
      </c>
      <c r="S4585">
        <v>1</v>
      </c>
      <c r="T4585">
        <v>0</v>
      </c>
      <c r="U4585">
        <v>0</v>
      </c>
      <c r="V4585">
        <v>0</v>
      </c>
      <c r="W4585">
        <v>1</v>
      </c>
      <c r="X4585">
        <v>0</v>
      </c>
      <c r="Y4585">
        <v>0</v>
      </c>
      <c r="Z4585">
        <v>1</v>
      </c>
      <c r="AA4585">
        <v>1</v>
      </c>
      <c r="AB4585">
        <v>0</v>
      </c>
      <c r="AC4585">
        <v>0</v>
      </c>
      <c r="AD4585">
        <v>1</v>
      </c>
      <c r="AE4585">
        <v>1</v>
      </c>
      <c r="AF4585">
        <v>1</v>
      </c>
      <c r="AG4585">
        <v>1</v>
      </c>
      <c r="AH4585">
        <v>1</v>
      </c>
      <c r="AI4585">
        <v>1</v>
      </c>
      <c r="AJ4585">
        <v>1</v>
      </c>
      <c r="AK4585">
        <v>1</v>
      </c>
      <c r="AL4585">
        <v>1</v>
      </c>
      <c r="AM4585">
        <v>1</v>
      </c>
    </row>
    <row r="4586" spans="1:39" x14ac:dyDescent="0.2">
      <c r="A4586" t="str">
        <f>"4582"</f>
        <v>4582</v>
      </c>
      <c r="B4586" t="str">
        <f t="shared" si="252"/>
        <v>1</v>
      </c>
      <c r="C4586" t="str">
        <f t="shared" si="254"/>
        <v>92</v>
      </c>
      <c r="D4586" t="str">
        <f>"22"</f>
        <v>22</v>
      </c>
      <c r="E4586" t="str">
        <f>"1-92-22"</f>
        <v>1-92-22</v>
      </c>
      <c r="F4586" t="s">
        <v>65</v>
      </c>
      <c r="G4586" t="s">
        <v>66</v>
      </c>
      <c r="H4586" t="s">
        <v>67</v>
      </c>
      <c r="S4586">
        <v>1</v>
      </c>
      <c r="T4586">
        <v>0</v>
      </c>
      <c r="U4586">
        <v>0</v>
      </c>
      <c r="V4586">
        <v>0</v>
      </c>
      <c r="W4586">
        <v>1</v>
      </c>
      <c r="X4586">
        <v>0</v>
      </c>
      <c r="Y4586">
        <v>1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1</v>
      </c>
      <c r="AF4586">
        <v>1</v>
      </c>
      <c r="AG4586">
        <v>1</v>
      </c>
      <c r="AH4586">
        <v>1</v>
      </c>
      <c r="AI4586">
        <v>1</v>
      </c>
      <c r="AJ4586">
        <v>1</v>
      </c>
      <c r="AK4586">
        <v>1</v>
      </c>
      <c r="AL4586">
        <v>1</v>
      </c>
      <c r="AM4586">
        <v>1</v>
      </c>
    </row>
    <row r="4587" spans="1:39" x14ac:dyDescent="0.2">
      <c r="A4587" t="str">
        <f>"4583"</f>
        <v>4583</v>
      </c>
      <c r="B4587" t="str">
        <f t="shared" si="252"/>
        <v>1</v>
      </c>
      <c r="C4587" t="str">
        <f t="shared" ref="C4587:C4604" si="255">"92"</f>
        <v>92</v>
      </c>
      <c r="D4587" t="str">
        <f>"9"</f>
        <v>9</v>
      </c>
      <c r="E4587" t="str">
        <f>"1-92-9"</f>
        <v>1-92-9</v>
      </c>
      <c r="F4587" t="s">
        <v>65</v>
      </c>
      <c r="G4587" t="s">
        <v>66</v>
      </c>
      <c r="H4587" t="s">
        <v>67</v>
      </c>
      <c r="S4587">
        <v>1</v>
      </c>
      <c r="T4587">
        <v>0</v>
      </c>
      <c r="U4587">
        <v>0</v>
      </c>
      <c r="V4587">
        <v>0</v>
      </c>
      <c r="W4587">
        <v>1</v>
      </c>
      <c r="X4587">
        <v>0</v>
      </c>
      <c r="Y4587">
        <v>0</v>
      </c>
      <c r="Z4587">
        <v>1</v>
      </c>
      <c r="AA4587">
        <v>0</v>
      </c>
      <c r="AB4587">
        <v>1</v>
      </c>
      <c r="AC4587">
        <v>0</v>
      </c>
      <c r="AD4587">
        <v>1</v>
      </c>
      <c r="AE4587">
        <v>1</v>
      </c>
      <c r="AF4587">
        <v>1</v>
      </c>
      <c r="AG4587">
        <v>1</v>
      </c>
      <c r="AH4587">
        <v>1</v>
      </c>
      <c r="AI4587">
        <v>1</v>
      </c>
      <c r="AJ4587">
        <v>1</v>
      </c>
      <c r="AK4587">
        <v>1</v>
      </c>
      <c r="AL4587">
        <v>1</v>
      </c>
      <c r="AM4587">
        <v>1</v>
      </c>
    </row>
    <row r="4588" spans="1:39" x14ac:dyDescent="0.2">
      <c r="A4588" t="str">
        <f>"4584"</f>
        <v>4584</v>
      </c>
      <c r="B4588" t="str">
        <f t="shared" si="252"/>
        <v>1</v>
      </c>
      <c r="C4588" t="str">
        <f t="shared" si="255"/>
        <v>92</v>
      </c>
      <c r="D4588" t="str">
        <f>"40"</f>
        <v>40</v>
      </c>
      <c r="E4588" t="str">
        <f>"1-92-40"</f>
        <v>1-92-40</v>
      </c>
      <c r="F4588" t="s">
        <v>65</v>
      </c>
      <c r="G4588" t="s">
        <v>66</v>
      </c>
      <c r="H4588" t="s">
        <v>67</v>
      </c>
      <c r="S4588">
        <v>1</v>
      </c>
      <c r="T4588">
        <v>0</v>
      </c>
      <c r="U4588">
        <v>0</v>
      </c>
      <c r="V4588">
        <v>0</v>
      </c>
      <c r="W4588">
        <v>1</v>
      </c>
      <c r="X4588">
        <v>0</v>
      </c>
      <c r="Y4588">
        <v>1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1</v>
      </c>
      <c r="AF4588">
        <v>1</v>
      </c>
      <c r="AG4588">
        <v>1</v>
      </c>
      <c r="AH4588">
        <v>1</v>
      </c>
      <c r="AI4588">
        <v>1</v>
      </c>
      <c r="AJ4588">
        <v>1</v>
      </c>
      <c r="AK4588">
        <v>1</v>
      </c>
      <c r="AL4588">
        <v>1</v>
      </c>
      <c r="AM4588">
        <v>1</v>
      </c>
    </row>
    <row r="4589" spans="1:39" x14ac:dyDescent="0.2">
      <c r="A4589" t="str">
        <f>"4585"</f>
        <v>4585</v>
      </c>
      <c r="B4589" t="str">
        <f t="shared" si="252"/>
        <v>1</v>
      </c>
      <c r="C4589" t="str">
        <f t="shared" si="255"/>
        <v>92</v>
      </c>
      <c r="D4589" t="str">
        <f>"23"</f>
        <v>23</v>
      </c>
      <c r="E4589" t="str">
        <f>"1-92-23"</f>
        <v>1-92-23</v>
      </c>
      <c r="F4589" t="s">
        <v>65</v>
      </c>
      <c r="G4589" t="s">
        <v>66</v>
      </c>
      <c r="H4589" t="s">
        <v>67</v>
      </c>
      <c r="S4589">
        <v>0</v>
      </c>
      <c r="T4589">
        <v>1</v>
      </c>
      <c r="U4589">
        <v>0</v>
      </c>
      <c r="V4589">
        <v>0</v>
      </c>
      <c r="W4589">
        <v>1</v>
      </c>
      <c r="X4589">
        <v>0</v>
      </c>
      <c r="Y4589">
        <v>1</v>
      </c>
      <c r="Z4589">
        <v>0</v>
      </c>
      <c r="AA4589">
        <v>0</v>
      </c>
      <c r="AB4589">
        <v>1</v>
      </c>
      <c r="AC4589">
        <v>0</v>
      </c>
      <c r="AD4589">
        <v>1</v>
      </c>
      <c r="AE4589">
        <v>1</v>
      </c>
      <c r="AF4589">
        <v>1</v>
      </c>
      <c r="AG4589">
        <v>1</v>
      </c>
      <c r="AH4589">
        <v>1</v>
      </c>
      <c r="AI4589">
        <v>1</v>
      </c>
      <c r="AJ4589">
        <v>1</v>
      </c>
      <c r="AK4589">
        <v>1</v>
      </c>
      <c r="AL4589">
        <v>1</v>
      </c>
      <c r="AM4589">
        <v>1</v>
      </c>
    </row>
    <row r="4590" spans="1:39" x14ac:dyDescent="0.2">
      <c r="A4590" t="str">
        <f>"4586"</f>
        <v>4586</v>
      </c>
      <c r="B4590" t="str">
        <f t="shared" si="252"/>
        <v>1</v>
      </c>
      <c r="C4590" t="str">
        <f t="shared" si="255"/>
        <v>92</v>
      </c>
      <c r="D4590" t="str">
        <f>"14"</f>
        <v>14</v>
      </c>
      <c r="E4590" t="str">
        <f>"1-92-14"</f>
        <v>1-92-14</v>
      </c>
      <c r="F4590" t="s">
        <v>65</v>
      </c>
      <c r="G4590" t="s">
        <v>66</v>
      </c>
      <c r="H4590" t="s">
        <v>67</v>
      </c>
      <c r="S4590">
        <v>1</v>
      </c>
      <c r="T4590">
        <v>0</v>
      </c>
      <c r="U4590">
        <v>0</v>
      </c>
      <c r="V4590">
        <v>0</v>
      </c>
      <c r="W4590">
        <v>0</v>
      </c>
      <c r="X4590">
        <v>1</v>
      </c>
      <c r="Y4590">
        <v>1</v>
      </c>
      <c r="Z4590">
        <v>0</v>
      </c>
      <c r="AA4590">
        <v>0</v>
      </c>
      <c r="AB4590">
        <v>1</v>
      </c>
      <c r="AC4590">
        <v>0</v>
      </c>
      <c r="AD4590">
        <v>1</v>
      </c>
      <c r="AE4590">
        <v>1</v>
      </c>
      <c r="AF4590">
        <v>1</v>
      </c>
      <c r="AG4590">
        <v>1</v>
      </c>
      <c r="AH4590">
        <v>1</v>
      </c>
      <c r="AI4590">
        <v>1</v>
      </c>
      <c r="AJ4590">
        <v>1</v>
      </c>
      <c r="AK4590">
        <v>1</v>
      </c>
      <c r="AL4590">
        <v>1</v>
      </c>
      <c r="AM4590">
        <v>1</v>
      </c>
    </row>
    <row r="4591" spans="1:39" x14ac:dyDescent="0.2">
      <c r="A4591" t="str">
        <f>"4587"</f>
        <v>4587</v>
      </c>
      <c r="B4591" t="str">
        <f t="shared" si="252"/>
        <v>1</v>
      </c>
      <c r="C4591" t="str">
        <f t="shared" si="255"/>
        <v>92</v>
      </c>
      <c r="D4591" t="str">
        <f>"41"</f>
        <v>41</v>
      </c>
      <c r="E4591" t="str">
        <f>"1-92-41"</f>
        <v>1-92-41</v>
      </c>
      <c r="F4591" t="s">
        <v>65</v>
      </c>
      <c r="G4591" t="s">
        <v>66</v>
      </c>
      <c r="H4591" t="s">
        <v>67</v>
      </c>
      <c r="S4591">
        <v>1</v>
      </c>
      <c r="T4591">
        <v>0</v>
      </c>
      <c r="U4591">
        <v>0</v>
      </c>
      <c r="V4591">
        <v>0</v>
      </c>
      <c r="W4591">
        <v>1</v>
      </c>
      <c r="X4591">
        <v>0</v>
      </c>
      <c r="Y4591">
        <v>1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1</v>
      </c>
      <c r="AF4591">
        <v>1</v>
      </c>
      <c r="AG4591">
        <v>1</v>
      </c>
      <c r="AH4591">
        <v>1</v>
      </c>
      <c r="AI4591">
        <v>1</v>
      </c>
      <c r="AJ4591">
        <v>1</v>
      </c>
      <c r="AK4591">
        <v>1</v>
      </c>
      <c r="AL4591">
        <v>1</v>
      </c>
      <c r="AM4591">
        <v>1</v>
      </c>
    </row>
    <row r="4592" spans="1:39" x14ac:dyDescent="0.2">
      <c r="A4592" t="str">
        <f>"4588"</f>
        <v>4588</v>
      </c>
      <c r="B4592" t="str">
        <f t="shared" si="252"/>
        <v>1</v>
      </c>
      <c r="C4592" t="str">
        <f t="shared" si="255"/>
        <v>92</v>
      </c>
      <c r="D4592" t="str">
        <f>"24"</f>
        <v>24</v>
      </c>
      <c r="E4592" t="str">
        <f>"1-92-24"</f>
        <v>1-92-24</v>
      </c>
      <c r="F4592" t="s">
        <v>65</v>
      </c>
      <c r="G4592" t="s">
        <v>66</v>
      </c>
      <c r="H4592" t="s">
        <v>67</v>
      </c>
      <c r="S4592">
        <v>0</v>
      </c>
      <c r="T4592">
        <v>1</v>
      </c>
      <c r="U4592">
        <v>0</v>
      </c>
      <c r="V4592">
        <v>0</v>
      </c>
      <c r="W4592">
        <v>1</v>
      </c>
      <c r="X4592">
        <v>0</v>
      </c>
      <c r="Y4592">
        <v>0</v>
      </c>
      <c r="Z4592">
        <v>1</v>
      </c>
      <c r="AA4592">
        <v>0</v>
      </c>
      <c r="AB4592">
        <v>0</v>
      </c>
      <c r="AC4592">
        <v>1</v>
      </c>
      <c r="AD4592">
        <v>1</v>
      </c>
      <c r="AE4592">
        <v>1</v>
      </c>
      <c r="AF4592">
        <v>1</v>
      </c>
      <c r="AG4592">
        <v>1</v>
      </c>
      <c r="AH4592">
        <v>0</v>
      </c>
      <c r="AI4592">
        <v>0</v>
      </c>
      <c r="AJ4592">
        <v>0</v>
      </c>
      <c r="AK4592">
        <v>1</v>
      </c>
      <c r="AL4592">
        <v>1</v>
      </c>
      <c r="AM4592">
        <v>0</v>
      </c>
    </row>
    <row r="4593" spans="1:39" x14ac:dyDescent="0.2">
      <c r="A4593" t="str">
        <f>"4589"</f>
        <v>4589</v>
      </c>
      <c r="B4593" t="str">
        <f t="shared" si="252"/>
        <v>1</v>
      </c>
      <c r="C4593" t="str">
        <f t="shared" si="255"/>
        <v>92</v>
      </c>
      <c r="D4593" t="str">
        <f>"10"</f>
        <v>10</v>
      </c>
      <c r="E4593" t="str">
        <f>"1-92-10"</f>
        <v>1-92-10</v>
      </c>
      <c r="F4593" t="s">
        <v>65</v>
      </c>
      <c r="G4593" t="s">
        <v>66</v>
      </c>
      <c r="H4593" t="s">
        <v>67</v>
      </c>
      <c r="S4593">
        <v>1</v>
      </c>
      <c r="T4593">
        <v>0</v>
      </c>
      <c r="U4593">
        <v>0</v>
      </c>
      <c r="V4593">
        <v>0</v>
      </c>
      <c r="W4593">
        <v>1</v>
      </c>
      <c r="X4593">
        <v>0</v>
      </c>
      <c r="Y4593">
        <v>1</v>
      </c>
      <c r="Z4593">
        <v>0</v>
      </c>
      <c r="AA4593">
        <v>0</v>
      </c>
      <c r="AB4593">
        <v>0</v>
      </c>
      <c r="AC4593">
        <v>1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</row>
    <row r="4594" spans="1:39" x14ac:dyDescent="0.2">
      <c r="A4594" t="str">
        <f>"4590"</f>
        <v>4590</v>
      </c>
      <c r="B4594" t="str">
        <f t="shared" si="252"/>
        <v>1</v>
      </c>
      <c r="C4594" t="str">
        <f t="shared" si="255"/>
        <v>92</v>
      </c>
      <c r="D4594" t="str">
        <f>"25"</f>
        <v>25</v>
      </c>
      <c r="E4594" t="str">
        <f>"1-92-25"</f>
        <v>1-92-25</v>
      </c>
      <c r="F4594" t="s">
        <v>65</v>
      </c>
      <c r="G4594" t="s">
        <v>66</v>
      </c>
      <c r="H4594" t="s">
        <v>67</v>
      </c>
      <c r="S4594">
        <v>0</v>
      </c>
      <c r="T4594">
        <v>1</v>
      </c>
      <c r="U4594">
        <v>0</v>
      </c>
      <c r="V4594">
        <v>0</v>
      </c>
      <c r="W4594">
        <v>1</v>
      </c>
      <c r="X4594">
        <v>0</v>
      </c>
      <c r="Y4594">
        <v>0</v>
      </c>
      <c r="Z4594">
        <v>1</v>
      </c>
      <c r="AA4594">
        <v>0</v>
      </c>
      <c r="AB4594">
        <v>0</v>
      </c>
      <c r="AC4594">
        <v>1</v>
      </c>
      <c r="AD4594">
        <v>1</v>
      </c>
      <c r="AE4594">
        <v>1</v>
      </c>
      <c r="AF4594">
        <v>1</v>
      </c>
      <c r="AG4594">
        <v>1</v>
      </c>
      <c r="AH4594">
        <v>1</v>
      </c>
      <c r="AI4594">
        <v>0</v>
      </c>
      <c r="AJ4594">
        <v>0</v>
      </c>
      <c r="AK4594">
        <v>1</v>
      </c>
      <c r="AL4594">
        <v>1</v>
      </c>
      <c r="AM4594">
        <v>1</v>
      </c>
    </row>
    <row r="4595" spans="1:39" x14ac:dyDescent="0.2">
      <c r="A4595" t="str">
        <f>"4591"</f>
        <v>4591</v>
      </c>
      <c r="B4595" t="str">
        <f t="shared" si="252"/>
        <v>1</v>
      </c>
      <c r="C4595" t="str">
        <f t="shared" si="255"/>
        <v>92</v>
      </c>
      <c r="D4595" t="str">
        <f>"4"</f>
        <v>4</v>
      </c>
      <c r="E4595" t="str">
        <f>"1-92-4"</f>
        <v>1-92-4</v>
      </c>
      <c r="F4595" t="s">
        <v>65</v>
      </c>
      <c r="G4595" t="s">
        <v>66</v>
      </c>
      <c r="H4595" t="s">
        <v>67</v>
      </c>
      <c r="S4595">
        <v>0</v>
      </c>
      <c r="T4595">
        <v>1</v>
      </c>
      <c r="U4595">
        <v>0</v>
      </c>
      <c r="V4595">
        <v>0</v>
      </c>
      <c r="W4595">
        <v>1</v>
      </c>
      <c r="X4595">
        <v>0</v>
      </c>
      <c r="Y4595">
        <v>0</v>
      </c>
      <c r="Z4595">
        <v>1</v>
      </c>
      <c r="AA4595">
        <v>0</v>
      </c>
      <c r="AB4595">
        <v>0</v>
      </c>
      <c r="AC4595">
        <v>1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</row>
    <row r="4596" spans="1:39" x14ac:dyDescent="0.2">
      <c r="A4596" t="str">
        <f>"4592"</f>
        <v>4592</v>
      </c>
      <c r="B4596" t="str">
        <f t="shared" si="252"/>
        <v>1</v>
      </c>
      <c r="C4596" t="str">
        <f t="shared" si="255"/>
        <v>92</v>
      </c>
      <c r="D4596" t="str">
        <f>"27"</f>
        <v>27</v>
      </c>
      <c r="E4596" t="str">
        <f>"1-92-27"</f>
        <v>1-92-27</v>
      </c>
      <c r="F4596" t="s">
        <v>65</v>
      </c>
      <c r="G4596" t="s">
        <v>66</v>
      </c>
      <c r="H4596" t="s">
        <v>67</v>
      </c>
      <c r="S4596">
        <v>0</v>
      </c>
      <c r="T4596">
        <v>1</v>
      </c>
      <c r="U4596">
        <v>0</v>
      </c>
      <c r="V4596">
        <v>0</v>
      </c>
      <c r="W4596">
        <v>1</v>
      </c>
      <c r="X4596">
        <v>0</v>
      </c>
      <c r="Y4596">
        <v>1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1</v>
      </c>
      <c r="AF4596">
        <v>1</v>
      </c>
      <c r="AG4596">
        <v>1</v>
      </c>
      <c r="AH4596">
        <v>1</v>
      </c>
      <c r="AI4596">
        <v>1</v>
      </c>
      <c r="AJ4596">
        <v>1</v>
      </c>
      <c r="AK4596">
        <v>1</v>
      </c>
      <c r="AL4596">
        <v>1</v>
      </c>
      <c r="AM4596">
        <v>1</v>
      </c>
    </row>
    <row r="4597" spans="1:39" x14ac:dyDescent="0.2">
      <c r="A4597" t="str">
        <f>"4593"</f>
        <v>4593</v>
      </c>
      <c r="B4597" t="str">
        <f t="shared" si="252"/>
        <v>1</v>
      </c>
      <c r="C4597" t="str">
        <f t="shared" si="255"/>
        <v>92</v>
      </c>
      <c r="D4597" t="str">
        <f>"5"</f>
        <v>5</v>
      </c>
      <c r="E4597" t="str">
        <f>"1-92-5"</f>
        <v>1-92-5</v>
      </c>
      <c r="F4597" t="s">
        <v>65</v>
      </c>
      <c r="G4597" t="s">
        <v>66</v>
      </c>
      <c r="H4597" t="s">
        <v>67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1</v>
      </c>
      <c r="AI4597">
        <v>1</v>
      </c>
      <c r="AJ4597">
        <v>0</v>
      </c>
      <c r="AK4597">
        <v>0</v>
      </c>
      <c r="AL4597">
        <v>1</v>
      </c>
      <c r="AM4597">
        <v>0</v>
      </c>
    </row>
    <row r="4598" spans="1:39" x14ac:dyDescent="0.2">
      <c r="A4598" t="str">
        <f>"4594"</f>
        <v>4594</v>
      </c>
      <c r="B4598" t="str">
        <f t="shared" si="252"/>
        <v>1</v>
      </c>
      <c r="C4598" t="str">
        <f t="shared" si="255"/>
        <v>92</v>
      </c>
      <c r="D4598" t="str">
        <f>"49"</f>
        <v>49</v>
      </c>
      <c r="E4598" t="str">
        <f>"1-92-49"</f>
        <v>1-92-49</v>
      </c>
      <c r="F4598" t="s">
        <v>65</v>
      </c>
      <c r="G4598" t="s">
        <v>66</v>
      </c>
      <c r="H4598" t="s">
        <v>67</v>
      </c>
      <c r="S4598">
        <v>1</v>
      </c>
      <c r="T4598">
        <v>0</v>
      </c>
      <c r="U4598">
        <v>0</v>
      </c>
      <c r="V4598">
        <v>0</v>
      </c>
      <c r="W4598">
        <v>1</v>
      </c>
      <c r="X4598">
        <v>0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1</v>
      </c>
      <c r="AF4598">
        <v>1</v>
      </c>
      <c r="AG4598">
        <v>1</v>
      </c>
      <c r="AH4598">
        <v>1</v>
      </c>
      <c r="AI4598">
        <v>1</v>
      </c>
      <c r="AJ4598">
        <v>1</v>
      </c>
      <c r="AK4598">
        <v>1</v>
      </c>
      <c r="AL4598">
        <v>1</v>
      </c>
      <c r="AM4598">
        <v>1</v>
      </c>
    </row>
    <row r="4599" spans="1:39" x14ac:dyDescent="0.2">
      <c r="A4599" t="str">
        <f>"4595"</f>
        <v>4595</v>
      </c>
      <c r="B4599" t="str">
        <f t="shared" ref="B4599:B4662" si="256">"1"</f>
        <v>1</v>
      </c>
      <c r="C4599" t="str">
        <f t="shared" si="255"/>
        <v>92</v>
      </c>
      <c r="D4599" t="str">
        <f>"29"</f>
        <v>29</v>
      </c>
      <c r="E4599" t="str">
        <f>"1-92-29"</f>
        <v>1-92-29</v>
      </c>
      <c r="F4599" t="s">
        <v>65</v>
      </c>
      <c r="G4599" t="s">
        <v>66</v>
      </c>
      <c r="H4599" t="s">
        <v>67</v>
      </c>
      <c r="S4599">
        <v>1</v>
      </c>
      <c r="T4599">
        <v>0</v>
      </c>
      <c r="U4599">
        <v>0</v>
      </c>
      <c r="V4599">
        <v>0</v>
      </c>
      <c r="W4599">
        <v>1</v>
      </c>
      <c r="X4599">
        <v>0</v>
      </c>
      <c r="Y4599">
        <v>1</v>
      </c>
      <c r="Z4599">
        <v>0</v>
      </c>
      <c r="AA4599">
        <v>0</v>
      </c>
      <c r="AB4599">
        <v>0</v>
      </c>
      <c r="AC4599">
        <v>1</v>
      </c>
      <c r="AD4599">
        <v>1</v>
      </c>
      <c r="AE4599">
        <v>1</v>
      </c>
      <c r="AF4599">
        <v>1</v>
      </c>
      <c r="AG4599">
        <v>1</v>
      </c>
      <c r="AH4599">
        <v>1</v>
      </c>
      <c r="AI4599">
        <v>1</v>
      </c>
      <c r="AJ4599">
        <v>1</v>
      </c>
      <c r="AK4599">
        <v>1</v>
      </c>
      <c r="AL4599">
        <v>1</v>
      </c>
      <c r="AM4599">
        <v>1</v>
      </c>
    </row>
    <row r="4600" spans="1:39" x14ac:dyDescent="0.2">
      <c r="A4600" t="str">
        <f>"4596"</f>
        <v>4596</v>
      </c>
      <c r="B4600" t="str">
        <f t="shared" si="256"/>
        <v>1</v>
      </c>
      <c r="C4600" t="str">
        <f t="shared" si="255"/>
        <v>92</v>
      </c>
      <c r="D4600" t="str">
        <f>"12"</f>
        <v>12</v>
      </c>
      <c r="E4600" t="str">
        <f>"1-92-12"</f>
        <v>1-92-12</v>
      </c>
      <c r="F4600" t="s">
        <v>65</v>
      </c>
      <c r="G4600" t="s">
        <v>66</v>
      </c>
      <c r="H4600" t="s">
        <v>67</v>
      </c>
      <c r="S4600">
        <v>0</v>
      </c>
      <c r="T4600">
        <v>1</v>
      </c>
      <c r="U4600">
        <v>0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0</v>
      </c>
      <c r="AB4600">
        <v>0</v>
      </c>
      <c r="AC4600">
        <v>1</v>
      </c>
      <c r="AD4600">
        <v>1</v>
      </c>
      <c r="AE4600">
        <v>1</v>
      </c>
      <c r="AF4600">
        <v>1</v>
      </c>
      <c r="AG4600">
        <v>1</v>
      </c>
      <c r="AH4600">
        <v>1</v>
      </c>
      <c r="AI4600">
        <v>1</v>
      </c>
      <c r="AJ4600">
        <v>1</v>
      </c>
      <c r="AK4600">
        <v>1</v>
      </c>
      <c r="AL4600">
        <v>1</v>
      </c>
      <c r="AM4600">
        <v>0</v>
      </c>
    </row>
    <row r="4601" spans="1:39" x14ac:dyDescent="0.2">
      <c r="A4601" t="str">
        <f>"4597"</f>
        <v>4597</v>
      </c>
      <c r="B4601" t="str">
        <f t="shared" si="256"/>
        <v>1</v>
      </c>
      <c r="C4601" t="str">
        <f t="shared" si="255"/>
        <v>92</v>
      </c>
      <c r="D4601" t="str">
        <f>"44"</f>
        <v>44</v>
      </c>
      <c r="E4601" t="str">
        <f>"1-92-44"</f>
        <v>1-92-44</v>
      </c>
      <c r="F4601" t="s">
        <v>65</v>
      </c>
      <c r="G4601" t="s">
        <v>66</v>
      </c>
      <c r="H4601" t="s">
        <v>67</v>
      </c>
      <c r="S4601">
        <v>1</v>
      </c>
      <c r="T4601">
        <v>0</v>
      </c>
      <c r="U4601">
        <v>0</v>
      </c>
      <c r="V4601">
        <v>0</v>
      </c>
      <c r="W4601">
        <v>1</v>
      </c>
      <c r="X4601">
        <v>0</v>
      </c>
      <c r="Y4601">
        <v>1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1</v>
      </c>
      <c r="AF4601">
        <v>1</v>
      </c>
      <c r="AG4601">
        <v>1</v>
      </c>
      <c r="AH4601">
        <v>1</v>
      </c>
      <c r="AI4601">
        <v>1</v>
      </c>
      <c r="AJ4601">
        <v>1</v>
      </c>
      <c r="AK4601">
        <v>1</v>
      </c>
      <c r="AL4601">
        <v>1</v>
      </c>
      <c r="AM4601">
        <v>1</v>
      </c>
    </row>
    <row r="4602" spans="1:39" x14ac:dyDescent="0.2">
      <c r="A4602" t="str">
        <f>"4598"</f>
        <v>4598</v>
      </c>
      <c r="B4602" t="str">
        <f t="shared" si="256"/>
        <v>1</v>
      </c>
      <c r="C4602" t="str">
        <f t="shared" si="255"/>
        <v>92</v>
      </c>
      <c r="D4602" t="str">
        <f>"30"</f>
        <v>30</v>
      </c>
      <c r="E4602" t="str">
        <f>"1-92-30"</f>
        <v>1-92-30</v>
      </c>
      <c r="F4602" t="s">
        <v>65</v>
      </c>
      <c r="G4602" t="s">
        <v>66</v>
      </c>
      <c r="H4602" t="s">
        <v>67</v>
      </c>
      <c r="S4602">
        <v>1</v>
      </c>
      <c r="T4602">
        <v>0</v>
      </c>
      <c r="U4602">
        <v>0</v>
      </c>
      <c r="V4602">
        <v>0</v>
      </c>
      <c r="W4602">
        <v>1</v>
      </c>
      <c r="X4602">
        <v>0</v>
      </c>
      <c r="Y4602">
        <v>1</v>
      </c>
      <c r="Z4602">
        <v>0</v>
      </c>
      <c r="AA4602">
        <v>0</v>
      </c>
      <c r="AB4602">
        <v>0</v>
      </c>
      <c r="AC4602">
        <v>1</v>
      </c>
      <c r="AD4602">
        <v>1</v>
      </c>
      <c r="AE4602">
        <v>1</v>
      </c>
      <c r="AF4602">
        <v>1</v>
      </c>
      <c r="AG4602">
        <v>1</v>
      </c>
      <c r="AH4602">
        <v>1</v>
      </c>
      <c r="AI4602">
        <v>1</v>
      </c>
      <c r="AJ4602">
        <v>1</v>
      </c>
      <c r="AK4602">
        <v>1</v>
      </c>
      <c r="AL4602">
        <v>1</v>
      </c>
      <c r="AM4602">
        <v>1</v>
      </c>
    </row>
    <row r="4603" spans="1:39" x14ac:dyDescent="0.2">
      <c r="A4603" t="str">
        <f>"4599"</f>
        <v>4599</v>
      </c>
      <c r="B4603" t="str">
        <f t="shared" si="256"/>
        <v>1</v>
      </c>
      <c r="C4603" t="str">
        <f t="shared" si="255"/>
        <v>92</v>
      </c>
      <c r="D4603" t="str">
        <f>"6"</f>
        <v>6</v>
      </c>
      <c r="E4603" t="str">
        <f>"1-92-6"</f>
        <v>1-92-6</v>
      </c>
      <c r="F4603" t="s">
        <v>65</v>
      </c>
      <c r="G4603" t="s">
        <v>66</v>
      </c>
      <c r="H4603" t="s">
        <v>67</v>
      </c>
      <c r="S4603">
        <v>0</v>
      </c>
      <c r="T4603">
        <v>1</v>
      </c>
      <c r="U4603">
        <v>0</v>
      </c>
      <c r="V4603">
        <v>0</v>
      </c>
      <c r="W4603">
        <v>0</v>
      </c>
      <c r="X4603">
        <v>1</v>
      </c>
      <c r="Y4603">
        <v>1</v>
      </c>
      <c r="Z4603">
        <v>0</v>
      </c>
      <c r="AA4603">
        <v>0</v>
      </c>
      <c r="AB4603">
        <v>1</v>
      </c>
      <c r="AC4603">
        <v>0</v>
      </c>
      <c r="AD4603">
        <v>1</v>
      </c>
      <c r="AE4603">
        <v>1</v>
      </c>
      <c r="AF4603">
        <v>1</v>
      </c>
      <c r="AG4603">
        <v>1</v>
      </c>
      <c r="AH4603">
        <v>1</v>
      </c>
      <c r="AI4603">
        <v>1</v>
      </c>
      <c r="AJ4603">
        <v>1</v>
      </c>
      <c r="AK4603">
        <v>1</v>
      </c>
      <c r="AL4603">
        <v>1</v>
      </c>
      <c r="AM4603">
        <v>0</v>
      </c>
    </row>
    <row r="4604" spans="1:39" x14ac:dyDescent="0.2">
      <c r="A4604" t="str">
        <f>"4600"</f>
        <v>4600</v>
      </c>
      <c r="B4604" t="str">
        <f t="shared" si="256"/>
        <v>1</v>
      </c>
      <c r="C4604" t="str">
        <f t="shared" si="255"/>
        <v>92</v>
      </c>
      <c r="D4604" t="str">
        <f>"50"</f>
        <v>50</v>
      </c>
      <c r="E4604" t="str">
        <f>"1-92-50"</f>
        <v>1-92-50</v>
      </c>
      <c r="F4604" t="s">
        <v>65</v>
      </c>
      <c r="G4604" t="s">
        <v>66</v>
      </c>
      <c r="H4604" t="s">
        <v>67</v>
      </c>
      <c r="S4604">
        <v>1</v>
      </c>
      <c r="T4604">
        <v>0</v>
      </c>
      <c r="U4604">
        <v>0</v>
      </c>
      <c r="V4604">
        <v>0</v>
      </c>
      <c r="W4604">
        <v>1</v>
      </c>
      <c r="X4604">
        <v>0</v>
      </c>
      <c r="Y4604">
        <v>1</v>
      </c>
      <c r="Z4604">
        <v>0</v>
      </c>
      <c r="AA4604">
        <v>1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1</v>
      </c>
      <c r="AJ4604">
        <v>1</v>
      </c>
      <c r="AK4604">
        <v>1</v>
      </c>
      <c r="AL4604">
        <v>0</v>
      </c>
      <c r="AM4604">
        <v>0</v>
      </c>
    </row>
    <row r="4605" spans="1:39" x14ac:dyDescent="0.2">
      <c r="A4605" t="str">
        <f>"4601"</f>
        <v>4601</v>
      </c>
      <c r="B4605" t="str">
        <f t="shared" si="256"/>
        <v>1</v>
      </c>
      <c r="C4605" t="str">
        <f t="shared" ref="C4605:C4636" si="257">"93"</f>
        <v>93</v>
      </c>
      <c r="D4605" t="str">
        <f>"36"</f>
        <v>36</v>
      </c>
      <c r="E4605" t="str">
        <f>"1-93-36"</f>
        <v>1-93-36</v>
      </c>
      <c r="F4605" t="s">
        <v>65</v>
      </c>
      <c r="G4605" t="s">
        <v>66</v>
      </c>
      <c r="H4605" t="s">
        <v>67</v>
      </c>
      <c r="S4605">
        <v>0</v>
      </c>
      <c r="T4605">
        <v>1</v>
      </c>
      <c r="U4605">
        <v>0</v>
      </c>
      <c r="V4605">
        <v>0</v>
      </c>
      <c r="W4605">
        <v>1</v>
      </c>
      <c r="X4605">
        <v>0</v>
      </c>
      <c r="Y4605">
        <v>0</v>
      </c>
      <c r="Z4605">
        <v>1</v>
      </c>
      <c r="AA4605">
        <v>1</v>
      </c>
      <c r="AB4605">
        <v>0</v>
      </c>
      <c r="AC4605">
        <v>0</v>
      </c>
      <c r="AD4605">
        <v>1</v>
      </c>
      <c r="AE4605">
        <v>1</v>
      </c>
      <c r="AF4605">
        <v>1</v>
      </c>
      <c r="AG4605">
        <v>1</v>
      </c>
      <c r="AH4605">
        <v>1</v>
      </c>
      <c r="AI4605">
        <v>1</v>
      </c>
      <c r="AJ4605">
        <v>1</v>
      </c>
      <c r="AK4605">
        <v>1</v>
      </c>
      <c r="AL4605">
        <v>1</v>
      </c>
      <c r="AM4605">
        <v>1</v>
      </c>
    </row>
    <row r="4606" spans="1:39" x14ac:dyDescent="0.2">
      <c r="A4606" t="str">
        <f>"4602"</f>
        <v>4602</v>
      </c>
      <c r="B4606" t="str">
        <f t="shared" si="256"/>
        <v>1</v>
      </c>
      <c r="C4606" t="str">
        <f t="shared" si="257"/>
        <v>93</v>
      </c>
      <c r="D4606" t="str">
        <f>"35"</f>
        <v>35</v>
      </c>
      <c r="E4606" t="str">
        <f>"1-93-35"</f>
        <v>1-93-35</v>
      </c>
      <c r="F4606" t="s">
        <v>65</v>
      </c>
      <c r="G4606" t="s">
        <v>66</v>
      </c>
      <c r="H4606" t="s">
        <v>67</v>
      </c>
      <c r="S4606">
        <v>0</v>
      </c>
      <c r="T4606">
        <v>1</v>
      </c>
      <c r="U4606">
        <v>0</v>
      </c>
      <c r="V4606">
        <v>0</v>
      </c>
      <c r="W4606">
        <v>1</v>
      </c>
      <c r="X4606">
        <v>0</v>
      </c>
      <c r="Y4606">
        <v>0</v>
      </c>
      <c r="Z4606">
        <v>1</v>
      </c>
      <c r="AA4606">
        <v>1</v>
      </c>
      <c r="AB4606">
        <v>0</v>
      </c>
      <c r="AC4606">
        <v>0</v>
      </c>
      <c r="AD4606">
        <v>1</v>
      </c>
      <c r="AE4606">
        <v>1</v>
      </c>
      <c r="AF4606">
        <v>1</v>
      </c>
      <c r="AG4606">
        <v>1</v>
      </c>
      <c r="AH4606">
        <v>1</v>
      </c>
      <c r="AI4606">
        <v>1</v>
      </c>
      <c r="AJ4606">
        <v>1</v>
      </c>
      <c r="AK4606">
        <v>1</v>
      </c>
      <c r="AL4606">
        <v>1</v>
      </c>
      <c r="AM4606">
        <v>1</v>
      </c>
    </row>
    <row r="4607" spans="1:39" x14ac:dyDescent="0.2">
      <c r="A4607" t="str">
        <f>"4603"</f>
        <v>4603</v>
      </c>
      <c r="B4607" t="str">
        <f t="shared" si="256"/>
        <v>1</v>
      </c>
      <c r="C4607" t="str">
        <f t="shared" si="257"/>
        <v>93</v>
      </c>
      <c r="D4607" t="str">
        <f>"22"</f>
        <v>22</v>
      </c>
      <c r="E4607" t="str">
        <f>"1-93-22"</f>
        <v>1-93-22</v>
      </c>
      <c r="F4607" t="s">
        <v>65</v>
      </c>
      <c r="G4607" t="s">
        <v>66</v>
      </c>
      <c r="H4607" t="s">
        <v>67</v>
      </c>
      <c r="S4607">
        <v>1</v>
      </c>
      <c r="T4607">
        <v>0</v>
      </c>
      <c r="U4607">
        <v>0</v>
      </c>
      <c r="V4607">
        <v>0</v>
      </c>
      <c r="W4607">
        <v>1</v>
      </c>
      <c r="X4607">
        <v>0</v>
      </c>
      <c r="Y4607">
        <v>1</v>
      </c>
      <c r="Z4607">
        <v>0</v>
      </c>
      <c r="AA4607">
        <v>0</v>
      </c>
      <c r="AB4607">
        <v>1</v>
      </c>
      <c r="AC4607">
        <v>0</v>
      </c>
      <c r="AD4607">
        <v>1</v>
      </c>
      <c r="AE4607">
        <v>1</v>
      </c>
      <c r="AF4607">
        <v>1</v>
      </c>
      <c r="AG4607">
        <v>1</v>
      </c>
      <c r="AH4607">
        <v>1</v>
      </c>
      <c r="AI4607">
        <v>1</v>
      </c>
      <c r="AJ4607">
        <v>1</v>
      </c>
      <c r="AK4607">
        <v>1</v>
      </c>
      <c r="AL4607">
        <v>1</v>
      </c>
      <c r="AM4607">
        <v>1</v>
      </c>
    </row>
    <row r="4608" spans="1:39" x14ac:dyDescent="0.2">
      <c r="A4608" t="str">
        <f>"4604"</f>
        <v>4604</v>
      </c>
      <c r="B4608" t="str">
        <f t="shared" si="256"/>
        <v>1</v>
      </c>
      <c r="C4608" t="str">
        <f t="shared" si="257"/>
        <v>93</v>
      </c>
      <c r="D4608" t="str">
        <f>"15"</f>
        <v>15</v>
      </c>
      <c r="E4608" t="str">
        <f>"1-93-15"</f>
        <v>1-93-15</v>
      </c>
      <c r="F4608" t="s">
        <v>65</v>
      </c>
      <c r="G4608" t="s">
        <v>66</v>
      </c>
      <c r="H4608" t="s">
        <v>67</v>
      </c>
      <c r="S4608">
        <v>0</v>
      </c>
      <c r="T4608">
        <v>1</v>
      </c>
      <c r="U4608">
        <v>0</v>
      </c>
      <c r="V4608">
        <v>0</v>
      </c>
      <c r="W4608">
        <v>0</v>
      </c>
      <c r="X4608">
        <v>1</v>
      </c>
      <c r="Y4608">
        <v>1</v>
      </c>
      <c r="Z4608">
        <v>0</v>
      </c>
      <c r="AA4608">
        <v>0</v>
      </c>
      <c r="AB4608">
        <v>0</v>
      </c>
      <c r="AC4608">
        <v>1</v>
      </c>
      <c r="AD4608">
        <v>0</v>
      </c>
      <c r="AE4608">
        <v>0</v>
      </c>
      <c r="AF4608">
        <v>0</v>
      </c>
      <c r="AG4608">
        <v>1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</row>
    <row r="4609" spans="1:39" x14ac:dyDescent="0.2">
      <c r="A4609" t="str">
        <f>"4605"</f>
        <v>4605</v>
      </c>
      <c r="B4609" t="str">
        <f t="shared" si="256"/>
        <v>1</v>
      </c>
      <c r="C4609" t="str">
        <f t="shared" si="257"/>
        <v>93</v>
      </c>
      <c r="D4609" t="str">
        <f>"3"</f>
        <v>3</v>
      </c>
      <c r="E4609" t="str">
        <f>"1-93-3"</f>
        <v>1-93-3</v>
      </c>
      <c r="F4609" t="s">
        <v>65</v>
      </c>
      <c r="G4609" t="s">
        <v>66</v>
      </c>
      <c r="H4609" t="s">
        <v>67</v>
      </c>
      <c r="S4609">
        <v>1</v>
      </c>
      <c r="T4609">
        <v>0</v>
      </c>
      <c r="U4609">
        <v>0</v>
      </c>
      <c r="V4609">
        <v>0</v>
      </c>
      <c r="W4609">
        <v>1</v>
      </c>
      <c r="X4609">
        <v>0</v>
      </c>
      <c r="Y4609">
        <v>0</v>
      </c>
      <c r="Z4609">
        <v>1</v>
      </c>
      <c r="AA4609">
        <v>1</v>
      </c>
      <c r="AB4609">
        <v>0</v>
      </c>
      <c r="AC4609">
        <v>0</v>
      </c>
      <c r="AD4609">
        <v>1</v>
      </c>
      <c r="AE4609">
        <v>1</v>
      </c>
      <c r="AF4609">
        <v>1</v>
      </c>
      <c r="AG4609">
        <v>1</v>
      </c>
      <c r="AH4609">
        <v>1</v>
      </c>
      <c r="AI4609">
        <v>1</v>
      </c>
      <c r="AJ4609">
        <v>1</v>
      </c>
      <c r="AK4609">
        <v>1</v>
      </c>
      <c r="AL4609">
        <v>1</v>
      </c>
      <c r="AM4609">
        <v>1</v>
      </c>
    </row>
    <row r="4610" spans="1:39" x14ac:dyDescent="0.2">
      <c r="A4610" t="str">
        <f>"4606"</f>
        <v>4606</v>
      </c>
      <c r="B4610" t="str">
        <f t="shared" si="256"/>
        <v>1</v>
      </c>
      <c r="C4610" t="str">
        <f t="shared" si="257"/>
        <v>93</v>
      </c>
      <c r="D4610" t="str">
        <f>"38"</f>
        <v>38</v>
      </c>
      <c r="E4610" t="str">
        <f>"1-93-38"</f>
        <v>1-93-38</v>
      </c>
      <c r="F4610" t="s">
        <v>65</v>
      </c>
      <c r="G4610" t="s">
        <v>66</v>
      </c>
      <c r="H4610" t="s">
        <v>67</v>
      </c>
      <c r="S4610">
        <v>1</v>
      </c>
      <c r="T4610">
        <v>0</v>
      </c>
      <c r="U4610">
        <v>0</v>
      </c>
      <c r="V4610">
        <v>0</v>
      </c>
      <c r="W4610">
        <v>1</v>
      </c>
      <c r="X4610">
        <v>0</v>
      </c>
      <c r="Y4610">
        <v>1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1</v>
      </c>
      <c r="AH4610">
        <v>0</v>
      </c>
      <c r="AI4610">
        <v>0</v>
      </c>
      <c r="AJ4610">
        <v>0</v>
      </c>
      <c r="AK4610">
        <v>0</v>
      </c>
      <c r="AL4610">
        <v>1</v>
      </c>
      <c r="AM4610">
        <v>0</v>
      </c>
    </row>
    <row r="4611" spans="1:39" x14ac:dyDescent="0.2">
      <c r="A4611" t="str">
        <f>"4607"</f>
        <v>4607</v>
      </c>
      <c r="B4611" t="str">
        <f t="shared" si="256"/>
        <v>1</v>
      </c>
      <c r="C4611" t="str">
        <f t="shared" si="257"/>
        <v>93</v>
      </c>
      <c r="D4611" t="str">
        <f>"37"</f>
        <v>37</v>
      </c>
      <c r="E4611" t="str">
        <f>"1-93-37"</f>
        <v>1-93-37</v>
      </c>
      <c r="F4611" t="s">
        <v>65</v>
      </c>
      <c r="G4611" t="s">
        <v>66</v>
      </c>
      <c r="H4611" t="s">
        <v>67</v>
      </c>
      <c r="S4611">
        <v>0</v>
      </c>
      <c r="T4611">
        <v>1</v>
      </c>
      <c r="U4611">
        <v>0</v>
      </c>
      <c r="V4611">
        <v>0</v>
      </c>
      <c r="W4611">
        <v>1</v>
      </c>
      <c r="X4611">
        <v>0</v>
      </c>
      <c r="Y4611">
        <v>1</v>
      </c>
      <c r="Z4611">
        <v>0</v>
      </c>
      <c r="AA4611">
        <v>0</v>
      </c>
      <c r="AB4611">
        <v>0</v>
      </c>
      <c r="AC4611">
        <v>1</v>
      </c>
      <c r="AD4611">
        <v>1</v>
      </c>
      <c r="AE4611">
        <v>1</v>
      </c>
      <c r="AF4611">
        <v>1</v>
      </c>
      <c r="AG4611">
        <v>1</v>
      </c>
      <c r="AH4611">
        <v>1</v>
      </c>
      <c r="AI4611">
        <v>1</v>
      </c>
      <c r="AJ4611">
        <v>1</v>
      </c>
      <c r="AK4611">
        <v>1</v>
      </c>
      <c r="AL4611">
        <v>1</v>
      </c>
      <c r="AM4611">
        <v>1</v>
      </c>
    </row>
    <row r="4612" spans="1:39" x14ac:dyDescent="0.2">
      <c r="A4612" t="str">
        <f>"4608"</f>
        <v>4608</v>
      </c>
      <c r="B4612" t="str">
        <f t="shared" si="256"/>
        <v>1</v>
      </c>
      <c r="C4612" t="str">
        <f t="shared" si="257"/>
        <v>93</v>
      </c>
      <c r="D4612" t="str">
        <f>"23"</f>
        <v>23</v>
      </c>
      <c r="E4612" t="str">
        <f>"1-93-23"</f>
        <v>1-93-23</v>
      </c>
      <c r="F4612" t="s">
        <v>65</v>
      </c>
      <c r="G4612" t="s">
        <v>66</v>
      </c>
      <c r="H4612" t="s">
        <v>67</v>
      </c>
      <c r="S4612">
        <v>1</v>
      </c>
      <c r="T4612">
        <v>0</v>
      </c>
      <c r="U4612">
        <v>0</v>
      </c>
      <c r="V4612">
        <v>0</v>
      </c>
      <c r="W4612">
        <v>1</v>
      </c>
      <c r="X4612">
        <v>0</v>
      </c>
      <c r="Y4612">
        <v>1</v>
      </c>
      <c r="Z4612">
        <v>0</v>
      </c>
      <c r="AA4612">
        <v>0</v>
      </c>
      <c r="AB4612">
        <v>1</v>
      </c>
      <c r="AC4612">
        <v>0</v>
      </c>
      <c r="AD4612">
        <v>1</v>
      </c>
      <c r="AE4612">
        <v>1</v>
      </c>
      <c r="AF4612">
        <v>1</v>
      </c>
      <c r="AG4612">
        <v>1</v>
      </c>
      <c r="AH4612">
        <v>1</v>
      </c>
      <c r="AI4612">
        <v>1</v>
      </c>
      <c r="AJ4612">
        <v>1</v>
      </c>
      <c r="AK4612">
        <v>1</v>
      </c>
      <c r="AL4612">
        <v>1</v>
      </c>
      <c r="AM4612">
        <v>1</v>
      </c>
    </row>
    <row r="4613" spans="1:39" x14ac:dyDescent="0.2">
      <c r="A4613" t="str">
        <f>"4609"</f>
        <v>4609</v>
      </c>
      <c r="B4613" t="str">
        <f t="shared" si="256"/>
        <v>1</v>
      </c>
      <c r="C4613" t="str">
        <f t="shared" si="257"/>
        <v>93</v>
      </c>
      <c r="D4613" t="str">
        <f>"16"</f>
        <v>16</v>
      </c>
      <c r="E4613" t="str">
        <f>"1-93-16"</f>
        <v>1-93-16</v>
      </c>
      <c r="F4613" t="s">
        <v>65</v>
      </c>
      <c r="G4613" t="s">
        <v>66</v>
      </c>
      <c r="H4613" t="s">
        <v>67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</row>
    <row r="4614" spans="1:39" x14ac:dyDescent="0.2">
      <c r="A4614" t="str">
        <f>"4610"</f>
        <v>4610</v>
      </c>
      <c r="B4614" t="str">
        <f t="shared" si="256"/>
        <v>1</v>
      </c>
      <c r="C4614" t="str">
        <f t="shared" si="257"/>
        <v>93</v>
      </c>
      <c r="D4614" t="str">
        <f>"9"</f>
        <v>9</v>
      </c>
      <c r="E4614" t="str">
        <f>"1-93-9"</f>
        <v>1-93-9</v>
      </c>
      <c r="F4614" t="s">
        <v>65</v>
      </c>
      <c r="G4614" t="s">
        <v>66</v>
      </c>
      <c r="H4614" t="s">
        <v>67</v>
      </c>
      <c r="S4614">
        <v>0</v>
      </c>
      <c r="T4614">
        <v>1</v>
      </c>
      <c r="U4614">
        <v>0</v>
      </c>
      <c r="V4614">
        <v>0</v>
      </c>
      <c r="W4614">
        <v>1</v>
      </c>
      <c r="X4614">
        <v>0</v>
      </c>
      <c r="Y4614">
        <v>1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1</v>
      </c>
      <c r="AF4614">
        <v>1</v>
      </c>
      <c r="AG4614">
        <v>1</v>
      </c>
      <c r="AH4614">
        <v>1</v>
      </c>
      <c r="AI4614">
        <v>1</v>
      </c>
      <c r="AJ4614">
        <v>1</v>
      </c>
      <c r="AK4614">
        <v>1</v>
      </c>
      <c r="AL4614">
        <v>1</v>
      </c>
      <c r="AM4614">
        <v>1</v>
      </c>
    </row>
    <row r="4615" spans="1:39" x14ac:dyDescent="0.2">
      <c r="A4615" t="str">
        <f>"4611"</f>
        <v>4611</v>
      </c>
      <c r="B4615" t="str">
        <f t="shared" si="256"/>
        <v>1</v>
      </c>
      <c r="C4615" t="str">
        <f t="shared" si="257"/>
        <v>93</v>
      </c>
      <c r="D4615" t="str">
        <f>"42"</f>
        <v>42</v>
      </c>
      <c r="E4615" t="str">
        <f>"1-93-42"</f>
        <v>1-93-42</v>
      </c>
      <c r="F4615" t="s">
        <v>65</v>
      </c>
      <c r="G4615" t="s">
        <v>66</v>
      </c>
      <c r="H4615" t="s">
        <v>67</v>
      </c>
      <c r="S4615">
        <v>1</v>
      </c>
      <c r="T4615">
        <v>0</v>
      </c>
      <c r="U4615">
        <v>0</v>
      </c>
      <c r="V4615">
        <v>0</v>
      </c>
      <c r="W4615">
        <v>1</v>
      </c>
      <c r="X4615">
        <v>0</v>
      </c>
      <c r="Y4615">
        <v>1</v>
      </c>
      <c r="Z4615">
        <v>0</v>
      </c>
      <c r="AA4615">
        <v>0</v>
      </c>
      <c r="AB4615">
        <v>0</v>
      </c>
      <c r="AC4615">
        <v>1</v>
      </c>
      <c r="AD4615">
        <v>1</v>
      </c>
      <c r="AE4615">
        <v>1</v>
      </c>
      <c r="AF4615">
        <v>1</v>
      </c>
      <c r="AG4615">
        <v>1</v>
      </c>
      <c r="AH4615">
        <v>1</v>
      </c>
      <c r="AI4615">
        <v>1</v>
      </c>
      <c r="AJ4615">
        <v>1</v>
      </c>
      <c r="AK4615">
        <v>1</v>
      </c>
      <c r="AL4615">
        <v>1</v>
      </c>
      <c r="AM4615">
        <v>1</v>
      </c>
    </row>
    <row r="4616" spans="1:39" x14ac:dyDescent="0.2">
      <c r="A4616" t="str">
        <f>"4612"</f>
        <v>4612</v>
      </c>
      <c r="B4616" t="str">
        <f t="shared" si="256"/>
        <v>1</v>
      </c>
      <c r="C4616" t="str">
        <f t="shared" si="257"/>
        <v>93</v>
      </c>
      <c r="D4616" t="str">
        <f>"41"</f>
        <v>41</v>
      </c>
      <c r="E4616" t="str">
        <f>"1-93-41"</f>
        <v>1-93-41</v>
      </c>
      <c r="F4616" t="s">
        <v>65</v>
      </c>
      <c r="G4616" t="s">
        <v>66</v>
      </c>
      <c r="H4616" t="s">
        <v>67</v>
      </c>
      <c r="S4616">
        <v>1</v>
      </c>
      <c r="T4616">
        <v>0</v>
      </c>
      <c r="U4616">
        <v>0</v>
      </c>
      <c r="V4616">
        <v>0</v>
      </c>
      <c r="W4616">
        <v>0</v>
      </c>
      <c r="X4616">
        <v>1</v>
      </c>
      <c r="Y4616">
        <v>1</v>
      </c>
      <c r="Z4616">
        <v>0</v>
      </c>
      <c r="AA4616">
        <v>0</v>
      </c>
      <c r="AB4616">
        <v>0</v>
      </c>
      <c r="AC4616">
        <v>1</v>
      </c>
      <c r="AD4616">
        <v>1</v>
      </c>
      <c r="AE4616">
        <v>1</v>
      </c>
      <c r="AF4616">
        <v>1</v>
      </c>
      <c r="AG4616">
        <v>1</v>
      </c>
      <c r="AH4616">
        <v>1</v>
      </c>
      <c r="AI4616">
        <v>1</v>
      </c>
      <c r="AJ4616">
        <v>1</v>
      </c>
      <c r="AK4616">
        <v>1</v>
      </c>
      <c r="AL4616">
        <v>1</v>
      </c>
      <c r="AM4616">
        <v>1</v>
      </c>
    </row>
    <row r="4617" spans="1:39" x14ac:dyDescent="0.2">
      <c r="A4617" t="str">
        <f>"4613"</f>
        <v>4613</v>
      </c>
      <c r="B4617" t="str">
        <f t="shared" si="256"/>
        <v>1</v>
      </c>
      <c r="C4617" t="str">
        <f t="shared" si="257"/>
        <v>93</v>
      </c>
      <c r="D4617" t="str">
        <f>"31"</f>
        <v>31</v>
      </c>
      <c r="E4617" t="str">
        <f>"1-93-31"</f>
        <v>1-93-31</v>
      </c>
      <c r="F4617" t="s">
        <v>65</v>
      </c>
      <c r="G4617" t="s">
        <v>66</v>
      </c>
      <c r="H4617" t="s">
        <v>67</v>
      </c>
      <c r="S4617">
        <v>0</v>
      </c>
      <c r="T4617">
        <v>1</v>
      </c>
      <c r="U4617">
        <v>0</v>
      </c>
      <c r="V4617">
        <v>0</v>
      </c>
      <c r="W4617">
        <v>1</v>
      </c>
      <c r="X4617">
        <v>0</v>
      </c>
      <c r="Y4617">
        <v>1</v>
      </c>
      <c r="Z4617">
        <v>0</v>
      </c>
      <c r="AA4617">
        <v>0</v>
      </c>
      <c r="AB4617">
        <v>1</v>
      </c>
      <c r="AC4617">
        <v>0</v>
      </c>
      <c r="AD4617">
        <v>1</v>
      </c>
      <c r="AE4617">
        <v>1</v>
      </c>
      <c r="AF4617">
        <v>1</v>
      </c>
      <c r="AG4617">
        <v>1</v>
      </c>
      <c r="AH4617">
        <v>1</v>
      </c>
      <c r="AI4617">
        <v>1</v>
      </c>
      <c r="AJ4617">
        <v>1</v>
      </c>
      <c r="AK4617">
        <v>1</v>
      </c>
      <c r="AL4617">
        <v>1</v>
      </c>
      <c r="AM4617">
        <v>1</v>
      </c>
    </row>
    <row r="4618" spans="1:39" x14ac:dyDescent="0.2">
      <c r="A4618" t="str">
        <f>"4614"</f>
        <v>4614</v>
      </c>
      <c r="B4618" t="str">
        <f t="shared" si="256"/>
        <v>1</v>
      </c>
      <c r="C4618" t="str">
        <f t="shared" si="257"/>
        <v>93</v>
      </c>
      <c r="D4618" t="str">
        <f>"17"</f>
        <v>17</v>
      </c>
      <c r="E4618" t="str">
        <f>"1-93-17"</f>
        <v>1-93-17</v>
      </c>
      <c r="F4618" t="s">
        <v>65</v>
      </c>
      <c r="G4618" t="s">
        <v>66</v>
      </c>
      <c r="H4618" t="s">
        <v>67</v>
      </c>
      <c r="S4618">
        <v>0</v>
      </c>
      <c r="T4618">
        <v>1</v>
      </c>
      <c r="U4618">
        <v>0</v>
      </c>
      <c r="V4618">
        <v>0</v>
      </c>
      <c r="W4618">
        <v>1</v>
      </c>
      <c r="X4618">
        <v>0</v>
      </c>
      <c r="Y4618">
        <v>0</v>
      </c>
      <c r="Z4618">
        <v>1</v>
      </c>
      <c r="AA4618">
        <v>0</v>
      </c>
      <c r="AB4618">
        <v>0</v>
      </c>
      <c r="AC4618">
        <v>1</v>
      </c>
      <c r="AD4618">
        <v>1</v>
      </c>
      <c r="AE4618">
        <v>1</v>
      </c>
      <c r="AF4618">
        <v>1</v>
      </c>
      <c r="AG4618">
        <v>1</v>
      </c>
      <c r="AH4618">
        <v>1</v>
      </c>
      <c r="AI4618">
        <v>1</v>
      </c>
      <c r="AJ4618">
        <v>1</v>
      </c>
      <c r="AK4618">
        <v>1</v>
      </c>
      <c r="AL4618">
        <v>1</v>
      </c>
      <c r="AM4618">
        <v>1</v>
      </c>
    </row>
    <row r="4619" spans="1:39" x14ac:dyDescent="0.2">
      <c r="A4619" t="str">
        <f>"4615"</f>
        <v>4615</v>
      </c>
      <c r="B4619" t="str">
        <f t="shared" si="256"/>
        <v>1</v>
      </c>
      <c r="C4619" t="str">
        <f t="shared" si="257"/>
        <v>93</v>
      </c>
      <c r="D4619" t="str">
        <f>"1"</f>
        <v>1</v>
      </c>
      <c r="E4619" t="str">
        <f>"1-93-1"</f>
        <v>1-93-1</v>
      </c>
      <c r="F4619" t="s">
        <v>65</v>
      </c>
      <c r="G4619" t="s">
        <v>66</v>
      </c>
      <c r="H4619" t="s">
        <v>67</v>
      </c>
      <c r="S4619">
        <v>1</v>
      </c>
      <c r="T4619">
        <v>0</v>
      </c>
      <c r="U4619">
        <v>0</v>
      </c>
      <c r="V4619">
        <v>0</v>
      </c>
      <c r="W4619">
        <v>1</v>
      </c>
      <c r="X4619">
        <v>0</v>
      </c>
      <c r="Y4619">
        <v>1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1</v>
      </c>
      <c r="AF4619">
        <v>1</v>
      </c>
      <c r="AG4619">
        <v>1</v>
      </c>
      <c r="AH4619">
        <v>1</v>
      </c>
      <c r="AI4619">
        <v>1</v>
      </c>
      <c r="AJ4619">
        <v>1</v>
      </c>
      <c r="AK4619">
        <v>1</v>
      </c>
      <c r="AL4619">
        <v>1</v>
      </c>
      <c r="AM4619">
        <v>1</v>
      </c>
    </row>
    <row r="4620" spans="1:39" x14ac:dyDescent="0.2">
      <c r="A4620" t="str">
        <f>"4616"</f>
        <v>4616</v>
      </c>
      <c r="B4620" t="str">
        <f t="shared" si="256"/>
        <v>1</v>
      </c>
      <c r="C4620" t="str">
        <f t="shared" si="257"/>
        <v>93</v>
      </c>
      <c r="D4620" t="str">
        <f>"50"</f>
        <v>50</v>
      </c>
      <c r="E4620" t="str">
        <f>"1-93-50"</f>
        <v>1-93-50</v>
      </c>
      <c r="F4620" t="s">
        <v>65</v>
      </c>
      <c r="G4620" t="s">
        <v>66</v>
      </c>
      <c r="H4620" t="s">
        <v>67</v>
      </c>
      <c r="S4620">
        <v>1</v>
      </c>
      <c r="T4620">
        <v>0</v>
      </c>
      <c r="U4620">
        <v>0</v>
      </c>
      <c r="V4620">
        <v>0</v>
      </c>
      <c r="W4620">
        <v>1</v>
      </c>
      <c r="X4620">
        <v>0</v>
      </c>
      <c r="Y4620">
        <v>1</v>
      </c>
      <c r="Z4620">
        <v>0</v>
      </c>
      <c r="AA4620">
        <v>1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</row>
    <row r="4621" spans="1:39" x14ac:dyDescent="0.2">
      <c r="A4621" t="str">
        <f>"4617"</f>
        <v>4617</v>
      </c>
      <c r="B4621" t="str">
        <f t="shared" si="256"/>
        <v>1</v>
      </c>
      <c r="C4621" t="str">
        <f t="shared" si="257"/>
        <v>93</v>
      </c>
      <c r="D4621" t="str">
        <f>"32"</f>
        <v>32</v>
      </c>
      <c r="E4621" t="str">
        <f>"1-93-32"</f>
        <v>1-93-32</v>
      </c>
      <c r="F4621" t="s">
        <v>65</v>
      </c>
      <c r="G4621" t="s">
        <v>66</v>
      </c>
      <c r="H4621" t="s">
        <v>67</v>
      </c>
      <c r="S4621">
        <v>0</v>
      </c>
      <c r="T4621">
        <v>1</v>
      </c>
      <c r="U4621">
        <v>0</v>
      </c>
      <c r="V4621">
        <v>0</v>
      </c>
      <c r="W4621">
        <v>1</v>
      </c>
      <c r="X4621">
        <v>0</v>
      </c>
      <c r="Y4621">
        <v>1</v>
      </c>
      <c r="Z4621">
        <v>0</v>
      </c>
      <c r="AA4621">
        <v>0</v>
      </c>
      <c r="AB4621">
        <v>1</v>
      </c>
      <c r="AC4621">
        <v>0</v>
      </c>
      <c r="AD4621">
        <v>1</v>
      </c>
      <c r="AE4621">
        <v>1</v>
      </c>
      <c r="AF4621">
        <v>1</v>
      </c>
      <c r="AG4621">
        <v>1</v>
      </c>
      <c r="AH4621">
        <v>1</v>
      </c>
      <c r="AI4621">
        <v>1</v>
      </c>
      <c r="AJ4621">
        <v>1</v>
      </c>
      <c r="AK4621">
        <v>1</v>
      </c>
      <c r="AL4621">
        <v>1</v>
      </c>
      <c r="AM4621">
        <v>1</v>
      </c>
    </row>
    <row r="4622" spans="1:39" x14ac:dyDescent="0.2">
      <c r="A4622" t="str">
        <f>"4618"</f>
        <v>4618</v>
      </c>
      <c r="B4622" t="str">
        <f t="shared" si="256"/>
        <v>1</v>
      </c>
      <c r="C4622" t="str">
        <f t="shared" si="257"/>
        <v>93</v>
      </c>
      <c r="D4622" t="str">
        <f>"18"</f>
        <v>18</v>
      </c>
      <c r="E4622" t="str">
        <f>"1-93-18"</f>
        <v>1-93-18</v>
      </c>
      <c r="F4622" t="s">
        <v>65</v>
      </c>
      <c r="G4622" t="s">
        <v>66</v>
      </c>
      <c r="H4622" t="s">
        <v>67</v>
      </c>
      <c r="S4622">
        <v>1</v>
      </c>
      <c r="T4622">
        <v>0</v>
      </c>
      <c r="U4622">
        <v>0</v>
      </c>
      <c r="V4622">
        <v>0</v>
      </c>
      <c r="W4622">
        <v>1</v>
      </c>
      <c r="X4622">
        <v>0</v>
      </c>
      <c r="Y4622">
        <v>1</v>
      </c>
      <c r="Z4622">
        <v>0</v>
      </c>
      <c r="AA4622">
        <v>0</v>
      </c>
      <c r="AB4622">
        <v>0</v>
      </c>
      <c r="AC4622">
        <v>1</v>
      </c>
      <c r="AD4622">
        <v>1</v>
      </c>
      <c r="AE4622">
        <v>1</v>
      </c>
      <c r="AF4622">
        <v>1</v>
      </c>
      <c r="AG4622">
        <v>1</v>
      </c>
      <c r="AH4622">
        <v>1</v>
      </c>
      <c r="AI4622">
        <v>1</v>
      </c>
      <c r="AJ4622">
        <v>1</v>
      </c>
      <c r="AK4622">
        <v>1</v>
      </c>
      <c r="AL4622">
        <v>1</v>
      </c>
      <c r="AM4622">
        <v>1</v>
      </c>
    </row>
    <row r="4623" spans="1:39" x14ac:dyDescent="0.2">
      <c r="A4623" t="str">
        <f>"4619"</f>
        <v>4619</v>
      </c>
      <c r="B4623" t="str">
        <f t="shared" si="256"/>
        <v>1</v>
      </c>
      <c r="C4623" t="str">
        <f t="shared" si="257"/>
        <v>93</v>
      </c>
      <c r="D4623" t="str">
        <f>"14"</f>
        <v>14</v>
      </c>
      <c r="E4623" t="str">
        <f>"1-93-14"</f>
        <v>1-93-14</v>
      </c>
      <c r="F4623" t="s">
        <v>65</v>
      </c>
      <c r="G4623" t="s">
        <v>66</v>
      </c>
      <c r="H4623" t="s">
        <v>67</v>
      </c>
      <c r="S4623">
        <v>0</v>
      </c>
      <c r="T4623">
        <v>1</v>
      </c>
      <c r="U4623">
        <v>0</v>
      </c>
      <c r="V4623">
        <v>0</v>
      </c>
      <c r="W4623">
        <v>1</v>
      </c>
      <c r="X4623">
        <v>0</v>
      </c>
      <c r="Y4623">
        <v>0</v>
      </c>
      <c r="Z4623">
        <v>1</v>
      </c>
      <c r="AA4623">
        <v>0</v>
      </c>
      <c r="AB4623">
        <v>0</v>
      </c>
      <c r="AC4623">
        <v>1</v>
      </c>
      <c r="AD4623">
        <v>1</v>
      </c>
      <c r="AE4623">
        <v>1</v>
      </c>
      <c r="AF4623">
        <v>1</v>
      </c>
      <c r="AG4623">
        <v>1</v>
      </c>
      <c r="AH4623">
        <v>1</v>
      </c>
      <c r="AI4623">
        <v>1</v>
      </c>
      <c r="AJ4623">
        <v>1</v>
      </c>
      <c r="AK4623">
        <v>1</v>
      </c>
      <c r="AL4623">
        <v>1</v>
      </c>
      <c r="AM4623">
        <v>1</v>
      </c>
    </row>
    <row r="4624" spans="1:39" x14ac:dyDescent="0.2">
      <c r="A4624" t="str">
        <f>"4620"</f>
        <v>4620</v>
      </c>
      <c r="B4624" t="str">
        <f t="shared" si="256"/>
        <v>1</v>
      </c>
      <c r="C4624" t="str">
        <f t="shared" si="257"/>
        <v>93</v>
      </c>
      <c r="D4624" t="str">
        <f>"34"</f>
        <v>34</v>
      </c>
      <c r="E4624" t="str">
        <f>"1-93-34"</f>
        <v>1-93-34</v>
      </c>
      <c r="F4624" t="s">
        <v>65</v>
      </c>
      <c r="G4624" t="s">
        <v>66</v>
      </c>
      <c r="H4624" t="s">
        <v>67</v>
      </c>
      <c r="S4624">
        <v>1</v>
      </c>
      <c r="T4624">
        <v>0</v>
      </c>
      <c r="U4624">
        <v>0</v>
      </c>
      <c r="V4624">
        <v>0</v>
      </c>
      <c r="W4624">
        <v>1</v>
      </c>
      <c r="X4624">
        <v>0</v>
      </c>
      <c r="Y4624">
        <v>1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1</v>
      </c>
      <c r="AF4624">
        <v>1</v>
      </c>
      <c r="AG4624">
        <v>1</v>
      </c>
      <c r="AH4624">
        <v>1</v>
      </c>
      <c r="AI4624">
        <v>1</v>
      </c>
      <c r="AJ4624">
        <v>1</v>
      </c>
      <c r="AK4624">
        <v>1</v>
      </c>
      <c r="AL4624">
        <v>1</v>
      </c>
      <c r="AM4624">
        <v>1</v>
      </c>
    </row>
    <row r="4625" spans="1:39" x14ac:dyDescent="0.2">
      <c r="A4625" t="str">
        <f>"4621"</f>
        <v>4621</v>
      </c>
      <c r="B4625" t="str">
        <f t="shared" si="256"/>
        <v>1</v>
      </c>
      <c r="C4625" t="str">
        <f t="shared" si="257"/>
        <v>93</v>
      </c>
      <c r="D4625" t="str">
        <f>"19"</f>
        <v>19</v>
      </c>
      <c r="E4625" t="str">
        <f>"1-93-19"</f>
        <v>1-93-19</v>
      </c>
      <c r="F4625" t="s">
        <v>65</v>
      </c>
      <c r="G4625" t="s">
        <v>66</v>
      </c>
      <c r="H4625" t="s">
        <v>67</v>
      </c>
      <c r="S4625">
        <v>1</v>
      </c>
      <c r="T4625">
        <v>0</v>
      </c>
      <c r="U4625">
        <v>0</v>
      </c>
      <c r="V4625">
        <v>0</v>
      </c>
      <c r="W4625">
        <v>1</v>
      </c>
      <c r="X4625">
        <v>0</v>
      </c>
      <c r="Y4625">
        <v>1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1</v>
      </c>
      <c r="AF4625">
        <v>1</v>
      </c>
      <c r="AG4625">
        <v>1</v>
      </c>
      <c r="AH4625">
        <v>1</v>
      </c>
      <c r="AI4625">
        <v>1</v>
      </c>
      <c r="AJ4625">
        <v>1</v>
      </c>
      <c r="AK4625">
        <v>1</v>
      </c>
      <c r="AL4625">
        <v>1</v>
      </c>
      <c r="AM4625">
        <v>1</v>
      </c>
    </row>
    <row r="4626" spans="1:39" x14ac:dyDescent="0.2">
      <c r="A4626" t="str">
        <f>"4622"</f>
        <v>4622</v>
      </c>
      <c r="B4626" t="str">
        <f t="shared" si="256"/>
        <v>1</v>
      </c>
      <c r="C4626" t="str">
        <f t="shared" si="257"/>
        <v>93</v>
      </c>
      <c r="D4626" t="str">
        <f>"13"</f>
        <v>13</v>
      </c>
      <c r="E4626" t="str">
        <f>"1-93-13"</f>
        <v>1-93-13</v>
      </c>
      <c r="F4626" t="s">
        <v>65</v>
      </c>
      <c r="G4626" t="s">
        <v>66</v>
      </c>
      <c r="H4626" t="s">
        <v>67</v>
      </c>
      <c r="S4626">
        <v>0</v>
      </c>
      <c r="T4626">
        <v>1</v>
      </c>
      <c r="U4626">
        <v>0</v>
      </c>
      <c r="V4626">
        <v>0</v>
      </c>
      <c r="W4626">
        <v>1</v>
      </c>
      <c r="X4626">
        <v>0</v>
      </c>
      <c r="Y4626">
        <v>0</v>
      </c>
      <c r="Z4626">
        <v>1</v>
      </c>
      <c r="AA4626">
        <v>0</v>
      </c>
      <c r="AB4626">
        <v>0</v>
      </c>
      <c r="AC4626">
        <v>1</v>
      </c>
      <c r="AD4626">
        <v>1</v>
      </c>
      <c r="AE4626">
        <v>1</v>
      </c>
      <c r="AF4626">
        <v>1</v>
      </c>
      <c r="AG4626">
        <v>1</v>
      </c>
      <c r="AH4626">
        <v>1</v>
      </c>
      <c r="AI4626">
        <v>1</v>
      </c>
      <c r="AJ4626">
        <v>1</v>
      </c>
      <c r="AK4626">
        <v>1</v>
      </c>
      <c r="AL4626">
        <v>1</v>
      </c>
      <c r="AM4626">
        <v>1</v>
      </c>
    </row>
    <row r="4627" spans="1:39" x14ac:dyDescent="0.2">
      <c r="A4627" t="str">
        <f>"4623"</f>
        <v>4623</v>
      </c>
      <c r="B4627" t="str">
        <f t="shared" si="256"/>
        <v>1</v>
      </c>
      <c r="C4627" t="str">
        <f t="shared" si="257"/>
        <v>93</v>
      </c>
      <c r="D4627" t="str">
        <f>"45"</f>
        <v>45</v>
      </c>
      <c r="E4627" t="str">
        <f>"1-93-45"</f>
        <v>1-93-45</v>
      </c>
      <c r="F4627" t="s">
        <v>65</v>
      </c>
      <c r="G4627" t="s">
        <v>66</v>
      </c>
      <c r="H4627" t="s">
        <v>67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0</v>
      </c>
      <c r="AB4627">
        <v>0</v>
      </c>
      <c r="AC4627">
        <v>1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1</v>
      </c>
      <c r="AJ4627">
        <v>1</v>
      </c>
      <c r="AK4627">
        <v>1</v>
      </c>
      <c r="AL4627">
        <v>1</v>
      </c>
      <c r="AM4627">
        <v>0</v>
      </c>
    </row>
    <row r="4628" spans="1:39" x14ac:dyDescent="0.2">
      <c r="A4628" t="str">
        <f>"4624"</f>
        <v>4624</v>
      </c>
      <c r="B4628" t="str">
        <f t="shared" si="256"/>
        <v>1</v>
      </c>
      <c r="C4628" t="str">
        <f t="shared" si="257"/>
        <v>93</v>
      </c>
      <c r="D4628" t="str">
        <f>"44"</f>
        <v>44</v>
      </c>
      <c r="E4628" t="str">
        <f>"1-93-44"</f>
        <v>1-93-44</v>
      </c>
      <c r="F4628" t="s">
        <v>65</v>
      </c>
      <c r="G4628" t="s">
        <v>66</v>
      </c>
      <c r="H4628" t="s">
        <v>67</v>
      </c>
      <c r="S4628">
        <v>0</v>
      </c>
      <c r="T4628">
        <v>1</v>
      </c>
      <c r="U4628">
        <v>0</v>
      </c>
      <c r="V4628">
        <v>0</v>
      </c>
      <c r="W4628">
        <v>1</v>
      </c>
      <c r="X4628">
        <v>0</v>
      </c>
      <c r="Y4628">
        <v>0</v>
      </c>
      <c r="Z4628">
        <v>1</v>
      </c>
      <c r="AA4628">
        <v>1</v>
      </c>
      <c r="AB4628">
        <v>0</v>
      </c>
      <c r="AC4628">
        <v>0</v>
      </c>
      <c r="AD4628">
        <v>1</v>
      </c>
      <c r="AE4628">
        <v>1</v>
      </c>
      <c r="AF4628">
        <v>1</v>
      </c>
      <c r="AG4628">
        <v>1</v>
      </c>
      <c r="AH4628">
        <v>1</v>
      </c>
      <c r="AI4628">
        <v>1</v>
      </c>
      <c r="AJ4628">
        <v>1</v>
      </c>
      <c r="AK4628">
        <v>1</v>
      </c>
      <c r="AL4628">
        <v>1</v>
      </c>
      <c r="AM4628">
        <v>1</v>
      </c>
    </row>
    <row r="4629" spans="1:39" x14ac:dyDescent="0.2">
      <c r="A4629" t="str">
        <f>"4625"</f>
        <v>4625</v>
      </c>
      <c r="B4629" t="str">
        <f t="shared" si="256"/>
        <v>1</v>
      </c>
      <c r="C4629" t="str">
        <f t="shared" si="257"/>
        <v>93</v>
      </c>
      <c r="D4629" t="str">
        <f>"33"</f>
        <v>33</v>
      </c>
      <c r="E4629" t="str">
        <f>"1-93-33"</f>
        <v>1-93-33</v>
      </c>
      <c r="F4629" t="s">
        <v>65</v>
      </c>
      <c r="G4629" t="s">
        <v>66</v>
      </c>
      <c r="H4629" t="s">
        <v>67</v>
      </c>
      <c r="S4629">
        <v>1</v>
      </c>
      <c r="T4629">
        <v>0</v>
      </c>
      <c r="U4629">
        <v>0</v>
      </c>
      <c r="V4629">
        <v>0</v>
      </c>
      <c r="W4629">
        <v>1</v>
      </c>
      <c r="X4629">
        <v>0</v>
      </c>
      <c r="Y4629">
        <v>1</v>
      </c>
      <c r="Z4629">
        <v>0</v>
      </c>
      <c r="AA4629">
        <v>0</v>
      </c>
      <c r="AB4629">
        <v>1</v>
      </c>
      <c r="AC4629">
        <v>0</v>
      </c>
      <c r="AD4629">
        <v>1</v>
      </c>
      <c r="AE4629">
        <v>1</v>
      </c>
      <c r="AF4629">
        <v>1</v>
      </c>
      <c r="AG4629">
        <v>1</v>
      </c>
      <c r="AH4629">
        <v>1</v>
      </c>
      <c r="AI4629">
        <v>1</v>
      </c>
      <c r="AJ4629">
        <v>1</v>
      </c>
      <c r="AK4629">
        <v>1</v>
      </c>
      <c r="AL4629">
        <v>1</v>
      </c>
      <c r="AM4629">
        <v>1</v>
      </c>
    </row>
    <row r="4630" spans="1:39" x14ac:dyDescent="0.2">
      <c r="A4630" t="str">
        <f>"4626"</f>
        <v>4626</v>
      </c>
      <c r="B4630" t="str">
        <f t="shared" si="256"/>
        <v>1</v>
      </c>
      <c r="C4630" t="str">
        <f t="shared" si="257"/>
        <v>93</v>
      </c>
      <c r="D4630" t="str">
        <f>"20"</f>
        <v>20</v>
      </c>
      <c r="E4630" t="str">
        <f>"1-93-20"</f>
        <v>1-93-20</v>
      </c>
      <c r="F4630" t="s">
        <v>65</v>
      </c>
      <c r="G4630" t="s">
        <v>66</v>
      </c>
      <c r="H4630" t="s">
        <v>67</v>
      </c>
      <c r="S4630">
        <v>1</v>
      </c>
      <c r="T4630">
        <v>0</v>
      </c>
      <c r="U4630">
        <v>0</v>
      </c>
      <c r="V4630">
        <v>0</v>
      </c>
      <c r="W4630">
        <v>1</v>
      </c>
      <c r="X4630">
        <v>0</v>
      </c>
      <c r="Y4630">
        <v>1</v>
      </c>
      <c r="Z4630">
        <v>0</v>
      </c>
      <c r="AA4630">
        <v>0</v>
      </c>
      <c r="AB4630">
        <v>1</v>
      </c>
      <c r="AC4630">
        <v>0</v>
      </c>
      <c r="AD4630">
        <v>1</v>
      </c>
      <c r="AE4630">
        <v>1</v>
      </c>
      <c r="AF4630">
        <v>1</v>
      </c>
      <c r="AG4630">
        <v>1</v>
      </c>
      <c r="AH4630">
        <v>1</v>
      </c>
      <c r="AI4630">
        <v>1</v>
      </c>
      <c r="AJ4630">
        <v>1</v>
      </c>
      <c r="AK4630">
        <v>1</v>
      </c>
      <c r="AL4630">
        <v>1</v>
      </c>
      <c r="AM4630">
        <v>1</v>
      </c>
    </row>
    <row r="4631" spans="1:39" x14ac:dyDescent="0.2">
      <c r="A4631" t="str">
        <f>"4627"</f>
        <v>4627</v>
      </c>
      <c r="B4631" t="str">
        <f t="shared" si="256"/>
        <v>1</v>
      </c>
      <c r="C4631" t="str">
        <f t="shared" si="257"/>
        <v>93</v>
      </c>
      <c r="D4631" t="str">
        <f>"10"</f>
        <v>10</v>
      </c>
      <c r="E4631" t="str">
        <f>"1-93-10"</f>
        <v>1-93-10</v>
      </c>
      <c r="F4631" t="s">
        <v>65</v>
      </c>
      <c r="G4631" t="s">
        <v>66</v>
      </c>
      <c r="H4631" t="s">
        <v>67</v>
      </c>
      <c r="S4631">
        <v>1</v>
      </c>
      <c r="T4631">
        <v>0</v>
      </c>
      <c r="U4631">
        <v>0</v>
      </c>
      <c r="V4631">
        <v>0</v>
      </c>
      <c r="W4631">
        <v>1</v>
      </c>
      <c r="X4631">
        <v>0</v>
      </c>
      <c r="Y4631">
        <v>1</v>
      </c>
      <c r="Z4631">
        <v>0</v>
      </c>
      <c r="AA4631">
        <v>0</v>
      </c>
      <c r="AB4631">
        <v>1</v>
      </c>
      <c r="AC4631">
        <v>0</v>
      </c>
      <c r="AD4631">
        <v>1</v>
      </c>
      <c r="AE4631">
        <v>1</v>
      </c>
      <c r="AF4631">
        <v>1</v>
      </c>
      <c r="AG4631">
        <v>1</v>
      </c>
      <c r="AH4631">
        <v>1</v>
      </c>
      <c r="AI4631">
        <v>1</v>
      </c>
      <c r="AJ4631">
        <v>1</v>
      </c>
      <c r="AK4631">
        <v>1</v>
      </c>
      <c r="AL4631">
        <v>1</v>
      </c>
      <c r="AM4631">
        <v>1</v>
      </c>
    </row>
    <row r="4632" spans="1:39" x14ac:dyDescent="0.2">
      <c r="A4632" t="str">
        <f>"4628"</f>
        <v>4628</v>
      </c>
      <c r="B4632" t="str">
        <f t="shared" si="256"/>
        <v>1</v>
      </c>
      <c r="C4632" t="str">
        <f t="shared" si="257"/>
        <v>93</v>
      </c>
      <c r="D4632" t="str">
        <f>"39"</f>
        <v>39</v>
      </c>
      <c r="E4632" t="str">
        <f>"1-93-39"</f>
        <v>1-93-39</v>
      </c>
      <c r="F4632" t="s">
        <v>65</v>
      </c>
      <c r="G4632" t="s">
        <v>66</v>
      </c>
      <c r="H4632" t="s">
        <v>67</v>
      </c>
      <c r="S4632">
        <v>1</v>
      </c>
      <c r="T4632">
        <v>0</v>
      </c>
      <c r="U4632">
        <v>0</v>
      </c>
      <c r="V4632">
        <v>0</v>
      </c>
      <c r="W4632">
        <v>1</v>
      </c>
      <c r="X4632">
        <v>0</v>
      </c>
      <c r="Y4632">
        <v>0</v>
      </c>
      <c r="Z4632">
        <v>1</v>
      </c>
      <c r="AA4632">
        <v>0</v>
      </c>
      <c r="AB4632">
        <v>1</v>
      </c>
      <c r="AC4632">
        <v>0</v>
      </c>
      <c r="AD4632">
        <v>1</v>
      </c>
      <c r="AE4632">
        <v>1</v>
      </c>
      <c r="AF4632">
        <v>1</v>
      </c>
      <c r="AG4632">
        <v>1</v>
      </c>
      <c r="AH4632">
        <v>1</v>
      </c>
      <c r="AI4632">
        <v>1</v>
      </c>
      <c r="AJ4632">
        <v>1</v>
      </c>
      <c r="AK4632">
        <v>1</v>
      </c>
      <c r="AL4632">
        <v>1</v>
      </c>
      <c r="AM4632">
        <v>1</v>
      </c>
    </row>
    <row r="4633" spans="1:39" x14ac:dyDescent="0.2">
      <c r="A4633" t="str">
        <f>"4629"</f>
        <v>4629</v>
      </c>
      <c r="B4633" t="str">
        <f t="shared" si="256"/>
        <v>1</v>
      </c>
      <c r="C4633" t="str">
        <f t="shared" si="257"/>
        <v>93</v>
      </c>
      <c r="D4633" t="str">
        <f>"21"</f>
        <v>21</v>
      </c>
      <c r="E4633" t="str">
        <f>"1-93-21"</f>
        <v>1-93-21</v>
      </c>
      <c r="F4633" t="s">
        <v>65</v>
      </c>
      <c r="G4633" t="s">
        <v>66</v>
      </c>
      <c r="H4633" t="s">
        <v>67</v>
      </c>
      <c r="S4633">
        <v>1</v>
      </c>
      <c r="T4633">
        <v>0</v>
      </c>
      <c r="U4633">
        <v>0</v>
      </c>
      <c r="V4633">
        <v>0</v>
      </c>
      <c r="W4633">
        <v>1</v>
      </c>
      <c r="X4633">
        <v>0</v>
      </c>
      <c r="Y4633">
        <v>1</v>
      </c>
      <c r="Z4633">
        <v>0</v>
      </c>
      <c r="AA4633">
        <v>1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1</v>
      </c>
      <c r="AK4633">
        <v>1</v>
      </c>
      <c r="AL4633">
        <v>0</v>
      </c>
      <c r="AM4633">
        <v>0</v>
      </c>
    </row>
    <row r="4634" spans="1:39" x14ac:dyDescent="0.2">
      <c r="A4634" t="str">
        <f>"4630"</f>
        <v>4630</v>
      </c>
      <c r="B4634" t="str">
        <f t="shared" si="256"/>
        <v>1</v>
      </c>
      <c r="C4634" t="str">
        <f t="shared" si="257"/>
        <v>93</v>
      </c>
      <c r="D4634" t="str">
        <f>"11"</f>
        <v>11</v>
      </c>
      <c r="E4634" t="str">
        <f>"1-93-11"</f>
        <v>1-93-11</v>
      </c>
      <c r="F4634" t="s">
        <v>65</v>
      </c>
      <c r="G4634" t="s">
        <v>66</v>
      </c>
      <c r="H4634" t="s">
        <v>67</v>
      </c>
      <c r="S4634">
        <v>0</v>
      </c>
      <c r="T4634">
        <v>1</v>
      </c>
      <c r="U4634">
        <v>0</v>
      </c>
      <c r="V4634">
        <v>0</v>
      </c>
      <c r="W4634">
        <v>0</v>
      </c>
      <c r="X4634">
        <v>1</v>
      </c>
      <c r="Y4634">
        <v>0</v>
      </c>
      <c r="Z4634">
        <v>1</v>
      </c>
      <c r="AA4634">
        <v>0</v>
      </c>
      <c r="AB4634">
        <v>0</v>
      </c>
      <c r="AC4634">
        <v>1</v>
      </c>
      <c r="AD4634">
        <v>1</v>
      </c>
      <c r="AE4634">
        <v>1</v>
      </c>
      <c r="AF4634">
        <v>1</v>
      </c>
      <c r="AG4634">
        <v>1</v>
      </c>
      <c r="AH4634">
        <v>1</v>
      </c>
      <c r="AI4634">
        <v>1</v>
      </c>
      <c r="AJ4634">
        <v>1</v>
      </c>
      <c r="AK4634">
        <v>1</v>
      </c>
      <c r="AL4634">
        <v>1</v>
      </c>
      <c r="AM4634">
        <v>1</v>
      </c>
    </row>
    <row r="4635" spans="1:39" x14ac:dyDescent="0.2">
      <c r="A4635" t="str">
        <f>"4631"</f>
        <v>4631</v>
      </c>
      <c r="B4635" t="str">
        <f t="shared" si="256"/>
        <v>1</v>
      </c>
      <c r="C4635" t="str">
        <f t="shared" si="257"/>
        <v>93</v>
      </c>
      <c r="D4635" t="str">
        <f>"48"</f>
        <v>48</v>
      </c>
      <c r="E4635" t="str">
        <f>"1-93-48"</f>
        <v>1-93-48</v>
      </c>
      <c r="F4635" t="s">
        <v>65</v>
      </c>
      <c r="G4635" t="s">
        <v>66</v>
      </c>
      <c r="H4635" t="s">
        <v>67</v>
      </c>
      <c r="S4635">
        <v>1</v>
      </c>
      <c r="T4635">
        <v>0</v>
      </c>
      <c r="U4635">
        <v>0</v>
      </c>
      <c r="V4635">
        <v>0</v>
      </c>
      <c r="W4635">
        <v>1</v>
      </c>
      <c r="X4635">
        <v>0</v>
      </c>
      <c r="Y4635">
        <v>1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1</v>
      </c>
      <c r="AF4635">
        <v>1</v>
      </c>
      <c r="AG4635">
        <v>1</v>
      </c>
      <c r="AH4635">
        <v>1</v>
      </c>
      <c r="AI4635">
        <v>1</v>
      </c>
      <c r="AJ4635">
        <v>1</v>
      </c>
      <c r="AK4635">
        <v>1</v>
      </c>
      <c r="AL4635">
        <v>1</v>
      </c>
      <c r="AM4635">
        <v>1</v>
      </c>
    </row>
    <row r="4636" spans="1:39" x14ac:dyDescent="0.2">
      <c r="A4636" t="str">
        <f>"4632"</f>
        <v>4632</v>
      </c>
      <c r="B4636" t="str">
        <f t="shared" si="256"/>
        <v>1</v>
      </c>
      <c r="C4636" t="str">
        <f t="shared" si="257"/>
        <v>93</v>
      </c>
      <c r="D4636" t="str">
        <f>"24"</f>
        <v>24</v>
      </c>
      <c r="E4636" t="str">
        <f>"1-93-24"</f>
        <v>1-93-24</v>
      </c>
      <c r="F4636" t="s">
        <v>65</v>
      </c>
      <c r="G4636" t="s">
        <v>66</v>
      </c>
      <c r="H4636" t="s">
        <v>67</v>
      </c>
      <c r="S4636">
        <v>0</v>
      </c>
      <c r="T4636">
        <v>1</v>
      </c>
      <c r="U4636">
        <v>0</v>
      </c>
      <c r="V4636">
        <v>0</v>
      </c>
      <c r="W4636">
        <v>1</v>
      </c>
      <c r="X4636">
        <v>0</v>
      </c>
      <c r="Y4636">
        <v>0</v>
      </c>
      <c r="Z4636">
        <v>1</v>
      </c>
      <c r="AA4636">
        <v>0</v>
      </c>
      <c r="AB4636">
        <v>0</v>
      </c>
      <c r="AC4636">
        <v>1</v>
      </c>
      <c r="AD4636">
        <v>1</v>
      </c>
      <c r="AE4636">
        <v>1</v>
      </c>
      <c r="AF4636">
        <v>1</v>
      </c>
      <c r="AG4636">
        <v>1</v>
      </c>
      <c r="AH4636">
        <v>1</v>
      </c>
      <c r="AI4636">
        <v>1</v>
      </c>
      <c r="AJ4636">
        <v>1</v>
      </c>
      <c r="AK4636">
        <v>1</v>
      </c>
      <c r="AL4636">
        <v>1</v>
      </c>
      <c r="AM4636">
        <v>1</v>
      </c>
    </row>
    <row r="4637" spans="1:39" x14ac:dyDescent="0.2">
      <c r="A4637" t="str">
        <f>"4633"</f>
        <v>4633</v>
      </c>
      <c r="B4637" t="str">
        <f t="shared" si="256"/>
        <v>1</v>
      </c>
      <c r="C4637" t="str">
        <f t="shared" ref="C4637:C4654" si="258">"93"</f>
        <v>93</v>
      </c>
      <c r="D4637" t="str">
        <f>"4"</f>
        <v>4</v>
      </c>
      <c r="E4637" t="str">
        <f>"1-93-4"</f>
        <v>1-93-4</v>
      </c>
      <c r="F4637" t="s">
        <v>65</v>
      </c>
      <c r="G4637" t="s">
        <v>66</v>
      </c>
      <c r="H4637" t="s">
        <v>67</v>
      </c>
      <c r="S4637">
        <v>1</v>
      </c>
      <c r="T4637">
        <v>0</v>
      </c>
      <c r="U4637">
        <v>0</v>
      </c>
      <c r="V4637">
        <v>0</v>
      </c>
      <c r="W4637">
        <v>1</v>
      </c>
      <c r="X4637">
        <v>0</v>
      </c>
      <c r="Y4637">
        <v>1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1</v>
      </c>
      <c r="AF4637">
        <v>1</v>
      </c>
      <c r="AG4637">
        <v>1</v>
      </c>
      <c r="AH4637">
        <v>1</v>
      </c>
      <c r="AI4637">
        <v>1</v>
      </c>
      <c r="AJ4637">
        <v>1</v>
      </c>
      <c r="AK4637">
        <v>1</v>
      </c>
      <c r="AL4637">
        <v>1</v>
      </c>
      <c r="AM4637">
        <v>1</v>
      </c>
    </row>
    <row r="4638" spans="1:39" x14ac:dyDescent="0.2">
      <c r="A4638" t="str">
        <f>"4634"</f>
        <v>4634</v>
      </c>
      <c r="B4638" t="str">
        <f t="shared" si="256"/>
        <v>1</v>
      </c>
      <c r="C4638" t="str">
        <f t="shared" si="258"/>
        <v>93</v>
      </c>
      <c r="D4638" t="str">
        <f>"40"</f>
        <v>40</v>
      </c>
      <c r="E4638" t="str">
        <f>"1-93-40"</f>
        <v>1-93-40</v>
      </c>
      <c r="F4638" t="s">
        <v>65</v>
      </c>
      <c r="G4638" t="s">
        <v>66</v>
      </c>
      <c r="H4638" t="s">
        <v>67</v>
      </c>
      <c r="S4638">
        <v>1</v>
      </c>
      <c r="T4638">
        <v>0</v>
      </c>
      <c r="U4638">
        <v>0</v>
      </c>
      <c r="V4638">
        <v>0</v>
      </c>
      <c r="W4638">
        <v>1</v>
      </c>
      <c r="X4638">
        <v>0</v>
      </c>
      <c r="Y4638">
        <v>1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1</v>
      </c>
      <c r="AF4638">
        <v>1</v>
      </c>
      <c r="AG4638">
        <v>1</v>
      </c>
      <c r="AH4638">
        <v>1</v>
      </c>
      <c r="AI4638">
        <v>1</v>
      </c>
      <c r="AJ4638">
        <v>1</v>
      </c>
      <c r="AK4638">
        <v>1</v>
      </c>
      <c r="AL4638">
        <v>1</v>
      </c>
      <c r="AM4638">
        <v>1</v>
      </c>
    </row>
    <row r="4639" spans="1:39" x14ac:dyDescent="0.2">
      <c r="A4639" t="str">
        <f>"4635"</f>
        <v>4635</v>
      </c>
      <c r="B4639" t="str">
        <f t="shared" si="256"/>
        <v>1</v>
      </c>
      <c r="C4639" t="str">
        <f t="shared" si="258"/>
        <v>93</v>
      </c>
      <c r="D4639" t="str">
        <f>"25"</f>
        <v>25</v>
      </c>
      <c r="E4639" t="str">
        <f>"1-93-25"</f>
        <v>1-93-25</v>
      </c>
      <c r="F4639" t="s">
        <v>65</v>
      </c>
      <c r="G4639" t="s">
        <v>66</v>
      </c>
      <c r="H4639" t="s">
        <v>67</v>
      </c>
      <c r="S4639">
        <v>0</v>
      </c>
      <c r="T4639">
        <v>1</v>
      </c>
      <c r="U4639">
        <v>0</v>
      </c>
      <c r="V4639">
        <v>0</v>
      </c>
      <c r="W4639">
        <v>1</v>
      </c>
      <c r="X4639">
        <v>0</v>
      </c>
      <c r="Y4639">
        <v>0</v>
      </c>
      <c r="Z4639">
        <v>1</v>
      </c>
      <c r="AA4639">
        <v>0</v>
      </c>
      <c r="AB4639">
        <v>0</v>
      </c>
      <c r="AC4639">
        <v>1</v>
      </c>
      <c r="AD4639">
        <v>1</v>
      </c>
      <c r="AE4639">
        <v>1</v>
      </c>
      <c r="AF4639">
        <v>1</v>
      </c>
      <c r="AG4639">
        <v>1</v>
      </c>
      <c r="AH4639">
        <v>1</v>
      </c>
      <c r="AI4639">
        <v>1</v>
      </c>
      <c r="AJ4639">
        <v>1</v>
      </c>
      <c r="AK4639">
        <v>1</v>
      </c>
      <c r="AL4639">
        <v>1</v>
      </c>
      <c r="AM4639">
        <v>1</v>
      </c>
    </row>
    <row r="4640" spans="1:39" x14ac:dyDescent="0.2">
      <c r="A4640" t="str">
        <f>"4636"</f>
        <v>4636</v>
      </c>
      <c r="B4640" t="str">
        <f t="shared" si="256"/>
        <v>1</v>
      </c>
      <c r="C4640" t="str">
        <f t="shared" si="258"/>
        <v>93</v>
      </c>
      <c r="D4640" t="str">
        <f>"6"</f>
        <v>6</v>
      </c>
      <c r="E4640" t="str">
        <f>"1-93-6"</f>
        <v>1-93-6</v>
      </c>
      <c r="F4640" t="s">
        <v>65</v>
      </c>
      <c r="G4640" t="s">
        <v>66</v>
      </c>
      <c r="H4640" t="s">
        <v>67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0</v>
      </c>
      <c r="AB4640">
        <v>0</v>
      </c>
      <c r="AC4640">
        <v>1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</row>
    <row r="4641" spans="1:39" x14ac:dyDescent="0.2">
      <c r="A4641" t="str">
        <f>"4637"</f>
        <v>4637</v>
      </c>
      <c r="B4641" t="str">
        <f t="shared" si="256"/>
        <v>1</v>
      </c>
      <c r="C4641" t="str">
        <f t="shared" si="258"/>
        <v>93</v>
      </c>
      <c r="D4641" t="str">
        <f>"26"</f>
        <v>26</v>
      </c>
      <c r="E4641" t="str">
        <f>"1-93-26"</f>
        <v>1-93-26</v>
      </c>
      <c r="F4641" t="s">
        <v>65</v>
      </c>
      <c r="G4641" t="s">
        <v>66</v>
      </c>
      <c r="H4641" t="s">
        <v>67</v>
      </c>
      <c r="S4641">
        <v>1</v>
      </c>
      <c r="T4641">
        <v>0</v>
      </c>
      <c r="U4641">
        <v>0</v>
      </c>
      <c r="V4641">
        <v>0</v>
      </c>
      <c r="W4641">
        <v>1</v>
      </c>
      <c r="X4641">
        <v>0</v>
      </c>
      <c r="Y4641">
        <v>1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1</v>
      </c>
      <c r="AF4641">
        <v>1</v>
      </c>
      <c r="AG4641">
        <v>1</v>
      </c>
      <c r="AH4641">
        <v>1</v>
      </c>
      <c r="AI4641">
        <v>1</v>
      </c>
      <c r="AJ4641">
        <v>1</v>
      </c>
      <c r="AK4641">
        <v>1</v>
      </c>
      <c r="AL4641">
        <v>1</v>
      </c>
      <c r="AM4641">
        <v>0</v>
      </c>
    </row>
    <row r="4642" spans="1:39" x14ac:dyDescent="0.2">
      <c r="A4642" t="str">
        <f>"4638"</f>
        <v>4638</v>
      </c>
      <c r="B4642" t="str">
        <f t="shared" si="256"/>
        <v>1</v>
      </c>
      <c r="C4642" t="str">
        <f t="shared" si="258"/>
        <v>93</v>
      </c>
      <c r="D4642" t="str">
        <f>"2"</f>
        <v>2</v>
      </c>
      <c r="E4642" t="str">
        <f>"1-93-2"</f>
        <v>1-93-2</v>
      </c>
      <c r="F4642" t="s">
        <v>65</v>
      </c>
      <c r="G4642" t="s">
        <v>66</v>
      </c>
      <c r="H4642" t="s">
        <v>67</v>
      </c>
      <c r="S4642">
        <v>0</v>
      </c>
      <c r="T4642">
        <v>1</v>
      </c>
      <c r="U4642">
        <v>0</v>
      </c>
      <c r="V4642">
        <v>0</v>
      </c>
      <c r="W4642">
        <v>0</v>
      </c>
      <c r="X4642">
        <v>1</v>
      </c>
      <c r="Y4642">
        <v>0</v>
      </c>
      <c r="Z4642">
        <v>1</v>
      </c>
      <c r="AA4642">
        <v>0</v>
      </c>
      <c r="AB4642">
        <v>0</v>
      </c>
      <c r="AC4642">
        <v>1</v>
      </c>
      <c r="AD4642">
        <v>1</v>
      </c>
      <c r="AE4642">
        <v>1</v>
      </c>
      <c r="AF4642">
        <v>1</v>
      </c>
      <c r="AG4642">
        <v>0</v>
      </c>
      <c r="AH4642">
        <v>1</v>
      </c>
      <c r="AI4642">
        <v>1</v>
      </c>
      <c r="AJ4642">
        <v>1</v>
      </c>
      <c r="AK4642">
        <v>1</v>
      </c>
      <c r="AL4642">
        <v>1</v>
      </c>
      <c r="AM4642">
        <v>1</v>
      </c>
    </row>
    <row r="4643" spans="1:39" x14ac:dyDescent="0.2">
      <c r="A4643" t="str">
        <f>"4639"</f>
        <v>4639</v>
      </c>
      <c r="B4643" t="str">
        <f t="shared" si="256"/>
        <v>1</v>
      </c>
      <c r="C4643" t="str">
        <f t="shared" si="258"/>
        <v>93</v>
      </c>
      <c r="D4643" t="str">
        <f>"43"</f>
        <v>43</v>
      </c>
      <c r="E4643" t="str">
        <f>"1-93-43"</f>
        <v>1-93-43</v>
      </c>
      <c r="F4643" t="s">
        <v>65</v>
      </c>
      <c r="G4643" t="s">
        <v>66</v>
      </c>
      <c r="H4643" t="s">
        <v>67</v>
      </c>
      <c r="S4643">
        <v>1</v>
      </c>
      <c r="T4643">
        <v>0</v>
      </c>
      <c r="U4643">
        <v>0</v>
      </c>
      <c r="V4643">
        <v>0</v>
      </c>
      <c r="W4643">
        <v>1</v>
      </c>
      <c r="X4643">
        <v>0</v>
      </c>
      <c r="Y4643">
        <v>0</v>
      </c>
      <c r="Z4643">
        <v>1</v>
      </c>
      <c r="AA4643">
        <v>1</v>
      </c>
      <c r="AB4643">
        <v>0</v>
      </c>
      <c r="AC4643">
        <v>0</v>
      </c>
      <c r="AD4643">
        <v>1</v>
      </c>
      <c r="AE4643">
        <v>1</v>
      </c>
      <c r="AF4643">
        <v>1</v>
      </c>
      <c r="AG4643">
        <v>1</v>
      </c>
      <c r="AH4643">
        <v>1</v>
      </c>
      <c r="AI4643">
        <v>1</v>
      </c>
      <c r="AJ4643">
        <v>1</v>
      </c>
      <c r="AK4643">
        <v>1</v>
      </c>
      <c r="AL4643">
        <v>1</v>
      </c>
      <c r="AM4643">
        <v>1</v>
      </c>
    </row>
    <row r="4644" spans="1:39" x14ac:dyDescent="0.2">
      <c r="A4644" t="str">
        <f>"4640"</f>
        <v>4640</v>
      </c>
      <c r="B4644" t="str">
        <f t="shared" si="256"/>
        <v>1</v>
      </c>
      <c r="C4644" t="str">
        <f t="shared" si="258"/>
        <v>93</v>
      </c>
      <c r="D4644" t="str">
        <f>"27"</f>
        <v>27</v>
      </c>
      <c r="E4644" t="str">
        <f>"1-93-27"</f>
        <v>1-93-27</v>
      </c>
      <c r="F4644" t="s">
        <v>65</v>
      </c>
      <c r="G4644" t="s">
        <v>66</v>
      </c>
      <c r="H4644" t="s">
        <v>67</v>
      </c>
      <c r="S4644">
        <v>1</v>
      </c>
      <c r="T4644">
        <v>0</v>
      </c>
      <c r="U4644">
        <v>0</v>
      </c>
      <c r="V4644">
        <v>0</v>
      </c>
      <c r="W4644">
        <v>1</v>
      </c>
      <c r="X4644">
        <v>0</v>
      </c>
      <c r="Y4644">
        <v>1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1</v>
      </c>
      <c r="AF4644">
        <v>1</v>
      </c>
      <c r="AG4644">
        <v>1</v>
      </c>
      <c r="AH4644">
        <v>1</v>
      </c>
      <c r="AI4644">
        <v>1</v>
      </c>
      <c r="AJ4644">
        <v>1</v>
      </c>
      <c r="AK4644">
        <v>1</v>
      </c>
      <c r="AL4644">
        <v>1</v>
      </c>
      <c r="AM4644">
        <v>1</v>
      </c>
    </row>
    <row r="4645" spans="1:39" x14ac:dyDescent="0.2">
      <c r="A4645" t="str">
        <f>"4641"</f>
        <v>4641</v>
      </c>
      <c r="B4645" t="str">
        <f t="shared" si="256"/>
        <v>1</v>
      </c>
      <c r="C4645" t="str">
        <f t="shared" si="258"/>
        <v>93</v>
      </c>
      <c r="D4645" t="str">
        <f>"8"</f>
        <v>8</v>
      </c>
      <c r="E4645" t="str">
        <f>"1-93-8"</f>
        <v>1-93-8</v>
      </c>
      <c r="F4645" t="s">
        <v>65</v>
      </c>
      <c r="G4645" t="s">
        <v>66</v>
      </c>
      <c r="H4645" t="s">
        <v>67</v>
      </c>
      <c r="S4645">
        <v>0</v>
      </c>
      <c r="T4645">
        <v>1</v>
      </c>
      <c r="U4645">
        <v>0</v>
      </c>
      <c r="V4645">
        <v>0</v>
      </c>
      <c r="W4645">
        <v>1</v>
      </c>
      <c r="X4645">
        <v>0</v>
      </c>
      <c r="Y4645">
        <v>1</v>
      </c>
      <c r="Z4645">
        <v>0</v>
      </c>
      <c r="AA4645">
        <v>0</v>
      </c>
      <c r="AB4645">
        <v>1</v>
      </c>
      <c r="AC4645">
        <v>0</v>
      </c>
      <c r="AD4645">
        <v>1</v>
      </c>
      <c r="AE4645">
        <v>1</v>
      </c>
      <c r="AF4645">
        <v>1</v>
      </c>
      <c r="AG4645">
        <v>1</v>
      </c>
      <c r="AH4645">
        <v>1</v>
      </c>
      <c r="AI4645">
        <v>1</v>
      </c>
      <c r="AJ4645">
        <v>1</v>
      </c>
      <c r="AK4645">
        <v>1</v>
      </c>
      <c r="AL4645">
        <v>1</v>
      </c>
      <c r="AM4645">
        <v>1</v>
      </c>
    </row>
    <row r="4646" spans="1:39" x14ac:dyDescent="0.2">
      <c r="A4646" t="str">
        <f>"4642"</f>
        <v>4642</v>
      </c>
      <c r="B4646" t="str">
        <f t="shared" si="256"/>
        <v>1</v>
      </c>
      <c r="C4646" t="str">
        <f t="shared" si="258"/>
        <v>93</v>
      </c>
      <c r="D4646" t="str">
        <f>"49"</f>
        <v>49</v>
      </c>
      <c r="E4646" t="str">
        <f>"1-93-49"</f>
        <v>1-93-49</v>
      </c>
      <c r="F4646" t="s">
        <v>65</v>
      </c>
      <c r="G4646" t="s">
        <v>66</v>
      </c>
      <c r="H4646" t="s">
        <v>67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1</v>
      </c>
      <c r="Y4646">
        <v>1</v>
      </c>
      <c r="Z4646">
        <v>0</v>
      </c>
      <c r="AA4646">
        <v>0</v>
      </c>
      <c r="AB4646">
        <v>0</v>
      </c>
      <c r="AC4646">
        <v>1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1</v>
      </c>
      <c r="AJ4646">
        <v>1</v>
      </c>
      <c r="AK4646">
        <v>0</v>
      </c>
      <c r="AL4646">
        <v>0</v>
      </c>
      <c r="AM4646">
        <v>0</v>
      </c>
    </row>
    <row r="4647" spans="1:39" x14ac:dyDescent="0.2">
      <c r="A4647" t="str">
        <f>"4643"</f>
        <v>4643</v>
      </c>
      <c r="B4647" t="str">
        <f t="shared" si="256"/>
        <v>1</v>
      </c>
      <c r="C4647" t="str">
        <f t="shared" si="258"/>
        <v>93</v>
      </c>
      <c r="D4647" t="str">
        <f>"28"</f>
        <v>28</v>
      </c>
      <c r="E4647" t="str">
        <f>"1-93-28"</f>
        <v>1-93-28</v>
      </c>
      <c r="F4647" t="s">
        <v>65</v>
      </c>
      <c r="G4647" t="s">
        <v>66</v>
      </c>
      <c r="H4647" t="s">
        <v>67</v>
      </c>
      <c r="S4647">
        <v>1</v>
      </c>
      <c r="T4647">
        <v>0</v>
      </c>
      <c r="U4647">
        <v>0</v>
      </c>
      <c r="V4647">
        <v>0</v>
      </c>
      <c r="W4647">
        <v>1</v>
      </c>
      <c r="X4647">
        <v>0</v>
      </c>
      <c r="Y4647">
        <v>0</v>
      </c>
      <c r="Z4647">
        <v>1</v>
      </c>
      <c r="AA4647">
        <v>1</v>
      </c>
      <c r="AB4647">
        <v>0</v>
      </c>
      <c r="AC4647">
        <v>0</v>
      </c>
      <c r="AD4647">
        <v>1</v>
      </c>
      <c r="AE4647">
        <v>1</v>
      </c>
      <c r="AF4647">
        <v>1</v>
      </c>
      <c r="AG4647">
        <v>1</v>
      </c>
      <c r="AH4647">
        <v>1</v>
      </c>
      <c r="AI4647">
        <v>1</v>
      </c>
      <c r="AJ4647">
        <v>1</v>
      </c>
      <c r="AK4647">
        <v>1</v>
      </c>
      <c r="AL4647">
        <v>0</v>
      </c>
      <c r="AM4647">
        <v>1</v>
      </c>
    </row>
    <row r="4648" spans="1:39" x14ac:dyDescent="0.2">
      <c r="A4648" t="str">
        <f>"4644"</f>
        <v>4644</v>
      </c>
      <c r="B4648" t="str">
        <f t="shared" si="256"/>
        <v>1</v>
      </c>
      <c r="C4648" t="str">
        <f t="shared" si="258"/>
        <v>93</v>
      </c>
      <c r="D4648" t="str">
        <f>"5"</f>
        <v>5</v>
      </c>
      <c r="E4648" t="str">
        <f>"1-93-5"</f>
        <v>1-93-5</v>
      </c>
      <c r="F4648" t="s">
        <v>65</v>
      </c>
      <c r="G4648" t="s">
        <v>66</v>
      </c>
      <c r="H4648" t="s">
        <v>67</v>
      </c>
      <c r="S4648">
        <v>1</v>
      </c>
      <c r="T4648">
        <v>0</v>
      </c>
      <c r="U4648">
        <v>0</v>
      </c>
      <c r="V4648">
        <v>0</v>
      </c>
      <c r="W4648">
        <v>1</v>
      </c>
      <c r="X4648">
        <v>0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1</v>
      </c>
      <c r="AF4648">
        <v>1</v>
      </c>
      <c r="AG4648">
        <v>1</v>
      </c>
      <c r="AH4648">
        <v>1</v>
      </c>
      <c r="AI4648">
        <v>1</v>
      </c>
      <c r="AJ4648">
        <v>1</v>
      </c>
      <c r="AK4648">
        <v>1</v>
      </c>
      <c r="AL4648">
        <v>1</v>
      </c>
      <c r="AM4648">
        <v>1</v>
      </c>
    </row>
    <row r="4649" spans="1:39" x14ac:dyDescent="0.2">
      <c r="A4649" t="str">
        <f>"4645"</f>
        <v>4645</v>
      </c>
      <c r="B4649" t="str">
        <f t="shared" si="256"/>
        <v>1</v>
      </c>
      <c r="C4649" t="str">
        <f t="shared" si="258"/>
        <v>93</v>
      </c>
      <c r="D4649" t="str">
        <f>"46"</f>
        <v>46</v>
      </c>
      <c r="E4649" t="str">
        <f>"1-93-46"</f>
        <v>1-93-46</v>
      </c>
      <c r="F4649" t="s">
        <v>65</v>
      </c>
      <c r="G4649" t="s">
        <v>66</v>
      </c>
      <c r="H4649" t="s">
        <v>67</v>
      </c>
      <c r="S4649">
        <v>1</v>
      </c>
      <c r="T4649">
        <v>0</v>
      </c>
      <c r="U4649">
        <v>0</v>
      </c>
      <c r="V4649">
        <v>0</v>
      </c>
      <c r="W4649">
        <v>1</v>
      </c>
      <c r="X4649">
        <v>0</v>
      </c>
      <c r="Y4649">
        <v>0</v>
      </c>
      <c r="Z4649">
        <v>1</v>
      </c>
      <c r="AA4649">
        <v>0</v>
      </c>
      <c r="AB4649">
        <v>0</v>
      </c>
      <c r="AC4649">
        <v>1</v>
      </c>
      <c r="AD4649">
        <v>1</v>
      </c>
      <c r="AE4649">
        <v>1</v>
      </c>
      <c r="AF4649">
        <v>1</v>
      </c>
      <c r="AG4649">
        <v>1</v>
      </c>
      <c r="AH4649">
        <v>1</v>
      </c>
      <c r="AI4649">
        <v>1</v>
      </c>
      <c r="AJ4649">
        <v>1</v>
      </c>
      <c r="AK4649">
        <v>1</v>
      </c>
      <c r="AL4649">
        <v>1</v>
      </c>
      <c r="AM4649">
        <v>1</v>
      </c>
    </row>
    <row r="4650" spans="1:39" x14ac:dyDescent="0.2">
      <c r="A4650" t="str">
        <f>"4646"</f>
        <v>4646</v>
      </c>
      <c r="B4650" t="str">
        <f t="shared" si="256"/>
        <v>1</v>
      </c>
      <c r="C4650" t="str">
        <f t="shared" si="258"/>
        <v>93</v>
      </c>
      <c r="D4650" t="str">
        <f>"29"</f>
        <v>29</v>
      </c>
      <c r="E4650" t="str">
        <f>"1-93-29"</f>
        <v>1-93-29</v>
      </c>
      <c r="F4650" t="s">
        <v>65</v>
      </c>
      <c r="G4650" t="s">
        <v>66</v>
      </c>
      <c r="H4650" t="s">
        <v>67</v>
      </c>
      <c r="S4650">
        <v>0</v>
      </c>
      <c r="T4650">
        <v>1</v>
      </c>
      <c r="U4650">
        <v>0</v>
      </c>
      <c r="V4650">
        <v>0</v>
      </c>
      <c r="W4650">
        <v>1</v>
      </c>
      <c r="X4650">
        <v>0</v>
      </c>
      <c r="Y4650">
        <v>1</v>
      </c>
      <c r="Z4650">
        <v>0</v>
      </c>
      <c r="AA4650">
        <v>0</v>
      </c>
      <c r="AB4650">
        <v>0</v>
      </c>
      <c r="AC4650">
        <v>1</v>
      </c>
      <c r="AD4650">
        <v>1</v>
      </c>
      <c r="AE4650">
        <v>1</v>
      </c>
      <c r="AF4650">
        <v>1</v>
      </c>
      <c r="AG4650">
        <v>1</v>
      </c>
      <c r="AH4650">
        <v>1</v>
      </c>
      <c r="AI4650">
        <v>1</v>
      </c>
      <c r="AJ4650">
        <v>1</v>
      </c>
      <c r="AK4650">
        <v>1</v>
      </c>
      <c r="AL4650">
        <v>1</v>
      </c>
      <c r="AM4650">
        <v>1</v>
      </c>
    </row>
    <row r="4651" spans="1:39" x14ac:dyDescent="0.2">
      <c r="A4651" t="str">
        <f>"4647"</f>
        <v>4647</v>
      </c>
      <c r="B4651" t="str">
        <f t="shared" si="256"/>
        <v>1</v>
      </c>
      <c r="C4651" t="str">
        <f t="shared" si="258"/>
        <v>93</v>
      </c>
      <c r="D4651" t="str">
        <f>"7"</f>
        <v>7</v>
      </c>
      <c r="E4651" t="str">
        <f>"1-93-7"</f>
        <v>1-93-7</v>
      </c>
      <c r="F4651" t="s">
        <v>65</v>
      </c>
      <c r="G4651" t="s">
        <v>66</v>
      </c>
      <c r="H4651" t="s">
        <v>67</v>
      </c>
      <c r="S4651">
        <v>0</v>
      </c>
      <c r="T4651">
        <v>1</v>
      </c>
      <c r="U4651">
        <v>0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0</v>
      </c>
      <c r="AB4651">
        <v>0</v>
      </c>
      <c r="AC4651">
        <v>1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</row>
    <row r="4652" spans="1:39" x14ac:dyDescent="0.2">
      <c r="A4652" t="str">
        <f>"4648"</f>
        <v>4648</v>
      </c>
      <c r="B4652" t="str">
        <f t="shared" si="256"/>
        <v>1</v>
      </c>
      <c r="C4652" t="str">
        <f t="shared" si="258"/>
        <v>93</v>
      </c>
      <c r="D4652" t="str">
        <f>"47"</f>
        <v>47</v>
      </c>
      <c r="E4652" t="str">
        <f>"1-93-47"</f>
        <v>1-93-47</v>
      </c>
      <c r="F4652" t="s">
        <v>65</v>
      </c>
      <c r="G4652" t="s">
        <v>66</v>
      </c>
      <c r="H4652" t="s">
        <v>67</v>
      </c>
      <c r="S4652">
        <v>1</v>
      </c>
      <c r="T4652">
        <v>0</v>
      </c>
      <c r="U4652">
        <v>0</v>
      </c>
      <c r="V4652">
        <v>0</v>
      </c>
      <c r="W4652">
        <v>1</v>
      </c>
      <c r="X4652">
        <v>0</v>
      </c>
      <c r="Y4652">
        <v>0</v>
      </c>
      <c r="Z4652">
        <v>1</v>
      </c>
      <c r="AA4652">
        <v>0</v>
      </c>
      <c r="AB4652">
        <v>0</v>
      </c>
      <c r="AC4652">
        <v>1</v>
      </c>
      <c r="AD4652">
        <v>1</v>
      </c>
      <c r="AE4652">
        <v>1</v>
      </c>
      <c r="AF4652">
        <v>1</v>
      </c>
      <c r="AG4652">
        <v>1</v>
      </c>
      <c r="AH4652">
        <v>1</v>
      </c>
      <c r="AI4652">
        <v>1</v>
      </c>
      <c r="AJ4652">
        <v>1</v>
      </c>
      <c r="AK4652">
        <v>1</v>
      </c>
      <c r="AL4652">
        <v>1</v>
      </c>
      <c r="AM4652">
        <v>1</v>
      </c>
    </row>
    <row r="4653" spans="1:39" x14ac:dyDescent="0.2">
      <c r="A4653" t="str">
        <f>"4649"</f>
        <v>4649</v>
      </c>
      <c r="B4653" t="str">
        <f t="shared" si="256"/>
        <v>1</v>
      </c>
      <c r="C4653" t="str">
        <f t="shared" si="258"/>
        <v>93</v>
      </c>
      <c r="D4653" t="str">
        <f>"30"</f>
        <v>30</v>
      </c>
      <c r="E4653" t="str">
        <f>"1-93-30"</f>
        <v>1-93-30</v>
      </c>
      <c r="F4653" t="s">
        <v>65</v>
      </c>
      <c r="G4653" t="s">
        <v>66</v>
      </c>
      <c r="H4653" t="s">
        <v>67</v>
      </c>
      <c r="S4653">
        <v>1</v>
      </c>
      <c r="T4653">
        <v>0</v>
      </c>
      <c r="U4653">
        <v>0</v>
      </c>
      <c r="V4653">
        <v>0</v>
      </c>
      <c r="W4653">
        <v>1</v>
      </c>
      <c r="X4653">
        <v>0</v>
      </c>
      <c r="Y4653">
        <v>1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1</v>
      </c>
      <c r="AF4653">
        <v>1</v>
      </c>
      <c r="AG4653">
        <v>1</v>
      </c>
      <c r="AH4653">
        <v>1</v>
      </c>
      <c r="AI4653">
        <v>1</v>
      </c>
      <c r="AJ4653">
        <v>1</v>
      </c>
      <c r="AK4653">
        <v>1</v>
      </c>
      <c r="AL4653">
        <v>1</v>
      </c>
      <c r="AM4653">
        <v>1</v>
      </c>
    </row>
    <row r="4654" spans="1:39" x14ac:dyDescent="0.2">
      <c r="A4654" t="str">
        <f>"4650"</f>
        <v>4650</v>
      </c>
      <c r="B4654" t="str">
        <f t="shared" si="256"/>
        <v>1</v>
      </c>
      <c r="C4654" t="str">
        <f t="shared" si="258"/>
        <v>93</v>
      </c>
      <c r="D4654" t="str">
        <f>"12"</f>
        <v>12</v>
      </c>
      <c r="E4654" t="str">
        <f>"1-93-12"</f>
        <v>1-93-12</v>
      </c>
      <c r="F4654" t="s">
        <v>65</v>
      </c>
      <c r="G4654" t="s">
        <v>66</v>
      </c>
      <c r="H4654" t="s">
        <v>67</v>
      </c>
      <c r="S4654">
        <v>0</v>
      </c>
      <c r="T4654">
        <v>1</v>
      </c>
      <c r="U4654">
        <v>0</v>
      </c>
      <c r="V4654">
        <v>0</v>
      </c>
      <c r="W4654">
        <v>1</v>
      </c>
      <c r="X4654">
        <v>0</v>
      </c>
      <c r="Y4654">
        <v>0</v>
      </c>
      <c r="Z4654">
        <v>1</v>
      </c>
      <c r="AA4654">
        <v>1</v>
      </c>
      <c r="AB4654">
        <v>0</v>
      </c>
      <c r="AC4654">
        <v>0</v>
      </c>
      <c r="AD4654">
        <v>1</v>
      </c>
      <c r="AE4654">
        <v>1</v>
      </c>
      <c r="AF4654">
        <v>1</v>
      </c>
      <c r="AG4654">
        <v>1</v>
      </c>
      <c r="AH4654">
        <v>1</v>
      </c>
      <c r="AI4654">
        <v>1</v>
      </c>
      <c r="AJ4654">
        <v>1</v>
      </c>
      <c r="AK4654">
        <v>1</v>
      </c>
      <c r="AL4654">
        <v>1</v>
      </c>
      <c r="AM4654">
        <v>1</v>
      </c>
    </row>
    <row r="4655" spans="1:39" x14ac:dyDescent="0.2">
      <c r="A4655" t="str">
        <f>"4651"</f>
        <v>4651</v>
      </c>
      <c r="B4655" t="str">
        <f t="shared" si="256"/>
        <v>1</v>
      </c>
      <c r="C4655" t="str">
        <f t="shared" ref="C4655:C4686" si="259">"94"</f>
        <v>94</v>
      </c>
      <c r="D4655" t="str">
        <f>"36"</f>
        <v>36</v>
      </c>
      <c r="E4655" t="str">
        <f>"1-94-36"</f>
        <v>1-94-36</v>
      </c>
      <c r="F4655" t="s">
        <v>65</v>
      </c>
      <c r="G4655" t="s">
        <v>66</v>
      </c>
      <c r="H4655" t="s">
        <v>67</v>
      </c>
      <c r="S4655">
        <v>1</v>
      </c>
      <c r="T4655">
        <v>0</v>
      </c>
      <c r="U4655">
        <v>0</v>
      </c>
      <c r="V4655">
        <v>0</v>
      </c>
      <c r="W4655">
        <v>1</v>
      </c>
      <c r="X4655">
        <v>0</v>
      </c>
      <c r="Y4655">
        <v>0</v>
      </c>
      <c r="Z4655">
        <v>1</v>
      </c>
      <c r="AA4655">
        <v>1</v>
      </c>
      <c r="AB4655">
        <v>0</v>
      </c>
      <c r="AC4655">
        <v>0</v>
      </c>
      <c r="AD4655">
        <v>1</v>
      </c>
      <c r="AE4655">
        <v>1</v>
      </c>
      <c r="AF4655">
        <v>1</v>
      </c>
      <c r="AG4655">
        <v>1</v>
      </c>
      <c r="AH4655">
        <v>1</v>
      </c>
      <c r="AI4655">
        <v>1</v>
      </c>
      <c r="AJ4655">
        <v>1</v>
      </c>
      <c r="AK4655">
        <v>1</v>
      </c>
      <c r="AL4655">
        <v>1</v>
      </c>
      <c r="AM4655">
        <v>1</v>
      </c>
    </row>
    <row r="4656" spans="1:39" x14ac:dyDescent="0.2">
      <c r="A4656" t="str">
        <f>"4652"</f>
        <v>4652</v>
      </c>
      <c r="B4656" t="str">
        <f t="shared" si="256"/>
        <v>1</v>
      </c>
      <c r="C4656" t="str">
        <f t="shared" si="259"/>
        <v>94</v>
      </c>
      <c r="D4656" t="str">
        <f>"35"</f>
        <v>35</v>
      </c>
      <c r="E4656" t="str">
        <f>"1-94-35"</f>
        <v>1-94-35</v>
      </c>
      <c r="F4656" t="s">
        <v>65</v>
      </c>
      <c r="G4656" t="s">
        <v>66</v>
      </c>
      <c r="H4656" t="s">
        <v>67</v>
      </c>
      <c r="S4656">
        <v>1</v>
      </c>
      <c r="T4656">
        <v>0</v>
      </c>
      <c r="U4656">
        <v>0</v>
      </c>
      <c r="V4656">
        <v>0</v>
      </c>
      <c r="W4656">
        <v>1</v>
      </c>
      <c r="X4656">
        <v>0</v>
      </c>
      <c r="Y4656">
        <v>1</v>
      </c>
      <c r="Z4656">
        <v>0</v>
      </c>
      <c r="AA4656">
        <v>0</v>
      </c>
      <c r="AB4656">
        <v>1</v>
      </c>
      <c r="AC4656">
        <v>0</v>
      </c>
      <c r="AD4656">
        <v>1</v>
      </c>
      <c r="AE4656">
        <v>1</v>
      </c>
      <c r="AF4656">
        <v>1</v>
      </c>
      <c r="AG4656">
        <v>1</v>
      </c>
      <c r="AH4656">
        <v>1</v>
      </c>
      <c r="AI4656">
        <v>1</v>
      </c>
      <c r="AJ4656">
        <v>1</v>
      </c>
      <c r="AK4656">
        <v>1</v>
      </c>
      <c r="AL4656">
        <v>1</v>
      </c>
      <c r="AM4656">
        <v>1</v>
      </c>
    </row>
    <row r="4657" spans="1:39" x14ac:dyDescent="0.2">
      <c r="A4657" t="str">
        <f>"4653"</f>
        <v>4653</v>
      </c>
      <c r="B4657" t="str">
        <f t="shared" si="256"/>
        <v>1</v>
      </c>
      <c r="C4657" t="str">
        <f t="shared" si="259"/>
        <v>94</v>
      </c>
      <c r="D4657" t="str">
        <f>"24"</f>
        <v>24</v>
      </c>
      <c r="E4657" t="str">
        <f>"1-94-24"</f>
        <v>1-94-24</v>
      </c>
      <c r="F4657" t="s">
        <v>65</v>
      </c>
      <c r="G4657" t="s">
        <v>66</v>
      </c>
      <c r="H4657" t="s">
        <v>67</v>
      </c>
      <c r="S4657">
        <v>1</v>
      </c>
      <c r="T4657">
        <v>0</v>
      </c>
      <c r="U4657">
        <v>0</v>
      </c>
      <c r="V4657">
        <v>0</v>
      </c>
      <c r="W4657">
        <v>1</v>
      </c>
      <c r="X4657">
        <v>0</v>
      </c>
      <c r="Y4657">
        <v>1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1</v>
      </c>
      <c r="AF4657">
        <v>1</v>
      </c>
      <c r="AG4657">
        <v>1</v>
      </c>
      <c r="AH4657">
        <v>1</v>
      </c>
      <c r="AI4657">
        <v>1</v>
      </c>
      <c r="AJ4657">
        <v>1</v>
      </c>
      <c r="AK4657">
        <v>1</v>
      </c>
      <c r="AL4657">
        <v>1</v>
      </c>
      <c r="AM4657">
        <v>1</v>
      </c>
    </row>
    <row r="4658" spans="1:39" x14ac:dyDescent="0.2">
      <c r="A4658" t="str">
        <f>"4654"</f>
        <v>4654</v>
      </c>
      <c r="B4658" t="str">
        <f t="shared" si="256"/>
        <v>1</v>
      </c>
      <c r="C4658" t="str">
        <f t="shared" si="259"/>
        <v>94</v>
      </c>
      <c r="D4658" t="str">
        <f>"15"</f>
        <v>15</v>
      </c>
      <c r="E4658" t="str">
        <f>"1-94-15"</f>
        <v>1-94-15</v>
      </c>
      <c r="F4658" t="s">
        <v>65</v>
      </c>
      <c r="G4658" t="s">
        <v>66</v>
      </c>
      <c r="H4658" t="s">
        <v>67</v>
      </c>
      <c r="S4658">
        <v>1</v>
      </c>
      <c r="T4658">
        <v>0</v>
      </c>
      <c r="U4658">
        <v>0</v>
      </c>
      <c r="V4658">
        <v>0</v>
      </c>
      <c r="W4658">
        <v>1</v>
      </c>
      <c r="X4658">
        <v>0</v>
      </c>
      <c r="Y4658">
        <v>1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1</v>
      </c>
      <c r="AF4658">
        <v>1</v>
      </c>
      <c r="AG4658">
        <v>1</v>
      </c>
      <c r="AH4658">
        <v>1</v>
      </c>
      <c r="AI4658">
        <v>1</v>
      </c>
      <c r="AJ4658">
        <v>1</v>
      </c>
      <c r="AK4658">
        <v>0</v>
      </c>
      <c r="AL4658">
        <v>1</v>
      </c>
      <c r="AM4658">
        <v>1</v>
      </c>
    </row>
    <row r="4659" spans="1:39" x14ac:dyDescent="0.2">
      <c r="A4659" t="str">
        <f>"4655"</f>
        <v>4655</v>
      </c>
      <c r="B4659" t="str">
        <f t="shared" si="256"/>
        <v>1</v>
      </c>
      <c r="C4659" t="str">
        <f t="shared" si="259"/>
        <v>94</v>
      </c>
      <c r="D4659" t="str">
        <f>"2"</f>
        <v>2</v>
      </c>
      <c r="E4659" t="str">
        <f>"1-94-2"</f>
        <v>1-94-2</v>
      </c>
      <c r="F4659" t="s">
        <v>65</v>
      </c>
      <c r="G4659" t="s">
        <v>66</v>
      </c>
      <c r="H4659" t="s">
        <v>67</v>
      </c>
      <c r="S4659">
        <v>0</v>
      </c>
      <c r="T4659">
        <v>1</v>
      </c>
      <c r="U4659">
        <v>0</v>
      </c>
      <c r="V4659">
        <v>0</v>
      </c>
      <c r="W4659">
        <v>0</v>
      </c>
      <c r="X4659">
        <v>1</v>
      </c>
      <c r="Y4659">
        <v>1</v>
      </c>
      <c r="Z4659">
        <v>0</v>
      </c>
      <c r="AA4659">
        <v>0</v>
      </c>
      <c r="AB4659">
        <v>1</v>
      </c>
      <c r="AC4659">
        <v>0</v>
      </c>
      <c r="AD4659">
        <v>1</v>
      </c>
      <c r="AE4659">
        <v>1</v>
      </c>
      <c r="AF4659">
        <v>1</v>
      </c>
      <c r="AG4659">
        <v>1</v>
      </c>
      <c r="AH4659">
        <v>1</v>
      </c>
      <c r="AI4659">
        <v>1</v>
      </c>
      <c r="AJ4659">
        <v>1</v>
      </c>
      <c r="AK4659">
        <v>1</v>
      </c>
      <c r="AL4659">
        <v>1</v>
      </c>
      <c r="AM4659">
        <v>1</v>
      </c>
    </row>
    <row r="4660" spans="1:39" x14ac:dyDescent="0.2">
      <c r="A4660" t="str">
        <f>"4656"</f>
        <v>4656</v>
      </c>
      <c r="B4660" t="str">
        <f t="shared" si="256"/>
        <v>1</v>
      </c>
      <c r="C4660" t="str">
        <f t="shared" si="259"/>
        <v>94</v>
      </c>
      <c r="D4660" t="str">
        <f>"38"</f>
        <v>38</v>
      </c>
      <c r="E4660" t="str">
        <f>"1-94-38"</f>
        <v>1-94-38</v>
      </c>
      <c r="F4660" t="s">
        <v>65</v>
      </c>
      <c r="G4660" t="s">
        <v>66</v>
      </c>
      <c r="H4660" t="s">
        <v>67</v>
      </c>
      <c r="S4660">
        <v>1</v>
      </c>
      <c r="T4660">
        <v>0</v>
      </c>
      <c r="U4660">
        <v>0</v>
      </c>
      <c r="V4660">
        <v>0</v>
      </c>
      <c r="W4660">
        <v>1</v>
      </c>
      <c r="X4660">
        <v>0</v>
      </c>
      <c r="Y4660">
        <v>1</v>
      </c>
      <c r="Z4660">
        <v>0</v>
      </c>
      <c r="AA4660">
        <v>1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</row>
    <row r="4661" spans="1:39" x14ac:dyDescent="0.2">
      <c r="A4661" t="str">
        <f>"4657"</f>
        <v>4657</v>
      </c>
      <c r="B4661" t="str">
        <f t="shared" si="256"/>
        <v>1</v>
      </c>
      <c r="C4661" t="str">
        <f t="shared" si="259"/>
        <v>94</v>
      </c>
      <c r="D4661" t="str">
        <f>"37"</f>
        <v>37</v>
      </c>
      <c r="E4661" t="str">
        <f>"1-94-37"</f>
        <v>1-94-37</v>
      </c>
      <c r="F4661" t="s">
        <v>65</v>
      </c>
      <c r="G4661" t="s">
        <v>66</v>
      </c>
      <c r="H4661" t="s">
        <v>67</v>
      </c>
      <c r="S4661">
        <v>1</v>
      </c>
      <c r="T4661">
        <v>0</v>
      </c>
      <c r="U4661">
        <v>0</v>
      </c>
      <c r="V4661">
        <v>0</v>
      </c>
      <c r="W4661">
        <v>1</v>
      </c>
      <c r="X4661">
        <v>0</v>
      </c>
      <c r="Y4661">
        <v>1</v>
      </c>
      <c r="Z4661">
        <v>0</v>
      </c>
      <c r="AA4661">
        <v>0</v>
      </c>
      <c r="AB4661">
        <v>0</v>
      </c>
      <c r="AC4661">
        <v>1</v>
      </c>
      <c r="AD4661">
        <v>1</v>
      </c>
      <c r="AE4661">
        <v>1</v>
      </c>
      <c r="AF4661">
        <v>1</v>
      </c>
      <c r="AG4661">
        <v>1</v>
      </c>
      <c r="AH4661">
        <v>1</v>
      </c>
      <c r="AI4661">
        <v>1</v>
      </c>
      <c r="AJ4661">
        <v>1</v>
      </c>
      <c r="AK4661">
        <v>1</v>
      </c>
      <c r="AL4661">
        <v>1</v>
      </c>
      <c r="AM4661">
        <v>1</v>
      </c>
    </row>
    <row r="4662" spans="1:39" x14ac:dyDescent="0.2">
      <c r="A4662" t="str">
        <f>"4658"</f>
        <v>4658</v>
      </c>
      <c r="B4662" t="str">
        <f t="shared" si="256"/>
        <v>1</v>
      </c>
      <c r="C4662" t="str">
        <f t="shared" si="259"/>
        <v>94</v>
      </c>
      <c r="D4662" t="str">
        <f>"27"</f>
        <v>27</v>
      </c>
      <c r="E4662" t="str">
        <f>"1-94-27"</f>
        <v>1-94-27</v>
      </c>
      <c r="F4662" t="s">
        <v>65</v>
      </c>
      <c r="G4662" t="s">
        <v>66</v>
      </c>
      <c r="H4662" t="s">
        <v>67</v>
      </c>
      <c r="S4662">
        <v>1</v>
      </c>
      <c r="T4662">
        <v>0</v>
      </c>
      <c r="U4662">
        <v>0</v>
      </c>
      <c r="V4662">
        <v>0</v>
      </c>
      <c r="W4662">
        <v>1</v>
      </c>
      <c r="X4662">
        <v>0</v>
      </c>
      <c r="Y4662">
        <v>1</v>
      </c>
      <c r="Z4662">
        <v>0</v>
      </c>
      <c r="AA4662">
        <v>0</v>
      </c>
      <c r="AB4662">
        <v>1</v>
      </c>
      <c r="AC4662">
        <v>0</v>
      </c>
      <c r="AD4662">
        <v>1</v>
      </c>
      <c r="AE4662">
        <v>1</v>
      </c>
      <c r="AF4662">
        <v>1</v>
      </c>
      <c r="AG4662">
        <v>1</v>
      </c>
      <c r="AH4662">
        <v>1</v>
      </c>
      <c r="AI4662">
        <v>1</v>
      </c>
      <c r="AJ4662">
        <v>1</v>
      </c>
      <c r="AK4662">
        <v>1</v>
      </c>
      <c r="AL4662">
        <v>1</v>
      </c>
      <c r="AM4662">
        <v>1</v>
      </c>
    </row>
    <row r="4663" spans="1:39" x14ac:dyDescent="0.2">
      <c r="A4663" t="str">
        <f>"4659"</f>
        <v>4659</v>
      </c>
      <c r="B4663" t="str">
        <f t="shared" ref="B4663:B4726" si="260">"1"</f>
        <v>1</v>
      </c>
      <c r="C4663" t="str">
        <f t="shared" si="259"/>
        <v>94</v>
      </c>
      <c r="D4663" t="str">
        <f>"16"</f>
        <v>16</v>
      </c>
      <c r="E4663" t="str">
        <f>"1-94-16"</f>
        <v>1-94-16</v>
      </c>
      <c r="F4663" t="s">
        <v>65</v>
      </c>
      <c r="G4663" t="s">
        <v>66</v>
      </c>
      <c r="H4663" t="s">
        <v>67</v>
      </c>
      <c r="S4663">
        <v>0</v>
      </c>
      <c r="T4663">
        <v>1</v>
      </c>
      <c r="U4663">
        <v>0</v>
      </c>
      <c r="V4663">
        <v>0</v>
      </c>
      <c r="W4663">
        <v>1</v>
      </c>
      <c r="X4663">
        <v>0</v>
      </c>
      <c r="Y4663">
        <v>1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1</v>
      </c>
      <c r="AH4663">
        <v>0</v>
      </c>
      <c r="AI4663">
        <v>1</v>
      </c>
      <c r="AJ4663">
        <v>1</v>
      </c>
      <c r="AK4663">
        <v>0</v>
      </c>
      <c r="AL4663">
        <v>1</v>
      </c>
      <c r="AM4663">
        <v>1</v>
      </c>
    </row>
    <row r="4664" spans="1:39" x14ac:dyDescent="0.2">
      <c r="A4664" t="str">
        <f>"4660"</f>
        <v>4660</v>
      </c>
      <c r="B4664" t="str">
        <f t="shared" si="260"/>
        <v>1</v>
      </c>
      <c r="C4664" t="str">
        <f t="shared" si="259"/>
        <v>94</v>
      </c>
      <c r="D4664" t="str">
        <f>"7"</f>
        <v>7</v>
      </c>
      <c r="E4664" t="str">
        <f>"1-94-7"</f>
        <v>1-94-7</v>
      </c>
      <c r="F4664" t="s">
        <v>65</v>
      </c>
      <c r="G4664" t="s">
        <v>66</v>
      </c>
      <c r="H4664" t="s">
        <v>67</v>
      </c>
      <c r="S4664">
        <v>1</v>
      </c>
      <c r="T4664">
        <v>0</v>
      </c>
      <c r="U4664">
        <v>0</v>
      </c>
      <c r="V4664">
        <v>0</v>
      </c>
      <c r="W4664">
        <v>1</v>
      </c>
      <c r="X4664">
        <v>0</v>
      </c>
      <c r="Y4664">
        <v>1</v>
      </c>
      <c r="Z4664">
        <v>0</v>
      </c>
      <c r="AA4664">
        <v>0</v>
      </c>
      <c r="AB4664">
        <v>1</v>
      </c>
      <c r="AC4664">
        <v>0</v>
      </c>
      <c r="AD4664">
        <v>0</v>
      </c>
      <c r="AE4664">
        <v>1</v>
      </c>
      <c r="AF4664">
        <v>1</v>
      </c>
      <c r="AG4664">
        <v>1</v>
      </c>
      <c r="AH4664">
        <v>1</v>
      </c>
      <c r="AI4664">
        <v>1</v>
      </c>
      <c r="AJ4664">
        <v>1</v>
      </c>
      <c r="AK4664">
        <v>1</v>
      </c>
      <c r="AL4664">
        <v>1</v>
      </c>
      <c r="AM4664">
        <v>1</v>
      </c>
    </row>
    <row r="4665" spans="1:39" x14ac:dyDescent="0.2">
      <c r="A4665" t="str">
        <f>"4661"</f>
        <v>4661</v>
      </c>
      <c r="B4665" t="str">
        <f t="shared" si="260"/>
        <v>1</v>
      </c>
      <c r="C4665" t="str">
        <f t="shared" si="259"/>
        <v>94</v>
      </c>
      <c r="D4665" t="str">
        <f>"31"</f>
        <v>31</v>
      </c>
      <c r="E4665" t="str">
        <f>"1-94-31"</f>
        <v>1-94-31</v>
      </c>
      <c r="F4665" t="s">
        <v>65</v>
      </c>
      <c r="G4665" t="s">
        <v>66</v>
      </c>
      <c r="H4665" t="s">
        <v>67</v>
      </c>
      <c r="S4665">
        <v>1</v>
      </c>
      <c r="T4665">
        <v>0</v>
      </c>
      <c r="U4665">
        <v>0</v>
      </c>
      <c r="V4665">
        <v>0</v>
      </c>
      <c r="W4665">
        <v>1</v>
      </c>
      <c r="X4665">
        <v>0</v>
      </c>
      <c r="Y4665">
        <v>0</v>
      </c>
      <c r="Z4665">
        <v>1</v>
      </c>
      <c r="AA4665">
        <v>0</v>
      </c>
      <c r="AB4665">
        <v>1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</row>
    <row r="4666" spans="1:39" x14ac:dyDescent="0.2">
      <c r="A4666" t="str">
        <f>"4662"</f>
        <v>4662</v>
      </c>
      <c r="B4666" t="str">
        <f t="shared" si="260"/>
        <v>1</v>
      </c>
      <c r="C4666" t="str">
        <f t="shared" si="259"/>
        <v>94</v>
      </c>
      <c r="D4666" t="str">
        <f>"17"</f>
        <v>17</v>
      </c>
      <c r="E4666" t="str">
        <f>"1-94-17"</f>
        <v>1-94-17</v>
      </c>
      <c r="F4666" t="s">
        <v>65</v>
      </c>
      <c r="G4666" t="s">
        <v>66</v>
      </c>
      <c r="H4666" t="s">
        <v>67</v>
      </c>
      <c r="S4666">
        <v>1</v>
      </c>
      <c r="T4666">
        <v>0</v>
      </c>
      <c r="U4666">
        <v>0</v>
      </c>
      <c r="V4666">
        <v>0</v>
      </c>
      <c r="W4666">
        <v>1</v>
      </c>
      <c r="X4666">
        <v>0</v>
      </c>
      <c r="Y4666">
        <v>1</v>
      </c>
      <c r="Z4666">
        <v>0</v>
      </c>
      <c r="AA4666">
        <v>0</v>
      </c>
      <c r="AB4666">
        <v>0</v>
      </c>
      <c r="AC4666">
        <v>1</v>
      </c>
      <c r="AD4666">
        <v>1</v>
      </c>
      <c r="AE4666">
        <v>1</v>
      </c>
      <c r="AF4666">
        <v>1</v>
      </c>
      <c r="AG4666">
        <v>1</v>
      </c>
      <c r="AH4666">
        <v>1</v>
      </c>
      <c r="AI4666">
        <v>1</v>
      </c>
      <c r="AJ4666">
        <v>1</v>
      </c>
      <c r="AK4666">
        <v>1</v>
      </c>
      <c r="AL4666">
        <v>1</v>
      </c>
      <c r="AM4666">
        <v>1</v>
      </c>
    </row>
    <row r="4667" spans="1:39" x14ac:dyDescent="0.2">
      <c r="A4667" t="str">
        <f>"4663"</f>
        <v>4663</v>
      </c>
      <c r="B4667" t="str">
        <f t="shared" si="260"/>
        <v>1</v>
      </c>
      <c r="C4667" t="str">
        <f t="shared" si="259"/>
        <v>94</v>
      </c>
      <c r="D4667" t="str">
        <f>"1"</f>
        <v>1</v>
      </c>
      <c r="E4667" t="str">
        <f>"1-94-1"</f>
        <v>1-94-1</v>
      </c>
      <c r="F4667" t="s">
        <v>65</v>
      </c>
      <c r="G4667" t="s">
        <v>66</v>
      </c>
      <c r="H4667" t="s">
        <v>67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</row>
    <row r="4668" spans="1:39" x14ac:dyDescent="0.2">
      <c r="A4668" t="str">
        <f>"4664"</f>
        <v>4664</v>
      </c>
      <c r="B4668" t="str">
        <f t="shared" si="260"/>
        <v>1</v>
      </c>
      <c r="C4668" t="str">
        <f t="shared" si="259"/>
        <v>94</v>
      </c>
      <c r="D4668" t="str">
        <f>"47"</f>
        <v>47</v>
      </c>
      <c r="E4668" t="str">
        <f>"1-94-47"</f>
        <v>1-94-47</v>
      </c>
      <c r="F4668" t="s">
        <v>65</v>
      </c>
      <c r="G4668" t="s">
        <v>66</v>
      </c>
      <c r="H4668" t="s">
        <v>67</v>
      </c>
      <c r="S4668">
        <v>0</v>
      </c>
      <c r="T4668">
        <v>1</v>
      </c>
      <c r="U4668">
        <v>0</v>
      </c>
      <c r="V4668">
        <v>0</v>
      </c>
      <c r="W4668">
        <v>1</v>
      </c>
      <c r="X4668">
        <v>0</v>
      </c>
      <c r="Y4668">
        <v>0</v>
      </c>
      <c r="Z4668">
        <v>1</v>
      </c>
      <c r="AA4668">
        <v>0</v>
      </c>
      <c r="AB4668">
        <v>1</v>
      </c>
      <c r="AC4668">
        <v>0</v>
      </c>
      <c r="AD4668">
        <v>1</v>
      </c>
      <c r="AE4668">
        <v>1</v>
      </c>
      <c r="AF4668">
        <v>1</v>
      </c>
      <c r="AG4668">
        <v>1</v>
      </c>
      <c r="AH4668">
        <v>1</v>
      </c>
      <c r="AI4668">
        <v>1</v>
      </c>
      <c r="AJ4668">
        <v>1</v>
      </c>
      <c r="AK4668">
        <v>1</v>
      </c>
      <c r="AL4668">
        <v>1</v>
      </c>
      <c r="AM4668">
        <v>1</v>
      </c>
    </row>
    <row r="4669" spans="1:39" x14ac:dyDescent="0.2">
      <c r="A4669" t="str">
        <f>"4665"</f>
        <v>4665</v>
      </c>
      <c r="B4669" t="str">
        <f t="shared" si="260"/>
        <v>1</v>
      </c>
      <c r="C4669" t="str">
        <f t="shared" si="259"/>
        <v>94</v>
      </c>
      <c r="D4669" t="str">
        <f>"46"</f>
        <v>46</v>
      </c>
      <c r="E4669" t="str">
        <f>"1-94-46"</f>
        <v>1-94-46</v>
      </c>
      <c r="F4669" t="s">
        <v>65</v>
      </c>
      <c r="G4669" t="s">
        <v>66</v>
      </c>
      <c r="H4669" t="s">
        <v>67</v>
      </c>
      <c r="S4669">
        <v>1</v>
      </c>
      <c r="T4669">
        <v>0</v>
      </c>
      <c r="U4669">
        <v>0</v>
      </c>
      <c r="V4669">
        <v>0</v>
      </c>
      <c r="W4669">
        <v>1</v>
      </c>
      <c r="X4669">
        <v>0</v>
      </c>
      <c r="Y4669">
        <v>1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1</v>
      </c>
      <c r="AF4669">
        <v>1</v>
      </c>
      <c r="AG4669">
        <v>1</v>
      </c>
      <c r="AH4669">
        <v>1</v>
      </c>
      <c r="AI4669">
        <v>1</v>
      </c>
      <c r="AJ4669">
        <v>1</v>
      </c>
      <c r="AK4669">
        <v>1</v>
      </c>
      <c r="AL4669">
        <v>1</v>
      </c>
      <c r="AM4669">
        <v>0</v>
      </c>
    </row>
    <row r="4670" spans="1:39" x14ac:dyDescent="0.2">
      <c r="A4670" t="str">
        <f>"4666"</f>
        <v>4666</v>
      </c>
      <c r="B4670" t="str">
        <f t="shared" si="260"/>
        <v>1</v>
      </c>
      <c r="C4670" t="str">
        <f t="shared" si="259"/>
        <v>94</v>
      </c>
      <c r="D4670" t="str">
        <f>"34"</f>
        <v>34</v>
      </c>
      <c r="E4670" t="str">
        <f>"1-94-34"</f>
        <v>1-94-34</v>
      </c>
      <c r="F4670" t="s">
        <v>65</v>
      </c>
      <c r="G4670" t="s">
        <v>66</v>
      </c>
      <c r="H4670" t="s">
        <v>67</v>
      </c>
      <c r="S4670">
        <v>1</v>
      </c>
      <c r="T4670">
        <v>0</v>
      </c>
      <c r="U4670">
        <v>0</v>
      </c>
      <c r="V4670">
        <v>0</v>
      </c>
      <c r="W4670">
        <v>1</v>
      </c>
      <c r="X4670">
        <v>0</v>
      </c>
      <c r="Y4670">
        <v>1</v>
      </c>
      <c r="Z4670">
        <v>0</v>
      </c>
      <c r="AA4670">
        <v>0</v>
      </c>
      <c r="AB4670">
        <v>1</v>
      </c>
      <c r="AC4670">
        <v>0</v>
      </c>
      <c r="AD4670">
        <v>1</v>
      </c>
      <c r="AE4670">
        <v>1</v>
      </c>
      <c r="AF4670">
        <v>1</v>
      </c>
      <c r="AG4670">
        <v>1</v>
      </c>
      <c r="AH4670">
        <v>1</v>
      </c>
      <c r="AI4670">
        <v>1</v>
      </c>
      <c r="AJ4670">
        <v>1</v>
      </c>
      <c r="AK4670">
        <v>1</v>
      </c>
      <c r="AL4670">
        <v>1</v>
      </c>
      <c r="AM4670">
        <v>1</v>
      </c>
    </row>
    <row r="4671" spans="1:39" x14ac:dyDescent="0.2">
      <c r="A4671" t="str">
        <f>"4667"</f>
        <v>4667</v>
      </c>
      <c r="B4671" t="str">
        <f t="shared" si="260"/>
        <v>1</v>
      </c>
      <c r="C4671" t="str">
        <f t="shared" si="259"/>
        <v>94</v>
      </c>
      <c r="D4671" t="str">
        <f>"18"</f>
        <v>18</v>
      </c>
      <c r="E4671" t="str">
        <f>"1-94-18"</f>
        <v>1-94-18</v>
      </c>
      <c r="F4671" t="s">
        <v>65</v>
      </c>
      <c r="G4671" t="s">
        <v>66</v>
      </c>
      <c r="H4671" t="s">
        <v>67</v>
      </c>
      <c r="S4671">
        <v>1</v>
      </c>
      <c r="T4671">
        <v>0</v>
      </c>
      <c r="U4671">
        <v>0</v>
      </c>
      <c r="V4671">
        <v>0</v>
      </c>
      <c r="W4671">
        <v>1</v>
      </c>
      <c r="X4671">
        <v>0</v>
      </c>
      <c r="Y4671">
        <v>0</v>
      </c>
      <c r="Z4671">
        <v>1</v>
      </c>
      <c r="AA4671">
        <v>1</v>
      </c>
      <c r="AB4671">
        <v>0</v>
      </c>
      <c r="AC4671">
        <v>0</v>
      </c>
      <c r="AD4671">
        <v>1</v>
      </c>
      <c r="AE4671">
        <v>1</v>
      </c>
      <c r="AF4671">
        <v>1</v>
      </c>
      <c r="AG4671">
        <v>1</v>
      </c>
      <c r="AH4671">
        <v>1</v>
      </c>
      <c r="AI4671">
        <v>1</v>
      </c>
      <c r="AJ4671">
        <v>1</v>
      </c>
      <c r="AK4671">
        <v>1</v>
      </c>
      <c r="AL4671">
        <v>1</v>
      </c>
      <c r="AM4671">
        <v>1</v>
      </c>
    </row>
    <row r="4672" spans="1:39" x14ac:dyDescent="0.2">
      <c r="A4672" t="str">
        <f>"4668"</f>
        <v>4668</v>
      </c>
      <c r="B4672" t="str">
        <f t="shared" si="260"/>
        <v>1</v>
      </c>
      <c r="C4672" t="str">
        <f t="shared" si="259"/>
        <v>94</v>
      </c>
      <c r="D4672" t="str">
        <f>"10"</f>
        <v>10</v>
      </c>
      <c r="E4672" t="str">
        <f>"1-94-10"</f>
        <v>1-94-10</v>
      </c>
      <c r="F4672" t="s">
        <v>65</v>
      </c>
      <c r="G4672" t="s">
        <v>66</v>
      </c>
      <c r="H4672" t="s">
        <v>67</v>
      </c>
      <c r="S4672">
        <v>1</v>
      </c>
      <c r="T4672">
        <v>0</v>
      </c>
      <c r="U4672">
        <v>0</v>
      </c>
      <c r="V4672">
        <v>0</v>
      </c>
      <c r="W4672">
        <v>1</v>
      </c>
      <c r="X4672">
        <v>0</v>
      </c>
      <c r="Y4672">
        <v>0</v>
      </c>
      <c r="Z4672">
        <v>1</v>
      </c>
      <c r="AA4672">
        <v>0</v>
      </c>
      <c r="AB4672">
        <v>1</v>
      </c>
      <c r="AC4672">
        <v>0</v>
      </c>
      <c r="AD4672">
        <v>0</v>
      </c>
      <c r="AE4672">
        <v>1</v>
      </c>
      <c r="AF4672">
        <v>1</v>
      </c>
      <c r="AG4672">
        <v>1</v>
      </c>
      <c r="AH4672">
        <v>1</v>
      </c>
      <c r="AI4672">
        <v>1</v>
      </c>
      <c r="AJ4672">
        <v>1</v>
      </c>
      <c r="AK4672">
        <v>1</v>
      </c>
      <c r="AL4672">
        <v>1</v>
      </c>
      <c r="AM4672">
        <v>1</v>
      </c>
    </row>
    <row r="4673" spans="1:39" x14ac:dyDescent="0.2">
      <c r="A4673" t="str">
        <f>"4669"</f>
        <v>4669</v>
      </c>
      <c r="B4673" t="str">
        <f t="shared" si="260"/>
        <v>1</v>
      </c>
      <c r="C4673" t="str">
        <f t="shared" si="259"/>
        <v>94</v>
      </c>
      <c r="D4673" t="str">
        <f>"45"</f>
        <v>45</v>
      </c>
      <c r="E4673" t="str">
        <f>"1-94-45"</f>
        <v>1-94-45</v>
      </c>
      <c r="F4673" t="s">
        <v>65</v>
      </c>
      <c r="G4673" t="s">
        <v>66</v>
      </c>
      <c r="H4673" t="s">
        <v>67</v>
      </c>
      <c r="S4673">
        <v>0</v>
      </c>
      <c r="T4673">
        <v>1</v>
      </c>
      <c r="U4673">
        <v>0</v>
      </c>
      <c r="V4673">
        <v>0</v>
      </c>
      <c r="W4673">
        <v>0</v>
      </c>
      <c r="X4673">
        <v>1</v>
      </c>
      <c r="Y4673">
        <v>0</v>
      </c>
      <c r="Z4673">
        <v>1</v>
      </c>
      <c r="AA4673">
        <v>0</v>
      </c>
      <c r="AB4673">
        <v>0</v>
      </c>
      <c r="AC4673">
        <v>1</v>
      </c>
      <c r="AD4673">
        <v>1</v>
      </c>
      <c r="AE4673">
        <v>1</v>
      </c>
      <c r="AF4673">
        <v>1</v>
      </c>
      <c r="AG4673">
        <v>1</v>
      </c>
      <c r="AH4673">
        <v>1</v>
      </c>
      <c r="AI4673">
        <v>1</v>
      </c>
      <c r="AJ4673">
        <v>1</v>
      </c>
      <c r="AK4673">
        <v>1</v>
      </c>
      <c r="AL4673">
        <v>1</v>
      </c>
      <c r="AM4673">
        <v>1</v>
      </c>
    </row>
    <row r="4674" spans="1:39" x14ac:dyDescent="0.2">
      <c r="A4674" t="str">
        <f>"4670"</f>
        <v>4670</v>
      </c>
      <c r="B4674" t="str">
        <f t="shared" si="260"/>
        <v>1</v>
      </c>
      <c r="C4674" t="str">
        <f t="shared" si="259"/>
        <v>94</v>
      </c>
      <c r="D4674" t="str">
        <f>"44"</f>
        <v>44</v>
      </c>
      <c r="E4674" t="str">
        <f>"1-94-44"</f>
        <v>1-94-44</v>
      </c>
      <c r="F4674" t="s">
        <v>65</v>
      </c>
      <c r="G4674" t="s">
        <v>66</v>
      </c>
      <c r="H4674" t="s">
        <v>67</v>
      </c>
      <c r="S4674">
        <v>0</v>
      </c>
      <c r="T4674">
        <v>1</v>
      </c>
      <c r="U4674">
        <v>0</v>
      </c>
      <c r="V4674">
        <v>0</v>
      </c>
      <c r="W4674">
        <v>0</v>
      </c>
      <c r="X4674">
        <v>1</v>
      </c>
      <c r="Y4674">
        <v>0</v>
      </c>
      <c r="Z4674">
        <v>1</v>
      </c>
      <c r="AA4674">
        <v>0</v>
      </c>
      <c r="AB4674">
        <v>1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</row>
    <row r="4675" spans="1:39" x14ac:dyDescent="0.2">
      <c r="A4675" t="str">
        <f>"4671"</f>
        <v>4671</v>
      </c>
      <c r="B4675" t="str">
        <f t="shared" si="260"/>
        <v>1</v>
      </c>
      <c r="C4675" t="str">
        <f t="shared" si="259"/>
        <v>94</v>
      </c>
      <c r="D4675" t="str">
        <f>"33"</f>
        <v>33</v>
      </c>
      <c r="E4675" t="str">
        <f>"1-94-33"</f>
        <v>1-94-33</v>
      </c>
      <c r="F4675" t="s">
        <v>65</v>
      </c>
      <c r="G4675" t="s">
        <v>66</v>
      </c>
      <c r="H4675" t="s">
        <v>67</v>
      </c>
      <c r="S4675">
        <v>1</v>
      </c>
      <c r="T4675">
        <v>0</v>
      </c>
      <c r="U4675">
        <v>0</v>
      </c>
      <c r="V4675">
        <v>0</v>
      </c>
      <c r="W4675">
        <v>1</v>
      </c>
      <c r="X4675">
        <v>0</v>
      </c>
      <c r="Y4675">
        <v>0</v>
      </c>
      <c r="Z4675">
        <v>1</v>
      </c>
      <c r="AA4675">
        <v>0</v>
      </c>
      <c r="AB4675">
        <v>0</v>
      </c>
      <c r="AC4675">
        <v>1</v>
      </c>
      <c r="AD4675">
        <v>1</v>
      </c>
      <c r="AE4675">
        <v>1</v>
      </c>
      <c r="AF4675">
        <v>1</v>
      </c>
      <c r="AG4675">
        <v>1</v>
      </c>
      <c r="AH4675">
        <v>1</v>
      </c>
      <c r="AI4675">
        <v>1</v>
      </c>
      <c r="AJ4675">
        <v>1</v>
      </c>
      <c r="AK4675">
        <v>1</v>
      </c>
      <c r="AL4675">
        <v>1</v>
      </c>
      <c r="AM4675">
        <v>1</v>
      </c>
    </row>
    <row r="4676" spans="1:39" x14ac:dyDescent="0.2">
      <c r="A4676" t="str">
        <f>"4672"</f>
        <v>4672</v>
      </c>
      <c r="B4676" t="str">
        <f t="shared" si="260"/>
        <v>1</v>
      </c>
      <c r="C4676" t="str">
        <f t="shared" si="259"/>
        <v>94</v>
      </c>
      <c r="D4676" t="str">
        <f>"19"</f>
        <v>19</v>
      </c>
      <c r="E4676" t="str">
        <f>"1-94-19"</f>
        <v>1-94-19</v>
      </c>
      <c r="F4676" t="s">
        <v>65</v>
      </c>
      <c r="G4676" t="s">
        <v>66</v>
      </c>
      <c r="H4676" t="s">
        <v>67</v>
      </c>
      <c r="S4676">
        <v>1</v>
      </c>
      <c r="T4676">
        <v>0</v>
      </c>
      <c r="U4676">
        <v>0</v>
      </c>
      <c r="V4676">
        <v>0</v>
      </c>
      <c r="W4676">
        <v>0</v>
      </c>
      <c r="X4676">
        <v>1</v>
      </c>
      <c r="Y4676">
        <v>1</v>
      </c>
      <c r="Z4676">
        <v>0</v>
      </c>
      <c r="AA4676">
        <v>0</v>
      </c>
      <c r="AB4676">
        <v>1</v>
      </c>
      <c r="AC4676">
        <v>0</v>
      </c>
      <c r="AD4676">
        <v>1</v>
      </c>
      <c r="AE4676">
        <v>1</v>
      </c>
      <c r="AF4676">
        <v>1</v>
      </c>
      <c r="AG4676">
        <v>1</v>
      </c>
      <c r="AH4676">
        <v>1</v>
      </c>
      <c r="AI4676">
        <v>1</v>
      </c>
      <c r="AJ4676">
        <v>1</v>
      </c>
      <c r="AK4676">
        <v>1</v>
      </c>
      <c r="AL4676">
        <v>1</v>
      </c>
      <c r="AM4676">
        <v>1</v>
      </c>
    </row>
    <row r="4677" spans="1:39" x14ac:dyDescent="0.2">
      <c r="A4677" t="str">
        <f>"4673"</f>
        <v>4673</v>
      </c>
      <c r="B4677" t="str">
        <f t="shared" si="260"/>
        <v>1</v>
      </c>
      <c r="C4677" t="str">
        <f t="shared" si="259"/>
        <v>94</v>
      </c>
      <c r="D4677" t="str">
        <f>"5"</f>
        <v>5</v>
      </c>
      <c r="E4677" t="str">
        <f>"1-94-5"</f>
        <v>1-94-5</v>
      </c>
      <c r="F4677" t="s">
        <v>65</v>
      </c>
      <c r="G4677" t="s">
        <v>66</v>
      </c>
      <c r="H4677" t="s">
        <v>67</v>
      </c>
      <c r="S4677">
        <v>0</v>
      </c>
      <c r="T4677">
        <v>1</v>
      </c>
      <c r="U4677">
        <v>0</v>
      </c>
      <c r="V4677">
        <v>0</v>
      </c>
      <c r="W4677">
        <v>1</v>
      </c>
      <c r="X4677">
        <v>0</v>
      </c>
      <c r="Y4677">
        <v>0</v>
      </c>
      <c r="Z4677">
        <v>1</v>
      </c>
      <c r="AA4677">
        <v>1</v>
      </c>
      <c r="AB4677">
        <v>0</v>
      </c>
      <c r="AC4677">
        <v>0</v>
      </c>
      <c r="AD4677">
        <v>1</v>
      </c>
      <c r="AE4677">
        <v>1</v>
      </c>
      <c r="AF4677">
        <v>1</v>
      </c>
      <c r="AG4677">
        <v>1</v>
      </c>
      <c r="AH4677">
        <v>1</v>
      </c>
      <c r="AI4677">
        <v>1</v>
      </c>
      <c r="AJ4677">
        <v>1</v>
      </c>
      <c r="AK4677">
        <v>1</v>
      </c>
      <c r="AL4677">
        <v>1</v>
      </c>
      <c r="AM4677">
        <v>1</v>
      </c>
    </row>
    <row r="4678" spans="1:39" x14ac:dyDescent="0.2">
      <c r="A4678" t="str">
        <f>"4674"</f>
        <v>4674</v>
      </c>
      <c r="B4678" t="str">
        <f t="shared" si="260"/>
        <v>1</v>
      </c>
      <c r="C4678" t="str">
        <f t="shared" si="259"/>
        <v>94</v>
      </c>
      <c r="D4678" t="str">
        <f>"50"</f>
        <v>50</v>
      </c>
      <c r="E4678" t="str">
        <f>"1-94-50"</f>
        <v>1-94-50</v>
      </c>
      <c r="F4678" t="s">
        <v>65</v>
      </c>
      <c r="G4678" t="s">
        <v>66</v>
      </c>
      <c r="H4678" t="s">
        <v>67</v>
      </c>
      <c r="S4678">
        <v>1</v>
      </c>
      <c r="T4678">
        <v>0</v>
      </c>
      <c r="U4678">
        <v>0</v>
      </c>
      <c r="V4678">
        <v>0</v>
      </c>
      <c r="W4678">
        <v>1</v>
      </c>
      <c r="X4678">
        <v>0</v>
      </c>
      <c r="Y4678">
        <v>1</v>
      </c>
      <c r="Z4678">
        <v>0</v>
      </c>
      <c r="AA4678">
        <v>0</v>
      </c>
      <c r="AB4678">
        <v>1</v>
      </c>
      <c r="AC4678">
        <v>0</v>
      </c>
      <c r="AD4678">
        <v>1</v>
      </c>
      <c r="AE4678">
        <v>1</v>
      </c>
      <c r="AF4678">
        <v>1</v>
      </c>
      <c r="AG4678">
        <v>1</v>
      </c>
      <c r="AH4678">
        <v>0</v>
      </c>
      <c r="AI4678">
        <v>0</v>
      </c>
      <c r="AJ4678">
        <v>1</v>
      </c>
      <c r="AK4678">
        <v>1</v>
      </c>
      <c r="AL4678">
        <v>1</v>
      </c>
      <c r="AM4678">
        <v>1</v>
      </c>
    </row>
    <row r="4679" spans="1:39" x14ac:dyDescent="0.2">
      <c r="A4679" t="str">
        <f>"4675"</f>
        <v>4675</v>
      </c>
      <c r="B4679" t="str">
        <f t="shared" si="260"/>
        <v>1</v>
      </c>
      <c r="C4679" t="str">
        <f t="shared" si="259"/>
        <v>94</v>
      </c>
      <c r="D4679" t="str">
        <f>"49"</f>
        <v>49</v>
      </c>
      <c r="E4679" t="str">
        <f>"1-94-49"</f>
        <v>1-94-49</v>
      </c>
      <c r="F4679" t="s">
        <v>65</v>
      </c>
      <c r="G4679" t="s">
        <v>66</v>
      </c>
      <c r="H4679" t="s">
        <v>67</v>
      </c>
      <c r="S4679">
        <v>1</v>
      </c>
      <c r="T4679">
        <v>0</v>
      </c>
      <c r="U4679">
        <v>0</v>
      </c>
      <c r="V4679">
        <v>0</v>
      </c>
      <c r="W4679">
        <v>1</v>
      </c>
      <c r="X4679">
        <v>0</v>
      </c>
      <c r="Y4679">
        <v>1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1</v>
      </c>
      <c r="AF4679">
        <v>1</v>
      </c>
      <c r="AG4679">
        <v>1</v>
      </c>
      <c r="AH4679">
        <v>1</v>
      </c>
      <c r="AI4679">
        <v>1</v>
      </c>
      <c r="AJ4679">
        <v>1</v>
      </c>
      <c r="AK4679">
        <v>1</v>
      </c>
      <c r="AL4679">
        <v>1</v>
      </c>
      <c r="AM4679">
        <v>1</v>
      </c>
    </row>
    <row r="4680" spans="1:39" x14ac:dyDescent="0.2">
      <c r="A4680" t="str">
        <f>"4676"</f>
        <v>4676</v>
      </c>
      <c r="B4680" t="str">
        <f t="shared" si="260"/>
        <v>1</v>
      </c>
      <c r="C4680" t="str">
        <f t="shared" si="259"/>
        <v>94</v>
      </c>
      <c r="D4680" t="str">
        <f>"32"</f>
        <v>32</v>
      </c>
      <c r="E4680" t="str">
        <f>"1-94-32"</f>
        <v>1-94-32</v>
      </c>
      <c r="F4680" t="s">
        <v>65</v>
      </c>
      <c r="G4680" t="s">
        <v>66</v>
      </c>
      <c r="H4680" t="s">
        <v>67</v>
      </c>
      <c r="S4680">
        <v>0</v>
      </c>
      <c r="T4680">
        <v>1</v>
      </c>
      <c r="U4680">
        <v>0</v>
      </c>
      <c r="V4680">
        <v>0</v>
      </c>
      <c r="W4680">
        <v>0</v>
      </c>
      <c r="X4680">
        <v>1</v>
      </c>
      <c r="Y4680">
        <v>1</v>
      </c>
      <c r="Z4680">
        <v>0</v>
      </c>
      <c r="AA4680">
        <v>0</v>
      </c>
      <c r="AB4680">
        <v>1</v>
      </c>
      <c r="AC4680">
        <v>0</v>
      </c>
      <c r="AD4680">
        <v>1</v>
      </c>
      <c r="AE4680">
        <v>1</v>
      </c>
      <c r="AF4680">
        <v>1</v>
      </c>
      <c r="AG4680">
        <v>1</v>
      </c>
      <c r="AH4680">
        <v>1</v>
      </c>
      <c r="AI4680">
        <v>1</v>
      </c>
      <c r="AJ4680">
        <v>1</v>
      </c>
      <c r="AK4680">
        <v>1</v>
      </c>
      <c r="AL4680">
        <v>1</v>
      </c>
      <c r="AM4680">
        <v>1</v>
      </c>
    </row>
    <row r="4681" spans="1:39" x14ac:dyDescent="0.2">
      <c r="A4681" t="str">
        <f>"4677"</f>
        <v>4677</v>
      </c>
      <c r="B4681" t="str">
        <f t="shared" si="260"/>
        <v>1</v>
      </c>
      <c r="C4681" t="str">
        <f t="shared" si="259"/>
        <v>94</v>
      </c>
      <c r="D4681" t="str">
        <f>"20"</f>
        <v>20</v>
      </c>
      <c r="E4681" t="str">
        <f>"1-94-20"</f>
        <v>1-94-20</v>
      </c>
      <c r="F4681" t="s">
        <v>65</v>
      </c>
      <c r="G4681" t="s">
        <v>66</v>
      </c>
      <c r="H4681" t="s">
        <v>67</v>
      </c>
      <c r="S4681">
        <v>0</v>
      </c>
      <c r="T4681">
        <v>1</v>
      </c>
      <c r="U4681">
        <v>0</v>
      </c>
      <c r="V4681">
        <v>0</v>
      </c>
      <c r="W4681">
        <v>0</v>
      </c>
      <c r="X4681">
        <v>1</v>
      </c>
      <c r="Y4681">
        <v>0</v>
      </c>
      <c r="Z4681">
        <v>1</v>
      </c>
      <c r="AA4681">
        <v>0</v>
      </c>
      <c r="AB4681">
        <v>0</v>
      </c>
      <c r="AC4681">
        <v>1</v>
      </c>
      <c r="AD4681">
        <v>1</v>
      </c>
      <c r="AE4681">
        <v>1</v>
      </c>
      <c r="AF4681">
        <v>1</v>
      </c>
      <c r="AG4681">
        <v>1</v>
      </c>
      <c r="AH4681">
        <v>1</v>
      </c>
      <c r="AI4681">
        <v>1</v>
      </c>
      <c r="AJ4681">
        <v>1</v>
      </c>
      <c r="AK4681">
        <v>1</v>
      </c>
      <c r="AL4681">
        <v>1</v>
      </c>
      <c r="AM4681">
        <v>1</v>
      </c>
    </row>
    <row r="4682" spans="1:39" x14ac:dyDescent="0.2">
      <c r="A4682" t="str">
        <f>"4678"</f>
        <v>4678</v>
      </c>
      <c r="B4682" t="str">
        <f t="shared" si="260"/>
        <v>1</v>
      </c>
      <c r="C4682" t="str">
        <f t="shared" si="259"/>
        <v>94</v>
      </c>
      <c r="D4682" t="str">
        <f>"13"</f>
        <v>13</v>
      </c>
      <c r="E4682" t="str">
        <f>"1-94-13"</f>
        <v>1-94-13</v>
      </c>
      <c r="F4682" t="s">
        <v>65</v>
      </c>
      <c r="G4682" t="s">
        <v>66</v>
      </c>
      <c r="H4682" t="s">
        <v>67</v>
      </c>
      <c r="S4682">
        <v>1</v>
      </c>
      <c r="T4682">
        <v>0</v>
      </c>
      <c r="U4682">
        <v>0</v>
      </c>
      <c r="V4682">
        <v>0</v>
      </c>
      <c r="W4682">
        <v>1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</row>
    <row r="4683" spans="1:39" x14ac:dyDescent="0.2">
      <c r="A4683" t="str">
        <f>"4679"</f>
        <v>4679</v>
      </c>
      <c r="B4683" t="str">
        <f t="shared" si="260"/>
        <v>1</v>
      </c>
      <c r="C4683" t="str">
        <f t="shared" si="259"/>
        <v>94</v>
      </c>
      <c r="D4683" t="str">
        <f>"39"</f>
        <v>39</v>
      </c>
      <c r="E4683" t="str">
        <f>"1-94-39"</f>
        <v>1-94-39</v>
      </c>
      <c r="F4683" t="s">
        <v>65</v>
      </c>
      <c r="G4683" t="s">
        <v>66</v>
      </c>
      <c r="H4683" t="s">
        <v>67</v>
      </c>
      <c r="S4683">
        <v>1</v>
      </c>
      <c r="T4683">
        <v>0</v>
      </c>
      <c r="U4683">
        <v>0</v>
      </c>
      <c r="V4683">
        <v>0</v>
      </c>
      <c r="W4683">
        <v>1</v>
      </c>
      <c r="X4683">
        <v>0</v>
      </c>
      <c r="Y4683">
        <v>1</v>
      </c>
      <c r="Z4683">
        <v>0</v>
      </c>
      <c r="AA4683">
        <v>1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</row>
    <row r="4684" spans="1:39" x14ac:dyDescent="0.2">
      <c r="A4684" t="str">
        <f>"4680"</f>
        <v>4680</v>
      </c>
      <c r="B4684" t="str">
        <f t="shared" si="260"/>
        <v>1</v>
      </c>
      <c r="C4684" t="str">
        <f t="shared" si="259"/>
        <v>94</v>
      </c>
      <c r="D4684" t="str">
        <f>"21"</f>
        <v>21</v>
      </c>
      <c r="E4684" t="str">
        <f>"1-94-21"</f>
        <v>1-94-21</v>
      </c>
      <c r="F4684" t="s">
        <v>65</v>
      </c>
      <c r="G4684" t="s">
        <v>66</v>
      </c>
      <c r="H4684" t="s">
        <v>67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</row>
    <row r="4685" spans="1:39" x14ac:dyDescent="0.2">
      <c r="A4685" t="str">
        <f>"4681"</f>
        <v>4681</v>
      </c>
      <c r="B4685" t="str">
        <f t="shared" si="260"/>
        <v>1</v>
      </c>
      <c r="C4685" t="str">
        <f t="shared" si="259"/>
        <v>94</v>
      </c>
      <c r="D4685" t="str">
        <f>"3"</f>
        <v>3</v>
      </c>
      <c r="E4685" t="str">
        <f>"1-94-3"</f>
        <v>1-94-3</v>
      </c>
      <c r="F4685" t="s">
        <v>65</v>
      </c>
      <c r="G4685" t="s">
        <v>66</v>
      </c>
      <c r="H4685" t="s">
        <v>67</v>
      </c>
      <c r="S4685">
        <v>1</v>
      </c>
      <c r="T4685">
        <v>0</v>
      </c>
      <c r="U4685">
        <v>0</v>
      </c>
      <c r="V4685">
        <v>0</v>
      </c>
      <c r="W4685">
        <v>0</v>
      </c>
      <c r="X4685">
        <v>1</v>
      </c>
      <c r="Y4685">
        <v>1</v>
      </c>
      <c r="Z4685">
        <v>0</v>
      </c>
      <c r="AA4685">
        <v>0</v>
      </c>
      <c r="AB4685">
        <v>1</v>
      </c>
      <c r="AC4685">
        <v>0</v>
      </c>
      <c r="AD4685">
        <v>1</v>
      </c>
      <c r="AE4685">
        <v>1</v>
      </c>
      <c r="AF4685">
        <v>1</v>
      </c>
      <c r="AG4685">
        <v>1</v>
      </c>
      <c r="AH4685">
        <v>1</v>
      </c>
      <c r="AI4685">
        <v>1</v>
      </c>
      <c r="AJ4685">
        <v>1</v>
      </c>
      <c r="AK4685">
        <v>1</v>
      </c>
      <c r="AL4685">
        <v>1</v>
      </c>
      <c r="AM4685">
        <v>1</v>
      </c>
    </row>
    <row r="4686" spans="1:39" x14ac:dyDescent="0.2">
      <c r="A4686" t="str">
        <f>"4682"</f>
        <v>4682</v>
      </c>
      <c r="B4686" t="str">
        <f t="shared" si="260"/>
        <v>1</v>
      </c>
      <c r="C4686" t="str">
        <f t="shared" si="259"/>
        <v>94</v>
      </c>
      <c r="D4686" t="str">
        <f>"41"</f>
        <v>41</v>
      </c>
      <c r="E4686" t="str">
        <f>"1-94-41"</f>
        <v>1-94-41</v>
      </c>
      <c r="F4686" t="s">
        <v>65</v>
      </c>
      <c r="G4686" t="s">
        <v>66</v>
      </c>
      <c r="H4686" t="s">
        <v>67</v>
      </c>
      <c r="S4686">
        <v>1</v>
      </c>
      <c r="T4686">
        <v>0</v>
      </c>
      <c r="U4686">
        <v>0</v>
      </c>
      <c r="V4686">
        <v>0</v>
      </c>
      <c r="W4686">
        <v>1</v>
      </c>
      <c r="X4686">
        <v>0</v>
      </c>
      <c r="Y4686">
        <v>0</v>
      </c>
      <c r="Z4686">
        <v>1</v>
      </c>
      <c r="AA4686">
        <v>0</v>
      </c>
      <c r="AB4686">
        <v>1</v>
      </c>
      <c r="AC4686">
        <v>0</v>
      </c>
      <c r="AD4686">
        <v>1</v>
      </c>
      <c r="AE4686">
        <v>1</v>
      </c>
      <c r="AF4686">
        <v>1</v>
      </c>
      <c r="AG4686">
        <v>1</v>
      </c>
      <c r="AH4686">
        <v>1</v>
      </c>
      <c r="AI4686">
        <v>1</v>
      </c>
      <c r="AJ4686">
        <v>1</v>
      </c>
      <c r="AK4686">
        <v>1</v>
      </c>
      <c r="AL4686">
        <v>1</v>
      </c>
      <c r="AM4686">
        <v>1</v>
      </c>
    </row>
    <row r="4687" spans="1:39" x14ac:dyDescent="0.2">
      <c r="A4687" t="str">
        <f>"4683"</f>
        <v>4683</v>
      </c>
      <c r="B4687" t="str">
        <f t="shared" si="260"/>
        <v>1</v>
      </c>
      <c r="C4687" t="str">
        <f t="shared" ref="C4687:C4704" si="261">"94"</f>
        <v>94</v>
      </c>
      <c r="D4687" t="str">
        <f>"22"</f>
        <v>22</v>
      </c>
      <c r="E4687" t="str">
        <f>"1-94-22"</f>
        <v>1-94-22</v>
      </c>
      <c r="F4687" t="s">
        <v>65</v>
      </c>
      <c r="G4687" t="s">
        <v>66</v>
      </c>
      <c r="H4687" t="s">
        <v>67</v>
      </c>
      <c r="S4687">
        <v>0</v>
      </c>
      <c r="T4687">
        <v>1</v>
      </c>
      <c r="U4687">
        <v>0</v>
      </c>
      <c r="V4687">
        <v>0</v>
      </c>
      <c r="W4687">
        <v>0</v>
      </c>
      <c r="X4687">
        <v>1</v>
      </c>
      <c r="Y4687">
        <v>1</v>
      </c>
      <c r="Z4687">
        <v>0</v>
      </c>
      <c r="AA4687">
        <v>0</v>
      </c>
      <c r="AB4687">
        <v>0</v>
      </c>
      <c r="AC4687">
        <v>1</v>
      </c>
      <c r="AD4687">
        <v>1</v>
      </c>
      <c r="AE4687">
        <v>1</v>
      </c>
      <c r="AF4687">
        <v>1</v>
      </c>
      <c r="AG4687">
        <v>1</v>
      </c>
      <c r="AH4687">
        <v>1</v>
      </c>
      <c r="AI4687">
        <v>1</v>
      </c>
      <c r="AJ4687">
        <v>1</v>
      </c>
      <c r="AK4687">
        <v>1</v>
      </c>
      <c r="AL4687">
        <v>1</v>
      </c>
      <c r="AM4687">
        <v>1</v>
      </c>
    </row>
    <row r="4688" spans="1:39" x14ac:dyDescent="0.2">
      <c r="A4688" t="str">
        <f>"4684"</f>
        <v>4684</v>
      </c>
      <c r="B4688" t="str">
        <f t="shared" si="260"/>
        <v>1</v>
      </c>
      <c r="C4688" t="str">
        <f t="shared" si="261"/>
        <v>94</v>
      </c>
      <c r="D4688" t="str">
        <f>"11"</f>
        <v>11</v>
      </c>
      <c r="E4688" t="str">
        <f>"1-94-11"</f>
        <v>1-94-11</v>
      </c>
      <c r="F4688" t="s">
        <v>65</v>
      </c>
      <c r="G4688" t="s">
        <v>66</v>
      </c>
      <c r="H4688" t="s">
        <v>67</v>
      </c>
      <c r="S4688">
        <v>1</v>
      </c>
      <c r="T4688">
        <v>0</v>
      </c>
      <c r="U4688">
        <v>0</v>
      </c>
      <c r="V4688">
        <v>0</v>
      </c>
      <c r="W4688">
        <v>1</v>
      </c>
      <c r="X4688">
        <v>0</v>
      </c>
      <c r="Y4688">
        <v>1</v>
      </c>
      <c r="Z4688">
        <v>0</v>
      </c>
      <c r="AA4688">
        <v>1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</row>
    <row r="4689" spans="1:39" x14ac:dyDescent="0.2">
      <c r="A4689" t="str">
        <f>"4685"</f>
        <v>4685</v>
      </c>
      <c r="B4689" t="str">
        <f t="shared" si="260"/>
        <v>1</v>
      </c>
      <c r="C4689" t="str">
        <f t="shared" si="261"/>
        <v>94</v>
      </c>
      <c r="D4689" t="str">
        <f>"40"</f>
        <v>40</v>
      </c>
      <c r="E4689" t="str">
        <f>"1-94-40"</f>
        <v>1-94-40</v>
      </c>
      <c r="F4689" t="s">
        <v>65</v>
      </c>
      <c r="G4689" t="s">
        <v>66</v>
      </c>
      <c r="H4689" t="s">
        <v>67</v>
      </c>
      <c r="S4689">
        <v>0</v>
      </c>
      <c r="T4689">
        <v>1</v>
      </c>
      <c r="U4689">
        <v>0</v>
      </c>
      <c r="V4689">
        <v>0</v>
      </c>
      <c r="W4689">
        <v>1</v>
      </c>
      <c r="X4689">
        <v>0</v>
      </c>
      <c r="Y4689">
        <v>1</v>
      </c>
      <c r="Z4689">
        <v>0</v>
      </c>
      <c r="AA4689">
        <v>0</v>
      </c>
      <c r="AB4689">
        <v>0</v>
      </c>
      <c r="AC4689">
        <v>1</v>
      </c>
      <c r="AD4689">
        <v>1</v>
      </c>
      <c r="AE4689">
        <v>1</v>
      </c>
      <c r="AF4689">
        <v>1</v>
      </c>
      <c r="AG4689">
        <v>1</v>
      </c>
      <c r="AH4689">
        <v>1</v>
      </c>
      <c r="AI4689">
        <v>0</v>
      </c>
      <c r="AJ4689">
        <v>1</v>
      </c>
      <c r="AK4689">
        <v>1</v>
      </c>
      <c r="AL4689">
        <v>0</v>
      </c>
      <c r="AM4689">
        <v>1</v>
      </c>
    </row>
    <row r="4690" spans="1:39" x14ac:dyDescent="0.2">
      <c r="A4690" t="str">
        <f>"4686"</f>
        <v>4686</v>
      </c>
      <c r="B4690" t="str">
        <f t="shared" si="260"/>
        <v>1</v>
      </c>
      <c r="C4690" t="str">
        <f t="shared" si="261"/>
        <v>94</v>
      </c>
      <c r="D4690" t="str">
        <f>"23"</f>
        <v>23</v>
      </c>
      <c r="E4690" t="str">
        <f>"1-94-23"</f>
        <v>1-94-23</v>
      </c>
      <c r="F4690" t="s">
        <v>65</v>
      </c>
      <c r="G4690" t="s">
        <v>66</v>
      </c>
      <c r="H4690" t="s">
        <v>67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1</v>
      </c>
      <c r="Y4690">
        <v>0</v>
      </c>
      <c r="Z4690">
        <v>1</v>
      </c>
      <c r="AA4690">
        <v>0</v>
      </c>
      <c r="AB4690">
        <v>0</v>
      </c>
      <c r="AC4690">
        <v>1</v>
      </c>
      <c r="AD4690">
        <v>0</v>
      </c>
      <c r="AE4690">
        <v>0</v>
      </c>
      <c r="AF4690">
        <v>0</v>
      </c>
      <c r="AG4690">
        <v>1</v>
      </c>
      <c r="AH4690">
        <v>1</v>
      </c>
      <c r="AI4690">
        <v>1</v>
      </c>
      <c r="AJ4690">
        <v>1</v>
      </c>
      <c r="AK4690">
        <v>1</v>
      </c>
      <c r="AL4690">
        <v>1</v>
      </c>
      <c r="AM4690">
        <v>0</v>
      </c>
    </row>
    <row r="4691" spans="1:39" x14ac:dyDescent="0.2">
      <c r="A4691" t="str">
        <f>"4687"</f>
        <v>4687</v>
      </c>
      <c r="B4691" t="str">
        <f t="shared" si="260"/>
        <v>1</v>
      </c>
      <c r="C4691" t="str">
        <f t="shared" si="261"/>
        <v>94</v>
      </c>
      <c r="D4691" t="str">
        <f>"12"</f>
        <v>12</v>
      </c>
      <c r="E4691" t="str">
        <f>"1-94-12"</f>
        <v>1-94-12</v>
      </c>
      <c r="F4691" t="s">
        <v>65</v>
      </c>
      <c r="G4691" t="s">
        <v>66</v>
      </c>
      <c r="H4691" t="s">
        <v>67</v>
      </c>
      <c r="S4691">
        <v>0</v>
      </c>
      <c r="T4691">
        <v>0</v>
      </c>
      <c r="U4691">
        <v>0</v>
      </c>
      <c r="V4691">
        <v>0</v>
      </c>
      <c r="W4691">
        <v>1</v>
      </c>
      <c r="X4691">
        <v>0</v>
      </c>
      <c r="Y4691">
        <v>1</v>
      </c>
      <c r="Z4691">
        <v>0</v>
      </c>
      <c r="AA4691">
        <v>0</v>
      </c>
      <c r="AB4691">
        <v>1</v>
      </c>
      <c r="AC4691">
        <v>0</v>
      </c>
      <c r="AD4691">
        <v>1</v>
      </c>
      <c r="AE4691">
        <v>1</v>
      </c>
      <c r="AF4691">
        <v>1</v>
      </c>
      <c r="AG4691">
        <v>1</v>
      </c>
      <c r="AH4691">
        <v>1</v>
      </c>
      <c r="AI4691">
        <v>1</v>
      </c>
      <c r="AJ4691">
        <v>1</v>
      </c>
      <c r="AK4691">
        <v>1</v>
      </c>
      <c r="AL4691">
        <v>1</v>
      </c>
      <c r="AM4691">
        <v>1</v>
      </c>
    </row>
    <row r="4692" spans="1:39" x14ac:dyDescent="0.2">
      <c r="A4692" t="str">
        <f>"4688"</f>
        <v>4688</v>
      </c>
      <c r="B4692" t="str">
        <f t="shared" si="260"/>
        <v>1</v>
      </c>
      <c r="C4692" t="str">
        <f t="shared" si="261"/>
        <v>94</v>
      </c>
      <c r="D4692" t="str">
        <f>"48"</f>
        <v>48</v>
      </c>
      <c r="E4692" t="str">
        <f>"1-94-48"</f>
        <v>1-94-48</v>
      </c>
      <c r="F4692" t="s">
        <v>65</v>
      </c>
      <c r="G4692" t="s">
        <v>66</v>
      </c>
      <c r="H4692" t="s">
        <v>67</v>
      </c>
      <c r="S4692">
        <v>0</v>
      </c>
      <c r="T4692">
        <v>1</v>
      </c>
      <c r="U4692">
        <v>0</v>
      </c>
      <c r="V4692">
        <v>0</v>
      </c>
      <c r="W4692">
        <v>1</v>
      </c>
      <c r="X4692">
        <v>0</v>
      </c>
      <c r="Y4692">
        <v>0</v>
      </c>
      <c r="Z4692">
        <v>1</v>
      </c>
      <c r="AA4692">
        <v>0</v>
      </c>
      <c r="AB4692">
        <v>1</v>
      </c>
      <c r="AC4692">
        <v>0</v>
      </c>
      <c r="AD4692">
        <v>1</v>
      </c>
      <c r="AE4692">
        <v>1</v>
      </c>
      <c r="AF4692">
        <v>1</v>
      </c>
      <c r="AG4692">
        <v>1</v>
      </c>
      <c r="AH4692">
        <v>1</v>
      </c>
      <c r="AI4692">
        <v>1</v>
      </c>
      <c r="AJ4692">
        <v>1</v>
      </c>
      <c r="AK4692">
        <v>1</v>
      </c>
      <c r="AL4692">
        <v>1</v>
      </c>
      <c r="AM4692">
        <v>1</v>
      </c>
    </row>
    <row r="4693" spans="1:39" x14ac:dyDescent="0.2">
      <c r="A4693" t="str">
        <f>"4689"</f>
        <v>4689</v>
      </c>
      <c r="B4693" t="str">
        <f t="shared" si="260"/>
        <v>1</v>
      </c>
      <c r="C4693" t="str">
        <f t="shared" si="261"/>
        <v>94</v>
      </c>
      <c r="D4693" t="str">
        <f>"25"</f>
        <v>25</v>
      </c>
      <c r="E4693" t="str">
        <f>"1-94-25"</f>
        <v>1-94-25</v>
      </c>
      <c r="F4693" t="s">
        <v>65</v>
      </c>
      <c r="G4693" t="s">
        <v>66</v>
      </c>
      <c r="H4693" t="s">
        <v>67</v>
      </c>
      <c r="S4693">
        <v>1</v>
      </c>
      <c r="T4693">
        <v>0</v>
      </c>
      <c r="U4693">
        <v>0</v>
      </c>
      <c r="V4693">
        <v>0</v>
      </c>
      <c r="W4693">
        <v>1</v>
      </c>
      <c r="X4693">
        <v>0</v>
      </c>
      <c r="Y4693">
        <v>1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1</v>
      </c>
      <c r="AF4693">
        <v>1</v>
      </c>
      <c r="AG4693">
        <v>1</v>
      </c>
      <c r="AH4693">
        <v>1</v>
      </c>
      <c r="AI4693">
        <v>1</v>
      </c>
      <c r="AJ4693">
        <v>1</v>
      </c>
      <c r="AK4693">
        <v>1</v>
      </c>
      <c r="AL4693">
        <v>1</v>
      </c>
      <c r="AM4693">
        <v>1</v>
      </c>
    </row>
    <row r="4694" spans="1:39" x14ac:dyDescent="0.2">
      <c r="A4694" t="str">
        <f>"4690"</f>
        <v>4690</v>
      </c>
      <c r="B4694" t="str">
        <f t="shared" si="260"/>
        <v>1</v>
      </c>
      <c r="C4694" t="str">
        <f t="shared" si="261"/>
        <v>94</v>
      </c>
      <c r="D4694" t="str">
        <f>"14"</f>
        <v>14</v>
      </c>
      <c r="E4694" t="str">
        <f>"1-94-14"</f>
        <v>1-94-14</v>
      </c>
      <c r="F4694" t="s">
        <v>65</v>
      </c>
      <c r="G4694" t="s">
        <v>66</v>
      </c>
      <c r="H4694" t="s">
        <v>67</v>
      </c>
      <c r="S4694">
        <v>1</v>
      </c>
      <c r="T4694">
        <v>0</v>
      </c>
      <c r="U4694">
        <v>0</v>
      </c>
      <c r="V4694">
        <v>0</v>
      </c>
      <c r="W4694">
        <v>0</v>
      </c>
      <c r="X4694">
        <v>1</v>
      </c>
      <c r="Y4694">
        <v>1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1</v>
      </c>
      <c r="AF4694">
        <v>1</v>
      </c>
      <c r="AG4694">
        <v>1</v>
      </c>
      <c r="AH4694">
        <v>1</v>
      </c>
      <c r="AI4694">
        <v>1</v>
      </c>
      <c r="AJ4694">
        <v>1</v>
      </c>
      <c r="AK4694">
        <v>1</v>
      </c>
      <c r="AL4694">
        <v>1</v>
      </c>
      <c r="AM4694">
        <v>1</v>
      </c>
    </row>
    <row r="4695" spans="1:39" x14ac:dyDescent="0.2">
      <c r="A4695" t="str">
        <f>"4691"</f>
        <v>4691</v>
      </c>
      <c r="B4695" t="str">
        <f t="shared" si="260"/>
        <v>1</v>
      </c>
      <c r="C4695" t="str">
        <f t="shared" si="261"/>
        <v>94</v>
      </c>
      <c r="D4695" t="str">
        <f>"42"</f>
        <v>42</v>
      </c>
      <c r="E4695" t="str">
        <f>"1-94-42"</f>
        <v>1-94-42</v>
      </c>
      <c r="F4695" t="s">
        <v>65</v>
      </c>
      <c r="G4695" t="s">
        <v>66</v>
      </c>
      <c r="H4695" t="s">
        <v>67</v>
      </c>
      <c r="S4695">
        <v>0</v>
      </c>
      <c r="T4695">
        <v>1</v>
      </c>
      <c r="U4695">
        <v>0</v>
      </c>
      <c r="V4695">
        <v>0</v>
      </c>
      <c r="W4695">
        <v>0</v>
      </c>
      <c r="X4695">
        <v>1</v>
      </c>
      <c r="Y4695">
        <v>0</v>
      </c>
      <c r="Z4695">
        <v>1</v>
      </c>
      <c r="AA4695">
        <v>0</v>
      </c>
      <c r="AB4695">
        <v>0</v>
      </c>
      <c r="AC4695">
        <v>1</v>
      </c>
      <c r="AD4695">
        <v>1</v>
      </c>
      <c r="AE4695">
        <v>1</v>
      </c>
      <c r="AF4695">
        <v>1</v>
      </c>
      <c r="AG4695">
        <v>1</v>
      </c>
      <c r="AH4695">
        <v>1</v>
      </c>
      <c r="AI4695">
        <v>1</v>
      </c>
      <c r="AJ4695">
        <v>1</v>
      </c>
      <c r="AK4695">
        <v>1</v>
      </c>
      <c r="AL4695">
        <v>1</v>
      </c>
      <c r="AM4695">
        <v>1</v>
      </c>
    </row>
    <row r="4696" spans="1:39" x14ac:dyDescent="0.2">
      <c r="A4696" t="str">
        <f>"4692"</f>
        <v>4692</v>
      </c>
      <c r="B4696" t="str">
        <f t="shared" si="260"/>
        <v>1</v>
      </c>
      <c r="C4696" t="str">
        <f t="shared" si="261"/>
        <v>94</v>
      </c>
      <c r="D4696" t="str">
        <f>"26"</f>
        <v>26</v>
      </c>
      <c r="E4696" t="str">
        <f>"1-94-26"</f>
        <v>1-94-26</v>
      </c>
      <c r="F4696" t="s">
        <v>65</v>
      </c>
      <c r="G4696" t="s">
        <v>66</v>
      </c>
      <c r="H4696" t="s">
        <v>67</v>
      </c>
      <c r="S4696">
        <v>1</v>
      </c>
      <c r="T4696">
        <v>0</v>
      </c>
      <c r="U4696">
        <v>0</v>
      </c>
      <c r="V4696">
        <v>0</v>
      </c>
      <c r="W4696">
        <v>1</v>
      </c>
      <c r="X4696">
        <v>0</v>
      </c>
      <c r="Y4696">
        <v>1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1</v>
      </c>
      <c r="AF4696">
        <v>1</v>
      </c>
      <c r="AG4696">
        <v>1</v>
      </c>
      <c r="AH4696">
        <v>1</v>
      </c>
      <c r="AI4696">
        <v>1</v>
      </c>
      <c r="AJ4696">
        <v>1</v>
      </c>
      <c r="AK4696">
        <v>1</v>
      </c>
      <c r="AL4696">
        <v>1</v>
      </c>
      <c r="AM4696">
        <v>1</v>
      </c>
    </row>
    <row r="4697" spans="1:39" x14ac:dyDescent="0.2">
      <c r="A4697" t="str">
        <f>"4693"</f>
        <v>4693</v>
      </c>
      <c r="B4697" t="str">
        <f t="shared" si="260"/>
        <v>1</v>
      </c>
      <c r="C4697" t="str">
        <f t="shared" si="261"/>
        <v>94</v>
      </c>
      <c r="D4697" t="str">
        <f>"4"</f>
        <v>4</v>
      </c>
      <c r="E4697" t="str">
        <f>"1-94-4"</f>
        <v>1-94-4</v>
      </c>
      <c r="F4697" t="s">
        <v>65</v>
      </c>
      <c r="G4697" t="s">
        <v>66</v>
      </c>
      <c r="H4697" t="s">
        <v>67</v>
      </c>
      <c r="S4697">
        <v>1</v>
      </c>
      <c r="T4697">
        <v>0</v>
      </c>
      <c r="U4697">
        <v>0</v>
      </c>
      <c r="V4697">
        <v>0</v>
      </c>
      <c r="W4697">
        <v>1</v>
      </c>
      <c r="X4697">
        <v>0</v>
      </c>
      <c r="Y4697">
        <v>1</v>
      </c>
      <c r="Z4697">
        <v>0</v>
      </c>
      <c r="AA4697">
        <v>0</v>
      </c>
      <c r="AB4697">
        <v>1</v>
      </c>
      <c r="AC4697">
        <v>0</v>
      </c>
      <c r="AD4697">
        <v>1</v>
      </c>
      <c r="AE4697">
        <v>1</v>
      </c>
      <c r="AF4697">
        <v>1</v>
      </c>
      <c r="AG4697">
        <v>1</v>
      </c>
      <c r="AH4697">
        <v>1</v>
      </c>
      <c r="AI4697">
        <v>1</v>
      </c>
      <c r="AJ4697">
        <v>1</v>
      </c>
      <c r="AK4697">
        <v>1</v>
      </c>
      <c r="AL4697">
        <v>1</v>
      </c>
      <c r="AM4697">
        <v>1</v>
      </c>
    </row>
    <row r="4698" spans="1:39" x14ac:dyDescent="0.2">
      <c r="A4698" t="str">
        <f>"4694"</f>
        <v>4694</v>
      </c>
      <c r="B4698" t="str">
        <f t="shared" si="260"/>
        <v>1</v>
      </c>
      <c r="C4698" t="str">
        <f t="shared" si="261"/>
        <v>94</v>
      </c>
      <c r="D4698" t="str">
        <f>"43"</f>
        <v>43</v>
      </c>
      <c r="E4698" t="str">
        <f>"1-94-43"</f>
        <v>1-94-43</v>
      </c>
      <c r="F4698" t="s">
        <v>65</v>
      </c>
      <c r="G4698" t="s">
        <v>66</v>
      </c>
      <c r="H4698" t="s">
        <v>67</v>
      </c>
      <c r="S4698">
        <v>0</v>
      </c>
      <c r="T4698">
        <v>1</v>
      </c>
      <c r="U4698">
        <v>0</v>
      </c>
      <c r="V4698">
        <v>0</v>
      </c>
      <c r="W4698">
        <v>0</v>
      </c>
      <c r="X4698">
        <v>1</v>
      </c>
      <c r="Y4698">
        <v>0</v>
      </c>
      <c r="Z4698">
        <v>1</v>
      </c>
      <c r="AA4698">
        <v>0</v>
      </c>
      <c r="AB4698">
        <v>1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</row>
    <row r="4699" spans="1:39" x14ac:dyDescent="0.2">
      <c r="A4699" t="str">
        <f>"4695"</f>
        <v>4695</v>
      </c>
      <c r="B4699" t="str">
        <f t="shared" si="260"/>
        <v>1</v>
      </c>
      <c r="C4699" t="str">
        <f t="shared" si="261"/>
        <v>94</v>
      </c>
      <c r="D4699" t="str">
        <f>"28"</f>
        <v>28</v>
      </c>
      <c r="E4699" t="str">
        <f>"1-94-28"</f>
        <v>1-94-28</v>
      </c>
      <c r="F4699" t="s">
        <v>65</v>
      </c>
      <c r="G4699" t="s">
        <v>66</v>
      </c>
      <c r="H4699" t="s">
        <v>67</v>
      </c>
      <c r="S4699">
        <v>0</v>
      </c>
      <c r="T4699">
        <v>1</v>
      </c>
      <c r="U4699">
        <v>0</v>
      </c>
      <c r="V4699">
        <v>0</v>
      </c>
      <c r="W4699">
        <v>1</v>
      </c>
      <c r="X4699">
        <v>0</v>
      </c>
      <c r="Y4699">
        <v>0</v>
      </c>
      <c r="Z4699">
        <v>1</v>
      </c>
      <c r="AA4699">
        <v>0</v>
      </c>
      <c r="AB4699">
        <v>1</v>
      </c>
      <c r="AC4699">
        <v>0</v>
      </c>
      <c r="AD4699">
        <v>1</v>
      </c>
      <c r="AE4699">
        <v>1</v>
      </c>
      <c r="AF4699">
        <v>1</v>
      </c>
      <c r="AG4699">
        <v>1</v>
      </c>
      <c r="AH4699">
        <v>1</v>
      </c>
      <c r="AI4699">
        <v>1</v>
      </c>
      <c r="AJ4699">
        <v>1</v>
      </c>
      <c r="AK4699">
        <v>1</v>
      </c>
      <c r="AL4699">
        <v>1</v>
      </c>
      <c r="AM4699">
        <v>1</v>
      </c>
    </row>
    <row r="4700" spans="1:39" x14ac:dyDescent="0.2">
      <c r="A4700" t="str">
        <f>"4696"</f>
        <v>4696</v>
      </c>
      <c r="B4700" t="str">
        <f t="shared" si="260"/>
        <v>1</v>
      </c>
      <c r="C4700" t="str">
        <f t="shared" si="261"/>
        <v>94</v>
      </c>
      <c r="D4700" t="str">
        <f>"6"</f>
        <v>6</v>
      </c>
      <c r="E4700" t="str">
        <f>"1-94-6"</f>
        <v>1-94-6</v>
      </c>
      <c r="F4700" t="s">
        <v>65</v>
      </c>
      <c r="G4700" t="s">
        <v>66</v>
      </c>
      <c r="H4700" t="s">
        <v>67</v>
      </c>
      <c r="S4700">
        <v>0</v>
      </c>
      <c r="T4700">
        <v>1</v>
      </c>
      <c r="U4700">
        <v>0</v>
      </c>
      <c r="V4700">
        <v>0</v>
      </c>
      <c r="W4700">
        <v>1</v>
      </c>
      <c r="X4700">
        <v>0</v>
      </c>
      <c r="Y4700">
        <v>0</v>
      </c>
      <c r="Z4700">
        <v>1</v>
      </c>
      <c r="AA4700">
        <v>1</v>
      </c>
      <c r="AB4700">
        <v>0</v>
      </c>
      <c r="AC4700">
        <v>0</v>
      </c>
      <c r="AD4700">
        <v>1</v>
      </c>
      <c r="AE4700">
        <v>1</v>
      </c>
      <c r="AF4700">
        <v>1</v>
      </c>
      <c r="AG4700">
        <v>1</v>
      </c>
      <c r="AH4700">
        <v>1</v>
      </c>
      <c r="AI4700">
        <v>1</v>
      </c>
      <c r="AJ4700">
        <v>1</v>
      </c>
      <c r="AK4700">
        <v>1</v>
      </c>
      <c r="AL4700">
        <v>1</v>
      </c>
      <c r="AM4700">
        <v>1</v>
      </c>
    </row>
    <row r="4701" spans="1:39" x14ac:dyDescent="0.2">
      <c r="A4701" t="str">
        <f>"4697"</f>
        <v>4697</v>
      </c>
      <c r="B4701" t="str">
        <f t="shared" si="260"/>
        <v>1</v>
      </c>
      <c r="C4701" t="str">
        <f t="shared" si="261"/>
        <v>94</v>
      </c>
      <c r="D4701" t="str">
        <f>"29"</f>
        <v>29</v>
      </c>
      <c r="E4701" t="str">
        <f>"1-94-29"</f>
        <v>1-94-29</v>
      </c>
      <c r="F4701" t="s">
        <v>65</v>
      </c>
      <c r="G4701" t="s">
        <v>66</v>
      </c>
      <c r="H4701" t="s">
        <v>67</v>
      </c>
      <c r="S4701">
        <v>1</v>
      </c>
      <c r="T4701">
        <v>0</v>
      </c>
      <c r="U4701">
        <v>0</v>
      </c>
      <c r="V4701">
        <v>0</v>
      </c>
      <c r="W4701">
        <v>0</v>
      </c>
      <c r="X4701">
        <v>1</v>
      </c>
      <c r="Y4701">
        <v>0</v>
      </c>
      <c r="Z4701">
        <v>1</v>
      </c>
      <c r="AA4701">
        <v>0</v>
      </c>
      <c r="AB4701">
        <v>0</v>
      </c>
      <c r="AC4701">
        <v>1</v>
      </c>
      <c r="AD4701">
        <v>1</v>
      </c>
      <c r="AE4701">
        <v>1</v>
      </c>
      <c r="AF4701">
        <v>1</v>
      </c>
      <c r="AG4701">
        <v>1</v>
      </c>
      <c r="AH4701">
        <v>1</v>
      </c>
      <c r="AI4701">
        <v>1</v>
      </c>
      <c r="AJ4701">
        <v>1</v>
      </c>
      <c r="AK4701">
        <v>1</v>
      </c>
      <c r="AL4701">
        <v>1</v>
      </c>
      <c r="AM4701">
        <v>1</v>
      </c>
    </row>
    <row r="4702" spans="1:39" x14ac:dyDescent="0.2">
      <c r="A4702" t="str">
        <f>"4698"</f>
        <v>4698</v>
      </c>
      <c r="B4702" t="str">
        <f t="shared" si="260"/>
        <v>1</v>
      </c>
      <c r="C4702" t="str">
        <f t="shared" si="261"/>
        <v>94</v>
      </c>
      <c r="D4702" t="str">
        <f>"9"</f>
        <v>9</v>
      </c>
      <c r="E4702" t="str">
        <f>"1-94-9"</f>
        <v>1-94-9</v>
      </c>
      <c r="F4702" t="s">
        <v>65</v>
      </c>
      <c r="G4702" t="s">
        <v>66</v>
      </c>
      <c r="H4702" t="s">
        <v>67</v>
      </c>
      <c r="S4702">
        <v>0</v>
      </c>
      <c r="T4702">
        <v>0</v>
      </c>
      <c r="U4702">
        <v>0</v>
      </c>
      <c r="V4702">
        <v>0</v>
      </c>
      <c r="W4702">
        <v>1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1</v>
      </c>
      <c r="AH4702">
        <v>0</v>
      </c>
      <c r="AI4702">
        <v>0</v>
      </c>
      <c r="AJ4702">
        <v>0</v>
      </c>
      <c r="AK4702">
        <v>0</v>
      </c>
      <c r="AL4702">
        <v>1</v>
      </c>
      <c r="AM4702">
        <v>0</v>
      </c>
    </row>
    <row r="4703" spans="1:39" x14ac:dyDescent="0.2">
      <c r="A4703" t="str">
        <f>"4699"</f>
        <v>4699</v>
      </c>
      <c r="B4703" t="str">
        <f t="shared" si="260"/>
        <v>1</v>
      </c>
      <c r="C4703" t="str">
        <f t="shared" si="261"/>
        <v>94</v>
      </c>
      <c r="D4703" t="str">
        <f>"30"</f>
        <v>30</v>
      </c>
      <c r="E4703" t="str">
        <f>"1-94-30"</f>
        <v>1-94-30</v>
      </c>
      <c r="F4703" t="s">
        <v>65</v>
      </c>
      <c r="G4703" t="s">
        <v>66</v>
      </c>
      <c r="H4703" t="s">
        <v>67</v>
      </c>
      <c r="S4703">
        <v>0</v>
      </c>
      <c r="T4703">
        <v>1</v>
      </c>
      <c r="U4703">
        <v>0</v>
      </c>
      <c r="V4703">
        <v>0</v>
      </c>
      <c r="W4703">
        <v>1</v>
      </c>
      <c r="X4703">
        <v>0</v>
      </c>
      <c r="Y4703">
        <v>1</v>
      </c>
      <c r="Z4703">
        <v>0</v>
      </c>
      <c r="AA4703">
        <v>0</v>
      </c>
      <c r="AB4703">
        <v>0</v>
      </c>
      <c r="AC4703">
        <v>1</v>
      </c>
      <c r="AD4703">
        <v>1</v>
      </c>
      <c r="AE4703">
        <v>1</v>
      </c>
      <c r="AF4703">
        <v>1</v>
      </c>
      <c r="AG4703">
        <v>1</v>
      </c>
      <c r="AH4703">
        <v>1</v>
      </c>
      <c r="AI4703">
        <v>1</v>
      </c>
      <c r="AJ4703">
        <v>1</v>
      </c>
      <c r="AK4703">
        <v>1</v>
      </c>
      <c r="AL4703">
        <v>1</v>
      </c>
      <c r="AM4703">
        <v>1</v>
      </c>
    </row>
    <row r="4704" spans="1:39" x14ac:dyDescent="0.2">
      <c r="A4704" t="str">
        <f>"4700"</f>
        <v>4700</v>
      </c>
      <c r="B4704" t="str">
        <f t="shared" si="260"/>
        <v>1</v>
      </c>
      <c r="C4704" t="str">
        <f t="shared" si="261"/>
        <v>94</v>
      </c>
      <c r="D4704" t="str">
        <f>"8"</f>
        <v>8</v>
      </c>
      <c r="E4704" t="str">
        <f>"1-94-8"</f>
        <v>1-94-8</v>
      </c>
      <c r="F4704" t="s">
        <v>65</v>
      </c>
      <c r="G4704" t="s">
        <v>66</v>
      </c>
      <c r="H4704" t="s">
        <v>67</v>
      </c>
      <c r="S4704">
        <v>0</v>
      </c>
      <c r="T4704">
        <v>1</v>
      </c>
      <c r="U4704">
        <v>0</v>
      </c>
      <c r="V4704">
        <v>0</v>
      </c>
      <c r="W4704">
        <v>0</v>
      </c>
      <c r="X4704">
        <v>1</v>
      </c>
      <c r="Y4704">
        <v>0</v>
      </c>
      <c r="Z4704">
        <v>1</v>
      </c>
      <c r="AA4704">
        <v>0</v>
      </c>
      <c r="AB4704">
        <v>1</v>
      </c>
      <c r="AC4704">
        <v>0</v>
      </c>
      <c r="AD4704">
        <v>1</v>
      </c>
      <c r="AE4704">
        <v>1</v>
      </c>
      <c r="AF4704">
        <v>1</v>
      </c>
      <c r="AG4704">
        <v>1</v>
      </c>
      <c r="AH4704">
        <v>1</v>
      </c>
      <c r="AI4704">
        <v>1</v>
      </c>
      <c r="AJ4704">
        <v>1</v>
      </c>
      <c r="AK4704">
        <v>1</v>
      </c>
      <c r="AL4704">
        <v>1</v>
      </c>
      <c r="AM4704">
        <v>1</v>
      </c>
    </row>
    <row r="4705" spans="1:39" x14ac:dyDescent="0.2">
      <c r="A4705" t="str">
        <f>"4701"</f>
        <v>4701</v>
      </c>
      <c r="B4705" t="str">
        <f t="shared" si="260"/>
        <v>1</v>
      </c>
      <c r="C4705" t="str">
        <f t="shared" ref="C4705:C4736" si="262">"95"</f>
        <v>95</v>
      </c>
      <c r="D4705" t="str">
        <f>"38"</f>
        <v>38</v>
      </c>
      <c r="E4705" t="str">
        <f>"1-95-38"</f>
        <v>1-95-38</v>
      </c>
      <c r="F4705" t="s">
        <v>65</v>
      </c>
      <c r="G4705" t="s">
        <v>66</v>
      </c>
      <c r="H4705" t="s">
        <v>67</v>
      </c>
      <c r="S4705">
        <v>0</v>
      </c>
      <c r="T4705">
        <v>1</v>
      </c>
      <c r="U4705">
        <v>0</v>
      </c>
      <c r="V4705">
        <v>0</v>
      </c>
      <c r="W4705">
        <v>1</v>
      </c>
      <c r="X4705">
        <v>0</v>
      </c>
      <c r="Y4705">
        <v>0</v>
      </c>
      <c r="Z4705">
        <v>1</v>
      </c>
      <c r="AA4705">
        <v>0</v>
      </c>
      <c r="AB4705">
        <v>1</v>
      </c>
      <c r="AC4705">
        <v>0</v>
      </c>
      <c r="AD4705">
        <v>1</v>
      </c>
      <c r="AE4705">
        <v>1</v>
      </c>
      <c r="AF4705">
        <v>1</v>
      </c>
      <c r="AG4705">
        <v>1</v>
      </c>
      <c r="AH4705">
        <v>1</v>
      </c>
      <c r="AI4705">
        <v>0</v>
      </c>
      <c r="AJ4705">
        <v>1</v>
      </c>
      <c r="AK4705">
        <v>1</v>
      </c>
      <c r="AL4705">
        <v>1</v>
      </c>
      <c r="AM4705">
        <v>1</v>
      </c>
    </row>
    <row r="4706" spans="1:39" x14ac:dyDescent="0.2">
      <c r="A4706" t="str">
        <f>"4702"</f>
        <v>4702</v>
      </c>
      <c r="B4706" t="str">
        <f t="shared" si="260"/>
        <v>1</v>
      </c>
      <c r="C4706" t="str">
        <f t="shared" si="262"/>
        <v>95</v>
      </c>
      <c r="D4706" t="str">
        <f>"37"</f>
        <v>37</v>
      </c>
      <c r="E4706" t="str">
        <f>"1-95-37"</f>
        <v>1-95-37</v>
      </c>
      <c r="F4706" t="s">
        <v>65</v>
      </c>
      <c r="G4706" t="s">
        <v>66</v>
      </c>
      <c r="H4706" t="s">
        <v>67</v>
      </c>
      <c r="S4706">
        <v>1</v>
      </c>
      <c r="T4706">
        <v>0</v>
      </c>
      <c r="U4706">
        <v>0</v>
      </c>
      <c r="V4706">
        <v>0</v>
      </c>
      <c r="W4706">
        <v>1</v>
      </c>
      <c r="X4706">
        <v>0</v>
      </c>
      <c r="Y4706">
        <v>0</v>
      </c>
      <c r="Z4706">
        <v>1</v>
      </c>
      <c r="AA4706">
        <v>1</v>
      </c>
      <c r="AB4706">
        <v>0</v>
      </c>
      <c r="AC4706">
        <v>0</v>
      </c>
      <c r="AD4706">
        <v>1</v>
      </c>
      <c r="AE4706">
        <v>1</v>
      </c>
      <c r="AF4706">
        <v>1</v>
      </c>
      <c r="AG4706">
        <v>1</v>
      </c>
      <c r="AH4706">
        <v>1</v>
      </c>
      <c r="AI4706">
        <v>1</v>
      </c>
      <c r="AJ4706">
        <v>1</v>
      </c>
      <c r="AK4706">
        <v>1</v>
      </c>
      <c r="AL4706">
        <v>1</v>
      </c>
      <c r="AM4706">
        <v>1</v>
      </c>
    </row>
    <row r="4707" spans="1:39" x14ac:dyDescent="0.2">
      <c r="A4707" t="str">
        <f>"4703"</f>
        <v>4703</v>
      </c>
      <c r="B4707" t="str">
        <f t="shared" si="260"/>
        <v>1</v>
      </c>
      <c r="C4707" t="str">
        <f t="shared" si="262"/>
        <v>95</v>
      </c>
      <c r="D4707" t="str">
        <f>"28"</f>
        <v>28</v>
      </c>
      <c r="E4707" t="str">
        <f>"1-95-28"</f>
        <v>1-95-28</v>
      </c>
      <c r="F4707" t="s">
        <v>65</v>
      </c>
      <c r="G4707" t="s">
        <v>66</v>
      </c>
      <c r="H4707" t="s">
        <v>67</v>
      </c>
      <c r="S4707">
        <v>1</v>
      </c>
      <c r="T4707">
        <v>0</v>
      </c>
      <c r="U4707">
        <v>0</v>
      </c>
      <c r="V4707">
        <v>0</v>
      </c>
      <c r="W4707">
        <v>0</v>
      </c>
      <c r="X4707">
        <v>1</v>
      </c>
      <c r="Y4707">
        <v>0</v>
      </c>
      <c r="Z4707">
        <v>1</v>
      </c>
      <c r="AA4707">
        <v>0</v>
      </c>
      <c r="AB4707">
        <v>1</v>
      </c>
      <c r="AC4707">
        <v>0</v>
      </c>
      <c r="AD4707">
        <v>0</v>
      </c>
      <c r="AE4707">
        <v>0</v>
      </c>
      <c r="AF4707">
        <v>0</v>
      </c>
      <c r="AG4707">
        <v>1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</row>
    <row r="4708" spans="1:39" x14ac:dyDescent="0.2">
      <c r="A4708" t="str">
        <f>"4704"</f>
        <v>4704</v>
      </c>
      <c r="B4708" t="str">
        <f t="shared" si="260"/>
        <v>1</v>
      </c>
      <c r="C4708" t="str">
        <f t="shared" si="262"/>
        <v>95</v>
      </c>
      <c r="D4708" t="str">
        <f>"27"</f>
        <v>27</v>
      </c>
      <c r="E4708" t="str">
        <f>"1-95-27"</f>
        <v>1-95-27</v>
      </c>
      <c r="F4708" t="s">
        <v>65</v>
      </c>
      <c r="G4708" t="s">
        <v>66</v>
      </c>
      <c r="H4708" t="s">
        <v>67</v>
      </c>
      <c r="S4708">
        <v>0</v>
      </c>
      <c r="T4708">
        <v>1</v>
      </c>
      <c r="U4708">
        <v>0</v>
      </c>
      <c r="V4708">
        <v>0</v>
      </c>
      <c r="W4708">
        <v>1</v>
      </c>
      <c r="X4708">
        <v>0</v>
      </c>
      <c r="Y4708">
        <v>0</v>
      </c>
      <c r="Z4708">
        <v>1</v>
      </c>
      <c r="AA4708">
        <v>0</v>
      </c>
      <c r="AB4708">
        <v>1</v>
      </c>
      <c r="AC4708">
        <v>0</v>
      </c>
      <c r="AD4708">
        <v>1</v>
      </c>
      <c r="AE4708">
        <v>1</v>
      </c>
      <c r="AF4708">
        <v>1</v>
      </c>
      <c r="AG4708">
        <v>1</v>
      </c>
      <c r="AH4708">
        <v>1</v>
      </c>
      <c r="AI4708">
        <v>1</v>
      </c>
      <c r="AJ4708">
        <v>1</v>
      </c>
      <c r="AK4708">
        <v>1</v>
      </c>
      <c r="AL4708">
        <v>1</v>
      </c>
      <c r="AM4708">
        <v>1</v>
      </c>
    </row>
    <row r="4709" spans="1:39" x14ac:dyDescent="0.2">
      <c r="A4709" t="str">
        <f>"4705"</f>
        <v>4705</v>
      </c>
      <c r="B4709" t="str">
        <f t="shared" si="260"/>
        <v>1</v>
      </c>
      <c r="C4709" t="str">
        <f t="shared" si="262"/>
        <v>95</v>
      </c>
      <c r="D4709" t="str">
        <f>"19"</f>
        <v>19</v>
      </c>
      <c r="E4709" t="str">
        <f>"1-95-19"</f>
        <v>1-95-19</v>
      </c>
      <c r="F4709" t="s">
        <v>65</v>
      </c>
      <c r="G4709" t="s">
        <v>66</v>
      </c>
      <c r="H4709" t="s">
        <v>67</v>
      </c>
      <c r="S4709">
        <v>0</v>
      </c>
      <c r="T4709">
        <v>1</v>
      </c>
      <c r="U4709">
        <v>0</v>
      </c>
      <c r="V4709">
        <v>0</v>
      </c>
      <c r="W4709">
        <v>1</v>
      </c>
      <c r="X4709">
        <v>0</v>
      </c>
      <c r="Y4709">
        <v>1</v>
      </c>
      <c r="Z4709">
        <v>0</v>
      </c>
      <c r="AA4709">
        <v>1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1</v>
      </c>
      <c r="AH4709">
        <v>1</v>
      </c>
      <c r="AI4709">
        <v>1</v>
      </c>
      <c r="AJ4709">
        <v>0</v>
      </c>
      <c r="AK4709">
        <v>0</v>
      </c>
      <c r="AL4709">
        <v>1</v>
      </c>
      <c r="AM4709">
        <v>0</v>
      </c>
    </row>
    <row r="4710" spans="1:39" x14ac:dyDescent="0.2">
      <c r="A4710" t="str">
        <f>"4706"</f>
        <v>4706</v>
      </c>
      <c r="B4710" t="str">
        <f t="shared" si="260"/>
        <v>1</v>
      </c>
      <c r="C4710" t="str">
        <f t="shared" si="262"/>
        <v>95</v>
      </c>
      <c r="D4710" t="str">
        <f>"15"</f>
        <v>15</v>
      </c>
      <c r="E4710" t="str">
        <f>"1-95-15"</f>
        <v>1-95-15</v>
      </c>
      <c r="F4710" t="s">
        <v>65</v>
      </c>
      <c r="G4710" t="s">
        <v>66</v>
      </c>
      <c r="H4710" t="s">
        <v>67</v>
      </c>
      <c r="S4710">
        <v>1</v>
      </c>
      <c r="T4710">
        <v>0</v>
      </c>
      <c r="U4710">
        <v>0</v>
      </c>
      <c r="V4710">
        <v>0</v>
      </c>
      <c r="W4710">
        <v>1</v>
      </c>
      <c r="X4710">
        <v>0</v>
      </c>
      <c r="Y4710">
        <v>0</v>
      </c>
      <c r="Z4710">
        <v>1</v>
      </c>
      <c r="AA4710">
        <v>1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</row>
    <row r="4711" spans="1:39" x14ac:dyDescent="0.2">
      <c r="A4711" t="str">
        <f>"4707"</f>
        <v>4707</v>
      </c>
      <c r="B4711" t="str">
        <f t="shared" si="260"/>
        <v>1</v>
      </c>
      <c r="C4711" t="str">
        <f t="shared" si="262"/>
        <v>95</v>
      </c>
      <c r="D4711" t="str">
        <f>"2"</f>
        <v>2</v>
      </c>
      <c r="E4711" t="str">
        <f>"1-95-2"</f>
        <v>1-95-2</v>
      </c>
      <c r="F4711" t="s">
        <v>65</v>
      </c>
      <c r="G4711" t="s">
        <v>66</v>
      </c>
      <c r="H4711" t="s">
        <v>67</v>
      </c>
      <c r="S4711">
        <v>0</v>
      </c>
      <c r="T4711">
        <v>1</v>
      </c>
      <c r="U4711">
        <v>0</v>
      </c>
      <c r="V4711">
        <v>0</v>
      </c>
      <c r="W4711">
        <v>0</v>
      </c>
      <c r="X4711">
        <v>1</v>
      </c>
      <c r="Y4711">
        <v>0</v>
      </c>
      <c r="Z4711">
        <v>1</v>
      </c>
      <c r="AA4711">
        <v>0</v>
      </c>
      <c r="AB4711">
        <v>1</v>
      </c>
      <c r="AC4711">
        <v>0</v>
      </c>
      <c r="AD4711">
        <v>0</v>
      </c>
      <c r="AE4711">
        <v>0</v>
      </c>
      <c r="AF4711">
        <v>0</v>
      </c>
      <c r="AG4711">
        <v>1</v>
      </c>
      <c r="AH4711">
        <v>0</v>
      </c>
      <c r="AI4711">
        <v>1</v>
      </c>
      <c r="AJ4711">
        <v>1</v>
      </c>
      <c r="AK4711">
        <v>1</v>
      </c>
      <c r="AL4711">
        <v>1</v>
      </c>
      <c r="AM4711">
        <v>0</v>
      </c>
    </row>
    <row r="4712" spans="1:39" x14ac:dyDescent="0.2">
      <c r="A4712" t="str">
        <f>"4708"</f>
        <v>4708</v>
      </c>
      <c r="B4712" t="str">
        <f t="shared" si="260"/>
        <v>1</v>
      </c>
      <c r="C4712" t="str">
        <f t="shared" si="262"/>
        <v>95</v>
      </c>
      <c r="D4712" t="str">
        <f>"36"</f>
        <v>36</v>
      </c>
      <c r="E4712" t="str">
        <f>"1-95-36"</f>
        <v>1-95-36</v>
      </c>
      <c r="F4712" t="s">
        <v>65</v>
      </c>
      <c r="G4712" t="s">
        <v>66</v>
      </c>
      <c r="H4712" t="s">
        <v>67</v>
      </c>
      <c r="S4712">
        <v>0</v>
      </c>
      <c r="T4712">
        <v>1</v>
      </c>
      <c r="U4712">
        <v>0</v>
      </c>
      <c r="V4712">
        <v>0</v>
      </c>
      <c r="W4712">
        <v>0</v>
      </c>
      <c r="X4712">
        <v>1</v>
      </c>
      <c r="Y4712">
        <v>1</v>
      </c>
      <c r="Z4712">
        <v>0</v>
      </c>
      <c r="AA4712">
        <v>0</v>
      </c>
      <c r="AB4712">
        <v>0</v>
      </c>
      <c r="AC4712">
        <v>1</v>
      </c>
      <c r="AD4712">
        <v>1</v>
      </c>
      <c r="AE4712">
        <v>1</v>
      </c>
      <c r="AF4712">
        <v>1</v>
      </c>
      <c r="AG4712">
        <v>1</v>
      </c>
      <c r="AH4712">
        <v>1</v>
      </c>
      <c r="AI4712">
        <v>1</v>
      </c>
      <c r="AJ4712">
        <v>1</v>
      </c>
      <c r="AK4712">
        <v>1</v>
      </c>
      <c r="AL4712">
        <v>1</v>
      </c>
      <c r="AM4712">
        <v>1</v>
      </c>
    </row>
    <row r="4713" spans="1:39" x14ac:dyDescent="0.2">
      <c r="A4713" t="str">
        <f>"4709"</f>
        <v>4709</v>
      </c>
      <c r="B4713" t="str">
        <f t="shared" si="260"/>
        <v>1</v>
      </c>
      <c r="C4713" t="str">
        <f t="shared" si="262"/>
        <v>95</v>
      </c>
      <c r="D4713" t="str">
        <f>"35"</f>
        <v>35</v>
      </c>
      <c r="E4713" t="str">
        <f>"1-95-35"</f>
        <v>1-95-35</v>
      </c>
      <c r="F4713" t="s">
        <v>65</v>
      </c>
      <c r="G4713" t="s">
        <v>66</v>
      </c>
      <c r="H4713" t="s">
        <v>67</v>
      </c>
      <c r="S4713">
        <v>1</v>
      </c>
      <c r="T4713">
        <v>0</v>
      </c>
      <c r="U4713">
        <v>0</v>
      </c>
      <c r="V4713">
        <v>0</v>
      </c>
      <c r="W4713">
        <v>1</v>
      </c>
      <c r="X4713">
        <v>0</v>
      </c>
      <c r="Y4713">
        <v>1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1</v>
      </c>
      <c r="AF4713">
        <v>1</v>
      </c>
      <c r="AG4713">
        <v>1</v>
      </c>
      <c r="AH4713">
        <v>1</v>
      </c>
      <c r="AI4713">
        <v>1</v>
      </c>
      <c r="AJ4713">
        <v>1</v>
      </c>
      <c r="AK4713">
        <v>1</v>
      </c>
      <c r="AL4713">
        <v>1</v>
      </c>
      <c r="AM4713">
        <v>1</v>
      </c>
    </row>
    <row r="4714" spans="1:39" x14ac:dyDescent="0.2">
      <c r="A4714" t="str">
        <f>"4710"</f>
        <v>4710</v>
      </c>
      <c r="B4714" t="str">
        <f t="shared" si="260"/>
        <v>1</v>
      </c>
      <c r="C4714" t="str">
        <f t="shared" si="262"/>
        <v>95</v>
      </c>
      <c r="D4714" t="str">
        <f>"26"</f>
        <v>26</v>
      </c>
      <c r="E4714" t="str">
        <f>"1-95-26"</f>
        <v>1-95-26</v>
      </c>
      <c r="F4714" t="s">
        <v>65</v>
      </c>
      <c r="G4714" t="s">
        <v>66</v>
      </c>
      <c r="H4714" t="s">
        <v>67</v>
      </c>
      <c r="S4714">
        <v>0</v>
      </c>
      <c r="T4714">
        <v>1</v>
      </c>
      <c r="U4714">
        <v>0</v>
      </c>
      <c r="V4714">
        <v>0</v>
      </c>
      <c r="W4714">
        <v>1</v>
      </c>
      <c r="X4714">
        <v>0</v>
      </c>
      <c r="Y4714">
        <v>0</v>
      </c>
      <c r="Z4714">
        <v>1</v>
      </c>
      <c r="AA4714">
        <v>0</v>
      </c>
      <c r="AB4714">
        <v>1</v>
      </c>
      <c r="AC4714">
        <v>0</v>
      </c>
      <c r="AD4714">
        <v>1</v>
      </c>
      <c r="AE4714">
        <v>1</v>
      </c>
      <c r="AF4714">
        <v>1</v>
      </c>
      <c r="AG4714">
        <v>1</v>
      </c>
      <c r="AH4714">
        <v>1</v>
      </c>
      <c r="AI4714">
        <v>1</v>
      </c>
      <c r="AJ4714">
        <v>1</v>
      </c>
      <c r="AK4714">
        <v>1</v>
      </c>
      <c r="AL4714">
        <v>1</v>
      </c>
      <c r="AM4714">
        <v>1</v>
      </c>
    </row>
    <row r="4715" spans="1:39" x14ac:dyDescent="0.2">
      <c r="A4715" t="str">
        <f>"4711"</f>
        <v>4711</v>
      </c>
      <c r="B4715" t="str">
        <f t="shared" si="260"/>
        <v>1</v>
      </c>
      <c r="C4715" t="str">
        <f t="shared" si="262"/>
        <v>95</v>
      </c>
      <c r="D4715" t="str">
        <f>"7"</f>
        <v>7</v>
      </c>
      <c r="E4715" t="str">
        <f>"1-95-7"</f>
        <v>1-95-7</v>
      </c>
      <c r="F4715" t="s">
        <v>65</v>
      </c>
      <c r="G4715" t="s">
        <v>66</v>
      </c>
      <c r="H4715" t="s">
        <v>67</v>
      </c>
      <c r="S4715">
        <v>1</v>
      </c>
      <c r="T4715">
        <v>0</v>
      </c>
      <c r="U4715">
        <v>0</v>
      </c>
      <c r="V4715">
        <v>0</v>
      </c>
      <c r="W4715">
        <v>1</v>
      </c>
      <c r="X4715">
        <v>0</v>
      </c>
      <c r="Y4715">
        <v>1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1</v>
      </c>
      <c r="AF4715">
        <v>1</v>
      </c>
      <c r="AG4715">
        <v>1</v>
      </c>
      <c r="AH4715">
        <v>1</v>
      </c>
      <c r="AI4715">
        <v>1</v>
      </c>
      <c r="AJ4715">
        <v>1</v>
      </c>
      <c r="AK4715">
        <v>1</v>
      </c>
      <c r="AL4715">
        <v>1</v>
      </c>
      <c r="AM4715">
        <v>1</v>
      </c>
    </row>
    <row r="4716" spans="1:39" x14ac:dyDescent="0.2">
      <c r="A4716" t="str">
        <f>"4712"</f>
        <v>4712</v>
      </c>
      <c r="B4716" t="str">
        <f t="shared" si="260"/>
        <v>1</v>
      </c>
      <c r="C4716" t="str">
        <f t="shared" si="262"/>
        <v>95</v>
      </c>
      <c r="D4716" t="str">
        <f>"45"</f>
        <v>45</v>
      </c>
      <c r="E4716" t="str">
        <f>"1-95-45"</f>
        <v>1-95-45</v>
      </c>
      <c r="F4716" t="s">
        <v>65</v>
      </c>
      <c r="G4716" t="s">
        <v>66</v>
      </c>
      <c r="H4716" t="s">
        <v>67</v>
      </c>
      <c r="S4716">
        <v>0</v>
      </c>
      <c r="T4716">
        <v>1</v>
      </c>
      <c r="U4716">
        <v>0</v>
      </c>
      <c r="V4716">
        <v>0</v>
      </c>
      <c r="W4716">
        <v>1</v>
      </c>
      <c r="X4716">
        <v>0</v>
      </c>
      <c r="Y4716">
        <v>0</v>
      </c>
      <c r="Z4716">
        <v>1</v>
      </c>
      <c r="AA4716">
        <v>0</v>
      </c>
      <c r="AB4716">
        <v>0</v>
      </c>
      <c r="AC4716">
        <v>1</v>
      </c>
      <c r="AD4716">
        <v>1</v>
      </c>
      <c r="AE4716">
        <v>1</v>
      </c>
      <c r="AF4716">
        <v>1</v>
      </c>
      <c r="AG4716">
        <v>1</v>
      </c>
      <c r="AH4716">
        <v>1</v>
      </c>
      <c r="AI4716">
        <v>1</v>
      </c>
      <c r="AJ4716">
        <v>1</v>
      </c>
      <c r="AK4716">
        <v>1</v>
      </c>
      <c r="AL4716">
        <v>1</v>
      </c>
      <c r="AM4716">
        <v>1</v>
      </c>
    </row>
    <row r="4717" spans="1:39" x14ac:dyDescent="0.2">
      <c r="A4717" t="str">
        <f>"4713"</f>
        <v>4713</v>
      </c>
      <c r="B4717" t="str">
        <f t="shared" si="260"/>
        <v>1</v>
      </c>
      <c r="C4717" t="str">
        <f t="shared" si="262"/>
        <v>95</v>
      </c>
      <c r="D4717" t="str">
        <f>"44"</f>
        <v>44</v>
      </c>
      <c r="E4717" t="str">
        <f>"1-95-44"</f>
        <v>1-95-44</v>
      </c>
      <c r="F4717" t="s">
        <v>65</v>
      </c>
      <c r="G4717" t="s">
        <v>66</v>
      </c>
      <c r="H4717" t="s">
        <v>67</v>
      </c>
      <c r="S4717">
        <v>1</v>
      </c>
      <c r="T4717">
        <v>0</v>
      </c>
      <c r="U4717">
        <v>0</v>
      </c>
      <c r="V4717">
        <v>0</v>
      </c>
      <c r="W4717">
        <v>0</v>
      </c>
      <c r="X4717">
        <v>1</v>
      </c>
      <c r="Y4717">
        <v>1</v>
      </c>
      <c r="Z4717">
        <v>0</v>
      </c>
      <c r="AA4717">
        <v>0</v>
      </c>
      <c r="AB4717">
        <v>0</v>
      </c>
      <c r="AC4717">
        <v>1</v>
      </c>
      <c r="AD4717">
        <v>1</v>
      </c>
      <c r="AE4717">
        <v>1</v>
      </c>
      <c r="AF4717">
        <v>1</v>
      </c>
      <c r="AG4717">
        <v>1</v>
      </c>
      <c r="AH4717">
        <v>1</v>
      </c>
      <c r="AI4717">
        <v>1</v>
      </c>
      <c r="AJ4717">
        <v>1</v>
      </c>
      <c r="AK4717">
        <v>1</v>
      </c>
      <c r="AL4717">
        <v>1</v>
      </c>
      <c r="AM4717">
        <v>1</v>
      </c>
    </row>
    <row r="4718" spans="1:39" x14ac:dyDescent="0.2">
      <c r="A4718" t="str">
        <f>"4714"</f>
        <v>4714</v>
      </c>
      <c r="B4718" t="str">
        <f t="shared" si="260"/>
        <v>1</v>
      </c>
      <c r="C4718" t="str">
        <f t="shared" si="262"/>
        <v>95</v>
      </c>
      <c r="D4718" t="str">
        <f>"34"</f>
        <v>34</v>
      </c>
      <c r="E4718" t="str">
        <f>"1-95-34"</f>
        <v>1-95-34</v>
      </c>
      <c r="F4718" t="s">
        <v>65</v>
      </c>
      <c r="G4718" t="s">
        <v>66</v>
      </c>
      <c r="H4718" t="s">
        <v>67</v>
      </c>
      <c r="S4718">
        <v>1</v>
      </c>
      <c r="T4718">
        <v>0</v>
      </c>
      <c r="U4718">
        <v>0</v>
      </c>
      <c r="V4718">
        <v>0</v>
      </c>
      <c r="W4718">
        <v>1</v>
      </c>
      <c r="X4718">
        <v>0</v>
      </c>
      <c r="Y4718">
        <v>1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1</v>
      </c>
      <c r="AF4718">
        <v>1</v>
      </c>
      <c r="AG4718">
        <v>1</v>
      </c>
      <c r="AH4718">
        <v>1</v>
      </c>
      <c r="AI4718">
        <v>1</v>
      </c>
      <c r="AJ4718">
        <v>1</v>
      </c>
      <c r="AK4718">
        <v>1</v>
      </c>
      <c r="AL4718">
        <v>1</v>
      </c>
      <c r="AM4718">
        <v>0</v>
      </c>
    </row>
    <row r="4719" spans="1:39" x14ac:dyDescent="0.2">
      <c r="A4719" t="str">
        <f>"4715"</f>
        <v>4715</v>
      </c>
      <c r="B4719" t="str">
        <f t="shared" si="260"/>
        <v>1</v>
      </c>
      <c r="C4719" t="str">
        <f t="shared" si="262"/>
        <v>95</v>
      </c>
      <c r="D4719" t="str">
        <f>"17"</f>
        <v>17</v>
      </c>
      <c r="E4719" t="str">
        <f>"1-95-17"</f>
        <v>1-95-17</v>
      </c>
      <c r="F4719" t="s">
        <v>65</v>
      </c>
      <c r="G4719" t="s">
        <v>66</v>
      </c>
      <c r="H4719" t="s">
        <v>67</v>
      </c>
      <c r="S4719">
        <v>1</v>
      </c>
      <c r="T4719">
        <v>0</v>
      </c>
      <c r="U4719">
        <v>0</v>
      </c>
      <c r="V4719">
        <v>0</v>
      </c>
      <c r="W4719">
        <v>1</v>
      </c>
      <c r="X4719">
        <v>0</v>
      </c>
      <c r="Y4719">
        <v>0</v>
      </c>
      <c r="Z4719">
        <v>1</v>
      </c>
      <c r="AA4719">
        <v>1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1</v>
      </c>
      <c r="AH4719">
        <v>0</v>
      </c>
      <c r="AI4719">
        <v>1</v>
      </c>
      <c r="AJ4719">
        <v>1</v>
      </c>
      <c r="AK4719">
        <v>0</v>
      </c>
      <c r="AL4719">
        <v>1</v>
      </c>
      <c r="AM4719">
        <v>1</v>
      </c>
    </row>
    <row r="4720" spans="1:39" x14ac:dyDescent="0.2">
      <c r="A4720" t="str">
        <f>"4716"</f>
        <v>4716</v>
      </c>
      <c r="B4720" t="str">
        <f t="shared" si="260"/>
        <v>1</v>
      </c>
      <c r="C4720" t="str">
        <f t="shared" si="262"/>
        <v>95</v>
      </c>
      <c r="D4720" t="str">
        <f>"1"</f>
        <v>1</v>
      </c>
      <c r="E4720" t="str">
        <f>"1-95-1"</f>
        <v>1-95-1</v>
      </c>
      <c r="F4720" t="s">
        <v>65</v>
      </c>
      <c r="G4720" t="s">
        <v>66</v>
      </c>
      <c r="H4720" t="s">
        <v>67</v>
      </c>
      <c r="S4720">
        <v>0</v>
      </c>
      <c r="T4720">
        <v>1</v>
      </c>
      <c r="U4720">
        <v>0</v>
      </c>
      <c r="V4720">
        <v>0</v>
      </c>
      <c r="W4720">
        <v>1</v>
      </c>
      <c r="X4720">
        <v>0</v>
      </c>
      <c r="Y4720">
        <v>1</v>
      </c>
      <c r="Z4720">
        <v>0</v>
      </c>
      <c r="AA4720">
        <v>0</v>
      </c>
      <c r="AB4720">
        <v>1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</row>
    <row r="4721" spans="1:39" x14ac:dyDescent="0.2">
      <c r="A4721" t="str">
        <f>"4717"</f>
        <v>4717</v>
      </c>
      <c r="B4721" t="str">
        <f t="shared" si="260"/>
        <v>1</v>
      </c>
      <c r="C4721" t="str">
        <f t="shared" si="262"/>
        <v>95</v>
      </c>
      <c r="D4721" t="str">
        <f>"33"</f>
        <v>33</v>
      </c>
      <c r="E4721" t="str">
        <f>"1-95-33"</f>
        <v>1-95-33</v>
      </c>
      <c r="F4721" t="s">
        <v>65</v>
      </c>
      <c r="G4721" t="s">
        <v>66</v>
      </c>
      <c r="H4721" t="s">
        <v>67</v>
      </c>
      <c r="S4721">
        <v>1</v>
      </c>
      <c r="T4721">
        <v>0</v>
      </c>
      <c r="U4721">
        <v>0</v>
      </c>
      <c r="V4721">
        <v>0</v>
      </c>
      <c r="W4721">
        <v>0</v>
      </c>
      <c r="X4721">
        <v>1</v>
      </c>
      <c r="Y4721">
        <v>1</v>
      </c>
      <c r="Z4721">
        <v>0</v>
      </c>
      <c r="AA4721">
        <v>0</v>
      </c>
      <c r="AB4721">
        <v>1</v>
      </c>
      <c r="AC4721">
        <v>0</v>
      </c>
      <c r="AD4721">
        <v>1</v>
      </c>
      <c r="AE4721">
        <v>1</v>
      </c>
      <c r="AF4721">
        <v>1</v>
      </c>
      <c r="AG4721">
        <v>1</v>
      </c>
      <c r="AH4721">
        <v>1</v>
      </c>
      <c r="AI4721">
        <v>1</v>
      </c>
      <c r="AJ4721">
        <v>1</v>
      </c>
      <c r="AK4721">
        <v>1</v>
      </c>
      <c r="AL4721">
        <v>1</v>
      </c>
      <c r="AM4721">
        <v>1</v>
      </c>
    </row>
    <row r="4722" spans="1:39" x14ac:dyDescent="0.2">
      <c r="A4722" t="str">
        <f>"4718"</f>
        <v>4718</v>
      </c>
      <c r="B4722" t="str">
        <f t="shared" si="260"/>
        <v>1</v>
      </c>
      <c r="C4722" t="str">
        <f t="shared" si="262"/>
        <v>95</v>
      </c>
      <c r="D4722" t="str">
        <f>"18"</f>
        <v>18</v>
      </c>
      <c r="E4722" t="str">
        <f>"1-95-18"</f>
        <v>1-95-18</v>
      </c>
      <c r="F4722" t="s">
        <v>65</v>
      </c>
      <c r="G4722" t="s">
        <v>66</v>
      </c>
      <c r="H4722" t="s">
        <v>67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</row>
    <row r="4723" spans="1:39" x14ac:dyDescent="0.2">
      <c r="A4723" t="str">
        <f>"4719"</f>
        <v>4719</v>
      </c>
      <c r="B4723" t="str">
        <f t="shared" si="260"/>
        <v>1</v>
      </c>
      <c r="C4723" t="str">
        <f t="shared" si="262"/>
        <v>95</v>
      </c>
      <c r="D4723" t="str">
        <f>"6"</f>
        <v>6</v>
      </c>
      <c r="E4723" t="str">
        <f>"1-95-6"</f>
        <v>1-95-6</v>
      </c>
      <c r="F4723" t="s">
        <v>65</v>
      </c>
      <c r="G4723" t="s">
        <v>66</v>
      </c>
      <c r="H4723" t="s">
        <v>67</v>
      </c>
      <c r="S4723">
        <v>0</v>
      </c>
      <c r="T4723">
        <v>0</v>
      </c>
      <c r="U4723">
        <v>0</v>
      </c>
      <c r="V4723">
        <v>0</v>
      </c>
      <c r="W4723">
        <v>1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</row>
    <row r="4724" spans="1:39" x14ac:dyDescent="0.2">
      <c r="A4724" t="str">
        <f>"4720"</f>
        <v>4720</v>
      </c>
      <c r="B4724" t="str">
        <f t="shared" si="260"/>
        <v>1</v>
      </c>
      <c r="C4724" t="str">
        <f t="shared" si="262"/>
        <v>95</v>
      </c>
      <c r="D4724" t="str">
        <f>"39"</f>
        <v>39</v>
      </c>
      <c r="E4724" t="str">
        <f>"1-95-39"</f>
        <v>1-95-39</v>
      </c>
      <c r="F4724" t="s">
        <v>65</v>
      </c>
      <c r="G4724" t="s">
        <v>66</v>
      </c>
      <c r="H4724" t="s">
        <v>67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1</v>
      </c>
      <c r="AH4724">
        <v>0</v>
      </c>
      <c r="AI4724">
        <v>1</v>
      </c>
      <c r="AJ4724">
        <v>1</v>
      </c>
      <c r="AK4724">
        <v>1</v>
      </c>
      <c r="AL4724">
        <v>1</v>
      </c>
      <c r="AM4724">
        <v>0</v>
      </c>
    </row>
    <row r="4725" spans="1:39" x14ac:dyDescent="0.2">
      <c r="A4725" t="str">
        <f>"4721"</f>
        <v>4721</v>
      </c>
      <c r="B4725" t="str">
        <f t="shared" si="260"/>
        <v>1</v>
      </c>
      <c r="C4725" t="str">
        <f t="shared" si="262"/>
        <v>95</v>
      </c>
      <c r="D4725" t="str">
        <f>"20"</f>
        <v>20</v>
      </c>
      <c r="E4725" t="str">
        <f>"1-95-20"</f>
        <v>1-95-20</v>
      </c>
      <c r="F4725" t="s">
        <v>65</v>
      </c>
      <c r="G4725" t="s">
        <v>66</v>
      </c>
      <c r="H4725" t="s">
        <v>67</v>
      </c>
      <c r="S4725">
        <v>0</v>
      </c>
      <c r="T4725">
        <v>1</v>
      </c>
      <c r="U4725">
        <v>0</v>
      </c>
      <c r="V4725">
        <v>0</v>
      </c>
      <c r="W4725">
        <v>1</v>
      </c>
      <c r="X4725">
        <v>0</v>
      </c>
      <c r="Y4725">
        <v>0</v>
      </c>
      <c r="Z4725">
        <v>1</v>
      </c>
      <c r="AA4725">
        <v>1</v>
      </c>
      <c r="AB4725">
        <v>0</v>
      </c>
      <c r="AC4725">
        <v>0</v>
      </c>
      <c r="AD4725">
        <v>1</v>
      </c>
      <c r="AE4725">
        <v>1</v>
      </c>
      <c r="AF4725">
        <v>1</v>
      </c>
      <c r="AG4725">
        <v>1</v>
      </c>
      <c r="AH4725">
        <v>1</v>
      </c>
      <c r="AI4725">
        <v>1</v>
      </c>
      <c r="AJ4725">
        <v>1</v>
      </c>
      <c r="AK4725">
        <v>1</v>
      </c>
      <c r="AL4725">
        <v>1</v>
      </c>
      <c r="AM4725">
        <v>1</v>
      </c>
    </row>
    <row r="4726" spans="1:39" x14ac:dyDescent="0.2">
      <c r="A4726" t="str">
        <f>"4722"</f>
        <v>4722</v>
      </c>
      <c r="B4726" t="str">
        <f t="shared" si="260"/>
        <v>1</v>
      </c>
      <c r="C4726" t="str">
        <f t="shared" si="262"/>
        <v>95</v>
      </c>
      <c r="D4726" t="str">
        <f>"4"</f>
        <v>4</v>
      </c>
      <c r="E4726" t="str">
        <f>"1-95-4"</f>
        <v>1-95-4</v>
      </c>
      <c r="F4726" t="s">
        <v>65</v>
      </c>
      <c r="G4726" t="s">
        <v>66</v>
      </c>
      <c r="H4726" t="s">
        <v>67</v>
      </c>
      <c r="S4726">
        <v>1</v>
      </c>
      <c r="T4726">
        <v>0</v>
      </c>
      <c r="U4726">
        <v>0</v>
      </c>
      <c r="V4726">
        <v>0</v>
      </c>
      <c r="W4726">
        <v>1</v>
      </c>
      <c r="X4726">
        <v>0</v>
      </c>
      <c r="Y4726">
        <v>1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1</v>
      </c>
      <c r="AH4726">
        <v>1</v>
      </c>
      <c r="AI4726">
        <v>1</v>
      </c>
      <c r="AJ4726">
        <v>1</v>
      </c>
      <c r="AK4726">
        <v>1</v>
      </c>
      <c r="AL4726">
        <v>0</v>
      </c>
      <c r="AM4726">
        <v>0</v>
      </c>
    </row>
    <row r="4727" spans="1:39" x14ac:dyDescent="0.2">
      <c r="A4727" t="str">
        <f>"4723"</f>
        <v>4723</v>
      </c>
      <c r="B4727" t="str">
        <f t="shared" ref="B4727:B4790" si="263">"1"</f>
        <v>1</v>
      </c>
      <c r="C4727" t="str">
        <f t="shared" si="262"/>
        <v>95</v>
      </c>
      <c r="D4727" t="str">
        <f>"42"</f>
        <v>42</v>
      </c>
      <c r="E4727" t="str">
        <f>"1-95-42"</f>
        <v>1-95-42</v>
      </c>
      <c r="F4727" t="s">
        <v>65</v>
      </c>
      <c r="G4727" t="s">
        <v>66</v>
      </c>
      <c r="H4727" t="s">
        <v>67</v>
      </c>
      <c r="S4727">
        <v>0</v>
      </c>
      <c r="T4727">
        <v>1</v>
      </c>
      <c r="U4727">
        <v>0</v>
      </c>
      <c r="V4727">
        <v>0</v>
      </c>
      <c r="W4727">
        <v>1</v>
      </c>
      <c r="X4727">
        <v>0</v>
      </c>
      <c r="Y4727">
        <v>0</v>
      </c>
      <c r="Z4727">
        <v>1</v>
      </c>
      <c r="AA4727">
        <v>0</v>
      </c>
      <c r="AB4727">
        <v>0</v>
      </c>
      <c r="AC4727">
        <v>1</v>
      </c>
      <c r="AD4727">
        <v>1</v>
      </c>
      <c r="AE4727">
        <v>1</v>
      </c>
      <c r="AF4727">
        <v>1</v>
      </c>
      <c r="AG4727">
        <v>1</v>
      </c>
      <c r="AH4727">
        <v>1</v>
      </c>
      <c r="AI4727">
        <v>1</v>
      </c>
      <c r="AJ4727">
        <v>1</v>
      </c>
      <c r="AK4727">
        <v>1</v>
      </c>
      <c r="AL4727">
        <v>1</v>
      </c>
      <c r="AM4727">
        <v>1</v>
      </c>
    </row>
    <row r="4728" spans="1:39" x14ac:dyDescent="0.2">
      <c r="A4728" t="str">
        <f>"4724"</f>
        <v>4724</v>
      </c>
      <c r="B4728" t="str">
        <f t="shared" si="263"/>
        <v>1</v>
      </c>
      <c r="C4728" t="str">
        <f t="shared" si="262"/>
        <v>95</v>
      </c>
      <c r="D4728" t="str">
        <f>"21"</f>
        <v>21</v>
      </c>
      <c r="E4728" t="str">
        <f>"1-95-21"</f>
        <v>1-95-21</v>
      </c>
      <c r="F4728" t="s">
        <v>65</v>
      </c>
      <c r="G4728" t="s">
        <v>66</v>
      </c>
      <c r="H4728" t="s">
        <v>67</v>
      </c>
      <c r="S4728">
        <v>1</v>
      </c>
      <c r="T4728">
        <v>0</v>
      </c>
      <c r="U4728">
        <v>0</v>
      </c>
      <c r="V4728">
        <v>0</v>
      </c>
      <c r="W4728">
        <v>1</v>
      </c>
      <c r="X4728">
        <v>0</v>
      </c>
      <c r="Y4728">
        <v>1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1</v>
      </c>
      <c r="AF4728">
        <v>1</v>
      </c>
      <c r="AG4728">
        <v>1</v>
      </c>
      <c r="AH4728">
        <v>1</v>
      </c>
      <c r="AI4728">
        <v>1</v>
      </c>
      <c r="AJ4728">
        <v>1</v>
      </c>
      <c r="AK4728">
        <v>1</v>
      </c>
      <c r="AL4728">
        <v>1</v>
      </c>
      <c r="AM4728">
        <v>1</v>
      </c>
    </row>
    <row r="4729" spans="1:39" x14ac:dyDescent="0.2">
      <c r="A4729" t="str">
        <f>"4725"</f>
        <v>4725</v>
      </c>
      <c r="B4729" t="str">
        <f t="shared" si="263"/>
        <v>1</v>
      </c>
      <c r="C4729" t="str">
        <f t="shared" si="262"/>
        <v>95</v>
      </c>
      <c r="D4729" t="str">
        <f>"3"</f>
        <v>3</v>
      </c>
      <c r="E4729" t="str">
        <f>"1-95-3"</f>
        <v>1-95-3</v>
      </c>
      <c r="F4729" t="s">
        <v>65</v>
      </c>
      <c r="G4729" t="s">
        <v>66</v>
      </c>
      <c r="H4729" t="s">
        <v>67</v>
      </c>
      <c r="S4729">
        <v>0</v>
      </c>
      <c r="T4729">
        <v>1</v>
      </c>
      <c r="U4729">
        <v>0</v>
      </c>
      <c r="V4729">
        <v>0</v>
      </c>
      <c r="W4729">
        <v>1</v>
      </c>
      <c r="X4729">
        <v>0</v>
      </c>
      <c r="Y4729">
        <v>1</v>
      </c>
      <c r="Z4729">
        <v>0</v>
      </c>
      <c r="AA4729">
        <v>0</v>
      </c>
      <c r="AB4729">
        <v>1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</row>
    <row r="4730" spans="1:39" x14ac:dyDescent="0.2">
      <c r="A4730" t="str">
        <f>"4726"</f>
        <v>4726</v>
      </c>
      <c r="B4730" t="str">
        <f t="shared" si="263"/>
        <v>1</v>
      </c>
      <c r="C4730" t="str">
        <f t="shared" si="262"/>
        <v>95</v>
      </c>
      <c r="D4730" t="str">
        <f>"41"</f>
        <v>41</v>
      </c>
      <c r="E4730" t="str">
        <f>"1-95-41"</f>
        <v>1-95-41</v>
      </c>
      <c r="F4730" t="s">
        <v>65</v>
      </c>
      <c r="G4730" t="s">
        <v>66</v>
      </c>
      <c r="H4730" t="s">
        <v>67</v>
      </c>
      <c r="S4730">
        <v>0</v>
      </c>
      <c r="T4730">
        <v>1</v>
      </c>
      <c r="U4730">
        <v>0</v>
      </c>
      <c r="V4730">
        <v>0</v>
      </c>
      <c r="W4730">
        <v>1</v>
      </c>
      <c r="X4730">
        <v>0</v>
      </c>
      <c r="Y4730">
        <v>0</v>
      </c>
      <c r="Z4730">
        <v>1</v>
      </c>
      <c r="AA4730">
        <v>0</v>
      </c>
      <c r="AB4730">
        <v>0</v>
      </c>
      <c r="AC4730">
        <v>0</v>
      </c>
      <c r="AD4730">
        <v>1</v>
      </c>
      <c r="AE4730">
        <v>1</v>
      </c>
      <c r="AF4730">
        <v>1</v>
      </c>
      <c r="AG4730">
        <v>1</v>
      </c>
      <c r="AH4730">
        <v>1</v>
      </c>
      <c r="AI4730">
        <v>1</v>
      </c>
      <c r="AJ4730">
        <v>1</v>
      </c>
      <c r="AK4730">
        <v>1</v>
      </c>
      <c r="AL4730">
        <v>1</v>
      </c>
      <c r="AM4730">
        <v>0</v>
      </c>
    </row>
    <row r="4731" spans="1:39" x14ac:dyDescent="0.2">
      <c r="A4731" t="str">
        <f>"4727"</f>
        <v>4727</v>
      </c>
      <c r="B4731" t="str">
        <f t="shared" si="263"/>
        <v>1</v>
      </c>
      <c r="C4731" t="str">
        <f t="shared" si="262"/>
        <v>95</v>
      </c>
      <c r="D4731" t="str">
        <f>"22"</f>
        <v>22</v>
      </c>
      <c r="E4731" t="str">
        <f>"1-95-22"</f>
        <v>1-95-22</v>
      </c>
      <c r="F4731" t="s">
        <v>65</v>
      </c>
      <c r="G4731" t="s">
        <v>66</v>
      </c>
      <c r="H4731" t="s">
        <v>67</v>
      </c>
      <c r="S4731">
        <v>1</v>
      </c>
      <c r="T4731">
        <v>0</v>
      </c>
      <c r="U4731">
        <v>0</v>
      </c>
      <c r="V4731">
        <v>0</v>
      </c>
      <c r="W4731">
        <v>1</v>
      </c>
      <c r="X4731">
        <v>0</v>
      </c>
      <c r="Y4731">
        <v>1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1</v>
      </c>
      <c r="AH4731">
        <v>1</v>
      </c>
      <c r="AI4731">
        <v>0</v>
      </c>
      <c r="AJ4731">
        <v>1</v>
      </c>
      <c r="AK4731">
        <v>1</v>
      </c>
      <c r="AL4731">
        <v>0</v>
      </c>
      <c r="AM4731">
        <v>0</v>
      </c>
    </row>
    <row r="4732" spans="1:39" x14ac:dyDescent="0.2">
      <c r="A4732" t="str">
        <f>"4728"</f>
        <v>4728</v>
      </c>
      <c r="B4732" t="str">
        <f t="shared" si="263"/>
        <v>1</v>
      </c>
      <c r="C4732" t="str">
        <f t="shared" si="262"/>
        <v>95</v>
      </c>
      <c r="D4732" t="str">
        <f>"12"</f>
        <v>12</v>
      </c>
      <c r="E4732" t="str">
        <f>"1-95-12"</f>
        <v>1-95-12</v>
      </c>
      <c r="F4732" t="s">
        <v>65</v>
      </c>
      <c r="G4732" t="s">
        <v>66</v>
      </c>
      <c r="H4732" t="s">
        <v>67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1</v>
      </c>
      <c r="Y4732">
        <v>1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1</v>
      </c>
      <c r="AF4732">
        <v>1</v>
      </c>
      <c r="AG4732">
        <v>1</v>
      </c>
      <c r="AH4732">
        <v>1</v>
      </c>
      <c r="AI4732">
        <v>1</v>
      </c>
      <c r="AJ4732">
        <v>1</v>
      </c>
      <c r="AK4732">
        <v>1</v>
      </c>
      <c r="AL4732">
        <v>1</v>
      </c>
      <c r="AM4732">
        <v>1</v>
      </c>
    </row>
    <row r="4733" spans="1:39" x14ac:dyDescent="0.2">
      <c r="A4733" t="str">
        <f>"4729"</f>
        <v>4729</v>
      </c>
      <c r="B4733" t="str">
        <f t="shared" si="263"/>
        <v>1</v>
      </c>
      <c r="C4733" t="str">
        <f t="shared" si="262"/>
        <v>95</v>
      </c>
      <c r="D4733" t="str">
        <f>"40"</f>
        <v>40</v>
      </c>
      <c r="E4733" t="str">
        <f>"1-95-40"</f>
        <v>1-95-40</v>
      </c>
      <c r="F4733" t="s">
        <v>65</v>
      </c>
      <c r="G4733" t="s">
        <v>66</v>
      </c>
      <c r="H4733" t="s">
        <v>67</v>
      </c>
      <c r="S4733">
        <v>1</v>
      </c>
      <c r="T4733">
        <v>0</v>
      </c>
      <c r="U4733">
        <v>0</v>
      </c>
      <c r="V4733">
        <v>0</v>
      </c>
      <c r="W4733">
        <v>1</v>
      </c>
      <c r="X4733">
        <v>0</v>
      </c>
      <c r="Y4733">
        <v>1</v>
      </c>
      <c r="Z4733">
        <v>0</v>
      </c>
      <c r="AA4733">
        <v>0</v>
      </c>
      <c r="AB4733">
        <v>1</v>
      </c>
      <c r="AC4733">
        <v>0</v>
      </c>
      <c r="AD4733">
        <v>1</v>
      </c>
      <c r="AE4733">
        <v>1</v>
      </c>
      <c r="AF4733">
        <v>1</v>
      </c>
      <c r="AG4733">
        <v>1</v>
      </c>
      <c r="AH4733">
        <v>1</v>
      </c>
      <c r="AI4733">
        <v>1</v>
      </c>
      <c r="AJ4733">
        <v>1</v>
      </c>
      <c r="AK4733">
        <v>1</v>
      </c>
      <c r="AL4733">
        <v>1</v>
      </c>
      <c r="AM4733">
        <v>1</v>
      </c>
    </row>
    <row r="4734" spans="1:39" x14ac:dyDescent="0.2">
      <c r="A4734" t="str">
        <f>"4730"</f>
        <v>4730</v>
      </c>
      <c r="B4734" t="str">
        <f t="shared" si="263"/>
        <v>1</v>
      </c>
      <c r="C4734" t="str">
        <f t="shared" si="262"/>
        <v>95</v>
      </c>
      <c r="D4734" t="str">
        <f>"23"</f>
        <v>23</v>
      </c>
      <c r="E4734" t="str">
        <f>"1-95-23"</f>
        <v>1-95-23</v>
      </c>
      <c r="F4734" t="s">
        <v>65</v>
      </c>
      <c r="G4734" t="s">
        <v>66</v>
      </c>
      <c r="H4734" t="s">
        <v>67</v>
      </c>
      <c r="S4734">
        <v>0</v>
      </c>
      <c r="T4734">
        <v>1</v>
      </c>
      <c r="U4734">
        <v>0</v>
      </c>
      <c r="V4734">
        <v>0</v>
      </c>
      <c r="W4734">
        <v>1</v>
      </c>
      <c r="X4734">
        <v>0</v>
      </c>
      <c r="Y4734">
        <v>1</v>
      </c>
      <c r="Z4734">
        <v>0</v>
      </c>
      <c r="AA4734">
        <v>0</v>
      </c>
      <c r="AB4734">
        <v>0</v>
      </c>
      <c r="AC4734">
        <v>1</v>
      </c>
      <c r="AD4734">
        <v>1</v>
      </c>
      <c r="AE4734">
        <v>1</v>
      </c>
      <c r="AF4734">
        <v>1</v>
      </c>
      <c r="AG4734">
        <v>1</v>
      </c>
      <c r="AH4734">
        <v>1</v>
      </c>
      <c r="AI4734">
        <v>1</v>
      </c>
      <c r="AJ4734">
        <v>1</v>
      </c>
      <c r="AK4734">
        <v>1</v>
      </c>
      <c r="AL4734">
        <v>1</v>
      </c>
      <c r="AM4734">
        <v>1</v>
      </c>
    </row>
    <row r="4735" spans="1:39" x14ac:dyDescent="0.2">
      <c r="A4735" t="str">
        <f>"4731"</f>
        <v>4731</v>
      </c>
      <c r="B4735" t="str">
        <f t="shared" si="263"/>
        <v>1</v>
      </c>
      <c r="C4735" t="str">
        <f t="shared" si="262"/>
        <v>95</v>
      </c>
      <c r="D4735" t="str">
        <f>"5"</f>
        <v>5</v>
      </c>
      <c r="E4735" t="str">
        <f>"1-95-5"</f>
        <v>1-95-5</v>
      </c>
      <c r="F4735" t="s">
        <v>65</v>
      </c>
      <c r="G4735" t="s">
        <v>66</v>
      </c>
      <c r="H4735" t="s">
        <v>67</v>
      </c>
      <c r="S4735">
        <v>0</v>
      </c>
      <c r="T4735">
        <v>1</v>
      </c>
      <c r="U4735">
        <v>0</v>
      </c>
      <c r="V4735">
        <v>0</v>
      </c>
      <c r="W4735">
        <v>1</v>
      </c>
      <c r="X4735">
        <v>0</v>
      </c>
      <c r="Y4735">
        <v>1</v>
      </c>
      <c r="Z4735">
        <v>0</v>
      </c>
      <c r="AA4735">
        <v>0</v>
      </c>
      <c r="AB4735">
        <v>1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</row>
    <row r="4736" spans="1:39" x14ac:dyDescent="0.2">
      <c r="A4736" t="str">
        <f>"4732"</f>
        <v>4732</v>
      </c>
      <c r="B4736" t="str">
        <f t="shared" si="263"/>
        <v>1</v>
      </c>
      <c r="C4736" t="str">
        <f t="shared" si="262"/>
        <v>95</v>
      </c>
      <c r="D4736" t="str">
        <f>"24"</f>
        <v>24</v>
      </c>
      <c r="E4736" t="str">
        <f>"1-95-24"</f>
        <v>1-95-24</v>
      </c>
      <c r="F4736" t="s">
        <v>65</v>
      </c>
      <c r="G4736" t="s">
        <v>66</v>
      </c>
      <c r="H4736" t="s">
        <v>67</v>
      </c>
      <c r="S4736">
        <v>1</v>
      </c>
      <c r="T4736">
        <v>0</v>
      </c>
      <c r="U4736">
        <v>0</v>
      </c>
      <c r="V4736">
        <v>0</v>
      </c>
      <c r="W4736">
        <v>1</v>
      </c>
      <c r="X4736">
        <v>0</v>
      </c>
      <c r="Y4736">
        <v>1</v>
      </c>
      <c r="Z4736">
        <v>0</v>
      </c>
      <c r="AA4736">
        <v>0</v>
      </c>
      <c r="AB4736">
        <v>1</v>
      </c>
      <c r="AC4736">
        <v>0</v>
      </c>
      <c r="AD4736">
        <v>1</v>
      </c>
      <c r="AE4736">
        <v>1</v>
      </c>
      <c r="AF4736">
        <v>1</v>
      </c>
      <c r="AG4736">
        <v>1</v>
      </c>
      <c r="AH4736">
        <v>1</v>
      </c>
      <c r="AI4736">
        <v>1</v>
      </c>
      <c r="AJ4736">
        <v>1</v>
      </c>
      <c r="AK4736">
        <v>1</v>
      </c>
      <c r="AL4736">
        <v>1</v>
      </c>
      <c r="AM4736">
        <v>1</v>
      </c>
    </row>
    <row r="4737" spans="1:39" x14ac:dyDescent="0.2">
      <c r="A4737" t="str">
        <f>"4733"</f>
        <v>4733</v>
      </c>
      <c r="B4737" t="str">
        <f t="shared" si="263"/>
        <v>1</v>
      </c>
      <c r="C4737" t="str">
        <f t="shared" ref="C4737:C4754" si="264">"95"</f>
        <v>95</v>
      </c>
      <c r="D4737" t="str">
        <f>"10"</f>
        <v>10</v>
      </c>
      <c r="E4737" t="str">
        <f>"1-95-10"</f>
        <v>1-95-10</v>
      </c>
      <c r="F4737" t="s">
        <v>65</v>
      </c>
      <c r="G4737" t="s">
        <v>66</v>
      </c>
      <c r="H4737" t="s">
        <v>67</v>
      </c>
      <c r="S4737">
        <v>1</v>
      </c>
      <c r="T4737">
        <v>0</v>
      </c>
      <c r="U4737">
        <v>0</v>
      </c>
      <c r="V4737">
        <v>0</v>
      </c>
      <c r="W4737">
        <v>0</v>
      </c>
      <c r="X4737">
        <v>1</v>
      </c>
      <c r="Y4737">
        <v>0</v>
      </c>
      <c r="Z4737">
        <v>1</v>
      </c>
      <c r="AA4737">
        <v>0</v>
      </c>
      <c r="AB4737">
        <v>0</v>
      </c>
      <c r="AC4737">
        <v>1</v>
      </c>
      <c r="AD4737">
        <v>1</v>
      </c>
      <c r="AE4737">
        <v>1</v>
      </c>
      <c r="AF4737">
        <v>1</v>
      </c>
      <c r="AG4737">
        <v>1</v>
      </c>
      <c r="AH4737">
        <v>1</v>
      </c>
      <c r="AI4737">
        <v>1</v>
      </c>
      <c r="AJ4737">
        <v>1</v>
      </c>
      <c r="AK4737">
        <v>1</v>
      </c>
      <c r="AL4737">
        <v>1</v>
      </c>
      <c r="AM4737">
        <v>1</v>
      </c>
    </row>
    <row r="4738" spans="1:39" x14ac:dyDescent="0.2">
      <c r="A4738" t="str">
        <f>"4734"</f>
        <v>4734</v>
      </c>
      <c r="B4738" t="str">
        <f t="shared" si="263"/>
        <v>1</v>
      </c>
      <c r="C4738" t="str">
        <f t="shared" si="264"/>
        <v>95</v>
      </c>
      <c r="D4738" t="str">
        <f>"25"</f>
        <v>25</v>
      </c>
      <c r="E4738" t="str">
        <f>"1-95-25"</f>
        <v>1-95-25</v>
      </c>
      <c r="F4738" t="s">
        <v>65</v>
      </c>
      <c r="G4738" t="s">
        <v>66</v>
      </c>
      <c r="H4738" t="s">
        <v>67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</row>
    <row r="4739" spans="1:39" x14ac:dyDescent="0.2">
      <c r="A4739" t="str">
        <f>"4735"</f>
        <v>4735</v>
      </c>
      <c r="B4739" t="str">
        <f t="shared" si="263"/>
        <v>1</v>
      </c>
      <c r="C4739" t="str">
        <f t="shared" si="264"/>
        <v>95</v>
      </c>
      <c r="D4739" t="str">
        <f>"8"</f>
        <v>8</v>
      </c>
      <c r="E4739" t="str">
        <f>"1-95-8"</f>
        <v>1-95-8</v>
      </c>
      <c r="F4739" t="s">
        <v>65</v>
      </c>
      <c r="G4739" t="s">
        <v>66</v>
      </c>
      <c r="H4739" t="s">
        <v>67</v>
      </c>
      <c r="S4739">
        <v>0</v>
      </c>
      <c r="T4739">
        <v>1</v>
      </c>
      <c r="U4739">
        <v>0</v>
      </c>
      <c r="V4739">
        <v>0</v>
      </c>
      <c r="W4739">
        <v>1</v>
      </c>
      <c r="X4739">
        <v>0</v>
      </c>
      <c r="Y4739">
        <v>0</v>
      </c>
      <c r="Z4739">
        <v>1</v>
      </c>
      <c r="AA4739">
        <v>0</v>
      </c>
      <c r="AB4739">
        <v>0</v>
      </c>
      <c r="AC4739">
        <v>1</v>
      </c>
      <c r="AD4739">
        <v>1</v>
      </c>
      <c r="AE4739">
        <v>1</v>
      </c>
      <c r="AF4739">
        <v>1</v>
      </c>
      <c r="AG4739">
        <v>1</v>
      </c>
      <c r="AH4739">
        <v>1</v>
      </c>
      <c r="AI4739">
        <v>1</v>
      </c>
      <c r="AJ4739">
        <v>1</v>
      </c>
      <c r="AK4739">
        <v>1</v>
      </c>
      <c r="AL4739">
        <v>1</v>
      </c>
      <c r="AM4739">
        <v>1</v>
      </c>
    </row>
    <row r="4740" spans="1:39" x14ac:dyDescent="0.2">
      <c r="A4740" t="str">
        <f>"4736"</f>
        <v>4736</v>
      </c>
      <c r="B4740" t="str">
        <f t="shared" si="263"/>
        <v>1</v>
      </c>
      <c r="C4740" t="str">
        <f t="shared" si="264"/>
        <v>95</v>
      </c>
      <c r="D4740" t="str">
        <f>"43"</f>
        <v>43</v>
      </c>
      <c r="E4740" t="str">
        <f>"1-95-43"</f>
        <v>1-95-43</v>
      </c>
      <c r="F4740" t="s">
        <v>65</v>
      </c>
      <c r="G4740" t="s">
        <v>66</v>
      </c>
      <c r="H4740" t="s">
        <v>67</v>
      </c>
      <c r="S4740">
        <v>1</v>
      </c>
      <c r="T4740">
        <v>0</v>
      </c>
      <c r="U4740">
        <v>0</v>
      </c>
      <c r="V4740">
        <v>0</v>
      </c>
      <c r="W4740">
        <v>0</v>
      </c>
      <c r="X4740">
        <v>1</v>
      </c>
      <c r="Y4740">
        <v>1</v>
      </c>
      <c r="Z4740">
        <v>0</v>
      </c>
      <c r="AA4740">
        <v>0</v>
      </c>
      <c r="AB4740">
        <v>1</v>
      </c>
      <c r="AC4740">
        <v>0</v>
      </c>
      <c r="AD4740">
        <v>1</v>
      </c>
      <c r="AE4740">
        <v>1</v>
      </c>
      <c r="AF4740">
        <v>1</v>
      </c>
      <c r="AG4740">
        <v>1</v>
      </c>
      <c r="AH4740">
        <v>1</v>
      </c>
      <c r="AI4740">
        <v>1</v>
      </c>
      <c r="AJ4740">
        <v>1</v>
      </c>
      <c r="AK4740">
        <v>1</v>
      </c>
      <c r="AL4740">
        <v>1</v>
      </c>
      <c r="AM4740">
        <v>1</v>
      </c>
    </row>
    <row r="4741" spans="1:39" x14ac:dyDescent="0.2">
      <c r="A4741" t="str">
        <f>"4737"</f>
        <v>4737</v>
      </c>
      <c r="B4741" t="str">
        <f t="shared" si="263"/>
        <v>1</v>
      </c>
      <c r="C4741" t="str">
        <f t="shared" si="264"/>
        <v>95</v>
      </c>
      <c r="D4741" t="str">
        <f>"29"</f>
        <v>29</v>
      </c>
      <c r="E4741" t="str">
        <f>"1-95-29"</f>
        <v>1-95-29</v>
      </c>
      <c r="F4741" t="s">
        <v>65</v>
      </c>
      <c r="G4741" t="s">
        <v>66</v>
      </c>
      <c r="H4741" t="s">
        <v>67</v>
      </c>
      <c r="S4741">
        <v>1</v>
      </c>
      <c r="T4741">
        <v>0</v>
      </c>
      <c r="U4741">
        <v>0</v>
      </c>
      <c r="V4741">
        <v>0</v>
      </c>
      <c r="W4741">
        <v>1</v>
      </c>
      <c r="X4741">
        <v>0</v>
      </c>
      <c r="Y4741">
        <v>1</v>
      </c>
      <c r="Z4741">
        <v>0</v>
      </c>
      <c r="AA4741">
        <v>0</v>
      </c>
      <c r="AB4741">
        <v>1</v>
      </c>
      <c r="AC4741">
        <v>0</v>
      </c>
      <c r="AD4741">
        <v>1</v>
      </c>
      <c r="AE4741">
        <v>1</v>
      </c>
      <c r="AF4741">
        <v>1</v>
      </c>
      <c r="AG4741">
        <v>1</v>
      </c>
      <c r="AH4741">
        <v>1</v>
      </c>
      <c r="AI4741">
        <v>1</v>
      </c>
      <c r="AJ4741">
        <v>1</v>
      </c>
      <c r="AK4741">
        <v>1</v>
      </c>
      <c r="AL4741">
        <v>1</v>
      </c>
      <c r="AM4741">
        <v>1</v>
      </c>
    </row>
    <row r="4742" spans="1:39" x14ac:dyDescent="0.2">
      <c r="A4742" t="str">
        <f>"4738"</f>
        <v>4738</v>
      </c>
      <c r="B4742" t="str">
        <f t="shared" si="263"/>
        <v>1</v>
      </c>
      <c r="C4742" t="str">
        <f t="shared" si="264"/>
        <v>95</v>
      </c>
      <c r="D4742" t="str">
        <f>"14"</f>
        <v>14</v>
      </c>
      <c r="E4742" t="str">
        <f>"1-95-14"</f>
        <v>1-95-14</v>
      </c>
      <c r="F4742" t="s">
        <v>65</v>
      </c>
      <c r="G4742" t="s">
        <v>66</v>
      </c>
      <c r="H4742" t="s">
        <v>67</v>
      </c>
      <c r="S4742">
        <v>1</v>
      </c>
      <c r="T4742">
        <v>0</v>
      </c>
      <c r="U4742">
        <v>0</v>
      </c>
      <c r="V4742">
        <v>0</v>
      </c>
      <c r="W4742">
        <v>1</v>
      </c>
      <c r="X4742">
        <v>0</v>
      </c>
      <c r="Y4742">
        <v>1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1</v>
      </c>
      <c r="AF4742">
        <v>1</v>
      </c>
      <c r="AG4742">
        <v>1</v>
      </c>
      <c r="AH4742">
        <v>1</v>
      </c>
      <c r="AI4742">
        <v>1</v>
      </c>
      <c r="AJ4742">
        <v>1</v>
      </c>
      <c r="AK4742">
        <v>1</v>
      </c>
      <c r="AL4742">
        <v>1</v>
      </c>
      <c r="AM4742">
        <v>1</v>
      </c>
    </row>
    <row r="4743" spans="1:39" x14ac:dyDescent="0.2">
      <c r="A4743" t="str">
        <f>"4739"</f>
        <v>4739</v>
      </c>
      <c r="B4743" t="str">
        <f t="shared" si="263"/>
        <v>1</v>
      </c>
      <c r="C4743" t="str">
        <f t="shared" si="264"/>
        <v>95</v>
      </c>
      <c r="D4743" t="str">
        <f>"47"</f>
        <v>47</v>
      </c>
      <c r="E4743" t="str">
        <f>"1-95-47"</f>
        <v>1-95-47</v>
      </c>
      <c r="F4743" t="s">
        <v>65</v>
      </c>
      <c r="G4743" t="s">
        <v>66</v>
      </c>
      <c r="H4743" t="s">
        <v>67</v>
      </c>
      <c r="S4743">
        <v>0</v>
      </c>
      <c r="T4743">
        <v>1</v>
      </c>
      <c r="U4743">
        <v>0</v>
      </c>
      <c r="V4743">
        <v>0</v>
      </c>
      <c r="W4743">
        <v>1</v>
      </c>
      <c r="X4743">
        <v>0</v>
      </c>
      <c r="Y4743">
        <v>1</v>
      </c>
      <c r="Z4743">
        <v>0</v>
      </c>
      <c r="AA4743">
        <v>0</v>
      </c>
      <c r="AB4743">
        <v>1</v>
      </c>
      <c r="AC4743">
        <v>0</v>
      </c>
      <c r="AD4743">
        <v>1</v>
      </c>
      <c r="AE4743">
        <v>1</v>
      </c>
      <c r="AF4743">
        <v>1</v>
      </c>
      <c r="AG4743">
        <v>1</v>
      </c>
      <c r="AH4743">
        <v>1</v>
      </c>
      <c r="AI4743">
        <v>1</v>
      </c>
      <c r="AJ4743">
        <v>1</v>
      </c>
      <c r="AK4743">
        <v>1</v>
      </c>
      <c r="AL4743">
        <v>1</v>
      </c>
      <c r="AM4743">
        <v>1</v>
      </c>
    </row>
    <row r="4744" spans="1:39" x14ac:dyDescent="0.2">
      <c r="A4744" t="str">
        <f>"4740"</f>
        <v>4740</v>
      </c>
      <c r="B4744" t="str">
        <f t="shared" si="263"/>
        <v>1</v>
      </c>
      <c r="C4744" t="str">
        <f t="shared" si="264"/>
        <v>95</v>
      </c>
      <c r="D4744" t="str">
        <f>"30"</f>
        <v>30</v>
      </c>
      <c r="E4744" t="str">
        <f>"1-95-30"</f>
        <v>1-95-30</v>
      </c>
      <c r="F4744" t="s">
        <v>65</v>
      </c>
      <c r="G4744" t="s">
        <v>66</v>
      </c>
      <c r="H4744" t="s">
        <v>67</v>
      </c>
      <c r="S4744">
        <v>0</v>
      </c>
      <c r="T4744">
        <v>1</v>
      </c>
      <c r="U4744">
        <v>0</v>
      </c>
      <c r="V4744">
        <v>0</v>
      </c>
      <c r="W4744">
        <v>1</v>
      </c>
      <c r="X4744">
        <v>0</v>
      </c>
      <c r="Y4744">
        <v>1</v>
      </c>
      <c r="Z4744">
        <v>0</v>
      </c>
      <c r="AA4744">
        <v>0</v>
      </c>
      <c r="AB4744">
        <v>1</v>
      </c>
      <c r="AC4744">
        <v>0</v>
      </c>
      <c r="AD4744">
        <v>0</v>
      </c>
      <c r="AE4744">
        <v>1</v>
      </c>
      <c r="AF4744">
        <v>0</v>
      </c>
      <c r="AG4744">
        <v>1</v>
      </c>
      <c r="AH4744">
        <v>0</v>
      </c>
      <c r="AI4744">
        <v>0</v>
      </c>
      <c r="AJ4744">
        <v>0</v>
      </c>
      <c r="AK4744">
        <v>0</v>
      </c>
      <c r="AL4744">
        <v>1</v>
      </c>
      <c r="AM4744">
        <v>1</v>
      </c>
    </row>
    <row r="4745" spans="1:39" x14ac:dyDescent="0.2">
      <c r="A4745" t="str">
        <f>"4741"</f>
        <v>4741</v>
      </c>
      <c r="B4745" t="str">
        <f t="shared" si="263"/>
        <v>1</v>
      </c>
      <c r="C4745" t="str">
        <f t="shared" si="264"/>
        <v>95</v>
      </c>
      <c r="D4745" t="str">
        <f>"11"</f>
        <v>11</v>
      </c>
      <c r="E4745" t="str">
        <f>"1-95-11"</f>
        <v>1-95-11</v>
      </c>
      <c r="F4745" t="s">
        <v>65</v>
      </c>
      <c r="G4745" t="s">
        <v>66</v>
      </c>
      <c r="H4745" t="s">
        <v>67</v>
      </c>
      <c r="S4745">
        <v>1</v>
      </c>
      <c r="T4745">
        <v>0</v>
      </c>
      <c r="U4745">
        <v>0</v>
      </c>
      <c r="V4745">
        <v>0</v>
      </c>
      <c r="W4745">
        <v>0</v>
      </c>
      <c r="X4745">
        <v>1</v>
      </c>
      <c r="Y4745">
        <v>0</v>
      </c>
      <c r="Z4745">
        <v>1</v>
      </c>
      <c r="AA4745">
        <v>0</v>
      </c>
      <c r="AB4745">
        <v>0</v>
      </c>
      <c r="AC4745">
        <v>1</v>
      </c>
      <c r="AD4745">
        <v>1</v>
      </c>
      <c r="AE4745">
        <v>1</v>
      </c>
      <c r="AF4745">
        <v>1</v>
      </c>
      <c r="AG4745">
        <v>1</v>
      </c>
      <c r="AH4745">
        <v>1</v>
      </c>
      <c r="AI4745">
        <v>1</v>
      </c>
      <c r="AJ4745">
        <v>1</v>
      </c>
      <c r="AK4745">
        <v>1</v>
      </c>
      <c r="AL4745">
        <v>1</v>
      </c>
      <c r="AM4745">
        <v>1</v>
      </c>
    </row>
    <row r="4746" spans="1:39" x14ac:dyDescent="0.2">
      <c r="A4746" t="str">
        <f>"4742"</f>
        <v>4742</v>
      </c>
      <c r="B4746" t="str">
        <f t="shared" si="263"/>
        <v>1</v>
      </c>
      <c r="C4746" t="str">
        <f t="shared" si="264"/>
        <v>95</v>
      </c>
      <c r="D4746" t="str">
        <f>"48"</f>
        <v>48</v>
      </c>
      <c r="E4746" t="str">
        <f>"1-95-48"</f>
        <v>1-95-48</v>
      </c>
      <c r="F4746" t="s">
        <v>65</v>
      </c>
      <c r="G4746" t="s">
        <v>66</v>
      </c>
      <c r="H4746" t="s">
        <v>67</v>
      </c>
      <c r="S4746">
        <v>1</v>
      </c>
      <c r="T4746">
        <v>0</v>
      </c>
      <c r="U4746">
        <v>0</v>
      </c>
      <c r="V4746">
        <v>0</v>
      </c>
      <c r="W4746">
        <v>1</v>
      </c>
      <c r="X4746">
        <v>0</v>
      </c>
      <c r="Y4746">
        <v>1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1</v>
      </c>
      <c r="AF4746">
        <v>1</v>
      </c>
      <c r="AG4746">
        <v>1</v>
      </c>
      <c r="AH4746">
        <v>1</v>
      </c>
      <c r="AI4746">
        <v>1</v>
      </c>
      <c r="AJ4746">
        <v>1</v>
      </c>
      <c r="AK4746">
        <v>1</v>
      </c>
      <c r="AL4746">
        <v>1</v>
      </c>
      <c r="AM4746">
        <v>1</v>
      </c>
    </row>
    <row r="4747" spans="1:39" x14ac:dyDescent="0.2">
      <c r="A4747" t="str">
        <f>"4743"</f>
        <v>4743</v>
      </c>
      <c r="B4747" t="str">
        <f t="shared" si="263"/>
        <v>1</v>
      </c>
      <c r="C4747" t="str">
        <f t="shared" si="264"/>
        <v>95</v>
      </c>
      <c r="D4747" t="str">
        <f>"31"</f>
        <v>31</v>
      </c>
      <c r="E4747" t="str">
        <f>"1-95-31"</f>
        <v>1-95-31</v>
      </c>
      <c r="F4747" t="s">
        <v>65</v>
      </c>
      <c r="G4747" t="s">
        <v>66</v>
      </c>
      <c r="H4747" t="s">
        <v>67</v>
      </c>
      <c r="S4747">
        <v>1</v>
      </c>
      <c r="T4747">
        <v>0</v>
      </c>
      <c r="U4747">
        <v>0</v>
      </c>
      <c r="V4747">
        <v>0</v>
      </c>
      <c r="W4747">
        <v>1</v>
      </c>
      <c r="X4747">
        <v>0</v>
      </c>
      <c r="Y4747">
        <v>0</v>
      </c>
      <c r="Z4747">
        <v>1</v>
      </c>
      <c r="AA4747">
        <v>0</v>
      </c>
      <c r="AB4747">
        <v>1</v>
      </c>
      <c r="AC4747">
        <v>0</v>
      </c>
      <c r="AD4747">
        <v>1</v>
      </c>
      <c r="AE4747">
        <v>1</v>
      </c>
      <c r="AF4747">
        <v>1</v>
      </c>
      <c r="AG4747">
        <v>1</v>
      </c>
      <c r="AH4747">
        <v>1</v>
      </c>
      <c r="AI4747">
        <v>1</v>
      </c>
      <c r="AJ4747">
        <v>1</v>
      </c>
      <c r="AK4747">
        <v>1</v>
      </c>
      <c r="AL4747">
        <v>1</v>
      </c>
      <c r="AM4747">
        <v>1</v>
      </c>
    </row>
    <row r="4748" spans="1:39" x14ac:dyDescent="0.2">
      <c r="A4748" t="str">
        <f>"4744"</f>
        <v>4744</v>
      </c>
      <c r="B4748" t="str">
        <f t="shared" si="263"/>
        <v>1</v>
      </c>
      <c r="C4748" t="str">
        <f t="shared" si="264"/>
        <v>95</v>
      </c>
      <c r="D4748" t="str">
        <f>"13"</f>
        <v>13</v>
      </c>
      <c r="E4748" t="str">
        <f>"1-95-13"</f>
        <v>1-95-13</v>
      </c>
      <c r="F4748" t="s">
        <v>65</v>
      </c>
      <c r="G4748" t="s">
        <v>66</v>
      </c>
      <c r="H4748" t="s">
        <v>67</v>
      </c>
      <c r="S4748">
        <v>1</v>
      </c>
      <c r="T4748">
        <v>0</v>
      </c>
      <c r="U4748">
        <v>0</v>
      </c>
      <c r="V4748">
        <v>0</v>
      </c>
      <c r="W4748">
        <v>0</v>
      </c>
      <c r="X4748">
        <v>1</v>
      </c>
      <c r="Y4748">
        <v>0</v>
      </c>
      <c r="Z4748">
        <v>1</v>
      </c>
      <c r="AA4748">
        <v>0</v>
      </c>
      <c r="AB4748">
        <v>0</v>
      </c>
      <c r="AC4748">
        <v>1</v>
      </c>
      <c r="AD4748">
        <v>1</v>
      </c>
      <c r="AE4748">
        <v>1</v>
      </c>
      <c r="AF4748">
        <v>1</v>
      </c>
      <c r="AG4748">
        <v>1</v>
      </c>
      <c r="AH4748">
        <v>1</v>
      </c>
      <c r="AI4748">
        <v>1</v>
      </c>
      <c r="AJ4748">
        <v>1</v>
      </c>
      <c r="AK4748">
        <v>1</v>
      </c>
      <c r="AL4748">
        <v>1</v>
      </c>
      <c r="AM4748">
        <v>1</v>
      </c>
    </row>
    <row r="4749" spans="1:39" x14ac:dyDescent="0.2">
      <c r="A4749" t="str">
        <f>"4745"</f>
        <v>4745</v>
      </c>
      <c r="B4749" t="str">
        <f t="shared" si="263"/>
        <v>1</v>
      </c>
      <c r="C4749" t="str">
        <f t="shared" si="264"/>
        <v>95</v>
      </c>
      <c r="D4749" t="str">
        <f>"46"</f>
        <v>46</v>
      </c>
      <c r="E4749" t="str">
        <f>"1-95-46"</f>
        <v>1-95-46</v>
      </c>
      <c r="F4749" t="s">
        <v>65</v>
      </c>
      <c r="G4749" t="s">
        <v>66</v>
      </c>
      <c r="H4749" t="s">
        <v>67</v>
      </c>
      <c r="S4749">
        <v>1</v>
      </c>
      <c r="T4749">
        <v>0</v>
      </c>
      <c r="U4749">
        <v>0</v>
      </c>
      <c r="V4749">
        <v>0</v>
      </c>
      <c r="W4749">
        <v>0</v>
      </c>
      <c r="X4749">
        <v>1</v>
      </c>
      <c r="Y4749">
        <v>1</v>
      </c>
      <c r="Z4749">
        <v>0</v>
      </c>
      <c r="AA4749">
        <v>0</v>
      </c>
      <c r="AB4749">
        <v>1</v>
      </c>
      <c r="AC4749">
        <v>0</v>
      </c>
      <c r="AD4749">
        <v>1</v>
      </c>
      <c r="AE4749">
        <v>1</v>
      </c>
      <c r="AF4749">
        <v>1</v>
      </c>
      <c r="AG4749">
        <v>1</v>
      </c>
      <c r="AH4749">
        <v>1</v>
      </c>
      <c r="AI4749">
        <v>1</v>
      </c>
      <c r="AJ4749">
        <v>1</v>
      </c>
      <c r="AK4749">
        <v>1</v>
      </c>
      <c r="AL4749">
        <v>1</v>
      </c>
      <c r="AM4749">
        <v>1</v>
      </c>
    </row>
    <row r="4750" spans="1:39" x14ac:dyDescent="0.2">
      <c r="A4750" t="str">
        <f>"4746"</f>
        <v>4746</v>
      </c>
      <c r="B4750" t="str">
        <f t="shared" si="263"/>
        <v>1</v>
      </c>
      <c r="C4750" t="str">
        <f t="shared" si="264"/>
        <v>95</v>
      </c>
      <c r="D4750" t="str">
        <f>"32"</f>
        <v>32</v>
      </c>
      <c r="E4750" t="str">
        <f>"1-95-32"</f>
        <v>1-95-32</v>
      </c>
      <c r="F4750" t="s">
        <v>65</v>
      </c>
      <c r="G4750" t="s">
        <v>66</v>
      </c>
      <c r="H4750" t="s">
        <v>67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1</v>
      </c>
      <c r="AI4750">
        <v>1</v>
      </c>
      <c r="AJ4750">
        <v>1</v>
      </c>
      <c r="AK4750">
        <v>1</v>
      </c>
      <c r="AL4750">
        <v>1</v>
      </c>
      <c r="AM4750">
        <v>0</v>
      </c>
    </row>
    <row r="4751" spans="1:39" x14ac:dyDescent="0.2">
      <c r="A4751" t="str">
        <f>"4747"</f>
        <v>4747</v>
      </c>
      <c r="B4751" t="str">
        <f t="shared" si="263"/>
        <v>1</v>
      </c>
      <c r="C4751" t="str">
        <f t="shared" si="264"/>
        <v>95</v>
      </c>
      <c r="D4751" t="str">
        <f>"9"</f>
        <v>9</v>
      </c>
      <c r="E4751" t="str">
        <f>"1-95-9"</f>
        <v>1-95-9</v>
      </c>
      <c r="F4751" t="s">
        <v>65</v>
      </c>
      <c r="G4751" t="s">
        <v>66</v>
      </c>
      <c r="H4751" t="s">
        <v>67</v>
      </c>
      <c r="S4751">
        <v>1</v>
      </c>
      <c r="T4751">
        <v>0</v>
      </c>
      <c r="U4751">
        <v>0</v>
      </c>
      <c r="V4751">
        <v>0</v>
      </c>
      <c r="W4751">
        <v>1</v>
      </c>
      <c r="X4751">
        <v>0</v>
      </c>
      <c r="Y4751">
        <v>1</v>
      </c>
      <c r="Z4751">
        <v>0</v>
      </c>
      <c r="AA4751">
        <v>0</v>
      </c>
      <c r="AB4751">
        <v>1</v>
      </c>
      <c r="AC4751">
        <v>0</v>
      </c>
      <c r="AD4751">
        <v>1</v>
      </c>
      <c r="AE4751">
        <v>1</v>
      </c>
      <c r="AF4751">
        <v>1</v>
      </c>
      <c r="AG4751">
        <v>1</v>
      </c>
      <c r="AH4751">
        <v>1</v>
      </c>
      <c r="AI4751">
        <v>1</v>
      </c>
      <c r="AJ4751">
        <v>1</v>
      </c>
      <c r="AK4751">
        <v>1</v>
      </c>
      <c r="AL4751">
        <v>1</v>
      </c>
      <c r="AM4751">
        <v>1</v>
      </c>
    </row>
    <row r="4752" spans="1:39" x14ac:dyDescent="0.2">
      <c r="A4752" t="str">
        <f>"4748"</f>
        <v>4748</v>
      </c>
      <c r="B4752" t="str">
        <f t="shared" si="263"/>
        <v>1</v>
      </c>
      <c r="C4752" t="str">
        <f t="shared" si="264"/>
        <v>95</v>
      </c>
      <c r="D4752" t="str">
        <f>"50"</f>
        <v>50</v>
      </c>
      <c r="E4752" t="str">
        <f>"1-95-50"</f>
        <v>1-95-50</v>
      </c>
      <c r="F4752" t="s">
        <v>65</v>
      </c>
      <c r="G4752" t="s">
        <v>66</v>
      </c>
      <c r="H4752" t="s">
        <v>67</v>
      </c>
      <c r="S4752">
        <v>1</v>
      </c>
      <c r="T4752">
        <v>0</v>
      </c>
      <c r="U4752">
        <v>0</v>
      </c>
      <c r="V4752">
        <v>0</v>
      </c>
      <c r="W4752">
        <v>1</v>
      </c>
      <c r="X4752">
        <v>0</v>
      </c>
      <c r="Y4752">
        <v>1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1</v>
      </c>
      <c r="AF4752">
        <v>1</v>
      </c>
      <c r="AG4752">
        <v>1</v>
      </c>
      <c r="AH4752">
        <v>1</v>
      </c>
      <c r="AI4752">
        <v>1</v>
      </c>
      <c r="AJ4752">
        <v>1</v>
      </c>
      <c r="AK4752">
        <v>1</v>
      </c>
      <c r="AL4752">
        <v>1</v>
      </c>
      <c r="AM4752">
        <v>1</v>
      </c>
    </row>
    <row r="4753" spans="1:39" x14ac:dyDescent="0.2">
      <c r="A4753" t="str">
        <f>"4749"</f>
        <v>4749</v>
      </c>
      <c r="B4753" t="str">
        <f t="shared" si="263"/>
        <v>1</v>
      </c>
      <c r="C4753" t="str">
        <f t="shared" si="264"/>
        <v>95</v>
      </c>
      <c r="D4753" t="str">
        <f>"16"</f>
        <v>16</v>
      </c>
      <c r="E4753" t="str">
        <f>"1-95-16"</f>
        <v>1-95-16</v>
      </c>
      <c r="F4753" t="s">
        <v>65</v>
      </c>
      <c r="G4753" t="s">
        <v>66</v>
      </c>
      <c r="H4753" t="s">
        <v>67</v>
      </c>
      <c r="S4753">
        <v>0</v>
      </c>
      <c r="T4753">
        <v>1</v>
      </c>
      <c r="U4753">
        <v>0</v>
      </c>
      <c r="V4753">
        <v>0</v>
      </c>
      <c r="W4753">
        <v>0</v>
      </c>
      <c r="X4753">
        <v>1</v>
      </c>
      <c r="Y4753">
        <v>0</v>
      </c>
      <c r="Z4753">
        <v>1</v>
      </c>
      <c r="AA4753">
        <v>0</v>
      </c>
      <c r="AB4753">
        <v>1</v>
      </c>
      <c r="AC4753">
        <v>0</v>
      </c>
      <c r="AD4753">
        <v>1</v>
      </c>
      <c r="AE4753">
        <v>1</v>
      </c>
      <c r="AF4753">
        <v>1</v>
      </c>
      <c r="AG4753">
        <v>1</v>
      </c>
      <c r="AH4753">
        <v>1</v>
      </c>
      <c r="AI4753">
        <v>1</v>
      </c>
      <c r="AJ4753">
        <v>1</v>
      </c>
      <c r="AK4753">
        <v>1</v>
      </c>
      <c r="AL4753">
        <v>1</v>
      </c>
      <c r="AM4753">
        <v>1</v>
      </c>
    </row>
    <row r="4754" spans="1:39" x14ac:dyDescent="0.2">
      <c r="A4754" t="str">
        <f>"4750"</f>
        <v>4750</v>
      </c>
      <c r="B4754" t="str">
        <f t="shared" si="263"/>
        <v>1</v>
      </c>
      <c r="C4754" t="str">
        <f t="shared" si="264"/>
        <v>95</v>
      </c>
      <c r="D4754" t="str">
        <f>"49"</f>
        <v>49</v>
      </c>
      <c r="E4754" t="str">
        <f>"1-95-49"</f>
        <v>1-95-49</v>
      </c>
      <c r="F4754" t="s">
        <v>65</v>
      </c>
      <c r="G4754" t="s">
        <v>66</v>
      </c>
      <c r="H4754" t="s">
        <v>67</v>
      </c>
      <c r="S4754">
        <v>1</v>
      </c>
      <c r="T4754">
        <v>0</v>
      </c>
      <c r="U4754">
        <v>0</v>
      </c>
      <c r="V4754">
        <v>0</v>
      </c>
      <c r="W4754">
        <v>1</v>
      </c>
      <c r="X4754">
        <v>0</v>
      </c>
      <c r="Y4754">
        <v>1</v>
      </c>
      <c r="Z4754">
        <v>0</v>
      </c>
      <c r="AA4754">
        <v>0</v>
      </c>
      <c r="AB4754">
        <v>1</v>
      </c>
      <c r="AC4754">
        <v>0</v>
      </c>
      <c r="AD4754">
        <v>1</v>
      </c>
      <c r="AE4754">
        <v>1</v>
      </c>
      <c r="AF4754">
        <v>1</v>
      </c>
      <c r="AG4754">
        <v>1</v>
      </c>
      <c r="AH4754">
        <v>1</v>
      </c>
      <c r="AI4754">
        <v>1</v>
      </c>
      <c r="AJ4754">
        <v>1</v>
      </c>
      <c r="AK4754">
        <v>1</v>
      </c>
      <c r="AL4754">
        <v>1</v>
      </c>
      <c r="AM4754">
        <v>1</v>
      </c>
    </row>
    <row r="4755" spans="1:39" x14ac:dyDescent="0.2">
      <c r="A4755" t="str">
        <f>"4751"</f>
        <v>4751</v>
      </c>
      <c r="B4755" t="str">
        <f t="shared" si="263"/>
        <v>1</v>
      </c>
      <c r="C4755" t="str">
        <f t="shared" ref="C4755:C4786" si="265">"96"</f>
        <v>96</v>
      </c>
      <c r="D4755" t="str">
        <f>"36"</f>
        <v>36</v>
      </c>
      <c r="E4755" t="str">
        <f>"1-96-36"</f>
        <v>1-96-36</v>
      </c>
      <c r="F4755" t="s">
        <v>65</v>
      </c>
      <c r="G4755" t="s">
        <v>66</v>
      </c>
      <c r="H4755" t="s">
        <v>67</v>
      </c>
      <c r="S4755">
        <v>1</v>
      </c>
      <c r="T4755">
        <v>0</v>
      </c>
      <c r="U4755">
        <v>0</v>
      </c>
      <c r="V4755">
        <v>0</v>
      </c>
      <c r="W4755">
        <v>0</v>
      </c>
      <c r="X4755">
        <v>1</v>
      </c>
      <c r="Y4755">
        <v>1</v>
      </c>
      <c r="Z4755">
        <v>0</v>
      </c>
      <c r="AA4755">
        <v>0</v>
      </c>
      <c r="AB4755">
        <v>1</v>
      </c>
      <c r="AC4755">
        <v>0</v>
      </c>
      <c r="AD4755">
        <v>1</v>
      </c>
      <c r="AE4755">
        <v>1</v>
      </c>
      <c r="AF4755">
        <v>1</v>
      </c>
      <c r="AG4755">
        <v>1</v>
      </c>
      <c r="AH4755">
        <v>1</v>
      </c>
      <c r="AI4755">
        <v>1</v>
      </c>
      <c r="AJ4755">
        <v>1</v>
      </c>
      <c r="AK4755">
        <v>1</v>
      </c>
      <c r="AL4755">
        <v>1</v>
      </c>
      <c r="AM4755">
        <v>1</v>
      </c>
    </row>
    <row r="4756" spans="1:39" x14ac:dyDescent="0.2">
      <c r="A4756" t="str">
        <f>"4752"</f>
        <v>4752</v>
      </c>
      <c r="B4756" t="str">
        <f t="shared" si="263"/>
        <v>1</v>
      </c>
      <c r="C4756" t="str">
        <f t="shared" si="265"/>
        <v>96</v>
      </c>
      <c r="D4756" t="str">
        <f>"35"</f>
        <v>35</v>
      </c>
      <c r="E4756" t="str">
        <f>"1-96-35"</f>
        <v>1-96-35</v>
      </c>
      <c r="F4756" t="s">
        <v>65</v>
      </c>
      <c r="G4756" t="s">
        <v>66</v>
      </c>
      <c r="H4756" t="s">
        <v>67</v>
      </c>
      <c r="S4756">
        <v>1</v>
      </c>
      <c r="T4756">
        <v>0</v>
      </c>
      <c r="U4756">
        <v>0</v>
      </c>
      <c r="V4756">
        <v>0</v>
      </c>
      <c r="W4756">
        <v>1</v>
      </c>
      <c r="X4756">
        <v>0</v>
      </c>
      <c r="Y4756">
        <v>1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1</v>
      </c>
      <c r="AF4756">
        <v>1</v>
      </c>
      <c r="AG4756">
        <v>1</v>
      </c>
      <c r="AH4756">
        <v>1</v>
      </c>
      <c r="AI4756">
        <v>1</v>
      </c>
      <c r="AJ4756">
        <v>1</v>
      </c>
      <c r="AK4756">
        <v>1</v>
      </c>
      <c r="AL4756">
        <v>1</v>
      </c>
      <c r="AM4756">
        <v>0</v>
      </c>
    </row>
    <row r="4757" spans="1:39" x14ac:dyDescent="0.2">
      <c r="A4757" t="str">
        <f>"4753"</f>
        <v>4753</v>
      </c>
      <c r="B4757" t="str">
        <f t="shared" si="263"/>
        <v>1</v>
      </c>
      <c r="C4757" t="str">
        <f t="shared" si="265"/>
        <v>96</v>
      </c>
      <c r="D4757" t="str">
        <f>"26"</f>
        <v>26</v>
      </c>
      <c r="E4757" t="str">
        <f>"1-96-26"</f>
        <v>1-96-26</v>
      </c>
      <c r="F4757" t="s">
        <v>65</v>
      </c>
      <c r="G4757" t="s">
        <v>66</v>
      </c>
      <c r="H4757" t="s">
        <v>67</v>
      </c>
      <c r="S4757">
        <v>1</v>
      </c>
      <c r="T4757">
        <v>0</v>
      </c>
      <c r="U4757">
        <v>0</v>
      </c>
      <c r="V4757">
        <v>0</v>
      </c>
      <c r="W4757">
        <v>1</v>
      </c>
      <c r="X4757">
        <v>0</v>
      </c>
      <c r="Y4757">
        <v>1</v>
      </c>
      <c r="Z4757">
        <v>0</v>
      </c>
      <c r="AA4757">
        <v>0</v>
      </c>
      <c r="AB4757">
        <v>1</v>
      </c>
      <c r="AC4757">
        <v>0</v>
      </c>
      <c r="AD4757">
        <v>1</v>
      </c>
      <c r="AE4757">
        <v>1</v>
      </c>
      <c r="AF4757">
        <v>1</v>
      </c>
      <c r="AG4757">
        <v>1</v>
      </c>
      <c r="AH4757">
        <v>1</v>
      </c>
      <c r="AI4757">
        <v>1</v>
      </c>
      <c r="AJ4757">
        <v>1</v>
      </c>
      <c r="AK4757">
        <v>1</v>
      </c>
      <c r="AL4757">
        <v>1</v>
      </c>
      <c r="AM4757">
        <v>1</v>
      </c>
    </row>
    <row r="4758" spans="1:39" x14ac:dyDescent="0.2">
      <c r="A4758" t="str">
        <f>"4754"</f>
        <v>4754</v>
      </c>
      <c r="B4758" t="str">
        <f t="shared" si="263"/>
        <v>1</v>
      </c>
      <c r="C4758" t="str">
        <f t="shared" si="265"/>
        <v>96</v>
      </c>
      <c r="D4758" t="str">
        <f>"15"</f>
        <v>15</v>
      </c>
      <c r="E4758" t="str">
        <f>"1-96-15"</f>
        <v>1-96-15</v>
      </c>
      <c r="F4758" t="s">
        <v>65</v>
      </c>
      <c r="G4758" t="s">
        <v>66</v>
      </c>
      <c r="H4758" t="s">
        <v>67</v>
      </c>
      <c r="S4758">
        <v>1</v>
      </c>
      <c r="T4758">
        <v>0</v>
      </c>
      <c r="U4758">
        <v>0</v>
      </c>
      <c r="V4758">
        <v>0</v>
      </c>
      <c r="W4758">
        <v>1</v>
      </c>
      <c r="X4758">
        <v>0</v>
      </c>
      <c r="Y4758">
        <v>1</v>
      </c>
      <c r="Z4758">
        <v>0</v>
      </c>
      <c r="AA4758">
        <v>0</v>
      </c>
      <c r="AB4758">
        <v>1</v>
      </c>
      <c r="AC4758">
        <v>0</v>
      </c>
      <c r="AD4758">
        <v>0</v>
      </c>
      <c r="AE4758">
        <v>0</v>
      </c>
      <c r="AF4758">
        <v>0</v>
      </c>
      <c r="AG4758">
        <v>1</v>
      </c>
      <c r="AH4758">
        <v>1</v>
      </c>
      <c r="AI4758">
        <v>0</v>
      </c>
      <c r="AJ4758">
        <v>1</v>
      </c>
      <c r="AK4758">
        <v>0</v>
      </c>
      <c r="AL4758">
        <v>1</v>
      </c>
      <c r="AM4758">
        <v>0</v>
      </c>
    </row>
    <row r="4759" spans="1:39" x14ac:dyDescent="0.2">
      <c r="A4759" t="str">
        <f>"4755"</f>
        <v>4755</v>
      </c>
      <c r="B4759" t="str">
        <f t="shared" si="263"/>
        <v>1</v>
      </c>
      <c r="C4759" t="str">
        <f t="shared" si="265"/>
        <v>96</v>
      </c>
      <c r="D4759" t="str">
        <f>"3"</f>
        <v>3</v>
      </c>
      <c r="E4759" t="str">
        <f>"1-96-3"</f>
        <v>1-96-3</v>
      </c>
      <c r="F4759" t="s">
        <v>65</v>
      </c>
      <c r="G4759" t="s">
        <v>66</v>
      </c>
      <c r="H4759" t="s">
        <v>67</v>
      </c>
      <c r="S4759">
        <v>0</v>
      </c>
      <c r="T4759">
        <v>1</v>
      </c>
      <c r="U4759">
        <v>0</v>
      </c>
      <c r="V4759">
        <v>0</v>
      </c>
      <c r="W4759">
        <v>1</v>
      </c>
      <c r="X4759">
        <v>0</v>
      </c>
      <c r="Y4759">
        <v>0</v>
      </c>
      <c r="Z4759">
        <v>1</v>
      </c>
      <c r="AA4759">
        <v>1</v>
      </c>
      <c r="AB4759">
        <v>0</v>
      </c>
      <c r="AC4759">
        <v>0</v>
      </c>
      <c r="AD4759">
        <v>1</v>
      </c>
      <c r="AE4759">
        <v>1</v>
      </c>
      <c r="AF4759">
        <v>1</v>
      </c>
      <c r="AG4759">
        <v>1</v>
      </c>
      <c r="AH4759">
        <v>1</v>
      </c>
      <c r="AI4759">
        <v>1</v>
      </c>
      <c r="AJ4759">
        <v>1</v>
      </c>
      <c r="AK4759">
        <v>1</v>
      </c>
      <c r="AL4759">
        <v>1</v>
      </c>
      <c r="AM4759">
        <v>1</v>
      </c>
    </row>
    <row r="4760" spans="1:39" x14ac:dyDescent="0.2">
      <c r="A4760" t="str">
        <f>"4756"</f>
        <v>4756</v>
      </c>
      <c r="B4760" t="str">
        <f t="shared" si="263"/>
        <v>1</v>
      </c>
      <c r="C4760" t="str">
        <f t="shared" si="265"/>
        <v>96</v>
      </c>
      <c r="D4760" t="str">
        <f>"38"</f>
        <v>38</v>
      </c>
      <c r="E4760" t="str">
        <f>"1-96-38"</f>
        <v>1-96-38</v>
      </c>
      <c r="F4760" t="s">
        <v>65</v>
      </c>
      <c r="G4760" t="s">
        <v>66</v>
      </c>
      <c r="H4760" t="s">
        <v>67</v>
      </c>
      <c r="S4760">
        <v>1</v>
      </c>
      <c r="T4760">
        <v>0</v>
      </c>
      <c r="U4760">
        <v>0</v>
      </c>
      <c r="V4760">
        <v>0</v>
      </c>
      <c r="W4760">
        <v>1</v>
      </c>
      <c r="X4760">
        <v>0</v>
      </c>
      <c r="Y4760">
        <v>1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1</v>
      </c>
      <c r="AF4760">
        <v>1</v>
      </c>
      <c r="AG4760">
        <v>1</v>
      </c>
      <c r="AH4760">
        <v>1</v>
      </c>
      <c r="AI4760">
        <v>1</v>
      </c>
      <c r="AJ4760">
        <v>1</v>
      </c>
      <c r="AK4760">
        <v>1</v>
      </c>
      <c r="AL4760">
        <v>1</v>
      </c>
      <c r="AM4760">
        <v>1</v>
      </c>
    </row>
    <row r="4761" spans="1:39" x14ac:dyDescent="0.2">
      <c r="A4761" t="str">
        <f>"4757"</f>
        <v>4757</v>
      </c>
      <c r="B4761" t="str">
        <f t="shared" si="263"/>
        <v>1</v>
      </c>
      <c r="C4761" t="str">
        <f t="shared" si="265"/>
        <v>96</v>
      </c>
      <c r="D4761" t="str">
        <f>"37"</f>
        <v>37</v>
      </c>
      <c r="E4761" t="str">
        <f>"1-96-37"</f>
        <v>1-96-37</v>
      </c>
      <c r="F4761" t="s">
        <v>65</v>
      </c>
      <c r="G4761" t="s">
        <v>66</v>
      </c>
      <c r="H4761" t="s">
        <v>67</v>
      </c>
      <c r="S4761">
        <v>1</v>
      </c>
      <c r="T4761">
        <v>0</v>
      </c>
      <c r="U4761">
        <v>0</v>
      </c>
      <c r="V4761">
        <v>0</v>
      </c>
      <c r="W4761">
        <v>1</v>
      </c>
      <c r="X4761">
        <v>0</v>
      </c>
      <c r="Y4761">
        <v>1</v>
      </c>
      <c r="Z4761">
        <v>0</v>
      </c>
      <c r="AA4761">
        <v>1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</row>
    <row r="4762" spans="1:39" x14ac:dyDescent="0.2">
      <c r="A4762" t="str">
        <f>"4758"</f>
        <v>4758</v>
      </c>
      <c r="B4762" t="str">
        <f t="shared" si="263"/>
        <v>1</v>
      </c>
      <c r="C4762" t="str">
        <f t="shared" si="265"/>
        <v>96</v>
      </c>
      <c r="D4762" t="str">
        <f>"27"</f>
        <v>27</v>
      </c>
      <c r="E4762" t="str">
        <f>"1-96-27"</f>
        <v>1-96-27</v>
      </c>
      <c r="F4762" t="s">
        <v>65</v>
      </c>
      <c r="G4762" t="s">
        <v>66</v>
      </c>
      <c r="H4762" t="s">
        <v>67</v>
      </c>
      <c r="S4762">
        <v>1</v>
      </c>
      <c r="T4762">
        <v>0</v>
      </c>
      <c r="U4762">
        <v>0</v>
      </c>
      <c r="V4762">
        <v>0</v>
      </c>
      <c r="W4762">
        <v>1</v>
      </c>
      <c r="X4762">
        <v>0</v>
      </c>
      <c r="Y4762">
        <v>0</v>
      </c>
      <c r="Z4762">
        <v>1</v>
      </c>
      <c r="AA4762">
        <v>0</v>
      </c>
      <c r="AB4762">
        <v>0</v>
      </c>
      <c r="AC4762">
        <v>1</v>
      </c>
      <c r="AD4762">
        <v>1</v>
      </c>
      <c r="AE4762">
        <v>1</v>
      </c>
      <c r="AF4762">
        <v>1</v>
      </c>
      <c r="AG4762">
        <v>1</v>
      </c>
      <c r="AH4762">
        <v>1</v>
      </c>
      <c r="AI4762">
        <v>1</v>
      </c>
      <c r="AJ4762">
        <v>1</v>
      </c>
      <c r="AK4762">
        <v>1</v>
      </c>
      <c r="AL4762">
        <v>1</v>
      </c>
      <c r="AM4762">
        <v>1</v>
      </c>
    </row>
    <row r="4763" spans="1:39" x14ac:dyDescent="0.2">
      <c r="A4763" t="str">
        <f>"4759"</f>
        <v>4759</v>
      </c>
      <c r="B4763" t="str">
        <f t="shared" si="263"/>
        <v>1</v>
      </c>
      <c r="C4763" t="str">
        <f t="shared" si="265"/>
        <v>96</v>
      </c>
      <c r="D4763" t="str">
        <f>"16"</f>
        <v>16</v>
      </c>
      <c r="E4763" t="str">
        <f>"1-96-16"</f>
        <v>1-96-16</v>
      </c>
      <c r="F4763" t="s">
        <v>65</v>
      </c>
      <c r="G4763" t="s">
        <v>66</v>
      </c>
      <c r="H4763" t="s">
        <v>67</v>
      </c>
      <c r="S4763">
        <v>0</v>
      </c>
      <c r="T4763">
        <v>1</v>
      </c>
      <c r="U4763">
        <v>0</v>
      </c>
      <c r="V4763">
        <v>0</v>
      </c>
      <c r="W4763">
        <v>1</v>
      </c>
      <c r="X4763">
        <v>0</v>
      </c>
      <c r="Y4763">
        <v>1</v>
      </c>
      <c r="Z4763">
        <v>0</v>
      </c>
      <c r="AA4763">
        <v>1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1</v>
      </c>
      <c r="AI4763">
        <v>0</v>
      </c>
      <c r="AJ4763">
        <v>0</v>
      </c>
      <c r="AK4763">
        <v>0</v>
      </c>
      <c r="AL4763">
        <v>0</v>
      </c>
      <c r="AM4763">
        <v>0</v>
      </c>
    </row>
    <row r="4764" spans="1:39" x14ac:dyDescent="0.2">
      <c r="A4764" t="str">
        <f>"4760"</f>
        <v>4760</v>
      </c>
      <c r="B4764" t="str">
        <f t="shared" si="263"/>
        <v>1</v>
      </c>
      <c r="C4764" t="str">
        <f t="shared" si="265"/>
        <v>96</v>
      </c>
      <c r="D4764" t="str">
        <f>"8"</f>
        <v>8</v>
      </c>
      <c r="E4764" t="str">
        <f>"1-96-8"</f>
        <v>1-96-8</v>
      </c>
      <c r="F4764" t="s">
        <v>65</v>
      </c>
      <c r="G4764" t="s">
        <v>66</v>
      </c>
      <c r="H4764" t="s">
        <v>67</v>
      </c>
      <c r="S4764">
        <v>0</v>
      </c>
      <c r="T4764">
        <v>1</v>
      </c>
      <c r="U4764">
        <v>0</v>
      </c>
      <c r="V4764">
        <v>0</v>
      </c>
      <c r="W4764">
        <v>0</v>
      </c>
      <c r="X4764">
        <v>1</v>
      </c>
      <c r="Y4764">
        <v>0</v>
      </c>
      <c r="Z4764">
        <v>1</v>
      </c>
      <c r="AA4764">
        <v>0</v>
      </c>
      <c r="AB4764">
        <v>0</v>
      </c>
      <c r="AC4764">
        <v>1</v>
      </c>
      <c r="AD4764">
        <v>1</v>
      </c>
      <c r="AE4764">
        <v>1</v>
      </c>
      <c r="AF4764">
        <v>1</v>
      </c>
      <c r="AG4764">
        <v>1</v>
      </c>
      <c r="AH4764">
        <v>1</v>
      </c>
      <c r="AI4764">
        <v>1</v>
      </c>
      <c r="AJ4764">
        <v>1</v>
      </c>
      <c r="AK4764">
        <v>1</v>
      </c>
      <c r="AL4764">
        <v>1</v>
      </c>
      <c r="AM4764">
        <v>1</v>
      </c>
    </row>
    <row r="4765" spans="1:39" x14ac:dyDescent="0.2">
      <c r="A4765" t="str">
        <f>"4761"</f>
        <v>4761</v>
      </c>
      <c r="B4765" t="str">
        <f t="shared" si="263"/>
        <v>1</v>
      </c>
      <c r="C4765" t="str">
        <f t="shared" si="265"/>
        <v>96</v>
      </c>
      <c r="D4765" t="str">
        <f>"50"</f>
        <v>50</v>
      </c>
      <c r="E4765" t="str">
        <f>"1-96-50"</f>
        <v>1-96-50</v>
      </c>
      <c r="F4765" t="s">
        <v>65</v>
      </c>
      <c r="G4765" t="s">
        <v>66</v>
      </c>
      <c r="H4765" t="s">
        <v>67</v>
      </c>
      <c r="S4765">
        <v>0</v>
      </c>
      <c r="T4765">
        <v>1</v>
      </c>
      <c r="U4765">
        <v>0</v>
      </c>
      <c r="V4765">
        <v>0</v>
      </c>
      <c r="W4765">
        <v>1</v>
      </c>
      <c r="X4765">
        <v>0</v>
      </c>
      <c r="Y4765">
        <v>1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1</v>
      </c>
      <c r="AF4765">
        <v>1</v>
      </c>
      <c r="AG4765">
        <v>1</v>
      </c>
      <c r="AH4765">
        <v>1</v>
      </c>
      <c r="AI4765">
        <v>1</v>
      </c>
      <c r="AJ4765">
        <v>1</v>
      </c>
      <c r="AK4765">
        <v>1</v>
      </c>
      <c r="AL4765">
        <v>1</v>
      </c>
      <c r="AM4765">
        <v>1</v>
      </c>
    </row>
    <row r="4766" spans="1:39" x14ac:dyDescent="0.2">
      <c r="A4766" t="str">
        <f>"4762"</f>
        <v>4762</v>
      </c>
      <c r="B4766" t="str">
        <f t="shared" si="263"/>
        <v>1</v>
      </c>
      <c r="C4766" t="str">
        <f t="shared" si="265"/>
        <v>96</v>
      </c>
      <c r="D4766" t="str">
        <f>"49"</f>
        <v>49</v>
      </c>
      <c r="E4766" t="str">
        <f>"1-96-49"</f>
        <v>1-96-49</v>
      </c>
      <c r="F4766" t="s">
        <v>65</v>
      </c>
      <c r="G4766" t="s">
        <v>66</v>
      </c>
      <c r="H4766" t="s">
        <v>67</v>
      </c>
      <c r="S4766">
        <v>1</v>
      </c>
      <c r="T4766">
        <v>0</v>
      </c>
      <c r="U4766">
        <v>0</v>
      </c>
      <c r="V4766">
        <v>0</v>
      </c>
      <c r="W4766">
        <v>1</v>
      </c>
      <c r="X4766">
        <v>0</v>
      </c>
      <c r="Y4766">
        <v>1</v>
      </c>
      <c r="Z4766">
        <v>0</v>
      </c>
      <c r="AA4766">
        <v>0</v>
      </c>
      <c r="AB4766">
        <v>1</v>
      </c>
      <c r="AC4766">
        <v>0</v>
      </c>
      <c r="AD4766">
        <v>1</v>
      </c>
      <c r="AE4766">
        <v>1</v>
      </c>
      <c r="AF4766">
        <v>1</v>
      </c>
      <c r="AG4766">
        <v>1</v>
      </c>
      <c r="AH4766">
        <v>1</v>
      </c>
      <c r="AI4766">
        <v>1</v>
      </c>
      <c r="AJ4766">
        <v>1</v>
      </c>
      <c r="AK4766">
        <v>1</v>
      </c>
      <c r="AL4766">
        <v>1</v>
      </c>
      <c r="AM4766">
        <v>1</v>
      </c>
    </row>
    <row r="4767" spans="1:39" x14ac:dyDescent="0.2">
      <c r="A4767" t="str">
        <f>"4763"</f>
        <v>4763</v>
      </c>
      <c r="B4767" t="str">
        <f t="shared" si="263"/>
        <v>1</v>
      </c>
      <c r="C4767" t="str">
        <f t="shared" si="265"/>
        <v>96</v>
      </c>
      <c r="D4767" t="str">
        <f>"31"</f>
        <v>31</v>
      </c>
      <c r="E4767" t="str">
        <f>"1-96-31"</f>
        <v>1-96-31</v>
      </c>
      <c r="F4767" t="s">
        <v>65</v>
      </c>
      <c r="G4767" t="s">
        <v>66</v>
      </c>
      <c r="H4767" t="s">
        <v>67</v>
      </c>
      <c r="S4767">
        <v>1</v>
      </c>
      <c r="T4767">
        <v>0</v>
      </c>
      <c r="U4767">
        <v>0</v>
      </c>
      <c r="V4767">
        <v>0</v>
      </c>
      <c r="W4767">
        <v>1</v>
      </c>
      <c r="X4767">
        <v>0</v>
      </c>
      <c r="Y4767">
        <v>0</v>
      </c>
      <c r="Z4767">
        <v>1</v>
      </c>
      <c r="AA4767">
        <v>0</v>
      </c>
      <c r="AB4767">
        <v>0</v>
      </c>
      <c r="AC4767">
        <v>1</v>
      </c>
      <c r="AD4767">
        <v>1</v>
      </c>
      <c r="AE4767">
        <v>1</v>
      </c>
      <c r="AF4767">
        <v>1</v>
      </c>
      <c r="AG4767">
        <v>1</v>
      </c>
      <c r="AH4767">
        <v>1</v>
      </c>
      <c r="AI4767">
        <v>1</v>
      </c>
      <c r="AJ4767">
        <v>1</v>
      </c>
      <c r="AK4767">
        <v>1</v>
      </c>
      <c r="AL4767">
        <v>1</v>
      </c>
      <c r="AM4767">
        <v>1</v>
      </c>
    </row>
    <row r="4768" spans="1:39" x14ac:dyDescent="0.2">
      <c r="A4768" t="str">
        <f>"4764"</f>
        <v>4764</v>
      </c>
      <c r="B4768" t="str">
        <f t="shared" si="263"/>
        <v>1</v>
      </c>
      <c r="C4768" t="str">
        <f t="shared" si="265"/>
        <v>96</v>
      </c>
      <c r="D4768" t="str">
        <f>"17"</f>
        <v>17</v>
      </c>
      <c r="E4768" t="str">
        <f>"1-96-17"</f>
        <v>1-96-17</v>
      </c>
      <c r="F4768" t="s">
        <v>65</v>
      </c>
      <c r="G4768" t="s">
        <v>66</v>
      </c>
      <c r="H4768" t="s">
        <v>67</v>
      </c>
      <c r="S4768">
        <v>0</v>
      </c>
      <c r="T4768">
        <v>1</v>
      </c>
      <c r="U4768">
        <v>0</v>
      </c>
      <c r="V4768">
        <v>0</v>
      </c>
      <c r="W4768">
        <v>0</v>
      </c>
      <c r="X4768">
        <v>1</v>
      </c>
      <c r="Y4768">
        <v>1</v>
      </c>
      <c r="Z4768">
        <v>0</v>
      </c>
      <c r="AA4768">
        <v>0</v>
      </c>
      <c r="AB4768">
        <v>0</v>
      </c>
      <c r="AC4768">
        <v>1</v>
      </c>
      <c r="AD4768">
        <v>1</v>
      </c>
      <c r="AE4768">
        <v>1</v>
      </c>
      <c r="AF4768">
        <v>1</v>
      </c>
      <c r="AG4768">
        <v>1</v>
      </c>
      <c r="AH4768">
        <v>1</v>
      </c>
      <c r="AI4768">
        <v>1</v>
      </c>
      <c r="AJ4768">
        <v>1</v>
      </c>
      <c r="AK4768">
        <v>0</v>
      </c>
      <c r="AL4768">
        <v>0</v>
      </c>
      <c r="AM4768">
        <v>0</v>
      </c>
    </row>
    <row r="4769" spans="1:39" x14ac:dyDescent="0.2">
      <c r="A4769" t="str">
        <f>"4765"</f>
        <v>4765</v>
      </c>
      <c r="B4769" t="str">
        <f t="shared" si="263"/>
        <v>1</v>
      </c>
      <c r="C4769" t="str">
        <f t="shared" si="265"/>
        <v>96</v>
      </c>
      <c r="D4769" t="str">
        <f>"11"</f>
        <v>11</v>
      </c>
      <c r="E4769" t="str">
        <f>"1-96-11"</f>
        <v>1-96-11</v>
      </c>
      <c r="F4769" t="s">
        <v>65</v>
      </c>
      <c r="G4769" t="s">
        <v>66</v>
      </c>
      <c r="H4769" t="s">
        <v>67</v>
      </c>
      <c r="S4769">
        <v>0</v>
      </c>
      <c r="T4769">
        <v>1</v>
      </c>
      <c r="U4769">
        <v>0</v>
      </c>
      <c r="V4769">
        <v>0</v>
      </c>
      <c r="W4769">
        <v>1</v>
      </c>
      <c r="X4769">
        <v>0</v>
      </c>
      <c r="Y4769">
        <v>1</v>
      </c>
      <c r="Z4769">
        <v>0</v>
      </c>
      <c r="AA4769">
        <v>0</v>
      </c>
      <c r="AB4769">
        <v>0</v>
      </c>
      <c r="AC4769">
        <v>1</v>
      </c>
      <c r="AD4769">
        <v>1</v>
      </c>
      <c r="AE4769">
        <v>1</v>
      </c>
      <c r="AF4769">
        <v>1</v>
      </c>
      <c r="AG4769">
        <v>1</v>
      </c>
      <c r="AH4769">
        <v>1</v>
      </c>
      <c r="AI4769">
        <v>1</v>
      </c>
      <c r="AJ4769">
        <v>1</v>
      </c>
      <c r="AK4769">
        <v>1</v>
      </c>
      <c r="AL4769">
        <v>1</v>
      </c>
      <c r="AM4769">
        <v>1</v>
      </c>
    </row>
    <row r="4770" spans="1:39" x14ac:dyDescent="0.2">
      <c r="A4770" t="str">
        <f>"4766"</f>
        <v>4766</v>
      </c>
      <c r="B4770" t="str">
        <f t="shared" si="263"/>
        <v>1</v>
      </c>
      <c r="C4770" t="str">
        <f t="shared" si="265"/>
        <v>96</v>
      </c>
      <c r="D4770" t="str">
        <f>"32"</f>
        <v>32</v>
      </c>
      <c r="E4770" t="str">
        <f>"1-96-32"</f>
        <v>1-96-32</v>
      </c>
      <c r="F4770" t="s">
        <v>65</v>
      </c>
      <c r="G4770" t="s">
        <v>66</v>
      </c>
      <c r="H4770" t="s">
        <v>67</v>
      </c>
      <c r="S4770">
        <v>1</v>
      </c>
      <c r="T4770">
        <v>0</v>
      </c>
      <c r="U4770">
        <v>0</v>
      </c>
      <c r="V4770">
        <v>0</v>
      </c>
      <c r="W4770">
        <v>1</v>
      </c>
      <c r="X4770">
        <v>0</v>
      </c>
      <c r="Y4770">
        <v>1</v>
      </c>
      <c r="Z4770">
        <v>0</v>
      </c>
      <c r="AA4770">
        <v>1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1</v>
      </c>
      <c r="AH4770">
        <v>0</v>
      </c>
      <c r="AI4770">
        <v>1</v>
      </c>
      <c r="AJ4770">
        <v>1</v>
      </c>
      <c r="AK4770">
        <v>1</v>
      </c>
      <c r="AL4770">
        <v>1</v>
      </c>
      <c r="AM4770">
        <v>0</v>
      </c>
    </row>
    <row r="4771" spans="1:39" x14ac:dyDescent="0.2">
      <c r="A4771" t="str">
        <f>"4767"</f>
        <v>4767</v>
      </c>
      <c r="B4771" t="str">
        <f t="shared" si="263"/>
        <v>1</v>
      </c>
      <c r="C4771" t="str">
        <f t="shared" si="265"/>
        <v>96</v>
      </c>
      <c r="D4771" t="str">
        <f>"18"</f>
        <v>18</v>
      </c>
      <c r="E4771" t="str">
        <f>"1-96-18"</f>
        <v>1-96-18</v>
      </c>
      <c r="F4771" t="s">
        <v>65</v>
      </c>
      <c r="G4771" t="s">
        <v>66</v>
      </c>
      <c r="H4771" t="s">
        <v>67</v>
      </c>
      <c r="S4771">
        <v>0</v>
      </c>
      <c r="T4771">
        <v>1</v>
      </c>
      <c r="U4771">
        <v>0</v>
      </c>
      <c r="V4771">
        <v>0</v>
      </c>
      <c r="W4771">
        <v>1</v>
      </c>
      <c r="X4771">
        <v>0</v>
      </c>
      <c r="Y4771">
        <v>1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1</v>
      </c>
      <c r="AF4771">
        <v>1</v>
      </c>
      <c r="AG4771">
        <v>1</v>
      </c>
      <c r="AH4771">
        <v>1</v>
      </c>
      <c r="AI4771">
        <v>1</v>
      </c>
      <c r="AJ4771">
        <v>1</v>
      </c>
      <c r="AK4771">
        <v>1</v>
      </c>
      <c r="AL4771">
        <v>1</v>
      </c>
      <c r="AM4771">
        <v>1</v>
      </c>
    </row>
    <row r="4772" spans="1:39" x14ac:dyDescent="0.2">
      <c r="A4772" t="str">
        <f>"4768"</f>
        <v>4768</v>
      </c>
      <c r="B4772" t="str">
        <f t="shared" si="263"/>
        <v>1</v>
      </c>
      <c r="C4772" t="str">
        <f t="shared" si="265"/>
        <v>96</v>
      </c>
      <c r="D4772" t="str">
        <f>"6"</f>
        <v>6</v>
      </c>
      <c r="E4772" t="str">
        <f>"1-96-6"</f>
        <v>1-96-6</v>
      </c>
      <c r="F4772" t="s">
        <v>65</v>
      </c>
      <c r="G4772" t="s">
        <v>66</v>
      </c>
      <c r="H4772" t="s">
        <v>67</v>
      </c>
      <c r="S4772">
        <v>1</v>
      </c>
      <c r="T4772">
        <v>0</v>
      </c>
      <c r="U4772">
        <v>0</v>
      </c>
      <c r="V4772">
        <v>0</v>
      </c>
      <c r="W4772">
        <v>1</v>
      </c>
      <c r="X4772">
        <v>0</v>
      </c>
      <c r="Y4772">
        <v>0</v>
      </c>
      <c r="Z4772">
        <v>1</v>
      </c>
      <c r="AA4772">
        <v>0</v>
      </c>
      <c r="AB4772">
        <v>1</v>
      </c>
      <c r="AC4772">
        <v>0</v>
      </c>
      <c r="AD4772">
        <v>1</v>
      </c>
      <c r="AE4772">
        <v>1</v>
      </c>
      <c r="AF4772">
        <v>1</v>
      </c>
      <c r="AG4772">
        <v>1</v>
      </c>
      <c r="AH4772">
        <v>1</v>
      </c>
      <c r="AI4772">
        <v>1</v>
      </c>
      <c r="AJ4772">
        <v>1</v>
      </c>
      <c r="AK4772">
        <v>1</v>
      </c>
      <c r="AL4772">
        <v>1</v>
      </c>
      <c r="AM4772">
        <v>1</v>
      </c>
    </row>
    <row r="4773" spans="1:39" x14ac:dyDescent="0.2">
      <c r="A4773" t="str">
        <f>"4769"</f>
        <v>4769</v>
      </c>
      <c r="B4773" t="str">
        <f t="shared" si="263"/>
        <v>1</v>
      </c>
      <c r="C4773" t="str">
        <f t="shared" si="265"/>
        <v>96</v>
      </c>
      <c r="D4773" t="str">
        <f>"45"</f>
        <v>45</v>
      </c>
      <c r="E4773" t="str">
        <f>"1-96-45"</f>
        <v>1-96-45</v>
      </c>
      <c r="F4773" t="s">
        <v>65</v>
      </c>
      <c r="G4773" t="s">
        <v>66</v>
      </c>
      <c r="H4773" t="s">
        <v>67</v>
      </c>
      <c r="S4773">
        <v>0</v>
      </c>
      <c r="T4773">
        <v>1</v>
      </c>
      <c r="U4773">
        <v>0</v>
      </c>
      <c r="V4773">
        <v>0</v>
      </c>
      <c r="W4773">
        <v>1</v>
      </c>
      <c r="X4773">
        <v>0</v>
      </c>
      <c r="Y4773">
        <v>1</v>
      </c>
      <c r="Z4773">
        <v>0</v>
      </c>
      <c r="AA4773">
        <v>0</v>
      </c>
      <c r="AB4773">
        <v>1</v>
      </c>
      <c r="AC4773">
        <v>0</v>
      </c>
      <c r="AD4773">
        <v>1</v>
      </c>
      <c r="AE4773">
        <v>1</v>
      </c>
      <c r="AF4773">
        <v>1</v>
      </c>
      <c r="AG4773">
        <v>1</v>
      </c>
      <c r="AH4773">
        <v>1</v>
      </c>
      <c r="AI4773">
        <v>1</v>
      </c>
      <c r="AJ4773">
        <v>1</v>
      </c>
      <c r="AK4773">
        <v>1</v>
      </c>
      <c r="AL4773">
        <v>1</v>
      </c>
      <c r="AM4773">
        <v>1</v>
      </c>
    </row>
    <row r="4774" spans="1:39" x14ac:dyDescent="0.2">
      <c r="A4774" t="str">
        <f>"4770"</f>
        <v>4770</v>
      </c>
      <c r="B4774" t="str">
        <f t="shared" si="263"/>
        <v>1</v>
      </c>
      <c r="C4774" t="str">
        <f t="shared" si="265"/>
        <v>96</v>
      </c>
      <c r="D4774" t="str">
        <f>"44"</f>
        <v>44</v>
      </c>
      <c r="E4774" t="str">
        <f>"1-96-44"</f>
        <v>1-96-44</v>
      </c>
      <c r="F4774" t="s">
        <v>65</v>
      </c>
      <c r="G4774" t="s">
        <v>66</v>
      </c>
      <c r="H4774" t="s">
        <v>67</v>
      </c>
      <c r="S4774">
        <v>0</v>
      </c>
      <c r="T4774">
        <v>1</v>
      </c>
      <c r="U4774">
        <v>0</v>
      </c>
      <c r="V4774">
        <v>0</v>
      </c>
      <c r="W4774">
        <v>1</v>
      </c>
      <c r="X4774">
        <v>0</v>
      </c>
      <c r="Y4774">
        <v>0</v>
      </c>
      <c r="Z4774">
        <v>1</v>
      </c>
      <c r="AA4774">
        <v>1</v>
      </c>
      <c r="AB4774">
        <v>0</v>
      </c>
      <c r="AC4774">
        <v>0</v>
      </c>
      <c r="AD4774">
        <v>1</v>
      </c>
      <c r="AE4774">
        <v>1</v>
      </c>
      <c r="AF4774">
        <v>1</v>
      </c>
      <c r="AG4774">
        <v>1</v>
      </c>
      <c r="AH4774">
        <v>1</v>
      </c>
      <c r="AI4774">
        <v>1</v>
      </c>
      <c r="AJ4774">
        <v>1</v>
      </c>
      <c r="AK4774">
        <v>1</v>
      </c>
      <c r="AL4774">
        <v>1</v>
      </c>
      <c r="AM4774">
        <v>1</v>
      </c>
    </row>
    <row r="4775" spans="1:39" x14ac:dyDescent="0.2">
      <c r="A4775" t="str">
        <f>"4771"</f>
        <v>4771</v>
      </c>
      <c r="B4775" t="str">
        <f t="shared" si="263"/>
        <v>1</v>
      </c>
      <c r="C4775" t="str">
        <f t="shared" si="265"/>
        <v>96</v>
      </c>
      <c r="D4775" t="str">
        <f>"34"</f>
        <v>34</v>
      </c>
      <c r="E4775" t="str">
        <f>"1-96-34"</f>
        <v>1-96-34</v>
      </c>
      <c r="F4775" t="s">
        <v>65</v>
      </c>
      <c r="G4775" t="s">
        <v>66</v>
      </c>
      <c r="H4775" t="s">
        <v>67</v>
      </c>
      <c r="S4775">
        <v>1</v>
      </c>
      <c r="T4775">
        <v>0</v>
      </c>
      <c r="U4775">
        <v>0</v>
      </c>
      <c r="V4775">
        <v>0</v>
      </c>
      <c r="W4775">
        <v>1</v>
      </c>
      <c r="X4775">
        <v>0</v>
      </c>
      <c r="Y4775">
        <v>1</v>
      </c>
      <c r="Z4775">
        <v>0</v>
      </c>
      <c r="AA4775">
        <v>0</v>
      </c>
      <c r="AB4775">
        <v>1</v>
      </c>
      <c r="AC4775">
        <v>0</v>
      </c>
      <c r="AD4775">
        <v>0</v>
      </c>
      <c r="AE4775">
        <v>0</v>
      </c>
      <c r="AF4775">
        <v>0</v>
      </c>
      <c r="AG4775">
        <v>1</v>
      </c>
      <c r="AH4775">
        <v>1</v>
      </c>
      <c r="AI4775">
        <v>0</v>
      </c>
      <c r="AJ4775">
        <v>1</v>
      </c>
      <c r="AK4775">
        <v>0</v>
      </c>
      <c r="AL4775">
        <v>1</v>
      </c>
      <c r="AM4775">
        <v>0</v>
      </c>
    </row>
    <row r="4776" spans="1:39" x14ac:dyDescent="0.2">
      <c r="A4776" t="str">
        <f>"4772"</f>
        <v>4772</v>
      </c>
      <c r="B4776" t="str">
        <f t="shared" si="263"/>
        <v>1</v>
      </c>
      <c r="C4776" t="str">
        <f t="shared" si="265"/>
        <v>96</v>
      </c>
      <c r="D4776" t="str">
        <f>"19"</f>
        <v>19</v>
      </c>
      <c r="E4776" t="str">
        <f>"1-96-19"</f>
        <v>1-96-19</v>
      </c>
      <c r="F4776" t="s">
        <v>65</v>
      </c>
      <c r="G4776" t="s">
        <v>66</v>
      </c>
      <c r="H4776" t="s">
        <v>67</v>
      </c>
      <c r="S4776">
        <v>1</v>
      </c>
      <c r="T4776">
        <v>0</v>
      </c>
      <c r="U4776">
        <v>0</v>
      </c>
      <c r="V4776">
        <v>0</v>
      </c>
      <c r="W4776">
        <v>0</v>
      </c>
      <c r="X4776">
        <v>1</v>
      </c>
      <c r="Y4776">
        <v>0</v>
      </c>
      <c r="Z4776">
        <v>1</v>
      </c>
      <c r="AA4776">
        <v>0</v>
      </c>
      <c r="AB4776">
        <v>1</v>
      </c>
      <c r="AC4776">
        <v>0</v>
      </c>
      <c r="AD4776">
        <v>1</v>
      </c>
      <c r="AE4776">
        <v>1</v>
      </c>
      <c r="AF4776">
        <v>1</v>
      </c>
      <c r="AG4776">
        <v>1</v>
      </c>
      <c r="AH4776">
        <v>1</v>
      </c>
      <c r="AI4776">
        <v>1</v>
      </c>
      <c r="AJ4776">
        <v>1</v>
      </c>
      <c r="AK4776">
        <v>1</v>
      </c>
      <c r="AL4776">
        <v>1</v>
      </c>
      <c r="AM4776">
        <v>1</v>
      </c>
    </row>
    <row r="4777" spans="1:39" x14ac:dyDescent="0.2">
      <c r="A4777" t="str">
        <f>"4773"</f>
        <v>4773</v>
      </c>
      <c r="B4777" t="str">
        <f t="shared" si="263"/>
        <v>1</v>
      </c>
      <c r="C4777" t="str">
        <f t="shared" si="265"/>
        <v>96</v>
      </c>
      <c r="D4777" t="str">
        <f>"13"</f>
        <v>13</v>
      </c>
      <c r="E4777" t="str">
        <f>"1-96-13"</f>
        <v>1-96-13</v>
      </c>
      <c r="F4777" t="s">
        <v>65</v>
      </c>
      <c r="G4777" t="s">
        <v>66</v>
      </c>
      <c r="H4777" t="s">
        <v>67</v>
      </c>
      <c r="S4777">
        <v>1</v>
      </c>
      <c r="T4777">
        <v>0</v>
      </c>
      <c r="U4777">
        <v>0</v>
      </c>
      <c r="V4777">
        <v>0</v>
      </c>
      <c r="W4777">
        <v>0</v>
      </c>
      <c r="X4777">
        <v>1</v>
      </c>
      <c r="Y4777">
        <v>1</v>
      </c>
      <c r="Z4777">
        <v>0</v>
      </c>
      <c r="AA4777">
        <v>0</v>
      </c>
      <c r="AB4777">
        <v>1</v>
      </c>
      <c r="AC4777">
        <v>0</v>
      </c>
      <c r="AD4777">
        <v>1</v>
      </c>
      <c r="AE4777">
        <v>1</v>
      </c>
      <c r="AF4777">
        <v>1</v>
      </c>
      <c r="AG4777">
        <v>1</v>
      </c>
      <c r="AH4777">
        <v>1</v>
      </c>
      <c r="AI4777">
        <v>1</v>
      </c>
      <c r="AJ4777">
        <v>1</v>
      </c>
      <c r="AK4777">
        <v>1</v>
      </c>
      <c r="AL4777">
        <v>1</v>
      </c>
      <c r="AM4777">
        <v>1</v>
      </c>
    </row>
    <row r="4778" spans="1:39" x14ac:dyDescent="0.2">
      <c r="A4778" t="str">
        <f>"4774"</f>
        <v>4774</v>
      </c>
      <c r="B4778" t="str">
        <f t="shared" si="263"/>
        <v>1</v>
      </c>
      <c r="C4778" t="str">
        <f t="shared" si="265"/>
        <v>96</v>
      </c>
      <c r="D4778" t="str">
        <f>"33"</f>
        <v>33</v>
      </c>
      <c r="E4778" t="str">
        <f>"1-96-33"</f>
        <v>1-96-33</v>
      </c>
      <c r="F4778" t="s">
        <v>65</v>
      </c>
      <c r="G4778" t="s">
        <v>66</v>
      </c>
      <c r="H4778" t="s">
        <v>67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1</v>
      </c>
      <c r="Y4778">
        <v>1</v>
      </c>
      <c r="Z4778">
        <v>0</v>
      </c>
      <c r="AA4778">
        <v>0</v>
      </c>
      <c r="AB4778">
        <v>0</v>
      </c>
      <c r="AC4778">
        <v>1</v>
      </c>
      <c r="AD4778">
        <v>1</v>
      </c>
      <c r="AE4778">
        <v>1</v>
      </c>
      <c r="AF4778">
        <v>0</v>
      </c>
      <c r="AG4778">
        <v>1</v>
      </c>
      <c r="AH4778">
        <v>1</v>
      </c>
      <c r="AI4778">
        <v>1</v>
      </c>
      <c r="AJ4778">
        <v>1</v>
      </c>
      <c r="AK4778">
        <v>1</v>
      </c>
      <c r="AL4778">
        <v>1</v>
      </c>
      <c r="AM4778">
        <v>1</v>
      </c>
    </row>
    <row r="4779" spans="1:39" x14ac:dyDescent="0.2">
      <c r="A4779" t="str">
        <f>"4775"</f>
        <v>4775</v>
      </c>
      <c r="B4779" t="str">
        <f t="shared" si="263"/>
        <v>1</v>
      </c>
      <c r="C4779" t="str">
        <f t="shared" si="265"/>
        <v>96</v>
      </c>
      <c r="D4779" t="str">
        <f>"20"</f>
        <v>20</v>
      </c>
      <c r="E4779" t="str">
        <f>"1-96-20"</f>
        <v>1-96-20</v>
      </c>
      <c r="F4779" t="s">
        <v>65</v>
      </c>
      <c r="G4779" t="s">
        <v>66</v>
      </c>
      <c r="H4779" t="s">
        <v>67</v>
      </c>
      <c r="S4779">
        <v>1</v>
      </c>
      <c r="T4779">
        <v>0</v>
      </c>
      <c r="U4779">
        <v>0</v>
      </c>
      <c r="V4779">
        <v>0</v>
      </c>
      <c r="W4779">
        <v>1</v>
      </c>
      <c r="X4779">
        <v>0</v>
      </c>
      <c r="Y4779">
        <v>1</v>
      </c>
      <c r="Z4779">
        <v>0</v>
      </c>
      <c r="AA4779">
        <v>1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1</v>
      </c>
      <c r="AH4779">
        <v>0</v>
      </c>
      <c r="AI4779">
        <v>1</v>
      </c>
      <c r="AJ4779">
        <v>1</v>
      </c>
      <c r="AK4779">
        <v>1</v>
      </c>
      <c r="AL4779">
        <v>1</v>
      </c>
      <c r="AM4779">
        <v>0</v>
      </c>
    </row>
    <row r="4780" spans="1:39" x14ac:dyDescent="0.2">
      <c r="A4780" t="str">
        <f>"4776"</f>
        <v>4776</v>
      </c>
      <c r="B4780" t="str">
        <f t="shared" si="263"/>
        <v>1</v>
      </c>
      <c r="C4780" t="str">
        <f t="shared" si="265"/>
        <v>96</v>
      </c>
      <c r="D4780" t="str">
        <f>"1"</f>
        <v>1</v>
      </c>
      <c r="E4780" t="str">
        <f>"1-96-1"</f>
        <v>1-96-1</v>
      </c>
      <c r="F4780" t="s">
        <v>65</v>
      </c>
      <c r="G4780" t="s">
        <v>66</v>
      </c>
      <c r="H4780" t="s">
        <v>67</v>
      </c>
      <c r="S4780">
        <v>1</v>
      </c>
      <c r="T4780">
        <v>0</v>
      </c>
      <c r="U4780">
        <v>0</v>
      </c>
      <c r="V4780">
        <v>0</v>
      </c>
      <c r="W4780">
        <v>1</v>
      </c>
      <c r="X4780">
        <v>0</v>
      </c>
      <c r="Y4780">
        <v>1</v>
      </c>
      <c r="Z4780">
        <v>0</v>
      </c>
      <c r="AA4780">
        <v>0</v>
      </c>
      <c r="AB4780">
        <v>0</v>
      </c>
      <c r="AC4780">
        <v>1</v>
      </c>
      <c r="AD4780">
        <v>1</v>
      </c>
      <c r="AE4780">
        <v>1</v>
      </c>
      <c r="AF4780">
        <v>1</v>
      </c>
      <c r="AG4780">
        <v>1</v>
      </c>
      <c r="AH4780">
        <v>1</v>
      </c>
      <c r="AI4780">
        <v>1</v>
      </c>
      <c r="AJ4780">
        <v>1</v>
      </c>
      <c r="AK4780">
        <v>1</v>
      </c>
      <c r="AL4780">
        <v>1</v>
      </c>
      <c r="AM4780">
        <v>1</v>
      </c>
    </row>
    <row r="4781" spans="1:39" x14ac:dyDescent="0.2">
      <c r="A4781" t="str">
        <f>"4777"</f>
        <v>4777</v>
      </c>
      <c r="B4781" t="str">
        <f t="shared" si="263"/>
        <v>1</v>
      </c>
      <c r="C4781" t="str">
        <f t="shared" si="265"/>
        <v>96</v>
      </c>
      <c r="D4781" t="str">
        <f>"39"</f>
        <v>39</v>
      </c>
      <c r="E4781" t="str">
        <f>"1-96-39"</f>
        <v>1-96-39</v>
      </c>
      <c r="F4781" t="s">
        <v>65</v>
      </c>
      <c r="G4781" t="s">
        <v>66</v>
      </c>
      <c r="H4781" t="s">
        <v>67</v>
      </c>
      <c r="S4781">
        <v>1</v>
      </c>
      <c r="T4781">
        <v>0</v>
      </c>
      <c r="U4781">
        <v>0</v>
      </c>
      <c r="V4781">
        <v>0</v>
      </c>
      <c r="W4781">
        <v>1</v>
      </c>
      <c r="X4781">
        <v>0</v>
      </c>
      <c r="Y4781">
        <v>1</v>
      </c>
      <c r="Z4781">
        <v>0</v>
      </c>
      <c r="AA4781">
        <v>0</v>
      </c>
      <c r="AB4781">
        <v>0</v>
      </c>
      <c r="AC4781">
        <v>1</v>
      </c>
      <c r="AD4781">
        <v>1</v>
      </c>
      <c r="AE4781">
        <v>1</v>
      </c>
      <c r="AF4781">
        <v>1</v>
      </c>
      <c r="AG4781">
        <v>1</v>
      </c>
      <c r="AH4781">
        <v>1</v>
      </c>
      <c r="AI4781">
        <v>1</v>
      </c>
      <c r="AJ4781">
        <v>1</v>
      </c>
      <c r="AK4781">
        <v>1</v>
      </c>
      <c r="AL4781">
        <v>1</v>
      </c>
      <c r="AM4781">
        <v>1</v>
      </c>
    </row>
    <row r="4782" spans="1:39" x14ac:dyDescent="0.2">
      <c r="A4782" t="str">
        <f>"4778"</f>
        <v>4778</v>
      </c>
      <c r="B4782" t="str">
        <f t="shared" si="263"/>
        <v>1</v>
      </c>
      <c r="C4782" t="str">
        <f t="shared" si="265"/>
        <v>96</v>
      </c>
      <c r="D4782" t="str">
        <f>"21"</f>
        <v>21</v>
      </c>
      <c r="E4782" t="str">
        <f>"1-96-21"</f>
        <v>1-96-21</v>
      </c>
      <c r="F4782" t="s">
        <v>65</v>
      </c>
      <c r="G4782" t="s">
        <v>66</v>
      </c>
      <c r="H4782" t="s">
        <v>67</v>
      </c>
      <c r="S4782">
        <v>1</v>
      </c>
      <c r="T4782">
        <v>0</v>
      </c>
      <c r="U4782">
        <v>0</v>
      </c>
      <c r="V4782">
        <v>0</v>
      </c>
      <c r="W4782">
        <v>1</v>
      </c>
      <c r="X4782">
        <v>0</v>
      </c>
      <c r="Y4782">
        <v>1</v>
      </c>
      <c r="Z4782">
        <v>0</v>
      </c>
      <c r="AA4782">
        <v>1</v>
      </c>
      <c r="AB4782">
        <v>0</v>
      </c>
      <c r="AC4782">
        <v>0</v>
      </c>
      <c r="AD4782">
        <v>0</v>
      </c>
      <c r="AE4782">
        <v>0</v>
      </c>
      <c r="AF4782">
        <v>1</v>
      </c>
      <c r="AG4782">
        <v>0</v>
      </c>
      <c r="AH4782">
        <v>0</v>
      </c>
      <c r="AI4782">
        <v>1</v>
      </c>
      <c r="AJ4782">
        <v>0</v>
      </c>
      <c r="AK4782">
        <v>0</v>
      </c>
      <c r="AL4782">
        <v>1</v>
      </c>
      <c r="AM4782">
        <v>1</v>
      </c>
    </row>
    <row r="4783" spans="1:39" x14ac:dyDescent="0.2">
      <c r="A4783" t="str">
        <f>"4779"</f>
        <v>4779</v>
      </c>
      <c r="B4783" t="str">
        <f t="shared" si="263"/>
        <v>1</v>
      </c>
      <c r="C4783" t="str">
        <f t="shared" si="265"/>
        <v>96</v>
      </c>
      <c r="D4783" t="str">
        <f>"7"</f>
        <v>7</v>
      </c>
      <c r="E4783" t="str">
        <f>"1-96-7"</f>
        <v>1-96-7</v>
      </c>
      <c r="F4783" t="s">
        <v>65</v>
      </c>
      <c r="G4783" t="s">
        <v>66</v>
      </c>
      <c r="H4783" t="s">
        <v>67</v>
      </c>
      <c r="S4783">
        <v>0</v>
      </c>
      <c r="T4783">
        <v>1</v>
      </c>
      <c r="U4783">
        <v>0</v>
      </c>
      <c r="V4783">
        <v>0</v>
      </c>
      <c r="W4783">
        <v>1</v>
      </c>
      <c r="X4783">
        <v>0</v>
      </c>
      <c r="Y4783">
        <v>1</v>
      </c>
      <c r="Z4783">
        <v>0</v>
      </c>
      <c r="AA4783">
        <v>0</v>
      </c>
      <c r="AB4783">
        <v>0</v>
      </c>
      <c r="AC4783">
        <v>1</v>
      </c>
      <c r="AD4783">
        <v>1</v>
      </c>
      <c r="AE4783">
        <v>1</v>
      </c>
      <c r="AF4783">
        <v>1</v>
      </c>
      <c r="AG4783">
        <v>1</v>
      </c>
      <c r="AH4783">
        <v>1</v>
      </c>
      <c r="AI4783">
        <v>1</v>
      </c>
      <c r="AJ4783">
        <v>1</v>
      </c>
      <c r="AK4783">
        <v>1</v>
      </c>
      <c r="AL4783">
        <v>1</v>
      </c>
      <c r="AM4783">
        <v>1</v>
      </c>
    </row>
    <row r="4784" spans="1:39" x14ac:dyDescent="0.2">
      <c r="A4784" t="str">
        <f>"4780"</f>
        <v>4780</v>
      </c>
      <c r="B4784" t="str">
        <f t="shared" si="263"/>
        <v>1</v>
      </c>
      <c r="C4784" t="str">
        <f t="shared" si="265"/>
        <v>96</v>
      </c>
      <c r="D4784" t="str">
        <f>"42"</f>
        <v>42</v>
      </c>
      <c r="E4784" t="str">
        <f>"1-96-42"</f>
        <v>1-96-42</v>
      </c>
      <c r="F4784" t="s">
        <v>65</v>
      </c>
      <c r="G4784" t="s">
        <v>66</v>
      </c>
      <c r="H4784" t="s">
        <v>67</v>
      </c>
      <c r="S4784">
        <v>1</v>
      </c>
      <c r="T4784">
        <v>0</v>
      </c>
      <c r="U4784">
        <v>0</v>
      </c>
      <c r="V4784">
        <v>0</v>
      </c>
      <c r="W4784">
        <v>1</v>
      </c>
      <c r="X4784">
        <v>0</v>
      </c>
      <c r="Y4784">
        <v>1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1</v>
      </c>
      <c r="AF4784">
        <v>1</v>
      </c>
      <c r="AG4784">
        <v>1</v>
      </c>
      <c r="AH4784">
        <v>1</v>
      </c>
      <c r="AI4784">
        <v>1</v>
      </c>
      <c r="AJ4784">
        <v>1</v>
      </c>
      <c r="AK4784">
        <v>1</v>
      </c>
      <c r="AL4784">
        <v>1</v>
      </c>
      <c r="AM4784">
        <v>1</v>
      </c>
    </row>
    <row r="4785" spans="1:39" x14ac:dyDescent="0.2">
      <c r="A4785" t="str">
        <f>"4781"</f>
        <v>4781</v>
      </c>
      <c r="B4785" t="str">
        <f t="shared" si="263"/>
        <v>1</v>
      </c>
      <c r="C4785" t="str">
        <f t="shared" si="265"/>
        <v>96</v>
      </c>
      <c r="D4785" t="str">
        <f>"22"</f>
        <v>22</v>
      </c>
      <c r="E4785" t="str">
        <f>"1-96-22"</f>
        <v>1-96-22</v>
      </c>
      <c r="F4785" t="s">
        <v>65</v>
      </c>
      <c r="G4785" t="s">
        <v>66</v>
      </c>
      <c r="H4785" t="s">
        <v>67</v>
      </c>
      <c r="S4785">
        <v>1</v>
      </c>
      <c r="T4785">
        <v>0</v>
      </c>
      <c r="U4785">
        <v>0</v>
      </c>
      <c r="V4785">
        <v>0</v>
      </c>
      <c r="W4785">
        <v>1</v>
      </c>
      <c r="X4785">
        <v>0</v>
      </c>
      <c r="Y4785">
        <v>1</v>
      </c>
      <c r="Z4785">
        <v>0</v>
      </c>
      <c r="AA4785">
        <v>1</v>
      </c>
      <c r="AB4785">
        <v>0</v>
      </c>
      <c r="AC4785">
        <v>0</v>
      </c>
      <c r="AD4785">
        <v>0</v>
      </c>
      <c r="AE4785">
        <v>0</v>
      </c>
      <c r="AF4785">
        <v>1</v>
      </c>
      <c r="AG4785">
        <v>0</v>
      </c>
      <c r="AH4785">
        <v>0</v>
      </c>
      <c r="AI4785">
        <v>1</v>
      </c>
      <c r="AJ4785">
        <v>0</v>
      </c>
      <c r="AK4785">
        <v>0</v>
      </c>
      <c r="AL4785">
        <v>1</v>
      </c>
      <c r="AM4785">
        <v>1</v>
      </c>
    </row>
    <row r="4786" spans="1:39" x14ac:dyDescent="0.2">
      <c r="A4786" t="str">
        <f>"4782"</f>
        <v>4782</v>
      </c>
      <c r="B4786" t="str">
        <f t="shared" si="263"/>
        <v>1</v>
      </c>
      <c r="C4786" t="str">
        <f t="shared" si="265"/>
        <v>96</v>
      </c>
      <c r="D4786" t="str">
        <f>"10"</f>
        <v>10</v>
      </c>
      <c r="E4786" t="str">
        <f>"1-96-10"</f>
        <v>1-96-10</v>
      </c>
      <c r="F4786" t="s">
        <v>65</v>
      </c>
      <c r="G4786" t="s">
        <v>66</v>
      </c>
      <c r="H4786" t="s">
        <v>67</v>
      </c>
      <c r="S4786">
        <v>0</v>
      </c>
      <c r="T4786">
        <v>1</v>
      </c>
      <c r="U4786">
        <v>0</v>
      </c>
      <c r="V4786">
        <v>0</v>
      </c>
      <c r="W4786">
        <v>1</v>
      </c>
      <c r="X4786">
        <v>0</v>
      </c>
      <c r="Y4786">
        <v>1</v>
      </c>
      <c r="Z4786">
        <v>0</v>
      </c>
      <c r="AA4786">
        <v>0</v>
      </c>
      <c r="AB4786">
        <v>0</v>
      </c>
      <c r="AC4786">
        <v>1</v>
      </c>
      <c r="AD4786">
        <v>1</v>
      </c>
      <c r="AE4786">
        <v>1</v>
      </c>
      <c r="AF4786">
        <v>1</v>
      </c>
      <c r="AG4786">
        <v>1</v>
      </c>
      <c r="AH4786">
        <v>1</v>
      </c>
      <c r="AI4786">
        <v>1</v>
      </c>
      <c r="AJ4786">
        <v>1</v>
      </c>
      <c r="AK4786">
        <v>1</v>
      </c>
      <c r="AL4786">
        <v>1</v>
      </c>
      <c r="AM4786">
        <v>1</v>
      </c>
    </row>
    <row r="4787" spans="1:39" x14ac:dyDescent="0.2">
      <c r="A4787" t="str">
        <f>"4783"</f>
        <v>4783</v>
      </c>
      <c r="B4787" t="str">
        <f t="shared" si="263"/>
        <v>1</v>
      </c>
      <c r="C4787" t="str">
        <f t="shared" ref="C4787:C4804" si="266">"96"</f>
        <v>96</v>
      </c>
      <c r="D4787" t="str">
        <f>"48"</f>
        <v>48</v>
      </c>
      <c r="E4787" t="str">
        <f>"1-96-48"</f>
        <v>1-96-48</v>
      </c>
      <c r="F4787" t="s">
        <v>65</v>
      </c>
      <c r="G4787" t="s">
        <v>66</v>
      </c>
      <c r="H4787" t="s">
        <v>67</v>
      </c>
      <c r="S4787">
        <v>1</v>
      </c>
      <c r="T4787">
        <v>0</v>
      </c>
      <c r="U4787">
        <v>0</v>
      </c>
      <c r="V4787">
        <v>0</v>
      </c>
      <c r="W4787">
        <v>1</v>
      </c>
      <c r="X4787">
        <v>0</v>
      </c>
      <c r="Y4787">
        <v>1</v>
      </c>
      <c r="Z4787">
        <v>0</v>
      </c>
      <c r="AA4787">
        <v>0</v>
      </c>
      <c r="AB4787">
        <v>1</v>
      </c>
      <c r="AC4787">
        <v>0</v>
      </c>
      <c r="AD4787">
        <v>1</v>
      </c>
      <c r="AE4787">
        <v>1</v>
      </c>
      <c r="AF4787">
        <v>1</v>
      </c>
      <c r="AG4787">
        <v>1</v>
      </c>
      <c r="AH4787">
        <v>1</v>
      </c>
      <c r="AI4787">
        <v>1</v>
      </c>
      <c r="AJ4787">
        <v>1</v>
      </c>
      <c r="AK4787">
        <v>1</v>
      </c>
      <c r="AL4787">
        <v>1</v>
      </c>
      <c r="AM4787">
        <v>1</v>
      </c>
    </row>
    <row r="4788" spans="1:39" x14ac:dyDescent="0.2">
      <c r="A4788" t="str">
        <f>"4784"</f>
        <v>4784</v>
      </c>
      <c r="B4788" t="str">
        <f t="shared" si="263"/>
        <v>1</v>
      </c>
      <c r="C4788" t="str">
        <f t="shared" si="266"/>
        <v>96</v>
      </c>
      <c r="D4788" t="str">
        <f>"23"</f>
        <v>23</v>
      </c>
      <c r="E4788" t="str">
        <f>"1-96-23"</f>
        <v>1-96-23</v>
      </c>
      <c r="F4788" t="s">
        <v>65</v>
      </c>
      <c r="G4788" t="s">
        <v>66</v>
      </c>
      <c r="H4788" t="s">
        <v>67</v>
      </c>
      <c r="S4788">
        <v>0</v>
      </c>
      <c r="T4788">
        <v>1</v>
      </c>
      <c r="U4788">
        <v>0</v>
      </c>
      <c r="V4788">
        <v>0</v>
      </c>
      <c r="W4788">
        <v>1</v>
      </c>
      <c r="X4788">
        <v>0</v>
      </c>
      <c r="Y4788">
        <v>1</v>
      </c>
      <c r="Z4788">
        <v>0</v>
      </c>
      <c r="AA4788">
        <v>0</v>
      </c>
      <c r="AB4788">
        <v>1</v>
      </c>
      <c r="AC4788">
        <v>0</v>
      </c>
      <c r="AD4788">
        <v>1</v>
      </c>
      <c r="AE4788">
        <v>1</v>
      </c>
      <c r="AF4788">
        <v>1</v>
      </c>
      <c r="AG4788">
        <v>1</v>
      </c>
      <c r="AH4788">
        <v>1</v>
      </c>
      <c r="AI4788">
        <v>1</v>
      </c>
      <c r="AJ4788">
        <v>1</v>
      </c>
      <c r="AK4788">
        <v>1</v>
      </c>
      <c r="AL4788">
        <v>1</v>
      </c>
      <c r="AM4788">
        <v>1</v>
      </c>
    </row>
    <row r="4789" spans="1:39" x14ac:dyDescent="0.2">
      <c r="A4789" t="str">
        <f>"4785"</f>
        <v>4785</v>
      </c>
      <c r="B4789" t="str">
        <f t="shared" si="263"/>
        <v>1</v>
      </c>
      <c r="C4789" t="str">
        <f t="shared" si="266"/>
        <v>96</v>
      </c>
      <c r="D4789" t="str">
        <f>"14"</f>
        <v>14</v>
      </c>
      <c r="E4789" t="str">
        <f>"1-96-14"</f>
        <v>1-96-14</v>
      </c>
      <c r="F4789" t="s">
        <v>65</v>
      </c>
      <c r="G4789" t="s">
        <v>66</v>
      </c>
      <c r="H4789" t="s">
        <v>67</v>
      </c>
      <c r="S4789">
        <v>1</v>
      </c>
      <c r="T4789">
        <v>0</v>
      </c>
      <c r="U4789">
        <v>0</v>
      </c>
      <c r="V4789">
        <v>0</v>
      </c>
      <c r="W4789">
        <v>1</v>
      </c>
      <c r="X4789">
        <v>0</v>
      </c>
      <c r="Y4789">
        <v>1</v>
      </c>
      <c r="Z4789">
        <v>0</v>
      </c>
      <c r="AA4789">
        <v>0</v>
      </c>
      <c r="AB4789">
        <v>1</v>
      </c>
      <c r="AC4789">
        <v>0</v>
      </c>
      <c r="AD4789">
        <v>1</v>
      </c>
      <c r="AE4789">
        <v>1</v>
      </c>
      <c r="AF4789">
        <v>1</v>
      </c>
      <c r="AG4789">
        <v>1</v>
      </c>
      <c r="AH4789">
        <v>1</v>
      </c>
      <c r="AI4789">
        <v>1</v>
      </c>
      <c r="AJ4789">
        <v>1</v>
      </c>
      <c r="AK4789">
        <v>1</v>
      </c>
      <c r="AL4789">
        <v>1</v>
      </c>
      <c r="AM4789">
        <v>1</v>
      </c>
    </row>
    <row r="4790" spans="1:39" x14ac:dyDescent="0.2">
      <c r="A4790" t="str">
        <f>"4786"</f>
        <v>4786</v>
      </c>
      <c r="B4790" t="str">
        <f t="shared" si="263"/>
        <v>1</v>
      </c>
      <c r="C4790" t="str">
        <f t="shared" si="266"/>
        <v>96</v>
      </c>
      <c r="D4790" t="str">
        <f>"40"</f>
        <v>40</v>
      </c>
      <c r="E4790" t="str">
        <f>"1-96-40"</f>
        <v>1-96-40</v>
      </c>
      <c r="F4790" t="s">
        <v>65</v>
      </c>
      <c r="G4790" t="s">
        <v>66</v>
      </c>
      <c r="H4790" t="s">
        <v>67</v>
      </c>
      <c r="S4790">
        <v>0</v>
      </c>
      <c r="T4790">
        <v>1</v>
      </c>
      <c r="U4790">
        <v>0</v>
      </c>
      <c r="V4790">
        <v>0</v>
      </c>
      <c r="W4790">
        <v>1</v>
      </c>
      <c r="X4790">
        <v>0</v>
      </c>
      <c r="Y4790">
        <v>1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1</v>
      </c>
      <c r="AF4790">
        <v>1</v>
      </c>
      <c r="AG4790">
        <v>1</v>
      </c>
      <c r="AH4790">
        <v>1</v>
      </c>
      <c r="AI4790">
        <v>1</v>
      </c>
      <c r="AJ4790">
        <v>1</v>
      </c>
      <c r="AK4790">
        <v>1</v>
      </c>
      <c r="AL4790">
        <v>1</v>
      </c>
      <c r="AM4790">
        <v>1</v>
      </c>
    </row>
    <row r="4791" spans="1:39" x14ac:dyDescent="0.2">
      <c r="A4791" t="str">
        <f>"4787"</f>
        <v>4787</v>
      </c>
      <c r="B4791" t="str">
        <f t="shared" ref="B4791:B4854" si="267">"1"</f>
        <v>1</v>
      </c>
      <c r="C4791" t="str">
        <f t="shared" si="266"/>
        <v>96</v>
      </c>
      <c r="D4791" t="str">
        <f>"24"</f>
        <v>24</v>
      </c>
      <c r="E4791" t="str">
        <f>"1-96-24"</f>
        <v>1-96-24</v>
      </c>
      <c r="F4791" t="s">
        <v>65</v>
      </c>
      <c r="G4791" t="s">
        <v>66</v>
      </c>
      <c r="H4791" t="s">
        <v>67</v>
      </c>
      <c r="S4791">
        <v>1</v>
      </c>
      <c r="T4791">
        <v>0</v>
      </c>
      <c r="U4791">
        <v>0</v>
      </c>
      <c r="V4791">
        <v>0</v>
      </c>
      <c r="W4791">
        <v>1</v>
      </c>
      <c r="X4791">
        <v>0</v>
      </c>
      <c r="Y4791">
        <v>1</v>
      </c>
      <c r="Z4791">
        <v>0</v>
      </c>
      <c r="AA4791">
        <v>0</v>
      </c>
      <c r="AB4791">
        <v>0</v>
      </c>
      <c r="AC4791">
        <v>1</v>
      </c>
      <c r="AD4791">
        <v>1</v>
      </c>
      <c r="AE4791">
        <v>1</v>
      </c>
      <c r="AF4791">
        <v>1</v>
      </c>
      <c r="AG4791">
        <v>1</v>
      </c>
      <c r="AH4791">
        <v>1</v>
      </c>
      <c r="AI4791">
        <v>1</v>
      </c>
      <c r="AJ4791">
        <v>1</v>
      </c>
      <c r="AK4791">
        <v>1</v>
      </c>
      <c r="AL4791">
        <v>1</v>
      </c>
      <c r="AM4791">
        <v>1</v>
      </c>
    </row>
    <row r="4792" spans="1:39" x14ac:dyDescent="0.2">
      <c r="A4792" t="str">
        <f>"4788"</f>
        <v>4788</v>
      </c>
      <c r="B4792" t="str">
        <f t="shared" si="267"/>
        <v>1</v>
      </c>
      <c r="C4792" t="str">
        <f t="shared" si="266"/>
        <v>96</v>
      </c>
      <c r="D4792" t="str">
        <f>"5"</f>
        <v>5</v>
      </c>
      <c r="E4792" t="str">
        <f>"1-96-5"</f>
        <v>1-96-5</v>
      </c>
      <c r="F4792" t="s">
        <v>65</v>
      </c>
      <c r="G4792" t="s">
        <v>66</v>
      </c>
      <c r="H4792" t="s">
        <v>67</v>
      </c>
      <c r="S4792">
        <v>0</v>
      </c>
      <c r="T4792">
        <v>1</v>
      </c>
      <c r="U4792">
        <v>0</v>
      </c>
      <c r="V4792">
        <v>0</v>
      </c>
      <c r="W4792">
        <v>1</v>
      </c>
      <c r="X4792">
        <v>0</v>
      </c>
      <c r="Y4792">
        <v>1</v>
      </c>
      <c r="Z4792">
        <v>0</v>
      </c>
      <c r="AA4792">
        <v>0</v>
      </c>
      <c r="AB4792">
        <v>0</v>
      </c>
      <c r="AC4792">
        <v>1</v>
      </c>
      <c r="AD4792">
        <v>1</v>
      </c>
      <c r="AE4792">
        <v>1</v>
      </c>
      <c r="AF4792">
        <v>1</v>
      </c>
      <c r="AG4792">
        <v>1</v>
      </c>
      <c r="AH4792">
        <v>1</v>
      </c>
      <c r="AI4792">
        <v>1</v>
      </c>
      <c r="AJ4792">
        <v>1</v>
      </c>
      <c r="AK4792">
        <v>1</v>
      </c>
      <c r="AL4792">
        <v>1</v>
      </c>
      <c r="AM4792">
        <v>1</v>
      </c>
    </row>
    <row r="4793" spans="1:39" x14ac:dyDescent="0.2">
      <c r="A4793" t="str">
        <f>"4789"</f>
        <v>4789</v>
      </c>
      <c r="B4793" t="str">
        <f t="shared" si="267"/>
        <v>1</v>
      </c>
      <c r="C4793" t="str">
        <f t="shared" si="266"/>
        <v>96</v>
      </c>
      <c r="D4793" t="str">
        <f>"41"</f>
        <v>41</v>
      </c>
      <c r="E4793" t="str">
        <f>"1-96-41"</f>
        <v>1-96-41</v>
      </c>
      <c r="F4793" t="s">
        <v>65</v>
      </c>
      <c r="G4793" t="s">
        <v>66</v>
      </c>
      <c r="H4793" t="s">
        <v>67</v>
      </c>
      <c r="S4793">
        <v>1</v>
      </c>
      <c r="T4793">
        <v>0</v>
      </c>
      <c r="U4793">
        <v>0</v>
      </c>
      <c r="V4793">
        <v>0</v>
      </c>
      <c r="W4793">
        <v>1</v>
      </c>
      <c r="X4793">
        <v>0</v>
      </c>
      <c r="Y4793">
        <v>1</v>
      </c>
      <c r="Z4793">
        <v>0</v>
      </c>
      <c r="AA4793">
        <v>0</v>
      </c>
      <c r="AB4793">
        <v>0</v>
      </c>
      <c r="AC4793">
        <v>1</v>
      </c>
      <c r="AD4793">
        <v>1</v>
      </c>
      <c r="AE4793">
        <v>1</v>
      </c>
      <c r="AF4793">
        <v>1</v>
      </c>
      <c r="AG4793">
        <v>1</v>
      </c>
      <c r="AH4793">
        <v>1</v>
      </c>
      <c r="AI4793">
        <v>1</v>
      </c>
      <c r="AJ4793">
        <v>1</v>
      </c>
      <c r="AK4793">
        <v>1</v>
      </c>
      <c r="AL4793">
        <v>1</v>
      </c>
      <c r="AM4793">
        <v>1</v>
      </c>
    </row>
    <row r="4794" spans="1:39" x14ac:dyDescent="0.2">
      <c r="A4794" t="str">
        <f>"4790"</f>
        <v>4790</v>
      </c>
      <c r="B4794" t="str">
        <f t="shared" si="267"/>
        <v>1</v>
      </c>
      <c r="C4794" t="str">
        <f t="shared" si="266"/>
        <v>96</v>
      </c>
      <c r="D4794" t="str">
        <f>"25"</f>
        <v>25</v>
      </c>
      <c r="E4794" t="str">
        <f>"1-96-25"</f>
        <v>1-96-25</v>
      </c>
      <c r="F4794" t="s">
        <v>65</v>
      </c>
      <c r="G4794" t="s">
        <v>66</v>
      </c>
      <c r="H4794" t="s">
        <v>67</v>
      </c>
      <c r="S4794">
        <v>0</v>
      </c>
      <c r="T4794">
        <v>1</v>
      </c>
      <c r="U4794">
        <v>0</v>
      </c>
      <c r="V4794">
        <v>0</v>
      </c>
      <c r="W4794">
        <v>1</v>
      </c>
      <c r="X4794">
        <v>0</v>
      </c>
      <c r="Y4794">
        <v>0</v>
      </c>
      <c r="Z4794">
        <v>1</v>
      </c>
      <c r="AA4794">
        <v>0</v>
      </c>
      <c r="AB4794">
        <v>0</v>
      </c>
      <c r="AC4794">
        <v>1</v>
      </c>
      <c r="AD4794">
        <v>1</v>
      </c>
      <c r="AE4794">
        <v>1</v>
      </c>
      <c r="AF4794">
        <v>0</v>
      </c>
      <c r="AG4794">
        <v>1</v>
      </c>
      <c r="AH4794">
        <v>1</v>
      </c>
      <c r="AI4794">
        <v>1</v>
      </c>
      <c r="AJ4794">
        <v>1</v>
      </c>
      <c r="AK4794">
        <v>1</v>
      </c>
      <c r="AL4794">
        <v>1</v>
      </c>
      <c r="AM4794">
        <v>1</v>
      </c>
    </row>
    <row r="4795" spans="1:39" x14ac:dyDescent="0.2">
      <c r="A4795" t="str">
        <f>"4791"</f>
        <v>4791</v>
      </c>
      <c r="B4795" t="str">
        <f t="shared" si="267"/>
        <v>1</v>
      </c>
      <c r="C4795" t="str">
        <f t="shared" si="266"/>
        <v>96</v>
      </c>
      <c r="D4795" t="str">
        <f>"9"</f>
        <v>9</v>
      </c>
      <c r="E4795" t="str">
        <f>"1-96-9"</f>
        <v>1-96-9</v>
      </c>
      <c r="F4795" t="s">
        <v>65</v>
      </c>
      <c r="G4795" t="s">
        <v>66</v>
      </c>
      <c r="H4795" t="s">
        <v>67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</row>
    <row r="4796" spans="1:39" x14ac:dyDescent="0.2">
      <c r="A4796" t="str">
        <f>"4792"</f>
        <v>4792</v>
      </c>
      <c r="B4796" t="str">
        <f t="shared" si="267"/>
        <v>1</v>
      </c>
      <c r="C4796" t="str">
        <f t="shared" si="266"/>
        <v>96</v>
      </c>
      <c r="D4796" t="str">
        <f>"47"</f>
        <v>47</v>
      </c>
      <c r="E4796" t="str">
        <f>"1-96-47"</f>
        <v>1-96-47</v>
      </c>
      <c r="F4796" t="s">
        <v>65</v>
      </c>
      <c r="G4796" t="s">
        <v>66</v>
      </c>
      <c r="H4796" t="s">
        <v>67</v>
      </c>
      <c r="S4796">
        <v>0</v>
      </c>
      <c r="T4796">
        <v>1</v>
      </c>
      <c r="U4796">
        <v>0</v>
      </c>
      <c r="V4796">
        <v>0</v>
      </c>
      <c r="W4796">
        <v>0</v>
      </c>
      <c r="X4796">
        <v>1</v>
      </c>
      <c r="Y4796">
        <v>0</v>
      </c>
      <c r="Z4796">
        <v>1</v>
      </c>
      <c r="AA4796">
        <v>0</v>
      </c>
      <c r="AB4796">
        <v>1</v>
      </c>
      <c r="AC4796">
        <v>0</v>
      </c>
      <c r="AD4796">
        <v>1</v>
      </c>
      <c r="AE4796">
        <v>1</v>
      </c>
      <c r="AF4796">
        <v>1</v>
      </c>
      <c r="AG4796">
        <v>1</v>
      </c>
      <c r="AH4796">
        <v>1</v>
      </c>
      <c r="AI4796">
        <v>0</v>
      </c>
      <c r="AJ4796">
        <v>0</v>
      </c>
      <c r="AK4796">
        <v>0</v>
      </c>
      <c r="AL4796">
        <v>1</v>
      </c>
      <c r="AM4796">
        <v>1</v>
      </c>
    </row>
    <row r="4797" spans="1:39" x14ac:dyDescent="0.2">
      <c r="A4797" t="str">
        <f>"4793"</f>
        <v>4793</v>
      </c>
      <c r="B4797" t="str">
        <f t="shared" si="267"/>
        <v>1</v>
      </c>
      <c r="C4797" t="str">
        <f t="shared" si="266"/>
        <v>96</v>
      </c>
      <c r="D4797" t="str">
        <f>"28"</f>
        <v>28</v>
      </c>
      <c r="E4797" t="str">
        <f>"1-96-28"</f>
        <v>1-96-28</v>
      </c>
      <c r="F4797" t="s">
        <v>65</v>
      </c>
      <c r="G4797" t="s">
        <v>66</v>
      </c>
      <c r="H4797" t="s">
        <v>67</v>
      </c>
      <c r="S4797">
        <v>0</v>
      </c>
      <c r="T4797">
        <v>1</v>
      </c>
      <c r="U4797">
        <v>0</v>
      </c>
      <c r="V4797">
        <v>0</v>
      </c>
      <c r="W4797">
        <v>1</v>
      </c>
      <c r="X4797">
        <v>0</v>
      </c>
      <c r="Y4797">
        <v>0</v>
      </c>
      <c r="Z4797">
        <v>1</v>
      </c>
      <c r="AA4797">
        <v>0</v>
      </c>
      <c r="AB4797">
        <v>0</v>
      </c>
      <c r="AC4797">
        <v>1</v>
      </c>
      <c r="AD4797">
        <v>1</v>
      </c>
      <c r="AE4797">
        <v>1</v>
      </c>
      <c r="AF4797">
        <v>1</v>
      </c>
      <c r="AG4797">
        <v>1</v>
      </c>
      <c r="AH4797">
        <v>1</v>
      </c>
      <c r="AI4797">
        <v>1</v>
      </c>
      <c r="AJ4797">
        <v>1</v>
      </c>
      <c r="AK4797">
        <v>1</v>
      </c>
      <c r="AL4797">
        <v>1</v>
      </c>
      <c r="AM4797">
        <v>1</v>
      </c>
    </row>
    <row r="4798" spans="1:39" x14ac:dyDescent="0.2">
      <c r="A4798" t="str">
        <f>"4794"</f>
        <v>4794</v>
      </c>
      <c r="B4798" t="str">
        <f t="shared" si="267"/>
        <v>1</v>
      </c>
      <c r="C4798" t="str">
        <f t="shared" si="266"/>
        <v>96</v>
      </c>
      <c r="D4798" t="str">
        <f>"4"</f>
        <v>4</v>
      </c>
      <c r="E4798" t="str">
        <f>"1-96-4"</f>
        <v>1-96-4</v>
      </c>
      <c r="F4798" t="s">
        <v>65</v>
      </c>
      <c r="G4798" t="s">
        <v>66</v>
      </c>
      <c r="H4798" t="s">
        <v>67</v>
      </c>
      <c r="S4798">
        <v>0</v>
      </c>
      <c r="T4798">
        <v>1</v>
      </c>
      <c r="U4798">
        <v>0</v>
      </c>
      <c r="V4798">
        <v>0</v>
      </c>
      <c r="W4798">
        <v>0</v>
      </c>
      <c r="X4798">
        <v>1</v>
      </c>
      <c r="Y4798">
        <v>1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1</v>
      </c>
      <c r="AF4798">
        <v>1</v>
      </c>
      <c r="AG4798">
        <v>1</v>
      </c>
      <c r="AH4798">
        <v>1</v>
      </c>
      <c r="AI4798">
        <v>1</v>
      </c>
      <c r="AJ4798">
        <v>1</v>
      </c>
      <c r="AK4798">
        <v>1</v>
      </c>
      <c r="AL4798">
        <v>1</v>
      </c>
      <c r="AM4798">
        <v>1</v>
      </c>
    </row>
    <row r="4799" spans="1:39" x14ac:dyDescent="0.2">
      <c r="A4799" t="str">
        <f>"4795"</f>
        <v>4795</v>
      </c>
      <c r="B4799" t="str">
        <f t="shared" si="267"/>
        <v>1</v>
      </c>
      <c r="C4799" t="str">
        <f t="shared" si="266"/>
        <v>96</v>
      </c>
      <c r="D4799" t="str">
        <f>"43"</f>
        <v>43</v>
      </c>
      <c r="E4799" t="str">
        <f>"1-96-43"</f>
        <v>1-96-43</v>
      </c>
      <c r="F4799" t="s">
        <v>65</v>
      </c>
      <c r="G4799" t="s">
        <v>66</v>
      </c>
      <c r="H4799" t="s">
        <v>67</v>
      </c>
      <c r="S4799">
        <v>1</v>
      </c>
      <c r="T4799">
        <v>0</v>
      </c>
      <c r="U4799">
        <v>0</v>
      </c>
      <c r="V4799">
        <v>0</v>
      </c>
      <c r="W4799">
        <v>1</v>
      </c>
      <c r="X4799">
        <v>0</v>
      </c>
      <c r="Y4799">
        <v>1</v>
      </c>
      <c r="Z4799">
        <v>0</v>
      </c>
      <c r="AA4799">
        <v>0</v>
      </c>
      <c r="AB4799">
        <v>0</v>
      </c>
      <c r="AC4799">
        <v>1</v>
      </c>
      <c r="AD4799">
        <v>1</v>
      </c>
      <c r="AE4799">
        <v>1</v>
      </c>
      <c r="AF4799">
        <v>1</v>
      </c>
      <c r="AG4799">
        <v>1</v>
      </c>
      <c r="AH4799">
        <v>1</v>
      </c>
      <c r="AI4799">
        <v>1</v>
      </c>
      <c r="AJ4799">
        <v>1</v>
      </c>
      <c r="AK4799">
        <v>1</v>
      </c>
      <c r="AL4799">
        <v>1</v>
      </c>
      <c r="AM4799">
        <v>1</v>
      </c>
    </row>
    <row r="4800" spans="1:39" x14ac:dyDescent="0.2">
      <c r="A4800" t="str">
        <f>"4796"</f>
        <v>4796</v>
      </c>
      <c r="B4800" t="str">
        <f t="shared" si="267"/>
        <v>1</v>
      </c>
      <c r="C4800" t="str">
        <f t="shared" si="266"/>
        <v>96</v>
      </c>
      <c r="D4800" t="str">
        <f>"29"</f>
        <v>29</v>
      </c>
      <c r="E4800" t="str">
        <f>"1-96-29"</f>
        <v>1-96-29</v>
      </c>
      <c r="F4800" t="s">
        <v>65</v>
      </c>
      <c r="G4800" t="s">
        <v>66</v>
      </c>
      <c r="H4800" t="s">
        <v>67</v>
      </c>
      <c r="S4800">
        <v>0</v>
      </c>
      <c r="T4800">
        <v>1</v>
      </c>
      <c r="U4800">
        <v>0</v>
      </c>
      <c r="V4800">
        <v>0</v>
      </c>
      <c r="W4800">
        <v>0</v>
      </c>
      <c r="X4800">
        <v>1</v>
      </c>
      <c r="Y4800">
        <v>0</v>
      </c>
      <c r="Z4800">
        <v>1</v>
      </c>
      <c r="AA4800">
        <v>0</v>
      </c>
      <c r="AB4800">
        <v>1</v>
      </c>
      <c r="AC4800">
        <v>0</v>
      </c>
      <c r="AD4800">
        <v>1</v>
      </c>
      <c r="AE4800">
        <v>1</v>
      </c>
      <c r="AF4800">
        <v>1</v>
      </c>
      <c r="AG4800">
        <v>1</v>
      </c>
      <c r="AH4800">
        <v>1</v>
      </c>
      <c r="AI4800">
        <v>1</v>
      </c>
      <c r="AJ4800">
        <v>1</v>
      </c>
      <c r="AK4800">
        <v>1</v>
      </c>
      <c r="AL4800">
        <v>1</v>
      </c>
      <c r="AM4800">
        <v>1</v>
      </c>
    </row>
    <row r="4801" spans="1:39" x14ac:dyDescent="0.2">
      <c r="A4801" t="str">
        <f>"4797"</f>
        <v>4797</v>
      </c>
      <c r="B4801" t="str">
        <f t="shared" si="267"/>
        <v>1</v>
      </c>
      <c r="C4801" t="str">
        <f t="shared" si="266"/>
        <v>96</v>
      </c>
      <c r="D4801" t="str">
        <f>"2"</f>
        <v>2</v>
      </c>
      <c r="E4801" t="str">
        <f>"1-96-2"</f>
        <v>1-96-2</v>
      </c>
      <c r="F4801" t="s">
        <v>65</v>
      </c>
      <c r="G4801" t="s">
        <v>66</v>
      </c>
      <c r="H4801" t="s">
        <v>67</v>
      </c>
      <c r="S4801">
        <v>1</v>
      </c>
      <c r="T4801">
        <v>0</v>
      </c>
      <c r="U4801">
        <v>0</v>
      </c>
      <c r="V4801">
        <v>0</v>
      </c>
      <c r="W4801">
        <v>0</v>
      </c>
      <c r="X4801">
        <v>1</v>
      </c>
      <c r="Y4801">
        <v>1</v>
      </c>
      <c r="Z4801">
        <v>0</v>
      </c>
      <c r="AA4801">
        <v>0</v>
      </c>
      <c r="AB4801">
        <v>1</v>
      </c>
      <c r="AC4801">
        <v>0</v>
      </c>
      <c r="AD4801">
        <v>1</v>
      </c>
      <c r="AE4801">
        <v>1</v>
      </c>
      <c r="AF4801">
        <v>1</v>
      </c>
      <c r="AG4801">
        <v>1</v>
      </c>
      <c r="AH4801">
        <v>1</v>
      </c>
      <c r="AI4801">
        <v>1</v>
      </c>
      <c r="AJ4801">
        <v>1</v>
      </c>
      <c r="AK4801">
        <v>1</v>
      </c>
      <c r="AL4801">
        <v>1</v>
      </c>
      <c r="AM4801">
        <v>1</v>
      </c>
    </row>
    <row r="4802" spans="1:39" x14ac:dyDescent="0.2">
      <c r="A4802" t="str">
        <f>"4798"</f>
        <v>4798</v>
      </c>
      <c r="B4802" t="str">
        <f t="shared" si="267"/>
        <v>1</v>
      </c>
      <c r="C4802" t="str">
        <f t="shared" si="266"/>
        <v>96</v>
      </c>
      <c r="D4802" t="str">
        <f>"46"</f>
        <v>46</v>
      </c>
      <c r="E4802" t="str">
        <f>"1-96-46"</f>
        <v>1-96-46</v>
      </c>
      <c r="F4802" t="s">
        <v>65</v>
      </c>
      <c r="G4802" t="s">
        <v>66</v>
      </c>
      <c r="H4802" t="s">
        <v>67</v>
      </c>
      <c r="S4802">
        <v>0</v>
      </c>
      <c r="T4802">
        <v>1</v>
      </c>
      <c r="U4802">
        <v>0</v>
      </c>
      <c r="V4802">
        <v>0</v>
      </c>
      <c r="W4802">
        <v>1</v>
      </c>
      <c r="X4802">
        <v>0</v>
      </c>
      <c r="Y4802">
        <v>1</v>
      </c>
      <c r="Z4802">
        <v>0</v>
      </c>
      <c r="AA4802">
        <v>0</v>
      </c>
      <c r="AB4802">
        <v>1</v>
      </c>
      <c r="AC4802">
        <v>0</v>
      </c>
      <c r="AD4802">
        <v>1</v>
      </c>
      <c r="AE4802">
        <v>1</v>
      </c>
      <c r="AF4802">
        <v>1</v>
      </c>
      <c r="AG4802">
        <v>1</v>
      </c>
      <c r="AH4802">
        <v>1</v>
      </c>
      <c r="AI4802">
        <v>1</v>
      </c>
      <c r="AJ4802">
        <v>1</v>
      </c>
      <c r="AK4802">
        <v>1</v>
      </c>
      <c r="AL4802">
        <v>1</v>
      </c>
      <c r="AM4802">
        <v>1</v>
      </c>
    </row>
    <row r="4803" spans="1:39" x14ac:dyDescent="0.2">
      <c r="A4803" t="str">
        <f>"4799"</f>
        <v>4799</v>
      </c>
      <c r="B4803" t="str">
        <f t="shared" si="267"/>
        <v>1</v>
      </c>
      <c r="C4803" t="str">
        <f t="shared" si="266"/>
        <v>96</v>
      </c>
      <c r="D4803" t="str">
        <f>"30"</f>
        <v>30</v>
      </c>
      <c r="E4803" t="str">
        <f>"1-96-30"</f>
        <v>1-96-30</v>
      </c>
      <c r="F4803" t="s">
        <v>65</v>
      </c>
      <c r="G4803" t="s">
        <v>66</v>
      </c>
      <c r="H4803" t="s">
        <v>67</v>
      </c>
      <c r="S4803">
        <v>1</v>
      </c>
      <c r="T4803">
        <v>0</v>
      </c>
      <c r="U4803">
        <v>0</v>
      </c>
      <c r="V4803">
        <v>0</v>
      </c>
      <c r="W4803">
        <v>1</v>
      </c>
      <c r="X4803">
        <v>0</v>
      </c>
      <c r="Y4803">
        <v>0</v>
      </c>
      <c r="Z4803">
        <v>1</v>
      </c>
      <c r="AA4803">
        <v>1</v>
      </c>
      <c r="AB4803">
        <v>0</v>
      </c>
      <c r="AC4803">
        <v>0</v>
      </c>
      <c r="AD4803">
        <v>1</v>
      </c>
      <c r="AE4803">
        <v>1</v>
      </c>
      <c r="AF4803">
        <v>1</v>
      </c>
      <c r="AG4803">
        <v>1</v>
      </c>
      <c r="AH4803">
        <v>1</v>
      </c>
      <c r="AI4803">
        <v>1</v>
      </c>
      <c r="AJ4803">
        <v>1</v>
      </c>
      <c r="AK4803">
        <v>1</v>
      </c>
      <c r="AL4803">
        <v>1</v>
      </c>
      <c r="AM4803">
        <v>1</v>
      </c>
    </row>
    <row r="4804" spans="1:39" x14ac:dyDescent="0.2">
      <c r="A4804" t="str">
        <f>"4800"</f>
        <v>4800</v>
      </c>
      <c r="B4804" t="str">
        <f t="shared" si="267"/>
        <v>1</v>
      </c>
      <c r="C4804" t="str">
        <f t="shared" si="266"/>
        <v>96</v>
      </c>
      <c r="D4804" t="str">
        <f>"12"</f>
        <v>12</v>
      </c>
      <c r="E4804" t="str">
        <f>"1-96-12"</f>
        <v>1-96-12</v>
      </c>
      <c r="F4804" t="s">
        <v>65</v>
      </c>
      <c r="G4804" t="s">
        <v>66</v>
      </c>
      <c r="H4804" t="s">
        <v>67</v>
      </c>
      <c r="S4804">
        <v>0</v>
      </c>
      <c r="T4804">
        <v>1</v>
      </c>
      <c r="U4804">
        <v>0</v>
      </c>
      <c r="V4804">
        <v>0</v>
      </c>
      <c r="W4804">
        <v>0</v>
      </c>
      <c r="X4804">
        <v>1</v>
      </c>
      <c r="Y4804">
        <v>0</v>
      </c>
      <c r="Z4804">
        <v>1</v>
      </c>
      <c r="AA4804">
        <v>0</v>
      </c>
      <c r="AB4804">
        <v>1</v>
      </c>
      <c r="AC4804">
        <v>0</v>
      </c>
      <c r="AD4804">
        <v>1</v>
      </c>
      <c r="AE4804">
        <v>1</v>
      </c>
      <c r="AF4804">
        <v>1</v>
      </c>
      <c r="AG4804">
        <v>1</v>
      </c>
      <c r="AH4804">
        <v>1</v>
      </c>
      <c r="AI4804">
        <v>1</v>
      </c>
      <c r="AJ4804">
        <v>1</v>
      </c>
      <c r="AK4804">
        <v>1</v>
      </c>
      <c r="AL4804">
        <v>1</v>
      </c>
      <c r="AM4804">
        <v>1</v>
      </c>
    </row>
    <row r="4805" spans="1:39" x14ac:dyDescent="0.2">
      <c r="A4805" t="str">
        <f>"4801"</f>
        <v>4801</v>
      </c>
      <c r="B4805" t="str">
        <f t="shared" si="267"/>
        <v>1</v>
      </c>
      <c r="C4805" t="str">
        <f t="shared" ref="C4805:C4836" si="268">"97"</f>
        <v>97</v>
      </c>
      <c r="D4805" t="str">
        <f>"36"</f>
        <v>36</v>
      </c>
      <c r="E4805" t="str">
        <f>"1-97-36"</f>
        <v>1-97-36</v>
      </c>
      <c r="F4805" t="s">
        <v>65</v>
      </c>
      <c r="G4805" t="s">
        <v>66</v>
      </c>
      <c r="H4805" t="s">
        <v>67</v>
      </c>
      <c r="S4805">
        <v>1</v>
      </c>
      <c r="T4805">
        <v>0</v>
      </c>
      <c r="U4805">
        <v>0</v>
      </c>
      <c r="V4805">
        <v>0</v>
      </c>
      <c r="W4805">
        <v>0</v>
      </c>
      <c r="X4805">
        <v>1</v>
      </c>
      <c r="Y4805">
        <v>1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1</v>
      </c>
      <c r="AF4805">
        <v>1</v>
      </c>
      <c r="AG4805">
        <v>1</v>
      </c>
      <c r="AH4805">
        <v>1</v>
      </c>
      <c r="AI4805">
        <v>1</v>
      </c>
      <c r="AJ4805">
        <v>1</v>
      </c>
      <c r="AK4805">
        <v>1</v>
      </c>
      <c r="AL4805">
        <v>1</v>
      </c>
      <c r="AM4805">
        <v>1</v>
      </c>
    </row>
    <row r="4806" spans="1:39" x14ac:dyDescent="0.2">
      <c r="A4806" t="str">
        <f>"4802"</f>
        <v>4802</v>
      </c>
      <c r="B4806" t="str">
        <f t="shared" si="267"/>
        <v>1</v>
      </c>
      <c r="C4806" t="str">
        <f t="shared" si="268"/>
        <v>97</v>
      </c>
      <c r="D4806" t="str">
        <f>"35"</f>
        <v>35</v>
      </c>
      <c r="E4806" t="str">
        <f>"1-97-35"</f>
        <v>1-97-35</v>
      </c>
      <c r="F4806" t="s">
        <v>65</v>
      </c>
      <c r="G4806" t="s">
        <v>66</v>
      </c>
      <c r="H4806" t="s">
        <v>67</v>
      </c>
      <c r="S4806">
        <v>1</v>
      </c>
      <c r="T4806">
        <v>0</v>
      </c>
      <c r="U4806">
        <v>0</v>
      </c>
      <c r="V4806">
        <v>0</v>
      </c>
      <c r="W4806">
        <v>1</v>
      </c>
      <c r="X4806">
        <v>0</v>
      </c>
      <c r="Y4806">
        <v>1</v>
      </c>
      <c r="Z4806">
        <v>0</v>
      </c>
      <c r="AA4806">
        <v>1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</row>
    <row r="4807" spans="1:39" x14ac:dyDescent="0.2">
      <c r="A4807" t="str">
        <f>"4803"</f>
        <v>4803</v>
      </c>
      <c r="B4807" t="str">
        <f t="shared" si="267"/>
        <v>1</v>
      </c>
      <c r="C4807" t="str">
        <f t="shared" si="268"/>
        <v>97</v>
      </c>
      <c r="D4807" t="str">
        <f>"25"</f>
        <v>25</v>
      </c>
      <c r="E4807" t="str">
        <f>"1-97-25"</f>
        <v>1-97-25</v>
      </c>
      <c r="F4807" t="s">
        <v>65</v>
      </c>
      <c r="G4807" t="s">
        <v>66</v>
      </c>
      <c r="H4807" t="s">
        <v>67</v>
      </c>
      <c r="S4807">
        <v>1</v>
      </c>
      <c r="T4807">
        <v>0</v>
      </c>
      <c r="U4807">
        <v>0</v>
      </c>
      <c r="V4807">
        <v>0</v>
      </c>
      <c r="W4807">
        <v>1</v>
      </c>
      <c r="X4807">
        <v>0</v>
      </c>
      <c r="Y4807">
        <v>1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1</v>
      </c>
      <c r="AF4807">
        <v>1</v>
      </c>
      <c r="AG4807">
        <v>1</v>
      </c>
      <c r="AH4807">
        <v>1</v>
      </c>
      <c r="AI4807">
        <v>1</v>
      </c>
      <c r="AJ4807">
        <v>1</v>
      </c>
      <c r="AK4807">
        <v>1</v>
      </c>
      <c r="AL4807">
        <v>1</v>
      </c>
      <c r="AM4807">
        <v>1</v>
      </c>
    </row>
    <row r="4808" spans="1:39" x14ac:dyDescent="0.2">
      <c r="A4808" t="str">
        <f>"4804"</f>
        <v>4804</v>
      </c>
      <c r="B4808" t="str">
        <f t="shared" si="267"/>
        <v>1</v>
      </c>
      <c r="C4808" t="str">
        <f t="shared" si="268"/>
        <v>97</v>
      </c>
      <c r="D4808" t="str">
        <f>"15"</f>
        <v>15</v>
      </c>
      <c r="E4808" t="str">
        <f>"1-97-15"</f>
        <v>1-97-15</v>
      </c>
      <c r="F4808" t="s">
        <v>65</v>
      </c>
      <c r="G4808" t="s">
        <v>66</v>
      </c>
      <c r="H4808" t="s">
        <v>67</v>
      </c>
      <c r="S4808">
        <v>1</v>
      </c>
      <c r="T4808">
        <v>0</v>
      </c>
      <c r="U4808">
        <v>0</v>
      </c>
      <c r="V4808">
        <v>0</v>
      </c>
      <c r="W4808">
        <v>1</v>
      </c>
      <c r="X4808">
        <v>0</v>
      </c>
      <c r="Y4808">
        <v>1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1</v>
      </c>
      <c r="AF4808">
        <v>1</v>
      </c>
      <c r="AG4808">
        <v>1</v>
      </c>
      <c r="AH4808">
        <v>1</v>
      </c>
      <c r="AI4808">
        <v>1</v>
      </c>
      <c r="AJ4808">
        <v>1</v>
      </c>
      <c r="AK4808">
        <v>1</v>
      </c>
      <c r="AL4808">
        <v>1</v>
      </c>
      <c r="AM4808">
        <v>1</v>
      </c>
    </row>
    <row r="4809" spans="1:39" x14ac:dyDescent="0.2">
      <c r="A4809" t="str">
        <f>"4805"</f>
        <v>4805</v>
      </c>
      <c r="B4809" t="str">
        <f t="shared" si="267"/>
        <v>1</v>
      </c>
      <c r="C4809" t="str">
        <f t="shared" si="268"/>
        <v>97</v>
      </c>
      <c r="D4809" t="str">
        <f>"2"</f>
        <v>2</v>
      </c>
      <c r="E4809" t="str">
        <f>"1-97-2"</f>
        <v>1-97-2</v>
      </c>
      <c r="F4809" t="s">
        <v>65</v>
      </c>
      <c r="G4809" t="s">
        <v>66</v>
      </c>
      <c r="H4809" t="s">
        <v>67</v>
      </c>
      <c r="S4809">
        <v>1</v>
      </c>
      <c r="T4809">
        <v>0</v>
      </c>
      <c r="U4809">
        <v>0</v>
      </c>
      <c r="V4809">
        <v>0</v>
      </c>
      <c r="W4809">
        <v>1</v>
      </c>
      <c r="X4809">
        <v>0</v>
      </c>
      <c r="Y4809">
        <v>1</v>
      </c>
      <c r="Z4809">
        <v>0</v>
      </c>
      <c r="AA4809">
        <v>0</v>
      </c>
      <c r="AB4809">
        <v>1</v>
      </c>
      <c r="AC4809">
        <v>0</v>
      </c>
      <c r="AD4809">
        <v>1</v>
      </c>
      <c r="AE4809">
        <v>1</v>
      </c>
      <c r="AF4809">
        <v>1</v>
      </c>
      <c r="AG4809">
        <v>1</v>
      </c>
      <c r="AH4809">
        <v>1</v>
      </c>
      <c r="AI4809">
        <v>1</v>
      </c>
      <c r="AJ4809">
        <v>1</v>
      </c>
      <c r="AK4809">
        <v>1</v>
      </c>
      <c r="AL4809">
        <v>1</v>
      </c>
      <c r="AM4809">
        <v>1</v>
      </c>
    </row>
    <row r="4810" spans="1:39" x14ac:dyDescent="0.2">
      <c r="A4810" t="str">
        <f>"4806"</f>
        <v>4806</v>
      </c>
      <c r="B4810" t="str">
        <f t="shared" si="267"/>
        <v>1</v>
      </c>
      <c r="C4810" t="str">
        <f t="shared" si="268"/>
        <v>97</v>
      </c>
      <c r="D4810" t="str">
        <f>"38"</f>
        <v>38</v>
      </c>
      <c r="E4810" t="str">
        <f>"1-97-38"</f>
        <v>1-97-38</v>
      </c>
      <c r="F4810" t="s">
        <v>65</v>
      </c>
      <c r="G4810" t="s">
        <v>66</v>
      </c>
      <c r="H4810" t="s">
        <v>67</v>
      </c>
      <c r="S4810">
        <v>0</v>
      </c>
      <c r="T4810">
        <v>0</v>
      </c>
      <c r="U4810">
        <v>0</v>
      </c>
      <c r="V4810">
        <v>0</v>
      </c>
      <c r="W4810">
        <v>1</v>
      </c>
      <c r="X4810">
        <v>0</v>
      </c>
      <c r="Y4810">
        <v>1</v>
      </c>
      <c r="Z4810">
        <v>0</v>
      </c>
      <c r="AA4810">
        <v>0</v>
      </c>
      <c r="AB4810">
        <v>0</v>
      </c>
      <c r="AC4810">
        <v>1</v>
      </c>
      <c r="AD4810">
        <v>1</v>
      </c>
      <c r="AE4810">
        <v>1</v>
      </c>
      <c r="AF4810">
        <v>1</v>
      </c>
      <c r="AG4810">
        <v>1</v>
      </c>
      <c r="AH4810">
        <v>1</v>
      </c>
      <c r="AI4810">
        <v>1</v>
      </c>
      <c r="AJ4810">
        <v>1</v>
      </c>
      <c r="AK4810">
        <v>1</v>
      </c>
      <c r="AL4810">
        <v>0</v>
      </c>
      <c r="AM4810">
        <v>1</v>
      </c>
    </row>
    <row r="4811" spans="1:39" x14ac:dyDescent="0.2">
      <c r="A4811" t="str">
        <f>"4807"</f>
        <v>4807</v>
      </c>
      <c r="B4811" t="str">
        <f t="shared" si="267"/>
        <v>1</v>
      </c>
      <c r="C4811" t="str">
        <f t="shared" si="268"/>
        <v>97</v>
      </c>
      <c r="D4811" t="str">
        <f>"37"</f>
        <v>37</v>
      </c>
      <c r="E4811" t="str">
        <f>"1-97-37"</f>
        <v>1-97-37</v>
      </c>
      <c r="F4811" t="s">
        <v>65</v>
      </c>
      <c r="G4811" t="s">
        <v>66</v>
      </c>
      <c r="H4811" t="s">
        <v>67</v>
      </c>
      <c r="S4811">
        <v>1</v>
      </c>
      <c r="T4811">
        <v>0</v>
      </c>
      <c r="U4811">
        <v>0</v>
      </c>
      <c r="V4811">
        <v>0</v>
      </c>
      <c r="W4811">
        <v>1</v>
      </c>
      <c r="X4811">
        <v>0</v>
      </c>
      <c r="Y4811">
        <v>1</v>
      </c>
      <c r="Z4811">
        <v>0</v>
      </c>
      <c r="AA4811">
        <v>1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1</v>
      </c>
      <c r="AH4811">
        <v>0</v>
      </c>
      <c r="AI4811">
        <v>0</v>
      </c>
      <c r="AJ4811">
        <v>0</v>
      </c>
      <c r="AK4811">
        <v>0</v>
      </c>
      <c r="AL4811">
        <v>1</v>
      </c>
      <c r="AM4811">
        <v>1</v>
      </c>
    </row>
    <row r="4812" spans="1:39" x14ac:dyDescent="0.2">
      <c r="A4812" t="str">
        <f>"4808"</f>
        <v>4808</v>
      </c>
      <c r="B4812" t="str">
        <f t="shared" si="267"/>
        <v>1</v>
      </c>
      <c r="C4812" t="str">
        <f t="shared" si="268"/>
        <v>97</v>
      </c>
      <c r="D4812" t="str">
        <f>"23"</f>
        <v>23</v>
      </c>
      <c r="E4812" t="str">
        <f>"1-97-23"</f>
        <v>1-97-23</v>
      </c>
      <c r="F4812" t="s">
        <v>65</v>
      </c>
      <c r="G4812" t="s">
        <v>66</v>
      </c>
      <c r="H4812" t="s">
        <v>67</v>
      </c>
      <c r="S4812">
        <v>1</v>
      </c>
      <c r="T4812">
        <v>0</v>
      </c>
      <c r="U4812">
        <v>0</v>
      </c>
      <c r="V4812">
        <v>0</v>
      </c>
      <c r="W4812">
        <v>1</v>
      </c>
      <c r="X4812">
        <v>0</v>
      </c>
      <c r="Y4812">
        <v>1</v>
      </c>
      <c r="Z4812">
        <v>0</v>
      </c>
      <c r="AA4812">
        <v>0</v>
      </c>
      <c r="AB4812">
        <v>0</v>
      </c>
      <c r="AC4812">
        <v>0</v>
      </c>
      <c r="AD4812">
        <v>1</v>
      </c>
      <c r="AE4812">
        <v>1</v>
      </c>
      <c r="AF4812">
        <v>1</v>
      </c>
      <c r="AG4812">
        <v>1</v>
      </c>
      <c r="AH4812">
        <v>1</v>
      </c>
      <c r="AI4812">
        <v>1</v>
      </c>
      <c r="AJ4812">
        <v>1</v>
      </c>
      <c r="AK4812">
        <v>1</v>
      </c>
      <c r="AL4812">
        <v>1</v>
      </c>
      <c r="AM4812">
        <v>1</v>
      </c>
    </row>
    <row r="4813" spans="1:39" x14ac:dyDescent="0.2">
      <c r="A4813" t="str">
        <f>"4809"</f>
        <v>4809</v>
      </c>
      <c r="B4813" t="str">
        <f t="shared" si="267"/>
        <v>1</v>
      </c>
      <c r="C4813" t="str">
        <f t="shared" si="268"/>
        <v>97</v>
      </c>
      <c r="D4813" t="str">
        <f>"16"</f>
        <v>16</v>
      </c>
      <c r="E4813" t="str">
        <f>"1-97-16"</f>
        <v>1-97-16</v>
      </c>
      <c r="F4813" t="s">
        <v>65</v>
      </c>
      <c r="G4813" t="s">
        <v>66</v>
      </c>
      <c r="H4813" t="s">
        <v>67</v>
      </c>
      <c r="S4813">
        <v>1</v>
      </c>
      <c r="T4813">
        <v>0</v>
      </c>
      <c r="U4813">
        <v>0</v>
      </c>
      <c r="V4813">
        <v>0</v>
      </c>
      <c r="W4813">
        <v>1</v>
      </c>
      <c r="X4813">
        <v>0</v>
      </c>
      <c r="Y4813">
        <v>1</v>
      </c>
      <c r="Z4813">
        <v>0</v>
      </c>
      <c r="AA4813">
        <v>0</v>
      </c>
      <c r="AB4813">
        <v>0</v>
      </c>
      <c r="AC4813">
        <v>1</v>
      </c>
      <c r="AD4813">
        <v>0</v>
      </c>
      <c r="AE4813">
        <v>0</v>
      </c>
      <c r="AF4813">
        <v>0</v>
      </c>
      <c r="AG4813">
        <v>1</v>
      </c>
      <c r="AH4813">
        <v>1</v>
      </c>
      <c r="AI4813">
        <v>1</v>
      </c>
      <c r="AJ4813">
        <v>1</v>
      </c>
      <c r="AK4813">
        <v>1</v>
      </c>
      <c r="AL4813">
        <v>1</v>
      </c>
      <c r="AM4813">
        <v>1</v>
      </c>
    </row>
    <row r="4814" spans="1:39" x14ac:dyDescent="0.2">
      <c r="A4814" t="str">
        <f>"4810"</f>
        <v>4810</v>
      </c>
      <c r="B4814" t="str">
        <f t="shared" si="267"/>
        <v>1</v>
      </c>
      <c r="C4814" t="str">
        <f t="shared" si="268"/>
        <v>97</v>
      </c>
      <c r="D4814" t="str">
        <f>"4"</f>
        <v>4</v>
      </c>
      <c r="E4814" t="str">
        <f>"1-97-4"</f>
        <v>1-97-4</v>
      </c>
      <c r="F4814" t="s">
        <v>65</v>
      </c>
      <c r="G4814" t="s">
        <v>66</v>
      </c>
      <c r="H4814" t="s">
        <v>67</v>
      </c>
      <c r="S4814">
        <v>0</v>
      </c>
      <c r="T4814">
        <v>1</v>
      </c>
      <c r="U4814">
        <v>0</v>
      </c>
      <c r="V4814">
        <v>0</v>
      </c>
      <c r="W4814">
        <v>1</v>
      </c>
      <c r="X4814">
        <v>0</v>
      </c>
      <c r="Y4814">
        <v>0</v>
      </c>
      <c r="Z4814">
        <v>1</v>
      </c>
      <c r="AA4814">
        <v>1</v>
      </c>
      <c r="AB4814">
        <v>0</v>
      </c>
      <c r="AC4814">
        <v>0</v>
      </c>
      <c r="AD4814">
        <v>1</v>
      </c>
      <c r="AE4814">
        <v>1</v>
      </c>
      <c r="AF4814">
        <v>1</v>
      </c>
      <c r="AG4814">
        <v>1</v>
      </c>
      <c r="AH4814">
        <v>1</v>
      </c>
      <c r="AI4814">
        <v>1</v>
      </c>
      <c r="AJ4814">
        <v>1</v>
      </c>
      <c r="AK4814">
        <v>1</v>
      </c>
      <c r="AL4814">
        <v>1</v>
      </c>
      <c r="AM4814">
        <v>1</v>
      </c>
    </row>
    <row r="4815" spans="1:39" x14ac:dyDescent="0.2">
      <c r="A4815" t="str">
        <f>"4811"</f>
        <v>4811</v>
      </c>
      <c r="B4815" t="str">
        <f t="shared" si="267"/>
        <v>1</v>
      </c>
      <c r="C4815" t="str">
        <f t="shared" si="268"/>
        <v>97</v>
      </c>
      <c r="D4815" t="str">
        <f>"43"</f>
        <v>43</v>
      </c>
      <c r="E4815" t="str">
        <f>"1-97-43"</f>
        <v>1-97-43</v>
      </c>
      <c r="F4815" t="s">
        <v>65</v>
      </c>
      <c r="G4815" t="s">
        <v>66</v>
      </c>
      <c r="H4815" t="s">
        <v>67</v>
      </c>
      <c r="S4815">
        <v>0</v>
      </c>
      <c r="T4815">
        <v>1</v>
      </c>
      <c r="U4815">
        <v>0</v>
      </c>
      <c r="V4815">
        <v>0</v>
      </c>
      <c r="W4815">
        <v>1</v>
      </c>
      <c r="X4815">
        <v>0</v>
      </c>
      <c r="Y4815">
        <v>1</v>
      </c>
      <c r="Z4815">
        <v>0</v>
      </c>
      <c r="AA4815">
        <v>0</v>
      </c>
      <c r="AB4815">
        <v>1</v>
      </c>
      <c r="AC4815">
        <v>0</v>
      </c>
      <c r="AD4815">
        <v>1</v>
      </c>
      <c r="AE4815">
        <v>1</v>
      </c>
      <c r="AF4815">
        <v>1</v>
      </c>
      <c r="AG4815">
        <v>1</v>
      </c>
      <c r="AH4815">
        <v>1</v>
      </c>
      <c r="AI4815">
        <v>1</v>
      </c>
      <c r="AJ4815">
        <v>1</v>
      </c>
      <c r="AK4815">
        <v>1</v>
      </c>
      <c r="AL4815">
        <v>1</v>
      </c>
      <c r="AM4815">
        <v>1</v>
      </c>
    </row>
    <row r="4816" spans="1:39" x14ac:dyDescent="0.2">
      <c r="A4816" t="str">
        <f>"4812"</f>
        <v>4812</v>
      </c>
      <c r="B4816" t="str">
        <f t="shared" si="267"/>
        <v>1</v>
      </c>
      <c r="C4816" t="str">
        <f t="shared" si="268"/>
        <v>97</v>
      </c>
      <c r="D4816" t="str">
        <f>"42"</f>
        <v>42</v>
      </c>
      <c r="E4816" t="str">
        <f>"1-97-42"</f>
        <v>1-97-42</v>
      </c>
      <c r="F4816" t="s">
        <v>65</v>
      </c>
      <c r="G4816" t="s">
        <v>66</v>
      </c>
      <c r="H4816" t="s">
        <v>67</v>
      </c>
      <c r="S4816">
        <v>1</v>
      </c>
      <c r="T4816">
        <v>0</v>
      </c>
      <c r="U4816">
        <v>0</v>
      </c>
      <c r="V4816">
        <v>0</v>
      </c>
      <c r="W4816">
        <v>1</v>
      </c>
      <c r="X4816">
        <v>0</v>
      </c>
      <c r="Y4816">
        <v>0</v>
      </c>
      <c r="Z4816">
        <v>1</v>
      </c>
      <c r="AA4816">
        <v>0</v>
      </c>
      <c r="AB4816">
        <v>0</v>
      </c>
      <c r="AC4816">
        <v>1</v>
      </c>
      <c r="AD4816">
        <v>1</v>
      </c>
      <c r="AE4816">
        <v>1</v>
      </c>
      <c r="AF4816">
        <v>1</v>
      </c>
      <c r="AG4816">
        <v>1</v>
      </c>
      <c r="AH4816">
        <v>1</v>
      </c>
      <c r="AI4816">
        <v>1</v>
      </c>
      <c r="AJ4816">
        <v>1</v>
      </c>
      <c r="AK4816">
        <v>1</v>
      </c>
      <c r="AL4816">
        <v>1</v>
      </c>
      <c r="AM4816">
        <v>1</v>
      </c>
    </row>
    <row r="4817" spans="1:39" x14ac:dyDescent="0.2">
      <c r="A4817" t="str">
        <f>"4813"</f>
        <v>4813</v>
      </c>
      <c r="B4817" t="str">
        <f t="shared" si="267"/>
        <v>1</v>
      </c>
      <c r="C4817" t="str">
        <f t="shared" si="268"/>
        <v>97</v>
      </c>
      <c r="D4817" t="str">
        <f>"31"</f>
        <v>31</v>
      </c>
      <c r="E4817" t="str">
        <f>"1-97-31"</f>
        <v>1-97-31</v>
      </c>
      <c r="F4817" t="s">
        <v>65</v>
      </c>
      <c r="G4817" t="s">
        <v>66</v>
      </c>
      <c r="H4817" t="s">
        <v>67</v>
      </c>
      <c r="S4817">
        <v>1</v>
      </c>
      <c r="T4817">
        <v>0</v>
      </c>
      <c r="U4817">
        <v>0</v>
      </c>
      <c r="V4817">
        <v>0</v>
      </c>
      <c r="W4817">
        <v>1</v>
      </c>
      <c r="X4817">
        <v>0</v>
      </c>
      <c r="Y4817">
        <v>1</v>
      </c>
      <c r="Z4817">
        <v>0</v>
      </c>
      <c r="AA4817">
        <v>0</v>
      </c>
      <c r="AB4817">
        <v>1</v>
      </c>
      <c r="AC4817">
        <v>0</v>
      </c>
      <c r="AD4817">
        <v>1</v>
      </c>
      <c r="AE4817">
        <v>1</v>
      </c>
      <c r="AF4817">
        <v>1</v>
      </c>
      <c r="AG4817">
        <v>1</v>
      </c>
      <c r="AH4817">
        <v>1</v>
      </c>
      <c r="AI4817">
        <v>1</v>
      </c>
      <c r="AJ4817">
        <v>1</v>
      </c>
      <c r="AK4817">
        <v>1</v>
      </c>
      <c r="AL4817">
        <v>1</v>
      </c>
      <c r="AM4817">
        <v>1</v>
      </c>
    </row>
    <row r="4818" spans="1:39" x14ac:dyDescent="0.2">
      <c r="A4818" t="str">
        <f>"4814"</f>
        <v>4814</v>
      </c>
      <c r="B4818" t="str">
        <f t="shared" si="267"/>
        <v>1</v>
      </c>
      <c r="C4818" t="str">
        <f t="shared" si="268"/>
        <v>97</v>
      </c>
      <c r="D4818" t="str">
        <f>"17"</f>
        <v>17</v>
      </c>
      <c r="E4818" t="str">
        <f>"1-97-17"</f>
        <v>1-97-17</v>
      </c>
      <c r="F4818" t="s">
        <v>65</v>
      </c>
      <c r="G4818" t="s">
        <v>66</v>
      </c>
      <c r="H4818" t="s">
        <v>67</v>
      </c>
      <c r="S4818">
        <v>1</v>
      </c>
      <c r="T4818">
        <v>0</v>
      </c>
      <c r="U4818">
        <v>0</v>
      </c>
      <c r="V4818">
        <v>0</v>
      </c>
      <c r="W4818">
        <v>1</v>
      </c>
      <c r="X4818">
        <v>0</v>
      </c>
      <c r="Y4818">
        <v>1</v>
      </c>
      <c r="Z4818">
        <v>0</v>
      </c>
      <c r="AA4818">
        <v>0</v>
      </c>
      <c r="AB4818">
        <v>0</v>
      </c>
      <c r="AC4818">
        <v>1</v>
      </c>
      <c r="AD4818">
        <v>0</v>
      </c>
      <c r="AE4818">
        <v>0</v>
      </c>
      <c r="AF4818">
        <v>0</v>
      </c>
      <c r="AG4818">
        <v>1</v>
      </c>
      <c r="AH4818">
        <v>1</v>
      </c>
      <c r="AI4818">
        <v>1</v>
      </c>
      <c r="AJ4818">
        <v>1</v>
      </c>
      <c r="AK4818">
        <v>1</v>
      </c>
      <c r="AL4818">
        <v>1</v>
      </c>
      <c r="AM4818">
        <v>1</v>
      </c>
    </row>
    <row r="4819" spans="1:39" x14ac:dyDescent="0.2">
      <c r="A4819" t="str">
        <f>"4815"</f>
        <v>4815</v>
      </c>
      <c r="B4819" t="str">
        <f t="shared" si="267"/>
        <v>1</v>
      </c>
      <c r="C4819" t="str">
        <f t="shared" si="268"/>
        <v>97</v>
      </c>
      <c r="D4819" t="str">
        <f>"1"</f>
        <v>1</v>
      </c>
      <c r="E4819" t="str">
        <f>"1-97-1"</f>
        <v>1-97-1</v>
      </c>
      <c r="F4819" t="s">
        <v>65</v>
      </c>
      <c r="G4819" t="s">
        <v>66</v>
      </c>
      <c r="H4819" t="s">
        <v>67</v>
      </c>
      <c r="S4819">
        <v>0</v>
      </c>
      <c r="T4819">
        <v>1</v>
      </c>
      <c r="U4819">
        <v>0</v>
      </c>
      <c r="V4819">
        <v>0</v>
      </c>
      <c r="W4819">
        <v>0</v>
      </c>
      <c r="X4819">
        <v>1</v>
      </c>
      <c r="Y4819">
        <v>0</v>
      </c>
      <c r="Z4819">
        <v>1</v>
      </c>
      <c r="AA4819">
        <v>0</v>
      </c>
      <c r="AB4819">
        <v>0</v>
      </c>
      <c r="AC4819">
        <v>1</v>
      </c>
      <c r="AD4819">
        <v>1</v>
      </c>
      <c r="AE4819">
        <v>1</v>
      </c>
      <c r="AF4819">
        <v>1</v>
      </c>
      <c r="AG4819">
        <v>1</v>
      </c>
      <c r="AH4819">
        <v>1</v>
      </c>
      <c r="AI4819">
        <v>1</v>
      </c>
      <c r="AJ4819">
        <v>1</v>
      </c>
      <c r="AK4819">
        <v>1</v>
      </c>
      <c r="AL4819">
        <v>1</v>
      </c>
      <c r="AM4819">
        <v>0</v>
      </c>
    </row>
    <row r="4820" spans="1:39" x14ac:dyDescent="0.2">
      <c r="A4820" t="str">
        <f>"4816"</f>
        <v>4816</v>
      </c>
      <c r="B4820" t="str">
        <f t="shared" si="267"/>
        <v>1</v>
      </c>
      <c r="C4820" t="str">
        <f t="shared" si="268"/>
        <v>97</v>
      </c>
      <c r="D4820" t="str">
        <f>"46"</f>
        <v>46</v>
      </c>
      <c r="E4820" t="str">
        <f>"1-97-46"</f>
        <v>1-97-46</v>
      </c>
      <c r="F4820" t="s">
        <v>65</v>
      </c>
      <c r="G4820" t="s">
        <v>66</v>
      </c>
      <c r="H4820" t="s">
        <v>67</v>
      </c>
      <c r="S4820">
        <v>0</v>
      </c>
      <c r="T4820">
        <v>1</v>
      </c>
      <c r="U4820">
        <v>0</v>
      </c>
      <c r="V4820">
        <v>0</v>
      </c>
      <c r="W4820">
        <v>1</v>
      </c>
      <c r="X4820">
        <v>0</v>
      </c>
      <c r="Y4820">
        <v>0</v>
      </c>
      <c r="Z4820">
        <v>1</v>
      </c>
      <c r="AA4820">
        <v>0</v>
      </c>
      <c r="AB4820">
        <v>0</v>
      </c>
      <c r="AC4820">
        <v>1</v>
      </c>
      <c r="AD4820">
        <v>1</v>
      </c>
      <c r="AE4820">
        <v>1</v>
      </c>
      <c r="AF4820">
        <v>1</v>
      </c>
      <c r="AG4820">
        <v>1</v>
      </c>
      <c r="AH4820">
        <v>1</v>
      </c>
      <c r="AI4820">
        <v>1</v>
      </c>
      <c r="AJ4820">
        <v>1</v>
      </c>
      <c r="AK4820">
        <v>1</v>
      </c>
      <c r="AL4820">
        <v>1</v>
      </c>
      <c r="AM4820">
        <v>1</v>
      </c>
    </row>
    <row r="4821" spans="1:39" x14ac:dyDescent="0.2">
      <c r="A4821" t="str">
        <f>"4817"</f>
        <v>4817</v>
      </c>
      <c r="B4821" t="str">
        <f t="shared" si="267"/>
        <v>1</v>
      </c>
      <c r="C4821" t="str">
        <f t="shared" si="268"/>
        <v>97</v>
      </c>
      <c r="D4821" t="str">
        <f>"34"</f>
        <v>34</v>
      </c>
      <c r="E4821" t="str">
        <f>"1-97-34"</f>
        <v>1-97-34</v>
      </c>
      <c r="F4821" t="s">
        <v>65</v>
      </c>
      <c r="G4821" t="s">
        <v>66</v>
      </c>
      <c r="H4821" t="s">
        <v>67</v>
      </c>
      <c r="S4821">
        <v>1</v>
      </c>
      <c r="T4821">
        <v>0</v>
      </c>
      <c r="U4821">
        <v>0</v>
      </c>
      <c r="V4821">
        <v>0</v>
      </c>
      <c r="W4821">
        <v>1</v>
      </c>
      <c r="X4821">
        <v>0</v>
      </c>
      <c r="Y4821">
        <v>1</v>
      </c>
      <c r="Z4821">
        <v>0</v>
      </c>
      <c r="AA4821">
        <v>0</v>
      </c>
      <c r="AB4821">
        <v>1</v>
      </c>
      <c r="AC4821">
        <v>0</v>
      </c>
      <c r="AD4821">
        <v>1</v>
      </c>
      <c r="AE4821">
        <v>1</v>
      </c>
      <c r="AF4821">
        <v>1</v>
      </c>
      <c r="AG4821">
        <v>1</v>
      </c>
      <c r="AH4821">
        <v>1</v>
      </c>
      <c r="AI4821">
        <v>1</v>
      </c>
      <c r="AJ4821">
        <v>1</v>
      </c>
      <c r="AK4821">
        <v>1</v>
      </c>
      <c r="AL4821">
        <v>1</v>
      </c>
      <c r="AM4821">
        <v>1</v>
      </c>
    </row>
    <row r="4822" spans="1:39" x14ac:dyDescent="0.2">
      <c r="A4822" t="str">
        <f>"4818"</f>
        <v>4818</v>
      </c>
      <c r="B4822" t="str">
        <f t="shared" si="267"/>
        <v>1</v>
      </c>
      <c r="C4822" t="str">
        <f t="shared" si="268"/>
        <v>97</v>
      </c>
      <c r="D4822" t="str">
        <f>"18"</f>
        <v>18</v>
      </c>
      <c r="E4822" t="str">
        <f>"1-97-18"</f>
        <v>1-97-18</v>
      </c>
      <c r="F4822" t="s">
        <v>65</v>
      </c>
      <c r="G4822" t="s">
        <v>66</v>
      </c>
      <c r="H4822" t="s">
        <v>67</v>
      </c>
      <c r="S4822">
        <v>1</v>
      </c>
      <c r="T4822">
        <v>0</v>
      </c>
      <c r="U4822">
        <v>0</v>
      </c>
      <c r="V4822">
        <v>0</v>
      </c>
      <c r="W4822">
        <v>1</v>
      </c>
      <c r="X4822">
        <v>0</v>
      </c>
      <c r="Y4822">
        <v>1</v>
      </c>
      <c r="Z4822">
        <v>0</v>
      </c>
      <c r="AA4822">
        <v>0</v>
      </c>
      <c r="AB4822">
        <v>0</v>
      </c>
      <c r="AC4822">
        <v>1</v>
      </c>
      <c r="AD4822">
        <v>1</v>
      </c>
      <c r="AE4822">
        <v>1</v>
      </c>
      <c r="AF4822">
        <v>1</v>
      </c>
      <c r="AG4822">
        <v>1</v>
      </c>
      <c r="AH4822">
        <v>1</v>
      </c>
      <c r="AI4822">
        <v>1</v>
      </c>
      <c r="AJ4822">
        <v>1</v>
      </c>
      <c r="AK4822">
        <v>1</v>
      </c>
      <c r="AL4822">
        <v>1</v>
      </c>
      <c r="AM4822">
        <v>1</v>
      </c>
    </row>
    <row r="4823" spans="1:39" x14ac:dyDescent="0.2">
      <c r="A4823" t="str">
        <f>"4819"</f>
        <v>4819</v>
      </c>
      <c r="B4823" t="str">
        <f t="shared" si="267"/>
        <v>1</v>
      </c>
      <c r="C4823" t="str">
        <f t="shared" si="268"/>
        <v>97</v>
      </c>
      <c r="D4823" t="str">
        <f>"10"</f>
        <v>10</v>
      </c>
      <c r="E4823" t="str">
        <f>"1-97-10"</f>
        <v>1-97-10</v>
      </c>
      <c r="F4823" t="s">
        <v>65</v>
      </c>
      <c r="G4823" t="s">
        <v>66</v>
      </c>
      <c r="H4823" t="s">
        <v>67</v>
      </c>
      <c r="S4823">
        <v>0</v>
      </c>
      <c r="T4823">
        <v>1</v>
      </c>
      <c r="U4823">
        <v>0</v>
      </c>
      <c r="V4823">
        <v>0</v>
      </c>
      <c r="W4823">
        <v>0</v>
      </c>
      <c r="X4823">
        <v>1</v>
      </c>
      <c r="Y4823">
        <v>1</v>
      </c>
      <c r="Z4823">
        <v>0</v>
      </c>
      <c r="AA4823">
        <v>0</v>
      </c>
      <c r="AB4823">
        <v>0</v>
      </c>
      <c r="AC4823">
        <v>1</v>
      </c>
      <c r="AD4823">
        <v>1</v>
      </c>
      <c r="AE4823">
        <v>1</v>
      </c>
      <c r="AF4823">
        <v>1</v>
      </c>
      <c r="AG4823">
        <v>1</v>
      </c>
      <c r="AH4823">
        <v>1</v>
      </c>
      <c r="AI4823">
        <v>1</v>
      </c>
      <c r="AJ4823">
        <v>1</v>
      </c>
      <c r="AK4823">
        <v>1</v>
      </c>
      <c r="AL4823">
        <v>1</v>
      </c>
      <c r="AM4823">
        <v>1</v>
      </c>
    </row>
    <row r="4824" spans="1:39" x14ac:dyDescent="0.2">
      <c r="A4824" t="str">
        <f>"4820"</f>
        <v>4820</v>
      </c>
      <c r="B4824" t="str">
        <f t="shared" si="267"/>
        <v>1</v>
      </c>
      <c r="C4824" t="str">
        <f t="shared" si="268"/>
        <v>97</v>
      </c>
      <c r="D4824" t="str">
        <f>"33"</f>
        <v>33</v>
      </c>
      <c r="E4824" t="str">
        <f>"1-97-33"</f>
        <v>1-97-33</v>
      </c>
      <c r="F4824" t="s">
        <v>65</v>
      </c>
      <c r="G4824" t="s">
        <v>66</v>
      </c>
      <c r="H4824" t="s">
        <v>67</v>
      </c>
      <c r="S4824">
        <v>0</v>
      </c>
      <c r="T4824">
        <v>1</v>
      </c>
      <c r="U4824">
        <v>0</v>
      </c>
      <c r="V4824">
        <v>0</v>
      </c>
      <c r="W4824">
        <v>1</v>
      </c>
      <c r="X4824">
        <v>0</v>
      </c>
      <c r="Y4824">
        <v>1</v>
      </c>
      <c r="Z4824">
        <v>0</v>
      </c>
      <c r="AA4824">
        <v>0</v>
      </c>
      <c r="AB4824">
        <v>1</v>
      </c>
      <c r="AC4824">
        <v>0</v>
      </c>
      <c r="AD4824">
        <v>1</v>
      </c>
      <c r="AE4824">
        <v>1</v>
      </c>
      <c r="AF4824">
        <v>1</v>
      </c>
      <c r="AG4824">
        <v>1</v>
      </c>
      <c r="AH4824">
        <v>1</v>
      </c>
      <c r="AI4824">
        <v>1</v>
      </c>
      <c r="AJ4824">
        <v>1</v>
      </c>
      <c r="AK4824">
        <v>1</v>
      </c>
      <c r="AL4824">
        <v>0</v>
      </c>
      <c r="AM4824">
        <v>1</v>
      </c>
    </row>
    <row r="4825" spans="1:39" x14ac:dyDescent="0.2">
      <c r="A4825" t="str">
        <f>"4821"</f>
        <v>4821</v>
      </c>
      <c r="B4825" t="str">
        <f t="shared" si="267"/>
        <v>1</v>
      </c>
      <c r="C4825" t="str">
        <f t="shared" si="268"/>
        <v>97</v>
      </c>
      <c r="D4825" t="str">
        <f>"19"</f>
        <v>19</v>
      </c>
      <c r="E4825" t="str">
        <f>"1-97-19"</f>
        <v>1-97-19</v>
      </c>
      <c r="F4825" t="s">
        <v>65</v>
      </c>
      <c r="G4825" t="s">
        <v>66</v>
      </c>
      <c r="H4825" t="s">
        <v>67</v>
      </c>
      <c r="S4825">
        <v>1</v>
      </c>
      <c r="T4825">
        <v>0</v>
      </c>
      <c r="U4825">
        <v>0</v>
      </c>
      <c r="V4825">
        <v>0</v>
      </c>
      <c r="W4825">
        <v>1</v>
      </c>
      <c r="X4825">
        <v>0</v>
      </c>
      <c r="Y4825">
        <v>1</v>
      </c>
      <c r="Z4825">
        <v>0</v>
      </c>
      <c r="AA4825">
        <v>0</v>
      </c>
      <c r="AB4825">
        <v>0</v>
      </c>
      <c r="AC4825">
        <v>1</v>
      </c>
      <c r="AD4825">
        <v>1</v>
      </c>
      <c r="AE4825">
        <v>1</v>
      </c>
      <c r="AF4825">
        <v>1</v>
      </c>
      <c r="AG4825">
        <v>1</v>
      </c>
      <c r="AH4825">
        <v>1</v>
      </c>
      <c r="AI4825">
        <v>1</v>
      </c>
      <c r="AJ4825">
        <v>1</v>
      </c>
      <c r="AK4825">
        <v>1</v>
      </c>
      <c r="AL4825">
        <v>1</v>
      </c>
      <c r="AM4825">
        <v>1</v>
      </c>
    </row>
    <row r="4826" spans="1:39" x14ac:dyDescent="0.2">
      <c r="A4826" t="str">
        <f>"4822"</f>
        <v>4822</v>
      </c>
      <c r="B4826" t="str">
        <f t="shared" si="267"/>
        <v>1</v>
      </c>
      <c r="C4826" t="str">
        <f t="shared" si="268"/>
        <v>97</v>
      </c>
      <c r="D4826" t="str">
        <f>"5"</f>
        <v>5</v>
      </c>
      <c r="E4826" t="str">
        <f>"1-97-5"</f>
        <v>1-97-5</v>
      </c>
      <c r="F4826" t="s">
        <v>65</v>
      </c>
      <c r="G4826" t="s">
        <v>66</v>
      </c>
      <c r="H4826" t="s">
        <v>67</v>
      </c>
      <c r="S4826">
        <v>0</v>
      </c>
      <c r="T4826">
        <v>1</v>
      </c>
      <c r="U4826">
        <v>0</v>
      </c>
      <c r="V4826">
        <v>0</v>
      </c>
      <c r="W4826">
        <v>1</v>
      </c>
      <c r="X4826">
        <v>0</v>
      </c>
      <c r="Y4826">
        <v>0</v>
      </c>
      <c r="Z4826">
        <v>1</v>
      </c>
      <c r="AA4826">
        <v>0</v>
      </c>
      <c r="AB4826">
        <v>0</v>
      </c>
      <c r="AC4826">
        <v>1</v>
      </c>
      <c r="AD4826">
        <v>1</v>
      </c>
      <c r="AE4826">
        <v>1</v>
      </c>
      <c r="AF4826">
        <v>1</v>
      </c>
      <c r="AG4826">
        <v>1</v>
      </c>
      <c r="AH4826">
        <v>1</v>
      </c>
      <c r="AI4826">
        <v>1</v>
      </c>
      <c r="AJ4826">
        <v>1</v>
      </c>
      <c r="AK4826">
        <v>1</v>
      </c>
      <c r="AL4826">
        <v>1</v>
      </c>
      <c r="AM4826">
        <v>1</v>
      </c>
    </row>
    <row r="4827" spans="1:39" x14ac:dyDescent="0.2">
      <c r="A4827" t="str">
        <f>"4823"</f>
        <v>4823</v>
      </c>
      <c r="B4827" t="str">
        <f t="shared" si="267"/>
        <v>1</v>
      </c>
      <c r="C4827" t="str">
        <f t="shared" si="268"/>
        <v>97</v>
      </c>
      <c r="D4827" t="str">
        <f>"50"</f>
        <v>50</v>
      </c>
      <c r="E4827" t="str">
        <f>"1-97-50"</f>
        <v>1-97-50</v>
      </c>
      <c r="F4827" t="s">
        <v>65</v>
      </c>
      <c r="G4827" t="s">
        <v>66</v>
      </c>
      <c r="H4827" t="s">
        <v>67</v>
      </c>
      <c r="S4827">
        <v>1</v>
      </c>
      <c r="T4827">
        <v>0</v>
      </c>
      <c r="U4827">
        <v>0</v>
      </c>
      <c r="V4827">
        <v>0</v>
      </c>
      <c r="W4827">
        <v>1</v>
      </c>
      <c r="X4827">
        <v>0</v>
      </c>
      <c r="Y4827">
        <v>1</v>
      </c>
      <c r="Z4827">
        <v>0</v>
      </c>
      <c r="AA4827">
        <v>0</v>
      </c>
      <c r="AB4827">
        <v>1</v>
      </c>
      <c r="AC4827">
        <v>0</v>
      </c>
      <c r="AD4827">
        <v>0</v>
      </c>
      <c r="AE4827">
        <v>0</v>
      </c>
      <c r="AF4827">
        <v>0</v>
      </c>
      <c r="AG4827">
        <v>1</v>
      </c>
      <c r="AH4827">
        <v>0</v>
      </c>
      <c r="AI4827">
        <v>0</v>
      </c>
      <c r="AJ4827">
        <v>0</v>
      </c>
      <c r="AK4827">
        <v>0</v>
      </c>
      <c r="AL4827">
        <v>1</v>
      </c>
      <c r="AM4827">
        <v>1</v>
      </c>
    </row>
    <row r="4828" spans="1:39" x14ac:dyDescent="0.2">
      <c r="A4828" t="str">
        <f>"4824"</f>
        <v>4824</v>
      </c>
      <c r="B4828" t="str">
        <f t="shared" si="267"/>
        <v>1</v>
      </c>
      <c r="C4828" t="str">
        <f t="shared" si="268"/>
        <v>97</v>
      </c>
      <c r="D4828" t="str">
        <f>"32"</f>
        <v>32</v>
      </c>
      <c r="E4828" t="str">
        <f>"1-97-32"</f>
        <v>1-97-32</v>
      </c>
      <c r="F4828" t="s">
        <v>65</v>
      </c>
      <c r="G4828" t="s">
        <v>66</v>
      </c>
      <c r="H4828" t="s">
        <v>67</v>
      </c>
      <c r="S4828">
        <v>1</v>
      </c>
      <c r="T4828">
        <v>0</v>
      </c>
      <c r="U4828">
        <v>0</v>
      </c>
      <c r="V4828">
        <v>0</v>
      </c>
      <c r="W4828">
        <v>1</v>
      </c>
      <c r="X4828">
        <v>0</v>
      </c>
      <c r="Y4828">
        <v>1</v>
      </c>
      <c r="Z4828">
        <v>0</v>
      </c>
      <c r="AA4828">
        <v>0</v>
      </c>
      <c r="AB4828">
        <v>1</v>
      </c>
      <c r="AC4828">
        <v>0</v>
      </c>
      <c r="AD4828">
        <v>1</v>
      </c>
      <c r="AE4828">
        <v>1</v>
      </c>
      <c r="AF4828">
        <v>1</v>
      </c>
      <c r="AG4828">
        <v>1</v>
      </c>
      <c r="AH4828">
        <v>1</v>
      </c>
      <c r="AI4828">
        <v>1</v>
      </c>
      <c r="AJ4828">
        <v>1</v>
      </c>
      <c r="AK4828">
        <v>1</v>
      </c>
      <c r="AL4828">
        <v>1</v>
      </c>
      <c r="AM4828">
        <v>1</v>
      </c>
    </row>
    <row r="4829" spans="1:39" x14ac:dyDescent="0.2">
      <c r="A4829" t="str">
        <f>"4825"</f>
        <v>4825</v>
      </c>
      <c r="B4829" t="str">
        <f t="shared" si="267"/>
        <v>1</v>
      </c>
      <c r="C4829" t="str">
        <f t="shared" si="268"/>
        <v>97</v>
      </c>
      <c r="D4829" t="str">
        <f>"20"</f>
        <v>20</v>
      </c>
      <c r="E4829" t="str">
        <f>"1-97-20"</f>
        <v>1-97-20</v>
      </c>
      <c r="F4829" t="s">
        <v>65</v>
      </c>
      <c r="G4829" t="s">
        <v>66</v>
      </c>
      <c r="H4829" t="s">
        <v>67</v>
      </c>
      <c r="S4829">
        <v>1</v>
      </c>
      <c r="T4829">
        <v>0</v>
      </c>
      <c r="U4829">
        <v>0</v>
      </c>
      <c r="V4829">
        <v>0</v>
      </c>
      <c r="W4829">
        <v>1</v>
      </c>
      <c r="X4829">
        <v>0</v>
      </c>
      <c r="Y4829">
        <v>1</v>
      </c>
      <c r="Z4829">
        <v>0</v>
      </c>
      <c r="AA4829">
        <v>0</v>
      </c>
      <c r="AB4829">
        <v>1</v>
      </c>
      <c r="AC4829">
        <v>0</v>
      </c>
      <c r="AD4829">
        <v>0</v>
      </c>
      <c r="AE4829">
        <v>0</v>
      </c>
      <c r="AF4829">
        <v>0</v>
      </c>
      <c r="AG4829">
        <v>1</v>
      </c>
      <c r="AH4829">
        <v>0</v>
      </c>
      <c r="AI4829">
        <v>1</v>
      </c>
      <c r="AJ4829">
        <v>0</v>
      </c>
      <c r="AK4829">
        <v>0</v>
      </c>
      <c r="AL4829">
        <v>1</v>
      </c>
      <c r="AM4829">
        <v>0</v>
      </c>
    </row>
    <row r="4830" spans="1:39" x14ac:dyDescent="0.2">
      <c r="A4830" t="str">
        <f>"4826"</f>
        <v>4826</v>
      </c>
      <c r="B4830" t="str">
        <f t="shared" si="267"/>
        <v>1</v>
      </c>
      <c r="C4830" t="str">
        <f t="shared" si="268"/>
        <v>97</v>
      </c>
      <c r="D4830" t="str">
        <f>"8"</f>
        <v>8</v>
      </c>
      <c r="E4830" t="str">
        <f>"1-97-8"</f>
        <v>1-97-8</v>
      </c>
      <c r="F4830" t="s">
        <v>65</v>
      </c>
      <c r="G4830" t="s">
        <v>66</v>
      </c>
      <c r="H4830" t="s">
        <v>67</v>
      </c>
      <c r="S4830">
        <v>1</v>
      </c>
      <c r="T4830">
        <v>0</v>
      </c>
      <c r="U4830">
        <v>0</v>
      </c>
      <c r="V4830">
        <v>0</v>
      </c>
      <c r="W4830">
        <v>0</v>
      </c>
      <c r="X4830">
        <v>1</v>
      </c>
      <c r="Y4830">
        <v>1</v>
      </c>
      <c r="Z4830">
        <v>0</v>
      </c>
      <c r="AA4830">
        <v>0</v>
      </c>
      <c r="AB4830">
        <v>0</v>
      </c>
      <c r="AC4830">
        <v>1</v>
      </c>
      <c r="AD4830">
        <v>1</v>
      </c>
      <c r="AE4830">
        <v>1</v>
      </c>
      <c r="AF4830">
        <v>1</v>
      </c>
      <c r="AG4830">
        <v>1</v>
      </c>
      <c r="AH4830">
        <v>1</v>
      </c>
      <c r="AI4830">
        <v>1</v>
      </c>
      <c r="AJ4830">
        <v>1</v>
      </c>
      <c r="AK4830">
        <v>1</v>
      </c>
      <c r="AL4830">
        <v>1</v>
      </c>
      <c r="AM4830">
        <v>1</v>
      </c>
    </row>
    <row r="4831" spans="1:39" x14ac:dyDescent="0.2">
      <c r="A4831" t="str">
        <f>"4827"</f>
        <v>4827</v>
      </c>
      <c r="B4831" t="str">
        <f t="shared" si="267"/>
        <v>1</v>
      </c>
      <c r="C4831" t="str">
        <f t="shared" si="268"/>
        <v>97</v>
      </c>
      <c r="D4831" t="str">
        <f>"40"</f>
        <v>40</v>
      </c>
      <c r="E4831" t="str">
        <f>"1-97-40"</f>
        <v>1-97-40</v>
      </c>
      <c r="F4831" t="s">
        <v>65</v>
      </c>
      <c r="G4831" t="s">
        <v>66</v>
      </c>
      <c r="H4831" t="s">
        <v>67</v>
      </c>
      <c r="S4831">
        <v>0</v>
      </c>
      <c r="T4831">
        <v>1</v>
      </c>
      <c r="U4831">
        <v>0</v>
      </c>
      <c r="V4831">
        <v>0</v>
      </c>
      <c r="W4831">
        <v>1</v>
      </c>
      <c r="X4831">
        <v>0</v>
      </c>
      <c r="Y4831">
        <v>1</v>
      </c>
      <c r="Z4831">
        <v>0</v>
      </c>
      <c r="AA4831">
        <v>0</v>
      </c>
      <c r="AB4831">
        <v>1</v>
      </c>
      <c r="AC4831">
        <v>0</v>
      </c>
      <c r="AD4831">
        <v>0</v>
      </c>
      <c r="AE4831">
        <v>0</v>
      </c>
      <c r="AF4831">
        <v>0</v>
      </c>
      <c r="AG4831">
        <v>1</v>
      </c>
      <c r="AH4831">
        <v>0</v>
      </c>
      <c r="AI4831">
        <v>1</v>
      </c>
      <c r="AJ4831">
        <v>0</v>
      </c>
      <c r="AK4831">
        <v>0</v>
      </c>
      <c r="AL4831">
        <v>1</v>
      </c>
      <c r="AM4831">
        <v>0</v>
      </c>
    </row>
    <row r="4832" spans="1:39" x14ac:dyDescent="0.2">
      <c r="A4832" t="str">
        <f>"4828"</f>
        <v>4828</v>
      </c>
      <c r="B4832" t="str">
        <f t="shared" si="267"/>
        <v>1</v>
      </c>
      <c r="C4832" t="str">
        <f t="shared" si="268"/>
        <v>97</v>
      </c>
      <c r="D4832" t="str">
        <f>"21"</f>
        <v>21</v>
      </c>
      <c r="E4832" t="str">
        <f>"1-97-21"</f>
        <v>1-97-21</v>
      </c>
      <c r="F4832" t="s">
        <v>65</v>
      </c>
      <c r="G4832" t="s">
        <v>66</v>
      </c>
      <c r="H4832" t="s">
        <v>67</v>
      </c>
      <c r="S4832">
        <v>0</v>
      </c>
      <c r="T4832">
        <v>1</v>
      </c>
      <c r="U4832">
        <v>0</v>
      </c>
      <c r="V4832">
        <v>0</v>
      </c>
      <c r="W4832">
        <v>0</v>
      </c>
      <c r="X4832">
        <v>1</v>
      </c>
      <c r="Y4832">
        <v>0</v>
      </c>
      <c r="Z4832">
        <v>1</v>
      </c>
      <c r="AA4832">
        <v>0</v>
      </c>
      <c r="AB4832">
        <v>0</v>
      </c>
      <c r="AC4832">
        <v>1</v>
      </c>
      <c r="AD4832">
        <v>1</v>
      </c>
      <c r="AE4832">
        <v>1</v>
      </c>
      <c r="AF4832">
        <v>1</v>
      </c>
      <c r="AG4832">
        <v>1</v>
      </c>
      <c r="AH4832">
        <v>1</v>
      </c>
      <c r="AI4832">
        <v>1</v>
      </c>
      <c r="AJ4832">
        <v>1</v>
      </c>
      <c r="AK4832">
        <v>1</v>
      </c>
      <c r="AL4832">
        <v>1</v>
      </c>
      <c r="AM4832">
        <v>1</v>
      </c>
    </row>
    <row r="4833" spans="1:39" x14ac:dyDescent="0.2">
      <c r="A4833" t="str">
        <f>"4829"</f>
        <v>4829</v>
      </c>
      <c r="B4833" t="str">
        <f t="shared" si="267"/>
        <v>1</v>
      </c>
      <c r="C4833" t="str">
        <f t="shared" si="268"/>
        <v>97</v>
      </c>
      <c r="D4833" t="str">
        <f>"3"</f>
        <v>3</v>
      </c>
      <c r="E4833" t="str">
        <f>"1-97-3"</f>
        <v>1-97-3</v>
      </c>
      <c r="F4833" t="s">
        <v>65</v>
      </c>
      <c r="G4833" t="s">
        <v>66</v>
      </c>
      <c r="H4833" t="s">
        <v>67</v>
      </c>
      <c r="S4833">
        <v>0</v>
      </c>
      <c r="T4833">
        <v>1</v>
      </c>
      <c r="U4833">
        <v>0</v>
      </c>
      <c r="V4833">
        <v>0</v>
      </c>
      <c r="W4833">
        <v>0</v>
      </c>
      <c r="X4833">
        <v>1</v>
      </c>
      <c r="Y4833">
        <v>0</v>
      </c>
      <c r="Z4833">
        <v>1</v>
      </c>
      <c r="AA4833">
        <v>0</v>
      </c>
      <c r="AB4833">
        <v>0</v>
      </c>
      <c r="AC4833">
        <v>1</v>
      </c>
      <c r="AD4833">
        <v>1</v>
      </c>
      <c r="AE4833">
        <v>1</v>
      </c>
      <c r="AF4833">
        <v>1</v>
      </c>
      <c r="AG4833">
        <v>1</v>
      </c>
      <c r="AH4833">
        <v>1</v>
      </c>
      <c r="AI4833">
        <v>1</v>
      </c>
      <c r="AJ4833">
        <v>1</v>
      </c>
      <c r="AK4833">
        <v>1</v>
      </c>
      <c r="AL4833">
        <v>1</v>
      </c>
      <c r="AM4833">
        <v>1</v>
      </c>
    </row>
    <row r="4834" spans="1:39" x14ac:dyDescent="0.2">
      <c r="A4834" t="str">
        <f>"4830"</f>
        <v>4830</v>
      </c>
      <c r="B4834" t="str">
        <f t="shared" si="267"/>
        <v>1</v>
      </c>
      <c r="C4834" t="str">
        <f t="shared" si="268"/>
        <v>97</v>
      </c>
      <c r="D4834" t="str">
        <f>"39"</f>
        <v>39</v>
      </c>
      <c r="E4834" t="str">
        <f>"1-97-39"</f>
        <v>1-97-39</v>
      </c>
      <c r="F4834" t="s">
        <v>65</v>
      </c>
      <c r="G4834" t="s">
        <v>66</v>
      </c>
      <c r="H4834" t="s">
        <v>67</v>
      </c>
      <c r="S4834">
        <v>0</v>
      </c>
      <c r="T4834">
        <v>1</v>
      </c>
      <c r="U4834">
        <v>0</v>
      </c>
      <c r="V4834">
        <v>0</v>
      </c>
      <c r="W4834">
        <v>1</v>
      </c>
      <c r="X4834">
        <v>0</v>
      </c>
      <c r="Y4834">
        <v>0</v>
      </c>
      <c r="Z4834">
        <v>1</v>
      </c>
      <c r="AA4834">
        <v>0</v>
      </c>
      <c r="AB4834">
        <v>1</v>
      </c>
      <c r="AC4834">
        <v>0</v>
      </c>
      <c r="AD4834">
        <v>0</v>
      </c>
      <c r="AE4834">
        <v>0</v>
      </c>
      <c r="AF4834">
        <v>0</v>
      </c>
      <c r="AG4834">
        <v>1</v>
      </c>
      <c r="AH4834">
        <v>1</v>
      </c>
      <c r="AI4834">
        <v>1</v>
      </c>
      <c r="AJ4834">
        <v>1</v>
      </c>
      <c r="AK4834">
        <v>0</v>
      </c>
      <c r="AL4834">
        <v>1</v>
      </c>
      <c r="AM4834">
        <v>0</v>
      </c>
    </row>
    <row r="4835" spans="1:39" x14ac:dyDescent="0.2">
      <c r="A4835" t="str">
        <f>"4831"</f>
        <v>4831</v>
      </c>
      <c r="B4835" t="str">
        <f t="shared" si="267"/>
        <v>1</v>
      </c>
      <c r="C4835" t="str">
        <f t="shared" si="268"/>
        <v>97</v>
      </c>
      <c r="D4835" t="str">
        <f>"22"</f>
        <v>22</v>
      </c>
      <c r="E4835" t="str">
        <f>"1-97-22"</f>
        <v>1-97-22</v>
      </c>
      <c r="F4835" t="s">
        <v>65</v>
      </c>
      <c r="G4835" t="s">
        <v>66</v>
      </c>
      <c r="H4835" t="s">
        <v>67</v>
      </c>
      <c r="S4835">
        <v>1</v>
      </c>
      <c r="T4835">
        <v>0</v>
      </c>
      <c r="U4835">
        <v>0</v>
      </c>
      <c r="V4835">
        <v>0</v>
      </c>
      <c r="W4835">
        <v>1</v>
      </c>
      <c r="X4835">
        <v>0</v>
      </c>
      <c r="Y4835">
        <v>1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</row>
    <row r="4836" spans="1:39" x14ac:dyDescent="0.2">
      <c r="A4836" t="str">
        <f>"4832"</f>
        <v>4832</v>
      </c>
      <c r="B4836" t="str">
        <f t="shared" si="267"/>
        <v>1</v>
      </c>
      <c r="C4836" t="str">
        <f t="shared" si="268"/>
        <v>97</v>
      </c>
      <c r="D4836" t="str">
        <f>"12"</f>
        <v>12</v>
      </c>
      <c r="E4836" t="str">
        <f>"1-97-12"</f>
        <v>1-97-12</v>
      </c>
      <c r="F4836" t="s">
        <v>65</v>
      </c>
      <c r="G4836" t="s">
        <v>66</v>
      </c>
      <c r="H4836" t="s">
        <v>67</v>
      </c>
      <c r="S4836">
        <v>1</v>
      </c>
      <c r="T4836">
        <v>0</v>
      </c>
      <c r="U4836">
        <v>0</v>
      </c>
      <c r="V4836">
        <v>0</v>
      </c>
      <c r="W4836">
        <v>1</v>
      </c>
      <c r="X4836">
        <v>0</v>
      </c>
      <c r="Y4836">
        <v>0</v>
      </c>
      <c r="Z4836">
        <v>1</v>
      </c>
      <c r="AA4836">
        <v>1</v>
      </c>
      <c r="AB4836">
        <v>0</v>
      </c>
      <c r="AC4836">
        <v>0</v>
      </c>
      <c r="AD4836">
        <v>1</v>
      </c>
      <c r="AE4836">
        <v>1</v>
      </c>
      <c r="AF4836">
        <v>1</v>
      </c>
      <c r="AG4836">
        <v>1</v>
      </c>
      <c r="AH4836">
        <v>1</v>
      </c>
      <c r="AI4836">
        <v>1</v>
      </c>
      <c r="AJ4836">
        <v>0</v>
      </c>
      <c r="AK4836">
        <v>0</v>
      </c>
      <c r="AL4836">
        <v>1</v>
      </c>
      <c r="AM4836">
        <v>0</v>
      </c>
    </row>
    <row r="4837" spans="1:39" x14ac:dyDescent="0.2">
      <c r="A4837" t="str">
        <f>"4833"</f>
        <v>4833</v>
      </c>
      <c r="B4837" t="str">
        <f t="shared" si="267"/>
        <v>1</v>
      </c>
      <c r="C4837" t="str">
        <f t="shared" ref="C4837:C4854" si="269">"97"</f>
        <v>97</v>
      </c>
      <c r="D4837" t="str">
        <f>"41"</f>
        <v>41</v>
      </c>
      <c r="E4837" t="str">
        <f>"1-97-41"</f>
        <v>1-97-41</v>
      </c>
      <c r="F4837" t="s">
        <v>65</v>
      </c>
      <c r="G4837" t="s">
        <v>66</v>
      </c>
      <c r="H4837" t="s">
        <v>67</v>
      </c>
      <c r="S4837">
        <v>0</v>
      </c>
      <c r="T4837">
        <v>0</v>
      </c>
      <c r="U4837">
        <v>0</v>
      </c>
      <c r="V4837">
        <v>0</v>
      </c>
      <c r="W4837">
        <v>1</v>
      </c>
      <c r="X4837">
        <v>0</v>
      </c>
      <c r="Y4837">
        <v>1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1</v>
      </c>
      <c r="AF4837">
        <v>1</v>
      </c>
      <c r="AG4837">
        <v>1</v>
      </c>
      <c r="AH4837">
        <v>1</v>
      </c>
      <c r="AI4837">
        <v>1</v>
      </c>
      <c r="AJ4837">
        <v>1</v>
      </c>
      <c r="AK4837">
        <v>1</v>
      </c>
      <c r="AL4837">
        <v>1</v>
      </c>
      <c r="AM4837">
        <v>1</v>
      </c>
    </row>
    <row r="4838" spans="1:39" x14ac:dyDescent="0.2">
      <c r="A4838" t="str">
        <f>"4834"</f>
        <v>4834</v>
      </c>
      <c r="B4838" t="str">
        <f t="shared" si="267"/>
        <v>1</v>
      </c>
      <c r="C4838" t="str">
        <f t="shared" si="269"/>
        <v>97</v>
      </c>
      <c r="D4838" t="str">
        <f>"24"</f>
        <v>24</v>
      </c>
      <c r="E4838" t="str">
        <f>"1-97-24"</f>
        <v>1-97-24</v>
      </c>
      <c r="F4838" t="s">
        <v>65</v>
      </c>
      <c r="G4838" t="s">
        <v>66</v>
      </c>
      <c r="H4838" t="s">
        <v>67</v>
      </c>
      <c r="S4838">
        <v>1</v>
      </c>
      <c r="T4838">
        <v>0</v>
      </c>
      <c r="U4838">
        <v>0</v>
      </c>
      <c r="V4838">
        <v>0</v>
      </c>
      <c r="W4838">
        <v>1</v>
      </c>
      <c r="X4838">
        <v>0</v>
      </c>
      <c r="Y4838">
        <v>1</v>
      </c>
      <c r="Z4838">
        <v>0</v>
      </c>
      <c r="AA4838">
        <v>0</v>
      </c>
      <c r="AB4838">
        <v>1</v>
      </c>
      <c r="AC4838">
        <v>0</v>
      </c>
      <c r="AD4838">
        <v>1</v>
      </c>
      <c r="AE4838">
        <v>1</v>
      </c>
      <c r="AF4838">
        <v>0</v>
      </c>
      <c r="AG4838">
        <v>1</v>
      </c>
      <c r="AH4838">
        <v>1</v>
      </c>
      <c r="AI4838">
        <v>1</v>
      </c>
      <c r="AJ4838">
        <v>1</v>
      </c>
      <c r="AK4838">
        <v>1</v>
      </c>
      <c r="AL4838">
        <v>1</v>
      </c>
      <c r="AM4838">
        <v>1</v>
      </c>
    </row>
    <row r="4839" spans="1:39" x14ac:dyDescent="0.2">
      <c r="A4839" t="str">
        <f>"4835"</f>
        <v>4835</v>
      </c>
      <c r="B4839" t="str">
        <f t="shared" si="267"/>
        <v>1</v>
      </c>
      <c r="C4839" t="str">
        <f t="shared" si="269"/>
        <v>97</v>
      </c>
      <c r="D4839" t="str">
        <f>"13"</f>
        <v>13</v>
      </c>
      <c r="E4839" t="str">
        <f>"1-97-13"</f>
        <v>1-97-13</v>
      </c>
      <c r="F4839" t="s">
        <v>65</v>
      </c>
      <c r="G4839" t="s">
        <v>66</v>
      </c>
      <c r="H4839" t="s">
        <v>67</v>
      </c>
      <c r="S4839">
        <v>1</v>
      </c>
      <c r="T4839">
        <v>0</v>
      </c>
      <c r="U4839">
        <v>0</v>
      </c>
      <c r="V4839">
        <v>0</v>
      </c>
      <c r="W4839">
        <v>1</v>
      </c>
      <c r="X4839">
        <v>0</v>
      </c>
      <c r="Y4839">
        <v>1</v>
      </c>
      <c r="Z4839">
        <v>0</v>
      </c>
      <c r="AA4839">
        <v>1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</row>
    <row r="4840" spans="1:39" x14ac:dyDescent="0.2">
      <c r="A4840" t="str">
        <f>"4836"</f>
        <v>4836</v>
      </c>
      <c r="B4840" t="str">
        <f t="shared" si="267"/>
        <v>1</v>
      </c>
      <c r="C4840" t="str">
        <f t="shared" si="269"/>
        <v>97</v>
      </c>
      <c r="D4840" t="str">
        <f>"44"</f>
        <v>44</v>
      </c>
      <c r="E4840" t="str">
        <f>"1-97-44"</f>
        <v>1-97-44</v>
      </c>
      <c r="F4840" t="s">
        <v>65</v>
      </c>
      <c r="G4840" t="s">
        <v>66</v>
      </c>
      <c r="H4840" t="s">
        <v>67</v>
      </c>
      <c r="S4840">
        <v>1</v>
      </c>
      <c r="T4840">
        <v>0</v>
      </c>
      <c r="U4840">
        <v>0</v>
      </c>
      <c r="V4840">
        <v>0</v>
      </c>
      <c r="W4840">
        <v>1</v>
      </c>
      <c r="X4840">
        <v>0</v>
      </c>
      <c r="Y4840">
        <v>1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1</v>
      </c>
      <c r="AF4840">
        <v>1</v>
      </c>
      <c r="AG4840">
        <v>1</v>
      </c>
      <c r="AH4840">
        <v>1</v>
      </c>
      <c r="AI4840">
        <v>1</v>
      </c>
      <c r="AJ4840">
        <v>1</v>
      </c>
      <c r="AK4840">
        <v>1</v>
      </c>
      <c r="AL4840">
        <v>1</v>
      </c>
      <c r="AM4840">
        <v>1</v>
      </c>
    </row>
    <row r="4841" spans="1:39" x14ac:dyDescent="0.2">
      <c r="A4841" t="str">
        <f>"4837"</f>
        <v>4837</v>
      </c>
      <c r="B4841" t="str">
        <f t="shared" si="267"/>
        <v>1</v>
      </c>
      <c r="C4841" t="str">
        <f t="shared" si="269"/>
        <v>97</v>
      </c>
      <c r="D4841" t="str">
        <f>"26"</f>
        <v>26</v>
      </c>
      <c r="E4841" t="str">
        <f>"1-97-26"</f>
        <v>1-97-26</v>
      </c>
      <c r="F4841" t="s">
        <v>65</v>
      </c>
      <c r="G4841" t="s">
        <v>66</v>
      </c>
      <c r="H4841" t="s">
        <v>67</v>
      </c>
      <c r="S4841">
        <v>1</v>
      </c>
      <c r="T4841">
        <v>0</v>
      </c>
      <c r="U4841">
        <v>0</v>
      </c>
      <c r="V4841">
        <v>0</v>
      </c>
      <c r="W4841">
        <v>1</v>
      </c>
      <c r="X4841">
        <v>0</v>
      </c>
      <c r="Y4841">
        <v>1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1</v>
      </c>
      <c r="AI4841">
        <v>1</v>
      </c>
      <c r="AJ4841">
        <v>1</v>
      </c>
      <c r="AK4841">
        <v>0</v>
      </c>
      <c r="AL4841">
        <v>1</v>
      </c>
      <c r="AM4841">
        <v>0</v>
      </c>
    </row>
    <row r="4842" spans="1:39" x14ac:dyDescent="0.2">
      <c r="A4842" t="str">
        <f>"4838"</f>
        <v>4838</v>
      </c>
      <c r="B4842" t="str">
        <f t="shared" si="267"/>
        <v>1</v>
      </c>
      <c r="C4842" t="str">
        <f t="shared" si="269"/>
        <v>97</v>
      </c>
      <c r="D4842" t="str">
        <f>"11"</f>
        <v>11</v>
      </c>
      <c r="E4842" t="str">
        <f>"1-97-11"</f>
        <v>1-97-11</v>
      </c>
      <c r="F4842" t="s">
        <v>65</v>
      </c>
      <c r="G4842" t="s">
        <v>66</v>
      </c>
      <c r="H4842" t="s">
        <v>67</v>
      </c>
      <c r="S4842">
        <v>0</v>
      </c>
      <c r="T4842">
        <v>1</v>
      </c>
      <c r="U4842">
        <v>0</v>
      </c>
      <c r="V4842">
        <v>0</v>
      </c>
      <c r="W4842">
        <v>1</v>
      </c>
      <c r="X4842">
        <v>0</v>
      </c>
      <c r="Y4842">
        <v>0</v>
      </c>
      <c r="Z4842">
        <v>1</v>
      </c>
      <c r="AA4842">
        <v>0</v>
      </c>
      <c r="AB4842">
        <v>0</v>
      </c>
      <c r="AC4842">
        <v>1</v>
      </c>
      <c r="AD4842">
        <v>1</v>
      </c>
      <c r="AE4842">
        <v>1</v>
      </c>
      <c r="AF4842">
        <v>1</v>
      </c>
      <c r="AG4842">
        <v>1</v>
      </c>
      <c r="AH4842">
        <v>1</v>
      </c>
      <c r="AI4842">
        <v>1</v>
      </c>
      <c r="AJ4842">
        <v>1</v>
      </c>
      <c r="AK4842">
        <v>1</v>
      </c>
      <c r="AL4842">
        <v>1</v>
      </c>
      <c r="AM4842">
        <v>1</v>
      </c>
    </row>
    <row r="4843" spans="1:39" x14ac:dyDescent="0.2">
      <c r="A4843" t="str">
        <f>"4839"</f>
        <v>4839</v>
      </c>
      <c r="B4843" t="str">
        <f t="shared" si="267"/>
        <v>1</v>
      </c>
      <c r="C4843" t="str">
        <f t="shared" si="269"/>
        <v>97</v>
      </c>
      <c r="D4843" t="str">
        <f>"48"</f>
        <v>48</v>
      </c>
      <c r="E4843" t="str">
        <f>"1-97-48"</f>
        <v>1-97-48</v>
      </c>
      <c r="F4843" t="s">
        <v>65</v>
      </c>
      <c r="G4843" t="s">
        <v>66</v>
      </c>
      <c r="H4843" t="s">
        <v>67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1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</row>
    <row r="4844" spans="1:39" x14ac:dyDescent="0.2">
      <c r="A4844" t="str">
        <f>"4840"</f>
        <v>4840</v>
      </c>
      <c r="B4844" t="str">
        <f t="shared" si="267"/>
        <v>1</v>
      </c>
      <c r="C4844" t="str">
        <f t="shared" si="269"/>
        <v>97</v>
      </c>
      <c r="D4844" t="str">
        <f>"27"</f>
        <v>27</v>
      </c>
      <c r="E4844" t="str">
        <f>"1-97-27"</f>
        <v>1-97-27</v>
      </c>
      <c r="F4844" t="s">
        <v>65</v>
      </c>
      <c r="G4844" t="s">
        <v>66</v>
      </c>
      <c r="H4844" t="s">
        <v>67</v>
      </c>
      <c r="S4844">
        <v>1</v>
      </c>
      <c r="T4844">
        <v>0</v>
      </c>
      <c r="U4844">
        <v>0</v>
      </c>
      <c r="V4844">
        <v>0</v>
      </c>
      <c r="W4844">
        <v>1</v>
      </c>
      <c r="X4844">
        <v>0</v>
      </c>
      <c r="Y4844">
        <v>0</v>
      </c>
      <c r="Z4844">
        <v>1</v>
      </c>
      <c r="AA4844">
        <v>0</v>
      </c>
      <c r="AB4844">
        <v>0</v>
      </c>
      <c r="AC4844">
        <v>1</v>
      </c>
      <c r="AD4844">
        <v>1</v>
      </c>
      <c r="AE4844">
        <v>1</v>
      </c>
      <c r="AF4844">
        <v>1</v>
      </c>
      <c r="AG4844">
        <v>1</v>
      </c>
      <c r="AH4844">
        <v>1</v>
      </c>
      <c r="AI4844">
        <v>1</v>
      </c>
      <c r="AJ4844">
        <v>1</v>
      </c>
      <c r="AK4844">
        <v>1</v>
      </c>
      <c r="AL4844">
        <v>1</v>
      </c>
      <c r="AM4844">
        <v>1</v>
      </c>
    </row>
    <row r="4845" spans="1:39" x14ac:dyDescent="0.2">
      <c r="A4845" t="str">
        <f>"4841"</f>
        <v>4841</v>
      </c>
      <c r="B4845" t="str">
        <f t="shared" si="267"/>
        <v>1</v>
      </c>
      <c r="C4845" t="str">
        <f t="shared" si="269"/>
        <v>97</v>
      </c>
      <c r="D4845" t="str">
        <f>"14"</f>
        <v>14</v>
      </c>
      <c r="E4845" t="str">
        <f>"1-97-14"</f>
        <v>1-97-14</v>
      </c>
      <c r="F4845" t="s">
        <v>65</v>
      </c>
      <c r="G4845" t="s">
        <v>66</v>
      </c>
      <c r="H4845" t="s">
        <v>67</v>
      </c>
      <c r="S4845">
        <v>1</v>
      </c>
      <c r="T4845">
        <v>0</v>
      </c>
      <c r="U4845">
        <v>0</v>
      </c>
      <c r="V4845">
        <v>0</v>
      </c>
      <c r="W4845">
        <v>1</v>
      </c>
      <c r="X4845">
        <v>0</v>
      </c>
      <c r="Y4845">
        <v>1</v>
      </c>
      <c r="Z4845">
        <v>0</v>
      </c>
      <c r="AA4845">
        <v>1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</row>
    <row r="4846" spans="1:39" x14ac:dyDescent="0.2">
      <c r="A4846" t="str">
        <f>"4842"</f>
        <v>4842</v>
      </c>
      <c r="B4846" t="str">
        <f t="shared" si="267"/>
        <v>1</v>
      </c>
      <c r="C4846" t="str">
        <f t="shared" si="269"/>
        <v>97</v>
      </c>
      <c r="D4846" t="str">
        <f>"45"</f>
        <v>45</v>
      </c>
      <c r="E4846" t="str">
        <f>"1-97-45"</f>
        <v>1-97-45</v>
      </c>
      <c r="F4846" t="s">
        <v>65</v>
      </c>
      <c r="G4846" t="s">
        <v>66</v>
      </c>
      <c r="H4846" t="s">
        <v>67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1</v>
      </c>
      <c r="Y4846">
        <v>0</v>
      </c>
      <c r="Z4846">
        <v>1</v>
      </c>
      <c r="AA4846">
        <v>0</v>
      </c>
      <c r="AB4846">
        <v>0</v>
      </c>
      <c r="AC4846">
        <v>1</v>
      </c>
      <c r="AD4846">
        <v>0</v>
      </c>
      <c r="AE4846">
        <v>0</v>
      </c>
      <c r="AF4846">
        <v>0</v>
      </c>
      <c r="AG4846">
        <v>1</v>
      </c>
      <c r="AH4846">
        <v>1</v>
      </c>
      <c r="AI4846">
        <v>0</v>
      </c>
      <c r="AJ4846">
        <v>1</v>
      </c>
      <c r="AK4846">
        <v>1</v>
      </c>
      <c r="AL4846">
        <v>0</v>
      </c>
      <c r="AM4846">
        <v>0</v>
      </c>
    </row>
    <row r="4847" spans="1:39" x14ac:dyDescent="0.2">
      <c r="A4847" t="str">
        <f>"4843"</f>
        <v>4843</v>
      </c>
      <c r="B4847" t="str">
        <f t="shared" si="267"/>
        <v>1</v>
      </c>
      <c r="C4847" t="str">
        <f t="shared" si="269"/>
        <v>97</v>
      </c>
      <c r="D4847" t="str">
        <f>"28"</f>
        <v>28</v>
      </c>
      <c r="E4847" t="str">
        <f>"1-97-28"</f>
        <v>1-97-28</v>
      </c>
      <c r="F4847" t="s">
        <v>65</v>
      </c>
      <c r="G4847" t="s">
        <v>66</v>
      </c>
      <c r="H4847" t="s">
        <v>67</v>
      </c>
      <c r="S4847">
        <v>0</v>
      </c>
      <c r="T4847">
        <v>1</v>
      </c>
      <c r="U4847">
        <v>0</v>
      </c>
      <c r="V4847">
        <v>0</v>
      </c>
      <c r="W4847">
        <v>0</v>
      </c>
      <c r="X4847">
        <v>1</v>
      </c>
      <c r="Y4847">
        <v>0</v>
      </c>
      <c r="Z4847">
        <v>1</v>
      </c>
      <c r="AA4847">
        <v>0</v>
      </c>
      <c r="AB4847">
        <v>1</v>
      </c>
      <c r="AC4847">
        <v>0</v>
      </c>
      <c r="AD4847">
        <v>0</v>
      </c>
      <c r="AE4847">
        <v>0</v>
      </c>
      <c r="AF4847">
        <v>0</v>
      </c>
      <c r="AG4847">
        <v>1</v>
      </c>
      <c r="AH4847">
        <v>1</v>
      </c>
      <c r="AI4847">
        <v>1</v>
      </c>
      <c r="AJ4847">
        <v>1</v>
      </c>
      <c r="AK4847">
        <v>1</v>
      </c>
      <c r="AL4847">
        <v>1</v>
      </c>
      <c r="AM4847">
        <v>0</v>
      </c>
    </row>
    <row r="4848" spans="1:39" x14ac:dyDescent="0.2">
      <c r="A4848" t="str">
        <f>"4844"</f>
        <v>4844</v>
      </c>
      <c r="B4848" t="str">
        <f t="shared" si="267"/>
        <v>1</v>
      </c>
      <c r="C4848" t="str">
        <f t="shared" si="269"/>
        <v>97</v>
      </c>
      <c r="D4848" t="str">
        <f>"7"</f>
        <v>7</v>
      </c>
      <c r="E4848" t="str">
        <f>"1-97-7"</f>
        <v>1-97-7</v>
      </c>
      <c r="F4848" t="s">
        <v>65</v>
      </c>
      <c r="G4848" t="s">
        <v>66</v>
      </c>
      <c r="H4848" t="s">
        <v>67</v>
      </c>
      <c r="S4848">
        <v>0</v>
      </c>
      <c r="T4848">
        <v>1</v>
      </c>
      <c r="U4848">
        <v>0</v>
      </c>
      <c r="V4848">
        <v>0</v>
      </c>
      <c r="W4848">
        <v>1</v>
      </c>
      <c r="X4848">
        <v>0</v>
      </c>
      <c r="Y4848">
        <v>1</v>
      </c>
      <c r="Z4848">
        <v>0</v>
      </c>
      <c r="AA4848">
        <v>0</v>
      </c>
      <c r="AB4848">
        <v>0</v>
      </c>
      <c r="AC4848">
        <v>1</v>
      </c>
      <c r="AD4848">
        <v>1</v>
      </c>
      <c r="AE4848">
        <v>1</v>
      </c>
      <c r="AF4848">
        <v>1</v>
      </c>
      <c r="AG4848">
        <v>1</v>
      </c>
      <c r="AH4848">
        <v>1</v>
      </c>
      <c r="AI4848">
        <v>1</v>
      </c>
      <c r="AJ4848">
        <v>1</v>
      </c>
      <c r="AK4848">
        <v>1</v>
      </c>
      <c r="AL4848">
        <v>1</v>
      </c>
      <c r="AM4848">
        <v>1</v>
      </c>
    </row>
    <row r="4849" spans="1:39" x14ac:dyDescent="0.2">
      <c r="A4849" t="str">
        <f>"4845"</f>
        <v>4845</v>
      </c>
      <c r="B4849" t="str">
        <f t="shared" si="267"/>
        <v>1</v>
      </c>
      <c r="C4849" t="str">
        <f t="shared" si="269"/>
        <v>97</v>
      </c>
      <c r="D4849" t="str">
        <f>"29"</f>
        <v>29</v>
      </c>
      <c r="E4849" t="str">
        <f>"1-97-29"</f>
        <v>1-97-29</v>
      </c>
      <c r="F4849" t="s">
        <v>65</v>
      </c>
      <c r="G4849" t="s">
        <v>66</v>
      </c>
      <c r="H4849" t="s">
        <v>67</v>
      </c>
      <c r="S4849">
        <v>1</v>
      </c>
      <c r="T4849">
        <v>0</v>
      </c>
      <c r="U4849">
        <v>0</v>
      </c>
      <c r="V4849">
        <v>0</v>
      </c>
      <c r="W4849">
        <v>1</v>
      </c>
      <c r="X4849">
        <v>0</v>
      </c>
      <c r="Y4849">
        <v>1</v>
      </c>
      <c r="Z4849">
        <v>0</v>
      </c>
      <c r="AA4849">
        <v>0</v>
      </c>
      <c r="AB4849">
        <v>0</v>
      </c>
      <c r="AC4849">
        <v>1</v>
      </c>
      <c r="AD4849">
        <v>1</v>
      </c>
      <c r="AE4849">
        <v>1</v>
      </c>
      <c r="AF4849">
        <v>1</v>
      </c>
      <c r="AG4849">
        <v>1</v>
      </c>
      <c r="AH4849">
        <v>1</v>
      </c>
      <c r="AI4849">
        <v>1</v>
      </c>
      <c r="AJ4849">
        <v>1</v>
      </c>
      <c r="AK4849">
        <v>1</v>
      </c>
      <c r="AL4849">
        <v>1</v>
      </c>
      <c r="AM4849">
        <v>1</v>
      </c>
    </row>
    <row r="4850" spans="1:39" x14ac:dyDescent="0.2">
      <c r="A4850" t="str">
        <f>"4846"</f>
        <v>4846</v>
      </c>
      <c r="B4850" t="str">
        <f t="shared" si="267"/>
        <v>1</v>
      </c>
      <c r="C4850" t="str">
        <f t="shared" si="269"/>
        <v>97</v>
      </c>
      <c r="D4850" t="str">
        <f>"6"</f>
        <v>6</v>
      </c>
      <c r="E4850" t="str">
        <f>"1-97-6"</f>
        <v>1-97-6</v>
      </c>
      <c r="F4850" t="s">
        <v>65</v>
      </c>
      <c r="G4850" t="s">
        <v>66</v>
      </c>
      <c r="H4850" t="s">
        <v>67</v>
      </c>
      <c r="S4850">
        <v>0</v>
      </c>
      <c r="T4850">
        <v>1</v>
      </c>
      <c r="U4850">
        <v>0</v>
      </c>
      <c r="V4850">
        <v>0</v>
      </c>
      <c r="W4850">
        <v>1</v>
      </c>
      <c r="X4850">
        <v>0</v>
      </c>
      <c r="Y4850">
        <v>1</v>
      </c>
      <c r="Z4850">
        <v>0</v>
      </c>
      <c r="AA4850">
        <v>0</v>
      </c>
      <c r="AB4850">
        <v>0</v>
      </c>
      <c r="AC4850">
        <v>1</v>
      </c>
      <c r="AD4850">
        <v>1</v>
      </c>
      <c r="AE4850">
        <v>1</v>
      </c>
      <c r="AF4850">
        <v>1</v>
      </c>
      <c r="AG4850">
        <v>1</v>
      </c>
      <c r="AH4850">
        <v>1</v>
      </c>
      <c r="AI4850">
        <v>1</v>
      </c>
      <c r="AJ4850">
        <v>1</v>
      </c>
      <c r="AK4850">
        <v>1</v>
      </c>
      <c r="AL4850">
        <v>1</v>
      </c>
      <c r="AM4850">
        <v>1</v>
      </c>
    </row>
    <row r="4851" spans="1:39" x14ac:dyDescent="0.2">
      <c r="A4851" t="str">
        <f>"4847"</f>
        <v>4847</v>
      </c>
      <c r="B4851" t="str">
        <f t="shared" si="267"/>
        <v>1</v>
      </c>
      <c r="C4851" t="str">
        <f t="shared" si="269"/>
        <v>97</v>
      </c>
      <c r="D4851" t="str">
        <f>"30"</f>
        <v>30</v>
      </c>
      <c r="E4851" t="str">
        <f>"1-97-30"</f>
        <v>1-97-30</v>
      </c>
      <c r="F4851" t="s">
        <v>65</v>
      </c>
      <c r="G4851" t="s">
        <v>66</v>
      </c>
      <c r="H4851" t="s">
        <v>67</v>
      </c>
      <c r="S4851">
        <v>1</v>
      </c>
      <c r="T4851">
        <v>0</v>
      </c>
      <c r="U4851">
        <v>0</v>
      </c>
      <c r="V4851">
        <v>0</v>
      </c>
      <c r="W4851">
        <v>1</v>
      </c>
      <c r="X4851">
        <v>0</v>
      </c>
      <c r="Y4851">
        <v>0</v>
      </c>
      <c r="Z4851">
        <v>1</v>
      </c>
      <c r="AA4851">
        <v>0</v>
      </c>
      <c r="AB4851">
        <v>0</v>
      </c>
      <c r="AC4851">
        <v>1</v>
      </c>
      <c r="AD4851">
        <v>1</v>
      </c>
      <c r="AE4851">
        <v>1</v>
      </c>
      <c r="AF4851">
        <v>1</v>
      </c>
      <c r="AG4851">
        <v>1</v>
      </c>
      <c r="AH4851">
        <v>1</v>
      </c>
      <c r="AI4851">
        <v>1</v>
      </c>
      <c r="AJ4851">
        <v>1</v>
      </c>
      <c r="AK4851">
        <v>1</v>
      </c>
      <c r="AL4851">
        <v>1</v>
      </c>
      <c r="AM4851">
        <v>1</v>
      </c>
    </row>
    <row r="4852" spans="1:39" x14ac:dyDescent="0.2">
      <c r="A4852" t="str">
        <f>"4848"</f>
        <v>4848</v>
      </c>
      <c r="B4852" t="str">
        <f t="shared" si="267"/>
        <v>1</v>
      </c>
      <c r="C4852" t="str">
        <f t="shared" si="269"/>
        <v>97</v>
      </c>
      <c r="D4852" t="str">
        <f>"9"</f>
        <v>9</v>
      </c>
      <c r="E4852" t="str">
        <f>"1-97-9"</f>
        <v>1-97-9</v>
      </c>
      <c r="F4852" t="s">
        <v>65</v>
      </c>
      <c r="G4852" t="s">
        <v>66</v>
      </c>
      <c r="H4852" t="s">
        <v>67</v>
      </c>
      <c r="S4852">
        <v>0</v>
      </c>
      <c r="T4852">
        <v>1</v>
      </c>
      <c r="U4852">
        <v>0</v>
      </c>
      <c r="V4852">
        <v>0</v>
      </c>
      <c r="W4852">
        <v>0</v>
      </c>
      <c r="X4852">
        <v>1</v>
      </c>
      <c r="Y4852">
        <v>1</v>
      </c>
      <c r="Z4852">
        <v>0</v>
      </c>
      <c r="AA4852">
        <v>0</v>
      </c>
      <c r="AB4852">
        <v>0</v>
      </c>
      <c r="AC4852">
        <v>1</v>
      </c>
      <c r="AD4852">
        <v>1</v>
      </c>
      <c r="AE4852">
        <v>1</v>
      </c>
      <c r="AF4852">
        <v>1</v>
      </c>
      <c r="AG4852">
        <v>1</v>
      </c>
      <c r="AH4852">
        <v>1</v>
      </c>
      <c r="AI4852">
        <v>1</v>
      </c>
      <c r="AJ4852">
        <v>1</v>
      </c>
      <c r="AK4852">
        <v>1</v>
      </c>
      <c r="AL4852">
        <v>0</v>
      </c>
      <c r="AM4852">
        <v>1</v>
      </c>
    </row>
    <row r="4853" spans="1:39" x14ac:dyDescent="0.2">
      <c r="A4853" t="str">
        <f>"4849"</f>
        <v>4849</v>
      </c>
      <c r="B4853" t="str">
        <f t="shared" si="267"/>
        <v>1</v>
      </c>
      <c r="C4853" t="str">
        <f t="shared" si="269"/>
        <v>97</v>
      </c>
      <c r="D4853" t="str">
        <f>"47"</f>
        <v>47</v>
      </c>
      <c r="E4853" t="str">
        <f>"1-97-47"</f>
        <v>1-97-47</v>
      </c>
      <c r="F4853" t="s">
        <v>65</v>
      </c>
      <c r="G4853" t="s">
        <v>66</v>
      </c>
      <c r="H4853" t="s">
        <v>67</v>
      </c>
      <c r="S4853">
        <v>1</v>
      </c>
      <c r="T4853">
        <v>0</v>
      </c>
      <c r="U4853">
        <v>0</v>
      </c>
      <c r="V4853">
        <v>0</v>
      </c>
      <c r="W4853">
        <v>1</v>
      </c>
      <c r="X4853">
        <v>0</v>
      </c>
      <c r="Y4853">
        <v>1</v>
      </c>
      <c r="Z4853">
        <v>0</v>
      </c>
      <c r="AA4853">
        <v>0</v>
      </c>
      <c r="AB4853">
        <v>1</v>
      </c>
      <c r="AC4853">
        <v>0</v>
      </c>
      <c r="AD4853">
        <v>1</v>
      </c>
      <c r="AE4853">
        <v>1</v>
      </c>
      <c r="AF4853">
        <v>1</v>
      </c>
      <c r="AG4853">
        <v>1</v>
      </c>
      <c r="AH4853">
        <v>1</v>
      </c>
      <c r="AI4853">
        <v>1</v>
      </c>
      <c r="AJ4853">
        <v>1</v>
      </c>
      <c r="AK4853">
        <v>1</v>
      </c>
      <c r="AL4853">
        <v>1</v>
      </c>
      <c r="AM4853">
        <v>1</v>
      </c>
    </row>
    <row r="4854" spans="1:39" x14ac:dyDescent="0.2">
      <c r="A4854" t="str">
        <f>"4850"</f>
        <v>4850</v>
      </c>
      <c r="B4854" t="str">
        <f t="shared" si="267"/>
        <v>1</v>
      </c>
      <c r="C4854" t="str">
        <f t="shared" si="269"/>
        <v>97</v>
      </c>
      <c r="D4854" t="str">
        <f>"49"</f>
        <v>49</v>
      </c>
      <c r="E4854" t="str">
        <f>"1-97-49"</f>
        <v>1-97-49</v>
      </c>
      <c r="F4854" t="s">
        <v>65</v>
      </c>
      <c r="G4854" t="s">
        <v>66</v>
      </c>
      <c r="H4854" t="s">
        <v>67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1</v>
      </c>
      <c r="Y4854">
        <v>0</v>
      </c>
      <c r="Z4854">
        <v>1</v>
      </c>
      <c r="AA4854">
        <v>0</v>
      </c>
      <c r="AB4854">
        <v>0</v>
      </c>
      <c r="AC4854">
        <v>1</v>
      </c>
      <c r="AD4854">
        <v>0</v>
      </c>
      <c r="AE4854">
        <v>0</v>
      </c>
      <c r="AF4854">
        <v>0</v>
      </c>
      <c r="AG4854">
        <v>1</v>
      </c>
      <c r="AH4854">
        <v>1</v>
      </c>
      <c r="AI4854">
        <v>1</v>
      </c>
      <c r="AJ4854">
        <v>0</v>
      </c>
      <c r="AK4854">
        <v>0</v>
      </c>
      <c r="AL4854">
        <v>1</v>
      </c>
      <c r="AM4854">
        <v>1</v>
      </c>
    </row>
    <row r="4855" spans="1:39" x14ac:dyDescent="0.2">
      <c r="A4855" t="str">
        <f>"4851"</f>
        <v>4851</v>
      </c>
      <c r="B4855" t="str">
        <f t="shared" ref="B4855:B4918" si="270">"1"</f>
        <v>1</v>
      </c>
      <c r="C4855" t="str">
        <f t="shared" ref="C4855:C4886" si="271">"98"</f>
        <v>98</v>
      </c>
      <c r="D4855" t="str">
        <f>"36"</f>
        <v>36</v>
      </c>
      <c r="E4855" t="str">
        <f>"1-98-36"</f>
        <v>1-98-36</v>
      </c>
      <c r="F4855" t="s">
        <v>65</v>
      </c>
      <c r="G4855" t="s">
        <v>66</v>
      </c>
      <c r="H4855" t="s">
        <v>67</v>
      </c>
      <c r="S4855">
        <v>0</v>
      </c>
      <c r="T4855">
        <v>1</v>
      </c>
      <c r="U4855">
        <v>0</v>
      </c>
      <c r="V4855">
        <v>0</v>
      </c>
      <c r="W4855">
        <v>1</v>
      </c>
      <c r="X4855">
        <v>0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1</v>
      </c>
      <c r="AG4855">
        <v>1</v>
      </c>
      <c r="AH4855">
        <v>1</v>
      </c>
      <c r="AI4855">
        <v>1</v>
      </c>
      <c r="AJ4855">
        <v>1</v>
      </c>
      <c r="AK4855">
        <v>1</v>
      </c>
      <c r="AL4855">
        <v>1</v>
      </c>
      <c r="AM4855">
        <v>1</v>
      </c>
    </row>
    <row r="4856" spans="1:39" x14ac:dyDescent="0.2">
      <c r="A4856" t="str">
        <f>"4852"</f>
        <v>4852</v>
      </c>
      <c r="B4856" t="str">
        <f t="shared" si="270"/>
        <v>1</v>
      </c>
      <c r="C4856" t="str">
        <f t="shared" si="271"/>
        <v>98</v>
      </c>
      <c r="D4856" t="str">
        <f>"35"</f>
        <v>35</v>
      </c>
      <c r="E4856" t="str">
        <f>"1-98-35"</f>
        <v>1-98-35</v>
      </c>
      <c r="F4856" t="s">
        <v>65</v>
      </c>
      <c r="G4856" t="s">
        <v>66</v>
      </c>
      <c r="H4856" t="s">
        <v>67</v>
      </c>
      <c r="S4856">
        <v>1</v>
      </c>
      <c r="T4856">
        <v>0</v>
      </c>
      <c r="U4856">
        <v>0</v>
      </c>
      <c r="V4856">
        <v>0</v>
      </c>
      <c r="W4856">
        <v>1</v>
      </c>
      <c r="X4856">
        <v>0</v>
      </c>
      <c r="Y4856">
        <v>0</v>
      </c>
      <c r="Z4856">
        <v>1</v>
      </c>
      <c r="AA4856">
        <v>0</v>
      </c>
      <c r="AB4856">
        <v>1</v>
      </c>
      <c r="AC4856">
        <v>0</v>
      </c>
      <c r="AD4856">
        <v>1</v>
      </c>
      <c r="AE4856">
        <v>1</v>
      </c>
      <c r="AF4856">
        <v>1</v>
      </c>
      <c r="AG4856">
        <v>1</v>
      </c>
      <c r="AH4856">
        <v>1</v>
      </c>
      <c r="AI4856">
        <v>1</v>
      </c>
      <c r="AJ4856">
        <v>1</v>
      </c>
      <c r="AK4856">
        <v>1</v>
      </c>
      <c r="AL4856">
        <v>1</v>
      </c>
      <c r="AM4856">
        <v>1</v>
      </c>
    </row>
    <row r="4857" spans="1:39" x14ac:dyDescent="0.2">
      <c r="A4857" t="str">
        <f>"4853"</f>
        <v>4853</v>
      </c>
      <c r="B4857" t="str">
        <f t="shared" si="270"/>
        <v>1</v>
      </c>
      <c r="C4857" t="str">
        <f t="shared" si="271"/>
        <v>98</v>
      </c>
      <c r="D4857" t="str">
        <f>"26"</f>
        <v>26</v>
      </c>
      <c r="E4857" t="str">
        <f>"1-98-26"</f>
        <v>1-98-26</v>
      </c>
      <c r="F4857" t="s">
        <v>65</v>
      </c>
      <c r="G4857" t="s">
        <v>66</v>
      </c>
      <c r="H4857" t="s">
        <v>67</v>
      </c>
      <c r="S4857">
        <v>0</v>
      </c>
      <c r="T4857">
        <v>1</v>
      </c>
      <c r="U4857">
        <v>0</v>
      </c>
      <c r="V4857">
        <v>0</v>
      </c>
      <c r="W4857">
        <v>1</v>
      </c>
      <c r="X4857">
        <v>0</v>
      </c>
      <c r="Y4857">
        <v>0</v>
      </c>
      <c r="Z4857">
        <v>1</v>
      </c>
      <c r="AA4857">
        <v>1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</row>
    <row r="4858" spans="1:39" x14ac:dyDescent="0.2">
      <c r="A4858" t="str">
        <f>"4854"</f>
        <v>4854</v>
      </c>
      <c r="B4858" t="str">
        <f t="shared" si="270"/>
        <v>1</v>
      </c>
      <c r="C4858" t="str">
        <f t="shared" si="271"/>
        <v>98</v>
      </c>
      <c r="D4858" t="str">
        <f>"15"</f>
        <v>15</v>
      </c>
      <c r="E4858" t="str">
        <f>"1-98-15"</f>
        <v>1-98-15</v>
      </c>
      <c r="F4858" t="s">
        <v>65</v>
      </c>
      <c r="G4858" t="s">
        <v>66</v>
      </c>
      <c r="H4858" t="s">
        <v>67</v>
      </c>
      <c r="S4858">
        <v>1</v>
      </c>
      <c r="T4858">
        <v>0</v>
      </c>
      <c r="U4858">
        <v>0</v>
      </c>
      <c r="V4858">
        <v>0</v>
      </c>
      <c r="W4858">
        <v>1</v>
      </c>
      <c r="X4858">
        <v>0</v>
      </c>
      <c r="Y4858">
        <v>0</v>
      </c>
      <c r="Z4858">
        <v>1</v>
      </c>
      <c r="AA4858">
        <v>1</v>
      </c>
      <c r="AB4858">
        <v>0</v>
      </c>
      <c r="AC4858">
        <v>0</v>
      </c>
      <c r="AD4858">
        <v>1</v>
      </c>
      <c r="AE4858">
        <v>1</v>
      </c>
      <c r="AF4858">
        <v>1</v>
      </c>
      <c r="AG4858">
        <v>1</v>
      </c>
      <c r="AH4858">
        <v>1</v>
      </c>
      <c r="AI4858">
        <v>1</v>
      </c>
      <c r="AJ4858">
        <v>1</v>
      </c>
      <c r="AK4858">
        <v>1</v>
      </c>
      <c r="AL4858">
        <v>1</v>
      </c>
      <c r="AM4858">
        <v>1</v>
      </c>
    </row>
    <row r="4859" spans="1:39" x14ac:dyDescent="0.2">
      <c r="A4859" t="str">
        <f>"4855"</f>
        <v>4855</v>
      </c>
      <c r="B4859" t="str">
        <f t="shared" si="270"/>
        <v>1</v>
      </c>
      <c r="C4859" t="str">
        <f t="shared" si="271"/>
        <v>98</v>
      </c>
      <c r="D4859" t="str">
        <f>"9"</f>
        <v>9</v>
      </c>
      <c r="E4859" t="str">
        <f>"1-98-9"</f>
        <v>1-98-9</v>
      </c>
      <c r="F4859" t="s">
        <v>65</v>
      </c>
      <c r="G4859" t="s">
        <v>66</v>
      </c>
      <c r="H4859" t="s">
        <v>67</v>
      </c>
      <c r="S4859">
        <v>1</v>
      </c>
      <c r="T4859">
        <v>0</v>
      </c>
      <c r="U4859">
        <v>0</v>
      </c>
      <c r="V4859">
        <v>0</v>
      </c>
      <c r="W4859">
        <v>0</v>
      </c>
      <c r="X4859">
        <v>1</v>
      </c>
      <c r="Y4859">
        <v>1</v>
      </c>
      <c r="Z4859">
        <v>0</v>
      </c>
      <c r="AA4859">
        <v>0</v>
      </c>
      <c r="AB4859">
        <v>1</v>
      </c>
      <c r="AC4859">
        <v>0</v>
      </c>
      <c r="AD4859">
        <v>1</v>
      </c>
      <c r="AE4859">
        <v>1</v>
      </c>
      <c r="AF4859">
        <v>1</v>
      </c>
      <c r="AG4859">
        <v>1</v>
      </c>
      <c r="AH4859">
        <v>1</v>
      </c>
      <c r="AI4859">
        <v>1</v>
      </c>
      <c r="AJ4859">
        <v>1</v>
      </c>
      <c r="AK4859">
        <v>1</v>
      </c>
      <c r="AL4859">
        <v>1</v>
      </c>
      <c r="AM4859">
        <v>1</v>
      </c>
    </row>
    <row r="4860" spans="1:39" x14ac:dyDescent="0.2">
      <c r="A4860" t="str">
        <f>"4856"</f>
        <v>4856</v>
      </c>
      <c r="B4860" t="str">
        <f t="shared" si="270"/>
        <v>1</v>
      </c>
      <c r="C4860" t="str">
        <f t="shared" si="271"/>
        <v>98</v>
      </c>
      <c r="D4860" t="str">
        <f>"38"</f>
        <v>38</v>
      </c>
      <c r="E4860" t="str">
        <f>"1-98-38"</f>
        <v>1-98-38</v>
      </c>
      <c r="F4860" t="s">
        <v>65</v>
      </c>
      <c r="G4860" t="s">
        <v>66</v>
      </c>
      <c r="H4860" t="s">
        <v>67</v>
      </c>
      <c r="S4860">
        <v>0</v>
      </c>
      <c r="T4860">
        <v>0</v>
      </c>
      <c r="U4860">
        <v>0</v>
      </c>
      <c r="V4860">
        <v>0</v>
      </c>
      <c r="W4860">
        <v>1</v>
      </c>
      <c r="X4860">
        <v>0</v>
      </c>
      <c r="Y4860">
        <v>0</v>
      </c>
      <c r="Z4860">
        <v>0</v>
      </c>
      <c r="AA4860">
        <v>0</v>
      </c>
      <c r="AB4860">
        <v>1</v>
      </c>
      <c r="AC4860">
        <v>0</v>
      </c>
      <c r="AD4860">
        <v>0</v>
      </c>
      <c r="AE4860">
        <v>0</v>
      </c>
      <c r="AF4860">
        <v>0</v>
      </c>
      <c r="AG4860">
        <v>1</v>
      </c>
      <c r="AH4860">
        <v>0</v>
      </c>
      <c r="AI4860">
        <v>1</v>
      </c>
      <c r="AJ4860">
        <v>0</v>
      </c>
      <c r="AK4860">
        <v>0</v>
      </c>
      <c r="AL4860">
        <v>0</v>
      </c>
      <c r="AM4860">
        <v>0</v>
      </c>
    </row>
    <row r="4861" spans="1:39" x14ac:dyDescent="0.2">
      <c r="A4861" t="str">
        <f>"4857"</f>
        <v>4857</v>
      </c>
      <c r="B4861" t="str">
        <f t="shared" si="270"/>
        <v>1</v>
      </c>
      <c r="C4861" t="str">
        <f t="shared" si="271"/>
        <v>98</v>
      </c>
      <c r="D4861" t="str">
        <f>"37"</f>
        <v>37</v>
      </c>
      <c r="E4861" t="str">
        <f>"1-98-37"</f>
        <v>1-98-37</v>
      </c>
      <c r="F4861" t="s">
        <v>65</v>
      </c>
      <c r="G4861" t="s">
        <v>66</v>
      </c>
      <c r="H4861" t="s">
        <v>67</v>
      </c>
      <c r="S4861">
        <v>1</v>
      </c>
      <c r="T4861">
        <v>0</v>
      </c>
      <c r="U4861">
        <v>0</v>
      </c>
      <c r="V4861">
        <v>0</v>
      </c>
      <c r="W4861">
        <v>0</v>
      </c>
      <c r="X4861">
        <v>1</v>
      </c>
      <c r="Y4861">
        <v>1</v>
      </c>
      <c r="Z4861">
        <v>0</v>
      </c>
      <c r="AA4861">
        <v>0</v>
      </c>
      <c r="AB4861">
        <v>1</v>
      </c>
      <c r="AC4861">
        <v>0</v>
      </c>
      <c r="AD4861">
        <v>1</v>
      </c>
      <c r="AE4861">
        <v>1</v>
      </c>
      <c r="AF4861">
        <v>1</v>
      </c>
      <c r="AG4861">
        <v>1</v>
      </c>
      <c r="AH4861">
        <v>1</v>
      </c>
      <c r="AI4861">
        <v>1</v>
      </c>
      <c r="AJ4861">
        <v>1</v>
      </c>
      <c r="AK4861">
        <v>1</v>
      </c>
      <c r="AL4861">
        <v>1</v>
      </c>
      <c r="AM4861">
        <v>1</v>
      </c>
    </row>
    <row r="4862" spans="1:39" x14ac:dyDescent="0.2">
      <c r="A4862" t="str">
        <f>"4858"</f>
        <v>4858</v>
      </c>
      <c r="B4862" t="str">
        <f t="shared" si="270"/>
        <v>1</v>
      </c>
      <c r="C4862" t="str">
        <f t="shared" si="271"/>
        <v>98</v>
      </c>
      <c r="D4862" t="str">
        <f>"28"</f>
        <v>28</v>
      </c>
      <c r="E4862" t="str">
        <f>"1-98-28"</f>
        <v>1-98-28</v>
      </c>
      <c r="F4862" t="s">
        <v>65</v>
      </c>
      <c r="G4862" t="s">
        <v>66</v>
      </c>
      <c r="H4862" t="s">
        <v>67</v>
      </c>
      <c r="S4862">
        <v>1</v>
      </c>
      <c r="T4862">
        <v>0</v>
      </c>
      <c r="U4862">
        <v>0</v>
      </c>
      <c r="V4862">
        <v>0</v>
      </c>
      <c r="W4862">
        <v>1</v>
      </c>
      <c r="X4862">
        <v>0</v>
      </c>
      <c r="Y4862">
        <v>1</v>
      </c>
      <c r="Z4862">
        <v>0</v>
      </c>
      <c r="AA4862">
        <v>0</v>
      </c>
      <c r="AB4862">
        <v>0</v>
      </c>
      <c r="AC4862">
        <v>1</v>
      </c>
      <c r="AD4862">
        <v>1</v>
      </c>
      <c r="AE4862">
        <v>1</v>
      </c>
      <c r="AF4862">
        <v>1</v>
      </c>
      <c r="AG4862">
        <v>1</v>
      </c>
      <c r="AH4862">
        <v>1</v>
      </c>
      <c r="AI4862">
        <v>1</v>
      </c>
      <c r="AJ4862">
        <v>1</v>
      </c>
      <c r="AK4862">
        <v>1</v>
      </c>
      <c r="AL4862">
        <v>1</v>
      </c>
      <c r="AM4862">
        <v>1</v>
      </c>
    </row>
    <row r="4863" spans="1:39" x14ac:dyDescent="0.2">
      <c r="A4863" t="str">
        <f>"4859"</f>
        <v>4859</v>
      </c>
      <c r="B4863" t="str">
        <f t="shared" si="270"/>
        <v>1</v>
      </c>
      <c r="C4863" t="str">
        <f t="shared" si="271"/>
        <v>98</v>
      </c>
      <c r="D4863" t="str">
        <f>"16"</f>
        <v>16</v>
      </c>
      <c r="E4863" t="str">
        <f>"1-98-16"</f>
        <v>1-98-16</v>
      </c>
      <c r="F4863" t="s">
        <v>65</v>
      </c>
      <c r="G4863" t="s">
        <v>66</v>
      </c>
      <c r="H4863" t="s">
        <v>67</v>
      </c>
      <c r="S4863">
        <v>1</v>
      </c>
      <c r="T4863">
        <v>0</v>
      </c>
      <c r="U4863">
        <v>0</v>
      </c>
      <c r="V4863">
        <v>0</v>
      </c>
      <c r="W4863">
        <v>1</v>
      </c>
      <c r="X4863">
        <v>0</v>
      </c>
      <c r="Y4863">
        <v>1</v>
      </c>
      <c r="Z4863">
        <v>0</v>
      </c>
      <c r="AA4863">
        <v>0</v>
      </c>
      <c r="AB4863">
        <v>1</v>
      </c>
      <c r="AC4863">
        <v>0</v>
      </c>
      <c r="AD4863">
        <v>1</v>
      </c>
      <c r="AE4863">
        <v>1</v>
      </c>
      <c r="AF4863">
        <v>1</v>
      </c>
      <c r="AG4863">
        <v>1</v>
      </c>
      <c r="AH4863">
        <v>1</v>
      </c>
      <c r="AI4863">
        <v>1</v>
      </c>
      <c r="AJ4863">
        <v>1</v>
      </c>
      <c r="AK4863">
        <v>1</v>
      </c>
      <c r="AL4863">
        <v>1</v>
      </c>
      <c r="AM4863">
        <v>1</v>
      </c>
    </row>
    <row r="4864" spans="1:39" x14ac:dyDescent="0.2">
      <c r="A4864" t="str">
        <f>"4860"</f>
        <v>4860</v>
      </c>
      <c r="B4864" t="str">
        <f t="shared" si="270"/>
        <v>1</v>
      </c>
      <c r="C4864" t="str">
        <f t="shared" si="271"/>
        <v>98</v>
      </c>
      <c r="D4864" t="str">
        <f>"2"</f>
        <v>2</v>
      </c>
      <c r="E4864" t="str">
        <f>"1-98-2"</f>
        <v>1-98-2</v>
      </c>
      <c r="F4864" t="s">
        <v>65</v>
      </c>
      <c r="G4864" t="s">
        <v>66</v>
      </c>
      <c r="H4864" t="s">
        <v>67</v>
      </c>
      <c r="S4864">
        <v>0</v>
      </c>
      <c r="T4864">
        <v>1</v>
      </c>
      <c r="U4864">
        <v>0</v>
      </c>
      <c r="V4864">
        <v>0</v>
      </c>
      <c r="W4864">
        <v>1</v>
      </c>
      <c r="X4864">
        <v>0</v>
      </c>
      <c r="Y4864">
        <v>1</v>
      </c>
      <c r="Z4864">
        <v>0</v>
      </c>
      <c r="AA4864">
        <v>0</v>
      </c>
      <c r="AB4864">
        <v>1</v>
      </c>
      <c r="AC4864">
        <v>0</v>
      </c>
      <c r="AD4864">
        <v>1</v>
      </c>
      <c r="AE4864">
        <v>1</v>
      </c>
      <c r="AF4864">
        <v>1</v>
      </c>
      <c r="AG4864">
        <v>1</v>
      </c>
      <c r="AH4864">
        <v>1</v>
      </c>
      <c r="AI4864">
        <v>1</v>
      </c>
      <c r="AJ4864">
        <v>1</v>
      </c>
      <c r="AK4864">
        <v>1</v>
      </c>
      <c r="AL4864">
        <v>1</v>
      </c>
      <c r="AM4864">
        <v>1</v>
      </c>
    </row>
    <row r="4865" spans="1:39" x14ac:dyDescent="0.2">
      <c r="A4865" t="str">
        <f>"4861"</f>
        <v>4861</v>
      </c>
      <c r="B4865" t="str">
        <f t="shared" si="270"/>
        <v>1</v>
      </c>
      <c r="C4865" t="str">
        <f t="shared" si="271"/>
        <v>98</v>
      </c>
      <c r="D4865" t="str">
        <f>"31"</f>
        <v>31</v>
      </c>
      <c r="E4865" t="str">
        <f>"1-98-31"</f>
        <v>1-98-31</v>
      </c>
      <c r="F4865" t="s">
        <v>65</v>
      </c>
      <c r="G4865" t="s">
        <v>66</v>
      </c>
      <c r="H4865" t="s">
        <v>67</v>
      </c>
      <c r="S4865">
        <v>1</v>
      </c>
      <c r="T4865">
        <v>0</v>
      </c>
      <c r="U4865">
        <v>0</v>
      </c>
      <c r="V4865">
        <v>0</v>
      </c>
      <c r="W4865">
        <v>1</v>
      </c>
      <c r="X4865">
        <v>0</v>
      </c>
      <c r="Y4865">
        <v>0</v>
      </c>
      <c r="Z4865">
        <v>1</v>
      </c>
      <c r="AA4865">
        <v>1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</row>
    <row r="4866" spans="1:39" x14ac:dyDescent="0.2">
      <c r="A4866" t="str">
        <f>"4862"</f>
        <v>4862</v>
      </c>
      <c r="B4866" t="str">
        <f t="shared" si="270"/>
        <v>1</v>
      </c>
      <c r="C4866" t="str">
        <f t="shared" si="271"/>
        <v>98</v>
      </c>
      <c r="D4866" t="str">
        <f>"17"</f>
        <v>17</v>
      </c>
      <c r="E4866" t="str">
        <f>"1-98-17"</f>
        <v>1-98-17</v>
      </c>
      <c r="F4866" t="s">
        <v>65</v>
      </c>
      <c r="G4866" t="s">
        <v>66</v>
      </c>
      <c r="H4866" t="s">
        <v>67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0</v>
      </c>
      <c r="AB4866">
        <v>0</v>
      </c>
      <c r="AC4866">
        <v>1</v>
      </c>
      <c r="AD4866">
        <v>1</v>
      </c>
      <c r="AE4866">
        <v>1</v>
      </c>
      <c r="AF4866">
        <v>1</v>
      </c>
      <c r="AG4866">
        <v>1</v>
      </c>
      <c r="AH4866">
        <v>1</v>
      </c>
      <c r="AI4866">
        <v>1</v>
      </c>
      <c r="AJ4866">
        <v>1</v>
      </c>
      <c r="AK4866">
        <v>1</v>
      </c>
      <c r="AL4866">
        <v>1</v>
      </c>
      <c r="AM4866">
        <v>1</v>
      </c>
    </row>
    <row r="4867" spans="1:39" x14ac:dyDescent="0.2">
      <c r="A4867" t="str">
        <f>"4863"</f>
        <v>4863</v>
      </c>
      <c r="B4867" t="str">
        <f t="shared" si="270"/>
        <v>1</v>
      </c>
      <c r="C4867" t="str">
        <f t="shared" si="271"/>
        <v>98</v>
      </c>
      <c r="D4867" t="str">
        <f>"1"</f>
        <v>1</v>
      </c>
      <c r="E4867" t="str">
        <f>"1-98-1"</f>
        <v>1-98-1</v>
      </c>
      <c r="F4867" t="s">
        <v>65</v>
      </c>
      <c r="G4867" t="s">
        <v>66</v>
      </c>
      <c r="H4867" t="s">
        <v>67</v>
      </c>
      <c r="S4867">
        <v>1</v>
      </c>
      <c r="T4867">
        <v>0</v>
      </c>
      <c r="U4867">
        <v>0</v>
      </c>
      <c r="V4867">
        <v>0</v>
      </c>
      <c r="W4867">
        <v>0</v>
      </c>
      <c r="X4867">
        <v>1</v>
      </c>
      <c r="Y4867">
        <v>1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1</v>
      </c>
      <c r="AF4867">
        <v>1</v>
      </c>
      <c r="AG4867">
        <v>1</v>
      </c>
      <c r="AH4867">
        <v>1</v>
      </c>
      <c r="AI4867">
        <v>1</v>
      </c>
      <c r="AJ4867">
        <v>1</v>
      </c>
      <c r="AK4867">
        <v>1</v>
      </c>
      <c r="AL4867">
        <v>1</v>
      </c>
      <c r="AM4867">
        <v>1</v>
      </c>
    </row>
    <row r="4868" spans="1:39" x14ac:dyDescent="0.2">
      <c r="A4868" t="str">
        <f>"4864"</f>
        <v>4864</v>
      </c>
      <c r="B4868" t="str">
        <f t="shared" si="270"/>
        <v>1</v>
      </c>
      <c r="C4868" t="str">
        <f t="shared" si="271"/>
        <v>98</v>
      </c>
      <c r="D4868" t="str">
        <f>"33"</f>
        <v>33</v>
      </c>
      <c r="E4868" t="str">
        <f>"1-98-33"</f>
        <v>1-98-33</v>
      </c>
      <c r="F4868" t="s">
        <v>65</v>
      </c>
      <c r="G4868" t="s">
        <v>66</v>
      </c>
      <c r="H4868" t="s">
        <v>67</v>
      </c>
      <c r="S4868">
        <v>0</v>
      </c>
      <c r="T4868">
        <v>1</v>
      </c>
      <c r="U4868">
        <v>0</v>
      </c>
      <c r="V4868">
        <v>0</v>
      </c>
      <c r="W4868">
        <v>1</v>
      </c>
      <c r="X4868">
        <v>0</v>
      </c>
      <c r="Y4868">
        <v>0</v>
      </c>
      <c r="Z4868">
        <v>1</v>
      </c>
      <c r="AA4868">
        <v>1</v>
      </c>
      <c r="AB4868">
        <v>0</v>
      </c>
      <c r="AC4868">
        <v>0</v>
      </c>
      <c r="AD4868">
        <v>1</v>
      </c>
      <c r="AE4868">
        <v>1</v>
      </c>
      <c r="AF4868">
        <v>1</v>
      </c>
      <c r="AG4868">
        <v>1</v>
      </c>
      <c r="AH4868">
        <v>1</v>
      </c>
      <c r="AI4868">
        <v>1</v>
      </c>
      <c r="AJ4868">
        <v>1</v>
      </c>
      <c r="AK4868">
        <v>1</v>
      </c>
      <c r="AL4868">
        <v>1</v>
      </c>
      <c r="AM4868">
        <v>1</v>
      </c>
    </row>
    <row r="4869" spans="1:39" x14ac:dyDescent="0.2">
      <c r="A4869" t="str">
        <f>"4865"</f>
        <v>4865</v>
      </c>
      <c r="B4869" t="str">
        <f t="shared" si="270"/>
        <v>1</v>
      </c>
      <c r="C4869" t="str">
        <f t="shared" si="271"/>
        <v>98</v>
      </c>
      <c r="D4869" t="str">
        <f>"18"</f>
        <v>18</v>
      </c>
      <c r="E4869" t="str">
        <f>"1-98-18"</f>
        <v>1-98-18</v>
      </c>
      <c r="F4869" t="s">
        <v>65</v>
      </c>
      <c r="G4869" t="s">
        <v>66</v>
      </c>
      <c r="H4869" t="s">
        <v>67</v>
      </c>
      <c r="S4869">
        <v>0</v>
      </c>
      <c r="T4869">
        <v>1</v>
      </c>
      <c r="U4869">
        <v>0</v>
      </c>
      <c r="V4869">
        <v>0</v>
      </c>
      <c r="W4869">
        <v>1</v>
      </c>
      <c r="X4869">
        <v>0</v>
      </c>
      <c r="Y4869">
        <v>0</v>
      </c>
      <c r="Z4869">
        <v>1</v>
      </c>
      <c r="AA4869">
        <v>0</v>
      </c>
      <c r="AB4869">
        <v>1</v>
      </c>
      <c r="AC4869">
        <v>0</v>
      </c>
      <c r="AD4869">
        <v>1</v>
      </c>
      <c r="AE4869">
        <v>1</v>
      </c>
      <c r="AF4869">
        <v>1</v>
      </c>
      <c r="AG4869">
        <v>1</v>
      </c>
      <c r="AH4869">
        <v>1</v>
      </c>
      <c r="AI4869">
        <v>1</v>
      </c>
      <c r="AJ4869">
        <v>1</v>
      </c>
      <c r="AK4869">
        <v>1</v>
      </c>
      <c r="AL4869">
        <v>1</v>
      </c>
      <c r="AM4869">
        <v>1</v>
      </c>
    </row>
    <row r="4870" spans="1:39" x14ac:dyDescent="0.2">
      <c r="A4870" t="str">
        <f>"4866"</f>
        <v>4866</v>
      </c>
      <c r="B4870" t="str">
        <f t="shared" si="270"/>
        <v>1</v>
      </c>
      <c r="C4870" t="str">
        <f t="shared" si="271"/>
        <v>98</v>
      </c>
      <c r="D4870" t="str">
        <f>"3"</f>
        <v>3</v>
      </c>
      <c r="E4870" t="str">
        <f>"1-98-3"</f>
        <v>1-98-3</v>
      </c>
      <c r="F4870" t="s">
        <v>65</v>
      </c>
      <c r="G4870" t="s">
        <v>66</v>
      </c>
      <c r="H4870" t="s">
        <v>67</v>
      </c>
      <c r="S4870">
        <v>1</v>
      </c>
      <c r="T4870">
        <v>0</v>
      </c>
      <c r="U4870">
        <v>0</v>
      </c>
      <c r="V4870">
        <v>0</v>
      </c>
      <c r="W4870">
        <v>1</v>
      </c>
      <c r="X4870">
        <v>0</v>
      </c>
      <c r="Y4870">
        <v>1</v>
      </c>
      <c r="Z4870">
        <v>0</v>
      </c>
      <c r="AA4870">
        <v>0</v>
      </c>
      <c r="AB4870">
        <v>1</v>
      </c>
      <c r="AC4870">
        <v>0</v>
      </c>
      <c r="AD4870">
        <v>1</v>
      </c>
      <c r="AE4870">
        <v>1</v>
      </c>
      <c r="AF4870">
        <v>1</v>
      </c>
      <c r="AG4870">
        <v>1</v>
      </c>
      <c r="AH4870">
        <v>1</v>
      </c>
      <c r="AI4870">
        <v>1</v>
      </c>
      <c r="AJ4870">
        <v>1</v>
      </c>
      <c r="AK4870">
        <v>1</v>
      </c>
      <c r="AL4870">
        <v>1</v>
      </c>
      <c r="AM4870">
        <v>1</v>
      </c>
    </row>
    <row r="4871" spans="1:39" x14ac:dyDescent="0.2">
      <c r="A4871" t="str">
        <f>"4867"</f>
        <v>4867</v>
      </c>
      <c r="B4871" t="str">
        <f t="shared" si="270"/>
        <v>1</v>
      </c>
      <c r="C4871" t="str">
        <f t="shared" si="271"/>
        <v>98</v>
      </c>
      <c r="D4871" t="str">
        <f>"46"</f>
        <v>46</v>
      </c>
      <c r="E4871" t="str">
        <f>"1-98-46"</f>
        <v>1-98-46</v>
      </c>
      <c r="F4871" t="s">
        <v>65</v>
      </c>
      <c r="G4871" t="s">
        <v>66</v>
      </c>
      <c r="H4871" t="s">
        <v>67</v>
      </c>
      <c r="S4871">
        <v>0</v>
      </c>
      <c r="T4871">
        <v>1</v>
      </c>
      <c r="U4871">
        <v>0</v>
      </c>
      <c r="V4871">
        <v>0</v>
      </c>
      <c r="W4871">
        <v>1</v>
      </c>
      <c r="X4871">
        <v>0</v>
      </c>
      <c r="Y4871">
        <v>0</v>
      </c>
      <c r="Z4871">
        <v>1</v>
      </c>
      <c r="AA4871">
        <v>1</v>
      </c>
      <c r="AB4871">
        <v>0</v>
      </c>
      <c r="AC4871">
        <v>0</v>
      </c>
      <c r="AD4871">
        <v>1</v>
      </c>
      <c r="AE4871">
        <v>1</v>
      </c>
      <c r="AF4871">
        <v>1</v>
      </c>
      <c r="AG4871">
        <v>1</v>
      </c>
      <c r="AH4871">
        <v>1</v>
      </c>
      <c r="AI4871">
        <v>1</v>
      </c>
      <c r="AJ4871">
        <v>1</v>
      </c>
      <c r="AK4871">
        <v>1</v>
      </c>
      <c r="AL4871">
        <v>1</v>
      </c>
      <c r="AM4871">
        <v>1</v>
      </c>
    </row>
    <row r="4872" spans="1:39" x14ac:dyDescent="0.2">
      <c r="A4872" t="str">
        <f>"4868"</f>
        <v>4868</v>
      </c>
      <c r="B4872" t="str">
        <f t="shared" si="270"/>
        <v>1</v>
      </c>
      <c r="C4872" t="str">
        <f t="shared" si="271"/>
        <v>98</v>
      </c>
      <c r="D4872" t="str">
        <f>"45"</f>
        <v>45</v>
      </c>
      <c r="E4872" t="str">
        <f>"1-98-45"</f>
        <v>1-98-45</v>
      </c>
      <c r="F4872" t="s">
        <v>65</v>
      </c>
      <c r="G4872" t="s">
        <v>66</v>
      </c>
      <c r="H4872" t="s">
        <v>67</v>
      </c>
      <c r="S4872">
        <v>1</v>
      </c>
      <c r="T4872">
        <v>0</v>
      </c>
      <c r="U4872">
        <v>0</v>
      </c>
      <c r="V4872">
        <v>0</v>
      </c>
      <c r="W4872">
        <v>1</v>
      </c>
      <c r="X4872">
        <v>0</v>
      </c>
      <c r="Y4872">
        <v>1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1</v>
      </c>
      <c r="AF4872">
        <v>1</v>
      </c>
      <c r="AG4872">
        <v>1</v>
      </c>
      <c r="AH4872">
        <v>1</v>
      </c>
      <c r="AI4872">
        <v>1</v>
      </c>
      <c r="AJ4872">
        <v>1</v>
      </c>
      <c r="AK4872">
        <v>1</v>
      </c>
      <c r="AL4872">
        <v>1</v>
      </c>
      <c r="AM4872">
        <v>1</v>
      </c>
    </row>
    <row r="4873" spans="1:39" x14ac:dyDescent="0.2">
      <c r="A4873" t="str">
        <f>"4869"</f>
        <v>4869</v>
      </c>
      <c r="B4873" t="str">
        <f t="shared" si="270"/>
        <v>1</v>
      </c>
      <c r="C4873" t="str">
        <f t="shared" si="271"/>
        <v>98</v>
      </c>
      <c r="D4873" t="str">
        <f>"32"</f>
        <v>32</v>
      </c>
      <c r="E4873" t="str">
        <f>"1-98-32"</f>
        <v>1-98-32</v>
      </c>
      <c r="F4873" t="s">
        <v>65</v>
      </c>
      <c r="G4873" t="s">
        <v>66</v>
      </c>
      <c r="H4873" t="s">
        <v>67</v>
      </c>
      <c r="S4873">
        <v>0</v>
      </c>
      <c r="T4873">
        <v>1</v>
      </c>
      <c r="U4873">
        <v>0</v>
      </c>
      <c r="V4873">
        <v>0</v>
      </c>
      <c r="W4873">
        <v>1</v>
      </c>
      <c r="X4873">
        <v>0</v>
      </c>
      <c r="Y4873">
        <v>1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1</v>
      </c>
      <c r="AF4873">
        <v>1</v>
      </c>
      <c r="AG4873">
        <v>1</v>
      </c>
      <c r="AH4873">
        <v>1</v>
      </c>
      <c r="AI4873">
        <v>1</v>
      </c>
      <c r="AJ4873">
        <v>1</v>
      </c>
      <c r="AK4873">
        <v>1</v>
      </c>
      <c r="AL4873">
        <v>1</v>
      </c>
      <c r="AM4873">
        <v>1</v>
      </c>
    </row>
    <row r="4874" spans="1:39" x14ac:dyDescent="0.2">
      <c r="A4874" t="str">
        <f>"4870"</f>
        <v>4870</v>
      </c>
      <c r="B4874" t="str">
        <f t="shared" si="270"/>
        <v>1</v>
      </c>
      <c r="C4874" t="str">
        <f t="shared" si="271"/>
        <v>98</v>
      </c>
      <c r="D4874" t="str">
        <f>"19"</f>
        <v>19</v>
      </c>
      <c r="E4874" t="str">
        <f>"1-98-19"</f>
        <v>1-98-19</v>
      </c>
      <c r="F4874" t="s">
        <v>65</v>
      </c>
      <c r="G4874" t="s">
        <v>66</v>
      </c>
      <c r="H4874" t="s">
        <v>67</v>
      </c>
      <c r="S4874">
        <v>0</v>
      </c>
      <c r="T4874">
        <v>1</v>
      </c>
      <c r="U4874">
        <v>0</v>
      </c>
      <c r="V4874">
        <v>0</v>
      </c>
      <c r="W4874">
        <v>1</v>
      </c>
      <c r="X4874">
        <v>0</v>
      </c>
      <c r="Y4874">
        <v>1</v>
      </c>
      <c r="Z4874">
        <v>0</v>
      </c>
      <c r="AA4874">
        <v>0</v>
      </c>
      <c r="AB4874">
        <v>1</v>
      </c>
      <c r="AC4874">
        <v>0</v>
      </c>
      <c r="AD4874">
        <v>1</v>
      </c>
      <c r="AE4874">
        <v>1</v>
      </c>
      <c r="AF4874">
        <v>1</v>
      </c>
      <c r="AG4874">
        <v>1</v>
      </c>
      <c r="AH4874">
        <v>1</v>
      </c>
      <c r="AI4874">
        <v>1</v>
      </c>
      <c r="AJ4874">
        <v>1</v>
      </c>
      <c r="AK4874">
        <v>1</v>
      </c>
      <c r="AL4874">
        <v>1</v>
      </c>
      <c r="AM4874">
        <v>1</v>
      </c>
    </row>
    <row r="4875" spans="1:39" x14ac:dyDescent="0.2">
      <c r="A4875" t="str">
        <f>"4871"</f>
        <v>4871</v>
      </c>
      <c r="B4875" t="str">
        <f t="shared" si="270"/>
        <v>1</v>
      </c>
      <c r="C4875" t="str">
        <f t="shared" si="271"/>
        <v>98</v>
      </c>
      <c r="D4875" t="str">
        <f>"8"</f>
        <v>8</v>
      </c>
      <c r="E4875" t="str">
        <f>"1-98-8"</f>
        <v>1-98-8</v>
      </c>
      <c r="F4875" t="s">
        <v>65</v>
      </c>
      <c r="G4875" t="s">
        <v>66</v>
      </c>
      <c r="H4875" t="s">
        <v>67</v>
      </c>
      <c r="S4875">
        <v>1</v>
      </c>
      <c r="T4875">
        <v>0</v>
      </c>
      <c r="U4875">
        <v>0</v>
      </c>
      <c r="V4875">
        <v>0</v>
      </c>
      <c r="W4875">
        <v>1</v>
      </c>
      <c r="X4875">
        <v>0</v>
      </c>
      <c r="Y4875">
        <v>1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1</v>
      </c>
      <c r="AF4875">
        <v>1</v>
      </c>
      <c r="AG4875">
        <v>1</v>
      </c>
      <c r="AH4875">
        <v>1</v>
      </c>
      <c r="AI4875">
        <v>1</v>
      </c>
      <c r="AJ4875">
        <v>1</v>
      </c>
      <c r="AK4875">
        <v>1</v>
      </c>
      <c r="AL4875">
        <v>1</v>
      </c>
      <c r="AM4875">
        <v>1</v>
      </c>
    </row>
    <row r="4876" spans="1:39" x14ac:dyDescent="0.2">
      <c r="A4876" t="str">
        <f>"4872"</f>
        <v>4872</v>
      </c>
      <c r="B4876" t="str">
        <f t="shared" si="270"/>
        <v>1</v>
      </c>
      <c r="C4876" t="str">
        <f t="shared" si="271"/>
        <v>98</v>
      </c>
      <c r="D4876" t="str">
        <f>"48"</f>
        <v>48</v>
      </c>
      <c r="E4876" t="str">
        <f>"1-98-48"</f>
        <v>1-98-48</v>
      </c>
      <c r="F4876" t="s">
        <v>65</v>
      </c>
      <c r="G4876" t="s">
        <v>66</v>
      </c>
      <c r="H4876" t="s">
        <v>67</v>
      </c>
      <c r="S4876">
        <v>1</v>
      </c>
      <c r="T4876">
        <v>0</v>
      </c>
      <c r="U4876">
        <v>0</v>
      </c>
      <c r="V4876">
        <v>0</v>
      </c>
      <c r="W4876">
        <v>1</v>
      </c>
      <c r="X4876">
        <v>0</v>
      </c>
      <c r="Y4876">
        <v>1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1</v>
      </c>
      <c r="AF4876">
        <v>1</v>
      </c>
      <c r="AG4876">
        <v>0</v>
      </c>
      <c r="AH4876">
        <v>0</v>
      </c>
      <c r="AI4876">
        <v>1</v>
      </c>
      <c r="AJ4876">
        <v>1</v>
      </c>
      <c r="AK4876">
        <v>1</v>
      </c>
      <c r="AL4876">
        <v>1</v>
      </c>
      <c r="AM4876">
        <v>1</v>
      </c>
    </row>
    <row r="4877" spans="1:39" x14ac:dyDescent="0.2">
      <c r="A4877" t="str">
        <f>"4873"</f>
        <v>4873</v>
      </c>
      <c r="B4877" t="str">
        <f t="shared" si="270"/>
        <v>1</v>
      </c>
      <c r="C4877" t="str">
        <f t="shared" si="271"/>
        <v>98</v>
      </c>
      <c r="D4877" t="str">
        <f>"47"</f>
        <v>47</v>
      </c>
      <c r="E4877" t="str">
        <f>"1-98-47"</f>
        <v>1-98-47</v>
      </c>
      <c r="F4877" t="s">
        <v>65</v>
      </c>
      <c r="G4877" t="s">
        <v>66</v>
      </c>
      <c r="H4877" t="s">
        <v>67</v>
      </c>
      <c r="S4877">
        <v>1</v>
      </c>
      <c r="T4877">
        <v>0</v>
      </c>
      <c r="U4877">
        <v>0</v>
      </c>
      <c r="V4877">
        <v>0</v>
      </c>
      <c r="W4877">
        <v>0</v>
      </c>
      <c r="X4877">
        <v>1</v>
      </c>
      <c r="Y4877">
        <v>0</v>
      </c>
      <c r="Z4877">
        <v>1</v>
      </c>
      <c r="AA4877">
        <v>1</v>
      </c>
      <c r="AB4877">
        <v>0</v>
      </c>
      <c r="AC4877">
        <v>0</v>
      </c>
      <c r="AD4877">
        <v>1</v>
      </c>
      <c r="AE4877">
        <v>1</v>
      </c>
      <c r="AF4877">
        <v>1</v>
      </c>
      <c r="AG4877">
        <v>1</v>
      </c>
      <c r="AH4877">
        <v>1</v>
      </c>
      <c r="AI4877">
        <v>1</v>
      </c>
      <c r="AJ4877">
        <v>1</v>
      </c>
      <c r="AK4877">
        <v>1</v>
      </c>
      <c r="AL4877">
        <v>1</v>
      </c>
      <c r="AM4877">
        <v>1</v>
      </c>
    </row>
    <row r="4878" spans="1:39" x14ac:dyDescent="0.2">
      <c r="A4878" t="str">
        <f>"4874"</f>
        <v>4874</v>
      </c>
      <c r="B4878" t="str">
        <f t="shared" si="270"/>
        <v>1</v>
      </c>
      <c r="C4878" t="str">
        <f t="shared" si="271"/>
        <v>98</v>
      </c>
      <c r="D4878" t="str">
        <f>"34"</f>
        <v>34</v>
      </c>
      <c r="E4878" t="str">
        <f>"1-98-34"</f>
        <v>1-98-34</v>
      </c>
      <c r="F4878" t="s">
        <v>65</v>
      </c>
      <c r="G4878" t="s">
        <v>66</v>
      </c>
      <c r="H4878" t="s">
        <v>67</v>
      </c>
      <c r="S4878">
        <v>0</v>
      </c>
      <c r="T4878">
        <v>1</v>
      </c>
      <c r="U4878">
        <v>0</v>
      </c>
      <c r="V4878">
        <v>0</v>
      </c>
      <c r="W4878">
        <v>1</v>
      </c>
      <c r="X4878">
        <v>0</v>
      </c>
      <c r="Y4878">
        <v>0</v>
      </c>
      <c r="Z4878">
        <v>1</v>
      </c>
      <c r="AA4878">
        <v>1</v>
      </c>
      <c r="AB4878">
        <v>0</v>
      </c>
      <c r="AC4878">
        <v>0</v>
      </c>
      <c r="AD4878">
        <v>1</v>
      </c>
      <c r="AE4878">
        <v>1</v>
      </c>
      <c r="AF4878">
        <v>1</v>
      </c>
      <c r="AG4878">
        <v>1</v>
      </c>
      <c r="AH4878">
        <v>1</v>
      </c>
      <c r="AI4878">
        <v>1</v>
      </c>
      <c r="AJ4878">
        <v>1</v>
      </c>
      <c r="AK4878">
        <v>1</v>
      </c>
      <c r="AL4878">
        <v>1</v>
      </c>
      <c r="AM4878">
        <v>1</v>
      </c>
    </row>
    <row r="4879" spans="1:39" x14ac:dyDescent="0.2">
      <c r="A4879" t="str">
        <f>"4875"</f>
        <v>4875</v>
      </c>
      <c r="B4879" t="str">
        <f t="shared" si="270"/>
        <v>1</v>
      </c>
      <c r="C4879" t="str">
        <f t="shared" si="271"/>
        <v>98</v>
      </c>
      <c r="D4879" t="str">
        <f>"20"</f>
        <v>20</v>
      </c>
      <c r="E4879" t="str">
        <f>"1-98-20"</f>
        <v>1-98-20</v>
      </c>
      <c r="F4879" t="s">
        <v>65</v>
      </c>
      <c r="G4879" t="s">
        <v>66</v>
      </c>
      <c r="H4879" t="s">
        <v>67</v>
      </c>
      <c r="S4879">
        <v>1</v>
      </c>
      <c r="T4879">
        <v>0</v>
      </c>
      <c r="U4879">
        <v>0</v>
      </c>
      <c r="V4879">
        <v>0</v>
      </c>
      <c r="W4879">
        <v>1</v>
      </c>
      <c r="X4879">
        <v>0</v>
      </c>
      <c r="Y4879">
        <v>1</v>
      </c>
      <c r="Z4879">
        <v>0</v>
      </c>
      <c r="AA4879">
        <v>0</v>
      </c>
      <c r="AB4879">
        <v>0</v>
      </c>
      <c r="AC4879">
        <v>1</v>
      </c>
      <c r="AD4879">
        <v>1</v>
      </c>
      <c r="AE4879">
        <v>1</v>
      </c>
      <c r="AF4879">
        <v>1</v>
      </c>
      <c r="AG4879">
        <v>1</v>
      </c>
      <c r="AH4879">
        <v>1</v>
      </c>
      <c r="AI4879">
        <v>1</v>
      </c>
      <c r="AJ4879">
        <v>1</v>
      </c>
      <c r="AK4879">
        <v>1</v>
      </c>
      <c r="AL4879">
        <v>1</v>
      </c>
      <c r="AM4879">
        <v>1</v>
      </c>
    </row>
    <row r="4880" spans="1:39" x14ac:dyDescent="0.2">
      <c r="A4880" t="str">
        <f>"4876"</f>
        <v>4876</v>
      </c>
      <c r="B4880" t="str">
        <f t="shared" si="270"/>
        <v>1</v>
      </c>
      <c r="C4880" t="str">
        <f t="shared" si="271"/>
        <v>98</v>
      </c>
      <c r="D4880" t="str">
        <f>"12"</f>
        <v>12</v>
      </c>
      <c r="E4880" t="str">
        <f>"1-98-12"</f>
        <v>1-98-12</v>
      </c>
      <c r="F4880" t="s">
        <v>65</v>
      </c>
      <c r="G4880" t="s">
        <v>66</v>
      </c>
      <c r="H4880" t="s">
        <v>67</v>
      </c>
      <c r="S4880">
        <v>1</v>
      </c>
      <c r="T4880">
        <v>0</v>
      </c>
      <c r="U4880">
        <v>0</v>
      </c>
      <c r="V4880">
        <v>0</v>
      </c>
      <c r="W4880">
        <v>1</v>
      </c>
      <c r="X4880">
        <v>0</v>
      </c>
      <c r="Y4880">
        <v>1</v>
      </c>
      <c r="Z4880">
        <v>0</v>
      </c>
      <c r="AA4880">
        <v>0</v>
      </c>
      <c r="AB4880">
        <v>0</v>
      </c>
      <c r="AC4880">
        <v>1</v>
      </c>
      <c r="AD4880">
        <v>1</v>
      </c>
      <c r="AE4880">
        <v>1</v>
      </c>
      <c r="AF4880">
        <v>1</v>
      </c>
      <c r="AG4880">
        <v>1</v>
      </c>
      <c r="AH4880">
        <v>1</v>
      </c>
      <c r="AI4880">
        <v>1</v>
      </c>
      <c r="AJ4880">
        <v>1</v>
      </c>
      <c r="AK4880">
        <v>1</v>
      </c>
      <c r="AL4880">
        <v>1</v>
      </c>
      <c r="AM4880">
        <v>1</v>
      </c>
    </row>
    <row r="4881" spans="1:39" x14ac:dyDescent="0.2">
      <c r="A4881" t="str">
        <f>"4877"</f>
        <v>4877</v>
      </c>
      <c r="B4881" t="str">
        <f t="shared" si="270"/>
        <v>1</v>
      </c>
      <c r="C4881" t="str">
        <f t="shared" si="271"/>
        <v>98</v>
      </c>
      <c r="D4881" t="str">
        <f>"39"</f>
        <v>39</v>
      </c>
      <c r="E4881" t="str">
        <f>"1-98-39"</f>
        <v>1-98-39</v>
      </c>
      <c r="F4881" t="s">
        <v>65</v>
      </c>
      <c r="G4881" t="s">
        <v>66</v>
      </c>
      <c r="H4881" t="s">
        <v>67</v>
      </c>
      <c r="S4881">
        <v>1</v>
      </c>
      <c r="T4881">
        <v>0</v>
      </c>
      <c r="U4881">
        <v>0</v>
      </c>
      <c r="V4881">
        <v>0</v>
      </c>
      <c r="W4881">
        <v>1</v>
      </c>
      <c r="X4881">
        <v>0</v>
      </c>
      <c r="Y4881">
        <v>1</v>
      </c>
      <c r="Z4881">
        <v>0</v>
      </c>
      <c r="AA4881">
        <v>0</v>
      </c>
      <c r="AB4881">
        <v>0</v>
      </c>
      <c r="AC4881">
        <v>0</v>
      </c>
      <c r="AD4881">
        <v>1</v>
      </c>
      <c r="AE4881">
        <v>1</v>
      </c>
      <c r="AF4881">
        <v>1</v>
      </c>
      <c r="AG4881">
        <v>1</v>
      </c>
      <c r="AH4881">
        <v>1</v>
      </c>
      <c r="AI4881">
        <v>1</v>
      </c>
      <c r="AJ4881">
        <v>1</v>
      </c>
      <c r="AK4881">
        <v>1</v>
      </c>
      <c r="AL4881">
        <v>1</v>
      </c>
      <c r="AM4881">
        <v>1</v>
      </c>
    </row>
    <row r="4882" spans="1:39" x14ac:dyDescent="0.2">
      <c r="A4882" t="str">
        <f>"4878"</f>
        <v>4878</v>
      </c>
      <c r="B4882" t="str">
        <f t="shared" si="270"/>
        <v>1</v>
      </c>
      <c r="C4882" t="str">
        <f t="shared" si="271"/>
        <v>98</v>
      </c>
      <c r="D4882" t="str">
        <f>"21"</f>
        <v>21</v>
      </c>
      <c r="E4882" t="str">
        <f>"1-98-21"</f>
        <v>1-98-21</v>
      </c>
      <c r="F4882" t="s">
        <v>65</v>
      </c>
      <c r="G4882" t="s">
        <v>66</v>
      </c>
      <c r="H4882" t="s">
        <v>67</v>
      </c>
      <c r="S4882">
        <v>1</v>
      </c>
      <c r="T4882">
        <v>0</v>
      </c>
      <c r="U4882">
        <v>0</v>
      </c>
      <c r="V4882">
        <v>0</v>
      </c>
      <c r="W4882">
        <v>1</v>
      </c>
      <c r="X4882">
        <v>0</v>
      </c>
      <c r="Y4882">
        <v>1</v>
      </c>
      <c r="Z4882">
        <v>0</v>
      </c>
      <c r="AA4882">
        <v>0</v>
      </c>
      <c r="AB4882">
        <v>0</v>
      </c>
      <c r="AC4882">
        <v>1</v>
      </c>
      <c r="AD4882">
        <v>1</v>
      </c>
      <c r="AE4882">
        <v>1</v>
      </c>
      <c r="AF4882">
        <v>1</v>
      </c>
      <c r="AG4882">
        <v>1</v>
      </c>
      <c r="AH4882">
        <v>1</v>
      </c>
      <c r="AI4882">
        <v>1</v>
      </c>
      <c r="AJ4882">
        <v>1</v>
      </c>
      <c r="AK4882">
        <v>1</v>
      </c>
      <c r="AL4882">
        <v>1</v>
      </c>
      <c r="AM4882">
        <v>1</v>
      </c>
    </row>
    <row r="4883" spans="1:39" x14ac:dyDescent="0.2">
      <c r="A4883" t="str">
        <f>"4879"</f>
        <v>4879</v>
      </c>
      <c r="B4883" t="str">
        <f t="shared" si="270"/>
        <v>1</v>
      </c>
      <c r="C4883" t="str">
        <f t="shared" si="271"/>
        <v>98</v>
      </c>
      <c r="D4883" t="str">
        <f>"5"</f>
        <v>5</v>
      </c>
      <c r="E4883" t="str">
        <f>"1-98-5"</f>
        <v>1-98-5</v>
      </c>
      <c r="F4883" t="s">
        <v>65</v>
      </c>
      <c r="G4883" t="s">
        <v>66</v>
      </c>
      <c r="H4883" t="s">
        <v>67</v>
      </c>
      <c r="S4883">
        <v>0</v>
      </c>
      <c r="T4883">
        <v>1</v>
      </c>
      <c r="U4883">
        <v>0</v>
      </c>
      <c r="V4883">
        <v>0</v>
      </c>
      <c r="W4883">
        <v>1</v>
      </c>
      <c r="X4883">
        <v>0</v>
      </c>
      <c r="Y4883">
        <v>1</v>
      </c>
      <c r="Z4883">
        <v>0</v>
      </c>
      <c r="AA4883">
        <v>0</v>
      </c>
      <c r="AB4883">
        <v>1</v>
      </c>
      <c r="AC4883">
        <v>0</v>
      </c>
      <c r="AD4883">
        <v>1</v>
      </c>
      <c r="AE4883">
        <v>1</v>
      </c>
      <c r="AF4883">
        <v>1</v>
      </c>
      <c r="AG4883">
        <v>1</v>
      </c>
      <c r="AH4883">
        <v>1</v>
      </c>
      <c r="AI4883">
        <v>1</v>
      </c>
      <c r="AJ4883">
        <v>1</v>
      </c>
      <c r="AK4883">
        <v>1</v>
      </c>
      <c r="AL4883">
        <v>1</v>
      </c>
      <c r="AM4883">
        <v>1</v>
      </c>
    </row>
    <row r="4884" spans="1:39" x14ac:dyDescent="0.2">
      <c r="A4884" t="str">
        <f>"4880"</f>
        <v>4880</v>
      </c>
      <c r="B4884" t="str">
        <f t="shared" si="270"/>
        <v>1</v>
      </c>
      <c r="C4884" t="str">
        <f t="shared" si="271"/>
        <v>98</v>
      </c>
      <c r="D4884" t="str">
        <f>"41"</f>
        <v>41</v>
      </c>
      <c r="E4884" t="str">
        <f>"1-98-41"</f>
        <v>1-98-41</v>
      </c>
      <c r="F4884" t="s">
        <v>65</v>
      </c>
      <c r="G4884" t="s">
        <v>66</v>
      </c>
      <c r="H4884" t="s">
        <v>67</v>
      </c>
      <c r="S4884">
        <v>1</v>
      </c>
      <c r="T4884">
        <v>0</v>
      </c>
      <c r="U4884">
        <v>0</v>
      </c>
      <c r="V4884">
        <v>0</v>
      </c>
      <c r="W4884">
        <v>1</v>
      </c>
      <c r="X4884">
        <v>0</v>
      </c>
      <c r="Y4884">
        <v>1</v>
      </c>
      <c r="Z4884">
        <v>0</v>
      </c>
      <c r="AA4884">
        <v>0</v>
      </c>
      <c r="AB4884">
        <v>0</v>
      </c>
      <c r="AC4884">
        <v>1</v>
      </c>
      <c r="AD4884">
        <v>1</v>
      </c>
      <c r="AE4884">
        <v>1</v>
      </c>
      <c r="AF4884">
        <v>1</v>
      </c>
      <c r="AG4884">
        <v>1</v>
      </c>
      <c r="AH4884">
        <v>1</v>
      </c>
      <c r="AI4884">
        <v>1</v>
      </c>
      <c r="AJ4884">
        <v>1</v>
      </c>
      <c r="AK4884">
        <v>1</v>
      </c>
      <c r="AL4884">
        <v>1</v>
      </c>
      <c r="AM4884">
        <v>1</v>
      </c>
    </row>
    <row r="4885" spans="1:39" x14ac:dyDescent="0.2">
      <c r="A4885" t="str">
        <f>"4881"</f>
        <v>4881</v>
      </c>
      <c r="B4885" t="str">
        <f t="shared" si="270"/>
        <v>1</v>
      </c>
      <c r="C4885" t="str">
        <f t="shared" si="271"/>
        <v>98</v>
      </c>
      <c r="D4885" t="str">
        <f>"22"</f>
        <v>22</v>
      </c>
      <c r="E4885" t="str">
        <f>"1-98-22"</f>
        <v>1-98-22</v>
      </c>
      <c r="F4885" t="s">
        <v>65</v>
      </c>
      <c r="G4885" t="s">
        <v>66</v>
      </c>
      <c r="H4885" t="s">
        <v>67</v>
      </c>
      <c r="S4885">
        <v>0</v>
      </c>
      <c r="T4885">
        <v>1</v>
      </c>
      <c r="U4885">
        <v>0</v>
      </c>
      <c r="V4885">
        <v>0</v>
      </c>
      <c r="W4885">
        <v>1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</row>
    <row r="4886" spans="1:39" x14ac:dyDescent="0.2">
      <c r="A4886" t="str">
        <f>"4882"</f>
        <v>4882</v>
      </c>
      <c r="B4886" t="str">
        <f t="shared" si="270"/>
        <v>1</v>
      </c>
      <c r="C4886" t="str">
        <f t="shared" si="271"/>
        <v>98</v>
      </c>
      <c r="D4886" t="str">
        <f>"13"</f>
        <v>13</v>
      </c>
      <c r="E4886" t="str">
        <f>"1-98-13"</f>
        <v>1-98-13</v>
      </c>
      <c r="F4886" t="s">
        <v>65</v>
      </c>
      <c r="G4886" t="s">
        <v>66</v>
      </c>
      <c r="H4886" t="s">
        <v>67</v>
      </c>
      <c r="S4886">
        <v>0</v>
      </c>
      <c r="T4886">
        <v>0</v>
      </c>
      <c r="U4886">
        <v>0</v>
      </c>
      <c r="V4886">
        <v>0</v>
      </c>
      <c r="W4886">
        <v>1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</row>
    <row r="4887" spans="1:39" x14ac:dyDescent="0.2">
      <c r="A4887" t="str">
        <f>"4883"</f>
        <v>4883</v>
      </c>
      <c r="B4887" t="str">
        <f t="shared" si="270"/>
        <v>1</v>
      </c>
      <c r="C4887" t="str">
        <f t="shared" ref="C4887:C4904" si="272">"98"</f>
        <v>98</v>
      </c>
      <c r="D4887" t="str">
        <f>"44"</f>
        <v>44</v>
      </c>
      <c r="E4887" t="str">
        <f>"1-98-44"</f>
        <v>1-98-44</v>
      </c>
      <c r="F4887" t="s">
        <v>65</v>
      </c>
      <c r="G4887" t="s">
        <v>66</v>
      </c>
      <c r="H4887" t="s">
        <v>67</v>
      </c>
      <c r="S4887">
        <v>1</v>
      </c>
      <c r="T4887">
        <v>0</v>
      </c>
      <c r="U4887">
        <v>0</v>
      </c>
      <c r="V4887">
        <v>0</v>
      </c>
      <c r="W4887">
        <v>1</v>
      </c>
      <c r="X4887">
        <v>0</v>
      </c>
      <c r="Y4887">
        <v>1</v>
      </c>
      <c r="Z4887">
        <v>0</v>
      </c>
      <c r="AA4887">
        <v>1</v>
      </c>
      <c r="AB4887">
        <v>0</v>
      </c>
      <c r="AC4887">
        <v>0</v>
      </c>
      <c r="AD4887">
        <v>0</v>
      </c>
      <c r="AE4887">
        <v>1</v>
      </c>
      <c r="AF4887">
        <v>0</v>
      </c>
      <c r="AG4887">
        <v>0</v>
      </c>
      <c r="AH4887">
        <v>1</v>
      </c>
      <c r="AI4887">
        <v>0</v>
      </c>
      <c r="AJ4887">
        <v>0</v>
      </c>
      <c r="AK4887">
        <v>0</v>
      </c>
      <c r="AL4887">
        <v>0</v>
      </c>
      <c r="AM4887">
        <v>0</v>
      </c>
    </row>
    <row r="4888" spans="1:39" x14ac:dyDescent="0.2">
      <c r="A4888" t="str">
        <f>"4884"</f>
        <v>4884</v>
      </c>
      <c r="B4888" t="str">
        <f t="shared" si="270"/>
        <v>1</v>
      </c>
      <c r="C4888" t="str">
        <f t="shared" si="272"/>
        <v>98</v>
      </c>
      <c r="D4888" t="str">
        <f>"23"</f>
        <v>23</v>
      </c>
      <c r="E4888" t="str">
        <f>"1-98-23"</f>
        <v>1-98-23</v>
      </c>
      <c r="F4888" t="s">
        <v>65</v>
      </c>
      <c r="G4888" t="s">
        <v>66</v>
      </c>
      <c r="H4888" t="s">
        <v>67</v>
      </c>
      <c r="S4888">
        <v>1</v>
      </c>
      <c r="T4888">
        <v>0</v>
      </c>
      <c r="U4888">
        <v>0</v>
      </c>
      <c r="V4888">
        <v>0</v>
      </c>
      <c r="W4888">
        <v>1</v>
      </c>
      <c r="X4888">
        <v>0</v>
      </c>
      <c r="Y4888">
        <v>0</v>
      </c>
      <c r="Z4888">
        <v>1</v>
      </c>
      <c r="AA4888">
        <v>0</v>
      </c>
      <c r="AB4888">
        <v>0</v>
      </c>
      <c r="AC4888">
        <v>1</v>
      </c>
      <c r="AD4888">
        <v>1</v>
      </c>
      <c r="AE4888">
        <v>1</v>
      </c>
      <c r="AF4888">
        <v>1</v>
      </c>
      <c r="AG4888">
        <v>1</v>
      </c>
      <c r="AH4888">
        <v>1</v>
      </c>
      <c r="AI4888">
        <v>1</v>
      </c>
      <c r="AJ4888">
        <v>1</v>
      </c>
      <c r="AK4888">
        <v>1</v>
      </c>
      <c r="AL4888">
        <v>1</v>
      </c>
      <c r="AM4888">
        <v>1</v>
      </c>
    </row>
    <row r="4889" spans="1:39" x14ac:dyDescent="0.2">
      <c r="A4889" t="str">
        <f>"4885"</f>
        <v>4885</v>
      </c>
      <c r="B4889" t="str">
        <f t="shared" si="270"/>
        <v>1</v>
      </c>
      <c r="C4889" t="str">
        <f t="shared" si="272"/>
        <v>98</v>
      </c>
      <c r="D4889" t="str">
        <f>"14"</f>
        <v>14</v>
      </c>
      <c r="E4889" t="str">
        <f>"1-98-14"</f>
        <v>1-98-14</v>
      </c>
      <c r="F4889" t="s">
        <v>65</v>
      </c>
      <c r="G4889" t="s">
        <v>66</v>
      </c>
      <c r="H4889" t="s">
        <v>67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1</v>
      </c>
      <c r="Y4889">
        <v>0</v>
      </c>
      <c r="Z4889">
        <v>1</v>
      </c>
      <c r="AA4889">
        <v>0</v>
      </c>
      <c r="AB4889">
        <v>1</v>
      </c>
      <c r="AC4889">
        <v>0</v>
      </c>
      <c r="AD4889">
        <v>1</v>
      </c>
      <c r="AE4889">
        <v>1</v>
      </c>
      <c r="AF4889">
        <v>1</v>
      </c>
      <c r="AG4889">
        <v>1</v>
      </c>
      <c r="AH4889">
        <v>1</v>
      </c>
      <c r="AI4889">
        <v>1</v>
      </c>
      <c r="AJ4889">
        <v>1</v>
      </c>
      <c r="AK4889">
        <v>1</v>
      </c>
      <c r="AL4889">
        <v>1</v>
      </c>
      <c r="AM4889">
        <v>1</v>
      </c>
    </row>
    <row r="4890" spans="1:39" x14ac:dyDescent="0.2">
      <c r="A4890" t="str">
        <f>"4886"</f>
        <v>4886</v>
      </c>
      <c r="B4890" t="str">
        <f t="shared" si="270"/>
        <v>1</v>
      </c>
      <c r="C4890" t="str">
        <f t="shared" si="272"/>
        <v>98</v>
      </c>
      <c r="D4890" t="str">
        <f>"40"</f>
        <v>40</v>
      </c>
      <c r="E4890" t="str">
        <f>"1-98-40"</f>
        <v>1-98-40</v>
      </c>
      <c r="F4890" t="s">
        <v>65</v>
      </c>
      <c r="G4890" t="s">
        <v>66</v>
      </c>
      <c r="H4890" t="s">
        <v>67</v>
      </c>
      <c r="S4890">
        <v>1</v>
      </c>
      <c r="T4890">
        <v>0</v>
      </c>
      <c r="U4890">
        <v>0</v>
      </c>
      <c r="V4890">
        <v>0</v>
      </c>
      <c r="W4890">
        <v>1</v>
      </c>
      <c r="X4890">
        <v>0</v>
      </c>
      <c r="Y4890">
        <v>1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1</v>
      </c>
      <c r="AF4890">
        <v>1</v>
      </c>
      <c r="AG4890">
        <v>0</v>
      </c>
      <c r="AH4890">
        <v>0</v>
      </c>
      <c r="AI4890">
        <v>0</v>
      </c>
      <c r="AJ4890">
        <v>1</v>
      </c>
      <c r="AK4890">
        <v>1</v>
      </c>
      <c r="AL4890">
        <v>1</v>
      </c>
      <c r="AM4890">
        <v>0</v>
      </c>
    </row>
    <row r="4891" spans="1:39" x14ac:dyDescent="0.2">
      <c r="A4891" t="str">
        <f>"4887"</f>
        <v>4887</v>
      </c>
      <c r="B4891" t="str">
        <f t="shared" si="270"/>
        <v>1</v>
      </c>
      <c r="C4891" t="str">
        <f t="shared" si="272"/>
        <v>98</v>
      </c>
      <c r="D4891" t="str">
        <f>"24"</f>
        <v>24</v>
      </c>
      <c r="E4891" t="str">
        <f>"1-98-24"</f>
        <v>1-98-24</v>
      </c>
      <c r="F4891" t="s">
        <v>65</v>
      </c>
      <c r="G4891" t="s">
        <v>66</v>
      </c>
      <c r="H4891" t="s">
        <v>67</v>
      </c>
      <c r="S4891">
        <v>0</v>
      </c>
      <c r="T4891">
        <v>1</v>
      </c>
      <c r="U4891">
        <v>0</v>
      </c>
      <c r="V4891">
        <v>0</v>
      </c>
      <c r="W4891">
        <v>1</v>
      </c>
      <c r="X4891">
        <v>0</v>
      </c>
      <c r="Y4891">
        <v>0</v>
      </c>
      <c r="Z4891">
        <v>1</v>
      </c>
      <c r="AA4891">
        <v>0</v>
      </c>
      <c r="AB4891">
        <v>0</v>
      </c>
      <c r="AC4891">
        <v>1</v>
      </c>
      <c r="AD4891">
        <v>1</v>
      </c>
      <c r="AE4891">
        <v>1</v>
      </c>
      <c r="AF4891">
        <v>1</v>
      </c>
      <c r="AG4891">
        <v>1</v>
      </c>
      <c r="AH4891">
        <v>1</v>
      </c>
      <c r="AI4891">
        <v>1</v>
      </c>
      <c r="AJ4891">
        <v>1</v>
      </c>
      <c r="AK4891">
        <v>1</v>
      </c>
      <c r="AL4891">
        <v>1</v>
      </c>
      <c r="AM4891">
        <v>1</v>
      </c>
    </row>
    <row r="4892" spans="1:39" x14ac:dyDescent="0.2">
      <c r="A4892" t="str">
        <f>"4888"</f>
        <v>4888</v>
      </c>
      <c r="B4892" t="str">
        <f t="shared" si="270"/>
        <v>1</v>
      </c>
      <c r="C4892" t="str">
        <f t="shared" si="272"/>
        <v>98</v>
      </c>
      <c r="D4892" t="str">
        <f>"4"</f>
        <v>4</v>
      </c>
      <c r="E4892" t="str">
        <f>"1-98-4"</f>
        <v>1-98-4</v>
      </c>
      <c r="F4892" t="s">
        <v>65</v>
      </c>
      <c r="G4892" t="s">
        <v>66</v>
      </c>
      <c r="H4892" t="s">
        <v>67</v>
      </c>
      <c r="S4892">
        <v>1</v>
      </c>
      <c r="T4892">
        <v>0</v>
      </c>
      <c r="U4892">
        <v>0</v>
      </c>
      <c r="V4892">
        <v>0</v>
      </c>
      <c r="W4892">
        <v>1</v>
      </c>
      <c r="X4892">
        <v>0</v>
      </c>
      <c r="Y4892">
        <v>0</v>
      </c>
      <c r="Z4892">
        <v>1</v>
      </c>
      <c r="AA4892">
        <v>0</v>
      </c>
      <c r="AB4892">
        <v>0</v>
      </c>
      <c r="AC4892">
        <v>1</v>
      </c>
      <c r="AD4892">
        <v>1</v>
      </c>
      <c r="AE4892">
        <v>1</v>
      </c>
      <c r="AF4892">
        <v>1</v>
      </c>
      <c r="AG4892">
        <v>1</v>
      </c>
      <c r="AH4892">
        <v>1</v>
      </c>
      <c r="AI4892">
        <v>1</v>
      </c>
      <c r="AJ4892">
        <v>1</v>
      </c>
      <c r="AK4892">
        <v>1</v>
      </c>
      <c r="AL4892">
        <v>1</v>
      </c>
      <c r="AM4892">
        <v>1</v>
      </c>
    </row>
    <row r="4893" spans="1:39" x14ac:dyDescent="0.2">
      <c r="A4893" t="str">
        <f>"4889"</f>
        <v>4889</v>
      </c>
      <c r="B4893" t="str">
        <f t="shared" si="270"/>
        <v>1</v>
      </c>
      <c r="C4893" t="str">
        <f t="shared" si="272"/>
        <v>98</v>
      </c>
      <c r="D4893" t="str">
        <f>"42"</f>
        <v>42</v>
      </c>
      <c r="E4893" t="str">
        <f>"1-98-42"</f>
        <v>1-98-42</v>
      </c>
      <c r="F4893" t="s">
        <v>65</v>
      </c>
      <c r="G4893" t="s">
        <v>66</v>
      </c>
      <c r="H4893" t="s">
        <v>67</v>
      </c>
      <c r="S4893">
        <v>1</v>
      </c>
      <c r="T4893">
        <v>0</v>
      </c>
      <c r="U4893">
        <v>0</v>
      </c>
      <c r="V4893">
        <v>0</v>
      </c>
      <c r="W4893">
        <v>0</v>
      </c>
      <c r="X4893">
        <v>1</v>
      </c>
      <c r="Y4893">
        <v>1</v>
      </c>
      <c r="Z4893">
        <v>0</v>
      </c>
      <c r="AA4893">
        <v>0</v>
      </c>
      <c r="AB4893">
        <v>1</v>
      </c>
      <c r="AC4893">
        <v>0</v>
      </c>
      <c r="AD4893">
        <v>1</v>
      </c>
      <c r="AE4893">
        <v>1</v>
      </c>
      <c r="AF4893">
        <v>1</v>
      </c>
      <c r="AG4893">
        <v>0</v>
      </c>
      <c r="AH4893">
        <v>0</v>
      </c>
      <c r="AI4893">
        <v>1</v>
      </c>
      <c r="AJ4893">
        <v>1</v>
      </c>
      <c r="AK4893">
        <v>1</v>
      </c>
      <c r="AL4893">
        <v>1</v>
      </c>
      <c r="AM4893">
        <v>1</v>
      </c>
    </row>
    <row r="4894" spans="1:39" x14ac:dyDescent="0.2">
      <c r="A4894" t="str">
        <f>"4890"</f>
        <v>4890</v>
      </c>
      <c r="B4894" t="str">
        <f t="shared" si="270"/>
        <v>1</v>
      </c>
      <c r="C4894" t="str">
        <f t="shared" si="272"/>
        <v>98</v>
      </c>
      <c r="D4894" t="str">
        <f>"25"</f>
        <v>25</v>
      </c>
      <c r="E4894" t="str">
        <f>"1-98-25"</f>
        <v>1-98-25</v>
      </c>
      <c r="F4894" t="s">
        <v>65</v>
      </c>
      <c r="G4894" t="s">
        <v>66</v>
      </c>
      <c r="H4894" t="s">
        <v>67</v>
      </c>
      <c r="S4894">
        <v>0</v>
      </c>
      <c r="T4894">
        <v>1</v>
      </c>
      <c r="U4894">
        <v>0</v>
      </c>
      <c r="V4894">
        <v>0</v>
      </c>
      <c r="W4894">
        <v>1</v>
      </c>
      <c r="X4894">
        <v>0</v>
      </c>
      <c r="Y4894">
        <v>0</v>
      </c>
      <c r="Z4894">
        <v>1</v>
      </c>
      <c r="AA4894">
        <v>1</v>
      </c>
      <c r="AB4894">
        <v>0</v>
      </c>
      <c r="AC4894">
        <v>0</v>
      </c>
      <c r="AD4894">
        <v>1</v>
      </c>
      <c r="AE4894">
        <v>1</v>
      </c>
      <c r="AF4894">
        <v>1</v>
      </c>
      <c r="AG4894">
        <v>1</v>
      </c>
      <c r="AH4894">
        <v>1</v>
      </c>
      <c r="AI4894">
        <v>1</v>
      </c>
      <c r="AJ4894">
        <v>1</v>
      </c>
      <c r="AK4894">
        <v>1</v>
      </c>
      <c r="AL4894">
        <v>1</v>
      </c>
      <c r="AM4894">
        <v>1</v>
      </c>
    </row>
    <row r="4895" spans="1:39" x14ac:dyDescent="0.2">
      <c r="A4895" t="str">
        <f>"4891"</f>
        <v>4891</v>
      </c>
      <c r="B4895" t="str">
        <f t="shared" si="270"/>
        <v>1</v>
      </c>
      <c r="C4895" t="str">
        <f t="shared" si="272"/>
        <v>98</v>
      </c>
      <c r="D4895" t="str">
        <f>"10"</f>
        <v>10</v>
      </c>
      <c r="E4895" t="str">
        <f>"1-98-10"</f>
        <v>1-98-10</v>
      </c>
      <c r="F4895" t="s">
        <v>65</v>
      </c>
      <c r="G4895" t="s">
        <v>66</v>
      </c>
      <c r="H4895" t="s">
        <v>67</v>
      </c>
      <c r="S4895">
        <v>1</v>
      </c>
      <c r="T4895">
        <v>0</v>
      </c>
      <c r="U4895">
        <v>0</v>
      </c>
      <c r="V4895">
        <v>0</v>
      </c>
      <c r="W4895">
        <v>1</v>
      </c>
      <c r="X4895">
        <v>0</v>
      </c>
      <c r="Y4895">
        <v>1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</row>
    <row r="4896" spans="1:39" x14ac:dyDescent="0.2">
      <c r="A4896" t="str">
        <f>"4892"</f>
        <v>4892</v>
      </c>
      <c r="B4896" t="str">
        <f t="shared" si="270"/>
        <v>1</v>
      </c>
      <c r="C4896" t="str">
        <f t="shared" si="272"/>
        <v>98</v>
      </c>
      <c r="D4896" t="str">
        <f>"43"</f>
        <v>43</v>
      </c>
      <c r="E4896" t="str">
        <f>"1-98-43"</f>
        <v>1-98-43</v>
      </c>
      <c r="F4896" t="s">
        <v>65</v>
      </c>
      <c r="G4896" t="s">
        <v>66</v>
      </c>
      <c r="H4896" t="s">
        <v>67</v>
      </c>
      <c r="S4896">
        <v>1</v>
      </c>
      <c r="T4896">
        <v>0</v>
      </c>
      <c r="U4896">
        <v>0</v>
      </c>
      <c r="V4896">
        <v>0</v>
      </c>
      <c r="W4896">
        <v>1</v>
      </c>
      <c r="X4896">
        <v>0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1</v>
      </c>
      <c r="AJ4896">
        <v>1</v>
      </c>
      <c r="AK4896">
        <v>0</v>
      </c>
      <c r="AL4896">
        <v>0</v>
      </c>
      <c r="AM4896">
        <v>0</v>
      </c>
    </row>
    <row r="4897" spans="1:39" x14ac:dyDescent="0.2">
      <c r="A4897" t="str">
        <f>"4893"</f>
        <v>4893</v>
      </c>
      <c r="B4897" t="str">
        <f t="shared" si="270"/>
        <v>1</v>
      </c>
      <c r="C4897" t="str">
        <f t="shared" si="272"/>
        <v>98</v>
      </c>
      <c r="D4897" t="str">
        <f>"27"</f>
        <v>27</v>
      </c>
      <c r="E4897" t="str">
        <f>"1-98-27"</f>
        <v>1-98-27</v>
      </c>
      <c r="F4897" t="s">
        <v>65</v>
      </c>
      <c r="G4897" t="s">
        <v>66</v>
      </c>
      <c r="H4897" t="s">
        <v>67</v>
      </c>
      <c r="S4897">
        <v>0</v>
      </c>
      <c r="T4897">
        <v>1</v>
      </c>
      <c r="U4897">
        <v>0</v>
      </c>
      <c r="V4897">
        <v>0</v>
      </c>
      <c r="W4897">
        <v>1</v>
      </c>
      <c r="X4897">
        <v>0</v>
      </c>
      <c r="Y4897">
        <v>1</v>
      </c>
      <c r="Z4897">
        <v>0</v>
      </c>
      <c r="AA4897">
        <v>0</v>
      </c>
      <c r="AB4897">
        <v>1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</row>
    <row r="4898" spans="1:39" x14ac:dyDescent="0.2">
      <c r="A4898" t="str">
        <f>"4894"</f>
        <v>4894</v>
      </c>
      <c r="B4898" t="str">
        <f t="shared" si="270"/>
        <v>1</v>
      </c>
      <c r="C4898" t="str">
        <f t="shared" si="272"/>
        <v>98</v>
      </c>
      <c r="D4898" t="str">
        <f>"7"</f>
        <v>7</v>
      </c>
      <c r="E4898" t="str">
        <f>"1-98-7"</f>
        <v>1-98-7</v>
      </c>
      <c r="F4898" t="s">
        <v>65</v>
      </c>
      <c r="G4898" t="s">
        <v>66</v>
      </c>
      <c r="H4898" t="s">
        <v>67</v>
      </c>
      <c r="S4898">
        <v>0</v>
      </c>
      <c r="T4898">
        <v>1</v>
      </c>
      <c r="U4898">
        <v>0</v>
      </c>
      <c r="V4898">
        <v>0</v>
      </c>
      <c r="W4898">
        <v>1</v>
      </c>
      <c r="X4898">
        <v>0</v>
      </c>
      <c r="Y4898">
        <v>0</v>
      </c>
      <c r="Z4898">
        <v>1</v>
      </c>
      <c r="AA4898">
        <v>0</v>
      </c>
      <c r="AB4898">
        <v>0</v>
      </c>
      <c r="AC4898">
        <v>1</v>
      </c>
      <c r="AD4898">
        <v>1</v>
      </c>
      <c r="AE4898">
        <v>1</v>
      </c>
      <c r="AF4898">
        <v>1</v>
      </c>
      <c r="AG4898">
        <v>1</v>
      </c>
      <c r="AH4898">
        <v>0</v>
      </c>
      <c r="AI4898">
        <v>1</v>
      </c>
      <c r="AJ4898">
        <v>0</v>
      </c>
      <c r="AK4898">
        <v>1</v>
      </c>
      <c r="AL4898">
        <v>1</v>
      </c>
      <c r="AM4898">
        <v>1</v>
      </c>
    </row>
    <row r="4899" spans="1:39" x14ac:dyDescent="0.2">
      <c r="A4899" t="str">
        <f>"4895"</f>
        <v>4895</v>
      </c>
      <c r="B4899" t="str">
        <f t="shared" si="270"/>
        <v>1</v>
      </c>
      <c r="C4899" t="str">
        <f t="shared" si="272"/>
        <v>98</v>
      </c>
      <c r="D4899" t="str">
        <f>"29"</f>
        <v>29</v>
      </c>
      <c r="E4899" t="str">
        <f>"1-98-29"</f>
        <v>1-98-29</v>
      </c>
      <c r="F4899" t="s">
        <v>65</v>
      </c>
      <c r="G4899" t="s">
        <v>66</v>
      </c>
      <c r="H4899" t="s">
        <v>67</v>
      </c>
      <c r="S4899">
        <v>0</v>
      </c>
      <c r="T4899">
        <v>1</v>
      </c>
      <c r="U4899">
        <v>0</v>
      </c>
      <c r="V4899">
        <v>0</v>
      </c>
      <c r="W4899">
        <v>1</v>
      </c>
      <c r="X4899">
        <v>0</v>
      </c>
      <c r="Y4899">
        <v>1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1</v>
      </c>
      <c r="AF4899">
        <v>1</v>
      </c>
      <c r="AG4899">
        <v>1</v>
      </c>
      <c r="AH4899">
        <v>1</v>
      </c>
      <c r="AI4899">
        <v>1</v>
      </c>
      <c r="AJ4899">
        <v>1</v>
      </c>
      <c r="AK4899">
        <v>1</v>
      </c>
      <c r="AL4899">
        <v>1</v>
      </c>
      <c r="AM4899">
        <v>1</v>
      </c>
    </row>
    <row r="4900" spans="1:39" x14ac:dyDescent="0.2">
      <c r="A4900" t="str">
        <f>"4896"</f>
        <v>4896</v>
      </c>
      <c r="B4900" t="str">
        <f t="shared" si="270"/>
        <v>1</v>
      </c>
      <c r="C4900" t="str">
        <f t="shared" si="272"/>
        <v>98</v>
      </c>
      <c r="D4900" t="str">
        <f>"6"</f>
        <v>6</v>
      </c>
      <c r="E4900" t="str">
        <f>"1-98-6"</f>
        <v>1-98-6</v>
      </c>
      <c r="F4900" t="s">
        <v>65</v>
      </c>
      <c r="G4900" t="s">
        <v>66</v>
      </c>
      <c r="H4900" t="s">
        <v>67</v>
      </c>
      <c r="S4900">
        <v>0</v>
      </c>
      <c r="T4900">
        <v>1</v>
      </c>
      <c r="U4900">
        <v>0</v>
      </c>
      <c r="V4900">
        <v>0</v>
      </c>
      <c r="W4900">
        <v>1</v>
      </c>
      <c r="X4900">
        <v>0</v>
      </c>
      <c r="Y4900">
        <v>1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1</v>
      </c>
      <c r="AF4900">
        <v>1</v>
      </c>
      <c r="AG4900">
        <v>1</v>
      </c>
      <c r="AH4900">
        <v>1</v>
      </c>
      <c r="AI4900">
        <v>1</v>
      </c>
      <c r="AJ4900">
        <v>1</v>
      </c>
      <c r="AK4900">
        <v>1</v>
      </c>
      <c r="AL4900">
        <v>1</v>
      </c>
      <c r="AM4900">
        <v>1</v>
      </c>
    </row>
    <row r="4901" spans="1:39" x14ac:dyDescent="0.2">
      <c r="A4901" t="str">
        <f>"4897"</f>
        <v>4897</v>
      </c>
      <c r="B4901" t="str">
        <f t="shared" si="270"/>
        <v>1</v>
      </c>
      <c r="C4901" t="str">
        <f t="shared" si="272"/>
        <v>98</v>
      </c>
      <c r="D4901" t="str">
        <f>"30"</f>
        <v>30</v>
      </c>
      <c r="E4901" t="str">
        <f>"1-98-30"</f>
        <v>1-98-30</v>
      </c>
      <c r="F4901" t="s">
        <v>65</v>
      </c>
      <c r="G4901" t="s">
        <v>66</v>
      </c>
      <c r="H4901" t="s">
        <v>67</v>
      </c>
      <c r="S4901">
        <v>1</v>
      </c>
      <c r="T4901">
        <v>0</v>
      </c>
      <c r="U4901">
        <v>0</v>
      </c>
      <c r="V4901">
        <v>0</v>
      </c>
      <c r="W4901">
        <v>1</v>
      </c>
      <c r="X4901">
        <v>0</v>
      </c>
      <c r="Y4901">
        <v>1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1</v>
      </c>
      <c r="AF4901">
        <v>1</v>
      </c>
      <c r="AG4901">
        <v>1</v>
      </c>
      <c r="AH4901">
        <v>1</v>
      </c>
      <c r="AI4901">
        <v>1</v>
      </c>
      <c r="AJ4901">
        <v>1</v>
      </c>
      <c r="AK4901">
        <v>1</v>
      </c>
      <c r="AL4901">
        <v>1</v>
      </c>
      <c r="AM4901">
        <v>1</v>
      </c>
    </row>
    <row r="4902" spans="1:39" x14ac:dyDescent="0.2">
      <c r="A4902" t="str">
        <f>"4898"</f>
        <v>4898</v>
      </c>
      <c r="B4902" t="str">
        <f t="shared" si="270"/>
        <v>1</v>
      </c>
      <c r="C4902" t="str">
        <f t="shared" si="272"/>
        <v>98</v>
      </c>
      <c r="D4902" t="str">
        <f>"11"</f>
        <v>11</v>
      </c>
      <c r="E4902" t="str">
        <f>"1-98-11"</f>
        <v>1-98-11</v>
      </c>
      <c r="F4902" t="s">
        <v>65</v>
      </c>
      <c r="G4902" t="s">
        <v>66</v>
      </c>
      <c r="H4902" t="s">
        <v>67</v>
      </c>
      <c r="S4902">
        <v>1</v>
      </c>
      <c r="T4902">
        <v>0</v>
      </c>
      <c r="U4902">
        <v>0</v>
      </c>
      <c r="V4902">
        <v>0</v>
      </c>
      <c r="W4902">
        <v>1</v>
      </c>
      <c r="X4902">
        <v>0</v>
      </c>
      <c r="Y4902">
        <v>0</v>
      </c>
      <c r="Z4902">
        <v>1</v>
      </c>
      <c r="AA4902">
        <v>0</v>
      </c>
      <c r="AB4902">
        <v>1</v>
      </c>
      <c r="AC4902">
        <v>0</v>
      </c>
      <c r="AD4902">
        <v>1</v>
      </c>
      <c r="AE4902">
        <v>1</v>
      </c>
      <c r="AF4902">
        <v>1</v>
      </c>
      <c r="AG4902">
        <v>1</v>
      </c>
      <c r="AH4902">
        <v>1</v>
      </c>
      <c r="AI4902">
        <v>1</v>
      </c>
      <c r="AJ4902">
        <v>1</v>
      </c>
      <c r="AK4902">
        <v>1</v>
      </c>
      <c r="AL4902">
        <v>1</v>
      </c>
      <c r="AM4902">
        <v>1</v>
      </c>
    </row>
    <row r="4903" spans="1:39" x14ac:dyDescent="0.2">
      <c r="A4903" t="str">
        <f>"4899"</f>
        <v>4899</v>
      </c>
      <c r="B4903" t="str">
        <f t="shared" si="270"/>
        <v>1</v>
      </c>
      <c r="C4903" t="str">
        <f t="shared" si="272"/>
        <v>98</v>
      </c>
      <c r="D4903" t="str">
        <f>"49"</f>
        <v>49</v>
      </c>
      <c r="E4903" t="str">
        <f>"1-98-49"</f>
        <v>1-98-49</v>
      </c>
      <c r="F4903" t="s">
        <v>65</v>
      </c>
      <c r="G4903" t="s">
        <v>66</v>
      </c>
      <c r="H4903" t="s">
        <v>67</v>
      </c>
      <c r="S4903">
        <v>1</v>
      </c>
      <c r="T4903">
        <v>0</v>
      </c>
      <c r="U4903">
        <v>0</v>
      </c>
      <c r="V4903">
        <v>0</v>
      </c>
      <c r="W4903">
        <v>0</v>
      </c>
      <c r="X4903">
        <v>1</v>
      </c>
      <c r="Y4903">
        <v>1</v>
      </c>
      <c r="Z4903">
        <v>0</v>
      </c>
      <c r="AA4903">
        <v>0</v>
      </c>
      <c r="AB4903">
        <v>0</v>
      </c>
      <c r="AC4903">
        <v>1</v>
      </c>
      <c r="AD4903">
        <v>1</v>
      </c>
      <c r="AE4903">
        <v>1</v>
      </c>
      <c r="AF4903">
        <v>0</v>
      </c>
      <c r="AG4903">
        <v>1</v>
      </c>
      <c r="AH4903">
        <v>0</v>
      </c>
      <c r="AI4903">
        <v>1</v>
      </c>
      <c r="AJ4903">
        <v>1</v>
      </c>
      <c r="AK4903">
        <v>1</v>
      </c>
      <c r="AL4903">
        <v>1</v>
      </c>
      <c r="AM4903">
        <v>1</v>
      </c>
    </row>
    <row r="4904" spans="1:39" x14ac:dyDescent="0.2">
      <c r="A4904" t="str">
        <f>"4900"</f>
        <v>4900</v>
      </c>
      <c r="B4904" t="str">
        <f t="shared" si="270"/>
        <v>1</v>
      </c>
      <c r="C4904" t="str">
        <f t="shared" si="272"/>
        <v>98</v>
      </c>
      <c r="D4904" t="str">
        <f>"50"</f>
        <v>50</v>
      </c>
      <c r="E4904" t="str">
        <f>"1-98-50"</f>
        <v>1-98-50</v>
      </c>
      <c r="F4904" t="s">
        <v>65</v>
      </c>
      <c r="G4904" t="s">
        <v>66</v>
      </c>
      <c r="H4904" t="s">
        <v>67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1</v>
      </c>
      <c r="Y4904">
        <v>1</v>
      </c>
      <c r="Z4904">
        <v>0</v>
      </c>
      <c r="AA4904">
        <v>0</v>
      </c>
      <c r="AB4904">
        <v>1</v>
      </c>
      <c r="AC4904">
        <v>0</v>
      </c>
      <c r="AD4904">
        <v>1</v>
      </c>
      <c r="AE4904">
        <v>1</v>
      </c>
      <c r="AF4904">
        <v>0</v>
      </c>
      <c r="AG4904">
        <v>1</v>
      </c>
      <c r="AH4904">
        <v>0</v>
      </c>
      <c r="AI4904">
        <v>1</v>
      </c>
      <c r="AJ4904">
        <v>1</v>
      </c>
      <c r="AK4904">
        <v>1</v>
      </c>
      <c r="AL4904">
        <v>1</v>
      </c>
      <c r="AM4904">
        <v>0</v>
      </c>
    </row>
    <row r="4905" spans="1:39" x14ac:dyDescent="0.2">
      <c r="A4905" t="str">
        <f>"4901"</f>
        <v>4901</v>
      </c>
      <c r="B4905" t="str">
        <f t="shared" si="270"/>
        <v>1</v>
      </c>
      <c r="C4905" t="str">
        <f t="shared" ref="C4905:C4936" si="273">"99"</f>
        <v>99</v>
      </c>
      <c r="D4905" t="str">
        <f>"36"</f>
        <v>36</v>
      </c>
      <c r="E4905" t="str">
        <f>"1-99-36"</f>
        <v>1-99-36</v>
      </c>
      <c r="F4905" t="s">
        <v>65</v>
      </c>
      <c r="G4905" t="s">
        <v>66</v>
      </c>
      <c r="H4905" t="s">
        <v>67</v>
      </c>
      <c r="S4905">
        <v>0</v>
      </c>
      <c r="T4905">
        <v>1</v>
      </c>
      <c r="U4905">
        <v>0</v>
      </c>
      <c r="V4905">
        <v>0</v>
      </c>
      <c r="W4905">
        <v>1</v>
      </c>
      <c r="X4905">
        <v>0</v>
      </c>
      <c r="Y4905">
        <v>1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1</v>
      </c>
      <c r="AF4905">
        <v>1</v>
      </c>
      <c r="AG4905">
        <v>1</v>
      </c>
      <c r="AH4905">
        <v>1</v>
      </c>
      <c r="AI4905">
        <v>1</v>
      </c>
      <c r="AJ4905">
        <v>1</v>
      </c>
      <c r="AK4905">
        <v>1</v>
      </c>
      <c r="AL4905">
        <v>1</v>
      </c>
      <c r="AM4905">
        <v>1</v>
      </c>
    </row>
    <row r="4906" spans="1:39" x14ac:dyDescent="0.2">
      <c r="A4906" t="str">
        <f>"4902"</f>
        <v>4902</v>
      </c>
      <c r="B4906" t="str">
        <f t="shared" si="270"/>
        <v>1</v>
      </c>
      <c r="C4906" t="str">
        <f t="shared" si="273"/>
        <v>99</v>
      </c>
      <c r="D4906" t="str">
        <f>"35"</f>
        <v>35</v>
      </c>
      <c r="E4906" t="str">
        <f>"1-99-35"</f>
        <v>1-99-35</v>
      </c>
      <c r="F4906" t="s">
        <v>65</v>
      </c>
      <c r="G4906" t="s">
        <v>66</v>
      </c>
      <c r="H4906" t="s">
        <v>67</v>
      </c>
      <c r="S4906">
        <v>1</v>
      </c>
      <c r="T4906">
        <v>0</v>
      </c>
      <c r="U4906">
        <v>0</v>
      </c>
      <c r="V4906">
        <v>0</v>
      </c>
      <c r="W4906">
        <v>1</v>
      </c>
      <c r="X4906">
        <v>0</v>
      </c>
      <c r="Y4906">
        <v>1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1</v>
      </c>
      <c r="AF4906">
        <v>1</v>
      </c>
      <c r="AG4906">
        <v>1</v>
      </c>
      <c r="AH4906">
        <v>1</v>
      </c>
      <c r="AI4906">
        <v>1</v>
      </c>
      <c r="AJ4906">
        <v>1</v>
      </c>
      <c r="AK4906">
        <v>1</v>
      </c>
      <c r="AL4906">
        <v>1</v>
      </c>
      <c r="AM4906">
        <v>1</v>
      </c>
    </row>
    <row r="4907" spans="1:39" x14ac:dyDescent="0.2">
      <c r="A4907" t="str">
        <f>"4903"</f>
        <v>4903</v>
      </c>
      <c r="B4907" t="str">
        <f t="shared" si="270"/>
        <v>1</v>
      </c>
      <c r="C4907" t="str">
        <f t="shared" si="273"/>
        <v>99</v>
      </c>
      <c r="D4907" t="str">
        <f>"22"</f>
        <v>22</v>
      </c>
      <c r="E4907" t="str">
        <f>"1-99-22"</f>
        <v>1-99-22</v>
      </c>
      <c r="F4907" t="s">
        <v>65</v>
      </c>
      <c r="G4907" t="s">
        <v>66</v>
      </c>
      <c r="H4907" t="s">
        <v>67</v>
      </c>
      <c r="S4907">
        <v>1</v>
      </c>
      <c r="T4907">
        <v>0</v>
      </c>
      <c r="U4907">
        <v>0</v>
      </c>
      <c r="V4907">
        <v>0</v>
      </c>
      <c r="W4907">
        <v>1</v>
      </c>
      <c r="X4907">
        <v>0</v>
      </c>
      <c r="Y4907">
        <v>1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1</v>
      </c>
      <c r="AF4907">
        <v>1</v>
      </c>
      <c r="AG4907">
        <v>1</v>
      </c>
      <c r="AH4907">
        <v>1</v>
      </c>
      <c r="AI4907">
        <v>1</v>
      </c>
      <c r="AJ4907">
        <v>1</v>
      </c>
      <c r="AK4907">
        <v>1</v>
      </c>
      <c r="AL4907">
        <v>1</v>
      </c>
      <c r="AM4907">
        <v>1</v>
      </c>
    </row>
    <row r="4908" spans="1:39" x14ac:dyDescent="0.2">
      <c r="A4908" t="str">
        <f>"4904"</f>
        <v>4904</v>
      </c>
      <c r="B4908" t="str">
        <f t="shared" si="270"/>
        <v>1</v>
      </c>
      <c r="C4908" t="str">
        <f t="shared" si="273"/>
        <v>99</v>
      </c>
      <c r="D4908" t="str">
        <f>"15"</f>
        <v>15</v>
      </c>
      <c r="E4908" t="str">
        <f>"1-99-15"</f>
        <v>1-99-15</v>
      </c>
      <c r="F4908" t="s">
        <v>65</v>
      </c>
      <c r="G4908" t="s">
        <v>66</v>
      </c>
      <c r="H4908" t="s">
        <v>67</v>
      </c>
      <c r="S4908">
        <v>0</v>
      </c>
      <c r="T4908">
        <v>1</v>
      </c>
      <c r="U4908">
        <v>0</v>
      </c>
      <c r="V4908">
        <v>0</v>
      </c>
      <c r="W4908">
        <v>1</v>
      </c>
      <c r="X4908">
        <v>0</v>
      </c>
      <c r="Y4908">
        <v>0</v>
      </c>
      <c r="Z4908">
        <v>1</v>
      </c>
      <c r="AA4908">
        <v>0</v>
      </c>
      <c r="AB4908">
        <v>0</v>
      </c>
      <c r="AC4908">
        <v>1</v>
      </c>
      <c r="AD4908">
        <v>1</v>
      </c>
      <c r="AE4908">
        <v>1</v>
      </c>
      <c r="AF4908">
        <v>1</v>
      </c>
      <c r="AG4908">
        <v>1</v>
      </c>
      <c r="AH4908">
        <v>1</v>
      </c>
      <c r="AI4908">
        <v>1</v>
      </c>
      <c r="AJ4908">
        <v>1</v>
      </c>
      <c r="AK4908">
        <v>1</v>
      </c>
      <c r="AL4908">
        <v>1</v>
      </c>
      <c r="AM4908">
        <v>1</v>
      </c>
    </row>
    <row r="4909" spans="1:39" x14ac:dyDescent="0.2">
      <c r="A4909" t="str">
        <f>"4905"</f>
        <v>4905</v>
      </c>
      <c r="B4909" t="str">
        <f t="shared" si="270"/>
        <v>1</v>
      </c>
      <c r="C4909" t="str">
        <f t="shared" si="273"/>
        <v>99</v>
      </c>
      <c r="D4909" t="str">
        <f>"6"</f>
        <v>6</v>
      </c>
      <c r="E4909" t="str">
        <f>"1-99-6"</f>
        <v>1-99-6</v>
      </c>
      <c r="F4909" t="s">
        <v>65</v>
      </c>
      <c r="G4909" t="s">
        <v>66</v>
      </c>
      <c r="H4909" t="s">
        <v>67</v>
      </c>
      <c r="S4909">
        <v>0</v>
      </c>
      <c r="T4909">
        <v>1</v>
      </c>
      <c r="U4909">
        <v>0</v>
      </c>
      <c r="V4909">
        <v>0</v>
      </c>
      <c r="W4909">
        <v>1</v>
      </c>
      <c r="X4909">
        <v>0</v>
      </c>
      <c r="Y4909">
        <v>1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1</v>
      </c>
      <c r="AF4909">
        <v>1</v>
      </c>
      <c r="AG4909">
        <v>1</v>
      </c>
      <c r="AH4909">
        <v>1</v>
      </c>
      <c r="AI4909">
        <v>1</v>
      </c>
      <c r="AJ4909">
        <v>1</v>
      </c>
      <c r="AK4909">
        <v>1</v>
      </c>
      <c r="AL4909">
        <v>1</v>
      </c>
      <c r="AM4909">
        <v>1</v>
      </c>
    </row>
    <row r="4910" spans="1:39" x14ac:dyDescent="0.2">
      <c r="A4910" t="str">
        <f>"4906"</f>
        <v>4906</v>
      </c>
      <c r="B4910" t="str">
        <f t="shared" si="270"/>
        <v>1</v>
      </c>
      <c r="C4910" t="str">
        <f t="shared" si="273"/>
        <v>99</v>
      </c>
      <c r="D4910" t="str">
        <f>"38"</f>
        <v>38</v>
      </c>
      <c r="E4910" t="str">
        <f>"1-99-38"</f>
        <v>1-99-38</v>
      </c>
      <c r="F4910" t="s">
        <v>65</v>
      </c>
      <c r="G4910" t="s">
        <v>66</v>
      </c>
      <c r="H4910" t="s">
        <v>67</v>
      </c>
      <c r="S4910">
        <v>1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1</v>
      </c>
      <c r="Z4910">
        <v>0</v>
      </c>
      <c r="AA4910">
        <v>0</v>
      </c>
      <c r="AB4910">
        <v>0</v>
      </c>
      <c r="AC4910">
        <v>1</v>
      </c>
      <c r="AD4910">
        <v>1</v>
      </c>
      <c r="AE4910">
        <v>1</v>
      </c>
      <c r="AF4910">
        <v>1</v>
      </c>
      <c r="AG4910">
        <v>1</v>
      </c>
      <c r="AH4910">
        <v>1</v>
      </c>
      <c r="AI4910">
        <v>1</v>
      </c>
      <c r="AJ4910">
        <v>1</v>
      </c>
      <c r="AK4910">
        <v>1</v>
      </c>
      <c r="AL4910">
        <v>1</v>
      </c>
      <c r="AM4910">
        <v>1</v>
      </c>
    </row>
    <row r="4911" spans="1:39" x14ac:dyDescent="0.2">
      <c r="A4911" t="str">
        <f>"4907"</f>
        <v>4907</v>
      </c>
      <c r="B4911" t="str">
        <f t="shared" si="270"/>
        <v>1</v>
      </c>
      <c r="C4911" t="str">
        <f t="shared" si="273"/>
        <v>99</v>
      </c>
      <c r="D4911" t="str">
        <f>"37"</f>
        <v>37</v>
      </c>
      <c r="E4911" t="str">
        <f>"1-99-37"</f>
        <v>1-99-37</v>
      </c>
      <c r="F4911" t="s">
        <v>65</v>
      </c>
      <c r="G4911" t="s">
        <v>66</v>
      </c>
      <c r="H4911" t="s">
        <v>67</v>
      </c>
      <c r="S4911">
        <v>1</v>
      </c>
      <c r="T4911">
        <v>0</v>
      </c>
      <c r="U4911">
        <v>0</v>
      </c>
      <c r="V4911">
        <v>0</v>
      </c>
      <c r="W4911">
        <v>0</v>
      </c>
      <c r="X4911">
        <v>1</v>
      </c>
      <c r="Y4911">
        <v>1</v>
      </c>
      <c r="Z4911">
        <v>0</v>
      </c>
      <c r="AA4911">
        <v>0</v>
      </c>
      <c r="AB4911">
        <v>1</v>
      </c>
      <c r="AC4911">
        <v>0</v>
      </c>
      <c r="AD4911">
        <v>0</v>
      </c>
      <c r="AE4911">
        <v>1</v>
      </c>
      <c r="AF4911">
        <v>0</v>
      </c>
      <c r="AG4911">
        <v>1</v>
      </c>
      <c r="AH4911">
        <v>0</v>
      </c>
      <c r="AI4911">
        <v>0</v>
      </c>
      <c r="AJ4911">
        <v>0</v>
      </c>
      <c r="AK4911">
        <v>0</v>
      </c>
      <c r="AL4911">
        <v>1</v>
      </c>
      <c r="AM4911">
        <v>0</v>
      </c>
    </row>
    <row r="4912" spans="1:39" x14ac:dyDescent="0.2">
      <c r="A4912" t="str">
        <f>"4908"</f>
        <v>4908</v>
      </c>
      <c r="B4912" t="str">
        <f t="shared" si="270"/>
        <v>1</v>
      </c>
      <c r="C4912" t="str">
        <f t="shared" si="273"/>
        <v>99</v>
      </c>
      <c r="D4912" t="str">
        <f>"24"</f>
        <v>24</v>
      </c>
      <c r="E4912" t="str">
        <f>"1-99-24"</f>
        <v>1-99-24</v>
      </c>
      <c r="F4912" t="s">
        <v>65</v>
      </c>
      <c r="G4912" t="s">
        <v>66</v>
      </c>
      <c r="H4912" t="s">
        <v>67</v>
      </c>
      <c r="S4912">
        <v>1</v>
      </c>
      <c r="T4912">
        <v>0</v>
      </c>
      <c r="U4912">
        <v>0</v>
      </c>
      <c r="V4912">
        <v>0</v>
      </c>
      <c r="W4912">
        <v>1</v>
      </c>
      <c r="X4912">
        <v>0</v>
      </c>
      <c r="Y4912">
        <v>1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1</v>
      </c>
      <c r="AF4912">
        <v>1</v>
      </c>
      <c r="AG4912">
        <v>1</v>
      </c>
      <c r="AH4912">
        <v>1</v>
      </c>
      <c r="AI4912">
        <v>1</v>
      </c>
      <c r="AJ4912">
        <v>1</v>
      </c>
      <c r="AK4912">
        <v>1</v>
      </c>
      <c r="AL4912">
        <v>1</v>
      </c>
      <c r="AM4912">
        <v>1</v>
      </c>
    </row>
    <row r="4913" spans="1:39" x14ac:dyDescent="0.2">
      <c r="A4913" t="str">
        <f>"4909"</f>
        <v>4909</v>
      </c>
      <c r="B4913" t="str">
        <f t="shared" si="270"/>
        <v>1</v>
      </c>
      <c r="C4913" t="str">
        <f t="shared" si="273"/>
        <v>99</v>
      </c>
      <c r="D4913" t="str">
        <f>"16"</f>
        <v>16</v>
      </c>
      <c r="E4913" t="str">
        <f>"1-99-16"</f>
        <v>1-99-16</v>
      </c>
      <c r="F4913" t="s">
        <v>65</v>
      </c>
      <c r="G4913" t="s">
        <v>66</v>
      </c>
      <c r="H4913" t="s">
        <v>67</v>
      </c>
      <c r="S4913">
        <v>1</v>
      </c>
      <c r="T4913">
        <v>0</v>
      </c>
      <c r="U4913">
        <v>0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0</v>
      </c>
      <c r="AB4913">
        <v>1</v>
      </c>
      <c r="AC4913">
        <v>0</v>
      </c>
      <c r="AD4913">
        <v>1</v>
      </c>
      <c r="AE4913">
        <v>1</v>
      </c>
      <c r="AF4913">
        <v>1</v>
      </c>
      <c r="AG4913">
        <v>1</v>
      </c>
      <c r="AH4913">
        <v>1</v>
      </c>
      <c r="AI4913">
        <v>1</v>
      </c>
      <c r="AJ4913">
        <v>1</v>
      </c>
      <c r="AK4913">
        <v>1</v>
      </c>
      <c r="AL4913">
        <v>1</v>
      </c>
      <c r="AM4913">
        <v>1</v>
      </c>
    </row>
    <row r="4914" spans="1:39" x14ac:dyDescent="0.2">
      <c r="A4914" t="str">
        <f>"4910"</f>
        <v>4910</v>
      </c>
      <c r="B4914" t="str">
        <f t="shared" si="270"/>
        <v>1</v>
      </c>
      <c r="C4914" t="str">
        <f t="shared" si="273"/>
        <v>99</v>
      </c>
      <c r="D4914" t="str">
        <f>"4"</f>
        <v>4</v>
      </c>
      <c r="E4914" t="str">
        <f>"1-99-4"</f>
        <v>1-99-4</v>
      </c>
      <c r="F4914" t="s">
        <v>65</v>
      </c>
      <c r="G4914" t="s">
        <v>66</v>
      </c>
      <c r="H4914" t="s">
        <v>67</v>
      </c>
      <c r="S4914">
        <v>1</v>
      </c>
      <c r="T4914">
        <v>0</v>
      </c>
      <c r="U4914">
        <v>0</v>
      </c>
      <c r="V4914">
        <v>0</v>
      </c>
      <c r="W4914">
        <v>1</v>
      </c>
      <c r="X4914">
        <v>0</v>
      </c>
      <c r="Y4914">
        <v>0</v>
      </c>
      <c r="Z4914">
        <v>1</v>
      </c>
      <c r="AA4914">
        <v>1</v>
      </c>
      <c r="AB4914">
        <v>0</v>
      </c>
      <c r="AC4914">
        <v>0</v>
      </c>
      <c r="AD4914">
        <v>1</v>
      </c>
      <c r="AE4914">
        <v>1</v>
      </c>
      <c r="AF4914">
        <v>1</v>
      </c>
      <c r="AG4914">
        <v>1</v>
      </c>
      <c r="AH4914">
        <v>0</v>
      </c>
      <c r="AI4914">
        <v>1</v>
      </c>
      <c r="AJ4914">
        <v>1</v>
      </c>
      <c r="AK4914">
        <v>1</v>
      </c>
      <c r="AL4914">
        <v>1</v>
      </c>
      <c r="AM4914">
        <v>1</v>
      </c>
    </row>
    <row r="4915" spans="1:39" x14ac:dyDescent="0.2">
      <c r="A4915" t="str">
        <f>"4911"</f>
        <v>4911</v>
      </c>
      <c r="B4915" t="str">
        <f t="shared" si="270"/>
        <v>1</v>
      </c>
      <c r="C4915" t="str">
        <f t="shared" si="273"/>
        <v>99</v>
      </c>
      <c r="D4915" t="str">
        <f>"50"</f>
        <v>50</v>
      </c>
      <c r="E4915" t="str">
        <f>"1-99-50"</f>
        <v>1-99-50</v>
      </c>
      <c r="F4915" t="s">
        <v>65</v>
      </c>
      <c r="G4915" t="s">
        <v>66</v>
      </c>
      <c r="H4915" t="s">
        <v>67</v>
      </c>
      <c r="S4915">
        <v>0</v>
      </c>
      <c r="T4915">
        <v>0</v>
      </c>
      <c r="U4915">
        <v>0</v>
      </c>
      <c r="V4915">
        <v>0</v>
      </c>
      <c r="W4915">
        <v>1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1</v>
      </c>
      <c r="AE4915">
        <v>1</v>
      </c>
      <c r="AF4915">
        <v>1</v>
      </c>
      <c r="AG4915">
        <v>1</v>
      </c>
      <c r="AH4915">
        <v>1</v>
      </c>
      <c r="AI4915">
        <v>1</v>
      </c>
      <c r="AJ4915">
        <v>1</v>
      </c>
      <c r="AK4915">
        <v>1</v>
      </c>
      <c r="AL4915">
        <v>1</v>
      </c>
      <c r="AM4915">
        <v>1</v>
      </c>
    </row>
    <row r="4916" spans="1:39" x14ac:dyDescent="0.2">
      <c r="A4916" t="str">
        <f>"4912"</f>
        <v>4912</v>
      </c>
      <c r="B4916" t="str">
        <f t="shared" si="270"/>
        <v>1</v>
      </c>
      <c r="C4916" t="str">
        <f t="shared" si="273"/>
        <v>99</v>
      </c>
      <c r="D4916" t="str">
        <f>"31"</f>
        <v>31</v>
      </c>
      <c r="E4916" t="str">
        <f>"1-99-31"</f>
        <v>1-99-31</v>
      </c>
      <c r="F4916" t="s">
        <v>65</v>
      </c>
      <c r="G4916" t="s">
        <v>66</v>
      </c>
      <c r="H4916" t="s">
        <v>67</v>
      </c>
      <c r="S4916">
        <v>0</v>
      </c>
      <c r="T4916">
        <v>1</v>
      </c>
      <c r="U4916">
        <v>0</v>
      </c>
      <c r="V4916">
        <v>0</v>
      </c>
      <c r="W4916">
        <v>1</v>
      </c>
      <c r="X4916">
        <v>0</v>
      </c>
      <c r="Y4916">
        <v>0</v>
      </c>
      <c r="Z4916">
        <v>1</v>
      </c>
      <c r="AA4916">
        <v>0</v>
      </c>
      <c r="AB4916">
        <v>0</v>
      </c>
      <c r="AC4916">
        <v>1</v>
      </c>
      <c r="AD4916">
        <v>1</v>
      </c>
      <c r="AE4916">
        <v>1</v>
      </c>
      <c r="AF4916">
        <v>1</v>
      </c>
      <c r="AG4916">
        <v>1</v>
      </c>
      <c r="AH4916">
        <v>0</v>
      </c>
      <c r="AI4916">
        <v>1</v>
      </c>
      <c r="AJ4916">
        <v>1</v>
      </c>
      <c r="AK4916">
        <v>1</v>
      </c>
      <c r="AL4916">
        <v>0</v>
      </c>
      <c r="AM4916">
        <v>1</v>
      </c>
    </row>
    <row r="4917" spans="1:39" x14ac:dyDescent="0.2">
      <c r="A4917" t="str">
        <f>"4913"</f>
        <v>4913</v>
      </c>
      <c r="B4917" t="str">
        <f t="shared" si="270"/>
        <v>1</v>
      </c>
      <c r="C4917" t="str">
        <f t="shared" si="273"/>
        <v>99</v>
      </c>
      <c r="D4917" t="str">
        <f>"17"</f>
        <v>17</v>
      </c>
      <c r="E4917" t="str">
        <f>"1-99-17"</f>
        <v>1-99-17</v>
      </c>
      <c r="F4917" t="s">
        <v>65</v>
      </c>
      <c r="G4917" t="s">
        <v>66</v>
      </c>
      <c r="H4917" t="s">
        <v>67</v>
      </c>
      <c r="S4917">
        <v>0</v>
      </c>
      <c r="T4917">
        <v>1</v>
      </c>
      <c r="U4917">
        <v>0</v>
      </c>
      <c r="V4917">
        <v>0</v>
      </c>
      <c r="W4917">
        <v>1</v>
      </c>
      <c r="X4917">
        <v>0</v>
      </c>
      <c r="Y4917">
        <v>0</v>
      </c>
      <c r="Z4917">
        <v>1</v>
      </c>
      <c r="AA4917">
        <v>0</v>
      </c>
      <c r="AB4917">
        <v>0</v>
      </c>
      <c r="AC4917">
        <v>1</v>
      </c>
      <c r="AD4917">
        <v>1</v>
      </c>
      <c r="AE4917">
        <v>1</v>
      </c>
      <c r="AF4917">
        <v>1</v>
      </c>
      <c r="AG4917">
        <v>1</v>
      </c>
      <c r="AH4917">
        <v>1</v>
      </c>
      <c r="AI4917">
        <v>1</v>
      </c>
      <c r="AJ4917">
        <v>1</v>
      </c>
      <c r="AK4917">
        <v>1</v>
      </c>
      <c r="AL4917">
        <v>1</v>
      </c>
      <c r="AM4917">
        <v>1</v>
      </c>
    </row>
    <row r="4918" spans="1:39" x14ac:dyDescent="0.2">
      <c r="A4918" t="str">
        <f>"4914"</f>
        <v>4914</v>
      </c>
      <c r="B4918" t="str">
        <f t="shared" si="270"/>
        <v>1</v>
      </c>
      <c r="C4918" t="str">
        <f t="shared" si="273"/>
        <v>99</v>
      </c>
      <c r="D4918" t="str">
        <f>"1"</f>
        <v>1</v>
      </c>
      <c r="E4918" t="str">
        <f>"1-99-1"</f>
        <v>1-99-1</v>
      </c>
      <c r="F4918" t="s">
        <v>65</v>
      </c>
      <c r="G4918" t="s">
        <v>66</v>
      </c>
      <c r="H4918" t="s">
        <v>67</v>
      </c>
      <c r="S4918">
        <v>1</v>
      </c>
      <c r="T4918">
        <v>0</v>
      </c>
      <c r="U4918">
        <v>0</v>
      </c>
      <c r="V4918">
        <v>0</v>
      </c>
      <c r="W4918">
        <v>0</v>
      </c>
      <c r="X4918">
        <v>1</v>
      </c>
      <c r="Y4918">
        <v>1</v>
      </c>
      <c r="Z4918">
        <v>0</v>
      </c>
      <c r="AA4918">
        <v>0</v>
      </c>
      <c r="AB4918">
        <v>1</v>
      </c>
      <c r="AC4918">
        <v>0</v>
      </c>
      <c r="AD4918">
        <v>1</v>
      </c>
      <c r="AE4918">
        <v>1</v>
      </c>
      <c r="AF4918">
        <v>1</v>
      </c>
      <c r="AG4918">
        <v>1</v>
      </c>
      <c r="AH4918">
        <v>1</v>
      </c>
      <c r="AI4918">
        <v>1</v>
      </c>
      <c r="AJ4918">
        <v>1</v>
      </c>
      <c r="AK4918">
        <v>1</v>
      </c>
      <c r="AL4918">
        <v>1</v>
      </c>
      <c r="AM4918">
        <v>1</v>
      </c>
    </row>
    <row r="4919" spans="1:39" x14ac:dyDescent="0.2">
      <c r="A4919" t="str">
        <f>"4915"</f>
        <v>4915</v>
      </c>
      <c r="B4919" t="str">
        <f t="shared" ref="B4919:B4982" si="274">"1"</f>
        <v>1</v>
      </c>
      <c r="C4919" t="str">
        <f t="shared" si="273"/>
        <v>99</v>
      </c>
      <c r="D4919" t="str">
        <f>"48"</f>
        <v>48</v>
      </c>
      <c r="E4919" t="str">
        <f>"1-99-48"</f>
        <v>1-99-48</v>
      </c>
      <c r="F4919" t="s">
        <v>65</v>
      </c>
      <c r="G4919" t="s">
        <v>66</v>
      </c>
      <c r="H4919" t="s">
        <v>67</v>
      </c>
      <c r="S4919">
        <v>0</v>
      </c>
      <c r="T4919">
        <v>1</v>
      </c>
      <c r="U4919">
        <v>0</v>
      </c>
      <c r="V4919">
        <v>0</v>
      </c>
      <c r="W4919">
        <v>1</v>
      </c>
      <c r="X4919">
        <v>0</v>
      </c>
      <c r="Y4919">
        <v>1</v>
      </c>
      <c r="Z4919">
        <v>0</v>
      </c>
      <c r="AA4919">
        <v>0</v>
      </c>
      <c r="AB4919">
        <v>1</v>
      </c>
      <c r="AC4919">
        <v>0</v>
      </c>
      <c r="AD4919">
        <v>1</v>
      </c>
      <c r="AE4919">
        <v>1</v>
      </c>
      <c r="AF4919">
        <v>1</v>
      </c>
      <c r="AG4919">
        <v>1</v>
      </c>
      <c r="AH4919">
        <v>1</v>
      </c>
      <c r="AI4919">
        <v>1</v>
      </c>
      <c r="AJ4919">
        <v>1</v>
      </c>
      <c r="AK4919">
        <v>1</v>
      </c>
      <c r="AL4919">
        <v>1</v>
      </c>
      <c r="AM4919">
        <v>1</v>
      </c>
    </row>
    <row r="4920" spans="1:39" x14ac:dyDescent="0.2">
      <c r="A4920" t="str">
        <f>"4916"</f>
        <v>4916</v>
      </c>
      <c r="B4920" t="str">
        <f t="shared" si="274"/>
        <v>1</v>
      </c>
      <c r="C4920" t="str">
        <f t="shared" si="273"/>
        <v>99</v>
      </c>
      <c r="D4920" t="str">
        <f>"47"</f>
        <v>47</v>
      </c>
      <c r="E4920" t="str">
        <f>"1-99-47"</f>
        <v>1-99-47</v>
      </c>
      <c r="F4920" t="s">
        <v>65</v>
      </c>
      <c r="G4920" t="s">
        <v>66</v>
      </c>
      <c r="H4920" t="s">
        <v>67</v>
      </c>
      <c r="S4920">
        <v>1</v>
      </c>
      <c r="T4920">
        <v>0</v>
      </c>
      <c r="U4920">
        <v>0</v>
      </c>
      <c r="V4920">
        <v>0</v>
      </c>
      <c r="W4920">
        <v>1</v>
      </c>
      <c r="X4920">
        <v>0</v>
      </c>
      <c r="Y4920">
        <v>1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1</v>
      </c>
      <c r="AF4920">
        <v>0</v>
      </c>
      <c r="AG4920">
        <v>1</v>
      </c>
      <c r="AH4920">
        <v>1</v>
      </c>
      <c r="AI4920">
        <v>1</v>
      </c>
      <c r="AJ4920">
        <v>1</v>
      </c>
      <c r="AK4920">
        <v>1</v>
      </c>
      <c r="AL4920">
        <v>1</v>
      </c>
      <c r="AM4920">
        <v>1</v>
      </c>
    </row>
    <row r="4921" spans="1:39" x14ac:dyDescent="0.2">
      <c r="A4921" t="str">
        <f>"4917"</f>
        <v>4917</v>
      </c>
      <c r="B4921" t="str">
        <f t="shared" si="274"/>
        <v>1</v>
      </c>
      <c r="C4921" t="str">
        <f t="shared" si="273"/>
        <v>99</v>
      </c>
      <c r="D4921" t="str">
        <f>"33"</f>
        <v>33</v>
      </c>
      <c r="E4921" t="str">
        <f>"1-99-33"</f>
        <v>1-99-33</v>
      </c>
      <c r="F4921" t="s">
        <v>65</v>
      </c>
      <c r="G4921" t="s">
        <v>66</v>
      </c>
      <c r="H4921" t="s">
        <v>67</v>
      </c>
      <c r="S4921">
        <v>0</v>
      </c>
      <c r="T4921">
        <v>1</v>
      </c>
      <c r="U4921">
        <v>0</v>
      </c>
      <c r="V4921">
        <v>0</v>
      </c>
      <c r="W4921">
        <v>1</v>
      </c>
      <c r="X4921">
        <v>0</v>
      </c>
      <c r="Y4921">
        <v>0</v>
      </c>
      <c r="Z4921">
        <v>1</v>
      </c>
      <c r="AA4921">
        <v>0</v>
      </c>
      <c r="AB4921">
        <v>0</v>
      </c>
      <c r="AC4921">
        <v>1</v>
      </c>
      <c r="AD4921">
        <v>1</v>
      </c>
      <c r="AE4921">
        <v>1</v>
      </c>
      <c r="AF4921">
        <v>1</v>
      </c>
      <c r="AG4921">
        <v>1</v>
      </c>
      <c r="AH4921">
        <v>1</v>
      </c>
      <c r="AI4921">
        <v>1</v>
      </c>
      <c r="AJ4921">
        <v>1</v>
      </c>
      <c r="AK4921">
        <v>1</v>
      </c>
      <c r="AL4921">
        <v>1</v>
      </c>
      <c r="AM4921">
        <v>1</v>
      </c>
    </row>
    <row r="4922" spans="1:39" x14ac:dyDescent="0.2">
      <c r="A4922" t="str">
        <f>"4918"</f>
        <v>4918</v>
      </c>
      <c r="B4922" t="str">
        <f t="shared" si="274"/>
        <v>1</v>
      </c>
      <c r="C4922" t="str">
        <f t="shared" si="273"/>
        <v>99</v>
      </c>
      <c r="D4922" t="str">
        <f>"18"</f>
        <v>18</v>
      </c>
      <c r="E4922" t="str">
        <f>"1-99-18"</f>
        <v>1-99-18</v>
      </c>
      <c r="F4922" t="s">
        <v>65</v>
      </c>
      <c r="G4922" t="s">
        <v>66</v>
      </c>
      <c r="H4922" t="s">
        <v>67</v>
      </c>
      <c r="S4922">
        <v>1</v>
      </c>
      <c r="T4922">
        <v>0</v>
      </c>
      <c r="U4922">
        <v>0</v>
      </c>
      <c r="V4922">
        <v>0</v>
      </c>
      <c r="W4922">
        <v>1</v>
      </c>
      <c r="X4922">
        <v>0</v>
      </c>
      <c r="Y4922">
        <v>1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1</v>
      </c>
      <c r="AF4922">
        <v>1</v>
      </c>
      <c r="AG4922">
        <v>1</v>
      </c>
      <c r="AH4922">
        <v>1</v>
      </c>
      <c r="AI4922">
        <v>1</v>
      </c>
      <c r="AJ4922">
        <v>1</v>
      </c>
      <c r="AK4922">
        <v>1</v>
      </c>
      <c r="AL4922">
        <v>1</v>
      </c>
      <c r="AM4922">
        <v>1</v>
      </c>
    </row>
    <row r="4923" spans="1:39" x14ac:dyDescent="0.2">
      <c r="A4923" t="str">
        <f>"4919"</f>
        <v>4919</v>
      </c>
      <c r="B4923" t="str">
        <f t="shared" si="274"/>
        <v>1</v>
      </c>
      <c r="C4923" t="str">
        <f t="shared" si="273"/>
        <v>99</v>
      </c>
      <c r="D4923" t="str">
        <f>"34"</f>
        <v>34</v>
      </c>
      <c r="E4923" t="str">
        <f>"1-99-34"</f>
        <v>1-99-34</v>
      </c>
      <c r="F4923" t="s">
        <v>65</v>
      </c>
      <c r="G4923" t="s">
        <v>66</v>
      </c>
      <c r="H4923" t="s">
        <v>67</v>
      </c>
      <c r="S4923">
        <v>1</v>
      </c>
      <c r="T4923">
        <v>0</v>
      </c>
      <c r="U4923">
        <v>0</v>
      </c>
      <c r="V4923">
        <v>0</v>
      </c>
      <c r="W4923">
        <v>0</v>
      </c>
      <c r="X4923">
        <v>1</v>
      </c>
      <c r="Y4923">
        <v>0</v>
      </c>
      <c r="Z4923">
        <v>1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0</v>
      </c>
      <c r="AH4923">
        <v>1</v>
      </c>
      <c r="AI4923">
        <v>1</v>
      </c>
      <c r="AJ4923">
        <v>1</v>
      </c>
      <c r="AK4923">
        <v>1</v>
      </c>
      <c r="AL4923">
        <v>1</v>
      </c>
      <c r="AM4923">
        <v>1</v>
      </c>
    </row>
    <row r="4924" spans="1:39" x14ac:dyDescent="0.2">
      <c r="A4924" t="str">
        <f>"4920"</f>
        <v>4920</v>
      </c>
      <c r="B4924" t="str">
        <f t="shared" si="274"/>
        <v>1</v>
      </c>
      <c r="C4924" t="str">
        <f t="shared" si="273"/>
        <v>99</v>
      </c>
      <c r="D4924" t="str">
        <f>"19"</f>
        <v>19</v>
      </c>
      <c r="E4924" t="str">
        <f>"1-99-19"</f>
        <v>1-99-19</v>
      </c>
      <c r="F4924" t="s">
        <v>65</v>
      </c>
      <c r="G4924" t="s">
        <v>66</v>
      </c>
      <c r="H4924" t="s">
        <v>67</v>
      </c>
      <c r="S4924">
        <v>1</v>
      </c>
      <c r="T4924">
        <v>0</v>
      </c>
      <c r="U4924">
        <v>0</v>
      </c>
      <c r="V4924">
        <v>0</v>
      </c>
      <c r="W4924">
        <v>1</v>
      </c>
      <c r="X4924">
        <v>0</v>
      </c>
      <c r="Y4924">
        <v>1</v>
      </c>
      <c r="Z4924">
        <v>0</v>
      </c>
      <c r="AA4924">
        <v>1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</row>
    <row r="4925" spans="1:39" x14ac:dyDescent="0.2">
      <c r="A4925" t="str">
        <f>"4921"</f>
        <v>4921</v>
      </c>
      <c r="B4925" t="str">
        <f t="shared" si="274"/>
        <v>1</v>
      </c>
      <c r="C4925" t="str">
        <f t="shared" si="273"/>
        <v>99</v>
      </c>
      <c r="D4925" t="str">
        <f>"13"</f>
        <v>13</v>
      </c>
      <c r="E4925" t="str">
        <f>"1-99-13"</f>
        <v>1-99-13</v>
      </c>
      <c r="F4925" t="s">
        <v>65</v>
      </c>
      <c r="G4925" t="s">
        <v>66</v>
      </c>
      <c r="H4925" t="s">
        <v>67</v>
      </c>
      <c r="S4925">
        <v>0</v>
      </c>
      <c r="T4925">
        <v>1</v>
      </c>
      <c r="U4925">
        <v>0</v>
      </c>
      <c r="V4925">
        <v>0</v>
      </c>
      <c r="W4925">
        <v>1</v>
      </c>
      <c r="X4925">
        <v>0</v>
      </c>
      <c r="Y4925">
        <v>1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1</v>
      </c>
      <c r="AF4925">
        <v>0</v>
      </c>
      <c r="AG4925">
        <v>1</v>
      </c>
      <c r="AH4925">
        <v>1</v>
      </c>
      <c r="AI4925">
        <v>1</v>
      </c>
      <c r="AJ4925">
        <v>1</v>
      </c>
      <c r="AK4925">
        <v>1</v>
      </c>
      <c r="AL4925">
        <v>1</v>
      </c>
      <c r="AM4925">
        <v>1</v>
      </c>
    </row>
    <row r="4926" spans="1:39" x14ac:dyDescent="0.2">
      <c r="A4926" t="str">
        <f>"4922"</f>
        <v>4922</v>
      </c>
      <c r="B4926" t="str">
        <f t="shared" si="274"/>
        <v>1</v>
      </c>
      <c r="C4926" t="str">
        <f t="shared" si="273"/>
        <v>99</v>
      </c>
      <c r="D4926" t="str">
        <f>"44"</f>
        <v>44</v>
      </c>
      <c r="E4926" t="str">
        <f>"1-99-44"</f>
        <v>1-99-44</v>
      </c>
      <c r="F4926" t="s">
        <v>65</v>
      </c>
      <c r="G4926" t="s">
        <v>66</v>
      </c>
      <c r="H4926" t="s">
        <v>67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1</v>
      </c>
      <c r="AK4926">
        <v>0</v>
      </c>
      <c r="AL4926">
        <v>1</v>
      </c>
      <c r="AM4926">
        <v>0</v>
      </c>
    </row>
    <row r="4927" spans="1:39" x14ac:dyDescent="0.2">
      <c r="A4927" t="str">
        <f>"4923"</f>
        <v>4923</v>
      </c>
      <c r="B4927" t="str">
        <f t="shared" si="274"/>
        <v>1</v>
      </c>
      <c r="C4927" t="str">
        <f t="shared" si="273"/>
        <v>99</v>
      </c>
      <c r="D4927" t="str">
        <f>"43"</f>
        <v>43</v>
      </c>
      <c r="E4927" t="str">
        <f>"1-99-43"</f>
        <v>1-99-43</v>
      </c>
      <c r="F4927" t="s">
        <v>65</v>
      </c>
      <c r="G4927" t="s">
        <v>66</v>
      </c>
      <c r="H4927" t="s">
        <v>67</v>
      </c>
      <c r="S4927">
        <v>0</v>
      </c>
      <c r="T4927">
        <v>1</v>
      </c>
      <c r="U4927">
        <v>0</v>
      </c>
      <c r="V4927">
        <v>0</v>
      </c>
      <c r="W4927">
        <v>1</v>
      </c>
      <c r="X4927">
        <v>0</v>
      </c>
      <c r="Y4927">
        <v>1</v>
      </c>
      <c r="Z4927">
        <v>0</v>
      </c>
      <c r="AA4927">
        <v>0</v>
      </c>
      <c r="AB4927">
        <v>1</v>
      </c>
      <c r="AC4927">
        <v>0</v>
      </c>
      <c r="AD4927">
        <v>1</v>
      </c>
      <c r="AE4927">
        <v>1</v>
      </c>
      <c r="AF4927">
        <v>1</v>
      </c>
      <c r="AG4927">
        <v>1</v>
      </c>
      <c r="AH4927">
        <v>1</v>
      </c>
      <c r="AI4927">
        <v>1</v>
      </c>
      <c r="AJ4927">
        <v>1</v>
      </c>
      <c r="AK4927">
        <v>1</v>
      </c>
      <c r="AL4927">
        <v>1</v>
      </c>
      <c r="AM4927">
        <v>1</v>
      </c>
    </row>
    <row r="4928" spans="1:39" x14ac:dyDescent="0.2">
      <c r="A4928" t="str">
        <f>"4924"</f>
        <v>4924</v>
      </c>
      <c r="B4928" t="str">
        <f t="shared" si="274"/>
        <v>1</v>
      </c>
      <c r="C4928" t="str">
        <f t="shared" si="273"/>
        <v>99</v>
      </c>
      <c r="D4928" t="str">
        <f>"32"</f>
        <v>32</v>
      </c>
      <c r="E4928" t="str">
        <f>"1-99-32"</f>
        <v>1-99-32</v>
      </c>
      <c r="F4928" t="s">
        <v>65</v>
      </c>
      <c r="G4928" t="s">
        <v>66</v>
      </c>
      <c r="H4928" t="s">
        <v>67</v>
      </c>
      <c r="S4928">
        <v>0</v>
      </c>
      <c r="T4928">
        <v>1</v>
      </c>
      <c r="U4928">
        <v>0</v>
      </c>
      <c r="V4928">
        <v>0</v>
      </c>
      <c r="W4928">
        <v>0</v>
      </c>
      <c r="X4928">
        <v>1</v>
      </c>
      <c r="Y4928">
        <v>0</v>
      </c>
      <c r="Z4928">
        <v>1</v>
      </c>
      <c r="AA4928">
        <v>0</v>
      </c>
      <c r="AB4928">
        <v>0</v>
      </c>
      <c r="AC4928">
        <v>1</v>
      </c>
      <c r="AD4928">
        <v>1</v>
      </c>
      <c r="AE4928">
        <v>1</v>
      </c>
      <c r="AF4928">
        <v>1</v>
      </c>
      <c r="AG4928">
        <v>1</v>
      </c>
      <c r="AH4928">
        <v>1</v>
      </c>
      <c r="AI4928">
        <v>1</v>
      </c>
      <c r="AJ4928">
        <v>1</v>
      </c>
      <c r="AK4928">
        <v>1</v>
      </c>
      <c r="AL4928">
        <v>1</v>
      </c>
      <c r="AM4928">
        <v>1</v>
      </c>
    </row>
    <row r="4929" spans="1:39" x14ac:dyDescent="0.2">
      <c r="A4929" t="str">
        <f>"4925"</f>
        <v>4925</v>
      </c>
      <c r="B4929" t="str">
        <f t="shared" si="274"/>
        <v>1</v>
      </c>
      <c r="C4929" t="str">
        <f t="shared" si="273"/>
        <v>99</v>
      </c>
      <c r="D4929" t="str">
        <f>"20"</f>
        <v>20</v>
      </c>
      <c r="E4929" t="str">
        <f>"1-99-20"</f>
        <v>1-99-20</v>
      </c>
      <c r="F4929" t="s">
        <v>65</v>
      </c>
      <c r="G4929" t="s">
        <v>66</v>
      </c>
      <c r="H4929" t="s">
        <v>67</v>
      </c>
      <c r="S4929">
        <v>1</v>
      </c>
      <c r="T4929">
        <v>0</v>
      </c>
      <c r="U4929">
        <v>0</v>
      </c>
      <c r="V4929">
        <v>0</v>
      </c>
      <c r="W4929">
        <v>1</v>
      </c>
      <c r="X4929">
        <v>0</v>
      </c>
      <c r="Y4929">
        <v>1</v>
      </c>
      <c r="Z4929">
        <v>0</v>
      </c>
      <c r="AA4929">
        <v>0</v>
      </c>
      <c r="AB4929">
        <v>0</v>
      </c>
      <c r="AC4929">
        <v>1</v>
      </c>
      <c r="AD4929">
        <v>1</v>
      </c>
      <c r="AE4929">
        <v>1</v>
      </c>
      <c r="AF4929">
        <v>1</v>
      </c>
      <c r="AG4929">
        <v>1</v>
      </c>
      <c r="AH4929">
        <v>1</v>
      </c>
      <c r="AI4929">
        <v>1</v>
      </c>
      <c r="AJ4929">
        <v>1</v>
      </c>
      <c r="AK4929">
        <v>1</v>
      </c>
      <c r="AL4929">
        <v>1</v>
      </c>
      <c r="AM4929">
        <v>1</v>
      </c>
    </row>
    <row r="4930" spans="1:39" x14ac:dyDescent="0.2">
      <c r="A4930" t="str">
        <f>"4926"</f>
        <v>4926</v>
      </c>
      <c r="B4930" t="str">
        <f t="shared" si="274"/>
        <v>1</v>
      </c>
      <c r="C4930" t="str">
        <f t="shared" si="273"/>
        <v>99</v>
      </c>
      <c r="D4930" t="str">
        <f>"14"</f>
        <v>14</v>
      </c>
      <c r="E4930" t="str">
        <f>"1-99-14"</f>
        <v>1-99-14</v>
      </c>
      <c r="F4930" t="s">
        <v>65</v>
      </c>
      <c r="G4930" t="s">
        <v>66</v>
      </c>
      <c r="H4930" t="s">
        <v>67</v>
      </c>
      <c r="S4930">
        <v>0</v>
      </c>
      <c r="T4930">
        <v>1</v>
      </c>
      <c r="U4930">
        <v>0</v>
      </c>
      <c r="V4930">
        <v>0</v>
      </c>
      <c r="W4930">
        <v>1</v>
      </c>
      <c r="X4930">
        <v>0</v>
      </c>
      <c r="Y4930">
        <v>1</v>
      </c>
      <c r="Z4930">
        <v>0</v>
      </c>
      <c r="AA4930">
        <v>0</v>
      </c>
      <c r="AB4930">
        <v>1</v>
      </c>
      <c r="AC4930">
        <v>0</v>
      </c>
      <c r="AD4930">
        <v>1</v>
      </c>
      <c r="AE4930">
        <v>1</v>
      </c>
      <c r="AF4930">
        <v>1</v>
      </c>
      <c r="AG4930">
        <v>1</v>
      </c>
      <c r="AH4930">
        <v>1</v>
      </c>
      <c r="AI4930">
        <v>1</v>
      </c>
      <c r="AJ4930">
        <v>1</v>
      </c>
      <c r="AK4930">
        <v>1</v>
      </c>
      <c r="AL4930">
        <v>1</v>
      </c>
      <c r="AM4930">
        <v>1</v>
      </c>
    </row>
    <row r="4931" spans="1:39" x14ac:dyDescent="0.2">
      <c r="A4931" t="str">
        <f>"4927"</f>
        <v>4927</v>
      </c>
      <c r="B4931" t="str">
        <f t="shared" si="274"/>
        <v>1</v>
      </c>
      <c r="C4931" t="str">
        <f t="shared" si="273"/>
        <v>99</v>
      </c>
      <c r="D4931" t="str">
        <f>"39"</f>
        <v>39</v>
      </c>
      <c r="E4931" t="str">
        <f>"1-99-39"</f>
        <v>1-99-39</v>
      </c>
      <c r="F4931" t="s">
        <v>65</v>
      </c>
      <c r="G4931" t="s">
        <v>66</v>
      </c>
      <c r="H4931" t="s">
        <v>67</v>
      </c>
      <c r="S4931">
        <v>0</v>
      </c>
      <c r="T4931">
        <v>1</v>
      </c>
      <c r="U4931">
        <v>0</v>
      </c>
      <c r="V4931">
        <v>0</v>
      </c>
      <c r="W4931">
        <v>1</v>
      </c>
      <c r="X4931">
        <v>0</v>
      </c>
      <c r="Y4931">
        <v>0</v>
      </c>
      <c r="Z4931">
        <v>1</v>
      </c>
      <c r="AA4931">
        <v>1</v>
      </c>
      <c r="AB4931">
        <v>0</v>
      </c>
      <c r="AC4931">
        <v>0</v>
      </c>
      <c r="AD4931">
        <v>1</v>
      </c>
      <c r="AE4931">
        <v>1</v>
      </c>
      <c r="AF4931">
        <v>1</v>
      </c>
      <c r="AG4931">
        <v>1</v>
      </c>
      <c r="AH4931">
        <v>1</v>
      </c>
      <c r="AI4931">
        <v>1</v>
      </c>
      <c r="AJ4931">
        <v>1</v>
      </c>
      <c r="AK4931">
        <v>1</v>
      </c>
      <c r="AL4931">
        <v>1</v>
      </c>
      <c r="AM4931">
        <v>1</v>
      </c>
    </row>
    <row r="4932" spans="1:39" x14ac:dyDescent="0.2">
      <c r="A4932" t="str">
        <f>"4928"</f>
        <v>4928</v>
      </c>
      <c r="B4932" t="str">
        <f t="shared" si="274"/>
        <v>1</v>
      </c>
      <c r="C4932" t="str">
        <f t="shared" si="273"/>
        <v>99</v>
      </c>
      <c r="D4932" t="str">
        <f>"21"</f>
        <v>21</v>
      </c>
      <c r="E4932" t="str">
        <f>"1-99-21"</f>
        <v>1-99-21</v>
      </c>
      <c r="F4932" t="s">
        <v>65</v>
      </c>
      <c r="G4932" t="s">
        <v>66</v>
      </c>
      <c r="H4932" t="s">
        <v>67</v>
      </c>
      <c r="S4932">
        <v>0</v>
      </c>
      <c r="T4932">
        <v>1</v>
      </c>
      <c r="U4932">
        <v>0</v>
      </c>
      <c r="V4932">
        <v>0</v>
      </c>
      <c r="W4932">
        <v>1</v>
      </c>
      <c r="X4932">
        <v>0</v>
      </c>
      <c r="Y4932">
        <v>1</v>
      </c>
      <c r="Z4932">
        <v>0</v>
      </c>
      <c r="AA4932">
        <v>0</v>
      </c>
      <c r="AB4932">
        <v>1</v>
      </c>
      <c r="AC4932">
        <v>0</v>
      </c>
      <c r="AD4932">
        <v>1</v>
      </c>
      <c r="AE4932">
        <v>1</v>
      </c>
      <c r="AF4932">
        <v>1</v>
      </c>
      <c r="AG4932">
        <v>1</v>
      </c>
      <c r="AH4932">
        <v>1</v>
      </c>
      <c r="AI4932">
        <v>1</v>
      </c>
      <c r="AJ4932">
        <v>1</v>
      </c>
      <c r="AK4932">
        <v>1</v>
      </c>
      <c r="AL4932">
        <v>1</v>
      </c>
      <c r="AM4932">
        <v>1</v>
      </c>
    </row>
    <row r="4933" spans="1:39" x14ac:dyDescent="0.2">
      <c r="A4933" t="str">
        <f>"4929"</f>
        <v>4929</v>
      </c>
      <c r="B4933" t="str">
        <f t="shared" si="274"/>
        <v>1</v>
      </c>
      <c r="C4933" t="str">
        <f t="shared" si="273"/>
        <v>99</v>
      </c>
      <c r="D4933" t="str">
        <f>"12"</f>
        <v>12</v>
      </c>
      <c r="E4933" t="str">
        <f>"1-99-12"</f>
        <v>1-99-12</v>
      </c>
      <c r="F4933" t="s">
        <v>65</v>
      </c>
      <c r="G4933" t="s">
        <v>66</v>
      </c>
      <c r="H4933" t="s">
        <v>67</v>
      </c>
      <c r="S4933">
        <v>1</v>
      </c>
      <c r="T4933">
        <v>0</v>
      </c>
      <c r="U4933">
        <v>0</v>
      </c>
      <c r="V4933">
        <v>0</v>
      </c>
      <c r="W4933">
        <v>1</v>
      </c>
      <c r="X4933">
        <v>0</v>
      </c>
      <c r="Y4933">
        <v>1</v>
      </c>
      <c r="Z4933">
        <v>0</v>
      </c>
      <c r="AA4933">
        <v>0</v>
      </c>
      <c r="AB4933">
        <v>0</v>
      </c>
      <c r="AC4933">
        <v>1</v>
      </c>
      <c r="AD4933">
        <v>1</v>
      </c>
      <c r="AE4933">
        <v>1</v>
      </c>
      <c r="AF4933">
        <v>1</v>
      </c>
      <c r="AG4933">
        <v>1</v>
      </c>
      <c r="AH4933">
        <v>1</v>
      </c>
      <c r="AI4933">
        <v>1</v>
      </c>
      <c r="AJ4933">
        <v>1</v>
      </c>
      <c r="AK4933">
        <v>1</v>
      </c>
      <c r="AL4933">
        <v>1</v>
      </c>
      <c r="AM4933">
        <v>1</v>
      </c>
    </row>
    <row r="4934" spans="1:39" x14ac:dyDescent="0.2">
      <c r="A4934" t="str">
        <f>"4930"</f>
        <v>4930</v>
      </c>
      <c r="B4934" t="str">
        <f t="shared" si="274"/>
        <v>1</v>
      </c>
      <c r="C4934" t="str">
        <f t="shared" si="273"/>
        <v>99</v>
      </c>
      <c r="D4934" t="str">
        <f>"42"</f>
        <v>42</v>
      </c>
      <c r="E4934" t="str">
        <f>"1-99-42"</f>
        <v>1-99-42</v>
      </c>
      <c r="F4934" t="s">
        <v>65</v>
      </c>
      <c r="G4934" t="s">
        <v>66</v>
      </c>
      <c r="H4934" t="s">
        <v>67</v>
      </c>
      <c r="S4934">
        <v>1</v>
      </c>
      <c r="T4934">
        <v>0</v>
      </c>
      <c r="U4934">
        <v>0</v>
      </c>
      <c r="V4934">
        <v>0</v>
      </c>
      <c r="W4934">
        <v>1</v>
      </c>
      <c r="X4934">
        <v>0</v>
      </c>
      <c r="Y4934">
        <v>1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</row>
    <row r="4935" spans="1:39" x14ac:dyDescent="0.2">
      <c r="A4935" t="str">
        <f>"4931"</f>
        <v>4931</v>
      </c>
      <c r="B4935" t="str">
        <f t="shared" si="274"/>
        <v>1</v>
      </c>
      <c r="C4935" t="str">
        <f t="shared" si="273"/>
        <v>99</v>
      </c>
      <c r="D4935" t="str">
        <f>"23"</f>
        <v>23</v>
      </c>
      <c r="E4935" t="str">
        <f>"1-99-23"</f>
        <v>1-99-23</v>
      </c>
      <c r="F4935" t="s">
        <v>65</v>
      </c>
      <c r="G4935" t="s">
        <v>66</v>
      </c>
      <c r="H4935" t="s">
        <v>67</v>
      </c>
      <c r="S4935">
        <v>1</v>
      </c>
      <c r="T4935">
        <v>0</v>
      </c>
      <c r="U4935">
        <v>0</v>
      </c>
      <c r="V4935">
        <v>0</v>
      </c>
      <c r="W4935">
        <v>1</v>
      </c>
      <c r="X4935">
        <v>0</v>
      </c>
      <c r="Y4935">
        <v>1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1</v>
      </c>
      <c r="AF4935">
        <v>1</v>
      </c>
      <c r="AG4935">
        <v>1</v>
      </c>
      <c r="AH4935">
        <v>1</v>
      </c>
      <c r="AI4935">
        <v>1</v>
      </c>
      <c r="AJ4935">
        <v>1</v>
      </c>
      <c r="AK4935">
        <v>1</v>
      </c>
      <c r="AL4935">
        <v>1</v>
      </c>
      <c r="AM4935">
        <v>1</v>
      </c>
    </row>
    <row r="4936" spans="1:39" x14ac:dyDescent="0.2">
      <c r="A4936" t="str">
        <f>"4932"</f>
        <v>4932</v>
      </c>
      <c r="B4936" t="str">
        <f t="shared" si="274"/>
        <v>1</v>
      </c>
      <c r="C4936" t="str">
        <f t="shared" si="273"/>
        <v>99</v>
      </c>
      <c r="D4936" t="str">
        <f>"5"</f>
        <v>5</v>
      </c>
      <c r="E4936" t="str">
        <f>"1-99-5"</f>
        <v>1-99-5</v>
      </c>
      <c r="F4936" t="s">
        <v>65</v>
      </c>
      <c r="G4936" t="s">
        <v>66</v>
      </c>
      <c r="H4936" t="s">
        <v>67</v>
      </c>
      <c r="S4936">
        <v>0</v>
      </c>
      <c r="T4936">
        <v>1</v>
      </c>
      <c r="U4936">
        <v>0</v>
      </c>
      <c r="V4936">
        <v>0</v>
      </c>
      <c r="W4936">
        <v>1</v>
      </c>
      <c r="X4936">
        <v>0</v>
      </c>
      <c r="Y4936">
        <v>1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1</v>
      </c>
      <c r="AF4936">
        <v>1</v>
      </c>
      <c r="AG4936">
        <v>1</v>
      </c>
      <c r="AH4936">
        <v>1</v>
      </c>
      <c r="AI4936">
        <v>1</v>
      </c>
      <c r="AJ4936">
        <v>1</v>
      </c>
      <c r="AK4936">
        <v>1</v>
      </c>
      <c r="AL4936">
        <v>1</v>
      </c>
      <c r="AM4936">
        <v>1</v>
      </c>
    </row>
    <row r="4937" spans="1:39" x14ac:dyDescent="0.2">
      <c r="A4937" t="str">
        <f>"4933"</f>
        <v>4933</v>
      </c>
      <c r="B4937" t="str">
        <f t="shared" si="274"/>
        <v>1</v>
      </c>
      <c r="C4937" t="str">
        <f t="shared" ref="C4937:C4954" si="275">"99"</f>
        <v>99</v>
      </c>
      <c r="D4937" t="str">
        <f>"40"</f>
        <v>40</v>
      </c>
      <c r="E4937" t="str">
        <f>"1-99-40"</f>
        <v>1-99-40</v>
      </c>
      <c r="F4937" t="s">
        <v>65</v>
      </c>
      <c r="G4937" t="s">
        <v>66</v>
      </c>
      <c r="H4937" t="s">
        <v>67</v>
      </c>
      <c r="S4937">
        <v>1</v>
      </c>
      <c r="T4937">
        <v>0</v>
      </c>
      <c r="U4937">
        <v>0</v>
      </c>
      <c r="V4937">
        <v>0</v>
      </c>
      <c r="W4937">
        <v>1</v>
      </c>
      <c r="X4937">
        <v>0</v>
      </c>
      <c r="Y4937">
        <v>1</v>
      </c>
      <c r="Z4937">
        <v>0</v>
      </c>
      <c r="AA4937">
        <v>0</v>
      </c>
      <c r="AB4937">
        <v>1</v>
      </c>
      <c r="AC4937">
        <v>0</v>
      </c>
      <c r="AD4937">
        <v>1</v>
      </c>
      <c r="AE4937">
        <v>1</v>
      </c>
      <c r="AF4937">
        <v>1</v>
      </c>
      <c r="AG4937">
        <v>1</v>
      </c>
      <c r="AH4937">
        <v>1</v>
      </c>
      <c r="AI4937">
        <v>1</v>
      </c>
      <c r="AJ4937">
        <v>1</v>
      </c>
      <c r="AK4937">
        <v>1</v>
      </c>
      <c r="AL4937">
        <v>1</v>
      </c>
      <c r="AM4937">
        <v>1</v>
      </c>
    </row>
    <row r="4938" spans="1:39" x14ac:dyDescent="0.2">
      <c r="A4938" t="str">
        <f>"4934"</f>
        <v>4934</v>
      </c>
      <c r="B4938" t="str">
        <f t="shared" si="274"/>
        <v>1</v>
      </c>
      <c r="C4938" t="str">
        <f t="shared" si="275"/>
        <v>99</v>
      </c>
      <c r="D4938" t="str">
        <f>"25"</f>
        <v>25</v>
      </c>
      <c r="E4938" t="str">
        <f>"1-99-25"</f>
        <v>1-99-25</v>
      </c>
      <c r="F4938" t="s">
        <v>65</v>
      </c>
      <c r="G4938" t="s">
        <v>66</v>
      </c>
      <c r="H4938" t="s">
        <v>67</v>
      </c>
      <c r="S4938">
        <v>1</v>
      </c>
      <c r="T4938">
        <v>0</v>
      </c>
      <c r="U4938">
        <v>0</v>
      </c>
      <c r="V4938">
        <v>0</v>
      </c>
      <c r="W4938">
        <v>1</v>
      </c>
      <c r="X4938">
        <v>0</v>
      </c>
      <c r="Y4938">
        <v>1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1</v>
      </c>
      <c r="AF4938">
        <v>1</v>
      </c>
      <c r="AG4938">
        <v>1</v>
      </c>
      <c r="AH4938">
        <v>1</v>
      </c>
      <c r="AI4938">
        <v>1</v>
      </c>
      <c r="AJ4938">
        <v>1</v>
      </c>
      <c r="AK4938">
        <v>1</v>
      </c>
      <c r="AL4938">
        <v>1</v>
      </c>
      <c r="AM4938">
        <v>1</v>
      </c>
    </row>
    <row r="4939" spans="1:39" x14ac:dyDescent="0.2">
      <c r="A4939" t="str">
        <f>"4935"</f>
        <v>4935</v>
      </c>
      <c r="B4939" t="str">
        <f t="shared" si="274"/>
        <v>1</v>
      </c>
      <c r="C4939" t="str">
        <f t="shared" si="275"/>
        <v>99</v>
      </c>
      <c r="D4939" t="str">
        <f>"11"</f>
        <v>11</v>
      </c>
      <c r="E4939" t="str">
        <f>"1-99-11"</f>
        <v>1-99-11</v>
      </c>
      <c r="F4939" t="s">
        <v>65</v>
      </c>
      <c r="G4939" t="s">
        <v>66</v>
      </c>
      <c r="H4939" t="s">
        <v>67</v>
      </c>
      <c r="S4939">
        <v>1</v>
      </c>
      <c r="T4939">
        <v>0</v>
      </c>
      <c r="U4939">
        <v>0</v>
      </c>
      <c r="V4939">
        <v>0</v>
      </c>
      <c r="W4939">
        <v>0</v>
      </c>
      <c r="X4939">
        <v>1</v>
      </c>
      <c r="Y4939">
        <v>1</v>
      </c>
      <c r="Z4939">
        <v>0</v>
      </c>
      <c r="AA4939">
        <v>0</v>
      </c>
      <c r="AB4939">
        <v>1</v>
      </c>
      <c r="AC4939">
        <v>0</v>
      </c>
      <c r="AD4939">
        <v>1</v>
      </c>
      <c r="AE4939">
        <v>1</v>
      </c>
      <c r="AF4939">
        <v>1</v>
      </c>
      <c r="AG4939">
        <v>1</v>
      </c>
      <c r="AH4939">
        <v>1</v>
      </c>
      <c r="AI4939">
        <v>1</v>
      </c>
      <c r="AJ4939">
        <v>1</v>
      </c>
      <c r="AK4939">
        <v>1</v>
      </c>
      <c r="AL4939">
        <v>1</v>
      </c>
      <c r="AM4939">
        <v>1</v>
      </c>
    </row>
    <row r="4940" spans="1:39" x14ac:dyDescent="0.2">
      <c r="A4940" t="str">
        <f>"4936"</f>
        <v>4936</v>
      </c>
      <c r="B4940" t="str">
        <f t="shared" si="274"/>
        <v>1</v>
      </c>
      <c r="C4940" t="str">
        <f t="shared" si="275"/>
        <v>99</v>
      </c>
      <c r="D4940" t="str">
        <f>"41"</f>
        <v>41</v>
      </c>
      <c r="E4940" t="str">
        <f>"1-99-41"</f>
        <v>1-99-41</v>
      </c>
      <c r="F4940" t="s">
        <v>65</v>
      </c>
      <c r="G4940" t="s">
        <v>66</v>
      </c>
      <c r="H4940" t="s">
        <v>67</v>
      </c>
      <c r="S4940">
        <v>1</v>
      </c>
      <c r="T4940">
        <v>0</v>
      </c>
      <c r="U4940">
        <v>0</v>
      </c>
      <c r="V4940">
        <v>0</v>
      </c>
      <c r="W4940">
        <v>1</v>
      </c>
      <c r="X4940">
        <v>0</v>
      </c>
      <c r="Y4940">
        <v>1</v>
      </c>
      <c r="Z4940">
        <v>0</v>
      </c>
      <c r="AA4940">
        <v>0</v>
      </c>
      <c r="AB4940">
        <v>1</v>
      </c>
      <c r="AC4940">
        <v>0</v>
      </c>
      <c r="AD4940">
        <v>1</v>
      </c>
      <c r="AE4940">
        <v>1</v>
      </c>
      <c r="AF4940">
        <v>1</v>
      </c>
      <c r="AG4940">
        <v>1</v>
      </c>
      <c r="AH4940">
        <v>1</v>
      </c>
      <c r="AI4940">
        <v>1</v>
      </c>
      <c r="AJ4940">
        <v>1</v>
      </c>
      <c r="AK4940">
        <v>1</v>
      </c>
      <c r="AL4940">
        <v>1</v>
      </c>
      <c r="AM4940">
        <v>1</v>
      </c>
    </row>
    <row r="4941" spans="1:39" x14ac:dyDescent="0.2">
      <c r="A4941" t="str">
        <f>"4937"</f>
        <v>4937</v>
      </c>
      <c r="B4941" t="str">
        <f t="shared" si="274"/>
        <v>1</v>
      </c>
      <c r="C4941" t="str">
        <f t="shared" si="275"/>
        <v>99</v>
      </c>
      <c r="D4941" t="str">
        <f>"26"</f>
        <v>26</v>
      </c>
      <c r="E4941" t="str">
        <f>"1-99-26"</f>
        <v>1-99-26</v>
      </c>
      <c r="F4941" t="s">
        <v>65</v>
      </c>
      <c r="G4941" t="s">
        <v>66</v>
      </c>
      <c r="H4941" t="s">
        <v>67</v>
      </c>
      <c r="S4941">
        <v>0</v>
      </c>
      <c r="T4941">
        <v>1</v>
      </c>
      <c r="U4941">
        <v>0</v>
      </c>
      <c r="V4941">
        <v>0</v>
      </c>
      <c r="W4941">
        <v>1</v>
      </c>
      <c r="X4941">
        <v>0</v>
      </c>
      <c r="Y4941">
        <v>1</v>
      </c>
      <c r="Z4941">
        <v>0</v>
      </c>
      <c r="AA4941">
        <v>0</v>
      </c>
      <c r="AB4941">
        <v>0</v>
      </c>
      <c r="AC4941">
        <v>1</v>
      </c>
      <c r="AD4941">
        <v>1</v>
      </c>
      <c r="AE4941">
        <v>1</v>
      </c>
      <c r="AF4941">
        <v>1</v>
      </c>
      <c r="AG4941">
        <v>1</v>
      </c>
      <c r="AH4941">
        <v>1</v>
      </c>
      <c r="AI4941">
        <v>1</v>
      </c>
      <c r="AJ4941">
        <v>1</v>
      </c>
      <c r="AK4941">
        <v>1</v>
      </c>
      <c r="AL4941">
        <v>1</v>
      </c>
      <c r="AM4941">
        <v>1</v>
      </c>
    </row>
    <row r="4942" spans="1:39" x14ac:dyDescent="0.2">
      <c r="A4942" t="str">
        <f>"4938"</f>
        <v>4938</v>
      </c>
      <c r="B4942" t="str">
        <f t="shared" si="274"/>
        <v>1</v>
      </c>
      <c r="C4942" t="str">
        <f t="shared" si="275"/>
        <v>99</v>
      </c>
      <c r="D4942" t="str">
        <f>"10"</f>
        <v>10</v>
      </c>
      <c r="E4942" t="str">
        <f>"1-99-10"</f>
        <v>1-99-10</v>
      </c>
      <c r="F4942" t="s">
        <v>65</v>
      </c>
      <c r="G4942" t="s">
        <v>66</v>
      </c>
      <c r="H4942" t="s">
        <v>67</v>
      </c>
      <c r="S4942">
        <v>1</v>
      </c>
      <c r="T4942">
        <v>0</v>
      </c>
      <c r="U4942">
        <v>0</v>
      </c>
      <c r="V4942">
        <v>0</v>
      </c>
      <c r="W4942">
        <v>1</v>
      </c>
      <c r="X4942">
        <v>0</v>
      </c>
      <c r="Y4942">
        <v>1</v>
      </c>
      <c r="Z4942">
        <v>0</v>
      </c>
      <c r="AA4942">
        <v>0</v>
      </c>
      <c r="AB4942">
        <v>0</v>
      </c>
      <c r="AC4942">
        <v>1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</row>
    <row r="4943" spans="1:39" x14ac:dyDescent="0.2">
      <c r="A4943" t="str">
        <f>"4939"</f>
        <v>4939</v>
      </c>
      <c r="B4943" t="str">
        <f t="shared" si="274"/>
        <v>1</v>
      </c>
      <c r="C4943" t="str">
        <f t="shared" si="275"/>
        <v>99</v>
      </c>
      <c r="D4943" t="str">
        <f>"46"</f>
        <v>46</v>
      </c>
      <c r="E4943" t="str">
        <f>"1-99-46"</f>
        <v>1-99-46</v>
      </c>
      <c r="F4943" t="s">
        <v>65</v>
      </c>
      <c r="G4943" t="s">
        <v>66</v>
      </c>
      <c r="H4943" t="s">
        <v>67</v>
      </c>
      <c r="S4943">
        <v>1</v>
      </c>
      <c r="T4943">
        <v>0</v>
      </c>
      <c r="U4943">
        <v>0</v>
      </c>
      <c r="V4943">
        <v>0</v>
      </c>
      <c r="W4943">
        <v>1</v>
      </c>
      <c r="X4943">
        <v>0</v>
      </c>
      <c r="Y4943">
        <v>1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1</v>
      </c>
      <c r="AF4943">
        <v>1</v>
      </c>
      <c r="AG4943">
        <v>1</v>
      </c>
      <c r="AH4943">
        <v>1</v>
      </c>
      <c r="AI4943">
        <v>1</v>
      </c>
      <c r="AJ4943">
        <v>1</v>
      </c>
      <c r="AK4943">
        <v>1</v>
      </c>
      <c r="AL4943">
        <v>1</v>
      </c>
      <c r="AM4943">
        <v>1</v>
      </c>
    </row>
    <row r="4944" spans="1:39" x14ac:dyDescent="0.2">
      <c r="A4944" t="str">
        <f>"4940"</f>
        <v>4940</v>
      </c>
      <c r="B4944" t="str">
        <f t="shared" si="274"/>
        <v>1</v>
      </c>
      <c r="C4944" t="str">
        <f t="shared" si="275"/>
        <v>99</v>
      </c>
      <c r="D4944" t="str">
        <f>"27"</f>
        <v>27</v>
      </c>
      <c r="E4944" t="str">
        <f>"1-99-27"</f>
        <v>1-99-27</v>
      </c>
      <c r="F4944" t="s">
        <v>65</v>
      </c>
      <c r="G4944" t="s">
        <v>66</v>
      </c>
      <c r="H4944" t="s">
        <v>67</v>
      </c>
      <c r="S4944">
        <v>1</v>
      </c>
      <c r="T4944">
        <v>0</v>
      </c>
      <c r="U4944">
        <v>0</v>
      </c>
      <c r="V4944">
        <v>0</v>
      </c>
      <c r="W4944">
        <v>1</v>
      </c>
      <c r="X4944">
        <v>0</v>
      </c>
      <c r="Y4944">
        <v>1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1</v>
      </c>
      <c r="AF4944">
        <v>1</v>
      </c>
      <c r="AG4944">
        <v>1</v>
      </c>
      <c r="AH4944">
        <v>1</v>
      </c>
      <c r="AI4944">
        <v>1</v>
      </c>
      <c r="AJ4944">
        <v>1</v>
      </c>
      <c r="AK4944">
        <v>1</v>
      </c>
      <c r="AL4944">
        <v>1</v>
      </c>
      <c r="AM4944">
        <v>1</v>
      </c>
    </row>
    <row r="4945" spans="1:39" x14ac:dyDescent="0.2">
      <c r="A4945" t="str">
        <f>"4941"</f>
        <v>4941</v>
      </c>
      <c r="B4945" t="str">
        <f t="shared" si="274"/>
        <v>1</v>
      </c>
      <c r="C4945" t="str">
        <f t="shared" si="275"/>
        <v>99</v>
      </c>
      <c r="D4945" t="str">
        <f>"8"</f>
        <v>8</v>
      </c>
      <c r="E4945" t="str">
        <f>"1-99-8"</f>
        <v>1-99-8</v>
      </c>
      <c r="F4945" t="s">
        <v>65</v>
      </c>
      <c r="G4945" t="s">
        <v>66</v>
      </c>
      <c r="H4945" t="s">
        <v>67</v>
      </c>
      <c r="S4945">
        <v>0</v>
      </c>
      <c r="T4945">
        <v>1</v>
      </c>
      <c r="U4945">
        <v>0</v>
      </c>
      <c r="V4945">
        <v>0</v>
      </c>
      <c r="W4945">
        <v>1</v>
      </c>
      <c r="X4945">
        <v>0</v>
      </c>
      <c r="Y4945">
        <v>1</v>
      </c>
      <c r="Z4945">
        <v>0</v>
      </c>
      <c r="AA4945">
        <v>1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</row>
    <row r="4946" spans="1:39" x14ac:dyDescent="0.2">
      <c r="A4946" t="str">
        <f>"4942"</f>
        <v>4942</v>
      </c>
      <c r="B4946" t="str">
        <f t="shared" si="274"/>
        <v>1</v>
      </c>
      <c r="C4946" t="str">
        <f t="shared" si="275"/>
        <v>99</v>
      </c>
      <c r="D4946" t="str">
        <f>"49"</f>
        <v>49</v>
      </c>
      <c r="E4946" t="str">
        <f>"1-99-49"</f>
        <v>1-99-49</v>
      </c>
      <c r="F4946" t="s">
        <v>65</v>
      </c>
      <c r="G4946" t="s">
        <v>66</v>
      </c>
      <c r="H4946" t="s">
        <v>67</v>
      </c>
      <c r="S4946">
        <v>1</v>
      </c>
      <c r="T4946">
        <v>0</v>
      </c>
      <c r="U4946">
        <v>0</v>
      </c>
      <c r="V4946">
        <v>0</v>
      </c>
      <c r="W4946">
        <v>1</v>
      </c>
      <c r="X4946">
        <v>0</v>
      </c>
      <c r="Y4946">
        <v>1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1</v>
      </c>
      <c r="AF4946">
        <v>1</v>
      </c>
      <c r="AG4946">
        <v>1</v>
      </c>
      <c r="AH4946">
        <v>1</v>
      </c>
      <c r="AI4946">
        <v>1</v>
      </c>
      <c r="AJ4946">
        <v>1</v>
      </c>
      <c r="AK4946">
        <v>1</v>
      </c>
      <c r="AL4946">
        <v>1</v>
      </c>
      <c r="AM4946">
        <v>1</v>
      </c>
    </row>
    <row r="4947" spans="1:39" x14ac:dyDescent="0.2">
      <c r="A4947" t="str">
        <f>"4943"</f>
        <v>4943</v>
      </c>
      <c r="B4947" t="str">
        <f t="shared" si="274"/>
        <v>1</v>
      </c>
      <c r="C4947" t="str">
        <f t="shared" si="275"/>
        <v>99</v>
      </c>
      <c r="D4947" t="str">
        <f>"28"</f>
        <v>28</v>
      </c>
      <c r="E4947" t="str">
        <f>"1-99-28"</f>
        <v>1-99-28</v>
      </c>
      <c r="F4947" t="s">
        <v>65</v>
      </c>
      <c r="G4947" t="s">
        <v>66</v>
      </c>
      <c r="H4947" t="s">
        <v>67</v>
      </c>
      <c r="S4947">
        <v>0</v>
      </c>
      <c r="T4947">
        <v>1</v>
      </c>
      <c r="U4947">
        <v>0</v>
      </c>
      <c r="V4947">
        <v>0</v>
      </c>
      <c r="W4947">
        <v>0</v>
      </c>
      <c r="X4947">
        <v>1</v>
      </c>
      <c r="Y4947">
        <v>0</v>
      </c>
      <c r="Z4947">
        <v>1</v>
      </c>
      <c r="AA4947">
        <v>0</v>
      </c>
      <c r="AB4947">
        <v>1</v>
      </c>
      <c r="AC4947">
        <v>0</v>
      </c>
      <c r="AD4947">
        <v>1</v>
      </c>
      <c r="AE4947">
        <v>1</v>
      </c>
      <c r="AF4947">
        <v>1</v>
      </c>
      <c r="AG4947">
        <v>1</v>
      </c>
      <c r="AH4947">
        <v>1</v>
      </c>
      <c r="AI4947">
        <v>1</v>
      </c>
      <c r="AJ4947">
        <v>1</v>
      </c>
      <c r="AK4947">
        <v>1</v>
      </c>
      <c r="AL4947">
        <v>1</v>
      </c>
      <c r="AM4947">
        <v>1</v>
      </c>
    </row>
    <row r="4948" spans="1:39" x14ac:dyDescent="0.2">
      <c r="A4948" t="str">
        <f>"4944"</f>
        <v>4944</v>
      </c>
      <c r="B4948" t="str">
        <f t="shared" si="274"/>
        <v>1</v>
      </c>
      <c r="C4948" t="str">
        <f t="shared" si="275"/>
        <v>99</v>
      </c>
      <c r="D4948" t="str">
        <f>"3"</f>
        <v>3</v>
      </c>
      <c r="E4948" t="str">
        <f>"1-99-3"</f>
        <v>1-99-3</v>
      </c>
      <c r="F4948" t="s">
        <v>65</v>
      </c>
      <c r="G4948" t="s">
        <v>66</v>
      </c>
      <c r="H4948" t="s">
        <v>67</v>
      </c>
      <c r="S4948">
        <v>1</v>
      </c>
      <c r="T4948">
        <v>0</v>
      </c>
      <c r="U4948">
        <v>0</v>
      </c>
      <c r="V4948">
        <v>0</v>
      </c>
      <c r="W4948">
        <v>1</v>
      </c>
      <c r="X4948">
        <v>0</v>
      </c>
      <c r="Y4948">
        <v>1</v>
      </c>
      <c r="Z4948">
        <v>0</v>
      </c>
      <c r="AA4948">
        <v>1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1</v>
      </c>
      <c r="AI4948">
        <v>1</v>
      </c>
      <c r="AJ4948">
        <v>0</v>
      </c>
      <c r="AK4948">
        <v>0</v>
      </c>
      <c r="AL4948">
        <v>1</v>
      </c>
      <c r="AM4948">
        <v>1</v>
      </c>
    </row>
    <row r="4949" spans="1:39" x14ac:dyDescent="0.2">
      <c r="A4949" t="str">
        <f>"4945"</f>
        <v>4945</v>
      </c>
      <c r="B4949" t="str">
        <f t="shared" si="274"/>
        <v>1</v>
      </c>
      <c r="C4949" t="str">
        <f t="shared" si="275"/>
        <v>99</v>
      </c>
      <c r="D4949" t="str">
        <f>"29"</f>
        <v>29</v>
      </c>
      <c r="E4949" t="str">
        <f>"1-99-29"</f>
        <v>1-99-29</v>
      </c>
      <c r="F4949" t="s">
        <v>65</v>
      </c>
      <c r="G4949" t="s">
        <v>66</v>
      </c>
      <c r="H4949" t="s">
        <v>67</v>
      </c>
      <c r="S4949">
        <v>0</v>
      </c>
      <c r="T4949">
        <v>0</v>
      </c>
      <c r="U4949">
        <v>0</v>
      </c>
      <c r="V4949">
        <v>0</v>
      </c>
      <c r="W4949">
        <v>1</v>
      </c>
      <c r="X4949">
        <v>0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1</v>
      </c>
      <c r="AH4949">
        <v>1</v>
      </c>
      <c r="AI4949">
        <v>1</v>
      </c>
      <c r="AJ4949">
        <v>0</v>
      </c>
      <c r="AK4949">
        <v>0</v>
      </c>
      <c r="AL4949">
        <v>1</v>
      </c>
      <c r="AM4949">
        <v>0</v>
      </c>
    </row>
    <row r="4950" spans="1:39" x14ac:dyDescent="0.2">
      <c r="A4950" t="str">
        <f>"4946"</f>
        <v>4946</v>
      </c>
      <c r="B4950" t="str">
        <f t="shared" si="274"/>
        <v>1</v>
      </c>
      <c r="C4950" t="str">
        <f t="shared" si="275"/>
        <v>99</v>
      </c>
      <c r="D4950" t="str">
        <f>"9"</f>
        <v>9</v>
      </c>
      <c r="E4950" t="str">
        <f>"1-99-9"</f>
        <v>1-99-9</v>
      </c>
      <c r="F4950" t="s">
        <v>65</v>
      </c>
      <c r="G4950" t="s">
        <v>66</v>
      </c>
      <c r="H4950" t="s">
        <v>67</v>
      </c>
      <c r="S4950">
        <v>1</v>
      </c>
      <c r="T4950">
        <v>0</v>
      </c>
      <c r="U4950">
        <v>0</v>
      </c>
      <c r="V4950">
        <v>0</v>
      </c>
      <c r="W4950">
        <v>1</v>
      </c>
      <c r="X4950">
        <v>0</v>
      </c>
      <c r="Y4950">
        <v>1</v>
      </c>
      <c r="Z4950">
        <v>0</v>
      </c>
      <c r="AA4950">
        <v>0</v>
      </c>
      <c r="AB4950">
        <v>0</v>
      </c>
      <c r="AC4950">
        <v>1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</row>
    <row r="4951" spans="1:39" x14ac:dyDescent="0.2">
      <c r="A4951" t="str">
        <f>"4947"</f>
        <v>4947</v>
      </c>
      <c r="B4951" t="str">
        <f t="shared" si="274"/>
        <v>1</v>
      </c>
      <c r="C4951" t="str">
        <f t="shared" si="275"/>
        <v>99</v>
      </c>
      <c r="D4951" t="str">
        <f>"45"</f>
        <v>45</v>
      </c>
      <c r="E4951" t="str">
        <f>"1-99-45"</f>
        <v>1-99-45</v>
      </c>
      <c r="F4951" t="s">
        <v>65</v>
      </c>
      <c r="G4951" t="s">
        <v>66</v>
      </c>
      <c r="H4951" t="s">
        <v>67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</row>
    <row r="4952" spans="1:39" x14ac:dyDescent="0.2">
      <c r="A4952" t="str">
        <f>"4948"</f>
        <v>4948</v>
      </c>
      <c r="B4952" t="str">
        <f t="shared" si="274"/>
        <v>1</v>
      </c>
      <c r="C4952" t="str">
        <f t="shared" si="275"/>
        <v>99</v>
      </c>
      <c r="D4952" t="str">
        <f>"30"</f>
        <v>30</v>
      </c>
      <c r="E4952" t="str">
        <f>"1-99-30"</f>
        <v>1-99-30</v>
      </c>
      <c r="F4952" t="s">
        <v>65</v>
      </c>
      <c r="G4952" t="s">
        <v>66</v>
      </c>
      <c r="H4952" t="s">
        <v>67</v>
      </c>
      <c r="S4952">
        <v>1</v>
      </c>
      <c r="T4952">
        <v>0</v>
      </c>
      <c r="U4952">
        <v>0</v>
      </c>
      <c r="V4952">
        <v>0</v>
      </c>
      <c r="W4952">
        <v>1</v>
      </c>
      <c r="X4952">
        <v>0</v>
      </c>
      <c r="Y4952">
        <v>1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1</v>
      </c>
      <c r="AF4952">
        <v>1</v>
      </c>
      <c r="AG4952">
        <v>1</v>
      </c>
      <c r="AH4952">
        <v>1</v>
      </c>
      <c r="AI4952">
        <v>1</v>
      </c>
      <c r="AJ4952">
        <v>1</v>
      </c>
      <c r="AK4952">
        <v>1</v>
      </c>
      <c r="AL4952">
        <v>1</v>
      </c>
      <c r="AM4952">
        <v>1</v>
      </c>
    </row>
    <row r="4953" spans="1:39" x14ac:dyDescent="0.2">
      <c r="A4953" t="str">
        <f>"4949"</f>
        <v>4949</v>
      </c>
      <c r="B4953" t="str">
        <f t="shared" si="274"/>
        <v>1</v>
      </c>
      <c r="C4953" t="str">
        <f t="shared" si="275"/>
        <v>99</v>
      </c>
      <c r="D4953" t="str">
        <f>"2"</f>
        <v>2</v>
      </c>
      <c r="E4953" t="str">
        <f>"1-99-2"</f>
        <v>1-99-2</v>
      </c>
      <c r="F4953" t="s">
        <v>65</v>
      </c>
      <c r="G4953" t="s">
        <v>66</v>
      </c>
      <c r="H4953" t="s">
        <v>67</v>
      </c>
      <c r="S4953">
        <v>1</v>
      </c>
      <c r="T4953">
        <v>0</v>
      </c>
      <c r="U4953">
        <v>0</v>
      </c>
      <c r="V4953">
        <v>0</v>
      </c>
      <c r="W4953">
        <v>1</v>
      </c>
      <c r="X4953">
        <v>0</v>
      </c>
      <c r="Y4953">
        <v>1</v>
      </c>
      <c r="Z4953">
        <v>0</v>
      </c>
      <c r="AA4953">
        <v>0</v>
      </c>
      <c r="AB4953">
        <v>1</v>
      </c>
      <c r="AC4953">
        <v>0</v>
      </c>
      <c r="AD4953">
        <v>1</v>
      </c>
      <c r="AE4953">
        <v>1</v>
      </c>
      <c r="AF4953">
        <v>1</v>
      </c>
      <c r="AG4953">
        <v>1</v>
      </c>
      <c r="AH4953">
        <v>1</v>
      </c>
      <c r="AI4953">
        <v>1</v>
      </c>
      <c r="AJ4953">
        <v>1</v>
      </c>
      <c r="AK4953">
        <v>1</v>
      </c>
      <c r="AL4953">
        <v>1</v>
      </c>
      <c r="AM4953">
        <v>1</v>
      </c>
    </row>
    <row r="4954" spans="1:39" x14ac:dyDescent="0.2">
      <c r="A4954" t="str">
        <f>"4950"</f>
        <v>4950</v>
      </c>
      <c r="B4954" t="str">
        <f t="shared" si="274"/>
        <v>1</v>
      </c>
      <c r="C4954" t="str">
        <f t="shared" si="275"/>
        <v>99</v>
      </c>
      <c r="D4954" t="str">
        <f>"7"</f>
        <v>7</v>
      </c>
      <c r="E4954" t="str">
        <f>"1-99-7"</f>
        <v>1-99-7</v>
      </c>
      <c r="F4954" t="s">
        <v>65</v>
      </c>
      <c r="G4954" t="s">
        <v>66</v>
      </c>
      <c r="H4954" t="s">
        <v>67</v>
      </c>
      <c r="S4954">
        <v>0</v>
      </c>
      <c r="T4954">
        <v>1</v>
      </c>
      <c r="U4954">
        <v>0</v>
      </c>
      <c r="V4954">
        <v>0</v>
      </c>
      <c r="W4954">
        <v>1</v>
      </c>
      <c r="X4954">
        <v>0</v>
      </c>
      <c r="Y4954">
        <v>1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</row>
    <row r="4955" spans="1:39" x14ac:dyDescent="0.2">
      <c r="A4955" t="str">
        <f>"4951"</f>
        <v>4951</v>
      </c>
      <c r="B4955" t="str">
        <f t="shared" si="274"/>
        <v>1</v>
      </c>
      <c r="C4955" t="str">
        <f t="shared" ref="C4955:C4986" si="276">"100"</f>
        <v>100</v>
      </c>
      <c r="D4955" t="str">
        <f>"38"</f>
        <v>38</v>
      </c>
      <c r="E4955" t="str">
        <f>"1-100-38"</f>
        <v>1-100-38</v>
      </c>
      <c r="F4955" t="s">
        <v>65</v>
      </c>
      <c r="G4955" t="s">
        <v>66</v>
      </c>
      <c r="H4955" t="s">
        <v>67</v>
      </c>
      <c r="S4955">
        <v>1</v>
      </c>
      <c r="T4955">
        <v>0</v>
      </c>
      <c r="U4955">
        <v>0</v>
      </c>
      <c r="V4955">
        <v>0</v>
      </c>
      <c r="W4955">
        <v>1</v>
      </c>
      <c r="X4955">
        <v>0</v>
      </c>
      <c r="Y4955">
        <v>0</v>
      </c>
      <c r="Z4955">
        <v>1</v>
      </c>
      <c r="AA4955">
        <v>0</v>
      </c>
      <c r="AB4955">
        <v>0</v>
      </c>
      <c r="AC4955">
        <v>1</v>
      </c>
      <c r="AD4955">
        <v>1</v>
      </c>
      <c r="AE4955">
        <v>1</v>
      </c>
      <c r="AF4955">
        <v>1</v>
      </c>
      <c r="AG4955">
        <v>1</v>
      </c>
      <c r="AH4955">
        <v>1</v>
      </c>
      <c r="AI4955">
        <v>1</v>
      </c>
      <c r="AJ4955">
        <v>1</v>
      </c>
      <c r="AK4955">
        <v>1</v>
      </c>
      <c r="AL4955">
        <v>1</v>
      </c>
      <c r="AM4955">
        <v>1</v>
      </c>
    </row>
    <row r="4956" spans="1:39" x14ac:dyDescent="0.2">
      <c r="A4956" t="str">
        <f>"4952"</f>
        <v>4952</v>
      </c>
      <c r="B4956" t="str">
        <f t="shared" si="274"/>
        <v>1</v>
      </c>
      <c r="C4956" t="str">
        <f t="shared" si="276"/>
        <v>100</v>
      </c>
      <c r="D4956" t="str">
        <f>"37"</f>
        <v>37</v>
      </c>
      <c r="E4956" t="str">
        <f>"1-100-37"</f>
        <v>1-100-37</v>
      </c>
      <c r="F4956" t="s">
        <v>65</v>
      </c>
      <c r="G4956" t="s">
        <v>66</v>
      </c>
      <c r="H4956" t="s">
        <v>67</v>
      </c>
      <c r="S4956">
        <v>1</v>
      </c>
      <c r="T4956">
        <v>0</v>
      </c>
      <c r="U4956">
        <v>0</v>
      </c>
      <c r="V4956">
        <v>0</v>
      </c>
      <c r="W4956">
        <v>1</v>
      </c>
      <c r="X4956">
        <v>0</v>
      </c>
      <c r="Y4956">
        <v>1</v>
      </c>
      <c r="Z4956">
        <v>0</v>
      </c>
      <c r="AA4956">
        <v>0</v>
      </c>
      <c r="AB4956">
        <v>1</v>
      </c>
      <c r="AC4956">
        <v>0</v>
      </c>
      <c r="AD4956">
        <v>1</v>
      </c>
      <c r="AE4956">
        <v>1</v>
      </c>
      <c r="AF4956">
        <v>1</v>
      </c>
      <c r="AG4956">
        <v>1</v>
      </c>
      <c r="AH4956">
        <v>1</v>
      </c>
      <c r="AI4956">
        <v>1</v>
      </c>
      <c r="AJ4956">
        <v>1</v>
      </c>
      <c r="AK4956">
        <v>1</v>
      </c>
      <c r="AL4956">
        <v>1</v>
      </c>
      <c r="AM4956">
        <v>1</v>
      </c>
    </row>
    <row r="4957" spans="1:39" x14ac:dyDescent="0.2">
      <c r="A4957" t="str">
        <f>"4953"</f>
        <v>4953</v>
      </c>
      <c r="B4957" t="str">
        <f t="shared" si="274"/>
        <v>1</v>
      </c>
      <c r="C4957" t="str">
        <f t="shared" si="276"/>
        <v>100</v>
      </c>
      <c r="D4957" t="str">
        <f>"25"</f>
        <v>25</v>
      </c>
      <c r="E4957" t="str">
        <f>"1-100-25"</f>
        <v>1-100-25</v>
      </c>
      <c r="F4957" t="s">
        <v>65</v>
      </c>
      <c r="G4957" t="s">
        <v>66</v>
      </c>
      <c r="H4957" t="s">
        <v>67</v>
      </c>
      <c r="S4957">
        <v>1</v>
      </c>
      <c r="T4957">
        <v>0</v>
      </c>
      <c r="U4957">
        <v>0</v>
      </c>
      <c r="V4957">
        <v>0</v>
      </c>
      <c r="W4957">
        <v>1</v>
      </c>
      <c r="X4957">
        <v>0</v>
      </c>
      <c r="Y4957">
        <v>1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1</v>
      </c>
      <c r="AF4957">
        <v>1</v>
      </c>
      <c r="AG4957">
        <v>1</v>
      </c>
      <c r="AH4957">
        <v>1</v>
      </c>
      <c r="AI4957">
        <v>1</v>
      </c>
      <c r="AJ4957">
        <v>1</v>
      </c>
      <c r="AK4957">
        <v>1</v>
      </c>
      <c r="AL4957">
        <v>1</v>
      </c>
      <c r="AM4957">
        <v>1</v>
      </c>
    </row>
    <row r="4958" spans="1:39" x14ac:dyDescent="0.2">
      <c r="A4958" t="str">
        <f>"4954"</f>
        <v>4954</v>
      </c>
      <c r="B4958" t="str">
        <f t="shared" si="274"/>
        <v>1</v>
      </c>
      <c r="C4958" t="str">
        <f t="shared" si="276"/>
        <v>100</v>
      </c>
      <c r="D4958" t="str">
        <f>"15"</f>
        <v>15</v>
      </c>
      <c r="E4958" t="str">
        <f>"1-100-15"</f>
        <v>1-100-15</v>
      </c>
      <c r="F4958" t="s">
        <v>65</v>
      </c>
      <c r="G4958" t="s">
        <v>66</v>
      </c>
      <c r="H4958" t="s">
        <v>67</v>
      </c>
      <c r="S4958">
        <v>0</v>
      </c>
      <c r="T4958">
        <v>1</v>
      </c>
      <c r="U4958">
        <v>0</v>
      </c>
      <c r="V4958">
        <v>0</v>
      </c>
      <c r="W4958">
        <v>1</v>
      </c>
      <c r="X4958">
        <v>0</v>
      </c>
      <c r="Y4958">
        <v>1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1</v>
      </c>
      <c r="AF4958">
        <v>1</v>
      </c>
      <c r="AG4958">
        <v>1</v>
      </c>
      <c r="AH4958">
        <v>1</v>
      </c>
      <c r="AI4958">
        <v>1</v>
      </c>
      <c r="AJ4958">
        <v>1</v>
      </c>
      <c r="AK4958">
        <v>1</v>
      </c>
      <c r="AL4958">
        <v>1</v>
      </c>
      <c r="AM4958">
        <v>1</v>
      </c>
    </row>
    <row r="4959" spans="1:39" x14ac:dyDescent="0.2">
      <c r="A4959" t="str">
        <f>"4955"</f>
        <v>4955</v>
      </c>
      <c r="B4959" t="str">
        <f t="shared" si="274"/>
        <v>1</v>
      </c>
      <c r="C4959" t="str">
        <f t="shared" si="276"/>
        <v>100</v>
      </c>
      <c r="D4959" t="str">
        <f>"5"</f>
        <v>5</v>
      </c>
      <c r="E4959" t="str">
        <f>"1-100-5"</f>
        <v>1-100-5</v>
      </c>
      <c r="F4959" t="s">
        <v>65</v>
      </c>
      <c r="G4959" t="s">
        <v>66</v>
      </c>
      <c r="H4959" t="s">
        <v>67</v>
      </c>
      <c r="S4959">
        <v>1</v>
      </c>
      <c r="T4959">
        <v>0</v>
      </c>
      <c r="U4959">
        <v>0</v>
      </c>
      <c r="V4959">
        <v>0</v>
      </c>
      <c r="W4959">
        <v>1</v>
      </c>
      <c r="X4959">
        <v>0</v>
      </c>
      <c r="Y4959">
        <v>0</v>
      </c>
      <c r="Z4959">
        <v>1</v>
      </c>
      <c r="AA4959">
        <v>0</v>
      </c>
      <c r="AB4959">
        <v>0</v>
      </c>
      <c r="AC4959">
        <v>1</v>
      </c>
      <c r="AD4959">
        <v>1</v>
      </c>
      <c r="AE4959">
        <v>1</v>
      </c>
      <c r="AF4959">
        <v>1</v>
      </c>
      <c r="AG4959">
        <v>1</v>
      </c>
      <c r="AH4959">
        <v>1</v>
      </c>
      <c r="AI4959">
        <v>1</v>
      </c>
      <c r="AJ4959">
        <v>1</v>
      </c>
      <c r="AK4959">
        <v>1</v>
      </c>
      <c r="AL4959">
        <v>1</v>
      </c>
      <c r="AM4959">
        <v>1</v>
      </c>
    </row>
    <row r="4960" spans="1:39" x14ac:dyDescent="0.2">
      <c r="A4960" t="str">
        <f>"4956"</f>
        <v>4956</v>
      </c>
      <c r="B4960" t="str">
        <f t="shared" si="274"/>
        <v>1</v>
      </c>
      <c r="C4960" t="str">
        <f t="shared" si="276"/>
        <v>100</v>
      </c>
      <c r="D4960" t="str">
        <f>"36"</f>
        <v>36</v>
      </c>
      <c r="E4960" t="str">
        <f>"1-100-36"</f>
        <v>1-100-36</v>
      </c>
      <c r="F4960" t="s">
        <v>65</v>
      </c>
      <c r="G4960" t="s">
        <v>66</v>
      </c>
      <c r="H4960" t="s">
        <v>67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1</v>
      </c>
      <c r="Y4960">
        <v>1</v>
      </c>
      <c r="Z4960">
        <v>0</v>
      </c>
      <c r="AA4960">
        <v>0</v>
      </c>
      <c r="AB4960">
        <v>0</v>
      </c>
      <c r="AC4960">
        <v>1</v>
      </c>
      <c r="AD4960">
        <v>1</v>
      </c>
      <c r="AE4960">
        <v>1</v>
      </c>
      <c r="AF4960">
        <v>1</v>
      </c>
      <c r="AG4960">
        <v>1</v>
      </c>
      <c r="AH4960">
        <v>1</v>
      </c>
      <c r="AI4960">
        <v>1</v>
      </c>
      <c r="AJ4960">
        <v>1</v>
      </c>
      <c r="AK4960">
        <v>0</v>
      </c>
      <c r="AL4960">
        <v>1</v>
      </c>
      <c r="AM4960">
        <v>1</v>
      </c>
    </row>
    <row r="4961" spans="1:39" x14ac:dyDescent="0.2">
      <c r="A4961" t="str">
        <f>"4957"</f>
        <v>4957</v>
      </c>
      <c r="B4961" t="str">
        <f t="shared" si="274"/>
        <v>1</v>
      </c>
      <c r="C4961" t="str">
        <f t="shared" si="276"/>
        <v>100</v>
      </c>
      <c r="D4961" t="str">
        <f>"35"</f>
        <v>35</v>
      </c>
      <c r="E4961" t="str">
        <f>"1-100-35"</f>
        <v>1-100-35</v>
      </c>
      <c r="F4961" t="s">
        <v>65</v>
      </c>
      <c r="G4961" t="s">
        <v>66</v>
      </c>
      <c r="H4961" t="s">
        <v>67</v>
      </c>
      <c r="S4961">
        <v>1</v>
      </c>
      <c r="T4961">
        <v>0</v>
      </c>
      <c r="U4961">
        <v>0</v>
      </c>
      <c r="V4961">
        <v>0</v>
      </c>
      <c r="W4961">
        <v>1</v>
      </c>
      <c r="X4961">
        <v>0</v>
      </c>
      <c r="Y4961">
        <v>0</v>
      </c>
      <c r="Z4961">
        <v>1</v>
      </c>
      <c r="AA4961">
        <v>0</v>
      </c>
      <c r="AB4961">
        <v>0</v>
      </c>
      <c r="AC4961">
        <v>1</v>
      </c>
      <c r="AD4961">
        <v>1</v>
      </c>
      <c r="AE4961">
        <v>1</v>
      </c>
      <c r="AF4961">
        <v>1</v>
      </c>
      <c r="AG4961">
        <v>1</v>
      </c>
      <c r="AH4961">
        <v>1</v>
      </c>
      <c r="AI4961">
        <v>1</v>
      </c>
      <c r="AJ4961">
        <v>1</v>
      </c>
      <c r="AK4961">
        <v>1</v>
      </c>
      <c r="AL4961">
        <v>1</v>
      </c>
      <c r="AM4961">
        <v>1</v>
      </c>
    </row>
    <row r="4962" spans="1:39" x14ac:dyDescent="0.2">
      <c r="A4962" t="str">
        <f>"4958"</f>
        <v>4958</v>
      </c>
      <c r="B4962" t="str">
        <f t="shared" si="274"/>
        <v>1</v>
      </c>
      <c r="C4962" t="str">
        <f t="shared" si="276"/>
        <v>100</v>
      </c>
      <c r="D4962" t="str">
        <f>"23"</f>
        <v>23</v>
      </c>
      <c r="E4962" t="str">
        <f>"1-100-23"</f>
        <v>1-100-23</v>
      </c>
      <c r="F4962" t="s">
        <v>65</v>
      </c>
      <c r="G4962" t="s">
        <v>66</v>
      </c>
      <c r="H4962" t="s">
        <v>67</v>
      </c>
      <c r="S4962">
        <v>1</v>
      </c>
      <c r="T4962">
        <v>0</v>
      </c>
      <c r="U4962">
        <v>0</v>
      </c>
      <c r="V4962">
        <v>0</v>
      </c>
      <c r="W4962">
        <v>1</v>
      </c>
      <c r="X4962">
        <v>0</v>
      </c>
      <c r="Y4962">
        <v>0</v>
      </c>
      <c r="Z4962">
        <v>1</v>
      </c>
      <c r="AA4962">
        <v>1</v>
      </c>
      <c r="AB4962">
        <v>0</v>
      </c>
      <c r="AC4962">
        <v>0</v>
      </c>
      <c r="AD4962">
        <v>1</v>
      </c>
      <c r="AE4962">
        <v>1</v>
      </c>
      <c r="AF4962">
        <v>1</v>
      </c>
      <c r="AG4962">
        <v>1</v>
      </c>
      <c r="AH4962">
        <v>1</v>
      </c>
      <c r="AI4962">
        <v>1</v>
      </c>
      <c r="AJ4962">
        <v>1</v>
      </c>
      <c r="AK4962">
        <v>1</v>
      </c>
      <c r="AL4962">
        <v>1</v>
      </c>
      <c r="AM4962">
        <v>1</v>
      </c>
    </row>
    <row r="4963" spans="1:39" x14ac:dyDescent="0.2">
      <c r="A4963" t="str">
        <f>"4959"</f>
        <v>4959</v>
      </c>
      <c r="B4963" t="str">
        <f t="shared" si="274"/>
        <v>1</v>
      </c>
      <c r="C4963" t="str">
        <f t="shared" si="276"/>
        <v>100</v>
      </c>
      <c r="D4963" t="str">
        <f>"16"</f>
        <v>16</v>
      </c>
      <c r="E4963" t="str">
        <f>"1-100-16"</f>
        <v>1-100-16</v>
      </c>
      <c r="F4963" t="s">
        <v>65</v>
      </c>
      <c r="G4963" t="s">
        <v>66</v>
      </c>
      <c r="H4963" t="s">
        <v>67</v>
      </c>
      <c r="S4963">
        <v>1</v>
      </c>
      <c r="T4963">
        <v>0</v>
      </c>
      <c r="U4963">
        <v>0</v>
      </c>
      <c r="V4963">
        <v>0</v>
      </c>
      <c r="W4963">
        <v>1</v>
      </c>
      <c r="X4963">
        <v>0</v>
      </c>
      <c r="Y4963">
        <v>1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1</v>
      </c>
      <c r="AF4963">
        <v>1</v>
      </c>
      <c r="AG4963">
        <v>1</v>
      </c>
      <c r="AH4963">
        <v>1</v>
      </c>
      <c r="AI4963">
        <v>1</v>
      </c>
      <c r="AJ4963">
        <v>1</v>
      </c>
      <c r="AK4963">
        <v>1</v>
      </c>
      <c r="AL4963">
        <v>1</v>
      </c>
      <c r="AM4963">
        <v>1</v>
      </c>
    </row>
    <row r="4964" spans="1:39" x14ac:dyDescent="0.2">
      <c r="A4964" t="str">
        <f>"4960"</f>
        <v>4960</v>
      </c>
      <c r="B4964" t="str">
        <f t="shared" si="274"/>
        <v>1</v>
      </c>
      <c r="C4964" t="str">
        <f t="shared" si="276"/>
        <v>100</v>
      </c>
      <c r="D4964" t="str">
        <f>"6"</f>
        <v>6</v>
      </c>
      <c r="E4964" t="str">
        <f>"1-100-6"</f>
        <v>1-100-6</v>
      </c>
      <c r="F4964" t="s">
        <v>65</v>
      </c>
      <c r="G4964" t="s">
        <v>66</v>
      </c>
      <c r="H4964" t="s">
        <v>67</v>
      </c>
      <c r="S4964">
        <v>1</v>
      </c>
      <c r="T4964">
        <v>0</v>
      </c>
      <c r="U4964">
        <v>0</v>
      </c>
      <c r="V4964">
        <v>0</v>
      </c>
      <c r="W4964">
        <v>1</v>
      </c>
      <c r="X4964">
        <v>0</v>
      </c>
      <c r="Y4964">
        <v>1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1</v>
      </c>
      <c r="AF4964">
        <v>1</v>
      </c>
      <c r="AG4964">
        <v>1</v>
      </c>
      <c r="AH4964">
        <v>1</v>
      </c>
      <c r="AI4964">
        <v>1</v>
      </c>
      <c r="AJ4964">
        <v>1</v>
      </c>
      <c r="AK4964">
        <v>1</v>
      </c>
      <c r="AL4964">
        <v>1</v>
      </c>
      <c r="AM4964">
        <v>1</v>
      </c>
    </row>
    <row r="4965" spans="1:39" x14ac:dyDescent="0.2">
      <c r="A4965" t="str">
        <f>"4961"</f>
        <v>4961</v>
      </c>
      <c r="B4965" t="str">
        <f t="shared" si="274"/>
        <v>1</v>
      </c>
      <c r="C4965" t="str">
        <f t="shared" si="276"/>
        <v>100</v>
      </c>
      <c r="D4965" t="str">
        <f>"47"</f>
        <v>47</v>
      </c>
      <c r="E4965" t="str">
        <f>"1-100-47"</f>
        <v>1-100-47</v>
      </c>
      <c r="F4965" t="s">
        <v>65</v>
      </c>
      <c r="G4965" t="s">
        <v>66</v>
      </c>
      <c r="H4965" t="s">
        <v>67</v>
      </c>
      <c r="S4965">
        <v>1</v>
      </c>
      <c r="T4965">
        <v>0</v>
      </c>
      <c r="U4965">
        <v>0</v>
      </c>
      <c r="V4965">
        <v>0</v>
      </c>
      <c r="W4965">
        <v>1</v>
      </c>
      <c r="X4965">
        <v>0</v>
      </c>
      <c r="Y4965">
        <v>0</v>
      </c>
      <c r="Z4965">
        <v>1</v>
      </c>
      <c r="AA4965">
        <v>0</v>
      </c>
      <c r="AB4965">
        <v>0</v>
      </c>
      <c r="AC4965">
        <v>0</v>
      </c>
      <c r="AD4965">
        <v>1</v>
      </c>
      <c r="AE4965">
        <v>1</v>
      </c>
      <c r="AF4965">
        <v>1</v>
      </c>
      <c r="AG4965">
        <v>1</v>
      </c>
      <c r="AH4965">
        <v>1</v>
      </c>
      <c r="AI4965">
        <v>1</v>
      </c>
      <c r="AJ4965">
        <v>1</v>
      </c>
      <c r="AK4965">
        <v>1</v>
      </c>
      <c r="AL4965">
        <v>1</v>
      </c>
      <c r="AM4965">
        <v>1</v>
      </c>
    </row>
    <row r="4966" spans="1:39" x14ac:dyDescent="0.2">
      <c r="A4966" t="str">
        <f>"4962"</f>
        <v>4962</v>
      </c>
      <c r="B4966" t="str">
        <f t="shared" si="274"/>
        <v>1</v>
      </c>
      <c r="C4966" t="str">
        <f t="shared" si="276"/>
        <v>100</v>
      </c>
      <c r="D4966" t="str">
        <f>"46"</f>
        <v>46</v>
      </c>
      <c r="E4966" t="str">
        <f>"1-100-46"</f>
        <v>1-100-46</v>
      </c>
      <c r="F4966" t="s">
        <v>65</v>
      </c>
      <c r="G4966" t="s">
        <v>66</v>
      </c>
      <c r="H4966" t="s">
        <v>67</v>
      </c>
      <c r="S4966">
        <v>0</v>
      </c>
      <c r="T4966">
        <v>1</v>
      </c>
      <c r="U4966">
        <v>0</v>
      </c>
      <c r="V4966">
        <v>0</v>
      </c>
      <c r="W4966">
        <v>1</v>
      </c>
      <c r="X4966">
        <v>0</v>
      </c>
      <c r="Y4966">
        <v>1</v>
      </c>
      <c r="Z4966">
        <v>0</v>
      </c>
      <c r="AA4966">
        <v>0</v>
      </c>
      <c r="AB4966">
        <v>1</v>
      </c>
      <c r="AC4966">
        <v>0</v>
      </c>
      <c r="AD4966">
        <v>1</v>
      </c>
      <c r="AE4966">
        <v>1</v>
      </c>
      <c r="AF4966">
        <v>1</v>
      </c>
      <c r="AG4966">
        <v>1</v>
      </c>
      <c r="AH4966">
        <v>1</v>
      </c>
      <c r="AI4966">
        <v>1</v>
      </c>
      <c r="AJ4966">
        <v>1</v>
      </c>
      <c r="AK4966">
        <v>1</v>
      </c>
      <c r="AL4966">
        <v>1</v>
      </c>
      <c r="AM4966">
        <v>1</v>
      </c>
    </row>
    <row r="4967" spans="1:39" x14ac:dyDescent="0.2">
      <c r="A4967" t="str">
        <f>"4963"</f>
        <v>4963</v>
      </c>
      <c r="B4967" t="str">
        <f t="shared" si="274"/>
        <v>1</v>
      </c>
      <c r="C4967" t="str">
        <f t="shared" si="276"/>
        <v>100</v>
      </c>
      <c r="D4967" t="str">
        <f>"31"</f>
        <v>31</v>
      </c>
      <c r="E4967" t="str">
        <f>"1-100-31"</f>
        <v>1-100-31</v>
      </c>
      <c r="F4967" t="s">
        <v>65</v>
      </c>
      <c r="G4967" t="s">
        <v>66</v>
      </c>
      <c r="H4967" t="s">
        <v>67</v>
      </c>
      <c r="S4967">
        <v>1</v>
      </c>
      <c r="T4967">
        <v>0</v>
      </c>
      <c r="U4967">
        <v>0</v>
      </c>
      <c r="V4967">
        <v>0</v>
      </c>
      <c r="W4967">
        <v>1</v>
      </c>
      <c r="X4967">
        <v>0</v>
      </c>
      <c r="Y4967">
        <v>1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1</v>
      </c>
      <c r="AF4967">
        <v>1</v>
      </c>
      <c r="AG4967">
        <v>1</v>
      </c>
      <c r="AH4967">
        <v>1</v>
      </c>
      <c r="AI4967">
        <v>1</v>
      </c>
      <c r="AJ4967">
        <v>1</v>
      </c>
      <c r="AK4967">
        <v>1</v>
      </c>
      <c r="AL4967">
        <v>1</v>
      </c>
      <c r="AM4967">
        <v>1</v>
      </c>
    </row>
    <row r="4968" spans="1:39" x14ac:dyDescent="0.2">
      <c r="A4968" t="str">
        <f>"4964"</f>
        <v>4964</v>
      </c>
      <c r="B4968" t="str">
        <f t="shared" si="274"/>
        <v>1</v>
      </c>
      <c r="C4968" t="str">
        <f t="shared" si="276"/>
        <v>100</v>
      </c>
      <c r="D4968" t="str">
        <f>"17"</f>
        <v>17</v>
      </c>
      <c r="E4968" t="str">
        <f>"1-100-17"</f>
        <v>1-100-17</v>
      </c>
      <c r="F4968" t="s">
        <v>65</v>
      </c>
      <c r="G4968" t="s">
        <v>66</v>
      </c>
      <c r="H4968" t="s">
        <v>67</v>
      </c>
      <c r="S4968">
        <v>1</v>
      </c>
      <c r="T4968">
        <v>0</v>
      </c>
      <c r="U4968">
        <v>0</v>
      </c>
      <c r="V4968">
        <v>0</v>
      </c>
      <c r="W4968">
        <v>1</v>
      </c>
      <c r="X4968">
        <v>0</v>
      </c>
      <c r="Y4968">
        <v>0</v>
      </c>
      <c r="Z4968">
        <v>1</v>
      </c>
      <c r="AA4968">
        <v>1</v>
      </c>
      <c r="AB4968">
        <v>0</v>
      </c>
      <c r="AC4968">
        <v>0</v>
      </c>
      <c r="AD4968">
        <v>1</v>
      </c>
      <c r="AE4968">
        <v>1</v>
      </c>
      <c r="AF4968">
        <v>1</v>
      </c>
      <c r="AG4968">
        <v>1</v>
      </c>
      <c r="AH4968">
        <v>1</v>
      </c>
      <c r="AI4968">
        <v>1</v>
      </c>
      <c r="AJ4968">
        <v>1</v>
      </c>
      <c r="AK4968">
        <v>1</v>
      </c>
      <c r="AL4968">
        <v>1</v>
      </c>
      <c r="AM4968">
        <v>1</v>
      </c>
    </row>
    <row r="4969" spans="1:39" x14ac:dyDescent="0.2">
      <c r="A4969" t="str">
        <f>"4965"</f>
        <v>4965</v>
      </c>
      <c r="B4969" t="str">
        <f t="shared" si="274"/>
        <v>1</v>
      </c>
      <c r="C4969" t="str">
        <f t="shared" si="276"/>
        <v>100</v>
      </c>
      <c r="D4969" t="str">
        <f>"1"</f>
        <v>1</v>
      </c>
      <c r="E4969" t="str">
        <f>"1-100-1"</f>
        <v>1-100-1</v>
      </c>
      <c r="F4969" t="s">
        <v>65</v>
      </c>
      <c r="G4969" t="s">
        <v>66</v>
      </c>
      <c r="H4969" t="s">
        <v>67</v>
      </c>
      <c r="S4969">
        <v>0</v>
      </c>
      <c r="T4969">
        <v>1</v>
      </c>
      <c r="U4969">
        <v>0</v>
      </c>
      <c r="V4969">
        <v>0</v>
      </c>
      <c r="W4969">
        <v>1</v>
      </c>
      <c r="X4969">
        <v>0</v>
      </c>
      <c r="Y4969">
        <v>1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1</v>
      </c>
      <c r="AF4969">
        <v>1</v>
      </c>
      <c r="AG4969">
        <v>1</v>
      </c>
      <c r="AH4969">
        <v>1</v>
      </c>
      <c r="AI4969">
        <v>1</v>
      </c>
      <c r="AJ4969">
        <v>1</v>
      </c>
      <c r="AK4969">
        <v>1</v>
      </c>
      <c r="AL4969">
        <v>1</v>
      </c>
      <c r="AM4969">
        <v>1</v>
      </c>
    </row>
    <row r="4970" spans="1:39" x14ac:dyDescent="0.2">
      <c r="A4970" t="str">
        <f>"4966"</f>
        <v>4966</v>
      </c>
      <c r="B4970" t="str">
        <f t="shared" si="274"/>
        <v>1</v>
      </c>
      <c r="C4970" t="str">
        <f t="shared" si="276"/>
        <v>100</v>
      </c>
      <c r="D4970" t="str">
        <f>"45"</f>
        <v>45</v>
      </c>
      <c r="E4970" t="str">
        <f>"1-100-45"</f>
        <v>1-100-45</v>
      </c>
      <c r="F4970" t="s">
        <v>65</v>
      </c>
      <c r="G4970" t="s">
        <v>66</v>
      </c>
      <c r="H4970" t="s">
        <v>67</v>
      </c>
      <c r="S4970">
        <v>1</v>
      </c>
      <c r="T4970">
        <v>0</v>
      </c>
      <c r="U4970">
        <v>0</v>
      </c>
      <c r="V4970">
        <v>0</v>
      </c>
      <c r="W4970">
        <v>1</v>
      </c>
      <c r="X4970">
        <v>0</v>
      </c>
      <c r="Y4970">
        <v>0</v>
      </c>
      <c r="Z4970">
        <v>1</v>
      </c>
      <c r="AA4970">
        <v>0</v>
      </c>
      <c r="AB4970">
        <v>1</v>
      </c>
      <c r="AC4970">
        <v>0</v>
      </c>
      <c r="AD4970">
        <v>1</v>
      </c>
      <c r="AE4970">
        <v>1</v>
      </c>
      <c r="AF4970">
        <v>1</v>
      </c>
      <c r="AG4970">
        <v>1</v>
      </c>
      <c r="AH4970">
        <v>1</v>
      </c>
      <c r="AI4970">
        <v>1</v>
      </c>
      <c r="AJ4970">
        <v>1</v>
      </c>
      <c r="AK4970">
        <v>1</v>
      </c>
      <c r="AL4970">
        <v>1</v>
      </c>
      <c r="AM4970">
        <v>1</v>
      </c>
    </row>
    <row r="4971" spans="1:39" x14ac:dyDescent="0.2">
      <c r="A4971" t="str">
        <f>"4967"</f>
        <v>4967</v>
      </c>
      <c r="B4971" t="str">
        <f t="shared" si="274"/>
        <v>1</v>
      </c>
      <c r="C4971" t="str">
        <f t="shared" si="276"/>
        <v>100</v>
      </c>
      <c r="D4971" t="str">
        <f>"44"</f>
        <v>44</v>
      </c>
      <c r="E4971" t="str">
        <f>"1-100-44"</f>
        <v>1-100-44</v>
      </c>
      <c r="F4971" t="s">
        <v>65</v>
      </c>
      <c r="G4971" t="s">
        <v>66</v>
      </c>
      <c r="H4971" t="s">
        <v>67</v>
      </c>
      <c r="S4971">
        <v>1</v>
      </c>
      <c r="T4971">
        <v>0</v>
      </c>
      <c r="U4971">
        <v>0</v>
      </c>
      <c r="V4971">
        <v>0</v>
      </c>
      <c r="W4971">
        <v>0</v>
      </c>
      <c r="X4971">
        <v>1</v>
      </c>
      <c r="Y4971">
        <v>1</v>
      </c>
      <c r="Z4971">
        <v>0</v>
      </c>
      <c r="AA4971">
        <v>0</v>
      </c>
      <c r="AB4971">
        <v>0</v>
      </c>
      <c r="AC4971">
        <v>1</v>
      </c>
      <c r="AD4971">
        <v>1</v>
      </c>
      <c r="AE4971">
        <v>1</v>
      </c>
      <c r="AF4971">
        <v>1</v>
      </c>
      <c r="AG4971">
        <v>1</v>
      </c>
      <c r="AH4971">
        <v>1</v>
      </c>
      <c r="AI4971">
        <v>1</v>
      </c>
      <c r="AJ4971">
        <v>1</v>
      </c>
      <c r="AK4971">
        <v>1</v>
      </c>
      <c r="AL4971">
        <v>1</v>
      </c>
      <c r="AM4971">
        <v>1</v>
      </c>
    </row>
    <row r="4972" spans="1:39" x14ac:dyDescent="0.2">
      <c r="A4972" t="str">
        <f>"4968"</f>
        <v>4968</v>
      </c>
      <c r="B4972" t="str">
        <f t="shared" si="274"/>
        <v>1</v>
      </c>
      <c r="C4972" t="str">
        <f t="shared" si="276"/>
        <v>100</v>
      </c>
      <c r="D4972" t="str">
        <f>"34"</f>
        <v>34</v>
      </c>
      <c r="E4972" t="str">
        <f>"1-100-34"</f>
        <v>1-100-34</v>
      </c>
      <c r="F4972" t="s">
        <v>65</v>
      </c>
      <c r="G4972" t="s">
        <v>66</v>
      </c>
      <c r="H4972" t="s">
        <v>67</v>
      </c>
      <c r="S4972">
        <v>0</v>
      </c>
      <c r="T4972">
        <v>1</v>
      </c>
      <c r="U4972">
        <v>0</v>
      </c>
      <c r="V4972">
        <v>0</v>
      </c>
      <c r="W4972">
        <v>1</v>
      </c>
      <c r="X4972">
        <v>0</v>
      </c>
      <c r="Y4972">
        <v>0</v>
      </c>
      <c r="Z4972">
        <v>1</v>
      </c>
      <c r="AA4972">
        <v>0</v>
      </c>
      <c r="AB4972">
        <v>1</v>
      </c>
      <c r="AC4972">
        <v>0</v>
      </c>
      <c r="AD4972">
        <v>1</v>
      </c>
      <c r="AE4972">
        <v>1</v>
      </c>
      <c r="AF4972">
        <v>1</v>
      </c>
      <c r="AG4972">
        <v>1</v>
      </c>
      <c r="AH4972">
        <v>1</v>
      </c>
      <c r="AI4972">
        <v>1</v>
      </c>
      <c r="AJ4972">
        <v>1</v>
      </c>
      <c r="AK4972">
        <v>1</v>
      </c>
      <c r="AL4972">
        <v>1</v>
      </c>
      <c r="AM4972">
        <v>1</v>
      </c>
    </row>
    <row r="4973" spans="1:39" x14ac:dyDescent="0.2">
      <c r="A4973" t="str">
        <f>"4969"</f>
        <v>4969</v>
      </c>
      <c r="B4973" t="str">
        <f t="shared" si="274"/>
        <v>1</v>
      </c>
      <c r="C4973" t="str">
        <f t="shared" si="276"/>
        <v>100</v>
      </c>
      <c r="D4973" t="str">
        <f>"18"</f>
        <v>18</v>
      </c>
      <c r="E4973" t="str">
        <f>"1-100-18"</f>
        <v>1-100-18</v>
      </c>
      <c r="F4973" t="s">
        <v>65</v>
      </c>
      <c r="G4973" t="s">
        <v>66</v>
      </c>
      <c r="H4973" t="s">
        <v>67</v>
      </c>
      <c r="S4973">
        <v>0</v>
      </c>
      <c r="T4973">
        <v>1</v>
      </c>
      <c r="U4973">
        <v>0</v>
      </c>
      <c r="V4973">
        <v>0</v>
      </c>
      <c r="W4973">
        <v>1</v>
      </c>
      <c r="X4973">
        <v>0</v>
      </c>
      <c r="Y4973">
        <v>0</v>
      </c>
      <c r="Z4973">
        <v>1</v>
      </c>
      <c r="AA4973">
        <v>0</v>
      </c>
      <c r="AB4973">
        <v>1</v>
      </c>
      <c r="AC4973">
        <v>0</v>
      </c>
      <c r="AD4973">
        <v>1</v>
      </c>
      <c r="AE4973">
        <v>1</v>
      </c>
      <c r="AF4973">
        <v>1</v>
      </c>
      <c r="AG4973">
        <v>1</v>
      </c>
      <c r="AH4973">
        <v>1</v>
      </c>
      <c r="AI4973">
        <v>1</v>
      </c>
      <c r="AJ4973">
        <v>1</v>
      </c>
      <c r="AK4973">
        <v>1</v>
      </c>
      <c r="AL4973">
        <v>1</v>
      </c>
      <c r="AM4973">
        <v>1</v>
      </c>
    </row>
    <row r="4974" spans="1:39" x14ac:dyDescent="0.2">
      <c r="A4974" t="str">
        <f>"4970"</f>
        <v>4970</v>
      </c>
      <c r="B4974" t="str">
        <f t="shared" si="274"/>
        <v>1</v>
      </c>
      <c r="C4974" t="str">
        <f t="shared" si="276"/>
        <v>100</v>
      </c>
      <c r="D4974" t="str">
        <f>"3"</f>
        <v>3</v>
      </c>
      <c r="E4974" t="str">
        <f>"1-100-3"</f>
        <v>1-100-3</v>
      </c>
      <c r="F4974" t="s">
        <v>65</v>
      </c>
      <c r="G4974" t="s">
        <v>66</v>
      </c>
      <c r="H4974" t="s">
        <v>67</v>
      </c>
      <c r="S4974">
        <v>1</v>
      </c>
      <c r="T4974">
        <v>0</v>
      </c>
      <c r="U4974">
        <v>0</v>
      </c>
      <c r="V4974">
        <v>0</v>
      </c>
      <c r="W4974">
        <v>1</v>
      </c>
      <c r="X4974">
        <v>0</v>
      </c>
      <c r="Y4974">
        <v>1</v>
      </c>
      <c r="Z4974">
        <v>0</v>
      </c>
      <c r="AA4974">
        <v>1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1</v>
      </c>
      <c r="AJ4974">
        <v>1</v>
      </c>
      <c r="AK4974">
        <v>1</v>
      </c>
      <c r="AL4974">
        <v>1</v>
      </c>
      <c r="AM4974">
        <v>1</v>
      </c>
    </row>
    <row r="4975" spans="1:39" x14ac:dyDescent="0.2">
      <c r="A4975" t="str">
        <f>"4971"</f>
        <v>4971</v>
      </c>
      <c r="B4975" t="str">
        <f t="shared" si="274"/>
        <v>1</v>
      </c>
      <c r="C4975" t="str">
        <f t="shared" si="276"/>
        <v>100</v>
      </c>
      <c r="D4975" t="str">
        <f>"43"</f>
        <v>43</v>
      </c>
      <c r="E4975" t="str">
        <f>"1-100-43"</f>
        <v>1-100-43</v>
      </c>
      <c r="F4975" t="s">
        <v>65</v>
      </c>
      <c r="G4975" t="s">
        <v>66</v>
      </c>
      <c r="H4975" t="s">
        <v>67</v>
      </c>
      <c r="S4975">
        <v>1</v>
      </c>
      <c r="T4975">
        <v>0</v>
      </c>
      <c r="U4975">
        <v>0</v>
      </c>
      <c r="V4975">
        <v>0</v>
      </c>
      <c r="W4975">
        <v>1</v>
      </c>
      <c r="X4975">
        <v>0</v>
      </c>
      <c r="Y4975">
        <v>1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1</v>
      </c>
      <c r="AF4975">
        <v>1</v>
      </c>
      <c r="AG4975">
        <v>1</v>
      </c>
      <c r="AH4975">
        <v>1</v>
      </c>
      <c r="AI4975">
        <v>1</v>
      </c>
      <c r="AJ4975">
        <v>1</v>
      </c>
      <c r="AK4975">
        <v>1</v>
      </c>
      <c r="AL4975">
        <v>1</v>
      </c>
      <c r="AM4975">
        <v>1</v>
      </c>
    </row>
    <row r="4976" spans="1:39" x14ac:dyDescent="0.2">
      <c r="A4976" t="str">
        <f>"4972"</f>
        <v>4972</v>
      </c>
      <c r="B4976" t="str">
        <f t="shared" si="274"/>
        <v>1</v>
      </c>
      <c r="C4976" t="str">
        <f t="shared" si="276"/>
        <v>100</v>
      </c>
      <c r="D4976" t="str">
        <f>"42"</f>
        <v>42</v>
      </c>
      <c r="E4976" t="str">
        <f>"1-100-42"</f>
        <v>1-100-42</v>
      </c>
      <c r="F4976" t="s">
        <v>65</v>
      </c>
      <c r="G4976" t="s">
        <v>66</v>
      </c>
      <c r="H4976" t="s">
        <v>67</v>
      </c>
      <c r="S4976">
        <v>0</v>
      </c>
      <c r="T4976">
        <v>1</v>
      </c>
      <c r="U4976">
        <v>0</v>
      </c>
      <c r="V4976">
        <v>0</v>
      </c>
      <c r="W4976">
        <v>1</v>
      </c>
      <c r="X4976">
        <v>0</v>
      </c>
      <c r="Y4976">
        <v>1</v>
      </c>
      <c r="Z4976">
        <v>0</v>
      </c>
      <c r="AA4976">
        <v>0</v>
      </c>
      <c r="AB4976">
        <v>1</v>
      </c>
      <c r="AC4976">
        <v>0</v>
      </c>
      <c r="AD4976">
        <v>1</v>
      </c>
      <c r="AE4976">
        <v>1</v>
      </c>
      <c r="AF4976">
        <v>1</v>
      </c>
      <c r="AG4976">
        <v>1</v>
      </c>
      <c r="AH4976">
        <v>1</v>
      </c>
      <c r="AI4976">
        <v>1</v>
      </c>
      <c r="AJ4976">
        <v>1</v>
      </c>
      <c r="AK4976">
        <v>1</v>
      </c>
      <c r="AL4976">
        <v>1</v>
      </c>
      <c r="AM4976">
        <v>1</v>
      </c>
    </row>
    <row r="4977" spans="1:39" x14ac:dyDescent="0.2">
      <c r="A4977" t="str">
        <f>"4973"</f>
        <v>4973</v>
      </c>
      <c r="B4977" t="str">
        <f t="shared" si="274"/>
        <v>1</v>
      </c>
      <c r="C4977" t="str">
        <f t="shared" si="276"/>
        <v>100</v>
      </c>
      <c r="D4977" t="str">
        <f>"32"</f>
        <v>32</v>
      </c>
      <c r="E4977" t="str">
        <f>"1-100-32"</f>
        <v>1-100-32</v>
      </c>
      <c r="F4977" t="s">
        <v>65</v>
      </c>
      <c r="G4977" t="s">
        <v>66</v>
      </c>
      <c r="H4977" t="s">
        <v>67</v>
      </c>
      <c r="S4977">
        <v>0</v>
      </c>
      <c r="T4977">
        <v>1</v>
      </c>
      <c r="U4977">
        <v>0</v>
      </c>
      <c r="V4977">
        <v>0</v>
      </c>
      <c r="W4977">
        <v>0</v>
      </c>
      <c r="X4977">
        <v>1</v>
      </c>
      <c r="Y4977">
        <v>0</v>
      </c>
      <c r="Z4977">
        <v>1</v>
      </c>
      <c r="AA4977">
        <v>0</v>
      </c>
      <c r="AB4977">
        <v>1</v>
      </c>
      <c r="AC4977">
        <v>0</v>
      </c>
      <c r="AD4977">
        <v>1</v>
      </c>
      <c r="AE4977">
        <v>1</v>
      </c>
      <c r="AF4977">
        <v>1</v>
      </c>
      <c r="AG4977">
        <v>1</v>
      </c>
      <c r="AH4977">
        <v>1</v>
      </c>
      <c r="AI4977">
        <v>1</v>
      </c>
      <c r="AJ4977">
        <v>1</v>
      </c>
      <c r="AK4977">
        <v>1</v>
      </c>
      <c r="AL4977">
        <v>1</v>
      </c>
      <c r="AM4977">
        <v>1</v>
      </c>
    </row>
    <row r="4978" spans="1:39" x14ac:dyDescent="0.2">
      <c r="A4978" t="str">
        <f>"4974"</f>
        <v>4974</v>
      </c>
      <c r="B4978" t="str">
        <f t="shared" si="274"/>
        <v>1</v>
      </c>
      <c r="C4978" t="str">
        <f t="shared" si="276"/>
        <v>100</v>
      </c>
      <c r="D4978" t="str">
        <f>"19"</f>
        <v>19</v>
      </c>
      <c r="E4978" t="str">
        <f>"1-100-19"</f>
        <v>1-100-19</v>
      </c>
      <c r="F4978" t="s">
        <v>65</v>
      </c>
      <c r="G4978" t="s">
        <v>66</v>
      </c>
      <c r="H4978" t="s">
        <v>67</v>
      </c>
      <c r="S4978">
        <v>1</v>
      </c>
      <c r="T4978">
        <v>0</v>
      </c>
      <c r="U4978">
        <v>0</v>
      </c>
      <c r="V4978">
        <v>0</v>
      </c>
      <c r="W4978">
        <v>1</v>
      </c>
      <c r="X4978">
        <v>0</v>
      </c>
      <c r="Y4978">
        <v>1</v>
      </c>
      <c r="Z4978">
        <v>0</v>
      </c>
      <c r="AA4978">
        <v>0</v>
      </c>
      <c r="AB4978">
        <v>0</v>
      </c>
      <c r="AC4978">
        <v>1</v>
      </c>
      <c r="AD4978">
        <v>1</v>
      </c>
      <c r="AE4978">
        <v>1</v>
      </c>
      <c r="AF4978">
        <v>1</v>
      </c>
      <c r="AG4978">
        <v>1</v>
      </c>
      <c r="AH4978">
        <v>1</v>
      </c>
      <c r="AI4978">
        <v>1</v>
      </c>
      <c r="AJ4978">
        <v>1</v>
      </c>
      <c r="AK4978">
        <v>1</v>
      </c>
      <c r="AL4978">
        <v>1</v>
      </c>
      <c r="AM4978">
        <v>1</v>
      </c>
    </row>
    <row r="4979" spans="1:39" x14ac:dyDescent="0.2">
      <c r="A4979" t="str">
        <f>"4975"</f>
        <v>4975</v>
      </c>
      <c r="B4979" t="str">
        <f t="shared" si="274"/>
        <v>1</v>
      </c>
      <c r="C4979" t="str">
        <f t="shared" si="276"/>
        <v>100</v>
      </c>
      <c r="D4979" t="str">
        <f>"13"</f>
        <v>13</v>
      </c>
      <c r="E4979" t="str">
        <f>"1-100-13"</f>
        <v>1-100-13</v>
      </c>
      <c r="F4979" t="s">
        <v>65</v>
      </c>
      <c r="G4979" t="s">
        <v>66</v>
      </c>
      <c r="H4979" t="s">
        <v>67</v>
      </c>
      <c r="S4979">
        <v>0</v>
      </c>
      <c r="T4979">
        <v>1</v>
      </c>
      <c r="U4979">
        <v>0</v>
      </c>
      <c r="V4979">
        <v>0</v>
      </c>
      <c r="W4979">
        <v>0</v>
      </c>
      <c r="X4979">
        <v>1</v>
      </c>
      <c r="Y4979">
        <v>0</v>
      </c>
      <c r="Z4979">
        <v>1</v>
      </c>
      <c r="AA4979">
        <v>0</v>
      </c>
      <c r="AB4979">
        <v>0</v>
      </c>
      <c r="AC4979">
        <v>1</v>
      </c>
      <c r="AD4979">
        <v>1</v>
      </c>
      <c r="AE4979">
        <v>1</v>
      </c>
      <c r="AF4979">
        <v>1</v>
      </c>
      <c r="AG4979">
        <v>1</v>
      </c>
      <c r="AH4979">
        <v>1</v>
      </c>
      <c r="AI4979">
        <v>1</v>
      </c>
      <c r="AJ4979">
        <v>1</v>
      </c>
      <c r="AK4979">
        <v>1</v>
      </c>
      <c r="AL4979">
        <v>1</v>
      </c>
      <c r="AM4979">
        <v>1</v>
      </c>
    </row>
    <row r="4980" spans="1:39" x14ac:dyDescent="0.2">
      <c r="A4980" t="str">
        <f>"4976"</f>
        <v>4976</v>
      </c>
      <c r="B4980" t="str">
        <f t="shared" si="274"/>
        <v>1</v>
      </c>
      <c r="C4980" t="str">
        <f t="shared" si="276"/>
        <v>100</v>
      </c>
      <c r="D4980" t="str">
        <f>"48"</f>
        <v>48</v>
      </c>
      <c r="E4980" t="str">
        <f>"1-100-48"</f>
        <v>1-100-48</v>
      </c>
      <c r="F4980" t="s">
        <v>65</v>
      </c>
      <c r="G4980" t="s">
        <v>66</v>
      </c>
      <c r="H4980" t="s">
        <v>67</v>
      </c>
      <c r="S4980">
        <v>1</v>
      </c>
      <c r="T4980">
        <v>0</v>
      </c>
      <c r="U4980">
        <v>0</v>
      </c>
      <c r="V4980">
        <v>0</v>
      </c>
      <c r="W4980">
        <v>0</v>
      </c>
      <c r="X4980">
        <v>1</v>
      </c>
      <c r="Y4980">
        <v>0</v>
      </c>
      <c r="Z4980">
        <v>1</v>
      </c>
      <c r="AA4980">
        <v>0</v>
      </c>
      <c r="AB4980">
        <v>0</v>
      </c>
      <c r="AC4980">
        <v>1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</row>
    <row r="4981" spans="1:39" x14ac:dyDescent="0.2">
      <c r="A4981" t="str">
        <f>"4977"</f>
        <v>4977</v>
      </c>
      <c r="B4981" t="str">
        <f t="shared" si="274"/>
        <v>1</v>
      </c>
      <c r="C4981" t="str">
        <f t="shared" si="276"/>
        <v>100</v>
      </c>
      <c r="D4981" t="str">
        <f>"33"</f>
        <v>33</v>
      </c>
      <c r="E4981" t="str">
        <f>"1-100-33"</f>
        <v>1-100-33</v>
      </c>
      <c r="F4981" t="s">
        <v>65</v>
      </c>
      <c r="G4981" t="s">
        <v>66</v>
      </c>
      <c r="H4981" t="s">
        <v>67</v>
      </c>
      <c r="S4981">
        <v>0</v>
      </c>
      <c r="T4981">
        <v>1</v>
      </c>
      <c r="U4981">
        <v>0</v>
      </c>
      <c r="V4981">
        <v>0</v>
      </c>
      <c r="W4981">
        <v>1</v>
      </c>
      <c r="X4981">
        <v>0</v>
      </c>
      <c r="Y4981">
        <v>0</v>
      </c>
      <c r="Z4981">
        <v>1</v>
      </c>
      <c r="AA4981">
        <v>0</v>
      </c>
      <c r="AB4981">
        <v>1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</row>
    <row r="4982" spans="1:39" x14ac:dyDescent="0.2">
      <c r="A4982" t="str">
        <f>"4978"</f>
        <v>4978</v>
      </c>
      <c r="B4982" t="str">
        <f t="shared" si="274"/>
        <v>1</v>
      </c>
      <c r="C4982" t="str">
        <f t="shared" si="276"/>
        <v>100</v>
      </c>
      <c r="D4982" t="str">
        <f>"20"</f>
        <v>20</v>
      </c>
      <c r="E4982" t="str">
        <f>"1-100-20"</f>
        <v>1-100-20</v>
      </c>
      <c r="F4982" t="s">
        <v>65</v>
      </c>
      <c r="G4982" t="s">
        <v>66</v>
      </c>
      <c r="H4982" t="s">
        <v>67</v>
      </c>
      <c r="S4982">
        <v>1</v>
      </c>
      <c r="T4982">
        <v>0</v>
      </c>
      <c r="U4982">
        <v>0</v>
      </c>
      <c r="V4982">
        <v>0</v>
      </c>
      <c r="W4982">
        <v>1</v>
      </c>
      <c r="X4982">
        <v>0</v>
      </c>
      <c r="Y4982">
        <v>0</v>
      </c>
      <c r="Z4982">
        <v>1</v>
      </c>
      <c r="AA4982">
        <v>1</v>
      </c>
      <c r="AB4982">
        <v>0</v>
      </c>
      <c r="AC4982">
        <v>0</v>
      </c>
      <c r="AD4982">
        <v>1</v>
      </c>
      <c r="AE4982">
        <v>1</v>
      </c>
      <c r="AF4982">
        <v>1</v>
      </c>
      <c r="AG4982">
        <v>1</v>
      </c>
      <c r="AH4982">
        <v>1</v>
      </c>
      <c r="AI4982">
        <v>1</v>
      </c>
      <c r="AJ4982">
        <v>1</v>
      </c>
      <c r="AK4982">
        <v>1</v>
      </c>
      <c r="AL4982">
        <v>1</v>
      </c>
      <c r="AM4982">
        <v>1</v>
      </c>
    </row>
    <row r="4983" spans="1:39" x14ac:dyDescent="0.2">
      <c r="A4983" t="str">
        <f>"4979"</f>
        <v>4979</v>
      </c>
      <c r="B4983" t="str">
        <f t="shared" ref="B4983:B5046" si="277">"1"</f>
        <v>1</v>
      </c>
      <c r="C4983" t="str">
        <f t="shared" si="276"/>
        <v>100</v>
      </c>
      <c r="D4983" t="str">
        <f>"11"</f>
        <v>11</v>
      </c>
      <c r="E4983" t="str">
        <f>"1-100-11"</f>
        <v>1-100-11</v>
      </c>
      <c r="F4983" t="s">
        <v>65</v>
      </c>
      <c r="G4983" t="s">
        <v>66</v>
      </c>
      <c r="H4983" t="s">
        <v>67</v>
      </c>
      <c r="S4983">
        <v>0</v>
      </c>
      <c r="T4983">
        <v>1</v>
      </c>
      <c r="U4983">
        <v>0</v>
      </c>
      <c r="V4983">
        <v>0</v>
      </c>
      <c r="W4983">
        <v>1</v>
      </c>
      <c r="X4983">
        <v>0</v>
      </c>
      <c r="Y4983">
        <v>0</v>
      </c>
      <c r="Z4983">
        <v>1</v>
      </c>
      <c r="AA4983">
        <v>0</v>
      </c>
      <c r="AB4983">
        <v>1</v>
      </c>
      <c r="AC4983">
        <v>0</v>
      </c>
      <c r="AD4983">
        <v>1</v>
      </c>
      <c r="AE4983">
        <v>1</v>
      </c>
      <c r="AF4983">
        <v>1</v>
      </c>
      <c r="AG4983">
        <v>1</v>
      </c>
      <c r="AH4983">
        <v>1</v>
      </c>
      <c r="AI4983">
        <v>1</v>
      </c>
      <c r="AJ4983">
        <v>1</v>
      </c>
      <c r="AK4983">
        <v>1</v>
      </c>
      <c r="AL4983">
        <v>1</v>
      </c>
      <c r="AM4983">
        <v>1</v>
      </c>
    </row>
    <row r="4984" spans="1:39" x14ac:dyDescent="0.2">
      <c r="A4984" t="str">
        <f>"4980"</f>
        <v>4980</v>
      </c>
      <c r="B4984" t="str">
        <f t="shared" si="277"/>
        <v>1</v>
      </c>
      <c r="C4984" t="str">
        <f t="shared" si="276"/>
        <v>100</v>
      </c>
      <c r="D4984" t="str">
        <f>"40"</f>
        <v>40</v>
      </c>
      <c r="E4984" t="str">
        <f>"1-100-40"</f>
        <v>1-100-40</v>
      </c>
      <c r="F4984" t="s">
        <v>65</v>
      </c>
      <c r="G4984" t="s">
        <v>66</v>
      </c>
      <c r="H4984" t="s">
        <v>67</v>
      </c>
      <c r="S4984">
        <v>1</v>
      </c>
      <c r="T4984">
        <v>0</v>
      </c>
      <c r="U4984">
        <v>0</v>
      </c>
      <c r="V4984">
        <v>0</v>
      </c>
      <c r="W4984">
        <v>1</v>
      </c>
      <c r="X4984">
        <v>0</v>
      </c>
      <c r="Y4984">
        <v>1</v>
      </c>
      <c r="Z4984">
        <v>0</v>
      </c>
      <c r="AA4984">
        <v>0</v>
      </c>
      <c r="AB4984">
        <v>0</v>
      </c>
      <c r="AC4984">
        <v>1</v>
      </c>
      <c r="AD4984">
        <v>1</v>
      </c>
      <c r="AE4984">
        <v>1</v>
      </c>
      <c r="AF4984">
        <v>1</v>
      </c>
      <c r="AG4984">
        <v>1</v>
      </c>
      <c r="AH4984">
        <v>1</v>
      </c>
      <c r="AI4984">
        <v>1</v>
      </c>
      <c r="AJ4984">
        <v>1</v>
      </c>
      <c r="AK4984">
        <v>1</v>
      </c>
      <c r="AL4984">
        <v>1</v>
      </c>
      <c r="AM4984">
        <v>1</v>
      </c>
    </row>
    <row r="4985" spans="1:39" x14ac:dyDescent="0.2">
      <c r="A4985" t="str">
        <f>"4981"</f>
        <v>4981</v>
      </c>
      <c r="B4985" t="str">
        <f t="shared" si="277"/>
        <v>1</v>
      </c>
      <c r="C4985" t="str">
        <f t="shared" si="276"/>
        <v>100</v>
      </c>
      <c r="D4985" t="str">
        <f>"21"</f>
        <v>21</v>
      </c>
      <c r="E4985" t="str">
        <f>"1-100-21"</f>
        <v>1-100-21</v>
      </c>
      <c r="F4985" t="s">
        <v>65</v>
      </c>
      <c r="G4985" t="s">
        <v>66</v>
      </c>
      <c r="H4985" t="s">
        <v>67</v>
      </c>
      <c r="S4985">
        <v>1</v>
      </c>
      <c r="T4985">
        <v>0</v>
      </c>
      <c r="U4985">
        <v>0</v>
      </c>
      <c r="V4985">
        <v>0</v>
      </c>
      <c r="W4985">
        <v>1</v>
      </c>
      <c r="X4985">
        <v>0</v>
      </c>
      <c r="Y4985">
        <v>0</v>
      </c>
      <c r="Z4985">
        <v>1</v>
      </c>
      <c r="AA4985">
        <v>1</v>
      </c>
      <c r="AB4985">
        <v>0</v>
      </c>
      <c r="AC4985">
        <v>0</v>
      </c>
      <c r="AD4985">
        <v>1</v>
      </c>
      <c r="AE4985">
        <v>1</v>
      </c>
      <c r="AF4985">
        <v>1</v>
      </c>
      <c r="AG4985">
        <v>1</v>
      </c>
      <c r="AH4985">
        <v>1</v>
      </c>
      <c r="AI4985">
        <v>1</v>
      </c>
      <c r="AJ4985">
        <v>1</v>
      </c>
      <c r="AK4985">
        <v>1</v>
      </c>
      <c r="AL4985">
        <v>1</v>
      </c>
      <c r="AM4985">
        <v>1</v>
      </c>
    </row>
    <row r="4986" spans="1:39" x14ac:dyDescent="0.2">
      <c r="A4986" t="str">
        <f>"4982"</f>
        <v>4982</v>
      </c>
      <c r="B4986" t="str">
        <f t="shared" si="277"/>
        <v>1</v>
      </c>
      <c r="C4986" t="str">
        <f t="shared" si="276"/>
        <v>100</v>
      </c>
      <c r="D4986" t="str">
        <f>"2"</f>
        <v>2</v>
      </c>
      <c r="E4986" t="str">
        <f>"1-100-2"</f>
        <v>1-100-2</v>
      </c>
      <c r="F4986" t="s">
        <v>65</v>
      </c>
      <c r="G4986" t="s">
        <v>66</v>
      </c>
      <c r="H4986" t="s">
        <v>67</v>
      </c>
      <c r="S4986">
        <v>1</v>
      </c>
      <c r="T4986">
        <v>0</v>
      </c>
      <c r="U4986">
        <v>0</v>
      </c>
      <c r="V4986">
        <v>0</v>
      </c>
      <c r="W4986">
        <v>1</v>
      </c>
      <c r="X4986">
        <v>0</v>
      </c>
      <c r="Y4986">
        <v>0</v>
      </c>
      <c r="Z4986">
        <v>1</v>
      </c>
      <c r="AA4986">
        <v>0</v>
      </c>
      <c r="AB4986">
        <v>0</v>
      </c>
      <c r="AC4986">
        <v>1</v>
      </c>
      <c r="AD4986">
        <v>1</v>
      </c>
      <c r="AE4986">
        <v>1</v>
      </c>
      <c r="AF4986">
        <v>1</v>
      </c>
      <c r="AG4986">
        <v>1</v>
      </c>
      <c r="AH4986">
        <v>1</v>
      </c>
      <c r="AI4986">
        <v>1</v>
      </c>
      <c r="AJ4986">
        <v>1</v>
      </c>
      <c r="AK4986">
        <v>1</v>
      </c>
      <c r="AL4986">
        <v>1</v>
      </c>
      <c r="AM4986">
        <v>1</v>
      </c>
    </row>
    <row r="4987" spans="1:39" x14ac:dyDescent="0.2">
      <c r="A4987" t="str">
        <f>"4983"</f>
        <v>4983</v>
      </c>
      <c r="B4987" t="str">
        <f t="shared" si="277"/>
        <v>1</v>
      </c>
      <c r="C4987" t="str">
        <f t="shared" ref="C4987:C5004" si="278">"100"</f>
        <v>100</v>
      </c>
      <c r="D4987" t="str">
        <f>"39"</f>
        <v>39</v>
      </c>
      <c r="E4987" t="str">
        <f>"1-100-39"</f>
        <v>1-100-39</v>
      </c>
      <c r="F4987" t="s">
        <v>65</v>
      </c>
      <c r="G4987" t="s">
        <v>66</v>
      </c>
      <c r="H4987" t="s">
        <v>67</v>
      </c>
      <c r="S4987">
        <v>0</v>
      </c>
      <c r="T4987">
        <v>0</v>
      </c>
      <c r="U4987">
        <v>0</v>
      </c>
      <c r="V4987">
        <v>0</v>
      </c>
      <c r="W4987">
        <v>1</v>
      </c>
      <c r="X4987">
        <v>0</v>
      </c>
      <c r="Y4987">
        <v>1</v>
      </c>
      <c r="Z4987">
        <v>0</v>
      </c>
      <c r="AA4987">
        <v>1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1</v>
      </c>
      <c r="AM4987">
        <v>0</v>
      </c>
    </row>
    <row r="4988" spans="1:39" x14ac:dyDescent="0.2">
      <c r="A4988" t="str">
        <f>"4984"</f>
        <v>4984</v>
      </c>
      <c r="B4988" t="str">
        <f t="shared" si="277"/>
        <v>1</v>
      </c>
      <c r="C4988" t="str">
        <f t="shared" si="278"/>
        <v>100</v>
      </c>
      <c r="D4988" t="str">
        <f>"22"</f>
        <v>22</v>
      </c>
      <c r="E4988" t="str">
        <f>"1-100-22"</f>
        <v>1-100-22</v>
      </c>
      <c r="F4988" t="s">
        <v>65</v>
      </c>
      <c r="G4988" t="s">
        <v>66</v>
      </c>
      <c r="H4988" t="s">
        <v>67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1</v>
      </c>
      <c r="AH4988">
        <v>1</v>
      </c>
      <c r="AI4988">
        <v>1</v>
      </c>
      <c r="AJ4988">
        <v>1</v>
      </c>
      <c r="AK4988">
        <v>1</v>
      </c>
      <c r="AL4988">
        <v>1</v>
      </c>
      <c r="AM4988">
        <v>0</v>
      </c>
    </row>
    <row r="4989" spans="1:39" x14ac:dyDescent="0.2">
      <c r="A4989" t="str">
        <f>"4985"</f>
        <v>4985</v>
      </c>
      <c r="B4989" t="str">
        <f t="shared" si="277"/>
        <v>1</v>
      </c>
      <c r="C4989" t="str">
        <f t="shared" si="278"/>
        <v>100</v>
      </c>
      <c r="D4989" t="str">
        <f>"4"</f>
        <v>4</v>
      </c>
      <c r="E4989" t="str">
        <f>"1-100-4"</f>
        <v>1-100-4</v>
      </c>
      <c r="F4989" t="s">
        <v>65</v>
      </c>
      <c r="G4989" t="s">
        <v>66</v>
      </c>
      <c r="H4989" t="s">
        <v>67</v>
      </c>
      <c r="S4989">
        <v>1</v>
      </c>
      <c r="T4989">
        <v>0</v>
      </c>
      <c r="U4989">
        <v>0</v>
      </c>
      <c r="V4989">
        <v>0</v>
      </c>
      <c r="W4989">
        <v>1</v>
      </c>
      <c r="X4989">
        <v>0</v>
      </c>
      <c r="Y4989">
        <v>1</v>
      </c>
      <c r="Z4989">
        <v>0</v>
      </c>
      <c r="AA4989">
        <v>1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1</v>
      </c>
      <c r="AJ4989">
        <v>1</v>
      </c>
      <c r="AK4989">
        <v>1</v>
      </c>
      <c r="AL4989">
        <v>1</v>
      </c>
      <c r="AM4989">
        <v>1</v>
      </c>
    </row>
    <row r="4990" spans="1:39" x14ac:dyDescent="0.2">
      <c r="A4990" t="str">
        <f>"4986"</f>
        <v>4986</v>
      </c>
      <c r="B4990" t="str">
        <f t="shared" si="277"/>
        <v>1</v>
      </c>
      <c r="C4990" t="str">
        <f t="shared" si="278"/>
        <v>100</v>
      </c>
      <c r="D4990" t="str">
        <f>"41"</f>
        <v>41</v>
      </c>
      <c r="E4990" t="str">
        <f>"1-100-41"</f>
        <v>1-100-41</v>
      </c>
      <c r="F4990" t="s">
        <v>65</v>
      </c>
      <c r="G4990" t="s">
        <v>66</v>
      </c>
      <c r="H4990" t="s">
        <v>67</v>
      </c>
      <c r="S4990">
        <v>1</v>
      </c>
      <c r="T4990">
        <v>0</v>
      </c>
      <c r="U4990">
        <v>0</v>
      </c>
      <c r="V4990">
        <v>0</v>
      </c>
      <c r="W4990">
        <v>1</v>
      </c>
      <c r="X4990">
        <v>0</v>
      </c>
      <c r="Y4990">
        <v>0</v>
      </c>
      <c r="Z4990">
        <v>1</v>
      </c>
      <c r="AA4990">
        <v>0</v>
      </c>
      <c r="AB4990">
        <v>1</v>
      </c>
      <c r="AC4990">
        <v>0</v>
      </c>
      <c r="AD4990">
        <v>0</v>
      </c>
      <c r="AE4990">
        <v>0</v>
      </c>
      <c r="AF4990">
        <v>0</v>
      </c>
      <c r="AG4990">
        <v>1</v>
      </c>
      <c r="AH4990">
        <v>1</v>
      </c>
      <c r="AI4990">
        <v>0</v>
      </c>
      <c r="AJ4990">
        <v>0</v>
      </c>
      <c r="AK4990">
        <v>0</v>
      </c>
      <c r="AL4990">
        <v>0</v>
      </c>
      <c r="AM4990">
        <v>0</v>
      </c>
    </row>
    <row r="4991" spans="1:39" x14ac:dyDescent="0.2">
      <c r="A4991" t="str">
        <f>"4987"</f>
        <v>4987</v>
      </c>
      <c r="B4991" t="str">
        <f t="shared" si="277"/>
        <v>1</v>
      </c>
      <c r="C4991" t="str">
        <f t="shared" si="278"/>
        <v>100</v>
      </c>
      <c r="D4991" t="str">
        <f>"24"</f>
        <v>24</v>
      </c>
      <c r="E4991" t="str">
        <f>"1-100-24"</f>
        <v>1-100-24</v>
      </c>
      <c r="F4991" t="s">
        <v>65</v>
      </c>
      <c r="G4991" t="s">
        <v>66</v>
      </c>
      <c r="H4991" t="s">
        <v>67</v>
      </c>
      <c r="S4991">
        <v>0</v>
      </c>
      <c r="T4991">
        <v>1</v>
      </c>
      <c r="U4991">
        <v>0</v>
      </c>
      <c r="V4991">
        <v>0</v>
      </c>
      <c r="W4991">
        <v>1</v>
      </c>
      <c r="X4991">
        <v>0</v>
      </c>
      <c r="Y4991">
        <v>0</v>
      </c>
      <c r="Z4991">
        <v>1</v>
      </c>
      <c r="AA4991">
        <v>0</v>
      </c>
      <c r="AB4991">
        <v>0</v>
      </c>
      <c r="AC4991">
        <v>1</v>
      </c>
      <c r="AD4991">
        <v>1</v>
      </c>
      <c r="AE4991">
        <v>1</v>
      </c>
      <c r="AF4991">
        <v>1</v>
      </c>
      <c r="AG4991">
        <v>1</v>
      </c>
      <c r="AH4991">
        <v>1</v>
      </c>
      <c r="AI4991">
        <v>1</v>
      </c>
      <c r="AJ4991">
        <v>1</v>
      </c>
      <c r="AK4991">
        <v>1</v>
      </c>
      <c r="AL4991">
        <v>1</v>
      </c>
      <c r="AM4991">
        <v>1</v>
      </c>
    </row>
    <row r="4992" spans="1:39" x14ac:dyDescent="0.2">
      <c r="A4992" t="str">
        <f>"4988"</f>
        <v>4988</v>
      </c>
      <c r="B4992" t="str">
        <f t="shared" si="277"/>
        <v>1</v>
      </c>
      <c r="C4992" t="str">
        <f t="shared" si="278"/>
        <v>100</v>
      </c>
      <c r="D4992" t="str">
        <f>"14"</f>
        <v>14</v>
      </c>
      <c r="E4992" t="str">
        <f>"1-100-14"</f>
        <v>1-100-14</v>
      </c>
      <c r="F4992" t="s">
        <v>65</v>
      </c>
      <c r="G4992" t="s">
        <v>66</v>
      </c>
      <c r="H4992" t="s">
        <v>67</v>
      </c>
      <c r="S4992">
        <v>1</v>
      </c>
      <c r="T4992">
        <v>0</v>
      </c>
      <c r="U4992">
        <v>0</v>
      </c>
      <c r="V4992">
        <v>0</v>
      </c>
      <c r="W4992">
        <v>0</v>
      </c>
      <c r="X4992">
        <v>1</v>
      </c>
      <c r="Y4992">
        <v>0</v>
      </c>
      <c r="Z4992">
        <v>1</v>
      </c>
      <c r="AA4992">
        <v>0</v>
      </c>
      <c r="AB4992">
        <v>0</v>
      </c>
      <c r="AC4992">
        <v>1</v>
      </c>
      <c r="AD4992">
        <v>1</v>
      </c>
      <c r="AE4992">
        <v>1</v>
      </c>
      <c r="AF4992">
        <v>1</v>
      </c>
      <c r="AG4992">
        <v>1</v>
      </c>
      <c r="AH4992">
        <v>1</v>
      </c>
      <c r="AI4992">
        <v>1</v>
      </c>
      <c r="AJ4992">
        <v>1</v>
      </c>
      <c r="AK4992">
        <v>1</v>
      </c>
      <c r="AL4992">
        <v>1</v>
      </c>
      <c r="AM4992">
        <v>1</v>
      </c>
    </row>
    <row r="4993" spans="1:39" x14ac:dyDescent="0.2">
      <c r="A4993" t="str">
        <f>"4989"</f>
        <v>4989</v>
      </c>
      <c r="B4993" t="str">
        <f t="shared" si="277"/>
        <v>1</v>
      </c>
      <c r="C4993" t="str">
        <f t="shared" si="278"/>
        <v>100</v>
      </c>
      <c r="D4993" t="str">
        <f>"26"</f>
        <v>26</v>
      </c>
      <c r="E4993" t="str">
        <f>"1-100-26"</f>
        <v>1-100-26</v>
      </c>
      <c r="F4993" t="s">
        <v>65</v>
      </c>
      <c r="G4993" t="s">
        <v>66</v>
      </c>
      <c r="H4993" t="s">
        <v>67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1</v>
      </c>
      <c r="AJ4993">
        <v>0</v>
      </c>
      <c r="AK4993">
        <v>0</v>
      </c>
      <c r="AL4993">
        <v>0</v>
      </c>
      <c r="AM4993">
        <v>0</v>
      </c>
    </row>
    <row r="4994" spans="1:39" x14ac:dyDescent="0.2">
      <c r="A4994" t="str">
        <f>"4990"</f>
        <v>4990</v>
      </c>
      <c r="B4994" t="str">
        <f t="shared" si="277"/>
        <v>1</v>
      </c>
      <c r="C4994" t="str">
        <f t="shared" si="278"/>
        <v>100</v>
      </c>
      <c r="D4994" t="str">
        <f>"10"</f>
        <v>10</v>
      </c>
      <c r="E4994" t="str">
        <f>"1-100-10"</f>
        <v>1-100-10</v>
      </c>
      <c r="F4994" t="s">
        <v>65</v>
      </c>
      <c r="G4994" t="s">
        <v>66</v>
      </c>
      <c r="H4994" t="s">
        <v>67</v>
      </c>
      <c r="S4994">
        <v>1</v>
      </c>
      <c r="T4994">
        <v>0</v>
      </c>
      <c r="U4994">
        <v>0</v>
      </c>
      <c r="V4994">
        <v>0</v>
      </c>
      <c r="W4994">
        <v>1</v>
      </c>
      <c r="X4994">
        <v>0</v>
      </c>
      <c r="Y4994">
        <v>1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1</v>
      </c>
      <c r="AF4994">
        <v>1</v>
      </c>
      <c r="AG4994">
        <v>1</v>
      </c>
      <c r="AH4994">
        <v>1</v>
      </c>
      <c r="AI4994">
        <v>1</v>
      </c>
      <c r="AJ4994">
        <v>1</v>
      </c>
      <c r="AK4994">
        <v>1</v>
      </c>
      <c r="AL4994">
        <v>1</v>
      </c>
      <c r="AM4994">
        <v>1</v>
      </c>
    </row>
    <row r="4995" spans="1:39" x14ac:dyDescent="0.2">
      <c r="A4995" t="str">
        <f>"4991"</f>
        <v>4991</v>
      </c>
      <c r="B4995" t="str">
        <f t="shared" si="277"/>
        <v>1</v>
      </c>
      <c r="C4995" t="str">
        <f t="shared" si="278"/>
        <v>100</v>
      </c>
      <c r="D4995" t="str">
        <f>"27"</f>
        <v>27</v>
      </c>
      <c r="E4995" t="str">
        <f>"1-100-27"</f>
        <v>1-100-27</v>
      </c>
      <c r="F4995" t="s">
        <v>65</v>
      </c>
      <c r="G4995" t="s">
        <v>66</v>
      </c>
      <c r="H4995" t="s">
        <v>67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0</v>
      </c>
      <c r="AB4995">
        <v>0</v>
      </c>
      <c r="AC4995">
        <v>1</v>
      </c>
      <c r="AD4995">
        <v>1</v>
      </c>
      <c r="AE4995">
        <v>1</v>
      </c>
      <c r="AF4995">
        <v>1</v>
      </c>
      <c r="AG4995">
        <v>1</v>
      </c>
      <c r="AH4995">
        <v>0</v>
      </c>
      <c r="AI4995">
        <v>1</v>
      </c>
      <c r="AJ4995">
        <v>1</v>
      </c>
      <c r="AK4995">
        <v>1</v>
      </c>
      <c r="AL4995">
        <v>1</v>
      </c>
      <c r="AM4995">
        <v>1</v>
      </c>
    </row>
    <row r="4996" spans="1:39" x14ac:dyDescent="0.2">
      <c r="A4996" t="str">
        <f>"4992"</f>
        <v>4992</v>
      </c>
      <c r="B4996" t="str">
        <f t="shared" si="277"/>
        <v>1</v>
      </c>
      <c r="C4996" t="str">
        <f t="shared" si="278"/>
        <v>100</v>
      </c>
      <c r="D4996" t="str">
        <f>"7"</f>
        <v>7</v>
      </c>
      <c r="E4996" t="str">
        <f>"1-100-7"</f>
        <v>1-100-7</v>
      </c>
      <c r="F4996" t="s">
        <v>65</v>
      </c>
      <c r="G4996" t="s">
        <v>66</v>
      </c>
      <c r="H4996" t="s">
        <v>67</v>
      </c>
      <c r="S4996">
        <v>0</v>
      </c>
      <c r="T4996">
        <v>1</v>
      </c>
      <c r="U4996">
        <v>0</v>
      </c>
      <c r="V4996">
        <v>0</v>
      </c>
      <c r="W4996">
        <v>1</v>
      </c>
      <c r="X4996">
        <v>0</v>
      </c>
      <c r="Y4996">
        <v>1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1</v>
      </c>
      <c r="AF4996">
        <v>1</v>
      </c>
      <c r="AG4996">
        <v>1</v>
      </c>
      <c r="AH4996">
        <v>1</v>
      </c>
      <c r="AI4996">
        <v>1</v>
      </c>
      <c r="AJ4996">
        <v>1</v>
      </c>
      <c r="AK4996">
        <v>1</v>
      </c>
      <c r="AL4996">
        <v>1</v>
      </c>
      <c r="AM4996">
        <v>1</v>
      </c>
    </row>
    <row r="4997" spans="1:39" x14ac:dyDescent="0.2">
      <c r="A4997" t="str">
        <f>"4993"</f>
        <v>4993</v>
      </c>
      <c r="B4997" t="str">
        <f t="shared" si="277"/>
        <v>1</v>
      </c>
      <c r="C4997" t="str">
        <f t="shared" si="278"/>
        <v>100</v>
      </c>
      <c r="D4997" t="str">
        <f>"28"</f>
        <v>28</v>
      </c>
      <c r="E4997" t="str">
        <f>"1-100-28"</f>
        <v>1-100-28</v>
      </c>
      <c r="F4997" t="s">
        <v>65</v>
      </c>
      <c r="G4997" t="s">
        <v>66</v>
      </c>
      <c r="H4997" t="s">
        <v>67</v>
      </c>
      <c r="S4997">
        <v>1</v>
      </c>
      <c r="T4997">
        <v>0</v>
      </c>
      <c r="U4997">
        <v>0</v>
      </c>
      <c r="V4997">
        <v>0</v>
      </c>
      <c r="W4997">
        <v>1</v>
      </c>
      <c r="X4997">
        <v>0</v>
      </c>
      <c r="Y4997">
        <v>1</v>
      </c>
      <c r="Z4997">
        <v>0</v>
      </c>
      <c r="AA4997">
        <v>0</v>
      </c>
      <c r="AB4997">
        <v>1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1</v>
      </c>
      <c r="AM4997">
        <v>0</v>
      </c>
    </row>
    <row r="4998" spans="1:39" x14ac:dyDescent="0.2">
      <c r="A4998" t="str">
        <f>"4994"</f>
        <v>4994</v>
      </c>
      <c r="B4998" t="str">
        <f t="shared" si="277"/>
        <v>1</v>
      </c>
      <c r="C4998" t="str">
        <f t="shared" si="278"/>
        <v>100</v>
      </c>
      <c r="D4998" t="str">
        <f>"8"</f>
        <v>8</v>
      </c>
      <c r="E4998" t="str">
        <f>"1-100-8"</f>
        <v>1-100-8</v>
      </c>
      <c r="F4998" t="s">
        <v>65</v>
      </c>
      <c r="G4998" t="s">
        <v>66</v>
      </c>
      <c r="H4998" t="s">
        <v>67</v>
      </c>
      <c r="S4998">
        <v>1</v>
      </c>
      <c r="T4998">
        <v>0</v>
      </c>
      <c r="U4998">
        <v>0</v>
      </c>
      <c r="V4998">
        <v>0</v>
      </c>
      <c r="W4998">
        <v>1</v>
      </c>
      <c r="X4998">
        <v>0</v>
      </c>
      <c r="Y4998">
        <v>0</v>
      </c>
      <c r="Z4998">
        <v>1</v>
      </c>
      <c r="AA4998">
        <v>1</v>
      </c>
      <c r="AB4998">
        <v>0</v>
      </c>
      <c r="AC4998">
        <v>0</v>
      </c>
      <c r="AD4998">
        <v>1</v>
      </c>
      <c r="AE4998">
        <v>1</v>
      </c>
      <c r="AF4998">
        <v>1</v>
      </c>
      <c r="AG4998">
        <v>1</v>
      </c>
      <c r="AH4998">
        <v>1</v>
      </c>
      <c r="AI4998">
        <v>1</v>
      </c>
      <c r="AJ4998">
        <v>1</v>
      </c>
      <c r="AK4998">
        <v>1</v>
      </c>
      <c r="AL4998">
        <v>1</v>
      </c>
      <c r="AM4998">
        <v>1</v>
      </c>
    </row>
    <row r="4999" spans="1:39" x14ac:dyDescent="0.2">
      <c r="A4999" t="str">
        <f>"4995"</f>
        <v>4995</v>
      </c>
      <c r="B4999" t="str">
        <f t="shared" si="277"/>
        <v>1</v>
      </c>
      <c r="C4999" t="str">
        <f t="shared" si="278"/>
        <v>100</v>
      </c>
      <c r="D4999" t="str">
        <f>"29"</f>
        <v>29</v>
      </c>
      <c r="E4999" t="str">
        <f>"1-100-29"</f>
        <v>1-100-29</v>
      </c>
      <c r="F4999" t="s">
        <v>65</v>
      </c>
      <c r="G4999" t="s">
        <v>66</v>
      </c>
      <c r="H4999" t="s">
        <v>67</v>
      </c>
      <c r="S4999">
        <v>0</v>
      </c>
      <c r="T4999">
        <v>0</v>
      </c>
      <c r="U4999">
        <v>0</v>
      </c>
      <c r="V4999">
        <v>0</v>
      </c>
      <c r="W4999">
        <v>1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1</v>
      </c>
      <c r="AL4999">
        <v>0</v>
      </c>
      <c r="AM4999">
        <v>0</v>
      </c>
    </row>
    <row r="5000" spans="1:39" x14ac:dyDescent="0.2">
      <c r="A5000" t="str">
        <f>"4996"</f>
        <v>4996</v>
      </c>
      <c r="B5000" t="str">
        <f t="shared" si="277"/>
        <v>1</v>
      </c>
      <c r="C5000" t="str">
        <f t="shared" si="278"/>
        <v>100</v>
      </c>
      <c r="D5000" t="str">
        <f>"12"</f>
        <v>12</v>
      </c>
      <c r="E5000" t="str">
        <f>"1-100-12"</f>
        <v>1-100-12</v>
      </c>
      <c r="F5000" t="s">
        <v>65</v>
      </c>
      <c r="G5000" t="s">
        <v>66</v>
      </c>
      <c r="H5000" t="s">
        <v>67</v>
      </c>
      <c r="S5000">
        <v>1</v>
      </c>
      <c r="T5000">
        <v>0</v>
      </c>
      <c r="U5000">
        <v>0</v>
      </c>
      <c r="V5000">
        <v>0</v>
      </c>
      <c r="W5000">
        <v>1</v>
      </c>
      <c r="X5000">
        <v>0</v>
      </c>
      <c r="Y5000">
        <v>1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1</v>
      </c>
      <c r="AF5000">
        <v>1</v>
      </c>
      <c r="AG5000">
        <v>1</v>
      </c>
      <c r="AH5000">
        <v>1</v>
      </c>
      <c r="AI5000">
        <v>1</v>
      </c>
      <c r="AJ5000">
        <v>1</v>
      </c>
      <c r="AK5000">
        <v>1</v>
      </c>
      <c r="AL5000">
        <v>1</v>
      </c>
      <c r="AM5000">
        <v>0</v>
      </c>
    </row>
    <row r="5001" spans="1:39" x14ac:dyDescent="0.2">
      <c r="A5001" t="str">
        <f>"4997"</f>
        <v>4997</v>
      </c>
      <c r="B5001" t="str">
        <f t="shared" si="277"/>
        <v>1</v>
      </c>
      <c r="C5001" t="str">
        <f t="shared" si="278"/>
        <v>100</v>
      </c>
      <c r="D5001" t="str">
        <f>"30"</f>
        <v>30</v>
      </c>
      <c r="E5001" t="str">
        <f>"1-100-30"</f>
        <v>1-100-30</v>
      </c>
      <c r="F5001" t="s">
        <v>65</v>
      </c>
      <c r="G5001" t="s">
        <v>66</v>
      </c>
      <c r="H5001" t="s">
        <v>67</v>
      </c>
      <c r="S5001">
        <v>1</v>
      </c>
      <c r="T5001">
        <v>0</v>
      </c>
      <c r="U5001">
        <v>0</v>
      </c>
      <c r="V5001">
        <v>0</v>
      </c>
      <c r="W5001">
        <v>0</v>
      </c>
      <c r="X5001">
        <v>1</v>
      </c>
      <c r="Y5001">
        <v>0</v>
      </c>
      <c r="Z5001">
        <v>1</v>
      </c>
      <c r="AA5001">
        <v>0</v>
      </c>
      <c r="AB5001">
        <v>0</v>
      </c>
      <c r="AC5001">
        <v>1</v>
      </c>
      <c r="AD5001">
        <v>1</v>
      </c>
      <c r="AE5001">
        <v>1</v>
      </c>
      <c r="AF5001">
        <v>1</v>
      </c>
      <c r="AG5001">
        <v>1</v>
      </c>
      <c r="AH5001">
        <v>1</v>
      </c>
      <c r="AI5001">
        <v>1</v>
      </c>
      <c r="AJ5001">
        <v>1</v>
      </c>
      <c r="AK5001">
        <v>1</v>
      </c>
      <c r="AL5001">
        <v>1</v>
      </c>
      <c r="AM5001">
        <v>1</v>
      </c>
    </row>
    <row r="5002" spans="1:39" x14ac:dyDescent="0.2">
      <c r="A5002" t="str">
        <f>"4998"</f>
        <v>4998</v>
      </c>
      <c r="B5002" t="str">
        <f t="shared" si="277"/>
        <v>1</v>
      </c>
      <c r="C5002" t="str">
        <f t="shared" si="278"/>
        <v>100</v>
      </c>
      <c r="D5002" t="str">
        <f>"9"</f>
        <v>9</v>
      </c>
      <c r="E5002" t="str">
        <f>"1-100-9"</f>
        <v>1-100-9</v>
      </c>
      <c r="F5002" t="s">
        <v>65</v>
      </c>
      <c r="G5002" t="s">
        <v>66</v>
      </c>
      <c r="H5002" t="s">
        <v>67</v>
      </c>
      <c r="S5002">
        <v>1</v>
      </c>
      <c r="T5002">
        <v>0</v>
      </c>
      <c r="U5002">
        <v>0</v>
      </c>
      <c r="V5002">
        <v>0</v>
      </c>
      <c r="W5002">
        <v>1</v>
      </c>
      <c r="X5002">
        <v>0</v>
      </c>
      <c r="Y5002">
        <v>1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1</v>
      </c>
      <c r="AF5002">
        <v>1</v>
      </c>
      <c r="AG5002">
        <v>1</v>
      </c>
      <c r="AH5002">
        <v>1</v>
      </c>
      <c r="AI5002">
        <v>1</v>
      </c>
      <c r="AJ5002">
        <v>1</v>
      </c>
      <c r="AK5002">
        <v>1</v>
      </c>
      <c r="AL5002">
        <v>1</v>
      </c>
      <c r="AM5002">
        <v>1</v>
      </c>
    </row>
    <row r="5003" spans="1:39" x14ac:dyDescent="0.2">
      <c r="A5003" t="str">
        <f>"4999"</f>
        <v>4999</v>
      </c>
      <c r="B5003" t="str">
        <f t="shared" si="277"/>
        <v>1</v>
      </c>
      <c r="C5003" t="str">
        <f t="shared" si="278"/>
        <v>100</v>
      </c>
      <c r="D5003" t="str">
        <f>"50"</f>
        <v>50</v>
      </c>
      <c r="E5003" t="str">
        <f>"1-100-50"</f>
        <v>1-100-50</v>
      </c>
      <c r="F5003" t="s">
        <v>65</v>
      </c>
      <c r="G5003" t="s">
        <v>66</v>
      </c>
      <c r="H5003" t="s">
        <v>67</v>
      </c>
      <c r="S5003">
        <v>0</v>
      </c>
      <c r="T5003">
        <v>1</v>
      </c>
      <c r="U5003">
        <v>0</v>
      </c>
      <c r="V5003">
        <v>0</v>
      </c>
      <c r="W5003">
        <v>1</v>
      </c>
      <c r="X5003">
        <v>0</v>
      </c>
      <c r="Y5003">
        <v>0</v>
      </c>
      <c r="Z5003">
        <v>1</v>
      </c>
      <c r="AA5003">
        <v>0</v>
      </c>
      <c r="AB5003">
        <v>1</v>
      </c>
      <c r="AC5003">
        <v>0</v>
      </c>
      <c r="AD5003">
        <v>1</v>
      </c>
      <c r="AE5003">
        <v>1</v>
      </c>
      <c r="AF5003">
        <v>1</v>
      </c>
      <c r="AG5003">
        <v>1</v>
      </c>
      <c r="AH5003">
        <v>1</v>
      </c>
      <c r="AI5003">
        <v>1</v>
      </c>
      <c r="AJ5003">
        <v>1</v>
      </c>
      <c r="AK5003">
        <v>1</v>
      </c>
      <c r="AL5003">
        <v>1</v>
      </c>
      <c r="AM5003">
        <v>1</v>
      </c>
    </row>
    <row r="5004" spans="1:39" x14ac:dyDescent="0.2">
      <c r="A5004" t="str">
        <f>"5000"</f>
        <v>5000</v>
      </c>
      <c r="B5004" t="str">
        <f t="shared" si="277"/>
        <v>1</v>
      </c>
      <c r="C5004" t="str">
        <f t="shared" si="278"/>
        <v>100</v>
      </c>
      <c r="D5004" t="str">
        <f>"49"</f>
        <v>49</v>
      </c>
      <c r="E5004" t="str">
        <f>"1-100-49"</f>
        <v>1-100-49</v>
      </c>
      <c r="F5004" t="s">
        <v>65</v>
      </c>
      <c r="G5004" t="s">
        <v>66</v>
      </c>
      <c r="H5004" t="s">
        <v>67</v>
      </c>
      <c r="S5004">
        <v>1</v>
      </c>
      <c r="T5004">
        <v>0</v>
      </c>
      <c r="U5004">
        <v>0</v>
      </c>
      <c r="V5004">
        <v>0</v>
      </c>
      <c r="W5004">
        <v>1</v>
      </c>
      <c r="X5004">
        <v>0</v>
      </c>
      <c r="Y5004">
        <v>1</v>
      </c>
      <c r="Z5004">
        <v>0</v>
      </c>
      <c r="AA5004">
        <v>0</v>
      </c>
      <c r="AB5004">
        <v>1</v>
      </c>
      <c r="AC5004">
        <v>0</v>
      </c>
      <c r="AD5004">
        <v>1</v>
      </c>
      <c r="AE5004">
        <v>1</v>
      </c>
      <c r="AF5004">
        <v>1</v>
      </c>
      <c r="AG5004">
        <v>1</v>
      </c>
      <c r="AH5004">
        <v>1</v>
      </c>
      <c r="AI5004">
        <v>1</v>
      </c>
      <c r="AJ5004">
        <v>1</v>
      </c>
      <c r="AK5004">
        <v>1</v>
      </c>
      <c r="AL5004">
        <v>1</v>
      </c>
      <c r="AM5004">
        <v>1</v>
      </c>
    </row>
    <row r="5005" spans="1:39" x14ac:dyDescent="0.2">
      <c r="A5005" t="str">
        <f>"5001"</f>
        <v>5001</v>
      </c>
      <c r="B5005" t="str">
        <f t="shared" si="277"/>
        <v>1</v>
      </c>
      <c r="C5005" t="str">
        <f t="shared" ref="C5005:C5036" si="279">"101"</f>
        <v>101</v>
      </c>
      <c r="D5005" t="str">
        <f>"36"</f>
        <v>36</v>
      </c>
      <c r="E5005" t="str">
        <f>"1-101-36"</f>
        <v>1-101-36</v>
      </c>
      <c r="F5005" t="s">
        <v>65</v>
      </c>
      <c r="G5005" t="s">
        <v>66</v>
      </c>
      <c r="H5005" t="s">
        <v>68</v>
      </c>
      <c r="I5005">
        <v>1</v>
      </c>
      <c r="J5005">
        <v>0</v>
      </c>
      <c r="K5005">
        <v>0</v>
      </c>
      <c r="L5005">
        <v>1</v>
      </c>
      <c r="M5005">
        <v>1</v>
      </c>
      <c r="N5005">
        <v>1</v>
      </c>
      <c r="O5005">
        <v>1</v>
      </c>
      <c r="P5005">
        <v>1</v>
      </c>
      <c r="Q5005">
        <v>1</v>
      </c>
      <c r="R5005">
        <v>1</v>
      </c>
    </row>
    <row r="5006" spans="1:39" x14ac:dyDescent="0.2">
      <c r="A5006" t="str">
        <f>"5002"</f>
        <v>5002</v>
      </c>
      <c r="B5006" t="str">
        <f t="shared" si="277"/>
        <v>1</v>
      </c>
      <c r="C5006" t="str">
        <f t="shared" si="279"/>
        <v>101</v>
      </c>
      <c r="D5006" t="str">
        <f>"35"</f>
        <v>35</v>
      </c>
      <c r="E5006" t="str">
        <f>"1-101-35"</f>
        <v>1-101-35</v>
      </c>
      <c r="F5006" t="s">
        <v>65</v>
      </c>
      <c r="G5006" t="s">
        <v>66</v>
      </c>
      <c r="H5006" t="s">
        <v>68</v>
      </c>
      <c r="I5006">
        <v>1</v>
      </c>
      <c r="J5006">
        <v>0</v>
      </c>
      <c r="K5006">
        <v>0</v>
      </c>
      <c r="L5006">
        <v>1</v>
      </c>
      <c r="M5006">
        <v>1</v>
      </c>
      <c r="N5006">
        <v>1</v>
      </c>
      <c r="O5006">
        <v>1</v>
      </c>
      <c r="P5006">
        <v>1</v>
      </c>
      <c r="Q5006">
        <v>1</v>
      </c>
      <c r="R5006">
        <v>1</v>
      </c>
    </row>
    <row r="5007" spans="1:39" x14ac:dyDescent="0.2">
      <c r="A5007" t="str">
        <f>"5003"</f>
        <v>5003</v>
      </c>
      <c r="B5007" t="str">
        <f t="shared" si="277"/>
        <v>1</v>
      </c>
      <c r="C5007" t="str">
        <f t="shared" si="279"/>
        <v>101</v>
      </c>
      <c r="D5007" t="str">
        <f>"22"</f>
        <v>22</v>
      </c>
      <c r="E5007" t="str">
        <f>"1-101-22"</f>
        <v>1-101-22</v>
      </c>
      <c r="F5007" t="s">
        <v>65</v>
      </c>
      <c r="G5007" t="s">
        <v>66</v>
      </c>
      <c r="H5007" t="s">
        <v>68</v>
      </c>
      <c r="I5007">
        <v>1</v>
      </c>
      <c r="J5007">
        <v>0</v>
      </c>
      <c r="K5007">
        <v>0</v>
      </c>
      <c r="L5007">
        <v>1</v>
      </c>
      <c r="M5007">
        <v>1</v>
      </c>
      <c r="N5007">
        <v>1</v>
      </c>
      <c r="O5007">
        <v>1</v>
      </c>
      <c r="P5007">
        <v>1</v>
      </c>
      <c r="Q5007">
        <v>1</v>
      </c>
      <c r="R5007">
        <v>1</v>
      </c>
    </row>
    <row r="5008" spans="1:39" x14ac:dyDescent="0.2">
      <c r="A5008" t="str">
        <f>"5004"</f>
        <v>5004</v>
      </c>
      <c r="B5008" t="str">
        <f t="shared" si="277"/>
        <v>1</v>
      </c>
      <c r="C5008" t="str">
        <f t="shared" si="279"/>
        <v>101</v>
      </c>
      <c r="D5008" t="str">
        <f>"15"</f>
        <v>15</v>
      </c>
      <c r="E5008" t="str">
        <f>"1-101-15"</f>
        <v>1-101-15</v>
      </c>
      <c r="F5008" t="s">
        <v>65</v>
      </c>
      <c r="G5008" t="s">
        <v>66</v>
      </c>
      <c r="H5008" t="s">
        <v>68</v>
      </c>
      <c r="I5008">
        <v>1</v>
      </c>
      <c r="J5008">
        <v>1</v>
      </c>
      <c r="K5008">
        <v>0</v>
      </c>
      <c r="L5008">
        <v>0</v>
      </c>
      <c r="M5008">
        <v>1</v>
      </c>
      <c r="N5008">
        <v>1</v>
      </c>
      <c r="O5008">
        <v>1</v>
      </c>
      <c r="P5008">
        <v>1</v>
      </c>
      <c r="Q5008">
        <v>1</v>
      </c>
      <c r="R5008">
        <v>1</v>
      </c>
    </row>
    <row r="5009" spans="1:18" x14ac:dyDescent="0.2">
      <c r="A5009" t="str">
        <f>"5005"</f>
        <v>5005</v>
      </c>
      <c r="B5009" t="str">
        <f t="shared" si="277"/>
        <v>1</v>
      </c>
      <c r="C5009" t="str">
        <f t="shared" si="279"/>
        <v>101</v>
      </c>
      <c r="D5009" t="str">
        <f>"3"</f>
        <v>3</v>
      </c>
      <c r="E5009" t="str">
        <f>"1-101-3"</f>
        <v>1-101-3</v>
      </c>
      <c r="F5009" t="s">
        <v>65</v>
      </c>
      <c r="G5009" t="s">
        <v>66</v>
      </c>
      <c r="H5009" t="s">
        <v>68</v>
      </c>
      <c r="I5009">
        <v>1</v>
      </c>
      <c r="J5009">
        <v>1</v>
      </c>
      <c r="K5009">
        <v>0</v>
      </c>
      <c r="L5009">
        <v>0</v>
      </c>
      <c r="M5009">
        <v>1</v>
      </c>
      <c r="N5009">
        <v>1</v>
      </c>
      <c r="O5009">
        <v>1</v>
      </c>
      <c r="P5009">
        <v>1</v>
      </c>
      <c r="Q5009">
        <v>1</v>
      </c>
      <c r="R5009">
        <v>1</v>
      </c>
    </row>
    <row r="5010" spans="1:18" x14ac:dyDescent="0.2">
      <c r="A5010" t="str">
        <f>"5006"</f>
        <v>5006</v>
      </c>
      <c r="B5010" t="str">
        <f t="shared" si="277"/>
        <v>1</v>
      </c>
      <c r="C5010" t="str">
        <f t="shared" si="279"/>
        <v>101</v>
      </c>
      <c r="D5010" t="str">
        <f>"38"</f>
        <v>38</v>
      </c>
      <c r="E5010" t="str">
        <f>"1-101-38"</f>
        <v>1-101-38</v>
      </c>
      <c r="F5010" t="s">
        <v>65</v>
      </c>
      <c r="G5010" t="s">
        <v>66</v>
      </c>
      <c r="H5010" t="s">
        <v>68</v>
      </c>
      <c r="I5010">
        <v>1</v>
      </c>
      <c r="J5010">
        <v>1</v>
      </c>
      <c r="K5010">
        <v>0</v>
      </c>
      <c r="L5010">
        <v>0</v>
      </c>
      <c r="M5010">
        <v>1</v>
      </c>
      <c r="N5010">
        <v>0</v>
      </c>
      <c r="O5010">
        <v>0</v>
      </c>
      <c r="P5010">
        <v>0</v>
      </c>
      <c r="Q5010">
        <v>0</v>
      </c>
      <c r="R5010">
        <v>1</v>
      </c>
    </row>
    <row r="5011" spans="1:18" x14ac:dyDescent="0.2">
      <c r="A5011" t="str">
        <f>"5007"</f>
        <v>5007</v>
      </c>
      <c r="B5011" t="str">
        <f t="shared" si="277"/>
        <v>1</v>
      </c>
      <c r="C5011" t="str">
        <f t="shared" si="279"/>
        <v>101</v>
      </c>
      <c r="D5011" t="str">
        <f>"37"</f>
        <v>37</v>
      </c>
      <c r="E5011" t="str">
        <f>"1-101-37"</f>
        <v>1-101-37</v>
      </c>
      <c r="F5011" t="s">
        <v>65</v>
      </c>
      <c r="G5011" t="s">
        <v>66</v>
      </c>
      <c r="H5011" t="s">
        <v>68</v>
      </c>
      <c r="I5011">
        <v>1</v>
      </c>
      <c r="J5011">
        <v>0</v>
      </c>
      <c r="K5011">
        <v>1</v>
      </c>
      <c r="L5011">
        <v>0</v>
      </c>
      <c r="M5011">
        <v>1</v>
      </c>
      <c r="N5011">
        <v>1</v>
      </c>
      <c r="O5011">
        <v>1</v>
      </c>
      <c r="P5011">
        <v>1</v>
      </c>
      <c r="Q5011">
        <v>0</v>
      </c>
      <c r="R5011">
        <v>1</v>
      </c>
    </row>
    <row r="5012" spans="1:18" x14ac:dyDescent="0.2">
      <c r="A5012" t="str">
        <f>"5008"</f>
        <v>5008</v>
      </c>
      <c r="B5012" t="str">
        <f t="shared" si="277"/>
        <v>1</v>
      </c>
      <c r="C5012" t="str">
        <f t="shared" si="279"/>
        <v>101</v>
      </c>
      <c r="D5012" t="str">
        <f>"27"</f>
        <v>27</v>
      </c>
      <c r="E5012" t="str">
        <f>"1-101-27"</f>
        <v>1-101-27</v>
      </c>
      <c r="F5012" t="s">
        <v>65</v>
      </c>
      <c r="G5012" t="s">
        <v>66</v>
      </c>
      <c r="H5012" t="s">
        <v>68</v>
      </c>
      <c r="I5012">
        <v>1</v>
      </c>
      <c r="J5012">
        <v>1</v>
      </c>
      <c r="K5012">
        <v>0</v>
      </c>
      <c r="L5012">
        <v>0</v>
      </c>
      <c r="M5012">
        <v>1</v>
      </c>
      <c r="N5012">
        <v>0</v>
      </c>
      <c r="O5012">
        <v>0</v>
      </c>
      <c r="P5012">
        <v>1</v>
      </c>
      <c r="Q5012">
        <v>1</v>
      </c>
      <c r="R5012">
        <v>1</v>
      </c>
    </row>
    <row r="5013" spans="1:18" x14ac:dyDescent="0.2">
      <c r="A5013" t="str">
        <f>"5009"</f>
        <v>5009</v>
      </c>
      <c r="B5013" t="str">
        <f t="shared" si="277"/>
        <v>1</v>
      </c>
      <c r="C5013" t="str">
        <f t="shared" si="279"/>
        <v>101</v>
      </c>
      <c r="D5013" t="str">
        <f>"16"</f>
        <v>16</v>
      </c>
      <c r="E5013" t="str">
        <f>"1-101-16"</f>
        <v>1-101-16</v>
      </c>
      <c r="F5013" t="s">
        <v>65</v>
      </c>
      <c r="G5013" t="s">
        <v>66</v>
      </c>
      <c r="H5013" t="s">
        <v>68</v>
      </c>
      <c r="I5013">
        <v>1</v>
      </c>
      <c r="J5013">
        <v>0</v>
      </c>
      <c r="K5013">
        <v>0</v>
      </c>
      <c r="L5013">
        <v>1</v>
      </c>
      <c r="M5013">
        <v>1</v>
      </c>
      <c r="N5013">
        <v>1</v>
      </c>
      <c r="O5013">
        <v>1</v>
      </c>
      <c r="P5013">
        <v>1</v>
      </c>
      <c r="Q5013">
        <v>1</v>
      </c>
      <c r="R5013">
        <v>1</v>
      </c>
    </row>
    <row r="5014" spans="1:18" x14ac:dyDescent="0.2">
      <c r="A5014" t="str">
        <f>"5010"</f>
        <v>5010</v>
      </c>
      <c r="B5014" t="str">
        <f t="shared" si="277"/>
        <v>1</v>
      </c>
      <c r="C5014" t="str">
        <f t="shared" si="279"/>
        <v>101</v>
      </c>
      <c r="D5014" t="str">
        <f>"8"</f>
        <v>8</v>
      </c>
      <c r="E5014" t="str">
        <f>"1-101-8"</f>
        <v>1-101-8</v>
      </c>
      <c r="F5014" t="s">
        <v>65</v>
      </c>
      <c r="G5014" t="s">
        <v>66</v>
      </c>
      <c r="H5014" t="s">
        <v>68</v>
      </c>
      <c r="I5014">
        <v>1</v>
      </c>
      <c r="J5014">
        <v>1</v>
      </c>
      <c r="K5014">
        <v>0</v>
      </c>
      <c r="L5014">
        <v>0</v>
      </c>
      <c r="M5014">
        <v>1</v>
      </c>
      <c r="N5014">
        <v>1</v>
      </c>
      <c r="O5014">
        <v>1</v>
      </c>
      <c r="P5014">
        <v>1</v>
      </c>
      <c r="Q5014">
        <v>1</v>
      </c>
      <c r="R5014">
        <v>1</v>
      </c>
    </row>
    <row r="5015" spans="1:18" x14ac:dyDescent="0.2">
      <c r="A5015" t="str">
        <f>"5011"</f>
        <v>5011</v>
      </c>
      <c r="B5015" t="str">
        <f t="shared" si="277"/>
        <v>1</v>
      </c>
      <c r="C5015" t="str">
        <f t="shared" si="279"/>
        <v>101</v>
      </c>
      <c r="D5015" t="str">
        <f>"31"</f>
        <v>31</v>
      </c>
      <c r="E5015" t="str">
        <f>"1-101-31"</f>
        <v>1-101-31</v>
      </c>
      <c r="F5015" t="s">
        <v>65</v>
      </c>
      <c r="G5015" t="s">
        <v>66</v>
      </c>
      <c r="H5015" t="s">
        <v>68</v>
      </c>
      <c r="I5015">
        <v>1</v>
      </c>
      <c r="J5015">
        <v>1</v>
      </c>
      <c r="K5015">
        <v>0</v>
      </c>
      <c r="L5015">
        <v>0</v>
      </c>
      <c r="M5015">
        <v>1</v>
      </c>
      <c r="N5015">
        <v>1</v>
      </c>
      <c r="O5015">
        <v>1</v>
      </c>
      <c r="P5015">
        <v>1</v>
      </c>
      <c r="Q5015">
        <v>1</v>
      </c>
      <c r="R5015">
        <v>1</v>
      </c>
    </row>
    <row r="5016" spans="1:18" x14ac:dyDescent="0.2">
      <c r="A5016" t="str">
        <f>"5012"</f>
        <v>5012</v>
      </c>
      <c r="B5016" t="str">
        <f t="shared" si="277"/>
        <v>1</v>
      </c>
      <c r="C5016" t="str">
        <f t="shared" si="279"/>
        <v>101</v>
      </c>
      <c r="D5016" t="str">
        <f>"17"</f>
        <v>17</v>
      </c>
      <c r="E5016" t="str">
        <f>"1-101-17"</f>
        <v>1-101-17</v>
      </c>
      <c r="F5016" t="s">
        <v>65</v>
      </c>
      <c r="G5016" t="s">
        <v>66</v>
      </c>
      <c r="H5016" t="s">
        <v>68</v>
      </c>
      <c r="I5016">
        <v>1</v>
      </c>
      <c r="J5016">
        <v>0</v>
      </c>
      <c r="K5016">
        <v>1</v>
      </c>
      <c r="L5016">
        <v>0</v>
      </c>
      <c r="M5016">
        <v>1</v>
      </c>
      <c r="N5016">
        <v>1</v>
      </c>
      <c r="O5016">
        <v>1</v>
      </c>
      <c r="P5016">
        <v>1</v>
      </c>
      <c r="Q5016">
        <v>1</v>
      </c>
      <c r="R5016">
        <v>1</v>
      </c>
    </row>
    <row r="5017" spans="1:18" x14ac:dyDescent="0.2">
      <c r="A5017" t="str">
        <f>"5013"</f>
        <v>5013</v>
      </c>
      <c r="B5017" t="str">
        <f t="shared" si="277"/>
        <v>1</v>
      </c>
      <c r="C5017" t="str">
        <f t="shared" si="279"/>
        <v>101</v>
      </c>
      <c r="D5017" t="str">
        <f>"1"</f>
        <v>1</v>
      </c>
      <c r="E5017" t="str">
        <f>"1-101-1"</f>
        <v>1-101-1</v>
      </c>
      <c r="F5017" t="s">
        <v>65</v>
      </c>
      <c r="G5017" t="s">
        <v>66</v>
      </c>
      <c r="H5017" t="s">
        <v>68</v>
      </c>
      <c r="I5017">
        <v>1</v>
      </c>
      <c r="J5017">
        <v>0</v>
      </c>
      <c r="K5017">
        <v>1</v>
      </c>
      <c r="L5017">
        <v>0</v>
      </c>
      <c r="M5017">
        <v>1</v>
      </c>
      <c r="N5017">
        <v>1</v>
      </c>
      <c r="O5017">
        <v>1</v>
      </c>
      <c r="P5017">
        <v>0</v>
      </c>
      <c r="Q5017">
        <v>0</v>
      </c>
      <c r="R5017">
        <v>0</v>
      </c>
    </row>
    <row r="5018" spans="1:18" x14ac:dyDescent="0.2">
      <c r="A5018" t="str">
        <f>"5014"</f>
        <v>5014</v>
      </c>
      <c r="B5018" t="str">
        <f t="shared" si="277"/>
        <v>1</v>
      </c>
      <c r="C5018" t="str">
        <f t="shared" si="279"/>
        <v>101</v>
      </c>
      <c r="D5018" t="str">
        <f>"44"</f>
        <v>44</v>
      </c>
      <c r="E5018" t="str">
        <f>"1-101-44"</f>
        <v>1-101-44</v>
      </c>
      <c r="F5018" t="s">
        <v>65</v>
      </c>
      <c r="G5018" t="s">
        <v>66</v>
      </c>
      <c r="H5018" t="s">
        <v>68</v>
      </c>
      <c r="I5018">
        <v>1</v>
      </c>
      <c r="J5018">
        <v>1</v>
      </c>
      <c r="K5018">
        <v>0</v>
      </c>
      <c r="L5018">
        <v>0</v>
      </c>
      <c r="M5018">
        <v>1</v>
      </c>
      <c r="N5018">
        <v>1</v>
      </c>
      <c r="O5018">
        <v>1</v>
      </c>
      <c r="P5018">
        <v>1</v>
      </c>
      <c r="Q5018">
        <v>1</v>
      </c>
      <c r="R5018">
        <v>1</v>
      </c>
    </row>
    <row r="5019" spans="1:18" x14ac:dyDescent="0.2">
      <c r="A5019" t="str">
        <f>"5015"</f>
        <v>5015</v>
      </c>
      <c r="B5019" t="str">
        <f t="shared" si="277"/>
        <v>1</v>
      </c>
      <c r="C5019" t="str">
        <f t="shared" si="279"/>
        <v>101</v>
      </c>
      <c r="D5019" t="str">
        <f>"43"</f>
        <v>43</v>
      </c>
      <c r="E5019" t="str">
        <f>"1-101-43"</f>
        <v>1-101-43</v>
      </c>
      <c r="F5019" t="s">
        <v>65</v>
      </c>
      <c r="G5019" t="s">
        <v>66</v>
      </c>
      <c r="H5019" t="s">
        <v>68</v>
      </c>
      <c r="I5019">
        <v>1</v>
      </c>
      <c r="J5019">
        <v>0</v>
      </c>
      <c r="K5019">
        <v>1</v>
      </c>
      <c r="L5019">
        <v>0</v>
      </c>
      <c r="M5019">
        <v>1</v>
      </c>
      <c r="N5019">
        <v>1</v>
      </c>
      <c r="O5019">
        <v>1</v>
      </c>
      <c r="P5019">
        <v>1</v>
      </c>
      <c r="Q5019">
        <v>0</v>
      </c>
      <c r="R5019">
        <v>1</v>
      </c>
    </row>
    <row r="5020" spans="1:18" x14ac:dyDescent="0.2">
      <c r="A5020" t="str">
        <f>"5016"</f>
        <v>5016</v>
      </c>
      <c r="B5020" t="str">
        <f t="shared" si="277"/>
        <v>1</v>
      </c>
      <c r="C5020" t="str">
        <f t="shared" si="279"/>
        <v>101</v>
      </c>
      <c r="D5020" t="str">
        <f>"33"</f>
        <v>33</v>
      </c>
      <c r="E5020" t="str">
        <f>"1-101-33"</f>
        <v>1-101-33</v>
      </c>
      <c r="F5020" t="s">
        <v>65</v>
      </c>
      <c r="G5020" t="s">
        <v>66</v>
      </c>
      <c r="H5020" t="s">
        <v>68</v>
      </c>
      <c r="I5020">
        <v>1</v>
      </c>
      <c r="J5020">
        <v>0</v>
      </c>
      <c r="K5020">
        <v>1</v>
      </c>
      <c r="L5020">
        <v>0</v>
      </c>
      <c r="M5020">
        <v>1</v>
      </c>
      <c r="N5020">
        <v>1</v>
      </c>
      <c r="O5020">
        <v>1</v>
      </c>
      <c r="P5020">
        <v>1</v>
      </c>
      <c r="Q5020">
        <v>1</v>
      </c>
      <c r="R5020">
        <v>1</v>
      </c>
    </row>
    <row r="5021" spans="1:18" x14ac:dyDescent="0.2">
      <c r="A5021" t="str">
        <f>"5017"</f>
        <v>5017</v>
      </c>
      <c r="B5021" t="str">
        <f t="shared" si="277"/>
        <v>1</v>
      </c>
      <c r="C5021" t="str">
        <f t="shared" si="279"/>
        <v>101</v>
      </c>
      <c r="D5021" t="str">
        <f>"18"</f>
        <v>18</v>
      </c>
      <c r="E5021" t="str">
        <f>"1-101-18"</f>
        <v>1-101-18</v>
      </c>
      <c r="F5021" t="s">
        <v>65</v>
      </c>
      <c r="G5021" t="s">
        <v>66</v>
      </c>
      <c r="H5021" t="s">
        <v>68</v>
      </c>
      <c r="I5021">
        <v>1</v>
      </c>
      <c r="J5021">
        <v>0</v>
      </c>
      <c r="K5021">
        <v>0</v>
      </c>
      <c r="L5021">
        <v>1</v>
      </c>
      <c r="M5021">
        <v>1</v>
      </c>
      <c r="N5021">
        <v>1</v>
      </c>
      <c r="O5021">
        <v>1</v>
      </c>
      <c r="P5021">
        <v>1</v>
      </c>
      <c r="Q5021">
        <v>1</v>
      </c>
      <c r="R5021">
        <v>1</v>
      </c>
    </row>
    <row r="5022" spans="1:18" x14ac:dyDescent="0.2">
      <c r="A5022" t="str">
        <f>"5018"</f>
        <v>5018</v>
      </c>
      <c r="B5022" t="str">
        <f t="shared" si="277"/>
        <v>1</v>
      </c>
      <c r="C5022" t="str">
        <f t="shared" si="279"/>
        <v>101</v>
      </c>
      <c r="D5022" t="str">
        <f>"9"</f>
        <v>9</v>
      </c>
      <c r="E5022" t="str">
        <f>"1-101-9"</f>
        <v>1-101-9</v>
      </c>
      <c r="F5022" t="s">
        <v>65</v>
      </c>
      <c r="G5022" t="s">
        <v>66</v>
      </c>
      <c r="H5022" t="s">
        <v>68</v>
      </c>
      <c r="I5022">
        <v>1</v>
      </c>
      <c r="J5022">
        <v>1</v>
      </c>
      <c r="K5022">
        <v>0</v>
      </c>
      <c r="L5022">
        <v>0</v>
      </c>
      <c r="M5022">
        <v>1</v>
      </c>
      <c r="N5022">
        <v>1</v>
      </c>
      <c r="O5022">
        <v>1</v>
      </c>
      <c r="P5022">
        <v>1</v>
      </c>
      <c r="Q5022">
        <v>1</v>
      </c>
      <c r="R5022">
        <v>1</v>
      </c>
    </row>
    <row r="5023" spans="1:18" x14ac:dyDescent="0.2">
      <c r="A5023" t="str">
        <f>"5019"</f>
        <v>5019</v>
      </c>
      <c r="B5023" t="str">
        <f t="shared" si="277"/>
        <v>1</v>
      </c>
      <c r="C5023" t="str">
        <f t="shared" si="279"/>
        <v>101</v>
      </c>
      <c r="D5023" t="str">
        <f>"46"</f>
        <v>46</v>
      </c>
      <c r="E5023" t="str">
        <f>"1-101-46"</f>
        <v>1-101-46</v>
      </c>
      <c r="F5023" t="s">
        <v>65</v>
      </c>
      <c r="G5023" t="s">
        <v>66</v>
      </c>
      <c r="H5023" t="s">
        <v>68</v>
      </c>
      <c r="I5023">
        <v>0</v>
      </c>
      <c r="J5023">
        <v>1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</row>
    <row r="5024" spans="1:18" x14ac:dyDescent="0.2">
      <c r="A5024" t="str">
        <f>"5020"</f>
        <v>5020</v>
      </c>
      <c r="B5024" t="str">
        <f t="shared" si="277"/>
        <v>1</v>
      </c>
      <c r="C5024" t="str">
        <f t="shared" si="279"/>
        <v>101</v>
      </c>
      <c r="D5024" t="str">
        <f>"45"</f>
        <v>45</v>
      </c>
      <c r="E5024" t="str">
        <f>"1-101-45"</f>
        <v>1-101-45</v>
      </c>
      <c r="F5024" t="s">
        <v>65</v>
      </c>
      <c r="G5024" t="s">
        <v>66</v>
      </c>
      <c r="H5024" t="s">
        <v>68</v>
      </c>
      <c r="I5024">
        <v>1</v>
      </c>
      <c r="J5024">
        <v>1</v>
      </c>
      <c r="K5024">
        <v>0</v>
      </c>
      <c r="L5024">
        <v>0</v>
      </c>
      <c r="M5024">
        <v>1</v>
      </c>
      <c r="N5024">
        <v>1</v>
      </c>
      <c r="O5024">
        <v>0</v>
      </c>
      <c r="P5024">
        <v>1</v>
      </c>
      <c r="Q5024">
        <v>1</v>
      </c>
      <c r="R5024">
        <v>1</v>
      </c>
    </row>
    <row r="5025" spans="1:18" x14ac:dyDescent="0.2">
      <c r="A5025" t="str">
        <f>"5021"</f>
        <v>5021</v>
      </c>
      <c r="B5025" t="str">
        <f t="shared" si="277"/>
        <v>1</v>
      </c>
      <c r="C5025" t="str">
        <f t="shared" si="279"/>
        <v>101</v>
      </c>
      <c r="D5025" t="str">
        <f>"32"</f>
        <v>32</v>
      </c>
      <c r="E5025" t="str">
        <f>"1-101-32"</f>
        <v>1-101-32</v>
      </c>
      <c r="F5025" t="s">
        <v>65</v>
      </c>
      <c r="G5025" t="s">
        <v>66</v>
      </c>
      <c r="H5025" t="s">
        <v>68</v>
      </c>
      <c r="I5025">
        <v>1</v>
      </c>
      <c r="J5025">
        <v>0</v>
      </c>
      <c r="K5025">
        <v>0</v>
      </c>
      <c r="L5025">
        <v>1</v>
      </c>
      <c r="M5025">
        <v>1</v>
      </c>
      <c r="N5025">
        <v>1</v>
      </c>
      <c r="O5025">
        <v>1</v>
      </c>
      <c r="P5025">
        <v>1</v>
      </c>
      <c r="Q5025">
        <v>1</v>
      </c>
      <c r="R5025">
        <v>1</v>
      </c>
    </row>
    <row r="5026" spans="1:18" x14ac:dyDescent="0.2">
      <c r="A5026" t="str">
        <f>"5022"</f>
        <v>5022</v>
      </c>
      <c r="B5026" t="str">
        <f t="shared" si="277"/>
        <v>1</v>
      </c>
      <c r="C5026" t="str">
        <f t="shared" si="279"/>
        <v>101</v>
      </c>
      <c r="D5026" t="str">
        <f>"19"</f>
        <v>19</v>
      </c>
      <c r="E5026" t="str">
        <f>"1-101-19"</f>
        <v>1-101-19</v>
      </c>
      <c r="F5026" t="s">
        <v>65</v>
      </c>
      <c r="G5026" t="s">
        <v>66</v>
      </c>
      <c r="H5026" t="s">
        <v>68</v>
      </c>
      <c r="I5026">
        <v>1</v>
      </c>
      <c r="J5026">
        <v>0</v>
      </c>
      <c r="K5026">
        <v>0</v>
      </c>
      <c r="L5026">
        <v>1</v>
      </c>
      <c r="M5026">
        <v>1</v>
      </c>
      <c r="N5026">
        <v>1</v>
      </c>
      <c r="O5026">
        <v>1</v>
      </c>
      <c r="P5026">
        <v>1</v>
      </c>
      <c r="Q5026">
        <v>1</v>
      </c>
      <c r="R5026">
        <v>1</v>
      </c>
    </row>
    <row r="5027" spans="1:18" x14ac:dyDescent="0.2">
      <c r="A5027" t="str">
        <f>"5023"</f>
        <v>5023</v>
      </c>
      <c r="B5027" t="str">
        <f t="shared" si="277"/>
        <v>1</v>
      </c>
      <c r="C5027" t="str">
        <f t="shared" si="279"/>
        <v>101</v>
      </c>
      <c r="D5027" t="str">
        <f>"6"</f>
        <v>6</v>
      </c>
      <c r="E5027" t="str">
        <f>"1-101-6"</f>
        <v>1-101-6</v>
      </c>
      <c r="F5027" t="s">
        <v>65</v>
      </c>
      <c r="G5027" t="s">
        <v>66</v>
      </c>
      <c r="H5027" t="s">
        <v>68</v>
      </c>
      <c r="I5027">
        <v>1</v>
      </c>
      <c r="J5027">
        <v>0</v>
      </c>
      <c r="K5027">
        <v>0</v>
      </c>
      <c r="L5027">
        <v>1</v>
      </c>
      <c r="M5027">
        <v>1</v>
      </c>
      <c r="N5027">
        <v>1</v>
      </c>
      <c r="O5027">
        <v>1</v>
      </c>
      <c r="P5027">
        <v>1</v>
      </c>
      <c r="Q5027">
        <v>1</v>
      </c>
      <c r="R5027">
        <v>1</v>
      </c>
    </row>
    <row r="5028" spans="1:18" x14ac:dyDescent="0.2">
      <c r="A5028" t="str">
        <f>"5024"</f>
        <v>5024</v>
      </c>
      <c r="B5028" t="str">
        <f t="shared" si="277"/>
        <v>1</v>
      </c>
      <c r="C5028" t="str">
        <f t="shared" si="279"/>
        <v>101</v>
      </c>
      <c r="D5028" t="str">
        <f>"50"</f>
        <v>50</v>
      </c>
      <c r="E5028" t="str">
        <f>"1-101-50"</f>
        <v>1-101-50</v>
      </c>
      <c r="F5028" t="s">
        <v>65</v>
      </c>
      <c r="G5028" t="s">
        <v>66</v>
      </c>
      <c r="H5028" t="s">
        <v>68</v>
      </c>
      <c r="I5028">
        <v>1</v>
      </c>
      <c r="J5028">
        <v>1</v>
      </c>
      <c r="K5028">
        <v>0</v>
      </c>
      <c r="L5028">
        <v>0</v>
      </c>
      <c r="M5028">
        <v>1</v>
      </c>
      <c r="N5028">
        <v>1</v>
      </c>
      <c r="O5028">
        <v>1</v>
      </c>
      <c r="P5028">
        <v>1</v>
      </c>
      <c r="Q5028">
        <v>1</v>
      </c>
      <c r="R5028">
        <v>1</v>
      </c>
    </row>
    <row r="5029" spans="1:18" x14ac:dyDescent="0.2">
      <c r="A5029" t="str">
        <f>"5025"</f>
        <v>5025</v>
      </c>
      <c r="B5029" t="str">
        <f t="shared" si="277"/>
        <v>1</v>
      </c>
      <c r="C5029" t="str">
        <f t="shared" si="279"/>
        <v>101</v>
      </c>
      <c r="D5029" t="str">
        <f>"49"</f>
        <v>49</v>
      </c>
      <c r="E5029" t="str">
        <f>"1-101-49"</f>
        <v>1-101-49</v>
      </c>
      <c r="F5029" t="s">
        <v>65</v>
      </c>
      <c r="G5029" t="s">
        <v>66</v>
      </c>
      <c r="H5029" t="s">
        <v>68</v>
      </c>
      <c r="I5029">
        <v>1</v>
      </c>
      <c r="J5029">
        <v>0</v>
      </c>
      <c r="K5029">
        <v>0</v>
      </c>
      <c r="L5029">
        <v>1</v>
      </c>
      <c r="M5029">
        <v>1</v>
      </c>
      <c r="N5029">
        <v>1</v>
      </c>
      <c r="O5029">
        <v>1</v>
      </c>
      <c r="P5029">
        <v>1</v>
      </c>
      <c r="Q5029">
        <v>1</v>
      </c>
      <c r="R5029">
        <v>1</v>
      </c>
    </row>
    <row r="5030" spans="1:18" x14ac:dyDescent="0.2">
      <c r="A5030" t="str">
        <f>"5026"</f>
        <v>5026</v>
      </c>
      <c r="B5030" t="str">
        <f t="shared" si="277"/>
        <v>1</v>
      </c>
      <c r="C5030" t="str">
        <f t="shared" si="279"/>
        <v>101</v>
      </c>
      <c r="D5030" t="str">
        <f>"34"</f>
        <v>34</v>
      </c>
      <c r="E5030" t="str">
        <f>"1-101-34"</f>
        <v>1-101-34</v>
      </c>
      <c r="F5030" t="s">
        <v>65</v>
      </c>
      <c r="G5030" t="s">
        <v>66</v>
      </c>
      <c r="H5030" t="s">
        <v>68</v>
      </c>
      <c r="I5030">
        <v>1</v>
      </c>
      <c r="J5030">
        <v>1</v>
      </c>
      <c r="K5030">
        <v>0</v>
      </c>
      <c r="L5030">
        <v>0</v>
      </c>
      <c r="M5030">
        <v>1</v>
      </c>
      <c r="N5030">
        <v>1</v>
      </c>
      <c r="O5030">
        <v>1</v>
      </c>
      <c r="P5030">
        <v>1</v>
      </c>
      <c r="Q5030">
        <v>1</v>
      </c>
      <c r="R5030">
        <v>1</v>
      </c>
    </row>
    <row r="5031" spans="1:18" x14ac:dyDescent="0.2">
      <c r="A5031" t="str">
        <f>"5027"</f>
        <v>5027</v>
      </c>
      <c r="B5031" t="str">
        <f t="shared" si="277"/>
        <v>1</v>
      </c>
      <c r="C5031" t="str">
        <f t="shared" si="279"/>
        <v>101</v>
      </c>
      <c r="D5031" t="str">
        <f>"20"</f>
        <v>20</v>
      </c>
      <c r="E5031" t="str">
        <f>"1-101-20"</f>
        <v>1-101-20</v>
      </c>
      <c r="F5031" t="s">
        <v>65</v>
      </c>
      <c r="G5031" t="s">
        <v>66</v>
      </c>
      <c r="H5031" t="s">
        <v>68</v>
      </c>
      <c r="I5031">
        <v>1</v>
      </c>
      <c r="J5031">
        <v>0</v>
      </c>
      <c r="K5031">
        <v>1</v>
      </c>
      <c r="L5031">
        <v>0</v>
      </c>
      <c r="M5031">
        <v>1</v>
      </c>
      <c r="N5031">
        <v>1</v>
      </c>
      <c r="O5031">
        <v>1</v>
      </c>
      <c r="P5031">
        <v>1</v>
      </c>
      <c r="Q5031">
        <v>1</v>
      </c>
      <c r="R5031">
        <v>1</v>
      </c>
    </row>
    <row r="5032" spans="1:18" x14ac:dyDescent="0.2">
      <c r="A5032" t="str">
        <f>"5028"</f>
        <v>5028</v>
      </c>
      <c r="B5032" t="str">
        <f t="shared" si="277"/>
        <v>1</v>
      </c>
      <c r="C5032" t="str">
        <f t="shared" si="279"/>
        <v>101</v>
      </c>
      <c r="D5032" t="str">
        <f>"10"</f>
        <v>10</v>
      </c>
      <c r="E5032" t="str">
        <f>"1-101-10"</f>
        <v>1-101-10</v>
      </c>
      <c r="F5032" t="s">
        <v>65</v>
      </c>
      <c r="G5032" t="s">
        <v>66</v>
      </c>
      <c r="H5032" t="s">
        <v>68</v>
      </c>
      <c r="I5032">
        <v>1</v>
      </c>
      <c r="J5032">
        <v>1</v>
      </c>
      <c r="K5032">
        <v>0</v>
      </c>
      <c r="L5032">
        <v>0</v>
      </c>
      <c r="M5032">
        <v>1</v>
      </c>
      <c r="N5032">
        <v>1</v>
      </c>
      <c r="O5032">
        <v>1</v>
      </c>
      <c r="P5032">
        <v>1</v>
      </c>
      <c r="Q5032">
        <v>1</v>
      </c>
      <c r="R5032">
        <v>1</v>
      </c>
    </row>
    <row r="5033" spans="1:18" x14ac:dyDescent="0.2">
      <c r="A5033" t="str">
        <f>"5029"</f>
        <v>5029</v>
      </c>
      <c r="B5033" t="str">
        <f t="shared" si="277"/>
        <v>1</v>
      </c>
      <c r="C5033" t="str">
        <f t="shared" si="279"/>
        <v>101</v>
      </c>
      <c r="D5033" t="str">
        <f>"39"</f>
        <v>39</v>
      </c>
      <c r="E5033" t="str">
        <f>"1-101-39"</f>
        <v>1-101-39</v>
      </c>
      <c r="F5033" t="s">
        <v>65</v>
      </c>
      <c r="G5033" t="s">
        <v>66</v>
      </c>
      <c r="H5033" t="s">
        <v>68</v>
      </c>
      <c r="I5033">
        <v>1</v>
      </c>
      <c r="J5033">
        <v>0</v>
      </c>
      <c r="K5033">
        <v>1</v>
      </c>
      <c r="L5033">
        <v>0</v>
      </c>
      <c r="M5033">
        <v>1</v>
      </c>
      <c r="N5033">
        <v>0</v>
      </c>
      <c r="O5033">
        <v>0</v>
      </c>
      <c r="P5033">
        <v>1</v>
      </c>
      <c r="Q5033">
        <v>1</v>
      </c>
      <c r="R5033">
        <v>1</v>
      </c>
    </row>
    <row r="5034" spans="1:18" x14ac:dyDescent="0.2">
      <c r="A5034" t="str">
        <f>"5030"</f>
        <v>5030</v>
      </c>
      <c r="B5034" t="str">
        <f t="shared" si="277"/>
        <v>1</v>
      </c>
      <c r="C5034" t="str">
        <f t="shared" si="279"/>
        <v>101</v>
      </c>
      <c r="D5034" t="str">
        <f>"21"</f>
        <v>21</v>
      </c>
      <c r="E5034" t="str">
        <f>"1-101-21"</f>
        <v>1-101-21</v>
      </c>
      <c r="F5034" t="s">
        <v>65</v>
      </c>
      <c r="G5034" t="s">
        <v>66</v>
      </c>
      <c r="H5034" t="s">
        <v>68</v>
      </c>
      <c r="I5034">
        <v>1</v>
      </c>
      <c r="J5034">
        <v>0</v>
      </c>
      <c r="K5034">
        <v>0</v>
      </c>
      <c r="L5034">
        <v>1</v>
      </c>
      <c r="M5034">
        <v>1</v>
      </c>
      <c r="N5034">
        <v>1</v>
      </c>
      <c r="O5034">
        <v>1</v>
      </c>
      <c r="P5034">
        <v>1</v>
      </c>
      <c r="Q5034">
        <v>1</v>
      </c>
      <c r="R5034">
        <v>1</v>
      </c>
    </row>
    <row r="5035" spans="1:18" x14ac:dyDescent="0.2">
      <c r="A5035" t="str">
        <f>"5031"</f>
        <v>5031</v>
      </c>
      <c r="B5035" t="str">
        <f t="shared" si="277"/>
        <v>1</v>
      </c>
      <c r="C5035" t="str">
        <f t="shared" si="279"/>
        <v>101</v>
      </c>
      <c r="D5035" t="str">
        <f>"5"</f>
        <v>5</v>
      </c>
      <c r="E5035" t="str">
        <f>"1-101-5"</f>
        <v>1-101-5</v>
      </c>
      <c r="F5035" t="s">
        <v>65</v>
      </c>
      <c r="G5035" t="s">
        <v>66</v>
      </c>
      <c r="H5035" t="s">
        <v>68</v>
      </c>
      <c r="I5035">
        <v>1</v>
      </c>
      <c r="J5035">
        <v>0</v>
      </c>
      <c r="K5035">
        <v>0</v>
      </c>
      <c r="L5035">
        <v>1</v>
      </c>
      <c r="M5035">
        <v>1</v>
      </c>
      <c r="N5035">
        <v>1</v>
      </c>
      <c r="O5035">
        <v>1</v>
      </c>
      <c r="P5035">
        <v>0</v>
      </c>
      <c r="Q5035">
        <v>0</v>
      </c>
      <c r="R5035">
        <v>0</v>
      </c>
    </row>
    <row r="5036" spans="1:18" x14ac:dyDescent="0.2">
      <c r="A5036" t="str">
        <f>"5032"</f>
        <v>5032</v>
      </c>
      <c r="B5036" t="str">
        <f t="shared" si="277"/>
        <v>1</v>
      </c>
      <c r="C5036" t="str">
        <f t="shared" si="279"/>
        <v>101</v>
      </c>
      <c r="D5036" t="str">
        <f>"23"</f>
        <v>23</v>
      </c>
      <c r="E5036" t="str">
        <f>"1-101-23"</f>
        <v>1-101-23</v>
      </c>
      <c r="F5036" t="s">
        <v>65</v>
      </c>
      <c r="G5036" t="s">
        <v>66</v>
      </c>
      <c r="H5036" t="s">
        <v>68</v>
      </c>
      <c r="I5036">
        <v>1</v>
      </c>
      <c r="J5036">
        <v>0</v>
      </c>
      <c r="K5036">
        <v>0</v>
      </c>
      <c r="L5036">
        <v>1</v>
      </c>
      <c r="M5036">
        <v>1</v>
      </c>
      <c r="N5036">
        <v>1</v>
      </c>
      <c r="O5036">
        <v>0</v>
      </c>
      <c r="P5036">
        <v>1</v>
      </c>
      <c r="Q5036">
        <v>1</v>
      </c>
      <c r="R5036">
        <v>1</v>
      </c>
    </row>
    <row r="5037" spans="1:18" x14ac:dyDescent="0.2">
      <c r="A5037" t="str">
        <f>"5033"</f>
        <v>5033</v>
      </c>
      <c r="B5037" t="str">
        <f t="shared" si="277"/>
        <v>1</v>
      </c>
      <c r="C5037" t="str">
        <f t="shared" ref="C5037:C5054" si="280">"101"</f>
        <v>101</v>
      </c>
      <c r="D5037" t="str">
        <f>"14"</f>
        <v>14</v>
      </c>
      <c r="E5037" t="str">
        <f>"1-101-14"</f>
        <v>1-101-14</v>
      </c>
      <c r="F5037" t="s">
        <v>65</v>
      </c>
      <c r="G5037" t="s">
        <v>66</v>
      </c>
      <c r="H5037" t="s">
        <v>68</v>
      </c>
      <c r="I5037">
        <v>0</v>
      </c>
      <c r="J5037">
        <v>0</v>
      </c>
      <c r="K5037">
        <v>1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</row>
    <row r="5038" spans="1:18" x14ac:dyDescent="0.2">
      <c r="A5038" t="str">
        <f>"5034"</f>
        <v>5034</v>
      </c>
      <c r="B5038" t="str">
        <f t="shared" si="277"/>
        <v>1</v>
      </c>
      <c r="C5038" t="str">
        <f t="shared" si="280"/>
        <v>101</v>
      </c>
      <c r="D5038" t="str">
        <f>"41"</f>
        <v>41</v>
      </c>
      <c r="E5038" t="str">
        <f>"1-101-41"</f>
        <v>1-101-41</v>
      </c>
      <c r="F5038" t="s">
        <v>65</v>
      </c>
      <c r="G5038" t="s">
        <v>66</v>
      </c>
      <c r="H5038" t="s">
        <v>68</v>
      </c>
      <c r="I5038">
        <v>1</v>
      </c>
      <c r="J5038">
        <v>0</v>
      </c>
      <c r="K5038">
        <v>0</v>
      </c>
      <c r="L5038">
        <v>1</v>
      </c>
      <c r="M5038">
        <v>1</v>
      </c>
      <c r="N5038">
        <v>1</v>
      </c>
      <c r="O5038">
        <v>1</v>
      </c>
      <c r="P5038">
        <v>1</v>
      </c>
      <c r="Q5038">
        <v>1</v>
      </c>
      <c r="R5038">
        <v>1</v>
      </c>
    </row>
    <row r="5039" spans="1:18" x14ac:dyDescent="0.2">
      <c r="A5039" t="str">
        <f>"5035"</f>
        <v>5035</v>
      </c>
      <c r="B5039" t="str">
        <f t="shared" si="277"/>
        <v>1</v>
      </c>
      <c r="C5039" t="str">
        <f t="shared" si="280"/>
        <v>101</v>
      </c>
      <c r="D5039" t="str">
        <f>"24"</f>
        <v>24</v>
      </c>
      <c r="E5039" t="str">
        <f>"1-101-24"</f>
        <v>1-101-24</v>
      </c>
      <c r="F5039" t="s">
        <v>65</v>
      </c>
      <c r="G5039" t="s">
        <v>66</v>
      </c>
      <c r="H5039" t="s">
        <v>68</v>
      </c>
      <c r="I5039">
        <v>1</v>
      </c>
      <c r="J5039">
        <v>0</v>
      </c>
      <c r="K5039">
        <v>0</v>
      </c>
      <c r="L5039">
        <v>1</v>
      </c>
      <c r="M5039">
        <v>0</v>
      </c>
      <c r="N5039">
        <v>1</v>
      </c>
      <c r="O5039">
        <v>1</v>
      </c>
      <c r="P5039">
        <v>1</v>
      </c>
      <c r="Q5039">
        <v>1</v>
      </c>
      <c r="R5039">
        <v>1</v>
      </c>
    </row>
    <row r="5040" spans="1:18" x14ac:dyDescent="0.2">
      <c r="A5040" t="str">
        <f>"5036"</f>
        <v>5036</v>
      </c>
      <c r="B5040" t="str">
        <f t="shared" si="277"/>
        <v>1</v>
      </c>
      <c r="C5040" t="str">
        <f t="shared" si="280"/>
        <v>101</v>
      </c>
      <c r="D5040" t="str">
        <f>"12"</f>
        <v>12</v>
      </c>
      <c r="E5040" t="str">
        <f>"1-101-12"</f>
        <v>1-101-12</v>
      </c>
      <c r="F5040" t="s">
        <v>65</v>
      </c>
      <c r="G5040" t="s">
        <v>66</v>
      </c>
      <c r="H5040" t="s">
        <v>68</v>
      </c>
      <c r="I5040">
        <v>1</v>
      </c>
      <c r="J5040">
        <v>1</v>
      </c>
      <c r="K5040">
        <v>0</v>
      </c>
      <c r="L5040">
        <v>0</v>
      </c>
      <c r="M5040">
        <v>1</v>
      </c>
      <c r="N5040">
        <v>1</v>
      </c>
      <c r="O5040">
        <v>1</v>
      </c>
      <c r="P5040">
        <v>1</v>
      </c>
      <c r="Q5040">
        <v>1</v>
      </c>
      <c r="R5040">
        <v>1</v>
      </c>
    </row>
    <row r="5041" spans="1:18" x14ac:dyDescent="0.2">
      <c r="A5041" t="str">
        <f>"5037"</f>
        <v>5037</v>
      </c>
      <c r="B5041" t="str">
        <f t="shared" si="277"/>
        <v>1</v>
      </c>
      <c r="C5041" t="str">
        <f t="shared" si="280"/>
        <v>101</v>
      </c>
      <c r="D5041" t="str">
        <f>"25"</f>
        <v>25</v>
      </c>
      <c r="E5041" t="str">
        <f>"1-101-25"</f>
        <v>1-101-25</v>
      </c>
      <c r="F5041" t="s">
        <v>65</v>
      </c>
      <c r="G5041" t="s">
        <v>66</v>
      </c>
      <c r="H5041" t="s">
        <v>68</v>
      </c>
      <c r="I5041">
        <v>1</v>
      </c>
      <c r="J5041">
        <v>0</v>
      </c>
      <c r="K5041">
        <v>1</v>
      </c>
      <c r="L5041">
        <v>0</v>
      </c>
      <c r="M5041">
        <v>1</v>
      </c>
      <c r="N5041">
        <v>1</v>
      </c>
      <c r="O5041">
        <v>1</v>
      </c>
      <c r="P5041">
        <v>1</v>
      </c>
      <c r="Q5041">
        <v>1</v>
      </c>
      <c r="R5041">
        <v>1</v>
      </c>
    </row>
    <row r="5042" spans="1:18" x14ac:dyDescent="0.2">
      <c r="A5042" t="str">
        <f>"5038"</f>
        <v>5038</v>
      </c>
      <c r="B5042" t="str">
        <f t="shared" si="277"/>
        <v>1</v>
      </c>
      <c r="C5042" t="str">
        <f t="shared" si="280"/>
        <v>101</v>
      </c>
      <c r="D5042" t="str">
        <f>"2"</f>
        <v>2</v>
      </c>
      <c r="E5042" t="str">
        <f>"1-101-2"</f>
        <v>1-101-2</v>
      </c>
      <c r="F5042" t="s">
        <v>65</v>
      </c>
      <c r="G5042" t="s">
        <v>66</v>
      </c>
      <c r="H5042" t="s">
        <v>68</v>
      </c>
      <c r="I5042">
        <v>0</v>
      </c>
      <c r="J5042">
        <v>1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</row>
    <row r="5043" spans="1:18" x14ac:dyDescent="0.2">
      <c r="A5043" t="str">
        <f>"5039"</f>
        <v>5039</v>
      </c>
      <c r="B5043" t="str">
        <f t="shared" si="277"/>
        <v>1</v>
      </c>
      <c r="C5043" t="str">
        <f t="shared" si="280"/>
        <v>101</v>
      </c>
      <c r="D5043" t="str">
        <f>"42"</f>
        <v>42</v>
      </c>
      <c r="E5043" t="str">
        <f>"1-101-42"</f>
        <v>1-101-42</v>
      </c>
      <c r="F5043" t="s">
        <v>65</v>
      </c>
      <c r="G5043" t="s">
        <v>66</v>
      </c>
      <c r="H5043" t="s">
        <v>68</v>
      </c>
      <c r="I5043">
        <v>1</v>
      </c>
      <c r="J5043">
        <v>1</v>
      </c>
      <c r="K5043">
        <v>0</v>
      </c>
      <c r="L5043">
        <v>0</v>
      </c>
      <c r="M5043">
        <v>1</v>
      </c>
      <c r="N5043">
        <v>1</v>
      </c>
      <c r="O5043">
        <v>1</v>
      </c>
      <c r="P5043">
        <v>1</v>
      </c>
      <c r="Q5043">
        <v>1</v>
      </c>
      <c r="R5043">
        <v>1</v>
      </c>
    </row>
    <row r="5044" spans="1:18" x14ac:dyDescent="0.2">
      <c r="A5044" t="str">
        <f>"5040"</f>
        <v>5040</v>
      </c>
      <c r="B5044" t="str">
        <f t="shared" si="277"/>
        <v>1</v>
      </c>
      <c r="C5044" t="str">
        <f t="shared" si="280"/>
        <v>101</v>
      </c>
      <c r="D5044" t="str">
        <f>"26"</f>
        <v>26</v>
      </c>
      <c r="E5044" t="str">
        <f>"1-101-26"</f>
        <v>1-101-26</v>
      </c>
      <c r="F5044" t="s">
        <v>65</v>
      </c>
      <c r="G5044" t="s">
        <v>66</v>
      </c>
      <c r="H5044" t="s">
        <v>68</v>
      </c>
      <c r="I5044">
        <v>1</v>
      </c>
      <c r="J5044">
        <v>1</v>
      </c>
      <c r="K5044">
        <v>0</v>
      </c>
      <c r="L5044">
        <v>0</v>
      </c>
      <c r="M5044">
        <v>1</v>
      </c>
      <c r="N5044">
        <v>1</v>
      </c>
      <c r="O5044">
        <v>1</v>
      </c>
      <c r="P5044">
        <v>1</v>
      </c>
      <c r="Q5044">
        <v>0</v>
      </c>
      <c r="R5044">
        <v>0</v>
      </c>
    </row>
    <row r="5045" spans="1:18" x14ac:dyDescent="0.2">
      <c r="A5045" t="str">
        <f>"5041"</f>
        <v>5041</v>
      </c>
      <c r="B5045" t="str">
        <f t="shared" si="277"/>
        <v>1</v>
      </c>
      <c r="C5045" t="str">
        <f t="shared" si="280"/>
        <v>101</v>
      </c>
      <c r="D5045" t="str">
        <f>"11"</f>
        <v>11</v>
      </c>
      <c r="E5045" t="str">
        <f>"1-101-11"</f>
        <v>1-101-11</v>
      </c>
      <c r="F5045" t="s">
        <v>65</v>
      </c>
      <c r="G5045" t="s">
        <v>66</v>
      </c>
      <c r="H5045" t="s">
        <v>68</v>
      </c>
      <c r="I5045">
        <v>1</v>
      </c>
      <c r="J5045">
        <v>0</v>
      </c>
      <c r="K5045">
        <v>0</v>
      </c>
      <c r="L5045">
        <v>1</v>
      </c>
      <c r="M5045">
        <v>1</v>
      </c>
      <c r="N5045">
        <v>1</v>
      </c>
      <c r="O5045">
        <v>1</v>
      </c>
      <c r="P5045">
        <v>1</v>
      </c>
      <c r="Q5045">
        <v>1</v>
      </c>
      <c r="R5045">
        <v>1</v>
      </c>
    </row>
    <row r="5046" spans="1:18" x14ac:dyDescent="0.2">
      <c r="A5046" t="str">
        <f>"5042"</f>
        <v>5042</v>
      </c>
      <c r="B5046" t="str">
        <f t="shared" si="277"/>
        <v>1</v>
      </c>
      <c r="C5046" t="str">
        <f t="shared" si="280"/>
        <v>101</v>
      </c>
      <c r="D5046" t="str">
        <f>"47"</f>
        <v>47</v>
      </c>
      <c r="E5046" t="str">
        <f>"1-101-47"</f>
        <v>1-101-47</v>
      </c>
      <c r="F5046" t="s">
        <v>65</v>
      </c>
      <c r="G5046" t="s">
        <v>66</v>
      </c>
      <c r="H5046" t="s">
        <v>68</v>
      </c>
      <c r="I5046">
        <v>1</v>
      </c>
      <c r="J5046">
        <v>1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</row>
    <row r="5047" spans="1:18" x14ac:dyDescent="0.2">
      <c r="A5047" t="str">
        <f>"5043"</f>
        <v>5043</v>
      </c>
      <c r="B5047" t="str">
        <f t="shared" ref="B5047:B5110" si="281">"1"</f>
        <v>1</v>
      </c>
      <c r="C5047" t="str">
        <f t="shared" si="280"/>
        <v>101</v>
      </c>
      <c r="D5047" t="str">
        <f>"28"</f>
        <v>28</v>
      </c>
      <c r="E5047" t="str">
        <f>"1-101-28"</f>
        <v>1-101-28</v>
      </c>
      <c r="F5047" t="s">
        <v>65</v>
      </c>
      <c r="G5047" t="s">
        <v>66</v>
      </c>
      <c r="H5047" t="s">
        <v>68</v>
      </c>
      <c r="I5047">
        <v>1</v>
      </c>
      <c r="J5047">
        <v>0</v>
      </c>
      <c r="K5047">
        <v>1</v>
      </c>
      <c r="L5047">
        <v>0</v>
      </c>
      <c r="M5047">
        <v>1</v>
      </c>
      <c r="N5047">
        <v>1</v>
      </c>
      <c r="O5047">
        <v>1</v>
      </c>
      <c r="P5047">
        <v>1</v>
      </c>
      <c r="Q5047">
        <v>1</v>
      </c>
      <c r="R5047">
        <v>1</v>
      </c>
    </row>
    <row r="5048" spans="1:18" x14ac:dyDescent="0.2">
      <c r="A5048" t="str">
        <f>"5044"</f>
        <v>5044</v>
      </c>
      <c r="B5048" t="str">
        <f t="shared" si="281"/>
        <v>1</v>
      </c>
      <c r="C5048" t="str">
        <f t="shared" si="280"/>
        <v>101</v>
      </c>
      <c r="D5048" t="str">
        <f>"7"</f>
        <v>7</v>
      </c>
      <c r="E5048" t="str">
        <f>"1-101-7"</f>
        <v>1-101-7</v>
      </c>
      <c r="F5048" t="s">
        <v>65</v>
      </c>
      <c r="G5048" t="s">
        <v>66</v>
      </c>
      <c r="H5048" t="s">
        <v>68</v>
      </c>
      <c r="I5048">
        <v>1</v>
      </c>
      <c r="J5048">
        <v>0</v>
      </c>
      <c r="K5048">
        <v>0</v>
      </c>
      <c r="L5048">
        <v>1</v>
      </c>
      <c r="M5048">
        <v>1</v>
      </c>
      <c r="N5048">
        <v>1</v>
      </c>
      <c r="O5048">
        <v>1</v>
      </c>
      <c r="P5048">
        <v>1</v>
      </c>
      <c r="Q5048">
        <v>1</v>
      </c>
      <c r="R5048">
        <v>1</v>
      </c>
    </row>
    <row r="5049" spans="1:18" x14ac:dyDescent="0.2">
      <c r="A5049" t="str">
        <f>"5045"</f>
        <v>5045</v>
      </c>
      <c r="B5049" t="str">
        <f t="shared" si="281"/>
        <v>1</v>
      </c>
      <c r="C5049" t="str">
        <f t="shared" si="280"/>
        <v>101</v>
      </c>
      <c r="D5049" t="str">
        <f>"29"</f>
        <v>29</v>
      </c>
      <c r="E5049" t="str">
        <f>"1-101-29"</f>
        <v>1-101-29</v>
      </c>
      <c r="F5049" t="s">
        <v>65</v>
      </c>
      <c r="G5049" t="s">
        <v>66</v>
      </c>
      <c r="H5049" t="s">
        <v>68</v>
      </c>
      <c r="I5049">
        <v>1</v>
      </c>
      <c r="J5049">
        <v>0</v>
      </c>
      <c r="K5049">
        <v>0</v>
      </c>
      <c r="L5049">
        <v>1</v>
      </c>
      <c r="M5049">
        <v>1</v>
      </c>
      <c r="N5049">
        <v>1</v>
      </c>
      <c r="O5049">
        <v>1</v>
      </c>
      <c r="P5049">
        <v>1</v>
      </c>
      <c r="Q5049">
        <v>1</v>
      </c>
      <c r="R5049">
        <v>1</v>
      </c>
    </row>
    <row r="5050" spans="1:18" x14ac:dyDescent="0.2">
      <c r="A5050" t="str">
        <f>"5046"</f>
        <v>5046</v>
      </c>
      <c r="B5050" t="str">
        <f t="shared" si="281"/>
        <v>1</v>
      </c>
      <c r="C5050" t="str">
        <f t="shared" si="280"/>
        <v>101</v>
      </c>
      <c r="D5050" t="str">
        <f>"4"</f>
        <v>4</v>
      </c>
      <c r="E5050" t="str">
        <f>"1-101-4"</f>
        <v>1-101-4</v>
      </c>
      <c r="F5050" t="s">
        <v>65</v>
      </c>
      <c r="G5050" t="s">
        <v>66</v>
      </c>
      <c r="H5050" t="s">
        <v>68</v>
      </c>
      <c r="I5050">
        <v>1</v>
      </c>
      <c r="J5050">
        <v>1</v>
      </c>
      <c r="K5050">
        <v>0</v>
      </c>
      <c r="L5050">
        <v>0</v>
      </c>
      <c r="M5050">
        <v>1</v>
      </c>
      <c r="N5050">
        <v>1</v>
      </c>
      <c r="O5050">
        <v>1</v>
      </c>
      <c r="P5050">
        <v>1</v>
      </c>
      <c r="Q5050">
        <v>1</v>
      </c>
      <c r="R5050">
        <v>1</v>
      </c>
    </row>
    <row r="5051" spans="1:18" x14ac:dyDescent="0.2">
      <c r="A5051" t="str">
        <f>"5047"</f>
        <v>5047</v>
      </c>
      <c r="B5051" t="str">
        <f t="shared" si="281"/>
        <v>1</v>
      </c>
      <c r="C5051" t="str">
        <f t="shared" si="280"/>
        <v>101</v>
      </c>
      <c r="D5051" t="str">
        <f>"30"</f>
        <v>30</v>
      </c>
      <c r="E5051" t="str">
        <f>"1-101-30"</f>
        <v>1-101-30</v>
      </c>
      <c r="F5051" t="s">
        <v>65</v>
      </c>
      <c r="G5051" t="s">
        <v>66</v>
      </c>
      <c r="H5051" t="s">
        <v>68</v>
      </c>
      <c r="I5051">
        <v>1</v>
      </c>
      <c r="J5051">
        <v>0</v>
      </c>
      <c r="K5051">
        <v>0</v>
      </c>
      <c r="L5051">
        <v>1</v>
      </c>
      <c r="M5051">
        <v>1</v>
      </c>
      <c r="N5051">
        <v>1</v>
      </c>
      <c r="O5051">
        <v>1</v>
      </c>
      <c r="P5051">
        <v>1</v>
      </c>
      <c r="Q5051">
        <v>1</v>
      </c>
      <c r="R5051">
        <v>1</v>
      </c>
    </row>
    <row r="5052" spans="1:18" x14ac:dyDescent="0.2">
      <c r="A5052" t="str">
        <f>"5048"</f>
        <v>5048</v>
      </c>
      <c r="B5052" t="str">
        <f t="shared" si="281"/>
        <v>1</v>
      </c>
      <c r="C5052" t="str">
        <f t="shared" si="280"/>
        <v>101</v>
      </c>
      <c r="D5052" t="str">
        <f>"13"</f>
        <v>13</v>
      </c>
      <c r="E5052" t="str">
        <f>"1-101-13"</f>
        <v>1-101-13</v>
      </c>
      <c r="F5052" t="s">
        <v>65</v>
      </c>
      <c r="G5052" t="s">
        <v>66</v>
      </c>
      <c r="H5052" t="s">
        <v>68</v>
      </c>
      <c r="I5052">
        <v>1</v>
      </c>
      <c r="J5052">
        <v>1</v>
      </c>
      <c r="K5052">
        <v>0</v>
      </c>
      <c r="L5052">
        <v>0</v>
      </c>
      <c r="M5052">
        <v>1</v>
      </c>
      <c r="N5052">
        <v>1</v>
      </c>
      <c r="O5052">
        <v>1</v>
      </c>
      <c r="P5052">
        <v>1</v>
      </c>
      <c r="Q5052">
        <v>1</v>
      </c>
      <c r="R5052">
        <v>1</v>
      </c>
    </row>
    <row r="5053" spans="1:18" x14ac:dyDescent="0.2">
      <c r="A5053" t="str">
        <f>"5049"</f>
        <v>5049</v>
      </c>
      <c r="B5053" t="str">
        <f t="shared" si="281"/>
        <v>1</v>
      </c>
      <c r="C5053" t="str">
        <f t="shared" si="280"/>
        <v>101</v>
      </c>
      <c r="D5053" t="str">
        <f>"40"</f>
        <v>40</v>
      </c>
      <c r="E5053" t="str">
        <f>"1-101-40"</f>
        <v>1-101-40</v>
      </c>
      <c r="F5053" t="s">
        <v>65</v>
      </c>
      <c r="G5053" t="s">
        <v>66</v>
      </c>
      <c r="H5053" t="s">
        <v>68</v>
      </c>
      <c r="I5053">
        <v>1</v>
      </c>
      <c r="J5053">
        <v>1</v>
      </c>
      <c r="K5053">
        <v>0</v>
      </c>
      <c r="L5053">
        <v>0</v>
      </c>
      <c r="M5053">
        <v>1</v>
      </c>
      <c r="N5053">
        <v>1</v>
      </c>
      <c r="O5053">
        <v>0</v>
      </c>
      <c r="P5053">
        <v>1</v>
      </c>
      <c r="Q5053">
        <v>1</v>
      </c>
      <c r="R5053">
        <v>1</v>
      </c>
    </row>
    <row r="5054" spans="1:18" x14ac:dyDescent="0.2">
      <c r="A5054" t="str">
        <f>"5050"</f>
        <v>5050</v>
      </c>
      <c r="B5054" t="str">
        <f t="shared" si="281"/>
        <v>1</v>
      </c>
      <c r="C5054" t="str">
        <f t="shared" si="280"/>
        <v>101</v>
      </c>
      <c r="D5054" t="str">
        <f>"48"</f>
        <v>48</v>
      </c>
      <c r="E5054" t="str">
        <f>"1-101-48"</f>
        <v>1-101-48</v>
      </c>
      <c r="F5054" t="s">
        <v>65</v>
      </c>
      <c r="G5054" t="s">
        <v>66</v>
      </c>
      <c r="H5054" t="s">
        <v>68</v>
      </c>
      <c r="I5054">
        <v>1</v>
      </c>
      <c r="J5054">
        <v>0</v>
      </c>
      <c r="K5054">
        <v>1</v>
      </c>
      <c r="L5054">
        <v>0</v>
      </c>
      <c r="M5054">
        <v>1</v>
      </c>
      <c r="N5054">
        <v>1</v>
      </c>
      <c r="O5054">
        <v>1</v>
      </c>
      <c r="P5054">
        <v>1</v>
      </c>
      <c r="Q5054">
        <v>1</v>
      </c>
      <c r="R5054">
        <v>1</v>
      </c>
    </row>
    <row r="5055" spans="1:18" x14ac:dyDescent="0.2">
      <c r="A5055" t="str">
        <f>"5051"</f>
        <v>5051</v>
      </c>
      <c r="B5055" t="str">
        <f t="shared" si="281"/>
        <v>1</v>
      </c>
      <c r="C5055" t="str">
        <f t="shared" ref="C5055:C5086" si="282">"102"</f>
        <v>102</v>
      </c>
      <c r="D5055" t="str">
        <f>"36"</f>
        <v>36</v>
      </c>
      <c r="E5055" t="str">
        <f>"1-102-36"</f>
        <v>1-102-36</v>
      </c>
      <c r="F5055" t="s">
        <v>65</v>
      </c>
      <c r="G5055" t="s">
        <v>66</v>
      </c>
      <c r="H5055" t="s">
        <v>68</v>
      </c>
      <c r="I5055">
        <v>1</v>
      </c>
      <c r="J5055">
        <v>0</v>
      </c>
      <c r="K5055">
        <v>0</v>
      </c>
      <c r="L5055">
        <v>1</v>
      </c>
      <c r="M5055">
        <v>1</v>
      </c>
      <c r="N5055">
        <v>1</v>
      </c>
      <c r="O5055">
        <v>1</v>
      </c>
      <c r="P5055">
        <v>1</v>
      </c>
      <c r="Q5055">
        <v>1</v>
      </c>
      <c r="R5055">
        <v>1</v>
      </c>
    </row>
    <row r="5056" spans="1:18" x14ac:dyDescent="0.2">
      <c r="A5056" t="str">
        <f>"5052"</f>
        <v>5052</v>
      </c>
      <c r="B5056" t="str">
        <f t="shared" si="281"/>
        <v>1</v>
      </c>
      <c r="C5056" t="str">
        <f t="shared" si="282"/>
        <v>102</v>
      </c>
      <c r="D5056" t="str">
        <f>"35"</f>
        <v>35</v>
      </c>
      <c r="E5056" t="str">
        <f>"1-102-35"</f>
        <v>1-102-35</v>
      </c>
      <c r="F5056" t="s">
        <v>65</v>
      </c>
      <c r="G5056" t="s">
        <v>66</v>
      </c>
      <c r="H5056" t="s">
        <v>68</v>
      </c>
      <c r="I5056">
        <v>1</v>
      </c>
      <c r="J5056">
        <v>0</v>
      </c>
      <c r="K5056">
        <v>1</v>
      </c>
      <c r="L5056">
        <v>0</v>
      </c>
      <c r="M5056">
        <v>1</v>
      </c>
      <c r="N5056">
        <v>1</v>
      </c>
      <c r="O5056">
        <v>1</v>
      </c>
      <c r="P5056">
        <v>1</v>
      </c>
      <c r="Q5056">
        <v>1</v>
      </c>
      <c r="R5056">
        <v>1</v>
      </c>
    </row>
    <row r="5057" spans="1:18" x14ac:dyDescent="0.2">
      <c r="A5057" t="str">
        <f>"5053"</f>
        <v>5053</v>
      </c>
      <c r="B5057" t="str">
        <f t="shared" si="281"/>
        <v>1</v>
      </c>
      <c r="C5057" t="str">
        <f t="shared" si="282"/>
        <v>102</v>
      </c>
      <c r="D5057" t="str">
        <f>"23"</f>
        <v>23</v>
      </c>
      <c r="E5057" t="str">
        <f>"1-102-23"</f>
        <v>1-102-23</v>
      </c>
      <c r="F5057" t="s">
        <v>65</v>
      </c>
      <c r="G5057" t="s">
        <v>66</v>
      </c>
      <c r="H5057" t="s">
        <v>68</v>
      </c>
      <c r="I5057">
        <v>1</v>
      </c>
      <c r="J5057">
        <v>0</v>
      </c>
      <c r="K5057">
        <v>0</v>
      </c>
      <c r="L5057">
        <v>1</v>
      </c>
      <c r="M5057">
        <v>1</v>
      </c>
      <c r="N5057">
        <v>1</v>
      </c>
      <c r="O5057">
        <v>1</v>
      </c>
      <c r="P5057">
        <v>1</v>
      </c>
      <c r="Q5057">
        <v>1</v>
      </c>
      <c r="R5057">
        <v>1</v>
      </c>
    </row>
    <row r="5058" spans="1:18" x14ac:dyDescent="0.2">
      <c r="A5058" t="str">
        <f>"5054"</f>
        <v>5054</v>
      </c>
      <c r="B5058" t="str">
        <f t="shared" si="281"/>
        <v>1</v>
      </c>
      <c r="C5058" t="str">
        <f t="shared" si="282"/>
        <v>102</v>
      </c>
      <c r="D5058" t="str">
        <f>"15"</f>
        <v>15</v>
      </c>
      <c r="E5058" t="str">
        <f>"1-102-15"</f>
        <v>1-102-15</v>
      </c>
      <c r="F5058" t="s">
        <v>65</v>
      </c>
      <c r="G5058" t="s">
        <v>66</v>
      </c>
      <c r="H5058" t="s">
        <v>68</v>
      </c>
      <c r="I5058">
        <v>1</v>
      </c>
      <c r="J5058">
        <v>0</v>
      </c>
      <c r="K5058">
        <v>0</v>
      </c>
      <c r="L5058">
        <v>1</v>
      </c>
      <c r="M5058">
        <v>1</v>
      </c>
      <c r="N5058">
        <v>1</v>
      </c>
      <c r="O5058">
        <v>1</v>
      </c>
      <c r="P5058">
        <v>1</v>
      </c>
      <c r="Q5058">
        <v>1</v>
      </c>
      <c r="R5058">
        <v>1</v>
      </c>
    </row>
    <row r="5059" spans="1:18" x14ac:dyDescent="0.2">
      <c r="A5059" t="str">
        <f>"5055"</f>
        <v>5055</v>
      </c>
      <c r="B5059" t="str">
        <f t="shared" si="281"/>
        <v>1</v>
      </c>
      <c r="C5059" t="str">
        <f t="shared" si="282"/>
        <v>102</v>
      </c>
      <c r="D5059" t="str">
        <f>"5"</f>
        <v>5</v>
      </c>
      <c r="E5059" t="str">
        <f>"1-102-5"</f>
        <v>1-102-5</v>
      </c>
      <c r="F5059" t="s">
        <v>65</v>
      </c>
      <c r="G5059" t="s">
        <v>66</v>
      </c>
      <c r="H5059" t="s">
        <v>68</v>
      </c>
      <c r="I5059">
        <v>1</v>
      </c>
      <c r="J5059">
        <v>0</v>
      </c>
      <c r="K5059">
        <v>0</v>
      </c>
      <c r="L5059">
        <v>0</v>
      </c>
      <c r="M5059">
        <v>1</v>
      </c>
      <c r="N5059">
        <v>1</v>
      </c>
      <c r="O5059">
        <v>1</v>
      </c>
      <c r="P5059">
        <v>1</v>
      </c>
      <c r="Q5059">
        <v>1</v>
      </c>
      <c r="R5059">
        <v>0</v>
      </c>
    </row>
    <row r="5060" spans="1:18" x14ac:dyDescent="0.2">
      <c r="A5060" t="str">
        <f>"5056"</f>
        <v>5056</v>
      </c>
      <c r="B5060" t="str">
        <f t="shared" si="281"/>
        <v>1</v>
      </c>
      <c r="C5060" t="str">
        <f t="shared" si="282"/>
        <v>102</v>
      </c>
      <c r="D5060" t="str">
        <f>"38"</f>
        <v>38</v>
      </c>
      <c r="E5060" t="str">
        <f>"1-102-38"</f>
        <v>1-102-38</v>
      </c>
      <c r="F5060" t="s">
        <v>65</v>
      </c>
      <c r="G5060" t="s">
        <v>66</v>
      </c>
      <c r="H5060" t="s">
        <v>68</v>
      </c>
      <c r="I5060">
        <v>1</v>
      </c>
      <c r="J5060">
        <v>1</v>
      </c>
      <c r="K5060">
        <v>0</v>
      </c>
      <c r="L5060">
        <v>0</v>
      </c>
      <c r="M5060">
        <v>1</v>
      </c>
      <c r="N5060">
        <v>1</v>
      </c>
      <c r="O5060">
        <v>1</v>
      </c>
      <c r="P5060">
        <v>1</v>
      </c>
      <c r="Q5060">
        <v>1</v>
      </c>
      <c r="R5060">
        <v>1</v>
      </c>
    </row>
    <row r="5061" spans="1:18" x14ac:dyDescent="0.2">
      <c r="A5061" t="str">
        <f>"5057"</f>
        <v>5057</v>
      </c>
      <c r="B5061" t="str">
        <f t="shared" si="281"/>
        <v>1</v>
      </c>
      <c r="C5061" t="str">
        <f t="shared" si="282"/>
        <v>102</v>
      </c>
      <c r="D5061" t="str">
        <f>"37"</f>
        <v>37</v>
      </c>
      <c r="E5061" t="str">
        <f>"1-102-37"</f>
        <v>1-102-37</v>
      </c>
      <c r="F5061" t="s">
        <v>65</v>
      </c>
      <c r="G5061" t="s">
        <v>66</v>
      </c>
      <c r="H5061" t="s">
        <v>68</v>
      </c>
      <c r="I5061">
        <v>1</v>
      </c>
      <c r="J5061">
        <v>1</v>
      </c>
      <c r="K5061">
        <v>0</v>
      </c>
      <c r="L5061">
        <v>0</v>
      </c>
      <c r="M5061">
        <v>1</v>
      </c>
      <c r="N5061">
        <v>1</v>
      </c>
      <c r="O5061">
        <v>1</v>
      </c>
      <c r="P5061">
        <v>1</v>
      </c>
      <c r="Q5061">
        <v>1</v>
      </c>
      <c r="R5061">
        <v>1</v>
      </c>
    </row>
    <row r="5062" spans="1:18" x14ac:dyDescent="0.2">
      <c r="A5062" t="str">
        <f>"5058"</f>
        <v>5058</v>
      </c>
      <c r="B5062" t="str">
        <f t="shared" si="281"/>
        <v>1</v>
      </c>
      <c r="C5062" t="str">
        <f t="shared" si="282"/>
        <v>102</v>
      </c>
      <c r="D5062" t="str">
        <f>"24"</f>
        <v>24</v>
      </c>
      <c r="E5062" t="str">
        <f>"1-102-24"</f>
        <v>1-102-24</v>
      </c>
      <c r="F5062" t="s">
        <v>65</v>
      </c>
      <c r="G5062" t="s">
        <v>66</v>
      </c>
      <c r="H5062" t="s">
        <v>68</v>
      </c>
      <c r="I5062">
        <v>1</v>
      </c>
      <c r="J5062">
        <v>0</v>
      </c>
      <c r="K5062">
        <v>1</v>
      </c>
      <c r="L5062">
        <v>0</v>
      </c>
      <c r="M5062">
        <v>1</v>
      </c>
      <c r="N5062">
        <v>1</v>
      </c>
      <c r="O5062">
        <v>1</v>
      </c>
      <c r="P5062">
        <v>1</v>
      </c>
      <c r="Q5062">
        <v>1</v>
      </c>
      <c r="R5062">
        <v>1</v>
      </c>
    </row>
    <row r="5063" spans="1:18" x14ac:dyDescent="0.2">
      <c r="A5063" t="str">
        <f>"5059"</f>
        <v>5059</v>
      </c>
      <c r="B5063" t="str">
        <f t="shared" si="281"/>
        <v>1</v>
      </c>
      <c r="C5063" t="str">
        <f t="shared" si="282"/>
        <v>102</v>
      </c>
      <c r="D5063" t="str">
        <f>"16"</f>
        <v>16</v>
      </c>
      <c r="E5063" t="str">
        <f>"1-102-16"</f>
        <v>1-102-16</v>
      </c>
      <c r="F5063" t="s">
        <v>65</v>
      </c>
      <c r="G5063" t="s">
        <v>66</v>
      </c>
      <c r="H5063" t="s">
        <v>68</v>
      </c>
      <c r="I5063">
        <v>1</v>
      </c>
      <c r="J5063">
        <v>1</v>
      </c>
      <c r="K5063">
        <v>0</v>
      </c>
      <c r="L5063">
        <v>0</v>
      </c>
      <c r="M5063">
        <v>1</v>
      </c>
      <c r="N5063">
        <v>1</v>
      </c>
      <c r="O5063">
        <v>1</v>
      </c>
      <c r="P5063">
        <v>1</v>
      </c>
      <c r="Q5063">
        <v>1</v>
      </c>
      <c r="R5063">
        <v>1</v>
      </c>
    </row>
    <row r="5064" spans="1:18" x14ac:dyDescent="0.2">
      <c r="A5064" t="str">
        <f>"5060"</f>
        <v>5060</v>
      </c>
      <c r="B5064" t="str">
        <f t="shared" si="281"/>
        <v>1</v>
      </c>
      <c r="C5064" t="str">
        <f t="shared" si="282"/>
        <v>102</v>
      </c>
      <c r="D5064" t="str">
        <f>"3"</f>
        <v>3</v>
      </c>
      <c r="E5064" t="str">
        <f>"1-102-3"</f>
        <v>1-102-3</v>
      </c>
      <c r="F5064" t="s">
        <v>65</v>
      </c>
      <c r="G5064" t="s">
        <v>66</v>
      </c>
      <c r="H5064" t="s">
        <v>68</v>
      </c>
      <c r="I5064">
        <v>1</v>
      </c>
      <c r="J5064">
        <v>0</v>
      </c>
      <c r="K5064">
        <v>0</v>
      </c>
      <c r="L5064">
        <v>1</v>
      </c>
      <c r="M5064">
        <v>1</v>
      </c>
      <c r="N5064">
        <v>1</v>
      </c>
      <c r="O5064">
        <v>1</v>
      </c>
      <c r="P5064">
        <v>1</v>
      </c>
      <c r="Q5064">
        <v>1</v>
      </c>
      <c r="R5064">
        <v>1</v>
      </c>
    </row>
    <row r="5065" spans="1:18" x14ac:dyDescent="0.2">
      <c r="A5065" t="str">
        <f>"5061"</f>
        <v>5061</v>
      </c>
      <c r="B5065" t="str">
        <f t="shared" si="281"/>
        <v>1</v>
      </c>
      <c r="C5065" t="str">
        <f t="shared" si="282"/>
        <v>102</v>
      </c>
      <c r="D5065" t="str">
        <f>"43"</f>
        <v>43</v>
      </c>
      <c r="E5065" t="str">
        <f>"1-102-43"</f>
        <v>1-102-43</v>
      </c>
      <c r="F5065" t="s">
        <v>65</v>
      </c>
      <c r="G5065" t="s">
        <v>66</v>
      </c>
      <c r="H5065" t="s">
        <v>68</v>
      </c>
      <c r="I5065">
        <v>1</v>
      </c>
      <c r="J5065">
        <v>1</v>
      </c>
      <c r="K5065">
        <v>0</v>
      </c>
      <c r="L5065">
        <v>0</v>
      </c>
      <c r="M5065">
        <v>1</v>
      </c>
      <c r="N5065">
        <v>1</v>
      </c>
      <c r="O5065">
        <v>0</v>
      </c>
      <c r="P5065">
        <v>0</v>
      </c>
      <c r="Q5065">
        <v>0</v>
      </c>
      <c r="R5065">
        <v>0</v>
      </c>
    </row>
    <row r="5066" spans="1:18" x14ac:dyDescent="0.2">
      <c r="A5066" t="str">
        <f>"5062"</f>
        <v>5062</v>
      </c>
      <c r="B5066" t="str">
        <f t="shared" si="281"/>
        <v>1</v>
      </c>
      <c r="C5066" t="str">
        <f t="shared" si="282"/>
        <v>102</v>
      </c>
      <c r="D5066" t="str">
        <f>"42"</f>
        <v>42</v>
      </c>
      <c r="E5066" t="str">
        <f>"1-102-42"</f>
        <v>1-102-42</v>
      </c>
      <c r="F5066" t="s">
        <v>65</v>
      </c>
      <c r="G5066" t="s">
        <v>66</v>
      </c>
      <c r="H5066" t="s">
        <v>68</v>
      </c>
      <c r="I5066">
        <v>1</v>
      </c>
      <c r="J5066">
        <v>0</v>
      </c>
      <c r="K5066">
        <v>0</v>
      </c>
      <c r="L5066">
        <v>1</v>
      </c>
      <c r="M5066">
        <v>1</v>
      </c>
      <c r="N5066">
        <v>1</v>
      </c>
      <c r="O5066">
        <v>1</v>
      </c>
      <c r="P5066">
        <v>1</v>
      </c>
      <c r="Q5066">
        <v>1</v>
      </c>
      <c r="R5066">
        <v>1</v>
      </c>
    </row>
    <row r="5067" spans="1:18" x14ac:dyDescent="0.2">
      <c r="A5067" t="str">
        <f>"5063"</f>
        <v>5063</v>
      </c>
      <c r="B5067" t="str">
        <f t="shared" si="281"/>
        <v>1</v>
      </c>
      <c r="C5067" t="str">
        <f t="shared" si="282"/>
        <v>102</v>
      </c>
      <c r="D5067" t="str">
        <f>"31"</f>
        <v>31</v>
      </c>
      <c r="E5067" t="str">
        <f>"1-102-31"</f>
        <v>1-102-31</v>
      </c>
      <c r="F5067" t="s">
        <v>65</v>
      </c>
      <c r="G5067" t="s">
        <v>66</v>
      </c>
      <c r="H5067" t="s">
        <v>68</v>
      </c>
      <c r="I5067">
        <v>1</v>
      </c>
      <c r="J5067">
        <v>1</v>
      </c>
      <c r="K5067">
        <v>0</v>
      </c>
      <c r="L5067">
        <v>0</v>
      </c>
      <c r="M5067">
        <v>1</v>
      </c>
      <c r="N5067">
        <v>1</v>
      </c>
      <c r="O5067">
        <v>1</v>
      </c>
      <c r="P5067">
        <v>1</v>
      </c>
      <c r="Q5067">
        <v>1</v>
      </c>
      <c r="R5067">
        <v>1</v>
      </c>
    </row>
    <row r="5068" spans="1:18" x14ac:dyDescent="0.2">
      <c r="A5068" t="str">
        <f>"5064"</f>
        <v>5064</v>
      </c>
      <c r="B5068" t="str">
        <f t="shared" si="281"/>
        <v>1</v>
      </c>
      <c r="C5068" t="str">
        <f t="shared" si="282"/>
        <v>102</v>
      </c>
      <c r="D5068" t="str">
        <f>"17"</f>
        <v>17</v>
      </c>
      <c r="E5068" t="str">
        <f>"1-102-17"</f>
        <v>1-102-17</v>
      </c>
      <c r="F5068" t="s">
        <v>65</v>
      </c>
      <c r="G5068" t="s">
        <v>66</v>
      </c>
      <c r="H5068" t="s">
        <v>68</v>
      </c>
      <c r="I5068">
        <v>1</v>
      </c>
      <c r="J5068">
        <v>1</v>
      </c>
      <c r="K5068">
        <v>0</v>
      </c>
      <c r="L5068">
        <v>0</v>
      </c>
      <c r="M5068">
        <v>1</v>
      </c>
      <c r="N5068">
        <v>1</v>
      </c>
      <c r="O5068">
        <v>1</v>
      </c>
      <c r="P5068">
        <v>1</v>
      </c>
      <c r="Q5068">
        <v>1</v>
      </c>
      <c r="R5068">
        <v>1</v>
      </c>
    </row>
    <row r="5069" spans="1:18" x14ac:dyDescent="0.2">
      <c r="A5069" t="str">
        <f>"5065"</f>
        <v>5065</v>
      </c>
      <c r="B5069" t="str">
        <f t="shared" si="281"/>
        <v>1</v>
      </c>
      <c r="C5069" t="str">
        <f t="shared" si="282"/>
        <v>102</v>
      </c>
      <c r="D5069" t="str">
        <f>"1"</f>
        <v>1</v>
      </c>
      <c r="E5069" t="str">
        <f>"1-102-1"</f>
        <v>1-102-1</v>
      </c>
      <c r="F5069" t="s">
        <v>65</v>
      </c>
      <c r="G5069" t="s">
        <v>66</v>
      </c>
      <c r="H5069" t="s">
        <v>68</v>
      </c>
      <c r="I5069">
        <v>1</v>
      </c>
      <c r="J5069">
        <v>1</v>
      </c>
      <c r="K5069">
        <v>0</v>
      </c>
      <c r="L5069">
        <v>0</v>
      </c>
      <c r="M5069">
        <v>1</v>
      </c>
      <c r="N5069">
        <v>1</v>
      </c>
      <c r="O5069">
        <v>1</v>
      </c>
      <c r="P5069">
        <v>1</v>
      </c>
      <c r="Q5069">
        <v>1</v>
      </c>
      <c r="R5069">
        <v>1</v>
      </c>
    </row>
    <row r="5070" spans="1:18" x14ac:dyDescent="0.2">
      <c r="A5070" t="str">
        <f>"5066"</f>
        <v>5066</v>
      </c>
      <c r="B5070" t="str">
        <f t="shared" si="281"/>
        <v>1</v>
      </c>
      <c r="C5070" t="str">
        <f t="shared" si="282"/>
        <v>102</v>
      </c>
      <c r="D5070" t="str">
        <f>"47"</f>
        <v>47</v>
      </c>
      <c r="E5070" t="str">
        <f>"1-102-47"</f>
        <v>1-102-47</v>
      </c>
      <c r="F5070" t="s">
        <v>65</v>
      </c>
      <c r="G5070" t="s">
        <v>66</v>
      </c>
      <c r="H5070" t="s">
        <v>68</v>
      </c>
      <c r="I5070">
        <v>1</v>
      </c>
      <c r="J5070">
        <v>1</v>
      </c>
      <c r="K5070">
        <v>0</v>
      </c>
      <c r="L5070">
        <v>0</v>
      </c>
      <c r="M5070">
        <v>1</v>
      </c>
      <c r="N5070">
        <v>1</v>
      </c>
      <c r="O5070">
        <v>1</v>
      </c>
      <c r="P5070">
        <v>1</v>
      </c>
      <c r="Q5070">
        <v>1</v>
      </c>
      <c r="R5070">
        <v>1</v>
      </c>
    </row>
    <row r="5071" spans="1:18" x14ac:dyDescent="0.2">
      <c r="A5071" t="str">
        <f>"5067"</f>
        <v>5067</v>
      </c>
      <c r="B5071" t="str">
        <f t="shared" si="281"/>
        <v>1</v>
      </c>
      <c r="C5071" t="str">
        <f t="shared" si="282"/>
        <v>102</v>
      </c>
      <c r="D5071" t="str">
        <f>"46"</f>
        <v>46</v>
      </c>
      <c r="E5071" t="str">
        <f>"1-102-46"</f>
        <v>1-102-46</v>
      </c>
      <c r="F5071" t="s">
        <v>65</v>
      </c>
      <c r="G5071" t="s">
        <v>66</v>
      </c>
      <c r="H5071" t="s">
        <v>68</v>
      </c>
      <c r="I5071">
        <v>1</v>
      </c>
      <c r="J5071">
        <v>1</v>
      </c>
      <c r="K5071">
        <v>0</v>
      </c>
      <c r="L5071">
        <v>0</v>
      </c>
      <c r="M5071">
        <v>1</v>
      </c>
      <c r="N5071">
        <v>1</v>
      </c>
      <c r="O5071">
        <v>1</v>
      </c>
      <c r="P5071">
        <v>1</v>
      </c>
      <c r="Q5071">
        <v>1</v>
      </c>
      <c r="R5071">
        <v>1</v>
      </c>
    </row>
    <row r="5072" spans="1:18" x14ac:dyDescent="0.2">
      <c r="A5072" t="str">
        <f>"5068"</f>
        <v>5068</v>
      </c>
      <c r="B5072" t="str">
        <f t="shared" si="281"/>
        <v>1</v>
      </c>
      <c r="C5072" t="str">
        <f t="shared" si="282"/>
        <v>102</v>
      </c>
      <c r="D5072" t="str">
        <f>"34"</f>
        <v>34</v>
      </c>
      <c r="E5072" t="str">
        <f>"1-102-34"</f>
        <v>1-102-34</v>
      </c>
      <c r="F5072" t="s">
        <v>65</v>
      </c>
      <c r="G5072" t="s">
        <v>66</v>
      </c>
      <c r="H5072" t="s">
        <v>68</v>
      </c>
      <c r="I5072">
        <v>1</v>
      </c>
      <c r="J5072">
        <v>0</v>
      </c>
      <c r="K5072">
        <v>0</v>
      </c>
      <c r="L5072">
        <v>1</v>
      </c>
      <c r="M5072">
        <v>1</v>
      </c>
      <c r="N5072">
        <v>1</v>
      </c>
      <c r="O5072">
        <v>0</v>
      </c>
      <c r="P5072">
        <v>1</v>
      </c>
      <c r="Q5072">
        <v>0</v>
      </c>
      <c r="R5072">
        <v>0</v>
      </c>
    </row>
    <row r="5073" spans="1:18" x14ac:dyDescent="0.2">
      <c r="A5073" t="str">
        <f>"5069"</f>
        <v>5069</v>
      </c>
      <c r="B5073" t="str">
        <f t="shared" si="281"/>
        <v>1</v>
      </c>
      <c r="C5073" t="str">
        <f t="shared" si="282"/>
        <v>102</v>
      </c>
      <c r="D5073" t="str">
        <f>"18"</f>
        <v>18</v>
      </c>
      <c r="E5073" t="str">
        <f>"1-102-18"</f>
        <v>1-102-18</v>
      </c>
      <c r="F5073" t="s">
        <v>65</v>
      </c>
      <c r="G5073" t="s">
        <v>66</v>
      </c>
      <c r="H5073" t="s">
        <v>68</v>
      </c>
      <c r="I5073">
        <v>1</v>
      </c>
      <c r="J5073">
        <v>0</v>
      </c>
      <c r="K5073">
        <v>0</v>
      </c>
      <c r="L5073">
        <v>1</v>
      </c>
      <c r="M5073">
        <v>1</v>
      </c>
      <c r="N5073">
        <v>1</v>
      </c>
      <c r="O5073">
        <v>1</v>
      </c>
      <c r="P5073">
        <v>1</v>
      </c>
      <c r="Q5073">
        <v>1</v>
      </c>
      <c r="R5073">
        <v>1</v>
      </c>
    </row>
    <row r="5074" spans="1:18" x14ac:dyDescent="0.2">
      <c r="A5074" t="str">
        <f>"5070"</f>
        <v>5070</v>
      </c>
      <c r="B5074" t="str">
        <f t="shared" si="281"/>
        <v>1</v>
      </c>
      <c r="C5074" t="str">
        <f t="shared" si="282"/>
        <v>102</v>
      </c>
      <c r="D5074" t="str">
        <f>"6"</f>
        <v>6</v>
      </c>
      <c r="E5074" t="str">
        <f>"1-102-6"</f>
        <v>1-102-6</v>
      </c>
      <c r="F5074" t="s">
        <v>65</v>
      </c>
      <c r="G5074" t="s">
        <v>66</v>
      </c>
      <c r="H5074" t="s">
        <v>68</v>
      </c>
      <c r="I5074">
        <v>0</v>
      </c>
      <c r="J5074">
        <v>0</v>
      </c>
      <c r="K5074">
        <v>1</v>
      </c>
      <c r="L5074">
        <v>0</v>
      </c>
      <c r="M5074">
        <v>1</v>
      </c>
      <c r="N5074">
        <v>0</v>
      </c>
      <c r="O5074">
        <v>1</v>
      </c>
      <c r="P5074">
        <v>1</v>
      </c>
      <c r="Q5074">
        <v>1</v>
      </c>
      <c r="R5074">
        <v>1</v>
      </c>
    </row>
    <row r="5075" spans="1:18" x14ac:dyDescent="0.2">
      <c r="A5075" t="str">
        <f>"5071"</f>
        <v>5071</v>
      </c>
      <c r="B5075" t="str">
        <f t="shared" si="281"/>
        <v>1</v>
      </c>
      <c r="C5075" t="str">
        <f t="shared" si="282"/>
        <v>102</v>
      </c>
      <c r="D5075" t="str">
        <f>"45"</f>
        <v>45</v>
      </c>
      <c r="E5075" t="str">
        <f>"1-102-45"</f>
        <v>1-102-45</v>
      </c>
      <c r="F5075" t="s">
        <v>65</v>
      </c>
      <c r="G5075" t="s">
        <v>66</v>
      </c>
      <c r="H5075" t="s">
        <v>68</v>
      </c>
      <c r="I5075">
        <v>1</v>
      </c>
      <c r="J5075">
        <v>1</v>
      </c>
      <c r="K5075">
        <v>0</v>
      </c>
      <c r="L5075">
        <v>0</v>
      </c>
      <c r="M5075">
        <v>1</v>
      </c>
      <c r="N5075">
        <v>0</v>
      </c>
      <c r="O5075">
        <v>0</v>
      </c>
      <c r="P5075">
        <v>1</v>
      </c>
      <c r="Q5075">
        <v>1</v>
      </c>
      <c r="R5075">
        <v>1</v>
      </c>
    </row>
    <row r="5076" spans="1:18" x14ac:dyDescent="0.2">
      <c r="A5076" t="str">
        <f>"5072"</f>
        <v>5072</v>
      </c>
      <c r="B5076" t="str">
        <f t="shared" si="281"/>
        <v>1</v>
      </c>
      <c r="C5076" t="str">
        <f t="shared" si="282"/>
        <v>102</v>
      </c>
      <c r="D5076" t="str">
        <f>"44"</f>
        <v>44</v>
      </c>
      <c r="E5076" t="str">
        <f>"1-102-44"</f>
        <v>1-102-44</v>
      </c>
      <c r="F5076" t="s">
        <v>65</v>
      </c>
      <c r="G5076" t="s">
        <v>66</v>
      </c>
      <c r="H5076" t="s">
        <v>68</v>
      </c>
      <c r="I5076">
        <v>1</v>
      </c>
      <c r="J5076">
        <v>1</v>
      </c>
      <c r="K5076">
        <v>0</v>
      </c>
      <c r="L5076">
        <v>0</v>
      </c>
      <c r="M5076">
        <v>1</v>
      </c>
      <c r="N5076">
        <v>1</v>
      </c>
      <c r="O5076">
        <v>1</v>
      </c>
      <c r="P5076">
        <v>1</v>
      </c>
      <c r="Q5076">
        <v>1</v>
      </c>
      <c r="R5076">
        <v>1</v>
      </c>
    </row>
    <row r="5077" spans="1:18" x14ac:dyDescent="0.2">
      <c r="A5077" t="str">
        <f>"5073"</f>
        <v>5073</v>
      </c>
      <c r="B5077" t="str">
        <f t="shared" si="281"/>
        <v>1</v>
      </c>
      <c r="C5077" t="str">
        <f t="shared" si="282"/>
        <v>102</v>
      </c>
      <c r="D5077" t="str">
        <f>"32"</f>
        <v>32</v>
      </c>
      <c r="E5077" t="str">
        <f>"1-102-32"</f>
        <v>1-102-32</v>
      </c>
      <c r="F5077" t="s">
        <v>65</v>
      </c>
      <c r="G5077" t="s">
        <v>66</v>
      </c>
      <c r="H5077" t="s">
        <v>68</v>
      </c>
      <c r="I5077">
        <v>1</v>
      </c>
      <c r="J5077">
        <v>0</v>
      </c>
      <c r="K5077">
        <v>1</v>
      </c>
      <c r="L5077">
        <v>0</v>
      </c>
      <c r="M5077">
        <v>1</v>
      </c>
      <c r="N5077">
        <v>1</v>
      </c>
      <c r="O5077">
        <v>1</v>
      </c>
      <c r="P5077">
        <v>1</v>
      </c>
      <c r="Q5077">
        <v>0</v>
      </c>
      <c r="R5077">
        <v>0</v>
      </c>
    </row>
    <row r="5078" spans="1:18" x14ac:dyDescent="0.2">
      <c r="A5078" t="str">
        <f>"5074"</f>
        <v>5074</v>
      </c>
      <c r="B5078" t="str">
        <f t="shared" si="281"/>
        <v>1</v>
      </c>
      <c r="C5078" t="str">
        <f t="shared" si="282"/>
        <v>102</v>
      </c>
      <c r="D5078" t="str">
        <f>"19"</f>
        <v>19</v>
      </c>
      <c r="E5078" t="str">
        <f>"1-102-19"</f>
        <v>1-102-19</v>
      </c>
      <c r="F5078" t="s">
        <v>65</v>
      </c>
      <c r="G5078" t="s">
        <v>66</v>
      </c>
      <c r="H5078" t="s">
        <v>68</v>
      </c>
      <c r="I5078">
        <v>1</v>
      </c>
      <c r="J5078">
        <v>0</v>
      </c>
      <c r="K5078">
        <v>1</v>
      </c>
      <c r="L5078">
        <v>0</v>
      </c>
      <c r="M5078">
        <v>1</v>
      </c>
      <c r="N5078">
        <v>1</v>
      </c>
      <c r="O5078">
        <v>1</v>
      </c>
      <c r="P5078">
        <v>1</v>
      </c>
      <c r="Q5078">
        <v>1</v>
      </c>
      <c r="R5078">
        <v>1</v>
      </c>
    </row>
    <row r="5079" spans="1:18" x14ac:dyDescent="0.2">
      <c r="A5079" t="str">
        <f>"5075"</f>
        <v>5075</v>
      </c>
      <c r="B5079" t="str">
        <f t="shared" si="281"/>
        <v>1</v>
      </c>
      <c r="C5079" t="str">
        <f t="shared" si="282"/>
        <v>102</v>
      </c>
      <c r="D5079" t="str">
        <f>"9"</f>
        <v>9</v>
      </c>
      <c r="E5079" t="str">
        <f>"1-102-9"</f>
        <v>1-102-9</v>
      </c>
      <c r="F5079" t="s">
        <v>65</v>
      </c>
      <c r="G5079" t="s">
        <v>66</v>
      </c>
      <c r="H5079" t="s">
        <v>68</v>
      </c>
      <c r="I5079">
        <v>0</v>
      </c>
      <c r="J5079">
        <v>0</v>
      </c>
      <c r="K5079">
        <v>1</v>
      </c>
      <c r="L5079">
        <v>0</v>
      </c>
      <c r="M5079">
        <v>1</v>
      </c>
      <c r="N5079">
        <v>1</v>
      </c>
      <c r="O5079">
        <v>1</v>
      </c>
      <c r="P5079">
        <v>1</v>
      </c>
      <c r="Q5079">
        <v>1</v>
      </c>
      <c r="R5079">
        <v>1</v>
      </c>
    </row>
    <row r="5080" spans="1:18" x14ac:dyDescent="0.2">
      <c r="A5080" t="str">
        <f>"5076"</f>
        <v>5076</v>
      </c>
      <c r="B5080" t="str">
        <f t="shared" si="281"/>
        <v>1</v>
      </c>
      <c r="C5080" t="str">
        <f t="shared" si="282"/>
        <v>102</v>
      </c>
      <c r="D5080" t="str">
        <f>"49"</f>
        <v>49</v>
      </c>
      <c r="E5080" t="str">
        <f>"1-102-49"</f>
        <v>1-102-49</v>
      </c>
      <c r="F5080" t="s">
        <v>65</v>
      </c>
      <c r="G5080" t="s">
        <v>66</v>
      </c>
      <c r="H5080" t="s">
        <v>68</v>
      </c>
      <c r="I5080">
        <v>1</v>
      </c>
      <c r="J5080">
        <v>0</v>
      </c>
      <c r="K5080">
        <v>0</v>
      </c>
      <c r="L5080">
        <v>1</v>
      </c>
      <c r="M5080">
        <v>1</v>
      </c>
      <c r="N5080">
        <v>1</v>
      </c>
      <c r="O5080">
        <v>1</v>
      </c>
      <c r="P5080">
        <v>1</v>
      </c>
      <c r="Q5080">
        <v>1</v>
      </c>
      <c r="R5080">
        <v>1</v>
      </c>
    </row>
    <row r="5081" spans="1:18" x14ac:dyDescent="0.2">
      <c r="A5081" t="str">
        <f>"5077"</f>
        <v>5077</v>
      </c>
      <c r="B5081" t="str">
        <f t="shared" si="281"/>
        <v>1</v>
      </c>
      <c r="C5081" t="str">
        <f t="shared" si="282"/>
        <v>102</v>
      </c>
      <c r="D5081" t="str">
        <f>"48"</f>
        <v>48</v>
      </c>
      <c r="E5081" t="str">
        <f>"1-102-48"</f>
        <v>1-102-48</v>
      </c>
      <c r="F5081" t="s">
        <v>65</v>
      </c>
      <c r="G5081" t="s">
        <v>66</v>
      </c>
      <c r="H5081" t="s">
        <v>68</v>
      </c>
      <c r="I5081">
        <v>0</v>
      </c>
      <c r="J5081">
        <v>1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1</v>
      </c>
      <c r="Q5081">
        <v>0</v>
      </c>
      <c r="R5081">
        <v>0</v>
      </c>
    </row>
    <row r="5082" spans="1:18" x14ac:dyDescent="0.2">
      <c r="A5082" t="str">
        <f>"5078"</f>
        <v>5078</v>
      </c>
      <c r="B5082" t="str">
        <f t="shared" si="281"/>
        <v>1</v>
      </c>
      <c r="C5082" t="str">
        <f t="shared" si="282"/>
        <v>102</v>
      </c>
      <c r="D5082" t="str">
        <f>"33"</f>
        <v>33</v>
      </c>
      <c r="E5082" t="str">
        <f>"1-102-33"</f>
        <v>1-102-33</v>
      </c>
      <c r="F5082" t="s">
        <v>65</v>
      </c>
      <c r="G5082" t="s">
        <v>66</v>
      </c>
      <c r="H5082" t="s">
        <v>68</v>
      </c>
      <c r="I5082">
        <v>1</v>
      </c>
      <c r="J5082">
        <v>0</v>
      </c>
      <c r="K5082">
        <v>0</v>
      </c>
      <c r="L5082">
        <v>1</v>
      </c>
      <c r="M5082">
        <v>1</v>
      </c>
      <c r="N5082">
        <v>1</v>
      </c>
      <c r="O5082">
        <v>1</v>
      </c>
      <c r="P5082">
        <v>1</v>
      </c>
      <c r="Q5082">
        <v>1</v>
      </c>
      <c r="R5082">
        <v>1</v>
      </c>
    </row>
    <row r="5083" spans="1:18" x14ac:dyDescent="0.2">
      <c r="A5083" t="str">
        <f>"5079"</f>
        <v>5079</v>
      </c>
      <c r="B5083" t="str">
        <f t="shared" si="281"/>
        <v>1</v>
      </c>
      <c r="C5083" t="str">
        <f t="shared" si="282"/>
        <v>102</v>
      </c>
      <c r="D5083" t="str">
        <f>"20"</f>
        <v>20</v>
      </c>
      <c r="E5083" t="str">
        <f>"1-102-20"</f>
        <v>1-102-20</v>
      </c>
      <c r="F5083" t="s">
        <v>65</v>
      </c>
      <c r="G5083" t="s">
        <v>66</v>
      </c>
      <c r="H5083" t="s">
        <v>68</v>
      </c>
      <c r="I5083">
        <v>0</v>
      </c>
      <c r="J5083">
        <v>0</v>
      </c>
      <c r="K5083">
        <v>0</v>
      </c>
      <c r="L5083">
        <v>1</v>
      </c>
      <c r="M5083">
        <v>1</v>
      </c>
      <c r="N5083">
        <v>1</v>
      </c>
      <c r="O5083">
        <v>1</v>
      </c>
      <c r="P5083">
        <v>1</v>
      </c>
      <c r="Q5083">
        <v>1</v>
      </c>
      <c r="R5083">
        <v>1</v>
      </c>
    </row>
    <row r="5084" spans="1:18" x14ac:dyDescent="0.2">
      <c r="A5084" t="str">
        <f>"5080"</f>
        <v>5080</v>
      </c>
      <c r="B5084" t="str">
        <f t="shared" si="281"/>
        <v>1</v>
      </c>
      <c r="C5084" t="str">
        <f t="shared" si="282"/>
        <v>102</v>
      </c>
      <c r="D5084" t="str">
        <f>"13"</f>
        <v>13</v>
      </c>
      <c r="E5084" t="str">
        <f>"1-102-13"</f>
        <v>1-102-13</v>
      </c>
      <c r="F5084" t="s">
        <v>65</v>
      </c>
      <c r="G5084" t="s">
        <v>66</v>
      </c>
      <c r="H5084" t="s">
        <v>68</v>
      </c>
      <c r="I5084">
        <v>1</v>
      </c>
      <c r="J5084">
        <v>0</v>
      </c>
      <c r="K5084">
        <v>0</v>
      </c>
      <c r="L5084">
        <v>0</v>
      </c>
      <c r="M5084">
        <v>1</v>
      </c>
      <c r="N5084">
        <v>1</v>
      </c>
      <c r="O5084">
        <v>1</v>
      </c>
      <c r="P5084">
        <v>1</v>
      </c>
      <c r="Q5084">
        <v>0</v>
      </c>
      <c r="R5084">
        <v>0</v>
      </c>
    </row>
    <row r="5085" spans="1:18" x14ac:dyDescent="0.2">
      <c r="A5085" t="str">
        <f>"5081"</f>
        <v>5081</v>
      </c>
      <c r="B5085" t="str">
        <f t="shared" si="281"/>
        <v>1</v>
      </c>
      <c r="C5085" t="str">
        <f t="shared" si="282"/>
        <v>102</v>
      </c>
      <c r="D5085" t="str">
        <f>"39"</f>
        <v>39</v>
      </c>
      <c r="E5085" t="str">
        <f>"1-102-39"</f>
        <v>1-102-39</v>
      </c>
      <c r="F5085" t="s">
        <v>65</v>
      </c>
      <c r="G5085" t="s">
        <v>66</v>
      </c>
      <c r="H5085" t="s">
        <v>68</v>
      </c>
      <c r="I5085">
        <v>1</v>
      </c>
      <c r="J5085">
        <v>1</v>
      </c>
      <c r="K5085">
        <v>0</v>
      </c>
      <c r="L5085">
        <v>0</v>
      </c>
      <c r="M5085">
        <v>1</v>
      </c>
      <c r="N5085">
        <v>1</v>
      </c>
      <c r="O5085">
        <v>1</v>
      </c>
      <c r="P5085">
        <v>1</v>
      </c>
      <c r="Q5085">
        <v>1</v>
      </c>
      <c r="R5085">
        <v>1</v>
      </c>
    </row>
    <row r="5086" spans="1:18" x14ac:dyDescent="0.2">
      <c r="A5086" t="str">
        <f>"5082"</f>
        <v>5082</v>
      </c>
      <c r="B5086" t="str">
        <f t="shared" si="281"/>
        <v>1</v>
      </c>
      <c r="C5086" t="str">
        <f t="shared" si="282"/>
        <v>102</v>
      </c>
      <c r="D5086" t="str">
        <f>"21"</f>
        <v>21</v>
      </c>
      <c r="E5086" t="str">
        <f>"1-102-21"</f>
        <v>1-102-21</v>
      </c>
      <c r="F5086" t="s">
        <v>65</v>
      </c>
      <c r="G5086" t="s">
        <v>66</v>
      </c>
      <c r="H5086" t="s">
        <v>68</v>
      </c>
      <c r="I5086">
        <v>1</v>
      </c>
      <c r="J5086">
        <v>0</v>
      </c>
      <c r="K5086">
        <v>0</v>
      </c>
      <c r="L5086">
        <v>0</v>
      </c>
      <c r="M5086">
        <v>1</v>
      </c>
      <c r="N5086">
        <v>1</v>
      </c>
      <c r="O5086">
        <v>1</v>
      </c>
      <c r="P5086">
        <v>1</v>
      </c>
      <c r="Q5086">
        <v>1</v>
      </c>
      <c r="R5086">
        <v>1</v>
      </c>
    </row>
    <row r="5087" spans="1:18" x14ac:dyDescent="0.2">
      <c r="A5087" t="str">
        <f>"5083"</f>
        <v>5083</v>
      </c>
      <c r="B5087" t="str">
        <f t="shared" si="281"/>
        <v>1</v>
      </c>
      <c r="C5087" t="str">
        <f t="shared" ref="C5087:C5104" si="283">"102"</f>
        <v>102</v>
      </c>
      <c r="D5087" t="str">
        <f>"2"</f>
        <v>2</v>
      </c>
      <c r="E5087" t="str">
        <f>"1-102-2"</f>
        <v>1-102-2</v>
      </c>
      <c r="F5087" t="s">
        <v>65</v>
      </c>
      <c r="G5087" t="s">
        <v>66</v>
      </c>
      <c r="H5087" t="s">
        <v>68</v>
      </c>
      <c r="I5087">
        <v>1</v>
      </c>
      <c r="J5087">
        <v>0</v>
      </c>
      <c r="K5087">
        <v>0</v>
      </c>
      <c r="L5087">
        <v>1</v>
      </c>
      <c r="M5087">
        <v>1</v>
      </c>
      <c r="N5087">
        <v>1</v>
      </c>
      <c r="O5087">
        <v>1</v>
      </c>
      <c r="P5087">
        <v>1</v>
      </c>
      <c r="Q5087">
        <v>1</v>
      </c>
      <c r="R5087">
        <v>1</v>
      </c>
    </row>
    <row r="5088" spans="1:18" x14ac:dyDescent="0.2">
      <c r="A5088" t="str">
        <f>"5084"</f>
        <v>5084</v>
      </c>
      <c r="B5088" t="str">
        <f t="shared" si="281"/>
        <v>1</v>
      </c>
      <c r="C5088" t="str">
        <f t="shared" si="283"/>
        <v>102</v>
      </c>
      <c r="D5088" t="str">
        <f>"40"</f>
        <v>40</v>
      </c>
      <c r="E5088" t="str">
        <f>"1-102-40"</f>
        <v>1-102-40</v>
      </c>
      <c r="F5088" t="s">
        <v>65</v>
      </c>
      <c r="G5088" t="s">
        <v>66</v>
      </c>
      <c r="H5088" t="s">
        <v>68</v>
      </c>
      <c r="I5088">
        <v>1</v>
      </c>
      <c r="J5088">
        <v>1</v>
      </c>
      <c r="K5088">
        <v>0</v>
      </c>
      <c r="L5088">
        <v>0</v>
      </c>
      <c r="M5088">
        <v>1</v>
      </c>
      <c r="N5088">
        <v>1</v>
      </c>
      <c r="O5088">
        <v>1</v>
      </c>
      <c r="P5088">
        <v>1</v>
      </c>
      <c r="Q5088">
        <v>1</v>
      </c>
      <c r="R5088">
        <v>1</v>
      </c>
    </row>
    <row r="5089" spans="1:18" x14ac:dyDescent="0.2">
      <c r="A5089" t="str">
        <f>"5085"</f>
        <v>5085</v>
      </c>
      <c r="B5089" t="str">
        <f t="shared" si="281"/>
        <v>1</v>
      </c>
      <c r="C5089" t="str">
        <f t="shared" si="283"/>
        <v>102</v>
      </c>
      <c r="D5089" t="str">
        <f>"22"</f>
        <v>22</v>
      </c>
      <c r="E5089" t="str">
        <f>"1-102-22"</f>
        <v>1-102-22</v>
      </c>
      <c r="F5089" t="s">
        <v>65</v>
      </c>
      <c r="G5089" t="s">
        <v>66</v>
      </c>
      <c r="H5089" t="s">
        <v>68</v>
      </c>
      <c r="I5089">
        <v>1</v>
      </c>
      <c r="J5089">
        <v>1</v>
      </c>
      <c r="K5089">
        <v>0</v>
      </c>
      <c r="L5089">
        <v>0</v>
      </c>
      <c r="M5089">
        <v>1</v>
      </c>
      <c r="N5089">
        <v>1</v>
      </c>
      <c r="O5089">
        <v>1</v>
      </c>
      <c r="P5089">
        <v>1</v>
      </c>
      <c r="Q5089">
        <v>1</v>
      </c>
      <c r="R5089">
        <v>0</v>
      </c>
    </row>
    <row r="5090" spans="1:18" x14ac:dyDescent="0.2">
      <c r="A5090" t="str">
        <f>"5086"</f>
        <v>5086</v>
      </c>
      <c r="B5090" t="str">
        <f t="shared" si="281"/>
        <v>1</v>
      </c>
      <c r="C5090" t="str">
        <f t="shared" si="283"/>
        <v>102</v>
      </c>
      <c r="D5090" t="str">
        <f>"8"</f>
        <v>8</v>
      </c>
      <c r="E5090" t="str">
        <f>"1-102-8"</f>
        <v>1-102-8</v>
      </c>
      <c r="F5090" t="s">
        <v>65</v>
      </c>
      <c r="G5090" t="s">
        <v>66</v>
      </c>
      <c r="H5090" t="s">
        <v>68</v>
      </c>
      <c r="I5090">
        <v>1</v>
      </c>
      <c r="J5090">
        <v>0</v>
      </c>
      <c r="K5090">
        <v>0</v>
      </c>
      <c r="L5090">
        <v>1</v>
      </c>
      <c r="M5090">
        <v>1</v>
      </c>
      <c r="N5090">
        <v>1</v>
      </c>
      <c r="O5090">
        <v>1</v>
      </c>
      <c r="P5090">
        <v>1</v>
      </c>
      <c r="Q5090">
        <v>1</v>
      </c>
      <c r="R5090">
        <v>1</v>
      </c>
    </row>
    <row r="5091" spans="1:18" x14ac:dyDescent="0.2">
      <c r="A5091" t="str">
        <f>"5087"</f>
        <v>5087</v>
      </c>
      <c r="B5091" t="str">
        <f t="shared" si="281"/>
        <v>1</v>
      </c>
      <c r="C5091" t="str">
        <f t="shared" si="283"/>
        <v>102</v>
      </c>
      <c r="D5091" t="str">
        <f>"41"</f>
        <v>41</v>
      </c>
      <c r="E5091" t="str">
        <f>"1-102-41"</f>
        <v>1-102-41</v>
      </c>
      <c r="F5091" t="s">
        <v>65</v>
      </c>
      <c r="G5091" t="s">
        <v>66</v>
      </c>
      <c r="H5091" t="s">
        <v>68</v>
      </c>
      <c r="I5091">
        <v>1</v>
      </c>
      <c r="J5091">
        <v>0</v>
      </c>
      <c r="K5091">
        <v>0</v>
      </c>
      <c r="L5091">
        <v>1</v>
      </c>
      <c r="M5091">
        <v>1</v>
      </c>
      <c r="N5091">
        <v>1</v>
      </c>
      <c r="O5091">
        <v>1</v>
      </c>
      <c r="P5091">
        <v>1</v>
      </c>
      <c r="Q5091">
        <v>1</v>
      </c>
      <c r="R5091">
        <v>1</v>
      </c>
    </row>
    <row r="5092" spans="1:18" x14ac:dyDescent="0.2">
      <c r="A5092" t="str">
        <f>"5088"</f>
        <v>5088</v>
      </c>
      <c r="B5092" t="str">
        <f t="shared" si="281"/>
        <v>1</v>
      </c>
      <c r="C5092" t="str">
        <f t="shared" si="283"/>
        <v>102</v>
      </c>
      <c r="D5092" t="str">
        <f>"25"</f>
        <v>25</v>
      </c>
      <c r="E5092" t="str">
        <f>"1-102-25"</f>
        <v>1-102-25</v>
      </c>
      <c r="F5092" t="s">
        <v>65</v>
      </c>
      <c r="G5092" t="s">
        <v>66</v>
      </c>
      <c r="H5092" t="s">
        <v>68</v>
      </c>
      <c r="I5092">
        <v>1</v>
      </c>
      <c r="J5092">
        <v>0</v>
      </c>
      <c r="K5092">
        <v>0</v>
      </c>
      <c r="L5092">
        <v>1</v>
      </c>
      <c r="M5092">
        <v>1</v>
      </c>
      <c r="N5092">
        <v>1</v>
      </c>
      <c r="O5092">
        <v>1</v>
      </c>
      <c r="P5092">
        <v>1</v>
      </c>
      <c r="Q5092">
        <v>1</v>
      </c>
      <c r="R5092">
        <v>1</v>
      </c>
    </row>
    <row r="5093" spans="1:18" x14ac:dyDescent="0.2">
      <c r="A5093" t="str">
        <f>"5089"</f>
        <v>5089</v>
      </c>
      <c r="B5093" t="str">
        <f t="shared" si="281"/>
        <v>1</v>
      </c>
      <c r="C5093" t="str">
        <f t="shared" si="283"/>
        <v>102</v>
      </c>
      <c r="D5093" t="str">
        <f>"10"</f>
        <v>10</v>
      </c>
      <c r="E5093" t="str">
        <f>"1-102-10"</f>
        <v>1-102-10</v>
      </c>
      <c r="F5093" t="s">
        <v>65</v>
      </c>
      <c r="G5093" t="s">
        <v>66</v>
      </c>
      <c r="H5093" t="s">
        <v>68</v>
      </c>
      <c r="I5093">
        <v>1</v>
      </c>
      <c r="J5093">
        <v>1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2">
      <c r="A5094" t="str">
        <f>"5090"</f>
        <v>5090</v>
      </c>
      <c r="B5094" t="str">
        <f t="shared" si="281"/>
        <v>1</v>
      </c>
      <c r="C5094" t="str">
        <f t="shared" si="283"/>
        <v>102</v>
      </c>
      <c r="D5094" t="str">
        <f>"50"</f>
        <v>50</v>
      </c>
      <c r="E5094" t="str">
        <f>"1-102-50"</f>
        <v>1-102-50</v>
      </c>
      <c r="F5094" t="s">
        <v>65</v>
      </c>
      <c r="G5094" t="s">
        <v>66</v>
      </c>
      <c r="H5094" t="s">
        <v>68</v>
      </c>
      <c r="I5094">
        <v>1</v>
      </c>
      <c r="J5094">
        <v>0</v>
      </c>
      <c r="K5094">
        <v>0</v>
      </c>
      <c r="L5094">
        <v>1</v>
      </c>
      <c r="M5094">
        <v>1</v>
      </c>
      <c r="N5094">
        <v>1</v>
      </c>
      <c r="O5094">
        <v>1</v>
      </c>
      <c r="P5094">
        <v>1</v>
      </c>
      <c r="Q5094">
        <v>1</v>
      </c>
      <c r="R5094">
        <v>1</v>
      </c>
    </row>
    <row r="5095" spans="1:18" x14ac:dyDescent="0.2">
      <c r="A5095" t="str">
        <f>"5091"</f>
        <v>5091</v>
      </c>
      <c r="B5095" t="str">
        <f t="shared" si="281"/>
        <v>1</v>
      </c>
      <c r="C5095" t="str">
        <f t="shared" si="283"/>
        <v>102</v>
      </c>
      <c r="D5095" t="str">
        <f>"26"</f>
        <v>26</v>
      </c>
      <c r="E5095" t="str">
        <f>"1-102-26"</f>
        <v>1-102-26</v>
      </c>
      <c r="F5095" t="s">
        <v>65</v>
      </c>
      <c r="G5095" t="s">
        <v>66</v>
      </c>
      <c r="H5095" t="s">
        <v>68</v>
      </c>
      <c r="I5095">
        <v>1</v>
      </c>
      <c r="J5095">
        <v>1</v>
      </c>
      <c r="K5095">
        <v>0</v>
      </c>
      <c r="L5095">
        <v>0</v>
      </c>
      <c r="M5095">
        <v>1</v>
      </c>
      <c r="N5095">
        <v>1</v>
      </c>
      <c r="O5095">
        <v>1</v>
      </c>
      <c r="P5095">
        <v>1</v>
      </c>
      <c r="Q5095">
        <v>1</v>
      </c>
      <c r="R5095">
        <v>1</v>
      </c>
    </row>
    <row r="5096" spans="1:18" x14ac:dyDescent="0.2">
      <c r="A5096" t="str">
        <f>"5092"</f>
        <v>5092</v>
      </c>
      <c r="B5096" t="str">
        <f t="shared" si="281"/>
        <v>1</v>
      </c>
      <c r="C5096" t="str">
        <f t="shared" si="283"/>
        <v>102</v>
      </c>
      <c r="D5096" t="str">
        <f>"11"</f>
        <v>11</v>
      </c>
      <c r="E5096" t="str">
        <f>"1-102-11"</f>
        <v>1-102-11</v>
      </c>
      <c r="F5096" t="s">
        <v>65</v>
      </c>
      <c r="G5096" t="s">
        <v>66</v>
      </c>
      <c r="H5096" t="s">
        <v>68</v>
      </c>
      <c r="I5096">
        <v>1</v>
      </c>
      <c r="J5096">
        <v>0</v>
      </c>
      <c r="K5096">
        <v>0</v>
      </c>
      <c r="L5096">
        <v>1</v>
      </c>
      <c r="M5096">
        <v>1</v>
      </c>
      <c r="N5096">
        <v>1</v>
      </c>
      <c r="O5096">
        <v>1</v>
      </c>
      <c r="P5096">
        <v>1</v>
      </c>
      <c r="Q5096">
        <v>1</v>
      </c>
      <c r="R5096">
        <v>1</v>
      </c>
    </row>
    <row r="5097" spans="1:18" x14ac:dyDescent="0.2">
      <c r="A5097" t="str">
        <f>"5093"</f>
        <v>5093</v>
      </c>
      <c r="B5097" t="str">
        <f t="shared" si="281"/>
        <v>1</v>
      </c>
      <c r="C5097" t="str">
        <f t="shared" si="283"/>
        <v>102</v>
      </c>
      <c r="D5097" t="str">
        <f>"27"</f>
        <v>27</v>
      </c>
      <c r="E5097" t="str">
        <f>"1-102-27"</f>
        <v>1-102-27</v>
      </c>
      <c r="F5097" t="s">
        <v>65</v>
      </c>
      <c r="G5097" t="s">
        <v>66</v>
      </c>
      <c r="H5097" t="s">
        <v>68</v>
      </c>
      <c r="I5097">
        <v>1</v>
      </c>
      <c r="J5097">
        <v>1</v>
      </c>
      <c r="K5097">
        <v>0</v>
      </c>
      <c r="L5097">
        <v>0</v>
      </c>
      <c r="M5097">
        <v>1</v>
      </c>
      <c r="N5097">
        <v>1</v>
      </c>
      <c r="O5097">
        <v>1</v>
      </c>
      <c r="P5097">
        <v>1</v>
      </c>
      <c r="Q5097">
        <v>1</v>
      </c>
      <c r="R5097">
        <v>1</v>
      </c>
    </row>
    <row r="5098" spans="1:18" x14ac:dyDescent="0.2">
      <c r="A5098" t="str">
        <f>"5094"</f>
        <v>5094</v>
      </c>
      <c r="B5098" t="str">
        <f t="shared" si="281"/>
        <v>1</v>
      </c>
      <c r="C5098" t="str">
        <f t="shared" si="283"/>
        <v>102</v>
      </c>
      <c r="D5098" t="str">
        <f>"14"</f>
        <v>14</v>
      </c>
      <c r="E5098" t="str">
        <f>"1-102-14"</f>
        <v>1-102-14</v>
      </c>
      <c r="F5098" t="s">
        <v>65</v>
      </c>
      <c r="G5098" t="s">
        <v>66</v>
      </c>
      <c r="H5098" t="s">
        <v>68</v>
      </c>
      <c r="I5098">
        <v>1</v>
      </c>
      <c r="J5098">
        <v>1</v>
      </c>
      <c r="K5098">
        <v>0</v>
      </c>
      <c r="L5098">
        <v>0</v>
      </c>
      <c r="M5098">
        <v>1</v>
      </c>
      <c r="N5098">
        <v>1</v>
      </c>
      <c r="O5098">
        <v>1</v>
      </c>
      <c r="P5098">
        <v>1</v>
      </c>
      <c r="Q5098">
        <v>1</v>
      </c>
      <c r="R5098">
        <v>1</v>
      </c>
    </row>
    <row r="5099" spans="1:18" x14ac:dyDescent="0.2">
      <c r="A5099" t="str">
        <f>"5095"</f>
        <v>5095</v>
      </c>
      <c r="B5099" t="str">
        <f t="shared" si="281"/>
        <v>1</v>
      </c>
      <c r="C5099" t="str">
        <f t="shared" si="283"/>
        <v>102</v>
      </c>
      <c r="D5099" t="str">
        <f>"28"</f>
        <v>28</v>
      </c>
      <c r="E5099" t="str">
        <f>"1-102-28"</f>
        <v>1-102-28</v>
      </c>
      <c r="F5099" t="s">
        <v>65</v>
      </c>
      <c r="G5099" t="s">
        <v>66</v>
      </c>
      <c r="H5099" t="s">
        <v>68</v>
      </c>
      <c r="I5099">
        <v>1</v>
      </c>
      <c r="J5099">
        <v>0</v>
      </c>
      <c r="K5099">
        <v>0</v>
      </c>
      <c r="L5099">
        <v>1</v>
      </c>
      <c r="M5099">
        <v>1</v>
      </c>
      <c r="N5099">
        <v>1</v>
      </c>
      <c r="O5099">
        <v>1</v>
      </c>
      <c r="P5099">
        <v>1</v>
      </c>
      <c r="Q5099">
        <v>1</v>
      </c>
      <c r="R5099">
        <v>1</v>
      </c>
    </row>
    <row r="5100" spans="1:18" x14ac:dyDescent="0.2">
      <c r="A5100" t="str">
        <f>"5096"</f>
        <v>5096</v>
      </c>
      <c r="B5100" t="str">
        <f t="shared" si="281"/>
        <v>1</v>
      </c>
      <c r="C5100" t="str">
        <f t="shared" si="283"/>
        <v>102</v>
      </c>
      <c r="D5100" t="str">
        <f>"29"</f>
        <v>29</v>
      </c>
      <c r="E5100" t="str">
        <f>"1-102-29"</f>
        <v>1-102-29</v>
      </c>
      <c r="F5100" t="s">
        <v>65</v>
      </c>
      <c r="G5100" t="s">
        <v>66</v>
      </c>
      <c r="H5100" t="s">
        <v>68</v>
      </c>
      <c r="I5100">
        <v>1</v>
      </c>
      <c r="J5100">
        <v>1</v>
      </c>
      <c r="K5100">
        <v>0</v>
      </c>
      <c r="L5100">
        <v>0</v>
      </c>
      <c r="M5100">
        <v>1</v>
      </c>
      <c r="N5100">
        <v>1</v>
      </c>
      <c r="O5100">
        <v>1</v>
      </c>
      <c r="P5100">
        <v>1</v>
      </c>
      <c r="Q5100">
        <v>1</v>
      </c>
      <c r="R5100">
        <v>1</v>
      </c>
    </row>
    <row r="5101" spans="1:18" x14ac:dyDescent="0.2">
      <c r="A5101" t="str">
        <f>"5097"</f>
        <v>5097</v>
      </c>
      <c r="B5101" t="str">
        <f t="shared" si="281"/>
        <v>1</v>
      </c>
      <c r="C5101" t="str">
        <f t="shared" si="283"/>
        <v>102</v>
      </c>
      <c r="D5101" t="str">
        <f>"4"</f>
        <v>4</v>
      </c>
      <c r="E5101" t="str">
        <f>"1-102-4"</f>
        <v>1-102-4</v>
      </c>
      <c r="F5101" t="s">
        <v>65</v>
      </c>
      <c r="G5101" t="s">
        <v>66</v>
      </c>
      <c r="H5101" t="s">
        <v>68</v>
      </c>
      <c r="I5101">
        <v>1</v>
      </c>
      <c r="J5101">
        <v>0</v>
      </c>
      <c r="K5101">
        <v>0</v>
      </c>
      <c r="L5101">
        <v>1</v>
      </c>
      <c r="M5101">
        <v>1</v>
      </c>
      <c r="N5101">
        <v>1</v>
      </c>
      <c r="O5101">
        <v>1</v>
      </c>
      <c r="P5101">
        <v>1</v>
      </c>
      <c r="Q5101">
        <v>1</v>
      </c>
      <c r="R5101">
        <v>1</v>
      </c>
    </row>
    <row r="5102" spans="1:18" x14ac:dyDescent="0.2">
      <c r="A5102" t="str">
        <f>"5098"</f>
        <v>5098</v>
      </c>
      <c r="B5102" t="str">
        <f t="shared" si="281"/>
        <v>1</v>
      </c>
      <c r="C5102" t="str">
        <f t="shared" si="283"/>
        <v>102</v>
      </c>
      <c r="D5102" t="str">
        <f>"30"</f>
        <v>30</v>
      </c>
      <c r="E5102" t="str">
        <f>"1-102-30"</f>
        <v>1-102-30</v>
      </c>
      <c r="F5102" t="s">
        <v>65</v>
      </c>
      <c r="G5102" t="s">
        <v>66</v>
      </c>
      <c r="H5102" t="s">
        <v>68</v>
      </c>
      <c r="I5102">
        <v>1</v>
      </c>
      <c r="J5102">
        <v>0</v>
      </c>
      <c r="K5102">
        <v>1</v>
      </c>
      <c r="L5102">
        <v>0</v>
      </c>
      <c r="M5102">
        <v>1</v>
      </c>
      <c r="N5102">
        <v>1</v>
      </c>
      <c r="O5102">
        <v>1</v>
      </c>
      <c r="P5102">
        <v>1</v>
      </c>
      <c r="Q5102">
        <v>1</v>
      </c>
      <c r="R5102">
        <v>1</v>
      </c>
    </row>
    <row r="5103" spans="1:18" x14ac:dyDescent="0.2">
      <c r="A5103" t="str">
        <f>"5099"</f>
        <v>5099</v>
      </c>
      <c r="B5103" t="str">
        <f t="shared" si="281"/>
        <v>1</v>
      </c>
      <c r="C5103" t="str">
        <f t="shared" si="283"/>
        <v>102</v>
      </c>
      <c r="D5103" t="str">
        <f>"7"</f>
        <v>7</v>
      </c>
      <c r="E5103" t="str">
        <f>"1-102-7"</f>
        <v>1-102-7</v>
      </c>
      <c r="F5103" t="s">
        <v>65</v>
      </c>
      <c r="G5103" t="s">
        <v>66</v>
      </c>
      <c r="H5103" t="s">
        <v>68</v>
      </c>
      <c r="I5103">
        <v>0</v>
      </c>
      <c r="J5103">
        <v>1</v>
      </c>
      <c r="K5103">
        <v>0</v>
      </c>
      <c r="L5103">
        <v>0</v>
      </c>
      <c r="M5103">
        <v>1</v>
      </c>
      <c r="N5103">
        <v>1</v>
      </c>
      <c r="O5103">
        <v>1</v>
      </c>
      <c r="P5103">
        <v>1</v>
      </c>
      <c r="Q5103">
        <v>1</v>
      </c>
      <c r="R5103">
        <v>1</v>
      </c>
    </row>
    <row r="5104" spans="1:18" x14ac:dyDescent="0.2">
      <c r="A5104" t="str">
        <f>"5100"</f>
        <v>5100</v>
      </c>
      <c r="B5104" t="str">
        <f t="shared" si="281"/>
        <v>1</v>
      </c>
      <c r="C5104" t="str">
        <f t="shared" si="283"/>
        <v>102</v>
      </c>
      <c r="D5104" t="str">
        <f>"12"</f>
        <v>12</v>
      </c>
      <c r="E5104" t="str">
        <f>"1-102-12"</f>
        <v>1-102-12</v>
      </c>
      <c r="F5104" t="s">
        <v>65</v>
      </c>
      <c r="G5104" t="s">
        <v>66</v>
      </c>
      <c r="H5104" t="s">
        <v>68</v>
      </c>
      <c r="I5104">
        <v>1</v>
      </c>
      <c r="J5104">
        <v>0</v>
      </c>
      <c r="K5104">
        <v>0</v>
      </c>
      <c r="L5104">
        <v>1</v>
      </c>
      <c r="M5104">
        <v>1</v>
      </c>
      <c r="N5104">
        <v>1</v>
      </c>
      <c r="O5104">
        <v>1</v>
      </c>
      <c r="P5104">
        <v>1</v>
      </c>
      <c r="Q5104">
        <v>1</v>
      </c>
      <c r="R5104">
        <v>1</v>
      </c>
    </row>
    <row r="5105" spans="1:18" x14ac:dyDescent="0.2">
      <c r="A5105" t="str">
        <f>"5101"</f>
        <v>5101</v>
      </c>
      <c r="B5105" t="str">
        <f t="shared" si="281"/>
        <v>1</v>
      </c>
      <c r="C5105" t="str">
        <f t="shared" ref="C5105:C5136" si="284">"103"</f>
        <v>103</v>
      </c>
      <c r="D5105" t="str">
        <f>"38"</f>
        <v>38</v>
      </c>
      <c r="E5105" t="str">
        <f>"1-103-38"</f>
        <v>1-103-38</v>
      </c>
      <c r="F5105" t="s">
        <v>65</v>
      </c>
      <c r="G5105" t="s">
        <v>66</v>
      </c>
      <c r="H5105" t="s">
        <v>68</v>
      </c>
      <c r="I5105">
        <v>1</v>
      </c>
      <c r="J5105">
        <v>1</v>
      </c>
      <c r="K5105">
        <v>0</v>
      </c>
      <c r="L5105">
        <v>0</v>
      </c>
      <c r="M5105">
        <v>1</v>
      </c>
      <c r="N5105">
        <v>1</v>
      </c>
      <c r="O5105">
        <v>1</v>
      </c>
      <c r="P5105">
        <v>1</v>
      </c>
      <c r="Q5105">
        <v>1</v>
      </c>
      <c r="R5105">
        <v>1</v>
      </c>
    </row>
    <row r="5106" spans="1:18" x14ac:dyDescent="0.2">
      <c r="A5106" t="str">
        <f>"5102"</f>
        <v>5102</v>
      </c>
      <c r="B5106" t="str">
        <f t="shared" si="281"/>
        <v>1</v>
      </c>
      <c r="C5106" t="str">
        <f t="shared" si="284"/>
        <v>103</v>
      </c>
      <c r="D5106" t="str">
        <f>"37"</f>
        <v>37</v>
      </c>
      <c r="E5106" t="str">
        <f>"1-103-37"</f>
        <v>1-103-37</v>
      </c>
      <c r="F5106" t="s">
        <v>65</v>
      </c>
      <c r="G5106" t="s">
        <v>66</v>
      </c>
      <c r="H5106" t="s">
        <v>68</v>
      </c>
      <c r="I5106">
        <v>1</v>
      </c>
      <c r="J5106">
        <v>0</v>
      </c>
      <c r="K5106">
        <v>0</v>
      </c>
      <c r="L5106">
        <v>1</v>
      </c>
      <c r="M5106">
        <v>1</v>
      </c>
      <c r="N5106">
        <v>1</v>
      </c>
      <c r="O5106">
        <v>1</v>
      </c>
      <c r="P5106">
        <v>1</v>
      </c>
      <c r="Q5106">
        <v>1</v>
      </c>
      <c r="R5106">
        <v>1</v>
      </c>
    </row>
    <row r="5107" spans="1:18" x14ac:dyDescent="0.2">
      <c r="A5107" t="str">
        <f>"5103"</f>
        <v>5103</v>
      </c>
      <c r="B5107" t="str">
        <f t="shared" si="281"/>
        <v>1</v>
      </c>
      <c r="C5107" t="str">
        <f t="shared" si="284"/>
        <v>103</v>
      </c>
      <c r="D5107" t="str">
        <f>"24"</f>
        <v>24</v>
      </c>
      <c r="E5107" t="str">
        <f>"1-103-24"</f>
        <v>1-103-24</v>
      </c>
      <c r="F5107" t="s">
        <v>65</v>
      </c>
      <c r="G5107" t="s">
        <v>66</v>
      </c>
      <c r="H5107" t="s">
        <v>68</v>
      </c>
      <c r="I5107">
        <v>1</v>
      </c>
      <c r="J5107">
        <v>0</v>
      </c>
      <c r="K5107">
        <v>0</v>
      </c>
      <c r="L5107">
        <v>1</v>
      </c>
      <c r="M5107">
        <v>1</v>
      </c>
      <c r="N5107">
        <v>1</v>
      </c>
      <c r="O5107">
        <v>0</v>
      </c>
      <c r="P5107">
        <v>0</v>
      </c>
      <c r="Q5107">
        <v>0</v>
      </c>
      <c r="R5107">
        <v>0</v>
      </c>
    </row>
    <row r="5108" spans="1:18" x14ac:dyDescent="0.2">
      <c r="A5108" t="str">
        <f>"5104"</f>
        <v>5104</v>
      </c>
      <c r="B5108" t="str">
        <f t="shared" si="281"/>
        <v>1</v>
      </c>
      <c r="C5108" t="str">
        <f t="shared" si="284"/>
        <v>103</v>
      </c>
      <c r="D5108" t="str">
        <f>"23"</f>
        <v>23</v>
      </c>
      <c r="E5108" t="str">
        <f>"1-103-23"</f>
        <v>1-103-23</v>
      </c>
      <c r="F5108" t="s">
        <v>65</v>
      </c>
      <c r="G5108" t="s">
        <v>66</v>
      </c>
      <c r="H5108" t="s">
        <v>68</v>
      </c>
      <c r="I5108">
        <v>1</v>
      </c>
      <c r="J5108">
        <v>0</v>
      </c>
      <c r="K5108">
        <v>0</v>
      </c>
      <c r="L5108">
        <v>1</v>
      </c>
      <c r="M5108">
        <v>1</v>
      </c>
      <c r="N5108">
        <v>1</v>
      </c>
      <c r="O5108">
        <v>0</v>
      </c>
      <c r="P5108">
        <v>1</v>
      </c>
      <c r="Q5108">
        <v>0</v>
      </c>
      <c r="R5108">
        <v>0</v>
      </c>
    </row>
    <row r="5109" spans="1:18" x14ac:dyDescent="0.2">
      <c r="A5109" t="str">
        <f>"5105"</f>
        <v>5105</v>
      </c>
      <c r="B5109" t="str">
        <f t="shared" si="281"/>
        <v>1</v>
      </c>
      <c r="C5109" t="str">
        <f t="shared" si="284"/>
        <v>103</v>
      </c>
      <c r="D5109" t="str">
        <f>"19"</f>
        <v>19</v>
      </c>
      <c r="E5109" t="str">
        <f>"1-103-19"</f>
        <v>1-103-19</v>
      </c>
      <c r="F5109" t="s">
        <v>65</v>
      </c>
      <c r="G5109" t="s">
        <v>66</v>
      </c>
      <c r="H5109" t="s">
        <v>68</v>
      </c>
      <c r="I5109">
        <v>1</v>
      </c>
      <c r="J5109">
        <v>0</v>
      </c>
      <c r="K5109">
        <v>1</v>
      </c>
      <c r="L5109">
        <v>0</v>
      </c>
      <c r="M5109">
        <v>1</v>
      </c>
      <c r="N5109">
        <v>0</v>
      </c>
      <c r="O5109">
        <v>0</v>
      </c>
      <c r="P5109">
        <v>1</v>
      </c>
      <c r="Q5109">
        <v>0</v>
      </c>
      <c r="R5109">
        <v>0</v>
      </c>
    </row>
    <row r="5110" spans="1:18" x14ac:dyDescent="0.2">
      <c r="A5110" t="str">
        <f>"5106"</f>
        <v>5106</v>
      </c>
      <c r="B5110" t="str">
        <f t="shared" si="281"/>
        <v>1</v>
      </c>
      <c r="C5110" t="str">
        <f t="shared" si="284"/>
        <v>103</v>
      </c>
      <c r="D5110" t="str">
        <f>"15"</f>
        <v>15</v>
      </c>
      <c r="E5110" t="str">
        <f>"1-103-15"</f>
        <v>1-103-15</v>
      </c>
      <c r="F5110" t="s">
        <v>65</v>
      </c>
      <c r="G5110" t="s">
        <v>66</v>
      </c>
      <c r="H5110" t="s">
        <v>68</v>
      </c>
      <c r="I5110">
        <v>1</v>
      </c>
      <c r="J5110">
        <v>1</v>
      </c>
      <c r="K5110">
        <v>0</v>
      </c>
      <c r="L5110">
        <v>0</v>
      </c>
      <c r="M5110">
        <v>1</v>
      </c>
      <c r="N5110">
        <v>1</v>
      </c>
      <c r="O5110">
        <v>1</v>
      </c>
      <c r="P5110">
        <v>1</v>
      </c>
      <c r="Q5110">
        <v>1</v>
      </c>
      <c r="R5110">
        <v>1</v>
      </c>
    </row>
    <row r="5111" spans="1:18" x14ac:dyDescent="0.2">
      <c r="A5111" t="str">
        <f>"5107"</f>
        <v>5107</v>
      </c>
      <c r="B5111" t="str">
        <f t="shared" ref="B5111:B5174" si="285">"1"</f>
        <v>1</v>
      </c>
      <c r="C5111" t="str">
        <f t="shared" si="284"/>
        <v>103</v>
      </c>
      <c r="D5111" t="str">
        <f>"2"</f>
        <v>2</v>
      </c>
      <c r="E5111" t="str">
        <f>"1-103-2"</f>
        <v>1-103-2</v>
      </c>
      <c r="F5111" t="s">
        <v>65</v>
      </c>
      <c r="G5111" t="s">
        <v>66</v>
      </c>
      <c r="H5111" t="s">
        <v>68</v>
      </c>
      <c r="I5111">
        <v>1</v>
      </c>
      <c r="J5111">
        <v>1</v>
      </c>
      <c r="K5111">
        <v>0</v>
      </c>
      <c r="L5111">
        <v>0</v>
      </c>
      <c r="M5111">
        <v>1</v>
      </c>
      <c r="N5111">
        <v>1</v>
      </c>
      <c r="O5111">
        <v>1</v>
      </c>
      <c r="P5111">
        <v>1</v>
      </c>
      <c r="Q5111">
        <v>1</v>
      </c>
      <c r="R5111">
        <v>1</v>
      </c>
    </row>
    <row r="5112" spans="1:18" x14ac:dyDescent="0.2">
      <c r="A5112" t="str">
        <f>"5108"</f>
        <v>5108</v>
      </c>
      <c r="B5112" t="str">
        <f t="shared" si="285"/>
        <v>1</v>
      </c>
      <c r="C5112" t="str">
        <f t="shared" si="284"/>
        <v>103</v>
      </c>
      <c r="D5112" t="str">
        <f>"36"</f>
        <v>36</v>
      </c>
      <c r="E5112" t="str">
        <f>"1-103-36"</f>
        <v>1-103-36</v>
      </c>
      <c r="F5112" t="s">
        <v>65</v>
      </c>
      <c r="G5112" t="s">
        <v>66</v>
      </c>
      <c r="H5112" t="s">
        <v>68</v>
      </c>
      <c r="I5112">
        <v>1</v>
      </c>
      <c r="J5112">
        <v>1</v>
      </c>
      <c r="K5112">
        <v>0</v>
      </c>
      <c r="L5112">
        <v>0</v>
      </c>
      <c r="M5112">
        <v>1</v>
      </c>
      <c r="N5112">
        <v>1</v>
      </c>
      <c r="O5112">
        <v>1</v>
      </c>
      <c r="P5112">
        <v>1</v>
      </c>
      <c r="Q5112">
        <v>1</v>
      </c>
      <c r="R5112">
        <v>1</v>
      </c>
    </row>
    <row r="5113" spans="1:18" x14ac:dyDescent="0.2">
      <c r="A5113" t="str">
        <f>"5109"</f>
        <v>5109</v>
      </c>
      <c r="B5113" t="str">
        <f t="shared" si="285"/>
        <v>1</v>
      </c>
      <c r="C5113" t="str">
        <f t="shared" si="284"/>
        <v>103</v>
      </c>
      <c r="D5113" t="str">
        <f>"35"</f>
        <v>35</v>
      </c>
      <c r="E5113" t="str">
        <f>"1-103-35"</f>
        <v>1-103-35</v>
      </c>
      <c r="F5113" t="s">
        <v>65</v>
      </c>
      <c r="G5113" t="s">
        <v>66</v>
      </c>
      <c r="H5113" t="s">
        <v>68</v>
      </c>
      <c r="I5113">
        <v>1</v>
      </c>
      <c r="J5113">
        <v>1</v>
      </c>
      <c r="K5113">
        <v>0</v>
      </c>
      <c r="L5113">
        <v>0</v>
      </c>
      <c r="M5113">
        <v>1</v>
      </c>
      <c r="N5113">
        <v>1</v>
      </c>
      <c r="O5113">
        <v>1</v>
      </c>
      <c r="P5113">
        <v>1</v>
      </c>
      <c r="Q5113">
        <v>1</v>
      </c>
      <c r="R5113">
        <v>1</v>
      </c>
    </row>
    <row r="5114" spans="1:18" x14ac:dyDescent="0.2">
      <c r="A5114" t="str">
        <f>"5110"</f>
        <v>5110</v>
      </c>
      <c r="B5114" t="str">
        <f t="shared" si="285"/>
        <v>1</v>
      </c>
      <c r="C5114" t="str">
        <f t="shared" si="284"/>
        <v>103</v>
      </c>
      <c r="D5114" t="str">
        <f>"27"</f>
        <v>27</v>
      </c>
      <c r="E5114" t="str">
        <f>"1-103-27"</f>
        <v>1-103-27</v>
      </c>
      <c r="F5114" t="s">
        <v>65</v>
      </c>
      <c r="G5114" t="s">
        <v>66</v>
      </c>
      <c r="H5114" t="s">
        <v>68</v>
      </c>
      <c r="I5114">
        <v>1</v>
      </c>
      <c r="J5114">
        <v>0</v>
      </c>
      <c r="K5114">
        <v>0</v>
      </c>
      <c r="L5114">
        <v>1</v>
      </c>
      <c r="M5114">
        <v>1</v>
      </c>
      <c r="N5114">
        <v>1</v>
      </c>
      <c r="O5114">
        <v>1</v>
      </c>
      <c r="P5114">
        <v>1</v>
      </c>
      <c r="Q5114">
        <v>1</v>
      </c>
      <c r="R5114">
        <v>1</v>
      </c>
    </row>
    <row r="5115" spans="1:18" x14ac:dyDescent="0.2">
      <c r="A5115" t="str">
        <f>"5111"</f>
        <v>5111</v>
      </c>
      <c r="B5115" t="str">
        <f t="shared" si="285"/>
        <v>1</v>
      </c>
      <c r="C5115" t="str">
        <f t="shared" si="284"/>
        <v>103</v>
      </c>
      <c r="D5115" t="str">
        <f>"16"</f>
        <v>16</v>
      </c>
      <c r="E5115" t="str">
        <f>"1-103-16"</f>
        <v>1-103-16</v>
      </c>
      <c r="F5115" t="s">
        <v>65</v>
      </c>
      <c r="G5115" t="s">
        <v>66</v>
      </c>
      <c r="H5115" t="s">
        <v>68</v>
      </c>
      <c r="I5115">
        <v>1</v>
      </c>
      <c r="J5115">
        <v>1</v>
      </c>
      <c r="K5115">
        <v>0</v>
      </c>
      <c r="L5115">
        <v>0</v>
      </c>
      <c r="M5115">
        <v>1</v>
      </c>
      <c r="N5115">
        <v>1</v>
      </c>
      <c r="O5115">
        <v>1</v>
      </c>
      <c r="P5115">
        <v>1</v>
      </c>
      <c r="Q5115">
        <v>1</v>
      </c>
      <c r="R5115">
        <v>1</v>
      </c>
    </row>
    <row r="5116" spans="1:18" x14ac:dyDescent="0.2">
      <c r="A5116" t="str">
        <f>"5112"</f>
        <v>5112</v>
      </c>
      <c r="B5116" t="str">
        <f t="shared" si="285"/>
        <v>1</v>
      </c>
      <c r="C5116" t="str">
        <f t="shared" si="284"/>
        <v>103</v>
      </c>
      <c r="D5116" t="str">
        <f>"5"</f>
        <v>5</v>
      </c>
      <c r="E5116" t="str">
        <f>"1-103-5"</f>
        <v>1-103-5</v>
      </c>
      <c r="F5116" t="s">
        <v>65</v>
      </c>
      <c r="G5116" t="s">
        <v>66</v>
      </c>
      <c r="H5116" t="s">
        <v>68</v>
      </c>
      <c r="I5116">
        <v>1</v>
      </c>
      <c r="J5116">
        <v>0</v>
      </c>
      <c r="K5116">
        <v>1</v>
      </c>
      <c r="L5116">
        <v>0</v>
      </c>
      <c r="M5116">
        <v>1</v>
      </c>
      <c r="N5116">
        <v>1</v>
      </c>
      <c r="O5116">
        <v>1</v>
      </c>
      <c r="P5116">
        <v>1</v>
      </c>
      <c r="Q5116">
        <v>1</v>
      </c>
      <c r="R5116">
        <v>1</v>
      </c>
    </row>
    <row r="5117" spans="1:18" x14ac:dyDescent="0.2">
      <c r="A5117" t="str">
        <f>"5113"</f>
        <v>5113</v>
      </c>
      <c r="B5117" t="str">
        <f t="shared" si="285"/>
        <v>1</v>
      </c>
      <c r="C5117" t="str">
        <f t="shared" si="284"/>
        <v>103</v>
      </c>
      <c r="D5117" t="str">
        <f>"46"</f>
        <v>46</v>
      </c>
      <c r="E5117" t="str">
        <f>"1-103-46"</f>
        <v>1-103-46</v>
      </c>
      <c r="F5117" t="s">
        <v>65</v>
      </c>
      <c r="G5117" t="s">
        <v>66</v>
      </c>
      <c r="H5117" t="s">
        <v>68</v>
      </c>
      <c r="I5117">
        <v>1</v>
      </c>
      <c r="J5117">
        <v>0</v>
      </c>
      <c r="K5117">
        <v>1</v>
      </c>
      <c r="L5117">
        <v>0</v>
      </c>
      <c r="M5117">
        <v>1</v>
      </c>
      <c r="N5117">
        <v>1</v>
      </c>
      <c r="O5117">
        <v>1</v>
      </c>
      <c r="P5117">
        <v>1</v>
      </c>
      <c r="Q5117">
        <v>1</v>
      </c>
      <c r="R5117">
        <v>1</v>
      </c>
    </row>
    <row r="5118" spans="1:18" x14ac:dyDescent="0.2">
      <c r="A5118" t="str">
        <f>"5114"</f>
        <v>5114</v>
      </c>
      <c r="B5118" t="str">
        <f t="shared" si="285"/>
        <v>1</v>
      </c>
      <c r="C5118" t="str">
        <f t="shared" si="284"/>
        <v>103</v>
      </c>
      <c r="D5118" t="str">
        <f>"45"</f>
        <v>45</v>
      </c>
      <c r="E5118" t="str">
        <f>"1-103-45"</f>
        <v>1-103-45</v>
      </c>
      <c r="F5118" t="s">
        <v>65</v>
      </c>
      <c r="G5118" t="s">
        <v>66</v>
      </c>
      <c r="H5118" t="s">
        <v>68</v>
      </c>
      <c r="I5118">
        <v>1</v>
      </c>
      <c r="J5118">
        <v>0</v>
      </c>
      <c r="K5118">
        <v>1</v>
      </c>
      <c r="L5118">
        <v>0</v>
      </c>
      <c r="M5118">
        <v>1</v>
      </c>
      <c r="N5118">
        <v>1</v>
      </c>
      <c r="O5118">
        <v>1</v>
      </c>
      <c r="P5118">
        <v>1</v>
      </c>
      <c r="Q5118">
        <v>0</v>
      </c>
      <c r="R5118">
        <v>1</v>
      </c>
    </row>
    <row r="5119" spans="1:18" x14ac:dyDescent="0.2">
      <c r="A5119" t="str">
        <f>"5115"</f>
        <v>5115</v>
      </c>
      <c r="B5119" t="str">
        <f t="shared" si="285"/>
        <v>1</v>
      </c>
      <c r="C5119" t="str">
        <f t="shared" si="284"/>
        <v>103</v>
      </c>
      <c r="D5119" t="str">
        <f>"31"</f>
        <v>31</v>
      </c>
      <c r="E5119" t="str">
        <f>"1-103-31"</f>
        <v>1-103-31</v>
      </c>
      <c r="F5119" t="s">
        <v>65</v>
      </c>
      <c r="G5119" t="s">
        <v>66</v>
      </c>
      <c r="H5119" t="s">
        <v>68</v>
      </c>
      <c r="I5119">
        <v>1</v>
      </c>
      <c r="J5119">
        <v>0</v>
      </c>
      <c r="K5119">
        <v>0</v>
      </c>
      <c r="L5119">
        <v>1</v>
      </c>
      <c r="M5119">
        <v>1</v>
      </c>
      <c r="N5119">
        <v>1</v>
      </c>
      <c r="O5119">
        <v>1</v>
      </c>
      <c r="P5119">
        <v>1</v>
      </c>
      <c r="Q5119">
        <v>0</v>
      </c>
      <c r="R5119">
        <v>1</v>
      </c>
    </row>
    <row r="5120" spans="1:18" x14ac:dyDescent="0.2">
      <c r="A5120" t="str">
        <f>"5116"</f>
        <v>5116</v>
      </c>
      <c r="B5120" t="str">
        <f t="shared" si="285"/>
        <v>1</v>
      </c>
      <c r="C5120" t="str">
        <f t="shared" si="284"/>
        <v>103</v>
      </c>
      <c r="D5120" t="str">
        <f>"17"</f>
        <v>17</v>
      </c>
      <c r="E5120" t="str">
        <f>"1-103-17"</f>
        <v>1-103-17</v>
      </c>
      <c r="F5120" t="s">
        <v>65</v>
      </c>
      <c r="G5120" t="s">
        <v>66</v>
      </c>
      <c r="H5120" t="s">
        <v>68</v>
      </c>
      <c r="I5120">
        <v>1</v>
      </c>
      <c r="J5120">
        <v>0</v>
      </c>
      <c r="K5120">
        <v>0</v>
      </c>
      <c r="L5120">
        <v>1</v>
      </c>
      <c r="M5120">
        <v>1</v>
      </c>
      <c r="N5120">
        <v>1</v>
      </c>
      <c r="O5120">
        <v>0</v>
      </c>
      <c r="P5120">
        <v>0</v>
      </c>
      <c r="Q5120">
        <v>0</v>
      </c>
      <c r="R5120">
        <v>1</v>
      </c>
    </row>
    <row r="5121" spans="1:18" x14ac:dyDescent="0.2">
      <c r="A5121" t="str">
        <f>"5117"</f>
        <v>5117</v>
      </c>
      <c r="B5121" t="str">
        <f t="shared" si="285"/>
        <v>1</v>
      </c>
      <c r="C5121" t="str">
        <f t="shared" si="284"/>
        <v>103</v>
      </c>
      <c r="D5121" t="str">
        <f>"1"</f>
        <v>1</v>
      </c>
      <c r="E5121" t="str">
        <f>"1-103-1"</f>
        <v>1-103-1</v>
      </c>
      <c r="F5121" t="s">
        <v>65</v>
      </c>
      <c r="G5121" t="s">
        <v>66</v>
      </c>
      <c r="H5121" t="s">
        <v>68</v>
      </c>
      <c r="I5121">
        <v>1</v>
      </c>
      <c r="J5121">
        <v>0</v>
      </c>
      <c r="K5121">
        <v>0</v>
      </c>
      <c r="L5121">
        <v>0</v>
      </c>
      <c r="M5121">
        <v>1</v>
      </c>
      <c r="N5121">
        <v>0</v>
      </c>
      <c r="O5121">
        <v>0</v>
      </c>
      <c r="P5121">
        <v>1</v>
      </c>
      <c r="Q5121">
        <v>1</v>
      </c>
      <c r="R5121">
        <v>1</v>
      </c>
    </row>
    <row r="5122" spans="1:18" x14ac:dyDescent="0.2">
      <c r="A5122" t="str">
        <f>"5118"</f>
        <v>5118</v>
      </c>
      <c r="B5122" t="str">
        <f t="shared" si="285"/>
        <v>1</v>
      </c>
      <c r="C5122" t="str">
        <f t="shared" si="284"/>
        <v>103</v>
      </c>
      <c r="D5122" t="str">
        <f>"41"</f>
        <v>41</v>
      </c>
      <c r="E5122" t="str">
        <f>"1-103-41"</f>
        <v>1-103-41</v>
      </c>
      <c r="F5122" t="s">
        <v>65</v>
      </c>
      <c r="G5122" t="s">
        <v>66</v>
      </c>
      <c r="H5122" t="s">
        <v>68</v>
      </c>
      <c r="I5122">
        <v>1</v>
      </c>
      <c r="J5122">
        <v>0</v>
      </c>
      <c r="K5122">
        <v>0</v>
      </c>
      <c r="L5122">
        <v>1</v>
      </c>
      <c r="M5122">
        <v>1</v>
      </c>
      <c r="N5122">
        <v>1</v>
      </c>
      <c r="O5122">
        <v>1</v>
      </c>
      <c r="P5122">
        <v>1</v>
      </c>
      <c r="Q5122">
        <v>1</v>
      </c>
      <c r="R5122">
        <v>1</v>
      </c>
    </row>
    <row r="5123" spans="1:18" x14ac:dyDescent="0.2">
      <c r="A5123" t="str">
        <f>"5119"</f>
        <v>5119</v>
      </c>
      <c r="B5123" t="str">
        <f t="shared" si="285"/>
        <v>1</v>
      </c>
      <c r="C5123" t="str">
        <f t="shared" si="284"/>
        <v>103</v>
      </c>
      <c r="D5123" t="str">
        <f>"40"</f>
        <v>40</v>
      </c>
      <c r="E5123" t="str">
        <f>"1-103-40"</f>
        <v>1-103-40</v>
      </c>
      <c r="F5123" t="s">
        <v>65</v>
      </c>
      <c r="G5123" t="s">
        <v>66</v>
      </c>
      <c r="H5123" t="s">
        <v>68</v>
      </c>
      <c r="I5123">
        <v>1</v>
      </c>
      <c r="J5123">
        <v>1</v>
      </c>
      <c r="K5123">
        <v>0</v>
      </c>
      <c r="L5123">
        <v>0</v>
      </c>
      <c r="M5123">
        <v>1</v>
      </c>
      <c r="N5123">
        <v>1</v>
      </c>
      <c r="O5123">
        <v>1</v>
      </c>
      <c r="P5123">
        <v>1</v>
      </c>
      <c r="Q5123">
        <v>1</v>
      </c>
      <c r="R5123">
        <v>1</v>
      </c>
    </row>
    <row r="5124" spans="1:18" x14ac:dyDescent="0.2">
      <c r="A5124" t="str">
        <f>"5120"</f>
        <v>5120</v>
      </c>
      <c r="B5124" t="str">
        <f t="shared" si="285"/>
        <v>1</v>
      </c>
      <c r="C5124" t="str">
        <f t="shared" si="284"/>
        <v>103</v>
      </c>
      <c r="D5124" t="str">
        <f>"33"</f>
        <v>33</v>
      </c>
      <c r="E5124" t="str">
        <f>"1-103-33"</f>
        <v>1-103-33</v>
      </c>
      <c r="F5124" t="s">
        <v>65</v>
      </c>
      <c r="G5124" t="s">
        <v>66</v>
      </c>
      <c r="H5124" t="s">
        <v>68</v>
      </c>
      <c r="I5124">
        <v>1</v>
      </c>
      <c r="J5124">
        <v>1</v>
      </c>
      <c r="K5124">
        <v>0</v>
      </c>
      <c r="L5124">
        <v>0</v>
      </c>
      <c r="M5124">
        <v>1</v>
      </c>
      <c r="N5124">
        <v>1</v>
      </c>
      <c r="O5124">
        <v>0</v>
      </c>
      <c r="P5124">
        <v>1</v>
      </c>
      <c r="Q5124">
        <v>1</v>
      </c>
      <c r="R5124">
        <v>1</v>
      </c>
    </row>
    <row r="5125" spans="1:18" x14ac:dyDescent="0.2">
      <c r="A5125" t="str">
        <f>"5121"</f>
        <v>5121</v>
      </c>
      <c r="B5125" t="str">
        <f t="shared" si="285"/>
        <v>1</v>
      </c>
      <c r="C5125" t="str">
        <f t="shared" si="284"/>
        <v>103</v>
      </c>
      <c r="D5125" t="str">
        <f>"18"</f>
        <v>18</v>
      </c>
      <c r="E5125" t="str">
        <f>"1-103-18"</f>
        <v>1-103-18</v>
      </c>
      <c r="F5125" t="s">
        <v>65</v>
      </c>
      <c r="G5125" t="s">
        <v>66</v>
      </c>
      <c r="H5125" t="s">
        <v>68</v>
      </c>
      <c r="I5125">
        <v>1</v>
      </c>
      <c r="J5125">
        <v>0</v>
      </c>
      <c r="K5125">
        <v>0</v>
      </c>
      <c r="L5125">
        <v>1</v>
      </c>
      <c r="M5125">
        <v>1</v>
      </c>
      <c r="N5125">
        <v>1</v>
      </c>
      <c r="O5125">
        <v>1</v>
      </c>
      <c r="P5125">
        <v>1</v>
      </c>
      <c r="Q5125">
        <v>1</v>
      </c>
      <c r="R5125">
        <v>1</v>
      </c>
    </row>
    <row r="5126" spans="1:18" x14ac:dyDescent="0.2">
      <c r="A5126" t="str">
        <f>"5122"</f>
        <v>5122</v>
      </c>
      <c r="B5126" t="str">
        <f t="shared" si="285"/>
        <v>1</v>
      </c>
      <c r="C5126" t="str">
        <f t="shared" si="284"/>
        <v>103</v>
      </c>
      <c r="D5126" t="str">
        <f>"13"</f>
        <v>13</v>
      </c>
      <c r="E5126" t="str">
        <f>"1-103-13"</f>
        <v>1-103-13</v>
      </c>
      <c r="F5126" t="s">
        <v>65</v>
      </c>
      <c r="G5126" t="s">
        <v>66</v>
      </c>
      <c r="H5126" t="s">
        <v>68</v>
      </c>
      <c r="I5126">
        <v>1</v>
      </c>
      <c r="J5126">
        <v>1</v>
      </c>
      <c r="K5126">
        <v>0</v>
      </c>
      <c r="L5126">
        <v>0</v>
      </c>
      <c r="M5126">
        <v>1</v>
      </c>
      <c r="N5126">
        <v>1</v>
      </c>
      <c r="O5126">
        <v>1</v>
      </c>
      <c r="P5126">
        <v>1</v>
      </c>
      <c r="Q5126">
        <v>1</v>
      </c>
      <c r="R5126">
        <v>1</v>
      </c>
    </row>
    <row r="5127" spans="1:18" x14ac:dyDescent="0.2">
      <c r="A5127" t="str">
        <f>"5123"</f>
        <v>5123</v>
      </c>
      <c r="B5127" t="str">
        <f t="shared" si="285"/>
        <v>1</v>
      </c>
      <c r="C5127" t="str">
        <f t="shared" si="284"/>
        <v>103</v>
      </c>
      <c r="D5127" t="str">
        <f>"42"</f>
        <v>42</v>
      </c>
      <c r="E5127" t="str">
        <f>"1-103-42"</f>
        <v>1-103-42</v>
      </c>
      <c r="F5127" t="s">
        <v>65</v>
      </c>
      <c r="G5127" t="s">
        <v>66</v>
      </c>
      <c r="H5127" t="s">
        <v>68</v>
      </c>
      <c r="I5127">
        <v>1</v>
      </c>
      <c r="J5127">
        <v>0</v>
      </c>
      <c r="K5127">
        <v>1</v>
      </c>
      <c r="L5127">
        <v>0</v>
      </c>
      <c r="M5127">
        <v>1</v>
      </c>
      <c r="N5127">
        <v>1</v>
      </c>
      <c r="O5127">
        <v>1</v>
      </c>
      <c r="P5127">
        <v>1</v>
      </c>
      <c r="Q5127">
        <v>1</v>
      </c>
      <c r="R5127">
        <v>1</v>
      </c>
    </row>
    <row r="5128" spans="1:18" x14ac:dyDescent="0.2">
      <c r="A5128" t="str">
        <f>"5124"</f>
        <v>5124</v>
      </c>
      <c r="B5128" t="str">
        <f t="shared" si="285"/>
        <v>1</v>
      </c>
      <c r="C5128" t="str">
        <f t="shared" si="284"/>
        <v>103</v>
      </c>
      <c r="D5128" t="str">
        <f>"20"</f>
        <v>20</v>
      </c>
      <c r="E5128" t="str">
        <f>"1-103-20"</f>
        <v>1-103-20</v>
      </c>
      <c r="F5128" t="s">
        <v>65</v>
      </c>
      <c r="G5128" t="s">
        <v>66</v>
      </c>
      <c r="H5128" t="s">
        <v>68</v>
      </c>
      <c r="I5128">
        <v>1</v>
      </c>
      <c r="J5128">
        <v>0</v>
      </c>
      <c r="K5128">
        <v>0</v>
      </c>
      <c r="L5128">
        <v>1</v>
      </c>
      <c r="M5128">
        <v>1</v>
      </c>
      <c r="N5128">
        <v>1</v>
      </c>
      <c r="O5128">
        <v>1</v>
      </c>
      <c r="P5128">
        <v>1</v>
      </c>
      <c r="Q5128">
        <v>1</v>
      </c>
      <c r="R5128">
        <v>1</v>
      </c>
    </row>
    <row r="5129" spans="1:18" x14ac:dyDescent="0.2">
      <c r="A5129" t="str">
        <f>"5125"</f>
        <v>5125</v>
      </c>
      <c r="B5129" t="str">
        <f t="shared" si="285"/>
        <v>1</v>
      </c>
      <c r="C5129" t="str">
        <f t="shared" si="284"/>
        <v>103</v>
      </c>
      <c r="D5129" t="str">
        <f>"6"</f>
        <v>6</v>
      </c>
      <c r="E5129" t="str">
        <f>"1-103-6"</f>
        <v>1-103-6</v>
      </c>
      <c r="F5129" t="s">
        <v>65</v>
      </c>
      <c r="G5129" t="s">
        <v>66</v>
      </c>
      <c r="H5129" t="s">
        <v>68</v>
      </c>
      <c r="I5129">
        <v>1</v>
      </c>
      <c r="J5129">
        <v>0</v>
      </c>
      <c r="K5129">
        <v>0</v>
      </c>
      <c r="L5129">
        <v>1</v>
      </c>
      <c r="M5129">
        <v>1</v>
      </c>
      <c r="N5129">
        <v>1</v>
      </c>
      <c r="O5129">
        <v>1</v>
      </c>
      <c r="P5129">
        <v>1</v>
      </c>
      <c r="Q5129">
        <v>1</v>
      </c>
      <c r="R5129">
        <v>1</v>
      </c>
    </row>
    <row r="5130" spans="1:18" x14ac:dyDescent="0.2">
      <c r="A5130" t="str">
        <f>"5126"</f>
        <v>5126</v>
      </c>
      <c r="B5130" t="str">
        <f t="shared" si="285"/>
        <v>1</v>
      </c>
      <c r="C5130" t="str">
        <f t="shared" si="284"/>
        <v>103</v>
      </c>
      <c r="D5130" t="str">
        <f>"44"</f>
        <v>44</v>
      </c>
      <c r="E5130" t="str">
        <f>"1-103-44"</f>
        <v>1-103-44</v>
      </c>
      <c r="F5130" t="s">
        <v>65</v>
      </c>
      <c r="G5130" t="s">
        <v>66</v>
      </c>
      <c r="H5130" t="s">
        <v>68</v>
      </c>
      <c r="I5130">
        <v>1</v>
      </c>
      <c r="J5130">
        <v>0</v>
      </c>
      <c r="K5130">
        <v>0</v>
      </c>
      <c r="L5130">
        <v>1</v>
      </c>
      <c r="M5130">
        <v>1</v>
      </c>
      <c r="N5130">
        <v>1</v>
      </c>
      <c r="O5130">
        <v>1</v>
      </c>
      <c r="P5130">
        <v>1</v>
      </c>
      <c r="Q5130">
        <v>1</v>
      </c>
      <c r="R5130">
        <v>1</v>
      </c>
    </row>
    <row r="5131" spans="1:18" x14ac:dyDescent="0.2">
      <c r="A5131" t="str">
        <f>"5127"</f>
        <v>5127</v>
      </c>
      <c r="B5131" t="str">
        <f t="shared" si="285"/>
        <v>1</v>
      </c>
      <c r="C5131" t="str">
        <f t="shared" si="284"/>
        <v>103</v>
      </c>
      <c r="D5131" t="str">
        <f>"21"</f>
        <v>21</v>
      </c>
      <c r="E5131" t="str">
        <f>"1-103-21"</f>
        <v>1-103-21</v>
      </c>
      <c r="F5131" t="s">
        <v>65</v>
      </c>
      <c r="G5131" t="s">
        <v>66</v>
      </c>
      <c r="H5131" t="s">
        <v>68</v>
      </c>
      <c r="I5131">
        <v>1</v>
      </c>
      <c r="J5131">
        <v>0</v>
      </c>
      <c r="K5131">
        <v>1</v>
      </c>
      <c r="L5131">
        <v>0</v>
      </c>
      <c r="M5131">
        <v>1</v>
      </c>
      <c r="N5131">
        <v>1</v>
      </c>
      <c r="O5131">
        <v>1</v>
      </c>
      <c r="P5131">
        <v>1</v>
      </c>
      <c r="Q5131">
        <v>1</v>
      </c>
      <c r="R5131">
        <v>1</v>
      </c>
    </row>
    <row r="5132" spans="1:18" x14ac:dyDescent="0.2">
      <c r="A5132" t="str">
        <f>"5128"</f>
        <v>5128</v>
      </c>
      <c r="B5132" t="str">
        <f t="shared" si="285"/>
        <v>1</v>
      </c>
      <c r="C5132" t="str">
        <f t="shared" si="284"/>
        <v>103</v>
      </c>
      <c r="D5132" t="str">
        <f>"14"</f>
        <v>14</v>
      </c>
      <c r="E5132" t="str">
        <f>"1-103-14"</f>
        <v>1-103-14</v>
      </c>
      <c r="F5132" t="s">
        <v>65</v>
      </c>
      <c r="G5132" t="s">
        <v>66</v>
      </c>
      <c r="H5132" t="s">
        <v>68</v>
      </c>
      <c r="I5132">
        <v>1</v>
      </c>
      <c r="J5132">
        <v>1</v>
      </c>
      <c r="K5132">
        <v>0</v>
      </c>
      <c r="L5132">
        <v>0</v>
      </c>
      <c r="M5132">
        <v>1</v>
      </c>
      <c r="N5132">
        <v>1</v>
      </c>
      <c r="O5132">
        <v>1</v>
      </c>
      <c r="P5132">
        <v>1</v>
      </c>
      <c r="Q5132">
        <v>1</v>
      </c>
      <c r="R5132">
        <v>1</v>
      </c>
    </row>
    <row r="5133" spans="1:18" x14ac:dyDescent="0.2">
      <c r="A5133" t="str">
        <f>"5129"</f>
        <v>5129</v>
      </c>
      <c r="B5133" t="str">
        <f t="shared" si="285"/>
        <v>1</v>
      </c>
      <c r="C5133" t="str">
        <f t="shared" si="284"/>
        <v>103</v>
      </c>
      <c r="D5133" t="str">
        <f>"39"</f>
        <v>39</v>
      </c>
      <c r="E5133" t="str">
        <f>"1-103-39"</f>
        <v>1-103-39</v>
      </c>
      <c r="F5133" t="s">
        <v>65</v>
      </c>
      <c r="G5133" t="s">
        <v>66</v>
      </c>
      <c r="H5133" t="s">
        <v>68</v>
      </c>
      <c r="I5133">
        <v>1</v>
      </c>
      <c r="J5133">
        <v>1</v>
      </c>
      <c r="K5133">
        <v>0</v>
      </c>
      <c r="L5133">
        <v>0</v>
      </c>
      <c r="M5133">
        <v>1</v>
      </c>
      <c r="N5133">
        <v>1</v>
      </c>
      <c r="O5133">
        <v>1</v>
      </c>
      <c r="P5133">
        <v>1</v>
      </c>
      <c r="Q5133">
        <v>1</v>
      </c>
      <c r="R5133">
        <v>1</v>
      </c>
    </row>
    <row r="5134" spans="1:18" x14ac:dyDescent="0.2">
      <c r="A5134" t="str">
        <f>"5130"</f>
        <v>5130</v>
      </c>
      <c r="B5134" t="str">
        <f t="shared" si="285"/>
        <v>1</v>
      </c>
      <c r="C5134" t="str">
        <f t="shared" si="284"/>
        <v>103</v>
      </c>
      <c r="D5134" t="str">
        <f>"22"</f>
        <v>22</v>
      </c>
      <c r="E5134" t="str">
        <f>"1-103-22"</f>
        <v>1-103-22</v>
      </c>
      <c r="F5134" t="s">
        <v>65</v>
      </c>
      <c r="G5134" t="s">
        <v>66</v>
      </c>
      <c r="H5134" t="s">
        <v>68</v>
      </c>
      <c r="I5134">
        <v>0</v>
      </c>
      <c r="J5134">
        <v>1</v>
      </c>
      <c r="K5134">
        <v>0</v>
      </c>
      <c r="L5134">
        <v>0</v>
      </c>
      <c r="M5134">
        <v>1</v>
      </c>
      <c r="N5134">
        <v>1</v>
      </c>
      <c r="O5134">
        <v>1</v>
      </c>
      <c r="P5134">
        <v>1</v>
      </c>
      <c r="Q5134">
        <v>0</v>
      </c>
      <c r="R5134">
        <v>0</v>
      </c>
    </row>
    <row r="5135" spans="1:18" x14ac:dyDescent="0.2">
      <c r="A5135" t="str">
        <f>"5131"</f>
        <v>5131</v>
      </c>
      <c r="B5135" t="str">
        <f t="shared" si="285"/>
        <v>1</v>
      </c>
      <c r="C5135" t="str">
        <f t="shared" si="284"/>
        <v>103</v>
      </c>
      <c r="D5135" t="str">
        <f>"9"</f>
        <v>9</v>
      </c>
      <c r="E5135" t="str">
        <f>"1-103-9"</f>
        <v>1-103-9</v>
      </c>
      <c r="F5135" t="s">
        <v>65</v>
      </c>
      <c r="G5135" t="s">
        <v>66</v>
      </c>
      <c r="H5135" t="s">
        <v>68</v>
      </c>
      <c r="I5135">
        <v>1</v>
      </c>
      <c r="J5135">
        <v>0</v>
      </c>
      <c r="K5135">
        <v>0</v>
      </c>
      <c r="L5135">
        <v>1</v>
      </c>
      <c r="M5135">
        <v>1</v>
      </c>
      <c r="N5135">
        <v>1</v>
      </c>
      <c r="O5135">
        <v>1</v>
      </c>
      <c r="P5135">
        <v>1</v>
      </c>
      <c r="Q5135">
        <v>1</v>
      </c>
      <c r="R5135">
        <v>1</v>
      </c>
    </row>
    <row r="5136" spans="1:18" x14ac:dyDescent="0.2">
      <c r="A5136" t="str">
        <f>"5132"</f>
        <v>5132</v>
      </c>
      <c r="B5136" t="str">
        <f t="shared" si="285"/>
        <v>1</v>
      </c>
      <c r="C5136" t="str">
        <f t="shared" si="284"/>
        <v>103</v>
      </c>
      <c r="D5136" t="str">
        <f>"43"</f>
        <v>43</v>
      </c>
      <c r="E5136" t="str">
        <f>"1-103-43"</f>
        <v>1-103-43</v>
      </c>
      <c r="F5136" t="s">
        <v>65</v>
      </c>
      <c r="G5136" t="s">
        <v>66</v>
      </c>
      <c r="H5136" t="s">
        <v>68</v>
      </c>
      <c r="I5136">
        <v>1</v>
      </c>
      <c r="J5136">
        <v>1</v>
      </c>
      <c r="K5136">
        <v>0</v>
      </c>
      <c r="L5136">
        <v>0</v>
      </c>
      <c r="M5136">
        <v>1</v>
      </c>
      <c r="N5136">
        <v>1</v>
      </c>
      <c r="O5136">
        <v>1</v>
      </c>
      <c r="P5136">
        <v>1</v>
      </c>
      <c r="Q5136">
        <v>1</v>
      </c>
      <c r="R5136">
        <v>1</v>
      </c>
    </row>
    <row r="5137" spans="1:18" x14ac:dyDescent="0.2">
      <c r="A5137" t="str">
        <f>"5133"</f>
        <v>5133</v>
      </c>
      <c r="B5137" t="str">
        <f t="shared" si="285"/>
        <v>1</v>
      </c>
      <c r="C5137" t="str">
        <f t="shared" ref="C5137:C5154" si="286">"103"</f>
        <v>103</v>
      </c>
      <c r="D5137" t="str">
        <f>"25"</f>
        <v>25</v>
      </c>
      <c r="E5137" t="str">
        <f>"1-103-25"</f>
        <v>1-103-25</v>
      </c>
      <c r="F5137" t="s">
        <v>65</v>
      </c>
      <c r="G5137" t="s">
        <v>66</v>
      </c>
      <c r="H5137" t="s">
        <v>68</v>
      </c>
      <c r="I5137">
        <v>1</v>
      </c>
      <c r="J5137">
        <v>1</v>
      </c>
      <c r="K5137">
        <v>0</v>
      </c>
      <c r="L5137">
        <v>0</v>
      </c>
      <c r="M5137">
        <v>1</v>
      </c>
      <c r="N5137">
        <v>1</v>
      </c>
      <c r="O5137">
        <v>1</v>
      </c>
      <c r="P5137">
        <v>1</v>
      </c>
      <c r="Q5137">
        <v>1</v>
      </c>
      <c r="R5137">
        <v>1</v>
      </c>
    </row>
    <row r="5138" spans="1:18" x14ac:dyDescent="0.2">
      <c r="A5138" t="str">
        <f>"5134"</f>
        <v>5134</v>
      </c>
      <c r="B5138" t="str">
        <f t="shared" si="285"/>
        <v>1</v>
      </c>
      <c r="C5138" t="str">
        <f t="shared" si="286"/>
        <v>103</v>
      </c>
      <c r="D5138" t="str">
        <f>"7"</f>
        <v>7</v>
      </c>
      <c r="E5138" t="str">
        <f>"1-103-7"</f>
        <v>1-103-7</v>
      </c>
      <c r="F5138" t="s">
        <v>65</v>
      </c>
      <c r="G5138" t="s">
        <v>66</v>
      </c>
      <c r="H5138" t="s">
        <v>68</v>
      </c>
      <c r="I5138">
        <v>1</v>
      </c>
      <c r="J5138">
        <v>0</v>
      </c>
      <c r="K5138">
        <v>0</v>
      </c>
      <c r="L5138">
        <v>1</v>
      </c>
      <c r="M5138">
        <v>1</v>
      </c>
      <c r="N5138">
        <v>1</v>
      </c>
      <c r="O5138">
        <v>1</v>
      </c>
      <c r="P5138">
        <v>1</v>
      </c>
      <c r="Q5138">
        <v>1</v>
      </c>
      <c r="R5138">
        <v>1</v>
      </c>
    </row>
    <row r="5139" spans="1:18" x14ac:dyDescent="0.2">
      <c r="A5139" t="str">
        <f>"5135"</f>
        <v>5135</v>
      </c>
      <c r="B5139" t="str">
        <f t="shared" si="285"/>
        <v>1</v>
      </c>
      <c r="C5139" t="str">
        <f t="shared" si="286"/>
        <v>103</v>
      </c>
      <c r="D5139" t="str">
        <f>"49"</f>
        <v>49</v>
      </c>
      <c r="E5139" t="str">
        <f>"1-103-49"</f>
        <v>1-103-49</v>
      </c>
      <c r="F5139" t="s">
        <v>65</v>
      </c>
      <c r="G5139" t="s">
        <v>66</v>
      </c>
      <c r="H5139" t="s">
        <v>68</v>
      </c>
      <c r="I5139">
        <v>1</v>
      </c>
      <c r="J5139">
        <v>0</v>
      </c>
      <c r="K5139">
        <v>0</v>
      </c>
      <c r="L5139">
        <v>1</v>
      </c>
      <c r="M5139">
        <v>1</v>
      </c>
      <c r="N5139">
        <v>0</v>
      </c>
      <c r="O5139">
        <v>0</v>
      </c>
      <c r="P5139">
        <v>0</v>
      </c>
      <c r="Q5139">
        <v>0</v>
      </c>
      <c r="R5139">
        <v>0</v>
      </c>
    </row>
    <row r="5140" spans="1:18" x14ac:dyDescent="0.2">
      <c r="A5140" t="str">
        <f>"5136"</f>
        <v>5136</v>
      </c>
      <c r="B5140" t="str">
        <f t="shared" si="285"/>
        <v>1</v>
      </c>
      <c r="C5140" t="str">
        <f t="shared" si="286"/>
        <v>103</v>
      </c>
      <c r="D5140" t="str">
        <f>"26"</f>
        <v>26</v>
      </c>
      <c r="E5140" t="str">
        <f>"1-103-26"</f>
        <v>1-103-26</v>
      </c>
      <c r="F5140" t="s">
        <v>65</v>
      </c>
      <c r="G5140" t="s">
        <v>66</v>
      </c>
      <c r="H5140" t="s">
        <v>68</v>
      </c>
      <c r="I5140">
        <v>1</v>
      </c>
      <c r="J5140">
        <v>0</v>
      </c>
      <c r="K5140">
        <v>0</v>
      </c>
      <c r="L5140">
        <v>1</v>
      </c>
      <c r="M5140">
        <v>1</v>
      </c>
      <c r="N5140">
        <v>1</v>
      </c>
      <c r="O5140">
        <v>1</v>
      </c>
      <c r="P5140">
        <v>1</v>
      </c>
      <c r="Q5140">
        <v>1</v>
      </c>
      <c r="R5140">
        <v>1</v>
      </c>
    </row>
    <row r="5141" spans="1:18" x14ac:dyDescent="0.2">
      <c r="A5141" t="str">
        <f>"5137"</f>
        <v>5137</v>
      </c>
      <c r="B5141" t="str">
        <f t="shared" si="285"/>
        <v>1</v>
      </c>
      <c r="C5141" t="str">
        <f t="shared" si="286"/>
        <v>103</v>
      </c>
      <c r="D5141" t="str">
        <f>"12"</f>
        <v>12</v>
      </c>
      <c r="E5141" t="str">
        <f>"1-103-12"</f>
        <v>1-103-12</v>
      </c>
      <c r="F5141" t="s">
        <v>65</v>
      </c>
      <c r="G5141" t="s">
        <v>66</v>
      </c>
      <c r="H5141" t="s">
        <v>68</v>
      </c>
      <c r="I5141">
        <v>1</v>
      </c>
      <c r="J5141">
        <v>0</v>
      </c>
      <c r="K5141">
        <v>0</v>
      </c>
      <c r="L5141">
        <v>1</v>
      </c>
      <c r="M5141">
        <v>1</v>
      </c>
      <c r="N5141">
        <v>1</v>
      </c>
      <c r="O5141">
        <v>1</v>
      </c>
      <c r="P5141">
        <v>1</v>
      </c>
      <c r="Q5141">
        <v>1</v>
      </c>
      <c r="R5141">
        <v>1</v>
      </c>
    </row>
    <row r="5142" spans="1:18" x14ac:dyDescent="0.2">
      <c r="A5142" t="str">
        <f>"5138"</f>
        <v>5138</v>
      </c>
      <c r="B5142" t="str">
        <f t="shared" si="285"/>
        <v>1</v>
      </c>
      <c r="C5142" t="str">
        <f t="shared" si="286"/>
        <v>103</v>
      </c>
      <c r="D5142" t="str">
        <f>"28"</f>
        <v>28</v>
      </c>
      <c r="E5142" t="str">
        <f>"1-103-28"</f>
        <v>1-103-28</v>
      </c>
      <c r="F5142" t="s">
        <v>65</v>
      </c>
      <c r="G5142" t="s">
        <v>66</v>
      </c>
      <c r="H5142" t="s">
        <v>68</v>
      </c>
      <c r="I5142">
        <v>1</v>
      </c>
      <c r="J5142">
        <v>1</v>
      </c>
      <c r="K5142">
        <v>0</v>
      </c>
      <c r="L5142">
        <v>0</v>
      </c>
      <c r="M5142">
        <v>1</v>
      </c>
      <c r="N5142">
        <v>1</v>
      </c>
      <c r="O5142">
        <v>1</v>
      </c>
      <c r="P5142">
        <v>1</v>
      </c>
      <c r="Q5142">
        <v>1</v>
      </c>
      <c r="R5142">
        <v>1</v>
      </c>
    </row>
    <row r="5143" spans="1:18" x14ac:dyDescent="0.2">
      <c r="A5143" t="str">
        <f>"5139"</f>
        <v>5139</v>
      </c>
      <c r="B5143" t="str">
        <f t="shared" si="285"/>
        <v>1</v>
      </c>
      <c r="C5143" t="str">
        <f t="shared" si="286"/>
        <v>103</v>
      </c>
      <c r="D5143" t="str">
        <f>"10"</f>
        <v>10</v>
      </c>
      <c r="E5143" t="str">
        <f>"1-103-10"</f>
        <v>1-103-10</v>
      </c>
      <c r="F5143" t="s">
        <v>65</v>
      </c>
      <c r="G5143" t="s">
        <v>66</v>
      </c>
      <c r="H5143" t="s">
        <v>68</v>
      </c>
      <c r="I5143">
        <v>1</v>
      </c>
      <c r="J5143">
        <v>0</v>
      </c>
      <c r="K5143">
        <v>0</v>
      </c>
      <c r="L5143">
        <v>1</v>
      </c>
      <c r="M5143">
        <v>1</v>
      </c>
      <c r="N5143">
        <v>1</v>
      </c>
      <c r="O5143">
        <v>1</v>
      </c>
      <c r="P5143">
        <v>1</v>
      </c>
      <c r="Q5143">
        <v>0</v>
      </c>
      <c r="R5143">
        <v>0</v>
      </c>
    </row>
    <row r="5144" spans="1:18" x14ac:dyDescent="0.2">
      <c r="A5144" t="str">
        <f>"5140"</f>
        <v>5140</v>
      </c>
      <c r="B5144" t="str">
        <f t="shared" si="285"/>
        <v>1</v>
      </c>
      <c r="C5144" t="str">
        <f t="shared" si="286"/>
        <v>103</v>
      </c>
      <c r="D5144" t="str">
        <f>"48"</f>
        <v>48</v>
      </c>
      <c r="E5144" t="str">
        <f>"1-103-48"</f>
        <v>1-103-48</v>
      </c>
      <c r="F5144" t="s">
        <v>65</v>
      </c>
      <c r="G5144" t="s">
        <v>66</v>
      </c>
      <c r="H5144" t="s">
        <v>68</v>
      </c>
      <c r="I5144">
        <v>1</v>
      </c>
      <c r="J5144">
        <v>0</v>
      </c>
      <c r="K5144">
        <v>0</v>
      </c>
      <c r="L5144">
        <v>1</v>
      </c>
      <c r="M5144">
        <v>1</v>
      </c>
      <c r="N5144">
        <v>1</v>
      </c>
      <c r="O5144">
        <v>1</v>
      </c>
      <c r="P5144">
        <v>1</v>
      </c>
      <c r="Q5144">
        <v>0</v>
      </c>
      <c r="R5144">
        <v>0</v>
      </c>
    </row>
    <row r="5145" spans="1:18" x14ac:dyDescent="0.2">
      <c r="A5145" t="str">
        <f>"5141"</f>
        <v>5141</v>
      </c>
      <c r="B5145" t="str">
        <f t="shared" si="285"/>
        <v>1</v>
      </c>
      <c r="C5145" t="str">
        <f t="shared" si="286"/>
        <v>103</v>
      </c>
      <c r="D5145" t="str">
        <f>"29"</f>
        <v>29</v>
      </c>
      <c r="E5145" t="str">
        <f>"1-103-29"</f>
        <v>1-103-29</v>
      </c>
      <c r="F5145" t="s">
        <v>65</v>
      </c>
      <c r="G5145" t="s">
        <v>66</v>
      </c>
      <c r="H5145" t="s">
        <v>68</v>
      </c>
      <c r="I5145">
        <v>1</v>
      </c>
      <c r="J5145">
        <v>1</v>
      </c>
      <c r="K5145">
        <v>0</v>
      </c>
      <c r="L5145">
        <v>0</v>
      </c>
      <c r="M5145">
        <v>1</v>
      </c>
      <c r="N5145">
        <v>1</v>
      </c>
      <c r="O5145">
        <v>1</v>
      </c>
      <c r="P5145">
        <v>1</v>
      </c>
      <c r="Q5145">
        <v>1</v>
      </c>
      <c r="R5145">
        <v>1</v>
      </c>
    </row>
    <row r="5146" spans="1:18" x14ac:dyDescent="0.2">
      <c r="A5146" t="str">
        <f>"5142"</f>
        <v>5142</v>
      </c>
      <c r="B5146" t="str">
        <f t="shared" si="285"/>
        <v>1</v>
      </c>
      <c r="C5146" t="str">
        <f t="shared" si="286"/>
        <v>103</v>
      </c>
      <c r="D5146" t="str">
        <f>"11"</f>
        <v>11</v>
      </c>
      <c r="E5146" t="str">
        <f>"1-103-11"</f>
        <v>1-103-11</v>
      </c>
      <c r="F5146" t="s">
        <v>65</v>
      </c>
      <c r="G5146" t="s">
        <v>66</v>
      </c>
      <c r="H5146" t="s">
        <v>68</v>
      </c>
      <c r="I5146">
        <v>1</v>
      </c>
      <c r="J5146">
        <v>0</v>
      </c>
      <c r="K5146">
        <v>0</v>
      </c>
      <c r="L5146">
        <v>1</v>
      </c>
      <c r="M5146">
        <v>1</v>
      </c>
      <c r="N5146">
        <v>1</v>
      </c>
      <c r="O5146">
        <v>1</v>
      </c>
      <c r="P5146">
        <v>1</v>
      </c>
      <c r="Q5146">
        <v>1</v>
      </c>
      <c r="R5146">
        <v>1</v>
      </c>
    </row>
    <row r="5147" spans="1:18" x14ac:dyDescent="0.2">
      <c r="A5147" t="str">
        <f>"5143"</f>
        <v>5143</v>
      </c>
      <c r="B5147" t="str">
        <f t="shared" si="285"/>
        <v>1</v>
      </c>
      <c r="C5147" t="str">
        <f t="shared" si="286"/>
        <v>103</v>
      </c>
      <c r="D5147" t="str">
        <f>"47"</f>
        <v>47</v>
      </c>
      <c r="E5147" t="str">
        <f>"1-103-47"</f>
        <v>1-103-47</v>
      </c>
      <c r="F5147" t="s">
        <v>65</v>
      </c>
      <c r="G5147" t="s">
        <v>66</v>
      </c>
      <c r="H5147" t="s">
        <v>68</v>
      </c>
      <c r="I5147">
        <v>1</v>
      </c>
      <c r="J5147">
        <v>0</v>
      </c>
      <c r="K5147">
        <v>1</v>
      </c>
      <c r="L5147">
        <v>0</v>
      </c>
      <c r="M5147">
        <v>1</v>
      </c>
      <c r="N5147">
        <v>1</v>
      </c>
      <c r="O5147">
        <v>1</v>
      </c>
      <c r="P5147">
        <v>1</v>
      </c>
      <c r="Q5147">
        <v>1</v>
      </c>
      <c r="R5147">
        <v>1</v>
      </c>
    </row>
    <row r="5148" spans="1:18" x14ac:dyDescent="0.2">
      <c r="A5148" t="str">
        <f>"5144"</f>
        <v>5144</v>
      </c>
      <c r="B5148" t="str">
        <f t="shared" si="285"/>
        <v>1</v>
      </c>
      <c r="C5148" t="str">
        <f t="shared" si="286"/>
        <v>103</v>
      </c>
      <c r="D5148" t="str">
        <f>"30"</f>
        <v>30</v>
      </c>
      <c r="E5148" t="str">
        <f>"1-103-30"</f>
        <v>1-103-30</v>
      </c>
      <c r="F5148" t="s">
        <v>65</v>
      </c>
      <c r="G5148" t="s">
        <v>66</v>
      </c>
      <c r="H5148" t="s">
        <v>68</v>
      </c>
      <c r="I5148">
        <v>1</v>
      </c>
      <c r="J5148">
        <v>1</v>
      </c>
      <c r="K5148">
        <v>0</v>
      </c>
      <c r="L5148">
        <v>0</v>
      </c>
      <c r="M5148">
        <v>1</v>
      </c>
      <c r="N5148">
        <v>1</v>
      </c>
      <c r="O5148">
        <v>1</v>
      </c>
      <c r="P5148">
        <v>1</v>
      </c>
      <c r="Q5148">
        <v>1</v>
      </c>
      <c r="R5148">
        <v>1</v>
      </c>
    </row>
    <row r="5149" spans="1:18" x14ac:dyDescent="0.2">
      <c r="A5149" t="str">
        <f>"5145"</f>
        <v>5145</v>
      </c>
      <c r="B5149" t="str">
        <f t="shared" si="285"/>
        <v>1</v>
      </c>
      <c r="C5149" t="str">
        <f t="shared" si="286"/>
        <v>103</v>
      </c>
      <c r="D5149" t="str">
        <f>"8"</f>
        <v>8</v>
      </c>
      <c r="E5149" t="str">
        <f>"1-103-8"</f>
        <v>1-103-8</v>
      </c>
      <c r="F5149" t="s">
        <v>65</v>
      </c>
      <c r="G5149" t="s">
        <v>66</v>
      </c>
      <c r="H5149" t="s">
        <v>68</v>
      </c>
      <c r="I5149">
        <v>1</v>
      </c>
      <c r="J5149">
        <v>1</v>
      </c>
      <c r="K5149">
        <v>0</v>
      </c>
      <c r="L5149">
        <v>0</v>
      </c>
      <c r="M5149">
        <v>1</v>
      </c>
      <c r="N5149">
        <v>1</v>
      </c>
      <c r="O5149">
        <v>1</v>
      </c>
      <c r="P5149">
        <v>1</v>
      </c>
      <c r="Q5149">
        <v>1</v>
      </c>
      <c r="R5149">
        <v>1</v>
      </c>
    </row>
    <row r="5150" spans="1:18" x14ac:dyDescent="0.2">
      <c r="A5150" t="str">
        <f>"5146"</f>
        <v>5146</v>
      </c>
      <c r="B5150" t="str">
        <f t="shared" si="285"/>
        <v>1</v>
      </c>
      <c r="C5150" t="str">
        <f t="shared" si="286"/>
        <v>103</v>
      </c>
      <c r="D5150" t="str">
        <f>"50"</f>
        <v>50</v>
      </c>
      <c r="E5150" t="str">
        <f>"1-103-50"</f>
        <v>1-103-50</v>
      </c>
      <c r="F5150" t="s">
        <v>65</v>
      </c>
      <c r="G5150" t="s">
        <v>66</v>
      </c>
      <c r="H5150" t="s">
        <v>68</v>
      </c>
      <c r="I5150">
        <v>1</v>
      </c>
      <c r="J5150">
        <v>0</v>
      </c>
      <c r="K5150">
        <v>0</v>
      </c>
      <c r="L5150">
        <v>1</v>
      </c>
      <c r="M5150">
        <v>1</v>
      </c>
      <c r="N5150">
        <v>1</v>
      </c>
      <c r="O5150">
        <v>0</v>
      </c>
      <c r="P5150">
        <v>0</v>
      </c>
      <c r="Q5150">
        <v>0</v>
      </c>
      <c r="R5150">
        <v>0</v>
      </c>
    </row>
    <row r="5151" spans="1:18" x14ac:dyDescent="0.2">
      <c r="A5151" t="str">
        <f>"5147"</f>
        <v>5147</v>
      </c>
      <c r="B5151" t="str">
        <f t="shared" si="285"/>
        <v>1</v>
      </c>
      <c r="C5151" t="str">
        <f t="shared" si="286"/>
        <v>103</v>
      </c>
      <c r="D5151" t="str">
        <f>"32"</f>
        <v>32</v>
      </c>
      <c r="E5151" t="str">
        <f>"1-103-32"</f>
        <v>1-103-32</v>
      </c>
      <c r="F5151" t="s">
        <v>65</v>
      </c>
      <c r="G5151" t="s">
        <v>66</v>
      </c>
      <c r="H5151" t="s">
        <v>68</v>
      </c>
      <c r="I5151">
        <v>1</v>
      </c>
      <c r="J5151">
        <v>0</v>
      </c>
      <c r="K5151">
        <v>0</v>
      </c>
      <c r="L5151">
        <v>1</v>
      </c>
      <c r="M5151">
        <v>1</v>
      </c>
      <c r="N5151">
        <v>1</v>
      </c>
      <c r="O5151">
        <v>1</v>
      </c>
      <c r="P5151">
        <v>1</v>
      </c>
      <c r="Q5151">
        <v>1</v>
      </c>
      <c r="R5151">
        <v>1</v>
      </c>
    </row>
    <row r="5152" spans="1:18" x14ac:dyDescent="0.2">
      <c r="A5152" t="str">
        <f>"5148"</f>
        <v>5148</v>
      </c>
      <c r="B5152" t="str">
        <f t="shared" si="285"/>
        <v>1</v>
      </c>
      <c r="C5152" t="str">
        <f t="shared" si="286"/>
        <v>103</v>
      </c>
      <c r="D5152" t="str">
        <f>"4"</f>
        <v>4</v>
      </c>
      <c r="E5152" t="str">
        <f>"1-103-4"</f>
        <v>1-103-4</v>
      </c>
      <c r="F5152" t="s">
        <v>65</v>
      </c>
      <c r="G5152" t="s">
        <v>66</v>
      </c>
      <c r="H5152" t="s">
        <v>68</v>
      </c>
      <c r="I5152">
        <v>1</v>
      </c>
      <c r="J5152">
        <v>0</v>
      </c>
      <c r="K5152">
        <v>1</v>
      </c>
      <c r="L5152">
        <v>0</v>
      </c>
      <c r="M5152">
        <v>0</v>
      </c>
      <c r="N5152">
        <v>0</v>
      </c>
      <c r="O5152">
        <v>1</v>
      </c>
      <c r="P5152">
        <v>0</v>
      </c>
      <c r="Q5152">
        <v>1</v>
      </c>
      <c r="R5152">
        <v>0</v>
      </c>
    </row>
    <row r="5153" spans="1:18" x14ac:dyDescent="0.2">
      <c r="A5153" t="str">
        <f>"5149"</f>
        <v>5149</v>
      </c>
      <c r="B5153" t="str">
        <f t="shared" si="285"/>
        <v>1</v>
      </c>
      <c r="C5153" t="str">
        <f t="shared" si="286"/>
        <v>103</v>
      </c>
      <c r="D5153" t="str">
        <f>"34"</f>
        <v>34</v>
      </c>
      <c r="E5153" t="str">
        <f>"1-103-34"</f>
        <v>1-103-34</v>
      </c>
      <c r="F5153" t="s">
        <v>65</v>
      </c>
      <c r="G5153" t="s">
        <v>66</v>
      </c>
      <c r="H5153" t="s">
        <v>68</v>
      </c>
      <c r="I5153">
        <v>1</v>
      </c>
      <c r="J5153">
        <v>1</v>
      </c>
      <c r="K5153">
        <v>0</v>
      </c>
      <c r="L5153">
        <v>0</v>
      </c>
      <c r="M5153">
        <v>1</v>
      </c>
      <c r="N5153">
        <v>1</v>
      </c>
      <c r="O5153">
        <v>1</v>
      </c>
      <c r="P5153">
        <v>1</v>
      </c>
      <c r="Q5153">
        <v>1</v>
      </c>
      <c r="R5153">
        <v>1</v>
      </c>
    </row>
    <row r="5154" spans="1:18" x14ac:dyDescent="0.2">
      <c r="A5154" t="str">
        <f>"5150"</f>
        <v>5150</v>
      </c>
      <c r="B5154" t="str">
        <f t="shared" si="285"/>
        <v>1</v>
      </c>
      <c r="C5154" t="str">
        <f t="shared" si="286"/>
        <v>103</v>
      </c>
      <c r="D5154" t="str">
        <f>"3"</f>
        <v>3</v>
      </c>
      <c r="E5154" t="str">
        <f>"1-103-3"</f>
        <v>1-103-3</v>
      </c>
      <c r="F5154" t="s">
        <v>65</v>
      </c>
      <c r="G5154" t="s">
        <v>66</v>
      </c>
      <c r="H5154" t="s">
        <v>68</v>
      </c>
      <c r="I5154">
        <v>1</v>
      </c>
      <c r="J5154">
        <v>0</v>
      </c>
      <c r="K5154">
        <v>0</v>
      </c>
      <c r="L5154">
        <v>1</v>
      </c>
      <c r="M5154">
        <v>1</v>
      </c>
      <c r="N5154">
        <v>1</v>
      </c>
      <c r="O5154">
        <v>1</v>
      </c>
      <c r="P5154">
        <v>1</v>
      </c>
      <c r="Q5154">
        <v>1</v>
      </c>
      <c r="R5154">
        <v>1</v>
      </c>
    </row>
    <row r="5155" spans="1:18" x14ac:dyDescent="0.2">
      <c r="A5155" t="str">
        <f>"5151"</f>
        <v>5151</v>
      </c>
      <c r="B5155" t="str">
        <f t="shared" si="285"/>
        <v>1</v>
      </c>
      <c r="C5155" t="str">
        <f t="shared" ref="C5155:C5186" si="287">"104"</f>
        <v>104</v>
      </c>
      <c r="D5155" t="str">
        <f>"38"</f>
        <v>38</v>
      </c>
      <c r="E5155" t="str">
        <f>"1-104-38"</f>
        <v>1-104-38</v>
      </c>
      <c r="F5155" t="s">
        <v>65</v>
      </c>
      <c r="G5155" t="s">
        <v>66</v>
      </c>
      <c r="H5155" t="s">
        <v>68</v>
      </c>
      <c r="I5155">
        <v>1</v>
      </c>
      <c r="J5155">
        <v>0</v>
      </c>
      <c r="K5155">
        <v>0</v>
      </c>
      <c r="L5155">
        <v>1</v>
      </c>
      <c r="M5155">
        <v>1</v>
      </c>
      <c r="N5155">
        <v>1</v>
      </c>
      <c r="O5155">
        <v>1</v>
      </c>
      <c r="P5155">
        <v>1</v>
      </c>
      <c r="Q5155">
        <v>1</v>
      </c>
      <c r="R5155">
        <v>1</v>
      </c>
    </row>
    <row r="5156" spans="1:18" x14ac:dyDescent="0.2">
      <c r="A5156" t="str">
        <f>"5152"</f>
        <v>5152</v>
      </c>
      <c r="B5156" t="str">
        <f t="shared" si="285"/>
        <v>1</v>
      </c>
      <c r="C5156" t="str">
        <f t="shared" si="287"/>
        <v>104</v>
      </c>
      <c r="D5156" t="str">
        <f>"37"</f>
        <v>37</v>
      </c>
      <c r="E5156" t="str">
        <f>"1-104-37"</f>
        <v>1-104-37</v>
      </c>
      <c r="F5156" t="s">
        <v>65</v>
      </c>
      <c r="G5156" t="s">
        <v>66</v>
      </c>
      <c r="H5156" t="s">
        <v>68</v>
      </c>
      <c r="I5156">
        <v>1</v>
      </c>
      <c r="J5156">
        <v>0</v>
      </c>
      <c r="K5156">
        <v>0</v>
      </c>
      <c r="L5156">
        <v>1</v>
      </c>
      <c r="M5156">
        <v>1</v>
      </c>
      <c r="N5156">
        <v>1</v>
      </c>
      <c r="O5156">
        <v>1</v>
      </c>
      <c r="P5156">
        <v>1</v>
      </c>
      <c r="Q5156">
        <v>1</v>
      </c>
      <c r="R5156">
        <v>1</v>
      </c>
    </row>
    <row r="5157" spans="1:18" x14ac:dyDescent="0.2">
      <c r="A5157" t="str">
        <f>"5153"</f>
        <v>5153</v>
      </c>
      <c r="B5157" t="str">
        <f t="shared" si="285"/>
        <v>1</v>
      </c>
      <c r="C5157" t="str">
        <f t="shared" si="287"/>
        <v>104</v>
      </c>
      <c r="D5157" t="str">
        <f>"27"</f>
        <v>27</v>
      </c>
      <c r="E5157" t="str">
        <f>"1-104-27"</f>
        <v>1-104-27</v>
      </c>
      <c r="F5157" t="s">
        <v>65</v>
      </c>
      <c r="G5157" t="s">
        <v>66</v>
      </c>
      <c r="H5157" t="s">
        <v>68</v>
      </c>
      <c r="I5157">
        <v>1</v>
      </c>
      <c r="J5157">
        <v>0</v>
      </c>
      <c r="K5157">
        <v>1</v>
      </c>
      <c r="L5157">
        <v>0</v>
      </c>
      <c r="M5157">
        <v>1</v>
      </c>
      <c r="N5157">
        <v>1</v>
      </c>
      <c r="O5157">
        <v>1</v>
      </c>
      <c r="P5157">
        <v>1</v>
      </c>
      <c r="Q5157">
        <v>1</v>
      </c>
      <c r="R5157">
        <v>1</v>
      </c>
    </row>
    <row r="5158" spans="1:18" x14ac:dyDescent="0.2">
      <c r="A5158" t="str">
        <f>"5154"</f>
        <v>5154</v>
      </c>
      <c r="B5158" t="str">
        <f t="shared" si="285"/>
        <v>1</v>
      </c>
      <c r="C5158" t="str">
        <f t="shared" si="287"/>
        <v>104</v>
      </c>
      <c r="D5158" t="str">
        <f>"26"</f>
        <v>26</v>
      </c>
      <c r="E5158" t="str">
        <f>"1-104-26"</f>
        <v>1-104-26</v>
      </c>
      <c r="F5158" t="s">
        <v>65</v>
      </c>
      <c r="G5158" t="s">
        <v>66</v>
      </c>
      <c r="H5158" t="s">
        <v>68</v>
      </c>
      <c r="I5158">
        <v>1</v>
      </c>
      <c r="J5158">
        <v>0</v>
      </c>
      <c r="K5158">
        <v>0</v>
      </c>
      <c r="L5158">
        <v>1</v>
      </c>
      <c r="M5158">
        <v>1</v>
      </c>
      <c r="N5158">
        <v>1</v>
      </c>
      <c r="O5158">
        <v>1</v>
      </c>
      <c r="P5158">
        <v>1</v>
      </c>
      <c r="Q5158">
        <v>1</v>
      </c>
      <c r="R5158">
        <v>1</v>
      </c>
    </row>
    <row r="5159" spans="1:18" x14ac:dyDescent="0.2">
      <c r="A5159" t="str">
        <f>"5155"</f>
        <v>5155</v>
      </c>
      <c r="B5159" t="str">
        <f t="shared" si="285"/>
        <v>1</v>
      </c>
      <c r="C5159" t="str">
        <f t="shared" si="287"/>
        <v>104</v>
      </c>
      <c r="D5159" t="str">
        <f>"19"</f>
        <v>19</v>
      </c>
      <c r="E5159" t="str">
        <f>"1-104-19"</f>
        <v>1-104-19</v>
      </c>
      <c r="F5159" t="s">
        <v>65</v>
      </c>
      <c r="G5159" t="s">
        <v>66</v>
      </c>
      <c r="H5159" t="s">
        <v>68</v>
      </c>
      <c r="I5159">
        <v>1</v>
      </c>
      <c r="J5159">
        <v>0</v>
      </c>
      <c r="K5159">
        <v>0</v>
      </c>
      <c r="L5159">
        <v>1</v>
      </c>
      <c r="M5159">
        <v>1</v>
      </c>
      <c r="N5159">
        <v>1</v>
      </c>
      <c r="O5159">
        <v>1</v>
      </c>
      <c r="P5159">
        <v>1</v>
      </c>
      <c r="Q5159">
        <v>1</v>
      </c>
      <c r="R5159">
        <v>1</v>
      </c>
    </row>
    <row r="5160" spans="1:18" x14ac:dyDescent="0.2">
      <c r="A5160" t="str">
        <f>"5156"</f>
        <v>5156</v>
      </c>
      <c r="B5160" t="str">
        <f t="shared" si="285"/>
        <v>1</v>
      </c>
      <c r="C5160" t="str">
        <f t="shared" si="287"/>
        <v>104</v>
      </c>
      <c r="D5160" t="str">
        <f>"15"</f>
        <v>15</v>
      </c>
      <c r="E5160" t="str">
        <f>"1-104-15"</f>
        <v>1-104-15</v>
      </c>
      <c r="F5160" t="s">
        <v>65</v>
      </c>
      <c r="G5160" t="s">
        <v>66</v>
      </c>
      <c r="H5160" t="s">
        <v>68</v>
      </c>
      <c r="I5160">
        <v>1</v>
      </c>
      <c r="J5160">
        <v>0</v>
      </c>
      <c r="K5160">
        <v>0</v>
      </c>
      <c r="L5160">
        <v>1</v>
      </c>
      <c r="M5160">
        <v>1</v>
      </c>
      <c r="N5160">
        <v>1</v>
      </c>
      <c r="O5160">
        <v>1</v>
      </c>
      <c r="P5160">
        <v>1</v>
      </c>
      <c r="Q5160">
        <v>1</v>
      </c>
      <c r="R5160">
        <v>1</v>
      </c>
    </row>
    <row r="5161" spans="1:18" x14ac:dyDescent="0.2">
      <c r="A5161" t="str">
        <f>"5157"</f>
        <v>5157</v>
      </c>
      <c r="B5161" t="str">
        <f t="shared" si="285"/>
        <v>1</v>
      </c>
      <c r="C5161" t="str">
        <f t="shared" si="287"/>
        <v>104</v>
      </c>
      <c r="D5161" t="str">
        <f>"1"</f>
        <v>1</v>
      </c>
      <c r="E5161" t="str">
        <f>"1-104-1"</f>
        <v>1-104-1</v>
      </c>
      <c r="F5161" t="s">
        <v>65</v>
      </c>
      <c r="G5161" t="s">
        <v>66</v>
      </c>
      <c r="H5161" t="s">
        <v>68</v>
      </c>
      <c r="I5161">
        <v>1</v>
      </c>
      <c r="J5161">
        <v>0</v>
      </c>
      <c r="K5161">
        <v>0</v>
      </c>
      <c r="L5161">
        <v>1</v>
      </c>
      <c r="M5161">
        <v>1</v>
      </c>
      <c r="N5161">
        <v>1</v>
      </c>
      <c r="O5161">
        <v>1</v>
      </c>
      <c r="P5161">
        <v>1</v>
      </c>
      <c r="Q5161">
        <v>1</v>
      </c>
      <c r="R5161">
        <v>1</v>
      </c>
    </row>
    <row r="5162" spans="1:18" x14ac:dyDescent="0.2">
      <c r="A5162" t="str">
        <f>"5158"</f>
        <v>5158</v>
      </c>
      <c r="B5162" t="str">
        <f t="shared" si="285"/>
        <v>1</v>
      </c>
      <c r="C5162" t="str">
        <f t="shared" si="287"/>
        <v>104</v>
      </c>
      <c r="D5162" t="str">
        <f>"36"</f>
        <v>36</v>
      </c>
      <c r="E5162" t="str">
        <f>"1-104-36"</f>
        <v>1-104-36</v>
      </c>
      <c r="F5162" t="s">
        <v>65</v>
      </c>
      <c r="G5162" t="s">
        <v>66</v>
      </c>
      <c r="H5162" t="s">
        <v>68</v>
      </c>
      <c r="I5162">
        <v>1</v>
      </c>
      <c r="J5162">
        <v>0</v>
      </c>
      <c r="K5162">
        <v>1</v>
      </c>
      <c r="L5162">
        <v>0</v>
      </c>
      <c r="M5162">
        <v>1</v>
      </c>
      <c r="N5162">
        <v>1</v>
      </c>
      <c r="O5162">
        <v>1</v>
      </c>
      <c r="P5162">
        <v>1</v>
      </c>
      <c r="Q5162">
        <v>1</v>
      </c>
      <c r="R5162">
        <v>1</v>
      </c>
    </row>
    <row r="5163" spans="1:18" x14ac:dyDescent="0.2">
      <c r="A5163" t="str">
        <f>"5159"</f>
        <v>5159</v>
      </c>
      <c r="B5163" t="str">
        <f t="shared" si="285"/>
        <v>1</v>
      </c>
      <c r="C5163" t="str">
        <f t="shared" si="287"/>
        <v>104</v>
      </c>
      <c r="D5163" t="str">
        <f>"35"</f>
        <v>35</v>
      </c>
      <c r="E5163" t="str">
        <f>"1-104-35"</f>
        <v>1-104-35</v>
      </c>
      <c r="F5163" t="s">
        <v>65</v>
      </c>
      <c r="G5163" t="s">
        <v>66</v>
      </c>
      <c r="H5163" t="s">
        <v>68</v>
      </c>
      <c r="I5163">
        <v>1</v>
      </c>
      <c r="J5163">
        <v>0</v>
      </c>
      <c r="K5163">
        <v>0</v>
      </c>
      <c r="L5163">
        <v>1</v>
      </c>
      <c r="M5163">
        <v>1</v>
      </c>
      <c r="N5163">
        <v>1</v>
      </c>
      <c r="O5163">
        <v>1</v>
      </c>
      <c r="P5163">
        <v>1</v>
      </c>
      <c r="Q5163">
        <v>1</v>
      </c>
      <c r="R5163">
        <v>1</v>
      </c>
    </row>
    <row r="5164" spans="1:18" x14ac:dyDescent="0.2">
      <c r="A5164" t="str">
        <f>"5160"</f>
        <v>5160</v>
      </c>
      <c r="B5164" t="str">
        <f t="shared" si="285"/>
        <v>1</v>
      </c>
      <c r="C5164" t="str">
        <f t="shared" si="287"/>
        <v>104</v>
      </c>
      <c r="D5164" t="str">
        <f>"32"</f>
        <v>32</v>
      </c>
      <c r="E5164" t="str">
        <f>"1-104-32"</f>
        <v>1-104-32</v>
      </c>
      <c r="F5164" t="s">
        <v>65</v>
      </c>
      <c r="G5164" t="s">
        <v>66</v>
      </c>
      <c r="H5164" t="s">
        <v>68</v>
      </c>
      <c r="I5164">
        <v>1</v>
      </c>
      <c r="J5164">
        <v>1</v>
      </c>
      <c r="K5164">
        <v>0</v>
      </c>
      <c r="L5164">
        <v>0</v>
      </c>
      <c r="M5164">
        <v>1</v>
      </c>
      <c r="N5164">
        <v>1</v>
      </c>
      <c r="O5164">
        <v>1</v>
      </c>
      <c r="P5164">
        <v>1</v>
      </c>
      <c r="Q5164">
        <v>1</v>
      </c>
      <c r="R5164">
        <v>1</v>
      </c>
    </row>
    <row r="5165" spans="1:18" x14ac:dyDescent="0.2">
      <c r="A5165" t="str">
        <f>"5161"</f>
        <v>5161</v>
      </c>
      <c r="B5165" t="str">
        <f t="shared" si="285"/>
        <v>1</v>
      </c>
      <c r="C5165" t="str">
        <f t="shared" si="287"/>
        <v>104</v>
      </c>
      <c r="D5165" t="str">
        <f>"16"</f>
        <v>16</v>
      </c>
      <c r="E5165" t="str">
        <f>"1-104-16"</f>
        <v>1-104-16</v>
      </c>
      <c r="F5165" t="s">
        <v>65</v>
      </c>
      <c r="G5165" t="s">
        <v>66</v>
      </c>
      <c r="H5165" t="s">
        <v>68</v>
      </c>
      <c r="I5165">
        <v>1</v>
      </c>
      <c r="J5165">
        <v>1</v>
      </c>
      <c r="K5165">
        <v>0</v>
      </c>
      <c r="L5165">
        <v>0</v>
      </c>
      <c r="M5165">
        <v>1</v>
      </c>
      <c r="N5165">
        <v>1</v>
      </c>
      <c r="O5165">
        <v>1</v>
      </c>
      <c r="P5165">
        <v>1</v>
      </c>
      <c r="Q5165">
        <v>1</v>
      </c>
      <c r="R5165">
        <v>1</v>
      </c>
    </row>
    <row r="5166" spans="1:18" x14ac:dyDescent="0.2">
      <c r="A5166" t="str">
        <f>"5162"</f>
        <v>5162</v>
      </c>
      <c r="B5166" t="str">
        <f t="shared" si="285"/>
        <v>1</v>
      </c>
      <c r="C5166" t="str">
        <f t="shared" si="287"/>
        <v>104</v>
      </c>
      <c r="D5166" t="str">
        <f>"6"</f>
        <v>6</v>
      </c>
      <c r="E5166" t="str">
        <f>"1-104-6"</f>
        <v>1-104-6</v>
      </c>
      <c r="F5166" t="s">
        <v>65</v>
      </c>
      <c r="G5166" t="s">
        <v>66</v>
      </c>
      <c r="H5166" t="s">
        <v>68</v>
      </c>
      <c r="I5166">
        <v>1</v>
      </c>
      <c r="J5166">
        <v>0</v>
      </c>
      <c r="K5166">
        <v>0</v>
      </c>
      <c r="L5166">
        <v>1</v>
      </c>
      <c r="M5166">
        <v>1</v>
      </c>
      <c r="N5166">
        <v>1</v>
      </c>
      <c r="O5166">
        <v>1</v>
      </c>
      <c r="P5166">
        <v>1</v>
      </c>
      <c r="Q5166">
        <v>1</v>
      </c>
      <c r="R5166">
        <v>1</v>
      </c>
    </row>
    <row r="5167" spans="1:18" x14ac:dyDescent="0.2">
      <c r="A5167" t="str">
        <f>"5163"</f>
        <v>5163</v>
      </c>
      <c r="B5167" t="str">
        <f t="shared" si="285"/>
        <v>1</v>
      </c>
      <c r="C5167" t="str">
        <f t="shared" si="287"/>
        <v>104</v>
      </c>
      <c r="D5167" t="str">
        <f>"46"</f>
        <v>46</v>
      </c>
      <c r="E5167" t="str">
        <f>"1-104-46"</f>
        <v>1-104-46</v>
      </c>
      <c r="F5167" t="s">
        <v>65</v>
      </c>
      <c r="G5167" t="s">
        <v>66</v>
      </c>
      <c r="H5167" t="s">
        <v>68</v>
      </c>
      <c r="I5167">
        <v>1</v>
      </c>
      <c r="J5167">
        <v>1</v>
      </c>
      <c r="K5167">
        <v>0</v>
      </c>
      <c r="L5167">
        <v>0</v>
      </c>
      <c r="M5167">
        <v>1</v>
      </c>
      <c r="N5167">
        <v>1</v>
      </c>
      <c r="O5167">
        <v>1</v>
      </c>
      <c r="P5167">
        <v>1</v>
      </c>
      <c r="Q5167">
        <v>1</v>
      </c>
      <c r="R5167">
        <v>1</v>
      </c>
    </row>
    <row r="5168" spans="1:18" x14ac:dyDescent="0.2">
      <c r="A5168" t="str">
        <f>"5164"</f>
        <v>5164</v>
      </c>
      <c r="B5168" t="str">
        <f t="shared" si="285"/>
        <v>1</v>
      </c>
      <c r="C5168" t="str">
        <f t="shared" si="287"/>
        <v>104</v>
      </c>
      <c r="D5168" t="str">
        <f>"45"</f>
        <v>45</v>
      </c>
      <c r="E5168" t="str">
        <f>"1-104-45"</f>
        <v>1-104-45</v>
      </c>
      <c r="F5168" t="s">
        <v>65</v>
      </c>
      <c r="G5168" t="s">
        <v>66</v>
      </c>
      <c r="H5168" t="s">
        <v>68</v>
      </c>
      <c r="I5168">
        <v>1</v>
      </c>
      <c r="J5168">
        <v>0</v>
      </c>
      <c r="K5168">
        <v>0</v>
      </c>
      <c r="L5168">
        <v>1</v>
      </c>
      <c r="M5168">
        <v>1</v>
      </c>
      <c r="N5168">
        <v>1</v>
      </c>
      <c r="O5168">
        <v>1</v>
      </c>
      <c r="P5168">
        <v>1</v>
      </c>
      <c r="Q5168">
        <v>1</v>
      </c>
      <c r="R5168">
        <v>1</v>
      </c>
    </row>
    <row r="5169" spans="1:18" x14ac:dyDescent="0.2">
      <c r="A5169" t="str">
        <f>"5165"</f>
        <v>5165</v>
      </c>
      <c r="B5169" t="str">
        <f t="shared" si="285"/>
        <v>1</v>
      </c>
      <c r="C5169" t="str">
        <f t="shared" si="287"/>
        <v>104</v>
      </c>
      <c r="D5169" t="str">
        <f>"34"</f>
        <v>34</v>
      </c>
      <c r="E5169" t="str">
        <f>"1-104-34"</f>
        <v>1-104-34</v>
      </c>
      <c r="F5169" t="s">
        <v>65</v>
      </c>
      <c r="G5169" t="s">
        <v>66</v>
      </c>
      <c r="H5169" t="s">
        <v>68</v>
      </c>
      <c r="I5169">
        <v>1</v>
      </c>
      <c r="J5169">
        <v>1</v>
      </c>
      <c r="K5169">
        <v>0</v>
      </c>
      <c r="L5169">
        <v>0</v>
      </c>
      <c r="M5169">
        <v>1</v>
      </c>
      <c r="N5169">
        <v>1</v>
      </c>
      <c r="O5169">
        <v>1</v>
      </c>
      <c r="P5169">
        <v>1</v>
      </c>
      <c r="Q5169">
        <v>1</v>
      </c>
      <c r="R5169">
        <v>1</v>
      </c>
    </row>
    <row r="5170" spans="1:18" x14ac:dyDescent="0.2">
      <c r="A5170" t="str">
        <f>"5166"</f>
        <v>5166</v>
      </c>
      <c r="B5170" t="str">
        <f t="shared" si="285"/>
        <v>1</v>
      </c>
      <c r="C5170" t="str">
        <f t="shared" si="287"/>
        <v>104</v>
      </c>
      <c r="D5170" t="str">
        <f>"17"</f>
        <v>17</v>
      </c>
      <c r="E5170" t="str">
        <f>"1-104-17"</f>
        <v>1-104-17</v>
      </c>
      <c r="F5170" t="s">
        <v>65</v>
      </c>
      <c r="G5170" t="s">
        <v>66</v>
      </c>
      <c r="H5170" t="s">
        <v>68</v>
      </c>
      <c r="I5170">
        <v>0</v>
      </c>
      <c r="J5170">
        <v>1</v>
      </c>
      <c r="K5170">
        <v>0</v>
      </c>
      <c r="L5170">
        <v>0</v>
      </c>
      <c r="M5170">
        <v>1</v>
      </c>
      <c r="N5170">
        <v>0</v>
      </c>
      <c r="O5170">
        <v>0</v>
      </c>
      <c r="P5170">
        <v>0</v>
      </c>
      <c r="Q5170">
        <v>0</v>
      </c>
      <c r="R5170">
        <v>0</v>
      </c>
    </row>
    <row r="5171" spans="1:18" x14ac:dyDescent="0.2">
      <c r="A5171" t="str">
        <f>"5167"</f>
        <v>5167</v>
      </c>
      <c r="B5171" t="str">
        <f t="shared" si="285"/>
        <v>1</v>
      </c>
      <c r="C5171" t="str">
        <f t="shared" si="287"/>
        <v>104</v>
      </c>
      <c r="D5171" t="str">
        <f>"10"</f>
        <v>10</v>
      </c>
      <c r="E5171" t="str">
        <f>"1-104-10"</f>
        <v>1-104-10</v>
      </c>
      <c r="F5171" t="s">
        <v>65</v>
      </c>
      <c r="G5171" t="s">
        <v>66</v>
      </c>
      <c r="H5171" t="s">
        <v>68</v>
      </c>
      <c r="I5171">
        <v>0</v>
      </c>
      <c r="J5171">
        <v>0</v>
      </c>
      <c r="K5171">
        <v>1</v>
      </c>
      <c r="L5171">
        <v>0</v>
      </c>
      <c r="M5171">
        <v>1</v>
      </c>
      <c r="N5171">
        <v>1</v>
      </c>
      <c r="O5171">
        <v>1</v>
      </c>
      <c r="P5171">
        <v>1</v>
      </c>
      <c r="Q5171">
        <v>1</v>
      </c>
      <c r="R5171">
        <v>1</v>
      </c>
    </row>
    <row r="5172" spans="1:18" x14ac:dyDescent="0.2">
      <c r="A5172" t="str">
        <f>"5168"</f>
        <v>5168</v>
      </c>
      <c r="B5172" t="str">
        <f t="shared" si="285"/>
        <v>1</v>
      </c>
      <c r="C5172" t="str">
        <f t="shared" si="287"/>
        <v>104</v>
      </c>
      <c r="D5172" t="str">
        <f>"43"</f>
        <v>43</v>
      </c>
      <c r="E5172" t="str">
        <f>"1-104-43"</f>
        <v>1-104-43</v>
      </c>
      <c r="F5172" t="s">
        <v>65</v>
      </c>
      <c r="G5172" t="s">
        <v>66</v>
      </c>
      <c r="H5172" t="s">
        <v>68</v>
      </c>
      <c r="I5172">
        <v>1</v>
      </c>
      <c r="J5172">
        <v>1</v>
      </c>
      <c r="K5172">
        <v>0</v>
      </c>
      <c r="L5172">
        <v>0</v>
      </c>
      <c r="M5172">
        <v>1</v>
      </c>
      <c r="N5172">
        <v>1</v>
      </c>
      <c r="O5172">
        <v>1</v>
      </c>
      <c r="P5172">
        <v>1</v>
      </c>
      <c r="Q5172">
        <v>1</v>
      </c>
      <c r="R5172">
        <v>1</v>
      </c>
    </row>
    <row r="5173" spans="1:18" x14ac:dyDescent="0.2">
      <c r="A5173" t="str">
        <f>"5169"</f>
        <v>5169</v>
      </c>
      <c r="B5173" t="str">
        <f t="shared" si="285"/>
        <v>1</v>
      </c>
      <c r="C5173" t="str">
        <f t="shared" si="287"/>
        <v>104</v>
      </c>
      <c r="D5173" t="str">
        <f>"42"</f>
        <v>42</v>
      </c>
      <c r="E5173" t="str">
        <f>"1-104-42"</f>
        <v>1-104-42</v>
      </c>
      <c r="F5173" t="s">
        <v>65</v>
      </c>
      <c r="G5173" t="s">
        <v>66</v>
      </c>
      <c r="H5173" t="s">
        <v>68</v>
      </c>
      <c r="I5173">
        <v>1</v>
      </c>
      <c r="J5173">
        <v>0</v>
      </c>
      <c r="K5173">
        <v>0</v>
      </c>
      <c r="L5173">
        <v>1</v>
      </c>
      <c r="M5173">
        <v>1</v>
      </c>
      <c r="N5173">
        <v>1</v>
      </c>
      <c r="O5173">
        <v>1</v>
      </c>
      <c r="P5173">
        <v>1</v>
      </c>
      <c r="Q5173">
        <v>1</v>
      </c>
      <c r="R5173">
        <v>1</v>
      </c>
    </row>
    <row r="5174" spans="1:18" x14ac:dyDescent="0.2">
      <c r="A5174" t="str">
        <f>"5170"</f>
        <v>5170</v>
      </c>
      <c r="B5174" t="str">
        <f t="shared" si="285"/>
        <v>1</v>
      </c>
      <c r="C5174" t="str">
        <f t="shared" si="287"/>
        <v>104</v>
      </c>
      <c r="D5174" t="str">
        <f>"33"</f>
        <v>33</v>
      </c>
      <c r="E5174" t="str">
        <f>"1-104-33"</f>
        <v>1-104-33</v>
      </c>
      <c r="F5174" t="s">
        <v>65</v>
      </c>
      <c r="G5174" t="s">
        <v>66</v>
      </c>
      <c r="H5174" t="s">
        <v>68</v>
      </c>
      <c r="I5174">
        <v>1</v>
      </c>
      <c r="J5174">
        <v>0</v>
      </c>
      <c r="K5174">
        <v>0</v>
      </c>
      <c r="L5174">
        <v>1</v>
      </c>
      <c r="M5174">
        <v>1</v>
      </c>
      <c r="N5174">
        <v>1</v>
      </c>
      <c r="O5174">
        <v>1</v>
      </c>
      <c r="P5174">
        <v>1</v>
      </c>
      <c r="Q5174">
        <v>1</v>
      </c>
      <c r="R5174">
        <v>1</v>
      </c>
    </row>
    <row r="5175" spans="1:18" x14ac:dyDescent="0.2">
      <c r="A5175" t="str">
        <f>"5171"</f>
        <v>5171</v>
      </c>
      <c r="B5175" t="str">
        <f t="shared" ref="B5175:B5238" si="288">"1"</f>
        <v>1</v>
      </c>
      <c r="C5175" t="str">
        <f t="shared" si="287"/>
        <v>104</v>
      </c>
      <c r="D5175" t="str">
        <f>"18"</f>
        <v>18</v>
      </c>
      <c r="E5175" t="str">
        <f>"1-104-18"</f>
        <v>1-104-18</v>
      </c>
      <c r="F5175" t="s">
        <v>65</v>
      </c>
      <c r="G5175" t="s">
        <v>66</v>
      </c>
      <c r="H5175" t="s">
        <v>68</v>
      </c>
      <c r="I5175">
        <v>1</v>
      </c>
      <c r="J5175">
        <v>1</v>
      </c>
      <c r="K5175">
        <v>0</v>
      </c>
      <c r="L5175">
        <v>0</v>
      </c>
      <c r="M5175">
        <v>1</v>
      </c>
      <c r="N5175">
        <v>1</v>
      </c>
      <c r="O5175">
        <v>1</v>
      </c>
      <c r="P5175">
        <v>1</v>
      </c>
      <c r="Q5175">
        <v>1</v>
      </c>
      <c r="R5175">
        <v>1</v>
      </c>
    </row>
    <row r="5176" spans="1:18" x14ac:dyDescent="0.2">
      <c r="A5176" t="str">
        <f>"5172"</f>
        <v>5172</v>
      </c>
      <c r="B5176" t="str">
        <f t="shared" si="288"/>
        <v>1</v>
      </c>
      <c r="C5176" t="str">
        <f t="shared" si="287"/>
        <v>104</v>
      </c>
      <c r="D5176" t="str">
        <f>"5"</f>
        <v>5</v>
      </c>
      <c r="E5176" t="str">
        <f>"1-104-5"</f>
        <v>1-104-5</v>
      </c>
      <c r="F5176" t="s">
        <v>65</v>
      </c>
      <c r="G5176" t="s">
        <v>66</v>
      </c>
      <c r="H5176" t="s">
        <v>68</v>
      </c>
      <c r="I5176">
        <v>1</v>
      </c>
      <c r="J5176">
        <v>0</v>
      </c>
      <c r="K5176">
        <v>0</v>
      </c>
      <c r="L5176">
        <v>1</v>
      </c>
      <c r="M5176">
        <v>1</v>
      </c>
      <c r="N5176">
        <v>1</v>
      </c>
      <c r="O5176">
        <v>1</v>
      </c>
      <c r="P5176">
        <v>1</v>
      </c>
      <c r="Q5176">
        <v>1</v>
      </c>
      <c r="R5176">
        <v>1</v>
      </c>
    </row>
    <row r="5177" spans="1:18" x14ac:dyDescent="0.2">
      <c r="A5177" t="str">
        <f>"5173"</f>
        <v>5173</v>
      </c>
      <c r="B5177" t="str">
        <f t="shared" si="288"/>
        <v>1</v>
      </c>
      <c r="C5177" t="str">
        <f t="shared" si="287"/>
        <v>104</v>
      </c>
      <c r="D5177" t="str">
        <f>"39"</f>
        <v>39</v>
      </c>
      <c r="E5177" t="str">
        <f>"1-104-39"</f>
        <v>1-104-39</v>
      </c>
      <c r="F5177" t="s">
        <v>65</v>
      </c>
      <c r="G5177" t="s">
        <v>66</v>
      </c>
      <c r="H5177" t="s">
        <v>68</v>
      </c>
      <c r="I5177">
        <v>1</v>
      </c>
      <c r="J5177">
        <v>0</v>
      </c>
      <c r="K5177">
        <v>0</v>
      </c>
      <c r="L5177">
        <v>1</v>
      </c>
      <c r="M5177">
        <v>1</v>
      </c>
      <c r="N5177">
        <v>1</v>
      </c>
      <c r="O5177">
        <v>1</v>
      </c>
      <c r="P5177">
        <v>1</v>
      </c>
      <c r="Q5177">
        <v>1</v>
      </c>
      <c r="R5177">
        <v>1</v>
      </c>
    </row>
    <row r="5178" spans="1:18" x14ac:dyDescent="0.2">
      <c r="A5178" t="str">
        <f>"5174"</f>
        <v>5174</v>
      </c>
      <c r="B5178" t="str">
        <f t="shared" si="288"/>
        <v>1</v>
      </c>
      <c r="C5178" t="str">
        <f t="shared" si="287"/>
        <v>104</v>
      </c>
      <c r="D5178" t="str">
        <f>"20"</f>
        <v>20</v>
      </c>
      <c r="E5178" t="str">
        <f>"1-104-20"</f>
        <v>1-104-20</v>
      </c>
      <c r="F5178" t="s">
        <v>65</v>
      </c>
      <c r="G5178" t="s">
        <v>66</v>
      </c>
      <c r="H5178" t="s">
        <v>68</v>
      </c>
      <c r="I5178">
        <v>1</v>
      </c>
      <c r="J5178">
        <v>0</v>
      </c>
      <c r="K5178">
        <v>0</v>
      </c>
      <c r="L5178">
        <v>1</v>
      </c>
      <c r="M5178">
        <v>1</v>
      </c>
      <c r="N5178">
        <v>1</v>
      </c>
      <c r="O5178">
        <v>1</v>
      </c>
      <c r="P5178">
        <v>1</v>
      </c>
      <c r="Q5178">
        <v>1</v>
      </c>
      <c r="R5178">
        <v>1</v>
      </c>
    </row>
    <row r="5179" spans="1:18" x14ac:dyDescent="0.2">
      <c r="A5179" t="str">
        <f>"5175"</f>
        <v>5175</v>
      </c>
      <c r="B5179" t="str">
        <f t="shared" si="288"/>
        <v>1</v>
      </c>
      <c r="C5179" t="str">
        <f t="shared" si="287"/>
        <v>104</v>
      </c>
      <c r="D5179" t="str">
        <f>"4"</f>
        <v>4</v>
      </c>
      <c r="E5179" t="str">
        <f>"1-104-4"</f>
        <v>1-104-4</v>
      </c>
      <c r="F5179" t="s">
        <v>65</v>
      </c>
      <c r="G5179" t="s">
        <v>66</v>
      </c>
      <c r="H5179" t="s">
        <v>68</v>
      </c>
      <c r="I5179">
        <v>1</v>
      </c>
      <c r="J5179">
        <v>0</v>
      </c>
      <c r="K5179">
        <v>1</v>
      </c>
      <c r="L5179">
        <v>0</v>
      </c>
      <c r="M5179">
        <v>1</v>
      </c>
      <c r="N5179">
        <v>1</v>
      </c>
      <c r="O5179">
        <v>1</v>
      </c>
      <c r="P5179">
        <v>1</v>
      </c>
      <c r="Q5179">
        <v>1</v>
      </c>
      <c r="R5179">
        <v>1</v>
      </c>
    </row>
    <row r="5180" spans="1:18" x14ac:dyDescent="0.2">
      <c r="A5180" t="str">
        <f>"5176"</f>
        <v>5176</v>
      </c>
      <c r="B5180" t="str">
        <f t="shared" si="288"/>
        <v>1</v>
      </c>
      <c r="C5180" t="str">
        <f t="shared" si="287"/>
        <v>104</v>
      </c>
      <c r="D5180" t="str">
        <f>"40"</f>
        <v>40</v>
      </c>
      <c r="E5180" t="str">
        <f>"1-104-40"</f>
        <v>1-104-40</v>
      </c>
      <c r="F5180" t="s">
        <v>65</v>
      </c>
      <c r="G5180" t="s">
        <v>66</v>
      </c>
      <c r="H5180" t="s">
        <v>68</v>
      </c>
      <c r="I5180">
        <v>1</v>
      </c>
      <c r="J5180">
        <v>0</v>
      </c>
      <c r="K5180">
        <v>0</v>
      </c>
      <c r="L5180">
        <v>1</v>
      </c>
      <c r="M5180">
        <v>1</v>
      </c>
      <c r="N5180">
        <v>1</v>
      </c>
      <c r="O5180">
        <v>0</v>
      </c>
      <c r="P5180">
        <v>1</v>
      </c>
      <c r="Q5180">
        <v>1</v>
      </c>
      <c r="R5180">
        <v>1</v>
      </c>
    </row>
    <row r="5181" spans="1:18" x14ac:dyDescent="0.2">
      <c r="A5181" t="str">
        <f>"5177"</f>
        <v>5177</v>
      </c>
      <c r="B5181" t="str">
        <f t="shared" si="288"/>
        <v>1</v>
      </c>
      <c r="C5181" t="str">
        <f t="shared" si="287"/>
        <v>104</v>
      </c>
      <c r="D5181" t="str">
        <f>"21"</f>
        <v>21</v>
      </c>
      <c r="E5181" t="str">
        <f>"1-104-21"</f>
        <v>1-104-21</v>
      </c>
      <c r="F5181" t="s">
        <v>65</v>
      </c>
      <c r="G5181" t="s">
        <v>66</v>
      </c>
      <c r="H5181" t="s">
        <v>68</v>
      </c>
      <c r="I5181">
        <v>1</v>
      </c>
      <c r="J5181">
        <v>0</v>
      </c>
      <c r="K5181">
        <v>0</v>
      </c>
      <c r="L5181">
        <v>1</v>
      </c>
      <c r="M5181">
        <v>1</v>
      </c>
      <c r="N5181">
        <v>1</v>
      </c>
      <c r="O5181">
        <v>1</v>
      </c>
      <c r="P5181">
        <v>1</v>
      </c>
      <c r="Q5181">
        <v>1</v>
      </c>
      <c r="R5181">
        <v>1</v>
      </c>
    </row>
    <row r="5182" spans="1:18" x14ac:dyDescent="0.2">
      <c r="A5182" t="str">
        <f>"5178"</f>
        <v>5178</v>
      </c>
      <c r="B5182" t="str">
        <f t="shared" si="288"/>
        <v>1</v>
      </c>
      <c r="C5182" t="str">
        <f t="shared" si="287"/>
        <v>104</v>
      </c>
      <c r="D5182" t="str">
        <f>"8"</f>
        <v>8</v>
      </c>
      <c r="E5182" t="str">
        <f>"1-104-8"</f>
        <v>1-104-8</v>
      </c>
      <c r="F5182" t="s">
        <v>65</v>
      </c>
      <c r="G5182" t="s">
        <v>66</v>
      </c>
      <c r="H5182" t="s">
        <v>68</v>
      </c>
      <c r="I5182">
        <v>1</v>
      </c>
      <c r="J5182">
        <v>0</v>
      </c>
      <c r="K5182">
        <v>0</v>
      </c>
      <c r="L5182">
        <v>1</v>
      </c>
      <c r="M5182">
        <v>1</v>
      </c>
      <c r="N5182">
        <v>1</v>
      </c>
      <c r="O5182">
        <v>1</v>
      </c>
      <c r="P5182">
        <v>1</v>
      </c>
      <c r="Q5182">
        <v>1</v>
      </c>
      <c r="R5182">
        <v>1</v>
      </c>
    </row>
    <row r="5183" spans="1:18" x14ac:dyDescent="0.2">
      <c r="A5183" t="str">
        <f>"5179"</f>
        <v>5179</v>
      </c>
      <c r="B5183" t="str">
        <f t="shared" si="288"/>
        <v>1</v>
      </c>
      <c r="C5183" t="str">
        <f t="shared" si="287"/>
        <v>104</v>
      </c>
      <c r="D5183" t="str">
        <f>"44"</f>
        <v>44</v>
      </c>
      <c r="E5183" t="str">
        <f>"1-104-44"</f>
        <v>1-104-44</v>
      </c>
      <c r="F5183" t="s">
        <v>65</v>
      </c>
      <c r="G5183" t="s">
        <v>66</v>
      </c>
      <c r="H5183" t="s">
        <v>68</v>
      </c>
      <c r="I5183">
        <v>1</v>
      </c>
      <c r="J5183">
        <v>0</v>
      </c>
      <c r="K5183">
        <v>0</v>
      </c>
      <c r="L5183">
        <v>1</v>
      </c>
      <c r="M5183">
        <v>1</v>
      </c>
      <c r="N5183">
        <v>1</v>
      </c>
      <c r="O5183">
        <v>1</v>
      </c>
      <c r="P5183">
        <v>1</v>
      </c>
      <c r="Q5183">
        <v>1</v>
      </c>
      <c r="R5183">
        <v>1</v>
      </c>
    </row>
    <row r="5184" spans="1:18" x14ac:dyDescent="0.2">
      <c r="A5184" t="str">
        <f>"5180"</f>
        <v>5180</v>
      </c>
      <c r="B5184" t="str">
        <f t="shared" si="288"/>
        <v>1</v>
      </c>
      <c r="C5184" t="str">
        <f t="shared" si="287"/>
        <v>104</v>
      </c>
      <c r="D5184" t="str">
        <f>"22"</f>
        <v>22</v>
      </c>
      <c r="E5184" t="str">
        <f>"1-104-22"</f>
        <v>1-104-22</v>
      </c>
      <c r="F5184" t="s">
        <v>65</v>
      </c>
      <c r="G5184" t="s">
        <v>66</v>
      </c>
      <c r="H5184" t="s">
        <v>68</v>
      </c>
      <c r="I5184">
        <v>1</v>
      </c>
      <c r="J5184">
        <v>0</v>
      </c>
      <c r="K5184">
        <v>0</v>
      </c>
      <c r="L5184">
        <v>1</v>
      </c>
      <c r="M5184">
        <v>1</v>
      </c>
      <c r="N5184">
        <v>1</v>
      </c>
      <c r="O5184">
        <v>1</v>
      </c>
      <c r="P5184">
        <v>1</v>
      </c>
      <c r="Q5184">
        <v>1</v>
      </c>
      <c r="R5184">
        <v>1</v>
      </c>
    </row>
    <row r="5185" spans="1:18" x14ac:dyDescent="0.2">
      <c r="A5185" t="str">
        <f>"5181"</f>
        <v>5181</v>
      </c>
      <c r="B5185" t="str">
        <f t="shared" si="288"/>
        <v>1</v>
      </c>
      <c r="C5185" t="str">
        <f t="shared" si="287"/>
        <v>104</v>
      </c>
      <c r="D5185" t="str">
        <f>"3"</f>
        <v>3</v>
      </c>
      <c r="E5185" t="str">
        <f>"1-104-3"</f>
        <v>1-104-3</v>
      </c>
      <c r="F5185" t="s">
        <v>65</v>
      </c>
      <c r="G5185" t="s">
        <v>66</v>
      </c>
      <c r="H5185" t="s">
        <v>68</v>
      </c>
      <c r="I5185">
        <v>1</v>
      </c>
      <c r="J5185">
        <v>0</v>
      </c>
      <c r="K5185">
        <v>1</v>
      </c>
      <c r="L5185">
        <v>0</v>
      </c>
      <c r="M5185">
        <v>1</v>
      </c>
      <c r="N5185">
        <v>0</v>
      </c>
      <c r="O5185">
        <v>1</v>
      </c>
      <c r="P5185">
        <v>1</v>
      </c>
      <c r="Q5185">
        <v>1</v>
      </c>
      <c r="R5185">
        <v>1</v>
      </c>
    </row>
    <row r="5186" spans="1:18" x14ac:dyDescent="0.2">
      <c r="A5186" t="str">
        <f>"5182"</f>
        <v>5182</v>
      </c>
      <c r="B5186" t="str">
        <f t="shared" si="288"/>
        <v>1</v>
      </c>
      <c r="C5186" t="str">
        <f t="shared" si="287"/>
        <v>104</v>
      </c>
      <c r="D5186" t="str">
        <f>"41"</f>
        <v>41</v>
      </c>
      <c r="E5186" t="str">
        <f>"1-104-41"</f>
        <v>1-104-41</v>
      </c>
      <c r="F5186" t="s">
        <v>65</v>
      </c>
      <c r="G5186" t="s">
        <v>66</v>
      </c>
      <c r="H5186" t="s">
        <v>68</v>
      </c>
      <c r="I5186">
        <v>1</v>
      </c>
      <c r="J5186">
        <v>1</v>
      </c>
      <c r="K5186">
        <v>0</v>
      </c>
      <c r="L5186">
        <v>0</v>
      </c>
      <c r="M5186">
        <v>1</v>
      </c>
      <c r="N5186">
        <v>1</v>
      </c>
      <c r="O5186">
        <v>1</v>
      </c>
      <c r="P5186">
        <v>1</v>
      </c>
      <c r="Q5186">
        <v>1</v>
      </c>
      <c r="R5186">
        <v>1</v>
      </c>
    </row>
    <row r="5187" spans="1:18" x14ac:dyDescent="0.2">
      <c r="A5187" t="str">
        <f>"5183"</f>
        <v>5183</v>
      </c>
      <c r="B5187" t="str">
        <f t="shared" si="288"/>
        <v>1</v>
      </c>
      <c r="C5187" t="str">
        <f t="shared" ref="C5187:C5204" si="289">"104"</f>
        <v>104</v>
      </c>
      <c r="D5187" t="str">
        <f>"23"</f>
        <v>23</v>
      </c>
      <c r="E5187" t="str">
        <f>"1-104-23"</f>
        <v>1-104-23</v>
      </c>
      <c r="F5187" t="s">
        <v>65</v>
      </c>
      <c r="G5187" t="s">
        <v>66</v>
      </c>
      <c r="H5187" t="s">
        <v>68</v>
      </c>
      <c r="I5187">
        <v>1</v>
      </c>
      <c r="J5187">
        <v>0</v>
      </c>
      <c r="K5187">
        <v>0</v>
      </c>
      <c r="L5187">
        <v>1</v>
      </c>
      <c r="M5187">
        <v>1</v>
      </c>
      <c r="N5187">
        <v>1</v>
      </c>
      <c r="O5187">
        <v>1</v>
      </c>
      <c r="P5187">
        <v>1</v>
      </c>
      <c r="Q5187">
        <v>1</v>
      </c>
      <c r="R5187">
        <v>1</v>
      </c>
    </row>
    <row r="5188" spans="1:18" x14ac:dyDescent="0.2">
      <c r="A5188" t="str">
        <f>"5184"</f>
        <v>5184</v>
      </c>
      <c r="B5188" t="str">
        <f t="shared" si="288"/>
        <v>1</v>
      </c>
      <c r="C5188" t="str">
        <f t="shared" si="289"/>
        <v>104</v>
      </c>
      <c r="D5188" t="str">
        <f>"14"</f>
        <v>14</v>
      </c>
      <c r="E5188" t="str">
        <f>"1-104-14"</f>
        <v>1-104-14</v>
      </c>
      <c r="F5188" t="s">
        <v>65</v>
      </c>
      <c r="G5188" t="s">
        <v>66</v>
      </c>
      <c r="H5188" t="s">
        <v>68</v>
      </c>
      <c r="I5188">
        <v>1</v>
      </c>
      <c r="J5188">
        <v>0</v>
      </c>
      <c r="K5188">
        <v>1</v>
      </c>
      <c r="L5188">
        <v>0</v>
      </c>
      <c r="M5188">
        <v>1</v>
      </c>
      <c r="N5188">
        <v>1</v>
      </c>
      <c r="O5188">
        <v>1</v>
      </c>
      <c r="P5188">
        <v>1</v>
      </c>
      <c r="Q5188">
        <v>1</v>
      </c>
      <c r="R5188">
        <v>1</v>
      </c>
    </row>
    <row r="5189" spans="1:18" x14ac:dyDescent="0.2">
      <c r="A5189" t="str">
        <f>"5185"</f>
        <v>5185</v>
      </c>
      <c r="B5189" t="str">
        <f t="shared" si="288"/>
        <v>1</v>
      </c>
      <c r="C5189" t="str">
        <f t="shared" si="289"/>
        <v>104</v>
      </c>
      <c r="D5189" t="str">
        <f>"47"</f>
        <v>47</v>
      </c>
      <c r="E5189" t="str">
        <f>"1-104-47"</f>
        <v>1-104-47</v>
      </c>
      <c r="F5189" t="s">
        <v>65</v>
      </c>
      <c r="G5189" t="s">
        <v>66</v>
      </c>
      <c r="H5189" t="s">
        <v>68</v>
      </c>
      <c r="I5189">
        <v>1</v>
      </c>
      <c r="J5189">
        <v>0</v>
      </c>
      <c r="K5189">
        <v>0</v>
      </c>
      <c r="L5189">
        <v>0</v>
      </c>
      <c r="M5189">
        <v>1</v>
      </c>
      <c r="N5189">
        <v>1</v>
      </c>
      <c r="O5189">
        <v>0</v>
      </c>
      <c r="P5189">
        <v>0</v>
      </c>
      <c r="Q5189">
        <v>0</v>
      </c>
      <c r="R5189">
        <v>0</v>
      </c>
    </row>
    <row r="5190" spans="1:18" x14ac:dyDescent="0.2">
      <c r="A5190" t="str">
        <f>"5186"</f>
        <v>5186</v>
      </c>
      <c r="B5190" t="str">
        <f t="shared" si="288"/>
        <v>1</v>
      </c>
      <c r="C5190" t="str">
        <f t="shared" si="289"/>
        <v>104</v>
      </c>
      <c r="D5190" t="str">
        <f>"24"</f>
        <v>24</v>
      </c>
      <c r="E5190" t="str">
        <f>"1-104-24"</f>
        <v>1-104-24</v>
      </c>
      <c r="F5190" t="s">
        <v>65</v>
      </c>
      <c r="G5190" t="s">
        <v>66</v>
      </c>
      <c r="H5190" t="s">
        <v>68</v>
      </c>
      <c r="I5190">
        <v>1</v>
      </c>
      <c r="J5190">
        <v>0</v>
      </c>
      <c r="K5190">
        <v>0</v>
      </c>
      <c r="L5190">
        <v>1</v>
      </c>
      <c r="M5190">
        <v>1</v>
      </c>
      <c r="N5190">
        <v>1</v>
      </c>
      <c r="O5190">
        <v>1</v>
      </c>
      <c r="P5190">
        <v>1</v>
      </c>
      <c r="Q5190">
        <v>1</v>
      </c>
      <c r="R5190">
        <v>1</v>
      </c>
    </row>
    <row r="5191" spans="1:18" x14ac:dyDescent="0.2">
      <c r="A5191" t="str">
        <f>"5187"</f>
        <v>5187</v>
      </c>
      <c r="B5191" t="str">
        <f t="shared" si="288"/>
        <v>1</v>
      </c>
      <c r="C5191" t="str">
        <f t="shared" si="289"/>
        <v>104</v>
      </c>
      <c r="D5191" t="str">
        <f>"7"</f>
        <v>7</v>
      </c>
      <c r="E5191" t="str">
        <f>"1-104-7"</f>
        <v>1-104-7</v>
      </c>
      <c r="F5191" t="s">
        <v>65</v>
      </c>
      <c r="G5191" t="s">
        <v>66</v>
      </c>
      <c r="H5191" t="s">
        <v>68</v>
      </c>
      <c r="I5191">
        <v>1</v>
      </c>
      <c r="J5191">
        <v>0</v>
      </c>
      <c r="K5191">
        <v>0</v>
      </c>
      <c r="L5191">
        <v>1</v>
      </c>
      <c r="M5191">
        <v>1</v>
      </c>
      <c r="N5191">
        <v>1</v>
      </c>
      <c r="O5191">
        <v>1</v>
      </c>
      <c r="P5191">
        <v>1</v>
      </c>
      <c r="Q5191">
        <v>1</v>
      </c>
      <c r="R5191">
        <v>1</v>
      </c>
    </row>
    <row r="5192" spans="1:18" x14ac:dyDescent="0.2">
      <c r="A5192" t="str">
        <f>"5188"</f>
        <v>5188</v>
      </c>
      <c r="B5192" t="str">
        <f t="shared" si="288"/>
        <v>1</v>
      </c>
      <c r="C5192" t="str">
        <f t="shared" si="289"/>
        <v>104</v>
      </c>
      <c r="D5192" t="str">
        <f>"25"</f>
        <v>25</v>
      </c>
      <c r="E5192" t="str">
        <f>"1-104-25"</f>
        <v>1-104-25</v>
      </c>
      <c r="F5192" t="s">
        <v>65</v>
      </c>
      <c r="G5192" t="s">
        <v>66</v>
      </c>
      <c r="H5192" t="s">
        <v>68</v>
      </c>
      <c r="I5192">
        <v>1</v>
      </c>
      <c r="J5192">
        <v>0</v>
      </c>
      <c r="K5192">
        <v>0</v>
      </c>
      <c r="L5192">
        <v>1</v>
      </c>
      <c r="M5192">
        <v>1</v>
      </c>
      <c r="N5192">
        <v>1</v>
      </c>
      <c r="O5192">
        <v>1</v>
      </c>
      <c r="P5192">
        <v>1</v>
      </c>
      <c r="Q5192">
        <v>1</v>
      </c>
      <c r="R5192">
        <v>1</v>
      </c>
    </row>
    <row r="5193" spans="1:18" x14ac:dyDescent="0.2">
      <c r="A5193" t="str">
        <f>"5189"</f>
        <v>5189</v>
      </c>
      <c r="B5193" t="str">
        <f t="shared" si="288"/>
        <v>1</v>
      </c>
      <c r="C5193" t="str">
        <f t="shared" si="289"/>
        <v>104</v>
      </c>
      <c r="D5193" t="str">
        <f>"2"</f>
        <v>2</v>
      </c>
      <c r="E5193" t="str">
        <f>"1-104-2"</f>
        <v>1-104-2</v>
      </c>
      <c r="F5193" t="s">
        <v>65</v>
      </c>
      <c r="G5193" t="s">
        <v>66</v>
      </c>
      <c r="H5193" t="s">
        <v>68</v>
      </c>
      <c r="I5193">
        <v>1</v>
      </c>
      <c r="J5193">
        <v>0</v>
      </c>
      <c r="K5193">
        <v>0</v>
      </c>
      <c r="L5193">
        <v>1</v>
      </c>
      <c r="M5193">
        <v>1</v>
      </c>
      <c r="N5193">
        <v>1</v>
      </c>
      <c r="O5193">
        <v>1</v>
      </c>
      <c r="P5193">
        <v>1</v>
      </c>
      <c r="Q5193">
        <v>1</v>
      </c>
      <c r="R5193">
        <v>1</v>
      </c>
    </row>
    <row r="5194" spans="1:18" x14ac:dyDescent="0.2">
      <c r="A5194" t="str">
        <f>"5190"</f>
        <v>5190</v>
      </c>
      <c r="B5194" t="str">
        <f t="shared" si="288"/>
        <v>1</v>
      </c>
      <c r="C5194" t="str">
        <f t="shared" si="289"/>
        <v>104</v>
      </c>
      <c r="D5194" t="str">
        <f>"48"</f>
        <v>48</v>
      </c>
      <c r="E5194" t="str">
        <f>"1-104-48"</f>
        <v>1-104-48</v>
      </c>
      <c r="F5194" t="s">
        <v>65</v>
      </c>
      <c r="G5194" t="s">
        <v>66</v>
      </c>
      <c r="H5194" t="s">
        <v>68</v>
      </c>
      <c r="I5194">
        <v>1</v>
      </c>
      <c r="J5194">
        <v>0</v>
      </c>
      <c r="K5194">
        <v>1</v>
      </c>
      <c r="L5194">
        <v>0</v>
      </c>
      <c r="M5194">
        <v>1</v>
      </c>
      <c r="N5194">
        <v>1</v>
      </c>
      <c r="O5194">
        <v>1</v>
      </c>
      <c r="P5194">
        <v>1</v>
      </c>
      <c r="Q5194">
        <v>1</v>
      </c>
      <c r="R5194">
        <v>1</v>
      </c>
    </row>
    <row r="5195" spans="1:18" x14ac:dyDescent="0.2">
      <c r="A5195" t="str">
        <f>"5191"</f>
        <v>5191</v>
      </c>
      <c r="B5195" t="str">
        <f t="shared" si="288"/>
        <v>1</v>
      </c>
      <c r="C5195" t="str">
        <f t="shared" si="289"/>
        <v>104</v>
      </c>
      <c r="D5195" t="str">
        <f>"28"</f>
        <v>28</v>
      </c>
      <c r="E5195" t="str">
        <f>"1-104-28"</f>
        <v>1-104-28</v>
      </c>
      <c r="F5195" t="s">
        <v>65</v>
      </c>
      <c r="G5195" t="s">
        <v>66</v>
      </c>
      <c r="H5195" t="s">
        <v>68</v>
      </c>
      <c r="I5195">
        <v>1</v>
      </c>
      <c r="J5195">
        <v>0</v>
      </c>
      <c r="K5195">
        <v>0</v>
      </c>
      <c r="L5195">
        <v>0</v>
      </c>
      <c r="M5195">
        <v>1</v>
      </c>
      <c r="N5195">
        <v>1</v>
      </c>
      <c r="O5195">
        <v>1</v>
      </c>
      <c r="P5195">
        <v>1</v>
      </c>
      <c r="Q5195">
        <v>1</v>
      </c>
      <c r="R5195">
        <v>1</v>
      </c>
    </row>
    <row r="5196" spans="1:18" x14ac:dyDescent="0.2">
      <c r="A5196" t="str">
        <f>"5192"</f>
        <v>5192</v>
      </c>
      <c r="B5196" t="str">
        <f t="shared" si="288"/>
        <v>1</v>
      </c>
      <c r="C5196" t="str">
        <f t="shared" si="289"/>
        <v>104</v>
      </c>
      <c r="D5196" t="str">
        <f>"13"</f>
        <v>13</v>
      </c>
      <c r="E5196" t="str">
        <f>"1-104-13"</f>
        <v>1-104-13</v>
      </c>
      <c r="F5196" t="s">
        <v>65</v>
      </c>
      <c r="G5196" t="s">
        <v>66</v>
      </c>
      <c r="H5196" t="s">
        <v>68</v>
      </c>
      <c r="I5196">
        <v>1</v>
      </c>
      <c r="J5196">
        <v>0</v>
      </c>
      <c r="K5196">
        <v>0</v>
      </c>
      <c r="L5196">
        <v>1</v>
      </c>
      <c r="M5196">
        <v>1</v>
      </c>
      <c r="N5196">
        <v>1</v>
      </c>
      <c r="O5196">
        <v>1</v>
      </c>
      <c r="P5196">
        <v>1</v>
      </c>
      <c r="Q5196">
        <v>1</v>
      </c>
      <c r="R5196">
        <v>1</v>
      </c>
    </row>
    <row r="5197" spans="1:18" x14ac:dyDescent="0.2">
      <c r="A5197" t="str">
        <f>"5193"</f>
        <v>5193</v>
      </c>
      <c r="B5197" t="str">
        <f t="shared" si="288"/>
        <v>1</v>
      </c>
      <c r="C5197" t="str">
        <f t="shared" si="289"/>
        <v>104</v>
      </c>
      <c r="D5197" t="str">
        <f>"29"</f>
        <v>29</v>
      </c>
      <c r="E5197" t="str">
        <f>"1-104-29"</f>
        <v>1-104-29</v>
      </c>
      <c r="F5197" t="s">
        <v>65</v>
      </c>
      <c r="G5197" t="s">
        <v>66</v>
      </c>
      <c r="H5197" t="s">
        <v>68</v>
      </c>
      <c r="I5197">
        <v>1</v>
      </c>
      <c r="J5197">
        <v>0</v>
      </c>
      <c r="K5197">
        <v>0</v>
      </c>
      <c r="L5197">
        <v>1</v>
      </c>
      <c r="M5197">
        <v>1</v>
      </c>
      <c r="N5197">
        <v>1</v>
      </c>
      <c r="O5197">
        <v>1</v>
      </c>
      <c r="P5197">
        <v>1</v>
      </c>
      <c r="Q5197">
        <v>1</v>
      </c>
      <c r="R5197">
        <v>1</v>
      </c>
    </row>
    <row r="5198" spans="1:18" x14ac:dyDescent="0.2">
      <c r="A5198" t="str">
        <f>"5194"</f>
        <v>5194</v>
      </c>
      <c r="B5198" t="str">
        <f t="shared" si="288"/>
        <v>1</v>
      </c>
      <c r="C5198" t="str">
        <f t="shared" si="289"/>
        <v>104</v>
      </c>
      <c r="D5198" t="str">
        <f>"11"</f>
        <v>11</v>
      </c>
      <c r="E5198" t="str">
        <f>"1-104-11"</f>
        <v>1-104-11</v>
      </c>
      <c r="F5198" t="s">
        <v>65</v>
      </c>
      <c r="G5198" t="s">
        <v>66</v>
      </c>
      <c r="H5198" t="s">
        <v>68</v>
      </c>
      <c r="I5198">
        <v>1</v>
      </c>
      <c r="J5198">
        <v>0</v>
      </c>
      <c r="K5198">
        <v>0</v>
      </c>
      <c r="L5198">
        <v>1</v>
      </c>
      <c r="M5198">
        <v>1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2">
      <c r="A5199" t="str">
        <f>"5195"</f>
        <v>5195</v>
      </c>
      <c r="B5199" t="str">
        <f t="shared" si="288"/>
        <v>1</v>
      </c>
      <c r="C5199" t="str">
        <f t="shared" si="289"/>
        <v>104</v>
      </c>
      <c r="D5199" t="str">
        <f>"49"</f>
        <v>49</v>
      </c>
      <c r="E5199" t="str">
        <f>"1-104-49"</f>
        <v>1-104-49</v>
      </c>
      <c r="F5199" t="s">
        <v>65</v>
      </c>
      <c r="G5199" t="s">
        <v>66</v>
      </c>
      <c r="H5199" t="s">
        <v>68</v>
      </c>
      <c r="I5199">
        <v>1</v>
      </c>
      <c r="J5199">
        <v>0</v>
      </c>
      <c r="K5199">
        <v>0</v>
      </c>
      <c r="L5199">
        <v>0</v>
      </c>
      <c r="M5199">
        <v>1</v>
      </c>
      <c r="N5199">
        <v>1</v>
      </c>
      <c r="O5199">
        <v>1</v>
      </c>
      <c r="P5199">
        <v>1</v>
      </c>
      <c r="Q5199">
        <v>1</v>
      </c>
      <c r="R5199">
        <v>1</v>
      </c>
    </row>
    <row r="5200" spans="1:18" x14ac:dyDescent="0.2">
      <c r="A5200" t="str">
        <f>"5196"</f>
        <v>5196</v>
      </c>
      <c r="B5200" t="str">
        <f t="shared" si="288"/>
        <v>1</v>
      </c>
      <c r="C5200" t="str">
        <f t="shared" si="289"/>
        <v>104</v>
      </c>
      <c r="D5200" t="str">
        <f>"30"</f>
        <v>30</v>
      </c>
      <c r="E5200" t="str">
        <f>"1-104-30"</f>
        <v>1-104-30</v>
      </c>
      <c r="F5200" t="s">
        <v>65</v>
      </c>
      <c r="G5200" t="s">
        <v>66</v>
      </c>
      <c r="H5200" t="s">
        <v>68</v>
      </c>
      <c r="I5200">
        <v>1</v>
      </c>
      <c r="J5200">
        <v>0</v>
      </c>
      <c r="K5200">
        <v>0</v>
      </c>
      <c r="L5200">
        <v>1</v>
      </c>
      <c r="M5200">
        <v>1</v>
      </c>
      <c r="N5200">
        <v>1</v>
      </c>
      <c r="O5200">
        <v>1</v>
      </c>
      <c r="P5200">
        <v>1</v>
      </c>
      <c r="Q5200">
        <v>1</v>
      </c>
      <c r="R5200">
        <v>1</v>
      </c>
    </row>
    <row r="5201" spans="1:18" x14ac:dyDescent="0.2">
      <c r="A5201" t="str">
        <f>"5197"</f>
        <v>5197</v>
      </c>
      <c r="B5201" t="str">
        <f t="shared" si="288"/>
        <v>1</v>
      </c>
      <c r="C5201" t="str">
        <f t="shared" si="289"/>
        <v>104</v>
      </c>
      <c r="D5201" t="str">
        <f>"12"</f>
        <v>12</v>
      </c>
      <c r="E5201" t="str">
        <f>"1-104-12"</f>
        <v>1-104-12</v>
      </c>
      <c r="F5201" t="s">
        <v>65</v>
      </c>
      <c r="G5201" t="s">
        <v>66</v>
      </c>
      <c r="H5201" t="s">
        <v>68</v>
      </c>
      <c r="I5201">
        <v>1</v>
      </c>
      <c r="J5201">
        <v>0</v>
      </c>
      <c r="K5201">
        <v>0</v>
      </c>
      <c r="L5201">
        <v>1</v>
      </c>
      <c r="M5201">
        <v>1</v>
      </c>
      <c r="N5201">
        <v>1</v>
      </c>
      <c r="O5201">
        <v>1</v>
      </c>
      <c r="P5201">
        <v>1</v>
      </c>
      <c r="Q5201">
        <v>1</v>
      </c>
      <c r="R5201">
        <v>1</v>
      </c>
    </row>
    <row r="5202" spans="1:18" x14ac:dyDescent="0.2">
      <c r="A5202" t="str">
        <f>"5198"</f>
        <v>5198</v>
      </c>
      <c r="B5202" t="str">
        <f t="shared" si="288"/>
        <v>1</v>
      </c>
      <c r="C5202" t="str">
        <f t="shared" si="289"/>
        <v>104</v>
      </c>
      <c r="D5202" t="str">
        <f>"31"</f>
        <v>31</v>
      </c>
      <c r="E5202" t="str">
        <f>"1-104-31"</f>
        <v>1-104-31</v>
      </c>
      <c r="F5202" t="s">
        <v>65</v>
      </c>
      <c r="G5202" t="s">
        <v>66</v>
      </c>
      <c r="H5202" t="s">
        <v>68</v>
      </c>
      <c r="I5202">
        <v>0</v>
      </c>
      <c r="J5202">
        <v>0</v>
      </c>
      <c r="K5202">
        <v>0</v>
      </c>
      <c r="L5202">
        <v>0</v>
      </c>
      <c r="M5202">
        <v>1</v>
      </c>
      <c r="N5202">
        <v>0</v>
      </c>
      <c r="O5202">
        <v>0</v>
      </c>
      <c r="P5202">
        <v>0</v>
      </c>
      <c r="Q5202">
        <v>0</v>
      </c>
      <c r="R5202">
        <v>0</v>
      </c>
    </row>
    <row r="5203" spans="1:18" x14ac:dyDescent="0.2">
      <c r="A5203" t="str">
        <f>"5199"</f>
        <v>5199</v>
      </c>
      <c r="B5203" t="str">
        <f t="shared" si="288"/>
        <v>1</v>
      </c>
      <c r="C5203" t="str">
        <f t="shared" si="289"/>
        <v>104</v>
      </c>
      <c r="D5203" t="str">
        <f>"9"</f>
        <v>9</v>
      </c>
      <c r="E5203" t="str">
        <f>"1-104-9"</f>
        <v>1-104-9</v>
      </c>
      <c r="F5203" t="s">
        <v>65</v>
      </c>
      <c r="G5203" t="s">
        <v>66</v>
      </c>
      <c r="H5203" t="s">
        <v>68</v>
      </c>
      <c r="I5203">
        <v>1</v>
      </c>
      <c r="J5203">
        <v>0</v>
      </c>
      <c r="K5203">
        <v>0</v>
      </c>
      <c r="L5203">
        <v>1</v>
      </c>
      <c r="M5203">
        <v>1</v>
      </c>
      <c r="N5203">
        <v>1</v>
      </c>
      <c r="O5203">
        <v>1</v>
      </c>
      <c r="P5203">
        <v>1</v>
      </c>
      <c r="Q5203">
        <v>1</v>
      </c>
      <c r="R5203">
        <v>1</v>
      </c>
    </row>
    <row r="5204" spans="1:18" x14ac:dyDescent="0.2">
      <c r="A5204" t="str">
        <f>"5200"</f>
        <v>5200</v>
      </c>
      <c r="B5204" t="str">
        <f t="shared" si="288"/>
        <v>1</v>
      </c>
      <c r="C5204" t="str">
        <f t="shared" si="289"/>
        <v>104</v>
      </c>
      <c r="D5204" t="str">
        <f>"50"</f>
        <v>50</v>
      </c>
      <c r="E5204" t="str">
        <f>"1-104-50"</f>
        <v>1-104-50</v>
      </c>
      <c r="F5204" t="s">
        <v>65</v>
      </c>
      <c r="G5204" t="s">
        <v>66</v>
      </c>
      <c r="H5204" t="s">
        <v>68</v>
      </c>
      <c r="I5204">
        <v>1</v>
      </c>
      <c r="J5204">
        <v>0</v>
      </c>
      <c r="K5204">
        <v>0</v>
      </c>
      <c r="L5204">
        <v>1</v>
      </c>
      <c r="M5204">
        <v>1</v>
      </c>
      <c r="N5204">
        <v>1</v>
      </c>
      <c r="O5204">
        <v>1</v>
      </c>
      <c r="P5204">
        <v>1</v>
      </c>
      <c r="Q5204">
        <v>1</v>
      </c>
      <c r="R5204">
        <v>1</v>
      </c>
    </row>
    <row r="5205" spans="1:18" x14ac:dyDescent="0.2">
      <c r="A5205" t="str">
        <f>"5201"</f>
        <v>5201</v>
      </c>
      <c r="B5205" t="str">
        <f t="shared" si="288"/>
        <v>1</v>
      </c>
      <c r="C5205" t="str">
        <f t="shared" ref="C5205:C5236" si="290">"105"</f>
        <v>105</v>
      </c>
      <c r="D5205" t="str">
        <f>"36"</f>
        <v>36</v>
      </c>
      <c r="E5205" t="str">
        <f>"1-105-36"</f>
        <v>1-105-36</v>
      </c>
      <c r="F5205" t="s">
        <v>65</v>
      </c>
      <c r="G5205" t="s">
        <v>66</v>
      </c>
      <c r="H5205" t="s">
        <v>68</v>
      </c>
      <c r="I5205">
        <v>1</v>
      </c>
      <c r="J5205">
        <v>0</v>
      </c>
      <c r="K5205">
        <v>1</v>
      </c>
      <c r="L5205">
        <v>0</v>
      </c>
      <c r="M5205">
        <v>1</v>
      </c>
      <c r="N5205">
        <v>1</v>
      </c>
      <c r="O5205">
        <v>1</v>
      </c>
      <c r="P5205">
        <v>1</v>
      </c>
      <c r="Q5205">
        <v>1</v>
      </c>
      <c r="R5205">
        <v>1</v>
      </c>
    </row>
    <row r="5206" spans="1:18" x14ac:dyDescent="0.2">
      <c r="A5206" t="str">
        <f>"5202"</f>
        <v>5202</v>
      </c>
      <c r="B5206" t="str">
        <f t="shared" si="288"/>
        <v>1</v>
      </c>
      <c r="C5206" t="str">
        <f t="shared" si="290"/>
        <v>105</v>
      </c>
      <c r="D5206" t="str">
        <f>"35"</f>
        <v>35</v>
      </c>
      <c r="E5206" t="str">
        <f>"1-105-35"</f>
        <v>1-105-35</v>
      </c>
      <c r="F5206" t="s">
        <v>65</v>
      </c>
      <c r="G5206" t="s">
        <v>66</v>
      </c>
      <c r="H5206" t="s">
        <v>68</v>
      </c>
      <c r="I5206">
        <v>1</v>
      </c>
      <c r="J5206">
        <v>0</v>
      </c>
      <c r="K5206">
        <v>0</v>
      </c>
      <c r="L5206">
        <v>0</v>
      </c>
      <c r="M5206">
        <v>1</v>
      </c>
      <c r="N5206">
        <v>1</v>
      </c>
      <c r="O5206">
        <v>0</v>
      </c>
      <c r="P5206">
        <v>1</v>
      </c>
      <c r="Q5206">
        <v>1</v>
      </c>
      <c r="R5206">
        <v>1</v>
      </c>
    </row>
    <row r="5207" spans="1:18" x14ac:dyDescent="0.2">
      <c r="A5207" t="str">
        <f>"5203"</f>
        <v>5203</v>
      </c>
      <c r="B5207" t="str">
        <f t="shared" si="288"/>
        <v>1</v>
      </c>
      <c r="C5207" t="str">
        <f t="shared" si="290"/>
        <v>105</v>
      </c>
      <c r="D5207" t="str">
        <f>"24"</f>
        <v>24</v>
      </c>
      <c r="E5207" t="str">
        <f>"1-105-24"</f>
        <v>1-105-24</v>
      </c>
      <c r="F5207" t="s">
        <v>65</v>
      </c>
      <c r="G5207" t="s">
        <v>66</v>
      </c>
      <c r="H5207" t="s">
        <v>68</v>
      </c>
      <c r="I5207">
        <v>1</v>
      </c>
      <c r="J5207">
        <v>1</v>
      </c>
      <c r="K5207">
        <v>0</v>
      </c>
      <c r="L5207">
        <v>0</v>
      </c>
      <c r="M5207">
        <v>1</v>
      </c>
      <c r="N5207">
        <v>1</v>
      </c>
      <c r="O5207">
        <v>1</v>
      </c>
      <c r="P5207">
        <v>1</v>
      </c>
      <c r="Q5207">
        <v>1</v>
      </c>
      <c r="R5207">
        <v>1</v>
      </c>
    </row>
    <row r="5208" spans="1:18" x14ac:dyDescent="0.2">
      <c r="A5208" t="str">
        <f>"5204"</f>
        <v>5204</v>
      </c>
      <c r="B5208" t="str">
        <f t="shared" si="288"/>
        <v>1</v>
      </c>
      <c r="C5208" t="str">
        <f t="shared" si="290"/>
        <v>105</v>
      </c>
      <c r="D5208" t="str">
        <f>"15"</f>
        <v>15</v>
      </c>
      <c r="E5208" t="str">
        <f>"1-105-15"</f>
        <v>1-105-15</v>
      </c>
      <c r="F5208" t="s">
        <v>65</v>
      </c>
      <c r="G5208" t="s">
        <v>66</v>
      </c>
      <c r="H5208" t="s">
        <v>68</v>
      </c>
      <c r="I5208">
        <v>1</v>
      </c>
      <c r="J5208">
        <v>0</v>
      </c>
      <c r="K5208">
        <v>0</v>
      </c>
      <c r="L5208">
        <v>1</v>
      </c>
      <c r="M5208">
        <v>1</v>
      </c>
      <c r="N5208">
        <v>1</v>
      </c>
      <c r="O5208">
        <v>1</v>
      </c>
      <c r="P5208">
        <v>1</v>
      </c>
      <c r="Q5208">
        <v>1</v>
      </c>
      <c r="R5208">
        <v>1</v>
      </c>
    </row>
    <row r="5209" spans="1:18" x14ac:dyDescent="0.2">
      <c r="A5209" t="str">
        <f>"5205"</f>
        <v>5205</v>
      </c>
      <c r="B5209" t="str">
        <f t="shared" si="288"/>
        <v>1</v>
      </c>
      <c r="C5209" t="str">
        <f t="shared" si="290"/>
        <v>105</v>
      </c>
      <c r="D5209" t="str">
        <f>"4"</f>
        <v>4</v>
      </c>
      <c r="E5209" t="str">
        <f>"1-105-4"</f>
        <v>1-105-4</v>
      </c>
      <c r="F5209" t="s">
        <v>65</v>
      </c>
      <c r="G5209" t="s">
        <v>66</v>
      </c>
      <c r="H5209" t="s">
        <v>68</v>
      </c>
      <c r="I5209">
        <v>1</v>
      </c>
      <c r="J5209">
        <v>1</v>
      </c>
      <c r="K5209">
        <v>0</v>
      </c>
      <c r="L5209">
        <v>0</v>
      </c>
      <c r="M5209">
        <v>1</v>
      </c>
      <c r="N5209">
        <v>1</v>
      </c>
      <c r="O5209">
        <v>1</v>
      </c>
      <c r="P5209">
        <v>1</v>
      </c>
      <c r="Q5209">
        <v>1</v>
      </c>
      <c r="R5209">
        <v>1</v>
      </c>
    </row>
    <row r="5210" spans="1:18" x14ac:dyDescent="0.2">
      <c r="A5210" t="str">
        <f>"5206"</f>
        <v>5206</v>
      </c>
      <c r="B5210" t="str">
        <f t="shared" si="288"/>
        <v>1</v>
      </c>
      <c r="C5210" t="str">
        <f t="shared" si="290"/>
        <v>105</v>
      </c>
      <c r="D5210" t="str">
        <f>"38"</f>
        <v>38</v>
      </c>
      <c r="E5210" t="str">
        <f>"1-105-38"</f>
        <v>1-105-38</v>
      </c>
      <c r="F5210" t="s">
        <v>65</v>
      </c>
      <c r="G5210" t="s">
        <v>66</v>
      </c>
      <c r="H5210" t="s">
        <v>68</v>
      </c>
      <c r="I5210">
        <v>1</v>
      </c>
      <c r="J5210">
        <v>1</v>
      </c>
      <c r="K5210">
        <v>0</v>
      </c>
      <c r="L5210">
        <v>0</v>
      </c>
      <c r="M5210">
        <v>1</v>
      </c>
      <c r="N5210">
        <v>1</v>
      </c>
      <c r="O5210">
        <v>1</v>
      </c>
      <c r="P5210">
        <v>1</v>
      </c>
      <c r="Q5210">
        <v>1</v>
      </c>
      <c r="R5210">
        <v>1</v>
      </c>
    </row>
    <row r="5211" spans="1:18" x14ac:dyDescent="0.2">
      <c r="A5211" t="str">
        <f>"5207"</f>
        <v>5207</v>
      </c>
      <c r="B5211" t="str">
        <f t="shared" si="288"/>
        <v>1</v>
      </c>
      <c r="C5211" t="str">
        <f t="shared" si="290"/>
        <v>105</v>
      </c>
      <c r="D5211" t="str">
        <f>"37"</f>
        <v>37</v>
      </c>
      <c r="E5211" t="str">
        <f>"1-105-37"</f>
        <v>1-105-37</v>
      </c>
      <c r="F5211" t="s">
        <v>65</v>
      </c>
      <c r="G5211" t="s">
        <v>66</v>
      </c>
      <c r="H5211" t="s">
        <v>68</v>
      </c>
      <c r="I5211">
        <v>1</v>
      </c>
      <c r="J5211">
        <v>0</v>
      </c>
      <c r="K5211">
        <v>0</v>
      </c>
      <c r="L5211">
        <v>1</v>
      </c>
      <c r="M5211">
        <v>1</v>
      </c>
      <c r="N5211">
        <v>1</v>
      </c>
      <c r="O5211">
        <v>1</v>
      </c>
      <c r="P5211">
        <v>1</v>
      </c>
      <c r="Q5211">
        <v>1</v>
      </c>
      <c r="R5211">
        <v>1</v>
      </c>
    </row>
    <row r="5212" spans="1:18" x14ac:dyDescent="0.2">
      <c r="A5212" t="str">
        <f>"5208"</f>
        <v>5208</v>
      </c>
      <c r="B5212" t="str">
        <f t="shared" si="288"/>
        <v>1</v>
      </c>
      <c r="C5212" t="str">
        <f t="shared" si="290"/>
        <v>105</v>
      </c>
      <c r="D5212" t="str">
        <f>"27"</f>
        <v>27</v>
      </c>
      <c r="E5212" t="str">
        <f>"1-105-27"</f>
        <v>1-105-27</v>
      </c>
      <c r="F5212" t="s">
        <v>65</v>
      </c>
      <c r="G5212" t="s">
        <v>66</v>
      </c>
      <c r="H5212" t="s">
        <v>68</v>
      </c>
      <c r="I5212">
        <v>1</v>
      </c>
      <c r="J5212">
        <v>1</v>
      </c>
      <c r="K5212">
        <v>0</v>
      </c>
      <c r="L5212">
        <v>0</v>
      </c>
      <c r="M5212">
        <v>1</v>
      </c>
      <c r="N5212">
        <v>1</v>
      </c>
      <c r="O5212">
        <v>1</v>
      </c>
      <c r="P5212">
        <v>1</v>
      </c>
      <c r="Q5212">
        <v>1</v>
      </c>
      <c r="R5212">
        <v>1</v>
      </c>
    </row>
    <row r="5213" spans="1:18" x14ac:dyDescent="0.2">
      <c r="A5213" t="str">
        <f>"5209"</f>
        <v>5209</v>
      </c>
      <c r="B5213" t="str">
        <f t="shared" si="288"/>
        <v>1</v>
      </c>
      <c r="C5213" t="str">
        <f t="shared" si="290"/>
        <v>105</v>
      </c>
      <c r="D5213" t="str">
        <f>"16"</f>
        <v>16</v>
      </c>
      <c r="E5213" t="str">
        <f>"1-105-16"</f>
        <v>1-105-16</v>
      </c>
      <c r="F5213" t="s">
        <v>65</v>
      </c>
      <c r="G5213" t="s">
        <v>66</v>
      </c>
      <c r="H5213" t="s">
        <v>68</v>
      </c>
      <c r="I5213">
        <v>1</v>
      </c>
      <c r="J5213">
        <v>0</v>
      </c>
      <c r="K5213">
        <v>0</v>
      </c>
      <c r="L5213">
        <v>1</v>
      </c>
      <c r="M5213">
        <v>1</v>
      </c>
      <c r="N5213">
        <v>1</v>
      </c>
      <c r="O5213">
        <v>1</v>
      </c>
      <c r="P5213">
        <v>1</v>
      </c>
      <c r="Q5213">
        <v>1</v>
      </c>
      <c r="R5213">
        <v>1</v>
      </c>
    </row>
    <row r="5214" spans="1:18" x14ac:dyDescent="0.2">
      <c r="A5214" t="str">
        <f>"5210"</f>
        <v>5210</v>
      </c>
      <c r="B5214" t="str">
        <f t="shared" si="288"/>
        <v>1</v>
      </c>
      <c r="C5214" t="str">
        <f t="shared" si="290"/>
        <v>105</v>
      </c>
      <c r="D5214" t="str">
        <f>"8"</f>
        <v>8</v>
      </c>
      <c r="E5214" t="str">
        <f>"1-105-8"</f>
        <v>1-105-8</v>
      </c>
      <c r="F5214" t="s">
        <v>65</v>
      </c>
      <c r="G5214" t="s">
        <v>66</v>
      </c>
      <c r="H5214" t="s">
        <v>68</v>
      </c>
      <c r="I5214">
        <v>1</v>
      </c>
      <c r="J5214">
        <v>0</v>
      </c>
      <c r="K5214">
        <v>0</v>
      </c>
      <c r="L5214">
        <v>0</v>
      </c>
      <c r="M5214">
        <v>1</v>
      </c>
      <c r="N5214">
        <v>1</v>
      </c>
      <c r="O5214">
        <v>1</v>
      </c>
      <c r="P5214">
        <v>1</v>
      </c>
      <c r="Q5214">
        <v>1</v>
      </c>
      <c r="R5214">
        <v>1</v>
      </c>
    </row>
    <row r="5215" spans="1:18" x14ac:dyDescent="0.2">
      <c r="A5215" t="str">
        <f>"5211"</f>
        <v>5211</v>
      </c>
      <c r="B5215" t="str">
        <f t="shared" si="288"/>
        <v>1</v>
      </c>
      <c r="C5215" t="str">
        <f t="shared" si="290"/>
        <v>105</v>
      </c>
      <c r="D5215" t="str">
        <f>"41"</f>
        <v>41</v>
      </c>
      <c r="E5215" t="str">
        <f>"1-105-41"</f>
        <v>1-105-41</v>
      </c>
      <c r="F5215" t="s">
        <v>65</v>
      </c>
      <c r="G5215" t="s">
        <v>66</v>
      </c>
      <c r="H5215" t="s">
        <v>68</v>
      </c>
      <c r="I5215">
        <v>1</v>
      </c>
      <c r="J5215">
        <v>0</v>
      </c>
      <c r="K5215">
        <v>1</v>
      </c>
      <c r="L5215">
        <v>0</v>
      </c>
      <c r="M5215">
        <v>1</v>
      </c>
      <c r="N5215">
        <v>1</v>
      </c>
      <c r="O5215">
        <v>1</v>
      </c>
      <c r="P5215">
        <v>1</v>
      </c>
      <c r="Q5215">
        <v>1</v>
      </c>
      <c r="R5215">
        <v>1</v>
      </c>
    </row>
    <row r="5216" spans="1:18" x14ac:dyDescent="0.2">
      <c r="A5216" t="str">
        <f>"5212"</f>
        <v>5212</v>
      </c>
      <c r="B5216" t="str">
        <f t="shared" si="288"/>
        <v>1</v>
      </c>
      <c r="C5216" t="str">
        <f t="shared" si="290"/>
        <v>105</v>
      </c>
      <c r="D5216" t="str">
        <f>"40"</f>
        <v>40</v>
      </c>
      <c r="E5216" t="str">
        <f>"1-105-40"</f>
        <v>1-105-40</v>
      </c>
      <c r="F5216" t="s">
        <v>65</v>
      </c>
      <c r="G5216" t="s">
        <v>66</v>
      </c>
      <c r="H5216" t="s">
        <v>68</v>
      </c>
      <c r="I5216">
        <v>1</v>
      </c>
      <c r="J5216">
        <v>0</v>
      </c>
      <c r="K5216">
        <v>0</v>
      </c>
      <c r="L5216">
        <v>1</v>
      </c>
      <c r="M5216">
        <v>1</v>
      </c>
      <c r="N5216">
        <v>1</v>
      </c>
      <c r="O5216">
        <v>1</v>
      </c>
      <c r="P5216">
        <v>0</v>
      </c>
      <c r="Q5216">
        <v>1</v>
      </c>
      <c r="R5216">
        <v>1</v>
      </c>
    </row>
    <row r="5217" spans="1:39" x14ac:dyDescent="0.2">
      <c r="A5217" t="str">
        <f>"5213"</f>
        <v>5213</v>
      </c>
      <c r="B5217" t="str">
        <f t="shared" si="288"/>
        <v>1</v>
      </c>
      <c r="C5217" t="str">
        <f t="shared" si="290"/>
        <v>105</v>
      </c>
      <c r="D5217" t="str">
        <f>"31"</f>
        <v>31</v>
      </c>
      <c r="E5217" t="str">
        <f>"1-105-31"</f>
        <v>1-105-31</v>
      </c>
      <c r="F5217" t="s">
        <v>65</v>
      </c>
      <c r="G5217" t="s">
        <v>66</v>
      </c>
      <c r="H5217" t="s">
        <v>68</v>
      </c>
      <c r="I5217">
        <v>1</v>
      </c>
      <c r="J5217">
        <v>0</v>
      </c>
      <c r="K5217">
        <v>0</v>
      </c>
      <c r="L5217">
        <v>0</v>
      </c>
      <c r="M5217">
        <v>1</v>
      </c>
      <c r="N5217">
        <v>0</v>
      </c>
      <c r="O5217">
        <v>0</v>
      </c>
      <c r="P5217">
        <v>1</v>
      </c>
      <c r="Q5217">
        <v>0</v>
      </c>
      <c r="R5217">
        <v>0</v>
      </c>
    </row>
    <row r="5218" spans="1:39" x14ac:dyDescent="0.2">
      <c r="A5218" t="str">
        <f>"5214"</f>
        <v>5214</v>
      </c>
      <c r="B5218" t="str">
        <f t="shared" si="288"/>
        <v>1</v>
      </c>
      <c r="C5218" t="str">
        <f t="shared" si="290"/>
        <v>105</v>
      </c>
      <c r="D5218" t="str">
        <f>"17"</f>
        <v>17</v>
      </c>
      <c r="E5218" t="str">
        <f>"1-105-17"</f>
        <v>1-105-17</v>
      </c>
      <c r="F5218" t="s">
        <v>65</v>
      </c>
      <c r="G5218" t="s">
        <v>66</v>
      </c>
      <c r="H5218" t="s">
        <v>68</v>
      </c>
      <c r="I5218">
        <v>1</v>
      </c>
      <c r="J5218">
        <v>1</v>
      </c>
      <c r="K5218">
        <v>0</v>
      </c>
      <c r="L5218">
        <v>0</v>
      </c>
      <c r="M5218">
        <v>1</v>
      </c>
      <c r="N5218">
        <v>1</v>
      </c>
      <c r="O5218">
        <v>1</v>
      </c>
      <c r="P5218">
        <v>1</v>
      </c>
      <c r="Q5218">
        <v>1</v>
      </c>
      <c r="R5218">
        <v>1</v>
      </c>
    </row>
    <row r="5219" spans="1:39" x14ac:dyDescent="0.2">
      <c r="A5219" t="str">
        <f>"5215"</f>
        <v>5215</v>
      </c>
      <c r="B5219" t="str">
        <f t="shared" si="288"/>
        <v>1</v>
      </c>
      <c r="C5219" t="str">
        <f t="shared" si="290"/>
        <v>105</v>
      </c>
      <c r="D5219" t="str">
        <f>"1"</f>
        <v>1</v>
      </c>
      <c r="E5219" t="str">
        <f>"1-105-1"</f>
        <v>1-105-1</v>
      </c>
      <c r="F5219" t="s">
        <v>65</v>
      </c>
      <c r="G5219" t="s">
        <v>66</v>
      </c>
      <c r="H5219" t="s">
        <v>68</v>
      </c>
      <c r="I5219">
        <v>1</v>
      </c>
      <c r="J5219">
        <v>0</v>
      </c>
      <c r="K5219">
        <v>0</v>
      </c>
      <c r="L5219">
        <v>1</v>
      </c>
      <c r="M5219">
        <v>1</v>
      </c>
      <c r="N5219">
        <v>1</v>
      </c>
      <c r="O5219">
        <v>1</v>
      </c>
      <c r="P5219">
        <v>1</v>
      </c>
      <c r="Q5219">
        <v>1</v>
      </c>
      <c r="R5219">
        <v>1</v>
      </c>
    </row>
    <row r="5220" spans="1:39" x14ac:dyDescent="0.2">
      <c r="A5220" t="str">
        <f>"5216"</f>
        <v>5216</v>
      </c>
      <c r="B5220" t="str">
        <f t="shared" si="288"/>
        <v>1</v>
      </c>
      <c r="C5220" t="str">
        <f t="shared" si="290"/>
        <v>105</v>
      </c>
      <c r="D5220" t="str">
        <f>"50"</f>
        <v>50</v>
      </c>
      <c r="E5220" t="str">
        <f>"1-105-50"</f>
        <v>1-105-50</v>
      </c>
      <c r="F5220" t="s">
        <v>65</v>
      </c>
      <c r="G5220" t="s">
        <v>66</v>
      </c>
      <c r="H5220" t="s">
        <v>67</v>
      </c>
      <c r="S5220">
        <v>0</v>
      </c>
      <c r="T5220">
        <v>1</v>
      </c>
      <c r="U5220">
        <v>0</v>
      </c>
      <c r="V5220">
        <v>0</v>
      </c>
      <c r="W5220">
        <v>0</v>
      </c>
      <c r="X5220">
        <v>1</v>
      </c>
      <c r="Y5220">
        <v>1</v>
      </c>
      <c r="Z5220">
        <v>0</v>
      </c>
      <c r="AA5220">
        <v>0</v>
      </c>
      <c r="AB5220">
        <v>1</v>
      </c>
      <c r="AC5220">
        <v>0</v>
      </c>
      <c r="AD5220">
        <v>1</v>
      </c>
      <c r="AE5220">
        <v>1</v>
      </c>
      <c r="AF5220">
        <v>1</v>
      </c>
      <c r="AG5220">
        <v>1</v>
      </c>
      <c r="AH5220">
        <v>1</v>
      </c>
      <c r="AI5220">
        <v>1</v>
      </c>
      <c r="AJ5220">
        <v>1</v>
      </c>
      <c r="AK5220">
        <v>1</v>
      </c>
      <c r="AL5220">
        <v>1</v>
      </c>
      <c r="AM5220">
        <v>1</v>
      </c>
    </row>
    <row r="5221" spans="1:39" x14ac:dyDescent="0.2">
      <c r="A5221" t="str">
        <f>"5217"</f>
        <v>5217</v>
      </c>
      <c r="B5221" t="str">
        <f t="shared" si="288"/>
        <v>1</v>
      </c>
      <c r="C5221" t="str">
        <f t="shared" si="290"/>
        <v>105</v>
      </c>
      <c r="D5221" t="str">
        <f>"32"</f>
        <v>32</v>
      </c>
      <c r="E5221" t="str">
        <f>"1-105-32"</f>
        <v>1-105-32</v>
      </c>
      <c r="F5221" t="s">
        <v>65</v>
      </c>
      <c r="G5221" t="s">
        <v>66</v>
      </c>
      <c r="H5221" t="s">
        <v>68</v>
      </c>
      <c r="I5221">
        <v>0</v>
      </c>
      <c r="J5221">
        <v>1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</row>
    <row r="5222" spans="1:39" x14ac:dyDescent="0.2">
      <c r="A5222" t="str">
        <f>"5218"</f>
        <v>5218</v>
      </c>
      <c r="B5222" t="str">
        <f t="shared" si="288"/>
        <v>1</v>
      </c>
      <c r="C5222" t="str">
        <f t="shared" si="290"/>
        <v>105</v>
      </c>
      <c r="D5222" t="str">
        <f>"18"</f>
        <v>18</v>
      </c>
      <c r="E5222" t="str">
        <f>"1-105-18"</f>
        <v>1-105-18</v>
      </c>
      <c r="F5222" t="s">
        <v>65</v>
      </c>
      <c r="G5222" t="s">
        <v>66</v>
      </c>
      <c r="H5222" t="s">
        <v>68</v>
      </c>
      <c r="I5222">
        <v>1</v>
      </c>
      <c r="J5222">
        <v>1</v>
      </c>
      <c r="K5222">
        <v>0</v>
      </c>
      <c r="L5222">
        <v>0</v>
      </c>
      <c r="M5222">
        <v>1</v>
      </c>
      <c r="N5222">
        <v>1</v>
      </c>
      <c r="O5222">
        <v>1</v>
      </c>
      <c r="P5222">
        <v>1</v>
      </c>
      <c r="Q5222">
        <v>1</v>
      </c>
      <c r="R5222">
        <v>1</v>
      </c>
    </row>
    <row r="5223" spans="1:39" x14ac:dyDescent="0.2">
      <c r="A5223" t="str">
        <f>"5219"</f>
        <v>5219</v>
      </c>
      <c r="B5223" t="str">
        <f t="shared" si="288"/>
        <v>1</v>
      </c>
      <c r="C5223" t="str">
        <f t="shared" si="290"/>
        <v>105</v>
      </c>
      <c r="D5223" t="str">
        <f>"14"</f>
        <v>14</v>
      </c>
      <c r="E5223" t="str">
        <f>"1-105-14"</f>
        <v>1-105-14</v>
      </c>
      <c r="F5223" t="s">
        <v>65</v>
      </c>
      <c r="G5223" t="s">
        <v>66</v>
      </c>
      <c r="H5223" t="s">
        <v>68</v>
      </c>
      <c r="I5223">
        <v>1</v>
      </c>
      <c r="J5223">
        <v>1</v>
      </c>
      <c r="K5223">
        <v>0</v>
      </c>
      <c r="L5223">
        <v>0</v>
      </c>
      <c r="M5223">
        <v>1</v>
      </c>
      <c r="N5223">
        <v>1</v>
      </c>
      <c r="O5223">
        <v>1</v>
      </c>
      <c r="P5223">
        <v>1</v>
      </c>
      <c r="Q5223">
        <v>1</v>
      </c>
      <c r="R5223">
        <v>1</v>
      </c>
    </row>
    <row r="5224" spans="1:39" x14ac:dyDescent="0.2">
      <c r="A5224" t="str">
        <f>"5220"</f>
        <v>5220</v>
      </c>
      <c r="B5224" t="str">
        <f t="shared" si="288"/>
        <v>1</v>
      </c>
      <c r="C5224" t="str">
        <f t="shared" si="290"/>
        <v>105</v>
      </c>
      <c r="D5224" t="str">
        <f>"45"</f>
        <v>45</v>
      </c>
      <c r="E5224" t="str">
        <f>"1-105-45"</f>
        <v>1-105-45</v>
      </c>
      <c r="F5224" t="s">
        <v>65</v>
      </c>
      <c r="G5224" t="s">
        <v>66</v>
      </c>
      <c r="H5224" t="s">
        <v>68</v>
      </c>
      <c r="I5224">
        <v>1</v>
      </c>
      <c r="J5224">
        <v>0</v>
      </c>
      <c r="K5224">
        <v>1</v>
      </c>
      <c r="L5224">
        <v>0</v>
      </c>
      <c r="M5224">
        <v>1</v>
      </c>
      <c r="N5224">
        <v>1</v>
      </c>
      <c r="O5224">
        <v>1</v>
      </c>
      <c r="P5224">
        <v>1</v>
      </c>
      <c r="Q5224">
        <v>1</v>
      </c>
      <c r="R5224">
        <v>1</v>
      </c>
    </row>
    <row r="5225" spans="1:39" x14ac:dyDescent="0.2">
      <c r="A5225" t="str">
        <f>"5221"</f>
        <v>5221</v>
      </c>
      <c r="B5225" t="str">
        <f t="shared" si="288"/>
        <v>1</v>
      </c>
      <c r="C5225" t="str">
        <f t="shared" si="290"/>
        <v>105</v>
      </c>
      <c r="D5225" t="str">
        <f>"44"</f>
        <v>44</v>
      </c>
      <c r="E5225" t="str">
        <f>"1-105-44"</f>
        <v>1-105-44</v>
      </c>
      <c r="F5225" t="s">
        <v>65</v>
      </c>
      <c r="G5225" t="s">
        <v>66</v>
      </c>
      <c r="H5225" t="s">
        <v>68</v>
      </c>
      <c r="I5225">
        <v>1</v>
      </c>
      <c r="J5225">
        <v>0</v>
      </c>
      <c r="K5225">
        <v>1</v>
      </c>
      <c r="L5225">
        <v>0</v>
      </c>
      <c r="M5225">
        <v>1</v>
      </c>
      <c r="N5225">
        <v>1</v>
      </c>
      <c r="O5225">
        <v>1</v>
      </c>
      <c r="P5225">
        <v>1</v>
      </c>
      <c r="Q5225">
        <v>1</v>
      </c>
      <c r="R5225">
        <v>1</v>
      </c>
    </row>
    <row r="5226" spans="1:39" x14ac:dyDescent="0.2">
      <c r="A5226" t="str">
        <f>"5222"</f>
        <v>5222</v>
      </c>
      <c r="B5226" t="str">
        <f t="shared" si="288"/>
        <v>1</v>
      </c>
      <c r="C5226" t="str">
        <f t="shared" si="290"/>
        <v>105</v>
      </c>
      <c r="D5226" t="str">
        <f>"33"</f>
        <v>33</v>
      </c>
      <c r="E5226" t="str">
        <f>"1-105-33"</f>
        <v>1-105-33</v>
      </c>
      <c r="F5226" t="s">
        <v>65</v>
      </c>
      <c r="G5226" t="s">
        <v>66</v>
      </c>
      <c r="H5226" t="s">
        <v>68</v>
      </c>
      <c r="I5226">
        <v>1</v>
      </c>
      <c r="J5226">
        <v>0</v>
      </c>
      <c r="K5226">
        <v>0</v>
      </c>
      <c r="L5226">
        <v>1</v>
      </c>
      <c r="M5226">
        <v>1</v>
      </c>
      <c r="N5226">
        <v>1</v>
      </c>
      <c r="O5226">
        <v>1</v>
      </c>
      <c r="P5226">
        <v>1</v>
      </c>
      <c r="Q5226">
        <v>1</v>
      </c>
      <c r="R5226">
        <v>1</v>
      </c>
    </row>
    <row r="5227" spans="1:39" x14ac:dyDescent="0.2">
      <c r="A5227" t="str">
        <f>"5223"</f>
        <v>5223</v>
      </c>
      <c r="B5227" t="str">
        <f t="shared" si="288"/>
        <v>1</v>
      </c>
      <c r="C5227" t="str">
        <f t="shared" si="290"/>
        <v>105</v>
      </c>
      <c r="D5227" t="str">
        <f>"19"</f>
        <v>19</v>
      </c>
      <c r="E5227" t="str">
        <f>"1-105-19"</f>
        <v>1-105-19</v>
      </c>
      <c r="F5227" t="s">
        <v>65</v>
      </c>
      <c r="G5227" t="s">
        <v>66</v>
      </c>
      <c r="H5227" t="s">
        <v>68</v>
      </c>
      <c r="I5227">
        <v>0</v>
      </c>
      <c r="J5227">
        <v>0</v>
      </c>
      <c r="K5227">
        <v>0</v>
      </c>
      <c r="L5227">
        <v>1</v>
      </c>
      <c r="M5227">
        <v>1</v>
      </c>
      <c r="N5227">
        <v>1</v>
      </c>
      <c r="O5227">
        <v>1</v>
      </c>
      <c r="P5227">
        <v>1</v>
      </c>
      <c r="Q5227">
        <v>0</v>
      </c>
      <c r="R5227">
        <v>1</v>
      </c>
    </row>
    <row r="5228" spans="1:39" x14ac:dyDescent="0.2">
      <c r="A5228" t="str">
        <f>"5224"</f>
        <v>5224</v>
      </c>
      <c r="B5228" t="str">
        <f t="shared" si="288"/>
        <v>1</v>
      </c>
      <c r="C5228" t="str">
        <f t="shared" si="290"/>
        <v>105</v>
      </c>
      <c r="D5228" t="str">
        <f>"13"</f>
        <v>13</v>
      </c>
      <c r="E5228" t="str">
        <f>"1-105-13"</f>
        <v>1-105-13</v>
      </c>
      <c r="F5228" t="s">
        <v>65</v>
      </c>
      <c r="G5228" t="s">
        <v>66</v>
      </c>
      <c r="H5228" t="s">
        <v>68</v>
      </c>
      <c r="I5228">
        <v>1</v>
      </c>
      <c r="J5228">
        <v>0</v>
      </c>
      <c r="K5228">
        <v>0</v>
      </c>
      <c r="L5228">
        <v>1</v>
      </c>
      <c r="M5228">
        <v>1</v>
      </c>
      <c r="N5228">
        <v>1</v>
      </c>
      <c r="O5228">
        <v>1</v>
      </c>
      <c r="P5228">
        <v>1</v>
      </c>
      <c r="Q5228">
        <v>1</v>
      </c>
      <c r="R5228">
        <v>1</v>
      </c>
    </row>
    <row r="5229" spans="1:39" x14ac:dyDescent="0.2">
      <c r="A5229" t="str">
        <f>"5225"</f>
        <v>5225</v>
      </c>
      <c r="B5229" t="str">
        <f t="shared" si="288"/>
        <v>1</v>
      </c>
      <c r="C5229" t="str">
        <f t="shared" si="290"/>
        <v>105</v>
      </c>
      <c r="D5229" t="str">
        <f>"34"</f>
        <v>34</v>
      </c>
      <c r="E5229" t="str">
        <f>"1-105-34"</f>
        <v>1-105-34</v>
      </c>
      <c r="F5229" t="s">
        <v>65</v>
      </c>
      <c r="G5229" t="s">
        <v>66</v>
      </c>
      <c r="H5229" t="s">
        <v>68</v>
      </c>
      <c r="I5229">
        <v>1</v>
      </c>
      <c r="J5229">
        <v>0</v>
      </c>
      <c r="K5229">
        <v>1</v>
      </c>
      <c r="L5229">
        <v>0</v>
      </c>
      <c r="M5229">
        <v>1</v>
      </c>
      <c r="N5229">
        <v>1</v>
      </c>
      <c r="O5229">
        <v>1</v>
      </c>
      <c r="P5229">
        <v>1</v>
      </c>
      <c r="Q5229">
        <v>1</v>
      </c>
      <c r="R5229">
        <v>1</v>
      </c>
    </row>
    <row r="5230" spans="1:39" x14ac:dyDescent="0.2">
      <c r="A5230" t="str">
        <f>"5226"</f>
        <v>5226</v>
      </c>
      <c r="B5230" t="str">
        <f t="shared" si="288"/>
        <v>1</v>
      </c>
      <c r="C5230" t="str">
        <f t="shared" si="290"/>
        <v>105</v>
      </c>
      <c r="D5230" t="str">
        <f>"20"</f>
        <v>20</v>
      </c>
      <c r="E5230" t="str">
        <f>"1-105-20"</f>
        <v>1-105-20</v>
      </c>
      <c r="F5230" t="s">
        <v>65</v>
      </c>
      <c r="G5230" t="s">
        <v>66</v>
      </c>
      <c r="H5230" t="s">
        <v>68</v>
      </c>
      <c r="I5230">
        <v>1</v>
      </c>
      <c r="J5230">
        <v>0</v>
      </c>
      <c r="K5230">
        <v>0</v>
      </c>
      <c r="L5230">
        <v>1</v>
      </c>
      <c r="M5230">
        <v>1</v>
      </c>
      <c r="N5230">
        <v>1</v>
      </c>
      <c r="O5230">
        <v>1</v>
      </c>
      <c r="P5230">
        <v>1</v>
      </c>
      <c r="Q5230">
        <v>1</v>
      </c>
      <c r="R5230">
        <v>1</v>
      </c>
    </row>
    <row r="5231" spans="1:39" x14ac:dyDescent="0.2">
      <c r="A5231" t="str">
        <f>"5227"</f>
        <v>5227</v>
      </c>
      <c r="B5231" t="str">
        <f t="shared" si="288"/>
        <v>1</v>
      </c>
      <c r="C5231" t="str">
        <f t="shared" si="290"/>
        <v>105</v>
      </c>
      <c r="D5231" t="str">
        <f>"6"</f>
        <v>6</v>
      </c>
      <c r="E5231" t="str">
        <f>"1-105-6"</f>
        <v>1-105-6</v>
      </c>
      <c r="F5231" t="s">
        <v>65</v>
      </c>
      <c r="G5231" t="s">
        <v>66</v>
      </c>
      <c r="H5231" t="s">
        <v>68</v>
      </c>
      <c r="I5231">
        <v>1</v>
      </c>
      <c r="J5231">
        <v>0</v>
      </c>
      <c r="K5231">
        <v>0</v>
      </c>
      <c r="L5231">
        <v>0</v>
      </c>
      <c r="M5231">
        <v>1</v>
      </c>
      <c r="N5231">
        <v>1</v>
      </c>
      <c r="O5231">
        <v>0</v>
      </c>
      <c r="P5231">
        <v>1</v>
      </c>
      <c r="Q5231">
        <v>0</v>
      </c>
      <c r="R5231">
        <v>0</v>
      </c>
    </row>
    <row r="5232" spans="1:39" x14ac:dyDescent="0.2">
      <c r="A5232" t="str">
        <f>"5228"</f>
        <v>5228</v>
      </c>
      <c r="B5232" t="str">
        <f t="shared" si="288"/>
        <v>1</v>
      </c>
      <c r="C5232" t="str">
        <f t="shared" si="290"/>
        <v>105</v>
      </c>
      <c r="D5232" t="str">
        <f>"47"</f>
        <v>47</v>
      </c>
      <c r="E5232" t="str">
        <f>"1-105-47"</f>
        <v>1-105-47</v>
      </c>
      <c r="F5232" t="s">
        <v>65</v>
      </c>
      <c r="G5232" t="s">
        <v>66</v>
      </c>
      <c r="H5232" t="s">
        <v>68</v>
      </c>
      <c r="I5232">
        <v>1</v>
      </c>
      <c r="J5232">
        <v>0</v>
      </c>
      <c r="K5232">
        <v>1</v>
      </c>
      <c r="L5232">
        <v>0</v>
      </c>
      <c r="M5232">
        <v>1</v>
      </c>
      <c r="N5232">
        <v>1</v>
      </c>
      <c r="O5232">
        <v>1</v>
      </c>
      <c r="P5232">
        <v>1</v>
      </c>
      <c r="Q5232">
        <v>1</v>
      </c>
      <c r="R5232">
        <v>1</v>
      </c>
    </row>
    <row r="5233" spans="1:18" x14ac:dyDescent="0.2">
      <c r="A5233" t="str">
        <f>"5229"</f>
        <v>5229</v>
      </c>
      <c r="B5233" t="str">
        <f t="shared" si="288"/>
        <v>1</v>
      </c>
      <c r="C5233" t="str">
        <f t="shared" si="290"/>
        <v>105</v>
      </c>
      <c r="D5233" t="str">
        <f>"21"</f>
        <v>21</v>
      </c>
      <c r="E5233" t="str">
        <f>"1-105-21"</f>
        <v>1-105-21</v>
      </c>
      <c r="F5233" t="s">
        <v>65</v>
      </c>
      <c r="G5233" t="s">
        <v>66</v>
      </c>
      <c r="H5233" t="s">
        <v>68</v>
      </c>
      <c r="I5233">
        <v>1</v>
      </c>
      <c r="J5233">
        <v>0</v>
      </c>
      <c r="K5233">
        <v>0</v>
      </c>
      <c r="L5233">
        <v>1</v>
      </c>
      <c r="M5233">
        <v>1</v>
      </c>
      <c r="N5233">
        <v>0</v>
      </c>
      <c r="O5233">
        <v>0</v>
      </c>
      <c r="P5233">
        <v>0</v>
      </c>
      <c r="Q5233">
        <v>1</v>
      </c>
      <c r="R5233">
        <v>0</v>
      </c>
    </row>
    <row r="5234" spans="1:18" x14ac:dyDescent="0.2">
      <c r="A5234" t="str">
        <f>"5230"</f>
        <v>5230</v>
      </c>
      <c r="B5234" t="str">
        <f t="shared" si="288"/>
        <v>1</v>
      </c>
      <c r="C5234" t="str">
        <f t="shared" si="290"/>
        <v>105</v>
      </c>
      <c r="D5234" t="str">
        <f>"2"</f>
        <v>2</v>
      </c>
      <c r="E5234" t="str">
        <f>"1-105-2"</f>
        <v>1-105-2</v>
      </c>
      <c r="F5234" t="s">
        <v>65</v>
      </c>
      <c r="G5234" t="s">
        <v>66</v>
      </c>
      <c r="H5234" t="s">
        <v>68</v>
      </c>
      <c r="I5234">
        <v>1</v>
      </c>
      <c r="J5234">
        <v>0</v>
      </c>
      <c r="K5234">
        <v>0</v>
      </c>
      <c r="L5234">
        <v>1</v>
      </c>
      <c r="M5234">
        <v>1</v>
      </c>
      <c r="N5234">
        <v>1</v>
      </c>
      <c r="O5234">
        <v>1</v>
      </c>
      <c r="P5234">
        <v>1</v>
      </c>
      <c r="Q5234">
        <v>1</v>
      </c>
      <c r="R5234">
        <v>1</v>
      </c>
    </row>
    <row r="5235" spans="1:18" x14ac:dyDescent="0.2">
      <c r="A5235" t="str">
        <f>"5231"</f>
        <v>5231</v>
      </c>
      <c r="B5235" t="str">
        <f t="shared" si="288"/>
        <v>1</v>
      </c>
      <c r="C5235" t="str">
        <f t="shared" si="290"/>
        <v>105</v>
      </c>
      <c r="D5235" t="str">
        <f>"39"</f>
        <v>39</v>
      </c>
      <c r="E5235" t="str">
        <f>"1-105-39"</f>
        <v>1-105-39</v>
      </c>
      <c r="F5235" t="s">
        <v>65</v>
      </c>
      <c r="G5235" t="s">
        <v>66</v>
      </c>
      <c r="H5235" t="s">
        <v>68</v>
      </c>
      <c r="I5235">
        <v>1</v>
      </c>
      <c r="J5235">
        <v>0</v>
      </c>
      <c r="K5235">
        <v>1</v>
      </c>
      <c r="L5235">
        <v>0</v>
      </c>
      <c r="M5235">
        <v>1</v>
      </c>
      <c r="N5235">
        <v>1</v>
      </c>
      <c r="O5235">
        <v>1</v>
      </c>
      <c r="P5235">
        <v>1</v>
      </c>
      <c r="Q5235">
        <v>1</v>
      </c>
      <c r="R5235">
        <v>1</v>
      </c>
    </row>
    <row r="5236" spans="1:18" x14ac:dyDescent="0.2">
      <c r="A5236" t="str">
        <f>"5232"</f>
        <v>5232</v>
      </c>
      <c r="B5236" t="str">
        <f t="shared" si="288"/>
        <v>1</v>
      </c>
      <c r="C5236" t="str">
        <f t="shared" si="290"/>
        <v>105</v>
      </c>
      <c r="D5236" t="str">
        <f>"22"</f>
        <v>22</v>
      </c>
      <c r="E5236" t="str">
        <f>"1-105-22"</f>
        <v>1-105-22</v>
      </c>
      <c r="F5236" t="s">
        <v>65</v>
      </c>
      <c r="G5236" t="s">
        <v>66</v>
      </c>
      <c r="H5236" t="s">
        <v>68</v>
      </c>
      <c r="I5236">
        <v>1</v>
      </c>
      <c r="J5236">
        <v>1</v>
      </c>
      <c r="K5236">
        <v>0</v>
      </c>
      <c r="L5236">
        <v>0</v>
      </c>
      <c r="M5236">
        <v>1</v>
      </c>
      <c r="N5236">
        <v>1</v>
      </c>
      <c r="O5236">
        <v>1</v>
      </c>
      <c r="P5236">
        <v>1</v>
      </c>
      <c r="Q5236">
        <v>1</v>
      </c>
      <c r="R5236">
        <v>1</v>
      </c>
    </row>
    <row r="5237" spans="1:18" x14ac:dyDescent="0.2">
      <c r="A5237" t="str">
        <f>"5233"</f>
        <v>5233</v>
      </c>
      <c r="B5237" t="str">
        <f t="shared" si="288"/>
        <v>1</v>
      </c>
      <c r="C5237" t="str">
        <f t="shared" ref="C5237:C5254" si="291">"105"</f>
        <v>105</v>
      </c>
      <c r="D5237" t="str">
        <f>"12"</f>
        <v>12</v>
      </c>
      <c r="E5237" t="str">
        <f>"1-105-12"</f>
        <v>1-105-12</v>
      </c>
      <c r="F5237" t="s">
        <v>65</v>
      </c>
      <c r="G5237" t="s">
        <v>66</v>
      </c>
      <c r="H5237" t="s">
        <v>68</v>
      </c>
      <c r="I5237">
        <v>1</v>
      </c>
      <c r="J5237">
        <v>1</v>
      </c>
      <c r="K5237">
        <v>0</v>
      </c>
      <c r="L5237">
        <v>0</v>
      </c>
      <c r="M5237">
        <v>1</v>
      </c>
      <c r="N5237">
        <v>1</v>
      </c>
      <c r="O5237">
        <v>1</v>
      </c>
      <c r="P5237">
        <v>1</v>
      </c>
      <c r="Q5237">
        <v>1</v>
      </c>
      <c r="R5237">
        <v>1</v>
      </c>
    </row>
    <row r="5238" spans="1:18" x14ac:dyDescent="0.2">
      <c r="A5238" t="str">
        <f>"5234"</f>
        <v>5234</v>
      </c>
      <c r="B5238" t="str">
        <f t="shared" si="288"/>
        <v>1</v>
      </c>
      <c r="C5238" t="str">
        <f t="shared" si="291"/>
        <v>105</v>
      </c>
      <c r="D5238" t="str">
        <f>"46"</f>
        <v>46</v>
      </c>
      <c r="E5238" t="str">
        <f>"1-105-46"</f>
        <v>1-105-46</v>
      </c>
      <c r="F5238" t="s">
        <v>65</v>
      </c>
      <c r="G5238" t="s">
        <v>66</v>
      </c>
      <c r="H5238" t="s">
        <v>68</v>
      </c>
      <c r="I5238">
        <v>1</v>
      </c>
      <c r="J5238">
        <v>0</v>
      </c>
      <c r="K5238">
        <v>0</v>
      </c>
      <c r="L5238">
        <v>1</v>
      </c>
      <c r="M5238">
        <v>1</v>
      </c>
      <c r="N5238">
        <v>1</v>
      </c>
      <c r="O5238">
        <v>1</v>
      </c>
      <c r="P5238">
        <v>1</v>
      </c>
      <c r="Q5238">
        <v>1</v>
      </c>
      <c r="R5238">
        <v>1</v>
      </c>
    </row>
    <row r="5239" spans="1:18" x14ac:dyDescent="0.2">
      <c r="A5239" t="str">
        <f>"5235"</f>
        <v>5235</v>
      </c>
      <c r="B5239" t="str">
        <f t="shared" ref="B5239:B5302" si="292">"1"</f>
        <v>1</v>
      </c>
      <c r="C5239" t="str">
        <f t="shared" si="291"/>
        <v>105</v>
      </c>
      <c r="D5239" t="str">
        <f>"23"</f>
        <v>23</v>
      </c>
      <c r="E5239" t="str">
        <f>"1-105-23"</f>
        <v>1-105-23</v>
      </c>
      <c r="F5239" t="s">
        <v>65</v>
      </c>
      <c r="G5239" t="s">
        <v>66</v>
      </c>
      <c r="H5239" t="s">
        <v>68</v>
      </c>
      <c r="I5239">
        <v>1</v>
      </c>
      <c r="J5239">
        <v>1</v>
      </c>
      <c r="K5239">
        <v>0</v>
      </c>
      <c r="L5239">
        <v>0</v>
      </c>
      <c r="M5239">
        <v>1</v>
      </c>
      <c r="N5239">
        <v>1</v>
      </c>
      <c r="O5239">
        <v>1</v>
      </c>
      <c r="P5239">
        <v>1</v>
      </c>
      <c r="Q5239">
        <v>1</v>
      </c>
      <c r="R5239">
        <v>1</v>
      </c>
    </row>
    <row r="5240" spans="1:18" x14ac:dyDescent="0.2">
      <c r="A5240" t="str">
        <f>"5236"</f>
        <v>5236</v>
      </c>
      <c r="B5240" t="str">
        <f t="shared" si="292"/>
        <v>1</v>
      </c>
      <c r="C5240" t="str">
        <f t="shared" si="291"/>
        <v>105</v>
      </c>
      <c r="D5240" t="str">
        <f>"9"</f>
        <v>9</v>
      </c>
      <c r="E5240" t="str">
        <f>"1-105-9"</f>
        <v>1-105-9</v>
      </c>
      <c r="F5240" t="s">
        <v>65</v>
      </c>
      <c r="G5240" t="s">
        <v>66</v>
      </c>
      <c r="H5240" t="s">
        <v>68</v>
      </c>
      <c r="I5240">
        <v>1</v>
      </c>
      <c r="J5240">
        <v>1</v>
      </c>
      <c r="K5240">
        <v>0</v>
      </c>
      <c r="L5240">
        <v>0</v>
      </c>
      <c r="M5240">
        <v>1</v>
      </c>
      <c r="N5240">
        <v>1</v>
      </c>
      <c r="O5240">
        <v>1</v>
      </c>
      <c r="P5240">
        <v>1</v>
      </c>
      <c r="Q5240">
        <v>1</v>
      </c>
      <c r="R5240">
        <v>1</v>
      </c>
    </row>
    <row r="5241" spans="1:18" x14ac:dyDescent="0.2">
      <c r="A5241" t="str">
        <f>"5237"</f>
        <v>5237</v>
      </c>
      <c r="B5241" t="str">
        <f t="shared" si="292"/>
        <v>1</v>
      </c>
      <c r="C5241" t="str">
        <f t="shared" si="291"/>
        <v>105</v>
      </c>
      <c r="D5241" t="str">
        <f>"43"</f>
        <v>43</v>
      </c>
      <c r="E5241" t="str">
        <f>"1-105-43"</f>
        <v>1-105-43</v>
      </c>
      <c r="F5241" t="s">
        <v>65</v>
      </c>
      <c r="G5241" t="s">
        <v>66</v>
      </c>
      <c r="H5241" t="s">
        <v>68</v>
      </c>
      <c r="I5241">
        <v>1</v>
      </c>
      <c r="J5241">
        <v>0</v>
      </c>
      <c r="K5241">
        <v>0</v>
      </c>
      <c r="L5241">
        <v>1</v>
      </c>
      <c r="M5241">
        <v>1</v>
      </c>
      <c r="N5241">
        <v>1</v>
      </c>
      <c r="O5241">
        <v>0</v>
      </c>
      <c r="P5241">
        <v>1</v>
      </c>
      <c r="Q5241">
        <v>0</v>
      </c>
      <c r="R5241">
        <v>0</v>
      </c>
    </row>
    <row r="5242" spans="1:18" x14ac:dyDescent="0.2">
      <c r="A5242" t="str">
        <f>"5238"</f>
        <v>5238</v>
      </c>
      <c r="B5242" t="str">
        <f t="shared" si="292"/>
        <v>1</v>
      </c>
      <c r="C5242" t="str">
        <f t="shared" si="291"/>
        <v>105</v>
      </c>
      <c r="D5242" t="str">
        <f>"25"</f>
        <v>25</v>
      </c>
      <c r="E5242" t="str">
        <f>"1-105-25"</f>
        <v>1-105-25</v>
      </c>
      <c r="F5242" t="s">
        <v>65</v>
      </c>
      <c r="G5242" t="s">
        <v>66</v>
      </c>
      <c r="H5242" t="s">
        <v>68</v>
      </c>
      <c r="I5242">
        <v>1</v>
      </c>
      <c r="J5242">
        <v>1</v>
      </c>
      <c r="K5242">
        <v>0</v>
      </c>
      <c r="L5242">
        <v>0</v>
      </c>
      <c r="M5242">
        <v>1</v>
      </c>
      <c r="N5242">
        <v>1</v>
      </c>
      <c r="O5242">
        <v>0</v>
      </c>
      <c r="P5242">
        <v>1</v>
      </c>
      <c r="Q5242">
        <v>1</v>
      </c>
      <c r="R5242">
        <v>1</v>
      </c>
    </row>
    <row r="5243" spans="1:18" x14ac:dyDescent="0.2">
      <c r="A5243" t="str">
        <f>"5239"</f>
        <v>5239</v>
      </c>
      <c r="B5243" t="str">
        <f t="shared" si="292"/>
        <v>1</v>
      </c>
      <c r="C5243" t="str">
        <f t="shared" si="291"/>
        <v>105</v>
      </c>
      <c r="D5243" t="str">
        <f>"5"</f>
        <v>5</v>
      </c>
      <c r="E5243" t="str">
        <f>"1-105-5"</f>
        <v>1-105-5</v>
      </c>
      <c r="F5243" t="s">
        <v>65</v>
      </c>
      <c r="G5243" t="s">
        <v>66</v>
      </c>
      <c r="H5243" t="s">
        <v>68</v>
      </c>
      <c r="I5243">
        <v>1</v>
      </c>
      <c r="J5243">
        <v>0</v>
      </c>
      <c r="K5243">
        <v>0</v>
      </c>
      <c r="L5243">
        <v>0</v>
      </c>
      <c r="M5243">
        <v>1</v>
      </c>
      <c r="N5243">
        <v>1</v>
      </c>
      <c r="O5243">
        <v>1</v>
      </c>
      <c r="P5243">
        <v>1</v>
      </c>
      <c r="Q5243">
        <v>1</v>
      </c>
      <c r="R5243">
        <v>1</v>
      </c>
    </row>
    <row r="5244" spans="1:18" x14ac:dyDescent="0.2">
      <c r="A5244" t="str">
        <f>"5240"</f>
        <v>5240</v>
      </c>
      <c r="B5244" t="str">
        <f t="shared" si="292"/>
        <v>1</v>
      </c>
      <c r="C5244" t="str">
        <f t="shared" si="291"/>
        <v>105</v>
      </c>
      <c r="D5244" t="str">
        <f>"42"</f>
        <v>42</v>
      </c>
      <c r="E5244" t="str">
        <f>"1-105-42"</f>
        <v>1-105-42</v>
      </c>
      <c r="F5244" t="s">
        <v>65</v>
      </c>
      <c r="G5244" t="s">
        <v>66</v>
      </c>
      <c r="H5244" t="s">
        <v>68</v>
      </c>
      <c r="I5244">
        <v>1</v>
      </c>
      <c r="J5244">
        <v>1</v>
      </c>
      <c r="K5244">
        <v>0</v>
      </c>
      <c r="L5244">
        <v>0</v>
      </c>
      <c r="M5244">
        <v>1</v>
      </c>
      <c r="N5244">
        <v>1</v>
      </c>
      <c r="O5244">
        <v>1</v>
      </c>
      <c r="P5244">
        <v>1</v>
      </c>
      <c r="Q5244">
        <v>1</v>
      </c>
      <c r="R5244">
        <v>1</v>
      </c>
    </row>
    <row r="5245" spans="1:18" x14ac:dyDescent="0.2">
      <c r="A5245" t="str">
        <f>"5241"</f>
        <v>5241</v>
      </c>
      <c r="B5245" t="str">
        <f t="shared" si="292"/>
        <v>1</v>
      </c>
      <c r="C5245" t="str">
        <f t="shared" si="291"/>
        <v>105</v>
      </c>
      <c r="D5245" t="str">
        <f>"26"</f>
        <v>26</v>
      </c>
      <c r="E5245" t="str">
        <f>"1-105-26"</f>
        <v>1-105-26</v>
      </c>
      <c r="F5245" t="s">
        <v>65</v>
      </c>
      <c r="G5245" t="s">
        <v>66</v>
      </c>
      <c r="H5245" t="s">
        <v>68</v>
      </c>
      <c r="I5245">
        <v>1</v>
      </c>
      <c r="J5245">
        <v>0</v>
      </c>
      <c r="K5245">
        <v>0</v>
      </c>
      <c r="L5245">
        <v>1</v>
      </c>
      <c r="M5245">
        <v>1</v>
      </c>
      <c r="N5245">
        <v>1</v>
      </c>
      <c r="O5245">
        <v>1</v>
      </c>
      <c r="P5245">
        <v>1</v>
      </c>
      <c r="Q5245">
        <v>1</v>
      </c>
      <c r="R5245">
        <v>1</v>
      </c>
    </row>
    <row r="5246" spans="1:18" x14ac:dyDescent="0.2">
      <c r="A5246" t="str">
        <f>"5242"</f>
        <v>5242</v>
      </c>
      <c r="B5246" t="str">
        <f t="shared" si="292"/>
        <v>1</v>
      </c>
      <c r="C5246" t="str">
        <f t="shared" si="291"/>
        <v>105</v>
      </c>
      <c r="D5246" t="str">
        <f>"7"</f>
        <v>7</v>
      </c>
      <c r="E5246" t="str">
        <f>"1-105-7"</f>
        <v>1-105-7</v>
      </c>
      <c r="F5246" t="s">
        <v>65</v>
      </c>
      <c r="G5246" t="s">
        <v>66</v>
      </c>
      <c r="H5246" t="s">
        <v>68</v>
      </c>
      <c r="I5246">
        <v>1</v>
      </c>
      <c r="J5246">
        <v>0</v>
      </c>
      <c r="K5246">
        <v>0</v>
      </c>
      <c r="L5246">
        <v>0</v>
      </c>
      <c r="M5246">
        <v>1</v>
      </c>
      <c r="N5246">
        <v>1</v>
      </c>
      <c r="O5246">
        <v>1</v>
      </c>
      <c r="P5246">
        <v>1</v>
      </c>
      <c r="Q5246">
        <v>1</v>
      </c>
      <c r="R5246">
        <v>1</v>
      </c>
    </row>
    <row r="5247" spans="1:18" x14ac:dyDescent="0.2">
      <c r="A5247" t="str">
        <f>"5243"</f>
        <v>5243</v>
      </c>
      <c r="B5247" t="str">
        <f t="shared" si="292"/>
        <v>1</v>
      </c>
      <c r="C5247" t="str">
        <f t="shared" si="291"/>
        <v>105</v>
      </c>
      <c r="D5247" t="str">
        <f>"28"</f>
        <v>28</v>
      </c>
      <c r="E5247" t="str">
        <f>"1-105-28"</f>
        <v>1-105-28</v>
      </c>
      <c r="F5247" t="s">
        <v>65</v>
      </c>
      <c r="G5247" t="s">
        <v>66</v>
      </c>
      <c r="H5247" t="s">
        <v>68</v>
      </c>
      <c r="I5247">
        <v>1</v>
      </c>
      <c r="J5247">
        <v>0</v>
      </c>
      <c r="K5247">
        <v>0</v>
      </c>
      <c r="L5247">
        <v>0</v>
      </c>
      <c r="M5247">
        <v>1</v>
      </c>
      <c r="N5247">
        <v>1</v>
      </c>
      <c r="O5247">
        <v>1</v>
      </c>
      <c r="P5247">
        <v>1</v>
      </c>
      <c r="Q5247">
        <v>1</v>
      </c>
      <c r="R5247">
        <v>1</v>
      </c>
    </row>
    <row r="5248" spans="1:18" x14ac:dyDescent="0.2">
      <c r="A5248" t="str">
        <f>"5244"</f>
        <v>5244</v>
      </c>
      <c r="B5248" t="str">
        <f t="shared" si="292"/>
        <v>1</v>
      </c>
      <c r="C5248" t="str">
        <f t="shared" si="291"/>
        <v>105</v>
      </c>
      <c r="D5248" t="str">
        <f>"10"</f>
        <v>10</v>
      </c>
      <c r="E5248" t="str">
        <f>"1-105-10"</f>
        <v>1-105-10</v>
      </c>
      <c r="F5248" t="s">
        <v>65</v>
      </c>
      <c r="G5248" t="s">
        <v>66</v>
      </c>
      <c r="H5248" t="s">
        <v>68</v>
      </c>
      <c r="I5248">
        <v>1</v>
      </c>
      <c r="J5248">
        <v>1</v>
      </c>
      <c r="K5248">
        <v>0</v>
      </c>
      <c r="L5248">
        <v>0</v>
      </c>
      <c r="M5248">
        <v>1</v>
      </c>
      <c r="N5248">
        <v>1</v>
      </c>
      <c r="O5248">
        <v>0</v>
      </c>
      <c r="P5248">
        <v>1</v>
      </c>
      <c r="Q5248">
        <v>1</v>
      </c>
      <c r="R5248">
        <v>1</v>
      </c>
    </row>
    <row r="5249" spans="1:18" x14ac:dyDescent="0.2">
      <c r="A5249" t="str">
        <f>"5245"</f>
        <v>5245</v>
      </c>
      <c r="B5249" t="str">
        <f t="shared" si="292"/>
        <v>1</v>
      </c>
      <c r="C5249" t="str">
        <f t="shared" si="291"/>
        <v>105</v>
      </c>
      <c r="D5249" t="str">
        <f>"48"</f>
        <v>48</v>
      </c>
      <c r="E5249" t="str">
        <f>"1-105-48"</f>
        <v>1-105-48</v>
      </c>
      <c r="F5249" t="s">
        <v>65</v>
      </c>
      <c r="G5249" t="s">
        <v>66</v>
      </c>
      <c r="H5249" t="s">
        <v>68</v>
      </c>
      <c r="I5249">
        <v>1</v>
      </c>
      <c r="J5249">
        <v>1</v>
      </c>
      <c r="K5249">
        <v>0</v>
      </c>
      <c r="L5249">
        <v>0</v>
      </c>
      <c r="M5249">
        <v>1</v>
      </c>
      <c r="N5249">
        <v>1</v>
      </c>
      <c r="O5249">
        <v>1</v>
      </c>
      <c r="P5249">
        <v>1</v>
      </c>
      <c r="Q5249">
        <v>1</v>
      </c>
      <c r="R5249">
        <v>1</v>
      </c>
    </row>
    <row r="5250" spans="1:18" x14ac:dyDescent="0.2">
      <c r="A5250" t="str">
        <f>"5246"</f>
        <v>5246</v>
      </c>
      <c r="B5250" t="str">
        <f t="shared" si="292"/>
        <v>1</v>
      </c>
      <c r="C5250" t="str">
        <f t="shared" si="291"/>
        <v>105</v>
      </c>
      <c r="D5250" t="str">
        <f>"29"</f>
        <v>29</v>
      </c>
      <c r="E5250" t="str">
        <f>"1-105-29"</f>
        <v>1-105-29</v>
      </c>
      <c r="F5250" t="s">
        <v>65</v>
      </c>
      <c r="G5250" t="s">
        <v>66</v>
      </c>
      <c r="H5250" t="s">
        <v>68</v>
      </c>
      <c r="I5250">
        <v>1</v>
      </c>
      <c r="J5250">
        <v>0</v>
      </c>
      <c r="K5250">
        <v>1</v>
      </c>
      <c r="L5250">
        <v>0</v>
      </c>
      <c r="M5250">
        <v>1</v>
      </c>
      <c r="N5250">
        <v>1</v>
      </c>
      <c r="O5250">
        <v>1</v>
      </c>
      <c r="P5250">
        <v>1</v>
      </c>
      <c r="Q5250">
        <v>1</v>
      </c>
      <c r="R5250">
        <v>1</v>
      </c>
    </row>
    <row r="5251" spans="1:18" x14ac:dyDescent="0.2">
      <c r="A5251" t="str">
        <f>"5247"</f>
        <v>5247</v>
      </c>
      <c r="B5251" t="str">
        <f t="shared" si="292"/>
        <v>1</v>
      </c>
      <c r="C5251" t="str">
        <f t="shared" si="291"/>
        <v>105</v>
      </c>
      <c r="D5251" t="str">
        <f>"3"</f>
        <v>3</v>
      </c>
      <c r="E5251" t="str">
        <f>"1-105-3"</f>
        <v>1-105-3</v>
      </c>
      <c r="F5251" t="s">
        <v>65</v>
      </c>
      <c r="G5251" t="s">
        <v>66</v>
      </c>
      <c r="H5251" t="s">
        <v>68</v>
      </c>
      <c r="I5251">
        <v>1</v>
      </c>
      <c r="J5251">
        <v>1</v>
      </c>
      <c r="K5251">
        <v>0</v>
      </c>
      <c r="L5251">
        <v>0</v>
      </c>
      <c r="M5251">
        <v>1</v>
      </c>
      <c r="N5251">
        <v>1</v>
      </c>
      <c r="O5251">
        <v>1</v>
      </c>
      <c r="P5251">
        <v>1</v>
      </c>
      <c r="Q5251">
        <v>1</v>
      </c>
      <c r="R5251">
        <v>1</v>
      </c>
    </row>
    <row r="5252" spans="1:18" x14ac:dyDescent="0.2">
      <c r="A5252" t="str">
        <f>"5248"</f>
        <v>5248</v>
      </c>
      <c r="B5252" t="str">
        <f t="shared" si="292"/>
        <v>1</v>
      </c>
      <c r="C5252" t="str">
        <f t="shared" si="291"/>
        <v>105</v>
      </c>
      <c r="D5252" t="str">
        <f>"49"</f>
        <v>49</v>
      </c>
      <c r="E5252" t="str">
        <f>"1-105-49"</f>
        <v>1-105-49</v>
      </c>
      <c r="F5252" t="s">
        <v>65</v>
      </c>
      <c r="G5252" t="s">
        <v>66</v>
      </c>
      <c r="H5252" t="s">
        <v>68</v>
      </c>
      <c r="I5252">
        <v>1</v>
      </c>
      <c r="J5252">
        <v>0</v>
      </c>
      <c r="K5252">
        <v>1</v>
      </c>
      <c r="L5252">
        <v>0</v>
      </c>
      <c r="M5252">
        <v>1</v>
      </c>
      <c r="N5252">
        <v>1</v>
      </c>
      <c r="O5252">
        <v>1</v>
      </c>
      <c r="P5252">
        <v>1</v>
      </c>
      <c r="Q5252">
        <v>1</v>
      </c>
      <c r="R5252">
        <v>1</v>
      </c>
    </row>
    <row r="5253" spans="1:18" x14ac:dyDescent="0.2">
      <c r="A5253" t="str">
        <f>"5249"</f>
        <v>5249</v>
      </c>
      <c r="B5253" t="str">
        <f t="shared" si="292"/>
        <v>1</v>
      </c>
      <c r="C5253" t="str">
        <f t="shared" si="291"/>
        <v>105</v>
      </c>
      <c r="D5253" t="str">
        <f>"30"</f>
        <v>30</v>
      </c>
      <c r="E5253" t="str">
        <f>"1-105-30"</f>
        <v>1-105-30</v>
      </c>
      <c r="F5253" t="s">
        <v>65</v>
      </c>
      <c r="G5253" t="s">
        <v>66</v>
      </c>
      <c r="H5253" t="s">
        <v>68</v>
      </c>
      <c r="I5253">
        <v>1</v>
      </c>
      <c r="J5253">
        <v>1</v>
      </c>
      <c r="K5253">
        <v>0</v>
      </c>
      <c r="L5253">
        <v>0</v>
      </c>
      <c r="M5253">
        <v>1</v>
      </c>
      <c r="N5253">
        <v>1</v>
      </c>
      <c r="O5253">
        <v>1</v>
      </c>
      <c r="P5253">
        <v>1</v>
      </c>
      <c r="Q5253">
        <v>1</v>
      </c>
      <c r="R5253">
        <v>1</v>
      </c>
    </row>
    <row r="5254" spans="1:18" x14ac:dyDescent="0.2">
      <c r="A5254" t="str">
        <f>"5250"</f>
        <v>5250</v>
      </c>
      <c r="B5254" t="str">
        <f t="shared" si="292"/>
        <v>1</v>
      </c>
      <c r="C5254" t="str">
        <f t="shared" si="291"/>
        <v>105</v>
      </c>
      <c r="D5254" t="str">
        <f>"11"</f>
        <v>11</v>
      </c>
      <c r="E5254" t="str">
        <f>"1-105-11"</f>
        <v>1-105-11</v>
      </c>
      <c r="F5254" t="s">
        <v>65</v>
      </c>
      <c r="G5254" t="s">
        <v>66</v>
      </c>
      <c r="H5254" t="s">
        <v>68</v>
      </c>
      <c r="I5254">
        <v>1</v>
      </c>
      <c r="J5254">
        <v>0</v>
      </c>
      <c r="K5254">
        <v>1</v>
      </c>
      <c r="L5254">
        <v>0</v>
      </c>
      <c r="M5254">
        <v>1</v>
      </c>
      <c r="N5254">
        <v>0</v>
      </c>
      <c r="O5254">
        <v>0</v>
      </c>
      <c r="P5254">
        <v>0</v>
      </c>
      <c r="Q5254">
        <v>0</v>
      </c>
      <c r="R5254">
        <v>0</v>
      </c>
    </row>
    <row r="5255" spans="1:18" x14ac:dyDescent="0.2">
      <c r="A5255" t="str">
        <f>"5251"</f>
        <v>5251</v>
      </c>
      <c r="B5255" t="str">
        <f t="shared" si="292"/>
        <v>1</v>
      </c>
      <c r="C5255" t="str">
        <f t="shared" ref="C5255:C5286" si="293">"106"</f>
        <v>106</v>
      </c>
      <c r="D5255" t="str">
        <f>"50"</f>
        <v>50</v>
      </c>
      <c r="E5255" t="str">
        <f>"1-106-50"</f>
        <v>1-106-50</v>
      </c>
      <c r="F5255" t="s">
        <v>65</v>
      </c>
      <c r="G5255" t="s">
        <v>66</v>
      </c>
      <c r="H5255" t="s">
        <v>68</v>
      </c>
      <c r="I5255">
        <v>0</v>
      </c>
      <c r="J5255">
        <v>0</v>
      </c>
      <c r="K5255">
        <v>0</v>
      </c>
      <c r="L5255">
        <v>0</v>
      </c>
      <c r="M5255">
        <v>1</v>
      </c>
      <c r="N5255">
        <v>0</v>
      </c>
      <c r="O5255">
        <v>0</v>
      </c>
      <c r="P5255">
        <v>0</v>
      </c>
      <c r="Q5255">
        <v>0</v>
      </c>
      <c r="R5255">
        <v>0</v>
      </c>
    </row>
    <row r="5256" spans="1:18" x14ac:dyDescent="0.2">
      <c r="A5256" t="str">
        <f>"5252"</f>
        <v>5252</v>
      </c>
      <c r="B5256" t="str">
        <f t="shared" si="292"/>
        <v>1</v>
      </c>
      <c r="C5256" t="str">
        <f t="shared" si="293"/>
        <v>106</v>
      </c>
      <c r="D5256" t="str">
        <f>"41"</f>
        <v>41</v>
      </c>
      <c r="E5256" t="str">
        <f>"1-106-41"</f>
        <v>1-106-41</v>
      </c>
      <c r="F5256" t="s">
        <v>65</v>
      </c>
      <c r="G5256" t="s">
        <v>66</v>
      </c>
      <c r="H5256" t="s">
        <v>68</v>
      </c>
      <c r="I5256">
        <v>1</v>
      </c>
      <c r="J5256">
        <v>1</v>
      </c>
      <c r="K5256">
        <v>0</v>
      </c>
      <c r="L5256">
        <v>0</v>
      </c>
      <c r="M5256">
        <v>1</v>
      </c>
      <c r="N5256">
        <v>1</v>
      </c>
      <c r="O5256">
        <v>1</v>
      </c>
      <c r="P5256">
        <v>1</v>
      </c>
      <c r="Q5256">
        <v>1</v>
      </c>
      <c r="R5256">
        <v>1</v>
      </c>
    </row>
    <row r="5257" spans="1:18" x14ac:dyDescent="0.2">
      <c r="A5257" t="str">
        <f>"5253"</f>
        <v>5253</v>
      </c>
      <c r="B5257" t="str">
        <f t="shared" si="292"/>
        <v>1</v>
      </c>
      <c r="C5257" t="str">
        <f t="shared" si="293"/>
        <v>106</v>
      </c>
      <c r="D5257" t="str">
        <f>"40"</f>
        <v>40</v>
      </c>
      <c r="E5257" t="str">
        <f>"1-106-40"</f>
        <v>1-106-40</v>
      </c>
      <c r="F5257" t="s">
        <v>65</v>
      </c>
      <c r="G5257" t="s">
        <v>66</v>
      </c>
      <c r="H5257" t="s">
        <v>68</v>
      </c>
      <c r="I5257">
        <v>1</v>
      </c>
      <c r="J5257">
        <v>0</v>
      </c>
      <c r="K5257">
        <v>0</v>
      </c>
      <c r="L5257">
        <v>1</v>
      </c>
      <c r="M5257">
        <v>1</v>
      </c>
      <c r="N5257">
        <v>1</v>
      </c>
      <c r="O5257">
        <v>1</v>
      </c>
      <c r="P5257">
        <v>1</v>
      </c>
      <c r="Q5257">
        <v>1</v>
      </c>
      <c r="R5257">
        <v>1</v>
      </c>
    </row>
    <row r="5258" spans="1:18" x14ac:dyDescent="0.2">
      <c r="A5258" t="str">
        <f>"5254"</f>
        <v>5254</v>
      </c>
      <c r="B5258" t="str">
        <f t="shared" si="292"/>
        <v>1</v>
      </c>
      <c r="C5258" t="str">
        <f t="shared" si="293"/>
        <v>106</v>
      </c>
      <c r="D5258" t="str">
        <f>"33"</f>
        <v>33</v>
      </c>
      <c r="E5258" t="str">
        <f>"1-106-33"</f>
        <v>1-106-33</v>
      </c>
      <c r="F5258" t="s">
        <v>65</v>
      </c>
      <c r="G5258" t="s">
        <v>66</v>
      </c>
      <c r="H5258" t="s">
        <v>68</v>
      </c>
      <c r="I5258">
        <v>1</v>
      </c>
      <c r="J5258">
        <v>0</v>
      </c>
      <c r="K5258">
        <v>0</v>
      </c>
      <c r="L5258">
        <v>1</v>
      </c>
      <c r="M5258">
        <v>1</v>
      </c>
      <c r="N5258">
        <v>1</v>
      </c>
      <c r="O5258">
        <v>1</v>
      </c>
      <c r="P5258">
        <v>1</v>
      </c>
      <c r="Q5258">
        <v>1</v>
      </c>
      <c r="R5258">
        <v>1</v>
      </c>
    </row>
    <row r="5259" spans="1:18" x14ac:dyDescent="0.2">
      <c r="A5259" t="str">
        <f>"5255"</f>
        <v>5255</v>
      </c>
      <c r="B5259" t="str">
        <f t="shared" si="292"/>
        <v>1</v>
      </c>
      <c r="C5259" t="str">
        <f t="shared" si="293"/>
        <v>106</v>
      </c>
      <c r="D5259" t="str">
        <f>"32"</f>
        <v>32</v>
      </c>
      <c r="E5259" t="str">
        <f>"1-106-32"</f>
        <v>1-106-32</v>
      </c>
      <c r="F5259" t="s">
        <v>65</v>
      </c>
      <c r="G5259" t="s">
        <v>66</v>
      </c>
      <c r="H5259" t="s">
        <v>68</v>
      </c>
      <c r="I5259">
        <v>1</v>
      </c>
      <c r="J5259">
        <v>0</v>
      </c>
      <c r="K5259">
        <v>0</v>
      </c>
      <c r="L5259">
        <v>1</v>
      </c>
      <c r="M5259">
        <v>1</v>
      </c>
      <c r="N5259">
        <v>1</v>
      </c>
      <c r="O5259">
        <v>1</v>
      </c>
      <c r="P5259">
        <v>1</v>
      </c>
      <c r="Q5259">
        <v>1</v>
      </c>
      <c r="R5259">
        <v>1</v>
      </c>
    </row>
    <row r="5260" spans="1:18" x14ac:dyDescent="0.2">
      <c r="A5260" t="str">
        <f>"5256"</f>
        <v>5256</v>
      </c>
      <c r="B5260" t="str">
        <f t="shared" si="292"/>
        <v>1</v>
      </c>
      <c r="C5260" t="str">
        <f t="shared" si="293"/>
        <v>106</v>
      </c>
      <c r="D5260" t="str">
        <f>"19"</f>
        <v>19</v>
      </c>
      <c r="E5260" t="str">
        <f>"1-106-19"</f>
        <v>1-106-19</v>
      </c>
      <c r="F5260" t="s">
        <v>65</v>
      </c>
      <c r="G5260" t="s">
        <v>66</v>
      </c>
      <c r="H5260" t="s">
        <v>68</v>
      </c>
      <c r="I5260">
        <v>1</v>
      </c>
      <c r="J5260">
        <v>1</v>
      </c>
      <c r="K5260">
        <v>0</v>
      </c>
      <c r="L5260">
        <v>0</v>
      </c>
      <c r="M5260">
        <v>1</v>
      </c>
      <c r="N5260">
        <v>1</v>
      </c>
      <c r="O5260">
        <v>1</v>
      </c>
      <c r="P5260">
        <v>1</v>
      </c>
      <c r="Q5260">
        <v>1</v>
      </c>
      <c r="R5260">
        <v>1</v>
      </c>
    </row>
    <row r="5261" spans="1:18" x14ac:dyDescent="0.2">
      <c r="A5261" t="str">
        <f>"5257"</f>
        <v>5257</v>
      </c>
      <c r="B5261" t="str">
        <f t="shared" si="292"/>
        <v>1</v>
      </c>
      <c r="C5261" t="str">
        <f t="shared" si="293"/>
        <v>106</v>
      </c>
      <c r="D5261" t="str">
        <f>"18"</f>
        <v>18</v>
      </c>
      <c r="E5261" t="str">
        <f>"1-106-18"</f>
        <v>1-106-18</v>
      </c>
      <c r="F5261" t="s">
        <v>65</v>
      </c>
      <c r="G5261" t="s">
        <v>66</v>
      </c>
      <c r="H5261" t="s">
        <v>68</v>
      </c>
      <c r="I5261">
        <v>1</v>
      </c>
      <c r="J5261">
        <v>1</v>
      </c>
      <c r="K5261">
        <v>0</v>
      </c>
      <c r="L5261">
        <v>0</v>
      </c>
      <c r="M5261">
        <v>1</v>
      </c>
      <c r="N5261">
        <v>1</v>
      </c>
      <c r="O5261">
        <v>1</v>
      </c>
      <c r="P5261">
        <v>1</v>
      </c>
      <c r="Q5261">
        <v>1</v>
      </c>
      <c r="R5261">
        <v>1</v>
      </c>
    </row>
    <row r="5262" spans="1:18" x14ac:dyDescent="0.2">
      <c r="A5262" t="str">
        <f>"5258"</f>
        <v>5258</v>
      </c>
      <c r="B5262" t="str">
        <f t="shared" si="292"/>
        <v>1</v>
      </c>
      <c r="C5262" t="str">
        <f t="shared" si="293"/>
        <v>106</v>
      </c>
      <c r="D5262" t="str">
        <f>"17"</f>
        <v>17</v>
      </c>
      <c r="E5262" t="str">
        <f>"1-106-17"</f>
        <v>1-106-17</v>
      </c>
      <c r="F5262" t="s">
        <v>65</v>
      </c>
      <c r="G5262" t="s">
        <v>66</v>
      </c>
      <c r="H5262" t="s">
        <v>68</v>
      </c>
      <c r="I5262">
        <v>0</v>
      </c>
      <c r="J5262">
        <v>0</v>
      </c>
      <c r="K5262">
        <v>0</v>
      </c>
      <c r="L5262">
        <v>1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</row>
    <row r="5263" spans="1:18" x14ac:dyDescent="0.2">
      <c r="A5263" t="str">
        <f>"5259"</f>
        <v>5259</v>
      </c>
      <c r="B5263" t="str">
        <f t="shared" si="292"/>
        <v>1</v>
      </c>
      <c r="C5263" t="str">
        <f t="shared" si="293"/>
        <v>106</v>
      </c>
      <c r="D5263" t="str">
        <f>"15"</f>
        <v>15</v>
      </c>
      <c r="E5263" t="str">
        <f>"1-106-15"</f>
        <v>1-106-15</v>
      </c>
      <c r="F5263" t="s">
        <v>65</v>
      </c>
      <c r="G5263" t="s">
        <v>66</v>
      </c>
      <c r="H5263" t="s">
        <v>68</v>
      </c>
      <c r="I5263">
        <v>1</v>
      </c>
      <c r="J5263">
        <v>0</v>
      </c>
      <c r="K5263">
        <v>0</v>
      </c>
      <c r="L5263">
        <v>1</v>
      </c>
      <c r="M5263">
        <v>1</v>
      </c>
      <c r="N5263">
        <v>1</v>
      </c>
      <c r="O5263">
        <v>1</v>
      </c>
      <c r="P5263">
        <v>1</v>
      </c>
      <c r="Q5263">
        <v>1</v>
      </c>
      <c r="R5263">
        <v>1</v>
      </c>
    </row>
    <row r="5264" spans="1:18" x14ac:dyDescent="0.2">
      <c r="A5264" t="str">
        <f>"5260"</f>
        <v>5260</v>
      </c>
      <c r="B5264" t="str">
        <f t="shared" si="292"/>
        <v>1</v>
      </c>
      <c r="C5264" t="str">
        <f t="shared" si="293"/>
        <v>106</v>
      </c>
      <c r="D5264" t="str">
        <f>"5"</f>
        <v>5</v>
      </c>
      <c r="E5264" t="str">
        <f>"1-106-5"</f>
        <v>1-106-5</v>
      </c>
      <c r="F5264" t="s">
        <v>65</v>
      </c>
      <c r="G5264" t="s">
        <v>66</v>
      </c>
      <c r="H5264" t="s">
        <v>68</v>
      </c>
      <c r="I5264">
        <v>1</v>
      </c>
      <c r="J5264">
        <v>1</v>
      </c>
      <c r="K5264">
        <v>0</v>
      </c>
      <c r="L5264">
        <v>0</v>
      </c>
      <c r="M5264">
        <v>1</v>
      </c>
      <c r="N5264">
        <v>1</v>
      </c>
      <c r="O5264">
        <v>1</v>
      </c>
      <c r="P5264">
        <v>1</v>
      </c>
      <c r="Q5264">
        <v>1</v>
      </c>
      <c r="R5264">
        <v>0</v>
      </c>
    </row>
    <row r="5265" spans="1:18" x14ac:dyDescent="0.2">
      <c r="A5265" t="str">
        <f>"5261"</f>
        <v>5261</v>
      </c>
      <c r="B5265" t="str">
        <f t="shared" si="292"/>
        <v>1</v>
      </c>
      <c r="C5265" t="str">
        <f t="shared" si="293"/>
        <v>106</v>
      </c>
      <c r="D5265" t="str">
        <f>"35"</f>
        <v>35</v>
      </c>
      <c r="E5265" t="str">
        <f>"1-106-35"</f>
        <v>1-106-35</v>
      </c>
      <c r="F5265" t="s">
        <v>65</v>
      </c>
      <c r="G5265" t="s">
        <v>66</v>
      </c>
      <c r="H5265" t="s">
        <v>68</v>
      </c>
      <c r="I5265">
        <v>1</v>
      </c>
      <c r="J5265">
        <v>1</v>
      </c>
      <c r="K5265">
        <v>0</v>
      </c>
      <c r="L5265">
        <v>0</v>
      </c>
      <c r="M5265">
        <v>1</v>
      </c>
      <c r="N5265">
        <v>1</v>
      </c>
      <c r="O5265">
        <v>1</v>
      </c>
      <c r="P5265">
        <v>1</v>
      </c>
      <c r="Q5265">
        <v>1</v>
      </c>
      <c r="R5265">
        <v>1</v>
      </c>
    </row>
    <row r="5266" spans="1:18" x14ac:dyDescent="0.2">
      <c r="A5266" t="str">
        <f>"5262"</f>
        <v>5262</v>
      </c>
      <c r="B5266" t="str">
        <f t="shared" si="292"/>
        <v>1</v>
      </c>
      <c r="C5266" t="str">
        <f t="shared" si="293"/>
        <v>106</v>
      </c>
      <c r="D5266" t="str">
        <f>"34"</f>
        <v>34</v>
      </c>
      <c r="E5266" t="str">
        <f>"1-106-34"</f>
        <v>1-106-34</v>
      </c>
      <c r="F5266" t="s">
        <v>65</v>
      </c>
      <c r="G5266" t="s">
        <v>66</v>
      </c>
      <c r="H5266" t="s">
        <v>68</v>
      </c>
      <c r="I5266">
        <v>1</v>
      </c>
      <c r="J5266">
        <v>1</v>
      </c>
      <c r="K5266">
        <v>0</v>
      </c>
      <c r="L5266">
        <v>0</v>
      </c>
      <c r="M5266">
        <v>1</v>
      </c>
      <c r="N5266">
        <v>1</v>
      </c>
      <c r="O5266">
        <v>1</v>
      </c>
      <c r="P5266">
        <v>1</v>
      </c>
      <c r="Q5266">
        <v>1</v>
      </c>
      <c r="R5266">
        <v>1</v>
      </c>
    </row>
    <row r="5267" spans="1:18" x14ac:dyDescent="0.2">
      <c r="A5267" t="str">
        <f>"5263"</f>
        <v>5263</v>
      </c>
      <c r="B5267" t="str">
        <f t="shared" si="292"/>
        <v>1</v>
      </c>
      <c r="C5267" t="str">
        <f t="shared" si="293"/>
        <v>106</v>
      </c>
      <c r="D5267" t="str">
        <f>"25"</f>
        <v>25</v>
      </c>
      <c r="E5267" t="str">
        <f>"1-106-25"</f>
        <v>1-106-25</v>
      </c>
      <c r="F5267" t="s">
        <v>65</v>
      </c>
      <c r="G5267" t="s">
        <v>66</v>
      </c>
      <c r="H5267" t="s">
        <v>68</v>
      </c>
      <c r="I5267">
        <v>1</v>
      </c>
      <c r="J5267">
        <v>1</v>
      </c>
      <c r="K5267">
        <v>0</v>
      </c>
      <c r="L5267">
        <v>0</v>
      </c>
      <c r="M5267">
        <v>1</v>
      </c>
      <c r="N5267">
        <v>1</v>
      </c>
      <c r="O5267">
        <v>1</v>
      </c>
      <c r="P5267">
        <v>1</v>
      </c>
      <c r="Q5267">
        <v>1</v>
      </c>
      <c r="R5267">
        <v>1</v>
      </c>
    </row>
    <row r="5268" spans="1:18" x14ac:dyDescent="0.2">
      <c r="A5268" t="str">
        <f>"5264"</f>
        <v>5264</v>
      </c>
      <c r="B5268" t="str">
        <f t="shared" si="292"/>
        <v>1</v>
      </c>
      <c r="C5268" t="str">
        <f t="shared" si="293"/>
        <v>106</v>
      </c>
      <c r="D5268" t="str">
        <f>"16"</f>
        <v>16</v>
      </c>
      <c r="E5268" t="str">
        <f>"1-106-16"</f>
        <v>1-106-16</v>
      </c>
      <c r="F5268" t="s">
        <v>65</v>
      </c>
      <c r="G5268" t="s">
        <v>66</v>
      </c>
      <c r="H5268" t="s">
        <v>68</v>
      </c>
      <c r="I5268">
        <v>1</v>
      </c>
      <c r="J5268">
        <v>0</v>
      </c>
      <c r="K5268">
        <v>0</v>
      </c>
      <c r="L5268">
        <v>1</v>
      </c>
      <c r="M5268">
        <v>1</v>
      </c>
      <c r="N5268">
        <v>1</v>
      </c>
      <c r="O5268">
        <v>1</v>
      </c>
      <c r="P5268">
        <v>1</v>
      </c>
      <c r="Q5268">
        <v>1</v>
      </c>
      <c r="R5268">
        <v>1</v>
      </c>
    </row>
    <row r="5269" spans="1:18" x14ac:dyDescent="0.2">
      <c r="A5269" t="str">
        <f>"5265"</f>
        <v>5265</v>
      </c>
      <c r="B5269" t="str">
        <f t="shared" si="292"/>
        <v>1</v>
      </c>
      <c r="C5269" t="str">
        <f t="shared" si="293"/>
        <v>106</v>
      </c>
      <c r="D5269" t="str">
        <f>"4"</f>
        <v>4</v>
      </c>
      <c r="E5269" t="str">
        <f>"1-106-4"</f>
        <v>1-106-4</v>
      </c>
      <c r="F5269" t="s">
        <v>65</v>
      </c>
      <c r="G5269" t="s">
        <v>66</v>
      </c>
      <c r="H5269" t="s">
        <v>68</v>
      </c>
      <c r="I5269">
        <v>1</v>
      </c>
      <c r="J5269">
        <v>1</v>
      </c>
      <c r="K5269">
        <v>0</v>
      </c>
      <c r="L5269">
        <v>0</v>
      </c>
      <c r="M5269">
        <v>1</v>
      </c>
      <c r="N5269">
        <v>0</v>
      </c>
      <c r="O5269">
        <v>0</v>
      </c>
      <c r="P5269">
        <v>1</v>
      </c>
      <c r="Q5269">
        <v>1</v>
      </c>
      <c r="R5269">
        <v>1</v>
      </c>
    </row>
    <row r="5270" spans="1:18" x14ac:dyDescent="0.2">
      <c r="A5270" t="str">
        <f>"5266"</f>
        <v>5266</v>
      </c>
      <c r="B5270" t="str">
        <f t="shared" si="292"/>
        <v>1</v>
      </c>
      <c r="C5270" t="str">
        <f t="shared" si="293"/>
        <v>106</v>
      </c>
      <c r="D5270" t="str">
        <f>"38"</f>
        <v>38</v>
      </c>
      <c r="E5270" t="str">
        <f>"1-106-38"</f>
        <v>1-106-38</v>
      </c>
      <c r="F5270" t="s">
        <v>65</v>
      </c>
      <c r="G5270" t="s">
        <v>66</v>
      </c>
      <c r="H5270" t="s">
        <v>68</v>
      </c>
      <c r="I5270">
        <v>1</v>
      </c>
      <c r="J5270">
        <v>1</v>
      </c>
      <c r="K5270">
        <v>0</v>
      </c>
      <c r="L5270">
        <v>0</v>
      </c>
      <c r="M5270">
        <v>1</v>
      </c>
      <c r="N5270">
        <v>1</v>
      </c>
      <c r="O5270">
        <v>1</v>
      </c>
      <c r="P5270">
        <v>1</v>
      </c>
      <c r="Q5270">
        <v>1</v>
      </c>
      <c r="R5270">
        <v>1</v>
      </c>
    </row>
    <row r="5271" spans="1:18" x14ac:dyDescent="0.2">
      <c r="A5271" t="str">
        <f>"5267"</f>
        <v>5267</v>
      </c>
      <c r="B5271" t="str">
        <f t="shared" si="292"/>
        <v>1</v>
      </c>
      <c r="C5271" t="str">
        <f t="shared" si="293"/>
        <v>106</v>
      </c>
      <c r="D5271" t="str">
        <f>"20"</f>
        <v>20</v>
      </c>
      <c r="E5271" t="str">
        <f>"1-106-20"</f>
        <v>1-106-20</v>
      </c>
      <c r="F5271" t="s">
        <v>65</v>
      </c>
      <c r="G5271" t="s">
        <v>66</v>
      </c>
      <c r="H5271" t="s">
        <v>68</v>
      </c>
      <c r="I5271">
        <v>1</v>
      </c>
      <c r="J5271">
        <v>1</v>
      </c>
      <c r="K5271">
        <v>0</v>
      </c>
      <c r="L5271">
        <v>0</v>
      </c>
      <c r="M5271">
        <v>1</v>
      </c>
      <c r="N5271">
        <v>1</v>
      </c>
      <c r="O5271">
        <v>1</v>
      </c>
      <c r="P5271">
        <v>1</v>
      </c>
      <c r="Q5271">
        <v>1</v>
      </c>
      <c r="R5271">
        <v>1</v>
      </c>
    </row>
    <row r="5272" spans="1:18" x14ac:dyDescent="0.2">
      <c r="A5272" t="str">
        <f>"5268"</f>
        <v>5268</v>
      </c>
      <c r="B5272" t="str">
        <f t="shared" si="292"/>
        <v>1</v>
      </c>
      <c r="C5272" t="str">
        <f t="shared" si="293"/>
        <v>106</v>
      </c>
      <c r="D5272" t="str">
        <f>"3"</f>
        <v>3</v>
      </c>
      <c r="E5272" t="str">
        <f>"1-106-3"</f>
        <v>1-106-3</v>
      </c>
      <c r="F5272" t="s">
        <v>65</v>
      </c>
      <c r="G5272" t="s">
        <v>66</v>
      </c>
      <c r="H5272" t="s">
        <v>68</v>
      </c>
      <c r="I5272">
        <v>1</v>
      </c>
      <c r="J5272">
        <v>1</v>
      </c>
      <c r="K5272">
        <v>0</v>
      </c>
      <c r="L5272">
        <v>0</v>
      </c>
      <c r="M5272">
        <v>1</v>
      </c>
      <c r="N5272">
        <v>1</v>
      </c>
      <c r="O5272">
        <v>1</v>
      </c>
      <c r="P5272">
        <v>1</v>
      </c>
      <c r="Q5272">
        <v>1</v>
      </c>
      <c r="R5272">
        <v>1</v>
      </c>
    </row>
    <row r="5273" spans="1:18" x14ac:dyDescent="0.2">
      <c r="A5273" t="str">
        <f>"5269"</f>
        <v>5269</v>
      </c>
      <c r="B5273" t="str">
        <f t="shared" si="292"/>
        <v>1</v>
      </c>
      <c r="C5273" t="str">
        <f t="shared" si="293"/>
        <v>106</v>
      </c>
      <c r="D5273" t="str">
        <f>"37"</f>
        <v>37</v>
      </c>
      <c r="E5273" t="str">
        <f>"1-106-37"</f>
        <v>1-106-37</v>
      </c>
      <c r="F5273" t="s">
        <v>65</v>
      </c>
      <c r="G5273" t="s">
        <v>66</v>
      </c>
      <c r="H5273" t="s">
        <v>68</v>
      </c>
      <c r="I5273">
        <v>1</v>
      </c>
      <c r="J5273">
        <v>1</v>
      </c>
      <c r="K5273">
        <v>0</v>
      </c>
      <c r="L5273">
        <v>0</v>
      </c>
      <c r="M5273">
        <v>1</v>
      </c>
      <c r="N5273">
        <v>1</v>
      </c>
      <c r="O5273">
        <v>1</v>
      </c>
      <c r="P5273">
        <v>1</v>
      </c>
      <c r="Q5273">
        <v>1</v>
      </c>
      <c r="R5273">
        <v>1</v>
      </c>
    </row>
    <row r="5274" spans="1:18" x14ac:dyDescent="0.2">
      <c r="A5274" t="str">
        <f>"5270"</f>
        <v>5270</v>
      </c>
      <c r="B5274" t="str">
        <f t="shared" si="292"/>
        <v>1</v>
      </c>
      <c r="C5274" t="str">
        <f t="shared" si="293"/>
        <v>106</v>
      </c>
      <c r="D5274" t="str">
        <f>"21"</f>
        <v>21</v>
      </c>
      <c r="E5274" t="str">
        <f>"1-106-21"</f>
        <v>1-106-21</v>
      </c>
      <c r="F5274" t="s">
        <v>65</v>
      </c>
      <c r="G5274" t="s">
        <v>66</v>
      </c>
      <c r="H5274" t="s">
        <v>68</v>
      </c>
      <c r="I5274">
        <v>0</v>
      </c>
      <c r="J5274">
        <v>0</v>
      </c>
      <c r="K5274">
        <v>0</v>
      </c>
      <c r="L5274">
        <v>1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</row>
    <row r="5275" spans="1:18" x14ac:dyDescent="0.2">
      <c r="A5275" t="str">
        <f>"5271"</f>
        <v>5271</v>
      </c>
      <c r="B5275" t="str">
        <f t="shared" si="292"/>
        <v>1</v>
      </c>
      <c r="C5275" t="str">
        <f t="shared" si="293"/>
        <v>106</v>
      </c>
      <c r="D5275" t="str">
        <f>"9"</f>
        <v>9</v>
      </c>
      <c r="E5275" t="str">
        <f>"1-106-9"</f>
        <v>1-106-9</v>
      </c>
      <c r="F5275" t="s">
        <v>65</v>
      </c>
      <c r="G5275" t="s">
        <v>66</v>
      </c>
      <c r="H5275" t="s">
        <v>68</v>
      </c>
      <c r="I5275">
        <v>1</v>
      </c>
      <c r="J5275">
        <v>0</v>
      </c>
      <c r="K5275">
        <v>1</v>
      </c>
      <c r="L5275">
        <v>0</v>
      </c>
      <c r="M5275">
        <v>1</v>
      </c>
      <c r="N5275">
        <v>1</v>
      </c>
      <c r="O5275">
        <v>1</v>
      </c>
      <c r="P5275">
        <v>1</v>
      </c>
      <c r="Q5275">
        <v>1</v>
      </c>
      <c r="R5275">
        <v>0</v>
      </c>
    </row>
    <row r="5276" spans="1:18" x14ac:dyDescent="0.2">
      <c r="A5276" t="str">
        <f>"5272"</f>
        <v>5272</v>
      </c>
      <c r="B5276" t="str">
        <f t="shared" si="292"/>
        <v>1</v>
      </c>
      <c r="C5276" t="str">
        <f t="shared" si="293"/>
        <v>106</v>
      </c>
      <c r="D5276" t="str">
        <f>"39"</f>
        <v>39</v>
      </c>
      <c r="E5276" t="str">
        <f>"1-106-39"</f>
        <v>1-106-39</v>
      </c>
      <c r="F5276" t="s">
        <v>65</v>
      </c>
      <c r="G5276" t="s">
        <v>66</v>
      </c>
      <c r="H5276" t="s">
        <v>68</v>
      </c>
      <c r="I5276">
        <v>1</v>
      </c>
      <c r="J5276">
        <v>0</v>
      </c>
      <c r="K5276">
        <v>0</v>
      </c>
      <c r="L5276">
        <v>1</v>
      </c>
      <c r="M5276">
        <v>1</v>
      </c>
      <c r="N5276">
        <v>1</v>
      </c>
      <c r="O5276">
        <v>1</v>
      </c>
      <c r="P5276">
        <v>1</v>
      </c>
      <c r="Q5276">
        <v>1</v>
      </c>
      <c r="R5276">
        <v>1</v>
      </c>
    </row>
    <row r="5277" spans="1:18" x14ac:dyDescent="0.2">
      <c r="A5277" t="str">
        <f>"5273"</f>
        <v>5273</v>
      </c>
      <c r="B5277" t="str">
        <f t="shared" si="292"/>
        <v>1</v>
      </c>
      <c r="C5277" t="str">
        <f t="shared" si="293"/>
        <v>106</v>
      </c>
      <c r="D5277" t="str">
        <f>"22"</f>
        <v>22</v>
      </c>
      <c r="E5277" t="str">
        <f>"1-106-22"</f>
        <v>1-106-22</v>
      </c>
      <c r="F5277" t="s">
        <v>65</v>
      </c>
      <c r="G5277" t="s">
        <v>66</v>
      </c>
      <c r="H5277" t="s">
        <v>68</v>
      </c>
      <c r="I5277">
        <v>1</v>
      </c>
      <c r="J5277">
        <v>1</v>
      </c>
      <c r="K5277">
        <v>0</v>
      </c>
      <c r="L5277">
        <v>0</v>
      </c>
      <c r="M5277">
        <v>1</v>
      </c>
      <c r="N5277">
        <v>1</v>
      </c>
      <c r="O5277">
        <v>1</v>
      </c>
      <c r="P5277">
        <v>1</v>
      </c>
      <c r="Q5277">
        <v>1</v>
      </c>
      <c r="R5277">
        <v>1</v>
      </c>
    </row>
    <row r="5278" spans="1:18" x14ac:dyDescent="0.2">
      <c r="A5278" t="str">
        <f>"5274"</f>
        <v>5274</v>
      </c>
      <c r="B5278" t="str">
        <f t="shared" si="292"/>
        <v>1</v>
      </c>
      <c r="C5278" t="str">
        <f t="shared" si="293"/>
        <v>106</v>
      </c>
      <c r="D5278" t="str">
        <f>"1"</f>
        <v>1</v>
      </c>
      <c r="E5278" t="str">
        <f>"1-106-1"</f>
        <v>1-106-1</v>
      </c>
      <c r="F5278" t="s">
        <v>65</v>
      </c>
      <c r="G5278" t="s">
        <v>66</v>
      </c>
      <c r="H5278" t="s">
        <v>68</v>
      </c>
      <c r="I5278">
        <v>1</v>
      </c>
      <c r="J5278">
        <v>1</v>
      </c>
      <c r="K5278">
        <v>0</v>
      </c>
      <c r="L5278">
        <v>0</v>
      </c>
      <c r="M5278">
        <v>1</v>
      </c>
      <c r="N5278">
        <v>1</v>
      </c>
      <c r="O5278">
        <v>1</v>
      </c>
      <c r="P5278">
        <v>1</v>
      </c>
      <c r="Q5278">
        <v>1</v>
      </c>
      <c r="R5278">
        <v>1</v>
      </c>
    </row>
    <row r="5279" spans="1:18" x14ac:dyDescent="0.2">
      <c r="A5279" t="str">
        <f>"5275"</f>
        <v>5275</v>
      </c>
      <c r="B5279" t="str">
        <f t="shared" si="292"/>
        <v>1</v>
      </c>
      <c r="C5279" t="str">
        <f t="shared" si="293"/>
        <v>106</v>
      </c>
      <c r="D5279" t="str">
        <f>"43"</f>
        <v>43</v>
      </c>
      <c r="E5279" t="str">
        <f>"1-106-43"</f>
        <v>1-106-43</v>
      </c>
      <c r="F5279" t="s">
        <v>65</v>
      </c>
      <c r="G5279" t="s">
        <v>66</v>
      </c>
      <c r="H5279" t="s">
        <v>68</v>
      </c>
      <c r="I5279">
        <v>0</v>
      </c>
      <c r="J5279">
        <v>0</v>
      </c>
      <c r="K5279">
        <v>0</v>
      </c>
      <c r="L5279">
        <v>1</v>
      </c>
      <c r="M5279">
        <v>1</v>
      </c>
      <c r="N5279">
        <v>1</v>
      </c>
      <c r="O5279">
        <v>1</v>
      </c>
      <c r="P5279">
        <v>0</v>
      </c>
      <c r="Q5279">
        <v>0</v>
      </c>
      <c r="R5279">
        <v>1</v>
      </c>
    </row>
    <row r="5280" spans="1:18" x14ac:dyDescent="0.2">
      <c r="A5280" t="str">
        <f>"5276"</f>
        <v>5276</v>
      </c>
      <c r="B5280" t="str">
        <f t="shared" si="292"/>
        <v>1</v>
      </c>
      <c r="C5280" t="str">
        <f t="shared" si="293"/>
        <v>106</v>
      </c>
      <c r="D5280" t="str">
        <f>"23"</f>
        <v>23</v>
      </c>
      <c r="E5280" t="str">
        <f>"1-106-23"</f>
        <v>1-106-23</v>
      </c>
      <c r="F5280" t="s">
        <v>65</v>
      </c>
      <c r="G5280" t="s">
        <v>66</v>
      </c>
      <c r="H5280" t="s">
        <v>68</v>
      </c>
      <c r="I5280">
        <v>1</v>
      </c>
      <c r="J5280">
        <v>1</v>
      </c>
      <c r="K5280">
        <v>0</v>
      </c>
      <c r="L5280">
        <v>0</v>
      </c>
      <c r="M5280">
        <v>1</v>
      </c>
      <c r="N5280">
        <v>1</v>
      </c>
      <c r="O5280">
        <v>1</v>
      </c>
      <c r="P5280">
        <v>1</v>
      </c>
      <c r="Q5280">
        <v>1</v>
      </c>
      <c r="R5280">
        <v>1</v>
      </c>
    </row>
    <row r="5281" spans="1:18" x14ac:dyDescent="0.2">
      <c r="A5281" t="str">
        <f>"5277"</f>
        <v>5277</v>
      </c>
      <c r="B5281" t="str">
        <f t="shared" si="292"/>
        <v>1</v>
      </c>
      <c r="C5281" t="str">
        <f t="shared" si="293"/>
        <v>106</v>
      </c>
      <c r="D5281" t="str">
        <f>"2"</f>
        <v>2</v>
      </c>
      <c r="E5281" t="str">
        <f>"1-106-2"</f>
        <v>1-106-2</v>
      </c>
      <c r="F5281" t="s">
        <v>65</v>
      </c>
      <c r="G5281" t="s">
        <v>66</v>
      </c>
      <c r="H5281" t="s">
        <v>68</v>
      </c>
      <c r="I5281">
        <v>1</v>
      </c>
      <c r="J5281">
        <v>0</v>
      </c>
      <c r="K5281">
        <v>0</v>
      </c>
      <c r="L5281">
        <v>1</v>
      </c>
      <c r="M5281">
        <v>1</v>
      </c>
      <c r="N5281">
        <v>1</v>
      </c>
      <c r="O5281">
        <v>1</v>
      </c>
      <c r="P5281">
        <v>1</v>
      </c>
      <c r="Q5281">
        <v>1</v>
      </c>
      <c r="R5281">
        <v>1</v>
      </c>
    </row>
    <row r="5282" spans="1:18" x14ac:dyDescent="0.2">
      <c r="A5282" t="str">
        <f>"5278"</f>
        <v>5278</v>
      </c>
      <c r="B5282" t="str">
        <f t="shared" si="292"/>
        <v>1</v>
      </c>
      <c r="C5282" t="str">
        <f t="shared" si="293"/>
        <v>106</v>
      </c>
      <c r="D5282" t="str">
        <f>"42"</f>
        <v>42</v>
      </c>
      <c r="E5282" t="str">
        <f>"1-106-42"</f>
        <v>1-106-42</v>
      </c>
      <c r="F5282" t="s">
        <v>65</v>
      </c>
      <c r="G5282" t="s">
        <v>66</v>
      </c>
      <c r="H5282" t="s">
        <v>68</v>
      </c>
      <c r="I5282">
        <v>1</v>
      </c>
      <c r="J5282">
        <v>0</v>
      </c>
      <c r="K5282">
        <v>0</v>
      </c>
      <c r="L5282">
        <v>1</v>
      </c>
      <c r="M5282">
        <v>1</v>
      </c>
      <c r="N5282">
        <v>1</v>
      </c>
      <c r="O5282">
        <v>1</v>
      </c>
      <c r="P5282">
        <v>1</v>
      </c>
      <c r="Q5282">
        <v>1</v>
      </c>
      <c r="R5282">
        <v>1</v>
      </c>
    </row>
    <row r="5283" spans="1:18" x14ac:dyDescent="0.2">
      <c r="A5283" t="str">
        <f>"5279"</f>
        <v>5279</v>
      </c>
      <c r="B5283" t="str">
        <f t="shared" si="292"/>
        <v>1</v>
      </c>
      <c r="C5283" t="str">
        <f t="shared" si="293"/>
        <v>106</v>
      </c>
      <c r="D5283" t="str">
        <f>"24"</f>
        <v>24</v>
      </c>
      <c r="E5283" t="str">
        <f>"1-106-24"</f>
        <v>1-106-24</v>
      </c>
      <c r="F5283" t="s">
        <v>65</v>
      </c>
      <c r="G5283" t="s">
        <v>66</v>
      </c>
      <c r="H5283" t="s">
        <v>68</v>
      </c>
      <c r="I5283">
        <v>1</v>
      </c>
      <c r="J5283">
        <v>0</v>
      </c>
      <c r="K5283">
        <v>0</v>
      </c>
      <c r="L5283">
        <v>1</v>
      </c>
      <c r="M5283">
        <v>1</v>
      </c>
      <c r="N5283">
        <v>1</v>
      </c>
      <c r="O5283">
        <v>1</v>
      </c>
      <c r="P5283">
        <v>1</v>
      </c>
      <c r="Q5283">
        <v>1</v>
      </c>
      <c r="R5283">
        <v>1</v>
      </c>
    </row>
    <row r="5284" spans="1:18" x14ac:dyDescent="0.2">
      <c r="A5284" t="str">
        <f>"5280"</f>
        <v>5280</v>
      </c>
      <c r="B5284" t="str">
        <f t="shared" si="292"/>
        <v>1</v>
      </c>
      <c r="C5284" t="str">
        <f t="shared" si="293"/>
        <v>106</v>
      </c>
      <c r="D5284" t="str">
        <f>"8"</f>
        <v>8</v>
      </c>
      <c r="E5284" t="str">
        <f>"1-106-8"</f>
        <v>1-106-8</v>
      </c>
      <c r="F5284" t="s">
        <v>65</v>
      </c>
      <c r="G5284" t="s">
        <v>66</v>
      </c>
      <c r="H5284" t="s">
        <v>68</v>
      </c>
      <c r="I5284">
        <v>1</v>
      </c>
      <c r="J5284">
        <v>0</v>
      </c>
      <c r="K5284">
        <v>0</v>
      </c>
      <c r="L5284">
        <v>1</v>
      </c>
      <c r="M5284">
        <v>1</v>
      </c>
      <c r="N5284">
        <v>1</v>
      </c>
      <c r="O5284">
        <v>1</v>
      </c>
      <c r="P5284">
        <v>1</v>
      </c>
      <c r="Q5284">
        <v>1</v>
      </c>
      <c r="R5284">
        <v>1</v>
      </c>
    </row>
    <row r="5285" spans="1:18" x14ac:dyDescent="0.2">
      <c r="A5285" t="str">
        <f>"5281"</f>
        <v>5281</v>
      </c>
      <c r="B5285" t="str">
        <f t="shared" si="292"/>
        <v>1</v>
      </c>
      <c r="C5285" t="str">
        <f t="shared" si="293"/>
        <v>106</v>
      </c>
      <c r="D5285" t="str">
        <f>"44"</f>
        <v>44</v>
      </c>
      <c r="E5285" t="str">
        <f>"1-106-44"</f>
        <v>1-106-44</v>
      </c>
      <c r="F5285" t="s">
        <v>65</v>
      </c>
      <c r="G5285" t="s">
        <v>66</v>
      </c>
      <c r="H5285" t="s">
        <v>68</v>
      </c>
      <c r="I5285">
        <v>1</v>
      </c>
      <c r="J5285">
        <v>0</v>
      </c>
      <c r="K5285">
        <v>1</v>
      </c>
      <c r="L5285">
        <v>0</v>
      </c>
      <c r="M5285">
        <v>1</v>
      </c>
      <c r="N5285">
        <v>1</v>
      </c>
      <c r="O5285">
        <v>1</v>
      </c>
      <c r="P5285">
        <v>1</v>
      </c>
      <c r="Q5285">
        <v>1</v>
      </c>
      <c r="R5285">
        <v>1</v>
      </c>
    </row>
    <row r="5286" spans="1:18" x14ac:dyDescent="0.2">
      <c r="A5286" t="str">
        <f>"5282"</f>
        <v>5282</v>
      </c>
      <c r="B5286" t="str">
        <f t="shared" si="292"/>
        <v>1</v>
      </c>
      <c r="C5286" t="str">
        <f t="shared" si="293"/>
        <v>106</v>
      </c>
      <c r="D5286" t="str">
        <f>"26"</f>
        <v>26</v>
      </c>
      <c r="E5286" t="str">
        <f>"1-106-26"</f>
        <v>1-106-26</v>
      </c>
      <c r="F5286" t="s">
        <v>65</v>
      </c>
      <c r="G5286" t="s">
        <v>66</v>
      </c>
      <c r="H5286" t="s">
        <v>68</v>
      </c>
      <c r="I5286">
        <v>1</v>
      </c>
      <c r="J5286">
        <v>0</v>
      </c>
      <c r="K5286">
        <v>0</v>
      </c>
      <c r="L5286">
        <v>1</v>
      </c>
      <c r="M5286">
        <v>1</v>
      </c>
      <c r="N5286">
        <v>1</v>
      </c>
      <c r="O5286">
        <v>1</v>
      </c>
      <c r="P5286">
        <v>1</v>
      </c>
      <c r="Q5286">
        <v>1</v>
      </c>
      <c r="R5286">
        <v>1</v>
      </c>
    </row>
    <row r="5287" spans="1:18" x14ac:dyDescent="0.2">
      <c r="A5287" t="str">
        <f>"5283"</f>
        <v>5283</v>
      </c>
      <c r="B5287" t="str">
        <f t="shared" si="292"/>
        <v>1</v>
      </c>
      <c r="C5287" t="str">
        <f t="shared" ref="C5287:C5304" si="294">"106"</f>
        <v>106</v>
      </c>
      <c r="D5287" t="str">
        <f>"10"</f>
        <v>10</v>
      </c>
      <c r="E5287" t="str">
        <f>"1-106-10"</f>
        <v>1-106-10</v>
      </c>
      <c r="F5287" t="s">
        <v>65</v>
      </c>
      <c r="G5287" t="s">
        <v>66</v>
      </c>
      <c r="H5287" t="s">
        <v>68</v>
      </c>
      <c r="I5287">
        <v>1</v>
      </c>
      <c r="J5287">
        <v>1</v>
      </c>
      <c r="K5287">
        <v>0</v>
      </c>
      <c r="L5287">
        <v>0</v>
      </c>
      <c r="M5287">
        <v>1</v>
      </c>
      <c r="N5287">
        <v>1</v>
      </c>
      <c r="O5287">
        <v>1</v>
      </c>
      <c r="P5287">
        <v>1</v>
      </c>
      <c r="Q5287">
        <v>1</v>
      </c>
      <c r="R5287">
        <v>1</v>
      </c>
    </row>
    <row r="5288" spans="1:18" x14ac:dyDescent="0.2">
      <c r="A5288" t="str">
        <f>"5284"</f>
        <v>5284</v>
      </c>
      <c r="B5288" t="str">
        <f t="shared" si="292"/>
        <v>1</v>
      </c>
      <c r="C5288" t="str">
        <f t="shared" si="294"/>
        <v>106</v>
      </c>
      <c r="D5288" t="str">
        <f>"45"</f>
        <v>45</v>
      </c>
      <c r="E5288" t="str">
        <f>"1-106-45"</f>
        <v>1-106-45</v>
      </c>
      <c r="F5288" t="s">
        <v>65</v>
      </c>
      <c r="G5288" t="s">
        <v>66</v>
      </c>
      <c r="H5288" t="s">
        <v>68</v>
      </c>
      <c r="I5288">
        <v>1</v>
      </c>
      <c r="J5288">
        <v>1</v>
      </c>
      <c r="K5288">
        <v>0</v>
      </c>
      <c r="L5288">
        <v>0</v>
      </c>
      <c r="M5288">
        <v>1</v>
      </c>
      <c r="N5288">
        <v>1</v>
      </c>
      <c r="O5288">
        <v>1</v>
      </c>
      <c r="P5288">
        <v>1</v>
      </c>
      <c r="Q5288">
        <v>1</v>
      </c>
      <c r="R5288">
        <v>1</v>
      </c>
    </row>
    <row r="5289" spans="1:18" x14ac:dyDescent="0.2">
      <c r="A5289" t="str">
        <f>"5285"</f>
        <v>5285</v>
      </c>
      <c r="B5289" t="str">
        <f t="shared" si="292"/>
        <v>1</v>
      </c>
      <c r="C5289" t="str">
        <f t="shared" si="294"/>
        <v>106</v>
      </c>
      <c r="D5289" t="str">
        <f>"27"</f>
        <v>27</v>
      </c>
      <c r="E5289" t="str">
        <f>"1-106-27"</f>
        <v>1-106-27</v>
      </c>
      <c r="F5289" t="s">
        <v>65</v>
      </c>
      <c r="G5289" t="s">
        <v>66</v>
      </c>
      <c r="H5289" t="s">
        <v>68</v>
      </c>
      <c r="I5289">
        <v>0</v>
      </c>
      <c r="J5289">
        <v>0</v>
      </c>
      <c r="K5289">
        <v>0</v>
      </c>
      <c r="L5289">
        <v>1</v>
      </c>
      <c r="M5289">
        <v>1</v>
      </c>
      <c r="N5289">
        <v>1</v>
      </c>
      <c r="O5289">
        <v>1</v>
      </c>
      <c r="P5289">
        <v>1</v>
      </c>
      <c r="Q5289">
        <v>1</v>
      </c>
      <c r="R5289">
        <v>1</v>
      </c>
    </row>
    <row r="5290" spans="1:18" x14ac:dyDescent="0.2">
      <c r="A5290" t="str">
        <f>"5286"</f>
        <v>5286</v>
      </c>
      <c r="B5290" t="str">
        <f t="shared" si="292"/>
        <v>1</v>
      </c>
      <c r="C5290" t="str">
        <f t="shared" si="294"/>
        <v>106</v>
      </c>
      <c r="D5290" t="str">
        <f>"7"</f>
        <v>7</v>
      </c>
      <c r="E5290" t="str">
        <f>"1-106-7"</f>
        <v>1-106-7</v>
      </c>
      <c r="F5290" t="s">
        <v>65</v>
      </c>
      <c r="G5290" t="s">
        <v>66</v>
      </c>
      <c r="H5290" t="s">
        <v>68</v>
      </c>
      <c r="I5290">
        <v>1</v>
      </c>
      <c r="J5290">
        <v>1</v>
      </c>
      <c r="K5290">
        <v>0</v>
      </c>
      <c r="L5290">
        <v>0</v>
      </c>
      <c r="M5290">
        <v>1</v>
      </c>
      <c r="N5290">
        <v>1</v>
      </c>
      <c r="O5290">
        <v>1</v>
      </c>
      <c r="P5290">
        <v>1</v>
      </c>
      <c r="Q5290">
        <v>1</v>
      </c>
      <c r="R5290">
        <v>1</v>
      </c>
    </row>
    <row r="5291" spans="1:18" x14ac:dyDescent="0.2">
      <c r="A5291" t="str">
        <f>"5287"</f>
        <v>5287</v>
      </c>
      <c r="B5291" t="str">
        <f t="shared" si="292"/>
        <v>1</v>
      </c>
      <c r="C5291" t="str">
        <f t="shared" si="294"/>
        <v>106</v>
      </c>
      <c r="D5291" t="str">
        <f>"46"</f>
        <v>46</v>
      </c>
      <c r="E5291" t="str">
        <f>"1-106-46"</f>
        <v>1-106-46</v>
      </c>
      <c r="F5291" t="s">
        <v>65</v>
      </c>
      <c r="G5291" t="s">
        <v>66</v>
      </c>
      <c r="H5291" t="s">
        <v>68</v>
      </c>
      <c r="I5291">
        <v>1</v>
      </c>
      <c r="J5291">
        <v>1</v>
      </c>
      <c r="K5291">
        <v>0</v>
      </c>
      <c r="L5291">
        <v>0</v>
      </c>
      <c r="M5291">
        <v>1</v>
      </c>
      <c r="N5291">
        <v>1</v>
      </c>
      <c r="O5291">
        <v>1</v>
      </c>
      <c r="P5291">
        <v>1</v>
      </c>
      <c r="Q5291">
        <v>1</v>
      </c>
      <c r="R5291">
        <v>1</v>
      </c>
    </row>
    <row r="5292" spans="1:18" x14ac:dyDescent="0.2">
      <c r="A5292" t="str">
        <f>"5288"</f>
        <v>5288</v>
      </c>
      <c r="B5292" t="str">
        <f t="shared" si="292"/>
        <v>1</v>
      </c>
      <c r="C5292" t="str">
        <f t="shared" si="294"/>
        <v>106</v>
      </c>
      <c r="D5292" t="str">
        <f>"28"</f>
        <v>28</v>
      </c>
      <c r="E5292" t="str">
        <f>"1-106-28"</f>
        <v>1-106-28</v>
      </c>
      <c r="F5292" t="s">
        <v>65</v>
      </c>
      <c r="G5292" t="s">
        <v>66</v>
      </c>
      <c r="H5292" t="s">
        <v>68</v>
      </c>
      <c r="I5292">
        <v>1</v>
      </c>
      <c r="J5292">
        <v>1</v>
      </c>
      <c r="K5292">
        <v>0</v>
      </c>
      <c r="L5292">
        <v>0</v>
      </c>
      <c r="M5292">
        <v>1</v>
      </c>
      <c r="N5292">
        <v>1</v>
      </c>
      <c r="O5292">
        <v>1</v>
      </c>
      <c r="P5292">
        <v>1</v>
      </c>
      <c r="Q5292">
        <v>1</v>
      </c>
      <c r="R5292">
        <v>1</v>
      </c>
    </row>
    <row r="5293" spans="1:18" x14ac:dyDescent="0.2">
      <c r="A5293" t="str">
        <f>"5289"</f>
        <v>5289</v>
      </c>
      <c r="B5293" t="str">
        <f t="shared" si="292"/>
        <v>1</v>
      </c>
      <c r="C5293" t="str">
        <f t="shared" si="294"/>
        <v>106</v>
      </c>
      <c r="D5293" t="str">
        <f>"13"</f>
        <v>13</v>
      </c>
      <c r="E5293" t="str">
        <f>"1-106-13"</f>
        <v>1-106-13</v>
      </c>
      <c r="F5293" t="s">
        <v>65</v>
      </c>
      <c r="G5293" t="s">
        <v>66</v>
      </c>
      <c r="H5293" t="s">
        <v>68</v>
      </c>
      <c r="I5293">
        <v>1</v>
      </c>
      <c r="J5293">
        <v>0</v>
      </c>
      <c r="K5293">
        <v>0</v>
      </c>
      <c r="L5293">
        <v>1</v>
      </c>
      <c r="M5293">
        <v>1</v>
      </c>
      <c r="N5293">
        <v>1</v>
      </c>
      <c r="O5293">
        <v>1</v>
      </c>
      <c r="P5293">
        <v>1</v>
      </c>
      <c r="Q5293">
        <v>1</v>
      </c>
      <c r="R5293">
        <v>1</v>
      </c>
    </row>
    <row r="5294" spans="1:18" x14ac:dyDescent="0.2">
      <c r="A5294" t="str">
        <f>"5290"</f>
        <v>5290</v>
      </c>
      <c r="B5294" t="str">
        <f t="shared" si="292"/>
        <v>1</v>
      </c>
      <c r="C5294" t="str">
        <f t="shared" si="294"/>
        <v>106</v>
      </c>
      <c r="D5294" t="str">
        <f>"49"</f>
        <v>49</v>
      </c>
      <c r="E5294" t="str">
        <f>"1-106-49"</f>
        <v>1-106-49</v>
      </c>
      <c r="F5294" t="s">
        <v>65</v>
      </c>
      <c r="G5294" t="s">
        <v>66</v>
      </c>
      <c r="H5294" t="s">
        <v>68</v>
      </c>
      <c r="I5294">
        <v>1</v>
      </c>
      <c r="J5294">
        <v>0</v>
      </c>
      <c r="K5294">
        <v>0</v>
      </c>
      <c r="L5294">
        <v>1</v>
      </c>
      <c r="M5294">
        <v>1</v>
      </c>
      <c r="N5294">
        <v>1</v>
      </c>
      <c r="O5294">
        <v>1</v>
      </c>
      <c r="P5294">
        <v>1</v>
      </c>
      <c r="Q5294">
        <v>1</v>
      </c>
      <c r="R5294">
        <v>1</v>
      </c>
    </row>
    <row r="5295" spans="1:18" x14ac:dyDescent="0.2">
      <c r="A5295" t="str">
        <f>"5291"</f>
        <v>5291</v>
      </c>
      <c r="B5295" t="str">
        <f t="shared" si="292"/>
        <v>1</v>
      </c>
      <c r="C5295" t="str">
        <f t="shared" si="294"/>
        <v>106</v>
      </c>
      <c r="D5295" t="str">
        <f>"29"</f>
        <v>29</v>
      </c>
      <c r="E5295" t="str">
        <f>"1-106-29"</f>
        <v>1-106-29</v>
      </c>
      <c r="F5295" t="s">
        <v>65</v>
      </c>
      <c r="G5295" t="s">
        <v>66</v>
      </c>
      <c r="H5295" t="s">
        <v>68</v>
      </c>
      <c r="I5295">
        <v>0</v>
      </c>
      <c r="J5295">
        <v>0</v>
      </c>
      <c r="K5295">
        <v>1</v>
      </c>
      <c r="L5295">
        <v>0</v>
      </c>
      <c r="M5295">
        <v>1</v>
      </c>
      <c r="N5295">
        <v>1</v>
      </c>
      <c r="O5295">
        <v>1</v>
      </c>
      <c r="P5295">
        <v>1</v>
      </c>
      <c r="Q5295">
        <v>1</v>
      </c>
      <c r="R5295">
        <v>0</v>
      </c>
    </row>
    <row r="5296" spans="1:18" x14ac:dyDescent="0.2">
      <c r="A5296" t="str">
        <f>"5292"</f>
        <v>5292</v>
      </c>
      <c r="B5296" t="str">
        <f t="shared" si="292"/>
        <v>1</v>
      </c>
      <c r="C5296" t="str">
        <f t="shared" si="294"/>
        <v>106</v>
      </c>
      <c r="D5296" t="str">
        <f>"6"</f>
        <v>6</v>
      </c>
      <c r="E5296" t="str">
        <f>"1-106-6"</f>
        <v>1-106-6</v>
      </c>
      <c r="F5296" t="s">
        <v>65</v>
      </c>
      <c r="G5296" t="s">
        <v>66</v>
      </c>
      <c r="H5296" t="s">
        <v>68</v>
      </c>
      <c r="I5296">
        <v>0</v>
      </c>
      <c r="J5296">
        <v>0</v>
      </c>
      <c r="K5296">
        <v>0</v>
      </c>
      <c r="L5296">
        <v>1</v>
      </c>
      <c r="M5296">
        <v>1</v>
      </c>
      <c r="N5296">
        <v>1</v>
      </c>
      <c r="O5296">
        <v>1</v>
      </c>
      <c r="P5296">
        <v>1</v>
      </c>
      <c r="Q5296">
        <v>0</v>
      </c>
      <c r="R5296">
        <v>1</v>
      </c>
    </row>
    <row r="5297" spans="1:18" x14ac:dyDescent="0.2">
      <c r="A5297" t="str">
        <f>"5293"</f>
        <v>5293</v>
      </c>
      <c r="B5297" t="str">
        <f t="shared" si="292"/>
        <v>1</v>
      </c>
      <c r="C5297" t="str">
        <f t="shared" si="294"/>
        <v>106</v>
      </c>
      <c r="D5297" t="str">
        <f>"47"</f>
        <v>47</v>
      </c>
      <c r="E5297" t="str">
        <f>"1-106-47"</f>
        <v>1-106-47</v>
      </c>
      <c r="F5297" t="s">
        <v>65</v>
      </c>
      <c r="G5297" t="s">
        <v>66</v>
      </c>
      <c r="H5297" t="s">
        <v>68</v>
      </c>
      <c r="I5297">
        <v>1</v>
      </c>
      <c r="J5297">
        <v>1</v>
      </c>
      <c r="K5297">
        <v>0</v>
      </c>
      <c r="L5297">
        <v>0</v>
      </c>
      <c r="M5297">
        <v>1</v>
      </c>
      <c r="N5297">
        <v>1</v>
      </c>
      <c r="O5297">
        <v>1</v>
      </c>
      <c r="P5297">
        <v>1</v>
      </c>
      <c r="Q5297">
        <v>1</v>
      </c>
      <c r="R5297">
        <v>1</v>
      </c>
    </row>
    <row r="5298" spans="1:18" x14ac:dyDescent="0.2">
      <c r="A5298" t="str">
        <f>"5294"</f>
        <v>5294</v>
      </c>
      <c r="B5298" t="str">
        <f t="shared" si="292"/>
        <v>1</v>
      </c>
      <c r="C5298" t="str">
        <f t="shared" si="294"/>
        <v>106</v>
      </c>
      <c r="D5298" t="str">
        <f>"30"</f>
        <v>30</v>
      </c>
      <c r="E5298" t="str">
        <f>"1-106-30"</f>
        <v>1-106-30</v>
      </c>
      <c r="F5298" t="s">
        <v>65</v>
      </c>
      <c r="G5298" t="s">
        <v>66</v>
      </c>
      <c r="H5298" t="s">
        <v>68</v>
      </c>
      <c r="I5298">
        <v>1</v>
      </c>
      <c r="J5298">
        <v>0</v>
      </c>
      <c r="K5298">
        <v>0</v>
      </c>
      <c r="L5298">
        <v>0</v>
      </c>
      <c r="M5298">
        <v>1</v>
      </c>
      <c r="N5298">
        <v>1</v>
      </c>
      <c r="O5298">
        <v>1</v>
      </c>
      <c r="P5298">
        <v>1</v>
      </c>
      <c r="Q5298">
        <v>1</v>
      </c>
      <c r="R5298">
        <v>1</v>
      </c>
    </row>
    <row r="5299" spans="1:18" x14ac:dyDescent="0.2">
      <c r="A5299" t="str">
        <f>"5295"</f>
        <v>5295</v>
      </c>
      <c r="B5299" t="str">
        <f t="shared" si="292"/>
        <v>1</v>
      </c>
      <c r="C5299" t="str">
        <f t="shared" si="294"/>
        <v>106</v>
      </c>
      <c r="D5299" t="str">
        <f>"11"</f>
        <v>11</v>
      </c>
      <c r="E5299" t="str">
        <f>"1-106-11"</f>
        <v>1-106-11</v>
      </c>
      <c r="F5299" t="s">
        <v>65</v>
      </c>
      <c r="G5299" t="s">
        <v>66</v>
      </c>
      <c r="H5299" t="s">
        <v>68</v>
      </c>
      <c r="I5299">
        <v>1</v>
      </c>
      <c r="J5299">
        <v>1</v>
      </c>
      <c r="K5299">
        <v>0</v>
      </c>
      <c r="L5299">
        <v>0</v>
      </c>
      <c r="M5299">
        <v>1</v>
      </c>
      <c r="N5299">
        <v>1</v>
      </c>
      <c r="O5299">
        <v>1</v>
      </c>
      <c r="P5299">
        <v>1</v>
      </c>
      <c r="Q5299">
        <v>1</v>
      </c>
      <c r="R5299">
        <v>1</v>
      </c>
    </row>
    <row r="5300" spans="1:18" x14ac:dyDescent="0.2">
      <c r="A5300" t="str">
        <f>"5296"</f>
        <v>5296</v>
      </c>
      <c r="B5300" t="str">
        <f t="shared" si="292"/>
        <v>1</v>
      </c>
      <c r="C5300" t="str">
        <f t="shared" si="294"/>
        <v>106</v>
      </c>
      <c r="D5300" t="str">
        <f>"48"</f>
        <v>48</v>
      </c>
      <c r="E5300" t="str">
        <f>"1-106-48"</f>
        <v>1-106-48</v>
      </c>
      <c r="F5300" t="s">
        <v>65</v>
      </c>
      <c r="G5300" t="s">
        <v>66</v>
      </c>
      <c r="H5300" t="s">
        <v>68</v>
      </c>
      <c r="I5300">
        <v>1</v>
      </c>
      <c r="J5300">
        <v>0</v>
      </c>
      <c r="K5300">
        <v>0</v>
      </c>
      <c r="L5300">
        <v>1</v>
      </c>
      <c r="M5300">
        <v>1</v>
      </c>
      <c r="N5300">
        <v>1</v>
      </c>
      <c r="O5300">
        <v>1</v>
      </c>
      <c r="P5300">
        <v>1</v>
      </c>
      <c r="Q5300">
        <v>1</v>
      </c>
      <c r="R5300">
        <v>1</v>
      </c>
    </row>
    <row r="5301" spans="1:18" x14ac:dyDescent="0.2">
      <c r="A5301" t="str">
        <f>"5297"</f>
        <v>5297</v>
      </c>
      <c r="B5301" t="str">
        <f t="shared" si="292"/>
        <v>1</v>
      </c>
      <c r="C5301" t="str">
        <f t="shared" si="294"/>
        <v>106</v>
      </c>
      <c r="D5301" t="str">
        <f>"31"</f>
        <v>31</v>
      </c>
      <c r="E5301" t="str">
        <f>"1-106-31"</f>
        <v>1-106-31</v>
      </c>
      <c r="F5301" t="s">
        <v>65</v>
      </c>
      <c r="G5301" t="s">
        <v>66</v>
      </c>
      <c r="H5301" t="s">
        <v>68</v>
      </c>
      <c r="I5301">
        <v>1</v>
      </c>
      <c r="J5301">
        <v>1</v>
      </c>
      <c r="K5301">
        <v>0</v>
      </c>
      <c r="L5301">
        <v>0</v>
      </c>
      <c r="M5301">
        <v>1</v>
      </c>
      <c r="N5301">
        <v>1</v>
      </c>
      <c r="O5301">
        <v>1</v>
      </c>
      <c r="P5301">
        <v>1</v>
      </c>
      <c r="Q5301">
        <v>1</v>
      </c>
      <c r="R5301">
        <v>1</v>
      </c>
    </row>
    <row r="5302" spans="1:18" x14ac:dyDescent="0.2">
      <c r="A5302" t="str">
        <f>"5298"</f>
        <v>5298</v>
      </c>
      <c r="B5302" t="str">
        <f t="shared" si="292"/>
        <v>1</v>
      </c>
      <c r="C5302" t="str">
        <f t="shared" si="294"/>
        <v>106</v>
      </c>
      <c r="D5302" t="str">
        <f>"14"</f>
        <v>14</v>
      </c>
      <c r="E5302" t="str">
        <f>"1-106-14"</f>
        <v>1-106-14</v>
      </c>
      <c r="F5302" t="s">
        <v>65</v>
      </c>
      <c r="G5302" t="s">
        <v>66</v>
      </c>
      <c r="H5302" t="s">
        <v>68</v>
      </c>
      <c r="I5302">
        <v>1</v>
      </c>
      <c r="J5302">
        <v>0</v>
      </c>
      <c r="K5302">
        <v>1</v>
      </c>
      <c r="L5302">
        <v>0</v>
      </c>
      <c r="M5302">
        <v>1</v>
      </c>
      <c r="N5302">
        <v>1</v>
      </c>
      <c r="O5302">
        <v>1</v>
      </c>
      <c r="P5302">
        <v>1</v>
      </c>
      <c r="Q5302">
        <v>1</v>
      </c>
      <c r="R5302">
        <v>1</v>
      </c>
    </row>
    <row r="5303" spans="1:18" x14ac:dyDescent="0.2">
      <c r="A5303" t="str">
        <f>"5299"</f>
        <v>5299</v>
      </c>
      <c r="B5303" t="str">
        <f t="shared" ref="B5303:B5366" si="295">"1"</f>
        <v>1</v>
      </c>
      <c r="C5303" t="str">
        <f t="shared" si="294"/>
        <v>106</v>
      </c>
      <c r="D5303" t="str">
        <f>"36"</f>
        <v>36</v>
      </c>
      <c r="E5303" t="str">
        <f>"1-106-36"</f>
        <v>1-106-36</v>
      </c>
      <c r="F5303" t="s">
        <v>65</v>
      </c>
      <c r="G5303" t="s">
        <v>66</v>
      </c>
      <c r="H5303" t="s">
        <v>68</v>
      </c>
      <c r="I5303">
        <v>1</v>
      </c>
      <c r="J5303">
        <v>1</v>
      </c>
      <c r="K5303">
        <v>0</v>
      </c>
      <c r="L5303">
        <v>0</v>
      </c>
      <c r="M5303">
        <v>1</v>
      </c>
      <c r="N5303">
        <v>1</v>
      </c>
      <c r="O5303">
        <v>1</v>
      </c>
      <c r="P5303">
        <v>1</v>
      </c>
      <c r="Q5303">
        <v>1</v>
      </c>
      <c r="R5303">
        <v>1</v>
      </c>
    </row>
    <row r="5304" spans="1:18" x14ac:dyDescent="0.2">
      <c r="A5304" t="str">
        <f>"5300"</f>
        <v>5300</v>
      </c>
      <c r="B5304" t="str">
        <f t="shared" si="295"/>
        <v>1</v>
      </c>
      <c r="C5304" t="str">
        <f t="shared" si="294"/>
        <v>106</v>
      </c>
      <c r="D5304" t="str">
        <f>"12"</f>
        <v>12</v>
      </c>
      <c r="E5304" t="str">
        <f>"1-106-12"</f>
        <v>1-106-12</v>
      </c>
      <c r="F5304" t="s">
        <v>65</v>
      </c>
      <c r="G5304" t="s">
        <v>66</v>
      </c>
      <c r="H5304" t="s">
        <v>68</v>
      </c>
      <c r="I5304">
        <v>1</v>
      </c>
      <c r="J5304">
        <v>1</v>
      </c>
      <c r="K5304">
        <v>0</v>
      </c>
      <c r="L5304">
        <v>0</v>
      </c>
      <c r="M5304">
        <v>1</v>
      </c>
      <c r="N5304">
        <v>1</v>
      </c>
      <c r="O5304">
        <v>1</v>
      </c>
      <c r="P5304">
        <v>1</v>
      </c>
      <c r="Q5304">
        <v>1</v>
      </c>
      <c r="R5304">
        <v>1</v>
      </c>
    </row>
    <row r="5305" spans="1:18" x14ac:dyDescent="0.2">
      <c r="A5305" t="str">
        <f>"5301"</f>
        <v>5301</v>
      </c>
      <c r="B5305" t="str">
        <f t="shared" si="295"/>
        <v>1</v>
      </c>
      <c r="C5305" t="str">
        <f t="shared" ref="C5305:C5336" si="296">"107"</f>
        <v>107</v>
      </c>
      <c r="D5305" t="str">
        <f>"34"</f>
        <v>34</v>
      </c>
      <c r="E5305" t="str">
        <f>"1-107-34"</f>
        <v>1-107-34</v>
      </c>
      <c r="F5305" t="s">
        <v>65</v>
      </c>
      <c r="G5305" t="s">
        <v>66</v>
      </c>
      <c r="H5305" t="s">
        <v>68</v>
      </c>
      <c r="I5305">
        <v>1</v>
      </c>
      <c r="J5305">
        <v>1</v>
      </c>
      <c r="K5305">
        <v>0</v>
      </c>
      <c r="L5305">
        <v>0</v>
      </c>
      <c r="M5305">
        <v>1</v>
      </c>
      <c r="N5305">
        <v>1</v>
      </c>
      <c r="O5305">
        <v>1</v>
      </c>
      <c r="P5305">
        <v>1</v>
      </c>
      <c r="Q5305">
        <v>1</v>
      </c>
      <c r="R5305">
        <v>1</v>
      </c>
    </row>
    <row r="5306" spans="1:18" x14ac:dyDescent="0.2">
      <c r="A5306" t="str">
        <f>"5302"</f>
        <v>5302</v>
      </c>
      <c r="B5306" t="str">
        <f t="shared" si="295"/>
        <v>1</v>
      </c>
      <c r="C5306" t="str">
        <f t="shared" si="296"/>
        <v>107</v>
      </c>
      <c r="D5306" t="str">
        <f>"33"</f>
        <v>33</v>
      </c>
      <c r="E5306" t="str">
        <f>"1-107-33"</f>
        <v>1-107-33</v>
      </c>
      <c r="F5306" t="s">
        <v>65</v>
      </c>
      <c r="G5306" t="s">
        <v>66</v>
      </c>
      <c r="H5306" t="s">
        <v>68</v>
      </c>
      <c r="I5306">
        <v>1</v>
      </c>
      <c r="J5306">
        <v>0</v>
      </c>
      <c r="K5306">
        <v>0</v>
      </c>
      <c r="L5306">
        <v>1</v>
      </c>
      <c r="M5306">
        <v>1</v>
      </c>
      <c r="N5306">
        <v>1</v>
      </c>
      <c r="O5306">
        <v>1</v>
      </c>
      <c r="P5306">
        <v>1</v>
      </c>
      <c r="Q5306">
        <v>1</v>
      </c>
      <c r="R5306">
        <v>1</v>
      </c>
    </row>
    <row r="5307" spans="1:18" x14ac:dyDescent="0.2">
      <c r="A5307" t="str">
        <f>"5303"</f>
        <v>5303</v>
      </c>
      <c r="B5307" t="str">
        <f t="shared" si="295"/>
        <v>1</v>
      </c>
      <c r="C5307" t="str">
        <f t="shared" si="296"/>
        <v>107</v>
      </c>
      <c r="D5307" t="str">
        <f>"21"</f>
        <v>21</v>
      </c>
      <c r="E5307" t="str">
        <f>"1-107-21"</f>
        <v>1-107-21</v>
      </c>
      <c r="F5307" t="s">
        <v>65</v>
      </c>
      <c r="G5307" t="s">
        <v>66</v>
      </c>
      <c r="H5307" t="s">
        <v>68</v>
      </c>
      <c r="I5307">
        <v>1</v>
      </c>
      <c r="J5307">
        <v>0</v>
      </c>
      <c r="K5307">
        <v>0</v>
      </c>
      <c r="L5307">
        <v>1</v>
      </c>
      <c r="M5307">
        <v>1</v>
      </c>
      <c r="N5307">
        <v>1</v>
      </c>
      <c r="O5307">
        <v>1</v>
      </c>
      <c r="P5307">
        <v>1</v>
      </c>
      <c r="Q5307">
        <v>1</v>
      </c>
      <c r="R5307">
        <v>1</v>
      </c>
    </row>
    <row r="5308" spans="1:18" x14ac:dyDescent="0.2">
      <c r="A5308" t="str">
        <f>"5304"</f>
        <v>5304</v>
      </c>
      <c r="B5308" t="str">
        <f t="shared" si="295"/>
        <v>1</v>
      </c>
      <c r="C5308" t="str">
        <f t="shared" si="296"/>
        <v>107</v>
      </c>
      <c r="D5308" t="str">
        <f>"15"</f>
        <v>15</v>
      </c>
      <c r="E5308" t="str">
        <f>"1-107-15"</f>
        <v>1-107-15</v>
      </c>
      <c r="F5308" t="s">
        <v>65</v>
      </c>
      <c r="G5308" t="s">
        <v>66</v>
      </c>
      <c r="H5308" t="s">
        <v>68</v>
      </c>
      <c r="I5308">
        <v>1</v>
      </c>
      <c r="J5308">
        <v>0</v>
      </c>
      <c r="K5308">
        <v>0</v>
      </c>
      <c r="L5308">
        <v>1</v>
      </c>
      <c r="M5308">
        <v>1</v>
      </c>
      <c r="N5308">
        <v>1</v>
      </c>
      <c r="O5308">
        <v>1</v>
      </c>
      <c r="P5308">
        <v>1</v>
      </c>
      <c r="Q5308">
        <v>1</v>
      </c>
      <c r="R5308">
        <v>1</v>
      </c>
    </row>
    <row r="5309" spans="1:18" x14ac:dyDescent="0.2">
      <c r="A5309" t="str">
        <f>"5305"</f>
        <v>5305</v>
      </c>
      <c r="B5309" t="str">
        <f t="shared" si="295"/>
        <v>1</v>
      </c>
      <c r="C5309" t="str">
        <f t="shared" si="296"/>
        <v>107</v>
      </c>
      <c r="D5309" t="str">
        <f>"2"</f>
        <v>2</v>
      </c>
      <c r="E5309" t="str">
        <f>"1-107-2"</f>
        <v>1-107-2</v>
      </c>
      <c r="F5309" t="s">
        <v>65</v>
      </c>
      <c r="G5309" t="s">
        <v>66</v>
      </c>
      <c r="H5309" t="s">
        <v>68</v>
      </c>
      <c r="I5309">
        <v>1</v>
      </c>
      <c r="J5309">
        <v>0</v>
      </c>
      <c r="K5309">
        <v>1</v>
      </c>
      <c r="L5309">
        <v>0</v>
      </c>
      <c r="M5309">
        <v>1</v>
      </c>
      <c r="N5309">
        <v>1</v>
      </c>
      <c r="O5309">
        <v>1</v>
      </c>
      <c r="P5309">
        <v>1</v>
      </c>
      <c r="Q5309">
        <v>1</v>
      </c>
      <c r="R5309">
        <v>1</v>
      </c>
    </row>
    <row r="5310" spans="1:18" x14ac:dyDescent="0.2">
      <c r="A5310" t="str">
        <f>"5306"</f>
        <v>5306</v>
      </c>
      <c r="B5310" t="str">
        <f t="shared" si="295"/>
        <v>1</v>
      </c>
      <c r="C5310" t="str">
        <f t="shared" si="296"/>
        <v>107</v>
      </c>
      <c r="D5310" t="str">
        <f>"42"</f>
        <v>42</v>
      </c>
      <c r="E5310" t="str">
        <f>"1-107-42"</f>
        <v>1-107-42</v>
      </c>
      <c r="F5310" t="s">
        <v>65</v>
      </c>
      <c r="G5310" t="s">
        <v>66</v>
      </c>
      <c r="H5310" t="s">
        <v>68</v>
      </c>
      <c r="I5310">
        <v>1</v>
      </c>
      <c r="J5310">
        <v>0</v>
      </c>
      <c r="K5310">
        <v>0</v>
      </c>
      <c r="L5310">
        <v>1</v>
      </c>
      <c r="M5310">
        <v>1</v>
      </c>
      <c r="N5310">
        <v>1</v>
      </c>
      <c r="O5310">
        <v>1</v>
      </c>
      <c r="P5310">
        <v>1</v>
      </c>
      <c r="Q5310">
        <v>1</v>
      </c>
      <c r="R5310">
        <v>1</v>
      </c>
    </row>
    <row r="5311" spans="1:18" x14ac:dyDescent="0.2">
      <c r="A5311" t="str">
        <f>"5307"</f>
        <v>5307</v>
      </c>
      <c r="B5311" t="str">
        <f t="shared" si="295"/>
        <v>1</v>
      </c>
      <c r="C5311" t="str">
        <f t="shared" si="296"/>
        <v>107</v>
      </c>
      <c r="D5311" t="str">
        <f>"41"</f>
        <v>41</v>
      </c>
      <c r="E5311" t="str">
        <f>"1-107-41"</f>
        <v>1-107-41</v>
      </c>
      <c r="F5311" t="s">
        <v>65</v>
      </c>
      <c r="G5311" t="s">
        <v>66</v>
      </c>
      <c r="H5311" t="s">
        <v>68</v>
      </c>
      <c r="I5311">
        <v>1</v>
      </c>
      <c r="J5311">
        <v>0</v>
      </c>
      <c r="K5311">
        <v>0</v>
      </c>
      <c r="L5311">
        <v>1</v>
      </c>
      <c r="M5311">
        <v>1</v>
      </c>
      <c r="N5311">
        <v>1</v>
      </c>
      <c r="O5311">
        <v>1</v>
      </c>
      <c r="P5311">
        <v>1</v>
      </c>
      <c r="Q5311">
        <v>1</v>
      </c>
      <c r="R5311">
        <v>1</v>
      </c>
    </row>
    <row r="5312" spans="1:18" x14ac:dyDescent="0.2">
      <c r="A5312" t="str">
        <f>"5308"</f>
        <v>5308</v>
      </c>
      <c r="B5312" t="str">
        <f t="shared" si="295"/>
        <v>1</v>
      </c>
      <c r="C5312" t="str">
        <f t="shared" si="296"/>
        <v>107</v>
      </c>
      <c r="D5312" t="str">
        <f>"30"</f>
        <v>30</v>
      </c>
      <c r="E5312" t="str">
        <f>"1-107-30"</f>
        <v>1-107-30</v>
      </c>
      <c r="F5312" t="s">
        <v>65</v>
      </c>
      <c r="G5312" t="s">
        <v>66</v>
      </c>
      <c r="H5312" t="s">
        <v>68</v>
      </c>
      <c r="I5312">
        <v>1</v>
      </c>
      <c r="J5312">
        <v>0</v>
      </c>
      <c r="K5312">
        <v>1</v>
      </c>
      <c r="L5312">
        <v>0</v>
      </c>
      <c r="M5312">
        <v>1</v>
      </c>
      <c r="N5312">
        <v>1</v>
      </c>
      <c r="O5312">
        <v>1</v>
      </c>
      <c r="P5312">
        <v>1</v>
      </c>
      <c r="Q5312">
        <v>1</v>
      </c>
      <c r="R5312">
        <v>1</v>
      </c>
    </row>
    <row r="5313" spans="1:18" x14ac:dyDescent="0.2">
      <c r="A5313" t="str">
        <f>"5309"</f>
        <v>5309</v>
      </c>
      <c r="B5313" t="str">
        <f t="shared" si="295"/>
        <v>1</v>
      </c>
      <c r="C5313" t="str">
        <f t="shared" si="296"/>
        <v>107</v>
      </c>
      <c r="D5313" t="str">
        <f>"16"</f>
        <v>16</v>
      </c>
      <c r="E5313" t="str">
        <f>"1-107-16"</f>
        <v>1-107-16</v>
      </c>
      <c r="F5313" t="s">
        <v>65</v>
      </c>
      <c r="G5313" t="s">
        <v>66</v>
      </c>
      <c r="H5313" t="s">
        <v>68</v>
      </c>
      <c r="I5313">
        <v>1</v>
      </c>
      <c r="J5313">
        <v>0</v>
      </c>
      <c r="K5313">
        <v>0</v>
      </c>
      <c r="L5313">
        <v>1</v>
      </c>
      <c r="M5313">
        <v>1</v>
      </c>
      <c r="N5313">
        <v>1</v>
      </c>
      <c r="O5313">
        <v>1</v>
      </c>
      <c r="P5313">
        <v>1</v>
      </c>
      <c r="Q5313">
        <v>1</v>
      </c>
      <c r="R5313">
        <v>1</v>
      </c>
    </row>
    <row r="5314" spans="1:18" x14ac:dyDescent="0.2">
      <c r="A5314" t="str">
        <f>"5310"</f>
        <v>5310</v>
      </c>
      <c r="B5314" t="str">
        <f t="shared" si="295"/>
        <v>1</v>
      </c>
      <c r="C5314" t="str">
        <f t="shared" si="296"/>
        <v>107</v>
      </c>
      <c r="D5314" t="str">
        <f>"3"</f>
        <v>3</v>
      </c>
      <c r="E5314" t="str">
        <f>"1-107-3"</f>
        <v>1-107-3</v>
      </c>
      <c r="F5314" t="s">
        <v>65</v>
      </c>
      <c r="G5314" t="s">
        <v>66</v>
      </c>
      <c r="H5314" t="s">
        <v>68</v>
      </c>
      <c r="I5314">
        <v>1</v>
      </c>
      <c r="J5314">
        <v>1</v>
      </c>
      <c r="K5314">
        <v>0</v>
      </c>
      <c r="L5314">
        <v>0</v>
      </c>
      <c r="M5314">
        <v>1</v>
      </c>
      <c r="N5314">
        <v>1</v>
      </c>
      <c r="O5314">
        <v>1</v>
      </c>
      <c r="P5314">
        <v>1</v>
      </c>
      <c r="Q5314">
        <v>1</v>
      </c>
      <c r="R5314">
        <v>1</v>
      </c>
    </row>
    <row r="5315" spans="1:18" x14ac:dyDescent="0.2">
      <c r="A5315" t="str">
        <f>"5311"</f>
        <v>5311</v>
      </c>
      <c r="B5315" t="str">
        <f t="shared" si="295"/>
        <v>1</v>
      </c>
      <c r="C5315" t="str">
        <f t="shared" si="296"/>
        <v>107</v>
      </c>
      <c r="D5315" t="str">
        <f>"35"</f>
        <v>35</v>
      </c>
      <c r="E5315" t="str">
        <f>"1-107-35"</f>
        <v>1-107-35</v>
      </c>
      <c r="F5315" t="s">
        <v>65</v>
      </c>
      <c r="G5315" t="s">
        <v>66</v>
      </c>
      <c r="H5315" t="s">
        <v>68</v>
      </c>
      <c r="I5315">
        <v>1</v>
      </c>
      <c r="J5315">
        <v>0</v>
      </c>
      <c r="K5315">
        <v>0</v>
      </c>
      <c r="L5315">
        <v>1</v>
      </c>
      <c r="M5315">
        <v>0</v>
      </c>
      <c r="N5315">
        <v>1</v>
      </c>
      <c r="O5315">
        <v>0</v>
      </c>
      <c r="P5315">
        <v>0</v>
      </c>
      <c r="Q5315">
        <v>1</v>
      </c>
      <c r="R5315">
        <v>0</v>
      </c>
    </row>
    <row r="5316" spans="1:18" x14ac:dyDescent="0.2">
      <c r="A5316" t="str">
        <f>"5312"</f>
        <v>5312</v>
      </c>
      <c r="B5316" t="str">
        <f t="shared" si="295"/>
        <v>1</v>
      </c>
      <c r="C5316" t="str">
        <f t="shared" si="296"/>
        <v>107</v>
      </c>
      <c r="D5316" t="str">
        <f>"23"</f>
        <v>23</v>
      </c>
      <c r="E5316" t="str">
        <f>"1-107-23"</f>
        <v>1-107-23</v>
      </c>
      <c r="F5316" t="s">
        <v>65</v>
      </c>
      <c r="G5316" t="s">
        <v>66</v>
      </c>
      <c r="H5316" t="s">
        <v>68</v>
      </c>
      <c r="I5316">
        <v>1</v>
      </c>
      <c r="J5316">
        <v>1</v>
      </c>
      <c r="K5316">
        <v>0</v>
      </c>
      <c r="L5316">
        <v>0</v>
      </c>
      <c r="M5316">
        <v>1</v>
      </c>
      <c r="N5316">
        <v>1</v>
      </c>
      <c r="O5316">
        <v>1</v>
      </c>
      <c r="P5316">
        <v>1</v>
      </c>
      <c r="Q5316">
        <v>1</v>
      </c>
      <c r="R5316">
        <v>1</v>
      </c>
    </row>
    <row r="5317" spans="1:18" x14ac:dyDescent="0.2">
      <c r="A5317" t="str">
        <f>"5313"</f>
        <v>5313</v>
      </c>
      <c r="B5317" t="str">
        <f t="shared" si="295"/>
        <v>1</v>
      </c>
      <c r="C5317" t="str">
        <f t="shared" si="296"/>
        <v>107</v>
      </c>
      <c r="D5317" t="str">
        <f>"17"</f>
        <v>17</v>
      </c>
      <c r="E5317" t="str">
        <f>"1-107-17"</f>
        <v>1-107-17</v>
      </c>
      <c r="F5317" t="s">
        <v>65</v>
      </c>
      <c r="G5317" t="s">
        <v>66</v>
      </c>
      <c r="H5317" t="s">
        <v>68</v>
      </c>
      <c r="I5317">
        <v>0</v>
      </c>
      <c r="J5317">
        <v>0</v>
      </c>
      <c r="K5317">
        <v>0</v>
      </c>
      <c r="L5317">
        <v>0</v>
      </c>
      <c r="M5317">
        <v>1</v>
      </c>
      <c r="N5317">
        <v>1</v>
      </c>
      <c r="O5317">
        <v>0</v>
      </c>
      <c r="P5317">
        <v>0</v>
      </c>
      <c r="Q5317">
        <v>0</v>
      </c>
      <c r="R5317">
        <v>0</v>
      </c>
    </row>
    <row r="5318" spans="1:18" x14ac:dyDescent="0.2">
      <c r="A5318" t="str">
        <f>"5314"</f>
        <v>5314</v>
      </c>
      <c r="B5318" t="str">
        <f t="shared" si="295"/>
        <v>1</v>
      </c>
      <c r="C5318" t="str">
        <f t="shared" si="296"/>
        <v>107</v>
      </c>
      <c r="D5318" t="str">
        <f>"14"</f>
        <v>14</v>
      </c>
      <c r="E5318" t="str">
        <f>"1-107-14"</f>
        <v>1-107-14</v>
      </c>
      <c r="F5318" t="s">
        <v>65</v>
      </c>
      <c r="G5318" t="s">
        <v>66</v>
      </c>
      <c r="H5318" t="s">
        <v>68</v>
      </c>
      <c r="I5318">
        <v>1</v>
      </c>
      <c r="J5318">
        <v>0</v>
      </c>
      <c r="K5318">
        <v>0</v>
      </c>
      <c r="L5318">
        <v>1</v>
      </c>
      <c r="M5318">
        <v>1</v>
      </c>
      <c r="N5318">
        <v>0</v>
      </c>
      <c r="O5318">
        <v>0</v>
      </c>
      <c r="P5318">
        <v>0</v>
      </c>
      <c r="Q5318">
        <v>0</v>
      </c>
      <c r="R5318">
        <v>0</v>
      </c>
    </row>
    <row r="5319" spans="1:18" x14ac:dyDescent="0.2">
      <c r="A5319" t="str">
        <f>"5315"</f>
        <v>5315</v>
      </c>
      <c r="B5319" t="str">
        <f t="shared" si="295"/>
        <v>1</v>
      </c>
      <c r="C5319" t="str">
        <f t="shared" si="296"/>
        <v>107</v>
      </c>
      <c r="D5319" t="str">
        <f>"38"</f>
        <v>38</v>
      </c>
      <c r="E5319" t="str">
        <f>"1-107-38"</f>
        <v>1-107-38</v>
      </c>
      <c r="F5319" t="s">
        <v>65</v>
      </c>
      <c r="G5319" t="s">
        <v>66</v>
      </c>
      <c r="H5319" t="s">
        <v>68</v>
      </c>
      <c r="I5319">
        <v>1</v>
      </c>
      <c r="J5319">
        <v>0</v>
      </c>
      <c r="K5319">
        <v>0</v>
      </c>
      <c r="L5319">
        <v>1</v>
      </c>
      <c r="M5319">
        <v>1</v>
      </c>
      <c r="N5319">
        <v>1</v>
      </c>
      <c r="O5319">
        <v>1</v>
      </c>
      <c r="P5319">
        <v>1</v>
      </c>
      <c r="Q5319">
        <v>1</v>
      </c>
      <c r="R5319">
        <v>1</v>
      </c>
    </row>
    <row r="5320" spans="1:18" x14ac:dyDescent="0.2">
      <c r="A5320" t="str">
        <f>"5316"</f>
        <v>5316</v>
      </c>
      <c r="B5320" t="str">
        <f t="shared" si="295"/>
        <v>1</v>
      </c>
      <c r="C5320" t="str">
        <f t="shared" si="296"/>
        <v>107</v>
      </c>
      <c r="D5320" t="str">
        <f>"37"</f>
        <v>37</v>
      </c>
      <c r="E5320" t="str">
        <f>"1-107-37"</f>
        <v>1-107-37</v>
      </c>
      <c r="F5320" t="s">
        <v>65</v>
      </c>
      <c r="G5320" t="s">
        <v>66</v>
      </c>
      <c r="H5320" t="s">
        <v>68</v>
      </c>
      <c r="I5320">
        <v>1</v>
      </c>
      <c r="J5320">
        <v>1</v>
      </c>
      <c r="K5320">
        <v>0</v>
      </c>
      <c r="L5320">
        <v>0</v>
      </c>
      <c r="M5320">
        <v>1</v>
      </c>
      <c r="N5320">
        <v>1</v>
      </c>
      <c r="O5320">
        <v>1</v>
      </c>
      <c r="P5320">
        <v>1</v>
      </c>
      <c r="Q5320">
        <v>1</v>
      </c>
      <c r="R5320">
        <v>1</v>
      </c>
    </row>
    <row r="5321" spans="1:18" x14ac:dyDescent="0.2">
      <c r="A5321" t="str">
        <f>"5317"</f>
        <v>5317</v>
      </c>
      <c r="B5321" t="str">
        <f t="shared" si="295"/>
        <v>1</v>
      </c>
      <c r="C5321" t="str">
        <f t="shared" si="296"/>
        <v>107</v>
      </c>
      <c r="D5321" t="str">
        <f>"25"</f>
        <v>25</v>
      </c>
      <c r="E5321" t="str">
        <f>"1-107-25"</f>
        <v>1-107-25</v>
      </c>
      <c r="F5321" t="s">
        <v>65</v>
      </c>
      <c r="G5321" t="s">
        <v>66</v>
      </c>
      <c r="H5321" t="s">
        <v>68</v>
      </c>
      <c r="I5321">
        <v>1</v>
      </c>
      <c r="J5321">
        <v>0</v>
      </c>
      <c r="K5321">
        <v>0</v>
      </c>
      <c r="L5321">
        <v>1</v>
      </c>
      <c r="M5321">
        <v>1</v>
      </c>
      <c r="N5321">
        <v>1</v>
      </c>
      <c r="O5321">
        <v>1</v>
      </c>
      <c r="P5321">
        <v>1</v>
      </c>
      <c r="Q5321">
        <v>1</v>
      </c>
      <c r="R5321">
        <v>1</v>
      </c>
    </row>
    <row r="5322" spans="1:18" x14ac:dyDescent="0.2">
      <c r="A5322" t="str">
        <f>"5318"</f>
        <v>5318</v>
      </c>
      <c r="B5322" t="str">
        <f t="shared" si="295"/>
        <v>1</v>
      </c>
      <c r="C5322" t="str">
        <f t="shared" si="296"/>
        <v>107</v>
      </c>
      <c r="D5322" t="str">
        <f>"18"</f>
        <v>18</v>
      </c>
      <c r="E5322" t="str">
        <f>"1-107-18"</f>
        <v>1-107-18</v>
      </c>
      <c r="F5322" t="s">
        <v>65</v>
      </c>
      <c r="G5322" t="s">
        <v>66</v>
      </c>
      <c r="H5322" t="s">
        <v>68</v>
      </c>
      <c r="I5322">
        <v>0</v>
      </c>
      <c r="J5322">
        <v>1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</row>
    <row r="5323" spans="1:18" x14ac:dyDescent="0.2">
      <c r="A5323" t="str">
        <f>"5319"</f>
        <v>5319</v>
      </c>
      <c r="B5323" t="str">
        <f t="shared" si="295"/>
        <v>1</v>
      </c>
      <c r="C5323" t="str">
        <f t="shared" si="296"/>
        <v>107</v>
      </c>
      <c r="D5323" t="str">
        <f>"10"</f>
        <v>10</v>
      </c>
      <c r="E5323" t="str">
        <f>"1-107-10"</f>
        <v>1-107-10</v>
      </c>
      <c r="F5323" t="s">
        <v>65</v>
      </c>
      <c r="G5323" t="s">
        <v>66</v>
      </c>
      <c r="H5323" t="s">
        <v>68</v>
      </c>
      <c r="I5323">
        <v>1</v>
      </c>
      <c r="J5323">
        <v>0</v>
      </c>
      <c r="K5323">
        <v>1</v>
      </c>
      <c r="L5323">
        <v>0</v>
      </c>
      <c r="M5323">
        <v>1</v>
      </c>
      <c r="N5323">
        <v>0</v>
      </c>
      <c r="O5323">
        <v>0</v>
      </c>
      <c r="P5323">
        <v>1</v>
      </c>
      <c r="Q5323">
        <v>1</v>
      </c>
      <c r="R5323">
        <v>1</v>
      </c>
    </row>
    <row r="5324" spans="1:18" x14ac:dyDescent="0.2">
      <c r="A5324" t="str">
        <f>"5320"</f>
        <v>5320</v>
      </c>
      <c r="B5324" t="str">
        <f t="shared" si="295"/>
        <v>1</v>
      </c>
      <c r="C5324" t="str">
        <f t="shared" si="296"/>
        <v>107</v>
      </c>
      <c r="D5324" t="str">
        <f>"39"</f>
        <v>39</v>
      </c>
      <c r="E5324" t="str">
        <f>"1-107-39"</f>
        <v>1-107-39</v>
      </c>
      <c r="F5324" t="s">
        <v>65</v>
      </c>
      <c r="G5324" t="s">
        <v>66</v>
      </c>
      <c r="H5324" t="s">
        <v>68</v>
      </c>
      <c r="I5324">
        <v>1</v>
      </c>
      <c r="J5324">
        <v>0</v>
      </c>
      <c r="K5324">
        <v>0</v>
      </c>
      <c r="L5324">
        <v>1</v>
      </c>
      <c r="M5324">
        <v>1</v>
      </c>
      <c r="N5324">
        <v>1</v>
      </c>
      <c r="O5324">
        <v>1</v>
      </c>
      <c r="P5324">
        <v>1</v>
      </c>
      <c r="Q5324">
        <v>1</v>
      </c>
      <c r="R5324">
        <v>1</v>
      </c>
    </row>
    <row r="5325" spans="1:18" x14ac:dyDescent="0.2">
      <c r="A5325" t="str">
        <f>"5321"</f>
        <v>5321</v>
      </c>
      <c r="B5325" t="str">
        <f t="shared" si="295"/>
        <v>1</v>
      </c>
      <c r="C5325" t="str">
        <f t="shared" si="296"/>
        <v>107</v>
      </c>
      <c r="D5325" t="str">
        <f>"19"</f>
        <v>19</v>
      </c>
      <c r="E5325" t="str">
        <f>"1-107-19"</f>
        <v>1-107-19</v>
      </c>
      <c r="F5325" t="s">
        <v>65</v>
      </c>
      <c r="G5325" t="s">
        <v>66</v>
      </c>
      <c r="H5325" t="s">
        <v>68</v>
      </c>
      <c r="I5325">
        <v>1</v>
      </c>
      <c r="J5325">
        <v>1</v>
      </c>
      <c r="K5325">
        <v>0</v>
      </c>
      <c r="L5325">
        <v>0</v>
      </c>
      <c r="M5325">
        <v>1</v>
      </c>
      <c r="N5325">
        <v>1</v>
      </c>
      <c r="O5325">
        <v>1</v>
      </c>
      <c r="P5325">
        <v>1</v>
      </c>
      <c r="Q5325">
        <v>1</v>
      </c>
      <c r="R5325">
        <v>1</v>
      </c>
    </row>
    <row r="5326" spans="1:18" x14ac:dyDescent="0.2">
      <c r="A5326" t="str">
        <f>"5322"</f>
        <v>5322</v>
      </c>
      <c r="B5326" t="str">
        <f t="shared" si="295"/>
        <v>1</v>
      </c>
      <c r="C5326" t="str">
        <f t="shared" si="296"/>
        <v>107</v>
      </c>
      <c r="D5326" t="str">
        <f>"8"</f>
        <v>8</v>
      </c>
      <c r="E5326" t="str">
        <f>"1-107-8"</f>
        <v>1-107-8</v>
      </c>
      <c r="F5326" t="s">
        <v>65</v>
      </c>
      <c r="G5326" t="s">
        <v>66</v>
      </c>
      <c r="H5326" t="s">
        <v>68</v>
      </c>
      <c r="I5326">
        <v>1</v>
      </c>
      <c r="J5326">
        <v>1</v>
      </c>
      <c r="K5326">
        <v>0</v>
      </c>
      <c r="L5326">
        <v>0</v>
      </c>
      <c r="M5326">
        <v>1</v>
      </c>
      <c r="N5326">
        <v>1</v>
      </c>
      <c r="O5326">
        <v>1</v>
      </c>
      <c r="P5326">
        <v>1</v>
      </c>
      <c r="Q5326">
        <v>1</v>
      </c>
      <c r="R5326">
        <v>1</v>
      </c>
    </row>
    <row r="5327" spans="1:18" x14ac:dyDescent="0.2">
      <c r="A5327" t="str">
        <f>"5323"</f>
        <v>5323</v>
      </c>
      <c r="B5327" t="str">
        <f t="shared" si="295"/>
        <v>1</v>
      </c>
      <c r="C5327" t="str">
        <f t="shared" si="296"/>
        <v>107</v>
      </c>
      <c r="D5327" t="str">
        <f>"40"</f>
        <v>40</v>
      </c>
      <c r="E5327" t="str">
        <f>"1-107-40"</f>
        <v>1-107-40</v>
      </c>
      <c r="F5327" t="s">
        <v>65</v>
      </c>
      <c r="G5327" t="s">
        <v>66</v>
      </c>
      <c r="H5327" t="s">
        <v>68</v>
      </c>
      <c r="I5327">
        <v>1</v>
      </c>
      <c r="J5327">
        <v>0</v>
      </c>
      <c r="K5327">
        <v>0</v>
      </c>
      <c r="L5327">
        <v>1</v>
      </c>
      <c r="M5327">
        <v>1</v>
      </c>
      <c r="N5327">
        <v>1</v>
      </c>
      <c r="O5327">
        <v>1</v>
      </c>
      <c r="P5327">
        <v>1</v>
      </c>
      <c r="Q5327">
        <v>1</v>
      </c>
      <c r="R5327">
        <v>1</v>
      </c>
    </row>
    <row r="5328" spans="1:18" x14ac:dyDescent="0.2">
      <c r="A5328" t="str">
        <f>"5324"</f>
        <v>5324</v>
      </c>
      <c r="B5328" t="str">
        <f t="shared" si="295"/>
        <v>1</v>
      </c>
      <c r="C5328" t="str">
        <f t="shared" si="296"/>
        <v>107</v>
      </c>
      <c r="D5328" t="str">
        <f>"20"</f>
        <v>20</v>
      </c>
      <c r="E5328" t="str">
        <f>"1-107-20"</f>
        <v>1-107-20</v>
      </c>
      <c r="F5328" t="s">
        <v>65</v>
      </c>
      <c r="G5328" t="s">
        <v>66</v>
      </c>
      <c r="H5328" t="s">
        <v>68</v>
      </c>
      <c r="I5328">
        <v>1</v>
      </c>
      <c r="J5328">
        <v>0</v>
      </c>
      <c r="K5328">
        <v>1</v>
      </c>
      <c r="L5328">
        <v>0</v>
      </c>
      <c r="M5328">
        <v>1</v>
      </c>
      <c r="N5328">
        <v>1</v>
      </c>
      <c r="O5328">
        <v>1</v>
      </c>
      <c r="P5328">
        <v>1</v>
      </c>
      <c r="Q5328">
        <v>1</v>
      </c>
      <c r="R5328">
        <v>1</v>
      </c>
    </row>
    <row r="5329" spans="1:18" x14ac:dyDescent="0.2">
      <c r="A5329" t="str">
        <f>"5325"</f>
        <v>5325</v>
      </c>
      <c r="B5329" t="str">
        <f t="shared" si="295"/>
        <v>1</v>
      </c>
      <c r="C5329" t="str">
        <f t="shared" si="296"/>
        <v>107</v>
      </c>
      <c r="D5329" t="str">
        <f>"6"</f>
        <v>6</v>
      </c>
      <c r="E5329" t="str">
        <f>"1-107-6"</f>
        <v>1-107-6</v>
      </c>
      <c r="F5329" t="s">
        <v>65</v>
      </c>
      <c r="G5329" t="s">
        <v>66</v>
      </c>
      <c r="H5329" t="s">
        <v>68</v>
      </c>
      <c r="I5329">
        <v>1</v>
      </c>
      <c r="J5329">
        <v>0</v>
      </c>
      <c r="K5329">
        <v>0</v>
      </c>
      <c r="L5329">
        <v>1</v>
      </c>
      <c r="M5329">
        <v>1</v>
      </c>
      <c r="N5329">
        <v>1</v>
      </c>
      <c r="O5329">
        <v>0</v>
      </c>
      <c r="P5329">
        <v>0</v>
      </c>
      <c r="Q5329">
        <v>0</v>
      </c>
      <c r="R5329">
        <v>0</v>
      </c>
    </row>
    <row r="5330" spans="1:18" x14ac:dyDescent="0.2">
      <c r="A5330" t="str">
        <f>"5326"</f>
        <v>5326</v>
      </c>
      <c r="B5330" t="str">
        <f t="shared" si="295"/>
        <v>1</v>
      </c>
      <c r="C5330" t="str">
        <f t="shared" si="296"/>
        <v>107</v>
      </c>
      <c r="D5330" t="str">
        <f>"43"</f>
        <v>43</v>
      </c>
      <c r="E5330" t="str">
        <f>"1-107-43"</f>
        <v>1-107-43</v>
      </c>
      <c r="F5330" t="s">
        <v>65</v>
      </c>
      <c r="G5330" t="s">
        <v>66</v>
      </c>
      <c r="H5330" t="s">
        <v>68</v>
      </c>
      <c r="I5330">
        <v>0</v>
      </c>
      <c r="J5330">
        <v>1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</row>
    <row r="5331" spans="1:18" x14ac:dyDescent="0.2">
      <c r="A5331" t="str">
        <f>"5327"</f>
        <v>5327</v>
      </c>
      <c r="B5331" t="str">
        <f t="shared" si="295"/>
        <v>1</v>
      </c>
      <c r="C5331" t="str">
        <f t="shared" si="296"/>
        <v>107</v>
      </c>
      <c r="D5331" t="str">
        <f>"22"</f>
        <v>22</v>
      </c>
      <c r="E5331" t="str">
        <f>"1-107-22"</f>
        <v>1-107-22</v>
      </c>
      <c r="F5331" t="s">
        <v>65</v>
      </c>
      <c r="G5331" t="s">
        <v>66</v>
      </c>
      <c r="H5331" t="s">
        <v>68</v>
      </c>
      <c r="I5331">
        <v>1</v>
      </c>
      <c r="J5331">
        <v>0</v>
      </c>
      <c r="K5331">
        <v>1</v>
      </c>
      <c r="L5331">
        <v>0</v>
      </c>
      <c r="M5331">
        <v>1</v>
      </c>
      <c r="N5331">
        <v>1</v>
      </c>
      <c r="O5331">
        <v>1</v>
      </c>
      <c r="P5331">
        <v>1</v>
      </c>
      <c r="Q5331">
        <v>1</v>
      </c>
      <c r="R5331">
        <v>1</v>
      </c>
    </row>
    <row r="5332" spans="1:18" x14ac:dyDescent="0.2">
      <c r="A5332" t="str">
        <f>"5328"</f>
        <v>5328</v>
      </c>
      <c r="B5332" t="str">
        <f t="shared" si="295"/>
        <v>1</v>
      </c>
      <c r="C5332" t="str">
        <f t="shared" si="296"/>
        <v>107</v>
      </c>
      <c r="D5332" t="str">
        <f>"12"</f>
        <v>12</v>
      </c>
      <c r="E5332" t="str">
        <f>"1-107-12"</f>
        <v>1-107-12</v>
      </c>
      <c r="F5332" t="s">
        <v>65</v>
      </c>
      <c r="G5332" t="s">
        <v>66</v>
      </c>
      <c r="H5332" t="s">
        <v>68</v>
      </c>
      <c r="I5332">
        <v>0</v>
      </c>
      <c r="J5332">
        <v>0</v>
      </c>
      <c r="K5332">
        <v>0</v>
      </c>
      <c r="L5332">
        <v>1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</row>
    <row r="5333" spans="1:18" x14ac:dyDescent="0.2">
      <c r="A5333" t="str">
        <f>"5329"</f>
        <v>5329</v>
      </c>
      <c r="B5333" t="str">
        <f t="shared" si="295"/>
        <v>1</v>
      </c>
      <c r="C5333" t="str">
        <f t="shared" si="296"/>
        <v>107</v>
      </c>
      <c r="D5333" t="str">
        <f>"44"</f>
        <v>44</v>
      </c>
      <c r="E5333" t="str">
        <f>"1-107-44"</f>
        <v>1-107-44</v>
      </c>
      <c r="F5333" t="s">
        <v>65</v>
      </c>
      <c r="G5333" t="s">
        <v>66</v>
      </c>
      <c r="H5333" t="s">
        <v>68</v>
      </c>
      <c r="I5333">
        <v>1</v>
      </c>
      <c r="J5333">
        <v>0</v>
      </c>
      <c r="K5333">
        <v>0</v>
      </c>
      <c r="L5333">
        <v>1</v>
      </c>
      <c r="M5333">
        <v>1</v>
      </c>
      <c r="N5333">
        <v>1</v>
      </c>
      <c r="O5333">
        <v>1</v>
      </c>
      <c r="P5333">
        <v>1</v>
      </c>
      <c r="Q5333">
        <v>1</v>
      </c>
      <c r="R5333">
        <v>1</v>
      </c>
    </row>
    <row r="5334" spans="1:18" x14ac:dyDescent="0.2">
      <c r="A5334" t="str">
        <f>"5330"</f>
        <v>5330</v>
      </c>
      <c r="B5334" t="str">
        <f t="shared" si="295"/>
        <v>1</v>
      </c>
      <c r="C5334" t="str">
        <f t="shared" si="296"/>
        <v>107</v>
      </c>
      <c r="D5334" t="str">
        <f>"24"</f>
        <v>24</v>
      </c>
      <c r="E5334" t="str">
        <f>"1-107-24"</f>
        <v>1-107-24</v>
      </c>
      <c r="F5334" t="s">
        <v>65</v>
      </c>
      <c r="G5334" t="s">
        <v>66</v>
      </c>
      <c r="H5334" t="s">
        <v>68</v>
      </c>
      <c r="I5334">
        <v>1</v>
      </c>
      <c r="J5334">
        <v>0</v>
      </c>
      <c r="K5334">
        <v>0</v>
      </c>
      <c r="L5334">
        <v>1</v>
      </c>
      <c r="M5334">
        <v>1</v>
      </c>
      <c r="N5334">
        <v>1</v>
      </c>
      <c r="O5334">
        <v>1</v>
      </c>
      <c r="P5334">
        <v>1</v>
      </c>
      <c r="Q5334">
        <v>1</v>
      </c>
      <c r="R5334">
        <v>1</v>
      </c>
    </row>
    <row r="5335" spans="1:18" x14ac:dyDescent="0.2">
      <c r="A5335" t="str">
        <f>"5331"</f>
        <v>5331</v>
      </c>
      <c r="B5335" t="str">
        <f t="shared" si="295"/>
        <v>1</v>
      </c>
      <c r="C5335" t="str">
        <f t="shared" si="296"/>
        <v>107</v>
      </c>
      <c r="D5335" t="str">
        <f>"5"</f>
        <v>5</v>
      </c>
      <c r="E5335" t="str">
        <f>"1-107-5"</f>
        <v>1-107-5</v>
      </c>
      <c r="F5335" t="s">
        <v>65</v>
      </c>
      <c r="G5335" t="s">
        <v>66</v>
      </c>
      <c r="H5335" t="s">
        <v>68</v>
      </c>
      <c r="I5335">
        <v>1</v>
      </c>
      <c r="J5335">
        <v>0</v>
      </c>
      <c r="K5335">
        <v>0</v>
      </c>
      <c r="L5335">
        <v>1</v>
      </c>
      <c r="M5335">
        <v>1</v>
      </c>
      <c r="N5335">
        <v>1</v>
      </c>
      <c r="O5335">
        <v>1</v>
      </c>
      <c r="P5335">
        <v>1</v>
      </c>
      <c r="Q5335">
        <v>1</v>
      </c>
      <c r="R5335">
        <v>1</v>
      </c>
    </row>
    <row r="5336" spans="1:18" x14ac:dyDescent="0.2">
      <c r="A5336" t="str">
        <f>"5332"</f>
        <v>5332</v>
      </c>
      <c r="B5336" t="str">
        <f t="shared" si="295"/>
        <v>1</v>
      </c>
      <c r="C5336" t="str">
        <f t="shared" si="296"/>
        <v>107</v>
      </c>
      <c r="D5336" t="str">
        <f>"46"</f>
        <v>46</v>
      </c>
      <c r="E5336" t="str">
        <f>"1-107-46"</f>
        <v>1-107-46</v>
      </c>
      <c r="F5336" t="s">
        <v>65</v>
      </c>
      <c r="G5336" t="s">
        <v>66</v>
      </c>
      <c r="H5336" t="s">
        <v>68</v>
      </c>
      <c r="I5336">
        <v>1</v>
      </c>
      <c r="J5336">
        <v>0</v>
      </c>
      <c r="K5336">
        <v>0</v>
      </c>
      <c r="L5336">
        <v>1</v>
      </c>
      <c r="M5336">
        <v>1</v>
      </c>
      <c r="N5336">
        <v>1</v>
      </c>
      <c r="O5336">
        <v>1</v>
      </c>
      <c r="P5336">
        <v>1</v>
      </c>
      <c r="Q5336">
        <v>1</v>
      </c>
      <c r="R5336">
        <v>1</v>
      </c>
    </row>
    <row r="5337" spans="1:18" x14ac:dyDescent="0.2">
      <c r="A5337" t="str">
        <f>"5333"</f>
        <v>5333</v>
      </c>
      <c r="B5337" t="str">
        <f t="shared" si="295"/>
        <v>1</v>
      </c>
      <c r="C5337" t="str">
        <f t="shared" ref="C5337:C5354" si="297">"107"</f>
        <v>107</v>
      </c>
      <c r="D5337" t="str">
        <f>"26"</f>
        <v>26</v>
      </c>
      <c r="E5337" t="str">
        <f>"1-107-26"</f>
        <v>1-107-26</v>
      </c>
      <c r="F5337" t="s">
        <v>65</v>
      </c>
      <c r="G5337" t="s">
        <v>66</v>
      </c>
      <c r="H5337" t="s">
        <v>68</v>
      </c>
      <c r="I5337">
        <v>1</v>
      </c>
      <c r="J5337">
        <v>0</v>
      </c>
      <c r="K5337">
        <v>0</v>
      </c>
      <c r="L5337">
        <v>1</v>
      </c>
      <c r="M5337">
        <v>1</v>
      </c>
      <c r="N5337">
        <v>1</v>
      </c>
      <c r="O5337">
        <v>1</v>
      </c>
      <c r="P5337">
        <v>1</v>
      </c>
      <c r="Q5337">
        <v>1</v>
      </c>
      <c r="R5337">
        <v>1</v>
      </c>
    </row>
    <row r="5338" spans="1:18" x14ac:dyDescent="0.2">
      <c r="A5338" t="str">
        <f>"5334"</f>
        <v>5334</v>
      </c>
      <c r="B5338" t="str">
        <f t="shared" si="295"/>
        <v>1</v>
      </c>
      <c r="C5338" t="str">
        <f t="shared" si="297"/>
        <v>107</v>
      </c>
      <c r="D5338" t="str">
        <f>"13"</f>
        <v>13</v>
      </c>
      <c r="E5338" t="str">
        <f>"1-107-13"</f>
        <v>1-107-13</v>
      </c>
      <c r="F5338" t="s">
        <v>65</v>
      </c>
      <c r="G5338" t="s">
        <v>66</v>
      </c>
      <c r="H5338" t="s">
        <v>68</v>
      </c>
      <c r="I5338">
        <v>0</v>
      </c>
      <c r="J5338">
        <v>0</v>
      </c>
      <c r="K5338">
        <v>0</v>
      </c>
      <c r="L5338">
        <v>1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</row>
    <row r="5339" spans="1:18" x14ac:dyDescent="0.2">
      <c r="A5339" t="str">
        <f>"5335"</f>
        <v>5335</v>
      </c>
      <c r="B5339" t="str">
        <f t="shared" si="295"/>
        <v>1</v>
      </c>
      <c r="C5339" t="str">
        <f t="shared" si="297"/>
        <v>107</v>
      </c>
      <c r="D5339" t="str">
        <f>"45"</f>
        <v>45</v>
      </c>
      <c r="E5339" t="str">
        <f>"1-107-45"</f>
        <v>1-107-45</v>
      </c>
      <c r="F5339" t="s">
        <v>65</v>
      </c>
      <c r="G5339" t="s">
        <v>66</v>
      </c>
      <c r="H5339" t="s">
        <v>68</v>
      </c>
      <c r="I5339">
        <v>1</v>
      </c>
      <c r="J5339">
        <v>1</v>
      </c>
      <c r="K5339">
        <v>0</v>
      </c>
      <c r="L5339">
        <v>0</v>
      </c>
      <c r="M5339">
        <v>1</v>
      </c>
      <c r="N5339">
        <v>1</v>
      </c>
      <c r="O5339">
        <v>1</v>
      </c>
      <c r="P5339">
        <v>1</v>
      </c>
      <c r="Q5339">
        <v>1</v>
      </c>
      <c r="R5339">
        <v>1</v>
      </c>
    </row>
    <row r="5340" spans="1:18" x14ac:dyDescent="0.2">
      <c r="A5340" t="str">
        <f>"5336"</f>
        <v>5336</v>
      </c>
      <c r="B5340" t="str">
        <f t="shared" si="295"/>
        <v>1</v>
      </c>
      <c r="C5340" t="str">
        <f t="shared" si="297"/>
        <v>107</v>
      </c>
      <c r="D5340" t="str">
        <f>"27"</f>
        <v>27</v>
      </c>
      <c r="E5340" t="str">
        <f>"1-107-27"</f>
        <v>1-107-27</v>
      </c>
      <c r="F5340" t="s">
        <v>65</v>
      </c>
      <c r="G5340" t="s">
        <v>66</v>
      </c>
      <c r="H5340" t="s">
        <v>68</v>
      </c>
      <c r="I5340">
        <v>1</v>
      </c>
      <c r="J5340">
        <v>0</v>
      </c>
      <c r="K5340">
        <v>0</v>
      </c>
      <c r="L5340">
        <v>1</v>
      </c>
      <c r="M5340">
        <v>1</v>
      </c>
      <c r="N5340">
        <v>1</v>
      </c>
      <c r="O5340">
        <v>1</v>
      </c>
      <c r="P5340">
        <v>1</v>
      </c>
      <c r="Q5340">
        <v>1</v>
      </c>
      <c r="R5340">
        <v>1</v>
      </c>
    </row>
    <row r="5341" spans="1:18" x14ac:dyDescent="0.2">
      <c r="A5341" t="str">
        <f>"5337"</f>
        <v>5337</v>
      </c>
      <c r="B5341" t="str">
        <f t="shared" si="295"/>
        <v>1</v>
      </c>
      <c r="C5341" t="str">
        <f t="shared" si="297"/>
        <v>107</v>
      </c>
      <c r="D5341" t="str">
        <f>"7"</f>
        <v>7</v>
      </c>
      <c r="E5341" t="str">
        <f>"1-107-7"</f>
        <v>1-107-7</v>
      </c>
      <c r="F5341" t="s">
        <v>65</v>
      </c>
      <c r="G5341" t="s">
        <v>66</v>
      </c>
      <c r="H5341" t="s">
        <v>68</v>
      </c>
      <c r="I5341">
        <v>0</v>
      </c>
      <c r="J5341">
        <v>1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</row>
    <row r="5342" spans="1:18" x14ac:dyDescent="0.2">
      <c r="A5342" t="str">
        <f>"5338"</f>
        <v>5338</v>
      </c>
      <c r="B5342" t="str">
        <f t="shared" si="295"/>
        <v>1</v>
      </c>
      <c r="C5342" t="str">
        <f t="shared" si="297"/>
        <v>107</v>
      </c>
      <c r="D5342" t="str">
        <f>"47"</f>
        <v>47</v>
      </c>
      <c r="E5342" t="str">
        <f>"1-107-47"</f>
        <v>1-107-47</v>
      </c>
      <c r="F5342" t="s">
        <v>65</v>
      </c>
      <c r="G5342" t="s">
        <v>66</v>
      </c>
      <c r="H5342" t="s">
        <v>68</v>
      </c>
      <c r="I5342">
        <v>1</v>
      </c>
      <c r="J5342">
        <v>0</v>
      </c>
      <c r="K5342">
        <v>0</v>
      </c>
      <c r="L5342">
        <v>1</v>
      </c>
      <c r="M5342">
        <v>1</v>
      </c>
      <c r="N5342">
        <v>1</v>
      </c>
      <c r="O5342">
        <v>1</v>
      </c>
      <c r="P5342">
        <v>1</v>
      </c>
      <c r="Q5342">
        <v>1</v>
      </c>
      <c r="R5342">
        <v>1</v>
      </c>
    </row>
    <row r="5343" spans="1:18" x14ac:dyDescent="0.2">
      <c r="A5343" t="str">
        <f>"5339"</f>
        <v>5339</v>
      </c>
      <c r="B5343" t="str">
        <f t="shared" si="295"/>
        <v>1</v>
      </c>
      <c r="C5343" t="str">
        <f t="shared" si="297"/>
        <v>107</v>
      </c>
      <c r="D5343" t="str">
        <f>"28"</f>
        <v>28</v>
      </c>
      <c r="E5343" t="str">
        <f>"1-107-28"</f>
        <v>1-107-28</v>
      </c>
      <c r="F5343" t="s">
        <v>65</v>
      </c>
      <c r="G5343" t="s">
        <v>66</v>
      </c>
      <c r="H5343" t="s">
        <v>68</v>
      </c>
      <c r="I5343">
        <v>1</v>
      </c>
      <c r="J5343">
        <v>0</v>
      </c>
      <c r="K5343">
        <v>1</v>
      </c>
      <c r="L5343">
        <v>0</v>
      </c>
      <c r="M5343">
        <v>1</v>
      </c>
      <c r="N5343">
        <v>1</v>
      </c>
      <c r="O5343">
        <v>1</v>
      </c>
      <c r="P5343">
        <v>1</v>
      </c>
      <c r="Q5343">
        <v>1</v>
      </c>
      <c r="R5343">
        <v>1</v>
      </c>
    </row>
    <row r="5344" spans="1:18" x14ac:dyDescent="0.2">
      <c r="A5344" t="str">
        <f>"5340"</f>
        <v>5340</v>
      </c>
      <c r="B5344" t="str">
        <f t="shared" si="295"/>
        <v>1</v>
      </c>
      <c r="C5344" t="str">
        <f t="shared" si="297"/>
        <v>107</v>
      </c>
      <c r="D5344" t="str">
        <f>"1"</f>
        <v>1</v>
      </c>
      <c r="E5344" t="str">
        <f>"1-107-1"</f>
        <v>1-107-1</v>
      </c>
      <c r="F5344" t="s">
        <v>65</v>
      </c>
      <c r="G5344" t="s">
        <v>66</v>
      </c>
      <c r="H5344" t="s">
        <v>68</v>
      </c>
      <c r="I5344">
        <v>1</v>
      </c>
      <c r="J5344">
        <v>1</v>
      </c>
      <c r="K5344">
        <v>0</v>
      </c>
      <c r="L5344">
        <v>0</v>
      </c>
      <c r="M5344">
        <v>1</v>
      </c>
      <c r="N5344">
        <v>1</v>
      </c>
      <c r="O5344">
        <v>1</v>
      </c>
      <c r="P5344">
        <v>1</v>
      </c>
      <c r="Q5344">
        <v>1</v>
      </c>
      <c r="R5344">
        <v>1</v>
      </c>
    </row>
    <row r="5345" spans="1:39" x14ac:dyDescent="0.2">
      <c r="A5345" t="str">
        <f>"5341"</f>
        <v>5341</v>
      </c>
      <c r="B5345" t="str">
        <f t="shared" si="295"/>
        <v>1</v>
      </c>
      <c r="C5345" t="str">
        <f t="shared" si="297"/>
        <v>107</v>
      </c>
      <c r="D5345" t="str">
        <f>"49"</f>
        <v>49</v>
      </c>
      <c r="E5345" t="str">
        <f>"1-107-49"</f>
        <v>1-107-49</v>
      </c>
      <c r="F5345" t="s">
        <v>65</v>
      </c>
      <c r="G5345" t="s">
        <v>66</v>
      </c>
      <c r="H5345" t="s">
        <v>68</v>
      </c>
      <c r="I5345">
        <v>0</v>
      </c>
      <c r="J5345">
        <v>0</v>
      </c>
      <c r="K5345">
        <v>1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</row>
    <row r="5346" spans="1:39" x14ac:dyDescent="0.2">
      <c r="A5346" t="str">
        <f>"5342"</f>
        <v>5342</v>
      </c>
      <c r="B5346" t="str">
        <f t="shared" si="295"/>
        <v>1</v>
      </c>
      <c r="C5346" t="str">
        <f t="shared" si="297"/>
        <v>107</v>
      </c>
      <c r="D5346" t="str">
        <f>"29"</f>
        <v>29</v>
      </c>
      <c r="E5346" t="str">
        <f>"1-107-29"</f>
        <v>1-107-29</v>
      </c>
      <c r="F5346" t="s">
        <v>65</v>
      </c>
      <c r="G5346" t="s">
        <v>66</v>
      </c>
      <c r="H5346" t="s">
        <v>68</v>
      </c>
      <c r="I5346">
        <v>1</v>
      </c>
      <c r="J5346">
        <v>0</v>
      </c>
      <c r="K5346">
        <v>1</v>
      </c>
      <c r="L5346">
        <v>0</v>
      </c>
      <c r="M5346">
        <v>1</v>
      </c>
      <c r="N5346">
        <v>1</v>
      </c>
      <c r="O5346">
        <v>1</v>
      </c>
      <c r="P5346">
        <v>1</v>
      </c>
      <c r="Q5346">
        <v>1</v>
      </c>
      <c r="R5346">
        <v>1</v>
      </c>
    </row>
    <row r="5347" spans="1:39" x14ac:dyDescent="0.2">
      <c r="A5347" t="str">
        <f>"5343"</f>
        <v>5343</v>
      </c>
      <c r="B5347" t="str">
        <f t="shared" si="295"/>
        <v>1</v>
      </c>
      <c r="C5347" t="str">
        <f t="shared" si="297"/>
        <v>107</v>
      </c>
      <c r="D5347" t="str">
        <f>"11"</f>
        <v>11</v>
      </c>
      <c r="E5347" t="str">
        <f>"1-107-11"</f>
        <v>1-107-11</v>
      </c>
      <c r="F5347" t="s">
        <v>65</v>
      </c>
      <c r="G5347" t="s">
        <v>66</v>
      </c>
      <c r="H5347" t="s">
        <v>68</v>
      </c>
      <c r="I5347">
        <v>1</v>
      </c>
      <c r="J5347">
        <v>0</v>
      </c>
      <c r="K5347">
        <v>0</v>
      </c>
      <c r="L5347">
        <v>1</v>
      </c>
      <c r="M5347">
        <v>1</v>
      </c>
      <c r="N5347">
        <v>1</v>
      </c>
      <c r="O5347">
        <v>1</v>
      </c>
      <c r="P5347">
        <v>1</v>
      </c>
      <c r="Q5347">
        <v>1</v>
      </c>
      <c r="R5347">
        <v>1</v>
      </c>
    </row>
    <row r="5348" spans="1:39" x14ac:dyDescent="0.2">
      <c r="A5348" t="str">
        <f>"5344"</f>
        <v>5344</v>
      </c>
      <c r="B5348" t="str">
        <f t="shared" si="295"/>
        <v>1</v>
      </c>
      <c r="C5348" t="str">
        <f t="shared" si="297"/>
        <v>107</v>
      </c>
      <c r="D5348" t="str">
        <f>"31"</f>
        <v>31</v>
      </c>
      <c r="E5348" t="str">
        <f>"1-107-31"</f>
        <v>1-107-31</v>
      </c>
      <c r="F5348" t="s">
        <v>65</v>
      </c>
      <c r="G5348" t="s">
        <v>66</v>
      </c>
      <c r="H5348" t="s">
        <v>68</v>
      </c>
      <c r="I5348">
        <v>1</v>
      </c>
      <c r="J5348">
        <v>0</v>
      </c>
      <c r="K5348">
        <v>1</v>
      </c>
      <c r="L5348">
        <v>0</v>
      </c>
      <c r="M5348">
        <v>1</v>
      </c>
      <c r="N5348">
        <v>1</v>
      </c>
      <c r="O5348">
        <v>1</v>
      </c>
      <c r="P5348">
        <v>1</v>
      </c>
      <c r="Q5348">
        <v>1</v>
      </c>
      <c r="R5348">
        <v>1</v>
      </c>
    </row>
    <row r="5349" spans="1:39" x14ac:dyDescent="0.2">
      <c r="A5349" t="str">
        <f>"5345"</f>
        <v>5345</v>
      </c>
      <c r="B5349" t="str">
        <f t="shared" si="295"/>
        <v>1</v>
      </c>
      <c r="C5349" t="str">
        <f t="shared" si="297"/>
        <v>107</v>
      </c>
      <c r="D5349" t="str">
        <f>"9"</f>
        <v>9</v>
      </c>
      <c r="E5349" t="str">
        <f>"1-107-9"</f>
        <v>1-107-9</v>
      </c>
      <c r="F5349" t="s">
        <v>65</v>
      </c>
      <c r="G5349" t="s">
        <v>66</v>
      </c>
      <c r="H5349" t="s">
        <v>68</v>
      </c>
      <c r="I5349">
        <v>1</v>
      </c>
      <c r="J5349">
        <v>0</v>
      </c>
      <c r="K5349">
        <v>0</v>
      </c>
      <c r="L5349">
        <v>1</v>
      </c>
      <c r="M5349">
        <v>1</v>
      </c>
      <c r="N5349">
        <v>1</v>
      </c>
      <c r="O5349">
        <v>1</v>
      </c>
      <c r="P5349">
        <v>1</v>
      </c>
      <c r="Q5349">
        <v>1</v>
      </c>
      <c r="R5349">
        <v>1</v>
      </c>
    </row>
    <row r="5350" spans="1:39" x14ac:dyDescent="0.2">
      <c r="A5350" t="str">
        <f>"5346"</f>
        <v>5346</v>
      </c>
      <c r="B5350" t="str">
        <f t="shared" si="295"/>
        <v>1</v>
      </c>
      <c r="C5350" t="str">
        <f t="shared" si="297"/>
        <v>107</v>
      </c>
      <c r="D5350" t="str">
        <f>"48"</f>
        <v>48</v>
      </c>
      <c r="E5350" t="str">
        <f>"1-107-48"</f>
        <v>1-107-48</v>
      </c>
      <c r="F5350" t="s">
        <v>65</v>
      </c>
      <c r="G5350" t="s">
        <v>66</v>
      </c>
      <c r="H5350" t="s">
        <v>68</v>
      </c>
      <c r="I5350">
        <v>1</v>
      </c>
      <c r="J5350">
        <v>0</v>
      </c>
      <c r="K5350">
        <v>0</v>
      </c>
      <c r="L5350">
        <v>0</v>
      </c>
      <c r="M5350">
        <v>1</v>
      </c>
      <c r="N5350">
        <v>1</v>
      </c>
      <c r="O5350">
        <v>1</v>
      </c>
      <c r="P5350">
        <v>1</v>
      </c>
      <c r="Q5350">
        <v>1</v>
      </c>
      <c r="R5350">
        <v>1</v>
      </c>
    </row>
    <row r="5351" spans="1:39" x14ac:dyDescent="0.2">
      <c r="A5351" t="str">
        <f>"5347"</f>
        <v>5347</v>
      </c>
      <c r="B5351" t="str">
        <f t="shared" si="295"/>
        <v>1</v>
      </c>
      <c r="C5351" t="str">
        <f t="shared" si="297"/>
        <v>107</v>
      </c>
      <c r="D5351" t="str">
        <f>"32"</f>
        <v>32</v>
      </c>
      <c r="E5351" t="str">
        <f>"1-107-32"</f>
        <v>1-107-32</v>
      </c>
      <c r="F5351" t="s">
        <v>65</v>
      </c>
      <c r="G5351" t="s">
        <v>66</v>
      </c>
      <c r="H5351" t="s">
        <v>68</v>
      </c>
      <c r="I5351">
        <v>1</v>
      </c>
      <c r="J5351">
        <v>0</v>
      </c>
      <c r="K5351">
        <v>0</v>
      </c>
      <c r="L5351">
        <v>1</v>
      </c>
      <c r="M5351">
        <v>1</v>
      </c>
      <c r="N5351">
        <v>1</v>
      </c>
      <c r="O5351">
        <v>1</v>
      </c>
      <c r="P5351">
        <v>1</v>
      </c>
      <c r="Q5351">
        <v>1</v>
      </c>
      <c r="R5351">
        <v>1</v>
      </c>
    </row>
    <row r="5352" spans="1:39" x14ac:dyDescent="0.2">
      <c r="A5352" t="str">
        <f>"5348"</f>
        <v>5348</v>
      </c>
      <c r="B5352" t="str">
        <f t="shared" si="295"/>
        <v>1</v>
      </c>
      <c r="C5352" t="str">
        <f t="shared" si="297"/>
        <v>107</v>
      </c>
      <c r="D5352" t="str">
        <f>"4"</f>
        <v>4</v>
      </c>
      <c r="E5352" t="str">
        <f>"1-107-4"</f>
        <v>1-107-4</v>
      </c>
      <c r="F5352" t="s">
        <v>65</v>
      </c>
      <c r="G5352" t="s">
        <v>66</v>
      </c>
      <c r="H5352" t="s">
        <v>68</v>
      </c>
      <c r="I5352">
        <v>1</v>
      </c>
      <c r="J5352">
        <v>0</v>
      </c>
      <c r="K5352">
        <v>0</v>
      </c>
      <c r="L5352">
        <v>1</v>
      </c>
      <c r="M5352">
        <v>1</v>
      </c>
      <c r="N5352">
        <v>0</v>
      </c>
      <c r="O5352">
        <v>0</v>
      </c>
      <c r="P5352">
        <v>0</v>
      </c>
      <c r="Q5352">
        <v>0</v>
      </c>
      <c r="R5352">
        <v>0</v>
      </c>
    </row>
    <row r="5353" spans="1:39" x14ac:dyDescent="0.2">
      <c r="A5353" t="str">
        <f>"5349"</f>
        <v>5349</v>
      </c>
      <c r="B5353" t="str">
        <f t="shared" si="295"/>
        <v>1</v>
      </c>
      <c r="C5353" t="str">
        <f t="shared" si="297"/>
        <v>107</v>
      </c>
      <c r="D5353" t="str">
        <f>"36"</f>
        <v>36</v>
      </c>
      <c r="E5353" t="str">
        <f>"1-107-36"</f>
        <v>1-107-36</v>
      </c>
      <c r="F5353" t="s">
        <v>65</v>
      </c>
      <c r="G5353" t="s">
        <v>66</v>
      </c>
      <c r="H5353" t="s">
        <v>68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</row>
    <row r="5354" spans="1:39" x14ac:dyDescent="0.2">
      <c r="A5354" t="str">
        <f>"5350"</f>
        <v>5350</v>
      </c>
      <c r="B5354" t="str">
        <f t="shared" si="295"/>
        <v>1</v>
      </c>
      <c r="C5354" t="str">
        <f t="shared" si="297"/>
        <v>107</v>
      </c>
      <c r="D5354" t="str">
        <f>"50"</f>
        <v>50</v>
      </c>
      <c r="E5354" t="str">
        <f>"1-107-50"</f>
        <v>1-107-50</v>
      </c>
      <c r="F5354" t="s">
        <v>65</v>
      </c>
      <c r="G5354" t="s">
        <v>66</v>
      </c>
      <c r="H5354" t="s">
        <v>67</v>
      </c>
      <c r="S5354">
        <v>1</v>
      </c>
      <c r="T5354">
        <v>0</v>
      </c>
      <c r="U5354">
        <v>0</v>
      </c>
      <c r="V5354">
        <v>0</v>
      </c>
      <c r="W5354">
        <v>0</v>
      </c>
      <c r="X5354">
        <v>1</v>
      </c>
      <c r="Y5354">
        <v>1</v>
      </c>
      <c r="Z5354">
        <v>0</v>
      </c>
      <c r="AA5354">
        <v>0</v>
      </c>
      <c r="AB5354">
        <v>0</v>
      </c>
      <c r="AC5354">
        <v>1</v>
      </c>
      <c r="AD5354">
        <v>1</v>
      </c>
      <c r="AE5354">
        <v>1</v>
      </c>
      <c r="AF5354">
        <v>1</v>
      </c>
      <c r="AG5354">
        <v>1</v>
      </c>
      <c r="AH5354">
        <v>1</v>
      </c>
      <c r="AI5354">
        <v>1</v>
      </c>
      <c r="AJ5354">
        <v>1</v>
      </c>
      <c r="AK5354">
        <v>1</v>
      </c>
      <c r="AL5354">
        <v>1</v>
      </c>
      <c r="AM5354">
        <v>1</v>
      </c>
    </row>
    <row r="5355" spans="1:39" x14ac:dyDescent="0.2">
      <c r="A5355" t="str">
        <f>"5351"</f>
        <v>5351</v>
      </c>
      <c r="B5355" t="str">
        <f t="shared" si="295"/>
        <v>1</v>
      </c>
      <c r="C5355" t="str">
        <f t="shared" ref="C5355:C5386" si="298">"108"</f>
        <v>108</v>
      </c>
      <c r="D5355" t="str">
        <f>"38"</f>
        <v>38</v>
      </c>
      <c r="E5355" t="str">
        <f>"1-108-38"</f>
        <v>1-108-38</v>
      </c>
      <c r="F5355" t="s">
        <v>65</v>
      </c>
      <c r="G5355" t="s">
        <v>66</v>
      </c>
      <c r="H5355" t="s">
        <v>68</v>
      </c>
      <c r="I5355">
        <v>1</v>
      </c>
      <c r="J5355">
        <v>0</v>
      </c>
      <c r="K5355">
        <v>0</v>
      </c>
      <c r="L5355">
        <v>1</v>
      </c>
      <c r="M5355">
        <v>1</v>
      </c>
      <c r="N5355">
        <v>1</v>
      </c>
      <c r="O5355">
        <v>1</v>
      </c>
      <c r="P5355">
        <v>1</v>
      </c>
      <c r="Q5355">
        <v>1</v>
      </c>
      <c r="R5355">
        <v>1</v>
      </c>
    </row>
    <row r="5356" spans="1:39" x14ac:dyDescent="0.2">
      <c r="A5356" t="str">
        <f>"5352"</f>
        <v>5352</v>
      </c>
      <c r="B5356" t="str">
        <f t="shared" si="295"/>
        <v>1</v>
      </c>
      <c r="C5356" t="str">
        <f t="shared" si="298"/>
        <v>108</v>
      </c>
      <c r="D5356" t="str">
        <f>"37"</f>
        <v>37</v>
      </c>
      <c r="E5356" t="str">
        <f>"1-108-37"</f>
        <v>1-108-37</v>
      </c>
      <c r="F5356" t="s">
        <v>65</v>
      </c>
      <c r="G5356" t="s">
        <v>66</v>
      </c>
      <c r="H5356" t="s">
        <v>68</v>
      </c>
      <c r="I5356">
        <v>1</v>
      </c>
      <c r="J5356">
        <v>1</v>
      </c>
      <c r="K5356">
        <v>0</v>
      </c>
      <c r="L5356">
        <v>0</v>
      </c>
      <c r="M5356">
        <v>1</v>
      </c>
      <c r="N5356">
        <v>1</v>
      </c>
      <c r="O5356">
        <v>1</v>
      </c>
      <c r="P5356">
        <v>1</v>
      </c>
      <c r="Q5356">
        <v>1</v>
      </c>
      <c r="R5356">
        <v>1</v>
      </c>
    </row>
    <row r="5357" spans="1:39" x14ac:dyDescent="0.2">
      <c r="A5357" t="str">
        <f>"5353"</f>
        <v>5353</v>
      </c>
      <c r="B5357" t="str">
        <f t="shared" si="295"/>
        <v>1</v>
      </c>
      <c r="C5357" t="str">
        <f t="shared" si="298"/>
        <v>108</v>
      </c>
      <c r="D5357" t="str">
        <f>"29"</f>
        <v>29</v>
      </c>
      <c r="E5357" t="str">
        <f>"1-108-29"</f>
        <v>1-108-29</v>
      </c>
      <c r="F5357" t="s">
        <v>65</v>
      </c>
      <c r="G5357" t="s">
        <v>66</v>
      </c>
      <c r="H5357" t="s">
        <v>68</v>
      </c>
      <c r="I5357">
        <v>1</v>
      </c>
      <c r="J5357">
        <v>0</v>
      </c>
      <c r="K5357">
        <v>0</v>
      </c>
      <c r="L5357">
        <v>1</v>
      </c>
      <c r="M5357">
        <v>1</v>
      </c>
      <c r="N5357">
        <v>1</v>
      </c>
      <c r="O5357">
        <v>1</v>
      </c>
      <c r="P5357">
        <v>1</v>
      </c>
      <c r="Q5357">
        <v>1</v>
      </c>
      <c r="R5357">
        <v>1</v>
      </c>
    </row>
    <row r="5358" spans="1:39" x14ac:dyDescent="0.2">
      <c r="A5358" t="str">
        <f>"5354"</f>
        <v>5354</v>
      </c>
      <c r="B5358" t="str">
        <f t="shared" si="295"/>
        <v>1</v>
      </c>
      <c r="C5358" t="str">
        <f t="shared" si="298"/>
        <v>108</v>
      </c>
      <c r="D5358" t="str">
        <f>"15"</f>
        <v>15</v>
      </c>
      <c r="E5358" t="str">
        <f>"1-108-15"</f>
        <v>1-108-15</v>
      </c>
      <c r="F5358" t="s">
        <v>65</v>
      </c>
      <c r="G5358" t="s">
        <v>66</v>
      </c>
      <c r="H5358" t="s">
        <v>68</v>
      </c>
      <c r="I5358">
        <v>1</v>
      </c>
      <c r="J5358">
        <v>0</v>
      </c>
      <c r="K5358">
        <v>0</v>
      </c>
      <c r="L5358">
        <v>1</v>
      </c>
      <c r="M5358">
        <v>1</v>
      </c>
      <c r="N5358">
        <v>1</v>
      </c>
      <c r="O5358">
        <v>1</v>
      </c>
      <c r="P5358">
        <v>1</v>
      </c>
      <c r="Q5358">
        <v>1</v>
      </c>
      <c r="R5358">
        <v>1</v>
      </c>
    </row>
    <row r="5359" spans="1:39" x14ac:dyDescent="0.2">
      <c r="A5359" t="str">
        <f>"5355"</f>
        <v>5355</v>
      </c>
      <c r="B5359" t="str">
        <f t="shared" si="295"/>
        <v>1</v>
      </c>
      <c r="C5359" t="str">
        <f t="shared" si="298"/>
        <v>108</v>
      </c>
      <c r="D5359" t="str">
        <f>"3"</f>
        <v>3</v>
      </c>
      <c r="E5359" t="str">
        <f>"1-108-3"</f>
        <v>1-108-3</v>
      </c>
      <c r="F5359" t="s">
        <v>65</v>
      </c>
      <c r="G5359" t="s">
        <v>66</v>
      </c>
      <c r="H5359" t="s">
        <v>68</v>
      </c>
      <c r="I5359">
        <v>1</v>
      </c>
      <c r="J5359">
        <v>0</v>
      </c>
      <c r="K5359">
        <v>0</v>
      </c>
      <c r="L5359">
        <v>1</v>
      </c>
      <c r="M5359">
        <v>1</v>
      </c>
      <c r="N5359">
        <v>1</v>
      </c>
      <c r="O5359">
        <v>1</v>
      </c>
      <c r="P5359">
        <v>1</v>
      </c>
      <c r="Q5359">
        <v>1</v>
      </c>
      <c r="R5359">
        <v>1</v>
      </c>
    </row>
    <row r="5360" spans="1:39" x14ac:dyDescent="0.2">
      <c r="A5360" t="str">
        <f>"5356"</f>
        <v>5356</v>
      </c>
      <c r="B5360" t="str">
        <f t="shared" si="295"/>
        <v>1</v>
      </c>
      <c r="C5360" t="str">
        <f t="shared" si="298"/>
        <v>108</v>
      </c>
      <c r="D5360" t="str">
        <f>"36"</f>
        <v>36</v>
      </c>
      <c r="E5360" t="str">
        <f>"1-108-36"</f>
        <v>1-108-36</v>
      </c>
      <c r="F5360" t="s">
        <v>65</v>
      </c>
      <c r="G5360" t="s">
        <v>66</v>
      </c>
      <c r="H5360" t="s">
        <v>68</v>
      </c>
      <c r="I5360">
        <v>1</v>
      </c>
      <c r="J5360">
        <v>1</v>
      </c>
      <c r="K5360">
        <v>0</v>
      </c>
      <c r="L5360">
        <v>0</v>
      </c>
      <c r="M5360">
        <v>1</v>
      </c>
      <c r="N5360">
        <v>1</v>
      </c>
      <c r="O5360">
        <v>1</v>
      </c>
      <c r="P5360">
        <v>1</v>
      </c>
      <c r="Q5360">
        <v>1</v>
      </c>
      <c r="R5360">
        <v>1</v>
      </c>
    </row>
    <row r="5361" spans="1:18" x14ac:dyDescent="0.2">
      <c r="A5361" t="str">
        <f>"5357"</f>
        <v>5357</v>
      </c>
      <c r="B5361" t="str">
        <f t="shared" si="295"/>
        <v>1</v>
      </c>
      <c r="C5361" t="str">
        <f t="shared" si="298"/>
        <v>108</v>
      </c>
      <c r="D5361" t="str">
        <f>"35"</f>
        <v>35</v>
      </c>
      <c r="E5361" t="str">
        <f>"1-108-35"</f>
        <v>1-108-35</v>
      </c>
      <c r="F5361" t="s">
        <v>65</v>
      </c>
      <c r="G5361" t="s">
        <v>66</v>
      </c>
      <c r="H5361" t="s">
        <v>68</v>
      </c>
      <c r="I5361">
        <v>1</v>
      </c>
      <c r="J5361">
        <v>0</v>
      </c>
      <c r="K5361">
        <v>0</v>
      </c>
      <c r="L5361">
        <v>1</v>
      </c>
      <c r="M5361">
        <v>1</v>
      </c>
      <c r="N5361">
        <v>1</v>
      </c>
      <c r="O5361">
        <v>1</v>
      </c>
      <c r="P5361">
        <v>1</v>
      </c>
      <c r="Q5361">
        <v>1</v>
      </c>
      <c r="R5361">
        <v>1</v>
      </c>
    </row>
    <row r="5362" spans="1:18" x14ac:dyDescent="0.2">
      <c r="A5362" t="str">
        <f>"5358"</f>
        <v>5358</v>
      </c>
      <c r="B5362" t="str">
        <f t="shared" si="295"/>
        <v>1</v>
      </c>
      <c r="C5362" t="str">
        <f t="shared" si="298"/>
        <v>108</v>
      </c>
      <c r="D5362" t="str">
        <f>"24"</f>
        <v>24</v>
      </c>
      <c r="E5362" t="str">
        <f>"1-108-24"</f>
        <v>1-108-24</v>
      </c>
      <c r="F5362" t="s">
        <v>65</v>
      </c>
      <c r="G5362" t="s">
        <v>66</v>
      </c>
      <c r="H5362" t="s">
        <v>68</v>
      </c>
      <c r="I5362">
        <v>1</v>
      </c>
      <c r="J5362">
        <v>1</v>
      </c>
      <c r="K5362">
        <v>0</v>
      </c>
      <c r="L5362">
        <v>0</v>
      </c>
      <c r="M5362">
        <v>1</v>
      </c>
      <c r="N5362">
        <v>1</v>
      </c>
      <c r="O5362">
        <v>1</v>
      </c>
      <c r="P5362">
        <v>1</v>
      </c>
      <c r="Q5362">
        <v>1</v>
      </c>
      <c r="R5362">
        <v>1</v>
      </c>
    </row>
    <row r="5363" spans="1:18" x14ac:dyDescent="0.2">
      <c r="A5363" t="str">
        <f>"5359"</f>
        <v>5359</v>
      </c>
      <c r="B5363" t="str">
        <f t="shared" si="295"/>
        <v>1</v>
      </c>
      <c r="C5363" t="str">
        <f t="shared" si="298"/>
        <v>108</v>
      </c>
      <c r="D5363" t="str">
        <f>"16"</f>
        <v>16</v>
      </c>
      <c r="E5363" t="str">
        <f>"1-108-16"</f>
        <v>1-108-16</v>
      </c>
      <c r="F5363" t="s">
        <v>65</v>
      </c>
      <c r="G5363" t="s">
        <v>66</v>
      </c>
      <c r="H5363" t="s">
        <v>68</v>
      </c>
      <c r="I5363">
        <v>1</v>
      </c>
      <c r="J5363">
        <v>0</v>
      </c>
      <c r="K5363">
        <v>1</v>
      </c>
      <c r="L5363">
        <v>0</v>
      </c>
      <c r="M5363">
        <v>1</v>
      </c>
      <c r="N5363">
        <v>1</v>
      </c>
      <c r="O5363">
        <v>1</v>
      </c>
      <c r="P5363">
        <v>1</v>
      </c>
      <c r="Q5363">
        <v>1</v>
      </c>
      <c r="R5363">
        <v>1</v>
      </c>
    </row>
    <row r="5364" spans="1:18" x14ac:dyDescent="0.2">
      <c r="A5364" t="str">
        <f>"5360"</f>
        <v>5360</v>
      </c>
      <c r="B5364" t="str">
        <f t="shared" si="295"/>
        <v>1</v>
      </c>
      <c r="C5364" t="str">
        <f t="shared" si="298"/>
        <v>108</v>
      </c>
      <c r="D5364" t="str">
        <f>"6"</f>
        <v>6</v>
      </c>
      <c r="E5364" t="str">
        <f>"1-108-6"</f>
        <v>1-108-6</v>
      </c>
      <c r="F5364" t="s">
        <v>65</v>
      </c>
      <c r="G5364" t="s">
        <v>66</v>
      </c>
      <c r="H5364" t="s">
        <v>68</v>
      </c>
      <c r="I5364">
        <v>1</v>
      </c>
      <c r="J5364">
        <v>0</v>
      </c>
      <c r="K5364">
        <v>0</v>
      </c>
      <c r="L5364">
        <v>1</v>
      </c>
      <c r="M5364">
        <v>1</v>
      </c>
      <c r="N5364">
        <v>1</v>
      </c>
      <c r="O5364">
        <v>1</v>
      </c>
      <c r="P5364">
        <v>1</v>
      </c>
      <c r="Q5364">
        <v>1</v>
      </c>
      <c r="R5364">
        <v>1</v>
      </c>
    </row>
    <row r="5365" spans="1:18" x14ac:dyDescent="0.2">
      <c r="A5365" t="str">
        <f>"5361"</f>
        <v>5361</v>
      </c>
      <c r="B5365" t="str">
        <f t="shared" si="295"/>
        <v>1</v>
      </c>
      <c r="C5365" t="str">
        <f t="shared" si="298"/>
        <v>108</v>
      </c>
      <c r="D5365" t="str">
        <f>"34"</f>
        <v>34</v>
      </c>
      <c r="E5365" t="str">
        <f>"1-108-34"</f>
        <v>1-108-34</v>
      </c>
      <c r="F5365" t="s">
        <v>65</v>
      </c>
      <c r="G5365" t="s">
        <v>66</v>
      </c>
      <c r="H5365" t="s">
        <v>68</v>
      </c>
      <c r="I5365">
        <v>1</v>
      </c>
      <c r="J5365">
        <v>1</v>
      </c>
      <c r="K5365">
        <v>0</v>
      </c>
      <c r="L5365">
        <v>0</v>
      </c>
      <c r="M5365">
        <v>1</v>
      </c>
      <c r="N5365">
        <v>1</v>
      </c>
      <c r="O5365">
        <v>1</v>
      </c>
      <c r="P5365">
        <v>1</v>
      </c>
      <c r="Q5365">
        <v>1</v>
      </c>
      <c r="R5365">
        <v>1</v>
      </c>
    </row>
    <row r="5366" spans="1:18" x14ac:dyDescent="0.2">
      <c r="A5366" t="str">
        <f>"5362"</f>
        <v>5362</v>
      </c>
      <c r="B5366" t="str">
        <f t="shared" si="295"/>
        <v>1</v>
      </c>
      <c r="C5366" t="str">
        <f t="shared" si="298"/>
        <v>108</v>
      </c>
      <c r="D5366" t="str">
        <f>"33"</f>
        <v>33</v>
      </c>
      <c r="E5366" t="str">
        <f>"1-108-33"</f>
        <v>1-108-33</v>
      </c>
      <c r="F5366" t="s">
        <v>65</v>
      </c>
      <c r="G5366" t="s">
        <v>66</v>
      </c>
      <c r="H5366" t="s">
        <v>68</v>
      </c>
      <c r="I5366">
        <v>1</v>
      </c>
      <c r="J5366">
        <v>1</v>
      </c>
      <c r="K5366">
        <v>0</v>
      </c>
      <c r="L5366">
        <v>0</v>
      </c>
      <c r="M5366">
        <v>1</v>
      </c>
      <c r="N5366">
        <v>1</v>
      </c>
      <c r="O5366">
        <v>1</v>
      </c>
      <c r="P5366">
        <v>1</v>
      </c>
      <c r="Q5366">
        <v>1</v>
      </c>
      <c r="R5366">
        <v>1</v>
      </c>
    </row>
    <row r="5367" spans="1:18" x14ac:dyDescent="0.2">
      <c r="A5367" t="str">
        <f>"5363"</f>
        <v>5363</v>
      </c>
      <c r="B5367" t="str">
        <f t="shared" ref="B5367:B5430" si="299">"1"</f>
        <v>1</v>
      </c>
      <c r="C5367" t="str">
        <f t="shared" si="298"/>
        <v>108</v>
      </c>
      <c r="D5367" t="str">
        <f>"23"</f>
        <v>23</v>
      </c>
      <c r="E5367" t="str">
        <f>"1-108-23"</f>
        <v>1-108-23</v>
      </c>
      <c r="F5367" t="s">
        <v>65</v>
      </c>
      <c r="G5367" t="s">
        <v>66</v>
      </c>
      <c r="H5367" t="s">
        <v>68</v>
      </c>
      <c r="I5367">
        <v>1</v>
      </c>
      <c r="J5367">
        <v>1</v>
      </c>
      <c r="K5367">
        <v>0</v>
      </c>
      <c r="L5367">
        <v>0</v>
      </c>
      <c r="M5367">
        <v>1</v>
      </c>
      <c r="N5367">
        <v>1</v>
      </c>
      <c r="O5367">
        <v>1</v>
      </c>
      <c r="P5367">
        <v>1</v>
      </c>
      <c r="Q5367">
        <v>1</v>
      </c>
      <c r="R5367">
        <v>1</v>
      </c>
    </row>
    <row r="5368" spans="1:18" x14ac:dyDescent="0.2">
      <c r="A5368" t="str">
        <f>"5364"</f>
        <v>5364</v>
      </c>
      <c r="B5368" t="str">
        <f t="shared" si="299"/>
        <v>1</v>
      </c>
      <c r="C5368" t="str">
        <f t="shared" si="298"/>
        <v>108</v>
      </c>
      <c r="D5368" t="str">
        <f>"17"</f>
        <v>17</v>
      </c>
      <c r="E5368" t="str">
        <f>"1-108-17"</f>
        <v>1-108-17</v>
      </c>
      <c r="F5368" t="s">
        <v>65</v>
      </c>
      <c r="G5368" t="s">
        <v>66</v>
      </c>
      <c r="H5368" t="s">
        <v>68</v>
      </c>
      <c r="I5368">
        <v>1</v>
      </c>
      <c r="J5368">
        <v>0</v>
      </c>
      <c r="K5368">
        <v>0</v>
      </c>
      <c r="L5368">
        <v>1</v>
      </c>
      <c r="M5368">
        <v>1</v>
      </c>
      <c r="N5368">
        <v>1</v>
      </c>
      <c r="O5368">
        <v>1</v>
      </c>
      <c r="P5368">
        <v>1</v>
      </c>
      <c r="Q5368">
        <v>1</v>
      </c>
      <c r="R5368">
        <v>1</v>
      </c>
    </row>
    <row r="5369" spans="1:18" x14ac:dyDescent="0.2">
      <c r="A5369" t="str">
        <f>"5365"</f>
        <v>5365</v>
      </c>
      <c r="B5369" t="str">
        <f t="shared" si="299"/>
        <v>1</v>
      </c>
      <c r="C5369" t="str">
        <f t="shared" si="298"/>
        <v>108</v>
      </c>
      <c r="D5369" t="str">
        <f>"5"</f>
        <v>5</v>
      </c>
      <c r="E5369" t="str">
        <f>"1-108-5"</f>
        <v>1-108-5</v>
      </c>
      <c r="F5369" t="s">
        <v>65</v>
      </c>
      <c r="G5369" t="s">
        <v>66</v>
      </c>
      <c r="H5369" t="s">
        <v>68</v>
      </c>
      <c r="I5369">
        <v>1</v>
      </c>
      <c r="J5369">
        <v>0</v>
      </c>
      <c r="K5369">
        <v>0</v>
      </c>
      <c r="L5369">
        <v>1</v>
      </c>
      <c r="M5369">
        <v>1</v>
      </c>
      <c r="N5369">
        <v>1</v>
      </c>
      <c r="O5369">
        <v>1</v>
      </c>
      <c r="P5369">
        <v>1</v>
      </c>
      <c r="Q5369">
        <v>1</v>
      </c>
      <c r="R5369">
        <v>1</v>
      </c>
    </row>
    <row r="5370" spans="1:18" x14ac:dyDescent="0.2">
      <c r="A5370" t="str">
        <f>"5366"</f>
        <v>5366</v>
      </c>
      <c r="B5370" t="str">
        <f t="shared" si="299"/>
        <v>1</v>
      </c>
      <c r="C5370" t="str">
        <f t="shared" si="298"/>
        <v>108</v>
      </c>
      <c r="D5370" t="str">
        <f>"42"</f>
        <v>42</v>
      </c>
      <c r="E5370" t="str">
        <f>"1-108-42"</f>
        <v>1-108-42</v>
      </c>
      <c r="F5370" t="s">
        <v>65</v>
      </c>
      <c r="G5370" t="s">
        <v>66</v>
      </c>
      <c r="H5370" t="s">
        <v>68</v>
      </c>
      <c r="I5370">
        <v>1</v>
      </c>
      <c r="J5370">
        <v>0</v>
      </c>
      <c r="K5370">
        <v>0</v>
      </c>
      <c r="L5370">
        <v>1</v>
      </c>
      <c r="M5370">
        <v>1</v>
      </c>
      <c r="N5370">
        <v>1</v>
      </c>
      <c r="O5370">
        <v>1</v>
      </c>
      <c r="P5370">
        <v>1</v>
      </c>
      <c r="Q5370">
        <v>1</v>
      </c>
      <c r="R5370">
        <v>1</v>
      </c>
    </row>
    <row r="5371" spans="1:18" x14ac:dyDescent="0.2">
      <c r="A5371" t="str">
        <f>"5367"</f>
        <v>5367</v>
      </c>
      <c r="B5371" t="str">
        <f t="shared" si="299"/>
        <v>1</v>
      </c>
      <c r="C5371" t="str">
        <f t="shared" si="298"/>
        <v>108</v>
      </c>
      <c r="D5371" t="str">
        <f>"41"</f>
        <v>41</v>
      </c>
      <c r="E5371" t="str">
        <f>"1-108-41"</f>
        <v>1-108-41</v>
      </c>
      <c r="F5371" t="s">
        <v>65</v>
      </c>
      <c r="G5371" t="s">
        <v>66</v>
      </c>
      <c r="H5371" t="s">
        <v>68</v>
      </c>
      <c r="I5371">
        <v>1</v>
      </c>
      <c r="J5371">
        <v>0</v>
      </c>
      <c r="K5371">
        <v>0</v>
      </c>
      <c r="L5371">
        <v>1</v>
      </c>
      <c r="M5371">
        <v>1</v>
      </c>
      <c r="N5371">
        <v>1</v>
      </c>
      <c r="O5371">
        <v>1</v>
      </c>
      <c r="P5371">
        <v>1</v>
      </c>
      <c r="Q5371">
        <v>1</v>
      </c>
      <c r="R5371">
        <v>1</v>
      </c>
    </row>
    <row r="5372" spans="1:18" x14ac:dyDescent="0.2">
      <c r="A5372" t="str">
        <f>"5368"</f>
        <v>5368</v>
      </c>
      <c r="B5372" t="str">
        <f t="shared" si="299"/>
        <v>1</v>
      </c>
      <c r="C5372" t="str">
        <f t="shared" si="298"/>
        <v>108</v>
      </c>
      <c r="D5372" t="str">
        <f>"27"</f>
        <v>27</v>
      </c>
      <c r="E5372" t="str">
        <f>"1-108-27"</f>
        <v>1-108-27</v>
      </c>
      <c r="F5372" t="s">
        <v>65</v>
      </c>
      <c r="G5372" t="s">
        <v>66</v>
      </c>
      <c r="H5372" t="s">
        <v>68</v>
      </c>
      <c r="I5372">
        <v>1</v>
      </c>
      <c r="J5372">
        <v>1</v>
      </c>
      <c r="K5372">
        <v>0</v>
      </c>
      <c r="L5372">
        <v>0</v>
      </c>
      <c r="M5372">
        <v>1</v>
      </c>
      <c r="N5372">
        <v>1</v>
      </c>
      <c r="O5372">
        <v>1</v>
      </c>
      <c r="P5372">
        <v>1</v>
      </c>
      <c r="Q5372">
        <v>1</v>
      </c>
      <c r="R5372">
        <v>1</v>
      </c>
    </row>
    <row r="5373" spans="1:18" x14ac:dyDescent="0.2">
      <c r="A5373" t="str">
        <f>"5369"</f>
        <v>5369</v>
      </c>
      <c r="B5373" t="str">
        <f t="shared" si="299"/>
        <v>1</v>
      </c>
      <c r="C5373" t="str">
        <f t="shared" si="298"/>
        <v>108</v>
      </c>
      <c r="D5373" t="str">
        <f>"18"</f>
        <v>18</v>
      </c>
      <c r="E5373" t="str">
        <f>"1-108-18"</f>
        <v>1-108-18</v>
      </c>
      <c r="F5373" t="s">
        <v>65</v>
      </c>
      <c r="G5373" t="s">
        <v>66</v>
      </c>
      <c r="H5373" t="s">
        <v>68</v>
      </c>
      <c r="I5373">
        <v>1</v>
      </c>
      <c r="J5373">
        <v>0</v>
      </c>
      <c r="K5373">
        <v>0</v>
      </c>
      <c r="L5373">
        <v>1</v>
      </c>
      <c r="M5373">
        <v>1</v>
      </c>
      <c r="N5373">
        <v>1</v>
      </c>
      <c r="O5373">
        <v>1</v>
      </c>
      <c r="P5373">
        <v>1</v>
      </c>
      <c r="Q5373">
        <v>1</v>
      </c>
      <c r="R5373">
        <v>1</v>
      </c>
    </row>
    <row r="5374" spans="1:18" x14ac:dyDescent="0.2">
      <c r="A5374" t="str">
        <f>"5370"</f>
        <v>5370</v>
      </c>
      <c r="B5374" t="str">
        <f t="shared" si="299"/>
        <v>1</v>
      </c>
      <c r="C5374" t="str">
        <f t="shared" si="298"/>
        <v>108</v>
      </c>
      <c r="D5374" t="str">
        <f>"14"</f>
        <v>14</v>
      </c>
      <c r="E5374" t="str">
        <f>"1-108-14"</f>
        <v>1-108-14</v>
      </c>
      <c r="F5374" t="s">
        <v>65</v>
      </c>
      <c r="G5374" t="s">
        <v>66</v>
      </c>
      <c r="H5374" t="s">
        <v>68</v>
      </c>
      <c r="I5374">
        <v>1</v>
      </c>
      <c r="J5374">
        <v>1</v>
      </c>
      <c r="K5374">
        <v>0</v>
      </c>
      <c r="L5374">
        <v>0</v>
      </c>
      <c r="M5374">
        <v>1</v>
      </c>
      <c r="N5374">
        <v>1</v>
      </c>
      <c r="O5374">
        <v>1</v>
      </c>
      <c r="P5374">
        <v>1</v>
      </c>
      <c r="Q5374">
        <v>1</v>
      </c>
      <c r="R5374">
        <v>1</v>
      </c>
    </row>
    <row r="5375" spans="1:18" x14ac:dyDescent="0.2">
      <c r="A5375" t="str">
        <f>"5371"</f>
        <v>5371</v>
      </c>
      <c r="B5375" t="str">
        <f t="shared" si="299"/>
        <v>1</v>
      </c>
      <c r="C5375" t="str">
        <f t="shared" si="298"/>
        <v>108</v>
      </c>
      <c r="D5375" t="str">
        <f>"39"</f>
        <v>39</v>
      </c>
      <c r="E5375" t="str">
        <f>"1-108-39"</f>
        <v>1-108-39</v>
      </c>
      <c r="F5375" t="s">
        <v>65</v>
      </c>
      <c r="G5375" t="s">
        <v>66</v>
      </c>
      <c r="H5375" t="s">
        <v>68</v>
      </c>
      <c r="I5375">
        <v>1</v>
      </c>
      <c r="J5375">
        <v>0</v>
      </c>
      <c r="K5375">
        <v>0</v>
      </c>
      <c r="L5375">
        <v>1</v>
      </c>
      <c r="M5375">
        <v>1</v>
      </c>
      <c r="N5375">
        <v>1</v>
      </c>
      <c r="O5375">
        <v>1</v>
      </c>
      <c r="P5375">
        <v>1</v>
      </c>
      <c r="Q5375">
        <v>1</v>
      </c>
      <c r="R5375">
        <v>1</v>
      </c>
    </row>
    <row r="5376" spans="1:18" x14ac:dyDescent="0.2">
      <c r="A5376" t="str">
        <f>"5372"</f>
        <v>5372</v>
      </c>
      <c r="B5376" t="str">
        <f t="shared" si="299"/>
        <v>1</v>
      </c>
      <c r="C5376" t="str">
        <f t="shared" si="298"/>
        <v>108</v>
      </c>
      <c r="D5376" t="str">
        <f>"19"</f>
        <v>19</v>
      </c>
      <c r="E5376" t="str">
        <f>"1-108-19"</f>
        <v>1-108-19</v>
      </c>
      <c r="F5376" t="s">
        <v>65</v>
      </c>
      <c r="G5376" t="s">
        <v>66</v>
      </c>
      <c r="H5376" t="s">
        <v>68</v>
      </c>
      <c r="I5376">
        <v>1</v>
      </c>
      <c r="J5376">
        <v>0</v>
      </c>
      <c r="K5376">
        <v>1</v>
      </c>
      <c r="L5376">
        <v>0</v>
      </c>
      <c r="M5376">
        <v>1</v>
      </c>
      <c r="N5376">
        <v>1</v>
      </c>
      <c r="O5376">
        <v>1</v>
      </c>
      <c r="P5376">
        <v>1</v>
      </c>
      <c r="Q5376">
        <v>1</v>
      </c>
      <c r="R5376">
        <v>1</v>
      </c>
    </row>
    <row r="5377" spans="1:39" x14ac:dyDescent="0.2">
      <c r="A5377" t="str">
        <f>"5373"</f>
        <v>5373</v>
      </c>
      <c r="B5377" t="str">
        <f t="shared" si="299"/>
        <v>1</v>
      </c>
      <c r="C5377" t="str">
        <f t="shared" si="298"/>
        <v>108</v>
      </c>
      <c r="D5377" t="str">
        <f>"4"</f>
        <v>4</v>
      </c>
      <c r="E5377" t="str">
        <f>"1-108-4"</f>
        <v>1-108-4</v>
      </c>
      <c r="F5377" t="s">
        <v>65</v>
      </c>
      <c r="G5377" t="s">
        <v>66</v>
      </c>
      <c r="H5377" t="s">
        <v>68</v>
      </c>
      <c r="I5377">
        <v>1</v>
      </c>
      <c r="J5377">
        <v>1</v>
      </c>
      <c r="K5377">
        <v>0</v>
      </c>
      <c r="L5377">
        <v>0</v>
      </c>
      <c r="M5377">
        <v>1</v>
      </c>
      <c r="N5377">
        <v>1</v>
      </c>
      <c r="O5377">
        <v>0</v>
      </c>
      <c r="P5377">
        <v>0</v>
      </c>
      <c r="Q5377">
        <v>0</v>
      </c>
      <c r="R5377">
        <v>0</v>
      </c>
    </row>
    <row r="5378" spans="1:39" x14ac:dyDescent="0.2">
      <c r="A5378" t="str">
        <f>"5374"</f>
        <v>5374</v>
      </c>
      <c r="B5378" t="str">
        <f t="shared" si="299"/>
        <v>1</v>
      </c>
      <c r="C5378" t="str">
        <f t="shared" si="298"/>
        <v>108</v>
      </c>
      <c r="D5378" t="str">
        <f>"40"</f>
        <v>40</v>
      </c>
      <c r="E5378" t="str">
        <f>"1-108-40"</f>
        <v>1-108-40</v>
      </c>
      <c r="F5378" t="s">
        <v>65</v>
      </c>
      <c r="G5378" t="s">
        <v>66</v>
      </c>
      <c r="H5378" t="s">
        <v>68</v>
      </c>
      <c r="I5378">
        <v>1</v>
      </c>
      <c r="J5378">
        <v>0</v>
      </c>
      <c r="K5378">
        <v>0</v>
      </c>
      <c r="L5378">
        <v>1</v>
      </c>
      <c r="M5378">
        <v>1</v>
      </c>
      <c r="N5378">
        <v>1</v>
      </c>
      <c r="O5378">
        <v>1</v>
      </c>
      <c r="P5378">
        <v>1</v>
      </c>
      <c r="Q5378">
        <v>1</v>
      </c>
      <c r="R5378">
        <v>1</v>
      </c>
    </row>
    <row r="5379" spans="1:39" x14ac:dyDescent="0.2">
      <c r="A5379" t="str">
        <f>"5375"</f>
        <v>5375</v>
      </c>
      <c r="B5379" t="str">
        <f t="shared" si="299"/>
        <v>1</v>
      </c>
      <c r="C5379" t="str">
        <f t="shared" si="298"/>
        <v>108</v>
      </c>
      <c r="D5379" t="str">
        <f>"20"</f>
        <v>20</v>
      </c>
      <c r="E5379" t="str">
        <f>"1-108-20"</f>
        <v>1-108-20</v>
      </c>
      <c r="F5379" t="s">
        <v>65</v>
      </c>
      <c r="G5379" t="s">
        <v>66</v>
      </c>
      <c r="H5379" t="s">
        <v>68</v>
      </c>
      <c r="I5379">
        <v>1</v>
      </c>
      <c r="J5379">
        <v>1</v>
      </c>
      <c r="K5379">
        <v>0</v>
      </c>
      <c r="L5379">
        <v>0</v>
      </c>
      <c r="M5379">
        <v>1</v>
      </c>
      <c r="N5379">
        <v>1</v>
      </c>
      <c r="O5379">
        <v>0</v>
      </c>
      <c r="P5379">
        <v>1</v>
      </c>
      <c r="Q5379">
        <v>1</v>
      </c>
      <c r="R5379">
        <v>0</v>
      </c>
    </row>
    <row r="5380" spans="1:39" x14ac:dyDescent="0.2">
      <c r="A5380" t="str">
        <f>"5376"</f>
        <v>5376</v>
      </c>
      <c r="B5380" t="str">
        <f t="shared" si="299"/>
        <v>1</v>
      </c>
      <c r="C5380" t="str">
        <f t="shared" si="298"/>
        <v>108</v>
      </c>
      <c r="D5380" t="str">
        <f>"12"</f>
        <v>12</v>
      </c>
      <c r="E5380" t="str">
        <f>"1-108-12"</f>
        <v>1-108-12</v>
      </c>
      <c r="F5380" t="s">
        <v>65</v>
      </c>
      <c r="G5380" t="s">
        <v>66</v>
      </c>
      <c r="H5380" t="s">
        <v>68</v>
      </c>
      <c r="I5380">
        <v>1</v>
      </c>
      <c r="J5380">
        <v>0</v>
      </c>
      <c r="K5380">
        <v>0</v>
      </c>
      <c r="L5380">
        <v>1</v>
      </c>
      <c r="M5380">
        <v>1</v>
      </c>
      <c r="N5380">
        <v>1</v>
      </c>
      <c r="O5380">
        <v>1</v>
      </c>
      <c r="P5380">
        <v>1</v>
      </c>
      <c r="Q5380">
        <v>1</v>
      </c>
      <c r="R5380">
        <v>1</v>
      </c>
    </row>
    <row r="5381" spans="1:39" x14ac:dyDescent="0.2">
      <c r="A5381" t="str">
        <f>"5377"</f>
        <v>5377</v>
      </c>
      <c r="B5381" t="str">
        <f t="shared" si="299"/>
        <v>1</v>
      </c>
      <c r="C5381" t="str">
        <f t="shared" si="298"/>
        <v>108</v>
      </c>
      <c r="D5381" t="str">
        <f>"43"</f>
        <v>43</v>
      </c>
      <c r="E5381" t="str">
        <f>"1-108-43"</f>
        <v>1-108-43</v>
      </c>
      <c r="F5381" t="s">
        <v>65</v>
      </c>
      <c r="G5381" t="s">
        <v>66</v>
      </c>
      <c r="H5381" t="s">
        <v>68</v>
      </c>
      <c r="I5381">
        <v>1</v>
      </c>
      <c r="J5381">
        <v>0</v>
      </c>
      <c r="K5381">
        <v>0</v>
      </c>
      <c r="L5381">
        <v>1</v>
      </c>
      <c r="M5381">
        <v>1</v>
      </c>
      <c r="N5381">
        <v>1</v>
      </c>
      <c r="O5381">
        <v>1</v>
      </c>
      <c r="P5381">
        <v>1</v>
      </c>
      <c r="Q5381">
        <v>1</v>
      </c>
      <c r="R5381">
        <v>1</v>
      </c>
    </row>
    <row r="5382" spans="1:39" x14ac:dyDescent="0.2">
      <c r="A5382" t="str">
        <f>"5378"</f>
        <v>5378</v>
      </c>
      <c r="B5382" t="str">
        <f t="shared" si="299"/>
        <v>1</v>
      </c>
      <c r="C5382" t="str">
        <f t="shared" si="298"/>
        <v>108</v>
      </c>
      <c r="D5382" t="str">
        <f>"21"</f>
        <v>21</v>
      </c>
      <c r="E5382" t="str">
        <f>"1-108-21"</f>
        <v>1-108-21</v>
      </c>
      <c r="F5382" t="s">
        <v>65</v>
      </c>
      <c r="G5382" t="s">
        <v>66</v>
      </c>
      <c r="H5382" t="s">
        <v>68</v>
      </c>
      <c r="I5382">
        <v>1</v>
      </c>
      <c r="J5382">
        <v>1</v>
      </c>
      <c r="K5382">
        <v>0</v>
      </c>
      <c r="L5382">
        <v>0</v>
      </c>
      <c r="M5382">
        <v>1</v>
      </c>
      <c r="N5382">
        <v>1</v>
      </c>
      <c r="O5382">
        <v>0</v>
      </c>
      <c r="P5382">
        <v>1</v>
      </c>
      <c r="Q5382">
        <v>1</v>
      </c>
      <c r="R5382">
        <v>0</v>
      </c>
    </row>
    <row r="5383" spans="1:39" x14ac:dyDescent="0.2">
      <c r="A5383" t="str">
        <f>"5379"</f>
        <v>5379</v>
      </c>
      <c r="B5383" t="str">
        <f t="shared" si="299"/>
        <v>1</v>
      </c>
      <c r="C5383" t="str">
        <f t="shared" si="298"/>
        <v>108</v>
      </c>
      <c r="D5383" t="str">
        <f>"2"</f>
        <v>2</v>
      </c>
      <c r="E5383" t="str">
        <f>"1-108-2"</f>
        <v>1-108-2</v>
      </c>
      <c r="F5383" t="s">
        <v>65</v>
      </c>
      <c r="G5383" t="s">
        <v>66</v>
      </c>
      <c r="H5383" t="s">
        <v>68</v>
      </c>
      <c r="I5383">
        <v>1</v>
      </c>
      <c r="J5383">
        <v>0</v>
      </c>
      <c r="K5383">
        <v>0</v>
      </c>
      <c r="L5383">
        <v>1</v>
      </c>
      <c r="M5383">
        <v>1</v>
      </c>
      <c r="N5383">
        <v>1</v>
      </c>
      <c r="O5383">
        <v>1</v>
      </c>
      <c r="P5383">
        <v>0</v>
      </c>
      <c r="Q5383">
        <v>0</v>
      </c>
      <c r="R5383">
        <v>0</v>
      </c>
    </row>
    <row r="5384" spans="1:39" x14ac:dyDescent="0.2">
      <c r="A5384" t="str">
        <f>"5380"</f>
        <v>5380</v>
      </c>
      <c r="B5384" t="str">
        <f t="shared" si="299"/>
        <v>1</v>
      </c>
      <c r="C5384" t="str">
        <f t="shared" si="298"/>
        <v>108</v>
      </c>
      <c r="D5384" t="str">
        <f>"44"</f>
        <v>44</v>
      </c>
      <c r="E5384" t="str">
        <f>"1-108-44"</f>
        <v>1-108-44</v>
      </c>
      <c r="F5384" t="s">
        <v>65</v>
      </c>
      <c r="G5384" t="s">
        <v>66</v>
      </c>
      <c r="H5384" t="s">
        <v>68</v>
      </c>
      <c r="I5384">
        <v>1</v>
      </c>
      <c r="J5384">
        <v>1</v>
      </c>
      <c r="K5384">
        <v>0</v>
      </c>
      <c r="L5384">
        <v>0</v>
      </c>
      <c r="M5384">
        <v>1</v>
      </c>
      <c r="N5384">
        <v>1</v>
      </c>
      <c r="O5384">
        <v>1</v>
      </c>
      <c r="P5384">
        <v>1</v>
      </c>
      <c r="Q5384">
        <v>1</v>
      </c>
      <c r="R5384">
        <v>1</v>
      </c>
    </row>
    <row r="5385" spans="1:39" x14ac:dyDescent="0.2">
      <c r="A5385" t="str">
        <f>"5381"</f>
        <v>5381</v>
      </c>
      <c r="B5385" t="str">
        <f t="shared" si="299"/>
        <v>1</v>
      </c>
      <c r="C5385" t="str">
        <f t="shared" si="298"/>
        <v>108</v>
      </c>
      <c r="D5385" t="str">
        <f>"22"</f>
        <v>22</v>
      </c>
      <c r="E5385" t="str">
        <f>"1-108-22"</f>
        <v>1-108-22</v>
      </c>
      <c r="F5385" t="s">
        <v>65</v>
      </c>
      <c r="G5385" t="s">
        <v>66</v>
      </c>
      <c r="H5385" t="s">
        <v>68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1</v>
      </c>
      <c r="R5385">
        <v>0</v>
      </c>
    </row>
    <row r="5386" spans="1:39" x14ac:dyDescent="0.2">
      <c r="A5386" t="str">
        <f>"5382"</f>
        <v>5382</v>
      </c>
      <c r="B5386" t="str">
        <f t="shared" si="299"/>
        <v>1</v>
      </c>
      <c r="C5386" t="str">
        <f t="shared" si="298"/>
        <v>108</v>
      </c>
      <c r="D5386" t="str">
        <f>"13"</f>
        <v>13</v>
      </c>
      <c r="E5386" t="str">
        <f>"1-108-13"</f>
        <v>1-108-13</v>
      </c>
      <c r="F5386" t="s">
        <v>65</v>
      </c>
      <c r="G5386" t="s">
        <v>66</v>
      </c>
      <c r="H5386" t="s">
        <v>68</v>
      </c>
      <c r="I5386">
        <v>1</v>
      </c>
      <c r="J5386">
        <v>0</v>
      </c>
      <c r="K5386">
        <v>0</v>
      </c>
      <c r="L5386">
        <v>1</v>
      </c>
      <c r="M5386">
        <v>1</v>
      </c>
      <c r="N5386">
        <v>1</v>
      </c>
      <c r="O5386">
        <v>1</v>
      </c>
      <c r="P5386">
        <v>1</v>
      </c>
      <c r="Q5386">
        <v>1</v>
      </c>
      <c r="R5386">
        <v>1</v>
      </c>
    </row>
    <row r="5387" spans="1:39" x14ac:dyDescent="0.2">
      <c r="A5387" t="str">
        <f>"5383"</f>
        <v>5383</v>
      </c>
      <c r="B5387" t="str">
        <f t="shared" si="299"/>
        <v>1</v>
      </c>
      <c r="C5387" t="str">
        <f t="shared" ref="C5387:C5404" si="300">"108"</f>
        <v>108</v>
      </c>
      <c r="D5387" t="str">
        <f>"45"</f>
        <v>45</v>
      </c>
      <c r="E5387" t="str">
        <f>"1-108-45"</f>
        <v>1-108-45</v>
      </c>
      <c r="F5387" t="s">
        <v>65</v>
      </c>
      <c r="G5387" t="s">
        <v>66</v>
      </c>
      <c r="H5387" t="s">
        <v>68</v>
      </c>
      <c r="I5387">
        <v>1</v>
      </c>
      <c r="J5387">
        <v>0</v>
      </c>
      <c r="K5387">
        <v>0</v>
      </c>
      <c r="L5387">
        <v>1</v>
      </c>
      <c r="M5387">
        <v>1</v>
      </c>
      <c r="N5387">
        <v>1</v>
      </c>
      <c r="O5387">
        <v>1</v>
      </c>
      <c r="P5387">
        <v>1</v>
      </c>
      <c r="Q5387">
        <v>1</v>
      </c>
      <c r="R5387">
        <v>1</v>
      </c>
    </row>
    <row r="5388" spans="1:39" x14ac:dyDescent="0.2">
      <c r="A5388" t="str">
        <f>"5384"</f>
        <v>5384</v>
      </c>
      <c r="B5388" t="str">
        <f t="shared" si="299"/>
        <v>1</v>
      </c>
      <c r="C5388" t="str">
        <f t="shared" si="300"/>
        <v>108</v>
      </c>
      <c r="D5388" t="str">
        <f>"25"</f>
        <v>25</v>
      </c>
      <c r="E5388" t="str">
        <f>"1-108-25"</f>
        <v>1-108-25</v>
      </c>
      <c r="F5388" t="s">
        <v>65</v>
      </c>
      <c r="G5388" t="s">
        <v>66</v>
      </c>
      <c r="H5388" t="s">
        <v>68</v>
      </c>
      <c r="I5388">
        <v>1</v>
      </c>
      <c r="J5388">
        <v>1</v>
      </c>
      <c r="K5388">
        <v>0</v>
      </c>
      <c r="L5388">
        <v>0</v>
      </c>
      <c r="M5388">
        <v>1</v>
      </c>
      <c r="N5388">
        <v>1</v>
      </c>
      <c r="O5388">
        <v>1</v>
      </c>
      <c r="P5388">
        <v>1</v>
      </c>
      <c r="Q5388">
        <v>1</v>
      </c>
      <c r="R5388">
        <v>1</v>
      </c>
    </row>
    <row r="5389" spans="1:39" x14ac:dyDescent="0.2">
      <c r="A5389" t="str">
        <f>"5385"</f>
        <v>5385</v>
      </c>
      <c r="B5389" t="str">
        <f t="shared" si="299"/>
        <v>1</v>
      </c>
      <c r="C5389" t="str">
        <f t="shared" si="300"/>
        <v>108</v>
      </c>
      <c r="D5389" t="str">
        <f>"1"</f>
        <v>1</v>
      </c>
      <c r="E5389" t="str">
        <f>"1-108-1"</f>
        <v>1-108-1</v>
      </c>
      <c r="F5389" t="s">
        <v>65</v>
      </c>
      <c r="G5389" t="s">
        <v>66</v>
      </c>
      <c r="H5389" t="s">
        <v>68</v>
      </c>
      <c r="I5389">
        <v>1</v>
      </c>
      <c r="J5389">
        <v>0</v>
      </c>
      <c r="K5389">
        <v>1</v>
      </c>
      <c r="L5389">
        <v>0</v>
      </c>
      <c r="M5389">
        <v>1</v>
      </c>
      <c r="N5389">
        <v>1</v>
      </c>
      <c r="O5389">
        <v>1</v>
      </c>
      <c r="P5389">
        <v>1</v>
      </c>
      <c r="Q5389">
        <v>1</v>
      </c>
      <c r="R5389">
        <v>1</v>
      </c>
    </row>
    <row r="5390" spans="1:39" x14ac:dyDescent="0.2">
      <c r="A5390" t="str">
        <f>"5386"</f>
        <v>5386</v>
      </c>
      <c r="B5390" t="str">
        <f t="shared" si="299"/>
        <v>1</v>
      </c>
      <c r="C5390" t="str">
        <f t="shared" si="300"/>
        <v>108</v>
      </c>
      <c r="D5390" t="str">
        <f>"50"</f>
        <v>50</v>
      </c>
      <c r="E5390" t="str">
        <f>"1-108-50"</f>
        <v>1-108-50</v>
      </c>
      <c r="F5390" t="s">
        <v>65</v>
      </c>
      <c r="G5390" t="s">
        <v>66</v>
      </c>
      <c r="H5390" t="s">
        <v>67</v>
      </c>
      <c r="S5390">
        <v>0</v>
      </c>
      <c r="T5390">
        <v>1</v>
      </c>
      <c r="U5390">
        <v>0</v>
      </c>
      <c r="V5390">
        <v>0</v>
      </c>
      <c r="W5390">
        <v>1</v>
      </c>
      <c r="X5390">
        <v>0</v>
      </c>
      <c r="Y5390">
        <v>1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1</v>
      </c>
      <c r="AF5390">
        <v>1</v>
      </c>
      <c r="AG5390">
        <v>1</v>
      </c>
      <c r="AH5390">
        <v>1</v>
      </c>
      <c r="AI5390">
        <v>1</v>
      </c>
      <c r="AJ5390">
        <v>1</v>
      </c>
      <c r="AK5390">
        <v>1</v>
      </c>
      <c r="AL5390">
        <v>1</v>
      </c>
      <c r="AM5390">
        <v>1</v>
      </c>
    </row>
    <row r="5391" spans="1:39" x14ac:dyDescent="0.2">
      <c r="A5391" t="str">
        <f>"5387"</f>
        <v>5387</v>
      </c>
      <c r="B5391" t="str">
        <f t="shared" si="299"/>
        <v>1</v>
      </c>
      <c r="C5391" t="str">
        <f t="shared" si="300"/>
        <v>108</v>
      </c>
      <c r="D5391" t="str">
        <f>"26"</f>
        <v>26</v>
      </c>
      <c r="E5391" t="str">
        <f>"1-108-26"</f>
        <v>1-108-26</v>
      </c>
      <c r="F5391" t="s">
        <v>65</v>
      </c>
      <c r="G5391" t="s">
        <v>66</v>
      </c>
      <c r="H5391" t="s">
        <v>68</v>
      </c>
      <c r="I5391">
        <v>1</v>
      </c>
      <c r="J5391">
        <v>1</v>
      </c>
      <c r="K5391">
        <v>0</v>
      </c>
      <c r="L5391">
        <v>0</v>
      </c>
      <c r="M5391">
        <v>1</v>
      </c>
      <c r="N5391">
        <v>1</v>
      </c>
      <c r="O5391">
        <v>1</v>
      </c>
      <c r="P5391">
        <v>1</v>
      </c>
      <c r="Q5391">
        <v>1</v>
      </c>
      <c r="R5391">
        <v>1</v>
      </c>
    </row>
    <row r="5392" spans="1:39" x14ac:dyDescent="0.2">
      <c r="A5392" t="str">
        <f>"5388"</f>
        <v>5388</v>
      </c>
      <c r="B5392" t="str">
        <f t="shared" si="299"/>
        <v>1</v>
      </c>
      <c r="C5392" t="str">
        <f t="shared" si="300"/>
        <v>108</v>
      </c>
      <c r="D5392" t="str">
        <f>"8"</f>
        <v>8</v>
      </c>
      <c r="E5392" t="str">
        <f>"1-108-8"</f>
        <v>1-108-8</v>
      </c>
      <c r="F5392" t="s">
        <v>65</v>
      </c>
      <c r="G5392" t="s">
        <v>66</v>
      </c>
      <c r="H5392" t="s">
        <v>68</v>
      </c>
      <c r="I5392">
        <v>0</v>
      </c>
      <c r="J5392">
        <v>0</v>
      </c>
      <c r="K5392">
        <v>0</v>
      </c>
      <c r="L5392">
        <v>1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</row>
    <row r="5393" spans="1:39" x14ac:dyDescent="0.2">
      <c r="A5393" t="str">
        <f>"5389"</f>
        <v>5389</v>
      </c>
      <c r="B5393" t="str">
        <f t="shared" si="299"/>
        <v>1</v>
      </c>
      <c r="C5393" t="str">
        <f t="shared" si="300"/>
        <v>108</v>
      </c>
      <c r="D5393" t="str">
        <f>"46"</f>
        <v>46</v>
      </c>
      <c r="E5393" t="str">
        <f>"1-108-46"</f>
        <v>1-108-46</v>
      </c>
      <c r="F5393" t="s">
        <v>65</v>
      </c>
      <c r="G5393" t="s">
        <v>66</v>
      </c>
      <c r="H5393" t="s">
        <v>68</v>
      </c>
      <c r="I5393">
        <v>1</v>
      </c>
      <c r="J5393">
        <v>0</v>
      </c>
      <c r="K5393">
        <v>0</v>
      </c>
      <c r="L5393">
        <v>1</v>
      </c>
      <c r="M5393">
        <v>1</v>
      </c>
      <c r="N5393">
        <v>1</v>
      </c>
      <c r="O5393">
        <v>1</v>
      </c>
      <c r="P5393">
        <v>1</v>
      </c>
      <c r="Q5393">
        <v>1</v>
      </c>
      <c r="R5393">
        <v>1</v>
      </c>
    </row>
    <row r="5394" spans="1:39" x14ac:dyDescent="0.2">
      <c r="A5394" t="str">
        <f>"5390"</f>
        <v>5390</v>
      </c>
      <c r="B5394" t="str">
        <f t="shared" si="299"/>
        <v>1</v>
      </c>
      <c r="C5394" t="str">
        <f t="shared" si="300"/>
        <v>108</v>
      </c>
      <c r="D5394" t="str">
        <f>"28"</f>
        <v>28</v>
      </c>
      <c r="E5394" t="str">
        <f>"1-108-28"</f>
        <v>1-108-28</v>
      </c>
      <c r="F5394" t="s">
        <v>65</v>
      </c>
      <c r="G5394" t="s">
        <v>66</v>
      </c>
      <c r="H5394" t="s">
        <v>68</v>
      </c>
      <c r="I5394">
        <v>1</v>
      </c>
      <c r="J5394">
        <v>1</v>
      </c>
      <c r="K5394">
        <v>0</v>
      </c>
      <c r="L5394">
        <v>0</v>
      </c>
      <c r="M5394">
        <v>1</v>
      </c>
      <c r="N5394">
        <v>1</v>
      </c>
      <c r="O5394">
        <v>1</v>
      </c>
      <c r="P5394">
        <v>1</v>
      </c>
      <c r="Q5394">
        <v>1</v>
      </c>
      <c r="R5394">
        <v>1</v>
      </c>
    </row>
    <row r="5395" spans="1:39" x14ac:dyDescent="0.2">
      <c r="A5395" t="str">
        <f>"5391"</f>
        <v>5391</v>
      </c>
      <c r="B5395" t="str">
        <f t="shared" si="299"/>
        <v>1</v>
      </c>
      <c r="C5395" t="str">
        <f t="shared" si="300"/>
        <v>108</v>
      </c>
      <c r="D5395" t="str">
        <f>"10"</f>
        <v>10</v>
      </c>
      <c r="E5395" t="str">
        <f>"1-108-10"</f>
        <v>1-108-10</v>
      </c>
      <c r="F5395" t="s">
        <v>65</v>
      </c>
      <c r="G5395" t="s">
        <v>66</v>
      </c>
      <c r="H5395" t="s">
        <v>68</v>
      </c>
      <c r="I5395">
        <v>1</v>
      </c>
      <c r="J5395">
        <v>1</v>
      </c>
      <c r="K5395">
        <v>0</v>
      </c>
      <c r="L5395">
        <v>0</v>
      </c>
      <c r="M5395">
        <v>1</v>
      </c>
      <c r="N5395">
        <v>1</v>
      </c>
      <c r="O5395">
        <v>1</v>
      </c>
      <c r="P5395">
        <v>1</v>
      </c>
      <c r="Q5395">
        <v>1</v>
      </c>
      <c r="R5395">
        <v>1</v>
      </c>
    </row>
    <row r="5396" spans="1:39" x14ac:dyDescent="0.2">
      <c r="A5396" t="str">
        <f>"5392"</f>
        <v>5392</v>
      </c>
      <c r="B5396" t="str">
        <f t="shared" si="299"/>
        <v>1</v>
      </c>
      <c r="C5396" t="str">
        <f t="shared" si="300"/>
        <v>108</v>
      </c>
      <c r="D5396" t="str">
        <f>"47"</f>
        <v>47</v>
      </c>
      <c r="E5396" t="str">
        <f>"1-108-47"</f>
        <v>1-108-47</v>
      </c>
      <c r="F5396" t="s">
        <v>65</v>
      </c>
      <c r="G5396" t="s">
        <v>66</v>
      </c>
      <c r="H5396" t="s">
        <v>68</v>
      </c>
      <c r="I5396">
        <v>1</v>
      </c>
      <c r="J5396">
        <v>1</v>
      </c>
      <c r="K5396">
        <v>0</v>
      </c>
      <c r="L5396">
        <v>0</v>
      </c>
      <c r="M5396">
        <v>1</v>
      </c>
      <c r="N5396">
        <v>1</v>
      </c>
      <c r="O5396">
        <v>1</v>
      </c>
      <c r="P5396">
        <v>1</v>
      </c>
      <c r="Q5396">
        <v>1</v>
      </c>
      <c r="R5396">
        <v>1</v>
      </c>
    </row>
    <row r="5397" spans="1:39" x14ac:dyDescent="0.2">
      <c r="A5397" t="str">
        <f>"5393"</f>
        <v>5393</v>
      </c>
      <c r="B5397" t="str">
        <f t="shared" si="299"/>
        <v>1</v>
      </c>
      <c r="C5397" t="str">
        <f t="shared" si="300"/>
        <v>108</v>
      </c>
      <c r="D5397" t="str">
        <f>"30"</f>
        <v>30</v>
      </c>
      <c r="E5397" t="str">
        <f>"1-108-30"</f>
        <v>1-108-30</v>
      </c>
      <c r="F5397" t="s">
        <v>65</v>
      </c>
      <c r="G5397" t="s">
        <v>66</v>
      </c>
      <c r="H5397" t="s">
        <v>68</v>
      </c>
      <c r="I5397">
        <v>0</v>
      </c>
      <c r="J5397">
        <v>0</v>
      </c>
      <c r="K5397">
        <v>0</v>
      </c>
      <c r="L5397">
        <v>1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</row>
    <row r="5398" spans="1:39" x14ac:dyDescent="0.2">
      <c r="A5398" t="str">
        <f>"5394"</f>
        <v>5394</v>
      </c>
      <c r="B5398" t="str">
        <f t="shared" si="299"/>
        <v>1</v>
      </c>
      <c r="C5398" t="str">
        <f t="shared" si="300"/>
        <v>108</v>
      </c>
      <c r="D5398" t="str">
        <f>"9"</f>
        <v>9</v>
      </c>
      <c r="E5398" t="str">
        <f>"1-108-9"</f>
        <v>1-108-9</v>
      </c>
      <c r="F5398" t="s">
        <v>65</v>
      </c>
      <c r="G5398" t="s">
        <v>66</v>
      </c>
      <c r="H5398" t="s">
        <v>68</v>
      </c>
      <c r="I5398">
        <v>1</v>
      </c>
      <c r="J5398">
        <v>0</v>
      </c>
      <c r="K5398">
        <v>0</v>
      </c>
      <c r="L5398">
        <v>1</v>
      </c>
      <c r="M5398">
        <v>1</v>
      </c>
      <c r="N5398">
        <v>1</v>
      </c>
      <c r="O5398">
        <v>1</v>
      </c>
      <c r="P5398">
        <v>1</v>
      </c>
      <c r="Q5398">
        <v>1</v>
      </c>
      <c r="R5398">
        <v>1</v>
      </c>
    </row>
    <row r="5399" spans="1:39" x14ac:dyDescent="0.2">
      <c r="A5399" t="str">
        <f>"5395"</f>
        <v>5395</v>
      </c>
      <c r="B5399" t="str">
        <f t="shared" si="299"/>
        <v>1</v>
      </c>
      <c r="C5399" t="str">
        <f t="shared" si="300"/>
        <v>108</v>
      </c>
      <c r="D5399" t="str">
        <f>"48"</f>
        <v>48</v>
      </c>
      <c r="E5399" t="str">
        <f>"1-108-48"</f>
        <v>1-108-48</v>
      </c>
      <c r="F5399" t="s">
        <v>65</v>
      </c>
      <c r="G5399" t="s">
        <v>66</v>
      </c>
      <c r="H5399" t="s">
        <v>68</v>
      </c>
      <c r="I5399">
        <v>1</v>
      </c>
      <c r="J5399">
        <v>0</v>
      </c>
      <c r="K5399">
        <v>1</v>
      </c>
      <c r="L5399">
        <v>0</v>
      </c>
      <c r="M5399">
        <v>0</v>
      </c>
      <c r="N5399">
        <v>0</v>
      </c>
      <c r="O5399">
        <v>1</v>
      </c>
      <c r="P5399">
        <v>0</v>
      </c>
      <c r="Q5399">
        <v>1</v>
      </c>
      <c r="R5399">
        <v>1</v>
      </c>
    </row>
    <row r="5400" spans="1:39" x14ac:dyDescent="0.2">
      <c r="A5400" t="str">
        <f>"5396"</f>
        <v>5396</v>
      </c>
      <c r="B5400" t="str">
        <f t="shared" si="299"/>
        <v>1</v>
      </c>
      <c r="C5400" t="str">
        <f t="shared" si="300"/>
        <v>108</v>
      </c>
      <c r="D5400" t="str">
        <f>"31"</f>
        <v>31</v>
      </c>
      <c r="E5400" t="str">
        <f>"1-108-31"</f>
        <v>1-108-31</v>
      </c>
      <c r="F5400" t="s">
        <v>65</v>
      </c>
      <c r="G5400" t="s">
        <v>66</v>
      </c>
      <c r="H5400" t="s">
        <v>68</v>
      </c>
      <c r="I5400">
        <v>1</v>
      </c>
      <c r="J5400">
        <v>0</v>
      </c>
      <c r="K5400">
        <v>0</v>
      </c>
      <c r="L5400">
        <v>1</v>
      </c>
      <c r="M5400">
        <v>1</v>
      </c>
      <c r="N5400">
        <v>1</v>
      </c>
      <c r="O5400">
        <v>1</v>
      </c>
      <c r="P5400">
        <v>1</v>
      </c>
      <c r="Q5400">
        <v>1</v>
      </c>
      <c r="R5400">
        <v>1</v>
      </c>
    </row>
    <row r="5401" spans="1:39" x14ac:dyDescent="0.2">
      <c r="A5401" t="str">
        <f>"5397"</f>
        <v>5397</v>
      </c>
      <c r="B5401" t="str">
        <f t="shared" si="299"/>
        <v>1</v>
      </c>
      <c r="C5401" t="str">
        <f t="shared" si="300"/>
        <v>108</v>
      </c>
      <c r="D5401" t="str">
        <f>"7"</f>
        <v>7</v>
      </c>
      <c r="E5401" t="str">
        <f>"1-108-7"</f>
        <v>1-108-7</v>
      </c>
      <c r="F5401" t="s">
        <v>65</v>
      </c>
      <c r="G5401" t="s">
        <v>66</v>
      </c>
      <c r="H5401" t="s">
        <v>68</v>
      </c>
      <c r="I5401">
        <v>1</v>
      </c>
      <c r="J5401">
        <v>0</v>
      </c>
      <c r="K5401">
        <v>0</v>
      </c>
      <c r="L5401">
        <v>1</v>
      </c>
      <c r="M5401">
        <v>1</v>
      </c>
      <c r="N5401">
        <v>1</v>
      </c>
      <c r="O5401">
        <v>1</v>
      </c>
      <c r="P5401">
        <v>1</v>
      </c>
      <c r="Q5401">
        <v>1</v>
      </c>
      <c r="R5401">
        <v>1</v>
      </c>
    </row>
    <row r="5402" spans="1:39" x14ac:dyDescent="0.2">
      <c r="A5402" t="str">
        <f>"5398"</f>
        <v>5398</v>
      </c>
      <c r="B5402" t="str">
        <f t="shared" si="299"/>
        <v>1</v>
      </c>
      <c r="C5402" t="str">
        <f t="shared" si="300"/>
        <v>108</v>
      </c>
      <c r="D5402" t="str">
        <f>"49"</f>
        <v>49</v>
      </c>
      <c r="E5402" t="str">
        <f>"1-108-49"</f>
        <v>1-108-49</v>
      </c>
      <c r="F5402" t="s">
        <v>65</v>
      </c>
      <c r="G5402" t="s">
        <v>66</v>
      </c>
      <c r="H5402" t="s">
        <v>68</v>
      </c>
      <c r="I5402">
        <v>1</v>
      </c>
      <c r="J5402">
        <v>1</v>
      </c>
      <c r="K5402">
        <v>0</v>
      </c>
      <c r="L5402">
        <v>0</v>
      </c>
      <c r="M5402">
        <v>1</v>
      </c>
      <c r="N5402">
        <v>1</v>
      </c>
      <c r="O5402">
        <v>1</v>
      </c>
      <c r="P5402">
        <v>1</v>
      </c>
      <c r="Q5402">
        <v>1</v>
      </c>
      <c r="R5402">
        <v>1</v>
      </c>
    </row>
    <row r="5403" spans="1:39" x14ac:dyDescent="0.2">
      <c r="A5403" t="str">
        <f>"5399"</f>
        <v>5399</v>
      </c>
      <c r="B5403" t="str">
        <f t="shared" si="299"/>
        <v>1</v>
      </c>
      <c r="C5403" t="str">
        <f t="shared" si="300"/>
        <v>108</v>
      </c>
      <c r="D5403" t="str">
        <f>"32"</f>
        <v>32</v>
      </c>
      <c r="E5403" t="str">
        <f>"1-108-32"</f>
        <v>1-108-32</v>
      </c>
      <c r="F5403" t="s">
        <v>65</v>
      </c>
      <c r="G5403" t="s">
        <v>66</v>
      </c>
      <c r="H5403" t="s">
        <v>68</v>
      </c>
      <c r="I5403">
        <v>1</v>
      </c>
      <c r="J5403">
        <v>0</v>
      </c>
      <c r="K5403">
        <v>0</v>
      </c>
      <c r="L5403">
        <v>1</v>
      </c>
      <c r="M5403">
        <v>1</v>
      </c>
      <c r="N5403">
        <v>1</v>
      </c>
      <c r="O5403">
        <v>1</v>
      </c>
      <c r="P5403">
        <v>1</v>
      </c>
      <c r="Q5403">
        <v>1</v>
      </c>
      <c r="R5403">
        <v>1</v>
      </c>
    </row>
    <row r="5404" spans="1:39" x14ac:dyDescent="0.2">
      <c r="A5404" t="str">
        <f>"5400"</f>
        <v>5400</v>
      </c>
      <c r="B5404" t="str">
        <f t="shared" si="299"/>
        <v>1</v>
      </c>
      <c r="C5404" t="str">
        <f t="shared" si="300"/>
        <v>108</v>
      </c>
      <c r="D5404" t="str">
        <f>"11"</f>
        <v>11</v>
      </c>
      <c r="E5404" t="str">
        <f>"1-108-11"</f>
        <v>1-108-11</v>
      </c>
      <c r="F5404" t="s">
        <v>65</v>
      </c>
      <c r="G5404" t="s">
        <v>66</v>
      </c>
      <c r="H5404" t="s">
        <v>68</v>
      </c>
      <c r="I5404">
        <v>1</v>
      </c>
      <c r="J5404">
        <v>0</v>
      </c>
      <c r="K5404">
        <v>0</v>
      </c>
      <c r="L5404">
        <v>1</v>
      </c>
      <c r="M5404">
        <v>1</v>
      </c>
      <c r="N5404">
        <v>1</v>
      </c>
      <c r="O5404">
        <v>1</v>
      </c>
      <c r="P5404">
        <v>1</v>
      </c>
      <c r="Q5404">
        <v>1</v>
      </c>
      <c r="R5404">
        <v>1</v>
      </c>
    </row>
    <row r="5405" spans="1:39" x14ac:dyDescent="0.2">
      <c r="A5405" t="str">
        <f>"5401"</f>
        <v>5401</v>
      </c>
      <c r="B5405" t="str">
        <f t="shared" si="299"/>
        <v>1</v>
      </c>
      <c r="C5405" t="str">
        <f t="shared" ref="C5405:C5436" si="301">"109"</f>
        <v>109</v>
      </c>
      <c r="D5405" t="str">
        <f>"48"</f>
        <v>48</v>
      </c>
      <c r="E5405" t="str">
        <f>"1-109-48"</f>
        <v>1-109-48</v>
      </c>
      <c r="F5405" t="s">
        <v>65</v>
      </c>
      <c r="G5405" t="s">
        <v>66</v>
      </c>
      <c r="H5405" t="s">
        <v>67</v>
      </c>
      <c r="S5405">
        <v>1</v>
      </c>
      <c r="T5405">
        <v>0</v>
      </c>
      <c r="U5405">
        <v>0</v>
      </c>
      <c r="V5405">
        <v>0</v>
      </c>
      <c r="W5405">
        <v>1</v>
      </c>
      <c r="X5405">
        <v>0</v>
      </c>
      <c r="Y5405">
        <v>1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1</v>
      </c>
      <c r="AF5405">
        <v>1</v>
      </c>
      <c r="AG5405">
        <v>1</v>
      </c>
      <c r="AH5405">
        <v>1</v>
      </c>
      <c r="AI5405">
        <v>1</v>
      </c>
      <c r="AJ5405">
        <v>1</v>
      </c>
      <c r="AK5405">
        <v>1</v>
      </c>
      <c r="AL5405">
        <v>1</v>
      </c>
      <c r="AM5405">
        <v>1</v>
      </c>
    </row>
    <row r="5406" spans="1:39" x14ac:dyDescent="0.2">
      <c r="A5406" t="str">
        <f>"5402"</f>
        <v>5402</v>
      </c>
      <c r="B5406" t="str">
        <f t="shared" si="299"/>
        <v>1</v>
      </c>
      <c r="C5406" t="str">
        <f t="shared" si="301"/>
        <v>109</v>
      </c>
      <c r="D5406" t="str">
        <f>"47"</f>
        <v>47</v>
      </c>
      <c r="E5406" t="str">
        <f>"1-109-47"</f>
        <v>1-109-47</v>
      </c>
      <c r="F5406" t="s">
        <v>65</v>
      </c>
      <c r="G5406" t="s">
        <v>66</v>
      </c>
      <c r="H5406" t="s">
        <v>67</v>
      </c>
      <c r="S5406">
        <v>0</v>
      </c>
      <c r="T5406">
        <v>1</v>
      </c>
      <c r="U5406">
        <v>0</v>
      </c>
      <c r="V5406">
        <v>0</v>
      </c>
      <c r="W5406">
        <v>0</v>
      </c>
      <c r="X5406">
        <v>1</v>
      </c>
      <c r="Y5406">
        <v>0</v>
      </c>
      <c r="Z5406">
        <v>1</v>
      </c>
      <c r="AA5406">
        <v>0</v>
      </c>
      <c r="AB5406">
        <v>0</v>
      </c>
      <c r="AC5406">
        <v>1</v>
      </c>
      <c r="AD5406">
        <v>1</v>
      </c>
      <c r="AE5406">
        <v>1</v>
      </c>
      <c r="AF5406">
        <v>1</v>
      </c>
      <c r="AG5406">
        <v>1</v>
      </c>
      <c r="AH5406">
        <v>1</v>
      </c>
      <c r="AI5406">
        <v>1</v>
      </c>
      <c r="AJ5406">
        <v>1</v>
      </c>
      <c r="AK5406">
        <v>1</v>
      </c>
      <c r="AL5406">
        <v>1</v>
      </c>
      <c r="AM5406">
        <v>1</v>
      </c>
    </row>
    <row r="5407" spans="1:39" x14ac:dyDescent="0.2">
      <c r="A5407" t="str">
        <f>"5403"</f>
        <v>5403</v>
      </c>
      <c r="B5407" t="str">
        <f t="shared" si="299"/>
        <v>1</v>
      </c>
      <c r="C5407" t="str">
        <f t="shared" si="301"/>
        <v>109</v>
      </c>
      <c r="D5407" t="str">
        <f>"36"</f>
        <v>36</v>
      </c>
      <c r="E5407" t="str">
        <f>"1-109-36"</f>
        <v>1-109-36</v>
      </c>
      <c r="F5407" t="s">
        <v>65</v>
      </c>
      <c r="G5407" t="s">
        <v>66</v>
      </c>
      <c r="H5407" t="s">
        <v>68</v>
      </c>
      <c r="I5407">
        <v>1</v>
      </c>
      <c r="J5407">
        <v>1</v>
      </c>
      <c r="K5407">
        <v>0</v>
      </c>
      <c r="L5407">
        <v>0</v>
      </c>
      <c r="M5407">
        <v>1</v>
      </c>
      <c r="N5407">
        <v>1</v>
      </c>
      <c r="O5407">
        <v>1</v>
      </c>
      <c r="P5407">
        <v>0</v>
      </c>
      <c r="Q5407">
        <v>1</v>
      </c>
      <c r="R5407">
        <v>1</v>
      </c>
    </row>
    <row r="5408" spans="1:39" x14ac:dyDescent="0.2">
      <c r="A5408" t="str">
        <f>"5404"</f>
        <v>5404</v>
      </c>
      <c r="B5408" t="str">
        <f t="shared" si="299"/>
        <v>1</v>
      </c>
      <c r="C5408" t="str">
        <f t="shared" si="301"/>
        <v>109</v>
      </c>
      <c r="D5408" t="str">
        <f>"35"</f>
        <v>35</v>
      </c>
      <c r="E5408" t="str">
        <f>"1-109-35"</f>
        <v>1-109-35</v>
      </c>
      <c r="F5408" t="s">
        <v>65</v>
      </c>
      <c r="G5408" t="s">
        <v>66</v>
      </c>
      <c r="H5408" t="s">
        <v>68</v>
      </c>
      <c r="I5408">
        <v>1</v>
      </c>
      <c r="J5408">
        <v>0</v>
      </c>
      <c r="K5408">
        <v>0</v>
      </c>
      <c r="L5408">
        <v>1</v>
      </c>
      <c r="M5408">
        <v>1</v>
      </c>
      <c r="N5408">
        <v>1</v>
      </c>
      <c r="O5408">
        <v>1</v>
      </c>
      <c r="P5408">
        <v>1</v>
      </c>
      <c r="Q5408">
        <v>1</v>
      </c>
      <c r="R5408">
        <v>1</v>
      </c>
    </row>
    <row r="5409" spans="1:18" x14ac:dyDescent="0.2">
      <c r="A5409" t="str">
        <f>"5405"</f>
        <v>5405</v>
      </c>
      <c r="B5409" t="str">
        <f t="shared" si="299"/>
        <v>1</v>
      </c>
      <c r="C5409" t="str">
        <f t="shared" si="301"/>
        <v>109</v>
      </c>
      <c r="D5409" t="str">
        <f>"26"</f>
        <v>26</v>
      </c>
      <c r="E5409" t="str">
        <f>"1-109-26"</f>
        <v>1-109-26</v>
      </c>
      <c r="F5409" t="s">
        <v>65</v>
      </c>
      <c r="G5409" t="s">
        <v>66</v>
      </c>
      <c r="H5409" t="s">
        <v>68</v>
      </c>
      <c r="I5409">
        <v>1</v>
      </c>
      <c r="J5409">
        <v>1</v>
      </c>
      <c r="K5409">
        <v>0</v>
      </c>
      <c r="L5409">
        <v>0</v>
      </c>
      <c r="M5409">
        <v>1</v>
      </c>
      <c r="N5409">
        <v>1</v>
      </c>
      <c r="O5409">
        <v>1</v>
      </c>
      <c r="P5409">
        <v>1</v>
      </c>
      <c r="Q5409">
        <v>1</v>
      </c>
      <c r="R5409">
        <v>1</v>
      </c>
    </row>
    <row r="5410" spans="1:18" x14ac:dyDescent="0.2">
      <c r="A5410" t="str">
        <f>"5406"</f>
        <v>5406</v>
      </c>
      <c r="B5410" t="str">
        <f t="shared" si="299"/>
        <v>1</v>
      </c>
      <c r="C5410" t="str">
        <f t="shared" si="301"/>
        <v>109</v>
      </c>
      <c r="D5410" t="str">
        <f>"25"</f>
        <v>25</v>
      </c>
      <c r="E5410" t="str">
        <f>"1-109-25"</f>
        <v>1-109-25</v>
      </c>
      <c r="F5410" t="s">
        <v>65</v>
      </c>
      <c r="G5410" t="s">
        <v>66</v>
      </c>
      <c r="H5410" t="s">
        <v>68</v>
      </c>
      <c r="I5410">
        <v>1</v>
      </c>
      <c r="J5410">
        <v>1</v>
      </c>
      <c r="K5410">
        <v>0</v>
      </c>
      <c r="L5410">
        <v>0</v>
      </c>
      <c r="M5410">
        <v>1</v>
      </c>
      <c r="N5410">
        <v>1</v>
      </c>
      <c r="O5410">
        <v>1</v>
      </c>
      <c r="P5410">
        <v>1</v>
      </c>
      <c r="Q5410">
        <v>1</v>
      </c>
      <c r="R5410">
        <v>1</v>
      </c>
    </row>
    <row r="5411" spans="1:18" x14ac:dyDescent="0.2">
      <c r="A5411" t="str">
        <f>"5407"</f>
        <v>5407</v>
      </c>
      <c r="B5411" t="str">
        <f t="shared" si="299"/>
        <v>1</v>
      </c>
      <c r="C5411" t="str">
        <f t="shared" si="301"/>
        <v>109</v>
      </c>
      <c r="D5411" t="str">
        <f>"17"</f>
        <v>17</v>
      </c>
      <c r="E5411" t="str">
        <f>"1-109-17"</f>
        <v>1-109-17</v>
      </c>
      <c r="F5411" t="s">
        <v>65</v>
      </c>
      <c r="G5411" t="s">
        <v>66</v>
      </c>
      <c r="H5411" t="s">
        <v>68</v>
      </c>
      <c r="I5411">
        <v>1</v>
      </c>
      <c r="J5411">
        <v>0</v>
      </c>
      <c r="K5411">
        <v>0</v>
      </c>
      <c r="L5411">
        <v>1</v>
      </c>
      <c r="M5411">
        <v>1</v>
      </c>
      <c r="N5411">
        <v>1</v>
      </c>
      <c r="O5411">
        <v>0</v>
      </c>
      <c r="P5411">
        <v>1</v>
      </c>
      <c r="Q5411">
        <v>0</v>
      </c>
      <c r="R5411">
        <v>1</v>
      </c>
    </row>
    <row r="5412" spans="1:18" x14ac:dyDescent="0.2">
      <c r="A5412" t="str">
        <f>"5408"</f>
        <v>5408</v>
      </c>
      <c r="B5412" t="str">
        <f t="shared" si="299"/>
        <v>1</v>
      </c>
      <c r="C5412" t="str">
        <f t="shared" si="301"/>
        <v>109</v>
      </c>
      <c r="D5412" t="str">
        <f>"15"</f>
        <v>15</v>
      </c>
      <c r="E5412" t="str">
        <f>"1-109-15"</f>
        <v>1-109-15</v>
      </c>
      <c r="F5412" t="s">
        <v>65</v>
      </c>
      <c r="G5412" t="s">
        <v>66</v>
      </c>
      <c r="H5412" t="s">
        <v>68</v>
      </c>
      <c r="I5412">
        <v>1</v>
      </c>
      <c r="J5412">
        <v>0</v>
      </c>
      <c r="K5412">
        <v>1</v>
      </c>
      <c r="L5412">
        <v>0</v>
      </c>
      <c r="M5412">
        <v>1</v>
      </c>
      <c r="N5412">
        <v>1</v>
      </c>
      <c r="O5412">
        <v>1</v>
      </c>
      <c r="P5412">
        <v>1</v>
      </c>
      <c r="Q5412">
        <v>1</v>
      </c>
      <c r="R5412">
        <v>1</v>
      </c>
    </row>
    <row r="5413" spans="1:18" x14ac:dyDescent="0.2">
      <c r="A5413" t="str">
        <f>"5409"</f>
        <v>5409</v>
      </c>
      <c r="B5413" t="str">
        <f t="shared" si="299"/>
        <v>1</v>
      </c>
      <c r="C5413" t="str">
        <f t="shared" si="301"/>
        <v>109</v>
      </c>
      <c r="D5413" t="str">
        <f>"4"</f>
        <v>4</v>
      </c>
      <c r="E5413" t="str">
        <f>"1-109-4"</f>
        <v>1-109-4</v>
      </c>
      <c r="F5413" t="s">
        <v>65</v>
      </c>
      <c r="G5413" t="s">
        <v>66</v>
      </c>
      <c r="H5413" t="s">
        <v>68</v>
      </c>
      <c r="I5413">
        <v>1</v>
      </c>
      <c r="J5413">
        <v>0</v>
      </c>
      <c r="K5413">
        <v>0</v>
      </c>
      <c r="L5413">
        <v>1</v>
      </c>
      <c r="M5413">
        <v>1</v>
      </c>
      <c r="N5413">
        <v>1</v>
      </c>
      <c r="O5413">
        <v>1</v>
      </c>
      <c r="P5413">
        <v>1</v>
      </c>
      <c r="Q5413">
        <v>1</v>
      </c>
      <c r="R5413">
        <v>1</v>
      </c>
    </row>
    <row r="5414" spans="1:18" x14ac:dyDescent="0.2">
      <c r="A5414" t="str">
        <f>"5410"</f>
        <v>5410</v>
      </c>
      <c r="B5414" t="str">
        <f t="shared" si="299"/>
        <v>1</v>
      </c>
      <c r="C5414" t="str">
        <f t="shared" si="301"/>
        <v>109</v>
      </c>
      <c r="D5414" t="str">
        <f>"34"</f>
        <v>34</v>
      </c>
      <c r="E5414" t="str">
        <f>"1-109-34"</f>
        <v>1-109-34</v>
      </c>
      <c r="F5414" t="s">
        <v>65</v>
      </c>
      <c r="G5414" t="s">
        <v>66</v>
      </c>
      <c r="H5414" t="s">
        <v>68</v>
      </c>
      <c r="I5414">
        <v>1</v>
      </c>
      <c r="J5414">
        <v>0</v>
      </c>
      <c r="K5414">
        <v>1</v>
      </c>
      <c r="L5414">
        <v>0</v>
      </c>
      <c r="M5414">
        <v>1</v>
      </c>
      <c r="N5414">
        <v>1</v>
      </c>
      <c r="O5414">
        <v>1</v>
      </c>
      <c r="P5414">
        <v>1</v>
      </c>
      <c r="Q5414">
        <v>1</v>
      </c>
      <c r="R5414">
        <v>1</v>
      </c>
    </row>
    <row r="5415" spans="1:18" x14ac:dyDescent="0.2">
      <c r="A5415" t="str">
        <f>"5411"</f>
        <v>5411</v>
      </c>
      <c r="B5415" t="str">
        <f t="shared" si="299"/>
        <v>1</v>
      </c>
      <c r="C5415" t="str">
        <f t="shared" si="301"/>
        <v>109</v>
      </c>
      <c r="D5415" t="str">
        <f>"33"</f>
        <v>33</v>
      </c>
      <c r="E5415" t="str">
        <f>"1-109-33"</f>
        <v>1-109-33</v>
      </c>
      <c r="F5415" t="s">
        <v>65</v>
      </c>
      <c r="G5415" t="s">
        <v>66</v>
      </c>
      <c r="H5415" t="s">
        <v>68</v>
      </c>
      <c r="I5415">
        <v>1</v>
      </c>
      <c r="J5415">
        <v>0</v>
      </c>
      <c r="K5415">
        <v>1</v>
      </c>
      <c r="L5415">
        <v>0</v>
      </c>
      <c r="M5415">
        <v>1</v>
      </c>
      <c r="N5415">
        <v>1</v>
      </c>
      <c r="O5415">
        <v>1</v>
      </c>
      <c r="P5415">
        <v>1</v>
      </c>
      <c r="Q5415">
        <v>1</v>
      </c>
      <c r="R5415">
        <v>1</v>
      </c>
    </row>
    <row r="5416" spans="1:18" x14ac:dyDescent="0.2">
      <c r="A5416" t="str">
        <f>"5412"</f>
        <v>5412</v>
      </c>
      <c r="B5416" t="str">
        <f t="shared" si="299"/>
        <v>1</v>
      </c>
      <c r="C5416" t="str">
        <f t="shared" si="301"/>
        <v>109</v>
      </c>
      <c r="D5416" t="str">
        <f>"22"</f>
        <v>22</v>
      </c>
      <c r="E5416" t="str">
        <f>"1-109-22"</f>
        <v>1-109-22</v>
      </c>
      <c r="F5416" t="s">
        <v>65</v>
      </c>
      <c r="G5416" t="s">
        <v>66</v>
      </c>
      <c r="H5416" t="s">
        <v>68</v>
      </c>
      <c r="I5416">
        <v>1</v>
      </c>
      <c r="J5416">
        <v>1</v>
      </c>
      <c r="K5416">
        <v>0</v>
      </c>
      <c r="L5416">
        <v>0</v>
      </c>
      <c r="M5416">
        <v>1</v>
      </c>
      <c r="N5416">
        <v>1</v>
      </c>
      <c r="O5416">
        <v>1</v>
      </c>
      <c r="P5416">
        <v>1</v>
      </c>
      <c r="Q5416">
        <v>1</v>
      </c>
      <c r="R5416">
        <v>1</v>
      </c>
    </row>
    <row r="5417" spans="1:18" x14ac:dyDescent="0.2">
      <c r="A5417" t="str">
        <f>"5413"</f>
        <v>5413</v>
      </c>
      <c r="B5417" t="str">
        <f t="shared" si="299"/>
        <v>1</v>
      </c>
      <c r="C5417" t="str">
        <f t="shared" si="301"/>
        <v>109</v>
      </c>
      <c r="D5417" t="str">
        <f>"16"</f>
        <v>16</v>
      </c>
      <c r="E5417" t="str">
        <f>"1-109-16"</f>
        <v>1-109-16</v>
      </c>
      <c r="F5417" t="s">
        <v>65</v>
      </c>
      <c r="G5417" t="s">
        <v>66</v>
      </c>
      <c r="H5417" t="s">
        <v>68</v>
      </c>
      <c r="I5417">
        <v>1</v>
      </c>
      <c r="J5417">
        <v>0</v>
      </c>
      <c r="K5417">
        <v>1</v>
      </c>
      <c r="L5417">
        <v>0</v>
      </c>
      <c r="M5417">
        <v>1</v>
      </c>
      <c r="N5417">
        <v>1</v>
      </c>
      <c r="O5417">
        <v>1</v>
      </c>
      <c r="P5417">
        <v>1</v>
      </c>
      <c r="Q5417">
        <v>1</v>
      </c>
      <c r="R5417">
        <v>1</v>
      </c>
    </row>
    <row r="5418" spans="1:18" x14ac:dyDescent="0.2">
      <c r="A5418" t="str">
        <f>"5414"</f>
        <v>5414</v>
      </c>
      <c r="B5418" t="str">
        <f t="shared" si="299"/>
        <v>1</v>
      </c>
      <c r="C5418" t="str">
        <f t="shared" si="301"/>
        <v>109</v>
      </c>
      <c r="D5418" t="str">
        <f>"6"</f>
        <v>6</v>
      </c>
      <c r="E5418" t="str">
        <f>"1-109-6"</f>
        <v>1-109-6</v>
      </c>
      <c r="F5418" t="s">
        <v>65</v>
      </c>
      <c r="G5418" t="s">
        <v>66</v>
      </c>
      <c r="H5418" t="s">
        <v>68</v>
      </c>
      <c r="I5418">
        <v>1</v>
      </c>
      <c r="J5418">
        <v>0</v>
      </c>
      <c r="K5418">
        <v>0</v>
      </c>
      <c r="L5418">
        <v>1</v>
      </c>
      <c r="M5418">
        <v>1</v>
      </c>
      <c r="N5418">
        <v>1</v>
      </c>
      <c r="O5418">
        <v>1</v>
      </c>
      <c r="P5418">
        <v>1</v>
      </c>
      <c r="Q5418">
        <v>1</v>
      </c>
      <c r="R5418">
        <v>1</v>
      </c>
    </row>
    <row r="5419" spans="1:18" x14ac:dyDescent="0.2">
      <c r="A5419" t="str">
        <f>"5415"</f>
        <v>5415</v>
      </c>
      <c r="B5419" t="str">
        <f t="shared" si="299"/>
        <v>1</v>
      </c>
      <c r="C5419" t="str">
        <f t="shared" si="301"/>
        <v>109</v>
      </c>
      <c r="D5419" t="str">
        <f>"37"</f>
        <v>37</v>
      </c>
      <c r="E5419" t="str">
        <f>"1-109-37"</f>
        <v>1-109-37</v>
      </c>
      <c r="F5419" t="s">
        <v>65</v>
      </c>
      <c r="G5419" t="s">
        <v>66</v>
      </c>
      <c r="H5419" t="s">
        <v>68</v>
      </c>
      <c r="I5419">
        <v>1</v>
      </c>
      <c r="J5419">
        <v>1</v>
      </c>
      <c r="K5419">
        <v>0</v>
      </c>
      <c r="L5419">
        <v>0</v>
      </c>
      <c r="M5419">
        <v>1</v>
      </c>
      <c r="N5419">
        <v>1</v>
      </c>
      <c r="O5419">
        <v>1</v>
      </c>
      <c r="P5419">
        <v>1</v>
      </c>
      <c r="Q5419">
        <v>1</v>
      </c>
      <c r="R5419">
        <v>1</v>
      </c>
    </row>
    <row r="5420" spans="1:18" x14ac:dyDescent="0.2">
      <c r="A5420" t="str">
        <f>"5416"</f>
        <v>5416</v>
      </c>
      <c r="B5420" t="str">
        <f t="shared" si="299"/>
        <v>1</v>
      </c>
      <c r="C5420" t="str">
        <f t="shared" si="301"/>
        <v>109</v>
      </c>
      <c r="D5420" t="str">
        <f>"18"</f>
        <v>18</v>
      </c>
      <c r="E5420" t="str">
        <f>"1-109-18"</f>
        <v>1-109-18</v>
      </c>
      <c r="F5420" t="s">
        <v>65</v>
      </c>
      <c r="G5420" t="s">
        <v>66</v>
      </c>
      <c r="H5420" t="s">
        <v>68</v>
      </c>
      <c r="I5420">
        <v>1</v>
      </c>
      <c r="J5420">
        <v>0</v>
      </c>
      <c r="K5420">
        <v>1</v>
      </c>
      <c r="L5420">
        <v>0</v>
      </c>
      <c r="M5420">
        <v>1</v>
      </c>
      <c r="N5420">
        <v>1</v>
      </c>
      <c r="O5420">
        <v>1</v>
      </c>
      <c r="P5420">
        <v>1</v>
      </c>
      <c r="Q5420">
        <v>1</v>
      </c>
      <c r="R5420">
        <v>1</v>
      </c>
    </row>
    <row r="5421" spans="1:18" x14ac:dyDescent="0.2">
      <c r="A5421" t="str">
        <f>"5417"</f>
        <v>5417</v>
      </c>
      <c r="B5421" t="str">
        <f t="shared" si="299"/>
        <v>1</v>
      </c>
      <c r="C5421" t="str">
        <f t="shared" si="301"/>
        <v>109</v>
      </c>
      <c r="D5421" t="str">
        <f>"5"</f>
        <v>5</v>
      </c>
      <c r="E5421" t="str">
        <f>"1-109-5"</f>
        <v>1-109-5</v>
      </c>
      <c r="F5421" t="s">
        <v>65</v>
      </c>
      <c r="G5421" t="s">
        <v>66</v>
      </c>
      <c r="H5421" t="s">
        <v>68</v>
      </c>
      <c r="I5421">
        <v>1</v>
      </c>
      <c r="J5421">
        <v>0</v>
      </c>
      <c r="K5421">
        <v>0</v>
      </c>
      <c r="L5421">
        <v>1</v>
      </c>
      <c r="M5421">
        <v>1</v>
      </c>
      <c r="N5421">
        <v>1</v>
      </c>
      <c r="O5421">
        <v>1</v>
      </c>
      <c r="P5421">
        <v>1</v>
      </c>
      <c r="Q5421">
        <v>1</v>
      </c>
      <c r="R5421">
        <v>1</v>
      </c>
    </row>
    <row r="5422" spans="1:18" x14ac:dyDescent="0.2">
      <c r="A5422" t="str">
        <f>"5418"</f>
        <v>5418</v>
      </c>
      <c r="B5422" t="str">
        <f t="shared" si="299"/>
        <v>1</v>
      </c>
      <c r="C5422" t="str">
        <f t="shared" si="301"/>
        <v>109</v>
      </c>
      <c r="D5422" t="str">
        <f>"38"</f>
        <v>38</v>
      </c>
      <c r="E5422" t="str">
        <f>"1-109-38"</f>
        <v>1-109-38</v>
      </c>
      <c r="F5422" t="s">
        <v>65</v>
      </c>
      <c r="G5422" t="s">
        <v>66</v>
      </c>
      <c r="H5422" t="s">
        <v>68</v>
      </c>
      <c r="I5422">
        <v>1</v>
      </c>
      <c r="J5422">
        <v>0</v>
      </c>
      <c r="K5422">
        <v>0</v>
      </c>
      <c r="L5422">
        <v>1</v>
      </c>
      <c r="M5422">
        <v>1</v>
      </c>
      <c r="N5422">
        <v>1</v>
      </c>
      <c r="O5422">
        <v>1</v>
      </c>
      <c r="P5422">
        <v>1</v>
      </c>
      <c r="Q5422">
        <v>1</v>
      </c>
      <c r="R5422">
        <v>1</v>
      </c>
    </row>
    <row r="5423" spans="1:18" x14ac:dyDescent="0.2">
      <c r="A5423" t="str">
        <f>"5419"</f>
        <v>5419</v>
      </c>
      <c r="B5423" t="str">
        <f t="shared" si="299"/>
        <v>1</v>
      </c>
      <c r="C5423" t="str">
        <f t="shared" si="301"/>
        <v>109</v>
      </c>
      <c r="D5423" t="str">
        <f>"19"</f>
        <v>19</v>
      </c>
      <c r="E5423" t="str">
        <f>"1-109-19"</f>
        <v>1-109-19</v>
      </c>
      <c r="F5423" t="s">
        <v>65</v>
      </c>
      <c r="G5423" t="s">
        <v>66</v>
      </c>
      <c r="H5423" t="s">
        <v>68</v>
      </c>
      <c r="I5423">
        <v>1</v>
      </c>
      <c r="J5423">
        <v>1</v>
      </c>
      <c r="K5423">
        <v>0</v>
      </c>
      <c r="L5423">
        <v>0</v>
      </c>
      <c r="M5423">
        <v>1</v>
      </c>
      <c r="N5423">
        <v>1</v>
      </c>
      <c r="O5423">
        <v>1</v>
      </c>
      <c r="P5423">
        <v>1</v>
      </c>
      <c r="Q5423">
        <v>1</v>
      </c>
      <c r="R5423">
        <v>1</v>
      </c>
    </row>
    <row r="5424" spans="1:18" x14ac:dyDescent="0.2">
      <c r="A5424" t="str">
        <f>"5420"</f>
        <v>5420</v>
      </c>
      <c r="B5424" t="str">
        <f t="shared" si="299"/>
        <v>1</v>
      </c>
      <c r="C5424" t="str">
        <f t="shared" si="301"/>
        <v>109</v>
      </c>
      <c r="D5424" t="str">
        <f>"13"</f>
        <v>13</v>
      </c>
      <c r="E5424" t="str">
        <f>"1-109-13"</f>
        <v>1-109-13</v>
      </c>
      <c r="F5424" t="s">
        <v>65</v>
      </c>
      <c r="G5424" t="s">
        <v>66</v>
      </c>
      <c r="H5424" t="s">
        <v>68</v>
      </c>
      <c r="I5424">
        <v>0</v>
      </c>
      <c r="J5424">
        <v>0</v>
      </c>
      <c r="K5424">
        <v>0</v>
      </c>
      <c r="L5424">
        <v>0</v>
      </c>
      <c r="M5424">
        <v>1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2">
      <c r="A5425" t="str">
        <f>"5421"</f>
        <v>5421</v>
      </c>
      <c r="B5425" t="str">
        <f t="shared" si="299"/>
        <v>1</v>
      </c>
      <c r="C5425" t="str">
        <f t="shared" si="301"/>
        <v>109</v>
      </c>
      <c r="D5425" t="str">
        <f>"39"</f>
        <v>39</v>
      </c>
      <c r="E5425" t="str">
        <f>"1-109-39"</f>
        <v>1-109-39</v>
      </c>
      <c r="F5425" t="s">
        <v>65</v>
      </c>
      <c r="G5425" t="s">
        <v>66</v>
      </c>
      <c r="H5425" t="s">
        <v>68</v>
      </c>
      <c r="I5425">
        <v>1</v>
      </c>
      <c r="J5425">
        <v>0</v>
      </c>
      <c r="K5425">
        <v>0</v>
      </c>
      <c r="L5425">
        <v>1</v>
      </c>
      <c r="M5425">
        <v>1</v>
      </c>
      <c r="N5425">
        <v>1</v>
      </c>
      <c r="O5425">
        <v>1</v>
      </c>
      <c r="P5425">
        <v>1</v>
      </c>
      <c r="Q5425">
        <v>1</v>
      </c>
      <c r="R5425">
        <v>1</v>
      </c>
    </row>
    <row r="5426" spans="1:18" x14ac:dyDescent="0.2">
      <c r="A5426" t="str">
        <f>"5422"</f>
        <v>5422</v>
      </c>
      <c r="B5426" t="str">
        <f t="shared" si="299"/>
        <v>1</v>
      </c>
      <c r="C5426" t="str">
        <f t="shared" si="301"/>
        <v>109</v>
      </c>
      <c r="D5426" t="str">
        <f>"20"</f>
        <v>20</v>
      </c>
      <c r="E5426" t="str">
        <f>"1-109-20"</f>
        <v>1-109-20</v>
      </c>
      <c r="F5426" t="s">
        <v>65</v>
      </c>
      <c r="G5426" t="s">
        <v>66</v>
      </c>
      <c r="H5426" t="s">
        <v>68</v>
      </c>
      <c r="I5426">
        <v>1</v>
      </c>
      <c r="J5426">
        <v>0</v>
      </c>
      <c r="K5426">
        <v>0</v>
      </c>
      <c r="L5426">
        <v>1</v>
      </c>
      <c r="M5426">
        <v>1</v>
      </c>
      <c r="N5426">
        <v>1</v>
      </c>
      <c r="O5426">
        <v>0</v>
      </c>
      <c r="P5426">
        <v>1</v>
      </c>
      <c r="Q5426">
        <v>1</v>
      </c>
      <c r="R5426">
        <v>1</v>
      </c>
    </row>
    <row r="5427" spans="1:18" x14ac:dyDescent="0.2">
      <c r="A5427" t="str">
        <f>"5423"</f>
        <v>5423</v>
      </c>
      <c r="B5427" t="str">
        <f t="shared" si="299"/>
        <v>1</v>
      </c>
      <c r="C5427" t="str">
        <f t="shared" si="301"/>
        <v>109</v>
      </c>
      <c r="D5427" t="str">
        <f>"1"</f>
        <v>1</v>
      </c>
      <c r="E5427" t="str">
        <f>"1-109-1"</f>
        <v>1-109-1</v>
      </c>
      <c r="F5427" t="s">
        <v>65</v>
      </c>
      <c r="G5427" t="s">
        <v>66</v>
      </c>
      <c r="H5427" t="s">
        <v>68</v>
      </c>
      <c r="I5427">
        <v>1</v>
      </c>
      <c r="J5427">
        <v>0</v>
      </c>
      <c r="K5427">
        <v>0</v>
      </c>
      <c r="L5427">
        <v>1</v>
      </c>
      <c r="M5427">
        <v>1</v>
      </c>
      <c r="N5427">
        <v>1</v>
      </c>
      <c r="O5427">
        <v>1</v>
      </c>
      <c r="P5427">
        <v>1</v>
      </c>
      <c r="Q5427">
        <v>1</v>
      </c>
      <c r="R5427">
        <v>1</v>
      </c>
    </row>
    <row r="5428" spans="1:18" x14ac:dyDescent="0.2">
      <c r="A5428" t="str">
        <f>"5424"</f>
        <v>5424</v>
      </c>
      <c r="B5428" t="str">
        <f t="shared" si="299"/>
        <v>1</v>
      </c>
      <c r="C5428" t="str">
        <f t="shared" si="301"/>
        <v>109</v>
      </c>
      <c r="D5428" t="str">
        <f>"41"</f>
        <v>41</v>
      </c>
      <c r="E5428" t="str">
        <f>"1-109-41"</f>
        <v>1-109-41</v>
      </c>
      <c r="F5428" t="s">
        <v>65</v>
      </c>
      <c r="G5428" t="s">
        <v>66</v>
      </c>
      <c r="H5428" t="s">
        <v>68</v>
      </c>
      <c r="I5428">
        <v>1</v>
      </c>
      <c r="J5428">
        <v>1</v>
      </c>
      <c r="K5428">
        <v>0</v>
      </c>
      <c r="L5428">
        <v>0</v>
      </c>
      <c r="M5428">
        <v>1</v>
      </c>
      <c r="N5428">
        <v>1</v>
      </c>
      <c r="O5428">
        <v>1</v>
      </c>
      <c r="P5428">
        <v>1</v>
      </c>
      <c r="Q5428">
        <v>1</v>
      </c>
      <c r="R5428">
        <v>1</v>
      </c>
    </row>
    <row r="5429" spans="1:18" x14ac:dyDescent="0.2">
      <c r="A5429" t="str">
        <f>"5425"</f>
        <v>5425</v>
      </c>
      <c r="B5429" t="str">
        <f t="shared" si="299"/>
        <v>1</v>
      </c>
      <c r="C5429" t="str">
        <f t="shared" si="301"/>
        <v>109</v>
      </c>
      <c r="D5429" t="str">
        <f>"21"</f>
        <v>21</v>
      </c>
      <c r="E5429" t="str">
        <f>"1-109-21"</f>
        <v>1-109-21</v>
      </c>
      <c r="F5429" t="s">
        <v>65</v>
      </c>
      <c r="G5429" t="s">
        <v>66</v>
      </c>
      <c r="H5429" t="s">
        <v>68</v>
      </c>
      <c r="I5429">
        <v>1</v>
      </c>
      <c r="J5429">
        <v>0</v>
      </c>
      <c r="K5429">
        <v>1</v>
      </c>
      <c r="L5429">
        <v>0</v>
      </c>
      <c r="M5429">
        <v>1</v>
      </c>
      <c r="N5429">
        <v>1</v>
      </c>
      <c r="O5429">
        <v>1</v>
      </c>
      <c r="P5429">
        <v>1</v>
      </c>
      <c r="Q5429">
        <v>1</v>
      </c>
      <c r="R5429">
        <v>1</v>
      </c>
    </row>
    <row r="5430" spans="1:18" x14ac:dyDescent="0.2">
      <c r="A5430" t="str">
        <f>"5426"</f>
        <v>5426</v>
      </c>
      <c r="B5430" t="str">
        <f t="shared" si="299"/>
        <v>1</v>
      </c>
      <c r="C5430" t="str">
        <f t="shared" si="301"/>
        <v>109</v>
      </c>
      <c r="D5430" t="str">
        <f>"12"</f>
        <v>12</v>
      </c>
      <c r="E5430" t="str">
        <f>"1-109-12"</f>
        <v>1-109-12</v>
      </c>
      <c r="F5430" t="s">
        <v>65</v>
      </c>
      <c r="G5430" t="s">
        <v>66</v>
      </c>
      <c r="H5430" t="s">
        <v>68</v>
      </c>
      <c r="I5430">
        <v>1</v>
      </c>
      <c r="J5430">
        <v>1</v>
      </c>
      <c r="K5430">
        <v>0</v>
      </c>
      <c r="L5430">
        <v>0</v>
      </c>
      <c r="M5430">
        <v>1</v>
      </c>
      <c r="N5430">
        <v>1</v>
      </c>
      <c r="O5430">
        <v>1</v>
      </c>
      <c r="P5430">
        <v>1</v>
      </c>
      <c r="Q5430">
        <v>1</v>
      </c>
      <c r="R5430">
        <v>1</v>
      </c>
    </row>
    <row r="5431" spans="1:18" x14ac:dyDescent="0.2">
      <c r="A5431" t="str">
        <f>"5427"</f>
        <v>5427</v>
      </c>
      <c r="B5431" t="str">
        <f t="shared" ref="B5431:B5494" si="302">"1"</f>
        <v>1</v>
      </c>
      <c r="C5431" t="str">
        <f t="shared" si="301"/>
        <v>109</v>
      </c>
      <c r="D5431" t="str">
        <f>"42"</f>
        <v>42</v>
      </c>
      <c r="E5431" t="str">
        <f>"1-109-42"</f>
        <v>1-109-42</v>
      </c>
      <c r="F5431" t="s">
        <v>65</v>
      </c>
      <c r="G5431" t="s">
        <v>66</v>
      </c>
      <c r="H5431" t="s">
        <v>68</v>
      </c>
      <c r="I5431">
        <v>1</v>
      </c>
      <c r="J5431">
        <v>0</v>
      </c>
      <c r="K5431">
        <v>0</v>
      </c>
      <c r="L5431">
        <v>1</v>
      </c>
      <c r="M5431">
        <v>1</v>
      </c>
      <c r="N5431">
        <v>1</v>
      </c>
      <c r="O5431">
        <v>1</v>
      </c>
      <c r="P5431">
        <v>1</v>
      </c>
      <c r="Q5431">
        <v>1</v>
      </c>
      <c r="R5431">
        <v>1</v>
      </c>
    </row>
    <row r="5432" spans="1:18" x14ac:dyDescent="0.2">
      <c r="A5432" t="str">
        <f>"5428"</f>
        <v>5428</v>
      </c>
      <c r="B5432" t="str">
        <f t="shared" si="302"/>
        <v>1</v>
      </c>
      <c r="C5432" t="str">
        <f t="shared" si="301"/>
        <v>109</v>
      </c>
      <c r="D5432" t="str">
        <f>"23"</f>
        <v>23</v>
      </c>
      <c r="E5432" t="str">
        <f>"1-109-23"</f>
        <v>1-109-23</v>
      </c>
      <c r="F5432" t="s">
        <v>65</v>
      </c>
      <c r="G5432" t="s">
        <v>66</v>
      </c>
      <c r="H5432" t="s">
        <v>68</v>
      </c>
      <c r="I5432">
        <v>1</v>
      </c>
      <c r="J5432">
        <v>0</v>
      </c>
      <c r="K5432">
        <v>1</v>
      </c>
      <c r="L5432">
        <v>0</v>
      </c>
      <c r="M5432">
        <v>1</v>
      </c>
      <c r="N5432">
        <v>1</v>
      </c>
      <c r="O5432">
        <v>1</v>
      </c>
      <c r="P5432">
        <v>1</v>
      </c>
      <c r="Q5432">
        <v>1</v>
      </c>
      <c r="R5432">
        <v>1</v>
      </c>
    </row>
    <row r="5433" spans="1:18" x14ac:dyDescent="0.2">
      <c r="A5433" t="str">
        <f>"5429"</f>
        <v>5429</v>
      </c>
      <c r="B5433" t="str">
        <f t="shared" si="302"/>
        <v>1</v>
      </c>
      <c r="C5433" t="str">
        <f t="shared" si="301"/>
        <v>109</v>
      </c>
      <c r="D5433" t="str">
        <f>"11"</f>
        <v>11</v>
      </c>
      <c r="E5433" t="str">
        <f>"1-109-11"</f>
        <v>1-109-11</v>
      </c>
      <c r="F5433" t="s">
        <v>65</v>
      </c>
      <c r="G5433" t="s">
        <v>66</v>
      </c>
      <c r="H5433" t="s">
        <v>68</v>
      </c>
      <c r="I5433">
        <v>1</v>
      </c>
      <c r="J5433">
        <v>0</v>
      </c>
      <c r="K5433">
        <v>1</v>
      </c>
      <c r="L5433">
        <v>0</v>
      </c>
      <c r="M5433">
        <v>1</v>
      </c>
      <c r="N5433">
        <v>1</v>
      </c>
      <c r="O5433">
        <v>1</v>
      </c>
      <c r="P5433">
        <v>1</v>
      </c>
      <c r="Q5433">
        <v>1</v>
      </c>
      <c r="R5433">
        <v>1</v>
      </c>
    </row>
    <row r="5434" spans="1:18" x14ac:dyDescent="0.2">
      <c r="A5434" t="str">
        <f>"5430"</f>
        <v>5430</v>
      </c>
      <c r="B5434" t="str">
        <f t="shared" si="302"/>
        <v>1</v>
      </c>
      <c r="C5434" t="str">
        <f t="shared" si="301"/>
        <v>109</v>
      </c>
      <c r="D5434" t="str">
        <f>"40"</f>
        <v>40</v>
      </c>
      <c r="E5434" t="str">
        <f>"1-109-40"</f>
        <v>1-109-40</v>
      </c>
      <c r="F5434" t="s">
        <v>65</v>
      </c>
      <c r="G5434" t="s">
        <v>66</v>
      </c>
      <c r="H5434" t="s">
        <v>68</v>
      </c>
      <c r="I5434">
        <v>1</v>
      </c>
      <c r="J5434">
        <v>0</v>
      </c>
      <c r="K5434">
        <v>0</v>
      </c>
      <c r="L5434">
        <v>1</v>
      </c>
      <c r="M5434">
        <v>1</v>
      </c>
      <c r="N5434">
        <v>1</v>
      </c>
      <c r="O5434">
        <v>1</v>
      </c>
      <c r="P5434">
        <v>1</v>
      </c>
      <c r="Q5434">
        <v>1</v>
      </c>
      <c r="R5434">
        <v>1</v>
      </c>
    </row>
    <row r="5435" spans="1:18" x14ac:dyDescent="0.2">
      <c r="A5435" t="str">
        <f>"5431"</f>
        <v>5431</v>
      </c>
      <c r="B5435" t="str">
        <f t="shared" si="302"/>
        <v>1</v>
      </c>
      <c r="C5435" t="str">
        <f t="shared" si="301"/>
        <v>109</v>
      </c>
      <c r="D5435" t="str">
        <f>"24"</f>
        <v>24</v>
      </c>
      <c r="E5435" t="str">
        <f>"1-109-24"</f>
        <v>1-109-24</v>
      </c>
      <c r="F5435" t="s">
        <v>65</v>
      </c>
      <c r="G5435" t="s">
        <v>66</v>
      </c>
      <c r="H5435" t="s">
        <v>68</v>
      </c>
      <c r="I5435">
        <v>1</v>
      </c>
      <c r="J5435">
        <v>0</v>
      </c>
      <c r="K5435">
        <v>0</v>
      </c>
      <c r="L5435">
        <v>1</v>
      </c>
      <c r="M5435">
        <v>1</v>
      </c>
      <c r="N5435">
        <v>1</v>
      </c>
      <c r="O5435">
        <v>1</v>
      </c>
      <c r="P5435">
        <v>1</v>
      </c>
      <c r="Q5435">
        <v>1</v>
      </c>
      <c r="R5435">
        <v>1</v>
      </c>
    </row>
    <row r="5436" spans="1:18" x14ac:dyDescent="0.2">
      <c r="A5436" t="str">
        <f>"5432"</f>
        <v>5432</v>
      </c>
      <c r="B5436" t="str">
        <f t="shared" si="302"/>
        <v>1</v>
      </c>
      <c r="C5436" t="str">
        <f t="shared" si="301"/>
        <v>109</v>
      </c>
      <c r="D5436" t="str">
        <f>"8"</f>
        <v>8</v>
      </c>
      <c r="E5436" t="str">
        <f>"1-109-8"</f>
        <v>1-109-8</v>
      </c>
      <c r="F5436" t="s">
        <v>65</v>
      </c>
      <c r="G5436" t="s">
        <v>66</v>
      </c>
      <c r="H5436" t="s">
        <v>68</v>
      </c>
      <c r="I5436">
        <v>1</v>
      </c>
      <c r="J5436">
        <v>1</v>
      </c>
      <c r="K5436">
        <v>0</v>
      </c>
      <c r="L5436">
        <v>0</v>
      </c>
      <c r="M5436">
        <v>1</v>
      </c>
      <c r="N5436">
        <v>1</v>
      </c>
      <c r="O5436">
        <v>1</v>
      </c>
      <c r="P5436">
        <v>1</v>
      </c>
      <c r="Q5436">
        <v>1</v>
      </c>
      <c r="R5436">
        <v>1</v>
      </c>
    </row>
    <row r="5437" spans="1:18" x14ac:dyDescent="0.2">
      <c r="A5437" t="str">
        <f>"5433"</f>
        <v>5433</v>
      </c>
      <c r="B5437" t="str">
        <f t="shared" si="302"/>
        <v>1</v>
      </c>
      <c r="C5437" t="str">
        <f t="shared" ref="C5437:C5454" si="303">"109"</f>
        <v>109</v>
      </c>
      <c r="D5437" t="str">
        <f>"43"</f>
        <v>43</v>
      </c>
      <c r="E5437" t="str">
        <f>"1-109-43"</f>
        <v>1-109-43</v>
      </c>
      <c r="F5437" t="s">
        <v>65</v>
      </c>
      <c r="G5437" t="s">
        <v>66</v>
      </c>
      <c r="H5437" t="s">
        <v>68</v>
      </c>
      <c r="I5437">
        <v>1</v>
      </c>
      <c r="J5437">
        <v>1</v>
      </c>
      <c r="K5437">
        <v>0</v>
      </c>
      <c r="L5437">
        <v>0</v>
      </c>
      <c r="M5437">
        <v>1</v>
      </c>
      <c r="N5437">
        <v>1</v>
      </c>
      <c r="O5437">
        <v>0</v>
      </c>
      <c r="P5437">
        <v>0</v>
      </c>
      <c r="Q5437">
        <v>1</v>
      </c>
      <c r="R5437">
        <v>1</v>
      </c>
    </row>
    <row r="5438" spans="1:18" x14ac:dyDescent="0.2">
      <c r="A5438" t="str">
        <f>"5434"</f>
        <v>5434</v>
      </c>
      <c r="B5438" t="str">
        <f t="shared" si="302"/>
        <v>1</v>
      </c>
      <c r="C5438" t="str">
        <f t="shared" si="303"/>
        <v>109</v>
      </c>
      <c r="D5438" t="str">
        <f>"27"</f>
        <v>27</v>
      </c>
      <c r="E5438" t="str">
        <f>"1-109-27"</f>
        <v>1-109-27</v>
      </c>
      <c r="F5438" t="s">
        <v>65</v>
      </c>
      <c r="G5438" t="s">
        <v>66</v>
      </c>
      <c r="H5438" t="s">
        <v>68</v>
      </c>
      <c r="I5438">
        <v>1</v>
      </c>
      <c r="J5438">
        <v>0</v>
      </c>
      <c r="K5438">
        <v>0</v>
      </c>
      <c r="L5438">
        <v>1</v>
      </c>
      <c r="M5438">
        <v>1</v>
      </c>
      <c r="N5438">
        <v>1</v>
      </c>
      <c r="O5438">
        <v>1</v>
      </c>
      <c r="P5438">
        <v>1</v>
      </c>
      <c r="Q5438">
        <v>1</v>
      </c>
      <c r="R5438">
        <v>1</v>
      </c>
    </row>
    <row r="5439" spans="1:18" x14ac:dyDescent="0.2">
      <c r="A5439" t="str">
        <f>"5435"</f>
        <v>5435</v>
      </c>
      <c r="B5439" t="str">
        <f t="shared" si="302"/>
        <v>1</v>
      </c>
      <c r="C5439" t="str">
        <f t="shared" si="303"/>
        <v>109</v>
      </c>
      <c r="D5439" t="str">
        <f>"9"</f>
        <v>9</v>
      </c>
      <c r="E5439" t="str">
        <f>"1-109-9"</f>
        <v>1-109-9</v>
      </c>
      <c r="F5439" t="s">
        <v>65</v>
      </c>
      <c r="G5439" t="s">
        <v>66</v>
      </c>
      <c r="H5439" t="s">
        <v>68</v>
      </c>
      <c r="I5439">
        <v>1</v>
      </c>
      <c r="J5439">
        <v>0</v>
      </c>
      <c r="K5439">
        <v>0</v>
      </c>
      <c r="L5439">
        <v>1</v>
      </c>
      <c r="M5439">
        <v>1</v>
      </c>
      <c r="N5439">
        <v>1</v>
      </c>
      <c r="O5439">
        <v>1</v>
      </c>
      <c r="P5439">
        <v>1</v>
      </c>
      <c r="Q5439">
        <v>1</v>
      </c>
      <c r="R5439">
        <v>1</v>
      </c>
    </row>
    <row r="5440" spans="1:18" x14ac:dyDescent="0.2">
      <c r="A5440" t="str">
        <f>"5436"</f>
        <v>5436</v>
      </c>
      <c r="B5440" t="str">
        <f t="shared" si="302"/>
        <v>1</v>
      </c>
      <c r="C5440" t="str">
        <f t="shared" si="303"/>
        <v>109</v>
      </c>
      <c r="D5440" t="str">
        <f>"28"</f>
        <v>28</v>
      </c>
      <c r="E5440" t="str">
        <f>"1-109-28"</f>
        <v>1-109-28</v>
      </c>
      <c r="F5440" t="s">
        <v>65</v>
      </c>
      <c r="G5440" t="s">
        <v>66</v>
      </c>
      <c r="H5440" t="s">
        <v>68</v>
      </c>
      <c r="I5440">
        <v>1</v>
      </c>
      <c r="J5440">
        <v>0</v>
      </c>
      <c r="K5440">
        <v>0</v>
      </c>
      <c r="L5440">
        <v>1</v>
      </c>
      <c r="M5440">
        <v>1</v>
      </c>
      <c r="N5440">
        <v>0</v>
      </c>
      <c r="O5440">
        <v>1</v>
      </c>
      <c r="P5440">
        <v>1</v>
      </c>
      <c r="Q5440">
        <v>1</v>
      </c>
      <c r="R5440">
        <v>1</v>
      </c>
    </row>
    <row r="5441" spans="1:39" x14ac:dyDescent="0.2">
      <c r="A5441" t="str">
        <f>"5437"</f>
        <v>5437</v>
      </c>
      <c r="B5441" t="str">
        <f t="shared" si="302"/>
        <v>1</v>
      </c>
      <c r="C5441" t="str">
        <f t="shared" si="303"/>
        <v>109</v>
      </c>
      <c r="D5441" t="str">
        <f>"10"</f>
        <v>10</v>
      </c>
      <c r="E5441" t="str">
        <f>"1-109-10"</f>
        <v>1-109-10</v>
      </c>
      <c r="F5441" t="s">
        <v>65</v>
      </c>
      <c r="G5441" t="s">
        <v>66</v>
      </c>
      <c r="H5441" t="s">
        <v>68</v>
      </c>
      <c r="I5441">
        <v>1</v>
      </c>
      <c r="J5441">
        <v>0</v>
      </c>
      <c r="K5441">
        <v>0</v>
      </c>
      <c r="L5441">
        <v>1</v>
      </c>
      <c r="M5441">
        <v>1</v>
      </c>
      <c r="N5441">
        <v>1</v>
      </c>
      <c r="O5441">
        <v>1</v>
      </c>
      <c r="P5441">
        <v>1</v>
      </c>
      <c r="Q5441">
        <v>1</v>
      </c>
      <c r="R5441">
        <v>1</v>
      </c>
    </row>
    <row r="5442" spans="1:39" x14ac:dyDescent="0.2">
      <c r="A5442" t="str">
        <f>"5438"</f>
        <v>5438</v>
      </c>
      <c r="B5442" t="str">
        <f t="shared" si="302"/>
        <v>1</v>
      </c>
      <c r="C5442" t="str">
        <f t="shared" si="303"/>
        <v>109</v>
      </c>
      <c r="D5442" t="str">
        <f>"44"</f>
        <v>44</v>
      </c>
      <c r="E5442" t="str">
        <f>"1-109-44"</f>
        <v>1-109-44</v>
      </c>
      <c r="F5442" t="s">
        <v>65</v>
      </c>
      <c r="G5442" t="s">
        <v>66</v>
      </c>
      <c r="H5442" t="s">
        <v>68</v>
      </c>
      <c r="I5442">
        <v>1</v>
      </c>
      <c r="J5442">
        <v>1</v>
      </c>
      <c r="K5442">
        <v>0</v>
      </c>
      <c r="L5442">
        <v>0</v>
      </c>
      <c r="M5442">
        <v>1</v>
      </c>
      <c r="N5442">
        <v>1</v>
      </c>
      <c r="O5442">
        <v>1</v>
      </c>
      <c r="P5442">
        <v>1</v>
      </c>
      <c r="Q5442">
        <v>1</v>
      </c>
      <c r="R5442">
        <v>1</v>
      </c>
    </row>
    <row r="5443" spans="1:39" x14ac:dyDescent="0.2">
      <c r="A5443" t="str">
        <f>"5439"</f>
        <v>5439</v>
      </c>
      <c r="B5443" t="str">
        <f t="shared" si="302"/>
        <v>1</v>
      </c>
      <c r="C5443" t="str">
        <f t="shared" si="303"/>
        <v>109</v>
      </c>
      <c r="D5443" t="str">
        <f>"29"</f>
        <v>29</v>
      </c>
      <c r="E5443" t="str">
        <f>"1-109-29"</f>
        <v>1-109-29</v>
      </c>
      <c r="F5443" t="s">
        <v>65</v>
      </c>
      <c r="G5443" t="s">
        <v>66</v>
      </c>
      <c r="H5443" t="s">
        <v>68</v>
      </c>
      <c r="I5443">
        <v>1</v>
      </c>
      <c r="J5443">
        <v>0</v>
      </c>
      <c r="K5443">
        <v>0</v>
      </c>
      <c r="L5443">
        <v>1</v>
      </c>
      <c r="M5443">
        <v>1</v>
      </c>
      <c r="N5443">
        <v>1</v>
      </c>
      <c r="O5443">
        <v>1</v>
      </c>
      <c r="P5443">
        <v>1</v>
      </c>
      <c r="Q5443">
        <v>1</v>
      </c>
      <c r="R5443">
        <v>1</v>
      </c>
    </row>
    <row r="5444" spans="1:39" x14ac:dyDescent="0.2">
      <c r="A5444" t="str">
        <f>"5440"</f>
        <v>5440</v>
      </c>
      <c r="B5444" t="str">
        <f t="shared" si="302"/>
        <v>1</v>
      </c>
      <c r="C5444" t="str">
        <f t="shared" si="303"/>
        <v>109</v>
      </c>
      <c r="D5444" t="str">
        <f>"3"</f>
        <v>3</v>
      </c>
      <c r="E5444" t="str">
        <f>"1-109-3"</f>
        <v>1-109-3</v>
      </c>
      <c r="F5444" t="s">
        <v>65</v>
      </c>
      <c r="G5444" t="s">
        <v>66</v>
      </c>
      <c r="H5444" t="s">
        <v>68</v>
      </c>
      <c r="I5444">
        <v>1</v>
      </c>
      <c r="J5444">
        <v>0</v>
      </c>
      <c r="K5444">
        <v>1</v>
      </c>
      <c r="L5444">
        <v>0</v>
      </c>
      <c r="M5444">
        <v>1</v>
      </c>
      <c r="N5444">
        <v>1</v>
      </c>
      <c r="O5444">
        <v>1</v>
      </c>
      <c r="P5444">
        <v>1</v>
      </c>
      <c r="Q5444">
        <v>1</v>
      </c>
      <c r="R5444">
        <v>1</v>
      </c>
    </row>
    <row r="5445" spans="1:39" x14ac:dyDescent="0.2">
      <c r="A5445" t="str">
        <f>"5441"</f>
        <v>5441</v>
      </c>
      <c r="B5445" t="str">
        <f t="shared" si="302"/>
        <v>1</v>
      </c>
      <c r="C5445" t="str">
        <f t="shared" si="303"/>
        <v>109</v>
      </c>
      <c r="D5445" t="str">
        <f>"45"</f>
        <v>45</v>
      </c>
      <c r="E5445" t="str">
        <f>"1-109-45"</f>
        <v>1-109-45</v>
      </c>
      <c r="F5445" t="s">
        <v>65</v>
      </c>
      <c r="G5445" t="s">
        <v>66</v>
      </c>
      <c r="H5445" t="s">
        <v>68</v>
      </c>
      <c r="I5445">
        <v>1</v>
      </c>
      <c r="J5445">
        <v>0</v>
      </c>
      <c r="K5445">
        <v>0</v>
      </c>
      <c r="L5445">
        <v>1</v>
      </c>
      <c r="M5445">
        <v>1</v>
      </c>
      <c r="N5445">
        <v>1</v>
      </c>
      <c r="O5445">
        <v>1</v>
      </c>
      <c r="P5445">
        <v>1</v>
      </c>
      <c r="Q5445">
        <v>1</v>
      </c>
      <c r="R5445">
        <v>1</v>
      </c>
    </row>
    <row r="5446" spans="1:39" x14ac:dyDescent="0.2">
      <c r="A5446" t="str">
        <f>"5442"</f>
        <v>5442</v>
      </c>
      <c r="B5446" t="str">
        <f t="shared" si="302"/>
        <v>1</v>
      </c>
      <c r="C5446" t="str">
        <f t="shared" si="303"/>
        <v>109</v>
      </c>
      <c r="D5446" t="str">
        <f>"30"</f>
        <v>30</v>
      </c>
      <c r="E5446" t="str">
        <f>"1-109-30"</f>
        <v>1-109-30</v>
      </c>
      <c r="F5446" t="s">
        <v>65</v>
      </c>
      <c r="G5446" t="s">
        <v>66</v>
      </c>
      <c r="H5446" t="s">
        <v>68</v>
      </c>
      <c r="I5446">
        <v>1</v>
      </c>
      <c r="J5446">
        <v>1</v>
      </c>
      <c r="K5446">
        <v>0</v>
      </c>
      <c r="L5446">
        <v>0</v>
      </c>
      <c r="M5446">
        <v>1</v>
      </c>
      <c r="N5446">
        <v>0</v>
      </c>
      <c r="O5446">
        <v>1</v>
      </c>
      <c r="P5446">
        <v>1</v>
      </c>
      <c r="Q5446">
        <v>0</v>
      </c>
      <c r="R5446">
        <v>1</v>
      </c>
    </row>
    <row r="5447" spans="1:39" x14ac:dyDescent="0.2">
      <c r="A5447" t="str">
        <f>"5443"</f>
        <v>5443</v>
      </c>
      <c r="B5447" t="str">
        <f t="shared" si="302"/>
        <v>1</v>
      </c>
      <c r="C5447" t="str">
        <f t="shared" si="303"/>
        <v>109</v>
      </c>
      <c r="D5447" t="str">
        <f>"7"</f>
        <v>7</v>
      </c>
      <c r="E5447" t="str">
        <f>"1-109-7"</f>
        <v>1-109-7</v>
      </c>
      <c r="F5447" t="s">
        <v>65</v>
      </c>
      <c r="G5447" t="s">
        <v>66</v>
      </c>
      <c r="H5447" t="s">
        <v>68</v>
      </c>
      <c r="I5447">
        <v>0</v>
      </c>
      <c r="J5447">
        <v>1</v>
      </c>
      <c r="K5447">
        <v>0</v>
      </c>
      <c r="L5447">
        <v>0</v>
      </c>
      <c r="M5447">
        <v>1</v>
      </c>
      <c r="N5447">
        <v>1</v>
      </c>
      <c r="O5447">
        <v>1</v>
      </c>
      <c r="P5447">
        <v>1</v>
      </c>
      <c r="Q5447">
        <v>1</v>
      </c>
      <c r="R5447">
        <v>1</v>
      </c>
    </row>
    <row r="5448" spans="1:39" x14ac:dyDescent="0.2">
      <c r="A5448" t="str">
        <f>"5444"</f>
        <v>5444</v>
      </c>
      <c r="B5448" t="str">
        <f t="shared" si="302"/>
        <v>1</v>
      </c>
      <c r="C5448" t="str">
        <f t="shared" si="303"/>
        <v>109</v>
      </c>
      <c r="D5448" t="str">
        <f>"46"</f>
        <v>46</v>
      </c>
      <c r="E5448" t="str">
        <f>"1-109-46"</f>
        <v>1-109-46</v>
      </c>
      <c r="F5448" t="s">
        <v>65</v>
      </c>
      <c r="G5448" t="s">
        <v>66</v>
      </c>
      <c r="H5448" t="s">
        <v>68</v>
      </c>
      <c r="I5448">
        <v>1</v>
      </c>
      <c r="J5448">
        <v>1</v>
      </c>
      <c r="K5448">
        <v>0</v>
      </c>
      <c r="L5448">
        <v>0</v>
      </c>
      <c r="M5448">
        <v>1</v>
      </c>
      <c r="N5448">
        <v>1</v>
      </c>
      <c r="O5448">
        <v>1</v>
      </c>
      <c r="P5448">
        <v>1</v>
      </c>
      <c r="Q5448">
        <v>1</v>
      </c>
      <c r="R5448">
        <v>1</v>
      </c>
    </row>
    <row r="5449" spans="1:39" x14ac:dyDescent="0.2">
      <c r="A5449" t="str">
        <f>"5445"</f>
        <v>5445</v>
      </c>
      <c r="B5449" t="str">
        <f t="shared" si="302"/>
        <v>1</v>
      </c>
      <c r="C5449" t="str">
        <f t="shared" si="303"/>
        <v>109</v>
      </c>
      <c r="D5449" t="str">
        <f>"31"</f>
        <v>31</v>
      </c>
      <c r="E5449" t="str">
        <f>"1-109-31"</f>
        <v>1-109-31</v>
      </c>
      <c r="F5449" t="s">
        <v>65</v>
      </c>
      <c r="G5449" t="s">
        <v>66</v>
      </c>
      <c r="H5449" t="s">
        <v>68</v>
      </c>
      <c r="I5449">
        <v>1</v>
      </c>
      <c r="J5449">
        <v>0</v>
      </c>
      <c r="K5449">
        <v>1</v>
      </c>
      <c r="L5449">
        <v>0</v>
      </c>
      <c r="M5449">
        <v>1</v>
      </c>
      <c r="N5449">
        <v>1</v>
      </c>
      <c r="O5449">
        <v>1</v>
      </c>
      <c r="P5449">
        <v>1</v>
      </c>
      <c r="Q5449">
        <v>1</v>
      </c>
      <c r="R5449">
        <v>1</v>
      </c>
    </row>
    <row r="5450" spans="1:39" x14ac:dyDescent="0.2">
      <c r="A5450" t="str">
        <f>"5446"</f>
        <v>5446</v>
      </c>
      <c r="B5450" t="str">
        <f t="shared" si="302"/>
        <v>1</v>
      </c>
      <c r="C5450" t="str">
        <f t="shared" si="303"/>
        <v>109</v>
      </c>
      <c r="D5450" t="str">
        <f>"2"</f>
        <v>2</v>
      </c>
      <c r="E5450" t="str">
        <f>"1-109-2"</f>
        <v>1-109-2</v>
      </c>
      <c r="F5450" t="s">
        <v>65</v>
      </c>
      <c r="G5450" t="s">
        <v>66</v>
      </c>
      <c r="H5450" t="s">
        <v>68</v>
      </c>
      <c r="I5450">
        <v>1</v>
      </c>
      <c r="J5450">
        <v>0</v>
      </c>
      <c r="K5450">
        <v>1</v>
      </c>
      <c r="L5450">
        <v>0</v>
      </c>
      <c r="M5450">
        <v>1</v>
      </c>
      <c r="N5450">
        <v>1</v>
      </c>
      <c r="O5450">
        <v>1</v>
      </c>
      <c r="P5450">
        <v>1</v>
      </c>
      <c r="Q5450">
        <v>1</v>
      </c>
      <c r="R5450">
        <v>1</v>
      </c>
    </row>
    <row r="5451" spans="1:39" x14ac:dyDescent="0.2">
      <c r="A5451" t="str">
        <f>"5447"</f>
        <v>5447</v>
      </c>
      <c r="B5451" t="str">
        <f t="shared" si="302"/>
        <v>1</v>
      </c>
      <c r="C5451" t="str">
        <f t="shared" si="303"/>
        <v>109</v>
      </c>
      <c r="D5451" t="str">
        <f>"32"</f>
        <v>32</v>
      </c>
      <c r="E5451" t="str">
        <f>"1-109-32"</f>
        <v>1-109-32</v>
      </c>
      <c r="F5451" t="s">
        <v>65</v>
      </c>
      <c r="G5451" t="s">
        <v>66</v>
      </c>
      <c r="H5451" t="s">
        <v>68</v>
      </c>
      <c r="I5451">
        <v>1</v>
      </c>
      <c r="J5451">
        <v>1</v>
      </c>
      <c r="K5451">
        <v>0</v>
      </c>
      <c r="L5451">
        <v>0</v>
      </c>
      <c r="M5451">
        <v>1</v>
      </c>
      <c r="N5451">
        <v>1</v>
      </c>
      <c r="O5451">
        <v>1</v>
      </c>
      <c r="P5451">
        <v>1</v>
      </c>
      <c r="Q5451">
        <v>1</v>
      </c>
      <c r="R5451">
        <v>1</v>
      </c>
    </row>
    <row r="5452" spans="1:39" x14ac:dyDescent="0.2">
      <c r="A5452" t="str">
        <f>"5448"</f>
        <v>5448</v>
      </c>
      <c r="B5452" t="str">
        <f t="shared" si="302"/>
        <v>1</v>
      </c>
      <c r="C5452" t="str">
        <f t="shared" si="303"/>
        <v>109</v>
      </c>
      <c r="D5452" t="str">
        <f>"14"</f>
        <v>14</v>
      </c>
      <c r="E5452" t="str">
        <f>"1-109-14"</f>
        <v>1-109-14</v>
      </c>
      <c r="F5452" t="s">
        <v>65</v>
      </c>
      <c r="G5452" t="s">
        <v>66</v>
      </c>
      <c r="H5452" t="s">
        <v>68</v>
      </c>
      <c r="I5452">
        <v>0</v>
      </c>
      <c r="J5452">
        <v>0</v>
      </c>
      <c r="K5452">
        <v>1</v>
      </c>
      <c r="L5452">
        <v>0</v>
      </c>
      <c r="M5452">
        <v>1</v>
      </c>
      <c r="N5452">
        <v>1</v>
      </c>
      <c r="O5452">
        <v>1</v>
      </c>
      <c r="P5452">
        <v>1</v>
      </c>
      <c r="Q5452">
        <v>1</v>
      </c>
      <c r="R5452">
        <v>1</v>
      </c>
    </row>
    <row r="5453" spans="1:39" x14ac:dyDescent="0.2">
      <c r="A5453" t="str">
        <f>"5449"</f>
        <v>5449</v>
      </c>
      <c r="B5453" t="str">
        <f t="shared" si="302"/>
        <v>1</v>
      </c>
      <c r="C5453" t="str">
        <f t="shared" si="303"/>
        <v>109</v>
      </c>
      <c r="D5453" t="str">
        <f>"49"</f>
        <v>49</v>
      </c>
      <c r="E5453" t="str">
        <f>"1-109-49"</f>
        <v>1-109-49</v>
      </c>
      <c r="F5453" t="s">
        <v>65</v>
      </c>
      <c r="G5453" t="s">
        <v>66</v>
      </c>
      <c r="H5453" t="s">
        <v>67</v>
      </c>
      <c r="S5453">
        <v>1</v>
      </c>
      <c r="T5453">
        <v>0</v>
      </c>
      <c r="U5453">
        <v>0</v>
      </c>
      <c r="V5453">
        <v>0</v>
      </c>
      <c r="W5453">
        <v>1</v>
      </c>
      <c r="X5453">
        <v>0</v>
      </c>
      <c r="Y5453">
        <v>1</v>
      </c>
      <c r="Z5453">
        <v>0</v>
      </c>
      <c r="AA5453">
        <v>1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1</v>
      </c>
      <c r="AI5453">
        <v>1</v>
      </c>
      <c r="AJ5453">
        <v>1</v>
      </c>
      <c r="AK5453">
        <v>1</v>
      </c>
      <c r="AL5453">
        <v>1</v>
      </c>
      <c r="AM5453">
        <v>1</v>
      </c>
    </row>
    <row r="5454" spans="1:39" x14ac:dyDescent="0.2">
      <c r="A5454" t="str">
        <f>"5450"</f>
        <v>5450</v>
      </c>
      <c r="B5454" t="str">
        <f t="shared" si="302"/>
        <v>1</v>
      </c>
      <c r="C5454" t="str">
        <f t="shared" si="303"/>
        <v>109</v>
      </c>
      <c r="D5454" t="str">
        <f>"50"</f>
        <v>50</v>
      </c>
      <c r="E5454" t="str">
        <f>"1-109-50"</f>
        <v>1-109-50</v>
      </c>
      <c r="F5454" t="s">
        <v>65</v>
      </c>
      <c r="G5454" t="s">
        <v>66</v>
      </c>
      <c r="H5454" t="s">
        <v>67</v>
      </c>
      <c r="S5454">
        <v>0</v>
      </c>
      <c r="T5454">
        <v>1</v>
      </c>
      <c r="U5454">
        <v>0</v>
      </c>
      <c r="V5454">
        <v>0</v>
      </c>
      <c r="W5454">
        <v>0</v>
      </c>
      <c r="X5454">
        <v>1</v>
      </c>
      <c r="Y5454">
        <v>1</v>
      </c>
      <c r="Z5454">
        <v>0</v>
      </c>
      <c r="AA5454">
        <v>0</v>
      </c>
      <c r="AB5454">
        <v>1</v>
      </c>
      <c r="AC5454">
        <v>0</v>
      </c>
      <c r="AD5454">
        <v>1</v>
      </c>
      <c r="AE5454">
        <v>1</v>
      </c>
      <c r="AF5454">
        <v>1</v>
      </c>
      <c r="AG5454">
        <v>1</v>
      </c>
      <c r="AH5454">
        <v>1</v>
      </c>
      <c r="AI5454">
        <v>1</v>
      </c>
      <c r="AJ5454">
        <v>1</v>
      </c>
      <c r="AK5454">
        <v>1</v>
      </c>
      <c r="AL5454">
        <v>1</v>
      </c>
      <c r="AM5454">
        <v>1</v>
      </c>
    </row>
    <row r="5455" spans="1:39" x14ac:dyDescent="0.2">
      <c r="A5455" t="str">
        <f>"5451"</f>
        <v>5451</v>
      </c>
      <c r="B5455" t="str">
        <f t="shared" si="302"/>
        <v>1</v>
      </c>
      <c r="C5455" t="str">
        <f t="shared" ref="C5455:C5486" si="304">"110"</f>
        <v>110</v>
      </c>
      <c r="D5455" t="str">
        <f>"40"</f>
        <v>40</v>
      </c>
      <c r="E5455" t="str">
        <f>"1-110-40"</f>
        <v>1-110-40</v>
      </c>
      <c r="F5455" t="s">
        <v>65</v>
      </c>
      <c r="G5455" t="s">
        <v>66</v>
      </c>
      <c r="H5455" t="s">
        <v>67</v>
      </c>
      <c r="S5455">
        <v>1</v>
      </c>
      <c r="T5455">
        <v>0</v>
      </c>
      <c r="U5455">
        <v>0</v>
      </c>
      <c r="V5455">
        <v>0</v>
      </c>
      <c r="W5455">
        <v>1</v>
      </c>
      <c r="X5455">
        <v>0</v>
      </c>
      <c r="Y5455">
        <v>1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1</v>
      </c>
      <c r="AF5455">
        <v>1</v>
      </c>
      <c r="AG5455">
        <v>1</v>
      </c>
      <c r="AH5455">
        <v>1</v>
      </c>
      <c r="AI5455">
        <v>1</v>
      </c>
      <c r="AJ5455">
        <v>1</v>
      </c>
      <c r="AK5455">
        <v>1</v>
      </c>
      <c r="AL5455">
        <v>1</v>
      </c>
      <c r="AM5455">
        <v>1</v>
      </c>
    </row>
    <row r="5456" spans="1:39" x14ac:dyDescent="0.2">
      <c r="A5456" t="str">
        <f>"5452"</f>
        <v>5452</v>
      </c>
      <c r="B5456" t="str">
        <f t="shared" si="302"/>
        <v>1</v>
      </c>
      <c r="C5456" t="str">
        <f t="shared" si="304"/>
        <v>110</v>
      </c>
      <c r="D5456" t="str">
        <f>"39"</f>
        <v>39</v>
      </c>
      <c r="E5456" t="str">
        <f>"1-110-39"</f>
        <v>1-110-39</v>
      </c>
      <c r="F5456" t="s">
        <v>65</v>
      </c>
      <c r="G5456" t="s">
        <v>66</v>
      </c>
      <c r="H5456" t="s">
        <v>67</v>
      </c>
      <c r="S5456">
        <v>0</v>
      </c>
      <c r="T5456">
        <v>1</v>
      </c>
      <c r="U5456">
        <v>0</v>
      </c>
      <c r="V5456">
        <v>0</v>
      </c>
      <c r="W5456">
        <v>0</v>
      </c>
      <c r="X5456">
        <v>1</v>
      </c>
      <c r="Y5456">
        <v>0</v>
      </c>
      <c r="Z5456">
        <v>1</v>
      </c>
      <c r="AA5456">
        <v>0</v>
      </c>
      <c r="AB5456">
        <v>0</v>
      </c>
      <c r="AC5456">
        <v>1</v>
      </c>
      <c r="AD5456">
        <v>1</v>
      </c>
      <c r="AE5456">
        <v>1</v>
      </c>
      <c r="AF5456">
        <v>1</v>
      </c>
      <c r="AG5456">
        <v>1</v>
      </c>
      <c r="AH5456">
        <v>1</v>
      </c>
      <c r="AI5456">
        <v>1</v>
      </c>
      <c r="AJ5456">
        <v>1</v>
      </c>
      <c r="AK5456">
        <v>1</v>
      </c>
      <c r="AL5456">
        <v>1</v>
      </c>
      <c r="AM5456">
        <v>1</v>
      </c>
    </row>
    <row r="5457" spans="1:39" x14ac:dyDescent="0.2">
      <c r="A5457" t="str">
        <f>"5453"</f>
        <v>5453</v>
      </c>
      <c r="B5457" t="str">
        <f t="shared" si="302"/>
        <v>1</v>
      </c>
      <c r="C5457" t="str">
        <f t="shared" si="304"/>
        <v>110</v>
      </c>
      <c r="D5457" t="str">
        <f>"28"</f>
        <v>28</v>
      </c>
      <c r="E5457" t="str">
        <f>"1-110-28"</f>
        <v>1-110-28</v>
      </c>
      <c r="F5457" t="s">
        <v>65</v>
      </c>
      <c r="G5457" t="s">
        <v>66</v>
      </c>
      <c r="H5457" t="s">
        <v>67</v>
      </c>
      <c r="S5457">
        <v>0</v>
      </c>
      <c r="T5457">
        <v>1</v>
      </c>
      <c r="U5457">
        <v>0</v>
      </c>
      <c r="V5457">
        <v>0</v>
      </c>
      <c r="W5457">
        <v>1</v>
      </c>
      <c r="X5457">
        <v>0</v>
      </c>
      <c r="Y5457">
        <v>1</v>
      </c>
      <c r="Z5457">
        <v>0</v>
      </c>
      <c r="AA5457">
        <v>0</v>
      </c>
      <c r="AB5457">
        <v>0</v>
      </c>
      <c r="AC5457">
        <v>1</v>
      </c>
      <c r="AD5457">
        <v>0</v>
      </c>
      <c r="AE5457">
        <v>0</v>
      </c>
      <c r="AF5457">
        <v>0</v>
      </c>
      <c r="AG5457">
        <v>0</v>
      </c>
      <c r="AH5457">
        <v>1</v>
      </c>
      <c r="AI5457">
        <v>0</v>
      </c>
      <c r="AJ5457">
        <v>1</v>
      </c>
      <c r="AK5457">
        <v>0</v>
      </c>
      <c r="AL5457">
        <v>0</v>
      </c>
      <c r="AM5457">
        <v>0</v>
      </c>
    </row>
    <row r="5458" spans="1:39" x14ac:dyDescent="0.2">
      <c r="A5458" t="str">
        <f>"5454"</f>
        <v>5454</v>
      </c>
      <c r="B5458" t="str">
        <f t="shared" si="302"/>
        <v>1</v>
      </c>
      <c r="C5458" t="str">
        <f t="shared" si="304"/>
        <v>110</v>
      </c>
      <c r="D5458" t="str">
        <f>"15"</f>
        <v>15</v>
      </c>
      <c r="E5458" t="str">
        <f>"1-110-15"</f>
        <v>1-110-15</v>
      </c>
      <c r="F5458" t="s">
        <v>65</v>
      </c>
      <c r="G5458" t="s">
        <v>66</v>
      </c>
      <c r="H5458" t="s">
        <v>67</v>
      </c>
      <c r="S5458">
        <v>1</v>
      </c>
      <c r="T5458">
        <v>0</v>
      </c>
      <c r="U5458">
        <v>0</v>
      </c>
      <c r="V5458">
        <v>0</v>
      </c>
      <c r="W5458">
        <v>1</v>
      </c>
      <c r="X5458">
        <v>0</v>
      </c>
      <c r="Y5458">
        <v>0</v>
      </c>
      <c r="Z5458">
        <v>1</v>
      </c>
      <c r="AA5458">
        <v>0</v>
      </c>
      <c r="AB5458">
        <v>1</v>
      </c>
      <c r="AC5458">
        <v>0</v>
      </c>
      <c r="AD5458">
        <v>1</v>
      </c>
      <c r="AE5458">
        <v>1</v>
      </c>
      <c r="AF5458">
        <v>1</v>
      </c>
      <c r="AG5458">
        <v>1</v>
      </c>
      <c r="AH5458">
        <v>1</v>
      </c>
      <c r="AI5458">
        <v>1</v>
      </c>
      <c r="AJ5458">
        <v>1</v>
      </c>
      <c r="AK5458">
        <v>1</v>
      </c>
      <c r="AL5458">
        <v>1</v>
      </c>
      <c r="AM5458">
        <v>1</v>
      </c>
    </row>
    <row r="5459" spans="1:39" x14ac:dyDescent="0.2">
      <c r="A5459" t="str">
        <f>"5455"</f>
        <v>5455</v>
      </c>
      <c r="B5459" t="str">
        <f t="shared" si="302"/>
        <v>1</v>
      </c>
      <c r="C5459" t="str">
        <f t="shared" si="304"/>
        <v>110</v>
      </c>
      <c r="D5459" t="str">
        <f>"3"</f>
        <v>3</v>
      </c>
      <c r="E5459" t="str">
        <f>"1-110-3"</f>
        <v>1-110-3</v>
      </c>
      <c r="F5459" t="s">
        <v>65</v>
      </c>
      <c r="G5459" t="s">
        <v>66</v>
      </c>
      <c r="H5459" t="s">
        <v>67</v>
      </c>
      <c r="S5459">
        <v>1</v>
      </c>
      <c r="T5459">
        <v>0</v>
      </c>
      <c r="U5459">
        <v>0</v>
      </c>
      <c r="V5459">
        <v>0</v>
      </c>
      <c r="W5459">
        <v>1</v>
      </c>
      <c r="X5459">
        <v>0</v>
      </c>
      <c r="Y5459">
        <v>1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</row>
    <row r="5460" spans="1:39" x14ac:dyDescent="0.2">
      <c r="A5460" t="str">
        <f>"5456"</f>
        <v>5456</v>
      </c>
      <c r="B5460" t="str">
        <f t="shared" si="302"/>
        <v>1</v>
      </c>
      <c r="C5460" t="str">
        <f t="shared" si="304"/>
        <v>110</v>
      </c>
      <c r="D5460" t="str">
        <f>"34"</f>
        <v>34</v>
      </c>
      <c r="E5460" t="str">
        <f>"1-110-34"</f>
        <v>1-110-34</v>
      </c>
      <c r="F5460" t="s">
        <v>65</v>
      </c>
      <c r="G5460" t="s">
        <v>66</v>
      </c>
      <c r="H5460" t="s">
        <v>67</v>
      </c>
      <c r="S5460">
        <v>1</v>
      </c>
      <c r="T5460">
        <v>0</v>
      </c>
      <c r="U5460">
        <v>0</v>
      </c>
      <c r="V5460">
        <v>0</v>
      </c>
      <c r="W5460">
        <v>0</v>
      </c>
      <c r="X5460">
        <v>1</v>
      </c>
      <c r="Y5460">
        <v>1</v>
      </c>
      <c r="Z5460">
        <v>0</v>
      </c>
      <c r="AA5460">
        <v>0</v>
      </c>
      <c r="AB5460">
        <v>0</v>
      </c>
      <c r="AC5460">
        <v>1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</row>
    <row r="5461" spans="1:39" x14ac:dyDescent="0.2">
      <c r="A5461" t="str">
        <f>"5457"</f>
        <v>5457</v>
      </c>
      <c r="B5461" t="str">
        <f t="shared" si="302"/>
        <v>1</v>
      </c>
      <c r="C5461" t="str">
        <f t="shared" si="304"/>
        <v>110</v>
      </c>
      <c r="D5461" t="str">
        <f>"33"</f>
        <v>33</v>
      </c>
      <c r="E5461" t="str">
        <f>"1-110-33"</f>
        <v>1-110-33</v>
      </c>
      <c r="F5461" t="s">
        <v>65</v>
      </c>
      <c r="G5461" t="s">
        <v>66</v>
      </c>
      <c r="H5461" t="s">
        <v>67</v>
      </c>
      <c r="S5461">
        <v>1</v>
      </c>
      <c r="T5461">
        <v>0</v>
      </c>
      <c r="U5461">
        <v>0</v>
      </c>
      <c r="V5461">
        <v>0</v>
      </c>
      <c r="W5461">
        <v>1</v>
      </c>
      <c r="X5461">
        <v>0</v>
      </c>
      <c r="Y5461">
        <v>1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1</v>
      </c>
      <c r="AJ5461">
        <v>1</v>
      </c>
      <c r="AK5461">
        <v>0</v>
      </c>
      <c r="AL5461">
        <v>0</v>
      </c>
      <c r="AM5461">
        <v>0</v>
      </c>
    </row>
    <row r="5462" spans="1:39" x14ac:dyDescent="0.2">
      <c r="A5462" t="str">
        <f>"5458"</f>
        <v>5458</v>
      </c>
      <c r="B5462" t="str">
        <f t="shared" si="302"/>
        <v>1</v>
      </c>
      <c r="C5462" t="str">
        <f t="shared" si="304"/>
        <v>110</v>
      </c>
      <c r="D5462" t="str">
        <f>"25"</f>
        <v>25</v>
      </c>
      <c r="E5462" t="str">
        <f>"1-110-25"</f>
        <v>1-110-25</v>
      </c>
      <c r="F5462" t="s">
        <v>65</v>
      </c>
      <c r="G5462" t="s">
        <v>66</v>
      </c>
      <c r="H5462" t="s">
        <v>67</v>
      </c>
      <c r="S5462">
        <v>1</v>
      </c>
      <c r="T5462">
        <v>0</v>
      </c>
      <c r="U5462">
        <v>0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0</v>
      </c>
      <c r="AB5462">
        <v>1</v>
      </c>
      <c r="AC5462">
        <v>0</v>
      </c>
      <c r="AD5462">
        <v>0</v>
      </c>
      <c r="AE5462">
        <v>1</v>
      </c>
      <c r="AF5462">
        <v>0</v>
      </c>
      <c r="AG5462">
        <v>0</v>
      </c>
      <c r="AH5462">
        <v>1</v>
      </c>
      <c r="AI5462">
        <v>1</v>
      </c>
      <c r="AJ5462">
        <v>1</v>
      </c>
      <c r="AK5462">
        <v>1</v>
      </c>
      <c r="AL5462">
        <v>1</v>
      </c>
      <c r="AM5462">
        <v>0</v>
      </c>
    </row>
    <row r="5463" spans="1:39" x14ac:dyDescent="0.2">
      <c r="A5463" t="str">
        <f>"5459"</f>
        <v>5459</v>
      </c>
      <c r="B5463" t="str">
        <f t="shared" si="302"/>
        <v>1</v>
      </c>
      <c r="C5463" t="str">
        <f t="shared" si="304"/>
        <v>110</v>
      </c>
      <c r="D5463" t="str">
        <f>"16"</f>
        <v>16</v>
      </c>
      <c r="E5463" t="str">
        <f>"1-110-16"</f>
        <v>1-110-16</v>
      </c>
      <c r="F5463" t="s">
        <v>65</v>
      </c>
      <c r="G5463" t="s">
        <v>66</v>
      </c>
      <c r="H5463" t="s">
        <v>67</v>
      </c>
      <c r="S5463">
        <v>0</v>
      </c>
      <c r="T5463">
        <v>1</v>
      </c>
      <c r="U5463">
        <v>0</v>
      </c>
      <c r="V5463">
        <v>0</v>
      </c>
      <c r="W5463">
        <v>0</v>
      </c>
      <c r="X5463">
        <v>1</v>
      </c>
      <c r="Y5463">
        <v>0</v>
      </c>
      <c r="Z5463">
        <v>1</v>
      </c>
      <c r="AA5463">
        <v>0</v>
      </c>
      <c r="AB5463">
        <v>1</v>
      </c>
      <c r="AC5463">
        <v>0</v>
      </c>
      <c r="AD5463">
        <v>1</v>
      </c>
      <c r="AE5463">
        <v>1</v>
      </c>
      <c r="AF5463">
        <v>1</v>
      </c>
      <c r="AG5463">
        <v>1</v>
      </c>
      <c r="AH5463">
        <v>1</v>
      </c>
      <c r="AI5463">
        <v>1</v>
      </c>
      <c r="AJ5463">
        <v>1</v>
      </c>
      <c r="AK5463">
        <v>1</v>
      </c>
      <c r="AL5463">
        <v>1</v>
      </c>
      <c r="AM5463">
        <v>1</v>
      </c>
    </row>
    <row r="5464" spans="1:39" x14ac:dyDescent="0.2">
      <c r="A5464" t="str">
        <f>"5460"</f>
        <v>5460</v>
      </c>
      <c r="B5464" t="str">
        <f t="shared" si="302"/>
        <v>1</v>
      </c>
      <c r="C5464" t="str">
        <f t="shared" si="304"/>
        <v>110</v>
      </c>
      <c r="D5464" t="str">
        <f>"6"</f>
        <v>6</v>
      </c>
      <c r="E5464" t="str">
        <f>"1-110-6"</f>
        <v>1-110-6</v>
      </c>
      <c r="F5464" t="s">
        <v>65</v>
      </c>
      <c r="G5464" t="s">
        <v>66</v>
      </c>
      <c r="H5464" t="s">
        <v>67</v>
      </c>
      <c r="S5464">
        <v>1</v>
      </c>
      <c r="T5464">
        <v>0</v>
      </c>
      <c r="U5464">
        <v>0</v>
      </c>
      <c r="V5464">
        <v>0</v>
      </c>
      <c r="W5464">
        <v>1</v>
      </c>
      <c r="X5464">
        <v>0</v>
      </c>
      <c r="Y5464">
        <v>1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1</v>
      </c>
      <c r="AF5464">
        <v>1</v>
      </c>
      <c r="AG5464">
        <v>1</v>
      </c>
      <c r="AH5464">
        <v>1</v>
      </c>
      <c r="AI5464">
        <v>1</v>
      </c>
      <c r="AJ5464">
        <v>1</v>
      </c>
      <c r="AK5464">
        <v>1</v>
      </c>
      <c r="AL5464">
        <v>1</v>
      </c>
      <c r="AM5464">
        <v>1</v>
      </c>
    </row>
    <row r="5465" spans="1:39" x14ac:dyDescent="0.2">
      <c r="A5465" t="str">
        <f>"5461"</f>
        <v>5461</v>
      </c>
      <c r="B5465" t="str">
        <f t="shared" si="302"/>
        <v>1</v>
      </c>
      <c r="C5465" t="str">
        <f t="shared" si="304"/>
        <v>110</v>
      </c>
      <c r="D5465" t="str">
        <f>"38"</f>
        <v>38</v>
      </c>
      <c r="E5465" t="str">
        <f>"1-110-38"</f>
        <v>1-110-38</v>
      </c>
      <c r="F5465" t="s">
        <v>65</v>
      </c>
      <c r="G5465" t="s">
        <v>66</v>
      </c>
      <c r="H5465" t="s">
        <v>67</v>
      </c>
      <c r="S5465">
        <v>0</v>
      </c>
      <c r="T5465">
        <v>1</v>
      </c>
      <c r="U5465">
        <v>0</v>
      </c>
      <c r="V5465">
        <v>0</v>
      </c>
      <c r="W5465">
        <v>1</v>
      </c>
      <c r="X5465">
        <v>0</v>
      </c>
      <c r="Y5465">
        <v>1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1</v>
      </c>
      <c r="AF5465">
        <v>1</v>
      </c>
      <c r="AG5465">
        <v>1</v>
      </c>
      <c r="AH5465">
        <v>1</v>
      </c>
      <c r="AI5465">
        <v>1</v>
      </c>
      <c r="AJ5465">
        <v>1</v>
      </c>
      <c r="AK5465">
        <v>1</v>
      </c>
      <c r="AL5465">
        <v>1</v>
      </c>
      <c r="AM5465">
        <v>1</v>
      </c>
    </row>
    <row r="5466" spans="1:39" x14ac:dyDescent="0.2">
      <c r="A5466" t="str">
        <f>"5462"</f>
        <v>5462</v>
      </c>
      <c r="B5466" t="str">
        <f t="shared" si="302"/>
        <v>1</v>
      </c>
      <c r="C5466" t="str">
        <f t="shared" si="304"/>
        <v>110</v>
      </c>
      <c r="D5466" t="str">
        <f>"37"</f>
        <v>37</v>
      </c>
      <c r="E5466" t="str">
        <f>"1-110-37"</f>
        <v>1-110-37</v>
      </c>
      <c r="F5466" t="s">
        <v>65</v>
      </c>
      <c r="G5466" t="s">
        <v>66</v>
      </c>
      <c r="H5466" t="s">
        <v>67</v>
      </c>
      <c r="S5466">
        <v>0</v>
      </c>
      <c r="T5466">
        <v>1</v>
      </c>
      <c r="U5466">
        <v>0</v>
      </c>
      <c r="V5466">
        <v>0</v>
      </c>
      <c r="W5466">
        <v>1</v>
      </c>
      <c r="X5466">
        <v>0</v>
      </c>
      <c r="Y5466">
        <v>1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1</v>
      </c>
      <c r="AF5466">
        <v>1</v>
      </c>
      <c r="AG5466">
        <v>1</v>
      </c>
      <c r="AH5466">
        <v>1</v>
      </c>
      <c r="AI5466">
        <v>1</v>
      </c>
      <c r="AJ5466">
        <v>1</v>
      </c>
      <c r="AK5466">
        <v>1</v>
      </c>
      <c r="AL5466">
        <v>1</v>
      </c>
      <c r="AM5466">
        <v>1</v>
      </c>
    </row>
    <row r="5467" spans="1:39" x14ac:dyDescent="0.2">
      <c r="A5467" t="str">
        <f>"5463"</f>
        <v>5463</v>
      </c>
      <c r="B5467" t="str">
        <f t="shared" si="302"/>
        <v>1</v>
      </c>
      <c r="C5467" t="str">
        <f t="shared" si="304"/>
        <v>110</v>
      </c>
      <c r="D5467" t="str">
        <f>"26"</f>
        <v>26</v>
      </c>
      <c r="E5467" t="str">
        <f>"1-110-26"</f>
        <v>1-110-26</v>
      </c>
      <c r="F5467" t="s">
        <v>65</v>
      </c>
      <c r="G5467" t="s">
        <v>66</v>
      </c>
      <c r="H5467" t="s">
        <v>67</v>
      </c>
      <c r="S5467">
        <v>1</v>
      </c>
      <c r="T5467">
        <v>0</v>
      </c>
      <c r="U5467">
        <v>0</v>
      </c>
      <c r="V5467">
        <v>0</v>
      </c>
      <c r="W5467">
        <v>1</v>
      </c>
      <c r="X5467">
        <v>0</v>
      </c>
      <c r="Y5467">
        <v>1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1</v>
      </c>
      <c r="AF5467">
        <v>1</v>
      </c>
      <c r="AG5467">
        <v>1</v>
      </c>
      <c r="AH5467">
        <v>1</v>
      </c>
      <c r="AI5467">
        <v>1</v>
      </c>
      <c r="AJ5467">
        <v>1</v>
      </c>
      <c r="AK5467">
        <v>0</v>
      </c>
      <c r="AL5467">
        <v>1</v>
      </c>
      <c r="AM5467">
        <v>1</v>
      </c>
    </row>
    <row r="5468" spans="1:39" x14ac:dyDescent="0.2">
      <c r="A5468" t="str">
        <f>"5464"</f>
        <v>5464</v>
      </c>
      <c r="B5468" t="str">
        <f t="shared" si="302"/>
        <v>1</v>
      </c>
      <c r="C5468" t="str">
        <f t="shared" si="304"/>
        <v>110</v>
      </c>
      <c r="D5468" t="str">
        <f>"17"</f>
        <v>17</v>
      </c>
      <c r="E5468" t="str">
        <f>"1-110-17"</f>
        <v>1-110-17</v>
      </c>
      <c r="F5468" t="s">
        <v>65</v>
      </c>
      <c r="G5468" t="s">
        <v>66</v>
      </c>
      <c r="H5468" t="s">
        <v>67</v>
      </c>
      <c r="S5468">
        <v>0</v>
      </c>
      <c r="T5468">
        <v>1</v>
      </c>
      <c r="U5468">
        <v>0</v>
      </c>
      <c r="V5468">
        <v>0</v>
      </c>
      <c r="W5468">
        <v>1</v>
      </c>
      <c r="X5468">
        <v>0</v>
      </c>
      <c r="Y5468">
        <v>0</v>
      </c>
      <c r="Z5468">
        <v>1</v>
      </c>
      <c r="AA5468">
        <v>1</v>
      </c>
      <c r="AB5468">
        <v>0</v>
      </c>
      <c r="AC5468">
        <v>0</v>
      </c>
      <c r="AD5468">
        <v>1</v>
      </c>
      <c r="AE5468">
        <v>1</v>
      </c>
      <c r="AF5468">
        <v>1</v>
      </c>
      <c r="AG5468">
        <v>1</v>
      </c>
      <c r="AH5468">
        <v>1</v>
      </c>
      <c r="AI5468">
        <v>1</v>
      </c>
      <c r="AJ5468">
        <v>1</v>
      </c>
      <c r="AK5468">
        <v>1</v>
      </c>
      <c r="AL5468">
        <v>1</v>
      </c>
      <c r="AM5468">
        <v>1</v>
      </c>
    </row>
    <row r="5469" spans="1:39" x14ac:dyDescent="0.2">
      <c r="A5469" t="str">
        <f>"5465"</f>
        <v>5465</v>
      </c>
      <c r="B5469" t="str">
        <f t="shared" si="302"/>
        <v>1</v>
      </c>
      <c r="C5469" t="str">
        <f t="shared" si="304"/>
        <v>110</v>
      </c>
      <c r="D5469" t="str">
        <f>"12"</f>
        <v>12</v>
      </c>
      <c r="E5469" t="str">
        <f>"1-110-12"</f>
        <v>1-110-12</v>
      </c>
      <c r="F5469" t="s">
        <v>65</v>
      </c>
      <c r="G5469" t="s">
        <v>66</v>
      </c>
      <c r="H5469" t="s">
        <v>67</v>
      </c>
      <c r="S5469">
        <v>0</v>
      </c>
      <c r="T5469">
        <v>1</v>
      </c>
      <c r="U5469">
        <v>0</v>
      </c>
      <c r="V5469">
        <v>0</v>
      </c>
      <c r="W5469">
        <v>1</v>
      </c>
      <c r="X5469">
        <v>0</v>
      </c>
      <c r="Y5469">
        <v>1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1</v>
      </c>
      <c r="AF5469">
        <v>1</v>
      </c>
      <c r="AG5469">
        <v>1</v>
      </c>
      <c r="AH5469">
        <v>1</v>
      </c>
      <c r="AI5469">
        <v>1</v>
      </c>
      <c r="AJ5469">
        <v>1</v>
      </c>
      <c r="AK5469">
        <v>1</v>
      </c>
      <c r="AL5469">
        <v>1</v>
      </c>
      <c r="AM5469">
        <v>1</v>
      </c>
    </row>
    <row r="5470" spans="1:39" x14ac:dyDescent="0.2">
      <c r="A5470" t="str">
        <f>"5466"</f>
        <v>5466</v>
      </c>
      <c r="B5470" t="str">
        <f t="shared" si="302"/>
        <v>1</v>
      </c>
      <c r="C5470" t="str">
        <f t="shared" si="304"/>
        <v>110</v>
      </c>
      <c r="D5470" t="str">
        <f>"36"</f>
        <v>36</v>
      </c>
      <c r="E5470" t="str">
        <f>"1-110-36"</f>
        <v>1-110-36</v>
      </c>
      <c r="F5470" t="s">
        <v>65</v>
      </c>
      <c r="G5470" t="s">
        <v>66</v>
      </c>
      <c r="H5470" t="s">
        <v>67</v>
      </c>
      <c r="S5470">
        <v>1</v>
      </c>
      <c r="T5470">
        <v>0</v>
      </c>
      <c r="U5470">
        <v>0</v>
      </c>
      <c r="V5470">
        <v>0</v>
      </c>
      <c r="W5470">
        <v>1</v>
      </c>
      <c r="X5470">
        <v>0</v>
      </c>
      <c r="Y5470">
        <v>1</v>
      </c>
      <c r="Z5470">
        <v>0</v>
      </c>
      <c r="AA5470">
        <v>0</v>
      </c>
      <c r="AB5470">
        <v>0</v>
      </c>
      <c r="AC5470">
        <v>1</v>
      </c>
      <c r="AD5470">
        <v>1</v>
      </c>
      <c r="AE5470">
        <v>1</v>
      </c>
      <c r="AF5470">
        <v>1</v>
      </c>
      <c r="AG5470">
        <v>1</v>
      </c>
      <c r="AH5470">
        <v>1</v>
      </c>
      <c r="AI5470">
        <v>1</v>
      </c>
      <c r="AJ5470">
        <v>1</v>
      </c>
      <c r="AK5470">
        <v>1</v>
      </c>
      <c r="AL5470">
        <v>1</v>
      </c>
      <c r="AM5470">
        <v>1</v>
      </c>
    </row>
    <row r="5471" spans="1:39" x14ac:dyDescent="0.2">
      <c r="A5471" t="str">
        <f>"5467"</f>
        <v>5467</v>
      </c>
      <c r="B5471" t="str">
        <f t="shared" si="302"/>
        <v>1</v>
      </c>
      <c r="C5471" t="str">
        <f t="shared" si="304"/>
        <v>110</v>
      </c>
      <c r="D5471" t="str">
        <f>"35"</f>
        <v>35</v>
      </c>
      <c r="E5471" t="str">
        <f>"1-110-35"</f>
        <v>1-110-35</v>
      </c>
      <c r="F5471" t="s">
        <v>65</v>
      </c>
      <c r="G5471" t="s">
        <v>66</v>
      </c>
      <c r="H5471" t="s">
        <v>67</v>
      </c>
      <c r="S5471">
        <v>1</v>
      </c>
      <c r="T5471">
        <v>0</v>
      </c>
      <c r="U5471">
        <v>0</v>
      </c>
      <c r="V5471">
        <v>0</v>
      </c>
      <c r="W5471">
        <v>1</v>
      </c>
      <c r="X5471">
        <v>0</v>
      </c>
      <c r="Y5471">
        <v>1</v>
      </c>
      <c r="Z5471">
        <v>0</v>
      </c>
      <c r="AA5471">
        <v>0</v>
      </c>
      <c r="AB5471">
        <v>0</v>
      </c>
      <c r="AC5471">
        <v>1</v>
      </c>
      <c r="AD5471">
        <v>0</v>
      </c>
      <c r="AE5471">
        <v>0</v>
      </c>
      <c r="AF5471">
        <v>0</v>
      </c>
      <c r="AG5471">
        <v>1</v>
      </c>
      <c r="AH5471">
        <v>1</v>
      </c>
      <c r="AI5471">
        <v>1</v>
      </c>
      <c r="AJ5471">
        <v>1</v>
      </c>
      <c r="AK5471">
        <v>1</v>
      </c>
      <c r="AL5471">
        <v>1</v>
      </c>
      <c r="AM5471">
        <v>1</v>
      </c>
    </row>
    <row r="5472" spans="1:39" x14ac:dyDescent="0.2">
      <c r="A5472" t="str">
        <f>"5468"</f>
        <v>5468</v>
      </c>
      <c r="B5472" t="str">
        <f t="shared" si="302"/>
        <v>1</v>
      </c>
      <c r="C5472" t="str">
        <f t="shared" si="304"/>
        <v>110</v>
      </c>
      <c r="D5472" t="str">
        <f>"27"</f>
        <v>27</v>
      </c>
      <c r="E5472" t="str">
        <f>"1-110-27"</f>
        <v>1-110-27</v>
      </c>
      <c r="F5472" t="s">
        <v>65</v>
      </c>
      <c r="G5472" t="s">
        <v>66</v>
      </c>
      <c r="H5472" t="s">
        <v>67</v>
      </c>
      <c r="S5472">
        <v>1</v>
      </c>
      <c r="T5472">
        <v>0</v>
      </c>
      <c r="U5472">
        <v>0</v>
      </c>
      <c r="V5472">
        <v>0</v>
      </c>
      <c r="W5472">
        <v>0</v>
      </c>
      <c r="X5472">
        <v>1</v>
      </c>
      <c r="Y5472">
        <v>1</v>
      </c>
      <c r="Z5472">
        <v>0</v>
      </c>
      <c r="AA5472">
        <v>0</v>
      </c>
      <c r="AB5472">
        <v>0</v>
      </c>
      <c r="AC5472">
        <v>1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</row>
    <row r="5473" spans="1:39" x14ac:dyDescent="0.2">
      <c r="A5473" t="str">
        <f>"5469"</f>
        <v>5469</v>
      </c>
      <c r="B5473" t="str">
        <f t="shared" si="302"/>
        <v>1</v>
      </c>
      <c r="C5473" t="str">
        <f t="shared" si="304"/>
        <v>110</v>
      </c>
      <c r="D5473" t="str">
        <f>"18"</f>
        <v>18</v>
      </c>
      <c r="E5473" t="str">
        <f>"1-110-18"</f>
        <v>1-110-18</v>
      </c>
      <c r="F5473" t="s">
        <v>65</v>
      </c>
      <c r="G5473" t="s">
        <v>66</v>
      </c>
      <c r="H5473" t="s">
        <v>67</v>
      </c>
      <c r="S5473">
        <v>1</v>
      </c>
      <c r="T5473">
        <v>0</v>
      </c>
      <c r="U5473">
        <v>0</v>
      </c>
      <c r="V5473">
        <v>0</v>
      </c>
      <c r="W5473">
        <v>1</v>
      </c>
      <c r="X5473">
        <v>0</v>
      </c>
      <c r="Y5473">
        <v>0</v>
      </c>
      <c r="Z5473">
        <v>1</v>
      </c>
      <c r="AA5473">
        <v>0</v>
      </c>
      <c r="AB5473">
        <v>0</v>
      </c>
      <c r="AC5473">
        <v>1</v>
      </c>
      <c r="AD5473">
        <v>1</v>
      </c>
      <c r="AE5473">
        <v>1</v>
      </c>
      <c r="AF5473">
        <v>1</v>
      </c>
      <c r="AG5473">
        <v>1</v>
      </c>
      <c r="AH5473">
        <v>1</v>
      </c>
      <c r="AI5473">
        <v>1</v>
      </c>
      <c r="AJ5473">
        <v>1</v>
      </c>
      <c r="AK5473">
        <v>1</v>
      </c>
      <c r="AL5473">
        <v>1</v>
      </c>
      <c r="AM5473">
        <v>1</v>
      </c>
    </row>
    <row r="5474" spans="1:39" x14ac:dyDescent="0.2">
      <c r="A5474" t="str">
        <f>"5470"</f>
        <v>5470</v>
      </c>
      <c r="B5474" t="str">
        <f t="shared" si="302"/>
        <v>1</v>
      </c>
      <c r="C5474" t="str">
        <f t="shared" si="304"/>
        <v>110</v>
      </c>
      <c r="D5474" t="str">
        <f>"5"</f>
        <v>5</v>
      </c>
      <c r="E5474" t="str">
        <f>"1-110-5"</f>
        <v>1-110-5</v>
      </c>
      <c r="F5474" t="s">
        <v>65</v>
      </c>
      <c r="G5474" t="s">
        <v>66</v>
      </c>
      <c r="H5474" t="s">
        <v>67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1</v>
      </c>
      <c r="Z5474">
        <v>0</v>
      </c>
      <c r="AA5474">
        <v>0</v>
      </c>
      <c r="AB5474">
        <v>1</v>
      </c>
      <c r="AC5474">
        <v>0</v>
      </c>
      <c r="AD5474">
        <v>0</v>
      </c>
      <c r="AE5474">
        <v>0</v>
      </c>
      <c r="AF5474">
        <v>0</v>
      </c>
      <c r="AG5474">
        <v>1</v>
      </c>
      <c r="AH5474">
        <v>0</v>
      </c>
      <c r="AI5474">
        <v>0</v>
      </c>
      <c r="AJ5474">
        <v>0</v>
      </c>
      <c r="AK5474">
        <v>0</v>
      </c>
      <c r="AL5474">
        <v>1</v>
      </c>
      <c r="AM5474">
        <v>1</v>
      </c>
    </row>
    <row r="5475" spans="1:39" x14ac:dyDescent="0.2">
      <c r="A5475" t="str">
        <f>"5471"</f>
        <v>5471</v>
      </c>
      <c r="B5475" t="str">
        <f t="shared" si="302"/>
        <v>1</v>
      </c>
      <c r="C5475" t="str">
        <f t="shared" si="304"/>
        <v>110</v>
      </c>
      <c r="D5475" t="str">
        <f>"41"</f>
        <v>41</v>
      </c>
      <c r="E5475" t="str">
        <f>"1-110-41"</f>
        <v>1-110-41</v>
      </c>
      <c r="F5475" t="s">
        <v>65</v>
      </c>
      <c r="G5475" t="s">
        <v>66</v>
      </c>
      <c r="H5475" t="s">
        <v>67</v>
      </c>
      <c r="S5475">
        <v>1</v>
      </c>
      <c r="T5475">
        <v>0</v>
      </c>
      <c r="U5475">
        <v>0</v>
      </c>
      <c r="V5475">
        <v>0</v>
      </c>
      <c r="W5475">
        <v>1</v>
      </c>
      <c r="X5475">
        <v>0</v>
      </c>
      <c r="Y5475">
        <v>1</v>
      </c>
      <c r="Z5475">
        <v>0</v>
      </c>
      <c r="AA5475">
        <v>0</v>
      </c>
      <c r="AB5475">
        <v>1</v>
      </c>
      <c r="AC5475">
        <v>0</v>
      </c>
      <c r="AD5475">
        <v>1</v>
      </c>
      <c r="AE5475">
        <v>1</v>
      </c>
      <c r="AF5475">
        <v>1</v>
      </c>
      <c r="AG5475">
        <v>1</v>
      </c>
      <c r="AH5475">
        <v>1</v>
      </c>
      <c r="AI5475">
        <v>1</v>
      </c>
      <c r="AJ5475">
        <v>1</v>
      </c>
      <c r="AK5475">
        <v>1</v>
      </c>
      <c r="AL5475">
        <v>1</v>
      </c>
      <c r="AM5475">
        <v>1</v>
      </c>
    </row>
    <row r="5476" spans="1:39" x14ac:dyDescent="0.2">
      <c r="A5476" t="str">
        <f>"5472"</f>
        <v>5472</v>
      </c>
      <c r="B5476" t="str">
        <f t="shared" si="302"/>
        <v>1</v>
      </c>
      <c r="C5476" t="str">
        <f t="shared" si="304"/>
        <v>110</v>
      </c>
      <c r="D5476" t="str">
        <f>"19"</f>
        <v>19</v>
      </c>
      <c r="E5476" t="str">
        <f>"1-110-19"</f>
        <v>1-110-19</v>
      </c>
      <c r="F5476" t="s">
        <v>65</v>
      </c>
      <c r="G5476" t="s">
        <v>66</v>
      </c>
      <c r="H5476" t="s">
        <v>67</v>
      </c>
      <c r="S5476">
        <v>0</v>
      </c>
      <c r="T5476">
        <v>1</v>
      </c>
      <c r="U5476">
        <v>0</v>
      </c>
      <c r="V5476">
        <v>0</v>
      </c>
      <c r="W5476">
        <v>1</v>
      </c>
      <c r="X5476">
        <v>0</v>
      </c>
      <c r="Y5476">
        <v>0</v>
      </c>
      <c r="Z5476">
        <v>1</v>
      </c>
      <c r="AA5476">
        <v>0</v>
      </c>
      <c r="AB5476">
        <v>0</v>
      </c>
      <c r="AC5476">
        <v>1</v>
      </c>
      <c r="AD5476">
        <v>1</v>
      </c>
      <c r="AE5476">
        <v>1</v>
      </c>
      <c r="AF5476">
        <v>1</v>
      </c>
      <c r="AG5476">
        <v>1</v>
      </c>
      <c r="AH5476">
        <v>1</v>
      </c>
      <c r="AI5476">
        <v>1</v>
      </c>
      <c r="AJ5476">
        <v>1</v>
      </c>
      <c r="AK5476">
        <v>1</v>
      </c>
      <c r="AL5476">
        <v>1</v>
      </c>
      <c r="AM5476">
        <v>1</v>
      </c>
    </row>
    <row r="5477" spans="1:39" x14ac:dyDescent="0.2">
      <c r="A5477" t="str">
        <f>"5473"</f>
        <v>5473</v>
      </c>
      <c r="B5477" t="str">
        <f t="shared" si="302"/>
        <v>1</v>
      </c>
      <c r="C5477" t="str">
        <f t="shared" si="304"/>
        <v>110</v>
      </c>
      <c r="D5477" t="str">
        <f>"1"</f>
        <v>1</v>
      </c>
      <c r="E5477" t="str">
        <f>"1-110-1"</f>
        <v>1-110-1</v>
      </c>
      <c r="F5477" t="s">
        <v>65</v>
      </c>
      <c r="G5477" t="s">
        <v>66</v>
      </c>
      <c r="H5477" t="s">
        <v>68</v>
      </c>
      <c r="I5477">
        <v>1</v>
      </c>
      <c r="J5477">
        <v>1</v>
      </c>
      <c r="K5477">
        <v>0</v>
      </c>
      <c r="L5477">
        <v>0</v>
      </c>
      <c r="M5477">
        <v>1</v>
      </c>
      <c r="N5477">
        <v>1</v>
      </c>
      <c r="O5477">
        <v>1</v>
      </c>
      <c r="P5477">
        <v>1</v>
      </c>
      <c r="Q5477">
        <v>1</v>
      </c>
      <c r="R5477">
        <v>1</v>
      </c>
    </row>
    <row r="5478" spans="1:39" x14ac:dyDescent="0.2">
      <c r="A5478" t="str">
        <f>"5474"</f>
        <v>5474</v>
      </c>
      <c r="B5478" t="str">
        <f t="shared" si="302"/>
        <v>1</v>
      </c>
      <c r="C5478" t="str">
        <f t="shared" si="304"/>
        <v>110</v>
      </c>
      <c r="D5478" t="str">
        <f>"44"</f>
        <v>44</v>
      </c>
      <c r="E5478" t="str">
        <f>"1-110-44"</f>
        <v>1-110-44</v>
      </c>
      <c r="F5478" t="s">
        <v>65</v>
      </c>
      <c r="G5478" t="s">
        <v>66</v>
      </c>
      <c r="H5478" t="s">
        <v>67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</row>
    <row r="5479" spans="1:39" x14ac:dyDescent="0.2">
      <c r="A5479" t="str">
        <f>"5475"</f>
        <v>5475</v>
      </c>
      <c r="B5479" t="str">
        <f t="shared" si="302"/>
        <v>1</v>
      </c>
      <c r="C5479" t="str">
        <f t="shared" si="304"/>
        <v>110</v>
      </c>
      <c r="D5479" t="str">
        <f>"20"</f>
        <v>20</v>
      </c>
      <c r="E5479" t="str">
        <f>"1-110-20"</f>
        <v>1-110-20</v>
      </c>
      <c r="F5479" t="s">
        <v>65</v>
      </c>
      <c r="G5479" t="s">
        <v>66</v>
      </c>
      <c r="H5479" t="s">
        <v>67</v>
      </c>
      <c r="S5479">
        <v>0</v>
      </c>
      <c r="T5479">
        <v>1</v>
      </c>
      <c r="U5479">
        <v>0</v>
      </c>
      <c r="V5479">
        <v>0</v>
      </c>
      <c r="W5479">
        <v>1</v>
      </c>
      <c r="X5479">
        <v>0</v>
      </c>
      <c r="Y5479">
        <v>1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1</v>
      </c>
      <c r="AF5479">
        <v>1</v>
      </c>
      <c r="AG5479">
        <v>1</v>
      </c>
      <c r="AH5479">
        <v>1</v>
      </c>
      <c r="AI5479">
        <v>1</v>
      </c>
      <c r="AJ5479">
        <v>1</v>
      </c>
      <c r="AK5479">
        <v>1</v>
      </c>
      <c r="AL5479">
        <v>1</v>
      </c>
      <c r="AM5479">
        <v>1</v>
      </c>
    </row>
    <row r="5480" spans="1:39" x14ac:dyDescent="0.2">
      <c r="A5480" t="str">
        <f>"5476"</f>
        <v>5476</v>
      </c>
      <c r="B5480" t="str">
        <f t="shared" si="302"/>
        <v>1</v>
      </c>
      <c r="C5480" t="str">
        <f t="shared" si="304"/>
        <v>110</v>
      </c>
      <c r="D5480" t="str">
        <f>"2"</f>
        <v>2</v>
      </c>
      <c r="E5480" t="str">
        <f>"1-110-2"</f>
        <v>1-110-2</v>
      </c>
      <c r="F5480" t="s">
        <v>65</v>
      </c>
      <c r="G5480" t="s">
        <v>66</v>
      </c>
      <c r="H5480" t="s">
        <v>68</v>
      </c>
      <c r="I5480">
        <v>0</v>
      </c>
      <c r="J5480">
        <v>0</v>
      </c>
      <c r="K5480">
        <v>0</v>
      </c>
      <c r="L5480">
        <v>1</v>
      </c>
      <c r="M5480">
        <v>1</v>
      </c>
      <c r="N5480">
        <v>1</v>
      </c>
      <c r="O5480">
        <v>1</v>
      </c>
      <c r="P5480">
        <v>0</v>
      </c>
      <c r="Q5480">
        <v>1</v>
      </c>
      <c r="R5480">
        <v>1</v>
      </c>
    </row>
    <row r="5481" spans="1:39" x14ac:dyDescent="0.2">
      <c r="A5481" t="str">
        <f>"5477"</f>
        <v>5477</v>
      </c>
      <c r="B5481" t="str">
        <f t="shared" si="302"/>
        <v>1</v>
      </c>
      <c r="C5481" t="str">
        <f t="shared" si="304"/>
        <v>110</v>
      </c>
      <c r="D5481" t="str">
        <f>"42"</f>
        <v>42</v>
      </c>
      <c r="E5481" t="str">
        <f>"1-110-42"</f>
        <v>1-110-42</v>
      </c>
      <c r="F5481" t="s">
        <v>65</v>
      </c>
      <c r="G5481" t="s">
        <v>66</v>
      </c>
      <c r="H5481" t="s">
        <v>67</v>
      </c>
      <c r="S5481">
        <v>1</v>
      </c>
      <c r="T5481">
        <v>0</v>
      </c>
      <c r="U5481">
        <v>0</v>
      </c>
      <c r="V5481">
        <v>0</v>
      </c>
      <c r="W5481">
        <v>1</v>
      </c>
      <c r="X5481">
        <v>0</v>
      </c>
      <c r="Y5481">
        <v>1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1</v>
      </c>
      <c r="AF5481">
        <v>1</v>
      </c>
      <c r="AG5481">
        <v>1</v>
      </c>
      <c r="AH5481">
        <v>1</v>
      </c>
      <c r="AI5481">
        <v>1</v>
      </c>
      <c r="AJ5481">
        <v>1</v>
      </c>
      <c r="AK5481">
        <v>1</v>
      </c>
      <c r="AL5481">
        <v>1</v>
      </c>
      <c r="AM5481">
        <v>1</v>
      </c>
    </row>
    <row r="5482" spans="1:39" x14ac:dyDescent="0.2">
      <c r="A5482" t="str">
        <f>"5478"</f>
        <v>5478</v>
      </c>
      <c r="B5482" t="str">
        <f t="shared" si="302"/>
        <v>1</v>
      </c>
      <c r="C5482" t="str">
        <f t="shared" si="304"/>
        <v>110</v>
      </c>
      <c r="D5482" t="str">
        <f>"21"</f>
        <v>21</v>
      </c>
      <c r="E5482" t="str">
        <f>"1-110-21"</f>
        <v>1-110-21</v>
      </c>
      <c r="F5482" t="s">
        <v>65</v>
      </c>
      <c r="G5482" t="s">
        <v>66</v>
      </c>
      <c r="H5482" t="s">
        <v>67</v>
      </c>
      <c r="S5482">
        <v>0</v>
      </c>
      <c r="T5482">
        <v>1</v>
      </c>
      <c r="U5482">
        <v>0</v>
      </c>
      <c r="V5482">
        <v>0</v>
      </c>
      <c r="W5482">
        <v>0</v>
      </c>
      <c r="X5482">
        <v>1</v>
      </c>
      <c r="Y5482">
        <v>0</v>
      </c>
      <c r="Z5482">
        <v>1</v>
      </c>
      <c r="AA5482">
        <v>0</v>
      </c>
      <c r="AB5482">
        <v>1</v>
      </c>
      <c r="AC5482">
        <v>0</v>
      </c>
      <c r="AD5482">
        <v>1</v>
      </c>
      <c r="AE5482">
        <v>1</v>
      </c>
      <c r="AF5482">
        <v>1</v>
      </c>
      <c r="AG5482">
        <v>1</v>
      </c>
      <c r="AH5482">
        <v>1</v>
      </c>
      <c r="AI5482">
        <v>1</v>
      </c>
      <c r="AJ5482">
        <v>1</v>
      </c>
      <c r="AK5482">
        <v>1</v>
      </c>
      <c r="AL5482">
        <v>1</v>
      </c>
      <c r="AM5482">
        <v>1</v>
      </c>
    </row>
    <row r="5483" spans="1:39" x14ac:dyDescent="0.2">
      <c r="A5483" t="str">
        <f>"5479"</f>
        <v>5479</v>
      </c>
      <c r="B5483" t="str">
        <f t="shared" si="302"/>
        <v>1</v>
      </c>
      <c r="C5483" t="str">
        <f t="shared" si="304"/>
        <v>110</v>
      </c>
      <c r="D5483" t="str">
        <f>"8"</f>
        <v>8</v>
      </c>
      <c r="E5483" t="str">
        <f>"1-110-8"</f>
        <v>1-110-8</v>
      </c>
      <c r="F5483" t="s">
        <v>65</v>
      </c>
      <c r="G5483" t="s">
        <v>66</v>
      </c>
      <c r="H5483" t="s">
        <v>67</v>
      </c>
      <c r="S5483">
        <v>1</v>
      </c>
      <c r="T5483">
        <v>0</v>
      </c>
      <c r="U5483">
        <v>0</v>
      </c>
      <c r="V5483">
        <v>0</v>
      </c>
      <c r="W5483">
        <v>1</v>
      </c>
      <c r="X5483">
        <v>0</v>
      </c>
      <c r="Y5483">
        <v>1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1</v>
      </c>
      <c r="AF5483">
        <v>1</v>
      </c>
      <c r="AG5483">
        <v>1</v>
      </c>
      <c r="AH5483">
        <v>1</v>
      </c>
      <c r="AI5483">
        <v>1</v>
      </c>
      <c r="AJ5483">
        <v>1</v>
      </c>
      <c r="AK5483">
        <v>1</v>
      </c>
      <c r="AL5483">
        <v>1</v>
      </c>
      <c r="AM5483">
        <v>0</v>
      </c>
    </row>
    <row r="5484" spans="1:39" x14ac:dyDescent="0.2">
      <c r="A5484" t="str">
        <f>"5480"</f>
        <v>5480</v>
      </c>
      <c r="B5484" t="str">
        <f t="shared" si="302"/>
        <v>1</v>
      </c>
      <c r="C5484" t="str">
        <f t="shared" si="304"/>
        <v>110</v>
      </c>
      <c r="D5484" t="str">
        <f>"43"</f>
        <v>43</v>
      </c>
      <c r="E5484" t="str">
        <f>"1-110-43"</f>
        <v>1-110-43</v>
      </c>
      <c r="F5484" t="s">
        <v>65</v>
      </c>
      <c r="G5484" t="s">
        <v>66</v>
      </c>
      <c r="H5484" t="s">
        <v>67</v>
      </c>
      <c r="S5484">
        <v>0</v>
      </c>
      <c r="T5484">
        <v>1</v>
      </c>
      <c r="U5484">
        <v>0</v>
      </c>
      <c r="V5484">
        <v>0</v>
      </c>
      <c r="W5484">
        <v>1</v>
      </c>
      <c r="X5484">
        <v>0</v>
      </c>
      <c r="Y5484">
        <v>1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1</v>
      </c>
      <c r="AF5484">
        <v>1</v>
      </c>
      <c r="AG5484">
        <v>1</v>
      </c>
      <c r="AH5484">
        <v>1</v>
      </c>
      <c r="AI5484">
        <v>1</v>
      </c>
      <c r="AJ5484">
        <v>1</v>
      </c>
      <c r="AK5484">
        <v>1</v>
      </c>
      <c r="AL5484">
        <v>1</v>
      </c>
      <c r="AM5484">
        <v>1</v>
      </c>
    </row>
    <row r="5485" spans="1:39" x14ac:dyDescent="0.2">
      <c r="A5485" t="str">
        <f>"5481"</f>
        <v>5481</v>
      </c>
      <c r="B5485" t="str">
        <f t="shared" si="302"/>
        <v>1</v>
      </c>
      <c r="C5485" t="str">
        <f t="shared" si="304"/>
        <v>110</v>
      </c>
      <c r="D5485" t="str">
        <f>"22"</f>
        <v>22</v>
      </c>
      <c r="E5485" t="str">
        <f>"1-110-22"</f>
        <v>1-110-22</v>
      </c>
      <c r="F5485" t="s">
        <v>65</v>
      </c>
      <c r="G5485" t="s">
        <v>66</v>
      </c>
      <c r="H5485" t="s">
        <v>67</v>
      </c>
      <c r="S5485">
        <v>1</v>
      </c>
      <c r="T5485">
        <v>0</v>
      </c>
      <c r="U5485">
        <v>0</v>
      </c>
      <c r="V5485">
        <v>0</v>
      </c>
      <c r="W5485">
        <v>1</v>
      </c>
      <c r="X5485">
        <v>0</v>
      </c>
      <c r="Y5485">
        <v>1</v>
      </c>
      <c r="Z5485">
        <v>0</v>
      </c>
      <c r="AA5485">
        <v>1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</row>
    <row r="5486" spans="1:39" x14ac:dyDescent="0.2">
      <c r="A5486" t="str">
        <f>"5482"</f>
        <v>5482</v>
      </c>
      <c r="B5486" t="str">
        <f t="shared" si="302"/>
        <v>1</v>
      </c>
      <c r="C5486" t="str">
        <f t="shared" si="304"/>
        <v>110</v>
      </c>
      <c r="D5486" t="str">
        <f>"13"</f>
        <v>13</v>
      </c>
      <c r="E5486" t="str">
        <f>"1-110-13"</f>
        <v>1-110-13</v>
      </c>
      <c r="F5486" t="s">
        <v>65</v>
      </c>
      <c r="G5486" t="s">
        <v>66</v>
      </c>
      <c r="H5486" t="s">
        <v>67</v>
      </c>
      <c r="S5486">
        <v>1</v>
      </c>
      <c r="T5486">
        <v>0</v>
      </c>
      <c r="U5486">
        <v>0</v>
      </c>
      <c r="V5486">
        <v>0</v>
      </c>
      <c r="W5486">
        <v>1</v>
      </c>
      <c r="X5486">
        <v>0</v>
      </c>
      <c r="Y5486">
        <v>0</v>
      </c>
      <c r="Z5486">
        <v>1</v>
      </c>
      <c r="AA5486">
        <v>1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1</v>
      </c>
      <c r="AJ5486">
        <v>1</v>
      </c>
      <c r="AK5486">
        <v>1</v>
      </c>
      <c r="AL5486">
        <v>0</v>
      </c>
      <c r="AM5486">
        <v>1</v>
      </c>
    </row>
    <row r="5487" spans="1:39" x14ac:dyDescent="0.2">
      <c r="A5487" t="str">
        <f>"5483"</f>
        <v>5483</v>
      </c>
      <c r="B5487" t="str">
        <f t="shared" si="302"/>
        <v>1</v>
      </c>
      <c r="C5487" t="str">
        <f t="shared" ref="C5487:C5504" si="305">"110"</f>
        <v>110</v>
      </c>
      <c r="D5487" t="str">
        <f>"45"</f>
        <v>45</v>
      </c>
      <c r="E5487" t="str">
        <f>"1-110-45"</f>
        <v>1-110-45</v>
      </c>
      <c r="F5487" t="s">
        <v>65</v>
      </c>
      <c r="G5487" t="s">
        <v>66</v>
      </c>
      <c r="H5487" t="s">
        <v>67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0</v>
      </c>
      <c r="AB5487">
        <v>1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</row>
    <row r="5488" spans="1:39" x14ac:dyDescent="0.2">
      <c r="A5488" t="str">
        <f>"5484"</f>
        <v>5484</v>
      </c>
      <c r="B5488" t="str">
        <f t="shared" si="302"/>
        <v>1</v>
      </c>
      <c r="C5488" t="str">
        <f t="shared" si="305"/>
        <v>110</v>
      </c>
      <c r="D5488" t="str">
        <f>"23"</f>
        <v>23</v>
      </c>
      <c r="E5488" t="str">
        <f>"1-110-23"</f>
        <v>1-110-23</v>
      </c>
      <c r="F5488" t="s">
        <v>65</v>
      </c>
      <c r="G5488" t="s">
        <v>66</v>
      </c>
      <c r="H5488" t="s">
        <v>67</v>
      </c>
      <c r="S5488">
        <v>1</v>
      </c>
      <c r="T5488">
        <v>0</v>
      </c>
      <c r="U5488">
        <v>0</v>
      </c>
      <c r="V5488">
        <v>0</v>
      </c>
      <c r="W5488">
        <v>1</v>
      </c>
      <c r="X5488">
        <v>0</v>
      </c>
      <c r="Y5488">
        <v>0</v>
      </c>
      <c r="Z5488">
        <v>1</v>
      </c>
      <c r="AA5488">
        <v>0</v>
      </c>
      <c r="AB5488">
        <v>1</v>
      </c>
      <c r="AC5488">
        <v>0</v>
      </c>
      <c r="AD5488">
        <v>1</v>
      </c>
      <c r="AE5488">
        <v>1</v>
      </c>
      <c r="AF5488">
        <v>1</v>
      </c>
      <c r="AG5488">
        <v>1</v>
      </c>
      <c r="AH5488">
        <v>1</v>
      </c>
      <c r="AI5488">
        <v>1</v>
      </c>
      <c r="AJ5488">
        <v>1</v>
      </c>
      <c r="AK5488">
        <v>1</v>
      </c>
      <c r="AL5488">
        <v>1</v>
      </c>
      <c r="AM5488">
        <v>1</v>
      </c>
    </row>
    <row r="5489" spans="1:39" x14ac:dyDescent="0.2">
      <c r="A5489" t="str">
        <f>"5485"</f>
        <v>5485</v>
      </c>
      <c r="B5489" t="str">
        <f t="shared" si="302"/>
        <v>1</v>
      </c>
      <c r="C5489" t="str">
        <f t="shared" si="305"/>
        <v>110</v>
      </c>
      <c r="D5489" t="str">
        <f>"11"</f>
        <v>11</v>
      </c>
      <c r="E5489" t="str">
        <f>"1-110-11"</f>
        <v>1-110-11</v>
      </c>
      <c r="F5489" t="s">
        <v>65</v>
      </c>
      <c r="G5489" t="s">
        <v>66</v>
      </c>
      <c r="H5489" t="s">
        <v>67</v>
      </c>
      <c r="S5489">
        <v>0</v>
      </c>
      <c r="T5489">
        <v>1</v>
      </c>
      <c r="U5489">
        <v>0</v>
      </c>
      <c r="V5489">
        <v>0</v>
      </c>
      <c r="W5489">
        <v>1</v>
      </c>
      <c r="X5489">
        <v>0</v>
      </c>
      <c r="Y5489">
        <v>1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1</v>
      </c>
      <c r="AH5489">
        <v>1</v>
      </c>
      <c r="AI5489">
        <v>1</v>
      </c>
      <c r="AJ5489">
        <v>1</v>
      </c>
      <c r="AK5489">
        <v>0</v>
      </c>
      <c r="AL5489">
        <v>1</v>
      </c>
      <c r="AM5489">
        <v>1</v>
      </c>
    </row>
    <row r="5490" spans="1:39" x14ac:dyDescent="0.2">
      <c r="A5490" t="str">
        <f>"5486"</f>
        <v>5486</v>
      </c>
      <c r="B5490" t="str">
        <f t="shared" si="302"/>
        <v>1</v>
      </c>
      <c r="C5490" t="str">
        <f t="shared" si="305"/>
        <v>110</v>
      </c>
      <c r="D5490" t="str">
        <f>"46"</f>
        <v>46</v>
      </c>
      <c r="E5490" t="str">
        <f>"1-110-46"</f>
        <v>1-110-46</v>
      </c>
      <c r="F5490" t="s">
        <v>65</v>
      </c>
      <c r="G5490" t="s">
        <v>66</v>
      </c>
      <c r="H5490" t="s">
        <v>67</v>
      </c>
      <c r="S5490">
        <v>0</v>
      </c>
      <c r="T5490">
        <v>1</v>
      </c>
      <c r="U5490">
        <v>0</v>
      </c>
      <c r="V5490">
        <v>0</v>
      </c>
      <c r="W5490">
        <v>0</v>
      </c>
      <c r="X5490">
        <v>1</v>
      </c>
      <c r="Y5490">
        <v>1</v>
      </c>
      <c r="Z5490">
        <v>0</v>
      </c>
      <c r="AA5490">
        <v>0</v>
      </c>
      <c r="AB5490">
        <v>0</v>
      </c>
      <c r="AC5490">
        <v>1</v>
      </c>
      <c r="AD5490">
        <v>1</v>
      </c>
      <c r="AE5490">
        <v>1</v>
      </c>
      <c r="AF5490">
        <v>1</v>
      </c>
      <c r="AG5490">
        <v>1</v>
      </c>
      <c r="AH5490">
        <v>1</v>
      </c>
      <c r="AI5490">
        <v>1</v>
      </c>
      <c r="AJ5490">
        <v>1</v>
      </c>
      <c r="AK5490">
        <v>1</v>
      </c>
      <c r="AL5490">
        <v>1</v>
      </c>
      <c r="AM5490">
        <v>1</v>
      </c>
    </row>
    <row r="5491" spans="1:39" x14ac:dyDescent="0.2">
      <c r="A5491" t="str">
        <f>"5487"</f>
        <v>5487</v>
      </c>
      <c r="B5491" t="str">
        <f t="shared" si="302"/>
        <v>1</v>
      </c>
      <c r="C5491" t="str">
        <f t="shared" si="305"/>
        <v>110</v>
      </c>
      <c r="D5491" t="str">
        <f>"24"</f>
        <v>24</v>
      </c>
      <c r="E5491" t="str">
        <f>"1-110-24"</f>
        <v>1-110-24</v>
      </c>
      <c r="F5491" t="s">
        <v>65</v>
      </c>
      <c r="G5491" t="s">
        <v>66</v>
      </c>
      <c r="H5491" t="s">
        <v>67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1</v>
      </c>
      <c r="AE5491">
        <v>1</v>
      </c>
      <c r="AF5491">
        <v>1</v>
      </c>
      <c r="AG5491">
        <v>1</v>
      </c>
      <c r="AH5491">
        <v>1</v>
      </c>
      <c r="AI5491">
        <v>1</v>
      </c>
      <c r="AJ5491">
        <v>1</v>
      </c>
      <c r="AK5491">
        <v>1</v>
      </c>
      <c r="AL5491">
        <v>1</v>
      </c>
      <c r="AM5491">
        <v>1</v>
      </c>
    </row>
    <row r="5492" spans="1:39" x14ac:dyDescent="0.2">
      <c r="A5492" t="str">
        <f>"5488"</f>
        <v>5488</v>
      </c>
      <c r="B5492" t="str">
        <f t="shared" si="302"/>
        <v>1</v>
      </c>
      <c r="C5492" t="str">
        <f t="shared" si="305"/>
        <v>110</v>
      </c>
      <c r="D5492" t="str">
        <f>"4"</f>
        <v>4</v>
      </c>
      <c r="E5492" t="str">
        <f>"1-110-4"</f>
        <v>1-110-4</v>
      </c>
      <c r="F5492" t="s">
        <v>65</v>
      </c>
      <c r="G5492" t="s">
        <v>66</v>
      </c>
      <c r="H5492" t="s">
        <v>67</v>
      </c>
      <c r="S5492">
        <v>0</v>
      </c>
      <c r="T5492">
        <v>1</v>
      </c>
      <c r="U5492">
        <v>0</v>
      </c>
      <c r="V5492">
        <v>0</v>
      </c>
      <c r="W5492">
        <v>1</v>
      </c>
      <c r="X5492">
        <v>0</v>
      </c>
      <c r="Y5492">
        <v>1</v>
      </c>
      <c r="Z5492">
        <v>0</v>
      </c>
      <c r="AA5492">
        <v>0</v>
      </c>
      <c r="AB5492">
        <v>1</v>
      </c>
      <c r="AC5492">
        <v>0</v>
      </c>
      <c r="AD5492">
        <v>1</v>
      </c>
      <c r="AE5492">
        <v>1</v>
      </c>
      <c r="AF5492">
        <v>1</v>
      </c>
      <c r="AG5492">
        <v>1</v>
      </c>
      <c r="AH5492">
        <v>1</v>
      </c>
      <c r="AI5492">
        <v>1</v>
      </c>
      <c r="AJ5492">
        <v>1</v>
      </c>
      <c r="AK5492">
        <v>1</v>
      </c>
      <c r="AL5492">
        <v>1</v>
      </c>
      <c r="AM5492">
        <v>1</v>
      </c>
    </row>
    <row r="5493" spans="1:39" x14ac:dyDescent="0.2">
      <c r="A5493" t="str">
        <f>"5489"</f>
        <v>5489</v>
      </c>
      <c r="B5493" t="str">
        <f t="shared" si="302"/>
        <v>1</v>
      </c>
      <c r="C5493" t="str">
        <f t="shared" si="305"/>
        <v>110</v>
      </c>
      <c r="D5493" t="str">
        <f>"47"</f>
        <v>47</v>
      </c>
      <c r="E5493" t="str">
        <f>"1-110-47"</f>
        <v>1-110-47</v>
      </c>
      <c r="F5493" t="s">
        <v>65</v>
      </c>
      <c r="G5493" t="s">
        <v>66</v>
      </c>
      <c r="H5493" t="s">
        <v>67</v>
      </c>
      <c r="S5493">
        <v>1</v>
      </c>
      <c r="T5493">
        <v>0</v>
      </c>
      <c r="U5493">
        <v>0</v>
      </c>
      <c r="V5493">
        <v>0</v>
      </c>
      <c r="W5493">
        <v>1</v>
      </c>
      <c r="X5493">
        <v>0</v>
      </c>
      <c r="Y5493">
        <v>1</v>
      </c>
      <c r="Z5493">
        <v>0</v>
      </c>
      <c r="AA5493">
        <v>0</v>
      </c>
      <c r="AB5493">
        <v>1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</row>
    <row r="5494" spans="1:39" x14ac:dyDescent="0.2">
      <c r="A5494" t="str">
        <f>"5490"</f>
        <v>5490</v>
      </c>
      <c r="B5494" t="str">
        <f t="shared" si="302"/>
        <v>1</v>
      </c>
      <c r="C5494" t="str">
        <f t="shared" si="305"/>
        <v>110</v>
      </c>
      <c r="D5494" t="str">
        <f>"29"</f>
        <v>29</v>
      </c>
      <c r="E5494" t="str">
        <f>"1-110-29"</f>
        <v>1-110-29</v>
      </c>
      <c r="F5494" t="s">
        <v>65</v>
      </c>
      <c r="G5494" t="s">
        <v>66</v>
      </c>
      <c r="H5494" t="s">
        <v>67</v>
      </c>
      <c r="S5494">
        <v>1</v>
      </c>
      <c r="T5494">
        <v>0</v>
      </c>
      <c r="U5494">
        <v>0</v>
      </c>
      <c r="V5494">
        <v>0</v>
      </c>
      <c r="W5494">
        <v>1</v>
      </c>
      <c r="X5494">
        <v>0</v>
      </c>
      <c r="Y5494">
        <v>0</v>
      </c>
      <c r="Z5494">
        <v>1</v>
      </c>
      <c r="AA5494">
        <v>0</v>
      </c>
      <c r="AB5494">
        <v>1</v>
      </c>
      <c r="AC5494">
        <v>0</v>
      </c>
      <c r="AD5494">
        <v>1</v>
      </c>
      <c r="AE5494">
        <v>1</v>
      </c>
      <c r="AF5494">
        <v>1</v>
      </c>
      <c r="AG5494">
        <v>1</v>
      </c>
      <c r="AH5494">
        <v>1</v>
      </c>
      <c r="AI5494">
        <v>1</v>
      </c>
      <c r="AJ5494">
        <v>1</v>
      </c>
      <c r="AK5494">
        <v>1</v>
      </c>
      <c r="AL5494">
        <v>1</v>
      </c>
      <c r="AM5494">
        <v>1</v>
      </c>
    </row>
    <row r="5495" spans="1:39" x14ac:dyDescent="0.2">
      <c r="A5495" t="str">
        <f>"5491"</f>
        <v>5491</v>
      </c>
      <c r="B5495" t="str">
        <f t="shared" ref="B5495:B5558" si="306">"1"</f>
        <v>1</v>
      </c>
      <c r="C5495" t="str">
        <f t="shared" si="305"/>
        <v>110</v>
      </c>
      <c r="D5495" t="str">
        <f>"7"</f>
        <v>7</v>
      </c>
      <c r="E5495" t="str">
        <f>"1-110-7"</f>
        <v>1-110-7</v>
      </c>
      <c r="F5495" t="s">
        <v>65</v>
      </c>
      <c r="G5495" t="s">
        <v>66</v>
      </c>
      <c r="H5495" t="s">
        <v>67</v>
      </c>
      <c r="S5495">
        <v>1</v>
      </c>
      <c r="T5495">
        <v>0</v>
      </c>
      <c r="U5495">
        <v>0</v>
      </c>
      <c r="V5495">
        <v>0</v>
      </c>
      <c r="W5495">
        <v>1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</row>
    <row r="5496" spans="1:39" x14ac:dyDescent="0.2">
      <c r="A5496" t="str">
        <f>"5492"</f>
        <v>5492</v>
      </c>
      <c r="B5496" t="str">
        <f t="shared" si="306"/>
        <v>1</v>
      </c>
      <c r="C5496" t="str">
        <f t="shared" si="305"/>
        <v>110</v>
      </c>
      <c r="D5496" t="str">
        <f>"30"</f>
        <v>30</v>
      </c>
      <c r="E5496" t="str">
        <f>"1-110-30"</f>
        <v>1-110-30</v>
      </c>
      <c r="F5496" t="s">
        <v>65</v>
      </c>
      <c r="G5496" t="s">
        <v>66</v>
      </c>
      <c r="H5496" t="s">
        <v>67</v>
      </c>
      <c r="S5496">
        <v>1</v>
      </c>
      <c r="T5496">
        <v>0</v>
      </c>
      <c r="U5496">
        <v>0</v>
      </c>
      <c r="V5496">
        <v>0</v>
      </c>
      <c r="W5496">
        <v>1</v>
      </c>
      <c r="X5496">
        <v>0</v>
      </c>
      <c r="Y5496">
        <v>0</v>
      </c>
      <c r="Z5496">
        <v>1</v>
      </c>
      <c r="AA5496">
        <v>1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1</v>
      </c>
      <c r="AH5496">
        <v>0</v>
      </c>
      <c r="AI5496">
        <v>1</v>
      </c>
      <c r="AJ5496">
        <v>1</v>
      </c>
      <c r="AK5496">
        <v>1</v>
      </c>
      <c r="AL5496">
        <v>1</v>
      </c>
      <c r="AM5496">
        <v>0</v>
      </c>
    </row>
    <row r="5497" spans="1:39" x14ac:dyDescent="0.2">
      <c r="A5497" t="str">
        <f>"5493"</f>
        <v>5493</v>
      </c>
      <c r="B5497" t="str">
        <f t="shared" si="306"/>
        <v>1</v>
      </c>
      <c r="C5497" t="str">
        <f t="shared" si="305"/>
        <v>110</v>
      </c>
      <c r="D5497" t="str">
        <f>"10"</f>
        <v>10</v>
      </c>
      <c r="E5497" t="str">
        <f>"1-110-10"</f>
        <v>1-110-10</v>
      </c>
      <c r="F5497" t="s">
        <v>65</v>
      </c>
      <c r="G5497" t="s">
        <v>66</v>
      </c>
      <c r="H5497" t="s">
        <v>67</v>
      </c>
      <c r="S5497">
        <v>0</v>
      </c>
      <c r="T5497">
        <v>1</v>
      </c>
      <c r="U5497">
        <v>0</v>
      </c>
      <c r="V5497">
        <v>0</v>
      </c>
      <c r="W5497">
        <v>1</v>
      </c>
      <c r="X5497">
        <v>0</v>
      </c>
      <c r="Y5497">
        <v>1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1</v>
      </c>
      <c r="AF5497">
        <v>1</v>
      </c>
      <c r="AG5497">
        <v>1</v>
      </c>
      <c r="AH5497">
        <v>1</v>
      </c>
      <c r="AI5497">
        <v>1</v>
      </c>
      <c r="AJ5497">
        <v>1</v>
      </c>
      <c r="AK5497">
        <v>1</v>
      </c>
      <c r="AL5497">
        <v>1</v>
      </c>
      <c r="AM5497">
        <v>1</v>
      </c>
    </row>
    <row r="5498" spans="1:39" x14ac:dyDescent="0.2">
      <c r="A5498" t="str">
        <f>"5494"</f>
        <v>5494</v>
      </c>
      <c r="B5498" t="str">
        <f t="shared" si="306"/>
        <v>1</v>
      </c>
      <c r="C5498" t="str">
        <f t="shared" si="305"/>
        <v>110</v>
      </c>
      <c r="D5498" t="str">
        <f>"48"</f>
        <v>48</v>
      </c>
      <c r="E5498" t="str">
        <f>"1-110-48"</f>
        <v>1-110-48</v>
      </c>
      <c r="F5498" t="s">
        <v>65</v>
      </c>
      <c r="G5498" t="s">
        <v>66</v>
      </c>
      <c r="H5498" t="s">
        <v>67</v>
      </c>
      <c r="S5498">
        <v>0</v>
      </c>
      <c r="T5498">
        <v>0</v>
      </c>
      <c r="U5498">
        <v>0</v>
      </c>
      <c r="V5498">
        <v>0</v>
      </c>
      <c r="W5498">
        <v>1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</row>
    <row r="5499" spans="1:39" x14ac:dyDescent="0.2">
      <c r="A5499" t="str">
        <f>"5495"</f>
        <v>5495</v>
      </c>
      <c r="B5499" t="str">
        <f t="shared" si="306"/>
        <v>1</v>
      </c>
      <c r="C5499" t="str">
        <f t="shared" si="305"/>
        <v>110</v>
      </c>
      <c r="D5499" t="str">
        <f>"9"</f>
        <v>9</v>
      </c>
      <c r="E5499" t="str">
        <f>"1-110-9"</f>
        <v>1-110-9</v>
      </c>
      <c r="F5499" t="s">
        <v>65</v>
      </c>
      <c r="G5499" t="s">
        <v>66</v>
      </c>
      <c r="H5499" t="s">
        <v>67</v>
      </c>
      <c r="S5499">
        <v>0</v>
      </c>
      <c r="T5499">
        <v>1</v>
      </c>
      <c r="U5499">
        <v>0</v>
      </c>
      <c r="V5499">
        <v>0</v>
      </c>
      <c r="W5499">
        <v>1</v>
      </c>
      <c r="X5499">
        <v>0</v>
      </c>
      <c r="Y5499">
        <v>1</v>
      </c>
      <c r="Z5499">
        <v>0</v>
      </c>
      <c r="AA5499">
        <v>0</v>
      </c>
      <c r="AB5499">
        <v>0</v>
      </c>
      <c r="AC5499">
        <v>1</v>
      </c>
      <c r="AD5499">
        <v>1</v>
      </c>
      <c r="AE5499">
        <v>1</v>
      </c>
      <c r="AF5499">
        <v>1</v>
      </c>
      <c r="AG5499">
        <v>1</v>
      </c>
      <c r="AH5499">
        <v>1</v>
      </c>
      <c r="AI5499">
        <v>1</v>
      </c>
      <c r="AJ5499">
        <v>1</v>
      </c>
      <c r="AK5499">
        <v>1</v>
      </c>
      <c r="AL5499">
        <v>1</v>
      </c>
      <c r="AM5499">
        <v>1</v>
      </c>
    </row>
    <row r="5500" spans="1:39" x14ac:dyDescent="0.2">
      <c r="A5500" t="str">
        <f>"5496"</f>
        <v>5496</v>
      </c>
      <c r="B5500" t="str">
        <f t="shared" si="306"/>
        <v>1</v>
      </c>
      <c r="C5500" t="str">
        <f t="shared" si="305"/>
        <v>110</v>
      </c>
      <c r="D5500" t="str">
        <f>"50"</f>
        <v>50</v>
      </c>
      <c r="E5500" t="str">
        <f>"1-110-50"</f>
        <v>1-110-50</v>
      </c>
      <c r="F5500" t="s">
        <v>65</v>
      </c>
      <c r="G5500" t="s">
        <v>66</v>
      </c>
      <c r="H5500" t="s">
        <v>67</v>
      </c>
      <c r="S5500">
        <v>1</v>
      </c>
      <c r="T5500">
        <v>0</v>
      </c>
      <c r="U5500">
        <v>0</v>
      </c>
      <c r="V5500">
        <v>0</v>
      </c>
      <c r="W5500">
        <v>1</v>
      </c>
      <c r="X5500">
        <v>0</v>
      </c>
      <c r="Y5500">
        <v>1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1</v>
      </c>
      <c r="AH5500">
        <v>1</v>
      </c>
      <c r="AI5500">
        <v>1</v>
      </c>
      <c r="AJ5500">
        <v>0</v>
      </c>
      <c r="AK5500">
        <v>1</v>
      </c>
      <c r="AL5500">
        <v>1</v>
      </c>
      <c r="AM5500">
        <v>1</v>
      </c>
    </row>
    <row r="5501" spans="1:39" x14ac:dyDescent="0.2">
      <c r="A5501" t="str">
        <f>"5497"</f>
        <v>5497</v>
      </c>
      <c r="B5501" t="str">
        <f t="shared" si="306"/>
        <v>1</v>
      </c>
      <c r="C5501" t="str">
        <f t="shared" si="305"/>
        <v>110</v>
      </c>
      <c r="D5501" t="str">
        <f>"32"</f>
        <v>32</v>
      </c>
      <c r="E5501" t="str">
        <f>"1-110-32"</f>
        <v>1-110-32</v>
      </c>
      <c r="F5501" t="s">
        <v>65</v>
      </c>
      <c r="G5501" t="s">
        <v>66</v>
      </c>
      <c r="H5501" t="s">
        <v>67</v>
      </c>
      <c r="S5501">
        <v>1</v>
      </c>
      <c r="T5501">
        <v>0</v>
      </c>
      <c r="U5501">
        <v>0</v>
      </c>
      <c r="V5501">
        <v>0</v>
      </c>
      <c r="W5501">
        <v>1</v>
      </c>
      <c r="X5501">
        <v>0</v>
      </c>
      <c r="Y5501">
        <v>0</v>
      </c>
      <c r="Z5501">
        <v>1</v>
      </c>
      <c r="AA5501">
        <v>0</v>
      </c>
      <c r="AB5501">
        <v>0</v>
      </c>
      <c r="AC5501">
        <v>1</v>
      </c>
      <c r="AD5501">
        <v>0</v>
      </c>
      <c r="AE5501">
        <v>0</v>
      </c>
      <c r="AF5501">
        <v>0</v>
      </c>
      <c r="AG5501">
        <v>0</v>
      </c>
      <c r="AH5501">
        <v>1</v>
      </c>
      <c r="AI5501">
        <v>0</v>
      </c>
      <c r="AJ5501">
        <v>0</v>
      </c>
      <c r="AK5501">
        <v>0</v>
      </c>
      <c r="AL5501">
        <v>0</v>
      </c>
      <c r="AM5501">
        <v>0</v>
      </c>
    </row>
    <row r="5502" spans="1:39" x14ac:dyDescent="0.2">
      <c r="A5502" t="str">
        <f>"5498"</f>
        <v>5498</v>
      </c>
      <c r="B5502" t="str">
        <f t="shared" si="306"/>
        <v>1</v>
      </c>
      <c r="C5502" t="str">
        <f t="shared" si="305"/>
        <v>110</v>
      </c>
      <c r="D5502" t="str">
        <f>"14"</f>
        <v>14</v>
      </c>
      <c r="E5502" t="str">
        <f>"1-110-14"</f>
        <v>1-110-14</v>
      </c>
      <c r="F5502" t="s">
        <v>65</v>
      </c>
      <c r="G5502" t="s">
        <v>66</v>
      </c>
      <c r="H5502" t="s">
        <v>67</v>
      </c>
      <c r="S5502">
        <v>0</v>
      </c>
      <c r="T5502">
        <v>1</v>
      </c>
      <c r="U5502">
        <v>0</v>
      </c>
      <c r="V5502">
        <v>0</v>
      </c>
      <c r="W5502">
        <v>1</v>
      </c>
      <c r="X5502">
        <v>0</v>
      </c>
      <c r="Y5502">
        <v>1</v>
      </c>
      <c r="Z5502">
        <v>0</v>
      </c>
      <c r="AA5502">
        <v>0</v>
      </c>
      <c r="AB5502">
        <v>1</v>
      </c>
      <c r="AC5502">
        <v>0</v>
      </c>
      <c r="AD5502">
        <v>1</v>
      </c>
      <c r="AE5502">
        <v>1</v>
      </c>
      <c r="AF5502">
        <v>1</v>
      </c>
      <c r="AG5502">
        <v>1</v>
      </c>
      <c r="AH5502">
        <v>1</v>
      </c>
      <c r="AI5502">
        <v>1</v>
      </c>
      <c r="AJ5502">
        <v>1</v>
      </c>
      <c r="AK5502">
        <v>1</v>
      </c>
      <c r="AL5502">
        <v>1</v>
      </c>
      <c r="AM5502">
        <v>1</v>
      </c>
    </row>
    <row r="5503" spans="1:39" x14ac:dyDescent="0.2">
      <c r="A5503" t="str">
        <f>"5499"</f>
        <v>5499</v>
      </c>
      <c r="B5503" t="str">
        <f t="shared" si="306"/>
        <v>1</v>
      </c>
      <c r="C5503" t="str">
        <f t="shared" si="305"/>
        <v>110</v>
      </c>
      <c r="D5503" t="str">
        <f>"31"</f>
        <v>31</v>
      </c>
      <c r="E5503" t="str">
        <f>"1-110-31"</f>
        <v>1-110-31</v>
      </c>
      <c r="F5503" t="s">
        <v>65</v>
      </c>
      <c r="G5503" t="s">
        <v>66</v>
      </c>
      <c r="H5503" t="s">
        <v>67</v>
      </c>
      <c r="S5503">
        <v>1</v>
      </c>
      <c r="T5503">
        <v>0</v>
      </c>
      <c r="U5503">
        <v>0</v>
      </c>
      <c r="V5503">
        <v>0</v>
      </c>
      <c r="W5503">
        <v>1</v>
      </c>
      <c r="X5503">
        <v>0</v>
      </c>
      <c r="Y5503">
        <v>0</v>
      </c>
      <c r="Z5503">
        <v>1</v>
      </c>
      <c r="AA5503">
        <v>0</v>
      </c>
      <c r="AB5503">
        <v>0</v>
      </c>
      <c r="AC5503">
        <v>1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</row>
    <row r="5504" spans="1:39" x14ac:dyDescent="0.2">
      <c r="A5504" t="str">
        <f>"5500"</f>
        <v>5500</v>
      </c>
      <c r="B5504" t="str">
        <f t="shared" si="306"/>
        <v>1</v>
      </c>
      <c r="C5504" t="str">
        <f t="shared" si="305"/>
        <v>110</v>
      </c>
      <c r="D5504" t="str">
        <f>"49"</f>
        <v>49</v>
      </c>
      <c r="E5504" t="str">
        <f>"1-110-49"</f>
        <v>1-110-49</v>
      </c>
      <c r="F5504" t="s">
        <v>65</v>
      </c>
      <c r="G5504" t="s">
        <v>66</v>
      </c>
      <c r="H5504" t="s">
        <v>67</v>
      </c>
      <c r="S5504">
        <v>0</v>
      </c>
      <c r="T5504">
        <v>1</v>
      </c>
      <c r="U5504">
        <v>0</v>
      </c>
      <c r="V5504">
        <v>0</v>
      </c>
      <c r="W5504">
        <v>1</v>
      </c>
      <c r="X5504">
        <v>0</v>
      </c>
      <c r="Y5504">
        <v>0</v>
      </c>
      <c r="Z5504">
        <v>1</v>
      </c>
      <c r="AA5504">
        <v>0</v>
      </c>
      <c r="AB5504">
        <v>0</v>
      </c>
      <c r="AC5504">
        <v>1</v>
      </c>
      <c r="AD5504">
        <v>1</v>
      </c>
      <c r="AE5504">
        <v>1</v>
      </c>
      <c r="AF5504">
        <v>1</v>
      </c>
      <c r="AG5504">
        <v>1</v>
      </c>
      <c r="AH5504">
        <v>1</v>
      </c>
      <c r="AI5504">
        <v>1</v>
      </c>
      <c r="AJ5504">
        <v>1</v>
      </c>
      <c r="AK5504">
        <v>1</v>
      </c>
      <c r="AL5504">
        <v>1</v>
      </c>
      <c r="AM5504">
        <v>1</v>
      </c>
    </row>
    <row r="5505" spans="1:39" x14ac:dyDescent="0.2">
      <c r="A5505" t="str">
        <f>"5501"</f>
        <v>5501</v>
      </c>
      <c r="B5505" t="str">
        <f t="shared" si="306"/>
        <v>1</v>
      </c>
      <c r="C5505" t="str">
        <f t="shared" ref="C5505:C5536" si="307">"111"</f>
        <v>111</v>
      </c>
      <c r="D5505" t="str">
        <f>"40"</f>
        <v>40</v>
      </c>
      <c r="E5505" t="str">
        <f>"1-111-40"</f>
        <v>1-111-40</v>
      </c>
      <c r="F5505" t="s">
        <v>65</v>
      </c>
      <c r="G5505" t="s">
        <v>66</v>
      </c>
      <c r="H5505" t="s">
        <v>67</v>
      </c>
      <c r="S5505">
        <v>0</v>
      </c>
      <c r="T5505">
        <v>1</v>
      </c>
      <c r="U5505">
        <v>0</v>
      </c>
      <c r="V5505">
        <v>0</v>
      </c>
      <c r="W5505">
        <v>1</v>
      </c>
      <c r="X5505">
        <v>0</v>
      </c>
      <c r="Y5505">
        <v>1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1</v>
      </c>
      <c r="AF5505">
        <v>1</v>
      </c>
      <c r="AG5505">
        <v>1</v>
      </c>
      <c r="AH5505">
        <v>1</v>
      </c>
      <c r="AI5505">
        <v>1</v>
      </c>
      <c r="AJ5505">
        <v>1</v>
      </c>
      <c r="AK5505">
        <v>1</v>
      </c>
      <c r="AL5505">
        <v>1</v>
      </c>
      <c r="AM5505">
        <v>1</v>
      </c>
    </row>
    <row r="5506" spans="1:39" x14ac:dyDescent="0.2">
      <c r="A5506" t="str">
        <f>"5502"</f>
        <v>5502</v>
      </c>
      <c r="B5506" t="str">
        <f t="shared" si="306"/>
        <v>1</v>
      </c>
      <c r="C5506" t="str">
        <f t="shared" si="307"/>
        <v>111</v>
      </c>
      <c r="D5506" t="str">
        <f>"39"</f>
        <v>39</v>
      </c>
      <c r="E5506" t="str">
        <f>"1-111-39"</f>
        <v>1-111-39</v>
      </c>
      <c r="F5506" t="s">
        <v>65</v>
      </c>
      <c r="G5506" t="s">
        <v>66</v>
      </c>
      <c r="H5506" t="s">
        <v>67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1</v>
      </c>
      <c r="Y5506">
        <v>0</v>
      </c>
      <c r="Z5506">
        <v>1</v>
      </c>
      <c r="AA5506">
        <v>0</v>
      </c>
      <c r="AB5506">
        <v>1</v>
      </c>
      <c r="AC5506">
        <v>0</v>
      </c>
      <c r="AD5506">
        <v>1</v>
      </c>
      <c r="AE5506">
        <v>1</v>
      </c>
      <c r="AF5506">
        <v>1</v>
      </c>
      <c r="AG5506">
        <v>1</v>
      </c>
      <c r="AH5506">
        <v>1</v>
      </c>
      <c r="AI5506">
        <v>1</v>
      </c>
      <c r="AJ5506">
        <v>1</v>
      </c>
      <c r="AK5506">
        <v>1</v>
      </c>
      <c r="AL5506">
        <v>0</v>
      </c>
      <c r="AM5506">
        <v>1</v>
      </c>
    </row>
    <row r="5507" spans="1:39" x14ac:dyDescent="0.2">
      <c r="A5507" t="str">
        <f>"5503"</f>
        <v>5503</v>
      </c>
      <c r="B5507" t="str">
        <f t="shared" si="306"/>
        <v>1</v>
      </c>
      <c r="C5507" t="str">
        <f t="shared" si="307"/>
        <v>111</v>
      </c>
      <c r="D5507" t="str">
        <f>"34"</f>
        <v>34</v>
      </c>
      <c r="E5507" t="str">
        <f>"1-111-34"</f>
        <v>1-111-34</v>
      </c>
      <c r="F5507" t="s">
        <v>65</v>
      </c>
      <c r="G5507" t="s">
        <v>66</v>
      </c>
      <c r="H5507" t="s">
        <v>67</v>
      </c>
      <c r="S5507">
        <v>0</v>
      </c>
      <c r="T5507">
        <v>0</v>
      </c>
      <c r="U5507">
        <v>0</v>
      </c>
      <c r="V5507">
        <v>0</v>
      </c>
      <c r="W5507">
        <v>1</v>
      </c>
      <c r="X5507">
        <v>0</v>
      </c>
      <c r="Y5507">
        <v>1</v>
      </c>
      <c r="Z5507">
        <v>0</v>
      </c>
      <c r="AA5507">
        <v>1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1</v>
      </c>
      <c r="AI5507">
        <v>1</v>
      </c>
      <c r="AJ5507">
        <v>1</v>
      </c>
      <c r="AK5507">
        <v>1</v>
      </c>
      <c r="AL5507">
        <v>1</v>
      </c>
      <c r="AM5507">
        <v>0</v>
      </c>
    </row>
    <row r="5508" spans="1:39" x14ac:dyDescent="0.2">
      <c r="A5508" t="str">
        <f>"5504"</f>
        <v>5504</v>
      </c>
      <c r="B5508" t="str">
        <f t="shared" si="306"/>
        <v>1</v>
      </c>
      <c r="C5508" t="str">
        <f t="shared" si="307"/>
        <v>111</v>
      </c>
      <c r="D5508" t="str">
        <f>"33"</f>
        <v>33</v>
      </c>
      <c r="E5508" t="str">
        <f>"1-111-33"</f>
        <v>1-111-33</v>
      </c>
      <c r="F5508" t="s">
        <v>65</v>
      </c>
      <c r="G5508" t="s">
        <v>66</v>
      </c>
      <c r="H5508" t="s">
        <v>67</v>
      </c>
      <c r="S5508">
        <v>1</v>
      </c>
      <c r="T5508">
        <v>0</v>
      </c>
      <c r="U5508">
        <v>0</v>
      </c>
      <c r="V5508">
        <v>0</v>
      </c>
      <c r="W5508">
        <v>1</v>
      </c>
      <c r="X5508">
        <v>0</v>
      </c>
      <c r="Y5508">
        <v>0</v>
      </c>
      <c r="Z5508">
        <v>1</v>
      </c>
      <c r="AA5508">
        <v>0</v>
      </c>
      <c r="AB5508">
        <v>0</v>
      </c>
      <c r="AC5508">
        <v>1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</row>
    <row r="5509" spans="1:39" x14ac:dyDescent="0.2">
      <c r="A5509" t="str">
        <f>"5505"</f>
        <v>5505</v>
      </c>
      <c r="B5509" t="str">
        <f t="shared" si="306"/>
        <v>1</v>
      </c>
      <c r="C5509" t="str">
        <f t="shared" si="307"/>
        <v>111</v>
      </c>
      <c r="D5509" t="str">
        <f>"19"</f>
        <v>19</v>
      </c>
      <c r="E5509" t="str">
        <f>"1-111-19"</f>
        <v>1-111-19</v>
      </c>
      <c r="F5509" t="s">
        <v>65</v>
      </c>
      <c r="G5509" t="s">
        <v>66</v>
      </c>
      <c r="H5509" t="s">
        <v>67</v>
      </c>
      <c r="S5509">
        <v>1</v>
      </c>
      <c r="T5509">
        <v>0</v>
      </c>
      <c r="U5509">
        <v>0</v>
      </c>
      <c r="V5509">
        <v>0</v>
      </c>
      <c r="W5509">
        <v>1</v>
      </c>
      <c r="X5509">
        <v>0</v>
      </c>
      <c r="Y5509">
        <v>1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1</v>
      </c>
      <c r="AF5509">
        <v>1</v>
      </c>
      <c r="AG5509">
        <v>1</v>
      </c>
      <c r="AH5509">
        <v>1</v>
      </c>
      <c r="AI5509">
        <v>1</v>
      </c>
      <c r="AJ5509">
        <v>1</v>
      </c>
      <c r="AK5509">
        <v>1</v>
      </c>
      <c r="AL5509">
        <v>1</v>
      </c>
      <c r="AM5509">
        <v>1</v>
      </c>
    </row>
    <row r="5510" spans="1:39" x14ac:dyDescent="0.2">
      <c r="A5510" t="str">
        <f>"5506"</f>
        <v>5506</v>
      </c>
      <c r="B5510" t="str">
        <f t="shared" si="306"/>
        <v>1</v>
      </c>
      <c r="C5510" t="str">
        <f t="shared" si="307"/>
        <v>111</v>
      </c>
      <c r="D5510" t="str">
        <f>"18"</f>
        <v>18</v>
      </c>
      <c r="E5510" t="str">
        <f>"1-111-18"</f>
        <v>1-111-18</v>
      </c>
      <c r="F5510" t="s">
        <v>65</v>
      </c>
      <c r="G5510" t="s">
        <v>66</v>
      </c>
      <c r="H5510" t="s">
        <v>67</v>
      </c>
      <c r="S5510">
        <v>0</v>
      </c>
      <c r="T5510">
        <v>1</v>
      </c>
      <c r="U5510">
        <v>0</v>
      </c>
      <c r="V5510">
        <v>0</v>
      </c>
      <c r="W5510">
        <v>1</v>
      </c>
      <c r="X5510">
        <v>0</v>
      </c>
      <c r="Y5510">
        <v>0</v>
      </c>
      <c r="Z5510">
        <v>1</v>
      </c>
      <c r="AA5510">
        <v>0</v>
      </c>
      <c r="AB5510">
        <v>1</v>
      </c>
      <c r="AC5510">
        <v>0</v>
      </c>
      <c r="AD5510">
        <v>1</v>
      </c>
      <c r="AE5510">
        <v>1</v>
      </c>
      <c r="AF5510">
        <v>1</v>
      </c>
      <c r="AG5510">
        <v>1</v>
      </c>
      <c r="AH5510">
        <v>1</v>
      </c>
      <c r="AI5510">
        <v>1</v>
      </c>
      <c r="AJ5510">
        <v>1</v>
      </c>
      <c r="AK5510">
        <v>1</v>
      </c>
      <c r="AL5510">
        <v>1</v>
      </c>
      <c r="AM5510">
        <v>1</v>
      </c>
    </row>
    <row r="5511" spans="1:39" x14ac:dyDescent="0.2">
      <c r="A5511" t="str">
        <f>"5507"</f>
        <v>5507</v>
      </c>
      <c r="B5511" t="str">
        <f t="shared" si="306"/>
        <v>1</v>
      </c>
      <c r="C5511" t="str">
        <f t="shared" si="307"/>
        <v>111</v>
      </c>
      <c r="D5511" t="str">
        <f>"17"</f>
        <v>17</v>
      </c>
      <c r="E5511" t="str">
        <f>"1-111-17"</f>
        <v>1-111-17</v>
      </c>
      <c r="F5511" t="s">
        <v>65</v>
      </c>
      <c r="G5511" t="s">
        <v>66</v>
      </c>
      <c r="H5511" t="s">
        <v>67</v>
      </c>
      <c r="S5511">
        <v>0</v>
      </c>
      <c r="T5511">
        <v>0</v>
      </c>
      <c r="U5511">
        <v>0</v>
      </c>
      <c r="V5511">
        <v>0</v>
      </c>
      <c r="W5511">
        <v>1</v>
      </c>
      <c r="X5511">
        <v>0</v>
      </c>
      <c r="Y5511">
        <v>1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</row>
    <row r="5512" spans="1:39" x14ac:dyDescent="0.2">
      <c r="A5512" t="str">
        <f>"5508"</f>
        <v>5508</v>
      </c>
      <c r="B5512" t="str">
        <f t="shared" si="306"/>
        <v>1</v>
      </c>
      <c r="C5512" t="str">
        <f t="shared" si="307"/>
        <v>111</v>
      </c>
      <c r="D5512" t="str">
        <f>"15"</f>
        <v>15</v>
      </c>
      <c r="E5512" t="str">
        <f>"1-111-15"</f>
        <v>1-111-15</v>
      </c>
      <c r="F5512" t="s">
        <v>65</v>
      </c>
      <c r="G5512" t="s">
        <v>66</v>
      </c>
      <c r="H5512" t="s">
        <v>67</v>
      </c>
      <c r="S5512">
        <v>0</v>
      </c>
      <c r="T5512">
        <v>1</v>
      </c>
      <c r="U5512">
        <v>0</v>
      </c>
      <c r="V5512">
        <v>0</v>
      </c>
      <c r="W5512">
        <v>1</v>
      </c>
      <c r="X5512">
        <v>0</v>
      </c>
      <c r="Y5512">
        <v>1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1</v>
      </c>
      <c r="AF5512">
        <v>1</v>
      </c>
      <c r="AG5512">
        <v>1</v>
      </c>
      <c r="AH5512">
        <v>1</v>
      </c>
      <c r="AI5512">
        <v>1</v>
      </c>
      <c r="AJ5512">
        <v>1</v>
      </c>
      <c r="AK5512">
        <v>1</v>
      </c>
      <c r="AL5512">
        <v>1</v>
      </c>
      <c r="AM5512">
        <v>1</v>
      </c>
    </row>
    <row r="5513" spans="1:39" x14ac:dyDescent="0.2">
      <c r="A5513" t="str">
        <f>"5509"</f>
        <v>5509</v>
      </c>
      <c r="B5513" t="str">
        <f t="shared" si="306"/>
        <v>1</v>
      </c>
      <c r="C5513" t="str">
        <f t="shared" si="307"/>
        <v>111</v>
      </c>
      <c r="D5513" t="str">
        <f>"3"</f>
        <v>3</v>
      </c>
      <c r="E5513" t="str">
        <f>"1-111-3"</f>
        <v>1-111-3</v>
      </c>
      <c r="F5513" t="s">
        <v>65</v>
      </c>
      <c r="G5513" t="s">
        <v>66</v>
      </c>
      <c r="H5513" t="s">
        <v>67</v>
      </c>
      <c r="S5513">
        <v>0</v>
      </c>
      <c r="T5513">
        <v>1</v>
      </c>
      <c r="U5513">
        <v>0</v>
      </c>
      <c r="V5513">
        <v>0</v>
      </c>
      <c r="W5513">
        <v>1</v>
      </c>
      <c r="X5513">
        <v>0</v>
      </c>
      <c r="Y5513">
        <v>1</v>
      </c>
      <c r="Z5513">
        <v>0</v>
      </c>
      <c r="AA5513">
        <v>1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</row>
    <row r="5514" spans="1:39" x14ac:dyDescent="0.2">
      <c r="A5514" t="str">
        <f>"5510"</f>
        <v>5510</v>
      </c>
      <c r="B5514" t="str">
        <f t="shared" si="306"/>
        <v>1</v>
      </c>
      <c r="C5514" t="str">
        <f t="shared" si="307"/>
        <v>111</v>
      </c>
      <c r="D5514" t="str">
        <f>"38"</f>
        <v>38</v>
      </c>
      <c r="E5514" t="str">
        <f>"1-111-38"</f>
        <v>1-111-38</v>
      </c>
      <c r="F5514" t="s">
        <v>65</v>
      </c>
      <c r="G5514" t="s">
        <v>66</v>
      </c>
      <c r="H5514" t="s">
        <v>67</v>
      </c>
      <c r="S5514">
        <v>1</v>
      </c>
      <c r="T5514">
        <v>0</v>
      </c>
      <c r="U5514">
        <v>0</v>
      </c>
      <c r="V5514">
        <v>0</v>
      </c>
      <c r="W5514">
        <v>0</v>
      </c>
      <c r="X5514">
        <v>1</v>
      </c>
      <c r="Y5514">
        <v>1</v>
      </c>
      <c r="Z5514">
        <v>0</v>
      </c>
      <c r="AA5514">
        <v>0</v>
      </c>
      <c r="AB5514">
        <v>0</v>
      </c>
      <c r="AC5514">
        <v>1</v>
      </c>
      <c r="AD5514">
        <v>1</v>
      </c>
      <c r="AE5514">
        <v>1</v>
      </c>
      <c r="AF5514">
        <v>1</v>
      </c>
      <c r="AG5514">
        <v>1</v>
      </c>
      <c r="AH5514">
        <v>1</v>
      </c>
      <c r="AI5514">
        <v>1</v>
      </c>
      <c r="AJ5514">
        <v>1</v>
      </c>
      <c r="AK5514">
        <v>1</v>
      </c>
      <c r="AL5514">
        <v>1</v>
      </c>
      <c r="AM5514">
        <v>1</v>
      </c>
    </row>
    <row r="5515" spans="1:39" x14ac:dyDescent="0.2">
      <c r="A5515" t="str">
        <f>"5511"</f>
        <v>5511</v>
      </c>
      <c r="B5515" t="str">
        <f t="shared" si="306"/>
        <v>1</v>
      </c>
      <c r="C5515" t="str">
        <f t="shared" si="307"/>
        <v>111</v>
      </c>
      <c r="D5515" t="str">
        <f>"37"</f>
        <v>37</v>
      </c>
      <c r="E5515" t="str">
        <f>"1-111-37"</f>
        <v>1-111-37</v>
      </c>
      <c r="F5515" t="s">
        <v>65</v>
      </c>
      <c r="G5515" t="s">
        <v>66</v>
      </c>
      <c r="H5515" t="s">
        <v>67</v>
      </c>
      <c r="S5515">
        <v>0</v>
      </c>
      <c r="T5515">
        <v>1</v>
      </c>
      <c r="U5515">
        <v>0</v>
      </c>
      <c r="V5515">
        <v>0</v>
      </c>
      <c r="W5515">
        <v>0</v>
      </c>
      <c r="X5515">
        <v>1</v>
      </c>
      <c r="Y5515">
        <v>1</v>
      </c>
      <c r="Z5515">
        <v>0</v>
      </c>
      <c r="AA5515">
        <v>0</v>
      </c>
      <c r="AB5515">
        <v>0</v>
      </c>
      <c r="AC5515">
        <v>1</v>
      </c>
      <c r="AD5515">
        <v>1</v>
      </c>
      <c r="AE5515">
        <v>1</v>
      </c>
      <c r="AF5515">
        <v>1</v>
      </c>
      <c r="AG5515">
        <v>1</v>
      </c>
      <c r="AH5515">
        <v>1</v>
      </c>
      <c r="AI5515">
        <v>1</v>
      </c>
      <c r="AJ5515">
        <v>1</v>
      </c>
      <c r="AK5515">
        <v>1</v>
      </c>
      <c r="AL5515">
        <v>1</v>
      </c>
      <c r="AM5515">
        <v>0</v>
      </c>
    </row>
    <row r="5516" spans="1:39" x14ac:dyDescent="0.2">
      <c r="A5516" t="str">
        <f>"5512"</f>
        <v>5512</v>
      </c>
      <c r="B5516" t="str">
        <f t="shared" si="306"/>
        <v>1</v>
      </c>
      <c r="C5516" t="str">
        <f t="shared" si="307"/>
        <v>111</v>
      </c>
      <c r="D5516" t="str">
        <f>"28"</f>
        <v>28</v>
      </c>
      <c r="E5516" t="str">
        <f>"1-111-28"</f>
        <v>1-111-28</v>
      </c>
      <c r="F5516" t="s">
        <v>65</v>
      </c>
      <c r="G5516" t="s">
        <v>66</v>
      </c>
      <c r="H5516" t="s">
        <v>67</v>
      </c>
      <c r="S5516">
        <v>1</v>
      </c>
      <c r="T5516">
        <v>0</v>
      </c>
      <c r="U5516">
        <v>0</v>
      </c>
      <c r="V5516">
        <v>0</v>
      </c>
      <c r="W5516">
        <v>1</v>
      </c>
      <c r="X5516">
        <v>0</v>
      </c>
      <c r="Y5516">
        <v>1</v>
      </c>
      <c r="Z5516">
        <v>0</v>
      </c>
      <c r="AA5516">
        <v>0</v>
      </c>
      <c r="AB5516">
        <v>0</v>
      </c>
      <c r="AC5516">
        <v>1</v>
      </c>
      <c r="AD5516">
        <v>1</v>
      </c>
      <c r="AE5516">
        <v>1</v>
      </c>
      <c r="AF5516">
        <v>1</v>
      </c>
      <c r="AG5516">
        <v>1</v>
      </c>
      <c r="AH5516">
        <v>0</v>
      </c>
      <c r="AI5516">
        <v>1</v>
      </c>
      <c r="AJ5516">
        <v>1</v>
      </c>
      <c r="AK5516">
        <v>1</v>
      </c>
      <c r="AL5516">
        <v>1</v>
      </c>
      <c r="AM5516">
        <v>1</v>
      </c>
    </row>
    <row r="5517" spans="1:39" x14ac:dyDescent="0.2">
      <c r="A5517" t="str">
        <f>"5513"</f>
        <v>5513</v>
      </c>
      <c r="B5517" t="str">
        <f t="shared" si="306"/>
        <v>1</v>
      </c>
      <c r="C5517" t="str">
        <f t="shared" si="307"/>
        <v>111</v>
      </c>
      <c r="D5517" t="str">
        <f>"16"</f>
        <v>16</v>
      </c>
      <c r="E5517" t="str">
        <f>"1-111-16"</f>
        <v>1-111-16</v>
      </c>
      <c r="F5517" t="s">
        <v>65</v>
      </c>
      <c r="G5517" t="s">
        <v>66</v>
      </c>
      <c r="H5517" t="s">
        <v>67</v>
      </c>
      <c r="S5517">
        <v>0</v>
      </c>
      <c r="T5517">
        <v>0</v>
      </c>
      <c r="U5517">
        <v>0</v>
      </c>
      <c r="V5517">
        <v>0</v>
      </c>
      <c r="W5517">
        <v>1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1</v>
      </c>
      <c r="AE5517">
        <v>1</v>
      </c>
      <c r="AF5517">
        <v>0</v>
      </c>
      <c r="AG5517">
        <v>1</v>
      </c>
      <c r="AH5517">
        <v>1</v>
      </c>
      <c r="AI5517">
        <v>1</v>
      </c>
      <c r="AJ5517">
        <v>1</v>
      </c>
      <c r="AK5517">
        <v>1</v>
      </c>
      <c r="AL5517">
        <v>1</v>
      </c>
      <c r="AM5517">
        <v>1</v>
      </c>
    </row>
    <row r="5518" spans="1:39" x14ac:dyDescent="0.2">
      <c r="A5518" t="str">
        <f>"5514"</f>
        <v>5514</v>
      </c>
      <c r="B5518" t="str">
        <f t="shared" si="306"/>
        <v>1</v>
      </c>
      <c r="C5518" t="str">
        <f t="shared" si="307"/>
        <v>111</v>
      </c>
      <c r="D5518" t="str">
        <f>"1"</f>
        <v>1</v>
      </c>
      <c r="E5518" t="str">
        <f>"1-111-1"</f>
        <v>1-111-1</v>
      </c>
      <c r="F5518" t="s">
        <v>65</v>
      </c>
      <c r="G5518" t="s">
        <v>66</v>
      </c>
      <c r="H5518" t="s">
        <v>67</v>
      </c>
      <c r="S5518">
        <v>0</v>
      </c>
      <c r="T5518">
        <v>1</v>
      </c>
      <c r="U5518">
        <v>0</v>
      </c>
      <c r="V5518">
        <v>0</v>
      </c>
      <c r="W5518">
        <v>0</v>
      </c>
      <c r="X5518">
        <v>1</v>
      </c>
      <c r="Y5518">
        <v>1</v>
      </c>
      <c r="Z5518">
        <v>0</v>
      </c>
      <c r="AA5518">
        <v>0</v>
      </c>
      <c r="AB5518">
        <v>1</v>
      </c>
      <c r="AC5518">
        <v>0</v>
      </c>
      <c r="AD5518">
        <v>1</v>
      </c>
      <c r="AE5518">
        <v>1</v>
      </c>
      <c r="AF5518">
        <v>1</v>
      </c>
      <c r="AG5518">
        <v>1</v>
      </c>
      <c r="AH5518">
        <v>1</v>
      </c>
      <c r="AI5518">
        <v>1</v>
      </c>
      <c r="AJ5518">
        <v>1</v>
      </c>
      <c r="AK5518">
        <v>1</v>
      </c>
      <c r="AL5518">
        <v>1</v>
      </c>
      <c r="AM5518">
        <v>1</v>
      </c>
    </row>
    <row r="5519" spans="1:39" x14ac:dyDescent="0.2">
      <c r="A5519" t="str">
        <f>"5515"</f>
        <v>5515</v>
      </c>
      <c r="B5519" t="str">
        <f t="shared" si="306"/>
        <v>1</v>
      </c>
      <c r="C5519" t="str">
        <f t="shared" si="307"/>
        <v>111</v>
      </c>
      <c r="D5519" t="str">
        <f>"35"</f>
        <v>35</v>
      </c>
      <c r="E5519" t="str">
        <f>"1-111-35"</f>
        <v>1-111-35</v>
      </c>
      <c r="F5519" t="s">
        <v>65</v>
      </c>
      <c r="G5519" t="s">
        <v>66</v>
      </c>
      <c r="H5519" t="s">
        <v>67</v>
      </c>
      <c r="S5519">
        <v>1</v>
      </c>
      <c r="T5519">
        <v>0</v>
      </c>
      <c r="U5519">
        <v>0</v>
      </c>
      <c r="V5519">
        <v>0</v>
      </c>
      <c r="W5519">
        <v>1</v>
      </c>
      <c r="X5519">
        <v>0</v>
      </c>
      <c r="Y5519">
        <v>1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1</v>
      </c>
      <c r="AF5519">
        <v>1</v>
      </c>
      <c r="AG5519">
        <v>1</v>
      </c>
      <c r="AH5519">
        <v>1</v>
      </c>
      <c r="AI5519">
        <v>1</v>
      </c>
      <c r="AJ5519">
        <v>1</v>
      </c>
      <c r="AK5519">
        <v>1</v>
      </c>
      <c r="AL5519">
        <v>1</v>
      </c>
      <c r="AM5519">
        <v>1</v>
      </c>
    </row>
    <row r="5520" spans="1:39" x14ac:dyDescent="0.2">
      <c r="A5520" t="str">
        <f>"5516"</f>
        <v>5516</v>
      </c>
      <c r="B5520" t="str">
        <f t="shared" si="306"/>
        <v>1</v>
      </c>
      <c r="C5520" t="str">
        <f t="shared" si="307"/>
        <v>111</v>
      </c>
      <c r="D5520" t="str">
        <f>"20"</f>
        <v>20</v>
      </c>
      <c r="E5520" t="str">
        <f>"1-111-20"</f>
        <v>1-111-20</v>
      </c>
      <c r="F5520" t="s">
        <v>65</v>
      </c>
      <c r="G5520" t="s">
        <v>66</v>
      </c>
      <c r="H5520" t="s">
        <v>67</v>
      </c>
      <c r="S5520">
        <v>1</v>
      </c>
      <c r="T5520">
        <v>0</v>
      </c>
      <c r="U5520">
        <v>0</v>
      </c>
      <c r="V5520">
        <v>0</v>
      </c>
      <c r="W5520">
        <v>1</v>
      </c>
      <c r="X5520">
        <v>0</v>
      </c>
      <c r="Y5520">
        <v>0</v>
      </c>
      <c r="Z5520">
        <v>1</v>
      </c>
      <c r="AA5520">
        <v>0</v>
      </c>
      <c r="AB5520">
        <v>1</v>
      </c>
      <c r="AC5520">
        <v>0</v>
      </c>
      <c r="AD5520">
        <v>0</v>
      </c>
      <c r="AE5520">
        <v>1</v>
      </c>
      <c r="AF5520">
        <v>0</v>
      </c>
      <c r="AG5520">
        <v>1</v>
      </c>
      <c r="AH5520">
        <v>1</v>
      </c>
      <c r="AI5520">
        <v>1</v>
      </c>
      <c r="AJ5520">
        <v>1</v>
      </c>
      <c r="AK5520">
        <v>1</v>
      </c>
      <c r="AL5520">
        <v>1</v>
      </c>
      <c r="AM5520">
        <v>1</v>
      </c>
    </row>
    <row r="5521" spans="1:39" x14ac:dyDescent="0.2">
      <c r="A5521" t="str">
        <f>"5517"</f>
        <v>5517</v>
      </c>
      <c r="B5521" t="str">
        <f t="shared" si="306"/>
        <v>1</v>
      </c>
      <c r="C5521" t="str">
        <f t="shared" si="307"/>
        <v>111</v>
      </c>
      <c r="D5521" t="str">
        <f>"7"</f>
        <v>7</v>
      </c>
      <c r="E5521" t="str">
        <f>"1-111-7"</f>
        <v>1-111-7</v>
      </c>
      <c r="F5521" t="s">
        <v>65</v>
      </c>
      <c r="G5521" t="s">
        <v>66</v>
      </c>
      <c r="H5521" t="s">
        <v>67</v>
      </c>
      <c r="S5521">
        <v>1</v>
      </c>
      <c r="T5521">
        <v>0</v>
      </c>
      <c r="U5521">
        <v>0</v>
      </c>
      <c r="V5521">
        <v>0</v>
      </c>
      <c r="W5521">
        <v>1</v>
      </c>
      <c r="X5521">
        <v>0</v>
      </c>
      <c r="Y5521">
        <v>0</v>
      </c>
      <c r="Z5521">
        <v>1</v>
      </c>
      <c r="AA5521">
        <v>1</v>
      </c>
      <c r="AB5521">
        <v>0</v>
      </c>
      <c r="AC5521">
        <v>0</v>
      </c>
      <c r="AD5521">
        <v>1</v>
      </c>
      <c r="AE5521">
        <v>1</v>
      </c>
      <c r="AF5521">
        <v>1</v>
      </c>
      <c r="AG5521">
        <v>1</v>
      </c>
      <c r="AH5521">
        <v>1</v>
      </c>
      <c r="AI5521">
        <v>1</v>
      </c>
      <c r="AJ5521">
        <v>1</v>
      </c>
      <c r="AK5521">
        <v>1</v>
      </c>
      <c r="AL5521">
        <v>1</v>
      </c>
      <c r="AM5521">
        <v>1</v>
      </c>
    </row>
    <row r="5522" spans="1:39" x14ac:dyDescent="0.2">
      <c r="A5522" t="str">
        <f>"5518"</f>
        <v>5518</v>
      </c>
      <c r="B5522" t="str">
        <f t="shared" si="306"/>
        <v>1</v>
      </c>
      <c r="C5522" t="str">
        <f t="shared" si="307"/>
        <v>111</v>
      </c>
      <c r="D5522" t="str">
        <f>"36"</f>
        <v>36</v>
      </c>
      <c r="E5522" t="str">
        <f>"1-111-36"</f>
        <v>1-111-36</v>
      </c>
      <c r="F5522" t="s">
        <v>65</v>
      </c>
      <c r="G5522" t="s">
        <v>66</v>
      </c>
      <c r="H5522" t="s">
        <v>67</v>
      </c>
      <c r="S5522">
        <v>1</v>
      </c>
      <c r="T5522">
        <v>0</v>
      </c>
      <c r="U5522">
        <v>0</v>
      </c>
      <c r="V5522">
        <v>0</v>
      </c>
      <c r="W5522">
        <v>1</v>
      </c>
      <c r="X5522">
        <v>0</v>
      </c>
      <c r="Y5522">
        <v>1</v>
      </c>
      <c r="Z5522">
        <v>0</v>
      </c>
      <c r="AA5522">
        <v>0</v>
      </c>
      <c r="AB5522">
        <v>1</v>
      </c>
      <c r="AC5522">
        <v>0</v>
      </c>
      <c r="AD5522">
        <v>0</v>
      </c>
      <c r="AE5522">
        <v>0</v>
      </c>
      <c r="AF5522">
        <v>0</v>
      </c>
      <c r="AG5522">
        <v>1</v>
      </c>
      <c r="AH5522">
        <v>1</v>
      </c>
      <c r="AI5522">
        <v>0</v>
      </c>
      <c r="AJ5522">
        <v>0</v>
      </c>
      <c r="AK5522">
        <v>0</v>
      </c>
      <c r="AL5522">
        <v>1</v>
      </c>
      <c r="AM5522">
        <v>0</v>
      </c>
    </row>
    <row r="5523" spans="1:39" x14ac:dyDescent="0.2">
      <c r="A5523" t="str">
        <f>"5519"</f>
        <v>5519</v>
      </c>
      <c r="B5523" t="str">
        <f t="shared" si="306"/>
        <v>1</v>
      </c>
      <c r="C5523" t="str">
        <f t="shared" si="307"/>
        <v>111</v>
      </c>
      <c r="D5523" t="str">
        <f>"21"</f>
        <v>21</v>
      </c>
      <c r="E5523" t="str">
        <f>"1-111-21"</f>
        <v>1-111-21</v>
      </c>
      <c r="F5523" t="s">
        <v>65</v>
      </c>
      <c r="G5523" t="s">
        <v>66</v>
      </c>
      <c r="H5523" t="s">
        <v>67</v>
      </c>
      <c r="S5523">
        <v>1</v>
      </c>
      <c r="T5523">
        <v>0</v>
      </c>
      <c r="U5523">
        <v>0</v>
      </c>
      <c r="V5523">
        <v>0</v>
      </c>
      <c r="W5523">
        <v>1</v>
      </c>
      <c r="X5523">
        <v>0</v>
      </c>
      <c r="Y5523">
        <v>1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1</v>
      </c>
      <c r="AF5523">
        <v>1</v>
      </c>
      <c r="AG5523">
        <v>1</v>
      </c>
      <c r="AH5523">
        <v>1</v>
      </c>
      <c r="AI5523">
        <v>1</v>
      </c>
      <c r="AJ5523">
        <v>1</v>
      </c>
      <c r="AK5523">
        <v>1</v>
      </c>
      <c r="AL5523">
        <v>1</v>
      </c>
      <c r="AM5523">
        <v>1</v>
      </c>
    </row>
    <row r="5524" spans="1:39" x14ac:dyDescent="0.2">
      <c r="A5524" t="str">
        <f>"5520"</f>
        <v>5520</v>
      </c>
      <c r="B5524" t="str">
        <f t="shared" si="306"/>
        <v>1</v>
      </c>
      <c r="C5524" t="str">
        <f t="shared" si="307"/>
        <v>111</v>
      </c>
      <c r="D5524" t="str">
        <f>"2"</f>
        <v>2</v>
      </c>
      <c r="E5524" t="str">
        <f>"1-111-2"</f>
        <v>1-111-2</v>
      </c>
      <c r="F5524" t="s">
        <v>65</v>
      </c>
      <c r="G5524" t="s">
        <v>66</v>
      </c>
      <c r="H5524" t="s">
        <v>67</v>
      </c>
      <c r="S5524">
        <v>0</v>
      </c>
      <c r="T5524">
        <v>1</v>
      </c>
      <c r="U5524">
        <v>0</v>
      </c>
      <c r="V5524">
        <v>0</v>
      </c>
      <c r="W5524">
        <v>1</v>
      </c>
      <c r="X5524">
        <v>0</v>
      </c>
      <c r="Y5524">
        <v>1</v>
      </c>
      <c r="Z5524">
        <v>0</v>
      </c>
      <c r="AA5524">
        <v>1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</row>
    <row r="5525" spans="1:39" x14ac:dyDescent="0.2">
      <c r="A5525" t="str">
        <f>"5521"</f>
        <v>5521</v>
      </c>
      <c r="B5525" t="str">
        <f t="shared" si="306"/>
        <v>1</v>
      </c>
      <c r="C5525" t="str">
        <f t="shared" si="307"/>
        <v>111</v>
      </c>
      <c r="D5525" t="str">
        <f>"41"</f>
        <v>41</v>
      </c>
      <c r="E5525" t="str">
        <f>"1-111-41"</f>
        <v>1-111-41</v>
      </c>
      <c r="F5525" t="s">
        <v>65</v>
      </c>
      <c r="G5525" t="s">
        <v>66</v>
      </c>
      <c r="H5525" t="s">
        <v>67</v>
      </c>
      <c r="S5525">
        <v>0</v>
      </c>
      <c r="T5525">
        <v>1</v>
      </c>
      <c r="U5525">
        <v>0</v>
      </c>
      <c r="V5525">
        <v>0</v>
      </c>
      <c r="W5525">
        <v>1</v>
      </c>
      <c r="X5525">
        <v>0</v>
      </c>
      <c r="Y5525">
        <v>1</v>
      </c>
      <c r="Z5525">
        <v>0</v>
      </c>
      <c r="AA5525">
        <v>0</v>
      </c>
      <c r="AB5525">
        <v>0</v>
      </c>
      <c r="AC5525">
        <v>1</v>
      </c>
      <c r="AD5525">
        <v>0</v>
      </c>
      <c r="AE5525">
        <v>0</v>
      </c>
      <c r="AF5525">
        <v>0</v>
      </c>
      <c r="AG5525">
        <v>1</v>
      </c>
      <c r="AH5525">
        <v>1</v>
      </c>
      <c r="AI5525">
        <v>1</v>
      </c>
      <c r="AJ5525">
        <v>1</v>
      </c>
      <c r="AK5525">
        <v>1</v>
      </c>
      <c r="AL5525">
        <v>1</v>
      </c>
      <c r="AM5525">
        <v>1</v>
      </c>
    </row>
    <row r="5526" spans="1:39" x14ac:dyDescent="0.2">
      <c r="A5526" t="str">
        <f>"5522"</f>
        <v>5522</v>
      </c>
      <c r="B5526" t="str">
        <f t="shared" si="306"/>
        <v>1</v>
      </c>
      <c r="C5526" t="str">
        <f t="shared" si="307"/>
        <v>111</v>
      </c>
      <c r="D5526" t="str">
        <f>"22"</f>
        <v>22</v>
      </c>
      <c r="E5526" t="str">
        <f>"1-111-22"</f>
        <v>1-111-22</v>
      </c>
      <c r="F5526" t="s">
        <v>65</v>
      </c>
      <c r="G5526" t="s">
        <v>66</v>
      </c>
      <c r="H5526" t="s">
        <v>67</v>
      </c>
      <c r="S5526">
        <v>1</v>
      </c>
      <c r="T5526">
        <v>0</v>
      </c>
      <c r="U5526">
        <v>0</v>
      </c>
      <c r="V5526">
        <v>0</v>
      </c>
      <c r="W5526">
        <v>1</v>
      </c>
      <c r="X5526">
        <v>0</v>
      </c>
      <c r="Y5526">
        <v>1</v>
      </c>
      <c r="Z5526">
        <v>0</v>
      </c>
      <c r="AA5526">
        <v>0</v>
      </c>
      <c r="AB5526">
        <v>0</v>
      </c>
      <c r="AC5526">
        <v>1</v>
      </c>
      <c r="AD5526">
        <v>1</v>
      </c>
      <c r="AE5526">
        <v>1</v>
      </c>
      <c r="AF5526">
        <v>1</v>
      </c>
      <c r="AG5526">
        <v>1</v>
      </c>
      <c r="AH5526">
        <v>1</v>
      </c>
      <c r="AI5526">
        <v>1</v>
      </c>
      <c r="AJ5526">
        <v>1</v>
      </c>
      <c r="AK5526">
        <v>1</v>
      </c>
      <c r="AL5526">
        <v>1</v>
      </c>
      <c r="AM5526">
        <v>1</v>
      </c>
    </row>
    <row r="5527" spans="1:39" x14ac:dyDescent="0.2">
      <c r="A5527" t="str">
        <f>"5523"</f>
        <v>5523</v>
      </c>
      <c r="B5527" t="str">
        <f t="shared" si="306"/>
        <v>1</v>
      </c>
      <c r="C5527" t="str">
        <f t="shared" si="307"/>
        <v>111</v>
      </c>
      <c r="D5527" t="str">
        <f>"11"</f>
        <v>11</v>
      </c>
      <c r="E5527" t="str">
        <f>"1-111-11"</f>
        <v>1-111-11</v>
      </c>
      <c r="F5527" t="s">
        <v>65</v>
      </c>
      <c r="G5527" t="s">
        <v>66</v>
      </c>
      <c r="H5527" t="s">
        <v>67</v>
      </c>
      <c r="S5527">
        <v>1</v>
      </c>
      <c r="T5527">
        <v>0</v>
      </c>
      <c r="U5527">
        <v>0</v>
      </c>
      <c r="V5527">
        <v>0</v>
      </c>
      <c r="W5527">
        <v>1</v>
      </c>
      <c r="X5527">
        <v>0</v>
      </c>
      <c r="Y5527">
        <v>1</v>
      </c>
      <c r="Z5527">
        <v>0</v>
      </c>
      <c r="AA5527">
        <v>0</v>
      </c>
      <c r="AB5527">
        <v>1</v>
      </c>
      <c r="AC5527">
        <v>0</v>
      </c>
      <c r="AD5527">
        <v>1</v>
      </c>
      <c r="AE5527">
        <v>1</v>
      </c>
      <c r="AF5527">
        <v>1</v>
      </c>
      <c r="AG5527">
        <v>1</v>
      </c>
      <c r="AH5527">
        <v>1</v>
      </c>
      <c r="AI5527">
        <v>1</v>
      </c>
      <c r="AJ5527">
        <v>1</v>
      </c>
      <c r="AK5527">
        <v>1</v>
      </c>
      <c r="AL5527">
        <v>1</v>
      </c>
      <c r="AM5527">
        <v>1</v>
      </c>
    </row>
    <row r="5528" spans="1:39" x14ac:dyDescent="0.2">
      <c r="A5528" t="str">
        <f>"5524"</f>
        <v>5524</v>
      </c>
      <c r="B5528" t="str">
        <f t="shared" si="306"/>
        <v>1</v>
      </c>
      <c r="C5528" t="str">
        <f t="shared" si="307"/>
        <v>111</v>
      </c>
      <c r="D5528" t="str">
        <f>"47"</f>
        <v>47</v>
      </c>
      <c r="E5528" t="str">
        <f>"1-111-47"</f>
        <v>1-111-47</v>
      </c>
      <c r="F5528" t="s">
        <v>65</v>
      </c>
      <c r="G5528" t="s">
        <v>66</v>
      </c>
      <c r="H5528" t="s">
        <v>67</v>
      </c>
      <c r="S5528">
        <v>1</v>
      </c>
      <c r="T5528">
        <v>0</v>
      </c>
      <c r="U5528">
        <v>0</v>
      </c>
      <c r="V5528">
        <v>0</v>
      </c>
      <c r="W5528">
        <v>1</v>
      </c>
      <c r="X5528">
        <v>0</v>
      </c>
      <c r="Y5528">
        <v>1</v>
      </c>
      <c r="Z5528">
        <v>0</v>
      </c>
      <c r="AA5528">
        <v>1</v>
      </c>
      <c r="AB5528">
        <v>0</v>
      </c>
      <c r="AC5528">
        <v>0</v>
      </c>
      <c r="AD5528">
        <v>0</v>
      </c>
      <c r="AE5528">
        <v>1</v>
      </c>
      <c r="AF5528">
        <v>0</v>
      </c>
      <c r="AG5528">
        <v>0</v>
      </c>
      <c r="AH5528">
        <v>0</v>
      </c>
      <c r="AI5528">
        <v>1</v>
      </c>
      <c r="AJ5528">
        <v>0</v>
      </c>
      <c r="AK5528">
        <v>0</v>
      </c>
      <c r="AL5528">
        <v>0</v>
      </c>
      <c r="AM5528">
        <v>0</v>
      </c>
    </row>
    <row r="5529" spans="1:39" x14ac:dyDescent="0.2">
      <c r="A5529" t="str">
        <f>"5525"</f>
        <v>5525</v>
      </c>
      <c r="B5529" t="str">
        <f t="shared" si="306"/>
        <v>1</v>
      </c>
      <c r="C5529" t="str">
        <f t="shared" si="307"/>
        <v>111</v>
      </c>
      <c r="D5529" t="str">
        <f>"23"</f>
        <v>23</v>
      </c>
      <c r="E5529" t="str">
        <f>"1-111-23"</f>
        <v>1-111-23</v>
      </c>
      <c r="F5529" t="s">
        <v>65</v>
      </c>
      <c r="G5529" t="s">
        <v>66</v>
      </c>
      <c r="H5529" t="s">
        <v>67</v>
      </c>
      <c r="S5529">
        <v>1</v>
      </c>
      <c r="T5529">
        <v>0</v>
      </c>
      <c r="U5529">
        <v>0</v>
      </c>
      <c r="V5529">
        <v>0</v>
      </c>
      <c r="W5529">
        <v>0</v>
      </c>
      <c r="X5529">
        <v>1</v>
      </c>
      <c r="Y5529">
        <v>1</v>
      </c>
      <c r="Z5529">
        <v>0</v>
      </c>
      <c r="AA5529">
        <v>0</v>
      </c>
      <c r="AB5529">
        <v>0</v>
      </c>
      <c r="AC5529">
        <v>1</v>
      </c>
      <c r="AD5529">
        <v>1</v>
      </c>
      <c r="AE5529">
        <v>1</v>
      </c>
      <c r="AF5529">
        <v>1</v>
      </c>
      <c r="AG5529">
        <v>1</v>
      </c>
      <c r="AH5529">
        <v>1</v>
      </c>
      <c r="AI5529">
        <v>1</v>
      </c>
      <c r="AJ5529">
        <v>1</v>
      </c>
      <c r="AK5529">
        <v>1</v>
      </c>
      <c r="AL5529">
        <v>1</v>
      </c>
      <c r="AM5529">
        <v>1</v>
      </c>
    </row>
    <row r="5530" spans="1:39" x14ac:dyDescent="0.2">
      <c r="A5530" t="str">
        <f>"5526"</f>
        <v>5526</v>
      </c>
      <c r="B5530" t="str">
        <f t="shared" si="306"/>
        <v>1</v>
      </c>
      <c r="C5530" t="str">
        <f t="shared" si="307"/>
        <v>111</v>
      </c>
      <c r="D5530" t="str">
        <f>"13"</f>
        <v>13</v>
      </c>
      <c r="E5530" t="str">
        <f>"1-111-13"</f>
        <v>1-111-13</v>
      </c>
      <c r="F5530" t="s">
        <v>65</v>
      </c>
      <c r="G5530" t="s">
        <v>66</v>
      </c>
      <c r="H5530" t="s">
        <v>67</v>
      </c>
      <c r="S5530">
        <v>1</v>
      </c>
      <c r="T5530">
        <v>0</v>
      </c>
      <c r="U5530">
        <v>0</v>
      </c>
      <c r="V5530">
        <v>0</v>
      </c>
      <c r="W5530">
        <v>1</v>
      </c>
      <c r="X5530">
        <v>0</v>
      </c>
      <c r="Y5530">
        <v>1</v>
      </c>
      <c r="Z5530">
        <v>0</v>
      </c>
      <c r="AA5530">
        <v>0</v>
      </c>
      <c r="AB5530">
        <v>0</v>
      </c>
      <c r="AC5530">
        <v>1</v>
      </c>
      <c r="AD5530">
        <v>1</v>
      </c>
      <c r="AE5530">
        <v>1</v>
      </c>
      <c r="AF5530">
        <v>1</v>
      </c>
      <c r="AG5530">
        <v>1</v>
      </c>
      <c r="AH5530">
        <v>1</v>
      </c>
      <c r="AI5530">
        <v>1</v>
      </c>
      <c r="AJ5530">
        <v>1</v>
      </c>
      <c r="AK5530">
        <v>1</v>
      </c>
      <c r="AL5530">
        <v>1</v>
      </c>
      <c r="AM5530">
        <v>1</v>
      </c>
    </row>
    <row r="5531" spans="1:39" x14ac:dyDescent="0.2">
      <c r="A5531" t="str">
        <f>"5527"</f>
        <v>5527</v>
      </c>
      <c r="B5531" t="str">
        <f t="shared" si="306"/>
        <v>1</v>
      </c>
      <c r="C5531" t="str">
        <f t="shared" si="307"/>
        <v>111</v>
      </c>
      <c r="D5531" t="str">
        <f>"42"</f>
        <v>42</v>
      </c>
      <c r="E5531" t="str">
        <f>"1-111-42"</f>
        <v>1-111-42</v>
      </c>
      <c r="F5531" t="s">
        <v>65</v>
      </c>
      <c r="G5531" t="s">
        <v>66</v>
      </c>
      <c r="H5531" t="s">
        <v>67</v>
      </c>
      <c r="S5531">
        <v>1</v>
      </c>
      <c r="T5531">
        <v>0</v>
      </c>
      <c r="U5531">
        <v>0</v>
      </c>
      <c r="V5531">
        <v>0</v>
      </c>
      <c r="W5531">
        <v>0</v>
      </c>
      <c r="X5531">
        <v>1</v>
      </c>
      <c r="Y5531">
        <v>1</v>
      </c>
      <c r="Z5531">
        <v>0</v>
      </c>
      <c r="AA5531">
        <v>0</v>
      </c>
      <c r="AB5531">
        <v>0</v>
      </c>
      <c r="AC5531">
        <v>1</v>
      </c>
      <c r="AD5531">
        <v>1</v>
      </c>
      <c r="AE5531">
        <v>1</v>
      </c>
      <c r="AF5531">
        <v>1</v>
      </c>
      <c r="AG5531">
        <v>1</v>
      </c>
      <c r="AH5531">
        <v>1</v>
      </c>
      <c r="AI5531">
        <v>1</v>
      </c>
      <c r="AJ5531">
        <v>1</v>
      </c>
      <c r="AK5531">
        <v>1</v>
      </c>
      <c r="AL5531">
        <v>1</v>
      </c>
      <c r="AM5531">
        <v>1</v>
      </c>
    </row>
    <row r="5532" spans="1:39" x14ac:dyDescent="0.2">
      <c r="A5532" t="str">
        <f>"5528"</f>
        <v>5528</v>
      </c>
      <c r="B5532" t="str">
        <f t="shared" si="306"/>
        <v>1</v>
      </c>
      <c r="C5532" t="str">
        <f t="shared" si="307"/>
        <v>111</v>
      </c>
      <c r="D5532" t="str">
        <f>"24"</f>
        <v>24</v>
      </c>
      <c r="E5532" t="str">
        <f>"1-111-24"</f>
        <v>1-111-24</v>
      </c>
      <c r="F5532" t="s">
        <v>65</v>
      </c>
      <c r="G5532" t="s">
        <v>66</v>
      </c>
      <c r="H5532" t="s">
        <v>67</v>
      </c>
      <c r="S5532">
        <v>1</v>
      </c>
      <c r="T5532">
        <v>0</v>
      </c>
      <c r="U5532">
        <v>0</v>
      </c>
      <c r="V5532">
        <v>0</v>
      </c>
      <c r="W5532">
        <v>1</v>
      </c>
      <c r="X5532">
        <v>0</v>
      </c>
      <c r="Y5532">
        <v>0</v>
      </c>
      <c r="Z5532">
        <v>0</v>
      </c>
      <c r="AA5532">
        <v>0</v>
      </c>
      <c r="AB5532">
        <v>1</v>
      </c>
      <c r="AC5532">
        <v>0</v>
      </c>
      <c r="AD5532">
        <v>1</v>
      </c>
      <c r="AE5532">
        <v>1</v>
      </c>
      <c r="AF5532">
        <v>1</v>
      </c>
      <c r="AG5532">
        <v>1</v>
      </c>
      <c r="AH5532">
        <v>1</v>
      </c>
      <c r="AI5532">
        <v>1</v>
      </c>
      <c r="AJ5532">
        <v>1</v>
      </c>
      <c r="AK5532">
        <v>1</v>
      </c>
      <c r="AL5532">
        <v>1</v>
      </c>
      <c r="AM5532">
        <v>1</v>
      </c>
    </row>
    <row r="5533" spans="1:39" x14ac:dyDescent="0.2">
      <c r="A5533" t="str">
        <f>"5529"</f>
        <v>5529</v>
      </c>
      <c r="B5533" t="str">
        <f t="shared" si="306"/>
        <v>1</v>
      </c>
      <c r="C5533" t="str">
        <f t="shared" si="307"/>
        <v>111</v>
      </c>
      <c r="D5533" t="str">
        <f>"10"</f>
        <v>10</v>
      </c>
      <c r="E5533" t="str">
        <f>"1-111-10"</f>
        <v>1-111-10</v>
      </c>
      <c r="F5533" t="s">
        <v>65</v>
      </c>
      <c r="G5533" t="s">
        <v>66</v>
      </c>
      <c r="H5533" t="s">
        <v>67</v>
      </c>
      <c r="S5533">
        <v>0</v>
      </c>
      <c r="T5533">
        <v>1</v>
      </c>
      <c r="U5533">
        <v>0</v>
      </c>
      <c r="V5533">
        <v>0</v>
      </c>
      <c r="W5533">
        <v>1</v>
      </c>
      <c r="X5533">
        <v>0</v>
      </c>
      <c r="Y5533">
        <v>0</v>
      </c>
      <c r="Z5533">
        <v>1</v>
      </c>
      <c r="AA5533">
        <v>1</v>
      </c>
      <c r="AB5533">
        <v>0</v>
      </c>
      <c r="AC5533">
        <v>0</v>
      </c>
      <c r="AD5533">
        <v>1</v>
      </c>
      <c r="AE5533">
        <v>1</v>
      </c>
      <c r="AF5533">
        <v>1</v>
      </c>
      <c r="AG5533">
        <v>1</v>
      </c>
      <c r="AH5533">
        <v>1</v>
      </c>
      <c r="AI5533">
        <v>1</v>
      </c>
      <c r="AJ5533">
        <v>1</v>
      </c>
      <c r="AK5533">
        <v>1</v>
      </c>
      <c r="AL5533">
        <v>1</v>
      </c>
      <c r="AM5533">
        <v>1</v>
      </c>
    </row>
    <row r="5534" spans="1:39" x14ac:dyDescent="0.2">
      <c r="A5534" t="str">
        <f>"5530"</f>
        <v>5530</v>
      </c>
      <c r="B5534" t="str">
        <f t="shared" si="306"/>
        <v>1</v>
      </c>
      <c r="C5534" t="str">
        <f t="shared" si="307"/>
        <v>111</v>
      </c>
      <c r="D5534" t="str">
        <f>"44"</f>
        <v>44</v>
      </c>
      <c r="E5534" t="str">
        <f>"1-111-44"</f>
        <v>1-111-44</v>
      </c>
      <c r="F5534" t="s">
        <v>65</v>
      </c>
      <c r="G5534" t="s">
        <v>66</v>
      </c>
      <c r="H5534" t="s">
        <v>67</v>
      </c>
      <c r="S5534">
        <v>1</v>
      </c>
      <c r="T5534">
        <v>0</v>
      </c>
      <c r="U5534">
        <v>0</v>
      </c>
      <c r="V5534">
        <v>0</v>
      </c>
      <c r="W5534">
        <v>1</v>
      </c>
      <c r="X5534">
        <v>0</v>
      </c>
      <c r="Y5534">
        <v>0</v>
      </c>
      <c r="Z5534">
        <v>1</v>
      </c>
      <c r="AA5534">
        <v>1</v>
      </c>
      <c r="AB5534">
        <v>0</v>
      </c>
      <c r="AC5534">
        <v>0</v>
      </c>
      <c r="AD5534">
        <v>1</v>
      </c>
      <c r="AE5534">
        <v>1</v>
      </c>
      <c r="AF5534">
        <v>1</v>
      </c>
      <c r="AG5534">
        <v>1</v>
      </c>
      <c r="AH5534">
        <v>1</v>
      </c>
      <c r="AI5534">
        <v>1</v>
      </c>
      <c r="AJ5534">
        <v>1</v>
      </c>
      <c r="AK5534">
        <v>1</v>
      </c>
      <c r="AL5534">
        <v>1</v>
      </c>
      <c r="AM5534">
        <v>1</v>
      </c>
    </row>
    <row r="5535" spans="1:39" x14ac:dyDescent="0.2">
      <c r="A5535" t="str">
        <f>"5531"</f>
        <v>5531</v>
      </c>
      <c r="B5535" t="str">
        <f t="shared" si="306"/>
        <v>1</v>
      </c>
      <c r="C5535" t="str">
        <f t="shared" si="307"/>
        <v>111</v>
      </c>
      <c r="D5535" t="str">
        <f>"25"</f>
        <v>25</v>
      </c>
      <c r="E5535" t="str">
        <f>"1-111-25"</f>
        <v>1-111-25</v>
      </c>
      <c r="F5535" t="s">
        <v>65</v>
      </c>
      <c r="G5535" t="s">
        <v>66</v>
      </c>
      <c r="H5535" t="s">
        <v>67</v>
      </c>
      <c r="S5535">
        <v>0</v>
      </c>
      <c r="T5535">
        <v>1</v>
      </c>
      <c r="U5535">
        <v>0</v>
      </c>
      <c r="V5535">
        <v>0</v>
      </c>
      <c r="W5535">
        <v>1</v>
      </c>
      <c r="X5535">
        <v>0</v>
      </c>
      <c r="Y5535">
        <v>1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1</v>
      </c>
      <c r="AF5535">
        <v>1</v>
      </c>
      <c r="AG5535">
        <v>1</v>
      </c>
      <c r="AH5535">
        <v>1</v>
      </c>
      <c r="AI5535">
        <v>1</v>
      </c>
      <c r="AJ5535">
        <v>1</v>
      </c>
      <c r="AK5535">
        <v>1</v>
      </c>
      <c r="AL5535">
        <v>1</v>
      </c>
      <c r="AM5535">
        <v>1</v>
      </c>
    </row>
    <row r="5536" spans="1:39" x14ac:dyDescent="0.2">
      <c r="A5536" t="str">
        <f>"5532"</f>
        <v>5532</v>
      </c>
      <c r="B5536" t="str">
        <f t="shared" si="306"/>
        <v>1</v>
      </c>
      <c r="C5536" t="str">
        <f t="shared" si="307"/>
        <v>111</v>
      </c>
      <c r="D5536" t="str">
        <f>"8"</f>
        <v>8</v>
      </c>
      <c r="E5536" t="str">
        <f>"1-111-8"</f>
        <v>1-111-8</v>
      </c>
      <c r="F5536" t="s">
        <v>65</v>
      </c>
      <c r="G5536" t="s">
        <v>66</v>
      </c>
      <c r="H5536" t="s">
        <v>67</v>
      </c>
      <c r="S5536">
        <v>1</v>
      </c>
      <c r="T5536">
        <v>0</v>
      </c>
      <c r="U5536">
        <v>0</v>
      </c>
      <c r="V5536">
        <v>0</v>
      </c>
      <c r="W5536">
        <v>0</v>
      </c>
      <c r="X5536">
        <v>1</v>
      </c>
      <c r="Y5536">
        <v>1</v>
      </c>
      <c r="Z5536">
        <v>0</v>
      </c>
      <c r="AA5536">
        <v>0</v>
      </c>
      <c r="AB5536">
        <v>1</v>
      </c>
      <c r="AC5536">
        <v>0</v>
      </c>
      <c r="AD5536">
        <v>1</v>
      </c>
      <c r="AE5536">
        <v>1</v>
      </c>
      <c r="AF5536">
        <v>1</v>
      </c>
      <c r="AG5536">
        <v>1</v>
      </c>
      <c r="AH5536">
        <v>1</v>
      </c>
      <c r="AI5536">
        <v>1</v>
      </c>
      <c r="AJ5536">
        <v>1</v>
      </c>
      <c r="AK5536">
        <v>1</v>
      </c>
      <c r="AL5536">
        <v>1</v>
      </c>
      <c r="AM5536">
        <v>1</v>
      </c>
    </row>
    <row r="5537" spans="1:39" x14ac:dyDescent="0.2">
      <c r="A5537" t="str">
        <f>"5533"</f>
        <v>5533</v>
      </c>
      <c r="B5537" t="str">
        <f t="shared" si="306"/>
        <v>1</v>
      </c>
      <c r="C5537" t="str">
        <f t="shared" ref="C5537:C5554" si="308">"111"</f>
        <v>111</v>
      </c>
      <c r="D5537" t="str">
        <f>"43"</f>
        <v>43</v>
      </c>
      <c r="E5537" t="str">
        <f>"1-111-43"</f>
        <v>1-111-43</v>
      </c>
      <c r="F5537" t="s">
        <v>65</v>
      </c>
      <c r="G5537" t="s">
        <v>66</v>
      </c>
      <c r="H5537" t="s">
        <v>67</v>
      </c>
      <c r="S5537">
        <v>0</v>
      </c>
      <c r="T5537">
        <v>1</v>
      </c>
      <c r="U5537">
        <v>0</v>
      </c>
      <c r="V5537">
        <v>0</v>
      </c>
      <c r="W5537">
        <v>1</v>
      </c>
      <c r="X5537">
        <v>0</v>
      </c>
      <c r="Y5537">
        <v>0</v>
      </c>
      <c r="Z5537">
        <v>1</v>
      </c>
      <c r="AA5537">
        <v>1</v>
      </c>
      <c r="AB5537">
        <v>0</v>
      </c>
      <c r="AC5537">
        <v>0</v>
      </c>
      <c r="AD5537">
        <v>1</v>
      </c>
      <c r="AE5537">
        <v>1</v>
      </c>
      <c r="AF5537">
        <v>1</v>
      </c>
      <c r="AG5537">
        <v>1</v>
      </c>
      <c r="AH5537">
        <v>1</v>
      </c>
      <c r="AI5537">
        <v>1</v>
      </c>
      <c r="AJ5537">
        <v>1</v>
      </c>
      <c r="AK5537">
        <v>1</v>
      </c>
      <c r="AL5537">
        <v>1</v>
      </c>
      <c r="AM5537">
        <v>1</v>
      </c>
    </row>
    <row r="5538" spans="1:39" x14ac:dyDescent="0.2">
      <c r="A5538" t="str">
        <f>"5534"</f>
        <v>5534</v>
      </c>
      <c r="B5538" t="str">
        <f t="shared" si="306"/>
        <v>1</v>
      </c>
      <c r="C5538" t="str">
        <f t="shared" si="308"/>
        <v>111</v>
      </c>
      <c r="D5538" t="str">
        <f>"26"</f>
        <v>26</v>
      </c>
      <c r="E5538" t="str">
        <f>"1-111-26"</f>
        <v>1-111-26</v>
      </c>
      <c r="F5538" t="s">
        <v>65</v>
      </c>
      <c r="G5538" t="s">
        <v>66</v>
      </c>
      <c r="H5538" t="s">
        <v>67</v>
      </c>
      <c r="S5538">
        <v>0</v>
      </c>
      <c r="T5538">
        <v>1</v>
      </c>
      <c r="U5538">
        <v>0</v>
      </c>
      <c r="V5538">
        <v>0</v>
      </c>
      <c r="W5538">
        <v>1</v>
      </c>
      <c r="X5538">
        <v>0</v>
      </c>
      <c r="Y5538">
        <v>1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1</v>
      </c>
      <c r="AF5538">
        <v>1</v>
      </c>
      <c r="AG5538">
        <v>1</v>
      </c>
      <c r="AH5538">
        <v>1</v>
      </c>
      <c r="AI5538">
        <v>1</v>
      </c>
      <c r="AJ5538">
        <v>1</v>
      </c>
      <c r="AK5538">
        <v>1</v>
      </c>
      <c r="AL5538">
        <v>1</v>
      </c>
      <c r="AM5538">
        <v>1</v>
      </c>
    </row>
    <row r="5539" spans="1:39" x14ac:dyDescent="0.2">
      <c r="A5539" t="str">
        <f>"5535"</f>
        <v>5535</v>
      </c>
      <c r="B5539" t="str">
        <f t="shared" si="306"/>
        <v>1</v>
      </c>
      <c r="C5539" t="str">
        <f t="shared" si="308"/>
        <v>111</v>
      </c>
      <c r="D5539" t="str">
        <f>"9"</f>
        <v>9</v>
      </c>
      <c r="E5539" t="str">
        <f>"1-111-9"</f>
        <v>1-111-9</v>
      </c>
      <c r="F5539" t="s">
        <v>65</v>
      </c>
      <c r="G5539" t="s">
        <v>66</v>
      </c>
      <c r="H5539" t="s">
        <v>67</v>
      </c>
      <c r="S5539">
        <v>0</v>
      </c>
      <c r="T5539">
        <v>1</v>
      </c>
      <c r="U5539">
        <v>0</v>
      </c>
      <c r="V5539">
        <v>0</v>
      </c>
      <c r="W5539">
        <v>1</v>
      </c>
      <c r="X5539">
        <v>0</v>
      </c>
      <c r="Y5539">
        <v>1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1</v>
      </c>
      <c r="AH5539">
        <v>1</v>
      </c>
      <c r="AI5539">
        <v>1</v>
      </c>
      <c r="AJ5539">
        <v>1</v>
      </c>
      <c r="AK5539">
        <v>0</v>
      </c>
      <c r="AL5539">
        <v>1</v>
      </c>
      <c r="AM5539">
        <v>1</v>
      </c>
    </row>
    <row r="5540" spans="1:39" x14ac:dyDescent="0.2">
      <c r="A5540" t="str">
        <f>"5536"</f>
        <v>5536</v>
      </c>
      <c r="B5540" t="str">
        <f t="shared" si="306"/>
        <v>1</v>
      </c>
      <c r="C5540" t="str">
        <f t="shared" si="308"/>
        <v>111</v>
      </c>
      <c r="D5540" t="str">
        <f>"45"</f>
        <v>45</v>
      </c>
      <c r="E5540" t="str">
        <f>"1-111-45"</f>
        <v>1-111-45</v>
      </c>
      <c r="F5540" t="s">
        <v>65</v>
      </c>
      <c r="G5540" t="s">
        <v>66</v>
      </c>
      <c r="H5540" t="s">
        <v>67</v>
      </c>
      <c r="S5540">
        <v>1</v>
      </c>
      <c r="T5540">
        <v>0</v>
      </c>
      <c r="U5540">
        <v>0</v>
      </c>
      <c r="V5540">
        <v>0</v>
      </c>
      <c r="W5540">
        <v>1</v>
      </c>
      <c r="X5540">
        <v>0</v>
      </c>
      <c r="Y5540">
        <v>1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1</v>
      </c>
      <c r="AF5540">
        <v>1</v>
      </c>
      <c r="AG5540">
        <v>1</v>
      </c>
      <c r="AH5540">
        <v>1</v>
      </c>
      <c r="AI5540">
        <v>1</v>
      </c>
      <c r="AJ5540">
        <v>1</v>
      </c>
      <c r="AK5540">
        <v>1</v>
      </c>
      <c r="AL5540">
        <v>1</v>
      </c>
      <c r="AM5540">
        <v>1</v>
      </c>
    </row>
    <row r="5541" spans="1:39" x14ac:dyDescent="0.2">
      <c r="A5541" t="str">
        <f>"5537"</f>
        <v>5537</v>
      </c>
      <c r="B5541" t="str">
        <f t="shared" si="306"/>
        <v>1</v>
      </c>
      <c r="C5541" t="str">
        <f t="shared" si="308"/>
        <v>111</v>
      </c>
      <c r="D5541" t="str">
        <f>"27"</f>
        <v>27</v>
      </c>
      <c r="E5541" t="str">
        <f>"1-111-27"</f>
        <v>1-111-27</v>
      </c>
      <c r="F5541" t="s">
        <v>65</v>
      </c>
      <c r="G5541" t="s">
        <v>66</v>
      </c>
      <c r="H5541" t="s">
        <v>67</v>
      </c>
      <c r="S5541">
        <v>0</v>
      </c>
      <c r="T5541">
        <v>0</v>
      </c>
      <c r="U5541">
        <v>0</v>
      </c>
      <c r="V5541">
        <v>0</v>
      </c>
      <c r="W5541">
        <v>1</v>
      </c>
      <c r="X5541">
        <v>0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1</v>
      </c>
      <c r="AH5541">
        <v>1</v>
      </c>
      <c r="AI5541">
        <v>1</v>
      </c>
      <c r="AJ5541">
        <v>0</v>
      </c>
      <c r="AK5541">
        <v>1</v>
      </c>
      <c r="AL5541">
        <v>1</v>
      </c>
      <c r="AM5541">
        <v>1</v>
      </c>
    </row>
    <row r="5542" spans="1:39" x14ac:dyDescent="0.2">
      <c r="A5542" t="str">
        <f>"5538"</f>
        <v>5538</v>
      </c>
      <c r="B5542" t="str">
        <f t="shared" si="306"/>
        <v>1</v>
      </c>
      <c r="C5542" t="str">
        <f t="shared" si="308"/>
        <v>111</v>
      </c>
      <c r="D5542" t="str">
        <f>"6"</f>
        <v>6</v>
      </c>
      <c r="E5542" t="str">
        <f>"1-111-6"</f>
        <v>1-111-6</v>
      </c>
      <c r="F5542" t="s">
        <v>65</v>
      </c>
      <c r="G5542" t="s">
        <v>66</v>
      </c>
      <c r="H5542" t="s">
        <v>67</v>
      </c>
      <c r="S5542">
        <v>0</v>
      </c>
      <c r="T5542">
        <v>1</v>
      </c>
      <c r="U5542">
        <v>0</v>
      </c>
      <c r="V5542">
        <v>0</v>
      </c>
      <c r="W5542">
        <v>1</v>
      </c>
      <c r="X5542">
        <v>0</v>
      </c>
      <c r="Y5542">
        <v>0</v>
      </c>
      <c r="Z5542">
        <v>1</v>
      </c>
      <c r="AA5542">
        <v>1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1</v>
      </c>
      <c r="AH5542">
        <v>0</v>
      </c>
      <c r="AI5542">
        <v>1</v>
      </c>
      <c r="AJ5542">
        <v>1</v>
      </c>
      <c r="AK5542">
        <v>1</v>
      </c>
      <c r="AL5542">
        <v>0</v>
      </c>
      <c r="AM5542">
        <v>1</v>
      </c>
    </row>
    <row r="5543" spans="1:39" x14ac:dyDescent="0.2">
      <c r="A5543" t="str">
        <f>"5539"</f>
        <v>5539</v>
      </c>
      <c r="B5543" t="str">
        <f t="shared" si="306"/>
        <v>1</v>
      </c>
      <c r="C5543" t="str">
        <f t="shared" si="308"/>
        <v>111</v>
      </c>
      <c r="D5543" t="str">
        <f>"29"</f>
        <v>29</v>
      </c>
      <c r="E5543" t="str">
        <f>"1-111-29"</f>
        <v>1-111-29</v>
      </c>
      <c r="F5543" t="s">
        <v>65</v>
      </c>
      <c r="G5543" t="s">
        <v>66</v>
      </c>
      <c r="H5543" t="s">
        <v>67</v>
      </c>
      <c r="S5543">
        <v>1</v>
      </c>
      <c r="T5543">
        <v>0</v>
      </c>
      <c r="U5543">
        <v>0</v>
      </c>
      <c r="V5543">
        <v>0</v>
      </c>
      <c r="W5543">
        <v>1</v>
      </c>
      <c r="X5543">
        <v>0</v>
      </c>
      <c r="Y5543">
        <v>0</v>
      </c>
      <c r="Z5543">
        <v>1</v>
      </c>
      <c r="AA5543">
        <v>1</v>
      </c>
      <c r="AB5543">
        <v>0</v>
      </c>
      <c r="AC5543">
        <v>0</v>
      </c>
      <c r="AD5543">
        <v>1</v>
      </c>
      <c r="AE5543">
        <v>1</v>
      </c>
      <c r="AF5543">
        <v>1</v>
      </c>
      <c r="AG5543">
        <v>1</v>
      </c>
      <c r="AH5543">
        <v>1</v>
      </c>
      <c r="AI5543">
        <v>1</v>
      </c>
      <c r="AJ5543">
        <v>1</v>
      </c>
      <c r="AK5543">
        <v>1</v>
      </c>
      <c r="AL5543">
        <v>1</v>
      </c>
      <c r="AM5543">
        <v>1</v>
      </c>
    </row>
    <row r="5544" spans="1:39" x14ac:dyDescent="0.2">
      <c r="A5544" t="str">
        <f>"5540"</f>
        <v>5540</v>
      </c>
      <c r="B5544" t="str">
        <f t="shared" si="306"/>
        <v>1</v>
      </c>
      <c r="C5544" t="str">
        <f t="shared" si="308"/>
        <v>111</v>
      </c>
      <c r="D5544" t="str">
        <f>"14"</f>
        <v>14</v>
      </c>
      <c r="E5544" t="str">
        <f>"1-111-14"</f>
        <v>1-111-14</v>
      </c>
      <c r="F5544" t="s">
        <v>65</v>
      </c>
      <c r="G5544" t="s">
        <v>66</v>
      </c>
      <c r="H5544" t="s">
        <v>67</v>
      </c>
      <c r="S5544">
        <v>0</v>
      </c>
      <c r="T5544">
        <v>1</v>
      </c>
      <c r="U5544">
        <v>0</v>
      </c>
      <c r="V5544">
        <v>0</v>
      </c>
      <c r="W5544">
        <v>1</v>
      </c>
      <c r="X5544">
        <v>0</v>
      </c>
      <c r="Y5544">
        <v>0</v>
      </c>
      <c r="Z5544">
        <v>1</v>
      </c>
      <c r="AA5544">
        <v>1</v>
      </c>
      <c r="AB5544">
        <v>0</v>
      </c>
      <c r="AC5544">
        <v>0</v>
      </c>
      <c r="AD5544">
        <v>1</v>
      </c>
      <c r="AE5544">
        <v>1</v>
      </c>
      <c r="AF5544">
        <v>1</v>
      </c>
      <c r="AG5544">
        <v>1</v>
      </c>
      <c r="AH5544">
        <v>1</v>
      </c>
      <c r="AI5544">
        <v>1</v>
      </c>
      <c r="AJ5544">
        <v>1</v>
      </c>
      <c r="AK5544">
        <v>1</v>
      </c>
      <c r="AL5544">
        <v>1</v>
      </c>
      <c r="AM5544">
        <v>1</v>
      </c>
    </row>
    <row r="5545" spans="1:39" x14ac:dyDescent="0.2">
      <c r="A5545" t="str">
        <f>"5541"</f>
        <v>5541</v>
      </c>
      <c r="B5545" t="str">
        <f t="shared" si="306"/>
        <v>1</v>
      </c>
      <c r="C5545" t="str">
        <f t="shared" si="308"/>
        <v>111</v>
      </c>
      <c r="D5545" t="str">
        <f>"48"</f>
        <v>48</v>
      </c>
      <c r="E5545" t="str">
        <f>"1-111-48"</f>
        <v>1-111-48</v>
      </c>
      <c r="F5545" t="s">
        <v>65</v>
      </c>
      <c r="G5545" t="s">
        <v>66</v>
      </c>
      <c r="H5545" t="s">
        <v>67</v>
      </c>
      <c r="S5545">
        <v>0</v>
      </c>
      <c r="T5545">
        <v>1</v>
      </c>
      <c r="U5545">
        <v>0</v>
      </c>
      <c r="V5545">
        <v>0</v>
      </c>
      <c r="W5545">
        <v>0</v>
      </c>
      <c r="X5545">
        <v>1</v>
      </c>
      <c r="Y5545">
        <v>0</v>
      </c>
      <c r="Z5545">
        <v>1</v>
      </c>
      <c r="AA5545">
        <v>0</v>
      </c>
      <c r="AB5545">
        <v>0</v>
      </c>
      <c r="AC5545">
        <v>1</v>
      </c>
      <c r="AD5545">
        <v>1</v>
      </c>
      <c r="AE5545">
        <v>1</v>
      </c>
      <c r="AF5545">
        <v>1</v>
      </c>
      <c r="AG5545">
        <v>1</v>
      </c>
      <c r="AH5545">
        <v>1</v>
      </c>
      <c r="AI5545">
        <v>1</v>
      </c>
      <c r="AJ5545">
        <v>1</v>
      </c>
      <c r="AK5545">
        <v>1</v>
      </c>
      <c r="AL5545">
        <v>1</v>
      </c>
      <c r="AM5545">
        <v>1</v>
      </c>
    </row>
    <row r="5546" spans="1:39" x14ac:dyDescent="0.2">
      <c r="A5546" t="str">
        <f>"5542"</f>
        <v>5542</v>
      </c>
      <c r="B5546" t="str">
        <f t="shared" si="306"/>
        <v>1</v>
      </c>
      <c r="C5546" t="str">
        <f t="shared" si="308"/>
        <v>111</v>
      </c>
      <c r="D5546" t="str">
        <f>"30"</f>
        <v>30</v>
      </c>
      <c r="E5546" t="str">
        <f>"1-111-30"</f>
        <v>1-111-30</v>
      </c>
      <c r="F5546" t="s">
        <v>65</v>
      </c>
      <c r="G5546" t="s">
        <v>66</v>
      </c>
      <c r="H5546" t="s">
        <v>67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</row>
    <row r="5547" spans="1:39" x14ac:dyDescent="0.2">
      <c r="A5547" t="str">
        <f>"5543"</f>
        <v>5543</v>
      </c>
      <c r="B5547" t="str">
        <f t="shared" si="306"/>
        <v>1</v>
      </c>
      <c r="C5547" t="str">
        <f t="shared" si="308"/>
        <v>111</v>
      </c>
      <c r="D5547" t="str">
        <f>"5"</f>
        <v>5</v>
      </c>
      <c r="E5547" t="str">
        <f>"1-111-5"</f>
        <v>1-111-5</v>
      </c>
      <c r="F5547" t="s">
        <v>65</v>
      </c>
      <c r="G5547" t="s">
        <v>66</v>
      </c>
      <c r="H5547" t="s">
        <v>67</v>
      </c>
      <c r="S5547">
        <v>1</v>
      </c>
      <c r="T5547">
        <v>0</v>
      </c>
      <c r="U5547">
        <v>0</v>
      </c>
      <c r="V5547">
        <v>0</v>
      </c>
      <c r="W5547">
        <v>1</v>
      </c>
      <c r="X5547">
        <v>0</v>
      </c>
      <c r="Y5547">
        <v>1</v>
      </c>
      <c r="Z5547">
        <v>0</v>
      </c>
      <c r="AA5547">
        <v>0</v>
      </c>
      <c r="AB5547">
        <v>1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</row>
    <row r="5548" spans="1:39" x14ac:dyDescent="0.2">
      <c r="A5548" t="str">
        <f>"5544"</f>
        <v>5544</v>
      </c>
      <c r="B5548" t="str">
        <f t="shared" si="306"/>
        <v>1</v>
      </c>
      <c r="C5548" t="str">
        <f t="shared" si="308"/>
        <v>111</v>
      </c>
      <c r="D5548" t="str">
        <f>"31"</f>
        <v>31</v>
      </c>
      <c r="E5548" t="str">
        <f>"1-111-31"</f>
        <v>1-111-31</v>
      </c>
      <c r="F5548" t="s">
        <v>65</v>
      </c>
      <c r="G5548" t="s">
        <v>66</v>
      </c>
      <c r="H5548" t="s">
        <v>67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</row>
    <row r="5549" spans="1:39" x14ac:dyDescent="0.2">
      <c r="A5549" t="str">
        <f>"5545"</f>
        <v>5545</v>
      </c>
      <c r="B5549" t="str">
        <f t="shared" si="306"/>
        <v>1</v>
      </c>
      <c r="C5549" t="str">
        <f t="shared" si="308"/>
        <v>111</v>
      </c>
      <c r="D5549" t="str">
        <f>"12"</f>
        <v>12</v>
      </c>
      <c r="E5549" t="str">
        <f>"1-111-12"</f>
        <v>1-111-12</v>
      </c>
      <c r="F5549" t="s">
        <v>65</v>
      </c>
      <c r="G5549" t="s">
        <v>66</v>
      </c>
      <c r="H5549" t="s">
        <v>67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1</v>
      </c>
      <c r="Y5549">
        <v>1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1</v>
      </c>
      <c r="AH5549">
        <v>0</v>
      </c>
      <c r="AI5549">
        <v>0</v>
      </c>
      <c r="AJ5549">
        <v>1</v>
      </c>
      <c r="AK5549">
        <v>0</v>
      </c>
      <c r="AL5549">
        <v>1</v>
      </c>
      <c r="AM5549">
        <v>0</v>
      </c>
    </row>
    <row r="5550" spans="1:39" x14ac:dyDescent="0.2">
      <c r="A5550" t="str">
        <f>"5546"</f>
        <v>5546</v>
      </c>
      <c r="B5550" t="str">
        <f t="shared" si="306"/>
        <v>1</v>
      </c>
      <c r="C5550" t="str">
        <f t="shared" si="308"/>
        <v>111</v>
      </c>
      <c r="D5550" t="str">
        <f>"46"</f>
        <v>46</v>
      </c>
      <c r="E5550" t="str">
        <f>"1-111-46"</f>
        <v>1-111-46</v>
      </c>
      <c r="F5550" t="s">
        <v>65</v>
      </c>
      <c r="G5550" t="s">
        <v>66</v>
      </c>
      <c r="H5550" t="s">
        <v>67</v>
      </c>
      <c r="S5550">
        <v>1</v>
      </c>
      <c r="T5550">
        <v>0</v>
      </c>
      <c r="U5550">
        <v>0</v>
      </c>
      <c r="V5550">
        <v>0</v>
      </c>
      <c r="W5550">
        <v>1</v>
      </c>
      <c r="X5550">
        <v>0</v>
      </c>
      <c r="Y5550">
        <v>0</v>
      </c>
      <c r="Z5550">
        <v>1</v>
      </c>
      <c r="AA5550">
        <v>1</v>
      </c>
      <c r="AB5550">
        <v>0</v>
      </c>
      <c r="AC5550">
        <v>0</v>
      </c>
      <c r="AD5550">
        <v>1</v>
      </c>
      <c r="AE5550">
        <v>1</v>
      </c>
      <c r="AF5550">
        <v>1</v>
      </c>
      <c r="AG5550">
        <v>1</v>
      </c>
      <c r="AH5550">
        <v>1</v>
      </c>
      <c r="AI5550">
        <v>1</v>
      </c>
      <c r="AJ5550">
        <v>1</v>
      </c>
      <c r="AK5550">
        <v>1</v>
      </c>
      <c r="AL5550">
        <v>1</v>
      </c>
      <c r="AM5550">
        <v>1</v>
      </c>
    </row>
    <row r="5551" spans="1:39" x14ac:dyDescent="0.2">
      <c r="A5551" t="str">
        <f>"5547"</f>
        <v>5547</v>
      </c>
      <c r="B5551" t="str">
        <f t="shared" si="306"/>
        <v>1</v>
      </c>
      <c r="C5551" t="str">
        <f t="shared" si="308"/>
        <v>111</v>
      </c>
      <c r="D5551" t="str">
        <f>"32"</f>
        <v>32</v>
      </c>
      <c r="E5551" t="str">
        <f>"1-111-32"</f>
        <v>1-111-32</v>
      </c>
      <c r="F5551" t="s">
        <v>65</v>
      </c>
      <c r="G5551" t="s">
        <v>66</v>
      </c>
      <c r="H5551" t="s">
        <v>67</v>
      </c>
      <c r="S5551">
        <v>1</v>
      </c>
      <c r="T5551">
        <v>0</v>
      </c>
      <c r="U5551">
        <v>0</v>
      </c>
      <c r="V5551">
        <v>0</v>
      </c>
      <c r="W5551">
        <v>0</v>
      </c>
      <c r="X5551">
        <v>1</v>
      </c>
      <c r="Y5551">
        <v>1</v>
      </c>
      <c r="Z5551">
        <v>0</v>
      </c>
      <c r="AA5551">
        <v>0</v>
      </c>
      <c r="AB5551">
        <v>1</v>
      </c>
      <c r="AC5551">
        <v>0</v>
      </c>
      <c r="AD5551">
        <v>1</v>
      </c>
      <c r="AE5551">
        <v>1</v>
      </c>
      <c r="AF5551">
        <v>1</v>
      </c>
      <c r="AG5551">
        <v>1</v>
      </c>
      <c r="AH5551">
        <v>1</v>
      </c>
      <c r="AI5551">
        <v>1</v>
      </c>
      <c r="AJ5551">
        <v>1</v>
      </c>
      <c r="AK5551">
        <v>1</v>
      </c>
      <c r="AL5551">
        <v>1</v>
      </c>
      <c r="AM5551">
        <v>1</v>
      </c>
    </row>
    <row r="5552" spans="1:39" x14ac:dyDescent="0.2">
      <c r="A5552" t="str">
        <f>"5548"</f>
        <v>5548</v>
      </c>
      <c r="B5552" t="str">
        <f t="shared" si="306"/>
        <v>1</v>
      </c>
      <c r="C5552" t="str">
        <f t="shared" si="308"/>
        <v>111</v>
      </c>
      <c r="D5552" t="str">
        <f>"4"</f>
        <v>4</v>
      </c>
      <c r="E5552" t="str">
        <f>"1-111-4"</f>
        <v>1-111-4</v>
      </c>
      <c r="F5552" t="s">
        <v>65</v>
      </c>
      <c r="G5552" t="s">
        <v>66</v>
      </c>
      <c r="H5552" t="s">
        <v>67</v>
      </c>
      <c r="S5552">
        <v>1</v>
      </c>
      <c r="T5552">
        <v>0</v>
      </c>
      <c r="U5552">
        <v>0</v>
      </c>
      <c r="V5552">
        <v>0</v>
      </c>
      <c r="W5552">
        <v>1</v>
      </c>
      <c r="X5552">
        <v>0</v>
      </c>
      <c r="Y5552">
        <v>1</v>
      </c>
      <c r="Z5552">
        <v>0</v>
      </c>
      <c r="AA5552">
        <v>0</v>
      </c>
      <c r="AB5552">
        <v>1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</row>
    <row r="5553" spans="1:39" x14ac:dyDescent="0.2">
      <c r="A5553" t="str">
        <f>"5549"</f>
        <v>5549</v>
      </c>
      <c r="B5553" t="str">
        <f t="shared" si="306"/>
        <v>1</v>
      </c>
      <c r="C5553" t="str">
        <f t="shared" si="308"/>
        <v>111</v>
      </c>
      <c r="D5553" t="str">
        <f>"50"</f>
        <v>50</v>
      </c>
      <c r="E5553" t="str">
        <f>"1-111-50"</f>
        <v>1-111-50</v>
      </c>
      <c r="F5553" t="s">
        <v>65</v>
      </c>
      <c r="G5553" t="s">
        <v>66</v>
      </c>
      <c r="H5553" t="s">
        <v>67</v>
      </c>
      <c r="S5553">
        <v>1</v>
      </c>
      <c r="T5553">
        <v>0</v>
      </c>
      <c r="U5553">
        <v>0</v>
      </c>
      <c r="V5553">
        <v>0</v>
      </c>
      <c r="W5553">
        <v>1</v>
      </c>
      <c r="X5553">
        <v>0</v>
      </c>
      <c r="Y5553">
        <v>0</v>
      </c>
      <c r="Z5553">
        <v>1</v>
      </c>
      <c r="AA5553">
        <v>0</v>
      </c>
      <c r="AB5553">
        <v>1</v>
      </c>
      <c r="AC5553">
        <v>0</v>
      </c>
      <c r="AD5553">
        <v>1</v>
      </c>
      <c r="AE5553">
        <v>1</v>
      </c>
      <c r="AF5553">
        <v>1</v>
      </c>
      <c r="AG5553">
        <v>1</v>
      </c>
      <c r="AH5553">
        <v>1</v>
      </c>
      <c r="AI5553">
        <v>1</v>
      </c>
      <c r="AJ5553">
        <v>1</v>
      </c>
      <c r="AK5553">
        <v>1</v>
      </c>
      <c r="AL5553">
        <v>1</v>
      </c>
      <c r="AM5553">
        <v>1</v>
      </c>
    </row>
    <row r="5554" spans="1:39" x14ac:dyDescent="0.2">
      <c r="A5554" t="str">
        <f>"5550"</f>
        <v>5550</v>
      </c>
      <c r="B5554" t="str">
        <f t="shared" si="306"/>
        <v>1</v>
      </c>
      <c r="C5554" t="str">
        <f t="shared" si="308"/>
        <v>111</v>
      </c>
      <c r="D5554" t="str">
        <f>"49"</f>
        <v>49</v>
      </c>
      <c r="E5554" t="str">
        <f>"1-111-49"</f>
        <v>1-111-49</v>
      </c>
      <c r="F5554" t="s">
        <v>65</v>
      </c>
      <c r="G5554" t="s">
        <v>66</v>
      </c>
      <c r="H5554" t="s">
        <v>67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1</v>
      </c>
      <c r="AE5554">
        <v>1</v>
      </c>
      <c r="AF5554">
        <v>1</v>
      </c>
      <c r="AG5554">
        <v>1</v>
      </c>
      <c r="AH5554">
        <v>1</v>
      </c>
      <c r="AI5554">
        <v>1</v>
      </c>
      <c r="AJ5554">
        <v>1</v>
      </c>
      <c r="AK5554">
        <v>1</v>
      </c>
      <c r="AL5554">
        <v>1</v>
      </c>
      <c r="AM5554">
        <v>1</v>
      </c>
    </row>
    <row r="5555" spans="1:39" x14ac:dyDescent="0.2">
      <c r="A5555" t="str">
        <f>"5551"</f>
        <v>5551</v>
      </c>
      <c r="B5555" t="str">
        <f t="shared" si="306"/>
        <v>1</v>
      </c>
      <c r="C5555" t="str">
        <f t="shared" ref="C5555:C5586" si="309">"112"</f>
        <v>112</v>
      </c>
      <c r="D5555" t="str">
        <f>"38"</f>
        <v>38</v>
      </c>
      <c r="E5555" t="str">
        <f>"1-112-38"</f>
        <v>1-112-38</v>
      </c>
      <c r="F5555" t="s">
        <v>65</v>
      </c>
      <c r="G5555" t="s">
        <v>66</v>
      </c>
      <c r="H5555" t="s">
        <v>67</v>
      </c>
      <c r="S5555">
        <v>1</v>
      </c>
      <c r="T5555">
        <v>0</v>
      </c>
      <c r="U5555">
        <v>0</v>
      </c>
      <c r="V5555">
        <v>0</v>
      </c>
      <c r="W5555">
        <v>1</v>
      </c>
      <c r="X5555">
        <v>0</v>
      </c>
      <c r="Y5555">
        <v>1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1</v>
      </c>
      <c r="AF5555">
        <v>1</v>
      </c>
      <c r="AG5555">
        <v>1</v>
      </c>
      <c r="AH5555">
        <v>1</v>
      </c>
      <c r="AI5555">
        <v>1</v>
      </c>
      <c r="AJ5555">
        <v>1</v>
      </c>
      <c r="AK5555">
        <v>1</v>
      </c>
      <c r="AL5555">
        <v>1</v>
      </c>
      <c r="AM5555">
        <v>1</v>
      </c>
    </row>
    <row r="5556" spans="1:39" x14ac:dyDescent="0.2">
      <c r="A5556" t="str">
        <f>"5552"</f>
        <v>5552</v>
      </c>
      <c r="B5556" t="str">
        <f t="shared" si="306"/>
        <v>1</v>
      </c>
      <c r="C5556" t="str">
        <f t="shared" si="309"/>
        <v>112</v>
      </c>
      <c r="D5556" t="str">
        <f>"37"</f>
        <v>37</v>
      </c>
      <c r="E5556" t="str">
        <f>"1-112-37"</f>
        <v>1-112-37</v>
      </c>
      <c r="F5556" t="s">
        <v>65</v>
      </c>
      <c r="G5556" t="s">
        <v>66</v>
      </c>
      <c r="H5556" t="s">
        <v>67</v>
      </c>
      <c r="S5556">
        <v>1</v>
      </c>
      <c r="T5556">
        <v>0</v>
      </c>
      <c r="U5556">
        <v>0</v>
      </c>
      <c r="V5556">
        <v>0</v>
      </c>
      <c r="W5556">
        <v>1</v>
      </c>
      <c r="X5556">
        <v>0</v>
      </c>
      <c r="Y5556">
        <v>1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1</v>
      </c>
      <c r="AF5556">
        <v>1</v>
      </c>
      <c r="AG5556">
        <v>1</v>
      </c>
      <c r="AH5556">
        <v>1</v>
      </c>
      <c r="AI5556">
        <v>1</v>
      </c>
      <c r="AJ5556">
        <v>1</v>
      </c>
      <c r="AK5556">
        <v>1</v>
      </c>
      <c r="AL5556">
        <v>1</v>
      </c>
      <c r="AM5556">
        <v>1</v>
      </c>
    </row>
    <row r="5557" spans="1:39" x14ac:dyDescent="0.2">
      <c r="A5557" t="str">
        <f>"5553"</f>
        <v>5553</v>
      </c>
      <c r="B5557" t="str">
        <f t="shared" si="306"/>
        <v>1</v>
      </c>
      <c r="C5557" t="str">
        <f t="shared" si="309"/>
        <v>112</v>
      </c>
      <c r="D5557" t="str">
        <f>"27"</f>
        <v>27</v>
      </c>
      <c r="E5557" t="str">
        <f>"1-112-27"</f>
        <v>1-112-27</v>
      </c>
      <c r="F5557" t="s">
        <v>65</v>
      </c>
      <c r="G5557" t="s">
        <v>66</v>
      </c>
      <c r="H5557" t="s">
        <v>67</v>
      </c>
      <c r="S5557">
        <v>1</v>
      </c>
      <c r="T5557">
        <v>0</v>
      </c>
      <c r="U5557">
        <v>0</v>
      </c>
      <c r="V5557">
        <v>0</v>
      </c>
      <c r="W5557">
        <v>1</v>
      </c>
      <c r="X5557">
        <v>0</v>
      </c>
      <c r="Y5557">
        <v>1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1</v>
      </c>
      <c r="AF5557">
        <v>1</v>
      </c>
      <c r="AG5557">
        <v>1</v>
      </c>
      <c r="AH5557">
        <v>1</v>
      </c>
      <c r="AI5557">
        <v>1</v>
      </c>
      <c r="AJ5557">
        <v>1</v>
      </c>
      <c r="AK5557">
        <v>1</v>
      </c>
      <c r="AL5557">
        <v>1</v>
      </c>
      <c r="AM5557">
        <v>1</v>
      </c>
    </row>
    <row r="5558" spans="1:39" x14ac:dyDescent="0.2">
      <c r="A5558" t="str">
        <f>"5554"</f>
        <v>5554</v>
      </c>
      <c r="B5558" t="str">
        <f t="shared" si="306"/>
        <v>1</v>
      </c>
      <c r="C5558" t="str">
        <f t="shared" si="309"/>
        <v>112</v>
      </c>
      <c r="D5558" t="str">
        <f>"15"</f>
        <v>15</v>
      </c>
      <c r="E5558" t="str">
        <f>"1-112-15"</f>
        <v>1-112-15</v>
      </c>
      <c r="F5558" t="s">
        <v>65</v>
      </c>
      <c r="G5558" t="s">
        <v>66</v>
      </c>
      <c r="H5558" t="s">
        <v>67</v>
      </c>
      <c r="S5558">
        <v>1</v>
      </c>
      <c r="T5558">
        <v>0</v>
      </c>
      <c r="U5558">
        <v>0</v>
      </c>
      <c r="V5558">
        <v>0</v>
      </c>
      <c r="W5558">
        <v>1</v>
      </c>
      <c r="X5558">
        <v>0</v>
      </c>
      <c r="Y5558">
        <v>0</v>
      </c>
      <c r="Z5558">
        <v>1</v>
      </c>
      <c r="AA5558">
        <v>0</v>
      </c>
      <c r="AB5558">
        <v>1</v>
      </c>
      <c r="AC5558">
        <v>0</v>
      </c>
      <c r="AD5558">
        <v>1</v>
      </c>
      <c r="AE5558">
        <v>1</v>
      </c>
      <c r="AF5558">
        <v>1</v>
      </c>
      <c r="AG5558">
        <v>1</v>
      </c>
      <c r="AH5558">
        <v>1</v>
      </c>
      <c r="AI5558">
        <v>1</v>
      </c>
      <c r="AJ5558">
        <v>1</v>
      </c>
      <c r="AK5558">
        <v>1</v>
      </c>
      <c r="AL5558">
        <v>1</v>
      </c>
      <c r="AM5558">
        <v>1</v>
      </c>
    </row>
    <row r="5559" spans="1:39" x14ac:dyDescent="0.2">
      <c r="A5559" t="str">
        <f>"5555"</f>
        <v>5555</v>
      </c>
      <c r="B5559" t="str">
        <f t="shared" ref="B5559:B5622" si="310">"1"</f>
        <v>1</v>
      </c>
      <c r="C5559" t="str">
        <f t="shared" si="309"/>
        <v>112</v>
      </c>
      <c r="D5559" t="str">
        <f>"7"</f>
        <v>7</v>
      </c>
      <c r="E5559" t="str">
        <f>"1-112-7"</f>
        <v>1-112-7</v>
      </c>
      <c r="F5559" t="s">
        <v>65</v>
      </c>
      <c r="G5559" t="s">
        <v>66</v>
      </c>
      <c r="H5559" t="s">
        <v>67</v>
      </c>
      <c r="S5559">
        <v>1</v>
      </c>
      <c r="T5559">
        <v>0</v>
      </c>
      <c r="U5559">
        <v>0</v>
      </c>
      <c r="V5559">
        <v>0</v>
      </c>
      <c r="W5559">
        <v>1</v>
      </c>
      <c r="X5559">
        <v>0</v>
      </c>
      <c r="Y5559">
        <v>0</v>
      </c>
      <c r="Z5559">
        <v>1</v>
      </c>
      <c r="AA5559">
        <v>0</v>
      </c>
      <c r="AB5559">
        <v>0</v>
      </c>
      <c r="AC5559">
        <v>1</v>
      </c>
      <c r="AD5559">
        <v>1</v>
      </c>
      <c r="AE5559">
        <v>1</v>
      </c>
      <c r="AF5559">
        <v>1</v>
      </c>
      <c r="AG5559">
        <v>1</v>
      </c>
      <c r="AH5559">
        <v>1</v>
      </c>
      <c r="AI5559">
        <v>1</v>
      </c>
      <c r="AJ5559">
        <v>1</v>
      </c>
      <c r="AK5559">
        <v>1</v>
      </c>
      <c r="AL5559">
        <v>1</v>
      </c>
      <c r="AM5559">
        <v>1</v>
      </c>
    </row>
    <row r="5560" spans="1:39" x14ac:dyDescent="0.2">
      <c r="A5560" t="str">
        <f>"5556"</f>
        <v>5556</v>
      </c>
      <c r="B5560" t="str">
        <f t="shared" si="310"/>
        <v>1</v>
      </c>
      <c r="C5560" t="str">
        <f t="shared" si="309"/>
        <v>112</v>
      </c>
      <c r="D5560" t="str">
        <f>"36"</f>
        <v>36</v>
      </c>
      <c r="E5560" t="str">
        <f>"1-112-36"</f>
        <v>1-112-36</v>
      </c>
      <c r="F5560" t="s">
        <v>65</v>
      </c>
      <c r="G5560" t="s">
        <v>66</v>
      </c>
      <c r="H5560" t="s">
        <v>67</v>
      </c>
      <c r="S5560">
        <v>1</v>
      </c>
      <c r="T5560">
        <v>0</v>
      </c>
      <c r="U5560">
        <v>0</v>
      </c>
      <c r="V5560">
        <v>0</v>
      </c>
      <c r="W5560">
        <v>1</v>
      </c>
      <c r="X5560">
        <v>0</v>
      </c>
      <c r="Y5560">
        <v>1</v>
      </c>
      <c r="Z5560">
        <v>0</v>
      </c>
      <c r="AA5560">
        <v>1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</row>
    <row r="5561" spans="1:39" x14ac:dyDescent="0.2">
      <c r="A5561" t="str">
        <f>"5557"</f>
        <v>5557</v>
      </c>
      <c r="B5561" t="str">
        <f t="shared" si="310"/>
        <v>1</v>
      </c>
      <c r="C5561" t="str">
        <f t="shared" si="309"/>
        <v>112</v>
      </c>
      <c r="D5561" t="str">
        <f>"35"</f>
        <v>35</v>
      </c>
      <c r="E5561" t="str">
        <f>"1-112-35"</f>
        <v>1-112-35</v>
      </c>
      <c r="F5561" t="s">
        <v>65</v>
      </c>
      <c r="G5561" t="s">
        <v>66</v>
      </c>
      <c r="H5561" t="s">
        <v>67</v>
      </c>
      <c r="S5561">
        <v>0</v>
      </c>
      <c r="T5561">
        <v>0</v>
      </c>
      <c r="U5561">
        <v>0</v>
      </c>
      <c r="V5561">
        <v>0</v>
      </c>
      <c r="W5561">
        <v>1</v>
      </c>
      <c r="X5561">
        <v>0</v>
      </c>
      <c r="Y5561">
        <v>0</v>
      </c>
      <c r="Z5561">
        <v>1</v>
      </c>
      <c r="AA5561">
        <v>1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1</v>
      </c>
      <c r="AI5561">
        <v>1</v>
      </c>
      <c r="AJ5561">
        <v>1</v>
      </c>
      <c r="AK5561">
        <v>1</v>
      </c>
      <c r="AL5561">
        <v>1</v>
      </c>
      <c r="AM5561">
        <v>1</v>
      </c>
    </row>
    <row r="5562" spans="1:39" x14ac:dyDescent="0.2">
      <c r="A5562" t="str">
        <f>"5558"</f>
        <v>5558</v>
      </c>
      <c r="B5562" t="str">
        <f t="shared" si="310"/>
        <v>1</v>
      </c>
      <c r="C5562" t="str">
        <f t="shared" si="309"/>
        <v>112</v>
      </c>
      <c r="D5562" t="str">
        <f>"24"</f>
        <v>24</v>
      </c>
      <c r="E5562" t="str">
        <f>"1-112-24"</f>
        <v>1-112-24</v>
      </c>
      <c r="F5562" t="s">
        <v>65</v>
      </c>
      <c r="G5562" t="s">
        <v>66</v>
      </c>
      <c r="H5562" t="s">
        <v>67</v>
      </c>
      <c r="S5562">
        <v>0</v>
      </c>
      <c r="T5562">
        <v>1</v>
      </c>
      <c r="U5562">
        <v>0</v>
      </c>
      <c r="V5562">
        <v>0</v>
      </c>
      <c r="W5562">
        <v>1</v>
      </c>
      <c r="X5562">
        <v>0</v>
      </c>
      <c r="Y5562">
        <v>1</v>
      </c>
      <c r="Z5562">
        <v>0</v>
      </c>
      <c r="AA5562">
        <v>0</v>
      </c>
      <c r="AB5562">
        <v>0</v>
      </c>
      <c r="AC5562">
        <v>1</v>
      </c>
      <c r="AD5562">
        <v>1</v>
      </c>
      <c r="AE5562">
        <v>1</v>
      </c>
      <c r="AF5562">
        <v>1</v>
      </c>
      <c r="AG5562">
        <v>1</v>
      </c>
      <c r="AH5562">
        <v>1</v>
      </c>
      <c r="AI5562">
        <v>1</v>
      </c>
      <c r="AJ5562">
        <v>1</v>
      </c>
      <c r="AK5562">
        <v>1</v>
      </c>
      <c r="AL5562">
        <v>1</v>
      </c>
      <c r="AM5562">
        <v>1</v>
      </c>
    </row>
    <row r="5563" spans="1:39" x14ac:dyDescent="0.2">
      <c r="A5563" t="str">
        <f>"5559"</f>
        <v>5559</v>
      </c>
      <c r="B5563" t="str">
        <f t="shared" si="310"/>
        <v>1</v>
      </c>
      <c r="C5563" t="str">
        <f t="shared" si="309"/>
        <v>112</v>
      </c>
      <c r="D5563" t="str">
        <f>"16"</f>
        <v>16</v>
      </c>
      <c r="E5563" t="str">
        <f>"1-112-16"</f>
        <v>1-112-16</v>
      </c>
      <c r="F5563" t="s">
        <v>65</v>
      </c>
      <c r="G5563" t="s">
        <v>66</v>
      </c>
      <c r="H5563" t="s">
        <v>67</v>
      </c>
      <c r="S5563">
        <v>0</v>
      </c>
      <c r="T5563">
        <v>1</v>
      </c>
      <c r="U5563">
        <v>0</v>
      </c>
      <c r="V5563">
        <v>0</v>
      </c>
      <c r="W5563">
        <v>1</v>
      </c>
      <c r="X5563">
        <v>0</v>
      </c>
      <c r="Y5563">
        <v>0</v>
      </c>
      <c r="Z5563">
        <v>1</v>
      </c>
      <c r="AA5563">
        <v>1</v>
      </c>
      <c r="AB5563">
        <v>0</v>
      </c>
      <c r="AC5563">
        <v>0</v>
      </c>
      <c r="AD5563">
        <v>1</v>
      </c>
      <c r="AE5563">
        <v>1</v>
      </c>
      <c r="AF5563">
        <v>1</v>
      </c>
      <c r="AG5563">
        <v>1</v>
      </c>
      <c r="AH5563">
        <v>1</v>
      </c>
      <c r="AI5563">
        <v>1</v>
      </c>
      <c r="AJ5563">
        <v>1</v>
      </c>
      <c r="AK5563">
        <v>1</v>
      </c>
      <c r="AL5563">
        <v>1</v>
      </c>
      <c r="AM5563">
        <v>1</v>
      </c>
    </row>
    <row r="5564" spans="1:39" x14ac:dyDescent="0.2">
      <c r="A5564" t="str">
        <f>"5560"</f>
        <v>5560</v>
      </c>
      <c r="B5564" t="str">
        <f t="shared" si="310"/>
        <v>1</v>
      </c>
      <c r="C5564" t="str">
        <f t="shared" si="309"/>
        <v>112</v>
      </c>
      <c r="D5564" t="str">
        <f>"14"</f>
        <v>14</v>
      </c>
      <c r="E5564" t="str">
        <f>"1-112-14"</f>
        <v>1-112-14</v>
      </c>
      <c r="F5564" t="s">
        <v>65</v>
      </c>
      <c r="G5564" t="s">
        <v>66</v>
      </c>
      <c r="H5564" t="s">
        <v>67</v>
      </c>
      <c r="S5564">
        <v>0</v>
      </c>
      <c r="T5564">
        <v>1</v>
      </c>
      <c r="U5564">
        <v>0</v>
      </c>
      <c r="V5564">
        <v>0</v>
      </c>
      <c r="W5564">
        <v>1</v>
      </c>
      <c r="X5564">
        <v>0</v>
      </c>
      <c r="Y5564">
        <v>1</v>
      </c>
      <c r="Z5564">
        <v>0</v>
      </c>
      <c r="AA5564">
        <v>1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1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</row>
    <row r="5565" spans="1:39" x14ac:dyDescent="0.2">
      <c r="A5565" t="str">
        <f>"5561"</f>
        <v>5561</v>
      </c>
      <c r="B5565" t="str">
        <f t="shared" si="310"/>
        <v>1</v>
      </c>
      <c r="C5565" t="str">
        <f t="shared" si="309"/>
        <v>112</v>
      </c>
      <c r="D5565" t="str">
        <f>"33"</f>
        <v>33</v>
      </c>
      <c r="E5565" t="str">
        <f>"1-112-33"</f>
        <v>1-112-33</v>
      </c>
      <c r="F5565" t="s">
        <v>65</v>
      </c>
      <c r="G5565" t="s">
        <v>66</v>
      </c>
      <c r="H5565" t="s">
        <v>67</v>
      </c>
      <c r="S5565">
        <v>1</v>
      </c>
      <c r="T5565">
        <v>0</v>
      </c>
      <c r="U5565">
        <v>0</v>
      </c>
      <c r="V5565">
        <v>0</v>
      </c>
      <c r="W5565">
        <v>1</v>
      </c>
      <c r="X5565">
        <v>0</v>
      </c>
      <c r="Y5565">
        <v>1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1</v>
      </c>
      <c r="AF5565">
        <v>1</v>
      </c>
      <c r="AG5565">
        <v>1</v>
      </c>
      <c r="AH5565">
        <v>1</v>
      </c>
      <c r="AI5565">
        <v>1</v>
      </c>
      <c r="AJ5565">
        <v>1</v>
      </c>
      <c r="AK5565">
        <v>1</v>
      </c>
      <c r="AL5565">
        <v>1</v>
      </c>
      <c r="AM5565">
        <v>1</v>
      </c>
    </row>
    <row r="5566" spans="1:39" x14ac:dyDescent="0.2">
      <c r="A5566" t="str">
        <f>"5562"</f>
        <v>5562</v>
      </c>
      <c r="B5566" t="str">
        <f t="shared" si="310"/>
        <v>1</v>
      </c>
      <c r="C5566" t="str">
        <f t="shared" si="309"/>
        <v>112</v>
      </c>
      <c r="D5566" t="str">
        <f>"25"</f>
        <v>25</v>
      </c>
      <c r="E5566" t="str">
        <f>"1-112-25"</f>
        <v>1-112-25</v>
      </c>
      <c r="F5566" t="s">
        <v>65</v>
      </c>
      <c r="G5566" t="s">
        <v>66</v>
      </c>
      <c r="H5566" t="s">
        <v>67</v>
      </c>
      <c r="S5566">
        <v>1</v>
      </c>
      <c r="T5566">
        <v>0</v>
      </c>
      <c r="U5566">
        <v>0</v>
      </c>
      <c r="V5566">
        <v>0</v>
      </c>
      <c r="W5566">
        <v>1</v>
      </c>
      <c r="X5566">
        <v>0</v>
      </c>
      <c r="Y5566">
        <v>1</v>
      </c>
      <c r="Z5566">
        <v>0</v>
      </c>
      <c r="AA5566">
        <v>0</v>
      </c>
      <c r="AB5566">
        <v>1</v>
      </c>
      <c r="AC5566">
        <v>0</v>
      </c>
      <c r="AD5566">
        <v>1</v>
      </c>
      <c r="AE5566">
        <v>1</v>
      </c>
      <c r="AF5566">
        <v>1</v>
      </c>
      <c r="AG5566">
        <v>1</v>
      </c>
      <c r="AH5566">
        <v>1</v>
      </c>
      <c r="AI5566">
        <v>1</v>
      </c>
      <c r="AJ5566">
        <v>1</v>
      </c>
      <c r="AK5566">
        <v>1</v>
      </c>
      <c r="AL5566">
        <v>1</v>
      </c>
      <c r="AM5566">
        <v>1</v>
      </c>
    </row>
    <row r="5567" spans="1:39" x14ac:dyDescent="0.2">
      <c r="A5567" t="str">
        <f>"5563"</f>
        <v>5563</v>
      </c>
      <c r="B5567" t="str">
        <f t="shared" si="310"/>
        <v>1</v>
      </c>
      <c r="C5567" t="str">
        <f t="shared" si="309"/>
        <v>112</v>
      </c>
      <c r="D5567" t="str">
        <f>"17"</f>
        <v>17</v>
      </c>
      <c r="E5567" t="str">
        <f>"1-112-17"</f>
        <v>1-112-17</v>
      </c>
      <c r="F5567" t="s">
        <v>65</v>
      </c>
      <c r="G5567" t="s">
        <v>66</v>
      </c>
      <c r="H5567" t="s">
        <v>67</v>
      </c>
      <c r="S5567">
        <v>1</v>
      </c>
      <c r="T5567">
        <v>0</v>
      </c>
      <c r="U5567">
        <v>0</v>
      </c>
      <c r="V5567">
        <v>0</v>
      </c>
      <c r="W5567">
        <v>1</v>
      </c>
      <c r="X5567">
        <v>0</v>
      </c>
      <c r="Y5567">
        <v>1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1</v>
      </c>
      <c r="AF5567">
        <v>1</v>
      </c>
      <c r="AG5567">
        <v>1</v>
      </c>
      <c r="AH5567">
        <v>1</v>
      </c>
      <c r="AI5567">
        <v>1</v>
      </c>
      <c r="AJ5567">
        <v>1</v>
      </c>
      <c r="AK5567">
        <v>1</v>
      </c>
      <c r="AL5567">
        <v>1</v>
      </c>
      <c r="AM5567">
        <v>1</v>
      </c>
    </row>
    <row r="5568" spans="1:39" x14ac:dyDescent="0.2">
      <c r="A5568" t="str">
        <f>"5564"</f>
        <v>5564</v>
      </c>
      <c r="B5568" t="str">
        <f t="shared" si="310"/>
        <v>1</v>
      </c>
      <c r="C5568" t="str">
        <f t="shared" si="309"/>
        <v>112</v>
      </c>
      <c r="D5568" t="str">
        <f>"8"</f>
        <v>8</v>
      </c>
      <c r="E5568" t="str">
        <f>"1-112-8"</f>
        <v>1-112-8</v>
      </c>
      <c r="F5568" t="s">
        <v>65</v>
      </c>
      <c r="G5568" t="s">
        <v>66</v>
      </c>
      <c r="H5568" t="s">
        <v>67</v>
      </c>
      <c r="S5568">
        <v>1</v>
      </c>
      <c r="T5568">
        <v>0</v>
      </c>
      <c r="U5568">
        <v>0</v>
      </c>
      <c r="V5568">
        <v>0</v>
      </c>
      <c r="W5568">
        <v>1</v>
      </c>
      <c r="X5568">
        <v>0</v>
      </c>
      <c r="Y5568">
        <v>1</v>
      </c>
      <c r="Z5568">
        <v>0</v>
      </c>
      <c r="AA5568">
        <v>0</v>
      </c>
      <c r="AB5568">
        <v>1</v>
      </c>
      <c r="AC5568">
        <v>0</v>
      </c>
      <c r="AD5568">
        <v>1</v>
      </c>
      <c r="AE5568">
        <v>1</v>
      </c>
      <c r="AF5568">
        <v>1</v>
      </c>
      <c r="AG5568">
        <v>1</v>
      </c>
      <c r="AH5568">
        <v>0</v>
      </c>
      <c r="AI5568">
        <v>1</v>
      </c>
      <c r="AJ5568">
        <v>1</v>
      </c>
      <c r="AK5568">
        <v>1</v>
      </c>
      <c r="AL5568">
        <v>1</v>
      </c>
      <c r="AM5568">
        <v>1</v>
      </c>
    </row>
    <row r="5569" spans="1:39" x14ac:dyDescent="0.2">
      <c r="A5569" t="str">
        <f>"5565"</f>
        <v>5565</v>
      </c>
      <c r="B5569" t="str">
        <f t="shared" si="310"/>
        <v>1</v>
      </c>
      <c r="C5569" t="str">
        <f t="shared" si="309"/>
        <v>112</v>
      </c>
      <c r="D5569" t="str">
        <f>"41"</f>
        <v>41</v>
      </c>
      <c r="E5569" t="str">
        <f>"1-112-41"</f>
        <v>1-112-41</v>
      </c>
      <c r="F5569" t="s">
        <v>65</v>
      </c>
      <c r="G5569" t="s">
        <v>66</v>
      </c>
      <c r="H5569" t="s">
        <v>67</v>
      </c>
      <c r="S5569">
        <v>1</v>
      </c>
      <c r="T5569">
        <v>0</v>
      </c>
      <c r="U5569">
        <v>0</v>
      </c>
      <c r="V5569">
        <v>0</v>
      </c>
      <c r="W5569">
        <v>1</v>
      </c>
      <c r="X5569">
        <v>0</v>
      </c>
      <c r="Y5569">
        <v>1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1</v>
      </c>
      <c r="AF5569">
        <v>1</v>
      </c>
      <c r="AG5569">
        <v>1</v>
      </c>
      <c r="AH5569">
        <v>1</v>
      </c>
      <c r="AI5569">
        <v>1</v>
      </c>
      <c r="AJ5569">
        <v>1</v>
      </c>
      <c r="AK5569">
        <v>1</v>
      </c>
      <c r="AL5569">
        <v>1</v>
      </c>
      <c r="AM5569">
        <v>1</v>
      </c>
    </row>
    <row r="5570" spans="1:39" x14ac:dyDescent="0.2">
      <c r="A5570" t="str">
        <f>"5566"</f>
        <v>5566</v>
      </c>
      <c r="B5570" t="str">
        <f t="shared" si="310"/>
        <v>1</v>
      </c>
      <c r="C5570" t="str">
        <f t="shared" si="309"/>
        <v>112</v>
      </c>
      <c r="D5570" t="str">
        <f>"40"</f>
        <v>40</v>
      </c>
      <c r="E5570" t="str">
        <f>"1-112-40"</f>
        <v>1-112-40</v>
      </c>
      <c r="F5570" t="s">
        <v>65</v>
      </c>
      <c r="G5570" t="s">
        <v>66</v>
      </c>
      <c r="H5570" t="s">
        <v>67</v>
      </c>
      <c r="S5570">
        <v>1</v>
      </c>
      <c r="T5570">
        <v>0</v>
      </c>
      <c r="U5570">
        <v>0</v>
      </c>
      <c r="V5570">
        <v>0</v>
      </c>
      <c r="W5570">
        <v>1</v>
      </c>
      <c r="X5570">
        <v>0</v>
      </c>
      <c r="Y5570">
        <v>0</v>
      </c>
      <c r="Z5570">
        <v>1</v>
      </c>
      <c r="AA5570">
        <v>0</v>
      </c>
      <c r="AB5570">
        <v>0</v>
      </c>
      <c r="AC5570">
        <v>1</v>
      </c>
      <c r="AD5570">
        <v>1</v>
      </c>
      <c r="AE5570">
        <v>1</v>
      </c>
      <c r="AF5570">
        <v>1</v>
      </c>
      <c r="AG5570">
        <v>1</v>
      </c>
      <c r="AH5570">
        <v>1</v>
      </c>
      <c r="AI5570">
        <v>1</v>
      </c>
      <c r="AJ5570">
        <v>1</v>
      </c>
      <c r="AK5570">
        <v>1</v>
      </c>
      <c r="AL5570">
        <v>1</v>
      </c>
      <c r="AM5570">
        <v>1</v>
      </c>
    </row>
    <row r="5571" spans="1:39" x14ac:dyDescent="0.2">
      <c r="A5571" t="str">
        <f>"5567"</f>
        <v>5567</v>
      </c>
      <c r="B5571" t="str">
        <f t="shared" si="310"/>
        <v>1</v>
      </c>
      <c r="C5571" t="str">
        <f t="shared" si="309"/>
        <v>112</v>
      </c>
      <c r="D5571" t="str">
        <f>"26"</f>
        <v>26</v>
      </c>
      <c r="E5571" t="str">
        <f>"1-112-26"</f>
        <v>1-112-26</v>
      </c>
      <c r="F5571" t="s">
        <v>65</v>
      </c>
      <c r="G5571" t="s">
        <v>66</v>
      </c>
      <c r="H5571" t="s">
        <v>67</v>
      </c>
      <c r="S5571">
        <v>1</v>
      </c>
      <c r="T5571">
        <v>0</v>
      </c>
      <c r="U5571">
        <v>0</v>
      </c>
      <c r="V5571">
        <v>0</v>
      </c>
      <c r="W5571">
        <v>1</v>
      </c>
      <c r="X5571">
        <v>0</v>
      </c>
      <c r="Y5571">
        <v>1</v>
      </c>
      <c r="Z5571">
        <v>0</v>
      </c>
      <c r="AA5571">
        <v>0</v>
      </c>
      <c r="AB5571">
        <v>0</v>
      </c>
      <c r="AC5571">
        <v>1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</row>
    <row r="5572" spans="1:39" x14ac:dyDescent="0.2">
      <c r="A5572" t="str">
        <f>"5568"</f>
        <v>5568</v>
      </c>
      <c r="B5572" t="str">
        <f t="shared" si="310"/>
        <v>1</v>
      </c>
      <c r="C5572" t="str">
        <f t="shared" si="309"/>
        <v>112</v>
      </c>
      <c r="D5572" t="str">
        <f>"18"</f>
        <v>18</v>
      </c>
      <c r="E5572" t="str">
        <f>"1-112-18"</f>
        <v>1-112-18</v>
      </c>
      <c r="F5572" t="s">
        <v>65</v>
      </c>
      <c r="G5572" t="s">
        <v>66</v>
      </c>
      <c r="H5572" t="s">
        <v>67</v>
      </c>
      <c r="S5572">
        <v>0</v>
      </c>
      <c r="T5572">
        <v>1</v>
      </c>
      <c r="U5572">
        <v>0</v>
      </c>
      <c r="V5572">
        <v>0</v>
      </c>
      <c r="W5572">
        <v>1</v>
      </c>
      <c r="X5572">
        <v>0</v>
      </c>
      <c r="Y5572">
        <v>1</v>
      </c>
      <c r="Z5572">
        <v>0</v>
      </c>
      <c r="AA5572">
        <v>0</v>
      </c>
      <c r="AB5572">
        <v>1</v>
      </c>
      <c r="AC5572">
        <v>0</v>
      </c>
      <c r="AD5572">
        <v>1</v>
      </c>
      <c r="AE5572">
        <v>1</v>
      </c>
      <c r="AF5572">
        <v>1</v>
      </c>
      <c r="AG5572">
        <v>1</v>
      </c>
      <c r="AH5572">
        <v>1</v>
      </c>
      <c r="AI5572">
        <v>1</v>
      </c>
      <c r="AJ5572">
        <v>1</v>
      </c>
      <c r="AK5572">
        <v>1</v>
      </c>
      <c r="AL5572">
        <v>1</v>
      </c>
      <c r="AM5572">
        <v>1</v>
      </c>
    </row>
    <row r="5573" spans="1:39" x14ac:dyDescent="0.2">
      <c r="A5573" t="str">
        <f>"5569"</f>
        <v>5569</v>
      </c>
      <c r="B5573" t="str">
        <f t="shared" si="310"/>
        <v>1</v>
      </c>
      <c r="C5573" t="str">
        <f t="shared" si="309"/>
        <v>112</v>
      </c>
      <c r="D5573" t="str">
        <f>"5"</f>
        <v>5</v>
      </c>
      <c r="E5573" t="str">
        <f>"1-112-5"</f>
        <v>1-112-5</v>
      </c>
      <c r="F5573" t="s">
        <v>65</v>
      </c>
      <c r="G5573" t="s">
        <v>66</v>
      </c>
      <c r="H5573" t="s">
        <v>67</v>
      </c>
      <c r="S5573">
        <v>0</v>
      </c>
      <c r="T5573">
        <v>0</v>
      </c>
      <c r="U5573">
        <v>0</v>
      </c>
      <c r="V5573">
        <v>0</v>
      </c>
      <c r="W5573">
        <v>1</v>
      </c>
      <c r="X5573">
        <v>0</v>
      </c>
      <c r="Y5573">
        <v>1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1</v>
      </c>
      <c r="AF5573">
        <v>1</v>
      </c>
      <c r="AG5573">
        <v>1</v>
      </c>
      <c r="AH5573">
        <v>0</v>
      </c>
      <c r="AI5573">
        <v>1</v>
      </c>
      <c r="AJ5573">
        <v>1</v>
      </c>
      <c r="AK5573">
        <v>1</v>
      </c>
      <c r="AL5573">
        <v>1</v>
      </c>
      <c r="AM5573">
        <v>1</v>
      </c>
    </row>
    <row r="5574" spans="1:39" x14ac:dyDescent="0.2">
      <c r="A5574" t="str">
        <f>"5570"</f>
        <v>5570</v>
      </c>
      <c r="B5574" t="str">
        <f t="shared" si="310"/>
        <v>1</v>
      </c>
      <c r="C5574" t="str">
        <f t="shared" si="309"/>
        <v>112</v>
      </c>
      <c r="D5574" t="str">
        <f>"42"</f>
        <v>42</v>
      </c>
      <c r="E5574" t="str">
        <f>"1-112-42"</f>
        <v>1-112-42</v>
      </c>
      <c r="F5574" t="s">
        <v>65</v>
      </c>
      <c r="G5574" t="s">
        <v>66</v>
      </c>
      <c r="H5574" t="s">
        <v>67</v>
      </c>
      <c r="S5574">
        <v>1</v>
      </c>
      <c r="T5574">
        <v>0</v>
      </c>
      <c r="U5574">
        <v>0</v>
      </c>
      <c r="V5574">
        <v>0</v>
      </c>
      <c r="W5574">
        <v>1</v>
      </c>
      <c r="X5574">
        <v>0</v>
      </c>
      <c r="Y5574">
        <v>1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1</v>
      </c>
      <c r="AF5574">
        <v>1</v>
      </c>
      <c r="AG5574">
        <v>1</v>
      </c>
      <c r="AH5574">
        <v>1</v>
      </c>
      <c r="AI5574">
        <v>1</v>
      </c>
      <c r="AJ5574">
        <v>1</v>
      </c>
      <c r="AK5574">
        <v>1</v>
      </c>
      <c r="AL5574">
        <v>1</v>
      </c>
      <c r="AM5574">
        <v>1</v>
      </c>
    </row>
    <row r="5575" spans="1:39" x14ac:dyDescent="0.2">
      <c r="A5575" t="str">
        <f>"5571"</f>
        <v>5571</v>
      </c>
      <c r="B5575" t="str">
        <f t="shared" si="310"/>
        <v>1</v>
      </c>
      <c r="C5575" t="str">
        <f t="shared" si="309"/>
        <v>112</v>
      </c>
      <c r="D5575" t="str">
        <f>"19"</f>
        <v>19</v>
      </c>
      <c r="E5575" t="str">
        <f>"1-112-19"</f>
        <v>1-112-19</v>
      </c>
      <c r="F5575" t="s">
        <v>65</v>
      </c>
      <c r="G5575" t="s">
        <v>66</v>
      </c>
      <c r="H5575" t="s">
        <v>67</v>
      </c>
      <c r="S5575">
        <v>1</v>
      </c>
      <c r="T5575">
        <v>0</v>
      </c>
      <c r="U5575">
        <v>0</v>
      </c>
      <c r="V5575">
        <v>0</v>
      </c>
      <c r="W5575">
        <v>0</v>
      </c>
      <c r="X5575">
        <v>1</v>
      </c>
      <c r="Y5575">
        <v>1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1</v>
      </c>
      <c r="AF5575">
        <v>1</v>
      </c>
      <c r="AG5575">
        <v>1</v>
      </c>
      <c r="AH5575">
        <v>1</v>
      </c>
      <c r="AI5575">
        <v>1</v>
      </c>
      <c r="AJ5575">
        <v>1</v>
      </c>
      <c r="AK5575">
        <v>1</v>
      </c>
      <c r="AL5575">
        <v>1</v>
      </c>
      <c r="AM5575">
        <v>1</v>
      </c>
    </row>
    <row r="5576" spans="1:39" x14ac:dyDescent="0.2">
      <c r="A5576" t="str">
        <f>"5572"</f>
        <v>5572</v>
      </c>
      <c r="B5576" t="str">
        <f t="shared" si="310"/>
        <v>1</v>
      </c>
      <c r="C5576" t="str">
        <f t="shared" si="309"/>
        <v>112</v>
      </c>
      <c r="D5576" t="str">
        <f>"2"</f>
        <v>2</v>
      </c>
      <c r="E5576" t="str">
        <f>"1-112-2"</f>
        <v>1-112-2</v>
      </c>
      <c r="F5576" t="s">
        <v>65</v>
      </c>
      <c r="G5576" t="s">
        <v>66</v>
      </c>
      <c r="H5576" t="s">
        <v>67</v>
      </c>
      <c r="S5576">
        <v>0</v>
      </c>
      <c r="T5576">
        <v>1</v>
      </c>
      <c r="U5576">
        <v>0</v>
      </c>
      <c r="V5576">
        <v>0</v>
      </c>
      <c r="W5576">
        <v>0</v>
      </c>
      <c r="X5576">
        <v>1</v>
      </c>
      <c r="Y5576">
        <v>1</v>
      </c>
      <c r="Z5576">
        <v>0</v>
      </c>
      <c r="AA5576">
        <v>0</v>
      </c>
      <c r="AB5576">
        <v>0</v>
      </c>
      <c r="AC5576">
        <v>1</v>
      </c>
      <c r="AD5576">
        <v>1</v>
      </c>
      <c r="AE5576">
        <v>1</v>
      </c>
      <c r="AF5576">
        <v>1</v>
      </c>
      <c r="AG5576">
        <v>1</v>
      </c>
      <c r="AH5576">
        <v>1</v>
      </c>
      <c r="AI5576">
        <v>1</v>
      </c>
      <c r="AJ5576">
        <v>1</v>
      </c>
      <c r="AK5576">
        <v>1</v>
      </c>
      <c r="AL5576">
        <v>1</v>
      </c>
      <c r="AM5576">
        <v>1</v>
      </c>
    </row>
    <row r="5577" spans="1:39" x14ac:dyDescent="0.2">
      <c r="A5577" t="str">
        <f>"5573"</f>
        <v>5573</v>
      </c>
      <c r="B5577" t="str">
        <f t="shared" si="310"/>
        <v>1</v>
      </c>
      <c r="C5577" t="str">
        <f t="shared" si="309"/>
        <v>112</v>
      </c>
      <c r="D5577" t="str">
        <f>"39"</f>
        <v>39</v>
      </c>
      <c r="E5577" t="str">
        <f>"1-112-39"</f>
        <v>1-112-39</v>
      </c>
      <c r="F5577" t="s">
        <v>65</v>
      </c>
      <c r="G5577" t="s">
        <v>66</v>
      </c>
      <c r="H5577" t="s">
        <v>67</v>
      </c>
      <c r="S5577">
        <v>0</v>
      </c>
      <c r="T5577">
        <v>0</v>
      </c>
      <c r="U5577">
        <v>0</v>
      </c>
      <c r="V5577">
        <v>0</v>
      </c>
      <c r="W5577">
        <v>1</v>
      </c>
      <c r="X5577">
        <v>0</v>
      </c>
      <c r="Y5577">
        <v>1</v>
      </c>
      <c r="Z5577">
        <v>0</v>
      </c>
      <c r="AA5577">
        <v>0</v>
      </c>
      <c r="AB5577">
        <v>0</v>
      </c>
      <c r="AC5577">
        <v>0</v>
      </c>
      <c r="AD5577">
        <v>1</v>
      </c>
      <c r="AE5577">
        <v>1</v>
      </c>
      <c r="AF5577">
        <v>1</v>
      </c>
      <c r="AG5577">
        <v>1</v>
      </c>
      <c r="AH5577">
        <v>1</v>
      </c>
      <c r="AI5577">
        <v>1</v>
      </c>
      <c r="AJ5577">
        <v>1</v>
      </c>
      <c r="AK5577">
        <v>1</v>
      </c>
      <c r="AL5577">
        <v>1</v>
      </c>
      <c r="AM5577">
        <v>0</v>
      </c>
    </row>
    <row r="5578" spans="1:39" x14ac:dyDescent="0.2">
      <c r="A5578" t="str">
        <f>"5574"</f>
        <v>5574</v>
      </c>
      <c r="B5578" t="str">
        <f t="shared" si="310"/>
        <v>1</v>
      </c>
      <c r="C5578" t="str">
        <f t="shared" si="309"/>
        <v>112</v>
      </c>
      <c r="D5578" t="str">
        <f>"20"</f>
        <v>20</v>
      </c>
      <c r="E5578" t="str">
        <f>"1-112-20"</f>
        <v>1-112-20</v>
      </c>
      <c r="F5578" t="s">
        <v>65</v>
      </c>
      <c r="G5578" t="s">
        <v>66</v>
      </c>
      <c r="H5578" t="s">
        <v>67</v>
      </c>
      <c r="S5578">
        <v>0</v>
      </c>
      <c r="T5578">
        <v>1</v>
      </c>
      <c r="U5578">
        <v>0</v>
      </c>
      <c r="V5578">
        <v>0</v>
      </c>
      <c r="W5578">
        <v>1</v>
      </c>
      <c r="X5578">
        <v>0</v>
      </c>
      <c r="Y5578">
        <v>1</v>
      </c>
      <c r="Z5578">
        <v>0</v>
      </c>
      <c r="AA5578">
        <v>1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1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</row>
    <row r="5579" spans="1:39" x14ac:dyDescent="0.2">
      <c r="A5579" t="str">
        <f>"5575"</f>
        <v>5575</v>
      </c>
      <c r="B5579" t="str">
        <f t="shared" si="310"/>
        <v>1</v>
      </c>
      <c r="C5579" t="str">
        <f t="shared" si="309"/>
        <v>112</v>
      </c>
      <c r="D5579" t="str">
        <f>"13"</f>
        <v>13</v>
      </c>
      <c r="E5579" t="str">
        <f>"1-112-13"</f>
        <v>1-112-13</v>
      </c>
      <c r="F5579" t="s">
        <v>65</v>
      </c>
      <c r="G5579" t="s">
        <v>66</v>
      </c>
      <c r="H5579" t="s">
        <v>67</v>
      </c>
      <c r="S5579">
        <v>0</v>
      </c>
      <c r="T5579">
        <v>1</v>
      </c>
      <c r="U5579">
        <v>0</v>
      </c>
      <c r="V5579">
        <v>0</v>
      </c>
      <c r="W5579">
        <v>1</v>
      </c>
      <c r="X5579">
        <v>0</v>
      </c>
      <c r="Y5579">
        <v>1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1</v>
      </c>
      <c r="AF5579">
        <v>1</v>
      </c>
      <c r="AG5579">
        <v>1</v>
      </c>
      <c r="AH5579">
        <v>1</v>
      </c>
      <c r="AI5579">
        <v>1</v>
      </c>
      <c r="AJ5579">
        <v>1</v>
      </c>
      <c r="AK5579">
        <v>1</v>
      </c>
      <c r="AL5579">
        <v>1</v>
      </c>
      <c r="AM5579">
        <v>1</v>
      </c>
    </row>
    <row r="5580" spans="1:39" x14ac:dyDescent="0.2">
      <c r="A5580" t="str">
        <f>"5576"</f>
        <v>5576</v>
      </c>
      <c r="B5580" t="str">
        <f t="shared" si="310"/>
        <v>1</v>
      </c>
      <c r="C5580" t="str">
        <f t="shared" si="309"/>
        <v>112</v>
      </c>
      <c r="D5580" t="str">
        <f>"44"</f>
        <v>44</v>
      </c>
      <c r="E5580" t="str">
        <f>"1-112-44"</f>
        <v>1-112-44</v>
      </c>
      <c r="F5580" t="s">
        <v>65</v>
      </c>
      <c r="G5580" t="s">
        <v>66</v>
      </c>
      <c r="H5580" t="s">
        <v>67</v>
      </c>
      <c r="S5580">
        <v>0</v>
      </c>
      <c r="T5580">
        <v>1</v>
      </c>
      <c r="U5580">
        <v>0</v>
      </c>
      <c r="V5580">
        <v>0</v>
      </c>
      <c r="W5580">
        <v>0</v>
      </c>
      <c r="X5580">
        <v>1</v>
      </c>
      <c r="Y5580">
        <v>0</v>
      </c>
      <c r="Z5580">
        <v>1</v>
      </c>
      <c r="AA5580">
        <v>0</v>
      </c>
      <c r="AB5580">
        <v>0</v>
      </c>
      <c r="AC5580">
        <v>1</v>
      </c>
      <c r="AD5580">
        <v>1</v>
      </c>
      <c r="AE5580">
        <v>1</v>
      </c>
      <c r="AF5580">
        <v>1</v>
      </c>
      <c r="AG5580">
        <v>1</v>
      </c>
      <c r="AH5580">
        <v>1</v>
      </c>
      <c r="AI5580">
        <v>1</v>
      </c>
      <c r="AJ5580">
        <v>1</v>
      </c>
      <c r="AK5580">
        <v>1</v>
      </c>
      <c r="AL5580">
        <v>1</v>
      </c>
      <c r="AM5580">
        <v>1</v>
      </c>
    </row>
    <row r="5581" spans="1:39" x14ac:dyDescent="0.2">
      <c r="A5581" t="str">
        <f>"5577"</f>
        <v>5577</v>
      </c>
      <c r="B5581" t="str">
        <f t="shared" si="310"/>
        <v>1</v>
      </c>
      <c r="C5581" t="str">
        <f t="shared" si="309"/>
        <v>112</v>
      </c>
      <c r="D5581" t="str">
        <f>"21"</f>
        <v>21</v>
      </c>
      <c r="E5581" t="str">
        <f>"1-112-21"</f>
        <v>1-112-21</v>
      </c>
      <c r="F5581" t="s">
        <v>65</v>
      </c>
      <c r="G5581" t="s">
        <v>66</v>
      </c>
      <c r="H5581" t="s">
        <v>67</v>
      </c>
      <c r="S5581">
        <v>1</v>
      </c>
      <c r="T5581">
        <v>0</v>
      </c>
      <c r="U5581">
        <v>0</v>
      </c>
      <c r="V5581">
        <v>0</v>
      </c>
      <c r="W5581">
        <v>1</v>
      </c>
      <c r="X5581">
        <v>0</v>
      </c>
      <c r="Y5581">
        <v>1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1</v>
      </c>
      <c r="AF5581">
        <v>1</v>
      </c>
      <c r="AG5581">
        <v>1</v>
      </c>
      <c r="AH5581">
        <v>1</v>
      </c>
      <c r="AI5581">
        <v>1</v>
      </c>
      <c r="AJ5581">
        <v>1</v>
      </c>
      <c r="AK5581">
        <v>1</v>
      </c>
      <c r="AL5581">
        <v>1</v>
      </c>
      <c r="AM5581">
        <v>1</v>
      </c>
    </row>
    <row r="5582" spans="1:39" x14ac:dyDescent="0.2">
      <c r="A5582" t="str">
        <f>"5578"</f>
        <v>5578</v>
      </c>
      <c r="B5582" t="str">
        <f t="shared" si="310"/>
        <v>1</v>
      </c>
      <c r="C5582" t="str">
        <f t="shared" si="309"/>
        <v>112</v>
      </c>
      <c r="D5582" t="str">
        <f>"11"</f>
        <v>11</v>
      </c>
      <c r="E5582" t="str">
        <f>"1-112-11"</f>
        <v>1-112-11</v>
      </c>
      <c r="F5582" t="s">
        <v>65</v>
      </c>
      <c r="G5582" t="s">
        <v>66</v>
      </c>
      <c r="H5582" t="s">
        <v>67</v>
      </c>
      <c r="S5582">
        <v>1</v>
      </c>
      <c r="T5582">
        <v>0</v>
      </c>
      <c r="U5582">
        <v>0</v>
      </c>
      <c r="V5582">
        <v>0</v>
      </c>
      <c r="W5582">
        <v>1</v>
      </c>
      <c r="X5582">
        <v>0</v>
      </c>
      <c r="Y5582">
        <v>0</v>
      </c>
      <c r="Z5582">
        <v>1</v>
      </c>
      <c r="AA5582">
        <v>1</v>
      </c>
      <c r="AB5582">
        <v>0</v>
      </c>
      <c r="AC5582">
        <v>0</v>
      </c>
      <c r="AD5582">
        <v>1</v>
      </c>
      <c r="AE5582">
        <v>1</v>
      </c>
      <c r="AF5582">
        <v>1</v>
      </c>
      <c r="AG5582">
        <v>1</v>
      </c>
      <c r="AH5582">
        <v>1</v>
      </c>
      <c r="AI5582">
        <v>1</v>
      </c>
      <c r="AJ5582">
        <v>1</v>
      </c>
      <c r="AK5582">
        <v>1</v>
      </c>
      <c r="AL5582">
        <v>1</v>
      </c>
      <c r="AM5582">
        <v>1</v>
      </c>
    </row>
    <row r="5583" spans="1:39" x14ac:dyDescent="0.2">
      <c r="A5583" t="str">
        <f>"5579"</f>
        <v>5579</v>
      </c>
      <c r="B5583" t="str">
        <f t="shared" si="310"/>
        <v>1</v>
      </c>
      <c r="C5583" t="str">
        <f t="shared" si="309"/>
        <v>112</v>
      </c>
      <c r="D5583" t="str">
        <f>"43"</f>
        <v>43</v>
      </c>
      <c r="E5583" t="str">
        <f>"1-112-43"</f>
        <v>1-112-43</v>
      </c>
      <c r="F5583" t="s">
        <v>65</v>
      </c>
      <c r="G5583" t="s">
        <v>66</v>
      </c>
      <c r="H5583" t="s">
        <v>67</v>
      </c>
      <c r="S5583">
        <v>1</v>
      </c>
      <c r="T5583">
        <v>0</v>
      </c>
      <c r="U5583">
        <v>0</v>
      </c>
      <c r="V5583">
        <v>0</v>
      </c>
      <c r="W5583">
        <v>1</v>
      </c>
      <c r="X5583">
        <v>0</v>
      </c>
      <c r="Y5583">
        <v>1</v>
      </c>
      <c r="Z5583">
        <v>0</v>
      </c>
      <c r="AA5583">
        <v>0</v>
      </c>
      <c r="AB5583">
        <v>1</v>
      </c>
      <c r="AC5583">
        <v>0</v>
      </c>
      <c r="AD5583">
        <v>1</v>
      </c>
      <c r="AE5583">
        <v>1</v>
      </c>
      <c r="AF5583">
        <v>1</v>
      </c>
      <c r="AG5583">
        <v>1</v>
      </c>
      <c r="AH5583">
        <v>1</v>
      </c>
      <c r="AI5583">
        <v>1</v>
      </c>
      <c r="AJ5583">
        <v>1</v>
      </c>
      <c r="AK5583">
        <v>1</v>
      </c>
      <c r="AL5583">
        <v>1</v>
      </c>
      <c r="AM5583">
        <v>1</v>
      </c>
    </row>
    <row r="5584" spans="1:39" x14ac:dyDescent="0.2">
      <c r="A5584" t="str">
        <f>"5580"</f>
        <v>5580</v>
      </c>
      <c r="B5584" t="str">
        <f t="shared" si="310"/>
        <v>1</v>
      </c>
      <c r="C5584" t="str">
        <f t="shared" si="309"/>
        <v>112</v>
      </c>
      <c r="D5584" t="str">
        <f>"22"</f>
        <v>22</v>
      </c>
      <c r="E5584" t="str">
        <f>"1-112-22"</f>
        <v>1-112-22</v>
      </c>
      <c r="F5584" t="s">
        <v>65</v>
      </c>
      <c r="G5584" t="s">
        <v>66</v>
      </c>
      <c r="H5584" t="s">
        <v>67</v>
      </c>
      <c r="S5584">
        <v>0</v>
      </c>
      <c r="T5584">
        <v>1</v>
      </c>
      <c r="U5584">
        <v>0</v>
      </c>
      <c r="V5584">
        <v>0</v>
      </c>
      <c r="W5584">
        <v>1</v>
      </c>
      <c r="X5584">
        <v>0</v>
      </c>
      <c r="Y5584">
        <v>0</v>
      </c>
      <c r="Z5584">
        <v>1</v>
      </c>
      <c r="AA5584">
        <v>0</v>
      </c>
      <c r="AB5584">
        <v>1</v>
      </c>
      <c r="AC5584">
        <v>0</v>
      </c>
      <c r="AD5584">
        <v>1</v>
      </c>
      <c r="AE5584">
        <v>1</v>
      </c>
      <c r="AF5584">
        <v>1</v>
      </c>
      <c r="AG5584">
        <v>1</v>
      </c>
      <c r="AH5584">
        <v>1</v>
      </c>
      <c r="AI5584">
        <v>1</v>
      </c>
      <c r="AJ5584">
        <v>1</v>
      </c>
      <c r="AK5584">
        <v>1</v>
      </c>
      <c r="AL5584">
        <v>1</v>
      </c>
      <c r="AM5584">
        <v>1</v>
      </c>
    </row>
    <row r="5585" spans="1:39" x14ac:dyDescent="0.2">
      <c r="A5585" t="str">
        <f>"5581"</f>
        <v>5581</v>
      </c>
      <c r="B5585" t="str">
        <f t="shared" si="310"/>
        <v>1</v>
      </c>
      <c r="C5585" t="str">
        <f t="shared" si="309"/>
        <v>112</v>
      </c>
      <c r="D5585" t="str">
        <f>"4"</f>
        <v>4</v>
      </c>
      <c r="E5585" t="str">
        <f>"1-112-4"</f>
        <v>1-112-4</v>
      </c>
      <c r="F5585" t="s">
        <v>65</v>
      </c>
      <c r="G5585" t="s">
        <v>66</v>
      </c>
      <c r="H5585" t="s">
        <v>67</v>
      </c>
      <c r="S5585">
        <v>1</v>
      </c>
      <c r="T5585">
        <v>0</v>
      </c>
      <c r="U5585">
        <v>0</v>
      </c>
      <c r="V5585">
        <v>0</v>
      </c>
      <c r="W5585">
        <v>0</v>
      </c>
      <c r="X5585">
        <v>1</v>
      </c>
      <c r="Y5585">
        <v>0</v>
      </c>
      <c r="Z5585">
        <v>1</v>
      </c>
      <c r="AA5585">
        <v>0</v>
      </c>
      <c r="AB5585">
        <v>0</v>
      </c>
      <c r="AC5585">
        <v>1</v>
      </c>
      <c r="AD5585">
        <v>1</v>
      </c>
      <c r="AE5585">
        <v>1</v>
      </c>
      <c r="AF5585">
        <v>1</v>
      </c>
      <c r="AG5585">
        <v>1</v>
      </c>
      <c r="AH5585">
        <v>1</v>
      </c>
      <c r="AI5585">
        <v>1</v>
      </c>
      <c r="AJ5585">
        <v>1</v>
      </c>
      <c r="AK5585">
        <v>1</v>
      </c>
      <c r="AL5585">
        <v>1</v>
      </c>
      <c r="AM5585">
        <v>1</v>
      </c>
    </row>
    <row r="5586" spans="1:39" x14ac:dyDescent="0.2">
      <c r="A5586" t="str">
        <f>"5582"</f>
        <v>5582</v>
      </c>
      <c r="B5586" t="str">
        <f t="shared" si="310"/>
        <v>1</v>
      </c>
      <c r="C5586" t="str">
        <f t="shared" si="309"/>
        <v>112</v>
      </c>
      <c r="D5586" t="str">
        <f>"45"</f>
        <v>45</v>
      </c>
      <c r="E5586" t="str">
        <f>"1-112-45"</f>
        <v>1-112-45</v>
      </c>
      <c r="F5586" t="s">
        <v>65</v>
      </c>
      <c r="G5586" t="s">
        <v>66</v>
      </c>
      <c r="H5586" t="s">
        <v>67</v>
      </c>
      <c r="S5586">
        <v>0</v>
      </c>
      <c r="T5586">
        <v>1</v>
      </c>
      <c r="U5586">
        <v>0</v>
      </c>
      <c r="V5586">
        <v>0</v>
      </c>
      <c r="W5586">
        <v>0</v>
      </c>
      <c r="X5586">
        <v>1</v>
      </c>
      <c r="Y5586">
        <v>0</v>
      </c>
      <c r="Z5586">
        <v>1</v>
      </c>
      <c r="AA5586">
        <v>0</v>
      </c>
      <c r="AB5586">
        <v>1</v>
      </c>
      <c r="AC5586">
        <v>0</v>
      </c>
      <c r="AD5586">
        <v>1</v>
      </c>
      <c r="AE5586">
        <v>1</v>
      </c>
      <c r="AF5586">
        <v>1</v>
      </c>
      <c r="AG5586">
        <v>1</v>
      </c>
      <c r="AH5586">
        <v>1</v>
      </c>
      <c r="AI5586">
        <v>1</v>
      </c>
      <c r="AJ5586">
        <v>1</v>
      </c>
      <c r="AK5586">
        <v>1</v>
      </c>
      <c r="AL5586">
        <v>1</v>
      </c>
      <c r="AM5586">
        <v>1</v>
      </c>
    </row>
    <row r="5587" spans="1:39" x14ac:dyDescent="0.2">
      <c r="A5587" t="str">
        <f>"5583"</f>
        <v>5583</v>
      </c>
      <c r="B5587" t="str">
        <f t="shared" si="310"/>
        <v>1</v>
      </c>
      <c r="C5587" t="str">
        <f t="shared" ref="C5587:C5604" si="311">"112"</f>
        <v>112</v>
      </c>
      <c r="D5587" t="str">
        <f>"23"</f>
        <v>23</v>
      </c>
      <c r="E5587" t="str">
        <f>"1-112-23"</f>
        <v>1-112-23</v>
      </c>
      <c r="F5587" t="s">
        <v>65</v>
      </c>
      <c r="G5587" t="s">
        <v>66</v>
      </c>
      <c r="H5587" t="s">
        <v>67</v>
      </c>
      <c r="S5587">
        <v>0</v>
      </c>
      <c r="T5587">
        <v>1</v>
      </c>
      <c r="U5587">
        <v>0</v>
      </c>
      <c r="V5587">
        <v>0</v>
      </c>
      <c r="W5587">
        <v>1</v>
      </c>
      <c r="X5587">
        <v>0</v>
      </c>
      <c r="Y5587">
        <v>1</v>
      </c>
      <c r="Z5587">
        <v>0</v>
      </c>
      <c r="AA5587">
        <v>0</v>
      </c>
      <c r="AB5587">
        <v>1</v>
      </c>
      <c r="AC5587">
        <v>0</v>
      </c>
      <c r="AD5587">
        <v>1</v>
      </c>
      <c r="AE5587">
        <v>1</v>
      </c>
      <c r="AF5587">
        <v>1</v>
      </c>
      <c r="AG5587">
        <v>1</v>
      </c>
      <c r="AH5587">
        <v>1</v>
      </c>
      <c r="AI5587">
        <v>1</v>
      </c>
      <c r="AJ5587">
        <v>1</v>
      </c>
      <c r="AK5587">
        <v>1</v>
      </c>
      <c r="AL5587">
        <v>1</v>
      </c>
      <c r="AM5587">
        <v>1</v>
      </c>
    </row>
    <row r="5588" spans="1:39" x14ac:dyDescent="0.2">
      <c r="A5588" t="str">
        <f>"5584"</f>
        <v>5584</v>
      </c>
      <c r="B5588" t="str">
        <f t="shared" si="310"/>
        <v>1</v>
      </c>
      <c r="C5588" t="str">
        <f t="shared" si="311"/>
        <v>112</v>
      </c>
      <c r="D5588" t="str">
        <f>"10"</f>
        <v>10</v>
      </c>
      <c r="E5588" t="str">
        <f>"1-112-10"</f>
        <v>1-112-10</v>
      </c>
      <c r="F5588" t="s">
        <v>65</v>
      </c>
      <c r="G5588" t="s">
        <v>66</v>
      </c>
      <c r="H5588" t="s">
        <v>67</v>
      </c>
      <c r="S5588">
        <v>1</v>
      </c>
      <c r="T5588">
        <v>0</v>
      </c>
      <c r="U5588">
        <v>0</v>
      </c>
      <c r="V5588">
        <v>0</v>
      </c>
      <c r="W5588">
        <v>0</v>
      </c>
      <c r="X5588">
        <v>1</v>
      </c>
      <c r="Y5588">
        <v>1</v>
      </c>
      <c r="Z5588">
        <v>0</v>
      </c>
      <c r="AA5588">
        <v>0</v>
      </c>
      <c r="AB5588">
        <v>1</v>
      </c>
      <c r="AC5588">
        <v>0</v>
      </c>
      <c r="AD5588">
        <v>1</v>
      </c>
      <c r="AE5588">
        <v>1</v>
      </c>
      <c r="AF5588">
        <v>1</v>
      </c>
      <c r="AG5588">
        <v>1</v>
      </c>
      <c r="AH5588">
        <v>1</v>
      </c>
      <c r="AI5588">
        <v>1</v>
      </c>
      <c r="AJ5588">
        <v>1</v>
      </c>
      <c r="AK5588">
        <v>1</v>
      </c>
      <c r="AL5588">
        <v>1</v>
      </c>
      <c r="AM5588">
        <v>1</v>
      </c>
    </row>
    <row r="5589" spans="1:39" x14ac:dyDescent="0.2">
      <c r="A5589" t="str">
        <f>"5585"</f>
        <v>5585</v>
      </c>
      <c r="B5589" t="str">
        <f t="shared" si="310"/>
        <v>1</v>
      </c>
      <c r="C5589" t="str">
        <f t="shared" si="311"/>
        <v>112</v>
      </c>
      <c r="D5589" t="str">
        <f>"49"</f>
        <v>49</v>
      </c>
      <c r="E5589" t="str">
        <f>"1-112-49"</f>
        <v>1-112-49</v>
      </c>
      <c r="F5589" t="s">
        <v>65</v>
      </c>
      <c r="G5589" t="s">
        <v>66</v>
      </c>
      <c r="H5589" t="s">
        <v>67</v>
      </c>
      <c r="S5589">
        <v>0</v>
      </c>
      <c r="T5589">
        <v>1</v>
      </c>
      <c r="U5589">
        <v>0</v>
      </c>
      <c r="V5589">
        <v>0</v>
      </c>
      <c r="W5589">
        <v>1</v>
      </c>
      <c r="X5589">
        <v>0</v>
      </c>
      <c r="Y5589">
        <v>0</v>
      </c>
      <c r="Z5589">
        <v>1</v>
      </c>
      <c r="AA5589">
        <v>1</v>
      </c>
      <c r="AB5589">
        <v>0</v>
      </c>
      <c r="AC5589">
        <v>0</v>
      </c>
      <c r="AD5589">
        <v>1</v>
      </c>
      <c r="AE5589">
        <v>1</v>
      </c>
      <c r="AF5589">
        <v>1</v>
      </c>
      <c r="AG5589">
        <v>1</v>
      </c>
      <c r="AH5589">
        <v>1</v>
      </c>
      <c r="AI5589">
        <v>1</v>
      </c>
      <c r="AJ5589">
        <v>1</v>
      </c>
      <c r="AK5589">
        <v>1</v>
      </c>
      <c r="AL5589">
        <v>1</v>
      </c>
      <c r="AM5589">
        <v>1</v>
      </c>
    </row>
    <row r="5590" spans="1:39" x14ac:dyDescent="0.2">
      <c r="A5590" t="str">
        <f>"5586"</f>
        <v>5586</v>
      </c>
      <c r="B5590" t="str">
        <f t="shared" si="310"/>
        <v>1</v>
      </c>
      <c r="C5590" t="str">
        <f t="shared" si="311"/>
        <v>112</v>
      </c>
      <c r="D5590" t="str">
        <f>"28"</f>
        <v>28</v>
      </c>
      <c r="E5590" t="str">
        <f>"1-112-28"</f>
        <v>1-112-28</v>
      </c>
      <c r="F5590" t="s">
        <v>65</v>
      </c>
      <c r="G5590" t="s">
        <v>66</v>
      </c>
      <c r="H5590" t="s">
        <v>67</v>
      </c>
      <c r="S5590">
        <v>0</v>
      </c>
      <c r="T5590">
        <v>1</v>
      </c>
      <c r="U5590">
        <v>0</v>
      </c>
      <c r="V5590">
        <v>0</v>
      </c>
      <c r="W5590">
        <v>1</v>
      </c>
      <c r="X5590">
        <v>0</v>
      </c>
      <c r="Y5590">
        <v>1</v>
      </c>
      <c r="Z5590">
        <v>0</v>
      </c>
      <c r="AA5590">
        <v>0</v>
      </c>
      <c r="AB5590">
        <v>1</v>
      </c>
      <c r="AC5590">
        <v>0</v>
      </c>
      <c r="AD5590">
        <v>1</v>
      </c>
      <c r="AE5590">
        <v>1</v>
      </c>
      <c r="AF5590">
        <v>1</v>
      </c>
      <c r="AG5590">
        <v>1</v>
      </c>
      <c r="AH5590">
        <v>1</v>
      </c>
      <c r="AI5590">
        <v>1</v>
      </c>
      <c r="AJ5590">
        <v>1</v>
      </c>
      <c r="AK5590">
        <v>1</v>
      </c>
      <c r="AL5590">
        <v>1</v>
      </c>
      <c r="AM5590">
        <v>1</v>
      </c>
    </row>
    <row r="5591" spans="1:39" x14ac:dyDescent="0.2">
      <c r="A5591" t="str">
        <f>"5587"</f>
        <v>5587</v>
      </c>
      <c r="B5591" t="str">
        <f t="shared" si="310"/>
        <v>1</v>
      </c>
      <c r="C5591" t="str">
        <f t="shared" si="311"/>
        <v>112</v>
      </c>
      <c r="D5591" t="str">
        <f>"3"</f>
        <v>3</v>
      </c>
      <c r="E5591" t="str">
        <f>"1-112-3"</f>
        <v>1-112-3</v>
      </c>
      <c r="F5591" t="s">
        <v>65</v>
      </c>
      <c r="G5591" t="s">
        <v>66</v>
      </c>
      <c r="H5591" t="s">
        <v>67</v>
      </c>
      <c r="S5591">
        <v>1</v>
      </c>
      <c r="T5591">
        <v>0</v>
      </c>
      <c r="U5591">
        <v>0</v>
      </c>
      <c r="V5591">
        <v>0</v>
      </c>
      <c r="W5591">
        <v>1</v>
      </c>
      <c r="X5591">
        <v>0</v>
      </c>
      <c r="Y5591">
        <v>1</v>
      </c>
      <c r="Z5591">
        <v>0</v>
      </c>
      <c r="AA5591">
        <v>1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1</v>
      </c>
      <c r="AI5591">
        <v>1</v>
      </c>
      <c r="AJ5591">
        <v>1</v>
      </c>
      <c r="AK5591">
        <v>1</v>
      </c>
      <c r="AL5591">
        <v>1</v>
      </c>
      <c r="AM5591">
        <v>0</v>
      </c>
    </row>
    <row r="5592" spans="1:39" x14ac:dyDescent="0.2">
      <c r="A5592" t="str">
        <f>"5588"</f>
        <v>5588</v>
      </c>
      <c r="B5592" t="str">
        <f t="shared" si="310"/>
        <v>1</v>
      </c>
      <c r="C5592" t="str">
        <f t="shared" si="311"/>
        <v>112</v>
      </c>
      <c r="D5592" t="str">
        <f>"46"</f>
        <v>46</v>
      </c>
      <c r="E5592" t="str">
        <f>"1-112-46"</f>
        <v>1-112-46</v>
      </c>
      <c r="F5592" t="s">
        <v>65</v>
      </c>
      <c r="G5592" t="s">
        <v>66</v>
      </c>
      <c r="H5592" t="s">
        <v>67</v>
      </c>
      <c r="S5592">
        <v>1</v>
      </c>
      <c r="T5592">
        <v>0</v>
      </c>
      <c r="U5592">
        <v>0</v>
      </c>
      <c r="V5592">
        <v>0</v>
      </c>
      <c r="W5592">
        <v>0</v>
      </c>
      <c r="X5592">
        <v>1</v>
      </c>
      <c r="Y5592">
        <v>1</v>
      </c>
      <c r="Z5592">
        <v>0</v>
      </c>
      <c r="AA5592">
        <v>0</v>
      </c>
      <c r="AB5592">
        <v>1</v>
      </c>
      <c r="AC5592">
        <v>0</v>
      </c>
      <c r="AD5592">
        <v>1</v>
      </c>
      <c r="AE5592">
        <v>1</v>
      </c>
      <c r="AF5592">
        <v>1</v>
      </c>
      <c r="AG5592">
        <v>1</v>
      </c>
      <c r="AH5592">
        <v>1</v>
      </c>
      <c r="AI5592">
        <v>1</v>
      </c>
      <c r="AJ5592">
        <v>1</v>
      </c>
      <c r="AK5592">
        <v>1</v>
      </c>
      <c r="AL5592">
        <v>1</v>
      </c>
      <c r="AM5592">
        <v>1</v>
      </c>
    </row>
    <row r="5593" spans="1:39" x14ac:dyDescent="0.2">
      <c r="A5593" t="str">
        <f>"5589"</f>
        <v>5589</v>
      </c>
      <c r="B5593" t="str">
        <f t="shared" si="310"/>
        <v>1</v>
      </c>
      <c r="C5593" t="str">
        <f t="shared" si="311"/>
        <v>112</v>
      </c>
      <c r="D5593" t="str">
        <f>"29"</f>
        <v>29</v>
      </c>
      <c r="E5593" t="str">
        <f>"1-112-29"</f>
        <v>1-112-29</v>
      </c>
      <c r="F5593" t="s">
        <v>65</v>
      </c>
      <c r="G5593" t="s">
        <v>66</v>
      </c>
      <c r="H5593" t="s">
        <v>67</v>
      </c>
      <c r="S5593">
        <v>1</v>
      </c>
      <c r="T5593">
        <v>0</v>
      </c>
      <c r="U5593">
        <v>0</v>
      </c>
      <c r="V5593">
        <v>0</v>
      </c>
      <c r="W5593">
        <v>0</v>
      </c>
      <c r="X5593">
        <v>1</v>
      </c>
      <c r="Y5593">
        <v>1</v>
      </c>
      <c r="Z5593">
        <v>0</v>
      </c>
      <c r="AA5593">
        <v>0</v>
      </c>
      <c r="AB5593">
        <v>1</v>
      </c>
      <c r="AC5593">
        <v>0</v>
      </c>
      <c r="AD5593">
        <v>1</v>
      </c>
      <c r="AE5593">
        <v>1</v>
      </c>
      <c r="AF5593">
        <v>1</v>
      </c>
      <c r="AG5593">
        <v>1</v>
      </c>
      <c r="AH5593">
        <v>1</v>
      </c>
      <c r="AI5593">
        <v>1</v>
      </c>
      <c r="AJ5593">
        <v>1</v>
      </c>
      <c r="AK5593">
        <v>1</v>
      </c>
      <c r="AL5593">
        <v>1</v>
      </c>
      <c r="AM5593">
        <v>1</v>
      </c>
    </row>
    <row r="5594" spans="1:39" x14ac:dyDescent="0.2">
      <c r="A5594" t="str">
        <f>"5590"</f>
        <v>5590</v>
      </c>
      <c r="B5594" t="str">
        <f t="shared" si="310"/>
        <v>1</v>
      </c>
      <c r="C5594" t="str">
        <f t="shared" si="311"/>
        <v>112</v>
      </c>
      <c r="D5594" t="str">
        <f>"9"</f>
        <v>9</v>
      </c>
      <c r="E5594" t="str">
        <f>"1-112-9"</f>
        <v>1-112-9</v>
      </c>
      <c r="F5594" t="s">
        <v>65</v>
      </c>
      <c r="G5594" t="s">
        <v>66</v>
      </c>
      <c r="H5594" t="s">
        <v>67</v>
      </c>
      <c r="S5594">
        <v>0</v>
      </c>
      <c r="T5594">
        <v>1</v>
      </c>
      <c r="U5594">
        <v>0</v>
      </c>
      <c r="V5594">
        <v>0</v>
      </c>
      <c r="W5594">
        <v>0</v>
      </c>
      <c r="X5594">
        <v>1</v>
      </c>
      <c r="Y5594">
        <v>0</v>
      </c>
      <c r="Z5594">
        <v>1</v>
      </c>
      <c r="AA5594">
        <v>0</v>
      </c>
      <c r="AB5594">
        <v>0</v>
      </c>
      <c r="AC5594">
        <v>1</v>
      </c>
      <c r="AD5594">
        <v>1</v>
      </c>
      <c r="AE5594">
        <v>1</v>
      </c>
      <c r="AF5594">
        <v>1</v>
      </c>
      <c r="AG5594">
        <v>1</v>
      </c>
      <c r="AH5594">
        <v>1</v>
      </c>
      <c r="AI5594">
        <v>1</v>
      </c>
      <c r="AJ5594">
        <v>1</v>
      </c>
      <c r="AK5594">
        <v>1</v>
      </c>
      <c r="AL5594">
        <v>1</v>
      </c>
      <c r="AM5594">
        <v>1</v>
      </c>
    </row>
    <row r="5595" spans="1:39" x14ac:dyDescent="0.2">
      <c r="A5595" t="str">
        <f>"5591"</f>
        <v>5591</v>
      </c>
      <c r="B5595" t="str">
        <f t="shared" si="310"/>
        <v>1</v>
      </c>
      <c r="C5595" t="str">
        <f t="shared" si="311"/>
        <v>112</v>
      </c>
      <c r="D5595" t="str">
        <f>"48"</f>
        <v>48</v>
      </c>
      <c r="E5595" t="str">
        <f>"1-112-48"</f>
        <v>1-112-48</v>
      </c>
      <c r="F5595" t="s">
        <v>65</v>
      </c>
      <c r="G5595" t="s">
        <v>66</v>
      </c>
      <c r="H5595" t="s">
        <v>67</v>
      </c>
      <c r="S5595">
        <v>0</v>
      </c>
      <c r="T5595">
        <v>0</v>
      </c>
      <c r="U5595">
        <v>0</v>
      </c>
      <c r="V5595">
        <v>0</v>
      </c>
      <c r="W5595">
        <v>1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1</v>
      </c>
      <c r="AD5595">
        <v>1</v>
      </c>
      <c r="AE5595">
        <v>1</v>
      </c>
      <c r="AF5595">
        <v>1</v>
      </c>
      <c r="AG5595">
        <v>1</v>
      </c>
      <c r="AH5595">
        <v>1</v>
      </c>
      <c r="AI5595">
        <v>1</v>
      </c>
      <c r="AJ5595">
        <v>1</v>
      </c>
      <c r="AK5595">
        <v>1</v>
      </c>
      <c r="AL5595">
        <v>1</v>
      </c>
      <c r="AM5595">
        <v>1</v>
      </c>
    </row>
    <row r="5596" spans="1:39" x14ac:dyDescent="0.2">
      <c r="A5596" t="str">
        <f>"5592"</f>
        <v>5592</v>
      </c>
      <c r="B5596" t="str">
        <f t="shared" si="310"/>
        <v>1</v>
      </c>
      <c r="C5596" t="str">
        <f t="shared" si="311"/>
        <v>112</v>
      </c>
      <c r="D5596" t="str">
        <f>"30"</f>
        <v>30</v>
      </c>
      <c r="E5596" t="str">
        <f>"1-112-30"</f>
        <v>1-112-30</v>
      </c>
      <c r="F5596" t="s">
        <v>65</v>
      </c>
      <c r="G5596" t="s">
        <v>66</v>
      </c>
      <c r="H5596" t="s">
        <v>67</v>
      </c>
      <c r="S5596">
        <v>1</v>
      </c>
      <c r="T5596">
        <v>0</v>
      </c>
      <c r="U5596">
        <v>0</v>
      </c>
      <c r="V5596">
        <v>0</v>
      </c>
      <c r="W5596">
        <v>1</v>
      </c>
      <c r="X5596">
        <v>0</v>
      </c>
      <c r="Y5596">
        <v>1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1</v>
      </c>
      <c r="AF5596">
        <v>1</v>
      </c>
      <c r="AG5596">
        <v>1</v>
      </c>
      <c r="AH5596">
        <v>1</v>
      </c>
      <c r="AI5596">
        <v>1</v>
      </c>
      <c r="AJ5596">
        <v>1</v>
      </c>
      <c r="AK5596">
        <v>1</v>
      </c>
      <c r="AL5596">
        <v>1</v>
      </c>
      <c r="AM5596">
        <v>1</v>
      </c>
    </row>
    <row r="5597" spans="1:39" x14ac:dyDescent="0.2">
      <c r="A5597" t="str">
        <f>"5593"</f>
        <v>5593</v>
      </c>
      <c r="B5597" t="str">
        <f t="shared" si="310"/>
        <v>1</v>
      </c>
      <c r="C5597" t="str">
        <f t="shared" si="311"/>
        <v>112</v>
      </c>
      <c r="D5597" t="str">
        <f>"6"</f>
        <v>6</v>
      </c>
      <c r="E5597" t="str">
        <f>"1-112-6"</f>
        <v>1-112-6</v>
      </c>
      <c r="F5597" t="s">
        <v>65</v>
      </c>
      <c r="G5597" t="s">
        <v>66</v>
      </c>
      <c r="H5597" t="s">
        <v>67</v>
      </c>
      <c r="S5597">
        <v>1</v>
      </c>
      <c r="T5597">
        <v>0</v>
      </c>
      <c r="U5597">
        <v>0</v>
      </c>
      <c r="V5597">
        <v>0</v>
      </c>
      <c r="W5597">
        <v>0</v>
      </c>
      <c r="X5597">
        <v>1</v>
      </c>
      <c r="Y5597">
        <v>1</v>
      </c>
      <c r="Z5597">
        <v>0</v>
      </c>
      <c r="AA5597">
        <v>0</v>
      </c>
      <c r="AB5597">
        <v>0</v>
      </c>
      <c r="AC5597">
        <v>1</v>
      </c>
      <c r="AD5597">
        <v>1</v>
      </c>
      <c r="AE5597">
        <v>1</v>
      </c>
      <c r="AF5597">
        <v>1</v>
      </c>
      <c r="AG5597">
        <v>1</v>
      </c>
      <c r="AH5597">
        <v>1</v>
      </c>
      <c r="AI5597">
        <v>1</v>
      </c>
      <c r="AJ5597">
        <v>1</v>
      </c>
      <c r="AK5597">
        <v>1</v>
      </c>
      <c r="AL5597">
        <v>1</v>
      </c>
      <c r="AM5597">
        <v>1</v>
      </c>
    </row>
    <row r="5598" spans="1:39" x14ac:dyDescent="0.2">
      <c r="A5598" t="str">
        <f>"5594"</f>
        <v>5594</v>
      </c>
      <c r="B5598" t="str">
        <f t="shared" si="310"/>
        <v>1</v>
      </c>
      <c r="C5598" t="str">
        <f t="shared" si="311"/>
        <v>112</v>
      </c>
      <c r="D5598" t="str">
        <f>"47"</f>
        <v>47</v>
      </c>
      <c r="E5598" t="str">
        <f>"1-112-47"</f>
        <v>1-112-47</v>
      </c>
      <c r="F5598" t="s">
        <v>65</v>
      </c>
      <c r="G5598" t="s">
        <v>66</v>
      </c>
      <c r="H5598" t="s">
        <v>67</v>
      </c>
      <c r="S5598">
        <v>0</v>
      </c>
      <c r="T5598">
        <v>1</v>
      </c>
      <c r="U5598">
        <v>0</v>
      </c>
      <c r="V5598">
        <v>0</v>
      </c>
      <c r="W5598">
        <v>0</v>
      </c>
      <c r="X5598">
        <v>1</v>
      </c>
      <c r="Y5598">
        <v>0</v>
      </c>
      <c r="Z5598">
        <v>1</v>
      </c>
      <c r="AA5598">
        <v>0</v>
      </c>
      <c r="AB5598">
        <v>0</v>
      </c>
      <c r="AC5598">
        <v>1</v>
      </c>
      <c r="AD5598">
        <v>0</v>
      </c>
      <c r="AE5598">
        <v>0</v>
      </c>
      <c r="AF5598">
        <v>0</v>
      </c>
      <c r="AG5598">
        <v>1</v>
      </c>
      <c r="AH5598">
        <v>1</v>
      </c>
      <c r="AI5598">
        <v>1</v>
      </c>
      <c r="AJ5598">
        <v>1</v>
      </c>
      <c r="AK5598">
        <v>1</v>
      </c>
      <c r="AL5598">
        <v>1</v>
      </c>
      <c r="AM5598">
        <v>1</v>
      </c>
    </row>
    <row r="5599" spans="1:39" x14ac:dyDescent="0.2">
      <c r="A5599" t="str">
        <f>"5595"</f>
        <v>5595</v>
      </c>
      <c r="B5599" t="str">
        <f t="shared" si="310"/>
        <v>1</v>
      </c>
      <c r="C5599" t="str">
        <f t="shared" si="311"/>
        <v>112</v>
      </c>
      <c r="D5599" t="str">
        <f>"31"</f>
        <v>31</v>
      </c>
      <c r="E5599" t="str">
        <f>"1-112-31"</f>
        <v>1-112-31</v>
      </c>
      <c r="F5599" t="s">
        <v>65</v>
      </c>
      <c r="G5599" t="s">
        <v>66</v>
      </c>
      <c r="H5599" t="s">
        <v>67</v>
      </c>
      <c r="S5599">
        <v>1</v>
      </c>
      <c r="T5599">
        <v>0</v>
      </c>
      <c r="U5599">
        <v>0</v>
      </c>
      <c r="V5599">
        <v>0</v>
      </c>
      <c r="W5599">
        <v>1</v>
      </c>
      <c r="X5599">
        <v>0</v>
      </c>
      <c r="Y5599">
        <v>1</v>
      </c>
      <c r="Z5599">
        <v>0</v>
      </c>
      <c r="AA5599">
        <v>1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1</v>
      </c>
      <c r="AH5599">
        <v>1</v>
      </c>
      <c r="AI5599">
        <v>1</v>
      </c>
      <c r="AJ5599">
        <v>1</v>
      </c>
      <c r="AK5599">
        <v>1</v>
      </c>
      <c r="AL5599">
        <v>1</v>
      </c>
      <c r="AM5599">
        <v>1</v>
      </c>
    </row>
    <row r="5600" spans="1:39" x14ac:dyDescent="0.2">
      <c r="A5600" t="str">
        <f>"5596"</f>
        <v>5596</v>
      </c>
      <c r="B5600" t="str">
        <f t="shared" si="310"/>
        <v>1</v>
      </c>
      <c r="C5600" t="str">
        <f t="shared" si="311"/>
        <v>112</v>
      </c>
      <c r="D5600" t="str">
        <f>"12"</f>
        <v>12</v>
      </c>
      <c r="E5600" t="str">
        <f>"1-112-12"</f>
        <v>1-112-12</v>
      </c>
      <c r="F5600" t="s">
        <v>65</v>
      </c>
      <c r="G5600" t="s">
        <v>66</v>
      </c>
      <c r="H5600" t="s">
        <v>67</v>
      </c>
      <c r="S5600">
        <v>0</v>
      </c>
      <c r="T5600">
        <v>1</v>
      </c>
      <c r="U5600">
        <v>0</v>
      </c>
      <c r="V5600">
        <v>0</v>
      </c>
      <c r="W5600">
        <v>1</v>
      </c>
      <c r="X5600">
        <v>0</v>
      </c>
      <c r="Y5600">
        <v>0</v>
      </c>
      <c r="Z5600">
        <v>1</v>
      </c>
      <c r="AA5600">
        <v>0</v>
      </c>
      <c r="AB5600">
        <v>1</v>
      </c>
      <c r="AC5600">
        <v>0</v>
      </c>
      <c r="AD5600">
        <v>1</v>
      </c>
      <c r="AE5600">
        <v>1</v>
      </c>
      <c r="AF5600">
        <v>1</v>
      </c>
      <c r="AG5600">
        <v>1</v>
      </c>
      <c r="AH5600">
        <v>1</v>
      </c>
      <c r="AI5600">
        <v>1</v>
      </c>
      <c r="AJ5600">
        <v>1</v>
      </c>
      <c r="AK5600">
        <v>1</v>
      </c>
      <c r="AL5600">
        <v>1</v>
      </c>
      <c r="AM5600">
        <v>1</v>
      </c>
    </row>
    <row r="5601" spans="1:39" x14ac:dyDescent="0.2">
      <c r="A5601" t="str">
        <f>"5597"</f>
        <v>5597</v>
      </c>
      <c r="B5601" t="str">
        <f t="shared" si="310"/>
        <v>1</v>
      </c>
      <c r="C5601" t="str">
        <f t="shared" si="311"/>
        <v>112</v>
      </c>
      <c r="D5601" t="str">
        <f>"50"</f>
        <v>50</v>
      </c>
      <c r="E5601" t="str">
        <f>"1-112-50"</f>
        <v>1-112-50</v>
      </c>
      <c r="F5601" t="s">
        <v>65</v>
      </c>
      <c r="G5601" t="s">
        <v>66</v>
      </c>
      <c r="H5601" t="s">
        <v>67</v>
      </c>
      <c r="S5601">
        <v>1</v>
      </c>
      <c r="T5601">
        <v>0</v>
      </c>
      <c r="U5601">
        <v>0</v>
      </c>
      <c r="V5601">
        <v>0</v>
      </c>
      <c r="W5601">
        <v>1</v>
      </c>
      <c r="X5601">
        <v>0</v>
      </c>
      <c r="Y5601">
        <v>1</v>
      </c>
      <c r="Z5601">
        <v>0</v>
      </c>
      <c r="AA5601">
        <v>1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</row>
    <row r="5602" spans="1:39" x14ac:dyDescent="0.2">
      <c r="A5602" t="str">
        <f>"5598"</f>
        <v>5598</v>
      </c>
      <c r="B5602" t="str">
        <f t="shared" si="310"/>
        <v>1</v>
      </c>
      <c r="C5602" t="str">
        <f t="shared" si="311"/>
        <v>112</v>
      </c>
      <c r="D5602" t="str">
        <f>"32"</f>
        <v>32</v>
      </c>
      <c r="E5602" t="str">
        <f>"1-112-32"</f>
        <v>1-112-32</v>
      </c>
      <c r="F5602" t="s">
        <v>65</v>
      </c>
      <c r="G5602" t="s">
        <v>66</v>
      </c>
      <c r="H5602" t="s">
        <v>67</v>
      </c>
      <c r="S5602">
        <v>0</v>
      </c>
      <c r="T5602">
        <v>1</v>
      </c>
      <c r="U5602">
        <v>0</v>
      </c>
      <c r="V5602">
        <v>0</v>
      </c>
      <c r="W5602">
        <v>1</v>
      </c>
      <c r="X5602">
        <v>0</v>
      </c>
      <c r="Y5602">
        <v>1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1</v>
      </c>
      <c r="AF5602">
        <v>1</v>
      </c>
      <c r="AG5602">
        <v>1</v>
      </c>
      <c r="AH5602">
        <v>1</v>
      </c>
      <c r="AI5602">
        <v>1</v>
      </c>
      <c r="AJ5602">
        <v>1</v>
      </c>
      <c r="AK5602">
        <v>1</v>
      </c>
      <c r="AL5602">
        <v>1</v>
      </c>
      <c r="AM5602">
        <v>1</v>
      </c>
    </row>
    <row r="5603" spans="1:39" x14ac:dyDescent="0.2">
      <c r="A5603" t="str">
        <f>"5599"</f>
        <v>5599</v>
      </c>
      <c r="B5603" t="str">
        <f t="shared" si="310"/>
        <v>1</v>
      </c>
      <c r="C5603" t="str">
        <f t="shared" si="311"/>
        <v>112</v>
      </c>
      <c r="D5603" t="str">
        <f>"1"</f>
        <v>1</v>
      </c>
      <c r="E5603" t="str">
        <f>"1-112-1"</f>
        <v>1-112-1</v>
      </c>
      <c r="F5603" t="s">
        <v>65</v>
      </c>
      <c r="G5603" t="s">
        <v>66</v>
      </c>
      <c r="H5603" t="s">
        <v>67</v>
      </c>
      <c r="S5603">
        <v>1</v>
      </c>
      <c r="T5603">
        <v>0</v>
      </c>
      <c r="U5603">
        <v>0</v>
      </c>
      <c r="V5603">
        <v>0</v>
      </c>
      <c r="W5603">
        <v>1</v>
      </c>
      <c r="X5603">
        <v>0</v>
      </c>
      <c r="Y5603">
        <v>1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1</v>
      </c>
      <c r="AF5603">
        <v>1</v>
      </c>
      <c r="AG5603">
        <v>1</v>
      </c>
      <c r="AH5603">
        <v>1</v>
      </c>
      <c r="AI5603">
        <v>1</v>
      </c>
      <c r="AJ5603">
        <v>1</v>
      </c>
      <c r="AK5603">
        <v>1</v>
      </c>
      <c r="AL5603">
        <v>1</v>
      </c>
      <c r="AM5603">
        <v>1</v>
      </c>
    </row>
    <row r="5604" spans="1:39" x14ac:dyDescent="0.2">
      <c r="A5604" t="str">
        <f>"5600"</f>
        <v>5600</v>
      </c>
      <c r="B5604" t="str">
        <f t="shared" si="310"/>
        <v>1</v>
      </c>
      <c r="C5604" t="str">
        <f t="shared" si="311"/>
        <v>112</v>
      </c>
      <c r="D5604" t="str">
        <f>"34"</f>
        <v>34</v>
      </c>
      <c r="E5604" t="str">
        <f>"1-112-34"</f>
        <v>1-112-34</v>
      </c>
      <c r="F5604" t="s">
        <v>65</v>
      </c>
      <c r="G5604" t="s">
        <v>66</v>
      </c>
      <c r="H5604" t="s">
        <v>67</v>
      </c>
      <c r="S5604">
        <v>0</v>
      </c>
      <c r="T5604">
        <v>0</v>
      </c>
      <c r="U5604">
        <v>0</v>
      </c>
      <c r="V5604">
        <v>0</v>
      </c>
      <c r="W5604">
        <v>1</v>
      </c>
      <c r="X5604">
        <v>0</v>
      </c>
      <c r="Y5604">
        <v>1</v>
      </c>
      <c r="Z5604">
        <v>0</v>
      </c>
      <c r="AA5604">
        <v>0</v>
      </c>
      <c r="AB5604">
        <v>1</v>
      </c>
      <c r="AC5604">
        <v>0</v>
      </c>
      <c r="AD5604">
        <v>1</v>
      </c>
      <c r="AE5604">
        <v>1</v>
      </c>
      <c r="AF5604">
        <v>1</v>
      </c>
      <c r="AG5604">
        <v>1</v>
      </c>
      <c r="AH5604">
        <v>1</v>
      </c>
      <c r="AI5604">
        <v>1</v>
      </c>
      <c r="AJ5604">
        <v>1</v>
      </c>
      <c r="AK5604">
        <v>1</v>
      </c>
      <c r="AL5604">
        <v>1</v>
      </c>
      <c r="AM5604">
        <v>1</v>
      </c>
    </row>
    <row r="5605" spans="1:39" x14ac:dyDescent="0.2">
      <c r="A5605" t="str">
        <f>"5601"</f>
        <v>5601</v>
      </c>
      <c r="B5605" t="str">
        <f t="shared" si="310"/>
        <v>1</v>
      </c>
      <c r="C5605" t="str">
        <f t="shared" ref="C5605:C5636" si="312">"113"</f>
        <v>113</v>
      </c>
      <c r="D5605" t="str">
        <f>"38"</f>
        <v>38</v>
      </c>
      <c r="E5605" t="str">
        <f>"1-113-38"</f>
        <v>1-113-38</v>
      </c>
      <c r="F5605" t="s">
        <v>65</v>
      </c>
      <c r="G5605" t="s">
        <v>66</v>
      </c>
      <c r="H5605" t="s">
        <v>67</v>
      </c>
      <c r="S5605">
        <v>1</v>
      </c>
      <c r="T5605">
        <v>0</v>
      </c>
      <c r="U5605">
        <v>0</v>
      </c>
      <c r="V5605">
        <v>0</v>
      </c>
      <c r="W5605">
        <v>1</v>
      </c>
      <c r="X5605">
        <v>0</v>
      </c>
      <c r="Y5605">
        <v>0</v>
      </c>
      <c r="Z5605">
        <v>1</v>
      </c>
      <c r="AA5605">
        <v>1</v>
      </c>
      <c r="AB5605">
        <v>0</v>
      </c>
      <c r="AC5605">
        <v>0</v>
      </c>
      <c r="AD5605">
        <v>1</v>
      </c>
      <c r="AE5605">
        <v>1</v>
      </c>
      <c r="AF5605">
        <v>1</v>
      </c>
      <c r="AG5605">
        <v>1</v>
      </c>
      <c r="AH5605">
        <v>1</v>
      </c>
      <c r="AI5605">
        <v>1</v>
      </c>
      <c r="AJ5605">
        <v>1</v>
      </c>
      <c r="AK5605">
        <v>1</v>
      </c>
      <c r="AL5605">
        <v>1</v>
      </c>
      <c r="AM5605">
        <v>1</v>
      </c>
    </row>
    <row r="5606" spans="1:39" x14ac:dyDescent="0.2">
      <c r="A5606" t="str">
        <f>"5602"</f>
        <v>5602</v>
      </c>
      <c r="B5606" t="str">
        <f t="shared" si="310"/>
        <v>1</v>
      </c>
      <c r="C5606" t="str">
        <f t="shared" si="312"/>
        <v>113</v>
      </c>
      <c r="D5606" t="str">
        <f>"37"</f>
        <v>37</v>
      </c>
      <c r="E5606" t="str">
        <f>"1-113-37"</f>
        <v>1-113-37</v>
      </c>
      <c r="F5606" t="s">
        <v>65</v>
      </c>
      <c r="G5606" t="s">
        <v>66</v>
      </c>
      <c r="H5606" t="s">
        <v>67</v>
      </c>
      <c r="S5606">
        <v>1</v>
      </c>
      <c r="T5606">
        <v>0</v>
      </c>
      <c r="U5606">
        <v>0</v>
      </c>
      <c r="V5606">
        <v>0</v>
      </c>
      <c r="W5606">
        <v>1</v>
      </c>
      <c r="X5606">
        <v>0</v>
      </c>
      <c r="Y5606">
        <v>1</v>
      </c>
      <c r="Z5606">
        <v>0</v>
      </c>
      <c r="AA5606">
        <v>1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</row>
    <row r="5607" spans="1:39" x14ac:dyDescent="0.2">
      <c r="A5607" t="str">
        <f>"5603"</f>
        <v>5603</v>
      </c>
      <c r="B5607" t="str">
        <f t="shared" si="310"/>
        <v>1</v>
      </c>
      <c r="C5607" t="str">
        <f t="shared" si="312"/>
        <v>113</v>
      </c>
      <c r="D5607" t="str">
        <f>"28"</f>
        <v>28</v>
      </c>
      <c r="E5607" t="str">
        <f>"1-113-28"</f>
        <v>1-113-28</v>
      </c>
      <c r="F5607" t="s">
        <v>65</v>
      </c>
      <c r="G5607" t="s">
        <v>66</v>
      </c>
      <c r="H5607" t="s">
        <v>67</v>
      </c>
      <c r="S5607">
        <v>1</v>
      </c>
      <c r="T5607">
        <v>0</v>
      </c>
      <c r="U5607">
        <v>0</v>
      </c>
      <c r="V5607">
        <v>0</v>
      </c>
      <c r="W5607">
        <v>1</v>
      </c>
      <c r="X5607">
        <v>0</v>
      </c>
      <c r="Y5607">
        <v>1</v>
      </c>
      <c r="Z5607">
        <v>0</v>
      </c>
      <c r="AA5607">
        <v>0</v>
      </c>
      <c r="AB5607">
        <v>1</v>
      </c>
      <c r="AC5607">
        <v>0</v>
      </c>
      <c r="AD5607">
        <v>1</v>
      </c>
      <c r="AE5607">
        <v>1</v>
      </c>
      <c r="AF5607">
        <v>1</v>
      </c>
      <c r="AG5607">
        <v>1</v>
      </c>
      <c r="AH5607">
        <v>1</v>
      </c>
      <c r="AI5607">
        <v>1</v>
      </c>
      <c r="AJ5607">
        <v>1</v>
      </c>
      <c r="AK5607">
        <v>1</v>
      </c>
      <c r="AL5607">
        <v>1</v>
      </c>
      <c r="AM5607">
        <v>1</v>
      </c>
    </row>
    <row r="5608" spans="1:39" x14ac:dyDescent="0.2">
      <c r="A5608" t="str">
        <f>"5604"</f>
        <v>5604</v>
      </c>
      <c r="B5608" t="str">
        <f t="shared" si="310"/>
        <v>1</v>
      </c>
      <c r="C5608" t="str">
        <f t="shared" si="312"/>
        <v>113</v>
      </c>
      <c r="D5608" t="str">
        <f>"15"</f>
        <v>15</v>
      </c>
      <c r="E5608" t="str">
        <f>"1-113-15"</f>
        <v>1-113-15</v>
      </c>
      <c r="F5608" t="s">
        <v>65</v>
      </c>
      <c r="G5608" t="s">
        <v>66</v>
      </c>
      <c r="H5608" t="s">
        <v>67</v>
      </c>
      <c r="S5608">
        <v>0</v>
      </c>
      <c r="T5608">
        <v>1</v>
      </c>
      <c r="U5608">
        <v>0</v>
      </c>
      <c r="V5608">
        <v>0</v>
      </c>
      <c r="W5608">
        <v>1</v>
      </c>
      <c r="X5608">
        <v>0</v>
      </c>
      <c r="Y5608">
        <v>1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1</v>
      </c>
      <c r="AF5608">
        <v>1</v>
      </c>
      <c r="AG5608">
        <v>1</v>
      </c>
      <c r="AH5608">
        <v>1</v>
      </c>
      <c r="AI5608">
        <v>1</v>
      </c>
      <c r="AJ5608">
        <v>1</v>
      </c>
      <c r="AK5608">
        <v>1</v>
      </c>
      <c r="AL5608">
        <v>1</v>
      </c>
      <c r="AM5608">
        <v>1</v>
      </c>
    </row>
    <row r="5609" spans="1:39" x14ac:dyDescent="0.2">
      <c r="A5609" t="str">
        <f>"5605"</f>
        <v>5605</v>
      </c>
      <c r="B5609" t="str">
        <f t="shared" si="310"/>
        <v>1</v>
      </c>
      <c r="C5609" t="str">
        <f t="shared" si="312"/>
        <v>113</v>
      </c>
      <c r="D5609" t="str">
        <f>"2"</f>
        <v>2</v>
      </c>
      <c r="E5609" t="str">
        <f>"1-113-2"</f>
        <v>1-113-2</v>
      </c>
      <c r="F5609" t="s">
        <v>65</v>
      </c>
      <c r="G5609" t="s">
        <v>66</v>
      </c>
      <c r="H5609" t="s">
        <v>67</v>
      </c>
      <c r="S5609">
        <v>1</v>
      </c>
      <c r="T5609">
        <v>0</v>
      </c>
      <c r="U5609">
        <v>0</v>
      </c>
      <c r="V5609">
        <v>0</v>
      </c>
      <c r="W5609">
        <v>1</v>
      </c>
      <c r="X5609">
        <v>0</v>
      </c>
      <c r="Y5609">
        <v>1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1</v>
      </c>
      <c r="AF5609">
        <v>0</v>
      </c>
      <c r="AG5609">
        <v>1</v>
      </c>
      <c r="AH5609">
        <v>1</v>
      </c>
      <c r="AI5609">
        <v>1</v>
      </c>
      <c r="AJ5609">
        <v>1</v>
      </c>
      <c r="AK5609">
        <v>1</v>
      </c>
      <c r="AL5609">
        <v>1</v>
      </c>
      <c r="AM5609">
        <v>1</v>
      </c>
    </row>
    <row r="5610" spans="1:39" x14ac:dyDescent="0.2">
      <c r="A5610" t="str">
        <f>"5606"</f>
        <v>5606</v>
      </c>
      <c r="B5610" t="str">
        <f t="shared" si="310"/>
        <v>1</v>
      </c>
      <c r="C5610" t="str">
        <f t="shared" si="312"/>
        <v>113</v>
      </c>
      <c r="D5610" t="str">
        <f>"34"</f>
        <v>34</v>
      </c>
      <c r="E5610" t="str">
        <f>"1-113-34"</f>
        <v>1-113-34</v>
      </c>
      <c r="F5610" t="s">
        <v>65</v>
      </c>
      <c r="G5610" t="s">
        <v>66</v>
      </c>
      <c r="H5610" t="s">
        <v>67</v>
      </c>
      <c r="S5610">
        <v>0</v>
      </c>
      <c r="T5610">
        <v>1</v>
      </c>
      <c r="U5610">
        <v>0</v>
      </c>
      <c r="V5610">
        <v>0</v>
      </c>
      <c r="W5610">
        <v>1</v>
      </c>
      <c r="X5610">
        <v>0</v>
      </c>
      <c r="Y5610">
        <v>0</v>
      </c>
      <c r="Z5610">
        <v>1</v>
      </c>
      <c r="AA5610">
        <v>0</v>
      </c>
      <c r="AB5610">
        <v>0</v>
      </c>
      <c r="AC5610">
        <v>1</v>
      </c>
      <c r="AD5610">
        <v>1</v>
      </c>
      <c r="AE5610">
        <v>1</v>
      </c>
      <c r="AF5610">
        <v>1</v>
      </c>
      <c r="AG5610">
        <v>1</v>
      </c>
      <c r="AH5610">
        <v>1</v>
      </c>
      <c r="AI5610">
        <v>1</v>
      </c>
      <c r="AJ5610">
        <v>1</v>
      </c>
      <c r="AK5610">
        <v>1</v>
      </c>
      <c r="AL5610">
        <v>1</v>
      </c>
      <c r="AM5610">
        <v>1</v>
      </c>
    </row>
    <row r="5611" spans="1:39" x14ac:dyDescent="0.2">
      <c r="A5611" t="str">
        <f>"5607"</f>
        <v>5607</v>
      </c>
      <c r="B5611" t="str">
        <f t="shared" si="310"/>
        <v>1</v>
      </c>
      <c r="C5611" t="str">
        <f t="shared" si="312"/>
        <v>113</v>
      </c>
      <c r="D5611" t="str">
        <f>"33"</f>
        <v>33</v>
      </c>
      <c r="E5611" t="str">
        <f>"1-113-33"</f>
        <v>1-113-33</v>
      </c>
      <c r="F5611" t="s">
        <v>65</v>
      </c>
      <c r="G5611" t="s">
        <v>66</v>
      </c>
      <c r="H5611" t="s">
        <v>67</v>
      </c>
      <c r="S5611">
        <v>1</v>
      </c>
      <c r="T5611">
        <v>0</v>
      </c>
      <c r="U5611">
        <v>0</v>
      </c>
      <c r="V5611">
        <v>0</v>
      </c>
      <c r="W5611">
        <v>1</v>
      </c>
      <c r="X5611">
        <v>0</v>
      </c>
      <c r="Y5611">
        <v>1</v>
      </c>
      <c r="Z5611">
        <v>0</v>
      </c>
      <c r="AA5611">
        <v>1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1</v>
      </c>
      <c r="AJ5611">
        <v>0</v>
      </c>
      <c r="AK5611">
        <v>0</v>
      </c>
      <c r="AL5611">
        <v>0</v>
      </c>
      <c r="AM5611">
        <v>1</v>
      </c>
    </row>
    <row r="5612" spans="1:39" x14ac:dyDescent="0.2">
      <c r="A5612" t="str">
        <f>"5608"</f>
        <v>5608</v>
      </c>
      <c r="B5612" t="str">
        <f t="shared" si="310"/>
        <v>1</v>
      </c>
      <c r="C5612" t="str">
        <f t="shared" si="312"/>
        <v>113</v>
      </c>
      <c r="D5612" t="str">
        <f>"22"</f>
        <v>22</v>
      </c>
      <c r="E5612" t="str">
        <f>"1-113-22"</f>
        <v>1-113-22</v>
      </c>
      <c r="F5612" t="s">
        <v>65</v>
      </c>
      <c r="G5612" t="s">
        <v>66</v>
      </c>
      <c r="H5612" t="s">
        <v>67</v>
      </c>
      <c r="S5612">
        <v>1</v>
      </c>
      <c r="T5612">
        <v>0</v>
      </c>
      <c r="U5612">
        <v>0</v>
      </c>
      <c r="V5612">
        <v>0</v>
      </c>
      <c r="W5612">
        <v>0</v>
      </c>
      <c r="X5612">
        <v>1</v>
      </c>
      <c r="Y5612">
        <v>0</v>
      </c>
      <c r="Z5612">
        <v>1</v>
      </c>
      <c r="AA5612">
        <v>1</v>
      </c>
      <c r="AB5612">
        <v>0</v>
      </c>
      <c r="AC5612">
        <v>0</v>
      </c>
      <c r="AD5612">
        <v>1</v>
      </c>
      <c r="AE5612">
        <v>1</v>
      </c>
      <c r="AF5612">
        <v>1</v>
      </c>
      <c r="AG5612">
        <v>1</v>
      </c>
      <c r="AH5612">
        <v>1</v>
      </c>
      <c r="AI5612">
        <v>1</v>
      </c>
      <c r="AJ5612">
        <v>1</v>
      </c>
      <c r="AK5612">
        <v>1</v>
      </c>
      <c r="AL5612">
        <v>1</v>
      </c>
      <c r="AM5612">
        <v>1</v>
      </c>
    </row>
    <row r="5613" spans="1:39" x14ac:dyDescent="0.2">
      <c r="A5613" t="str">
        <f>"5609"</f>
        <v>5609</v>
      </c>
      <c r="B5613" t="str">
        <f t="shared" si="310"/>
        <v>1</v>
      </c>
      <c r="C5613" t="str">
        <f t="shared" si="312"/>
        <v>113</v>
      </c>
      <c r="D5613" t="str">
        <f>"16"</f>
        <v>16</v>
      </c>
      <c r="E5613" t="str">
        <f>"1-113-16"</f>
        <v>1-113-16</v>
      </c>
      <c r="F5613" t="s">
        <v>65</v>
      </c>
      <c r="G5613" t="s">
        <v>66</v>
      </c>
      <c r="H5613" t="s">
        <v>67</v>
      </c>
      <c r="S5613">
        <v>1</v>
      </c>
      <c r="T5613">
        <v>0</v>
      </c>
      <c r="U5613">
        <v>0</v>
      </c>
      <c r="V5613">
        <v>0</v>
      </c>
      <c r="W5613">
        <v>1</v>
      </c>
      <c r="X5613">
        <v>0</v>
      </c>
      <c r="Y5613">
        <v>1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1</v>
      </c>
      <c r="AF5613">
        <v>1</v>
      </c>
      <c r="AG5613">
        <v>1</v>
      </c>
      <c r="AH5613">
        <v>1</v>
      </c>
      <c r="AI5613">
        <v>1</v>
      </c>
      <c r="AJ5613">
        <v>1</v>
      </c>
      <c r="AK5613">
        <v>1</v>
      </c>
      <c r="AL5613">
        <v>1</v>
      </c>
      <c r="AM5613">
        <v>1</v>
      </c>
    </row>
    <row r="5614" spans="1:39" x14ac:dyDescent="0.2">
      <c r="A5614" t="str">
        <f>"5610"</f>
        <v>5610</v>
      </c>
      <c r="B5614" t="str">
        <f t="shared" si="310"/>
        <v>1</v>
      </c>
      <c r="C5614" t="str">
        <f t="shared" si="312"/>
        <v>113</v>
      </c>
      <c r="D5614" t="str">
        <f>"9"</f>
        <v>9</v>
      </c>
      <c r="E5614" t="str">
        <f>"1-113-9"</f>
        <v>1-113-9</v>
      </c>
      <c r="F5614" t="s">
        <v>65</v>
      </c>
      <c r="G5614" t="s">
        <v>66</v>
      </c>
      <c r="H5614" t="s">
        <v>67</v>
      </c>
      <c r="S5614">
        <v>0</v>
      </c>
      <c r="T5614">
        <v>1</v>
      </c>
      <c r="U5614">
        <v>0</v>
      </c>
      <c r="V5614">
        <v>0</v>
      </c>
      <c r="W5614">
        <v>1</v>
      </c>
      <c r="X5614">
        <v>0</v>
      </c>
      <c r="Y5614">
        <v>0</v>
      </c>
      <c r="Z5614">
        <v>1</v>
      </c>
      <c r="AA5614">
        <v>0</v>
      </c>
      <c r="AB5614">
        <v>0</v>
      </c>
      <c r="AC5614">
        <v>1</v>
      </c>
      <c r="AD5614">
        <v>1</v>
      </c>
      <c r="AE5614">
        <v>1</v>
      </c>
      <c r="AF5614">
        <v>1</v>
      </c>
      <c r="AG5614">
        <v>1</v>
      </c>
      <c r="AH5614">
        <v>1</v>
      </c>
      <c r="AI5614">
        <v>1</v>
      </c>
      <c r="AJ5614">
        <v>1</v>
      </c>
      <c r="AK5614">
        <v>1</v>
      </c>
      <c r="AL5614">
        <v>1</v>
      </c>
      <c r="AM5614">
        <v>1</v>
      </c>
    </row>
    <row r="5615" spans="1:39" x14ac:dyDescent="0.2">
      <c r="A5615" t="str">
        <f>"5611"</f>
        <v>5611</v>
      </c>
      <c r="B5615" t="str">
        <f t="shared" si="310"/>
        <v>1</v>
      </c>
      <c r="C5615" t="str">
        <f t="shared" si="312"/>
        <v>113</v>
      </c>
      <c r="D5615" t="str">
        <f>"36"</f>
        <v>36</v>
      </c>
      <c r="E5615" t="str">
        <f>"1-113-36"</f>
        <v>1-113-36</v>
      </c>
      <c r="F5615" t="s">
        <v>65</v>
      </c>
      <c r="G5615" t="s">
        <v>66</v>
      </c>
      <c r="H5615" t="s">
        <v>67</v>
      </c>
      <c r="S5615">
        <v>1</v>
      </c>
      <c r="T5615">
        <v>0</v>
      </c>
      <c r="U5615">
        <v>0</v>
      </c>
      <c r="V5615">
        <v>0</v>
      </c>
      <c r="W5615">
        <v>1</v>
      </c>
      <c r="X5615">
        <v>0</v>
      </c>
      <c r="Y5615">
        <v>1</v>
      </c>
      <c r="Z5615">
        <v>0</v>
      </c>
      <c r="AA5615">
        <v>1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</row>
    <row r="5616" spans="1:39" x14ac:dyDescent="0.2">
      <c r="A5616" t="str">
        <f>"5612"</f>
        <v>5612</v>
      </c>
      <c r="B5616" t="str">
        <f t="shared" si="310"/>
        <v>1</v>
      </c>
      <c r="C5616" t="str">
        <f t="shared" si="312"/>
        <v>113</v>
      </c>
      <c r="D5616" t="str">
        <f>"35"</f>
        <v>35</v>
      </c>
      <c r="E5616" t="str">
        <f>"1-113-35"</f>
        <v>1-113-35</v>
      </c>
      <c r="F5616" t="s">
        <v>65</v>
      </c>
      <c r="G5616" t="s">
        <v>66</v>
      </c>
      <c r="H5616" t="s">
        <v>67</v>
      </c>
      <c r="S5616">
        <v>1</v>
      </c>
      <c r="T5616">
        <v>0</v>
      </c>
      <c r="U5616">
        <v>0</v>
      </c>
      <c r="V5616">
        <v>0</v>
      </c>
      <c r="W5616">
        <v>1</v>
      </c>
      <c r="X5616">
        <v>0</v>
      </c>
      <c r="Y5616">
        <v>1</v>
      </c>
      <c r="Z5616">
        <v>0</v>
      </c>
      <c r="AA5616">
        <v>0</v>
      </c>
      <c r="AB5616">
        <v>0</v>
      </c>
      <c r="AC5616">
        <v>1</v>
      </c>
      <c r="AD5616">
        <v>1</v>
      </c>
      <c r="AE5616">
        <v>1</v>
      </c>
      <c r="AF5616">
        <v>1</v>
      </c>
      <c r="AG5616">
        <v>1</v>
      </c>
      <c r="AH5616">
        <v>1</v>
      </c>
      <c r="AI5616">
        <v>1</v>
      </c>
      <c r="AJ5616">
        <v>1</v>
      </c>
      <c r="AK5616">
        <v>1</v>
      </c>
      <c r="AL5616">
        <v>1</v>
      </c>
      <c r="AM5616">
        <v>1</v>
      </c>
    </row>
    <row r="5617" spans="1:39" x14ac:dyDescent="0.2">
      <c r="A5617" t="str">
        <f>"5613"</f>
        <v>5613</v>
      </c>
      <c r="B5617" t="str">
        <f t="shared" si="310"/>
        <v>1</v>
      </c>
      <c r="C5617" t="str">
        <f t="shared" si="312"/>
        <v>113</v>
      </c>
      <c r="D5617" t="str">
        <f>"24"</f>
        <v>24</v>
      </c>
      <c r="E5617" t="str">
        <f>"1-113-24"</f>
        <v>1-113-24</v>
      </c>
      <c r="F5617" t="s">
        <v>65</v>
      </c>
      <c r="G5617" t="s">
        <v>66</v>
      </c>
      <c r="H5617" t="s">
        <v>67</v>
      </c>
      <c r="S5617">
        <v>0</v>
      </c>
      <c r="T5617">
        <v>0</v>
      </c>
      <c r="U5617">
        <v>0</v>
      </c>
      <c r="V5617">
        <v>0</v>
      </c>
      <c r="W5617">
        <v>1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1</v>
      </c>
      <c r="AM5617">
        <v>0</v>
      </c>
    </row>
    <row r="5618" spans="1:39" x14ac:dyDescent="0.2">
      <c r="A5618" t="str">
        <f>"5614"</f>
        <v>5614</v>
      </c>
      <c r="B5618" t="str">
        <f t="shared" si="310"/>
        <v>1</v>
      </c>
      <c r="C5618" t="str">
        <f t="shared" si="312"/>
        <v>113</v>
      </c>
      <c r="D5618" t="str">
        <f>"17"</f>
        <v>17</v>
      </c>
      <c r="E5618" t="str">
        <f>"1-113-17"</f>
        <v>1-113-17</v>
      </c>
      <c r="F5618" t="s">
        <v>65</v>
      </c>
      <c r="G5618" t="s">
        <v>66</v>
      </c>
      <c r="H5618" t="s">
        <v>67</v>
      </c>
      <c r="S5618">
        <v>1</v>
      </c>
      <c r="T5618">
        <v>0</v>
      </c>
      <c r="U5618">
        <v>0</v>
      </c>
      <c r="V5618">
        <v>0</v>
      </c>
      <c r="W5618">
        <v>1</v>
      </c>
      <c r="X5618">
        <v>0</v>
      </c>
      <c r="Y5618">
        <v>1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1</v>
      </c>
      <c r="AF5618">
        <v>1</v>
      </c>
      <c r="AG5618">
        <v>1</v>
      </c>
      <c r="AH5618">
        <v>1</v>
      </c>
      <c r="AI5618">
        <v>1</v>
      </c>
      <c r="AJ5618">
        <v>1</v>
      </c>
      <c r="AK5618">
        <v>1</v>
      </c>
      <c r="AL5618">
        <v>1</v>
      </c>
      <c r="AM5618">
        <v>1</v>
      </c>
    </row>
    <row r="5619" spans="1:39" x14ac:dyDescent="0.2">
      <c r="A5619" t="str">
        <f>"5615"</f>
        <v>5615</v>
      </c>
      <c r="B5619" t="str">
        <f t="shared" si="310"/>
        <v>1</v>
      </c>
      <c r="C5619" t="str">
        <f t="shared" si="312"/>
        <v>113</v>
      </c>
      <c r="D5619" t="str">
        <f>"6"</f>
        <v>6</v>
      </c>
      <c r="E5619" t="str">
        <f>"1-113-6"</f>
        <v>1-113-6</v>
      </c>
      <c r="F5619" t="s">
        <v>65</v>
      </c>
      <c r="G5619" t="s">
        <v>66</v>
      </c>
      <c r="H5619" t="s">
        <v>67</v>
      </c>
      <c r="S5619">
        <v>0</v>
      </c>
      <c r="T5619">
        <v>1</v>
      </c>
      <c r="U5619">
        <v>0</v>
      </c>
      <c r="V5619">
        <v>0</v>
      </c>
      <c r="W5619">
        <v>1</v>
      </c>
      <c r="X5619">
        <v>0</v>
      </c>
      <c r="Y5619">
        <v>1</v>
      </c>
      <c r="Z5619">
        <v>0</v>
      </c>
      <c r="AA5619">
        <v>0</v>
      </c>
      <c r="AB5619">
        <v>1</v>
      </c>
      <c r="AC5619">
        <v>0</v>
      </c>
      <c r="AD5619">
        <v>1</v>
      </c>
      <c r="AE5619">
        <v>1</v>
      </c>
      <c r="AF5619">
        <v>1</v>
      </c>
      <c r="AG5619">
        <v>1</v>
      </c>
      <c r="AH5619">
        <v>1</v>
      </c>
      <c r="AI5619">
        <v>1</v>
      </c>
      <c r="AJ5619">
        <v>0</v>
      </c>
      <c r="AK5619">
        <v>1</v>
      </c>
      <c r="AL5619">
        <v>1</v>
      </c>
      <c r="AM5619">
        <v>1</v>
      </c>
    </row>
    <row r="5620" spans="1:39" x14ac:dyDescent="0.2">
      <c r="A5620" t="str">
        <f>"5616"</f>
        <v>5616</v>
      </c>
      <c r="B5620" t="str">
        <f t="shared" si="310"/>
        <v>1</v>
      </c>
      <c r="C5620" t="str">
        <f t="shared" si="312"/>
        <v>113</v>
      </c>
      <c r="D5620" t="str">
        <f>"41"</f>
        <v>41</v>
      </c>
      <c r="E5620" t="str">
        <f>"1-113-41"</f>
        <v>1-113-41</v>
      </c>
      <c r="F5620" t="s">
        <v>65</v>
      </c>
      <c r="G5620" t="s">
        <v>66</v>
      </c>
      <c r="H5620" t="s">
        <v>67</v>
      </c>
      <c r="S5620">
        <v>1</v>
      </c>
      <c r="T5620">
        <v>0</v>
      </c>
      <c r="U5620">
        <v>0</v>
      </c>
      <c r="V5620">
        <v>0</v>
      </c>
      <c r="W5620">
        <v>0</v>
      </c>
      <c r="X5620">
        <v>1</v>
      </c>
      <c r="Y5620">
        <v>0</v>
      </c>
      <c r="Z5620">
        <v>1</v>
      </c>
      <c r="AA5620">
        <v>0</v>
      </c>
      <c r="AB5620">
        <v>1</v>
      </c>
      <c r="AC5620">
        <v>0</v>
      </c>
      <c r="AD5620">
        <v>1</v>
      </c>
      <c r="AE5620">
        <v>1</v>
      </c>
      <c r="AF5620">
        <v>1</v>
      </c>
      <c r="AG5620">
        <v>1</v>
      </c>
      <c r="AH5620">
        <v>1</v>
      </c>
      <c r="AI5620">
        <v>1</v>
      </c>
      <c r="AJ5620">
        <v>1</v>
      </c>
      <c r="AK5620">
        <v>1</v>
      </c>
      <c r="AL5620">
        <v>1</v>
      </c>
      <c r="AM5620">
        <v>1</v>
      </c>
    </row>
    <row r="5621" spans="1:39" x14ac:dyDescent="0.2">
      <c r="A5621" t="str">
        <f>"5617"</f>
        <v>5617</v>
      </c>
      <c r="B5621" t="str">
        <f t="shared" si="310"/>
        <v>1</v>
      </c>
      <c r="C5621" t="str">
        <f t="shared" si="312"/>
        <v>113</v>
      </c>
      <c r="D5621" t="str">
        <f>"40"</f>
        <v>40</v>
      </c>
      <c r="E5621" t="str">
        <f>"1-113-40"</f>
        <v>1-113-40</v>
      </c>
      <c r="F5621" t="s">
        <v>65</v>
      </c>
      <c r="G5621" t="s">
        <v>66</v>
      </c>
      <c r="H5621" t="s">
        <v>67</v>
      </c>
      <c r="S5621">
        <v>0</v>
      </c>
      <c r="T5621">
        <v>0</v>
      </c>
      <c r="U5621">
        <v>0</v>
      </c>
      <c r="V5621">
        <v>0</v>
      </c>
      <c r="W5621">
        <v>1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1</v>
      </c>
      <c r="AM5621">
        <v>0</v>
      </c>
    </row>
    <row r="5622" spans="1:39" x14ac:dyDescent="0.2">
      <c r="A5622" t="str">
        <f>"5618"</f>
        <v>5618</v>
      </c>
      <c r="B5622" t="str">
        <f t="shared" si="310"/>
        <v>1</v>
      </c>
      <c r="C5622" t="str">
        <f t="shared" si="312"/>
        <v>113</v>
      </c>
      <c r="D5622" t="str">
        <f>"25"</f>
        <v>25</v>
      </c>
      <c r="E5622" t="str">
        <f>"1-113-25"</f>
        <v>1-113-25</v>
      </c>
      <c r="F5622" t="s">
        <v>65</v>
      </c>
      <c r="G5622" t="s">
        <v>66</v>
      </c>
      <c r="H5622" t="s">
        <v>67</v>
      </c>
      <c r="S5622">
        <v>1</v>
      </c>
      <c r="T5622">
        <v>0</v>
      </c>
      <c r="U5622">
        <v>0</v>
      </c>
      <c r="V5622">
        <v>0</v>
      </c>
      <c r="W5622">
        <v>1</v>
      </c>
      <c r="X5622">
        <v>0</v>
      </c>
      <c r="Y5622">
        <v>0</v>
      </c>
      <c r="Z5622">
        <v>1</v>
      </c>
      <c r="AA5622">
        <v>1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</row>
    <row r="5623" spans="1:39" x14ac:dyDescent="0.2">
      <c r="A5623" t="str">
        <f>"5619"</f>
        <v>5619</v>
      </c>
      <c r="B5623" t="str">
        <f t="shared" ref="B5623:B5686" si="313">"1"</f>
        <v>1</v>
      </c>
      <c r="C5623" t="str">
        <f t="shared" si="312"/>
        <v>113</v>
      </c>
      <c r="D5623" t="str">
        <f>"18"</f>
        <v>18</v>
      </c>
      <c r="E5623" t="str">
        <f>"1-113-18"</f>
        <v>1-113-18</v>
      </c>
      <c r="F5623" t="s">
        <v>65</v>
      </c>
      <c r="G5623" t="s">
        <v>66</v>
      </c>
      <c r="H5623" t="s">
        <v>67</v>
      </c>
      <c r="S5623">
        <v>1</v>
      </c>
      <c r="T5623">
        <v>0</v>
      </c>
      <c r="U5623">
        <v>0</v>
      </c>
      <c r="V5623">
        <v>0</v>
      </c>
      <c r="W5623">
        <v>1</v>
      </c>
      <c r="X5623">
        <v>0</v>
      </c>
      <c r="Y5623">
        <v>0</v>
      </c>
      <c r="Z5623">
        <v>1</v>
      </c>
      <c r="AA5623">
        <v>0</v>
      </c>
      <c r="AB5623">
        <v>0</v>
      </c>
      <c r="AC5623">
        <v>0</v>
      </c>
      <c r="AD5623">
        <v>1</v>
      </c>
      <c r="AE5623">
        <v>1</v>
      </c>
      <c r="AF5623">
        <v>1</v>
      </c>
      <c r="AG5623">
        <v>1</v>
      </c>
      <c r="AH5623">
        <v>1</v>
      </c>
      <c r="AI5623">
        <v>1</v>
      </c>
      <c r="AJ5623">
        <v>1</v>
      </c>
      <c r="AK5623">
        <v>1</v>
      </c>
      <c r="AL5623">
        <v>1</v>
      </c>
      <c r="AM5623">
        <v>1</v>
      </c>
    </row>
    <row r="5624" spans="1:39" x14ac:dyDescent="0.2">
      <c r="A5624" t="str">
        <f>"5620"</f>
        <v>5620</v>
      </c>
      <c r="B5624" t="str">
        <f t="shared" si="313"/>
        <v>1</v>
      </c>
      <c r="C5624" t="str">
        <f t="shared" si="312"/>
        <v>113</v>
      </c>
      <c r="D5624" t="str">
        <f>"3"</f>
        <v>3</v>
      </c>
      <c r="E5624" t="str">
        <f>"1-113-3"</f>
        <v>1-113-3</v>
      </c>
      <c r="F5624" t="s">
        <v>65</v>
      </c>
      <c r="G5624" t="s">
        <v>66</v>
      </c>
      <c r="H5624" t="s">
        <v>67</v>
      </c>
      <c r="S5624">
        <v>1</v>
      </c>
      <c r="T5624">
        <v>0</v>
      </c>
      <c r="U5624">
        <v>0</v>
      </c>
      <c r="V5624">
        <v>0</v>
      </c>
      <c r="W5624">
        <v>1</v>
      </c>
      <c r="X5624">
        <v>0</v>
      </c>
      <c r="Y5624">
        <v>1</v>
      </c>
      <c r="Z5624">
        <v>0</v>
      </c>
      <c r="AA5624">
        <v>0</v>
      </c>
      <c r="AB5624">
        <v>1</v>
      </c>
      <c r="AC5624">
        <v>0</v>
      </c>
      <c r="AD5624">
        <v>1</v>
      </c>
      <c r="AE5624">
        <v>1</v>
      </c>
      <c r="AF5624">
        <v>1</v>
      </c>
      <c r="AG5624">
        <v>1</v>
      </c>
      <c r="AH5624">
        <v>1</v>
      </c>
      <c r="AI5624">
        <v>1</v>
      </c>
      <c r="AJ5624">
        <v>1</v>
      </c>
      <c r="AK5624">
        <v>1</v>
      </c>
      <c r="AL5624">
        <v>1</v>
      </c>
      <c r="AM5624">
        <v>1</v>
      </c>
    </row>
    <row r="5625" spans="1:39" x14ac:dyDescent="0.2">
      <c r="A5625" t="str">
        <f>"5621"</f>
        <v>5621</v>
      </c>
      <c r="B5625" t="str">
        <f t="shared" si="313"/>
        <v>1</v>
      </c>
      <c r="C5625" t="str">
        <f t="shared" si="312"/>
        <v>113</v>
      </c>
      <c r="D5625" t="str">
        <f>"42"</f>
        <v>42</v>
      </c>
      <c r="E5625" t="str">
        <f>"1-113-42"</f>
        <v>1-113-42</v>
      </c>
      <c r="F5625" t="s">
        <v>65</v>
      </c>
      <c r="G5625" t="s">
        <v>66</v>
      </c>
      <c r="H5625" t="s">
        <v>67</v>
      </c>
      <c r="S5625">
        <v>1</v>
      </c>
      <c r="T5625">
        <v>0</v>
      </c>
      <c r="U5625">
        <v>0</v>
      </c>
      <c r="V5625">
        <v>0</v>
      </c>
      <c r="W5625">
        <v>1</v>
      </c>
      <c r="X5625">
        <v>0</v>
      </c>
      <c r="Y5625">
        <v>1</v>
      </c>
      <c r="Z5625">
        <v>0</v>
      </c>
      <c r="AA5625">
        <v>0</v>
      </c>
      <c r="AB5625">
        <v>0</v>
      </c>
      <c r="AC5625">
        <v>1</v>
      </c>
      <c r="AD5625">
        <v>1</v>
      </c>
      <c r="AE5625">
        <v>1</v>
      </c>
      <c r="AF5625">
        <v>1</v>
      </c>
      <c r="AG5625">
        <v>1</v>
      </c>
      <c r="AH5625">
        <v>1</v>
      </c>
      <c r="AI5625">
        <v>1</v>
      </c>
      <c r="AJ5625">
        <v>1</v>
      </c>
      <c r="AK5625">
        <v>1</v>
      </c>
      <c r="AL5625">
        <v>1</v>
      </c>
      <c r="AM5625">
        <v>1</v>
      </c>
    </row>
    <row r="5626" spans="1:39" x14ac:dyDescent="0.2">
      <c r="A5626" t="str">
        <f>"5622"</f>
        <v>5622</v>
      </c>
      <c r="B5626" t="str">
        <f t="shared" si="313"/>
        <v>1</v>
      </c>
      <c r="C5626" t="str">
        <f t="shared" si="312"/>
        <v>113</v>
      </c>
      <c r="D5626" t="str">
        <f>"19"</f>
        <v>19</v>
      </c>
      <c r="E5626" t="str">
        <f>"1-113-19"</f>
        <v>1-113-19</v>
      </c>
      <c r="F5626" t="s">
        <v>65</v>
      </c>
      <c r="G5626" t="s">
        <v>66</v>
      </c>
      <c r="H5626" t="s">
        <v>67</v>
      </c>
      <c r="S5626">
        <v>0</v>
      </c>
      <c r="T5626">
        <v>1</v>
      </c>
      <c r="U5626">
        <v>0</v>
      </c>
      <c r="V5626">
        <v>0</v>
      </c>
      <c r="W5626">
        <v>1</v>
      </c>
      <c r="X5626">
        <v>0</v>
      </c>
      <c r="Y5626">
        <v>1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1</v>
      </c>
      <c r="AF5626">
        <v>1</v>
      </c>
      <c r="AG5626">
        <v>1</v>
      </c>
      <c r="AH5626">
        <v>1</v>
      </c>
      <c r="AI5626">
        <v>1</v>
      </c>
      <c r="AJ5626">
        <v>1</v>
      </c>
      <c r="AK5626">
        <v>1</v>
      </c>
      <c r="AL5626">
        <v>1</v>
      </c>
      <c r="AM5626">
        <v>1</v>
      </c>
    </row>
    <row r="5627" spans="1:39" x14ac:dyDescent="0.2">
      <c r="A5627" t="str">
        <f>"5623"</f>
        <v>5623</v>
      </c>
      <c r="B5627" t="str">
        <f t="shared" si="313"/>
        <v>1</v>
      </c>
      <c r="C5627" t="str">
        <f t="shared" si="312"/>
        <v>113</v>
      </c>
      <c r="D5627" t="str">
        <f>"14"</f>
        <v>14</v>
      </c>
      <c r="E5627" t="str">
        <f>"1-113-14"</f>
        <v>1-113-14</v>
      </c>
      <c r="F5627" t="s">
        <v>65</v>
      </c>
      <c r="G5627" t="s">
        <v>66</v>
      </c>
      <c r="H5627" t="s">
        <v>67</v>
      </c>
      <c r="S5627">
        <v>0</v>
      </c>
      <c r="T5627">
        <v>0</v>
      </c>
      <c r="U5627">
        <v>0</v>
      </c>
      <c r="V5627">
        <v>0</v>
      </c>
      <c r="W5627">
        <v>1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</row>
    <row r="5628" spans="1:39" x14ac:dyDescent="0.2">
      <c r="A5628" t="str">
        <f>"5624"</f>
        <v>5624</v>
      </c>
      <c r="B5628" t="str">
        <f t="shared" si="313"/>
        <v>1</v>
      </c>
      <c r="C5628" t="str">
        <f t="shared" si="312"/>
        <v>113</v>
      </c>
      <c r="D5628" t="str">
        <f>"39"</f>
        <v>39</v>
      </c>
      <c r="E5628" t="str">
        <f>"1-113-39"</f>
        <v>1-113-39</v>
      </c>
      <c r="F5628" t="s">
        <v>65</v>
      </c>
      <c r="G5628" t="s">
        <v>66</v>
      </c>
      <c r="H5628" t="s">
        <v>67</v>
      </c>
      <c r="S5628">
        <v>0</v>
      </c>
      <c r="T5628">
        <v>1</v>
      </c>
      <c r="U5628">
        <v>0</v>
      </c>
      <c r="V5628">
        <v>0</v>
      </c>
      <c r="W5628">
        <v>1</v>
      </c>
      <c r="X5628">
        <v>0</v>
      </c>
      <c r="Y5628">
        <v>0</v>
      </c>
      <c r="Z5628">
        <v>1</v>
      </c>
      <c r="AA5628">
        <v>0</v>
      </c>
      <c r="AB5628">
        <v>0</v>
      </c>
      <c r="AC5628">
        <v>1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</row>
    <row r="5629" spans="1:39" x14ac:dyDescent="0.2">
      <c r="A5629" t="str">
        <f>"5625"</f>
        <v>5625</v>
      </c>
      <c r="B5629" t="str">
        <f t="shared" si="313"/>
        <v>1</v>
      </c>
      <c r="C5629" t="str">
        <f t="shared" si="312"/>
        <v>113</v>
      </c>
      <c r="D5629" t="str">
        <f>"20"</f>
        <v>20</v>
      </c>
      <c r="E5629" t="str">
        <f>"1-113-20"</f>
        <v>1-113-20</v>
      </c>
      <c r="F5629" t="s">
        <v>65</v>
      </c>
      <c r="G5629" t="s">
        <v>66</v>
      </c>
      <c r="H5629" t="s">
        <v>67</v>
      </c>
      <c r="S5629">
        <v>0</v>
      </c>
      <c r="T5629">
        <v>1</v>
      </c>
      <c r="U5629">
        <v>0</v>
      </c>
      <c r="V5629">
        <v>0</v>
      </c>
      <c r="W5629">
        <v>1</v>
      </c>
      <c r="X5629">
        <v>0</v>
      </c>
      <c r="Y5629">
        <v>1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1</v>
      </c>
      <c r="AF5629">
        <v>1</v>
      </c>
      <c r="AG5629">
        <v>1</v>
      </c>
      <c r="AH5629">
        <v>1</v>
      </c>
      <c r="AI5629">
        <v>1</v>
      </c>
      <c r="AJ5629">
        <v>1</v>
      </c>
      <c r="AK5629">
        <v>1</v>
      </c>
      <c r="AL5629">
        <v>1</v>
      </c>
      <c r="AM5629">
        <v>1</v>
      </c>
    </row>
    <row r="5630" spans="1:39" x14ac:dyDescent="0.2">
      <c r="A5630" t="str">
        <f>"5626"</f>
        <v>5626</v>
      </c>
      <c r="B5630" t="str">
        <f t="shared" si="313"/>
        <v>1</v>
      </c>
      <c r="C5630" t="str">
        <f t="shared" si="312"/>
        <v>113</v>
      </c>
      <c r="D5630" t="str">
        <f>"12"</f>
        <v>12</v>
      </c>
      <c r="E5630" t="str">
        <f>"1-113-12"</f>
        <v>1-113-12</v>
      </c>
      <c r="F5630" t="s">
        <v>65</v>
      </c>
      <c r="G5630" t="s">
        <v>66</v>
      </c>
      <c r="H5630" t="s">
        <v>67</v>
      </c>
      <c r="S5630">
        <v>0</v>
      </c>
      <c r="T5630">
        <v>1</v>
      </c>
      <c r="U5630">
        <v>0</v>
      </c>
      <c r="V5630">
        <v>0</v>
      </c>
      <c r="W5630">
        <v>0</v>
      </c>
      <c r="X5630">
        <v>1</v>
      </c>
      <c r="Y5630">
        <v>0</v>
      </c>
      <c r="Z5630">
        <v>1</v>
      </c>
      <c r="AA5630">
        <v>0</v>
      </c>
      <c r="AB5630">
        <v>0</v>
      </c>
      <c r="AC5630">
        <v>1</v>
      </c>
      <c r="AD5630">
        <v>1</v>
      </c>
      <c r="AE5630">
        <v>1</v>
      </c>
      <c r="AF5630">
        <v>1</v>
      </c>
      <c r="AG5630">
        <v>1</v>
      </c>
      <c r="AH5630">
        <v>1</v>
      </c>
      <c r="AI5630">
        <v>1</v>
      </c>
      <c r="AJ5630">
        <v>1</v>
      </c>
      <c r="AK5630">
        <v>1</v>
      </c>
      <c r="AL5630">
        <v>1</v>
      </c>
      <c r="AM5630">
        <v>1</v>
      </c>
    </row>
    <row r="5631" spans="1:39" x14ac:dyDescent="0.2">
      <c r="A5631" t="str">
        <f>"5627"</f>
        <v>5627</v>
      </c>
      <c r="B5631" t="str">
        <f t="shared" si="313"/>
        <v>1</v>
      </c>
      <c r="C5631" t="str">
        <f t="shared" si="312"/>
        <v>113</v>
      </c>
      <c r="D5631" t="str">
        <f>"43"</f>
        <v>43</v>
      </c>
      <c r="E5631" t="str">
        <f>"1-113-43"</f>
        <v>1-113-43</v>
      </c>
      <c r="F5631" t="s">
        <v>65</v>
      </c>
      <c r="G5631" t="s">
        <v>66</v>
      </c>
      <c r="H5631" t="s">
        <v>67</v>
      </c>
      <c r="S5631">
        <v>1</v>
      </c>
      <c r="T5631">
        <v>0</v>
      </c>
      <c r="U5631">
        <v>0</v>
      </c>
      <c r="V5631">
        <v>0</v>
      </c>
      <c r="W5631">
        <v>1</v>
      </c>
      <c r="X5631">
        <v>0</v>
      </c>
      <c r="Y5631">
        <v>0</v>
      </c>
      <c r="Z5631">
        <v>1</v>
      </c>
      <c r="AA5631">
        <v>1</v>
      </c>
      <c r="AB5631">
        <v>0</v>
      </c>
      <c r="AC5631">
        <v>0</v>
      </c>
      <c r="AD5631">
        <v>1</v>
      </c>
      <c r="AE5631">
        <v>1</v>
      </c>
      <c r="AF5631">
        <v>1</v>
      </c>
      <c r="AG5631">
        <v>0</v>
      </c>
      <c r="AH5631">
        <v>1</v>
      </c>
      <c r="AI5631">
        <v>1</v>
      </c>
      <c r="AJ5631">
        <v>1</v>
      </c>
      <c r="AK5631">
        <v>1</v>
      </c>
      <c r="AL5631">
        <v>1</v>
      </c>
      <c r="AM5631">
        <v>1</v>
      </c>
    </row>
    <row r="5632" spans="1:39" x14ac:dyDescent="0.2">
      <c r="A5632" t="str">
        <f>"5628"</f>
        <v>5628</v>
      </c>
      <c r="B5632" t="str">
        <f t="shared" si="313"/>
        <v>1</v>
      </c>
      <c r="C5632" t="str">
        <f t="shared" si="312"/>
        <v>113</v>
      </c>
      <c r="D5632" t="str">
        <f>"21"</f>
        <v>21</v>
      </c>
      <c r="E5632" t="str">
        <f>"1-113-21"</f>
        <v>1-113-21</v>
      </c>
      <c r="F5632" t="s">
        <v>65</v>
      </c>
      <c r="G5632" t="s">
        <v>66</v>
      </c>
      <c r="H5632" t="s">
        <v>67</v>
      </c>
      <c r="S5632">
        <v>0</v>
      </c>
      <c r="T5632">
        <v>0</v>
      </c>
      <c r="U5632">
        <v>0</v>
      </c>
      <c r="V5632">
        <v>0</v>
      </c>
      <c r="W5632">
        <v>1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1</v>
      </c>
      <c r="AJ5632">
        <v>0</v>
      </c>
      <c r="AK5632">
        <v>0</v>
      </c>
      <c r="AL5632">
        <v>1</v>
      </c>
      <c r="AM5632">
        <v>0</v>
      </c>
    </row>
    <row r="5633" spans="1:39" x14ac:dyDescent="0.2">
      <c r="A5633" t="str">
        <f>"5629"</f>
        <v>5629</v>
      </c>
      <c r="B5633" t="str">
        <f t="shared" si="313"/>
        <v>1</v>
      </c>
      <c r="C5633" t="str">
        <f t="shared" si="312"/>
        <v>113</v>
      </c>
      <c r="D5633" t="str">
        <f>"11"</f>
        <v>11</v>
      </c>
      <c r="E5633" t="str">
        <f>"1-113-11"</f>
        <v>1-113-11</v>
      </c>
      <c r="F5633" t="s">
        <v>65</v>
      </c>
      <c r="G5633" t="s">
        <v>66</v>
      </c>
      <c r="H5633" t="s">
        <v>67</v>
      </c>
      <c r="S5633">
        <v>0</v>
      </c>
      <c r="T5633">
        <v>1</v>
      </c>
      <c r="U5633">
        <v>0</v>
      </c>
      <c r="V5633">
        <v>0</v>
      </c>
      <c r="W5633">
        <v>1</v>
      </c>
      <c r="X5633">
        <v>0</v>
      </c>
      <c r="Y5633">
        <v>0</v>
      </c>
      <c r="Z5633">
        <v>1</v>
      </c>
      <c r="AA5633">
        <v>0</v>
      </c>
      <c r="AB5633">
        <v>0</v>
      </c>
      <c r="AC5633">
        <v>1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</row>
    <row r="5634" spans="1:39" x14ac:dyDescent="0.2">
      <c r="A5634" t="str">
        <f>"5630"</f>
        <v>5630</v>
      </c>
      <c r="B5634" t="str">
        <f t="shared" si="313"/>
        <v>1</v>
      </c>
      <c r="C5634" t="str">
        <f t="shared" si="312"/>
        <v>113</v>
      </c>
      <c r="D5634" t="str">
        <f>"44"</f>
        <v>44</v>
      </c>
      <c r="E5634" t="str">
        <f>"1-113-44"</f>
        <v>1-113-44</v>
      </c>
      <c r="F5634" t="s">
        <v>65</v>
      </c>
      <c r="G5634" t="s">
        <v>66</v>
      </c>
      <c r="H5634" t="s">
        <v>67</v>
      </c>
      <c r="S5634">
        <v>1</v>
      </c>
      <c r="T5634">
        <v>0</v>
      </c>
      <c r="U5634">
        <v>0</v>
      </c>
      <c r="V5634">
        <v>0</v>
      </c>
      <c r="W5634">
        <v>1</v>
      </c>
      <c r="X5634">
        <v>0</v>
      </c>
      <c r="Y5634">
        <v>0</v>
      </c>
      <c r="Z5634">
        <v>1</v>
      </c>
      <c r="AA5634">
        <v>1</v>
      </c>
      <c r="AB5634">
        <v>0</v>
      </c>
      <c r="AC5634">
        <v>0</v>
      </c>
      <c r="AD5634">
        <v>1</v>
      </c>
      <c r="AE5634">
        <v>1</v>
      </c>
      <c r="AF5634">
        <v>1</v>
      </c>
      <c r="AG5634">
        <v>1</v>
      </c>
      <c r="AH5634">
        <v>1</v>
      </c>
      <c r="AI5634">
        <v>1</v>
      </c>
      <c r="AJ5634">
        <v>1</v>
      </c>
      <c r="AK5634">
        <v>1</v>
      </c>
      <c r="AL5634">
        <v>1</v>
      </c>
      <c r="AM5634">
        <v>1</v>
      </c>
    </row>
    <row r="5635" spans="1:39" x14ac:dyDescent="0.2">
      <c r="A5635" t="str">
        <f>"5631"</f>
        <v>5631</v>
      </c>
      <c r="B5635" t="str">
        <f t="shared" si="313"/>
        <v>1</v>
      </c>
      <c r="C5635" t="str">
        <f t="shared" si="312"/>
        <v>113</v>
      </c>
      <c r="D5635" t="str">
        <f>"23"</f>
        <v>23</v>
      </c>
      <c r="E5635" t="str">
        <f>"1-113-23"</f>
        <v>1-113-23</v>
      </c>
      <c r="F5635" t="s">
        <v>65</v>
      </c>
      <c r="G5635" t="s">
        <v>66</v>
      </c>
      <c r="H5635" t="s">
        <v>67</v>
      </c>
      <c r="S5635">
        <v>1</v>
      </c>
      <c r="T5635">
        <v>0</v>
      </c>
      <c r="U5635">
        <v>0</v>
      </c>
      <c r="V5635">
        <v>0</v>
      </c>
      <c r="W5635">
        <v>1</v>
      </c>
      <c r="X5635">
        <v>0</v>
      </c>
      <c r="Y5635">
        <v>0</v>
      </c>
      <c r="Z5635">
        <v>1</v>
      </c>
      <c r="AA5635">
        <v>1</v>
      </c>
      <c r="AB5635">
        <v>0</v>
      </c>
      <c r="AC5635">
        <v>0</v>
      </c>
      <c r="AD5635">
        <v>1</v>
      </c>
      <c r="AE5635">
        <v>1</v>
      </c>
      <c r="AF5635">
        <v>1</v>
      </c>
      <c r="AG5635">
        <v>1</v>
      </c>
      <c r="AH5635">
        <v>1</v>
      </c>
      <c r="AI5635">
        <v>1</v>
      </c>
      <c r="AJ5635">
        <v>1</v>
      </c>
      <c r="AK5635">
        <v>1</v>
      </c>
      <c r="AL5635">
        <v>1</v>
      </c>
      <c r="AM5635">
        <v>1</v>
      </c>
    </row>
    <row r="5636" spans="1:39" x14ac:dyDescent="0.2">
      <c r="A5636" t="str">
        <f>"5632"</f>
        <v>5632</v>
      </c>
      <c r="B5636" t="str">
        <f t="shared" si="313"/>
        <v>1</v>
      </c>
      <c r="C5636" t="str">
        <f t="shared" si="312"/>
        <v>113</v>
      </c>
      <c r="D5636" t="str">
        <f>"13"</f>
        <v>13</v>
      </c>
      <c r="E5636" t="str">
        <f>"1-113-13"</f>
        <v>1-113-13</v>
      </c>
      <c r="F5636" t="s">
        <v>65</v>
      </c>
      <c r="G5636" t="s">
        <v>66</v>
      </c>
      <c r="H5636" t="s">
        <v>67</v>
      </c>
      <c r="S5636">
        <v>0</v>
      </c>
      <c r="T5636">
        <v>1</v>
      </c>
      <c r="U5636">
        <v>0</v>
      </c>
      <c r="V5636">
        <v>0</v>
      </c>
      <c r="W5636">
        <v>0</v>
      </c>
      <c r="X5636">
        <v>1</v>
      </c>
      <c r="Y5636">
        <v>0</v>
      </c>
      <c r="Z5636">
        <v>1</v>
      </c>
      <c r="AA5636">
        <v>0</v>
      </c>
      <c r="AB5636">
        <v>0</v>
      </c>
      <c r="AC5636">
        <v>1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</row>
    <row r="5637" spans="1:39" x14ac:dyDescent="0.2">
      <c r="A5637" t="str">
        <f>"5633"</f>
        <v>5633</v>
      </c>
      <c r="B5637" t="str">
        <f t="shared" si="313"/>
        <v>1</v>
      </c>
      <c r="C5637" t="str">
        <f t="shared" ref="C5637:C5654" si="314">"113"</f>
        <v>113</v>
      </c>
      <c r="D5637" t="str">
        <f>"45"</f>
        <v>45</v>
      </c>
      <c r="E5637" t="str">
        <f>"1-113-45"</f>
        <v>1-113-45</v>
      </c>
      <c r="F5637" t="s">
        <v>65</v>
      </c>
      <c r="G5637" t="s">
        <v>66</v>
      </c>
      <c r="H5637" t="s">
        <v>67</v>
      </c>
      <c r="S5637">
        <v>1</v>
      </c>
      <c r="T5637">
        <v>0</v>
      </c>
      <c r="U5637">
        <v>0</v>
      </c>
      <c r="V5637">
        <v>0</v>
      </c>
      <c r="W5637">
        <v>1</v>
      </c>
      <c r="X5637">
        <v>0</v>
      </c>
      <c r="Y5637">
        <v>1</v>
      </c>
      <c r="Z5637">
        <v>0</v>
      </c>
      <c r="AA5637">
        <v>0</v>
      </c>
      <c r="AB5637">
        <v>0</v>
      </c>
      <c r="AC5637">
        <v>1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1</v>
      </c>
      <c r="AK5637">
        <v>0</v>
      </c>
      <c r="AL5637">
        <v>1</v>
      </c>
      <c r="AM5637">
        <v>0</v>
      </c>
    </row>
    <row r="5638" spans="1:39" x14ac:dyDescent="0.2">
      <c r="A5638" t="str">
        <f>"5634"</f>
        <v>5634</v>
      </c>
      <c r="B5638" t="str">
        <f t="shared" si="313"/>
        <v>1</v>
      </c>
      <c r="C5638" t="str">
        <f t="shared" si="314"/>
        <v>113</v>
      </c>
      <c r="D5638" t="str">
        <f>"26"</f>
        <v>26</v>
      </c>
      <c r="E5638" t="str">
        <f>"1-113-26"</f>
        <v>1-113-26</v>
      </c>
      <c r="F5638" t="s">
        <v>65</v>
      </c>
      <c r="G5638" t="s">
        <v>66</v>
      </c>
      <c r="H5638" t="s">
        <v>67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</row>
    <row r="5639" spans="1:39" x14ac:dyDescent="0.2">
      <c r="A5639" t="str">
        <f>"5635"</f>
        <v>5635</v>
      </c>
      <c r="B5639" t="str">
        <f t="shared" si="313"/>
        <v>1</v>
      </c>
      <c r="C5639" t="str">
        <f t="shared" si="314"/>
        <v>113</v>
      </c>
      <c r="D5639" t="str">
        <f>"10"</f>
        <v>10</v>
      </c>
      <c r="E5639" t="str">
        <f>"1-113-10"</f>
        <v>1-113-10</v>
      </c>
      <c r="F5639" t="s">
        <v>65</v>
      </c>
      <c r="G5639" t="s">
        <v>66</v>
      </c>
      <c r="H5639" t="s">
        <v>67</v>
      </c>
      <c r="S5639">
        <v>1</v>
      </c>
      <c r="T5639">
        <v>0</v>
      </c>
      <c r="U5639">
        <v>0</v>
      </c>
      <c r="V5639">
        <v>0</v>
      </c>
      <c r="W5639">
        <v>1</v>
      </c>
      <c r="X5639">
        <v>0</v>
      </c>
      <c r="Y5639">
        <v>0</v>
      </c>
      <c r="Z5639">
        <v>1</v>
      </c>
      <c r="AA5639">
        <v>0</v>
      </c>
      <c r="AB5639">
        <v>0</v>
      </c>
      <c r="AC5639">
        <v>1</v>
      </c>
      <c r="AD5639">
        <v>1</v>
      </c>
      <c r="AE5639">
        <v>1</v>
      </c>
      <c r="AF5639">
        <v>1</v>
      </c>
      <c r="AG5639">
        <v>1</v>
      </c>
      <c r="AH5639">
        <v>1</v>
      </c>
      <c r="AI5639">
        <v>1</v>
      </c>
      <c r="AJ5639">
        <v>1</v>
      </c>
      <c r="AK5639">
        <v>1</v>
      </c>
      <c r="AL5639">
        <v>1</v>
      </c>
      <c r="AM5639">
        <v>1</v>
      </c>
    </row>
    <row r="5640" spans="1:39" x14ac:dyDescent="0.2">
      <c r="A5640" t="str">
        <f>"5636"</f>
        <v>5636</v>
      </c>
      <c r="B5640" t="str">
        <f t="shared" si="313"/>
        <v>1</v>
      </c>
      <c r="C5640" t="str">
        <f t="shared" si="314"/>
        <v>113</v>
      </c>
      <c r="D5640" t="str">
        <f>"27"</f>
        <v>27</v>
      </c>
      <c r="E5640" t="str">
        <f>"1-113-27"</f>
        <v>1-113-27</v>
      </c>
      <c r="F5640" t="s">
        <v>65</v>
      </c>
      <c r="G5640" t="s">
        <v>66</v>
      </c>
      <c r="H5640" t="s">
        <v>67</v>
      </c>
      <c r="S5640">
        <v>1</v>
      </c>
      <c r="T5640">
        <v>0</v>
      </c>
      <c r="U5640">
        <v>0</v>
      </c>
      <c r="V5640">
        <v>0</v>
      </c>
      <c r="W5640">
        <v>1</v>
      </c>
      <c r="X5640">
        <v>0</v>
      </c>
      <c r="Y5640">
        <v>1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1</v>
      </c>
      <c r="AF5640">
        <v>1</v>
      </c>
      <c r="AG5640">
        <v>1</v>
      </c>
      <c r="AH5640">
        <v>1</v>
      </c>
      <c r="AI5640">
        <v>1</v>
      </c>
      <c r="AJ5640">
        <v>1</v>
      </c>
      <c r="AK5640">
        <v>1</v>
      </c>
      <c r="AL5640">
        <v>1</v>
      </c>
      <c r="AM5640">
        <v>1</v>
      </c>
    </row>
    <row r="5641" spans="1:39" x14ac:dyDescent="0.2">
      <c r="A5641" t="str">
        <f>"5637"</f>
        <v>5637</v>
      </c>
      <c r="B5641" t="str">
        <f t="shared" si="313"/>
        <v>1</v>
      </c>
      <c r="C5641" t="str">
        <f t="shared" si="314"/>
        <v>113</v>
      </c>
      <c r="D5641" t="str">
        <f>"1"</f>
        <v>1</v>
      </c>
      <c r="E5641" t="str">
        <f>"1-113-1"</f>
        <v>1-113-1</v>
      </c>
      <c r="F5641" t="s">
        <v>65</v>
      </c>
      <c r="G5641" t="s">
        <v>66</v>
      </c>
      <c r="H5641" t="s">
        <v>67</v>
      </c>
      <c r="S5641">
        <v>0</v>
      </c>
      <c r="T5641">
        <v>1</v>
      </c>
      <c r="U5641">
        <v>0</v>
      </c>
      <c r="V5641">
        <v>0</v>
      </c>
      <c r="W5641">
        <v>1</v>
      </c>
      <c r="X5641">
        <v>0</v>
      </c>
      <c r="Y5641">
        <v>1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1</v>
      </c>
      <c r="AF5641">
        <v>1</v>
      </c>
      <c r="AG5641">
        <v>1</v>
      </c>
      <c r="AH5641">
        <v>1</v>
      </c>
      <c r="AI5641">
        <v>1</v>
      </c>
      <c r="AJ5641">
        <v>1</v>
      </c>
      <c r="AK5641">
        <v>1</v>
      </c>
      <c r="AL5641">
        <v>1</v>
      </c>
      <c r="AM5641">
        <v>1</v>
      </c>
    </row>
    <row r="5642" spans="1:39" x14ac:dyDescent="0.2">
      <c r="A5642" t="str">
        <f>"5638"</f>
        <v>5638</v>
      </c>
      <c r="B5642" t="str">
        <f t="shared" si="313"/>
        <v>1</v>
      </c>
      <c r="C5642" t="str">
        <f t="shared" si="314"/>
        <v>113</v>
      </c>
      <c r="D5642" t="str">
        <f>"29"</f>
        <v>29</v>
      </c>
      <c r="E5642" t="str">
        <f>"1-113-29"</f>
        <v>1-113-29</v>
      </c>
      <c r="F5642" t="s">
        <v>65</v>
      </c>
      <c r="G5642" t="s">
        <v>66</v>
      </c>
      <c r="H5642" t="s">
        <v>67</v>
      </c>
      <c r="S5642">
        <v>1</v>
      </c>
      <c r="T5642">
        <v>0</v>
      </c>
      <c r="U5642">
        <v>0</v>
      </c>
      <c r="V5642">
        <v>0</v>
      </c>
      <c r="W5642">
        <v>1</v>
      </c>
      <c r="X5642">
        <v>0</v>
      </c>
      <c r="Y5642">
        <v>1</v>
      </c>
      <c r="Z5642">
        <v>0</v>
      </c>
      <c r="AA5642">
        <v>0</v>
      </c>
      <c r="AB5642">
        <v>1</v>
      </c>
      <c r="AC5642">
        <v>0</v>
      </c>
      <c r="AD5642">
        <v>1</v>
      </c>
      <c r="AE5642">
        <v>1</v>
      </c>
      <c r="AF5642">
        <v>1</v>
      </c>
      <c r="AG5642">
        <v>1</v>
      </c>
      <c r="AH5642">
        <v>1</v>
      </c>
      <c r="AI5642">
        <v>1</v>
      </c>
      <c r="AJ5642">
        <v>1</v>
      </c>
      <c r="AK5642">
        <v>1</v>
      </c>
      <c r="AL5642">
        <v>1</v>
      </c>
      <c r="AM5642">
        <v>1</v>
      </c>
    </row>
    <row r="5643" spans="1:39" x14ac:dyDescent="0.2">
      <c r="A5643" t="str">
        <f>"5639"</f>
        <v>5639</v>
      </c>
      <c r="B5643" t="str">
        <f t="shared" si="313"/>
        <v>1</v>
      </c>
      <c r="C5643" t="str">
        <f t="shared" si="314"/>
        <v>113</v>
      </c>
      <c r="D5643" t="str">
        <f>"5"</f>
        <v>5</v>
      </c>
      <c r="E5643" t="str">
        <f>"1-113-5"</f>
        <v>1-113-5</v>
      </c>
      <c r="F5643" t="s">
        <v>65</v>
      </c>
      <c r="G5643" t="s">
        <v>66</v>
      </c>
      <c r="H5643" t="s">
        <v>67</v>
      </c>
      <c r="S5643">
        <v>1</v>
      </c>
      <c r="T5643">
        <v>0</v>
      </c>
      <c r="U5643">
        <v>0</v>
      </c>
      <c r="V5643">
        <v>0</v>
      </c>
      <c r="W5643">
        <v>1</v>
      </c>
      <c r="X5643">
        <v>0</v>
      </c>
      <c r="Y5643">
        <v>1</v>
      </c>
      <c r="Z5643">
        <v>0</v>
      </c>
      <c r="AA5643">
        <v>1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1</v>
      </c>
      <c r="AH5643">
        <v>1</v>
      </c>
      <c r="AI5643">
        <v>1</v>
      </c>
      <c r="AJ5643">
        <v>1</v>
      </c>
      <c r="AK5643">
        <v>1</v>
      </c>
      <c r="AL5643">
        <v>1</v>
      </c>
      <c r="AM5643">
        <v>1</v>
      </c>
    </row>
    <row r="5644" spans="1:39" x14ac:dyDescent="0.2">
      <c r="A5644" t="str">
        <f>"5640"</f>
        <v>5640</v>
      </c>
      <c r="B5644" t="str">
        <f t="shared" si="313"/>
        <v>1</v>
      </c>
      <c r="C5644" t="str">
        <f t="shared" si="314"/>
        <v>113</v>
      </c>
      <c r="D5644" t="str">
        <f>"46"</f>
        <v>46</v>
      </c>
      <c r="E5644" t="str">
        <f>"1-113-46"</f>
        <v>1-113-46</v>
      </c>
      <c r="F5644" t="s">
        <v>65</v>
      </c>
      <c r="G5644" t="s">
        <v>66</v>
      </c>
      <c r="H5644" t="s">
        <v>67</v>
      </c>
      <c r="S5644">
        <v>0</v>
      </c>
      <c r="T5644">
        <v>0</v>
      </c>
      <c r="U5644">
        <v>0</v>
      </c>
      <c r="V5644">
        <v>0</v>
      </c>
      <c r="W5644">
        <v>1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1</v>
      </c>
      <c r="AK5644">
        <v>0</v>
      </c>
      <c r="AL5644">
        <v>1</v>
      </c>
      <c r="AM5644">
        <v>0</v>
      </c>
    </row>
    <row r="5645" spans="1:39" x14ac:dyDescent="0.2">
      <c r="A5645" t="str">
        <f>"5641"</f>
        <v>5641</v>
      </c>
      <c r="B5645" t="str">
        <f t="shared" si="313"/>
        <v>1</v>
      </c>
      <c r="C5645" t="str">
        <f t="shared" si="314"/>
        <v>113</v>
      </c>
      <c r="D5645" t="str">
        <f>"30"</f>
        <v>30</v>
      </c>
      <c r="E5645" t="str">
        <f>"1-113-30"</f>
        <v>1-113-30</v>
      </c>
      <c r="F5645" t="s">
        <v>65</v>
      </c>
      <c r="G5645" t="s">
        <v>66</v>
      </c>
      <c r="H5645" t="s">
        <v>67</v>
      </c>
      <c r="S5645">
        <v>1</v>
      </c>
      <c r="T5645">
        <v>0</v>
      </c>
      <c r="U5645">
        <v>0</v>
      </c>
      <c r="V5645">
        <v>0</v>
      </c>
      <c r="W5645">
        <v>1</v>
      </c>
      <c r="X5645">
        <v>0</v>
      </c>
      <c r="Y5645">
        <v>1</v>
      </c>
      <c r="Z5645">
        <v>0</v>
      </c>
      <c r="AA5645">
        <v>1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</row>
    <row r="5646" spans="1:39" x14ac:dyDescent="0.2">
      <c r="A5646" t="str">
        <f>"5642"</f>
        <v>5642</v>
      </c>
      <c r="B5646" t="str">
        <f t="shared" si="313"/>
        <v>1</v>
      </c>
      <c r="C5646" t="str">
        <f t="shared" si="314"/>
        <v>113</v>
      </c>
      <c r="D5646" t="str">
        <f>"4"</f>
        <v>4</v>
      </c>
      <c r="E5646" t="str">
        <f>"1-113-4"</f>
        <v>1-113-4</v>
      </c>
      <c r="F5646" t="s">
        <v>65</v>
      </c>
      <c r="G5646" t="s">
        <v>66</v>
      </c>
      <c r="H5646" t="s">
        <v>67</v>
      </c>
      <c r="S5646">
        <v>1</v>
      </c>
      <c r="T5646">
        <v>0</v>
      </c>
      <c r="U5646">
        <v>0</v>
      </c>
      <c r="V5646">
        <v>0</v>
      </c>
      <c r="W5646">
        <v>1</v>
      </c>
      <c r="X5646">
        <v>0</v>
      </c>
      <c r="Y5646">
        <v>1</v>
      </c>
      <c r="Z5646">
        <v>0</v>
      </c>
      <c r="AA5646">
        <v>0</v>
      </c>
      <c r="AB5646">
        <v>1</v>
      </c>
      <c r="AC5646">
        <v>0</v>
      </c>
      <c r="AD5646">
        <v>1</v>
      </c>
      <c r="AE5646">
        <v>1</v>
      </c>
      <c r="AF5646">
        <v>1</v>
      </c>
      <c r="AG5646">
        <v>1</v>
      </c>
      <c r="AH5646">
        <v>1</v>
      </c>
      <c r="AI5646">
        <v>1</v>
      </c>
      <c r="AJ5646">
        <v>1</v>
      </c>
      <c r="AK5646">
        <v>1</v>
      </c>
      <c r="AL5646">
        <v>1</v>
      </c>
      <c r="AM5646">
        <v>1</v>
      </c>
    </row>
    <row r="5647" spans="1:39" x14ac:dyDescent="0.2">
      <c r="A5647" t="str">
        <f>"5643"</f>
        <v>5643</v>
      </c>
      <c r="B5647" t="str">
        <f t="shared" si="313"/>
        <v>1</v>
      </c>
      <c r="C5647" t="str">
        <f t="shared" si="314"/>
        <v>113</v>
      </c>
      <c r="D5647" t="str">
        <f>"47"</f>
        <v>47</v>
      </c>
      <c r="E5647" t="str">
        <f>"1-113-47"</f>
        <v>1-113-47</v>
      </c>
      <c r="F5647" t="s">
        <v>65</v>
      </c>
      <c r="G5647" t="s">
        <v>66</v>
      </c>
      <c r="H5647" t="s">
        <v>67</v>
      </c>
      <c r="S5647">
        <v>1</v>
      </c>
      <c r="T5647">
        <v>0</v>
      </c>
      <c r="U5647">
        <v>0</v>
      </c>
      <c r="V5647">
        <v>0</v>
      </c>
      <c r="W5647">
        <v>1</v>
      </c>
      <c r="X5647">
        <v>0</v>
      </c>
      <c r="Y5647">
        <v>1</v>
      </c>
      <c r="Z5647">
        <v>0</v>
      </c>
      <c r="AA5647">
        <v>0</v>
      </c>
      <c r="AB5647">
        <v>1</v>
      </c>
      <c r="AC5647">
        <v>0</v>
      </c>
      <c r="AD5647">
        <v>1</v>
      </c>
      <c r="AE5647">
        <v>1</v>
      </c>
      <c r="AF5647">
        <v>1</v>
      </c>
      <c r="AG5647">
        <v>1</v>
      </c>
      <c r="AH5647">
        <v>1</v>
      </c>
      <c r="AI5647">
        <v>1</v>
      </c>
      <c r="AJ5647">
        <v>1</v>
      </c>
      <c r="AK5647">
        <v>1</v>
      </c>
      <c r="AL5647">
        <v>1</v>
      </c>
      <c r="AM5647">
        <v>1</v>
      </c>
    </row>
    <row r="5648" spans="1:39" x14ac:dyDescent="0.2">
      <c r="A5648" t="str">
        <f>"5644"</f>
        <v>5644</v>
      </c>
      <c r="B5648" t="str">
        <f t="shared" si="313"/>
        <v>1</v>
      </c>
      <c r="C5648" t="str">
        <f t="shared" si="314"/>
        <v>113</v>
      </c>
      <c r="D5648" t="str">
        <f>"31"</f>
        <v>31</v>
      </c>
      <c r="E5648" t="str">
        <f>"1-113-31"</f>
        <v>1-113-31</v>
      </c>
      <c r="F5648" t="s">
        <v>65</v>
      </c>
      <c r="G5648" t="s">
        <v>66</v>
      </c>
      <c r="H5648" t="s">
        <v>67</v>
      </c>
      <c r="S5648">
        <v>0</v>
      </c>
      <c r="T5648">
        <v>1</v>
      </c>
      <c r="U5648">
        <v>0</v>
      </c>
      <c r="V5648">
        <v>0</v>
      </c>
      <c r="W5648">
        <v>1</v>
      </c>
      <c r="X5648">
        <v>0</v>
      </c>
      <c r="Y5648">
        <v>1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1</v>
      </c>
      <c r="AF5648">
        <v>1</v>
      </c>
      <c r="AG5648">
        <v>1</v>
      </c>
      <c r="AH5648">
        <v>1</v>
      </c>
      <c r="AI5648">
        <v>1</v>
      </c>
      <c r="AJ5648">
        <v>1</v>
      </c>
      <c r="AK5648">
        <v>1</v>
      </c>
      <c r="AL5648">
        <v>1</v>
      </c>
      <c r="AM5648">
        <v>1</v>
      </c>
    </row>
    <row r="5649" spans="1:39" x14ac:dyDescent="0.2">
      <c r="A5649" t="str">
        <f>"5645"</f>
        <v>5645</v>
      </c>
      <c r="B5649" t="str">
        <f t="shared" si="313"/>
        <v>1</v>
      </c>
      <c r="C5649" t="str">
        <f t="shared" si="314"/>
        <v>113</v>
      </c>
      <c r="D5649" t="str">
        <f>"8"</f>
        <v>8</v>
      </c>
      <c r="E5649" t="str">
        <f>"1-113-8"</f>
        <v>1-113-8</v>
      </c>
      <c r="F5649" t="s">
        <v>65</v>
      </c>
      <c r="G5649" t="s">
        <v>66</v>
      </c>
      <c r="H5649" t="s">
        <v>67</v>
      </c>
      <c r="S5649">
        <v>0</v>
      </c>
      <c r="T5649">
        <v>1</v>
      </c>
      <c r="U5649">
        <v>0</v>
      </c>
      <c r="V5649">
        <v>0</v>
      </c>
      <c r="W5649">
        <v>1</v>
      </c>
      <c r="X5649">
        <v>0</v>
      </c>
      <c r="Y5649">
        <v>0</v>
      </c>
      <c r="Z5649">
        <v>1</v>
      </c>
      <c r="AA5649">
        <v>0</v>
      </c>
      <c r="AB5649">
        <v>0</v>
      </c>
      <c r="AC5649">
        <v>1</v>
      </c>
      <c r="AD5649">
        <v>1</v>
      </c>
      <c r="AE5649">
        <v>1</v>
      </c>
      <c r="AF5649">
        <v>1</v>
      </c>
      <c r="AG5649">
        <v>1</v>
      </c>
      <c r="AH5649">
        <v>1</v>
      </c>
      <c r="AI5649">
        <v>1</v>
      </c>
      <c r="AJ5649">
        <v>1</v>
      </c>
      <c r="AK5649">
        <v>1</v>
      </c>
      <c r="AL5649">
        <v>1</v>
      </c>
      <c r="AM5649">
        <v>1</v>
      </c>
    </row>
    <row r="5650" spans="1:39" x14ac:dyDescent="0.2">
      <c r="A5650" t="str">
        <f>"5646"</f>
        <v>5646</v>
      </c>
      <c r="B5650" t="str">
        <f t="shared" si="313"/>
        <v>1</v>
      </c>
      <c r="C5650" t="str">
        <f t="shared" si="314"/>
        <v>113</v>
      </c>
      <c r="D5650" t="str">
        <f>"48"</f>
        <v>48</v>
      </c>
      <c r="E5650" t="str">
        <f>"1-113-48"</f>
        <v>1-113-48</v>
      </c>
      <c r="F5650" t="s">
        <v>65</v>
      </c>
      <c r="G5650" t="s">
        <v>66</v>
      </c>
      <c r="H5650" t="s">
        <v>67</v>
      </c>
      <c r="S5650">
        <v>1</v>
      </c>
      <c r="T5650">
        <v>0</v>
      </c>
      <c r="U5650">
        <v>0</v>
      </c>
      <c r="V5650">
        <v>0</v>
      </c>
      <c r="W5650">
        <v>1</v>
      </c>
      <c r="X5650">
        <v>0</v>
      </c>
      <c r="Y5650">
        <v>1</v>
      </c>
      <c r="Z5650">
        <v>0</v>
      </c>
      <c r="AA5650">
        <v>1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</row>
    <row r="5651" spans="1:39" x14ac:dyDescent="0.2">
      <c r="A5651" t="str">
        <f>"5647"</f>
        <v>5647</v>
      </c>
      <c r="B5651" t="str">
        <f t="shared" si="313"/>
        <v>1</v>
      </c>
      <c r="C5651" t="str">
        <f t="shared" si="314"/>
        <v>113</v>
      </c>
      <c r="D5651" t="str">
        <f>"32"</f>
        <v>32</v>
      </c>
      <c r="E5651" t="str">
        <f>"1-113-32"</f>
        <v>1-113-32</v>
      </c>
      <c r="F5651" t="s">
        <v>65</v>
      </c>
      <c r="G5651" t="s">
        <v>66</v>
      </c>
      <c r="H5651" t="s">
        <v>67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1</v>
      </c>
      <c r="Y5651">
        <v>0</v>
      </c>
      <c r="Z5651">
        <v>1</v>
      </c>
      <c r="AA5651">
        <v>0</v>
      </c>
      <c r="AB5651">
        <v>0</v>
      </c>
      <c r="AC5651">
        <v>1</v>
      </c>
      <c r="AD5651">
        <v>1</v>
      </c>
      <c r="AE5651">
        <v>1</v>
      </c>
      <c r="AF5651">
        <v>1</v>
      </c>
      <c r="AG5651">
        <v>1</v>
      </c>
      <c r="AH5651">
        <v>1</v>
      </c>
      <c r="AI5651">
        <v>1</v>
      </c>
      <c r="AJ5651">
        <v>1</v>
      </c>
      <c r="AK5651">
        <v>1</v>
      </c>
      <c r="AL5651">
        <v>1</v>
      </c>
      <c r="AM5651">
        <v>1</v>
      </c>
    </row>
    <row r="5652" spans="1:39" x14ac:dyDescent="0.2">
      <c r="A5652" t="str">
        <f>"5648"</f>
        <v>5648</v>
      </c>
      <c r="B5652" t="str">
        <f t="shared" si="313"/>
        <v>1</v>
      </c>
      <c r="C5652" t="str">
        <f t="shared" si="314"/>
        <v>113</v>
      </c>
      <c r="D5652" t="str">
        <f>"7"</f>
        <v>7</v>
      </c>
      <c r="E5652" t="str">
        <f>"1-113-7"</f>
        <v>1-113-7</v>
      </c>
      <c r="F5652" t="s">
        <v>65</v>
      </c>
      <c r="G5652" t="s">
        <v>66</v>
      </c>
      <c r="H5652" t="s">
        <v>67</v>
      </c>
      <c r="S5652">
        <v>0</v>
      </c>
      <c r="T5652">
        <v>1</v>
      </c>
      <c r="U5652">
        <v>0</v>
      </c>
      <c r="V5652">
        <v>0</v>
      </c>
      <c r="W5652">
        <v>1</v>
      </c>
      <c r="X5652">
        <v>0</v>
      </c>
      <c r="Y5652">
        <v>1</v>
      </c>
      <c r="Z5652">
        <v>0</v>
      </c>
      <c r="AA5652">
        <v>0</v>
      </c>
      <c r="AB5652">
        <v>1</v>
      </c>
      <c r="AC5652">
        <v>0</v>
      </c>
      <c r="AD5652">
        <v>1</v>
      </c>
      <c r="AE5652">
        <v>1</v>
      </c>
      <c r="AF5652">
        <v>1</v>
      </c>
      <c r="AG5652">
        <v>1</v>
      </c>
      <c r="AH5652">
        <v>1</v>
      </c>
      <c r="AI5652">
        <v>1</v>
      </c>
      <c r="AJ5652">
        <v>1</v>
      </c>
      <c r="AK5652">
        <v>1</v>
      </c>
      <c r="AL5652">
        <v>1</v>
      </c>
      <c r="AM5652">
        <v>1</v>
      </c>
    </row>
    <row r="5653" spans="1:39" x14ac:dyDescent="0.2">
      <c r="A5653" t="str">
        <f>"5649"</f>
        <v>5649</v>
      </c>
      <c r="B5653" t="str">
        <f t="shared" si="313"/>
        <v>1</v>
      </c>
      <c r="C5653" t="str">
        <f t="shared" si="314"/>
        <v>113</v>
      </c>
      <c r="D5653" t="str">
        <f>"50"</f>
        <v>50</v>
      </c>
      <c r="E5653" t="str">
        <f>"1-113-50"</f>
        <v>1-113-50</v>
      </c>
      <c r="F5653" t="s">
        <v>65</v>
      </c>
      <c r="G5653" t="s">
        <v>66</v>
      </c>
      <c r="H5653" t="s">
        <v>67</v>
      </c>
      <c r="S5653">
        <v>1</v>
      </c>
      <c r="T5653">
        <v>0</v>
      </c>
      <c r="U5653">
        <v>0</v>
      </c>
      <c r="V5653">
        <v>0</v>
      </c>
      <c r="W5653">
        <v>1</v>
      </c>
      <c r="X5653">
        <v>0</v>
      </c>
      <c r="Y5653">
        <v>0</v>
      </c>
      <c r="Z5653">
        <v>1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</row>
    <row r="5654" spans="1:39" x14ac:dyDescent="0.2">
      <c r="A5654" t="str">
        <f>"5650"</f>
        <v>5650</v>
      </c>
      <c r="B5654" t="str">
        <f t="shared" si="313"/>
        <v>1</v>
      </c>
      <c r="C5654" t="str">
        <f t="shared" si="314"/>
        <v>113</v>
      </c>
      <c r="D5654" t="str">
        <f>"49"</f>
        <v>49</v>
      </c>
      <c r="E5654" t="str">
        <f>"1-113-49"</f>
        <v>1-113-49</v>
      </c>
      <c r="F5654" t="s">
        <v>65</v>
      </c>
      <c r="G5654" t="s">
        <v>66</v>
      </c>
      <c r="H5654" t="s">
        <v>67</v>
      </c>
      <c r="S5654">
        <v>0</v>
      </c>
      <c r="T5654">
        <v>1</v>
      </c>
      <c r="U5654">
        <v>0</v>
      </c>
      <c r="V5654">
        <v>0</v>
      </c>
      <c r="W5654">
        <v>1</v>
      </c>
      <c r="X5654">
        <v>0</v>
      </c>
      <c r="Y5654">
        <v>0</v>
      </c>
      <c r="Z5654">
        <v>1</v>
      </c>
      <c r="AA5654">
        <v>1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1</v>
      </c>
      <c r="AH5654">
        <v>0</v>
      </c>
      <c r="AI5654">
        <v>1</v>
      </c>
      <c r="AJ5654">
        <v>1</v>
      </c>
      <c r="AK5654">
        <v>1</v>
      </c>
      <c r="AL5654">
        <v>1</v>
      </c>
      <c r="AM5654">
        <v>0</v>
      </c>
    </row>
    <row r="5655" spans="1:39" x14ac:dyDescent="0.2">
      <c r="A5655" t="str">
        <f>"5651"</f>
        <v>5651</v>
      </c>
      <c r="B5655" t="str">
        <f t="shared" si="313"/>
        <v>1</v>
      </c>
      <c r="C5655" t="str">
        <f t="shared" ref="C5655:C5686" si="315">"114"</f>
        <v>114</v>
      </c>
      <c r="D5655" t="str">
        <f>"34"</f>
        <v>34</v>
      </c>
      <c r="E5655" t="str">
        <f>"1-114-34"</f>
        <v>1-114-34</v>
      </c>
      <c r="F5655" t="s">
        <v>65</v>
      </c>
      <c r="G5655" t="s">
        <v>66</v>
      </c>
      <c r="H5655" t="s">
        <v>67</v>
      </c>
      <c r="S5655">
        <v>0</v>
      </c>
      <c r="T5655">
        <v>1</v>
      </c>
      <c r="U5655">
        <v>0</v>
      </c>
      <c r="V5655">
        <v>0</v>
      </c>
      <c r="W5655">
        <v>1</v>
      </c>
      <c r="X5655">
        <v>0</v>
      </c>
      <c r="Y5655">
        <v>0</v>
      </c>
      <c r="Z5655">
        <v>1</v>
      </c>
      <c r="AA5655">
        <v>0</v>
      </c>
      <c r="AB5655">
        <v>1</v>
      </c>
      <c r="AC5655">
        <v>0</v>
      </c>
      <c r="AD5655">
        <v>1</v>
      </c>
      <c r="AE5655">
        <v>1</v>
      </c>
      <c r="AF5655">
        <v>1</v>
      </c>
      <c r="AG5655">
        <v>1</v>
      </c>
      <c r="AH5655">
        <v>1</v>
      </c>
      <c r="AI5655">
        <v>1</v>
      </c>
      <c r="AJ5655">
        <v>1</v>
      </c>
      <c r="AK5655">
        <v>1</v>
      </c>
      <c r="AL5655">
        <v>1</v>
      </c>
      <c r="AM5655">
        <v>1</v>
      </c>
    </row>
    <row r="5656" spans="1:39" x14ac:dyDescent="0.2">
      <c r="A5656" t="str">
        <f>"5652"</f>
        <v>5652</v>
      </c>
      <c r="B5656" t="str">
        <f t="shared" si="313"/>
        <v>1</v>
      </c>
      <c r="C5656" t="str">
        <f t="shared" si="315"/>
        <v>114</v>
      </c>
      <c r="D5656" t="str">
        <f>"33"</f>
        <v>33</v>
      </c>
      <c r="E5656" t="str">
        <f>"1-114-33"</f>
        <v>1-114-33</v>
      </c>
      <c r="F5656" t="s">
        <v>65</v>
      </c>
      <c r="G5656" t="s">
        <v>66</v>
      </c>
      <c r="H5656" t="s">
        <v>67</v>
      </c>
      <c r="S5656">
        <v>0</v>
      </c>
      <c r="T5656">
        <v>1</v>
      </c>
      <c r="U5656">
        <v>0</v>
      </c>
      <c r="V5656">
        <v>0</v>
      </c>
      <c r="W5656">
        <v>1</v>
      </c>
      <c r="X5656">
        <v>0</v>
      </c>
      <c r="Y5656">
        <v>0</v>
      </c>
      <c r="Z5656">
        <v>1</v>
      </c>
      <c r="AA5656">
        <v>0</v>
      </c>
      <c r="AB5656">
        <v>1</v>
      </c>
      <c r="AC5656">
        <v>0</v>
      </c>
      <c r="AD5656">
        <v>1</v>
      </c>
      <c r="AE5656">
        <v>1</v>
      </c>
      <c r="AF5656">
        <v>1</v>
      </c>
      <c r="AG5656">
        <v>1</v>
      </c>
      <c r="AH5656">
        <v>1</v>
      </c>
      <c r="AI5656">
        <v>1</v>
      </c>
      <c r="AJ5656">
        <v>1</v>
      </c>
      <c r="AK5656">
        <v>1</v>
      </c>
      <c r="AL5656">
        <v>1</v>
      </c>
      <c r="AM5656">
        <v>1</v>
      </c>
    </row>
    <row r="5657" spans="1:39" x14ac:dyDescent="0.2">
      <c r="A5657" t="str">
        <f>"5653"</f>
        <v>5653</v>
      </c>
      <c r="B5657" t="str">
        <f t="shared" si="313"/>
        <v>1</v>
      </c>
      <c r="C5657" t="str">
        <f t="shared" si="315"/>
        <v>114</v>
      </c>
      <c r="D5657" t="str">
        <f>"19"</f>
        <v>19</v>
      </c>
      <c r="E5657" t="str">
        <f>"1-114-19"</f>
        <v>1-114-19</v>
      </c>
      <c r="F5657" t="s">
        <v>65</v>
      </c>
      <c r="G5657" t="s">
        <v>66</v>
      </c>
      <c r="H5657" t="s">
        <v>67</v>
      </c>
      <c r="S5657">
        <v>0</v>
      </c>
      <c r="T5657">
        <v>1</v>
      </c>
      <c r="U5657">
        <v>0</v>
      </c>
      <c r="V5657">
        <v>0</v>
      </c>
      <c r="W5657">
        <v>1</v>
      </c>
      <c r="X5657">
        <v>0</v>
      </c>
      <c r="Y5657">
        <v>0</v>
      </c>
      <c r="Z5657">
        <v>1</v>
      </c>
      <c r="AA5657">
        <v>0</v>
      </c>
      <c r="AB5657">
        <v>0</v>
      </c>
      <c r="AC5657">
        <v>1</v>
      </c>
      <c r="AD5657">
        <v>1</v>
      </c>
      <c r="AE5657">
        <v>1</v>
      </c>
      <c r="AF5657">
        <v>1</v>
      </c>
      <c r="AG5657">
        <v>1</v>
      </c>
      <c r="AH5657">
        <v>1</v>
      </c>
      <c r="AI5657">
        <v>1</v>
      </c>
      <c r="AJ5657">
        <v>1</v>
      </c>
      <c r="AK5657">
        <v>1</v>
      </c>
      <c r="AL5657">
        <v>1</v>
      </c>
      <c r="AM5657">
        <v>1</v>
      </c>
    </row>
    <row r="5658" spans="1:39" x14ac:dyDescent="0.2">
      <c r="A5658" t="str">
        <f>"5654"</f>
        <v>5654</v>
      </c>
      <c r="B5658" t="str">
        <f t="shared" si="313"/>
        <v>1</v>
      </c>
      <c r="C5658" t="str">
        <f t="shared" si="315"/>
        <v>114</v>
      </c>
      <c r="D5658" t="str">
        <f>"15"</f>
        <v>15</v>
      </c>
      <c r="E5658" t="str">
        <f>"1-114-15"</f>
        <v>1-114-15</v>
      </c>
      <c r="F5658" t="s">
        <v>65</v>
      </c>
      <c r="G5658" t="s">
        <v>66</v>
      </c>
      <c r="H5658" t="s">
        <v>67</v>
      </c>
      <c r="S5658">
        <v>1</v>
      </c>
      <c r="T5658">
        <v>0</v>
      </c>
      <c r="U5658">
        <v>0</v>
      </c>
      <c r="V5658">
        <v>0</v>
      </c>
      <c r="W5658">
        <v>0</v>
      </c>
      <c r="X5658">
        <v>1</v>
      </c>
      <c r="Y5658">
        <v>1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1</v>
      </c>
      <c r="AF5658">
        <v>1</v>
      </c>
      <c r="AG5658">
        <v>1</v>
      </c>
      <c r="AH5658">
        <v>1</v>
      </c>
      <c r="AI5658">
        <v>1</v>
      </c>
      <c r="AJ5658">
        <v>1</v>
      </c>
      <c r="AK5658">
        <v>1</v>
      </c>
      <c r="AL5658">
        <v>1</v>
      </c>
      <c r="AM5658">
        <v>1</v>
      </c>
    </row>
    <row r="5659" spans="1:39" x14ac:dyDescent="0.2">
      <c r="A5659" t="str">
        <f>"5655"</f>
        <v>5655</v>
      </c>
      <c r="B5659" t="str">
        <f t="shared" si="313"/>
        <v>1</v>
      </c>
      <c r="C5659" t="str">
        <f t="shared" si="315"/>
        <v>114</v>
      </c>
      <c r="D5659" t="str">
        <f>"8"</f>
        <v>8</v>
      </c>
      <c r="E5659" t="str">
        <f>"1-114-8"</f>
        <v>1-114-8</v>
      </c>
      <c r="F5659" t="s">
        <v>65</v>
      </c>
      <c r="G5659" t="s">
        <v>66</v>
      </c>
      <c r="H5659" t="s">
        <v>67</v>
      </c>
      <c r="S5659">
        <v>0</v>
      </c>
      <c r="T5659">
        <v>1</v>
      </c>
      <c r="U5659">
        <v>0</v>
      </c>
      <c r="V5659">
        <v>0</v>
      </c>
      <c r="W5659">
        <v>1</v>
      </c>
      <c r="X5659">
        <v>0</v>
      </c>
      <c r="Y5659">
        <v>0</v>
      </c>
      <c r="Z5659">
        <v>1</v>
      </c>
      <c r="AA5659">
        <v>0</v>
      </c>
      <c r="AB5659">
        <v>0</v>
      </c>
      <c r="AC5659">
        <v>1</v>
      </c>
      <c r="AD5659">
        <v>1</v>
      </c>
      <c r="AE5659">
        <v>1</v>
      </c>
      <c r="AF5659">
        <v>1</v>
      </c>
      <c r="AG5659">
        <v>1</v>
      </c>
      <c r="AH5659">
        <v>1</v>
      </c>
      <c r="AI5659">
        <v>1</v>
      </c>
      <c r="AJ5659">
        <v>1</v>
      </c>
      <c r="AK5659">
        <v>1</v>
      </c>
      <c r="AL5659">
        <v>1</v>
      </c>
      <c r="AM5659">
        <v>0</v>
      </c>
    </row>
    <row r="5660" spans="1:39" x14ac:dyDescent="0.2">
      <c r="A5660" t="str">
        <f>"5656"</f>
        <v>5656</v>
      </c>
      <c r="B5660" t="str">
        <f t="shared" si="313"/>
        <v>1</v>
      </c>
      <c r="C5660" t="str">
        <f t="shared" si="315"/>
        <v>114</v>
      </c>
      <c r="D5660" t="str">
        <f>"36"</f>
        <v>36</v>
      </c>
      <c r="E5660" t="str">
        <f>"1-114-36"</f>
        <v>1-114-36</v>
      </c>
      <c r="F5660" t="s">
        <v>65</v>
      </c>
      <c r="G5660" t="s">
        <v>66</v>
      </c>
      <c r="H5660" t="s">
        <v>67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1</v>
      </c>
      <c r="Y5660">
        <v>0</v>
      </c>
      <c r="Z5660">
        <v>1</v>
      </c>
      <c r="AA5660">
        <v>0</v>
      </c>
      <c r="AB5660">
        <v>1</v>
      </c>
      <c r="AC5660">
        <v>0</v>
      </c>
      <c r="AD5660">
        <v>1</v>
      </c>
      <c r="AE5660">
        <v>1</v>
      </c>
      <c r="AF5660">
        <v>1</v>
      </c>
      <c r="AG5660">
        <v>1</v>
      </c>
      <c r="AH5660">
        <v>1</v>
      </c>
      <c r="AI5660">
        <v>1</v>
      </c>
      <c r="AJ5660">
        <v>1</v>
      </c>
      <c r="AK5660">
        <v>1</v>
      </c>
      <c r="AL5660">
        <v>1</v>
      </c>
      <c r="AM5660">
        <v>1</v>
      </c>
    </row>
    <row r="5661" spans="1:39" x14ac:dyDescent="0.2">
      <c r="A5661" t="str">
        <f>"5657"</f>
        <v>5657</v>
      </c>
      <c r="B5661" t="str">
        <f t="shared" si="313"/>
        <v>1</v>
      </c>
      <c r="C5661" t="str">
        <f t="shared" si="315"/>
        <v>114</v>
      </c>
      <c r="D5661" t="str">
        <f>"35"</f>
        <v>35</v>
      </c>
      <c r="E5661" t="str">
        <f>"1-114-35"</f>
        <v>1-114-35</v>
      </c>
      <c r="F5661" t="s">
        <v>65</v>
      </c>
      <c r="G5661" t="s">
        <v>66</v>
      </c>
      <c r="H5661" t="s">
        <v>67</v>
      </c>
      <c r="S5661">
        <v>0</v>
      </c>
      <c r="T5661">
        <v>1</v>
      </c>
      <c r="U5661">
        <v>0</v>
      </c>
      <c r="V5661">
        <v>0</v>
      </c>
      <c r="W5661">
        <v>0</v>
      </c>
      <c r="X5661">
        <v>1</v>
      </c>
      <c r="Y5661">
        <v>0</v>
      </c>
      <c r="Z5661">
        <v>1</v>
      </c>
      <c r="AA5661">
        <v>0</v>
      </c>
      <c r="AB5661">
        <v>1</v>
      </c>
      <c r="AC5661">
        <v>0</v>
      </c>
      <c r="AD5661">
        <v>1</v>
      </c>
      <c r="AE5661">
        <v>1</v>
      </c>
      <c r="AF5661">
        <v>1</v>
      </c>
      <c r="AG5661">
        <v>1</v>
      </c>
      <c r="AH5661">
        <v>1</v>
      </c>
      <c r="AI5661">
        <v>1</v>
      </c>
      <c r="AJ5661">
        <v>1</v>
      </c>
      <c r="AK5661">
        <v>1</v>
      </c>
      <c r="AL5661">
        <v>1</v>
      </c>
      <c r="AM5661">
        <v>1</v>
      </c>
    </row>
    <row r="5662" spans="1:39" x14ac:dyDescent="0.2">
      <c r="A5662" t="str">
        <f>"5658"</f>
        <v>5658</v>
      </c>
      <c r="B5662" t="str">
        <f t="shared" si="313"/>
        <v>1</v>
      </c>
      <c r="C5662" t="str">
        <f t="shared" si="315"/>
        <v>114</v>
      </c>
      <c r="D5662" t="str">
        <f>"27"</f>
        <v>27</v>
      </c>
      <c r="E5662" t="str">
        <f>"1-114-27"</f>
        <v>1-114-27</v>
      </c>
      <c r="F5662" t="s">
        <v>65</v>
      </c>
      <c r="G5662" t="s">
        <v>66</v>
      </c>
      <c r="H5662" t="s">
        <v>67</v>
      </c>
      <c r="S5662">
        <v>1</v>
      </c>
      <c r="T5662">
        <v>0</v>
      </c>
      <c r="U5662">
        <v>0</v>
      </c>
      <c r="V5662">
        <v>0</v>
      </c>
      <c r="W5662">
        <v>1</v>
      </c>
      <c r="X5662">
        <v>0</v>
      </c>
      <c r="Y5662">
        <v>1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1</v>
      </c>
      <c r="AF5662">
        <v>0</v>
      </c>
      <c r="AG5662">
        <v>1</v>
      </c>
      <c r="AH5662">
        <v>1</v>
      </c>
      <c r="AI5662">
        <v>1</v>
      </c>
      <c r="AJ5662">
        <v>0</v>
      </c>
      <c r="AK5662">
        <v>1</v>
      </c>
      <c r="AL5662">
        <v>1</v>
      </c>
      <c r="AM5662">
        <v>1</v>
      </c>
    </row>
    <row r="5663" spans="1:39" x14ac:dyDescent="0.2">
      <c r="A5663" t="str">
        <f>"5659"</f>
        <v>5659</v>
      </c>
      <c r="B5663" t="str">
        <f t="shared" si="313"/>
        <v>1</v>
      </c>
      <c r="C5663" t="str">
        <f t="shared" si="315"/>
        <v>114</v>
      </c>
      <c r="D5663" t="str">
        <f>"16"</f>
        <v>16</v>
      </c>
      <c r="E5663" t="str">
        <f>"1-114-16"</f>
        <v>1-114-16</v>
      </c>
      <c r="F5663" t="s">
        <v>65</v>
      </c>
      <c r="G5663" t="s">
        <v>66</v>
      </c>
      <c r="H5663" t="s">
        <v>67</v>
      </c>
      <c r="S5663">
        <v>0</v>
      </c>
      <c r="T5663">
        <v>0</v>
      </c>
      <c r="U5663">
        <v>0</v>
      </c>
      <c r="V5663">
        <v>0</v>
      </c>
      <c r="W5663">
        <v>1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1</v>
      </c>
      <c r="AL5663">
        <v>1</v>
      </c>
      <c r="AM5663">
        <v>0</v>
      </c>
    </row>
    <row r="5664" spans="1:39" x14ac:dyDescent="0.2">
      <c r="A5664" t="str">
        <f>"5660"</f>
        <v>5660</v>
      </c>
      <c r="B5664" t="str">
        <f t="shared" si="313"/>
        <v>1</v>
      </c>
      <c r="C5664" t="str">
        <f t="shared" si="315"/>
        <v>114</v>
      </c>
      <c r="D5664" t="str">
        <f>"11"</f>
        <v>11</v>
      </c>
      <c r="E5664" t="str">
        <f>"1-114-11"</f>
        <v>1-114-11</v>
      </c>
      <c r="F5664" t="s">
        <v>65</v>
      </c>
      <c r="G5664" t="s">
        <v>66</v>
      </c>
      <c r="H5664" t="s">
        <v>67</v>
      </c>
      <c r="S5664">
        <v>1</v>
      </c>
      <c r="T5664">
        <v>0</v>
      </c>
      <c r="U5664">
        <v>0</v>
      </c>
      <c r="V5664">
        <v>0</v>
      </c>
      <c r="W5664">
        <v>1</v>
      </c>
      <c r="X5664">
        <v>0</v>
      </c>
      <c r="Y5664">
        <v>1</v>
      </c>
      <c r="Z5664">
        <v>0</v>
      </c>
      <c r="AA5664">
        <v>0</v>
      </c>
      <c r="AB5664">
        <v>1</v>
      </c>
      <c r="AC5664">
        <v>0</v>
      </c>
      <c r="AD5664">
        <v>1</v>
      </c>
      <c r="AE5664">
        <v>1</v>
      </c>
      <c r="AF5664">
        <v>1</v>
      </c>
      <c r="AG5664">
        <v>1</v>
      </c>
      <c r="AH5664">
        <v>1</v>
      </c>
      <c r="AI5664">
        <v>1</v>
      </c>
      <c r="AJ5664">
        <v>1</v>
      </c>
      <c r="AK5664">
        <v>1</v>
      </c>
      <c r="AL5664">
        <v>1</v>
      </c>
      <c r="AM5664">
        <v>1</v>
      </c>
    </row>
    <row r="5665" spans="1:39" x14ac:dyDescent="0.2">
      <c r="A5665" t="str">
        <f>"5661"</f>
        <v>5661</v>
      </c>
      <c r="B5665" t="str">
        <f t="shared" si="313"/>
        <v>1</v>
      </c>
      <c r="C5665" t="str">
        <f t="shared" si="315"/>
        <v>114</v>
      </c>
      <c r="D5665" t="str">
        <f>"38"</f>
        <v>38</v>
      </c>
      <c r="E5665" t="str">
        <f>"1-114-38"</f>
        <v>1-114-38</v>
      </c>
      <c r="F5665" t="s">
        <v>65</v>
      </c>
      <c r="G5665" t="s">
        <v>66</v>
      </c>
      <c r="H5665" t="s">
        <v>67</v>
      </c>
      <c r="S5665">
        <v>1</v>
      </c>
      <c r="T5665">
        <v>0</v>
      </c>
      <c r="U5665">
        <v>0</v>
      </c>
      <c r="V5665">
        <v>0</v>
      </c>
      <c r="W5665">
        <v>1</v>
      </c>
      <c r="X5665">
        <v>0</v>
      </c>
      <c r="Y5665">
        <v>0</v>
      </c>
      <c r="Z5665">
        <v>1</v>
      </c>
      <c r="AA5665">
        <v>1</v>
      </c>
      <c r="AB5665">
        <v>0</v>
      </c>
      <c r="AC5665">
        <v>0</v>
      </c>
      <c r="AD5665">
        <v>1</v>
      </c>
      <c r="AE5665">
        <v>1</v>
      </c>
      <c r="AF5665">
        <v>1</v>
      </c>
      <c r="AG5665">
        <v>1</v>
      </c>
      <c r="AH5665">
        <v>1</v>
      </c>
      <c r="AI5665">
        <v>1</v>
      </c>
      <c r="AJ5665">
        <v>1</v>
      </c>
      <c r="AK5665">
        <v>1</v>
      </c>
      <c r="AL5665">
        <v>1</v>
      </c>
      <c r="AM5665">
        <v>1</v>
      </c>
    </row>
    <row r="5666" spans="1:39" x14ac:dyDescent="0.2">
      <c r="A5666" t="str">
        <f>"5662"</f>
        <v>5662</v>
      </c>
      <c r="B5666" t="str">
        <f t="shared" si="313"/>
        <v>1</v>
      </c>
      <c r="C5666" t="str">
        <f t="shared" si="315"/>
        <v>114</v>
      </c>
      <c r="D5666" t="str">
        <f>"37"</f>
        <v>37</v>
      </c>
      <c r="E5666" t="str">
        <f>"1-114-37"</f>
        <v>1-114-37</v>
      </c>
      <c r="F5666" t="s">
        <v>65</v>
      </c>
      <c r="G5666" t="s">
        <v>66</v>
      </c>
      <c r="H5666" t="s">
        <v>67</v>
      </c>
      <c r="S5666">
        <v>1</v>
      </c>
      <c r="T5666">
        <v>0</v>
      </c>
      <c r="U5666">
        <v>0</v>
      </c>
      <c r="V5666">
        <v>0</v>
      </c>
      <c r="W5666">
        <v>1</v>
      </c>
      <c r="X5666">
        <v>0</v>
      </c>
      <c r="Y5666">
        <v>1</v>
      </c>
      <c r="Z5666">
        <v>0</v>
      </c>
      <c r="AA5666">
        <v>1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1</v>
      </c>
      <c r="AH5666">
        <v>0</v>
      </c>
      <c r="AI5666">
        <v>1</v>
      </c>
      <c r="AJ5666">
        <v>1</v>
      </c>
      <c r="AK5666">
        <v>1</v>
      </c>
      <c r="AL5666">
        <v>1</v>
      </c>
      <c r="AM5666">
        <v>0</v>
      </c>
    </row>
    <row r="5667" spans="1:39" x14ac:dyDescent="0.2">
      <c r="A5667" t="str">
        <f>"5663"</f>
        <v>5663</v>
      </c>
      <c r="B5667" t="str">
        <f t="shared" si="313"/>
        <v>1</v>
      </c>
      <c r="C5667" t="str">
        <f t="shared" si="315"/>
        <v>114</v>
      </c>
      <c r="D5667" t="str">
        <f>"28"</f>
        <v>28</v>
      </c>
      <c r="E5667" t="str">
        <f>"1-114-28"</f>
        <v>1-114-28</v>
      </c>
      <c r="F5667" t="s">
        <v>65</v>
      </c>
      <c r="G5667" t="s">
        <v>66</v>
      </c>
      <c r="H5667" t="s">
        <v>67</v>
      </c>
      <c r="S5667">
        <v>1</v>
      </c>
      <c r="T5667">
        <v>0</v>
      </c>
      <c r="U5667">
        <v>0</v>
      </c>
      <c r="V5667">
        <v>0</v>
      </c>
      <c r="W5667">
        <v>1</v>
      </c>
      <c r="X5667">
        <v>0</v>
      </c>
      <c r="Y5667">
        <v>1</v>
      </c>
      <c r="Z5667">
        <v>0</v>
      </c>
      <c r="AA5667">
        <v>0</v>
      </c>
      <c r="AB5667">
        <v>0</v>
      </c>
      <c r="AC5667">
        <v>0</v>
      </c>
      <c r="AD5667">
        <v>1</v>
      </c>
      <c r="AE5667">
        <v>1</v>
      </c>
      <c r="AF5667">
        <v>1</v>
      </c>
      <c r="AG5667">
        <v>1</v>
      </c>
      <c r="AH5667">
        <v>1</v>
      </c>
      <c r="AI5667">
        <v>1</v>
      </c>
      <c r="AJ5667">
        <v>1</v>
      </c>
      <c r="AK5667">
        <v>1</v>
      </c>
      <c r="AL5667">
        <v>1</v>
      </c>
      <c r="AM5667">
        <v>1</v>
      </c>
    </row>
    <row r="5668" spans="1:39" x14ac:dyDescent="0.2">
      <c r="A5668" t="str">
        <f>"5664"</f>
        <v>5664</v>
      </c>
      <c r="B5668" t="str">
        <f t="shared" si="313"/>
        <v>1</v>
      </c>
      <c r="C5668" t="str">
        <f t="shared" si="315"/>
        <v>114</v>
      </c>
      <c r="D5668" t="str">
        <f>"17"</f>
        <v>17</v>
      </c>
      <c r="E5668" t="str">
        <f>"1-114-17"</f>
        <v>1-114-17</v>
      </c>
      <c r="F5668" t="s">
        <v>65</v>
      </c>
      <c r="G5668" t="s">
        <v>66</v>
      </c>
      <c r="H5668" t="s">
        <v>67</v>
      </c>
      <c r="S5668">
        <v>1</v>
      </c>
      <c r="T5668">
        <v>0</v>
      </c>
      <c r="U5668">
        <v>0</v>
      </c>
      <c r="V5668">
        <v>0</v>
      </c>
      <c r="W5668">
        <v>1</v>
      </c>
      <c r="X5668">
        <v>0</v>
      </c>
      <c r="Y5668">
        <v>1</v>
      </c>
      <c r="Z5668">
        <v>0</v>
      </c>
      <c r="AA5668">
        <v>0</v>
      </c>
      <c r="AB5668">
        <v>0</v>
      </c>
      <c r="AC5668">
        <v>1</v>
      </c>
      <c r="AD5668">
        <v>1</v>
      </c>
      <c r="AE5668">
        <v>1</v>
      </c>
      <c r="AF5668">
        <v>1</v>
      </c>
      <c r="AG5668">
        <v>1</v>
      </c>
      <c r="AH5668">
        <v>1</v>
      </c>
      <c r="AI5668">
        <v>1</v>
      </c>
      <c r="AJ5668">
        <v>1</v>
      </c>
      <c r="AK5668">
        <v>1</v>
      </c>
      <c r="AL5668">
        <v>1</v>
      </c>
      <c r="AM5668">
        <v>1</v>
      </c>
    </row>
    <row r="5669" spans="1:39" x14ac:dyDescent="0.2">
      <c r="A5669" t="str">
        <f>"5665"</f>
        <v>5665</v>
      </c>
      <c r="B5669" t="str">
        <f t="shared" si="313"/>
        <v>1</v>
      </c>
      <c r="C5669" t="str">
        <f t="shared" si="315"/>
        <v>114</v>
      </c>
      <c r="D5669" t="str">
        <f>"3"</f>
        <v>3</v>
      </c>
      <c r="E5669" t="str">
        <f>"1-114-3"</f>
        <v>1-114-3</v>
      </c>
      <c r="F5669" t="s">
        <v>65</v>
      </c>
      <c r="G5669" t="s">
        <v>66</v>
      </c>
      <c r="H5669" t="s">
        <v>67</v>
      </c>
      <c r="S5669">
        <v>1</v>
      </c>
      <c r="T5669">
        <v>0</v>
      </c>
      <c r="U5669">
        <v>0</v>
      </c>
      <c r="V5669">
        <v>0</v>
      </c>
      <c r="W5669">
        <v>1</v>
      </c>
      <c r="X5669">
        <v>0</v>
      </c>
      <c r="Y5669">
        <v>1</v>
      </c>
      <c r="Z5669">
        <v>0</v>
      </c>
      <c r="AA5669">
        <v>0</v>
      </c>
      <c r="AB5669">
        <v>1</v>
      </c>
      <c r="AC5669">
        <v>0</v>
      </c>
      <c r="AD5669">
        <v>1</v>
      </c>
      <c r="AE5669">
        <v>1</v>
      </c>
      <c r="AF5669">
        <v>1</v>
      </c>
      <c r="AG5669">
        <v>1</v>
      </c>
      <c r="AH5669">
        <v>1</v>
      </c>
      <c r="AI5669">
        <v>1</v>
      </c>
      <c r="AJ5669">
        <v>1</v>
      </c>
      <c r="AK5669">
        <v>1</v>
      </c>
      <c r="AL5669">
        <v>1</v>
      </c>
      <c r="AM5669">
        <v>1</v>
      </c>
    </row>
    <row r="5670" spans="1:39" x14ac:dyDescent="0.2">
      <c r="A5670" t="str">
        <f>"5666"</f>
        <v>5666</v>
      </c>
      <c r="B5670" t="str">
        <f t="shared" si="313"/>
        <v>1</v>
      </c>
      <c r="C5670" t="str">
        <f t="shared" si="315"/>
        <v>114</v>
      </c>
      <c r="D5670" t="str">
        <f>"40"</f>
        <v>40</v>
      </c>
      <c r="E5670" t="str">
        <f>"1-114-40"</f>
        <v>1-114-40</v>
      </c>
      <c r="F5670" t="s">
        <v>65</v>
      </c>
      <c r="G5670" t="s">
        <v>66</v>
      </c>
      <c r="H5670" t="s">
        <v>67</v>
      </c>
      <c r="S5670">
        <v>1</v>
      </c>
      <c r="T5670">
        <v>0</v>
      </c>
      <c r="U5670">
        <v>0</v>
      </c>
      <c r="V5670">
        <v>0</v>
      </c>
      <c r="W5670">
        <v>1</v>
      </c>
      <c r="X5670">
        <v>0</v>
      </c>
      <c r="Y5670">
        <v>1</v>
      </c>
      <c r="Z5670">
        <v>0</v>
      </c>
      <c r="AA5670">
        <v>0</v>
      </c>
      <c r="AB5670">
        <v>1</v>
      </c>
      <c r="AC5670">
        <v>0</v>
      </c>
      <c r="AD5670">
        <v>1</v>
      </c>
      <c r="AE5670">
        <v>1</v>
      </c>
      <c r="AF5670">
        <v>1</v>
      </c>
      <c r="AG5670">
        <v>1</v>
      </c>
      <c r="AH5670">
        <v>1</v>
      </c>
      <c r="AI5670">
        <v>1</v>
      </c>
      <c r="AJ5670">
        <v>1</v>
      </c>
      <c r="AK5670">
        <v>1</v>
      </c>
      <c r="AL5670">
        <v>1</v>
      </c>
      <c r="AM5670">
        <v>1</v>
      </c>
    </row>
    <row r="5671" spans="1:39" x14ac:dyDescent="0.2">
      <c r="A5671" t="str">
        <f>"5667"</f>
        <v>5667</v>
      </c>
      <c r="B5671" t="str">
        <f t="shared" si="313"/>
        <v>1</v>
      </c>
      <c r="C5671" t="str">
        <f t="shared" si="315"/>
        <v>114</v>
      </c>
      <c r="D5671" t="str">
        <f>"39"</f>
        <v>39</v>
      </c>
      <c r="E5671" t="str">
        <f>"1-114-39"</f>
        <v>1-114-39</v>
      </c>
      <c r="F5671" t="s">
        <v>65</v>
      </c>
      <c r="G5671" t="s">
        <v>66</v>
      </c>
      <c r="H5671" t="s">
        <v>67</v>
      </c>
      <c r="S5671">
        <v>1</v>
      </c>
      <c r="T5671">
        <v>0</v>
      </c>
      <c r="U5671">
        <v>0</v>
      </c>
      <c r="V5671">
        <v>0</v>
      </c>
      <c r="W5671">
        <v>1</v>
      </c>
      <c r="X5671">
        <v>0</v>
      </c>
      <c r="Y5671">
        <v>1</v>
      </c>
      <c r="Z5671">
        <v>0</v>
      </c>
      <c r="AA5671">
        <v>0</v>
      </c>
      <c r="AB5671">
        <v>1</v>
      </c>
      <c r="AC5671">
        <v>0</v>
      </c>
      <c r="AD5671">
        <v>1</v>
      </c>
      <c r="AE5671">
        <v>1</v>
      </c>
      <c r="AF5671">
        <v>1</v>
      </c>
      <c r="AG5671">
        <v>1</v>
      </c>
      <c r="AH5671">
        <v>1</v>
      </c>
      <c r="AI5671">
        <v>1</v>
      </c>
      <c r="AJ5671">
        <v>1</v>
      </c>
      <c r="AK5671">
        <v>1</v>
      </c>
      <c r="AL5671">
        <v>1</v>
      </c>
      <c r="AM5671">
        <v>1</v>
      </c>
    </row>
    <row r="5672" spans="1:39" x14ac:dyDescent="0.2">
      <c r="A5672" t="str">
        <f>"5668"</f>
        <v>5668</v>
      </c>
      <c r="B5672" t="str">
        <f t="shared" si="313"/>
        <v>1</v>
      </c>
      <c r="C5672" t="str">
        <f t="shared" si="315"/>
        <v>114</v>
      </c>
      <c r="D5672" t="str">
        <f>"29"</f>
        <v>29</v>
      </c>
      <c r="E5672" t="str">
        <f>"1-114-29"</f>
        <v>1-114-29</v>
      </c>
      <c r="F5672" t="s">
        <v>65</v>
      </c>
      <c r="G5672" t="s">
        <v>66</v>
      </c>
      <c r="H5672" t="s">
        <v>67</v>
      </c>
      <c r="S5672">
        <v>1</v>
      </c>
      <c r="T5672">
        <v>0</v>
      </c>
      <c r="U5672">
        <v>0</v>
      </c>
      <c r="V5672">
        <v>0</v>
      </c>
      <c r="W5672">
        <v>1</v>
      </c>
      <c r="X5672">
        <v>0</v>
      </c>
      <c r="Y5672">
        <v>1</v>
      </c>
      <c r="Z5672">
        <v>0</v>
      </c>
      <c r="AA5672">
        <v>1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1</v>
      </c>
      <c r="AH5672">
        <v>1</v>
      </c>
      <c r="AI5672">
        <v>1</v>
      </c>
      <c r="AJ5672">
        <v>1</v>
      </c>
      <c r="AK5672">
        <v>1</v>
      </c>
      <c r="AL5672">
        <v>1</v>
      </c>
      <c r="AM5672">
        <v>0</v>
      </c>
    </row>
    <row r="5673" spans="1:39" x14ac:dyDescent="0.2">
      <c r="A5673" t="str">
        <f>"5669"</f>
        <v>5669</v>
      </c>
      <c r="B5673" t="str">
        <f t="shared" si="313"/>
        <v>1</v>
      </c>
      <c r="C5673" t="str">
        <f t="shared" si="315"/>
        <v>114</v>
      </c>
      <c r="D5673" t="str">
        <f>"18"</f>
        <v>18</v>
      </c>
      <c r="E5673" t="str">
        <f>"1-114-18"</f>
        <v>1-114-18</v>
      </c>
      <c r="F5673" t="s">
        <v>65</v>
      </c>
      <c r="G5673" t="s">
        <v>66</v>
      </c>
      <c r="H5673" t="s">
        <v>67</v>
      </c>
      <c r="S5673">
        <v>0</v>
      </c>
      <c r="T5673">
        <v>1</v>
      </c>
      <c r="U5673">
        <v>0</v>
      </c>
      <c r="V5673">
        <v>0</v>
      </c>
      <c r="W5673">
        <v>1</v>
      </c>
      <c r="X5673">
        <v>0</v>
      </c>
      <c r="Y5673">
        <v>1</v>
      </c>
      <c r="Z5673">
        <v>0</v>
      </c>
      <c r="AA5673">
        <v>0</v>
      </c>
      <c r="AB5673">
        <v>0</v>
      </c>
      <c r="AC5673">
        <v>1</v>
      </c>
      <c r="AD5673">
        <v>1</v>
      </c>
      <c r="AE5673">
        <v>1</v>
      </c>
      <c r="AF5673">
        <v>1</v>
      </c>
      <c r="AG5673">
        <v>1</v>
      </c>
      <c r="AH5673">
        <v>1</v>
      </c>
      <c r="AI5673">
        <v>1</v>
      </c>
      <c r="AJ5673">
        <v>1</v>
      </c>
      <c r="AK5673">
        <v>1</v>
      </c>
      <c r="AL5673">
        <v>1</v>
      </c>
      <c r="AM5673">
        <v>1</v>
      </c>
    </row>
    <row r="5674" spans="1:39" x14ac:dyDescent="0.2">
      <c r="A5674" t="str">
        <f>"5670"</f>
        <v>5670</v>
      </c>
      <c r="B5674" t="str">
        <f t="shared" si="313"/>
        <v>1</v>
      </c>
      <c r="C5674" t="str">
        <f t="shared" si="315"/>
        <v>114</v>
      </c>
      <c r="D5674" t="str">
        <f>"1"</f>
        <v>1</v>
      </c>
      <c r="E5674" t="str">
        <f>"1-114-1"</f>
        <v>1-114-1</v>
      </c>
      <c r="F5674" t="s">
        <v>65</v>
      </c>
      <c r="G5674" t="s">
        <v>66</v>
      </c>
      <c r="H5674" t="s">
        <v>67</v>
      </c>
      <c r="S5674">
        <v>0</v>
      </c>
      <c r="T5674">
        <v>1</v>
      </c>
      <c r="U5674">
        <v>0</v>
      </c>
      <c r="V5674">
        <v>0</v>
      </c>
      <c r="W5674">
        <v>1</v>
      </c>
      <c r="X5674">
        <v>0</v>
      </c>
      <c r="Y5674">
        <v>0</v>
      </c>
      <c r="Z5674">
        <v>1</v>
      </c>
      <c r="AA5674">
        <v>1</v>
      </c>
      <c r="AB5674">
        <v>0</v>
      </c>
      <c r="AC5674">
        <v>0</v>
      </c>
      <c r="AD5674">
        <v>1</v>
      </c>
      <c r="AE5674">
        <v>1</v>
      </c>
      <c r="AF5674">
        <v>1</v>
      </c>
      <c r="AG5674">
        <v>1</v>
      </c>
      <c r="AH5674">
        <v>1</v>
      </c>
      <c r="AI5674">
        <v>1</v>
      </c>
      <c r="AJ5674">
        <v>1</v>
      </c>
      <c r="AK5674">
        <v>1</v>
      </c>
      <c r="AL5674">
        <v>1</v>
      </c>
      <c r="AM5674">
        <v>1</v>
      </c>
    </row>
    <row r="5675" spans="1:39" x14ac:dyDescent="0.2">
      <c r="A5675" t="str">
        <f>"5671"</f>
        <v>5671</v>
      </c>
      <c r="B5675" t="str">
        <f t="shared" si="313"/>
        <v>1</v>
      </c>
      <c r="C5675" t="str">
        <f t="shared" si="315"/>
        <v>114</v>
      </c>
      <c r="D5675" t="str">
        <f>"47"</f>
        <v>47</v>
      </c>
      <c r="E5675" t="str">
        <f>"1-114-47"</f>
        <v>1-114-47</v>
      </c>
      <c r="F5675" t="s">
        <v>65</v>
      </c>
      <c r="G5675" t="s">
        <v>66</v>
      </c>
      <c r="H5675" t="s">
        <v>67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0</v>
      </c>
      <c r="AB5675">
        <v>0</v>
      </c>
      <c r="AC5675">
        <v>1</v>
      </c>
      <c r="AD5675">
        <v>0</v>
      </c>
      <c r="AE5675">
        <v>0</v>
      </c>
      <c r="AF5675">
        <v>0</v>
      </c>
      <c r="AG5675">
        <v>0</v>
      </c>
      <c r="AH5675">
        <v>1</v>
      </c>
      <c r="AI5675">
        <v>1</v>
      </c>
      <c r="AJ5675">
        <v>1</v>
      </c>
      <c r="AK5675">
        <v>1</v>
      </c>
      <c r="AL5675">
        <v>1</v>
      </c>
      <c r="AM5675">
        <v>0</v>
      </c>
    </row>
    <row r="5676" spans="1:39" x14ac:dyDescent="0.2">
      <c r="A5676" t="str">
        <f>"5672"</f>
        <v>5672</v>
      </c>
      <c r="B5676" t="str">
        <f t="shared" si="313"/>
        <v>1</v>
      </c>
      <c r="C5676" t="str">
        <f t="shared" si="315"/>
        <v>114</v>
      </c>
      <c r="D5676" t="str">
        <f>"20"</f>
        <v>20</v>
      </c>
      <c r="E5676" t="str">
        <f>"1-114-20"</f>
        <v>1-114-20</v>
      </c>
      <c r="F5676" t="s">
        <v>65</v>
      </c>
      <c r="G5676" t="s">
        <v>66</v>
      </c>
      <c r="H5676" t="s">
        <v>67</v>
      </c>
      <c r="S5676">
        <v>0</v>
      </c>
      <c r="T5676">
        <v>1</v>
      </c>
      <c r="U5676">
        <v>0</v>
      </c>
      <c r="V5676">
        <v>0</v>
      </c>
      <c r="W5676">
        <v>1</v>
      </c>
      <c r="X5676">
        <v>0</v>
      </c>
      <c r="Y5676">
        <v>0</v>
      </c>
      <c r="Z5676">
        <v>1</v>
      </c>
      <c r="AA5676">
        <v>0</v>
      </c>
      <c r="AB5676">
        <v>1</v>
      </c>
      <c r="AC5676">
        <v>0</v>
      </c>
      <c r="AD5676">
        <v>1</v>
      </c>
      <c r="AE5676">
        <v>1</v>
      </c>
      <c r="AF5676">
        <v>1</v>
      </c>
      <c r="AG5676">
        <v>1</v>
      </c>
      <c r="AH5676">
        <v>1</v>
      </c>
      <c r="AI5676">
        <v>1</v>
      </c>
      <c r="AJ5676">
        <v>1</v>
      </c>
      <c r="AK5676">
        <v>1</v>
      </c>
      <c r="AL5676">
        <v>1</v>
      </c>
      <c r="AM5676">
        <v>1</v>
      </c>
    </row>
    <row r="5677" spans="1:39" x14ac:dyDescent="0.2">
      <c r="A5677" t="str">
        <f>"5673"</f>
        <v>5673</v>
      </c>
      <c r="B5677" t="str">
        <f t="shared" si="313"/>
        <v>1</v>
      </c>
      <c r="C5677" t="str">
        <f t="shared" si="315"/>
        <v>114</v>
      </c>
      <c r="D5677" t="str">
        <f>"2"</f>
        <v>2</v>
      </c>
      <c r="E5677" t="str">
        <f>"1-114-2"</f>
        <v>1-114-2</v>
      </c>
      <c r="F5677" t="s">
        <v>65</v>
      </c>
      <c r="G5677" t="s">
        <v>66</v>
      </c>
      <c r="H5677" t="s">
        <v>67</v>
      </c>
      <c r="S5677">
        <v>0</v>
      </c>
      <c r="T5677">
        <v>1</v>
      </c>
      <c r="U5677">
        <v>0</v>
      </c>
      <c r="V5677">
        <v>0</v>
      </c>
      <c r="W5677">
        <v>1</v>
      </c>
      <c r="X5677">
        <v>0</v>
      </c>
      <c r="Y5677">
        <v>1</v>
      </c>
      <c r="Z5677">
        <v>0</v>
      </c>
      <c r="AA5677">
        <v>0</v>
      </c>
      <c r="AB5677">
        <v>1</v>
      </c>
      <c r="AC5677">
        <v>0</v>
      </c>
      <c r="AD5677">
        <v>1</v>
      </c>
      <c r="AE5677">
        <v>1</v>
      </c>
      <c r="AF5677">
        <v>1</v>
      </c>
      <c r="AG5677">
        <v>1</v>
      </c>
      <c r="AH5677">
        <v>1</v>
      </c>
      <c r="AI5677">
        <v>1</v>
      </c>
      <c r="AJ5677">
        <v>1</v>
      </c>
      <c r="AK5677">
        <v>1</v>
      </c>
      <c r="AL5677">
        <v>1</v>
      </c>
      <c r="AM5677">
        <v>1</v>
      </c>
    </row>
    <row r="5678" spans="1:39" x14ac:dyDescent="0.2">
      <c r="A5678" t="str">
        <f>"5674"</f>
        <v>5674</v>
      </c>
      <c r="B5678" t="str">
        <f t="shared" si="313"/>
        <v>1</v>
      </c>
      <c r="C5678" t="str">
        <f t="shared" si="315"/>
        <v>114</v>
      </c>
      <c r="D5678" t="str">
        <f>"44"</f>
        <v>44</v>
      </c>
      <c r="E5678" t="str">
        <f>"1-114-44"</f>
        <v>1-114-44</v>
      </c>
      <c r="F5678" t="s">
        <v>65</v>
      </c>
      <c r="G5678" t="s">
        <v>66</v>
      </c>
      <c r="H5678" t="s">
        <v>67</v>
      </c>
      <c r="S5678">
        <v>1</v>
      </c>
      <c r="T5678">
        <v>0</v>
      </c>
      <c r="U5678">
        <v>0</v>
      </c>
      <c r="V5678">
        <v>0</v>
      </c>
      <c r="W5678">
        <v>0</v>
      </c>
      <c r="X5678">
        <v>1</v>
      </c>
      <c r="Y5678">
        <v>1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1</v>
      </c>
      <c r="AF5678">
        <v>1</v>
      </c>
      <c r="AG5678">
        <v>1</v>
      </c>
      <c r="AH5678">
        <v>1</v>
      </c>
      <c r="AI5678">
        <v>1</v>
      </c>
      <c r="AJ5678">
        <v>1</v>
      </c>
      <c r="AK5678">
        <v>1</v>
      </c>
      <c r="AL5678">
        <v>1</v>
      </c>
      <c r="AM5678">
        <v>1</v>
      </c>
    </row>
    <row r="5679" spans="1:39" x14ac:dyDescent="0.2">
      <c r="A5679" t="str">
        <f>"5675"</f>
        <v>5675</v>
      </c>
      <c r="B5679" t="str">
        <f t="shared" si="313"/>
        <v>1</v>
      </c>
      <c r="C5679" t="str">
        <f t="shared" si="315"/>
        <v>114</v>
      </c>
      <c r="D5679" t="str">
        <f>"21"</f>
        <v>21</v>
      </c>
      <c r="E5679" t="str">
        <f>"1-114-21"</f>
        <v>1-114-21</v>
      </c>
      <c r="F5679" t="s">
        <v>65</v>
      </c>
      <c r="G5679" t="s">
        <v>66</v>
      </c>
      <c r="H5679" t="s">
        <v>67</v>
      </c>
      <c r="S5679">
        <v>0</v>
      </c>
      <c r="T5679">
        <v>1</v>
      </c>
      <c r="U5679">
        <v>0</v>
      </c>
      <c r="V5679">
        <v>0</v>
      </c>
      <c r="W5679">
        <v>1</v>
      </c>
      <c r="X5679">
        <v>0</v>
      </c>
      <c r="Y5679">
        <v>1</v>
      </c>
      <c r="Z5679">
        <v>0</v>
      </c>
      <c r="AA5679">
        <v>0</v>
      </c>
      <c r="AB5679">
        <v>1</v>
      </c>
      <c r="AC5679">
        <v>0</v>
      </c>
      <c r="AD5679">
        <v>1</v>
      </c>
      <c r="AE5679">
        <v>1</v>
      </c>
      <c r="AF5679">
        <v>1</v>
      </c>
      <c r="AG5679">
        <v>1</v>
      </c>
      <c r="AH5679">
        <v>1</v>
      </c>
      <c r="AI5679">
        <v>1</v>
      </c>
      <c r="AJ5679">
        <v>1</v>
      </c>
      <c r="AK5679">
        <v>1</v>
      </c>
      <c r="AL5679">
        <v>1</v>
      </c>
      <c r="AM5679">
        <v>1</v>
      </c>
    </row>
    <row r="5680" spans="1:39" x14ac:dyDescent="0.2">
      <c r="A5680" t="str">
        <f>"5676"</f>
        <v>5676</v>
      </c>
      <c r="B5680" t="str">
        <f t="shared" si="313"/>
        <v>1</v>
      </c>
      <c r="C5680" t="str">
        <f t="shared" si="315"/>
        <v>114</v>
      </c>
      <c r="D5680" t="str">
        <f>"12"</f>
        <v>12</v>
      </c>
      <c r="E5680" t="str">
        <f>"1-114-12"</f>
        <v>1-114-12</v>
      </c>
      <c r="F5680" t="s">
        <v>65</v>
      </c>
      <c r="G5680" t="s">
        <v>66</v>
      </c>
      <c r="H5680" t="s">
        <v>67</v>
      </c>
      <c r="S5680">
        <v>1</v>
      </c>
      <c r="T5680">
        <v>0</v>
      </c>
      <c r="U5680">
        <v>0</v>
      </c>
      <c r="V5680">
        <v>0</v>
      </c>
      <c r="W5680">
        <v>1</v>
      </c>
      <c r="X5680">
        <v>0</v>
      </c>
      <c r="Y5680">
        <v>1</v>
      </c>
      <c r="Z5680">
        <v>0</v>
      </c>
      <c r="AA5680">
        <v>0</v>
      </c>
      <c r="AB5680">
        <v>1</v>
      </c>
      <c r="AC5680">
        <v>0</v>
      </c>
      <c r="AD5680">
        <v>1</v>
      </c>
      <c r="AE5680">
        <v>1</v>
      </c>
      <c r="AF5680">
        <v>1</v>
      </c>
      <c r="AG5680">
        <v>1</v>
      </c>
      <c r="AH5680">
        <v>1</v>
      </c>
      <c r="AI5680">
        <v>1</v>
      </c>
      <c r="AJ5680">
        <v>1</v>
      </c>
      <c r="AK5680">
        <v>1</v>
      </c>
      <c r="AL5680">
        <v>1</v>
      </c>
      <c r="AM5680">
        <v>1</v>
      </c>
    </row>
    <row r="5681" spans="1:39" x14ac:dyDescent="0.2">
      <c r="A5681" t="str">
        <f>"5677"</f>
        <v>5677</v>
      </c>
      <c r="B5681" t="str">
        <f t="shared" si="313"/>
        <v>1</v>
      </c>
      <c r="C5681" t="str">
        <f t="shared" si="315"/>
        <v>114</v>
      </c>
      <c r="D5681" t="str">
        <f>"41"</f>
        <v>41</v>
      </c>
      <c r="E5681" t="str">
        <f>"1-114-41"</f>
        <v>1-114-41</v>
      </c>
      <c r="F5681" t="s">
        <v>65</v>
      </c>
      <c r="G5681" t="s">
        <v>66</v>
      </c>
      <c r="H5681" t="s">
        <v>67</v>
      </c>
      <c r="S5681">
        <v>0</v>
      </c>
      <c r="T5681">
        <v>1</v>
      </c>
      <c r="U5681">
        <v>0</v>
      </c>
      <c r="V5681">
        <v>0</v>
      </c>
      <c r="W5681">
        <v>1</v>
      </c>
      <c r="X5681">
        <v>0</v>
      </c>
      <c r="Y5681">
        <v>1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1</v>
      </c>
      <c r="AF5681">
        <v>1</v>
      </c>
      <c r="AG5681">
        <v>1</v>
      </c>
      <c r="AH5681">
        <v>1</v>
      </c>
      <c r="AI5681">
        <v>1</v>
      </c>
      <c r="AJ5681">
        <v>1</v>
      </c>
      <c r="AK5681">
        <v>1</v>
      </c>
      <c r="AL5681">
        <v>1</v>
      </c>
      <c r="AM5681">
        <v>1</v>
      </c>
    </row>
    <row r="5682" spans="1:39" x14ac:dyDescent="0.2">
      <c r="A5682" t="str">
        <f>"5678"</f>
        <v>5678</v>
      </c>
      <c r="B5682" t="str">
        <f t="shared" si="313"/>
        <v>1</v>
      </c>
      <c r="C5682" t="str">
        <f t="shared" si="315"/>
        <v>114</v>
      </c>
      <c r="D5682" t="str">
        <f>"22"</f>
        <v>22</v>
      </c>
      <c r="E5682" t="str">
        <f>"1-114-22"</f>
        <v>1-114-22</v>
      </c>
      <c r="F5682" t="s">
        <v>65</v>
      </c>
      <c r="G5682" t="s">
        <v>66</v>
      </c>
      <c r="H5682" t="s">
        <v>67</v>
      </c>
      <c r="S5682">
        <v>0</v>
      </c>
      <c r="T5682">
        <v>1</v>
      </c>
      <c r="U5682">
        <v>0</v>
      </c>
      <c r="V5682">
        <v>0</v>
      </c>
      <c r="W5682">
        <v>1</v>
      </c>
      <c r="X5682">
        <v>0</v>
      </c>
      <c r="Y5682">
        <v>0</v>
      </c>
      <c r="Z5682">
        <v>1</v>
      </c>
      <c r="AA5682">
        <v>0</v>
      </c>
      <c r="AB5682">
        <v>0</v>
      </c>
      <c r="AC5682">
        <v>1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</row>
    <row r="5683" spans="1:39" x14ac:dyDescent="0.2">
      <c r="A5683" t="str">
        <f>"5679"</f>
        <v>5679</v>
      </c>
      <c r="B5683" t="str">
        <f t="shared" si="313"/>
        <v>1</v>
      </c>
      <c r="C5683" t="str">
        <f t="shared" si="315"/>
        <v>114</v>
      </c>
      <c r="D5683" t="str">
        <f>"6"</f>
        <v>6</v>
      </c>
      <c r="E5683" t="str">
        <f>"1-114-6"</f>
        <v>1-114-6</v>
      </c>
      <c r="F5683" t="s">
        <v>65</v>
      </c>
      <c r="G5683" t="s">
        <v>66</v>
      </c>
      <c r="H5683" t="s">
        <v>67</v>
      </c>
      <c r="S5683">
        <v>0</v>
      </c>
      <c r="T5683">
        <v>1</v>
      </c>
      <c r="U5683">
        <v>0</v>
      </c>
      <c r="V5683">
        <v>0</v>
      </c>
      <c r="W5683">
        <v>1</v>
      </c>
      <c r="X5683">
        <v>0</v>
      </c>
      <c r="Y5683">
        <v>1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1</v>
      </c>
      <c r="AF5683">
        <v>1</v>
      </c>
      <c r="AG5683">
        <v>1</v>
      </c>
      <c r="AH5683">
        <v>1</v>
      </c>
      <c r="AI5683">
        <v>1</v>
      </c>
      <c r="AJ5683">
        <v>1</v>
      </c>
      <c r="AK5683">
        <v>1</v>
      </c>
      <c r="AL5683">
        <v>1</v>
      </c>
      <c r="AM5683">
        <v>1</v>
      </c>
    </row>
    <row r="5684" spans="1:39" x14ac:dyDescent="0.2">
      <c r="A5684" t="str">
        <f>"5680"</f>
        <v>5680</v>
      </c>
      <c r="B5684" t="str">
        <f t="shared" si="313"/>
        <v>1</v>
      </c>
      <c r="C5684" t="str">
        <f t="shared" si="315"/>
        <v>114</v>
      </c>
      <c r="D5684" t="str">
        <f>"49"</f>
        <v>49</v>
      </c>
      <c r="E5684" t="str">
        <f>"1-114-49"</f>
        <v>1-114-49</v>
      </c>
      <c r="F5684" t="s">
        <v>65</v>
      </c>
      <c r="G5684" t="s">
        <v>66</v>
      </c>
      <c r="H5684" t="s">
        <v>67</v>
      </c>
      <c r="S5684">
        <v>1</v>
      </c>
      <c r="T5684">
        <v>0</v>
      </c>
      <c r="U5684">
        <v>0</v>
      </c>
      <c r="V5684">
        <v>0</v>
      </c>
      <c r="W5684">
        <v>0</v>
      </c>
      <c r="X5684">
        <v>1</v>
      </c>
      <c r="Y5684">
        <v>0</v>
      </c>
      <c r="Z5684">
        <v>1</v>
      </c>
      <c r="AA5684">
        <v>0</v>
      </c>
      <c r="AB5684">
        <v>1</v>
      </c>
      <c r="AC5684">
        <v>0</v>
      </c>
      <c r="AD5684">
        <v>1</v>
      </c>
      <c r="AE5684">
        <v>1</v>
      </c>
      <c r="AF5684">
        <v>1</v>
      </c>
      <c r="AG5684">
        <v>1</v>
      </c>
      <c r="AH5684">
        <v>1</v>
      </c>
      <c r="AI5684">
        <v>1</v>
      </c>
      <c r="AJ5684">
        <v>1</v>
      </c>
      <c r="AK5684">
        <v>1</v>
      </c>
      <c r="AL5684">
        <v>1</v>
      </c>
      <c r="AM5684">
        <v>1</v>
      </c>
    </row>
    <row r="5685" spans="1:39" x14ac:dyDescent="0.2">
      <c r="A5685" t="str">
        <f>"5681"</f>
        <v>5681</v>
      </c>
      <c r="B5685" t="str">
        <f t="shared" si="313"/>
        <v>1</v>
      </c>
      <c r="C5685" t="str">
        <f t="shared" si="315"/>
        <v>114</v>
      </c>
      <c r="D5685" t="str">
        <f>"23"</f>
        <v>23</v>
      </c>
      <c r="E5685" t="str">
        <f>"1-114-23"</f>
        <v>1-114-23</v>
      </c>
      <c r="F5685" t="s">
        <v>65</v>
      </c>
      <c r="G5685" t="s">
        <v>66</v>
      </c>
      <c r="H5685" t="s">
        <v>67</v>
      </c>
      <c r="S5685">
        <v>1</v>
      </c>
      <c r="T5685">
        <v>0</v>
      </c>
      <c r="U5685">
        <v>0</v>
      </c>
      <c r="V5685">
        <v>0</v>
      </c>
      <c r="W5685">
        <v>1</v>
      </c>
      <c r="X5685">
        <v>0</v>
      </c>
      <c r="Y5685">
        <v>0</v>
      </c>
      <c r="Z5685">
        <v>1</v>
      </c>
      <c r="AA5685">
        <v>0</v>
      </c>
      <c r="AB5685">
        <v>0</v>
      </c>
      <c r="AC5685">
        <v>1</v>
      </c>
      <c r="AD5685">
        <v>1</v>
      </c>
      <c r="AE5685">
        <v>1</v>
      </c>
      <c r="AF5685">
        <v>1</v>
      </c>
      <c r="AG5685">
        <v>1</v>
      </c>
      <c r="AH5685">
        <v>1</v>
      </c>
      <c r="AI5685">
        <v>1</v>
      </c>
      <c r="AJ5685">
        <v>1</v>
      </c>
      <c r="AK5685">
        <v>1</v>
      </c>
      <c r="AL5685">
        <v>1</v>
      </c>
      <c r="AM5685">
        <v>1</v>
      </c>
    </row>
    <row r="5686" spans="1:39" x14ac:dyDescent="0.2">
      <c r="A5686" t="str">
        <f>"5682"</f>
        <v>5682</v>
      </c>
      <c r="B5686" t="str">
        <f t="shared" si="313"/>
        <v>1</v>
      </c>
      <c r="C5686" t="str">
        <f t="shared" si="315"/>
        <v>114</v>
      </c>
      <c r="D5686" t="str">
        <f>"7"</f>
        <v>7</v>
      </c>
      <c r="E5686" t="str">
        <f>"1-114-7"</f>
        <v>1-114-7</v>
      </c>
      <c r="F5686" t="s">
        <v>65</v>
      </c>
      <c r="G5686" t="s">
        <v>66</v>
      </c>
      <c r="H5686" t="s">
        <v>67</v>
      </c>
      <c r="S5686">
        <v>1</v>
      </c>
      <c r="T5686">
        <v>0</v>
      </c>
      <c r="U5686">
        <v>0</v>
      </c>
      <c r="V5686">
        <v>0</v>
      </c>
      <c r="W5686">
        <v>1</v>
      </c>
      <c r="X5686">
        <v>0</v>
      </c>
      <c r="Y5686">
        <v>1</v>
      </c>
      <c r="Z5686">
        <v>0</v>
      </c>
      <c r="AA5686">
        <v>1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</row>
    <row r="5687" spans="1:39" x14ac:dyDescent="0.2">
      <c r="A5687" t="str">
        <f>"5683"</f>
        <v>5683</v>
      </c>
      <c r="B5687" t="str">
        <f t="shared" ref="B5687:B5750" si="316">"1"</f>
        <v>1</v>
      </c>
      <c r="C5687" t="str">
        <f t="shared" ref="C5687:C5704" si="317">"114"</f>
        <v>114</v>
      </c>
      <c r="D5687" t="str">
        <f>"43"</f>
        <v>43</v>
      </c>
      <c r="E5687" t="str">
        <f>"1-114-43"</f>
        <v>1-114-43</v>
      </c>
      <c r="F5687" t="s">
        <v>65</v>
      </c>
      <c r="G5687" t="s">
        <v>66</v>
      </c>
      <c r="H5687" t="s">
        <v>67</v>
      </c>
      <c r="S5687">
        <v>1</v>
      </c>
      <c r="T5687">
        <v>0</v>
      </c>
      <c r="U5687">
        <v>0</v>
      </c>
      <c r="V5687">
        <v>0</v>
      </c>
      <c r="W5687">
        <v>1</v>
      </c>
      <c r="X5687">
        <v>0</v>
      </c>
      <c r="Y5687">
        <v>0</v>
      </c>
      <c r="Z5687">
        <v>1</v>
      </c>
      <c r="AA5687">
        <v>0</v>
      </c>
      <c r="AB5687">
        <v>0</v>
      </c>
      <c r="AC5687">
        <v>1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</row>
    <row r="5688" spans="1:39" x14ac:dyDescent="0.2">
      <c r="A5688" t="str">
        <f>"5684"</f>
        <v>5684</v>
      </c>
      <c r="B5688" t="str">
        <f t="shared" si="316"/>
        <v>1</v>
      </c>
      <c r="C5688" t="str">
        <f t="shared" si="317"/>
        <v>114</v>
      </c>
      <c r="D5688" t="str">
        <f>"24"</f>
        <v>24</v>
      </c>
      <c r="E5688" t="str">
        <f>"1-114-24"</f>
        <v>1-114-24</v>
      </c>
      <c r="F5688" t="s">
        <v>65</v>
      </c>
      <c r="G5688" t="s">
        <v>66</v>
      </c>
      <c r="H5688" t="s">
        <v>67</v>
      </c>
      <c r="S5688">
        <v>1</v>
      </c>
      <c r="T5688">
        <v>0</v>
      </c>
      <c r="U5688">
        <v>0</v>
      </c>
      <c r="V5688">
        <v>0</v>
      </c>
      <c r="W5688">
        <v>1</v>
      </c>
      <c r="X5688">
        <v>0</v>
      </c>
      <c r="Y5688">
        <v>0</v>
      </c>
      <c r="Z5688">
        <v>1</v>
      </c>
      <c r="AA5688">
        <v>0</v>
      </c>
      <c r="AB5688">
        <v>0</v>
      </c>
      <c r="AC5688">
        <v>1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</row>
    <row r="5689" spans="1:39" x14ac:dyDescent="0.2">
      <c r="A5689" t="str">
        <f>"5685"</f>
        <v>5685</v>
      </c>
      <c r="B5689" t="str">
        <f t="shared" si="316"/>
        <v>1</v>
      </c>
      <c r="C5689" t="str">
        <f t="shared" si="317"/>
        <v>114</v>
      </c>
      <c r="D5689" t="str">
        <f>"9"</f>
        <v>9</v>
      </c>
      <c r="E5689" t="str">
        <f>"1-114-9"</f>
        <v>1-114-9</v>
      </c>
      <c r="F5689" t="s">
        <v>65</v>
      </c>
      <c r="G5689" t="s">
        <v>66</v>
      </c>
      <c r="H5689" t="s">
        <v>67</v>
      </c>
      <c r="S5689">
        <v>1</v>
      </c>
      <c r="T5689">
        <v>0</v>
      </c>
      <c r="U5689">
        <v>0</v>
      </c>
      <c r="V5689">
        <v>0</v>
      </c>
      <c r="W5689">
        <v>1</v>
      </c>
      <c r="X5689">
        <v>0</v>
      </c>
      <c r="Y5689">
        <v>1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1</v>
      </c>
      <c r="AF5689">
        <v>1</v>
      </c>
      <c r="AG5689">
        <v>1</v>
      </c>
      <c r="AH5689">
        <v>1</v>
      </c>
      <c r="AI5689">
        <v>1</v>
      </c>
      <c r="AJ5689">
        <v>1</v>
      </c>
      <c r="AK5689">
        <v>1</v>
      </c>
      <c r="AL5689">
        <v>1</v>
      </c>
      <c r="AM5689">
        <v>1</v>
      </c>
    </row>
    <row r="5690" spans="1:39" x14ac:dyDescent="0.2">
      <c r="A5690" t="str">
        <f>"5686"</f>
        <v>5686</v>
      </c>
      <c r="B5690" t="str">
        <f t="shared" si="316"/>
        <v>1</v>
      </c>
      <c r="C5690" t="str">
        <f t="shared" si="317"/>
        <v>114</v>
      </c>
      <c r="D5690" t="str">
        <f>"42"</f>
        <v>42</v>
      </c>
      <c r="E5690" t="str">
        <f>"1-114-42"</f>
        <v>1-114-42</v>
      </c>
      <c r="F5690" t="s">
        <v>65</v>
      </c>
      <c r="G5690" t="s">
        <v>66</v>
      </c>
      <c r="H5690" t="s">
        <v>67</v>
      </c>
      <c r="S5690">
        <v>0</v>
      </c>
      <c r="T5690">
        <v>1</v>
      </c>
      <c r="U5690">
        <v>0</v>
      </c>
      <c r="V5690">
        <v>0</v>
      </c>
      <c r="W5690">
        <v>1</v>
      </c>
      <c r="X5690">
        <v>0</v>
      </c>
      <c r="Y5690">
        <v>0</v>
      </c>
      <c r="Z5690">
        <v>1</v>
      </c>
      <c r="AA5690">
        <v>0</v>
      </c>
      <c r="AB5690">
        <v>0</v>
      </c>
      <c r="AC5690">
        <v>1</v>
      </c>
      <c r="AD5690">
        <v>1</v>
      </c>
      <c r="AE5690">
        <v>1</v>
      </c>
      <c r="AF5690">
        <v>1</v>
      </c>
      <c r="AG5690">
        <v>1</v>
      </c>
      <c r="AH5690">
        <v>1</v>
      </c>
      <c r="AI5690">
        <v>1</v>
      </c>
      <c r="AJ5690">
        <v>1</v>
      </c>
      <c r="AK5690">
        <v>1</v>
      </c>
      <c r="AL5690">
        <v>1</v>
      </c>
      <c r="AM5690">
        <v>1</v>
      </c>
    </row>
    <row r="5691" spans="1:39" x14ac:dyDescent="0.2">
      <c r="A5691" t="str">
        <f>"5687"</f>
        <v>5687</v>
      </c>
      <c r="B5691" t="str">
        <f t="shared" si="316"/>
        <v>1</v>
      </c>
      <c r="C5691" t="str">
        <f t="shared" si="317"/>
        <v>114</v>
      </c>
      <c r="D5691" t="str">
        <f>"25"</f>
        <v>25</v>
      </c>
      <c r="E5691" t="str">
        <f>"1-114-25"</f>
        <v>1-114-25</v>
      </c>
      <c r="F5691" t="s">
        <v>65</v>
      </c>
      <c r="G5691" t="s">
        <v>66</v>
      </c>
      <c r="H5691" t="s">
        <v>67</v>
      </c>
      <c r="S5691">
        <v>0</v>
      </c>
      <c r="T5691">
        <v>1</v>
      </c>
      <c r="U5691">
        <v>0</v>
      </c>
      <c r="V5691">
        <v>0</v>
      </c>
      <c r="W5691">
        <v>1</v>
      </c>
      <c r="X5691">
        <v>0</v>
      </c>
      <c r="Y5691">
        <v>1</v>
      </c>
      <c r="Z5691">
        <v>0</v>
      </c>
      <c r="AA5691">
        <v>0</v>
      </c>
      <c r="AB5691">
        <v>0</v>
      </c>
      <c r="AC5691">
        <v>1</v>
      </c>
      <c r="AD5691">
        <v>1</v>
      </c>
      <c r="AE5691">
        <v>1</v>
      </c>
      <c r="AF5691">
        <v>1</v>
      </c>
      <c r="AG5691">
        <v>1</v>
      </c>
      <c r="AH5691">
        <v>1</v>
      </c>
      <c r="AI5691">
        <v>1</v>
      </c>
      <c r="AJ5691">
        <v>1</v>
      </c>
      <c r="AK5691">
        <v>1</v>
      </c>
      <c r="AL5691">
        <v>1</v>
      </c>
      <c r="AM5691">
        <v>1</v>
      </c>
    </row>
    <row r="5692" spans="1:39" x14ac:dyDescent="0.2">
      <c r="A5692" t="str">
        <f>"5688"</f>
        <v>5688</v>
      </c>
      <c r="B5692" t="str">
        <f t="shared" si="316"/>
        <v>1</v>
      </c>
      <c r="C5692" t="str">
        <f t="shared" si="317"/>
        <v>114</v>
      </c>
      <c r="D5692" t="str">
        <f>"13"</f>
        <v>13</v>
      </c>
      <c r="E5692" t="str">
        <f>"1-114-13"</f>
        <v>1-114-13</v>
      </c>
      <c r="F5692" t="s">
        <v>65</v>
      </c>
      <c r="G5692" t="s">
        <v>66</v>
      </c>
      <c r="H5692" t="s">
        <v>67</v>
      </c>
      <c r="S5692">
        <v>1</v>
      </c>
      <c r="T5692">
        <v>0</v>
      </c>
      <c r="U5692">
        <v>0</v>
      </c>
      <c r="V5692">
        <v>0</v>
      </c>
      <c r="W5692">
        <v>1</v>
      </c>
      <c r="X5692">
        <v>0</v>
      </c>
      <c r="Y5692">
        <v>1</v>
      </c>
      <c r="Z5692">
        <v>0</v>
      </c>
      <c r="AA5692">
        <v>1</v>
      </c>
      <c r="AB5692">
        <v>0</v>
      </c>
      <c r="AC5692">
        <v>0</v>
      </c>
      <c r="AD5692">
        <v>0</v>
      </c>
      <c r="AE5692">
        <v>1</v>
      </c>
      <c r="AF5692">
        <v>1</v>
      </c>
      <c r="AG5692">
        <v>0</v>
      </c>
      <c r="AH5692">
        <v>0</v>
      </c>
      <c r="AI5692">
        <v>1</v>
      </c>
      <c r="AJ5692">
        <v>0</v>
      </c>
      <c r="AK5692">
        <v>0</v>
      </c>
      <c r="AL5692">
        <v>1</v>
      </c>
      <c r="AM5692">
        <v>0</v>
      </c>
    </row>
    <row r="5693" spans="1:39" x14ac:dyDescent="0.2">
      <c r="A5693" t="str">
        <f>"5689"</f>
        <v>5689</v>
      </c>
      <c r="B5693" t="str">
        <f t="shared" si="316"/>
        <v>1</v>
      </c>
      <c r="C5693" t="str">
        <f t="shared" si="317"/>
        <v>114</v>
      </c>
      <c r="D5693" t="str">
        <f>"45"</f>
        <v>45</v>
      </c>
      <c r="E5693" t="str">
        <f>"1-114-45"</f>
        <v>1-114-45</v>
      </c>
      <c r="F5693" t="s">
        <v>65</v>
      </c>
      <c r="G5693" t="s">
        <v>66</v>
      </c>
      <c r="H5693" t="s">
        <v>67</v>
      </c>
      <c r="S5693">
        <v>1</v>
      </c>
      <c r="T5693">
        <v>0</v>
      </c>
      <c r="U5693">
        <v>0</v>
      </c>
      <c r="V5693">
        <v>0</v>
      </c>
      <c r="W5693">
        <v>0</v>
      </c>
      <c r="X5693">
        <v>1</v>
      </c>
      <c r="Y5693">
        <v>1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1</v>
      </c>
      <c r="AF5693">
        <v>1</v>
      </c>
      <c r="AG5693">
        <v>1</v>
      </c>
      <c r="AH5693">
        <v>1</v>
      </c>
      <c r="AI5693">
        <v>1</v>
      </c>
      <c r="AJ5693">
        <v>1</v>
      </c>
      <c r="AK5693">
        <v>1</v>
      </c>
      <c r="AL5693">
        <v>1</v>
      </c>
      <c r="AM5693">
        <v>1</v>
      </c>
    </row>
    <row r="5694" spans="1:39" x14ac:dyDescent="0.2">
      <c r="A5694" t="str">
        <f>"5690"</f>
        <v>5690</v>
      </c>
      <c r="B5694" t="str">
        <f t="shared" si="316"/>
        <v>1</v>
      </c>
      <c r="C5694" t="str">
        <f t="shared" si="317"/>
        <v>114</v>
      </c>
      <c r="D5694" t="str">
        <f>"26"</f>
        <v>26</v>
      </c>
      <c r="E5694" t="str">
        <f>"1-114-26"</f>
        <v>1-114-26</v>
      </c>
      <c r="F5694" t="s">
        <v>65</v>
      </c>
      <c r="G5694" t="s">
        <v>66</v>
      </c>
      <c r="H5694" t="s">
        <v>67</v>
      </c>
      <c r="S5694">
        <v>1</v>
      </c>
      <c r="T5694">
        <v>0</v>
      </c>
      <c r="U5694">
        <v>0</v>
      </c>
      <c r="V5694">
        <v>0</v>
      </c>
      <c r="W5694">
        <v>1</v>
      </c>
      <c r="X5694">
        <v>0</v>
      </c>
      <c r="Y5694">
        <v>1</v>
      </c>
      <c r="Z5694">
        <v>0</v>
      </c>
      <c r="AA5694">
        <v>1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</row>
    <row r="5695" spans="1:39" x14ac:dyDescent="0.2">
      <c r="A5695" t="str">
        <f>"5691"</f>
        <v>5691</v>
      </c>
      <c r="B5695" t="str">
        <f t="shared" si="316"/>
        <v>1</v>
      </c>
      <c r="C5695" t="str">
        <f t="shared" si="317"/>
        <v>114</v>
      </c>
      <c r="D5695" t="str">
        <f>"5"</f>
        <v>5</v>
      </c>
      <c r="E5695" t="str">
        <f>"1-114-5"</f>
        <v>1-114-5</v>
      </c>
      <c r="F5695" t="s">
        <v>65</v>
      </c>
      <c r="G5695" t="s">
        <v>66</v>
      </c>
      <c r="H5695" t="s">
        <v>67</v>
      </c>
      <c r="S5695">
        <v>1</v>
      </c>
      <c r="T5695">
        <v>0</v>
      </c>
      <c r="U5695">
        <v>0</v>
      </c>
      <c r="V5695">
        <v>0</v>
      </c>
      <c r="W5695">
        <v>1</v>
      </c>
      <c r="X5695">
        <v>0</v>
      </c>
      <c r="Y5695">
        <v>1</v>
      </c>
      <c r="Z5695">
        <v>0</v>
      </c>
      <c r="AA5695">
        <v>0</v>
      </c>
      <c r="AB5695">
        <v>0</v>
      </c>
      <c r="AC5695">
        <v>1</v>
      </c>
      <c r="AD5695">
        <v>1</v>
      </c>
      <c r="AE5695">
        <v>1</v>
      </c>
      <c r="AF5695">
        <v>1</v>
      </c>
      <c r="AG5695">
        <v>1</v>
      </c>
      <c r="AH5695">
        <v>1</v>
      </c>
      <c r="AI5695">
        <v>1</v>
      </c>
      <c r="AJ5695">
        <v>1</v>
      </c>
      <c r="AK5695">
        <v>1</v>
      </c>
      <c r="AL5695">
        <v>1</v>
      </c>
      <c r="AM5695">
        <v>1</v>
      </c>
    </row>
    <row r="5696" spans="1:39" x14ac:dyDescent="0.2">
      <c r="A5696" t="str">
        <f>"5692"</f>
        <v>5692</v>
      </c>
      <c r="B5696" t="str">
        <f t="shared" si="316"/>
        <v>1</v>
      </c>
      <c r="C5696" t="str">
        <f t="shared" si="317"/>
        <v>114</v>
      </c>
      <c r="D5696" t="str">
        <f>"46"</f>
        <v>46</v>
      </c>
      <c r="E5696" t="str">
        <f>"1-114-46"</f>
        <v>1-114-46</v>
      </c>
      <c r="F5696" t="s">
        <v>65</v>
      </c>
      <c r="G5696" t="s">
        <v>66</v>
      </c>
      <c r="H5696" t="s">
        <v>67</v>
      </c>
      <c r="S5696">
        <v>0</v>
      </c>
      <c r="T5696">
        <v>1</v>
      </c>
      <c r="U5696">
        <v>0</v>
      </c>
      <c r="V5696">
        <v>0</v>
      </c>
      <c r="W5696">
        <v>0</v>
      </c>
      <c r="X5696">
        <v>1</v>
      </c>
      <c r="Y5696">
        <v>0</v>
      </c>
      <c r="Z5696">
        <v>1</v>
      </c>
      <c r="AA5696">
        <v>1</v>
      </c>
      <c r="AB5696">
        <v>0</v>
      </c>
      <c r="AC5696">
        <v>0</v>
      </c>
      <c r="AD5696">
        <v>1</v>
      </c>
      <c r="AE5696">
        <v>1</v>
      </c>
      <c r="AF5696">
        <v>1</v>
      </c>
      <c r="AG5696">
        <v>1</v>
      </c>
      <c r="AH5696">
        <v>1</v>
      </c>
      <c r="AI5696">
        <v>1</v>
      </c>
      <c r="AJ5696">
        <v>1</v>
      </c>
      <c r="AK5696">
        <v>1</v>
      </c>
      <c r="AL5696">
        <v>1</v>
      </c>
      <c r="AM5696">
        <v>1</v>
      </c>
    </row>
    <row r="5697" spans="1:39" x14ac:dyDescent="0.2">
      <c r="A5697" t="str">
        <f>"5693"</f>
        <v>5693</v>
      </c>
      <c r="B5697" t="str">
        <f t="shared" si="316"/>
        <v>1</v>
      </c>
      <c r="C5697" t="str">
        <f t="shared" si="317"/>
        <v>114</v>
      </c>
      <c r="D5697" t="str">
        <f>"30"</f>
        <v>30</v>
      </c>
      <c r="E5697" t="str">
        <f>"1-114-30"</f>
        <v>1-114-30</v>
      </c>
      <c r="F5697" t="s">
        <v>65</v>
      </c>
      <c r="G5697" t="s">
        <v>66</v>
      </c>
      <c r="H5697" t="s">
        <v>67</v>
      </c>
      <c r="S5697">
        <v>1</v>
      </c>
      <c r="T5697">
        <v>0</v>
      </c>
      <c r="U5697">
        <v>0</v>
      </c>
      <c r="V5697">
        <v>0</v>
      </c>
      <c r="W5697">
        <v>1</v>
      </c>
      <c r="X5697">
        <v>0</v>
      </c>
      <c r="Y5697">
        <v>0</v>
      </c>
      <c r="Z5697">
        <v>1</v>
      </c>
      <c r="AA5697">
        <v>1</v>
      </c>
      <c r="AB5697">
        <v>0</v>
      </c>
      <c r="AC5697">
        <v>0</v>
      </c>
      <c r="AD5697">
        <v>1</v>
      </c>
      <c r="AE5697">
        <v>1</v>
      </c>
      <c r="AF5697">
        <v>1</v>
      </c>
      <c r="AG5697">
        <v>1</v>
      </c>
      <c r="AH5697">
        <v>1</v>
      </c>
      <c r="AI5697">
        <v>1</v>
      </c>
      <c r="AJ5697">
        <v>1</v>
      </c>
      <c r="AK5697">
        <v>1</v>
      </c>
      <c r="AL5697">
        <v>1</v>
      </c>
      <c r="AM5697">
        <v>1</v>
      </c>
    </row>
    <row r="5698" spans="1:39" x14ac:dyDescent="0.2">
      <c r="A5698" t="str">
        <f>"5694"</f>
        <v>5694</v>
      </c>
      <c r="B5698" t="str">
        <f t="shared" si="316"/>
        <v>1</v>
      </c>
      <c r="C5698" t="str">
        <f t="shared" si="317"/>
        <v>114</v>
      </c>
      <c r="D5698" t="str">
        <f>"14"</f>
        <v>14</v>
      </c>
      <c r="E5698" t="str">
        <f>"1-114-14"</f>
        <v>1-114-14</v>
      </c>
      <c r="F5698" t="s">
        <v>65</v>
      </c>
      <c r="G5698" t="s">
        <v>66</v>
      </c>
      <c r="H5698" t="s">
        <v>67</v>
      </c>
      <c r="S5698">
        <v>1</v>
      </c>
      <c r="T5698">
        <v>0</v>
      </c>
      <c r="U5698">
        <v>0</v>
      </c>
      <c r="V5698">
        <v>0</v>
      </c>
      <c r="W5698">
        <v>1</v>
      </c>
      <c r="X5698">
        <v>0</v>
      </c>
      <c r="Y5698">
        <v>1</v>
      </c>
      <c r="Z5698">
        <v>0</v>
      </c>
      <c r="AA5698">
        <v>1</v>
      </c>
      <c r="AB5698">
        <v>0</v>
      </c>
      <c r="AC5698">
        <v>0</v>
      </c>
      <c r="AD5698">
        <v>0</v>
      </c>
      <c r="AE5698">
        <v>1</v>
      </c>
      <c r="AF5698">
        <v>1</v>
      </c>
      <c r="AG5698">
        <v>0</v>
      </c>
      <c r="AH5698">
        <v>1</v>
      </c>
      <c r="AI5698">
        <v>1</v>
      </c>
      <c r="AJ5698">
        <v>1</v>
      </c>
      <c r="AK5698">
        <v>1</v>
      </c>
      <c r="AL5698">
        <v>1</v>
      </c>
      <c r="AM5698">
        <v>0</v>
      </c>
    </row>
    <row r="5699" spans="1:39" x14ac:dyDescent="0.2">
      <c r="A5699" t="str">
        <f>"5695"</f>
        <v>5695</v>
      </c>
      <c r="B5699" t="str">
        <f t="shared" si="316"/>
        <v>1</v>
      </c>
      <c r="C5699" t="str">
        <f t="shared" si="317"/>
        <v>114</v>
      </c>
      <c r="D5699" t="str">
        <f>"50"</f>
        <v>50</v>
      </c>
      <c r="E5699" t="str">
        <f>"1-114-50"</f>
        <v>1-114-50</v>
      </c>
      <c r="F5699" t="s">
        <v>65</v>
      </c>
      <c r="G5699" t="s">
        <v>66</v>
      </c>
      <c r="H5699" t="s">
        <v>67</v>
      </c>
      <c r="S5699">
        <v>1</v>
      </c>
      <c r="T5699">
        <v>0</v>
      </c>
      <c r="U5699">
        <v>0</v>
      </c>
      <c r="V5699">
        <v>0</v>
      </c>
      <c r="W5699">
        <v>1</v>
      </c>
      <c r="X5699">
        <v>0</v>
      </c>
      <c r="Y5699">
        <v>0</v>
      </c>
      <c r="Z5699">
        <v>1</v>
      </c>
      <c r="AA5699">
        <v>0</v>
      </c>
      <c r="AB5699">
        <v>1</v>
      </c>
      <c r="AC5699">
        <v>0</v>
      </c>
      <c r="AD5699">
        <v>1</v>
      </c>
      <c r="AE5699">
        <v>1</v>
      </c>
      <c r="AF5699">
        <v>1</v>
      </c>
      <c r="AG5699">
        <v>1</v>
      </c>
      <c r="AH5699">
        <v>1</v>
      </c>
      <c r="AI5699">
        <v>1</v>
      </c>
      <c r="AJ5699">
        <v>1</v>
      </c>
      <c r="AK5699">
        <v>1</v>
      </c>
      <c r="AL5699">
        <v>1</v>
      </c>
      <c r="AM5699">
        <v>1</v>
      </c>
    </row>
    <row r="5700" spans="1:39" x14ac:dyDescent="0.2">
      <c r="A5700" t="str">
        <f>"5696"</f>
        <v>5696</v>
      </c>
      <c r="B5700" t="str">
        <f t="shared" si="316"/>
        <v>1</v>
      </c>
      <c r="C5700" t="str">
        <f t="shared" si="317"/>
        <v>114</v>
      </c>
      <c r="D5700" t="str">
        <f>"31"</f>
        <v>31</v>
      </c>
      <c r="E5700" t="str">
        <f>"1-114-31"</f>
        <v>1-114-31</v>
      </c>
      <c r="F5700" t="s">
        <v>65</v>
      </c>
      <c r="G5700" t="s">
        <v>66</v>
      </c>
      <c r="H5700" t="s">
        <v>67</v>
      </c>
      <c r="S5700">
        <v>0</v>
      </c>
      <c r="T5700">
        <v>1</v>
      </c>
      <c r="U5700">
        <v>0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0</v>
      </c>
      <c r="AB5700">
        <v>0</v>
      </c>
      <c r="AC5700">
        <v>1</v>
      </c>
      <c r="AD5700">
        <v>0</v>
      </c>
      <c r="AE5700">
        <v>0</v>
      </c>
      <c r="AF5700">
        <v>0</v>
      </c>
      <c r="AG5700">
        <v>1</v>
      </c>
      <c r="AH5700">
        <v>1</v>
      </c>
      <c r="AI5700">
        <v>0</v>
      </c>
      <c r="AJ5700">
        <v>1</v>
      </c>
      <c r="AK5700">
        <v>1</v>
      </c>
      <c r="AL5700">
        <v>0</v>
      </c>
      <c r="AM5700">
        <v>1</v>
      </c>
    </row>
    <row r="5701" spans="1:39" x14ac:dyDescent="0.2">
      <c r="A5701" t="str">
        <f>"5697"</f>
        <v>5697</v>
      </c>
      <c r="B5701" t="str">
        <f t="shared" si="316"/>
        <v>1</v>
      </c>
      <c r="C5701" t="str">
        <f t="shared" si="317"/>
        <v>114</v>
      </c>
      <c r="D5701" t="str">
        <f>"10"</f>
        <v>10</v>
      </c>
      <c r="E5701" t="str">
        <f>"1-114-10"</f>
        <v>1-114-10</v>
      </c>
      <c r="F5701" t="s">
        <v>65</v>
      </c>
      <c r="G5701" t="s">
        <v>66</v>
      </c>
      <c r="H5701" t="s">
        <v>67</v>
      </c>
      <c r="S5701">
        <v>0</v>
      </c>
      <c r="T5701">
        <v>1</v>
      </c>
      <c r="U5701">
        <v>0</v>
      </c>
      <c r="V5701">
        <v>0</v>
      </c>
      <c r="W5701">
        <v>0</v>
      </c>
      <c r="X5701">
        <v>1</v>
      </c>
      <c r="Y5701">
        <v>1</v>
      </c>
      <c r="Z5701">
        <v>0</v>
      </c>
      <c r="AA5701">
        <v>0</v>
      </c>
      <c r="AB5701">
        <v>1</v>
      </c>
      <c r="AC5701">
        <v>0</v>
      </c>
      <c r="AD5701">
        <v>1</v>
      </c>
      <c r="AE5701">
        <v>1</v>
      </c>
      <c r="AF5701">
        <v>1</v>
      </c>
      <c r="AG5701">
        <v>1</v>
      </c>
      <c r="AH5701">
        <v>1</v>
      </c>
      <c r="AI5701">
        <v>1</v>
      </c>
      <c r="AJ5701">
        <v>1</v>
      </c>
      <c r="AK5701">
        <v>1</v>
      </c>
      <c r="AL5701">
        <v>1</v>
      </c>
      <c r="AM5701">
        <v>1</v>
      </c>
    </row>
    <row r="5702" spans="1:39" x14ac:dyDescent="0.2">
      <c r="A5702" t="str">
        <f>"5698"</f>
        <v>5698</v>
      </c>
      <c r="B5702" t="str">
        <f t="shared" si="316"/>
        <v>1</v>
      </c>
      <c r="C5702" t="str">
        <f t="shared" si="317"/>
        <v>114</v>
      </c>
      <c r="D5702" t="str">
        <f>"48"</f>
        <v>48</v>
      </c>
      <c r="E5702" t="str">
        <f>"1-114-48"</f>
        <v>1-114-48</v>
      </c>
      <c r="F5702" t="s">
        <v>65</v>
      </c>
      <c r="G5702" t="s">
        <v>66</v>
      </c>
      <c r="H5702" t="s">
        <v>67</v>
      </c>
      <c r="S5702">
        <v>0</v>
      </c>
      <c r="T5702">
        <v>1</v>
      </c>
      <c r="U5702">
        <v>0</v>
      </c>
      <c r="V5702">
        <v>0</v>
      </c>
      <c r="W5702">
        <v>0</v>
      </c>
      <c r="X5702">
        <v>1</v>
      </c>
      <c r="Y5702">
        <v>0</v>
      </c>
      <c r="Z5702">
        <v>1</v>
      </c>
      <c r="AA5702">
        <v>0</v>
      </c>
      <c r="AB5702">
        <v>0</v>
      </c>
      <c r="AC5702">
        <v>1</v>
      </c>
      <c r="AD5702">
        <v>1</v>
      </c>
      <c r="AE5702">
        <v>1</v>
      </c>
      <c r="AF5702">
        <v>1</v>
      </c>
      <c r="AG5702">
        <v>1</v>
      </c>
      <c r="AH5702">
        <v>1</v>
      </c>
      <c r="AI5702">
        <v>1</v>
      </c>
      <c r="AJ5702">
        <v>1</v>
      </c>
      <c r="AK5702">
        <v>1</v>
      </c>
      <c r="AL5702">
        <v>1</v>
      </c>
      <c r="AM5702">
        <v>1</v>
      </c>
    </row>
    <row r="5703" spans="1:39" x14ac:dyDescent="0.2">
      <c r="A5703" t="str">
        <f>"5699"</f>
        <v>5699</v>
      </c>
      <c r="B5703" t="str">
        <f t="shared" si="316"/>
        <v>1</v>
      </c>
      <c r="C5703" t="str">
        <f t="shared" si="317"/>
        <v>114</v>
      </c>
      <c r="D5703" t="str">
        <f>"32"</f>
        <v>32</v>
      </c>
      <c r="E5703" t="str">
        <f>"1-114-32"</f>
        <v>1-114-32</v>
      </c>
      <c r="F5703" t="s">
        <v>65</v>
      </c>
      <c r="G5703" t="s">
        <v>66</v>
      </c>
      <c r="H5703" t="s">
        <v>67</v>
      </c>
      <c r="S5703">
        <v>0</v>
      </c>
      <c r="T5703">
        <v>1</v>
      </c>
      <c r="U5703">
        <v>0</v>
      </c>
      <c r="V5703">
        <v>0</v>
      </c>
      <c r="W5703">
        <v>1</v>
      </c>
      <c r="X5703">
        <v>0</v>
      </c>
      <c r="Y5703">
        <v>1</v>
      </c>
      <c r="Z5703">
        <v>0</v>
      </c>
      <c r="AA5703">
        <v>1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1</v>
      </c>
      <c r="AH5703">
        <v>0</v>
      </c>
      <c r="AI5703">
        <v>0</v>
      </c>
      <c r="AJ5703">
        <v>0</v>
      </c>
      <c r="AK5703">
        <v>0</v>
      </c>
      <c r="AL5703">
        <v>1</v>
      </c>
      <c r="AM5703">
        <v>0</v>
      </c>
    </row>
    <row r="5704" spans="1:39" x14ac:dyDescent="0.2">
      <c r="A5704" t="str">
        <f>"5700"</f>
        <v>5700</v>
      </c>
      <c r="B5704" t="str">
        <f t="shared" si="316"/>
        <v>1</v>
      </c>
      <c r="C5704" t="str">
        <f t="shared" si="317"/>
        <v>114</v>
      </c>
      <c r="D5704" t="str">
        <f>"4"</f>
        <v>4</v>
      </c>
      <c r="E5704" t="str">
        <f>"1-114-4"</f>
        <v>1-114-4</v>
      </c>
      <c r="F5704" t="s">
        <v>65</v>
      </c>
      <c r="G5704" t="s">
        <v>66</v>
      </c>
      <c r="H5704" t="s">
        <v>67</v>
      </c>
      <c r="S5704">
        <v>1</v>
      </c>
      <c r="T5704">
        <v>0</v>
      </c>
      <c r="U5704">
        <v>0</v>
      </c>
      <c r="V5704">
        <v>0</v>
      </c>
      <c r="W5704">
        <v>1</v>
      </c>
      <c r="X5704">
        <v>0</v>
      </c>
      <c r="Y5704">
        <v>0</v>
      </c>
      <c r="Z5704">
        <v>1</v>
      </c>
      <c r="AA5704">
        <v>0</v>
      </c>
      <c r="AB5704">
        <v>1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</row>
    <row r="5705" spans="1:39" x14ac:dyDescent="0.2">
      <c r="A5705" t="str">
        <f>"5701"</f>
        <v>5701</v>
      </c>
      <c r="B5705" t="str">
        <f t="shared" si="316"/>
        <v>1</v>
      </c>
      <c r="C5705" t="str">
        <f t="shared" ref="C5705:C5736" si="318">"115"</f>
        <v>115</v>
      </c>
      <c r="D5705" t="str">
        <f>"38"</f>
        <v>38</v>
      </c>
      <c r="E5705" t="str">
        <f>"1-115-38"</f>
        <v>1-115-38</v>
      </c>
      <c r="F5705" t="s">
        <v>65</v>
      </c>
      <c r="G5705" t="s">
        <v>66</v>
      </c>
      <c r="H5705" t="s">
        <v>67</v>
      </c>
      <c r="S5705">
        <v>1</v>
      </c>
      <c r="T5705">
        <v>0</v>
      </c>
      <c r="U5705">
        <v>0</v>
      </c>
      <c r="V5705">
        <v>0</v>
      </c>
      <c r="W5705">
        <v>1</v>
      </c>
      <c r="X5705">
        <v>0</v>
      </c>
      <c r="Y5705">
        <v>0</v>
      </c>
      <c r="Z5705">
        <v>1</v>
      </c>
      <c r="AA5705">
        <v>1</v>
      </c>
      <c r="AB5705">
        <v>0</v>
      </c>
      <c r="AC5705">
        <v>0</v>
      </c>
      <c r="AD5705">
        <v>1</v>
      </c>
      <c r="AE5705">
        <v>1</v>
      </c>
      <c r="AF5705">
        <v>1</v>
      </c>
      <c r="AG5705">
        <v>1</v>
      </c>
      <c r="AH5705">
        <v>1</v>
      </c>
      <c r="AI5705">
        <v>1</v>
      </c>
      <c r="AJ5705">
        <v>1</v>
      </c>
      <c r="AK5705">
        <v>1</v>
      </c>
      <c r="AL5705">
        <v>1</v>
      </c>
      <c r="AM5705">
        <v>1</v>
      </c>
    </row>
    <row r="5706" spans="1:39" x14ac:dyDescent="0.2">
      <c r="A5706" t="str">
        <f>"5702"</f>
        <v>5702</v>
      </c>
      <c r="B5706" t="str">
        <f t="shared" si="316"/>
        <v>1</v>
      </c>
      <c r="C5706" t="str">
        <f t="shared" si="318"/>
        <v>115</v>
      </c>
      <c r="D5706" t="str">
        <f>"37"</f>
        <v>37</v>
      </c>
      <c r="E5706" t="str">
        <f>"1-115-37"</f>
        <v>1-115-37</v>
      </c>
      <c r="F5706" t="s">
        <v>65</v>
      </c>
      <c r="G5706" t="s">
        <v>66</v>
      </c>
      <c r="H5706" t="s">
        <v>67</v>
      </c>
      <c r="S5706">
        <v>1</v>
      </c>
      <c r="T5706">
        <v>0</v>
      </c>
      <c r="U5706">
        <v>0</v>
      </c>
      <c r="V5706">
        <v>0</v>
      </c>
      <c r="W5706">
        <v>1</v>
      </c>
      <c r="X5706">
        <v>0</v>
      </c>
      <c r="Y5706">
        <v>0</v>
      </c>
      <c r="Z5706">
        <v>1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1</v>
      </c>
      <c r="AH5706">
        <v>1</v>
      </c>
      <c r="AI5706">
        <v>1</v>
      </c>
      <c r="AJ5706">
        <v>1</v>
      </c>
      <c r="AK5706">
        <v>1</v>
      </c>
      <c r="AL5706">
        <v>1</v>
      </c>
      <c r="AM5706">
        <v>0</v>
      </c>
    </row>
    <row r="5707" spans="1:39" x14ac:dyDescent="0.2">
      <c r="A5707" t="str">
        <f>"5703"</f>
        <v>5703</v>
      </c>
      <c r="B5707" t="str">
        <f t="shared" si="316"/>
        <v>1</v>
      </c>
      <c r="C5707" t="str">
        <f t="shared" si="318"/>
        <v>115</v>
      </c>
      <c r="D5707" t="str">
        <f>"29"</f>
        <v>29</v>
      </c>
      <c r="E5707" t="str">
        <f>"1-115-29"</f>
        <v>1-115-29</v>
      </c>
      <c r="F5707" t="s">
        <v>65</v>
      </c>
      <c r="G5707" t="s">
        <v>66</v>
      </c>
      <c r="H5707" t="s">
        <v>67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1</v>
      </c>
      <c r="AI5707">
        <v>0</v>
      </c>
      <c r="AJ5707">
        <v>0</v>
      </c>
      <c r="AK5707">
        <v>0</v>
      </c>
      <c r="AL5707">
        <v>1</v>
      </c>
      <c r="AM5707">
        <v>0</v>
      </c>
    </row>
    <row r="5708" spans="1:39" x14ac:dyDescent="0.2">
      <c r="A5708" t="str">
        <f>"5704"</f>
        <v>5704</v>
      </c>
      <c r="B5708" t="str">
        <f t="shared" si="316"/>
        <v>1</v>
      </c>
      <c r="C5708" t="str">
        <f t="shared" si="318"/>
        <v>115</v>
      </c>
      <c r="D5708" t="str">
        <f>"15"</f>
        <v>15</v>
      </c>
      <c r="E5708" t="str">
        <f>"1-115-15"</f>
        <v>1-115-15</v>
      </c>
      <c r="F5708" t="s">
        <v>65</v>
      </c>
      <c r="G5708" t="s">
        <v>66</v>
      </c>
      <c r="H5708" t="s">
        <v>67</v>
      </c>
      <c r="S5708">
        <v>1</v>
      </c>
      <c r="T5708">
        <v>0</v>
      </c>
      <c r="U5708">
        <v>0</v>
      </c>
      <c r="V5708">
        <v>0</v>
      </c>
      <c r="W5708">
        <v>1</v>
      </c>
      <c r="X5708">
        <v>0</v>
      </c>
      <c r="Y5708">
        <v>1</v>
      </c>
      <c r="Z5708">
        <v>0</v>
      </c>
      <c r="AA5708">
        <v>0</v>
      </c>
      <c r="AB5708">
        <v>0</v>
      </c>
      <c r="AC5708">
        <v>1</v>
      </c>
      <c r="AD5708">
        <v>1</v>
      </c>
      <c r="AE5708">
        <v>1</v>
      </c>
      <c r="AF5708">
        <v>1</v>
      </c>
      <c r="AG5708">
        <v>1</v>
      </c>
      <c r="AH5708">
        <v>1</v>
      </c>
      <c r="AI5708">
        <v>1</v>
      </c>
      <c r="AJ5708">
        <v>1</v>
      </c>
      <c r="AK5708">
        <v>1</v>
      </c>
      <c r="AL5708">
        <v>1</v>
      </c>
      <c r="AM5708">
        <v>1</v>
      </c>
    </row>
    <row r="5709" spans="1:39" x14ac:dyDescent="0.2">
      <c r="A5709" t="str">
        <f>"5705"</f>
        <v>5705</v>
      </c>
      <c r="B5709" t="str">
        <f t="shared" si="316"/>
        <v>1</v>
      </c>
      <c r="C5709" t="str">
        <f t="shared" si="318"/>
        <v>115</v>
      </c>
      <c r="D5709" t="str">
        <f>"5"</f>
        <v>5</v>
      </c>
      <c r="E5709" t="str">
        <f>"1-115-5"</f>
        <v>1-115-5</v>
      </c>
      <c r="F5709" t="s">
        <v>65</v>
      </c>
      <c r="G5709" t="s">
        <v>66</v>
      </c>
      <c r="H5709" t="s">
        <v>67</v>
      </c>
      <c r="S5709">
        <v>1</v>
      </c>
      <c r="T5709">
        <v>0</v>
      </c>
      <c r="U5709">
        <v>0</v>
      </c>
      <c r="V5709">
        <v>0</v>
      </c>
      <c r="W5709">
        <v>1</v>
      </c>
      <c r="X5709">
        <v>0</v>
      </c>
      <c r="Y5709">
        <v>1</v>
      </c>
      <c r="Z5709">
        <v>0</v>
      </c>
      <c r="AA5709">
        <v>0</v>
      </c>
      <c r="AB5709">
        <v>1</v>
      </c>
      <c r="AC5709">
        <v>0</v>
      </c>
      <c r="AD5709">
        <v>1</v>
      </c>
      <c r="AE5709">
        <v>1</v>
      </c>
      <c r="AF5709">
        <v>1</v>
      </c>
      <c r="AG5709">
        <v>1</v>
      </c>
      <c r="AH5709">
        <v>1</v>
      </c>
      <c r="AI5709">
        <v>1</v>
      </c>
      <c r="AJ5709">
        <v>1</v>
      </c>
      <c r="AK5709">
        <v>1</v>
      </c>
      <c r="AL5709">
        <v>1</v>
      </c>
      <c r="AM5709">
        <v>1</v>
      </c>
    </row>
    <row r="5710" spans="1:39" x14ac:dyDescent="0.2">
      <c r="A5710" t="str">
        <f>"5706"</f>
        <v>5706</v>
      </c>
      <c r="B5710" t="str">
        <f t="shared" si="316"/>
        <v>1</v>
      </c>
      <c r="C5710" t="str">
        <f t="shared" si="318"/>
        <v>115</v>
      </c>
      <c r="D5710" t="str">
        <f>"34"</f>
        <v>34</v>
      </c>
      <c r="E5710" t="str">
        <f>"1-115-34"</f>
        <v>1-115-34</v>
      </c>
      <c r="F5710" t="s">
        <v>65</v>
      </c>
      <c r="G5710" t="s">
        <v>66</v>
      </c>
      <c r="H5710" t="s">
        <v>67</v>
      </c>
      <c r="S5710">
        <v>0</v>
      </c>
      <c r="T5710">
        <v>1</v>
      </c>
      <c r="U5710">
        <v>0</v>
      </c>
      <c r="V5710">
        <v>0</v>
      </c>
      <c r="W5710">
        <v>1</v>
      </c>
      <c r="X5710">
        <v>0</v>
      </c>
      <c r="Y5710">
        <v>0</v>
      </c>
      <c r="Z5710">
        <v>1</v>
      </c>
      <c r="AA5710">
        <v>1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1</v>
      </c>
      <c r="AH5710">
        <v>0</v>
      </c>
      <c r="AI5710">
        <v>0</v>
      </c>
      <c r="AJ5710">
        <v>1</v>
      </c>
      <c r="AK5710">
        <v>0</v>
      </c>
      <c r="AL5710">
        <v>0</v>
      </c>
      <c r="AM5710">
        <v>0</v>
      </c>
    </row>
    <row r="5711" spans="1:39" x14ac:dyDescent="0.2">
      <c r="A5711" t="str">
        <f>"5707"</f>
        <v>5707</v>
      </c>
      <c r="B5711" t="str">
        <f t="shared" si="316"/>
        <v>1</v>
      </c>
      <c r="C5711" t="str">
        <f t="shared" si="318"/>
        <v>115</v>
      </c>
      <c r="D5711" t="str">
        <f>"33"</f>
        <v>33</v>
      </c>
      <c r="E5711" t="str">
        <f>"1-115-33"</f>
        <v>1-115-33</v>
      </c>
      <c r="F5711" t="s">
        <v>65</v>
      </c>
      <c r="G5711" t="s">
        <v>66</v>
      </c>
      <c r="H5711" t="s">
        <v>67</v>
      </c>
      <c r="S5711">
        <v>1</v>
      </c>
      <c r="T5711">
        <v>0</v>
      </c>
      <c r="U5711">
        <v>0</v>
      </c>
      <c r="V5711">
        <v>0</v>
      </c>
      <c r="W5711">
        <v>1</v>
      </c>
      <c r="X5711">
        <v>0</v>
      </c>
      <c r="Y5711">
        <v>0</v>
      </c>
      <c r="Z5711">
        <v>1</v>
      </c>
      <c r="AA5711">
        <v>1</v>
      </c>
      <c r="AB5711">
        <v>0</v>
      </c>
      <c r="AC5711">
        <v>0</v>
      </c>
      <c r="AD5711">
        <v>1</v>
      </c>
      <c r="AE5711">
        <v>1</v>
      </c>
      <c r="AF5711">
        <v>1</v>
      </c>
      <c r="AG5711">
        <v>1</v>
      </c>
      <c r="AH5711">
        <v>1</v>
      </c>
      <c r="AI5711">
        <v>1</v>
      </c>
      <c r="AJ5711">
        <v>1</v>
      </c>
      <c r="AK5711">
        <v>1</v>
      </c>
      <c r="AL5711">
        <v>1</v>
      </c>
      <c r="AM5711">
        <v>1</v>
      </c>
    </row>
    <row r="5712" spans="1:39" x14ac:dyDescent="0.2">
      <c r="A5712" t="str">
        <f>"5708"</f>
        <v>5708</v>
      </c>
      <c r="B5712" t="str">
        <f t="shared" si="316"/>
        <v>1</v>
      </c>
      <c r="C5712" t="str">
        <f t="shared" si="318"/>
        <v>115</v>
      </c>
      <c r="D5712" t="str">
        <f>"22"</f>
        <v>22</v>
      </c>
      <c r="E5712" t="str">
        <f>"1-115-22"</f>
        <v>1-115-22</v>
      </c>
      <c r="F5712" t="s">
        <v>65</v>
      </c>
      <c r="G5712" t="s">
        <v>66</v>
      </c>
      <c r="H5712" t="s">
        <v>67</v>
      </c>
      <c r="S5712">
        <v>1</v>
      </c>
      <c r="T5712">
        <v>0</v>
      </c>
      <c r="U5712">
        <v>0</v>
      </c>
      <c r="V5712">
        <v>0</v>
      </c>
      <c r="W5712">
        <v>1</v>
      </c>
      <c r="X5712">
        <v>0</v>
      </c>
      <c r="Y5712">
        <v>1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1</v>
      </c>
      <c r="AF5712">
        <v>1</v>
      </c>
      <c r="AG5712">
        <v>1</v>
      </c>
      <c r="AH5712">
        <v>1</v>
      </c>
      <c r="AI5712">
        <v>1</v>
      </c>
      <c r="AJ5712">
        <v>1</v>
      </c>
      <c r="AK5712">
        <v>1</v>
      </c>
      <c r="AL5712">
        <v>1</v>
      </c>
      <c r="AM5712">
        <v>1</v>
      </c>
    </row>
    <row r="5713" spans="1:39" x14ac:dyDescent="0.2">
      <c r="A5713" t="str">
        <f>"5709"</f>
        <v>5709</v>
      </c>
      <c r="B5713" t="str">
        <f t="shared" si="316"/>
        <v>1</v>
      </c>
      <c r="C5713" t="str">
        <f t="shared" si="318"/>
        <v>115</v>
      </c>
      <c r="D5713" t="str">
        <f>"16"</f>
        <v>16</v>
      </c>
      <c r="E5713" t="str">
        <f>"1-115-16"</f>
        <v>1-115-16</v>
      </c>
      <c r="F5713" t="s">
        <v>65</v>
      </c>
      <c r="G5713" t="s">
        <v>66</v>
      </c>
      <c r="H5713" t="s">
        <v>67</v>
      </c>
      <c r="S5713">
        <v>1</v>
      </c>
      <c r="T5713">
        <v>0</v>
      </c>
      <c r="U5713">
        <v>0</v>
      </c>
      <c r="V5713">
        <v>0</v>
      </c>
      <c r="W5713">
        <v>1</v>
      </c>
      <c r="X5713">
        <v>0</v>
      </c>
      <c r="Y5713">
        <v>1</v>
      </c>
      <c r="Z5713">
        <v>0</v>
      </c>
      <c r="AA5713">
        <v>0</v>
      </c>
      <c r="AB5713">
        <v>0</v>
      </c>
      <c r="AC5713">
        <v>1</v>
      </c>
      <c r="AD5713">
        <v>1</v>
      </c>
      <c r="AE5713">
        <v>1</v>
      </c>
      <c r="AF5713">
        <v>1</v>
      </c>
      <c r="AG5713">
        <v>1</v>
      </c>
      <c r="AH5713">
        <v>1</v>
      </c>
      <c r="AI5713">
        <v>1</v>
      </c>
      <c r="AJ5713">
        <v>1</v>
      </c>
      <c r="AK5713">
        <v>1</v>
      </c>
      <c r="AL5713">
        <v>1</v>
      </c>
      <c r="AM5713">
        <v>1</v>
      </c>
    </row>
    <row r="5714" spans="1:39" x14ac:dyDescent="0.2">
      <c r="A5714" t="str">
        <f>"5710"</f>
        <v>5710</v>
      </c>
      <c r="B5714" t="str">
        <f t="shared" si="316"/>
        <v>1</v>
      </c>
      <c r="C5714" t="str">
        <f t="shared" si="318"/>
        <v>115</v>
      </c>
      <c r="D5714" t="str">
        <f>"12"</f>
        <v>12</v>
      </c>
      <c r="E5714" t="str">
        <f>"1-115-12"</f>
        <v>1-115-12</v>
      </c>
      <c r="F5714" t="s">
        <v>65</v>
      </c>
      <c r="G5714" t="s">
        <v>66</v>
      </c>
      <c r="H5714" t="s">
        <v>67</v>
      </c>
      <c r="S5714">
        <v>0</v>
      </c>
      <c r="T5714">
        <v>1</v>
      </c>
      <c r="U5714">
        <v>0</v>
      </c>
      <c r="V5714">
        <v>0</v>
      </c>
      <c r="W5714">
        <v>1</v>
      </c>
      <c r="X5714">
        <v>0</v>
      </c>
      <c r="Y5714">
        <v>1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1</v>
      </c>
      <c r="AF5714">
        <v>1</v>
      </c>
      <c r="AG5714">
        <v>1</v>
      </c>
      <c r="AH5714">
        <v>1</v>
      </c>
      <c r="AI5714">
        <v>1</v>
      </c>
      <c r="AJ5714">
        <v>1</v>
      </c>
      <c r="AK5714">
        <v>1</v>
      </c>
      <c r="AL5714">
        <v>1</v>
      </c>
      <c r="AM5714">
        <v>1</v>
      </c>
    </row>
    <row r="5715" spans="1:39" x14ac:dyDescent="0.2">
      <c r="A5715" t="str">
        <f>"5711"</f>
        <v>5711</v>
      </c>
      <c r="B5715" t="str">
        <f t="shared" si="316"/>
        <v>1</v>
      </c>
      <c r="C5715" t="str">
        <f t="shared" si="318"/>
        <v>115</v>
      </c>
      <c r="D5715" t="str">
        <f>"36"</f>
        <v>36</v>
      </c>
      <c r="E5715" t="str">
        <f>"1-115-36"</f>
        <v>1-115-36</v>
      </c>
      <c r="F5715" t="s">
        <v>65</v>
      </c>
      <c r="G5715" t="s">
        <v>66</v>
      </c>
      <c r="H5715" t="s">
        <v>67</v>
      </c>
      <c r="S5715">
        <v>0</v>
      </c>
      <c r="T5715">
        <v>1</v>
      </c>
      <c r="U5715">
        <v>0</v>
      </c>
      <c r="V5715">
        <v>0</v>
      </c>
      <c r="W5715">
        <v>1</v>
      </c>
      <c r="X5715">
        <v>0</v>
      </c>
      <c r="Y5715">
        <v>1</v>
      </c>
      <c r="Z5715">
        <v>0</v>
      </c>
      <c r="AA5715">
        <v>0</v>
      </c>
      <c r="AB5715">
        <v>0</v>
      </c>
      <c r="AC5715">
        <v>1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</row>
    <row r="5716" spans="1:39" x14ac:dyDescent="0.2">
      <c r="A5716" t="str">
        <f>"5712"</f>
        <v>5712</v>
      </c>
      <c r="B5716" t="str">
        <f t="shared" si="316"/>
        <v>1</v>
      </c>
      <c r="C5716" t="str">
        <f t="shared" si="318"/>
        <v>115</v>
      </c>
      <c r="D5716" t="str">
        <f>"35"</f>
        <v>35</v>
      </c>
      <c r="E5716" t="str">
        <f>"1-115-35"</f>
        <v>1-115-35</v>
      </c>
      <c r="F5716" t="s">
        <v>65</v>
      </c>
      <c r="G5716" t="s">
        <v>66</v>
      </c>
      <c r="H5716" t="s">
        <v>67</v>
      </c>
      <c r="S5716">
        <v>1</v>
      </c>
      <c r="T5716">
        <v>0</v>
      </c>
      <c r="U5716">
        <v>0</v>
      </c>
      <c r="V5716">
        <v>0</v>
      </c>
      <c r="W5716">
        <v>1</v>
      </c>
      <c r="X5716">
        <v>0</v>
      </c>
      <c r="Y5716">
        <v>0</v>
      </c>
      <c r="Z5716">
        <v>1</v>
      </c>
      <c r="AA5716">
        <v>1</v>
      </c>
      <c r="AB5716">
        <v>0</v>
      </c>
      <c r="AC5716">
        <v>0</v>
      </c>
      <c r="AD5716">
        <v>1</v>
      </c>
      <c r="AE5716">
        <v>1</v>
      </c>
      <c r="AF5716">
        <v>1</v>
      </c>
      <c r="AG5716">
        <v>1</v>
      </c>
      <c r="AH5716">
        <v>0</v>
      </c>
      <c r="AI5716">
        <v>1</v>
      </c>
      <c r="AJ5716">
        <v>1</v>
      </c>
      <c r="AK5716">
        <v>1</v>
      </c>
      <c r="AL5716">
        <v>1</v>
      </c>
      <c r="AM5716">
        <v>1</v>
      </c>
    </row>
    <row r="5717" spans="1:39" x14ac:dyDescent="0.2">
      <c r="A5717" t="str">
        <f>"5713"</f>
        <v>5713</v>
      </c>
      <c r="B5717" t="str">
        <f t="shared" si="316"/>
        <v>1</v>
      </c>
      <c r="C5717" t="str">
        <f t="shared" si="318"/>
        <v>115</v>
      </c>
      <c r="D5717" t="str">
        <f>"27"</f>
        <v>27</v>
      </c>
      <c r="E5717" t="str">
        <f>"1-115-27"</f>
        <v>1-115-27</v>
      </c>
      <c r="F5717" t="s">
        <v>65</v>
      </c>
      <c r="G5717" t="s">
        <v>66</v>
      </c>
      <c r="H5717" t="s">
        <v>67</v>
      </c>
      <c r="S5717">
        <v>1</v>
      </c>
      <c r="T5717">
        <v>0</v>
      </c>
      <c r="U5717">
        <v>0</v>
      </c>
      <c r="V5717">
        <v>0</v>
      </c>
      <c r="W5717">
        <v>1</v>
      </c>
      <c r="X5717">
        <v>0</v>
      </c>
      <c r="Y5717">
        <v>1</v>
      </c>
      <c r="Z5717">
        <v>0</v>
      </c>
      <c r="AA5717">
        <v>0</v>
      </c>
      <c r="AB5717">
        <v>1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0</v>
      </c>
      <c r="AI5717">
        <v>1</v>
      </c>
      <c r="AJ5717">
        <v>0</v>
      </c>
      <c r="AK5717">
        <v>0</v>
      </c>
      <c r="AL5717">
        <v>0</v>
      </c>
      <c r="AM5717">
        <v>0</v>
      </c>
    </row>
    <row r="5718" spans="1:39" x14ac:dyDescent="0.2">
      <c r="A5718" t="str">
        <f>"5714"</f>
        <v>5714</v>
      </c>
      <c r="B5718" t="str">
        <f t="shared" si="316"/>
        <v>1</v>
      </c>
      <c r="C5718" t="str">
        <f t="shared" si="318"/>
        <v>115</v>
      </c>
      <c r="D5718" t="str">
        <f>"17"</f>
        <v>17</v>
      </c>
      <c r="E5718" t="str">
        <f>"1-115-17"</f>
        <v>1-115-17</v>
      </c>
      <c r="F5718" t="s">
        <v>65</v>
      </c>
      <c r="G5718" t="s">
        <v>66</v>
      </c>
      <c r="H5718" t="s">
        <v>67</v>
      </c>
      <c r="S5718">
        <v>1</v>
      </c>
      <c r="T5718">
        <v>0</v>
      </c>
      <c r="U5718">
        <v>0</v>
      </c>
      <c r="V5718">
        <v>0</v>
      </c>
      <c r="W5718">
        <v>1</v>
      </c>
      <c r="X5718">
        <v>0</v>
      </c>
      <c r="Y5718">
        <v>1</v>
      </c>
      <c r="Z5718">
        <v>0</v>
      </c>
      <c r="AA5718">
        <v>0</v>
      </c>
      <c r="AB5718">
        <v>0</v>
      </c>
      <c r="AC5718">
        <v>1</v>
      </c>
      <c r="AD5718">
        <v>1</v>
      </c>
      <c r="AE5718">
        <v>1</v>
      </c>
      <c r="AF5718">
        <v>1</v>
      </c>
      <c r="AG5718">
        <v>1</v>
      </c>
      <c r="AH5718">
        <v>1</v>
      </c>
      <c r="AI5718">
        <v>1</v>
      </c>
      <c r="AJ5718">
        <v>1</v>
      </c>
      <c r="AK5718">
        <v>1</v>
      </c>
      <c r="AL5718">
        <v>1</v>
      </c>
      <c r="AM5718">
        <v>1</v>
      </c>
    </row>
    <row r="5719" spans="1:39" x14ac:dyDescent="0.2">
      <c r="A5719" t="str">
        <f>"5715"</f>
        <v>5715</v>
      </c>
      <c r="B5719" t="str">
        <f t="shared" si="316"/>
        <v>1</v>
      </c>
      <c r="C5719" t="str">
        <f t="shared" si="318"/>
        <v>115</v>
      </c>
      <c r="D5719" t="str">
        <f>"6"</f>
        <v>6</v>
      </c>
      <c r="E5719" t="str">
        <f>"1-115-6"</f>
        <v>1-115-6</v>
      </c>
      <c r="F5719" t="s">
        <v>65</v>
      </c>
      <c r="G5719" t="s">
        <v>66</v>
      </c>
      <c r="H5719" t="s">
        <v>67</v>
      </c>
      <c r="S5719">
        <v>0</v>
      </c>
      <c r="T5719">
        <v>1</v>
      </c>
      <c r="U5719">
        <v>0</v>
      </c>
      <c r="V5719">
        <v>0</v>
      </c>
      <c r="W5719">
        <v>1</v>
      </c>
      <c r="X5719">
        <v>0</v>
      </c>
      <c r="Y5719">
        <v>0</v>
      </c>
      <c r="Z5719">
        <v>1</v>
      </c>
      <c r="AA5719">
        <v>0</v>
      </c>
      <c r="AB5719">
        <v>0</v>
      </c>
      <c r="AC5719">
        <v>1</v>
      </c>
      <c r="AD5719">
        <v>1</v>
      </c>
      <c r="AE5719">
        <v>1</v>
      </c>
      <c r="AF5719">
        <v>1</v>
      </c>
      <c r="AG5719">
        <v>1</v>
      </c>
      <c r="AH5719">
        <v>1</v>
      </c>
      <c r="AI5719">
        <v>1</v>
      </c>
      <c r="AJ5719">
        <v>1</v>
      </c>
      <c r="AK5719">
        <v>1</v>
      </c>
      <c r="AL5719">
        <v>1</v>
      </c>
      <c r="AM5719">
        <v>1</v>
      </c>
    </row>
    <row r="5720" spans="1:39" x14ac:dyDescent="0.2">
      <c r="A5720" t="str">
        <f>"5716"</f>
        <v>5716</v>
      </c>
      <c r="B5720" t="str">
        <f t="shared" si="316"/>
        <v>1</v>
      </c>
      <c r="C5720" t="str">
        <f t="shared" si="318"/>
        <v>115</v>
      </c>
      <c r="D5720" t="str">
        <f>"42"</f>
        <v>42</v>
      </c>
      <c r="E5720" t="str">
        <f>"1-115-42"</f>
        <v>1-115-42</v>
      </c>
      <c r="F5720" t="s">
        <v>65</v>
      </c>
      <c r="G5720" t="s">
        <v>66</v>
      </c>
      <c r="H5720" t="s">
        <v>67</v>
      </c>
      <c r="S5720">
        <v>1</v>
      </c>
      <c r="T5720">
        <v>0</v>
      </c>
      <c r="U5720">
        <v>0</v>
      </c>
      <c r="V5720">
        <v>0</v>
      </c>
      <c r="W5720">
        <v>1</v>
      </c>
      <c r="X5720">
        <v>0</v>
      </c>
      <c r="Y5720">
        <v>1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1</v>
      </c>
      <c r="AF5720">
        <v>1</v>
      </c>
      <c r="AG5720">
        <v>1</v>
      </c>
      <c r="AH5720">
        <v>1</v>
      </c>
      <c r="AI5720">
        <v>1</v>
      </c>
      <c r="AJ5720">
        <v>1</v>
      </c>
      <c r="AK5720">
        <v>1</v>
      </c>
      <c r="AL5720">
        <v>1</v>
      </c>
      <c r="AM5720">
        <v>1</v>
      </c>
    </row>
    <row r="5721" spans="1:39" x14ac:dyDescent="0.2">
      <c r="A5721" t="str">
        <f>"5717"</f>
        <v>5717</v>
      </c>
      <c r="B5721" t="str">
        <f t="shared" si="316"/>
        <v>1</v>
      </c>
      <c r="C5721" t="str">
        <f t="shared" si="318"/>
        <v>115</v>
      </c>
      <c r="D5721" t="str">
        <f>"41"</f>
        <v>41</v>
      </c>
      <c r="E5721" t="str">
        <f>"1-115-41"</f>
        <v>1-115-41</v>
      </c>
      <c r="F5721" t="s">
        <v>65</v>
      </c>
      <c r="G5721" t="s">
        <v>66</v>
      </c>
      <c r="H5721" t="s">
        <v>67</v>
      </c>
      <c r="S5721">
        <v>0</v>
      </c>
      <c r="T5721">
        <v>1</v>
      </c>
      <c r="U5721">
        <v>0</v>
      </c>
      <c r="V5721">
        <v>0</v>
      </c>
      <c r="W5721">
        <v>1</v>
      </c>
      <c r="X5721">
        <v>0</v>
      </c>
      <c r="Y5721">
        <v>0</v>
      </c>
      <c r="Z5721">
        <v>1</v>
      </c>
      <c r="AA5721">
        <v>0</v>
      </c>
      <c r="AB5721">
        <v>1</v>
      </c>
      <c r="AC5721">
        <v>0</v>
      </c>
      <c r="AD5721">
        <v>1</v>
      </c>
      <c r="AE5721">
        <v>1</v>
      </c>
      <c r="AF5721">
        <v>1</v>
      </c>
      <c r="AG5721">
        <v>1</v>
      </c>
      <c r="AH5721">
        <v>1</v>
      </c>
      <c r="AI5721">
        <v>1</v>
      </c>
      <c r="AJ5721">
        <v>1</v>
      </c>
      <c r="AK5721">
        <v>1</v>
      </c>
      <c r="AL5721">
        <v>1</v>
      </c>
      <c r="AM5721">
        <v>1</v>
      </c>
    </row>
    <row r="5722" spans="1:39" x14ac:dyDescent="0.2">
      <c r="A5722" t="str">
        <f>"5718"</f>
        <v>5718</v>
      </c>
      <c r="B5722" t="str">
        <f t="shared" si="316"/>
        <v>1</v>
      </c>
      <c r="C5722" t="str">
        <f t="shared" si="318"/>
        <v>115</v>
      </c>
      <c r="D5722" t="str">
        <f>"32"</f>
        <v>32</v>
      </c>
      <c r="E5722" t="str">
        <f>"1-115-32"</f>
        <v>1-115-32</v>
      </c>
      <c r="F5722" t="s">
        <v>65</v>
      </c>
      <c r="G5722" t="s">
        <v>66</v>
      </c>
      <c r="H5722" t="s">
        <v>67</v>
      </c>
      <c r="S5722">
        <v>1</v>
      </c>
      <c r="T5722">
        <v>0</v>
      </c>
      <c r="U5722">
        <v>0</v>
      </c>
      <c r="V5722">
        <v>0</v>
      </c>
      <c r="W5722">
        <v>1</v>
      </c>
      <c r="X5722">
        <v>0</v>
      </c>
      <c r="Y5722">
        <v>0</v>
      </c>
      <c r="Z5722">
        <v>1</v>
      </c>
      <c r="AA5722">
        <v>1</v>
      </c>
      <c r="AB5722">
        <v>0</v>
      </c>
      <c r="AC5722">
        <v>0</v>
      </c>
      <c r="AD5722">
        <v>1</v>
      </c>
      <c r="AE5722">
        <v>1</v>
      </c>
      <c r="AF5722">
        <v>1</v>
      </c>
      <c r="AG5722">
        <v>1</v>
      </c>
      <c r="AH5722">
        <v>1</v>
      </c>
      <c r="AI5722">
        <v>1</v>
      </c>
      <c r="AJ5722">
        <v>1</v>
      </c>
      <c r="AK5722">
        <v>1</v>
      </c>
      <c r="AL5722">
        <v>1</v>
      </c>
      <c r="AM5722">
        <v>1</v>
      </c>
    </row>
    <row r="5723" spans="1:39" x14ac:dyDescent="0.2">
      <c r="A5723" t="str">
        <f>"5719"</f>
        <v>5719</v>
      </c>
      <c r="B5723" t="str">
        <f t="shared" si="316"/>
        <v>1</v>
      </c>
      <c r="C5723" t="str">
        <f t="shared" si="318"/>
        <v>115</v>
      </c>
      <c r="D5723" t="str">
        <f>"18"</f>
        <v>18</v>
      </c>
      <c r="E5723" t="str">
        <f>"1-115-18"</f>
        <v>1-115-18</v>
      </c>
      <c r="F5723" t="s">
        <v>65</v>
      </c>
      <c r="G5723" t="s">
        <v>66</v>
      </c>
      <c r="H5723" t="s">
        <v>67</v>
      </c>
      <c r="S5723">
        <v>0</v>
      </c>
      <c r="T5723">
        <v>1</v>
      </c>
      <c r="U5723">
        <v>0</v>
      </c>
      <c r="V5723">
        <v>0</v>
      </c>
      <c r="W5723">
        <v>1</v>
      </c>
      <c r="X5723">
        <v>0</v>
      </c>
      <c r="Y5723">
        <v>0</v>
      </c>
      <c r="Z5723">
        <v>1</v>
      </c>
      <c r="AA5723">
        <v>0</v>
      </c>
      <c r="AB5723">
        <v>1</v>
      </c>
      <c r="AC5723">
        <v>0</v>
      </c>
      <c r="AD5723">
        <v>1</v>
      </c>
      <c r="AE5723">
        <v>1</v>
      </c>
      <c r="AF5723">
        <v>1</v>
      </c>
      <c r="AG5723">
        <v>1</v>
      </c>
      <c r="AH5723">
        <v>1</v>
      </c>
      <c r="AI5723">
        <v>1</v>
      </c>
      <c r="AJ5723">
        <v>1</v>
      </c>
      <c r="AK5723">
        <v>1</v>
      </c>
      <c r="AL5723">
        <v>1</v>
      </c>
      <c r="AM5723">
        <v>1</v>
      </c>
    </row>
    <row r="5724" spans="1:39" x14ac:dyDescent="0.2">
      <c r="A5724" t="str">
        <f>"5720"</f>
        <v>5720</v>
      </c>
      <c r="B5724" t="str">
        <f t="shared" si="316"/>
        <v>1</v>
      </c>
      <c r="C5724" t="str">
        <f t="shared" si="318"/>
        <v>115</v>
      </c>
      <c r="D5724" t="str">
        <f>"7"</f>
        <v>7</v>
      </c>
      <c r="E5724" t="str">
        <f>"1-115-7"</f>
        <v>1-115-7</v>
      </c>
      <c r="F5724" t="s">
        <v>65</v>
      </c>
      <c r="G5724" t="s">
        <v>66</v>
      </c>
      <c r="H5724" t="s">
        <v>67</v>
      </c>
      <c r="S5724">
        <v>1</v>
      </c>
      <c r="T5724">
        <v>0</v>
      </c>
      <c r="U5724">
        <v>0</v>
      </c>
      <c r="V5724">
        <v>0</v>
      </c>
      <c r="W5724">
        <v>1</v>
      </c>
      <c r="X5724">
        <v>0</v>
      </c>
      <c r="Y5724">
        <v>1</v>
      </c>
      <c r="Z5724">
        <v>0</v>
      </c>
      <c r="AA5724">
        <v>1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1</v>
      </c>
      <c r="AI5724">
        <v>1</v>
      </c>
      <c r="AJ5724">
        <v>0</v>
      </c>
      <c r="AK5724">
        <v>0</v>
      </c>
      <c r="AL5724">
        <v>1</v>
      </c>
      <c r="AM5724">
        <v>1</v>
      </c>
    </row>
    <row r="5725" spans="1:39" x14ac:dyDescent="0.2">
      <c r="A5725" t="str">
        <f>"5721"</f>
        <v>5721</v>
      </c>
      <c r="B5725" t="str">
        <f t="shared" si="316"/>
        <v>1</v>
      </c>
      <c r="C5725" t="str">
        <f t="shared" si="318"/>
        <v>115</v>
      </c>
      <c r="D5725" t="str">
        <f>"40"</f>
        <v>40</v>
      </c>
      <c r="E5725" t="str">
        <f>"1-115-40"</f>
        <v>1-115-40</v>
      </c>
      <c r="F5725" t="s">
        <v>65</v>
      </c>
      <c r="G5725" t="s">
        <v>66</v>
      </c>
      <c r="H5725" t="s">
        <v>67</v>
      </c>
      <c r="S5725">
        <v>0</v>
      </c>
      <c r="T5725">
        <v>1</v>
      </c>
      <c r="U5725">
        <v>0</v>
      </c>
      <c r="V5725">
        <v>0</v>
      </c>
      <c r="W5725">
        <v>1</v>
      </c>
      <c r="X5725">
        <v>0</v>
      </c>
      <c r="Y5725">
        <v>0</v>
      </c>
      <c r="Z5725">
        <v>1</v>
      </c>
      <c r="AA5725">
        <v>1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1</v>
      </c>
      <c r="AK5725">
        <v>0</v>
      </c>
      <c r="AL5725">
        <v>0</v>
      </c>
      <c r="AM5725">
        <v>0</v>
      </c>
    </row>
    <row r="5726" spans="1:39" x14ac:dyDescent="0.2">
      <c r="A5726" t="str">
        <f>"5722"</f>
        <v>5722</v>
      </c>
      <c r="B5726" t="str">
        <f t="shared" si="316"/>
        <v>1</v>
      </c>
      <c r="C5726" t="str">
        <f t="shared" si="318"/>
        <v>115</v>
      </c>
      <c r="D5726" t="str">
        <f>"19"</f>
        <v>19</v>
      </c>
      <c r="E5726" t="str">
        <f>"1-115-19"</f>
        <v>1-115-19</v>
      </c>
      <c r="F5726" t="s">
        <v>65</v>
      </c>
      <c r="G5726" t="s">
        <v>66</v>
      </c>
      <c r="H5726" t="s">
        <v>67</v>
      </c>
      <c r="S5726">
        <v>1</v>
      </c>
      <c r="T5726">
        <v>0</v>
      </c>
      <c r="U5726">
        <v>0</v>
      </c>
      <c r="V5726">
        <v>0</v>
      </c>
      <c r="W5726">
        <v>0</v>
      </c>
      <c r="X5726">
        <v>1</v>
      </c>
      <c r="Y5726">
        <v>0</v>
      </c>
      <c r="Z5726">
        <v>1</v>
      </c>
      <c r="AA5726">
        <v>0</v>
      </c>
      <c r="AB5726">
        <v>0</v>
      </c>
      <c r="AC5726">
        <v>1</v>
      </c>
      <c r="AD5726">
        <v>1</v>
      </c>
      <c r="AE5726">
        <v>1</v>
      </c>
      <c r="AF5726">
        <v>1</v>
      </c>
      <c r="AG5726">
        <v>1</v>
      </c>
      <c r="AH5726">
        <v>1</v>
      </c>
      <c r="AI5726">
        <v>1</v>
      </c>
      <c r="AJ5726">
        <v>1</v>
      </c>
      <c r="AK5726">
        <v>1</v>
      </c>
      <c r="AL5726">
        <v>1</v>
      </c>
      <c r="AM5726">
        <v>1</v>
      </c>
    </row>
    <row r="5727" spans="1:39" x14ac:dyDescent="0.2">
      <c r="A5727" t="str">
        <f>"5723"</f>
        <v>5723</v>
      </c>
      <c r="B5727" t="str">
        <f t="shared" si="316"/>
        <v>1</v>
      </c>
      <c r="C5727" t="str">
        <f t="shared" si="318"/>
        <v>115</v>
      </c>
      <c r="D5727" t="str">
        <f>"2"</f>
        <v>2</v>
      </c>
      <c r="E5727" t="str">
        <f>"1-115-2"</f>
        <v>1-115-2</v>
      </c>
      <c r="F5727" t="s">
        <v>65</v>
      </c>
      <c r="G5727" t="s">
        <v>66</v>
      </c>
      <c r="H5727" t="s">
        <v>67</v>
      </c>
      <c r="S5727">
        <v>0</v>
      </c>
      <c r="T5727">
        <v>1</v>
      </c>
      <c r="U5727">
        <v>0</v>
      </c>
      <c r="V5727">
        <v>0</v>
      </c>
      <c r="W5727">
        <v>1</v>
      </c>
      <c r="X5727">
        <v>0</v>
      </c>
      <c r="Y5727">
        <v>1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1</v>
      </c>
      <c r="AF5727">
        <v>1</v>
      </c>
      <c r="AG5727">
        <v>1</v>
      </c>
      <c r="AH5727">
        <v>1</v>
      </c>
      <c r="AI5727">
        <v>1</v>
      </c>
      <c r="AJ5727">
        <v>1</v>
      </c>
      <c r="AK5727">
        <v>1</v>
      </c>
      <c r="AL5727">
        <v>1</v>
      </c>
      <c r="AM5727">
        <v>1</v>
      </c>
    </row>
    <row r="5728" spans="1:39" x14ac:dyDescent="0.2">
      <c r="A5728" t="str">
        <f>"5724"</f>
        <v>5724</v>
      </c>
      <c r="B5728" t="str">
        <f t="shared" si="316"/>
        <v>1</v>
      </c>
      <c r="C5728" t="str">
        <f t="shared" si="318"/>
        <v>115</v>
      </c>
      <c r="D5728" t="str">
        <f>"39"</f>
        <v>39</v>
      </c>
      <c r="E5728" t="str">
        <f>"1-115-39"</f>
        <v>1-115-39</v>
      </c>
      <c r="F5728" t="s">
        <v>65</v>
      </c>
      <c r="G5728" t="s">
        <v>66</v>
      </c>
      <c r="H5728" t="s">
        <v>67</v>
      </c>
      <c r="S5728">
        <v>1</v>
      </c>
      <c r="T5728">
        <v>0</v>
      </c>
      <c r="U5728">
        <v>0</v>
      </c>
      <c r="V5728">
        <v>0</v>
      </c>
      <c r="W5728">
        <v>1</v>
      </c>
      <c r="X5728">
        <v>0</v>
      </c>
      <c r="Y5728">
        <v>1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1</v>
      </c>
      <c r="AF5728">
        <v>1</v>
      </c>
      <c r="AG5728">
        <v>1</v>
      </c>
      <c r="AH5728">
        <v>1</v>
      </c>
      <c r="AI5728">
        <v>1</v>
      </c>
      <c r="AJ5728">
        <v>1</v>
      </c>
      <c r="AK5728">
        <v>1</v>
      </c>
      <c r="AL5728">
        <v>1</v>
      </c>
      <c r="AM5728">
        <v>1</v>
      </c>
    </row>
    <row r="5729" spans="1:39" x14ac:dyDescent="0.2">
      <c r="A5729" t="str">
        <f>"5725"</f>
        <v>5725</v>
      </c>
      <c r="B5729" t="str">
        <f t="shared" si="316"/>
        <v>1</v>
      </c>
      <c r="C5729" t="str">
        <f t="shared" si="318"/>
        <v>115</v>
      </c>
      <c r="D5729" t="str">
        <f>"20"</f>
        <v>20</v>
      </c>
      <c r="E5729" t="str">
        <f>"1-115-20"</f>
        <v>1-115-20</v>
      </c>
      <c r="F5729" t="s">
        <v>65</v>
      </c>
      <c r="G5729" t="s">
        <v>66</v>
      </c>
      <c r="H5729" t="s">
        <v>67</v>
      </c>
      <c r="S5729">
        <v>1</v>
      </c>
      <c r="T5729">
        <v>0</v>
      </c>
      <c r="U5729">
        <v>0</v>
      </c>
      <c r="V5729">
        <v>0</v>
      </c>
      <c r="W5729">
        <v>1</v>
      </c>
      <c r="X5729">
        <v>0</v>
      </c>
      <c r="Y5729">
        <v>0</v>
      </c>
      <c r="Z5729">
        <v>1</v>
      </c>
      <c r="AA5729">
        <v>0</v>
      </c>
      <c r="AB5729">
        <v>0</v>
      </c>
      <c r="AC5729">
        <v>1</v>
      </c>
      <c r="AD5729">
        <v>1</v>
      </c>
      <c r="AE5729">
        <v>1</v>
      </c>
      <c r="AF5729">
        <v>1</v>
      </c>
      <c r="AG5729">
        <v>1</v>
      </c>
      <c r="AH5729">
        <v>1</v>
      </c>
      <c r="AI5729">
        <v>1</v>
      </c>
      <c r="AJ5729">
        <v>1</v>
      </c>
      <c r="AK5729">
        <v>1</v>
      </c>
      <c r="AL5729">
        <v>1</v>
      </c>
      <c r="AM5729">
        <v>1</v>
      </c>
    </row>
    <row r="5730" spans="1:39" x14ac:dyDescent="0.2">
      <c r="A5730" t="str">
        <f>"5726"</f>
        <v>5726</v>
      </c>
      <c r="B5730" t="str">
        <f t="shared" si="316"/>
        <v>1</v>
      </c>
      <c r="C5730" t="str">
        <f t="shared" si="318"/>
        <v>115</v>
      </c>
      <c r="D5730" t="str">
        <f>"9"</f>
        <v>9</v>
      </c>
      <c r="E5730" t="str">
        <f>"1-115-9"</f>
        <v>1-115-9</v>
      </c>
      <c r="F5730" t="s">
        <v>65</v>
      </c>
      <c r="G5730" t="s">
        <v>66</v>
      </c>
      <c r="H5730" t="s">
        <v>67</v>
      </c>
      <c r="S5730">
        <v>1</v>
      </c>
      <c r="T5730">
        <v>0</v>
      </c>
      <c r="U5730">
        <v>0</v>
      </c>
      <c r="V5730">
        <v>0</v>
      </c>
      <c r="W5730">
        <v>1</v>
      </c>
      <c r="X5730">
        <v>0</v>
      </c>
      <c r="Y5730">
        <v>1</v>
      </c>
      <c r="Z5730">
        <v>0</v>
      </c>
      <c r="AA5730">
        <v>1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</row>
    <row r="5731" spans="1:39" x14ac:dyDescent="0.2">
      <c r="A5731" t="str">
        <f>"5727"</f>
        <v>5727</v>
      </c>
      <c r="B5731" t="str">
        <f t="shared" si="316"/>
        <v>1</v>
      </c>
      <c r="C5731" t="str">
        <f t="shared" si="318"/>
        <v>115</v>
      </c>
      <c r="D5731" t="str">
        <f>"43"</f>
        <v>43</v>
      </c>
      <c r="E5731" t="str">
        <f>"1-115-43"</f>
        <v>1-115-43</v>
      </c>
      <c r="F5731" t="s">
        <v>65</v>
      </c>
      <c r="G5731" t="s">
        <v>66</v>
      </c>
      <c r="H5731" t="s">
        <v>67</v>
      </c>
      <c r="S5731">
        <v>0</v>
      </c>
      <c r="T5731">
        <v>1</v>
      </c>
      <c r="U5731">
        <v>0</v>
      </c>
      <c r="V5731">
        <v>0</v>
      </c>
      <c r="W5731">
        <v>1</v>
      </c>
      <c r="X5731">
        <v>0</v>
      </c>
      <c r="Y5731">
        <v>1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1</v>
      </c>
      <c r="AF5731">
        <v>1</v>
      </c>
      <c r="AG5731">
        <v>0</v>
      </c>
      <c r="AH5731">
        <v>1</v>
      </c>
      <c r="AI5731">
        <v>1</v>
      </c>
      <c r="AJ5731">
        <v>1</v>
      </c>
      <c r="AK5731">
        <v>1</v>
      </c>
      <c r="AL5731">
        <v>1</v>
      </c>
      <c r="AM5731">
        <v>1</v>
      </c>
    </row>
    <row r="5732" spans="1:39" x14ac:dyDescent="0.2">
      <c r="A5732" t="str">
        <f>"5728"</f>
        <v>5728</v>
      </c>
      <c r="B5732" t="str">
        <f t="shared" si="316"/>
        <v>1</v>
      </c>
      <c r="C5732" t="str">
        <f t="shared" si="318"/>
        <v>115</v>
      </c>
      <c r="D5732" t="str">
        <f>"21"</f>
        <v>21</v>
      </c>
      <c r="E5732" t="str">
        <f>"1-115-21"</f>
        <v>1-115-21</v>
      </c>
      <c r="F5732" t="s">
        <v>65</v>
      </c>
      <c r="G5732" t="s">
        <v>66</v>
      </c>
      <c r="H5732" t="s">
        <v>67</v>
      </c>
      <c r="S5732">
        <v>0</v>
      </c>
      <c r="T5732">
        <v>1</v>
      </c>
      <c r="U5732">
        <v>0</v>
      </c>
      <c r="V5732">
        <v>0</v>
      </c>
      <c r="W5732">
        <v>0</v>
      </c>
      <c r="X5732">
        <v>1</v>
      </c>
      <c r="Y5732">
        <v>0</v>
      </c>
      <c r="Z5732">
        <v>1</v>
      </c>
      <c r="AA5732">
        <v>0</v>
      </c>
      <c r="AB5732">
        <v>0</v>
      </c>
      <c r="AC5732">
        <v>1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</row>
    <row r="5733" spans="1:39" x14ac:dyDescent="0.2">
      <c r="A5733" t="str">
        <f>"5729"</f>
        <v>5729</v>
      </c>
      <c r="B5733" t="str">
        <f t="shared" si="316"/>
        <v>1</v>
      </c>
      <c r="C5733" t="str">
        <f t="shared" si="318"/>
        <v>115</v>
      </c>
      <c r="D5733" t="str">
        <f>"4"</f>
        <v>4</v>
      </c>
      <c r="E5733" t="str">
        <f>"1-115-4"</f>
        <v>1-115-4</v>
      </c>
      <c r="F5733" t="s">
        <v>65</v>
      </c>
      <c r="G5733" t="s">
        <v>66</v>
      </c>
      <c r="H5733" t="s">
        <v>67</v>
      </c>
      <c r="S5733">
        <v>1</v>
      </c>
      <c r="T5733">
        <v>0</v>
      </c>
      <c r="U5733">
        <v>0</v>
      </c>
      <c r="V5733">
        <v>0</v>
      </c>
      <c r="W5733">
        <v>1</v>
      </c>
      <c r="X5733">
        <v>0</v>
      </c>
      <c r="Y5733">
        <v>1</v>
      </c>
      <c r="Z5733">
        <v>0</v>
      </c>
      <c r="AA5733">
        <v>0</v>
      </c>
      <c r="AB5733">
        <v>1</v>
      </c>
      <c r="AC5733">
        <v>0</v>
      </c>
      <c r="AD5733">
        <v>1</v>
      </c>
      <c r="AE5733">
        <v>1</v>
      </c>
      <c r="AF5733">
        <v>1</v>
      </c>
      <c r="AG5733">
        <v>1</v>
      </c>
      <c r="AH5733">
        <v>1</v>
      </c>
      <c r="AI5733">
        <v>1</v>
      </c>
      <c r="AJ5733">
        <v>1</v>
      </c>
      <c r="AK5733">
        <v>1</v>
      </c>
      <c r="AL5733">
        <v>1</v>
      </c>
      <c r="AM5733">
        <v>1</v>
      </c>
    </row>
    <row r="5734" spans="1:39" x14ac:dyDescent="0.2">
      <c r="A5734" t="str">
        <f>"5730"</f>
        <v>5730</v>
      </c>
      <c r="B5734" t="str">
        <f t="shared" si="316"/>
        <v>1</v>
      </c>
      <c r="C5734" t="str">
        <f t="shared" si="318"/>
        <v>115</v>
      </c>
      <c r="D5734" t="str">
        <f>"49"</f>
        <v>49</v>
      </c>
      <c r="E5734" t="str">
        <f>"1-115-49"</f>
        <v>1-115-49</v>
      </c>
      <c r="F5734" t="s">
        <v>65</v>
      </c>
      <c r="G5734" t="s">
        <v>66</v>
      </c>
      <c r="H5734" t="s">
        <v>67</v>
      </c>
      <c r="S5734">
        <v>1</v>
      </c>
      <c r="T5734">
        <v>0</v>
      </c>
      <c r="U5734">
        <v>0</v>
      </c>
      <c r="V5734">
        <v>0</v>
      </c>
      <c r="W5734">
        <v>1</v>
      </c>
      <c r="X5734">
        <v>0</v>
      </c>
      <c r="Y5734">
        <v>1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1</v>
      </c>
      <c r="AF5734">
        <v>1</v>
      </c>
      <c r="AG5734">
        <v>1</v>
      </c>
      <c r="AH5734">
        <v>1</v>
      </c>
      <c r="AI5734">
        <v>1</v>
      </c>
      <c r="AJ5734">
        <v>1</v>
      </c>
      <c r="AK5734">
        <v>1</v>
      </c>
      <c r="AL5734">
        <v>1</v>
      </c>
      <c r="AM5734">
        <v>1</v>
      </c>
    </row>
    <row r="5735" spans="1:39" x14ac:dyDescent="0.2">
      <c r="A5735" t="str">
        <f>"5731"</f>
        <v>5731</v>
      </c>
      <c r="B5735" t="str">
        <f t="shared" si="316"/>
        <v>1</v>
      </c>
      <c r="C5735" t="str">
        <f t="shared" si="318"/>
        <v>115</v>
      </c>
      <c r="D5735" t="str">
        <f>"23"</f>
        <v>23</v>
      </c>
      <c r="E5735" t="str">
        <f>"1-115-23"</f>
        <v>1-115-23</v>
      </c>
      <c r="F5735" t="s">
        <v>65</v>
      </c>
      <c r="G5735" t="s">
        <v>66</v>
      </c>
      <c r="H5735" t="s">
        <v>67</v>
      </c>
      <c r="S5735">
        <v>1</v>
      </c>
      <c r="T5735">
        <v>0</v>
      </c>
      <c r="U5735">
        <v>0</v>
      </c>
      <c r="V5735">
        <v>0</v>
      </c>
      <c r="W5735">
        <v>1</v>
      </c>
      <c r="X5735">
        <v>0</v>
      </c>
      <c r="Y5735">
        <v>0</v>
      </c>
      <c r="Z5735">
        <v>1</v>
      </c>
      <c r="AA5735">
        <v>1</v>
      </c>
      <c r="AB5735">
        <v>0</v>
      </c>
      <c r="AC5735">
        <v>0</v>
      </c>
      <c r="AD5735">
        <v>1</v>
      </c>
      <c r="AE5735">
        <v>1</v>
      </c>
      <c r="AF5735">
        <v>1</v>
      </c>
      <c r="AG5735">
        <v>1</v>
      </c>
      <c r="AH5735">
        <v>1</v>
      </c>
      <c r="AI5735">
        <v>1</v>
      </c>
      <c r="AJ5735">
        <v>1</v>
      </c>
      <c r="AK5735">
        <v>1</v>
      </c>
      <c r="AL5735">
        <v>1</v>
      </c>
      <c r="AM5735">
        <v>1</v>
      </c>
    </row>
    <row r="5736" spans="1:39" x14ac:dyDescent="0.2">
      <c r="A5736" t="str">
        <f>"5732"</f>
        <v>5732</v>
      </c>
      <c r="B5736" t="str">
        <f t="shared" si="316"/>
        <v>1</v>
      </c>
      <c r="C5736" t="str">
        <f t="shared" si="318"/>
        <v>115</v>
      </c>
      <c r="D5736" t="str">
        <f>"3"</f>
        <v>3</v>
      </c>
      <c r="E5736" t="str">
        <f>"1-115-3"</f>
        <v>1-115-3</v>
      </c>
      <c r="F5736" t="s">
        <v>65</v>
      </c>
      <c r="G5736" t="s">
        <v>66</v>
      </c>
      <c r="H5736" t="s">
        <v>67</v>
      </c>
      <c r="S5736">
        <v>0</v>
      </c>
      <c r="T5736">
        <v>1</v>
      </c>
      <c r="U5736">
        <v>0</v>
      </c>
      <c r="V5736">
        <v>0</v>
      </c>
      <c r="W5736">
        <v>1</v>
      </c>
      <c r="X5736">
        <v>0</v>
      </c>
      <c r="Y5736">
        <v>1</v>
      </c>
      <c r="Z5736">
        <v>0</v>
      </c>
      <c r="AA5736">
        <v>0</v>
      </c>
      <c r="AB5736">
        <v>1</v>
      </c>
      <c r="AC5736">
        <v>0</v>
      </c>
      <c r="AD5736">
        <v>1</v>
      </c>
      <c r="AE5736">
        <v>1</v>
      </c>
      <c r="AF5736">
        <v>1</v>
      </c>
      <c r="AG5736">
        <v>1</v>
      </c>
      <c r="AH5736">
        <v>1</v>
      </c>
      <c r="AI5736">
        <v>1</v>
      </c>
      <c r="AJ5736">
        <v>1</v>
      </c>
      <c r="AK5736">
        <v>1</v>
      </c>
      <c r="AL5736">
        <v>1</v>
      </c>
      <c r="AM5736">
        <v>1</v>
      </c>
    </row>
    <row r="5737" spans="1:39" x14ac:dyDescent="0.2">
      <c r="A5737" t="str">
        <f>"5733"</f>
        <v>5733</v>
      </c>
      <c r="B5737" t="str">
        <f t="shared" si="316"/>
        <v>1</v>
      </c>
      <c r="C5737" t="str">
        <f t="shared" ref="C5737:C5754" si="319">"115"</f>
        <v>115</v>
      </c>
      <c r="D5737" t="str">
        <f>"44"</f>
        <v>44</v>
      </c>
      <c r="E5737" t="str">
        <f>"1-115-44"</f>
        <v>1-115-44</v>
      </c>
      <c r="F5737" t="s">
        <v>65</v>
      </c>
      <c r="G5737" t="s">
        <v>66</v>
      </c>
      <c r="H5737" t="s">
        <v>67</v>
      </c>
      <c r="S5737">
        <v>0</v>
      </c>
      <c r="T5737">
        <v>1</v>
      </c>
      <c r="U5737">
        <v>0</v>
      </c>
      <c r="V5737">
        <v>0</v>
      </c>
      <c r="W5737">
        <v>1</v>
      </c>
      <c r="X5737">
        <v>0</v>
      </c>
      <c r="Y5737">
        <v>1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1</v>
      </c>
      <c r="AF5737">
        <v>1</v>
      </c>
      <c r="AG5737">
        <v>1</v>
      </c>
      <c r="AH5737">
        <v>1</v>
      </c>
      <c r="AI5737">
        <v>1</v>
      </c>
      <c r="AJ5737">
        <v>1</v>
      </c>
      <c r="AK5737">
        <v>1</v>
      </c>
      <c r="AL5737">
        <v>1</v>
      </c>
      <c r="AM5737">
        <v>1</v>
      </c>
    </row>
    <row r="5738" spans="1:39" x14ac:dyDescent="0.2">
      <c r="A5738" t="str">
        <f>"5734"</f>
        <v>5734</v>
      </c>
      <c r="B5738" t="str">
        <f t="shared" si="316"/>
        <v>1</v>
      </c>
      <c r="C5738" t="str">
        <f t="shared" si="319"/>
        <v>115</v>
      </c>
      <c r="D5738" t="str">
        <f>"24"</f>
        <v>24</v>
      </c>
      <c r="E5738" t="str">
        <f>"1-115-24"</f>
        <v>1-115-24</v>
      </c>
      <c r="F5738" t="s">
        <v>65</v>
      </c>
      <c r="G5738" t="s">
        <v>66</v>
      </c>
      <c r="H5738" t="s">
        <v>67</v>
      </c>
      <c r="S5738">
        <v>1</v>
      </c>
      <c r="T5738">
        <v>0</v>
      </c>
      <c r="U5738">
        <v>0</v>
      </c>
      <c r="V5738">
        <v>0</v>
      </c>
      <c r="W5738">
        <v>1</v>
      </c>
      <c r="X5738">
        <v>0</v>
      </c>
      <c r="Y5738">
        <v>0</v>
      </c>
      <c r="Z5738">
        <v>1</v>
      </c>
      <c r="AA5738">
        <v>1</v>
      </c>
      <c r="AB5738">
        <v>0</v>
      </c>
      <c r="AC5738">
        <v>0</v>
      </c>
      <c r="AD5738">
        <v>1</v>
      </c>
      <c r="AE5738">
        <v>1</v>
      </c>
      <c r="AF5738">
        <v>1</v>
      </c>
      <c r="AG5738">
        <v>1</v>
      </c>
      <c r="AH5738">
        <v>1</v>
      </c>
      <c r="AI5738">
        <v>1</v>
      </c>
      <c r="AJ5738">
        <v>1</v>
      </c>
      <c r="AK5738">
        <v>1</v>
      </c>
      <c r="AL5738">
        <v>1</v>
      </c>
      <c r="AM5738">
        <v>1</v>
      </c>
    </row>
    <row r="5739" spans="1:39" x14ac:dyDescent="0.2">
      <c r="A5739" t="str">
        <f>"5735"</f>
        <v>5735</v>
      </c>
      <c r="B5739" t="str">
        <f t="shared" si="316"/>
        <v>1</v>
      </c>
      <c r="C5739" t="str">
        <f t="shared" si="319"/>
        <v>115</v>
      </c>
      <c r="D5739" t="str">
        <f>"1"</f>
        <v>1</v>
      </c>
      <c r="E5739" t="str">
        <f>"1-115-1"</f>
        <v>1-115-1</v>
      </c>
      <c r="F5739" t="s">
        <v>65</v>
      </c>
      <c r="G5739" t="s">
        <v>66</v>
      </c>
      <c r="H5739" t="s">
        <v>67</v>
      </c>
      <c r="S5739">
        <v>0</v>
      </c>
      <c r="T5739">
        <v>1</v>
      </c>
      <c r="U5739">
        <v>0</v>
      </c>
      <c r="V5739">
        <v>0</v>
      </c>
      <c r="W5739">
        <v>1</v>
      </c>
      <c r="X5739">
        <v>0</v>
      </c>
      <c r="Y5739">
        <v>1</v>
      </c>
      <c r="Z5739">
        <v>0</v>
      </c>
      <c r="AA5739">
        <v>0</v>
      </c>
      <c r="AB5739">
        <v>1</v>
      </c>
      <c r="AC5739">
        <v>0</v>
      </c>
      <c r="AD5739">
        <v>1</v>
      </c>
      <c r="AE5739">
        <v>1</v>
      </c>
      <c r="AF5739">
        <v>1</v>
      </c>
      <c r="AG5739">
        <v>1</v>
      </c>
      <c r="AH5739">
        <v>1</v>
      </c>
      <c r="AI5739">
        <v>1</v>
      </c>
      <c r="AJ5739">
        <v>1</v>
      </c>
      <c r="AK5739">
        <v>1</v>
      </c>
      <c r="AL5739">
        <v>1</v>
      </c>
      <c r="AM5739">
        <v>1</v>
      </c>
    </row>
    <row r="5740" spans="1:39" x14ac:dyDescent="0.2">
      <c r="A5740" t="str">
        <f>"5736"</f>
        <v>5736</v>
      </c>
      <c r="B5740" t="str">
        <f t="shared" si="316"/>
        <v>1</v>
      </c>
      <c r="C5740" t="str">
        <f t="shared" si="319"/>
        <v>115</v>
      </c>
      <c r="D5740" t="str">
        <f>"47"</f>
        <v>47</v>
      </c>
      <c r="E5740" t="str">
        <f>"1-115-47"</f>
        <v>1-115-47</v>
      </c>
      <c r="F5740" t="s">
        <v>65</v>
      </c>
      <c r="G5740" t="s">
        <v>66</v>
      </c>
      <c r="H5740" t="s">
        <v>67</v>
      </c>
      <c r="S5740">
        <v>1</v>
      </c>
      <c r="T5740">
        <v>0</v>
      </c>
      <c r="U5740">
        <v>0</v>
      </c>
      <c r="V5740">
        <v>0</v>
      </c>
      <c r="W5740">
        <v>1</v>
      </c>
      <c r="X5740">
        <v>0</v>
      </c>
      <c r="Y5740">
        <v>1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1</v>
      </c>
      <c r="AF5740">
        <v>1</v>
      </c>
      <c r="AG5740">
        <v>1</v>
      </c>
      <c r="AH5740">
        <v>1</v>
      </c>
      <c r="AI5740">
        <v>1</v>
      </c>
      <c r="AJ5740">
        <v>1</v>
      </c>
      <c r="AK5740">
        <v>1</v>
      </c>
      <c r="AL5740">
        <v>1</v>
      </c>
      <c r="AM5740">
        <v>1</v>
      </c>
    </row>
    <row r="5741" spans="1:39" x14ac:dyDescent="0.2">
      <c r="A5741" t="str">
        <f>"5737"</f>
        <v>5737</v>
      </c>
      <c r="B5741" t="str">
        <f t="shared" si="316"/>
        <v>1</v>
      </c>
      <c r="C5741" t="str">
        <f t="shared" si="319"/>
        <v>115</v>
      </c>
      <c r="D5741" t="str">
        <f>"25"</f>
        <v>25</v>
      </c>
      <c r="E5741" t="str">
        <f>"1-115-25"</f>
        <v>1-115-25</v>
      </c>
      <c r="F5741" t="s">
        <v>65</v>
      </c>
      <c r="G5741" t="s">
        <v>66</v>
      </c>
      <c r="H5741" t="s">
        <v>67</v>
      </c>
      <c r="S5741">
        <v>1</v>
      </c>
      <c r="T5741">
        <v>0</v>
      </c>
      <c r="U5741">
        <v>0</v>
      </c>
      <c r="V5741">
        <v>0</v>
      </c>
      <c r="W5741">
        <v>1</v>
      </c>
      <c r="X5741">
        <v>0</v>
      </c>
      <c r="Y5741">
        <v>1</v>
      </c>
      <c r="Z5741">
        <v>0</v>
      </c>
      <c r="AA5741">
        <v>0</v>
      </c>
      <c r="AB5741">
        <v>0</v>
      </c>
      <c r="AC5741">
        <v>1</v>
      </c>
      <c r="AD5741">
        <v>1</v>
      </c>
      <c r="AE5741">
        <v>1</v>
      </c>
      <c r="AF5741">
        <v>1</v>
      </c>
      <c r="AG5741">
        <v>1</v>
      </c>
      <c r="AH5741">
        <v>1</v>
      </c>
      <c r="AI5741">
        <v>1</v>
      </c>
      <c r="AJ5741">
        <v>1</v>
      </c>
      <c r="AK5741">
        <v>1</v>
      </c>
      <c r="AL5741">
        <v>1</v>
      </c>
      <c r="AM5741">
        <v>1</v>
      </c>
    </row>
    <row r="5742" spans="1:39" x14ac:dyDescent="0.2">
      <c r="A5742" t="str">
        <f>"5738"</f>
        <v>5738</v>
      </c>
      <c r="B5742" t="str">
        <f t="shared" si="316"/>
        <v>1</v>
      </c>
      <c r="C5742" t="str">
        <f t="shared" si="319"/>
        <v>115</v>
      </c>
      <c r="D5742" t="str">
        <f>"13"</f>
        <v>13</v>
      </c>
      <c r="E5742" t="str">
        <f>"1-115-13"</f>
        <v>1-115-13</v>
      </c>
      <c r="F5742" t="s">
        <v>65</v>
      </c>
      <c r="G5742" t="s">
        <v>66</v>
      </c>
      <c r="H5742" t="s">
        <v>67</v>
      </c>
      <c r="S5742">
        <v>0</v>
      </c>
      <c r="T5742">
        <v>1</v>
      </c>
      <c r="U5742">
        <v>0</v>
      </c>
      <c r="V5742">
        <v>0</v>
      </c>
      <c r="W5742">
        <v>1</v>
      </c>
      <c r="X5742">
        <v>0</v>
      </c>
      <c r="Y5742">
        <v>1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1</v>
      </c>
      <c r="AF5742">
        <v>1</v>
      </c>
      <c r="AG5742">
        <v>1</v>
      </c>
      <c r="AH5742">
        <v>1</v>
      </c>
      <c r="AI5742">
        <v>1</v>
      </c>
      <c r="AJ5742">
        <v>1</v>
      </c>
      <c r="AK5742">
        <v>1</v>
      </c>
      <c r="AL5742">
        <v>1</v>
      </c>
      <c r="AM5742">
        <v>1</v>
      </c>
    </row>
    <row r="5743" spans="1:39" x14ac:dyDescent="0.2">
      <c r="A5743" t="str">
        <f>"5739"</f>
        <v>5739</v>
      </c>
      <c r="B5743" t="str">
        <f t="shared" si="316"/>
        <v>1</v>
      </c>
      <c r="C5743" t="str">
        <f t="shared" si="319"/>
        <v>115</v>
      </c>
      <c r="D5743" t="str">
        <f>"45"</f>
        <v>45</v>
      </c>
      <c r="E5743" t="str">
        <f>"1-115-45"</f>
        <v>1-115-45</v>
      </c>
      <c r="F5743" t="s">
        <v>65</v>
      </c>
      <c r="G5743" t="s">
        <v>66</v>
      </c>
      <c r="H5743" t="s">
        <v>67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1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</row>
    <row r="5744" spans="1:39" x14ac:dyDescent="0.2">
      <c r="A5744" t="str">
        <f>"5740"</f>
        <v>5740</v>
      </c>
      <c r="B5744" t="str">
        <f t="shared" si="316"/>
        <v>1</v>
      </c>
      <c r="C5744" t="str">
        <f t="shared" si="319"/>
        <v>115</v>
      </c>
      <c r="D5744" t="str">
        <f>"26"</f>
        <v>26</v>
      </c>
      <c r="E5744" t="str">
        <f>"1-115-26"</f>
        <v>1-115-26</v>
      </c>
      <c r="F5744" t="s">
        <v>65</v>
      </c>
      <c r="G5744" t="s">
        <v>66</v>
      </c>
      <c r="H5744" t="s">
        <v>67</v>
      </c>
      <c r="S5744">
        <v>1</v>
      </c>
      <c r="T5744">
        <v>0</v>
      </c>
      <c r="U5744">
        <v>0</v>
      </c>
      <c r="V5744">
        <v>0</v>
      </c>
      <c r="W5744">
        <v>1</v>
      </c>
      <c r="X5744">
        <v>0</v>
      </c>
      <c r="Y5744">
        <v>0</v>
      </c>
      <c r="Z5744">
        <v>1</v>
      </c>
      <c r="AA5744">
        <v>0</v>
      </c>
      <c r="AB5744">
        <v>0</v>
      </c>
      <c r="AC5744">
        <v>1</v>
      </c>
      <c r="AD5744">
        <v>1</v>
      </c>
      <c r="AE5744">
        <v>1</v>
      </c>
      <c r="AF5744">
        <v>1</v>
      </c>
      <c r="AG5744">
        <v>1</v>
      </c>
      <c r="AH5744">
        <v>1</v>
      </c>
      <c r="AI5744">
        <v>1</v>
      </c>
      <c r="AJ5744">
        <v>1</v>
      </c>
      <c r="AK5744">
        <v>1</v>
      </c>
      <c r="AL5744">
        <v>1</v>
      </c>
      <c r="AM5744">
        <v>1</v>
      </c>
    </row>
    <row r="5745" spans="1:39" x14ac:dyDescent="0.2">
      <c r="A5745" t="str">
        <f>"5741"</f>
        <v>5741</v>
      </c>
      <c r="B5745" t="str">
        <f t="shared" si="316"/>
        <v>1</v>
      </c>
      <c r="C5745" t="str">
        <f t="shared" si="319"/>
        <v>115</v>
      </c>
      <c r="D5745" t="str">
        <f>"11"</f>
        <v>11</v>
      </c>
      <c r="E5745" t="str">
        <f>"1-115-11"</f>
        <v>1-115-11</v>
      </c>
      <c r="F5745" t="s">
        <v>65</v>
      </c>
      <c r="G5745" t="s">
        <v>66</v>
      </c>
      <c r="H5745" t="s">
        <v>67</v>
      </c>
      <c r="S5745">
        <v>1</v>
      </c>
      <c r="T5745">
        <v>0</v>
      </c>
      <c r="U5745">
        <v>0</v>
      </c>
      <c r="V5745">
        <v>0</v>
      </c>
      <c r="W5745">
        <v>0</v>
      </c>
      <c r="X5745">
        <v>1</v>
      </c>
      <c r="Y5745">
        <v>1</v>
      </c>
      <c r="Z5745">
        <v>0</v>
      </c>
      <c r="AA5745">
        <v>0</v>
      </c>
      <c r="AB5745">
        <v>1</v>
      </c>
      <c r="AC5745">
        <v>0</v>
      </c>
      <c r="AD5745">
        <v>1</v>
      </c>
      <c r="AE5745">
        <v>1</v>
      </c>
      <c r="AF5745">
        <v>1</v>
      </c>
      <c r="AG5745">
        <v>1</v>
      </c>
      <c r="AH5745">
        <v>1</v>
      </c>
      <c r="AI5745">
        <v>1</v>
      </c>
      <c r="AJ5745">
        <v>1</v>
      </c>
      <c r="AK5745">
        <v>1</v>
      </c>
      <c r="AL5745">
        <v>1</v>
      </c>
      <c r="AM5745">
        <v>1</v>
      </c>
    </row>
    <row r="5746" spans="1:39" x14ac:dyDescent="0.2">
      <c r="A5746" t="str">
        <f>"5742"</f>
        <v>5742</v>
      </c>
      <c r="B5746" t="str">
        <f t="shared" si="316"/>
        <v>1</v>
      </c>
      <c r="C5746" t="str">
        <f t="shared" si="319"/>
        <v>115</v>
      </c>
      <c r="D5746" t="str">
        <f>"50"</f>
        <v>50</v>
      </c>
      <c r="E5746" t="str">
        <f>"1-115-50"</f>
        <v>1-115-50</v>
      </c>
      <c r="F5746" t="s">
        <v>65</v>
      </c>
      <c r="G5746" t="s">
        <v>66</v>
      </c>
      <c r="H5746" t="s">
        <v>67</v>
      </c>
      <c r="S5746">
        <v>0</v>
      </c>
      <c r="T5746">
        <v>1</v>
      </c>
      <c r="U5746">
        <v>0</v>
      </c>
      <c r="V5746">
        <v>0</v>
      </c>
      <c r="W5746">
        <v>0</v>
      </c>
      <c r="X5746">
        <v>1</v>
      </c>
      <c r="Y5746">
        <v>1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1</v>
      </c>
      <c r="AF5746">
        <v>1</v>
      </c>
      <c r="AG5746">
        <v>1</v>
      </c>
      <c r="AH5746">
        <v>1</v>
      </c>
      <c r="AI5746">
        <v>1</v>
      </c>
      <c r="AJ5746">
        <v>1</v>
      </c>
      <c r="AK5746">
        <v>1</v>
      </c>
      <c r="AL5746">
        <v>1</v>
      </c>
      <c r="AM5746">
        <v>1</v>
      </c>
    </row>
    <row r="5747" spans="1:39" x14ac:dyDescent="0.2">
      <c r="A5747" t="str">
        <f>"5743"</f>
        <v>5743</v>
      </c>
      <c r="B5747" t="str">
        <f t="shared" si="316"/>
        <v>1</v>
      </c>
      <c r="C5747" t="str">
        <f t="shared" si="319"/>
        <v>115</v>
      </c>
      <c r="D5747" t="str">
        <f>"28"</f>
        <v>28</v>
      </c>
      <c r="E5747" t="str">
        <f>"1-115-28"</f>
        <v>1-115-28</v>
      </c>
      <c r="F5747" t="s">
        <v>65</v>
      </c>
      <c r="G5747" t="s">
        <v>66</v>
      </c>
      <c r="H5747" t="s">
        <v>67</v>
      </c>
      <c r="S5747">
        <v>0</v>
      </c>
      <c r="T5747">
        <v>1</v>
      </c>
      <c r="U5747">
        <v>0</v>
      </c>
      <c r="V5747">
        <v>0</v>
      </c>
      <c r="W5747">
        <v>1</v>
      </c>
      <c r="X5747">
        <v>0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</row>
    <row r="5748" spans="1:39" x14ac:dyDescent="0.2">
      <c r="A5748" t="str">
        <f>"5744"</f>
        <v>5744</v>
      </c>
      <c r="B5748" t="str">
        <f t="shared" si="316"/>
        <v>1</v>
      </c>
      <c r="C5748" t="str">
        <f t="shared" si="319"/>
        <v>115</v>
      </c>
      <c r="D5748" t="str">
        <f>"10"</f>
        <v>10</v>
      </c>
      <c r="E5748" t="str">
        <f>"1-115-10"</f>
        <v>1-115-10</v>
      </c>
      <c r="F5748" t="s">
        <v>65</v>
      </c>
      <c r="G5748" t="s">
        <v>66</v>
      </c>
      <c r="H5748" t="s">
        <v>67</v>
      </c>
      <c r="S5748">
        <v>1</v>
      </c>
      <c r="T5748">
        <v>0</v>
      </c>
      <c r="U5748">
        <v>0</v>
      </c>
      <c r="V5748">
        <v>0</v>
      </c>
      <c r="W5748">
        <v>1</v>
      </c>
      <c r="X5748">
        <v>0</v>
      </c>
      <c r="Y5748">
        <v>1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1</v>
      </c>
      <c r="AF5748">
        <v>1</v>
      </c>
      <c r="AG5748">
        <v>1</v>
      </c>
      <c r="AH5748">
        <v>1</v>
      </c>
      <c r="AI5748">
        <v>1</v>
      </c>
      <c r="AJ5748">
        <v>1</v>
      </c>
      <c r="AK5748">
        <v>1</v>
      </c>
      <c r="AL5748">
        <v>1</v>
      </c>
      <c r="AM5748">
        <v>1</v>
      </c>
    </row>
    <row r="5749" spans="1:39" x14ac:dyDescent="0.2">
      <c r="A5749" t="str">
        <f>"5745"</f>
        <v>5745</v>
      </c>
      <c r="B5749" t="str">
        <f t="shared" si="316"/>
        <v>1</v>
      </c>
      <c r="C5749" t="str">
        <f t="shared" si="319"/>
        <v>115</v>
      </c>
      <c r="D5749" t="str">
        <f>"46"</f>
        <v>46</v>
      </c>
      <c r="E5749" t="str">
        <f>"1-115-46"</f>
        <v>1-115-46</v>
      </c>
      <c r="F5749" t="s">
        <v>65</v>
      </c>
      <c r="G5749" t="s">
        <v>66</v>
      </c>
      <c r="H5749" t="s">
        <v>67</v>
      </c>
      <c r="S5749">
        <v>1</v>
      </c>
      <c r="T5749">
        <v>0</v>
      </c>
      <c r="U5749">
        <v>0</v>
      </c>
      <c r="V5749">
        <v>0</v>
      </c>
      <c r="W5749">
        <v>1</v>
      </c>
      <c r="X5749">
        <v>0</v>
      </c>
      <c r="Y5749">
        <v>1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1</v>
      </c>
      <c r="AF5749">
        <v>1</v>
      </c>
      <c r="AG5749">
        <v>1</v>
      </c>
      <c r="AH5749">
        <v>1</v>
      </c>
      <c r="AI5749">
        <v>1</v>
      </c>
      <c r="AJ5749">
        <v>1</v>
      </c>
      <c r="AK5749">
        <v>1</v>
      </c>
      <c r="AL5749">
        <v>1</v>
      </c>
      <c r="AM5749">
        <v>1</v>
      </c>
    </row>
    <row r="5750" spans="1:39" x14ac:dyDescent="0.2">
      <c r="A5750" t="str">
        <f>"5746"</f>
        <v>5746</v>
      </c>
      <c r="B5750" t="str">
        <f t="shared" si="316"/>
        <v>1</v>
      </c>
      <c r="C5750" t="str">
        <f t="shared" si="319"/>
        <v>115</v>
      </c>
      <c r="D5750" t="str">
        <f>"30"</f>
        <v>30</v>
      </c>
      <c r="E5750" t="str">
        <f>"1-115-30"</f>
        <v>1-115-30</v>
      </c>
      <c r="F5750" t="s">
        <v>65</v>
      </c>
      <c r="G5750" t="s">
        <v>66</v>
      </c>
      <c r="H5750" t="s">
        <v>67</v>
      </c>
      <c r="S5750">
        <v>0</v>
      </c>
      <c r="T5750">
        <v>1</v>
      </c>
      <c r="U5750">
        <v>0</v>
      </c>
      <c r="V5750">
        <v>0</v>
      </c>
      <c r="W5750">
        <v>1</v>
      </c>
      <c r="X5750">
        <v>0</v>
      </c>
      <c r="Y5750">
        <v>0</v>
      </c>
      <c r="Z5750">
        <v>1</v>
      </c>
      <c r="AA5750">
        <v>0</v>
      </c>
      <c r="AB5750">
        <v>0</v>
      </c>
      <c r="AC5750">
        <v>1</v>
      </c>
      <c r="AD5750">
        <v>1</v>
      </c>
      <c r="AE5750">
        <v>1</v>
      </c>
      <c r="AF5750">
        <v>1</v>
      </c>
      <c r="AG5750">
        <v>1</v>
      </c>
      <c r="AH5750">
        <v>1</v>
      </c>
      <c r="AI5750">
        <v>1</v>
      </c>
      <c r="AJ5750">
        <v>1</v>
      </c>
      <c r="AK5750">
        <v>1</v>
      </c>
      <c r="AL5750">
        <v>1</v>
      </c>
      <c r="AM5750">
        <v>1</v>
      </c>
    </row>
    <row r="5751" spans="1:39" x14ac:dyDescent="0.2">
      <c r="A5751" t="str">
        <f>"5747"</f>
        <v>5747</v>
      </c>
      <c r="B5751" t="str">
        <f t="shared" ref="B5751:B5814" si="320">"1"</f>
        <v>1</v>
      </c>
      <c r="C5751" t="str">
        <f t="shared" si="319"/>
        <v>115</v>
      </c>
      <c r="D5751" t="str">
        <f>"8"</f>
        <v>8</v>
      </c>
      <c r="E5751" t="str">
        <f>"1-115-8"</f>
        <v>1-115-8</v>
      </c>
      <c r="F5751" t="s">
        <v>65</v>
      </c>
      <c r="G5751" t="s">
        <v>66</v>
      </c>
      <c r="H5751" t="s">
        <v>67</v>
      </c>
      <c r="S5751">
        <v>0</v>
      </c>
      <c r="T5751">
        <v>1</v>
      </c>
      <c r="U5751">
        <v>0</v>
      </c>
      <c r="V5751">
        <v>0</v>
      </c>
      <c r="W5751">
        <v>0</v>
      </c>
      <c r="X5751">
        <v>1</v>
      </c>
      <c r="Y5751">
        <v>0</v>
      </c>
      <c r="Z5751">
        <v>1</v>
      </c>
      <c r="AA5751">
        <v>0</v>
      </c>
      <c r="AB5751">
        <v>0</v>
      </c>
      <c r="AC5751">
        <v>1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</row>
    <row r="5752" spans="1:39" x14ac:dyDescent="0.2">
      <c r="A5752" t="str">
        <f>"5748"</f>
        <v>5748</v>
      </c>
      <c r="B5752" t="str">
        <f t="shared" si="320"/>
        <v>1</v>
      </c>
      <c r="C5752" t="str">
        <f t="shared" si="319"/>
        <v>115</v>
      </c>
      <c r="D5752" t="str">
        <f>"48"</f>
        <v>48</v>
      </c>
      <c r="E5752" t="str">
        <f>"1-115-48"</f>
        <v>1-115-48</v>
      </c>
      <c r="F5752" t="s">
        <v>65</v>
      </c>
      <c r="G5752" t="s">
        <v>66</v>
      </c>
      <c r="H5752" t="s">
        <v>67</v>
      </c>
      <c r="S5752">
        <v>1</v>
      </c>
      <c r="T5752">
        <v>0</v>
      </c>
      <c r="U5752">
        <v>0</v>
      </c>
      <c r="V5752">
        <v>0</v>
      </c>
      <c r="W5752">
        <v>0</v>
      </c>
      <c r="X5752">
        <v>1</v>
      </c>
      <c r="Y5752">
        <v>0</v>
      </c>
      <c r="Z5752">
        <v>1</v>
      </c>
      <c r="AA5752">
        <v>0</v>
      </c>
      <c r="AB5752">
        <v>0</v>
      </c>
      <c r="AC5752">
        <v>1</v>
      </c>
      <c r="AD5752">
        <v>1</v>
      </c>
      <c r="AE5752">
        <v>1</v>
      </c>
      <c r="AF5752">
        <v>1</v>
      </c>
      <c r="AG5752">
        <v>1</v>
      </c>
      <c r="AH5752">
        <v>1</v>
      </c>
      <c r="AI5752">
        <v>1</v>
      </c>
      <c r="AJ5752">
        <v>1</v>
      </c>
      <c r="AK5752">
        <v>1</v>
      </c>
      <c r="AL5752">
        <v>1</v>
      </c>
      <c r="AM5752">
        <v>1</v>
      </c>
    </row>
    <row r="5753" spans="1:39" x14ac:dyDescent="0.2">
      <c r="A5753" t="str">
        <f>"5749"</f>
        <v>5749</v>
      </c>
      <c r="B5753" t="str">
        <f t="shared" si="320"/>
        <v>1</v>
      </c>
      <c r="C5753" t="str">
        <f t="shared" si="319"/>
        <v>115</v>
      </c>
      <c r="D5753" t="str">
        <f>"31"</f>
        <v>31</v>
      </c>
      <c r="E5753" t="str">
        <f>"1-115-31"</f>
        <v>1-115-31</v>
      </c>
      <c r="F5753" t="s">
        <v>65</v>
      </c>
      <c r="G5753" t="s">
        <v>66</v>
      </c>
      <c r="H5753" t="s">
        <v>67</v>
      </c>
      <c r="S5753">
        <v>1</v>
      </c>
      <c r="T5753">
        <v>0</v>
      </c>
      <c r="U5753">
        <v>0</v>
      </c>
      <c r="V5753">
        <v>0</v>
      </c>
      <c r="W5753">
        <v>1</v>
      </c>
      <c r="X5753">
        <v>0</v>
      </c>
      <c r="Y5753">
        <v>1</v>
      </c>
      <c r="Z5753">
        <v>0</v>
      </c>
      <c r="AA5753">
        <v>0</v>
      </c>
      <c r="AB5753">
        <v>0</v>
      </c>
      <c r="AC5753">
        <v>1</v>
      </c>
      <c r="AD5753">
        <v>1</v>
      </c>
      <c r="AE5753">
        <v>1</v>
      </c>
      <c r="AF5753">
        <v>1</v>
      </c>
      <c r="AG5753">
        <v>1</v>
      </c>
      <c r="AH5753">
        <v>1</v>
      </c>
      <c r="AI5753">
        <v>1</v>
      </c>
      <c r="AJ5753">
        <v>1</v>
      </c>
      <c r="AK5753">
        <v>1</v>
      </c>
      <c r="AL5753">
        <v>1</v>
      </c>
      <c r="AM5753">
        <v>1</v>
      </c>
    </row>
    <row r="5754" spans="1:39" x14ac:dyDescent="0.2">
      <c r="A5754" t="str">
        <f>"5750"</f>
        <v>5750</v>
      </c>
      <c r="B5754" t="str">
        <f t="shared" si="320"/>
        <v>1</v>
      </c>
      <c r="C5754" t="str">
        <f t="shared" si="319"/>
        <v>115</v>
      </c>
      <c r="D5754" t="str">
        <f>"14"</f>
        <v>14</v>
      </c>
      <c r="E5754" t="str">
        <f>"1-115-14"</f>
        <v>1-115-14</v>
      </c>
      <c r="F5754" t="s">
        <v>65</v>
      </c>
      <c r="G5754" t="s">
        <v>66</v>
      </c>
      <c r="H5754" t="s">
        <v>67</v>
      </c>
      <c r="S5754">
        <v>0</v>
      </c>
      <c r="T5754">
        <v>1</v>
      </c>
      <c r="U5754">
        <v>0</v>
      </c>
      <c r="V5754">
        <v>0</v>
      </c>
      <c r="W5754">
        <v>1</v>
      </c>
      <c r="X5754">
        <v>0</v>
      </c>
      <c r="Y5754">
        <v>1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1</v>
      </c>
      <c r="AF5754">
        <v>1</v>
      </c>
      <c r="AG5754">
        <v>1</v>
      </c>
      <c r="AH5754">
        <v>1</v>
      </c>
      <c r="AI5754">
        <v>1</v>
      </c>
      <c r="AJ5754">
        <v>1</v>
      </c>
      <c r="AK5754">
        <v>1</v>
      </c>
      <c r="AL5754">
        <v>1</v>
      </c>
      <c r="AM5754">
        <v>1</v>
      </c>
    </row>
    <row r="5755" spans="1:39" x14ac:dyDescent="0.2">
      <c r="A5755" t="str">
        <f>"5751"</f>
        <v>5751</v>
      </c>
      <c r="B5755" t="str">
        <f t="shared" si="320"/>
        <v>1</v>
      </c>
      <c r="C5755" t="str">
        <f t="shared" ref="C5755:C5786" si="321">"116"</f>
        <v>116</v>
      </c>
      <c r="D5755" t="str">
        <f>"36"</f>
        <v>36</v>
      </c>
      <c r="E5755" t="str">
        <f>"1-116-36"</f>
        <v>1-116-36</v>
      </c>
      <c r="F5755" t="s">
        <v>65</v>
      </c>
      <c r="G5755" t="s">
        <v>66</v>
      </c>
      <c r="H5755" t="s">
        <v>67</v>
      </c>
      <c r="S5755">
        <v>0</v>
      </c>
      <c r="T5755">
        <v>1</v>
      </c>
      <c r="U5755">
        <v>0</v>
      </c>
      <c r="V5755">
        <v>0</v>
      </c>
      <c r="W5755">
        <v>0</v>
      </c>
      <c r="X5755">
        <v>1</v>
      </c>
      <c r="Y5755">
        <v>0</v>
      </c>
      <c r="Z5755">
        <v>1</v>
      </c>
      <c r="AA5755">
        <v>0</v>
      </c>
      <c r="AB5755">
        <v>1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1</v>
      </c>
      <c r="AJ5755">
        <v>1</v>
      </c>
      <c r="AK5755">
        <v>1</v>
      </c>
      <c r="AL5755">
        <v>1</v>
      </c>
      <c r="AM5755">
        <v>0</v>
      </c>
    </row>
    <row r="5756" spans="1:39" x14ac:dyDescent="0.2">
      <c r="A5756" t="str">
        <f>"5752"</f>
        <v>5752</v>
      </c>
      <c r="B5756" t="str">
        <f t="shared" si="320"/>
        <v>1</v>
      </c>
      <c r="C5756" t="str">
        <f t="shared" si="321"/>
        <v>116</v>
      </c>
      <c r="D5756" t="str">
        <f>"35"</f>
        <v>35</v>
      </c>
      <c r="E5756" t="str">
        <f>"1-116-35"</f>
        <v>1-116-35</v>
      </c>
      <c r="F5756" t="s">
        <v>65</v>
      </c>
      <c r="G5756" t="s">
        <v>66</v>
      </c>
      <c r="H5756" t="s">
        <v>67</v>
      </c>
      <c r="S5756">
        <v>1</v>
      </c>
      <c r="T5756">
        <v>0</v>
      </c>
      <c r="U5756">
        <v>0</v>
      </c>
      <c r="V5756">
        <v>0</v>
      </c>
      <c r="W5756">
        <v>1</v>
      </c>
      <c r="X5756">
        <v>0</v>
      </c>
      <c r="Y5756">
        <v>1</v>
      </c>
      <c r="Z5756">
        <v>0</v>
      </c>
      <c r="AA5756">
        <v>0</v>
      </c>
      <c r="AB5756">
        <v>1</v>
      </c>
      <c r="AC5756">
        <v>0</v>
      </c>
      <c r="AD5756">
        <v>1</v>
      </c>
      <c r="AE5756">
        <v>1</v>
      </c>
      <c r="AF5756">
        <v>1</v>
      </c>
      <c r="AG5756">
        <v>1</v>
      </c>
      <c r="AH5756">
        <v>1</v>
      </c>
      <c r="AI5756">
        <v>1</v>
      </c>
      <c r="AJ5756">
        <v>1</v>
      </c>
      <c r="AK5756">
        <v>1</v>
      </c>
      <c r="AL5756">
        <v>1</v>
      </c>
      <c r="AM5756">
        <v>1</v>
      </c>
    </row>
    <row r="5757" spans="1:39" x14ac:dyDescent="0.2">
      <c r="A5757" t="str">
        <f>"5753"</f>
        <v>5753</v>
      </c>
      <c r="B5757" t="str">
        <f t="shared" si="320"/>
        <v>1</v>
      </c>
      <c r="C5757" t="str">
        <f t="shared" si="321"/>
        <v>116</v>
      </c>
      <c r="D5757" t="str">
        <f>"24"</f>
        <v>24</v>
      </c>
      <c r="E5757" t="str">
        <f>"1-116-24"</f>
        <v>1-116-24</v>
      </c>
      <c r="F5757" t="s">
        <v>65</v>
      </c>
      <c r="G5757" t="s">
        <v>66</v>
      </c>
      <c r="H5757" t="s">
        <v>67</v>
      </c>
      <c r="S5757">
        <v>0</v>
      </c>
      <c r="T5757">
        <v>1</v>
      </c>
      <c r="U5757">
        <v>0</v>
      </c>
      <c r="V5757">
        <v>0</v>
      </c>
      <c r="W5757">
        <v>1</v>
      </c>
      <c r="X5757">
        <v>0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1</v>
      </c>
      <c r="AH5757">
        <v>1</v>
      </c>
      <c r="AI5757">
        <v>0</v>
      </c>
      <c r="AJ5757">
        <v>0</v>
      </c>
      <c r="AK5757">
        <v>0</v>
      </c>
      <c r="AL5757">
        <v>1</v>
      </c>
      <c r="AM5757">
        <v>0</v>
      </c>
    </row>
    <row r="5758" spans="1:39" x14ac:dyDescent="0.2">
      <c r="A5758" t="str">
        <f>"5754"</f>
        <v>5754</v>
      </c>
      <c r="B5758" t="str">
        <f t="shared" si="320"/>
        <v>1</v>
      </c>
      <c r="C5758" t="str">
        <f t="shared" si="321"/>
        <v>116</v>
      </c>
      <c r="D5758" t="str">
        <f>"15"</f>
        <v>15</v>
      </c>
      <c r="E5758" t="str">
        <f>"1-116-15"</f>
        <v>1-116-15</v>
      </c>
      <c r="F5758" t="s">
        <v>65</v>
      </c>
      <c r="G5758" t="s">
        <v>66</v>
      </c>
      <c r="H5758" t="s">
        <v>67</v>
      </c>
      <c r="S5758">
        <v>1</v>
      </c>
      <c r="T5758">
        <v>0</v>
      </c>
      <c r="U5758">
        <v>0</v>
      </c>
      <c r="V5758">
        <v>0</v>
      </c>
      <c r="W5758">
        <v>1</v>
      </c>
      <c r="X5758">
        <v>0</v>
      </c>
      <c r="Y5758">
        <v>0</v>
      </c>
      <c r="Z5758">
        <v>1</v>
      </c>
      <c r="AA5758">
        <v>1</v>
      </c>
      <c r="AB5758">
        <v>0</v>
      </c>
      <c r="AC5758">
        <v>0</v>
      </c>
      <c r="AD5758">
        <v>1</v>
      </c>
      <c r="AE5758">
        <v>1</v>
      </c>
      <c r="AF5758">
        <v>1</v>
      </c>
      <c r="AG5758">
        <v>1</v>
      </c>
      <c r="AH5758">
        <v>1</v>
      </c>
      <c r="AI5758">
        <v>1</v>
      </c>
      <c r="AJ5758">
        <v>1</v>
      </c>
      <c r="AK5758">
        <v>1</v>
      </c>
      <c r="AL5758">
        <v>1</v>
      </c>
      <c r="AM5758">
        <v>1</v>
      </c>
    </row>
    <row r="5759" spans="1:39" x14ac:dyDescent="0.2">
      <c r="A5759" t="str">
        <f>"5755"</f>
        <v>5755</v>
      </c>
      <c r="B5759" t="str">
        <f t="shared" si="320"/>
        <v>1</v>
      </c>
      <c r="C5759" t="str">
        <f t="shared" si="321"/>
        <v>116</v>
      </c>
      <c r="D5759" t="str">
        <f>"4"</f>
        <v>4</v>
      </c>
      <c r="E5759" t="str">
        <f>"1-116-4"</f>
        <v>1-116-4</v>
      </c>
      <c r="F5759" t="s">
        <v>65</v>
      </c>
      <c r="G5759" t="s">
        <v>66</v>
      </c>
      <c r="H5759" t="s">
        <v>67</v>
      </c>
      <c r="S5759">
        <v>0</v>
      </c>
      <c r="T5759">
        <v>1</v>
      </c>
      <c r="U5759">
        <v>0</v>
      </c>
      <c r="V5759">
        <v>0</v>
      </c>
      <c r="W5759">
        <v>1</v>
      </c>
      <c r="X5759">
        <v>0</v>
      </c>
      <c r="Y5759">
        <v>1</v>
      </c>
      <c r="Z5759">
        <v>0</v>
      </c>
      <c r="AA5759">
        <v>1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</row>
    <row r="5760" spans="1:39" x14ac:dyDescent="0.2">
      <c r="A5760" t="str">
        <f>"5756"</f>
        <v>5756</v>
      </c>
      <c r="B5760" t="str">
        <f t="shared" si="320"/>
        <v>1</v>
      </c>
      <c r="C5760" t="str">
        <f t="shared" si="321"/>
        <v>116</v>
      </c>
      <c r="D5760" t="str">
        <f>"34"</f>
        <v>34</v>
      </c>
      <c r="E5760" t="str">
        <f>"1-116-34"</f>
        <v>1-116-34</v>
      </c>
      <c r="F5760" t="s">
        <v>65</v>
      </c>
      <c r="G5760" t="s">
        <v>66</v>
      </c>
      <c r="H5760" t="s">
        <v>67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0</v>
      </c>
      <c r="AB5760">
        <v>1</v>
      </c>
      <c r="AC5760">
        <v>0</v>
      </c>
      <c r="AD5760">
        <v>0</v>
      </c>
      <c r="AE5760">
        <v>1</v>
      </c>
      <c r="AF5760">
        <v>1</v>
      </c>
      <c r="AG5760">
        <v>1</v>
      </c>
      <c r="AH5760">
        <v>1</v>
      </c>
      <c r="AI5760">
        <v>0</v>
      </c>
      <c r="AJ5760">
        <v>1</v>
      </c>
      <c r="AK5760">
        <v>1</v>
      </c>
      <c r="AL5760">
        <v>0</v>
      </c>
      <c r="AM5760">
        <v>1</v>
      </c>
    </row>
    <row r="5761" spans="1:39" x14ac:dyDescent="0.2">
      <c r="A5761" t="str">
        <f>"5757"</f>
        <v>5757</v>
      </c>
      <c r="B5761" t="str">
        <f t="shared" si="320"/>
        <v>1</v>
      </c>
      <c r="C5761" t="str">
        <f t="shared" si="321"/>
        <v>116</v>
      </c>
      <c r="D5761" t="str">
        <f>"33"</f>
        <v>33</v>
      </c>
      <c r="E5761" t="str">
        <f>"1-116-33"</f>
        <v>1-116-33</v>
      </c>
      <c r="F5761" t="s">
        <v>65</v>
      </c>
      <c r="G5761" t="s">
        <v>66</v>
      </c>
      <c r="H5761" t="s">
        <v>67</v>
      </c>
      <c r="S5761">
        <v>1</v>
      </c>
      <c r="T5761">
        <v>0</v>
      </c>
      <c r="U5761">
        <v>0</v>
      </c>
      <c r="V5761">
        <v>0</v>
      </c>
      <c r="W5761">
        <v>1</v>
      </c>
      <c r="X5761">
        <v>0</v>
      </c>
      <c r="Y5761">
        <v>1</v>
      </c>
      <c r="Z5761">
        <v>0</v>
      </c>
      <c r="AA5761">
        <v>1</v>
      </c>
      <c r="AB5761">
        <v>0</v>
      </c>
      <c r="AC5761">
        <v>0</v>
      </c>
      <c r="AD5761">
        <v>0</v>
      </c>
      <c r="AE5761">
        <v>1</v>
      </c>
      <c r="AF5761">
        <v>1</v>
      </c>
      <c r="AG5761">
        <v>0</v>
      </c>
      <c r="AH5761">
        <v>1</v>
      </c>
      <c r="AI5761">
        <v>0</v>
      </c>
      <c r="AJ5761">
        <v>1</v>
      </c>
      <c r="AK5761">
        <v>1</v>
      </c>
      <c r="AL5761">
        <v>0</v>
      </c>
      <c r="AM5761">
        <v>1</v>
      </c>
    </row>
    <row r="5762" spans="1:39" x14ac:dyDescent="0.2">
      <c r="A5762" t="str">
        <f>"5758"</f>
        <v>5758</v>
      </c>
      <c r="B5762" t="str">
        <f t="shared" si="320"/>
        <v>1</v>
      </c>
      <c r="C5762" t="str">
        <f t="shared" si="321"/>
        <v>116</v>
      </c>
      <c r="D5762" t="str">
        <f>"21"</f>
        <v>21</v>
      </c>
      <c r="E5762" t="str">
        <f>"1-116-21"</f>
        <v>1-116-21</v>
      </c>
      <c r="F5762" t="s">
        <v>65</v>
      </c>
      <c r="G5762" t="s">
        <v>66</v>
      </c>
      <c r="H5762" t="s">
        <v>67</v>
      </c>
      <c r="S5762">
        <v>1</v>
      </c>
      <c r="T5762">
        <v>0</v>
      </c>
      <c r="U5762">
        <v>0</v>
      </c>
      <c r="V5762">
        <v>0</v>
      </c>
      <c r="W5762">
        <v>1</v>
      </c>
      <c r="X5762">
        <v>0</v>
      </c>
      <c r="Y5762">
        <v>1</v>
      </c>
      <c r="Z5762">
        <v>0</v>
      </c>
      <c r="AA5762">
        <v>0</v>
      </c>
      <c r="AB5762">
        <v>1</v>
      </c>
      <c r="AC5762">
        <v>0</v>
      </c>
      <c r="AD5762">
        <v>1</v>
      </c>
      <c r="AE5762">
        <v>1</v>
      </c>
      <c r="AF5762">
        <v>1</v>
      </c>
      <c r="AG5762">
        <v>1</v>
      </c>
      <c r="AH5762">
        <v>1</v>
      </c>
      <c r="AI5762">
        <v>1</v>
      </c>
      <c r="AJ5762">
        <v>1</v>
      </c>
      <c r="AK5762">
        <v>1</v>
      </c>
      <c r="AL5762">
        <v>1</v>
      </c>
      <c r="AM5762">
        <v>1</v>
      </c>
    </row>
    <row r="5763" spans="1:39" x14ac:dyDescent="0.2">
      <c r="A5763" t="str">
        <f>"5759"</f>
        <v>5759</v>
      </c>
      <c r="B5763" t="str">
        <f t="shared" si="320"/>
        <v>1</v>
      </c>
      <c r="C5763" t="str">
        <f t="shared" si="321"/>
        <v>116</v>
      </c>
      <c r="D5763" t="str">
        <f>"16"</f>
        <v>16</v>
      </c>
      <c r="E5763" t="str">
        <f>"1-116-16"</f>
        <v>1-116-16</v>
      </c>
      <c r="F5763" t="s">
        <v>65</v>
      </c>
      <c r="G5763" t="s">
        <v>66</v>
      </c>
      <c r="H5763" t="s">
        <v>67</v>
      </c>
      <c r="S5763">
        <v>0</v>
      </c>
      <c r="T5763">
        <v>1</v>
      </c>
      <c r="U5763">
        <v>0</v>
      </c>
      <c r="V5763">
        <v>0</v>
      </c>
      <c r="W5763">
        <v>0</v>
      </c>
      <c r="X5763">
        <v>1</v>
      </c>
      <c r="Y5763">
        <v>0</v>
      </c>
      <c r="Z5763">
        <v>1</v>
      </c>
      <c r="AA5763">
        <v>0</v>
      </c>
      <c r="AB5763">
        <v>0</v>
      </c>
      <c r="AC5763">
        <v>1</v>
      </c>
      <c r="AD5763">
        <v>1</v>
      </c>
      <c r="AE5763">
        <v>1</v>
      </c>
      <c r="AF5763">
        <v>1</v>
      </c>
      <c r="AG5763">
        <v>1</v>
      </c>
      <c r="AH5763">
        <v>1</v>
      </c>
      <c r="AI5763">
        <v>1</v>
      </c>
      <c r="AJ5763">
        <v>1</v>
      </c>
      <c r="AK5763">
        <v>1</v>
      </c>
      <c r="AL5763">
        <v>1</v>
      </c>
      <c r="AM5763">
        <v>1</v>
      </c>
    </row>
    <row r="5764" spans="1:39" x14ac:dyDescent="0.2">
      <c r="A5764" t="str">
        <f>"5760"</f>
        <v>5760</v>
      </c>
      <c r="B5764" t="str">
        <f t="shared" si="320"/>
        <v>1</v>
      </c>
      <c r="C5764" t="str">
        <f t="shared" si="321"/>
        <v>116</v>
      </c>
      <c r="D5764" t="str">
        <f>"11"</f>
        <v>11</v>
      </c>
      <c r="E5764" t="str">
        <f>"1-116-11"</f>
        <v>1-116-11</v>
      </c>
      <c r="F5764" t="s">
        <v>65</v>
      </c>
      <c r="G5764" t="s">
        <v>66</v>
      </c>
      <c r="H5764" t="s">
        <v>67</v>
      </c>
      <c r="S5764">
        <v>1</v>
      </c>
      <c r="T5764">
        <v>0</v>
      </c>
      <c r="U5764">
        <v>0</v>
      </c>
      <c r="V5764">
        <v>0</v>
      </c>
      <c r="W5764">
        <v>0</v>
      </c>
      <c r="X5764">
        <v>1</v>
      </c>
      <c r="Y5764">
        <v>0</v>
      </c>
      <c r="Z5764">
        <v>1</v>
      </c>
      <c r="AA5764">
        <v>1</v>
      </c>
      <c r="AB5764">
        <v>0</v>
      </c>
      <c r="AC5764">
        <v>0</v>
      </c>
      <c r="AD5764">
        <v>1</v>
      </c>
      <c r="AE5764">
        <v>1</v>
      </c>
      <c r="AF5764">
        <v>1</v>
      </c>
      <c r="AG5764">
        <v>1</v>
      </c>
      <c r="AH5764">
        <v>1</v>
      </c>
      <c r="AI5764">
        <v>1</v>
      </c>
      <c r="AJ5764">
        <v>1</v>
      </c>
      <c r="AK5764">
        <v>1</v>
      </c>
      <c r="AL5764">
        <v>1</v>
      </c>
      <c r="AM5764">
        <v>1</v>
      </c>
    </row>
    <row r="5765" spans="1:39" x14ac:dyDescent="0.2">
      <c r="A5765" t="str">
        <f>"5761"</f>
        <v>5761</v>
      </c>
      <c r="B5765" t="str">
        <f t="shared" si="320"/>
        <v>1</v>
      </c>
      <c r="C5765" t="str">
        <f t="shared" si="321"/>
        <v>116</v>
      </c>
      <c r="D5765" t="str">
        <f>"42"</f>
        <v>42</v>
      </c>
      <c r="E5765" t="str">
        <f>"1-116-42"</f>
        <v>1-116-42</v>
      </c>
      <c r="F5765" t="s">
        <v>65</v>
      </c>
      <c r="G5765" t="s">
        <v>66</v>
      </c>
      <c r="H5765" t="s">
        <v>67</v>
      </c>
      <c r="S5765">
        <v>1</v>
      </c>
      <c r="T5765">
        <v>0</v>
      </c>
      <c r="U5765">
        <v>0</v>
      </c>
      <c r="V5765">
        <v>0</v>
      </c>
      <c r="W5765">
        <v>1</v>
      </c>
      <c r="X5765">
        <v>0</v>
      </c>
      <c r="Y5765">
        <v>1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1</v>
      </c>
      <c r="AF5765">
        <v>1</v>
      </c>
      <c r="AG5765">
        <v>1</v>
      </c>
      <c r="AH5765">
        <v>1</v>
      </c>
      <c r="AI5765">
        <v>1</v>
      </c>
      <c r="AJ5765">
        <v>1</v>
      </c>
      <c r="AK5765">
        <v>1</v>
      </c>
      <c r="AL5765">
        <v>1</v>
      </c>
      <c r="AM5765">
        <v>1</v>
      </c>
    </row>
    <row r="5766" spans="1:39" x14ac:dyDescent="0.2">
      <c r="A5766" t="str">
        <f>"5762"</f>
        <v>5762</v>
      </c>
      <c r="B5766" t="str">
        <f t="shared" si="320"/>
        <v>1</v>
      </c>
      <c r="C5766" t="str">
        <f t="shared" si="321"/>
        <v>116</v>
      </c>
      <c r="D5766" t="str">
        <f>"41"</f>
        <v>41</v>
      </c>
      <c r="E5766" t="str">
        <f>"1-116-41"</f>
        <v>1-116-41</v>
      </c>
      <c r="F5766" t="s">
        <v>65</v>
      </c>
      <c r="G5766" t="s">
        <v>66</v>
      </c>
      <c r="H5766" t="s">
        <v>67</v>
      </c>
      <c r="S5766">
        <v>0</v>
      </c>
      <c r="T5766">
        <v>1</v>
      </c>
      <c r="U5766">
        <v>0</v>
      </c>
      <c r="V5766">
        <v>0</v>
      </c>
      <c r="W5766">
        <v>1</v>
      </c>
      <c r="X5766">
        <v>0</v>
      </c>
      <c r="Y5766">
        <v>1</v>
      </c>
      <c r="Z5766">
        <v>0</v>
      </c>
      <c r="AA5766">
        <v>0</v>
      </c>
      <c r="AB5766">
        <v>0</v>
      </c>
      <c r="AC5766">
        <v>1</v>
      </c>
      <c r="AD5766">
        <v>1</v>
      </c>
      <c r="AE5766">
        <v>1</v>
      </c>
      <c r="AF5766">
        <v>1</v>
      </c>
      <c r="AG5766">
        <v>1</v>
      </c>
      <c r="AH5766">
        <v>1</v>
      </c>
      <c r="AI5766">
        <v>1</v>
      </c>
      <c r="AJ5766">
        <v>1</v>
      </c>
      <c r="AK5766">
        <v>1</v>
      </c>
      <c r="AL5766">
        <v>1</v>
      </c>
      <c r="AM5766">
        <v>1</v>
      </c>
    </row>
    <row r="5767" spans="1:39" x14ac:dyDescent="0.2">
      <c r="A5767" t="str">
        <f>"5763"</f>
        <v>5763</v>
      </c>
      <c r="B5767" t="str">
        <f t="shared" si="320"/>
        <v>1</v>
      </c>
      <c r="C5767" t="str">
        <f t="shared" si="321"/>
        <v>116</v>
      </c>
      <c r="D5767" t="str">
        <f>"26"</f>
        <v>26</v>
      </c>
      <c r="E5767" t="str">
        <f>"1-116-26"</f>
        <v>1-116-26</v>
      </c>
      <c r="F5767" t="s">
        <v>65</v>
      </c>
      <c r="G5767" t="s">
        <v>66</v>
      </c>
      <c r="H5767" t="s">
        <v>67</v>
      </c>
      <c r="S5767">
        <v>1</v>
      </c>
      <c r="T5767">
        <v>0</v>
      </c>
      <c r="U5767">
        <v>0</v>
      </c>
      <c r="V5767">
        <v>0</v>
      </c>
      <c r="W5767">
        <v>1</v>
      </c>
      <c r="X5767">
        <v>0</v>
      </c>
      <c r="Y5767">
        <v>0</v>
      </c>
      <c r="Z5767">
        <v>1</v>
      </c>
      <c r="AA5767">
        <v>1</v>
      </c>
      <c r="AB5767">
        <v>0</v>
      </c>
      <c r="AC5767">
        <v>0</v>
      </c>
      <c r="AD5767">
        <v>1</v>
      </c>
      <c r="AE5767">
        <v>1</v>
      </c>
      <c r="AF5767">
        <v>1</v>
      </c>
      <c r="AG5767">
        <v>1</v>
      </c>
      <c r="AH5767">
        <v>1</v>
      </c>
      <c r="AI5767">
        <v>1</v>
      </c>
      <c r="AJ5767">
        <v>1</v>
      </c>
      <c r="AK5767">
        <v>1</v>
      </c>
      <c r="AL5767">
        <v>1</v>
      </c>
      <c r="AM5767">
        <v>1</v>
      </c>
    </row>
    <row r="5768" spans="1:39" x14ac:dyDescent="0.2">
      <c r="A5768" t="str">
        <f>"5764"</f>
        <v>5764</v>
      </c>
      <c r="B5768" t="str">
        <f t="shared" si="320"/>
        <v>1</v>
      </c>
      <c r="C5768" t="str">
        <f t="shared" si="321"/>
        <v>116</v>
      </c>
      <c r="D5768" t="str">
        <f>"17"</f>
        <v>17</v>
      </c>
      <c r="E5768" t="str">
        <f>"1-116-17"</f>
        <v>1-116-17</v>
      </c>
      <c r="F5768" t="s">
        <v>65</v>
      </c>
      <c r="G5768" t="s">
        <v>66</v>
      </c>
      <c r="H5768" t="s">
        <v>67</v>
      </c>
      <c r="S5768">
        <v>1</v>
      </c>
      <c r="T5768">
        <v>0</v>
      </c>
      <c r="U5768">
        <v>0</v>
      </c>
      <c r="V5768">
        <v>0</v>
      </c>
      <c r="W5768">
        <v>1</v>
      </c>
      <c r="X5768">
        <v>0</v>
      </c>
      <c r="Y5768">
        <v>0</v>
      </c>
      <c r="Z5768">
        <v>1</v>
      </c>
      <c r="AA5768">
        <v>1</v>
      </c>
      <c r="AB5768">
        <v>0</v>
      </c>
      <c r="AC5768">
        <v>0</v>
      </c>
      <c r="AD5768">
        <v>1</v>
      </c>
      <c r="AE5768">
        <v>1</v>
      </c>
      <c r="AF5768">
        <v>1</v>
      </c>
      <c r="AG5768">
        <v>1</v>
      </c>
      <c r="AH5768">
        <v>1</v>
      </c>
      <c r="AI5768">
        <v>1</v>
      </c>
      <c r="AJ5768">
        <v>1</v>
      </c>
      <c r="AK5768">
        <v>1</v>
      </c>
      <c r="AL5768">
        <v>1</v>
      </c>
      <c r="AM5768">
        <v>1</v>
      </c>
    </row>
    <row r="5769" spans="1:39" x14ac:dyDescent="0.2">
      <c r="A5769" t="str">
        <f>"5765"</f>
        <v>5765</v>
      </c>
      <c r="B5769" t="str">
        <f t="shared" si="320"/>
        <v>1</v>
      </c>
      <c r="C5769" t="str">
        <f t="shared" si="321"/>
        <v>116</v>
      </c>
      <c r="D5769" t="str">
        <f>"1"</f>
        <v>1</v>
      </c>
      <c r="E5769" t="str">
        <f>"1-116-1"</f>
        <v>1-116-1</v>
      </c>
      <c r="F5769" t="s">
        <v>65</v>
      </c>
      <c r="G5769" t="s">
        <v>66</v>
      </c>
      <c r="H5769" t="s">
        <v>67</v>
      </c>
      <c r="S5769">
        <v>1</v>
      </c>
      <c r="T5769">
        <v>0</v>
      </c>
      <c r="U5769">
        <v>0</v>
      </c>
      <c r="V5769">
        <v>0</v>
      </c>
      <c r="W5769">
        <v>1</v>
      </c>
      <c r="X5769">
        <v>0</v>
      </c>
      <c r="Y5769">
        <v>1</v>
      </c>
      <c r="Z5769">
        <v>0</v>
      </c>
      <c r="AA5769">
        <v>0</v>
      </c>
      <c r="AB5769">
        <v>1</v>
      </c>
      <c r="AC5769">
        <v>0</v>
      </c>
      <c r="AD5769">
        <v>1</v>
      </c>
      <c r="AE5769">
        <v>1</v>
      </c>
      <c r="AF5769">
        <v>1</v>
      </c>
      <c r="AG5769">
        <v>1</v>
      </c>
      <c r="AH5769">
        <v>1</v>
      </c>
      <c r="AI5769">
        <v>1</v>
      </c>
      <c r="AJ5769">
        <v>1</v>
      </c>
      <c r="AK5769">
        <v>1</v>
      </c>
      <c r="AL5769">
        <v>1</v>
      </c>
      <c r="AM5769">
        <v>1</v>
      </c>
    </row>
    <row r="5770" spans="1:39" x14ac:dyDescent="0.2">
      <c r="A5770" t="str">
        <f>"5766"</f>
        <v>5766</v>
      </c>
      <c r="B5770" t="str">
        <f t="shared" si="320"/>
        <v>1</v>
      </c>
      <c r="C5770" t="str">
        <f t="shared" si="321"/>
        <v>116</v>
      </c>
      <c r="D5770" t="str">
        <f>"40"</f>
        <v>40</v>
      </c>
      <c r="E5770" t="str">
        <f>"1-116-40"</f>
        <v>1-116-40</v>
      </c>
      <c r="F5770" t="s">
        <v>65</v>
      </c>
      <c r="G5770" t="s">
        <v>66</v>
      </c>
      <c r="H5770" t="s">
        <v>67</v>
      </c>
      <c r="S5770">
        <v>0</v>
      </c>
      <c r="T5770">
        <v>1</v>
      </c>
      <c r="U5770">
        <v>0</v>
      </c>
      <c r="V5770">
        <v>0</v>
      </c>
      <c r="W5770">
        <v>1</v>
      </c>
      <c r="X5770">
        <v>0</v>
      </c>
      <c r="Y5770">
        <v>1</v>
      </c>
      <c r="Z5770">
        <v>0</v>
      </c>
      <c r="AA5770">
        <v>0</v>
      </c>
      <c r="AB5770">
        <v>0</v>
      </c>
      <c r="AC5770">
        <v>1</v>
      </c>
      <c r="AD5770">
        <v>1</v>
      </c>
      <c r="AE5770">
        <v>1</v>
      </c>
      <c r="AF5770">
        <v>1</v>
      </c>
      <c r="AG5770">
        <v>1</v>
      </c>
      <c r="AH5770">
        <v>1</v>
      </c>
      <c r="AI5770">
        <v>1</v>
      </c>
      <c r="AJ5770">
        <v>1</v>
      </c>
      <c r="AK5770">
        <v>1</v>
      </c>
      <c r="AL5770">
        <v>1</v>
      </c>
      <c r="AM5770">
        <v>1</v>
      </c>
    </row>
    <row r="5771" spans="1:39" x14ac:dyDescent="0.2">
      <c r="A5771" t="str">
        <f>"5767"</f>
        <v>5767</v>
      </c>
      <c r="B5771" t="str">
        <f t="shared" si="320"/>
        <v>1</v>
      </c>
      <c r="C5771" t="str">
        <f t="shared" si="321"/>
        <v>116</v>
      </c>
      <c r="D5771" t="str">
        <f>"39"</f>
        <v>39</v>
      </c>
      <c r="E5771" t="str">
        <f>"1-116-39"</f>
        <v>1-116-39</v>
      </c>
      <c r="F5771" t="s">
        <v>65</v>
      </c>
      <c r="G5771" t="s">
        <v>66</v>
      </c>
      <c r="H5771" t="s">
        <v>67</v>
      </c>
      <c r="S5771">
        <v>0</v>
      </c>
      <c r="T5771">
        <v>1</v>
      </c>
      <c r="U5771">
        <v>0</v>
      </c>
      <c r="V5771">
        <v>0</v>
      </c>
      <c r="W5771">
        <v>1</v>
      </c>
      <c r="X5771">
        <v>0</v>
      </c>
      <c r="Y5771">
        <v>1</v>
      </c>
      <c r="Z5771">
        <v>0</v>
      </c>
      <c r="AA5771">
        <v>0</v>
      </c>
      <c r="AB5771">
        <v>1</v>
      </c>
      <c r="AC5771">
        <v>0</v>
      </c>
      <c r="AD5771">
        <v>1</v>
      </c>
      <c r="AE5771">
        <v>1</v>
      </c>
      <c r="AF5771">
        <v>1</v>
      </c>
      <c r="AG5771">
        <v>1</v>
      </c>
      <c r="AH5771">
        <v>1</v>
      </c>
      <c r="AI5771">
        <v>1</v>
      </c>
      <c r="AJ5771">
        <v>1</v>
      </c>
      <c r="AK5771">
        <v>1</v>
      </c>
      <c r="AL5771">
        <v>1</v>
      </c>
      <c r="AM5771">
        <v>1</v>
      </c>
    </row>
    <row r="5772" spans="1:39" x14ac:dyDescent="0.2">
      <c r="A5772" t="str">
        <f>"5768"</f>
        <v>5768</v>
      </c>
      <c r="B5772" t="str">
        <f t="shared" si="320"/>
        <v>1</v>
      </c>
      <c r="C5772" t="str">
        <f t="shared" si="321"/>
        <v>116</v>
      </c>
      <c r="D5772" t="str">
        <f>"23"</f>
        <v>23</v>
      </c>
      <c r="E5772" t="str">
        <f>"1-116-23"</f>
        <v>1-116-23</v>
      </c>
      <c r="F5772" t="s">
        <v>65</v>
      </c>
      <c r="G5772" t="s">
        <v>66</v>
      </c>
      <c r="H5772" t="s">
        <v>67</v>
      </c>
      <c r="S5772">
        <v>1</v>
      </c>
      <c r="T5772">
        <v>0</v>
      </c>
      <c r="U5772">
        <v>0</v>
      </c>
      <c r="V5772">
        <v>0</v>
      </c>
      <c r="W5772">
        <v>1</v>
      </c>
      <c r="X5772">
        <v>0</v>
      </c>
      <c r="Y5772">
        <v>0</v>
      </c>
      <c r="Z5772">
        <v>1</v>
      </c>
      <c r="AA5772">
        <v>0</v>
      </c>
      <c r="AB5772">
        <v>0</v>
      </c>
      <c r="AC5772">
        <v>1</v>
      </c>
      <c r="AD5772">
        <v>1</v>
      </c>
      <c r="AE5772">
        <v>1</v>
      </c>
      <c r="AF5772">
        <v>1</v>
      </c>
      <c r="AG5772">
        <v>1</v>
      </c>
      <c r="AH5772">
        <v>1</v>
      </c>
      <c r="AI5772">
        <v>1</v>
      </c>
      <c r="AJ5772">
        <v>1</v>
      </c>
      <c r="AK5772">
        <v>1</v>
      </c>
      <c r="AL5772">
        <v>1</v>
      </c>
      <c r="AM5772">
        <v>1</v>
      </c>
    </row>
    <row r="5773" spans="1:39" x14ac:dyDescent="0.2">
      <c r="A5773" t="str">
        <f>"5769"</f>
        <v>5769</v>
      </c>
      <c r="B5773" t="str">
        <f t="shared" si="320"/>
        <v>1</v>
      </c>
      <c r="C5773" t="str">
        <f t="shared" si="321"/>
        <v>116</v>
      </c>
      <c r="D5773" t="str">
        <f>"18"</f>
        <v>18</v>
      </c>
      <c r="E5773" t="str">
        <f>"1-116-18"</f>
        <v>1-116-18</v>
      </c>
      <c r="F5773" t="s">
        <v>65</v>
      </c>
      <c r="G5773" t="s">
        <v>66</v>
      </c>
      <c r="H5773" t="s">
        <v>67</v>
      </c>
      <c r="S5773">
        <v>1</v>
      </c>
      <c r="T5773">
        <v>0</v>
      </c>
      <c r="U5773">
        <v>0</v>
      </c>
      <c r="V5773">
        <v>0</v>
      </c>
      <c r="W5773">
        <v>1</v>
      </c>
      <c r="X5773">
        <v>0</v>
      </c>
      <c r="Y5773">
        <v>0</v>
      </c>
      <c r="Z5773">
        <v>1</v>
      </c>
      <c r="AA5773">
        <v>1</v>
      </c>
      <c r="AB5773">
        <v>0</v>
      </c>
      <c r="AC5773">
        <v>0</v>
      </c>
      <c r="AD5773">
        <v>1</v>
      </c>
      <c r="AE5773">
        <v>1</v>
      </c>
      <c r="AF5773">
        <v>1</v>
      </c>
      <c r="AG5773">
        <v>1</v>
      </c>
      <c r="AH5773">
        <v>1</v>
      </c>
      <c r="AI5773">
        <v>1</v>
      </c>
      <c r="AJ5773">
        <v>1</v>
      </c>
      <c r="AK5773">
        <v>1</v>
      </c>
      <c r="AL5773">
        <v>1</v>
      </c>
      <c r="AM5773">
        <v>1</v>
      </c>
    </row>
    <row r="5774" spans="1:39" x14ac:dyDescent="0.2">
      <c r="A5774" t="str">
        <f>"5770"</f>
        <v>5770</v>
      </c>
      <c r="B5774" t="str">
        <f t="shared" si="320"/>
        <v>1</v>
      </c>
      <c r="C5774" t="str">
        <f t="shared" si="321"/>
        <v>116</v>
      </c>
      <c r="D5774" t="str">
        <f>"2"</f>
        <v>2</v>
      </c>
      <c r="E5774" t="str">
        <f>"1-116-2"</f>
        <v>1-116-2</v>
      </c>
      <c r="F5774" t="s">
        <v>65</v>
      </c>
      <c r="G5774" t="s">
        <v>66</v>
      </c>
      <c r="H5774" t="s">
        <v>67</v>
      </c>
      <c r="S5774">
        <v>1</v>
      </c>
      <c r="T5774">
        <v>0</v>
      </c>
      <c r="U5774">
        <v>0</v>
      </c>
      <c r="V5774">
        <v>0</v>
      </c>
      <c r="W5774">
        <v>0</v>
      </c>
      <c r="X5774">
        <v>1</v>
      </c>
      <c r="Y5774">
        <v>1</v>
      </c>
      <c r="Z5774">
        <v>0</v>
      </c>
      <c r="AA5774">
        <v>0</v>
      </c>
      <c r="AB5774">
        <v>1</v>
      </c>
      <c r="AC5774">
        <v>0</v>
      </c>
      <c r="AD5774">
        <v>1</v>
      </c>
      <c r="AE5774">
        <v>1</v>
      </c>
      <c r="AF5774">
        <v>1</v>
      </c>
      <c r="AG5774">
        <v>1</v>
      </c>
      <c r="AH5774">
        <v>1</v>
      </c>
      <c r="AI5774">
        <v>1</v>
      </c>
      <c r="AJ5774">
        <v>1</v>
      </c>
      <c r="AK5774">
        <v>1</v>
      </c>
      <c r="AL5774">
        <v>1</v>
      </c>
      <c r="AM5774">
        <v>1</v>
      </c>
    </row>
    <row r="5775" spans="1:39" x14ac:dyDescent="0.2">
      <c r="A5775" t="str">
        <f>"5771"</f>
        <v>5771</v>
      </c>
      <c r="B5775" t="str">
        <f t="shared" si="320"/>
        <v>1</v>
      </c>
      <c r="C5775" t="str">
        <f t="shared" si="321"/>
        <v>116</v>
      </c>
      <c r="D5775" t="str">
        <f>"37"</f>
        <v>37</v>
      </c>
      <c r="E5775" t="str">
        <f>"1-116-37"</f>
        <v>1-116-37</v>
      </c>
      <c r="F5775" t="s">
        <v>65</v>
      </c>
      <c r="G5775" t="s">
        <v>66</v>
      </c>
      <c r="H5775" t="s">
        <v>67</v>
      </c>
      <c r="S5775">
        <v>1</v>
      </c>
      <c r="T5775">
        <v>0</v>
      </c>
      <c r="U5775">
        <v>0</v>
      </c>
      <c r="V5775">
        <v>0</v>
      </c>
      <c r="W5775">
        <v>1</v>
      </c>
      <c r="X5775">
        <v>0</v>
      </c>
      <c r="Y5775">
        <v>1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1</v>
      </c>
      <c r="AF5775">
        <v>1</v>
      </c>
      <c r="AG5775">
        <v>1</v>
      </c>
      <c r="AH5775">
        <v>1</v>
      </c>
      <c r="AI5775">
        <v>1</v>
      </c>
      <c r="AJ5775">
        <v>1</v>
      </c>
      <c r="AK5775">
        <v>1</v>
      </c>
      <c r="AL5775">
        <v>1</v>
      </c>
      <c r="AM5775">
        <v>1</v>
      </c>
    </row>
    <row r="5776" spans="1:39" x14ac:dyDescent="0.2">
      <c r="A5776" t="str">
        <f>"5772"</f>
        <v>5772</v>
      </c>
      <c r="B5776" t="str">
        <f t="shared" si="320"/>
        <v>1</v>
      </c>
      <c r="C5776" t="str">
        <f t="shared" si="321"/>
        <v>116</v>
      </c>
      <c r="D5776" t="str">
        <f>"19"</f>
        <v>19</v>
      </c>
      <c r="E5776" t="str">
        <f>"1-116-19"</f>
        <v>1-116-19</v>
      </c>
      <c r="F5776" t="s">
        <v>65</v>
      </c>
      <c r="G5776" t="s">
        <v>66</v>
      </c>
      <c r="H5776" t="s">
        <v>67</v>
      </c>
      <c r="S5776">
        <v>1</v>
      </c>
      <c r="T5776">
        <v>0</v>
      </c>
      <c r="U5776">
        <v>0</v>
      </c>
      <c r="V5776">
        <v>0</v>
      </c>
      <c r="W5776">
        <v>1</v>
      </c>
      <c r="X5776">
        <v>0</v>
      </c>
      <c r="Y5776">
        <v>1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1</v>
      </c>
      <c r="AF5776">
        <v>1</v>
      </c>
      <c r="AG5776">
        <v>1</v>
      </c>
      <c r="AH5776">
        <v>1</v>
      </c>
      <c r="AI5776">
        <v>1</v>
      </c>
      <c r="AJ5776">
        <v>1</v>
      </c>
      <c r="AK5776">
        <v>1</v>
      </c>
      <c r="AL5776">
        <v>1</v>
      </c>
      <c r="AM5776">
        <v>1</v>
      </c>
    </row>
    <row r="5777" spans="1:39" x14ac:dyDescent="0.2">
      <c r="A5777" t="str">
        <f>"5773"</f>
        <v>5773</v>
      </c>
      <c r="B5777" t="str">
        <f t="shared" si="320"/>
        <v>1</v>
      </c>
      <c r="C5777" t="str">
        <f t="shared" si="321"/>
        <v>116</v>
      </c>
      <c r="D5777" t="str">
        <f>"3"</f>
        <v>3</v>
      </c>
      <c r="E5777" t="str">
        <f>"1-116-3"</f>
        <v>1-116-3</v>
      </c>
      <c r="F5777" t="s">
        <v>65</v>
      </c>
      <c r="G5777" t="s">
        <v>66</v>
      </c>
      <c r="H5777" t="s">
        <v>67</v>
      </c>
      <c r="S5777">
        <v>0</v>
      </c>
      <c r="T5777">
        <v>1</v>
      </c>
      <c r="U5777">
        <v>0</v>
      </c>
      <c r="V5777">
        <v>0</v>
      </c>
      <c r="W5777">
        <v>1</v>
      </c>
      <c r="X5777">
        <v>0</v>
      </c>
      <c r="Y5777">
        <v>0</v>
      </c>
      <c r="Z5777">
        <v>1</v>
      </c>
      <c r="AA5777">
        <v>0</v>
      </c>
      <c r="AB5777">
        <v>0</v>
      </c>
      <c r="AC5777">
        <v>1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</row>
    <row r="5778" spans="1:39" x14ac:dyDescent="0.2">
      <c r="A5778" t="str">
        <f>"5774"</f>
        <v>5774</v>
      </c>
      <c r="B5778" t="str">
        <f t="shared" si="320"/>
        <v>1</v>
      </c>
      <c r="C5778" t="str">
        <f t="shared" si="321"/>
        <v>116</v>
      </c>
      <c r="D5778" t="str">
        <f>"38"</f>
        <v>38</v>
      </c>
      <c r="E5778" t="str">
        <f>"1-116-38"</f>
        <v>1-116-38</v>
      </c>
      <c r="F5778" t="s">
        <v>65</v>
      </c>
      <c r="G5778" t="s">
        <v>66</v>
      </c>
      <c r="H5778" t="s">
        <v>67</v>
      </c>
      <c r="S5778">
        <v>1</v>
      </c>
      <c r="T5778">
        <v>0</v>
      </c>
      <c r="U5778">
        <v>0</v>
      </c>
      <c r="V5778">
        <v>0</v>
      </c>
      <c r="W5778">
        <v>1</v>
      </c>
      <c r="X5778">
        <v>0</v>
      </c>
      <c r="Y5778">
        <v>1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1</v>
      </c>
      <c r="AF5778">
        <v>1</v>
      </c>
      <c r="AG5778">
        <v>1</v>
      </c>
      <c r="AH5778">
        <v>1</v>
      </c>
      <c r="AI5778">
        <v>1</v>
      </c>
      <c r="AJ5778">
        <v>1</v>
      </c>
      <c r="AK5778">
        <v>1</v>
      </c>
      <c r="AL5778">
        <v>1</v>
      </c>
      <c r="AM5778">
        <v>1</v>
      </c>
    </row>
    <row r="5779" spans="1:39" x14ac:dyDescent="0.2">
      <c r="A5779" t="str">
        <f>"5775"</f>
        <v>5775</v>
      </c>
      <c r="B5779" t="str">
        <f t="shared" si="320"/>
        <v>1</v>
      </c>
      <c r="C5779" t="str">
        <f t="shared" si="321"/>
        <v>116</v>
      </c>
      <c r="D5779" t="str">
        <f>"20"</f>
        <v>20</v>
      </c>
      <c r="E5779" t="str">
        <f>"1-116-20"</f>
        <v>1-116-20</v>
      </c>
      <c r="F5779" t="s">
        <v>65</v>
      </c>
      <c r="G5779" t="s">
        <v>66</v>
      </c>
      <c r="H5779" t="s">
        <v>67</v>
      </c>
      <c r="S5779">
        <v>1</v>
      </c>
      <c r="T5779">
        <v>0</v>
      </c>
      <c r="U5779">
        <v>0</v>
      </c>
      <c r="V5779">
        <v>0</v>
      </c>
      <c r="W5779">
        <v>1</v>
      </c>
      <c r="X5779">
        <v>0</v>
      </c>
      <c r="Y5779">
        <v>0</v>
      </c>
      <c r="Z5779">
        <v>1</v>
      </c>
      <c r="AA5779">
        <v>0</v>
      </c>
      <c r="AB5779">
        <v>1</v>
      </c>
      <c r="AC5779">
        <v>0</v>
      </c>
      <c r="AD5779">
        <v>1</v>
      </c>
      <c r="AE5779">
        <v>1</v>
      </c>
      <c r="AF5779">
        <v>1</v>
      </c>
      <c r="AG5779">
        <v>1</v>
      </c>
      <c r="AH5779">
        <v>1</v>
      </c>
      <c r="AI5779">
        <v>1</v>
      </c>
      <c r="AJ5779">
        <v>1</v>
      </c>
      <c r="AK5779">
        <v>1</v>
      </c>
      <c r="AL5779">
        <v>1</v>
      </c>
      <c r="AM5779">
        <v>1</v>
      </c>
    </row>
    <row r="5780" spans="1:39" x14ac:dyDescent="0.2">
      <c r="A5780" t="str">
        <f>"5776"</f>
        <v>5776</v>
      </c>
      <c r="B5780" t="str">
        <f t="shared" si="320"/>
        <v>1</v>
      </c>
      <c r="C5780" t="str">
        <f t="shared" si="321"/>
        <v>116</v>
      </c>
      <c r="D5780" t="str">
        <f>"10"</f>
        <v>10</v>
      </c>
      <c r="E5780" t="str">
        <f>"1-116-10"</f>
        <v>1-116-10</v>
      </c>
      <c r="F5780" t="s">
        <v>65</v>
      </c>
      <c r="G5780" t="s">
        <v>66</v>
      </c>
      <c r="H5780" t="s">
        <v>67</v>
      </c>
      <c r="S5780">
        <v>0</v>
      </c>
      <c r="T5780">
        <v>1</v>
      </c>
      <c r="U5780">
        <v>0</v>
      </c>
      <c r="V5780">
        <v>0</v>
      </c>
      <c r="W5780">
        <v>0</v>
      </c>
      <c r="X5780">
        <v>1</v>
      </c>
      <c r="Y5780">
        <v>0</v>
      </c>
      <c r="Z5780">
        <v>1</v>
      </c>
      <c r="AA5780">
        <v>1</v>
      </c>
      <c r="AB5780">
        <v>0</v>
      </c>
      <c r="AC5780">
        <v>0</v>
      </c>
      <c r="AD5780">
        <v>0</v>
      </c>
      <c r="AE5780">
        <v>1</v>
      </c>
      <c r="AF5780">
        <v>1</v>
      </c>
      <c r="AG5780">
        <v>1</v>
      </c>
      <c r="AH5780">
        <v>1</v>
      </c>
      <c r="AI5780">
        <v>0</v>
      </c>
      <c r="AJ5780">
        <v>1</v>
      </c>
      <c r="AK5780">
        <v>1</v>
      </c>
      <c r="AL5780">
        <v>1</v>
      </c>
      <c r="AM5780">
        <v>1</v>
      </c>
    </row>
    <row r="5781" spans="1:39" x14ac:dyDescent="0.2">
      <c r="A5781" t="str">
        <f>"5777"</f>
        <v>5777</v>
      </c>
      <c r="B5781" t="str">
        <f t="shared" si="320"/>
        <v>1</v>
      </c>
      <c r="C5781" t="str">
        <f t="shared" si="321"/>
        <v>116</v>
      </c>
      <c r="D5781" t="str">
        <f>"43"</f>
        <v>43</v>
      </c>
      <c r="E5781" t="str">
        <f>"1-116-43"</f>
        <v>1-116-43</v>
      </c>
      <c r="F5781" t="s">
        <v>65</v>
      </c>
      <c r="G5781" t="s">
        <v>66</v>
      </c>
      <c r="H5781" t="s">
        <v>67</v>
      </c>
      <c r="S5781">
        <v>0</v>
      </c>
      <c r="T5781">
        <v>1</v>
      </c>
      <c r="U5781">
        <v>0</v>
      </c>
      <c r="V5781">
        <v>0</v>
      </c>
      <c r="W5781">
        <v>1</v>
      </c>
      <c r="X5781">
        <v>0</v>
      </c>
      <c r="Y5781">
        <v>1</v>
      </c>
      <c r="Z5781">
        <v>0</v>
      </c>
      <c r="AA5781">
        <v>0</v>
      </c>
      <c r="AB5781">
        <v>1</v>
      </c>
      <c r="AC5781">
        <v>0</v>
      </c>
      <c r="AD5781">
        <v>1</v>
      </c>
      <c r="AE5781">
        <v>1</v>
      </c>
      <c r="AF5781">
        <v>1</v>
      </c>
      <c r="AG5781">
        <v>1</v>
      </c>
      <c r="AH5781">
        <v>1</v>
      </c>
      <c r="AI5781">
        <v>1</v>
      </c>
      <c r="AJ5781">
        <v>1</v>
      </c>
      <c r="AK5781">
        <v>1</v>
      </c>
      <c r="AL5781">
        <v>1</v>
      </c>
      <c r="AM5781">
        <v>1</v>
      </c>
    </row>
    <row r="5782" spans="1:39" x14ac:dyDescent="0.2">
      <c r="A5782" t="str">
        <f>"5778"</f>
        <v>5778</v>
      </c>
      <c r="B5782" t="str">
        <f t="shared" si="320"/>
        <v>1</v>
      </c>
      <c r="C5782" t="str">
        <f t="shared" si="321"/>
        <v>116</v>
      </c>
      <c r="D5782" t="str">
        <f>"22"</f>
        <v>22</v>
      </c>
      <c r="E5782" t="str">
        <f>"1-116-22"</f>
        <v>1-116-22</v>
      </c>
      <c r="F5782" t="s">
        <v>65</v>
      </c>
      <c r="G5782" t="s">
        <v>66</v>
      </c>
      <c r="H5782" t="s">
        <v>67</v>
      </c>
      <c r="S5782">
        <v>1</v>
      </c>
      <c r="T5782">
        <v>0</v>
      </c>
      <c r="U5782">
        <v>0</v>
      </c>
      <c r="V5782">
        <v>0</v>
      </c>
      <c r="W5782">
        <v>1</v>
      </c>
      <c r="X5782">
        <v>0</v>
      </c>
      <c r="Y5782">
        <v>1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1</v>
      </c>
      <c r="AF5782">
        <v>1</v>
      </c>
      <c r="AG5782">
        <v>1</v>
      </c>
      <c r="AH5782">
        <v>1</v>
      </c>
      <c r="AI5782">
        <v>1</v>
      </c>
      <c r="AJ5782">
        <v>1</v>
      </c>
      <c r="AK5782">
        <v>1</v>
      </c>
      <c r="AL5782">
        <v>1</v>
      </c>
      <c r="AM5782">
        <v>1</v>
      </c>
    </row>
    <row r="5783" spans="1:39" x14ac:dyDescent="0.2">
      <c r="A5783" t="str">
        <f>"5779"</f>
        <v>5779</v>
      </c>
      <c r="B5783" t="str">
        <f t="shared" si="320"/>
        <v>1</v>
      </c>
      <c r="C5783" t="str">
        <f t="shared" si="321"/>
        <v>116</v>
      </c>
      <c r="D5783" t="str">
        <f>"12"</f>
        <v>12</v>
      </c>
      <c r="E5783" t="str">
        <f>"1-116-12"</f>
        <v>1-116-12</v>
      </c>
      <c r="F5783" t="s">
        <v>65</v>
      </c>
      <c r="G5783" t="s">
        <v>66</v>
      </c>
      <c r="H5783" t="s">
        <v>67</v>
      </c>
      <c r="S5783">
        <v>1</v>
      </c>
      <c r="T5783">
        <v>0</v>
      </c>
      <c r="U5783">
        <v>0</v>
      </c>
      <c r="V5783">
        <v>0</v>
      </c>
      <c r="W5783">
        <v>1</v>
      </c>
      <c r="X5783">
        <v>0</v>
      </c>
      <c r="Y5783">
        <v>1</v>
      </c>
      <c r="Z5783">
        <v>0</v>
      </c>
      <c r="AA5783">
        <v>0</v>
      </c>
      <c r="AB5783">
        <v>1</v>
      </c>
      <c r="AC5783">
        <v>0</v>
      </c>
      <c r="AD5783">
        <v>1</v>
      </c>
      <c r="AE5783">
        <v>1</v>
      </c>
      <c r="AF5783">
        <v>1</v>
      </c>
      <c r="AG5783">
        <v>1</v>
      </c>
      <c r="AH5783">
        <v>1</v>
      </c>
      <c r="AI5783">
        <v>1</v>
      </c>
      <c r="AJ5783">
        <v>1</v>
      </c>
      <c r="AK5783">
        <v>1</v>
      </c>
      <c r="AL5783">
        <v>1</v>
      </c>
      <c r="AM5783">
        <v>1</v>
      </c>
    </row>
    <row r="5784" spans="1:39" x14ac:dyDescent="0.2">
      <c r="A5784" t="str">
        <f>"5780"</f>
        <v>5780</v>
      </c>
      <c r="B5784" t="str">
        <f t="shared" si="320"/>
        <v>1</v>
      </c>
      <c r="C5784" t="str">
        <f t="shared" si="321"/>
        <v>116</v>
      </c>
      <c r="D5784" t="str">
        <f>"44"</f>
        <v>44</v>
      </c>
      <c r="E5784" t="str">
        <f>"1-116-44"</f>
        <v>1-116-44</v>
      </c>
      <c r="F5784" t="s">
        <v>65</v>
      </c>
      <c r="G5784" t="s">
        <v>66</v>
      </c>
      <c r="H5784" t="s">
        <v>67</v>
      </c>
      <c r="S5784">
        <v>0</v>
      </c>
      <c r="T5784">
        <v>1</v>
      </c>
      <c r="U5784">
        <v>0</v>
      </c>
      <c r="V5784">
        <v>0</v>
      </c>
      <c r="W5784">
        <v>1</v>
      </c>
      <c r="X5784">
        <v>0</v>
      </c>
      <c r="Y5784">
        <v>1</v>
      </c>
      <c r="Z5784">
        <v>0</v>
      </c>
      <c r="AA5784">
        <v>0</v>
      </c>
      <c r="AB5784">
        <v>1</v>
      </c>
      <c r="AC5784">
        <v>0</v>
      </c>
      <c r="AD5784">
        <v>1</v>
      </c>
      <c r="AE5784">
        <v>1</v>
      </c>
      <c r="AF5784">
        <v>1</v>
      </c>
      <c r="AG5784">
        <v>1</v>
      </c>
      <c r="AH5784">
        <v>1</v>
      </c>
      <c r="AI5784">
        <v>1</v>
      </c>
      <c r="AJ5784">
        <v>1</v>
      </c>
      <c r="AK5784">
        <v>1</v>
      </c>
      <c r="AL5784">
        <v>1</v>
      </c>
      <c r="AM5784">
        <v>1</v>
      </c>
    </row>
    <row r="5785" spans="1:39" x14ac:dyDescent="0.2">
      <c r="A5785" t="str">
        <f>"5781"</f>
        <v>5781</v>
      </c>
      <c r="B5785" t="str">
        <f t="shared" si="320"/>
        <v>1</v>
      </c>
      <c r="C5785" t="str">
        <f t="shared" si="321"/>
        <v>116</v>
      </c>
      <c r="D5785" t="str">
        <f>"25"</f>
        <v>25</v>
      </c>
      <c r="E5785" t="str">
        <f>"1-116-25"</f>
        <v>1-116-25</v>
      </c>
      <c r="F5785" t="s">
        <v>65</v>
      </c>
      <c r="G5785" t="s">
        <v>66</v>
      </c>
      <c r="H5785" t="s">
        <v>67</v>
      </c>
      <c r="S5785">
        <v>1</v>
      </c>
      <c r="T5785">
        <v>0</v>
      </c>
      <c r="U5785">
        <v>0</v>
      </c>
      <c r="V5785">
        <v>0</v>
      </c>
      <c r="W5785">
        <v>1</v>
      </c>
      <c r="X5785">
        <v>0</v>
      </c>
      <c r="Y5785">
        <v>1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1</v>
      </c>
      <c r="AF5785">
        <v>1</v>
      </c>
      <c r="AG5785">
        <v>1</v>
      </c>
      <c r="AH5785">
        <v>1</v>
      </c>
      <c r="AI5785">
        <v>1</v>
      </c>
      <c r="AJ5785">
        <v>1</v>
      </c>
      <c r="AK5785">
        <v>1</v>
      </c>
      <c r="AL5785">
        <v>1</v>
      </c>
      <c r="AM5785">
        <v>1</v>
      </c>
    </row>
    <row r="5786" spans="1:39" x14ac:dyDescent="0.2">
      <c r="A5786" t="str">
        <f>"5782"</f>
        <v>5782</v>
      </c>
      <c r="B5786" t="str">
        <f t="shared" si="320"/>
        <v>1</v>
      </c>
      <c r="C5786" t="str">
        <f t="shared" si="321"/>
        <v>116</v>
      </c>
      <c r="D5786" t="str">
        <f>"7"</f>
        <v>7</v>
      </c>
      <c r="E5786" t="str">
        <f>"1-116-7"</f>
        <v>1-116-7</v>
      </c>
      <c r="F5786" t="s">
        <v>65</v>
      </c>
      <c r="G5786" t="s">
        <v>66</v>
      </c>
      <c r="H5786" t="s">
        <v>67</v>
      </c>
      <c r="S5786">
        <v>0</v>
      </c>
      <c r="T5786">
        <v>1</v>
      </c>
      <c r="U5786">
        <v>0</v>
      </c>
      <c r="V5786">
        <v>0</v>
      </c>
      <c r="W5786">
        <v>1</v>
      </c>
      <c r="X5786">
        <v>0</v>
      </c>
      <c r="Y5786">
        <v>0</v>
      </c>
      <c r="Z5786">
        <v>1</v>
      </c>
      <c r="AA5786">
        <v>0</v>
      </c>
      <c r="AB5786">
        <v>0</v>
      </c>
      <c r="AC5786">
        <v>1</v>
      </c>
      <c r="AD5786">
        <v>1</v>
      </c>
      <c r="AE5786">
        <v>1</v>
      </c>
      <c r="AF5786">
        <v>1</v>
      </c>
      <c r="AG5786">
        <v>1</v>
      </c>
      <c r="AH5786">
        <v>1</v>
      </c>
      <c r="AI5786">
        <v>1</v>
      </c>
      <c r="AJ5786">
        <v>1</v>
      </c>
      <c r="AK5786">
        <v>1</v>
      </c>
      <c r="AL5786">
        <v>1</v>
      </c>
      <c r="AM5786">
        <v>1</v>
      </c>
    </row>
    <row r="5787" spans="1:39" x14ac:dyDescent="0.2">
      <c r="A5787" t="str">
        <f>"5783"</f>
        <v>5783</v>
      </c>
      <c r="B5787" t="str">
        <f t="shared" si="320"/>
        <v>1</v>
      </c>
      <c r="C5787" t="str">
        <f t="shared" ref="C5787:C5804" si="322">"116"</f>
        <v>116</v>
      </c>
      <c r="D5787" t="str">
        <f>"47"</f>
        <v>47</v>
      </c>
      <c r="E5787" t="str">
        <f>"1-116-47"</f>
        <v>1-116-47</v>
      </c>
      <c r="F5787" t="s">
        <v>65</v>
      </c>
      <c r="G5787" t="s">
        <v>66</v>
      </c>
      <c r="H5787" t="s">
        <v>67</v>
      </c>
      <c r="S5787">
        <v>1</v>
      </c>
      <c r="T5787">
        <v>0</v>
      </c>
      <c r="U5787">
        <v>0</v>
      </c>
      <c r="V5787">
        <v>0</v>
      </c>
      <c r="W5787">
        <v>1</v>
      </c>
      <c r="X5787">
        <v>0</v>
      </c>
      <c r="Y5787">
        <v>0</v>
      </c>
      <c r="Z5787">
        <v>1</v>
      </c>
      <c r="AA5787">
        <v>1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1</v>
      </c>
      <c r="AM5787">
        <v>0</v>
      </c>
    </row>
    <row r="5788" spans="1:39" x14ac:dyDescent="0.2">
      <c r="A5788" t="str">
        <f>"5784"</f>
        <v>5784</v>
      </c>
      <c r="B5788" t="str">
        <f t="shared" si="320"/>
        <v>1</v>
      </c>
      <c r="C5788" t="str">
        <f t="shared" si="322"/>
        <v>116</v>
      </c>
      <c r="D5788" t="str">
        <f>"27"</f>
        <v>27</v>
      </c>
      <c r="E5788" t="str">
        <f>"1-116-27"</f>
        <v>1-116-27</v>
      </c>
      <c r="F5788" t="s">
        <v>65</v>
      </c>
      <c r="G5788" t="s">
        <v>66</v>
      </c>
      <c r="H5788" t="s">
        <v>67</v>
      </c>
      <c r="S5788">
        <v>1</v>
      </c>
      <c r="T5788">
        <v>0</v>
      </c>
      <c r="U5788">
        <v>0</v>
      </c>
      <c r="V5788">
        <v>0</v>
      </c>
      <c r="W5788">
        <v>1</v>
      </c>
      <c r="X5788">
        <v>0</v>
      </c>
      <c r="Y5788">
        <v>0</v>
      </c>
      <c r="Z5788">
        <v>1</v>
      </c>
      <c r="AA5788">
        <v>1</v>
      </c>
      <c r="AB5788">
        <v>0</v>
      </c>
      <c r="AC5788">
        <v>0</v>
      </c>
      <c r="AD5788">
        <v>1</v>
      </c>
      <c r="AE5788">
        <v>1</v>
      </c>
      <c r="AF5788">
        <v>1</v>
      </c>
      <c r="AG5788">
        <v>1</v>
      </c>
      <c r="AH5788">
        <v>1</v>
      </c>
      <c r="AI5788">
        <v>1</v>
      </c>
      <c r="AJ5788">
        <v>1</v>
      </c>
      <c r="AK5788">
        <v>1</v>
      </c>
      <c r="AL5788">
        <v>1</v>
      </c>
      <c r="AM5788">
        <v>1</v>
      </c>
    </row>
    <row r="5789" spans="1:39" x14ac:dyDescent="0.2">
      <c r="A5789" t="str">
        <f>"5785"</f>
        <v>5785</v>
      </c>
      <c r="B5789" t="str">
        <f t="shared" si="320"/>
        <v>1</v>
      </c>
      <c r="C5789" t="str">
        <f t="shared" si="322"/>
        <v>116</v>
      </c>
      <c r="D5789" t="str">
        <f>"8"</f>
        <v>8</v>
      </c>
      <c r="E5789" t="str">
        <f>"1-116-8"</f>
        <v>1-116-8</v>
      </c>
      <c r="F5789" t="s">
        <v>65</v>
      </c>
      <c r="G5789" t="s">
        <v>66</v>
      </c>
      <c r="H5789" t="s">
        <v>67</v>
      </c>
      <c r="S5789">
        <v>0</v>
      </c>
      <c r="T5789">
        <v>1</v>
      </c>
      <c r="U5789">
        <v>0</v>
      </c>
      <c r="V5789">
        <v>0</v>
      </c>
      <c r="W5789">
        <v>1</v>
      </c>
      <c r="X5789">
        <v>0</v>
      </c>
      <c r="Y5789">
        <v>0</v>
      </c>
      <c r="Z5789">
        <v>1</v>
      </c>
      <c r="AA5789">
        <v>0</v>
      </c>
      <c r="AB5789">
        <v>0</v>
      </c>
      <c r="AC5789">
        <v>1</v>
      </c>
      <c r="AD5789">
        <v>1</v>
      </c>
      <c r="AE5789">
        <v>1</v>
      </c>
      <c r="AF5789">
        <v>1</v>
      </c>
      <c r="AG5789">
        <v>1</v>
      </c>
      <c r="AH5789">
        <v>1</v>
      </c>
      <c r="AI5789">
        <v>1</v>
      </c>
      <c r="AJ5789">
        <v>1</v>
      </c>
      <c r="AK5789">
        <v>1</v>
      </c>
      <c r="AL5789">
        <v>1</v>
      </c>
      <c r="AM5789">
        <v>1</v>
      </c>
    </row>
    <row r="5790" spans="1:39" x14ac:dyDescent="0.2">
      <c r="A5790" t="str">
        <f>"5786"</f>
        <v>5786</v>
      </c>
      <c r="B5790" t="str">
        <f t="shared" si="320"/>
        <v>1</v>
      </c>
      <c r="C5790" t="str">
        <f t="shared" si="322"/>
        <v>116</v>
      </c>
      <c r="D5790" t="str">
        <f>"45"</f>
        <v>45</v>
      </c>
      <c r="E5790" t="str">
        <f>"1-116-45"</f>
        <v>1-116-45</v>
      </c>
      <c r="F5790" t="s">
        <v>65</v>
      </c>
      <c r="G5790" t="s">
        <v>66</v>
      </c>
      <c r="H5790" t="s">
        <v>67</v>
      </c>
      <c r="S5790">
        <v>0</v>
      </c>
      <c r="T5790">
        <v>1</v>
      </c>
      <c r="U5790">
        <v>0</v>
      </c>
      <c r="V5790">
        <v>0</v>
      </c>
      <c r="W5790">
        <v>0</v>
      </c>
      <c r="X5790">
        <v>1</v>
      </c>
      <c r="Y5790">
        <v>1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1</v>
      </c>
      <c r="AH5790">
        <v>1</v>
      </c>
      <c r="AI5790">
        <v>0</v>
      </c>
      <c r="AJ5790">
        <v>0</v>
      </c>
      <c r="AK5790">
        <v>0</v>
      </c>
      <c r="AL5790">
        <v>1</v>
      </c>
      <c r="AM5790">
        <v>0</v>
      </c>
    </row>
    <row r="5791" spans="1:39" x14ac:dyDescent="0.2">
      <c r="A5791" t="str">
        <f>"5787"</f>
        <v>5787</v>
      </c>
      <c r="B5791" t="str">
        <f t="shared" si="320"/>
        <v>1</v>
      </c>
      <c r="C5791" t="str">
        <f t="shared" si="322"/>
        <v>116</v>
      </c>
      <c r="D5791" t="str">
        <f>"28"</f>
        <v>28</v>
      </c>
      <c r="E5791" t="str">
        <f>"1-116-28"</f>
        <v>1-116-28</v>
      </c>
      <c r="F5791" t="s">
        <v>65</v>
      </c>
      <c r="G5791" t="s">
        <v>66</v>
      </c>
      <c r="H5791" t="s">
        <v>67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1</v>
      </c>
      <c r="Y5791">
        <v>1</v>
      </c>
      <c r="Z5791">
        <v>0</v>
      </c>
      <c r="AA5791">
        <v>0</v>
      </c>
      <c r="AB5791">
        <v>0</v>
      </c>
      <c r="AC5791">
        <v>1</v>
      </c>
      <c r="AD5791">
        <v>1</v>
      </c>
      <c r="AE5791">
        <v>1</v>
      </c>
      <c r="AF5791">
        <v>1</v>
      </c>
      <c r="AG5791">
        <v>1</v>
      </c>
      <c r="AH5791">
        <v>1</v>
      </c>
      <c r="AI5791">
        <v>1</v>
      </c>
      <c r="AJ5791">
        <v>1</v>
      </c>
      <c r="AK5791">
        <v>1</v>
      </c>
      <c r="AL5791">
        <v>1</v>
      </c>
      <c r="AM5791">
        <v>1</v>
      </c>
    </row>
    <row r="5792" spans="1:39" x14ac:dyDescent="0.2">
      <c r="A5792" t="str">
        <f>"5788"</f>
        <v>5788</v>
      </c>
      <c r="B5792" t="str">
        <f t="shared" si="320"/>
        <v>1</v>
      </c>
      <c r="C5792" t="str">
        <f t="shared" si="322"/>
        <v>116</v>
      </c>
      <c r="D5792" t="str">
        <f>"6"</f>
        <v>6</v>
      </c>
      <c r="E5792" t="str">
        <f>"1-116-6"</f>
        <v>1-116-6</v>
      </c>
      <c r="F5792" t="s">
        <v>65</v>
      </c>
      <c r="G5792" t="s">
        <v>66</v>
      </c>
      <c r="H5792" t="s">
        <v>67</v>
      </c>
      <c r="S5792">
        <v>1</v>
      </c>
      <c r="T5792">
        <v>0</v>
      </c>
      <c r="U5792">
        <v>0</v>
      </c>
      <c r="V5792">
        <v>0</v>
      </c>
      <c r="W5792">
        <v>1</v>
      </c>
      <c r="X5792">
        <v>0</v>
      </c>
      <c r="Y5792">
        <v>1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1</v>
      </c>
      <c r="AF5792">
        <v>1</v>
      </c>
      <c r="AG5792">
        <v>1</v>
      </c>
      <c r="AH5792">
        <v>1</v>
      </c>
      <c r="AI5792">
        <v>1</v>
      </c>
      <c r="AJ5792">
        <v>1</v>
      </c>
      <c r="AK5792">
        <v>1</v>
      </c>
      <c r="AL5792">
        <v>1</v>
      </c>
      <c r="AM5792">
        <v>1</v>
      </c>
    </row>
    <row r="5793" spans="1:39" x14ac:dyDescent="0.2">
      <c r="A5793" t="str">
        <f>"5789"</f>
        <v>5789</v>
      </c>
      <c r="B5793" t="str">
        <f t="shared" si="320"/>
        <v>1</v>
      </c>
      <c r="C5793" t="str">
        <f t="shared" si="322"/>
        <v>116</v>
      </c>
      <c r="D5793" t="str">
        <f>"29"</f>
        <v>29</v>
      </c>
      <c r="E5793" t="str">
        <f>"1-116-29"</f>
        <v>1-116-29</v>
      </c>
      <c r="F5793" t="s">
        <v>65</v>
      </c>
      <c r="G5793" t="s">
        <v>66</v>
      </c>
      <c r="H5793" t="s">
        <v>67</v>
      </c>
      <c r="S5793">
        <v>0</v>
      </c>
      <c r="T5793">
        <v>1</v>
      </c>
      <c r="U5793">
        <v>0</v>
      </c>
      <c r="V5793">
        <v>0</v>
      </c>
      <c r="W5793">
        <v>1</v>
      </c>
      <c r="X5793">
        <v>0</v>
      </c>
      <c r="Y5793">
        <v>0</v>
      </c>
      <c r="Z5793">
        <v>1</v>
      </c>
      <c r="AA5793">
        <v>0</v>
      </c>
      <c r="AB5793">
        <v>0</v>
      </c>
      <c r="AC5793">
        <v>1</v>
      </c>
      <c r="AD5793">
        <v>1</v>
      </c>
      <c r="AE5793">
        <v>1</v>
      </c>
      <c r="AF5793">
        <v>1</v>
      </c>
      <c r="AG5793">
        <v>1</v>
      </c>
      <c r="AH5793">
        <v>1</v>
      </c>
      <c r="AI5793">
        <v>1</v>
      </c>
      <c r="AJ5793">
        <v>1</v>
      </c>
      <c r="AK5793">
        <v>1</v>
      </c>
      <c r="AL5793">
        <v>1</v>
      </c>
      <c r="AM5793">
        <v>1</v>
      </c>
    </row>
    <row r="5794" spans="1:39" x14ac:dyDescent="0.2">
      <c r="A5794" t="str">
        <f>"5790"</f>
        <v>5790</v>
      </c>
      <c r="B5794" t="str">
        <f t="shared" si="320"/>
        <v>1</v>
      </c>
      <c r="C5794" t="str">
        <f t="shared" si="322"/>
        <v>116</v>
      </c>
      <c r="D5794" t="str">
        <f>"9"</f>
        <v>9</v>
      </c>
      <c r="E5794" t="str">
        <f>"1-116-9"</f>
        <v>1-116-9</v>
      </c>
      <c r="F5794" t="s">
        <v>65</v>
      </c>
      <c r="G5794" t="s">
        <v>66</v>
      </c>
      <c r="H5794" t="s">
        <v>67</v>
      </c>
      <c r="S5794">
        <v>1</v>
      </c>
      <c r="T5794">
        <v>0</v>
      </c>
      <c r="U5794">
        <v>0</v>
      </c>
      <c r="V5794">
        <v>0</v>
      </c>
      <c r="W5794">
        <v>1</v>
      </c>
      <c r="X5794">
        <v>0</v>
      </c>
      <c r="Y5794">
        <v>0</v>
      </c>
      <c r="Z5794">
        <v>1</v>
      </c>
      <c r="AA5794">
        <v>0</v>
      </c>
      <c r="AB5794">
        <v>0</v>
      </c>
      <c r="AC5794">
        <v>1</v>
      </c>
      <c r="AD5794">
        <v>1</v>
      </c>
      <c r="AE5794">
        <v>1</v>
      </c>
      <c r="AF5794">
        <v>1</v>
      </c>
      <c r="AG5794">
        <v>1</v>
      </c>
      <c r="AH5794">
        <v>1</v>
      </c>
      <c r="AI5794">
        <v>1</v>
      </c>
      <c r="AJ5794">
        <v>1</v>
      </c>
      <c r="AK5794">
        <v>1</v>
      </c>
      <c r="AL5794">
        <v>1</v>
      </c>
      <c r="AM5794">
        <v>1</v>
      </c>
    </row>
    <row r="5795" spans="1:39" x14ac:dyDescent="0.2">
      <c r="A5795" t="str">
        <f>"5791"</f>
        <v>5791</v>
      </c>
      <c r="B5795" t="str">
        <f t="shared" si="320"/>
        <v>1</v>
      </c>
      <c r="C5795" t="str">
        <f t="shared" si="322"/>
        <v>116</v>
      </c>
      <c r="D5795" t="str">
        <f>"30"</f>
        <v>30</v>
      </c>
      <c r="E5795" t="str">
        <f>"1-116-30"</f>
        <v>1-116-30</v>
      </c>
      <c r="F5795" t="s">
        <v>65</v>
      </c>
      <c r="G5795" t="s">
        <v>66</v>
      </c>
      <c r="H5795" t="s">
        <v>67</v>
      </c>
      <c r="S5795">
        <v>0</v>
      </c>
      <c r="T5795">
        <v>1</v>
      </c>
      <c r="U5795">
        <v>0</v>
      </c>
      <c r="V5795">
        <v>0</v>
      </c>
      <c r="W5795">
        <v>0</v>
      </c>
      <c r="X5795">
        <v>1</v>
      </c>
      <c r="Y5795">
        <v>1</v>
      </c>
      <c r="Z5795">
        <v>0</v>
      </c>
      <c r="AA5795">
        <v>0</v>
      </c>
      <c r="AB5795">
        <v>0</v>
      </c>
      <c r="AC5795">
        <v>1</v>
      </c>
      <c r="AD5795">
        <v>1</v>
      </c>
      <c r="AE5795">
        <v>1</v>
      </c>
      <c r="AF5795">
        <v>1</v>
      </c>
      <c r="AG5795">
        <v>1</v>
      </c>
      <c r="AH5795">
        <v>1</v>
      </c>
      <c r="AI5795">
        <v>1</v>
      </c>
      <c r="AJ5795">
        <v>1</v>
      </c>
      <c r="AK5795">
        <v>1</v>
      </c>
      <c r="AL5795">
        <v>1</v>
      </c>
      <c r="AM5795">
        <v>1</v>
      </c>
    </row>
    <row r="5796" spans="1:39" x14ac:dyDescent="0.2">
      <c r="A5796" t="str">
        <f>"5792"</f>
        <v>5792</v>
      </c>
      <c r="B5796" t="str">
        <f t="shared" si="320"/>
        <v>1</v>
      </c>
      <c r="C5796" t="str">
        <f t="shared" si="322"/>
        <v>116</v>
      </c>
      <c r="D5796" t="str">
        <f>"13"</f>
        <v>13</v>
      </c>
      <c r="E5796" t="str">
        <f>"1-116-13"</f>
        <v>1-116-13</v>
      </c>
      <c r="F5796" t="s">
        <v>65</v>
      </c>
      <c r="G5796" t="s">
        <v>66</v>
      </c>
      <c r="H5796" t="s">
        <v>67</v>
      </c>
      <c r="S5796">
        <v>1</v>
      </c>
      <c r="T5796">
        <v>0</v>
      </c>
      <c r="U5796">
        <v>0</v>
      </c>
      <c r="V5796">
        <v>0</v>
      </c>
      <c r="W5796">
        <v>1</v>
      </c>
      <c r="X5796">
        <v>0</v>
      </c>
      <c r="Y5796">
        <v>1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1</v>
      </c>
      <c r="AF5796">
        <v>1</v>
      </c>
      <c r="AG5796">
        <v>1</v>
      </c>
      <c r="AH5796">
        <v>1</v>
      </c>
      <c r="AI5796">
        <v>1</v>
      </c>
      <c r="AJ5796">
        <v>1</v>
      </c>
      <c r="AK5796">
        <v>1</v>
      </c>
      <c r="AL5796">
        <v>1</v>
      </c>
      <c r="AM5796">
        <v>1</v>
      </c>
    </row>
    <row r="5797" spans="1:39" x14ac:dyDescent="0.2">
      <c r="A5797" t="str">
        <f>"5793"</f>
        <v>5793</v>
      </c>
      <c r="B5797" t="str">
        <f t="shared" si="320"/>
        <v>1</v>
      </c>
      <c r="C5797" t="str">
        <f t="shared" si="322"/>
        <v>116</v>
      </c>
      <c r="D5797" t="str">
        <f>"46"</f>
        <v>46</v>
      </c>
      <c r="E5797" t="str">
        <f>"1-116-46"</f>
        <v>1-116-46</v>
      </c>
      <c r="F5797" t="s">
        <v>65</v>
      </c>
      <c r="G5797" t="s">
        <v>66</v>
      </c>
      <c r="H5797" t="s">
        <v>67</v>
      </c>
      <c r="S5797">
        <v>1</v>
      </c>
      <c r="T5797">
        <v>0</v>
      </c>
      <c r="U5797">
        <v>0</v>
      </c>
      <c r="V5797">
        <v>0</v>
      </c>
      <c r="W5797">
        <v>1</v>
      </c>
      <c r="X5797">
        <v>0</v>
      </c>
      <c r="Y5797">
        <v>1</v>
      </c>
      <c r="Z5797">
        <v>0</v>
      </c>
      <c r="AA5797">
        <v>1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1</v>
      </c>
      <c r="AK5797">
        <v>0</v>
      </c>
      <c r="AL5797">
        <v>1</v>
      </c>
      <c r="AM5797">
        <v>0</v>
      </c>
    </row>
    <row r="5798" spans="1:39" x14ac:dyDescent="0.2">
      <c r="A5798" t="str">
        <f>"5794"</f>
        <v>5794</v>
      </c>
      <c r="B5798" t="str">
        <f t="shared" si="320"/>
        <v>1</v>
      </c>
      <c r="C5798" t="str">
        <f t="shared" si="322"/>
        <v>116</v>
      </c>
      <c r="D5798" t="str">
        <f>"31"</f>
        <v>31</v>
      </c>
      <c r="E5798" t="str">
        <f>"1-116-31"</f>
        <v>1-116-31</v>
      </c>
      <c r="F5798" t="s">
        <v>65</v>
      </c>
      <c r="G5798" t="s">
        <v>66</v>
      </c>
      <c r="H5798" t="s">
        <v>67</v>
      </c>
      <c r="S5798">
        <v>1</v>
      </c>
      <c r="T5798">
        <v>0</v>
      </c>
      <c r="U5798">
        <v>0</v>
      </c>
      <c r="V5798">
        <v>0</v>
      </c>
      <c r="W5798">
        <v>1</v>
      </c>
      <c r="X5798">
        <v>0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1</v>
      </c>
      <c r="AF5798">
        <v>1</v>
      </c>
      <c r="AG5798">
        <v>1</v>
      </c>
      <c r="AH5798">
        <v>1</v>
      </c>
      <c r="AI5798">
        <v>1</v>
      </c>
      <c r="AJ5798">
        <v>1</v>
      </c>
      <c r="AK5798">
        <v>1</v>
      </c>
      <c r="AL5798">
        <v>1</v>
      </c>
      <c r="AM5798">
        <v>1</v>
      </c>
    </row>
    <row r="5799" spans="1:39" x14ac:dyDescent="0.2">
      <c r="A5799" t="str">
        <f>"5795"</f>
        <v>5795</v>
      </c>
      <c r="B5799" t="str">
        <f t="shared" si="320"/>
        <v>1</v>
      </c>
      <c r="C5799" t="str">
        <f t="shared" si="322"/>
        <v>116</v>
      </c>
      <c r="D5799" t="str">
        <f>"14"</f>
        <v>14</v>
      </c>
      <c r="E5799" t="str">
        <f>"1-116-14"</f>
        <v>1-116-14</v>
      </c>
      <c r="F5799" t="s">
        <v>65</v>
      </c>
      <c r="G5799" t="s">
        <v>66</v>
      </c>
      <c r="H5799" t="s">
        <v>67</v>
      </c>
      <c r="S5799">
        <v>1</v>
      </c>
      <c r="T5799">
        <v>0</v>
      </c>
      <c r="U5799">
        <v>0</v>
      </c>
      <c r="V5799">
        <v>0</v>
      </c>
      <c r="W5799">
        <v>1</v>
      </c>
      <c r="X5799">
        <v>0</v>
      </c>
      <c r="Y5799">
        <v>0</v>
      </c>
      <c r="Z5799">
        <v>1</v>
      </c>
      <c r="AA5799">
        <v>1</v>
      </c>
      <c r="AB5799">
        <v>0</v>
      </c>
      <c r="AC5799">
        <v>0</v>
      </c>
      <c r="AD5799">
        <v>1</v>
      </c>
      <c r="AE5799">
        <v>1</v>
      </c>
      <c r="AF5799">
        <v>1</v>
      </c>
      <c r="AG5799">
        <v>1</v>
      </c>
      <c r="AH5799">
        <v>1</v>
      </c>
      <c r="AI5799">
        <v>1</v>
      </c>
      <c r="AJ5799">
        <v>1</v>
      </c>
      <c r="AK5799">
        <v>1</v>
      </c>
      <c r="AL5799">
        <v>1</v>
      </c>
      <c r="AM5799">
        <v>1</v>
      </c>
    </row>
    <row r="5800" spans="1:39" x14ac:dyDescent="0.2">
      <c r="A5800" t="str">
        <f>"5796"</f>
        <v>5796</v>
      </c>
      <c r="B5800" t="str">
        <f t="shared" si="320"/>
        <v>1</v>
      </c>
      <c r="C5800" t="str">
        <f t="shared" si="322"/>
        <v>116</v>
      </c>
      <c r="D5800" t="str">
        <f>"48"</f>
        <v>48</v>
      </c>
      <c r="E5800" t="str">
        <f>"1-116-48"</f>
        <v>1-116-48</v>
      </c>
      <c r="F5800" t="s">
        <v>65</v>
      </c>
      <c r="G5800" t="s">
        <v>66</v>
      </c>
      <c r="H5800" t="s">
        <v>67</v>
      </c>
      <c r="S5800">
        <v>1</v>
      </c>
      <c r="T5800">
        <v>0</v>
      </c>
      <c r="U5800">
        <v>0</v>
      </c>
      <c r="V5800">
        <v>0</v>
      </c>
      <c r="W5800">
        <v>1</v>
      </c>
      <c r="X5800">
        <v>0</v>
      </c>
      <c r="Y5800">
        <v>1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1</v>
      </c>
      <c r="AF5800">
        <v>1</v>
      </c>
      <c r="AG5800">
        <v>1</v>
      </c>
      <c r="AH5800">
        <v>1</v>
      </c>
      <c r="AI5800">
        <v>1</v>
      </c>
      <c r="AJ5800">
        <v>1</v>
      </c>
      <c r="AK5800">
        <v>1</v>
      </c>
      <c r="AL5800">
        <v>1</v>
      </c>
      <c r="AM5800">
        <v>1</v>
      </c>
    </row>
    <row r="5801" spans="1:39" x14ac:dyDescent="0.2">
      <c r="A5801" t="str">
        <f>"5797"</f>
        <v>5797</v>
      </c>
      <c r="B5801" t="str">
        <f t="shared" si="320"/>
        <v>1</v>
      </c>
      <c r="C5801" t="str">
        <f t="shared" si="322"/>
        <v>116</v>
      </c>
      <c r="D5801" t="str">
        <f>"32"</f>
        <v>32</v>
      </c>
      <c r="E5801" t="str">
        <f>"1-116-32"</f>
        <v>1-116-32</v>
      </c>
      <c r="F5801" t="s">
        <v>65</v>
      </c>
      <c r="G5801" t="s">
        <v>66</v>
      </c>
      <c r="H5801" t="s">
        <v>67</v>
      </c>
      <c r="S5801">
        <v>1</v>
      </c>
      <c r="T5801">
        <v>0</v>
      </c>
      <c r="U5801">
        <v>0</v>
      </c>
      <c r="V5801">
        <v>0</v>
      </c>
      <c r="W5801">
        <v>1</v>
      </c>
      <c r="X5801">
        <v>0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1</v>
      </c>
      <c r="AF5801">
        <v>1</v>
      </c>
      <c r="AG5801">
        <v>1</v>
      </c>
      <c r="AH5801">
        <v>1</v>
      </c>
      <c r="AI5801">
        <v>1</v>
      </c>
      <c r="AJ5801">
        <v>1</v>
      </c>
      <c r="AK5801">
        <v>1</v>
      </c>
      <c r="AL5801">
        <v>1</v>
      </c>
      <c r="AM5801">
        <v>1</v>
      </c>
    </row>
    <row r="5802" spans="1:39" x14ac:dyDescent="0.2">
      <c r="A5802" t="str">
        <f>"5798"</f>
        <v>5798</v>
      </c>
      <c r="B5802" t="str">
        <f t="shared" si="320"/>
        <v>1</v>
      </c>
      <c r="C5802" t="str">
        <f t="shared" si="322"/>
        <v>116</v>
      </c>
      <c r="D5802" t="str">
        <f>"5"</f>
        <v>5</v>
      </c>
      <c r="E5802" t="str">
        <f>"1-116-5"</f>
        <v>1-116-5</v>
      </c>
      <c r="F5802" t="s">
        <v>65</v>
      </c>
      <c r="G5802" t="s">
        <v>66</v>
      </c>
      <c r="H5802" t="s">
        <v>67</v>
      </c>
      <c r="S5802">
        <v>1</v>
      </c>
      <c r="T5802">
        <v>0</v>
      </c>
      <c r="U5802">
        <v>0</v>
      </c>
      <c r="V5802">
        <v>0</v>
      </c>
      <c r="W5802">
        <v>0</v>
      </c>
      <c r="X5802">
        <v>1</v>
      </c>
      <c r="Y5802">
        <v>0</v>
      </c>
      <c r="Z5802">
        <v>1</v>
      </c>
      <c r="AA5802">
        <v>0</v>
      </c>
      <c r="AB5802">
        <v>1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1</v>
      </c>
      <c r="AI5802">
        <v>1</v>
      </c>
      <c r="AJ5802">
        <v>1</v>
      </c>
      <c r="AK5802">
        <v>1</v>
      </c>
      <c r="AL5802">
        <v>1</v>
      </c>
      <c r="AM5802">
        <v>1</v>
      </c>
    </row>
    <row r="5803" spans="1:39" x14ac:dyDescent="0.2">
      <c r="A5803" t="str">
        <f>"5799"</f>
        <v>5799</v>
      </c>
      <c r="B5803" t="str">
        <f t="shared" si="320"/>
        <v>1</v>
      </c>
      <c r="C5803" t="str">
        <f t="shared" si="322"/>
        <v>116</v>
      </c>
      <c r="D5803" t="str">
        <f>"50"</f>
        <v>50</v>
      </c>
      <c r="E5803" t="str">
        <f>"1-116-50"</f>
        <v>1-116-50</v>
      </c>
      <c r="F5803" t="s">
        <v>65</v>
      </c>
      <c r="G5803" t="s">
        <v>66</v>
      </c>
      <c r="H5803" t="s">
        <v>67</v>
      </c>
      <c r="S5803">
        <v>0</v>
      </c>
      <c r="T5803">
        <v>1</v>
      </c>
      <c r="U5803">
        <v>0</v>
      </c>
      <c r="V5803">
        <v>0</v>
      </c>
      <c r="W5803">
        <v>1</v>
      </c>
      <c r="X5803">
        <v>0</v>
      </c>
      <c r="Y5803">
        <v>0</v>
      </c>
      <c r="Z5803">
        <v>1</v>
      </c>
      <c r="AA5803">
        <v>0</v>
      </c>
      <c r="AB5803">
        <v>0</v>
      </c>
      <c r="AC5803">
        <v>1</v>
      </c>
      <c r="AD5803">
        <v>1</v>
      </c>
      <c r="AE5803">
        <v>1</v>
      </c>
      <c r="AF5803">
        <v>1</v>
      </c>
      <c r="AG5803">
        <v>1</v>
      </c>
      <c r="AH5803">
        <v>1</v>
      </c>
      <c r="AI5803">
        <v>1</v>
      </c>
      <c r="AJ5803">
        <v>1</v>
      </c>
      <c r="AK5803">
        <v>1</v>
      </c>
      <c r="AL5803">
        <v>1</v>
      </c>
      <c r="AM5803">
        <v>1</v>
      </c>
    </row>
    <row r="5804" spans="1:39" x14ac:dyDescent="0.2">
      <c r="A5804" t="str">
        <f>"5800"</f>
        <v>5800</v>
      </c>
      <c r="B5804" t="str">
        <f t="shared" si="320"/>
        <v>1</v>
      </c>
      <c r="C5804" t="str">
        <f t="shared" si="322"/>
        <v>116</v>
      </c>
      <c r="D5804" t="str">
        <f>"49"</f>
        <v>49</v>
      </c>
      <c r="E5804" t="str">
        <f>"1-116-49"</f>
        <v>1-116-49</v>
      </c>
      <c r="F5804" t="s">
        <v>65</v>
      </c>
      <c r="G5804" t="s">
        <v>66</v>
      </c>
      <c r="H5804" t="s">
        <v>67</v>
      </c>
      <c r="S5804">
        <v>0</v>
      </c>
      <c r="T5804">
        <v>1</v>
      </c>
      <c r="U5804">
        <v>0</v>
      </c>
      <c r="V5804">
        <v>0</v>
      </c>
      <c r="W5804">
        <v>1</v>
      </c>
      <c r="X5804">
        <v>0</v>
      </c>
      <c r="Y5804">
        <v>1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1</v>
      </c>
      <c r="AF5804">
        <v>1</v>
      </c>
      <c r="AG5804">
        <v>1</v>
      </c>
      <c r="AH5804">
        <v>1</v>
      </c>
      <c r="AI5804">
        <v>1</v>
      </c>
      <c r="AJ5804">
        <v>1</v>
      </c>
      <c r="AK5804">
        <v>1</v>
      </c>
      <c r="AL5804">
        <v>1</v>
      </c>
      <c r="AM5804">
        <v>1</v>
      </c>
    </row>
    <row r="5805" spans="1:39" x14ac:dyDescent="0.2">
      <c r="A5805" t="str">
        <f>"5801"</f>
        <v>5801</v>
      </c>
      <c r="B5805" t="str">
        <f t="shared" si="320"/>
        <v>1</v>
      </c>
      <c r="C5805" t="str">
        <f t="shared" ref="C5805:C5836" si="323">"117"</f>
        <v>117</v>
      </c>
      <c r="D5805" t="str">
        <f>"34"</f>
        <v>34</v>
      </c>
      <c r="E5805" t="str">
        <f>"1-117-34"</f>
        <v>1-117-34</v>
      </c>
      <c r="F5805" t="s">
        <v>65</v>
      </c>
      <c r="G5805" t="s">
        <v>66</v>
      </c>
      <c r="H5805" t="s">
        <v>67</v>
      </c>
      <c r="S5805">
        <v>1</v>
      </c>
      <c r="T5805">
        <v>0</v>
      </c>
      <c r="U5805">
        <v>0</v>
      </c>
      <c r="V5805">
        <v>0</v>
      </c>
      <c r="W5805">
        <v>1</v>
      </c>
      <c r="X5805">
        <v>0</v>
      </c>
      <c r="Y5805">
        <v>0</v>
      </c>
      <c r="Z5805">
        <v>1</v>
      </c>
      <c r="AA5805">
        <v>1</v>
      </c>
      <c r="AB5805">
        <v>0</v>
      </c>
      <c r="AC5805">
        <v>0</v>
      </c>
      <c r="AD5805">
        <v>1</v>
      </c>
      <c r="AE5805">
        <v>1</v>
      </c>
      <c r="AF5805">
        <v>1</v>
      </c>
      <c r="AG5805">
        <v>1</v>
      </c>
      <c r="AH5805">
        <v>1</v>
      </c>
      <c r="AI5805">
        <v>1</v>
      </c>
      <c r="AJ5805">
        <v>1</v>
      </c>
      <c r="AK5805">
        <v>1</v>
      </c>
      <c r="AL5805">
        <v>1</v>
      </c>
      <c r="AM5805">
        <v>1</v>
      </c>
    </row>
    <row r="5806" spans="1:39" x14ac:dyDescent="0.2">
      <c r="A5806" t="str">
        <f>"5802"</f>
        <v>5802</v>
      </c>
      <c r="B5806" t="str">
        <f t="shared" si="320"/>
        <v>1</v>
      </c>
      <c r="C5806" t="str">
        <f t="shared" si="323"/>
        <v>117</v>
      </c>
      <c r="D5806" t="str">
        <f>"33"</f>
        <v>33</v>
      </c>
      <c r="E5806" t="str">
        <f>"1-117-33"</f>
        <v>1-117-33</v>
      </c>
      <c r="F5806" t="s">
        <v>65</v>
      </c>
      <c r="G5806" t="s">
        <v>66</v>
      </c>
      <c r="H5806" t="s">
        <v>67</v>
      </c>
      <c r="S5806">
        <v>1</v>
      </c>
      <c r="T5806">
        <v>0</v>
      </c>
      <c r="U5806">
        <v>0</v>
      </c>
      <c r="V5806">
        <v>0</v>
      </c>
      <c r="W5806">
        <v>1</v>
      </c>
      <c r="X5806">
        <v>0</v>
      </c>
      <c r="Y5806">
        <v>0</v>
      </c>
      <c r="Z5806">
        <v>1</v>
      </c>
      <c r="AA5806">
        <v>1</v>
      </c>
      <c r="AB5806">
        <v>0</v>
      </c>
      <c r="AC5806">
        <v>0</v>
      </c>
      <c r="AD5806">
        <v>1</v>
      </c>
      <c r="AE5806">
        <v>1</v>
      </c>
      <c r="AF5806">
        <v>1</v>
      </c>
      <c r="AG5806">
        <v>1</v>
      </c>
      <c r="AH5806">
        <v>1</v>
      </c>
      <c r="AI5806">
        <v>1</v>
      </c>
      <c r="AJ5806">
        <v>1</v>
      </c>
      <c r="AK5806">
        <v>1</v>
      </c>
      <c r="AL5806">
        <v>1</v>
      </c>
      <c r="AM5806">
        <v>1</v>
      </c>
    </row>
    <row r="5807" spans="1:39" x14ac:dyDescent="0.2">
      <c r="A5807" t="str">
        <f>"5803"</f>
        <v>5803</v>
      </c>
      <c r="B5807" t="str">
        <f t="shared" si="320"/>
        <v>1</v>
      </c>
      <c r="C5807" t="str">
        <f t="shared" si="323"/>
        <v>117</v>
      </c>
      <c r="D5807" t="str">
        <f>"22"</f>
        <v>22</v>
      </c>
      <c r="E5807" t="str">
        <f>"1-117-22"</f>
        <v>1-117-22</v>
      </c>
      <c r="F5807" t="s">
        <v>65</v>
      </c>
      <c r="G5807" t="s">
        <v>66</v>
      </c>
      <c r="H5807" t="s">
        <v>67</v>
      </c>
      <c r="S5807">
        <v>0</v>
      </c>
      <c r="T5807">
        <v>1</v>
      </c>
      <c r="U5807">
        <v>0</v>
      </c>
      <c r="V5807">
        <v>0</v>
      </c>
      <c r="W5807">
        <v>1</v>
      </c>
      <c r="X5807">
        <v>0</v>
      </c>
      <c r="Y5807">
        <v>0</v>
      </c>
      <c r="Z5807">
        <v>1</v>
      </c>
      <c r="AA5807">
        <v>0</v>
      </c>
      <c r="AB5807">
        <v>0</v>
      </c>
      <c r="AC5807">
        <v>1</v>
      </c>
      <c r="AD5807">
        <v>1</v>
      </c>
      <c r="AE5807">
        <v>1</v>
      </c>
      <c r="AF5807">
        <v>1</v>
      </c>
      <c r="AG5807">
        <v>1</v>
      </c>
      <c r="AH5807">
        <v>1</v>
      </c>
      <c r="AI5807">
        <v>1</v>
      </c>
      <c r="AJ5807">
        <v>1</v>
      </c>
      <c r="AK5807">
        <v>1</v>
      </c>
      <c r="AL5807">
        <v>1</v>
      </c>
      <c r="AM5807">
        <v>1</v>
      </c>
    </row>
    <row r="5808" spans="1:39" x14ac:dyDescent="0.2">
      <c r="A5808" t="str">
        <f>"5804"</f>
        <v>5804</v>
      </c>
      <c r="B5808" t="str">
        <f t="shared" si="320"/>
        <v>1</v>
      </c>
      <c r="C5808" t="str">
        <f t="shared" si="323"/>
        <v>117</v>
      </c>
      <c r="D5808" t="str">
        <f>"15"</f>
        <v>15</v>
      </c>
      <c r="E5808" t="str">
        <f>"1-117-15"</f>
        <v>1-117-15</v>
      </c>
      <c r="F5808" t="s">
        <v>65</v>
      </c>
      <c r="G5808" t="s">
        <v>66</v>
      </c>
      <c r="H5808" t="s">
        <v>67</v>
      </c>
      <c r="S5808">
        <v>1</v>
      </c>
      <c r="T5808">
        <v>0</v>
      </c>
      <c r="U5808">
        <v>0</v>
      </c>
      <c r="V5808">
        <v>0</v>
      </c>
      <c r="W5808">
        <v>1</v>
      </c>
      <c r="X5808">
        <v>0</v>
      </c>
      <c r="Y5808">
        <v>0</v>
      </c>
      <c r="Z5808">
        <v>1</v>
      </c>
      <c r="AA5808">
        <v>0</v>
      </c>
      <c r="AB5808">
        <v>1</v>
      </c>
      <c r="AC5808">
        <v>0</v>
      </c>
      <c r="AD5808">
        <v>1</v>
      </c>
      <c r="AE5808">
        <v>1</v>
      </c>
      <c r="AF5808">
        <v>1</v>
      </c>
      <c r="AG5808">
        <v>1</v>
      </c>
      <c r="AH5808">
        <v>1</v>
      </c>
      <c r="AI5808">
        <v>1</v>
      </c>
      <c r="AJ5808">
        <v>1</v>
      </c>
      <c r="AK5808">
        <v>1</v>
      </c>
      <c r="AL5808">
        <v>1</v>
      </c>
      <c r="AM5808">
        <v>1</v>
      </c>
    </row>
    <row r="5809" spans="1:39" x14ac:dyDescent="0.2">
      <c r="A5809" t="str">
        <f>"5805"</f>
        <v>5805</v>
      </c>
      <c r="B5809" t="str">
        <f t="shared" si="320"/>
        <v>1</v>
      </c>
      <c r="C5809" t="str">
        <f t="shared" si="323"/>
        <v>117</v>
      </c>
      <c r="D5809" t="str">
        <f>"2"</f>
        <v>2</v>
      </c>
      <c r="E5809" t="str">
        <f>"1-117-2"</f>
        <v>1-117-2</v>
      </c>
      <c r="F5809" t="s">
        <v>65</v>
      </c>
      <c r="G5809" t="s">
        <v>66</v>
      </c>
      <c r="H5809" t="s">
        <v>67</v>
      </c>
      <c r="S5809">
        <v>0</v>
      </c>
      <c r="T5809">
        <v>1</v>
      </c>
      <c r="U5809">
        <v>0</v>
      </c>
      <c r="V5809">
        <v>0</v>
      </c>
      <c r="W5809">
        <v>1</v>
      </c>
      <c r="X5809">
        <v>0</v>
      </c>
      <c r="Y5809">
        <v>1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1</v>
      </c>
      <c r="AF5809">
        <v>1</v>
      </c>
      <c r="AG5809">
        <v>1</v>
      </c>
      <c r="AH5809">
        <v>1</v>
      </c>
      <c r="AI5809">
        <v>1</v>
      </c>
      <c r="AJ5809">
        <v>1</v>
      </c>
      <c r="AK5809">
        <v>1</v>
      </c>
      <c r="AL5809">
        <v>1</v>
      </c>
      <c r="AM5809">
        <v>1</v>
      </c>
    </row>
    <row r="5810" spans="1:39" x14ac:dyDescent="0.2">
      <c r="A5810" t="str">
        <f>"5806"</f>
        <v>5806</v>
      </c>
      <c r="B5810" t="str">
        <f t="shared" si="320"/>
        <v>1</v>
      </c>
      <c r="C5810" t="str">
        <f t="shared" si="323"/>
        <v>117</v>
      </c>
      <c r="D5810" t="str">
        <f>"40"</f>
        <v>40</v>
      </c>
      <c r="E5810" t="str">
        <f>"1-117-40"</f>
        <v>1-117-40</v>
      </c>
      <c r="F5810" t="s">
        <v>65</v>
      </c>
      <c r="G5810" t="s">
        <v>66</v>
      </c>
      <c r="H5810" t="s">
        <v>67</v>
      </c>
      <c r="S5810">
        <v>1</v>
      </c>
      <c r="T5810">
        <v>0</v>
      </c>
      <c r="U5810">
        <v>0</v>
      </c>
      <c r="V5810">
        <v>0</v>
      </c>
      <c r="W5810">
        <v>1</v>
      </c>
      <c r="X5810">
        <v>0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0</v>
      </c>
      <c r="AH5810">
        <v>0</v>
      </c>
      <c r="AI5810">
        <v>1</v>
      </c>
      <c r="AJ5810">
        <v>1</v>
      </c>
      <c r="AK5810">
        <v>1</v>
      </c>
      <c r="AL5810">
        <v>1</v>
      </c>
      <c r="AM5810">
        <v>1</v>
      </c>
    </row>
    <row r="5811" spans="1:39" x14ac:dyDescent="0.2">
      <c r="A5811" t="str">
        <f>"5807"</f>
        <v>5807</v>
      </c>
      <c r="B5811" t="str">
        <f t="shared" si="320"/>
        <v>1</v>
      </c>
      <c r="C5811" t="str">
        <f t="shared" si="323"/>
        <v>117</v>
      </c>
      <c r="D5811" t="str">
        <f>"39"</f>
        <v>39</v>
      </c>
      <c r="E5811" t="str">
        <f>"1-117-39"</f>
        <v>1-117-39</v>
      </c>
      <c r="F5811" t="s">
        <v>65</v>
      </c>
      <c r="G5811" t="s">
        <v>66</v>
      </c>
      <c r="H5811" t="s">
        <v>67</v>
      </c>
      <c r="S5811">
        <v>1</v>
      </c>
      <c r="T5811">
        <v>0</v>
      </c>
      <c r="U5811">
        <v>0</v>
      </c>
      <c r="V5811">
        <v>0</v>
      </c>
      <c r="W5811">
        <v>1</v>
      </c>
      <c r="X5811">
        <v>0</v>
      </c>
      <c r="Y5811">
        <v>1</v>
      </c>
      <c r="Z5811">
        <v>0</v>
      </c>
      <c r="AA5811">
        <v>0</v>
      </c>
      <c r="AB5811">
        <v>1</v>
      </c>
      <c r="AC5811">
        <v>0</v>
      </c>
      <c r="AD5811">
        <v>1</v>
      </c>
      <c r="AE5811">
        <v>1</v>
      </c>
      <c r="AF5811">
        <v>0</v>
      </c>
      <c r="AG5811">
        <v>1</v>
      </c>
      <c r="AH5811">
        <v>1</v>
      </c>
      <c r="AI5811">
        <v>1</v>
      </c>
      <c r="AJ5811">
        <v>1</v>
      </c>
      <c r="AK5811">
        <v>1</v>
      </c>
      <c r="AL5811">
        <v>1</v>
      </c>
      <c r="AM5811">
        <v>1</v>
      </c>
    </row>
    <row r="5812" spans="1:39" x14ac:dyDescent="0.2">
      <c r="A5812" t="str">
        <f>"5808"</f>
        <v>5808</v>
      </c>
      <c r="B5812" t="str">
        <f t="shared" si="320"/>
        <v>1</v>
      </c>
      <c r="C5812" t="str">
        <f t="shared" si="323"/>
        <v>117</v>
      </c>
      <c r="D5812" t="str">
        <f>"28"</f>
        <v>28</v>
      </c>
      <c r="E5812" t="str">
        <f>"1-117-28"</f>
        <v>1-117-28</v>
      </c>
      <c r="F5812" t="s">
        <v>65</v>
      </c>
      <c r="G5812" t="s">
        <v>66</v>
      </c>
      <c r="H5812" t="s">
        <v>67</v>
      </c>
      <c r="S5812">
        <v>0</v>
      </c>
      <c r="T5812">
        <v>1</v>
      </c>
      <c r="U5812">
        <v>0</v>
      </c>
      <c r="V5812">
        <v>0</v>
      </c>
      <c r="W5812">
        <v>1</v>
      </c>
      <c r="X5812">
        <v>0</v>
      </c>
      <c r="Y5812">
        <v>0</v>
      </c>
      <c r="Z5812">
        <v>1</v>
      </c>
      <c r="AA5812">
        <v>1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1</v>
      </c>
      <c r="AH5812">
        <v>0</v>
      </c>
      <c r="AI5812">
        <v>0</v>
      </c>
      <c r="AJ5812">
        <v>0</v>
      </c>
      <c r="AK5812">
        <v>0</v>
      </c>
      <c r="AL5812">
        <v>1</v>
      </c>
      <c r="AM5812">
        <v>0</v>
      </c>
    </row>
    <row r="5813" spans="1:39" x14ac:dyDescent="0.2">
      <c r="A5813" t="str">
        <f>"5809"</f>
        <v>5809</v>
      </c>
      <c r="B5813" t="str">
        <f t="shared" si="320"/>
        <v>1</v>
      </c>
      <c r="C5813" t="str">
        <f t="shared" si="323"/>
        <v>117</v>
      </c>
      <c r="D5813" t="str">
        <f>"16"</f>
        <v>16</v>
      </c>
      <c r="E5813" t="str">
        <f>"1-117-16"</f>
        <v>1-117-16</v>
      </c>
      <c r="F5813" t="s">
        <v>65</v>
      </c>
      <c r="G5813" t="s">
        <v>66</v>
      </c>
      <c r="H5813" t="s">
        <v>67</v>
      </c>
      <c r="S5813">
        <v>0</v>
      </c>
      <c r="T5813">
        <v>1</v>
      </c>
      <c r="U5813">
        <v>0</v>
      </c>
      <c r="V5813">
        <v>0</v>
      </c>
      <c r="W5813">
        <v>0</v>
      </c>
      <c r="X5813">
        <v>1</v>
      </c>
      <c r="Y5813">
        <v>0</v>
      </c>
      <c r="Z5813">
        <v>1</v>
      </c>
      <c r="AA5813">
        <v>0</v>
      </c>
      <c r="AB5813">
        <v>1</v>
      </c>
      <c r="AC5813">
        <v>0</v>
      </c>
      <c r="AD5813">
        <v>1</v>
      </c>
      <c r="AE5813">
        <v>1</v>
      </c>
      <c r="AF5813">
        <v>1</v>
      </c>
      <c r="AG5813">
        <v>1</v>
      </c>
      <c r="AH5813">
        <v>1</v>
      </c>
      <c r="AI5813">
        <v>1</v>
      </c>
      <c r="AJ5813">
        <v>1</v>
      </c>
      <c r="AK5813">
        <v>1</v>
      </c>
      <c r="AL5813">
        <v>1</v>
      </c>
      <c r="AM5813">
        <v>1</v>
      </c>
    </row>
    <row r="5814" spans="1:39" x14ac:dyDescent="0.2">
      <c r="A5814" t="str">
        <f>"5810"</f>
        <v>5810</v>
      </c>
      <c r="B5814" t="str">
        <f t="shared" si="320"/>
        <v>1</v>
      </c>
      <c r="C5814" t="str">
        <f t="shared" si="323"/>
        <v>117</v>
      </c>
      <c r="D5814" t="str">
        <f>"6"</f>
        <v>6</v>
      </c>
      <c r="E5814" t="str">
        <f>"1-117-6"</f>
        <v>1-117-6</v>
      </c>
      <c r="F5814" t="s">
        <v>65</v>
      </c>
      <c r="G5814" t="s">
        <v>66</v>
      </c>
      <c r="H5814" t="s">
        <v>67</v>
      </c>
      <c r="S5814">
        <v>1</v>
      </c>
      <c r="T5814">
        <v>0</v>
      </c>
      <c r="U5814">
        <v>0</v>
      </c>
      <c r="V5814">
        <v>0</v>
      </c>
      <c r="W5814">
        <v>1</v>
      </c>
      <c r="X5814">
        <v>0</v>
      </c>
      <c r="Y5814">
        <v>1</v>
      </c>
      <c r="Z5814">
        <v>0</v>
      </c>
      <c r="AA5814">
        <v>0</v>
      </c>
      <c r="AB5814">
        <v>0</v>
      </c>
      <c r="AC5814">
        <v>1</v>
      </c>
      <c r="AD5814">
        <v>1</v>
      </c>
      <c r="AE5814">
        <v>1</v>
      </c>
      <c r="AF5814">
        <v>1</v>
      </c>
      <c r="AG5814">
        <v>1</v>
      </c>
      <c r="AH5814">
        <v>1</v>
      </c>
      <c r="AI5814">
        <v>1</v>
      </c>
      <c r="AJ5814">
        <v>1</v>
      </c>
      <c r="AK5814">
        <v>1</v>
      </c>
      <c r="AL5814">
        <v>1</v>
      </c>
      <c r="AM5814">
        <v>0</v>
      </c>
    </row>
    <row r="5815" spans="1:39" x14ac:dyDescent="0.2">
      <c r="A5815" t="str">
        <f>"5811"</f>
        <v>5811</v>
      </c>
      <c r="B5815" t="str">
        <f t="shared" ref="B5815:B5878" si="324">"1"</f>
        <v>1</v>
      </c>
      <c r="C5815" t="str">
        <f t="shared" si="323"/>
        <v>117</v>
      </c>
      <c r="D5815" t="str">
        <f>"38"</f>
        <v>38</v>
      </c>
      <c r="E5815" t="str">
        <f>"1-117-38"</f>
        <v>1-117-38</v>
      </c>
      <c r="F5815" t="s">
        <v>65</v>
      </c>
      <c r="G5815" t="s">
        <v>66</v>
      </c>
      <c r="H5815" t="s">
        <v>67</v>
      </c>
      <c r="S5815">
        <v>1</v>
      </c>
      <c r="T5815">
        <v>0</v>
      </c>
      <c r="U5815">
        <v>0</v>
      </c>
      <c r="V5815">
        <v>0</v>
      </c>
      <c r="W5815">
        <v>1</v>
      </c>
      <c r="X5815">
        <v>0</v>
      </c>
      <c r="Y5815">
        <v>1</v>
      </c>
      <c r="Z5815">
        <v>0</v>
      </c>
      <c r="AA5815">
        <v>0</v>
      </c>
      <c r="AB5815">
        <v>1</v>
      </c>
      <c r="AC5815">
        <v>0</v>
      </c>
      <c r="AD5815">
        <v>1</v>
      </c>
      <c r="AE5815">
        <v>1</v>
      </c>
      <c r="AF5815">
        <v>1</v>
      </c>
      <c r="AG5815">
        <v>1</v>
      </c>
      <c r="AH5815">
        <v>1</v>
      </c>
      <c r="AI5815">
        <v>1</v>
      </c>
      <c r="AJ5815">
        <v>1</v>
      </c>
      <c r="AK5815">
        <v>1</v>
      </c>
      <c r="AL5815">
        <v>1</v>
      </c>
      <c r="AM5815">
        <v>1</v>
      </c>
    </row>
    <row r="5816" spans="1:39" x14ac:dyDescent="0.2">
      <c r="A5816" t="str">
        <f>"5812"</f>
        <v>5812</v>
      </c>
      <c r="B5816" t="str">
        <f t="shared" si="324"/>
        <v>1</v>
      </c>
      <c r="C5816" t="str">
        <f t="shared" si="323"/>
        <v>117</v>
      </c>
      <c r="D5816" t="str">
        <f>"37"</f>
        <v>37</v>
      </c>
      <c r="E5816" t="str">
        <f>"1-117-37"</f>
        <v>1-117-37</v>
      </c>
      <c r="F5816" t="s">
        <v>65</v>
      </c>
      <c r="G5816" t="s">
        <v>66</v>
      </c>
      <c r="H5816" t="s">
        <v>67</v>
      </c>
      <c r="S5816">
        <v>1</v>
      </c>
      <c r="T5816">
        <v>0</v>
      </c>
      <c r="U5816">
        <v>0</v>
      </c>
      <c r="V5816">
        <v>0</v>
      </c>
      <c r="W5816">
        <v>1</v>
      </c>
      <c r="X5816">
        <v>0</v>
      </c>
      <c r="Y5816">
        <v>1</v>
      </c>
      <c r="Z5816">
        <v>0</v>
      </c>
      <c r="AA5816">
        <v>0</v>
      </c>
      <c r="AB5816">
        <v>1</v>
      </c>
      <c r="AC5816">
        <v>0</v>
      </c>
      <c r="AD5816">
        <v>1</v>
      </c>
      <c r="AE5816">
        <v>1</v>
      </c>
      <c r="AF5816">
        <v>1</v>
      </c>
      <c r="AG5816">
        <v>1</v>
      </c>
      <c r="AH5816">
        <v>1</v>
      </c>
      <c r="AI5816">
        <v>1</v>
      </c>
      <c r="AJ5816">
        <v>1</v>
      </c>
      <c r="AK5816">
        <v>1</v>
      </c>
      <c r="AL5816">
        <v>1</v>
      </c>
      <c r="AM5816">
        <v>1</v>
      </c>
    </row>
    <row r="5817" spans="1:39" x14ac:dyDescent="0.2">
      <c r="A5817" t="str">
        <f>"5813"</f>
        <v>5813</v>
      </c>
      <c r="B5817" t="str">
        <f t="shared" si="324"/>
        <v>1</v>
      </c>
      <c r="C5817" t="str">
        <f t="shared" si="323"/>
        <v>117</v>
      </c>
      <c r="D5817" t="str">
        <f>"25"</f>
        <v>25</v>
      </c>
      <c r="E5817" t="str">
        <f>"1-117-25"</f>
        <v>1-117-25</v>
      </c>
      <c r="F5817" t="s">
        <v>65</v>
      </c>
      <c r="G5817" t="s">
        <v>66</v>
      </c>
      <c r="H5817" t="s">
        <v>67</v>
      </c>
      <c r="S5817">
        <v>1</v>
      </c>
      <c r="T5817">
        <v>0</v>
      </c>
      <c r="U5817">
        <v>0</v>
      </c>
      <c r="V5817">
        <v>0</v>
      </c>
      <c r="W5817">
        <v>1</v>
      </c>
      <c r="X5817">
        <v>0</v>
      </c>
      <c r="Y5817">
        <v>1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1</v>
      </c>
      <c r="AF5817">
        <v>1</v>
      </c>
      <c r="AG5817">
        <v>1</v>
      </c>
      <c r="AH5817">
        <v>1</v>
      </c>
      <c r="AI5817">
        <v>1</v>
      </c>
      <c r="AJ5817">
        <v>1</v>
      </c>
      <c r="AK5817">
        <v>1</v>
      </c>
      <c r="AL5817">
        <v>1</v>
      </c>
      <c r="AM5817">
        <v>1</v>
      </c>
    </row>
    <row r="5818" spans="1:39" x14ac:dyDescent="0.2">
      <c r="A5818" t="str">
        <f>"5814"</f>
        <v>5814</v>
      </c>
      <c r="B5818" t="str">
        <f t="shared" si="324"/>
        <v>1</v>
      </c>
      <c r="C5818" t="str">
        <f t="shared" si="323"/>
        <v>117</v>
      </c>
      <c r="D5818" t="str">
        <f>"17"</f>
        <v>17</v>
      </c>
      <c r="E5818" t="str">
        <f>"1-117-17"</f>
        <v>1-117-17</v>
      </c>
      <c r="F5818" t="s">
        <v>65</v>
      </c>
      <c r="G5818" t="s">
        <v>66</v>
      </c>
      <c r="H5818" t="s">
        <v>67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1</v>
      </c>
      <c r="Y5818">
        <v>0</v>
      </c>
      <c r="Z5818">
        <v>1</v>
      </c>
      <c r="AA5818">
        <v>0</v>
      </c>
      <c r="AB5818">
        <v>1</v>
      </c>
      <c r="AC5818">
        <v>0</v>
      </c>
      <c r="AD5818">
        <v>1</v>
      </c>
      <c r="AE5818">
        <v>1</v>
      </c>
      <c r="AF5818">
        <v>1</v>
      </c>
      <c r="AG5818">
        <v>1</v>
      </c>
      <c r="AH5818">
        <v>1</v>
      </c>
      <c r="AI5818">
        <v>1</v>
      </c>
      <c r="AJ5818">
        <v>1</v>
      </c>
      <c r="AK5818">
        <v>1</v>
      </c>
      <c r="AL5818">
        <v>1</v>
      </c>
      <c r="AM5818">
        <v>1</v>
      </c>
    </row>
    <row r="5819" spans="1:39" x14ac:dyDescent="0.2">
      <c r="A5819" t="str">
        <f>"5815"</f>
        <v>5815</v>
      </c>
      <c r="B5819" t="str">
        <f t="shared" si="324"/>
        <v>1</v>
      </c>
      <c r="C5819" t="str">
        <f t="shared" si="323"/>
        <v>117</v>
      </c>
      <c r="D5819" t="str">
        <f>"11"</f>
        <v>11</v>
      </c>
      <c r="E5819" t="str">
        <f>"1-117-11"</f>
        <v>1-117-11</v>
      </c>
      <c r="F5819" t="s">
        <v>65</v>
      </c>
      <c r="G5819" t="s">
        <v>66</v>
      </c>
      <c r="H5819" t="s">
        <v>67</v>
      </c>
      <c r="S5819">
        <v>1</v>
      </c>
      <c r="T5819">
        <v>0</v>
      </c>
      <c r="U5819">
        <v>0</v>
      </c>
      <c r="V5819">
        <v>0</v>
      </c>
      <c r="W5819">
        <v>1</v>
      </c>
      <c r="X5819">
        <v>0</v>
      </c>
      <c r="Y5819">
        <v>1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1</v>
      </c>
      <c r="AF5819">
        <v>1</v>
      </c>
      <c r="AG5819">
        <v>1</v>
      </c>
      <c r="AH5819">
        <v>1</v>
      </c>
      <c r="AI5819">
        <v>1</v>
      </c>
      <c r="AJ5819">
        <v>1</v>
      </c>
      <c r="AK5819">
        <v>1</v>
      </c>
      <c r="AL5819">
        <v>1</v>
      </c>
      <c r="AM5819">
        <v>0</v>
      </c>
    </row>
    <row r="5820" spans="1:39" x14ac:dyDescent="0.2">
      <c r="A5820" t="str">
        <f>"5816"</f>
        <v>5816</v>
      </c>
      <c r="B5820" t="str">
        <f t="shared" si="324"/>
        <v>1</v>
      </c>
      <c r="C5820" t="str">
        <f t="shared" si="323"/>
        <v>117</v>
      </c>
      <c r="D5820" t="str">
        <f>"36"</f>
        <v>36</v>
      </c>
      <c r="E5820" t="str">
        <f>"1-117-36"</f>
        <v>1-117-36</v>
      </c>
      <c r="F5820" t="s">
        <v>65</v>
      </c>
      <c r="G5820" t="s">
        <v>66</v>
      </c>
      <c r="H5820" t="s">
        <v>67</v>
      </c>
      <c r="S5820">
        <v>1</v>
      </c>
      <c r="T5820">
        <v>0</v>
      </c>
      <c r="U5820">
        <v>0</v>
      </c>
      <c r="V5820">
        <v>0</v>
      </c>
      <c r="W5820">
        <v>1</v>
      </c>
      <c r="X5820">
        <v>0</v>
      </c>
      <c r="Y5820">
        <v>1</v>
      </c>
      <c r="Z5820">
        <v>0</v>
      </c>
      <c r="AA5820">
        <v>0</v>
      </c>
      <c r="AB5820">
        <v>1</v>
      </c>
      <c r="AC5820">
        <v>0</v>
      </c>
      <c r="AD5820">
        <v>1</v>
      </c>
      <c r="AE5820">
        <v>1</v>
      </c>
      <c r="AF5820">
        <v>1</v>
      </c>
      <c r="AG5820">
        <v>1</v>
      </c>
      <c r="AH5820">
        <v>1</v>
      </c>
      <c r="AI5820">
        <v>1</v>
      </c>
      <c r="AJ5820">
        <v>1</v>
      </c>
      <c r="AK5820">
        <v>1</v>
      </c>
      <c r="AL5820">
        <v>1</v>
      </c>
      <c r="AM5820">
        <v>1</v>
      </c>
    </row>
    <row r="5821" spans="1:39" x14ac:dyDescent="0.2">
      <c r="A5821" t="str">
        <f>"5817"</f>
        <v>5817</v>
      </c>
      <c r="B5821" t="str">
        <f t="shared" si="324"/>
        <v>1</v>
      </c>
      <c r="C5821" t="str">
        <f t="shared" si="323"/>
        <v>117</v>
      </c>
      <c r="D5821" t="str">
        <f>"35"</f>
        <v>35</v>
      </c>
      <c r="E5821" t="str">
        <f>"1-117-35"</f>
        <v>1-117-35</v>
      </c>
      <c r="F5821" t="s">
        <v>65</v>
      </c>
      <c r="G5821" t="s">
        <v>66</v>
      </c>
      <c r="H5821" t="s">
        <v>67</v>
      </c>
      <c r="S5821">
        <v>1</v>
      </c>
      <c r="T5821">
        <v>0</v>
      </c>
      <c r="U5821">
        <v>0</v>
      </c>
      <c r="V5821">
        <v>0</v>
      </c>
      <c r="W5821">
        <v>1</v>
      </c>
      <c r="X5821">
        <v>0</v>
      </c>
      <c r="Y5821">
        <v>0</v>
      </c>
      <c r="Z5821">
        <v>1</v>
      </c>
      <c r="AA5821">
        <v>1</v>
      </c>
      <c r="AB5821">
        <v>0</v>
      </c>
      <c r="AC5821">
        <v>0</v>
      </c>
      <c r="AD5821">
        <v>1</v>
      </c>
      <c r="AE5821">
        <v>1</v>
      </c>
      <c r="AF5821">
        <v>1</v>
      </c>
      <c r="AG5821">
        <v>1</v>
      </c>
      <c r="AH5821">
        <v>1</v>
      </c>
      <c r="AI5821">
        <v>1</v>
      </c>
      <c r="AJ5821">
        <v>1</v>
      </c>
      <c r="AK5821">
        <v>1</v>
      </c>
      <c r="AL5821">
        <v>1</v>
      </c>
      <c r="AM5821">
        <v>1</v>
      </c>
    </row>
    <row r="5822" spans="1:39" x14ac:dyDescent="0.2">
      <c r="A5822" t="str">
        <f>"5818"</f>
        <v>5818</v>
      </c>
      <c r="B5822" t="str">
        <f t="shared" si="324"/>
        <v>1</v>
      </c>
      <c r="C5822" t="str">
        <f t="shared" si="323"/>
        <v>117</v>
      </c>
      <c r="D5822" t="str">
        <f>"24"</f>
        <v>24</v>
      </c>
      <c r="E5822" t="str">
        <f>"1-117-24"</f>
        <v>1-117-24</v>
      </c>
      <c r="F5822" t="s">
        <v>65</v>
      </c>
      <c r="G5822" t="s">
        <v>66</v>
      </c>
      <c r="H5822" t="s">
        <v>67</v>
      </c>
      <c r="S5822">
        <v>0</v>
      </c>
      <c r="T5822">
        <v>1</v>
      </c>
      <c r="U5822">
        <v>0</v>
      </c>
      <c r="V5822">
        <v>0</v>
      </c>
      <c r="W5822">
        <v>0</v>
      </c>
      <c r="X5822">
        <v>1</v>
      </c>
      <c r="Y5822">
        <v>0</v>
      </c>
      <c r="Z5822">
        <v>1</v>
      </c>
      <c r="AA5822">
        <v>0</v>
      </c>
      <c r="AB5822">
        <v>0</v>
      </c>
      <c r="AC5822">
        <v>1</v>
      </c>
      <c r="AD5822">
        <v>1</v>
      </c>
      <c r="AE5822">
        <v>1</v>
      </c>
      <c r="AF5822">
        <v>1</v>
      </c>
      <c r="AG5822">
        <v>1</v>
      </c>
      <c r="AH5822">
        <v>1</v>
      </c>
      <c r="AI5822">
        <v>1</v>
      </c>
      <c r="AJ5822">
        <v>1</v>
      </c>
      <c r="AK5822">
        <v>1</v>
      </c>
      <c r="AL5822">
        <v>1</v>
      </c>
      <c r="AM5822">
        <v>1</v>
      </c>
    </row>
    <row r="5823" spans="1:39" x14ac:dyDescent="0.2">
      <c r="A5823" t="str">
        <f>"5819"</f>
        <v>5819</v>
      </c>
      <c r="B5823" t="str">
        <f t="shared" si="324"/>
        <v>1</v>
      </c>
      <c r="C5823" t="str">
        <f t="shared" si="323"/>
        <v>117</v>
      </c>
      <c r="D5823" t="str">
        <f>"18"</f>
        <v>18</v>
      </c>
      <c r="E5823" t="str">
        <f>"1-117-18"</f>
        <v>1-117-18</v>
      </c>
      <c r="F5823" t="s">
        <v>65</v>
      </c>
      <c r="G5823" t="s">
        <v>66</v>
      </c>
      <c r="H5823" t="s">
        <v>67</v>
      </c>
      <c r="S5823">
        <v>0</v>
      </c>
      <c r="T5823">
        <v>1</v>
      </c>
      <c r="U5823">
        <v>0</v>
      </c>
      <c r="V5823">
        <v>0</v>
      </c>
      <c r="W5823">
        <v>1</v>
      </c>
      <c r="X5823">
        <v>0</v>
      </c>
      <c r="Y5823">
        <v>0</v>
      </c>
      <c r="Z5823">
        <v>1</v>
      </c>
      <c r="AA5823">
        <v>0</v>
      </c>
      <c r="AB5823">
        <v>1</v>
      </c>
      <c r="AC5823">
        <v>0</v>
      </c>
      <c r="AD5823">
        <v>1</v>
      </c>
      <c r="AE5823">
        <v>1</v>
      </c>
      <c r="AF5823">
        <v>0</v>
      </c>
      <c r="AG5823">
        <v>1</v>
      </c>
      <c r="AH5823">
        <v>1</v>
      </c>
      <c r="AI5823">
        <v>1</v>
      </c>
      <c r="AJ5823">
        <v>1</v>
      </c>
      <c r="AK5823">
        <v>1</v>
      </c>
      <c r="AL5823">
        <v>1</v>
      </c>
      <c r="AM5823">
        <v>1</v>
      </c>
    </row>
    <row r="5824" spans="1:39" x14ac:dyDescent="0.2">
      <c r="A5824" t="str">
        <f>"5820"</f>
        <v>5820</v>
      </c>
      <c r="B5824" t="str">
        <f t="shared" si="324"/>
        <v>1</v>
      </c>
      <c r="C5824" t="str">
        <f t="shared" si="323"/>
        <v>117</v>
      </c>
      <c r="D5824" t="str">
        <f>"5"</f>
        <v>5</v>
      </c>
      <c r="E5824" t="str">
        <f>"1-117-5"</f>
        <v>1-117-5</v>
      </c>
      <c r="F5824" t="s">
        <v>65</v>
      </c>
      <c r="G5824" t="s">
        <v>66</v>
      </c>
      <c r="H5824" t="s">
        <v>67</v>
      </c>
      <c r="S5824">
        <v>1</v>
      </c>
      <c r="T5824">
        <v>0</v>
      </c>
      <c r="U5824">
        <v>0</v>
      </c>
      <c r="V5824">
        <v>0</v>
      </c>
      <c r="W5824">
        <v>1</v>
      </c>
      <c r="X5824">
        <v>0</v>
      </c>
      <c r="Y5824">
        <v>1</v>
      </c>
      <c r="Z5824">
        <v>0</v>
      </c>
      <c r="AA5824">
        <v>0</v>
      </c>
      <c r="AB5824">
        <v>0</v>
      </c>
      <c r="AC5824">
        <v>1</v>
      </c>
      <c r="AD5824">
        <v>1</v>
      </c>
      <c r="AE5824">
        <v>1</v>
      </c>
      <c r="AF5824">
        <v>1</v>
      </c>
      <c r="AG5824">
        <v>1</v>
      </c>
      <c r="AH5824">
        <v>1</v>
      </c>
      <c r="AI5824">
        <v>1</v>
      </c>
      <c r="AJ5824">
        <v>1</v>
      </c>
      <c r="AK5824">
        <v>1</v>
      </c>
      <c r="AL5824">
        <v>1</v>
      </c>
      <c r="AM5824">
        <v>1</v>
      </c>
    </row>
    <row r="5825" spans="1:39" x14ac:dyDescent="0.2">
      <c r="A5825" t="str">
        <f>"5821"</f>
        <v>5821</v>
      </c>
      <c r="B5825" t="str">
        <f t="shared" si="324"/>
        <v>1</v>
      </c>
      <c r="C5825" t="str">
        <f t="shared" si="323"/>
        <v>117</v>
      </c>
      <c r="D5825" t="str">
        <f>"42"</f>
        <v>42</v>
      </c>
      <c r="E5825" t="str">
        <f>"1-117-42"</f>
        <v>1-117-42</v>
      </c>
      <c r="F5825" t="s">
        <v>65</v>
      </c>
      <c r="G5825" t="s">
        <v>66</v>
      </c>
      <c r="H5825" t="s">
        <v>67</v>
      </c>
      <c r="S5825">
        <v>1</v>
      </c>
      <c r="T5825">
        <v>0</v>
      </c>
      <c r="U5825">
        <v>0</v>
      </c>
      <c r="V5825">
        <v>0</v>
      </c>
      <c r="W5825">
        <v>1</v>
      </c>
      <c r="X5825">
        <v>0</v>
      </c>
      <c r="Y5825">
        <v>1</v>
      </c>
      <c r="Z5825">
        <v>0</v>
      </c>
      <c r="AA5825">
        <v>0</v>
      </c>
      <c r="AB5825">
        <v>1</v>
      </c>
      <c r="AC5825">
        <v>0</v>
      </c>
      <c r="AD5825">
        <v>1</v>
      </c>
      <c r="AE5825">
        <v>1</v>
      </c>
      <c r="AF5825">
        <v>0</v>
      </c>
      <c r="AG5825">
        <v>1</v>
      </c>
      <c r="AH5825">
        <v>1</v>
      </c>
      <c r="AI5825">
        <v>1</v>
      </c>
      <c r="AJ5825">
        <v>1</v>
      </c>
      <c r="AK5825">
        <v>1</v>
      </c>
      <c r="AL5825">
        <v>1</v>
      </c>
      <c r="AM5825">
        <v>1</v>
      </c>
    </row>
    <row r="5826" spans="1:39" x14ac:dyDescent="0.2">
      <c r="A5826" t="str">
        <f>"5822"</f>
        <v>5822</v>
      </c>
      <c r="B5826" t="str">
        <f t="shared" si="324"/>
        <v>1</v>
      </c>
      <c r="C5826" t="str">
        <f t="shared" si="323"/>
        <v>117</v>
      </c>
      <c r="D5826" t="str">
        <f>"19"</f>
        <v>19</v>
      </c>
      <c r="E5826" t="str">
        <f>"1-117-19"</f>
        <v>1-117-19</v>
      </c>
      <c r="F5826" t="s">
        <v>65</v>
      </c>
      <c r="G5826" t="s">
        <v>66</v>
      </c>
      <c r="H5826" t="s">
        <v>67</v>
      </c>
      <c r="S5826">
        <v>0</v>
      </c>
      <c r="T5826">
        <v>1</v>
      </c>
      <c r="U5826">
        <v>0</v>
      </c>
      <c r="V5826">
        <v>0</v>
      </c>
      <c r="W5826">
        <v>0</v>
      </c>
      <c r="X5826">
        <v>1</v>
      </c>
      <c r="Y5826">
        <v>1</v>
      </c>
      <c r="Z5826">
        <v>0</v>
      </c>
      <c r="AA5826">
        <v>0</v>
      </c>
      <c r="AB5826">
        <v>1</v>
      </c>
      <c r="AC5826">
        <v>0</v>
      </c>
      <c r="AD5826">
        <v>1</v>
      </c>
      <c r="AE5826">
        <v>1</v>
      </c>
      <c r="AF5826">
        <v>1</v>
      </c>
      <c r="AG5826">
        <v>1</v>
      </c>
      <c r="AH5826">
        <v>1</v>
      </c>
      <c r="AI5826">
        <v>1</v>
      </c>
      <c r="AJ5826">
        <v>1</v>
      </c>
      <c r="AK5826">
        <v>1</v>
      </c>
      <c r="AL5826">
        <v>1</v>
      </c>
      <c r="AM5826">
        <v>1</v>
      </c>
    </row>
    <row r="5827" spans="1:39" x14ac:dyDescent="0.2">
      <c r="A5827" t="str">
        <f>"5823"</f>
        <v>5823</v>
      </c>
      <c r="B5827" t="str">
        <f t="shared" si="324"/>
        <v>1</v>
      </c>
      <c r="C5827" t="str">
        <f t="shared" si="323"/>
        <v>117</v>
      </c>
      <c r="D5827" t="str">
        <f>"8"</f>
        <v>8</v>
      </c>
      <c r="E5827" t="str">
        <f>"1-117-8"</f>
        <v>1-117-8</v>
      </c>
      <c r="F5827" t="s">
        <v>65</v>
      </c>
      <c r="G5827" t="s">
        <v>66</v>
      </c>
      <c r="H5827" t="s">
        <v>67</v>
      </c>
      <c r="S5827">
        <v>1</v>
      </c>
      <c r="T5827">
        <v>0</v>
      </c>
      <c r="U5827">
        <v>0</v>
      </c>
      <c r="V5827">
        <v>0</v>
      </c>
      <c r="W5827">
        <v>1</v>
      </c>
      <c r="X5827">
        <v>0</v>
      </c>
      <c r="Y5827">
        <v>1</v>
      </c>
      <c r="Z5827">
        <v>0</v>
      </c>
      <c r="AA5827">
        <v>0</v>
      </c>
      <c r="AB5827">
        <v>0</v>
      </c>
      <c r="AC5827">
        <v>1</v>
      </c>
      <c r="AD5827">
        <v>1</v>
      </c>
      <c r="AE5827">
        <v>1</v>
      </c>
      <c r="AF5827">
        <v>1</v>
      </c>
      <c r="AG5827">
        <v>1</v>
      </c>
      <c r="AH5827">
        <v>1</v>
      </c>
      <c r="AI5827">
        <v>1</v>
      </c>
      <c r="AJ5827">
        <v>1</v>
      </c>
      <c r="AK5827">
        <v>1</v>
      </c>
      <c r="AL5827">
        <v>1</v>
      </c>
      <c r="AM5827">
        <v>1</v>
      </c>
    </row>
    <row r="5828" spans="1:39" x14ac:dyDescent="0.2">
      <c r="A5828" t="str">
        <f>"5824"</f>
        <v>5824</v>
      </c>
      <c r="B5828" t="str">
        <f t="shared" si="324"/>
        <v>1</v>
      </c>
      <c r="C5828" t="str">
        <f t="shared" si="323"/>
        <v>117</v>
      </c>
      <c r="D5828" t="str">
        <f>"41"</f>
        <v>41</v>
      </c>
      <c r="E5828" t="str">
        <f>"1-117-41"</f>
        <v>1-117-41</v>
      </c>
      <c r="F5828" t="s">
        <v>65</v>
      </c>
      <c r="G5828" t="s">
        <v>66</v>
      </c>
      <c r="H5828" t="s">
        <v>67</v>
      </c>
      <c r="S5828">
        <v>1</v>
      </c>
      <c r="T5828">
        <v>0</v>
      </c>
      <c r="U5828">
        <v>0</v>
      </c>
      <c r="V5828">
        <v>0</v>
      </c>
      <c r="W5828">
        <v>1</v>
      </c>
      <c r="X5828">
        <v>0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1</v>
      </c>
      <c r="AJ5828">
        <v>1</v>
      </c>
      <c r="AK5828">
        <v>1</v>
      </c>
      <c r="AL5828">
        <v>1</v>
      </c>
      <c r="AM5828">
        <v>1</v>
      </c>
    </row>
    <row r="5829" spans="1:39" x14ac:dyDescent="0.2">
      <c r="A5829" t="str">
        <f>"5825"</f>
        <v>5825</v>
      </c>
      <c r="B5829" t="str">
        <f t="shared" si="324"/>
        <v>1</v>
      </c>
      <c r="C5829" t="str">
        <f t="shared" si="323"/>
        <v>117</v>
      </c>
      <c r="D5829" t="str">
        <f>"20"</f>
        <v>20</v>
      </c>
      <c r="E5829" t="str">
        <f>"1-117-20"</f>
        <v>1-117-20</v>
      </c>
      <c r="F5829" t="s">
        <v>65</v>
      </c>
      <c r="G5829" t="s">
        <v>66</v>
      </c>
      <c r="H5829" t="s">
        <v>67</v>
      </c>
      <c r="S5829">
        <v>0</v>
      </c>
      <c r="T5829">
        <v>1</v>
      </c>
      <c r="U5829">
        <v>0</v>
      </c>
      <c r="V5829">
        <v>0</v>
      </c>
      <c r="W5829">
        <v>0</v>
      </c>
      <c r="X5829">
        <v>1</v>
      </c>
      <c r="Y5829">
        <v>0</v>
      </c>
      <c r="Z5829">
        <v>1</v>
      </c>
      <c r="AA5829">
        <v>0</v>
      </c>
      <c r="AB5829">
        <v>0</v>
      </c>
      <c r="AC5829">
        <v>1</v>
      </c>
      <c r="AD5829">
        <v>1</v>
      </c>
      <c r="AE5829">
        <v>1</v>
      </c>
      <c r="AF5829">
        <v>1</v>
      </c>
      <c r="AG5829">
        <v>1</v>
      </c>
      <c r="AH5829">
        <v>1</v>
      </c>
      <c r="AI5829">
        <v>1</v>
      </c>
      <c r="AJ5829">
        <v>1</v>
      </c>
      <c r="AK5829">
        <v>1</v>
      </c>
      <c r="AL5829">
        <v>1</v>
      </c>
      <c r="AM5829">
        <v>1</v>
      </c>
    </row>
    <row r="5830" spans="1:39" x14ac:dyDescent="0.2">
      <c r="A5830" t="str">
        <f>"5826"</f>
        <v>5826</v>
      </c>
      <c r="B5830" t="str">
        <f t="shared" si="324"/>
        <v>1</v>
      </c>
      <c r="C5830" t="str">
        <f t="shared" si="323"/>
        <v>117</v>
      </c>
      <c r="D5830" t="str">
        <f>"9"</f>
        <v>9</v>
      </c>
      <c r="E5830" t="str">
        <f>"1-117-9"</f>
        <v>1-117-9</v>
      </c>
      <c r="F5830" t="s">
        <v>65</v>
      </c>
      <c r="G5830" t="s">
        <v>66</v>
      </c>
      <c r="H5830" t="s">
        <v>67</v>
      </c>
      <c r="S5830">
        <v>0</v>
      </c>
      <c r="T5830">
        <v>1</v>
      </c>
      <c r="U5830">
        <v>0</v>
      </c>
      <c r="V5830">
        <v>0</v>
      </c>
      <c r="W5830">
        <v>1</v>
      </c>
      <c r="X5830">
        <v>0</v>
      </c>
      <c r="Y5830">
        <v>1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1</v>
      </c>
      <c r="AF5830">
        <v>1</v>
      </c>
      <c r="AG5830">
        <v>1</v>
      </c>
      <c r="AH5830">
        <v>1</v>
      </c>
      <c r="AI5830">
        <v>1</v>
      </c>
      <c r="AJ5830">
        <v>1</v>
      </c>
      <c r="AK5830">
        <v>0</v>
      </c>
      <c r="AL5830">
        <v>1</v>
      </c>
      <c r="AM5830">
        <v>1</v>
      </c>
    </row>
    <row r="5831" spans="1:39" x14ac:dyDescent="0.2">
      <c r="A5831" t="str">
        <f>"5827"</f>
        <v>5827</v>
      </c>
      <c r="B5831" t="str">
        <f t="shared" si="324"/>
        <v>1</v>
      </c>
      <c r="C5831" t="str">
        <f t="shared" si="323"/>
        <v>117</v>
      </c>
      <c r="D5831" t="str">
        <f>"43"</f>
        <v>43</v>
      </c>
      <c r="E5831" t="str">
        <f>"1-117-43"</f>
        <v>1-117-43</v>
      </c>
      <c r="F5831" t="s">
        <v>65</v>
      </c>
      <c r="G5831" t="s">
        <v>66</v>
      </c>
      <c r="H5831" t="s">
        <v>67</v>
      </c>
      <c r="S5831">
        <v>1</v>
      </c>
      <c r="T5831">
        <v>0</v>
      </c>
      <c r="U5831">
        <v>0</v>
      </c>
      <c r="V5831">
        <v>0</v>
      </c>
      <c r="W5831">
        <v>1</v>
      </c>
      <c r="X5831">
        <v>0</v>
      </c>
      <c r="Y5831">
        <v>0</v>
      </c>
      <c r="Z5831">
        <v>1</v>
      </c>
      <c r="AA5831">
        <v>0</v>
      </c>
      <c r="AB5831">
        <v>0</v>
      </c>
      <c r="AC5831">
        <v>1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</row>
    <row r="5832" spans="1:39" x14ac:dyDescent="0.2">
      <c r="A5832" t="str">
        <f>"5828"</f>
        <v>5828</v>
      </c>
      <c r="B5832" t="str">
        <f t="shared" si="324"/>
        <v>1</v>
      </c>
      <c r="C5832" t="str">
        <f t="shared" si="323"/>
        <v>117</v>
      </c>
      <c r="D5832" t="str">
        <f>"21"</f>
        <v>21</v>
      </c>
      <c r="E5832" t="str">
        <f>"1-117-21"</f>
        <v>1-117-21</v>
      </c>
      <c r="F5832" t="s">
        <v>65</v>
      </c>
      <c r="G5832" t="s">
        <v>66</v>
      </c>
      <c r="H5832" t="s">
        <v>67</v>
      </c>
      <c r="S5832">
        <v>1</v>
      </c>
      <c r="T5832">
        <v>0</v>
      </c>
      <c r="U5832">
        <v>0</v>
      </c>
      <c r="V5832">
        <v>0</v>
      </c>
      <c r="W5832">
        <v>1</v>
      </c>
      <c r="X5832">
        <v>0</v>
      </c>
      <c r="Y5832">
        <v>0</v>
      </c>
      <c r="Z5832">
        <v>1</v>
      </c>
      <c r="AA5832">
        <v>1</v>
      </c>
      <c r="AB5832">
        <v>0</v>
      </c>
      <c r="AC5832">
        <v>0</v>
      </c>
      <c r="AD5832">
        <v>1</v>
      </c>
      <c r="AE5832">
        <v>1</v>
      </c>
      <c r="AF5832">
        <v>1</v>
      </c>
      <c r="AG5832">
        <v>0</v>
      </c>
      <c r="AH5832">
        <v>1</v>
      </c>
      <c r="AI5832">
        <v>1</v>
      </c>
      <c r="AJ5832">
        <v>1</v>
      </c>
      <c r="AK5832">
        <v>1</v>
      </c>
      <c r="AL5832">
        <v>1</v>
      </c>
      <c r="AM5832">
        <v>1</v>
      </c>
    </row>
    <row r="5833" spans="1:39" x14ac:dyDescent="0.2">
      <c r="A5833" t="str">
        <f>"5829"</f>
        <v>5829</v>
      </c>
      <c r="B5833" t="str">
        <f t="shared" si="324"/>
        <v>1</v>
      </c>
      <c r="C5833" t="str">
        <f t="shared" si="323"/>
        <v>117</v>
      </c>
      <c r="D5833" t="str">
        <f>"4"</f>
        <v>4</v>
      </c>
      <c r="E5833" t="str">
        <f>"1-117-4"</f>
        <v>1-117-4</v>
      </c>
      <c r="F5833" t="s">
        <v>65</v>
      </c>
      <c r="G5833" t="s">
        <v>66</v>
      </c>
      <c r="H5833" t="s">
        <v>67</v>
      </c>
      <c r="S5833">
        <v>0</v>
      </c>
      <c r="T5833">
        <v>1</v>
      </c>
      <c r="U5833">
        <v>0</v>
      </c>
      <c r="V5833">
        <v>0</v>
      </c>
      <c r="W5833">
        <v>1</v>
      </c>
      <c r="X5833">
        <v>0</v>
      </c>
      <c r="Y5833">
        <v>0</v>
      </c>
      <c r="Z5833">
        <v>1</v>
      </c>
      <c r="AA5833">
        <v>0</v>
      </c>
      <c r="AB5833">
        <v>0</v>
      </c>
      <c r="AC5833">
        <v>1</v>
      </c>
      <c r="AD5833">
        <v>1</v>
      </c>
      <c r="AE5833">
        <v>1</v>
      </c>
      <c r="AF5833">
        <v>1</v>
      </c>
      <c r="AG5833">
        <v>1</v>
      </c>
      <c r="AH5833">
        <v>1</v>
      </c>
      <c r="AI5833">
        <v>0</v>
      </c>
      <c r="AJ5833">
        <v>0</v>
      </c>
      <c r="AK5833">
        <v>0</v>
      </c>
      <c r="AL5833">
        <v>0</v>
      </c>
      <c r="AM5833">
        <v>0</v>
      </c>
    </row>
    <row r="5834" spans="1:39" x14ac:dyDescent="0.2">
      <c r="A5834" t="str">
        <f>"5830"</f>
        <v>5830</v>
      </c>
      <c r="B5834" t="str">
        <f t="shared" si="324"/>
        <v>1</v>
      </c>
      <c r="C5834" t="str">
        <f t="shared" si="323"/>
        <v>117</v>
      </c>
      <c r="D5834" t="str">
        <f>"44"</f>
        <v>44</v>
      </c>
      <c r="E5834" t="str">
        <f>"1-117-44"</f>
        <v>1-117-44</v>
      </c>
      <c r="F5834" t="s">
        <v>65</v>
      </c>
      <c r="G5834" t="s">
        <v>66</v>
      </c>
      <c r="H5834" t="s">
        <v>67</v>
      </c>
      <c r="S5834">
        <v>0</v>
      </c>
      <c r="T5834">
        <v>1</v>
      </c>
      <c r="U5834">
        <v>0</v>
      </c>
      <c r="V5834">
        <v>0</v>
      </c>
      <c r="W5834">
        <v>0</v>
      </c>
      <c r="X5834">
        <v>1</v>
      </c>
      <c r="Y5834">
        <v>0</v>
      </c>
      <c r="Z5834">
        <v>1</v>
      </c>
      <c r="AA5834">
        <v>0</v>
      </c>
      <c r="AB5834">
        <v>0</v>
      </c>
      <c r="AC5834">
        <v>1</v>
      </c>
      <c r="AD5834">
        <v>1</v>
      </c>
      <c r="AE5834">
        <v>1</v>
      </c>
      <c r="AF5834">
        <v>1</v>
      </c>
      <c r="AG5834">
        <v>1</v>
      </c>
      <c r="AH5834">
        <v>1</v>
      </c>
      <c r="AI5834">
        <v>1</v>
      </c>
      <c r="AJ5834">
        <v>1</v>
      </c>
      <c r="AK5834">
        <v>1</v>
      </c>
      <c r="AL5834">
        <v>1</v>
      </c>
      <c r="AM5834">
        <v>1</v>
      </c>
    </row>
    <row r="5835" spans="1:39" x14ac:dyDescent="0.2">
      <c r="A5835" t="str">
        <f>"5831"</f>
        <v>5831</v>
      </c>
      <c r="B5835" t="str">
        <f t="shared" si="324"/>
        <v>1</v>
      </c>
      <c r="C5835" t="str">
        <f t="shared" si="323"/>
        <v>117</v>
      </c>
      <c r="D5835" t="str">
        <f>"23"</f>
        <v>23</v>
      </c>
      <c r="E5835" t="str">
        <f>"1-117-23"</f>
        <v>1-117-23</v>
      </c>
      <c r="F5835" t="s">
        <v>65</v>
      </c>
      <c r="G5835" t="s">
        <v>66</v>
      </c>
      <c r="H5835" t="s">
        <v>67</v>
      </c>
      <c r="S5835">
        <v>1</v>
      </c>
      <c r="T5835">
        <v>0</v>
      </c>
      <c r="U5835">
        <v>0</v>
      </c>
      <c r="V5835">
        <v>0</v>
      </c>
      <c r="W5835">
        <v>1</v>
      </c>
      <c r="X5835">
        <v>0</v>
      </c>
      <c r="Y5835">
        <v>1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1</v>
      </c>
      <c r="AF5835">
        <v>1</v>
      </c>
      <c r="AG5835">
        <v>1</v>
      </c>
      <c r="AH5835">
        <v>1</v>
      </c>
      <c r="AI5835">
        <v>1</v>
      </c>
      <c r="AJ5835">
        <v>1</v>
      </c>
      <c r="AK5835">
        <v>1</v>
      </c>
      <c r="AL5835">
        <v>1</v>
      </c>
      <c r="AM5835">
        <v>1</v>
      </c>
    </row>
    <row r="5836" spans="1:39" x14ac:dyDescent="0.2">
      <c r="A5836" t="str">
        <f>"5832"</f>
        <v>5832</v>
      </c>
      <c r="B5836" t="str">
        <f t="shared" si="324"/>
        <v>1</v>
      </c>
      <c r="C5836" t="str">
        <f t="shared" si="323"/>
        <v>117</v>
      </c>
      <c r="D5836" t="str">
        <f>"14"</f>
        <v>14</v>
      </c>
      <c r="E5836" t="str">
        <f>"1-117-14"</f>
        <v>1-117-14</v>
      </c>
      <c r="F5836" t="s">
        <v>65</v>
      </c>
      <c r="G5836" t="s">
        <v>66</v>
      </c>
      <c r="H5836" t="s">
        <v>67</v>
      </c>
      <c r="S5836">
        <v>0</v>
      </c>
      <c r="T5836">
        <v>1</v>
      </c>
      <c r="U5836">
        <v>0</v>
      </c>
      <c r="V5836">
        <v>0</v>
      </c>
      <c r="W5836">
        <v>1</v>
      </c>
      <c r="X5836">
        <v>0</v>
      </c>
      <c r="Y5836">
        <v>0</v>
      </c>
      <c r="Z5836">
        <v>1</v>
      </c>
      <c r="AA5836">
        <v>1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1</v>
      </c>
      <c r="AH5836">
        <v>0</v>
      </c>
      <c r="AI5836">
        <v>0</v>
      </c>
      <c r="AJ5836">
        <v>0</v>
      </c>
      <c r="AK5836">
        <v>0</v>
      </c>
      <c r="AL5836">
        <v>1</v>
      </c>
      <c r="AM5836">
        <v>0</v>
      </c>
    </row>
    <row r="5837" spans="1:39" x14ac:dyDescent="0.2">
      <c r="A5837" t="str">
        <f>"5833"</f>
        <v>5833</v>
      </c>
      <c r="B5837" t="str">
        <f t="shared" si="324"/>
        <v>1</v>
      </c>
      <c r="C5837" t="str">
        <f t="shared" ref="C5837:C5854" si="325">"117"</f>
        <v>117</v>
      </c>
      <c r="D5837" t="str">
        <f>"45"</f>
        <v>45</v>
      </c>
      <c r="E5837" t="str">
        <f>"1-117-45"</f>
        <v>1-117-45</v>
      </c>
      <c r="F5837" t="s">
        <v>65</v>
      </c>
      <c r="G5837" t="s">
        <v>66</v>
      </c>
      <c r="H5837" t="s">
        <v>67</v>
      </c>
      <c r="S5837">
        <v>1</v>
      </c>
      <c r="T5837">
        <v>0</v>
      </c>
      <c r="U5837">
        <v>0</v>
      </c>
      <c r="V5837">
        <v>0</v>
      </c>
      <c r="W5837">
        <v>1</v>
      </c>
      <c r="X5837">
        <v>0</v>
      </c>
      <c r="Y5837">
        <v>1</v>
      </c>
      <c r="Z5837">
        <v>0</v>
      </c>
      <c r="AA5837">
        <v>0</v>
      </c>
      <c r="AB5837">
        <v>0</v>
      </c>
      <c r="AC5837">
        <v>1</v>
      </c>
      <c r="AD5837">
        <v>1</v>
      </c>
      <c r="AE5837">
        <v>1</v>
      </c>
      <c r="AF5837">
        <v>1</v>
      </c>
      <c r="AG5837">
        <v>1</v>
      </c>
      <c r="AH5837">
        <v>1</v>
      </c>
      <c r="AI5837">
        <v>1</v>
      </c>
      <c r="AJ5837">
        <v>1</v>
      </c>
      <c r="AK5837">
        <v>1</v>
      </c>
      <c r="AL5837">
        <v>1</v>
      </c>
      <c r="AM5837">
        <v>1</v>
      </c>
    </row>
    <row r="5838" spans="1:39" x14ac:dyDescent="0.2">
      <c r="A5838" t="str">
        <f>"5834"</f>
        <v>5834</v>
      </c>
      <c r="B5838" t="str">
        <f t="shared" si="324"/>
        <v>1</v>
      </c>
      <c r="C5838" t="str">
        <f t="shared" si="325"/>
        <v>117</v>
      </c>
      <c r="D5838" t="str">
        <f>"26"</f>
        <v>26</v>
      </c>
      <c r="E5838" t="str">
        <f>"1-117-26"</f>
        <v>1-117-26</v>
      </c>
      <c r="F5838" t="s">
        <v>65</v>
      </c>
      <c r="G5838" t="s">
        <v>66</v>
      </c>
      <c r="H5838" t="s">
        <v>67</v>
      </c>
      <c r="S5838">
        <v>0</v>
      </c>
      <c r="T5838">
        <v>1</v>
      </c>
      <c r="U5838">
        <v>0</v>
      </c>
      <c r="V5838">
        <v>0</v>
      </c>
      <c r="W5838">
        <v>1</v>
      </c>
      <c r="X5838">
        <v>0</v>
      </c>
      <c r="Y5838">
        <v>1</v>
      </c>
      <c r="Z5838">
        <v>0</v>
      </c>
      <c r="AA5838">
        <v>0</v>
      </c>
      <c r="AB5838">
        <v>1</v>
      </c>
      <c r="AC5838">
        <v>0</v>
      </c>
      <c r="AD5838">
        <v>1</v>
      </c>
      <c r="AE5838">
        <v>1</v>
      </c>
      <c r="AF5838">
        <v>1</v>
      </c>
      <c r="AG5838">
        <v>1</v>
      </c>
      <c r="AH5838">
        <v>1</v>
      </c>
      <c r="AI5838">
        <v>1</v>
      </c>
      <c r="AJ5838">
        <v>1</v>
      </c>
      <c r="AK5838">
        <v>1</v>
      </c>
      <c r="AL5838">
        <v>1</v>
      </c>
      <c r="AM5838">
        <v>1</v>
      </c>
    </row>
    <row r="5839" spans="1:39" x14ac:dyDescent="0.2">
      <c r="A5839" t="str">
        <f>"5835"</f>
        <v>5835</v>
      </c>
      <c r="B5839" t="str">
        <f t="shared" si="324"/>
        <v>1</v>
      </c>
      <c r="C5839" t="str">
        <f t="shared" si="325"/>
        <v>117</v>
      </c>
      <c r="D5839" t="str">
        <f>"3"</f>
        <v>3</v>
      </c>
      <c r="E5839" t="str">
        <f>"1-117-3"</f>
        <v>1-117-3</v>
      </c>
      <c r="F5839" t="s">
        <v>65</v>
      </c>
      <c r="G5839" t="s">
        <v>66</v>
      </c>
      <c r="H5839" t="s">
        <v>67</v>
      </c>
      <c r="S5839">
        <v>0</v>
      </c>
      <c r="T5839">
        <v>1</v>
      </c>
      <c r="U5839">
        <v>0</v>
      </c>
      <c r="V5839">
        <v>0</v>
      </c>
      <c r="W5839">
        <v>1</v>
      </c>
      <c r="X5839">
        <v>0</v>
      </c>
      <c r="Y5839">
        <v>1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0</v>
      </c>
      <c r="AH5839">
        <v>0</v>
      </c>
      <c r="AI5839">
        <v>1</v>
      </c>
      <c r="AJ5839">
        <v>1</v>
      </c>
      <c r="AK5839">
        <v>1</v>
      </c>
      <c r="AL5839">
        <v>1</v>
      </c>
      <c r="AM5839">
        <v>0</v>
      </c>
    </row>
    <row r="5840" spans="1:39" x14ac:dyDescent="0.2">
      <c r="A5840" t="str">
        <f>"5836"</f>
        <v>5836</v>
      </c>
      <c r="B5840" t="str">
        <f t="shared" si="324"/>
        <v>1</v>
      </c>
      <c r="C5840" t="str">
        <f t="shared" si="325"/>
        <v>117</v>
      </c>
      <c r="D5840" t="str">
        <f>"46"</f>
        <v>46</v>
      </c>
      <c r="E5840" t="str">
        <f>"1-117-46"</f>
        <v>1-117-46</v>
      </c>
      <c r="F5840" t="s">
        <v>65</v>
      </c>
      <c r="G5840" t="s">
        <v>66</v>
      </c>
      <c r="H5840" t="s">
        <v>67</v>
      </c>
      <c r="S5840">
        <v>1</v>
      </c>
      <c r="T5840">
        <v>0</v>
      </c>
      <c r="U5840">
        <v>0</v>
      </c>
      <c r="V5840">
        <v>0</v>
      </c>
      <c r="W5840">
        <v>1</v>
      </c>
      <c r="X5840">
        <v>0</v>
      </c>
      <c r="Y5840">
        <v>1</v>
      </c>
      <c r="Z5840">
        <v>0</v>
      </c>
      <c r="AA5840">
        <v>0</v>
      </c>
      <c r="AB5840">
        <v>0</v>
      </c>
      <c r="AC5840">
        <v>1</v>
      </c>
      <c r="AD5840">
        <v>1</v>
      </c>
      <c r="AE5840">
        <v>1</v>
      </c>
      <c r="AF5840">
        <v>1</v>
      </c>
      <c r="AG5840">
        <v>1</v>
      </c>
      <c r="AH5840">
        <v>1</v>
      </c>
      <c r="AI5840">
        <v>1</v>
      </c>
      <c r="AJ5840">
        <v>1</v>
      </c>
      <c r="AK5840">
        <v>1</v>
      </c>
      <c r="AL5840">
        <v>1</v>
      </c>
      <c r="AM5840">
        <v>1</v>
      </c>
    </row>
    <row r="5841" spans="1:39" x14ac:dyDescent="0.2">
      <c r="A5841" t="str">
        <f>"5837"</f>
        <v>5837</v>
      </c>
      <c r="B5841" t="str">
        <f t="shared" si="324"/>
        <v>1</v>
      </c>
      <c r="C5841" t="str">
        <f t="shared" si="325"/>
        <v>117</v>
      </c>
      <c r="D5841" t="str">
        <f>"27"</f>
        <v>27</v>
      </c>
      <c r="E5841" t="str">
        <f>"1-117-27"</f>
        <v>1-117-27</v>
      </c>
      <c r="F5841" t="s">
        <v>65</v>
      </c>
      <c r="G5841" t="s">
        <v>66</v>
      </c>
      <c r="H5841" t="s">
        <v>67</v>
      </c>
      <c r="S5841">
        <v>0</v>
      </c>
      <c r="T5841">
        <v>1</v>
      </c>
      <c r="U5841">
        <v>0</v>
      </c>
      <c r="V5841">
        <v>0</v>
      </c>
      <c r="W5841">
        <v>1</v>
      </c>
      <c r="X5841">
        <v>0</v>
      </c>
      <c r="Y5841">
        <v>1</v>
      </c>
      <c r="Z5841">
        <v>0</v>
      </c>
      <c r="AA5841">
        <v>0</v>
      </c>
      <c r="AB5841">
        <v>1</v>
      </c>
      <c r="AC5841">
        <v>0</v>
      </c>
      <c r="AD5841">
        <v>1</v>
      </c>
      <c r="AE5841">
        <v>1</v>
      </c>
      <c r="AF5841">
        <v>1</v>
      </c>
      <c r="AG5841">
        <v>1</v>
      </c>
      <c r="AH5841">
        <v>1</v>
      </c>
      <c r="AI5841">
        <v>1</v>
      </c>
      <c r="AJ5841">
        <v>1</v>
      </c>
      <c r="AK5841">
        <v>1</v>
      </c>
      <c r="AL5841">
        <v>1</v>
      </c>
      <c r="AM5841">
        <v>1</v>
      </c>
    </row>
    <row r="5842" spans="1:39" x14ac:dyDescent="0.2">
      <c r="A5842" t="str">
        <f>"5838"</f>
        <v>5838</v>
      </c>
      <c r="B5842" t="str">
        <f t="shared" si="324"/>
        <v>1</v>
      </c>
      <c r="C5842" t="str">
        <f t="shared" si="325"/>
        <v>117</v>
      </c>
      <c r="D5842" t="str">
        <f>"13"</f>
        <v>13</v>
      </c>
      <c r="E5842" t="str">
        <f>"1-117-13"</f>
        <v>1-117-13</v>
      </c>
      <c r="F5842" t="s">
        <v>65</v>
      </c>
      <c r="G5842" t="s">
        <v>66</v>
      </c>
      <c r="H5842" t="s">
        <v>67</v>
      </c>
      <c r="S5842">
        <v>0</v>
      </c>
      <c r="T5842">
        <v>1</v>
      </c>
      <c r="U5842">
        <v>0</v>
      </c>
      <c r="V5842">
        <v>0</v>
      </c>
      <c r="W5842">
        <v>1</v>
      </c>
      <c r="X5842">
        <v>0</v>
      </c>
      <c r="Y5842">
        <v>1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1</v>
      </c>
      <c r="AF5842">
        <v>1</v>
      </c>
      <c r="AG5842">
        <v>1</v>
      </c>
      <c r="AH5842">
        <v>1</v>
      </c>
      <c r="AI5842">
        <v>1</v>
      </c>
      <c r="AJ5842">
        <v>1</v>
      </c>
      <c r="AK5842">
        <v>1</v>
      </c>
      <c r="AL5842">
        <v>1</v>
      </c>
      <c r="AM5842">
        <v>1</v>
      </c>
    </row>
    <row r="5843" spans="1:39" x14ac:dyDescent="0.2">
      <c r="A5843" t="str">
        <f>"5839"</f>
        <v>5839</v>
      </c>
      <c r="B5843" t="str">
        <f t="shared" si="324"/>
        <v>1</v>
      </c>
      <c r="C5843" t="str">
        <f t="shared" si="325"/>
        <v>117</v>
      </c>
      <c r="D5843" t="str">
        <f>"47"</f>
        <v>47</v>
      </c>
      <c r="E5843" t="str">
        <f>"1-117-47"</f>
        <v>1-117-47</v>
      </c>
      <c r="F5843" t="s">
        <v>65</v>
      </c>
      <c r="G5843" t="s">
        <v>66</v>
      </c>
      <c r="H5843" t="s">
        <v>67</v>
      </c>
      <c r="S5843">
        <v>0</v>
      </c>
      <c r="T5843">
        <v>1</v>
      </c>
      <c r="U5843">
        <v>0</v>
      </c>
      <c r="V5843">
        <v>0</v>
      </c>
      <c r="W5843">
        <v>1</v>
      </c>
      <c r="X5843">
        <v>0</v>
      </c>
      <c r="Y5843">
        <v>1</v>
      </c>
      <c r="Z5843">
        <v>0</v>
      </c>
      <c r="AA5843">
        <v>0</v>
      </c>
      <c r="AB5843">
        <v>0</v>
      </c>
      <c r="AC5843">
        <v>1</v>
      </c>
      <c r="AD5843">
        <v>1</v>
      </c>
      <c r="AE5843">
        <v>1</v>
      </c>
      <c r="AF5843">
        <v>1</v>
      </c>
      <c r="AG5843">
        <v>1</v>
      </c>
      <c r="AH5843">
        <v>1</v>
      </c>
      <c r="AI5843">
        <v>1</v>
      </c>
      <c r="AJ5843">
        <v>1</v>
      </c>
      <c r="AK5843">
        <v>1</v>
      </c>
      <c r="AL5843">
        <v>1</v>
      </c>
      <c r="AM5843">
        <v>1</v>
      </c>
    </row>
    <row r="5844" spans="1:39" x14ac:dyDescent="0.2">
      <c r="A5844" t="str">
        <f>"5840"</f>
        <v>5840</v>
      </c>
      <c r="B5844" t="str">
        <f t="shared" si="324"/>
        <v>1</v>
      </c>
      <c r="C5844" t="str">
        <f t="shared" si="325"/>
        <v>117</v>
      </c>
      <c r="D5844" t="str">
        <f>"29"</f>
        <v>29</v>
      </c>
      <c r="E5844" t="str">
        <f>"1-117-29"</f>
        <v>1-117-29</v>
      </c>
      <c r="F5844" t="s">
        <v>65</v>
      </c>
      <c r="G5844" t="s">
        <v>66</v>
      </c>
      <c r="H5844" t="s">
        <v>67</v>
      </c>
      <c r="S5844">
        <v>1</v>
      </c>
      <c r="T5844">
        <v>0</v>
      </c>
      <c r="U5844">
        <v>0</v>
      </c>
      <c r="V5844">
        <v>0</v>
      </c>
      <c r="W5844">
        <v>1</v>
      </c>
      <c r="X5844">
        <v>0</v>
      </c>
      <c r="Y5844">
        <v>1</v>
      </c>
      <c r="Z5844">
        <v>0</v>
      </c>
      <c r="AA5844">
        <v>0</v>
      </c>
      <c r="AB5844">
        <v>1</v>
      </c>
      <c r="AC5844">
        <v>0</v>
      </c>
      <c r="AD5844">
        <v>1</v>
      </c>
      <c r="AE5844">
        <v>0</v>
      </c>
      <c r="AF5844">
        <v>1</v>
      </c>
      <c r="AG5844">
        <v>1</v>
      </c>
      <c r="AH5844">
        <v>1</v>
      </c>
      <c r="AI5844">
        <v>1</v>
      </c>
      <c r="AJ5844">
        <v>0</v>
      </c>
      <c r="AK5844">
        <v>1</v>
      </c>
      <c r="AL5844">
        <v>1</v>
      </c>
      <c r="AM5844">
        <v>0</v>
      </c>
    </row>
    <row r="5845" spans="1:39" x14ac:dyDescent="0.2">
      <c r="A5845" t="str">
        <f>"5841"</f>
        <v>5841</v>
      </c>
      <c r="B5845" t="str">
        <f t="shared" si="324"/>
        <v>1</v>
      </c>
      <c r="C5845" t="str">
        <f t="shared" si="325"/>
        <v>117</v>
      </c>
      <c r="D5845" t="str">
        <f>"1"</f>
        <v>1</v>
      </c>
      <c r="E5845" t="str">
        <f>"1-117-1"</f>
        <v>1-117-1</v>
      </c>
      <c r="F5845" t="s">
        <v>65</v>
      </c>
      <c r="G5845" t="s">
        <v>66</v>
      </c>
      <c r="H5845" t="s">
        <v>67</v>
      </c>
      <c r="S5845">
        <v>1</v>
      </c>
      <c r="T5845">
        <v>0</v>
      </c>
      <c r="U5845">
        <v>0</v>
      </c>
      <c r="V5845">
        <v>0</v>
      </c>
      <c r="W5845">
        <v>1</v>
      </c>
      <c r="X5845">
        <v>0</v>
      </c>
      <c r="Y5845">
        <v>0</v>
      </c>
      <c r="Z5845">
        <v>1</v>
      </c>
      <c r="AA5845">
        <v>0</v>
      </c>
      <c r="AB5845">
        <v>1</v>
      </c>
      <c r="AC5845">
        <v>0</v>
      </c>
      <c r="AD5845">
        <v>1</v>
      </c>
      <c r="AE5845">
        <v>1</v>
      </c>
      <c r="AF5845">
        <v>1</v>
      </c>
      <c r="AG5845">
        <v>1</v>
      </c>
      <c r="AH5845">
        <v>1</v>
      </c>
      <c r="AI5845">
        <v>1</v>
      </c>
      <c r="AJ5845">
        <v>1</v>
      </c>
      <c r="AK5845">
        <v>1</v>
      </c>
      <c r="AL5845">
        <v>1</v>
      </c>
      <c r="AM5845">
        <v>1</v>
      </c>
    </row>
    <row r="5846" spans="1:39" x14ac:dyDescent="0.2">
      <c r="A5846" t="str">
        <f>"5842"</f>
        <v>5842</v>
      </c>
      <c r="B5846" t="str">
        <f t="shared" si="324"/>
        <v>1</v>
      </c>
      <c r="C5846" t="str">
        <f t="shared" si="325"/>
        <v>117</v>
      </c>
      <c r="D5846" t="str">
        <f>"30"</f>
        <v>30</v>
      </c>
      <c r="E5846" t="str">
        <f>"1-117-30"</f>
        <v>1-117-30</v>
      </c>
      <c r="F5846" t="s">
        <v>65</v>
      </c>
      <c r="G5846" t="s">
        <v>66</v>
      </c>
      <c r="H5846" t="s">
        <v>67</v>
      </c>
      <c r="S5846">
        <v>0</v>
      </c>
      <c r="T5846">
        <v>1</v>
      </c>
      <c r="U5846">
        <v>0</v>
      </c>
      <c r="V5846">
        <v>0</v>
      </c>
      <c r="W5846">
        <v>0</v>
      </c>
      <c r="X5846">
        <v>1</v>
      </c>
      <c r="Y5846">
        <v>1</v>
      </c>
      <c r="Z5846">
        <v>0</v>
      </c>
      <c r="AA5846">
        <v>0</v>
      </c>
      <c r="AB5846">
        <v>0</v>
      </c>
      <c r="AC5846">
        <v>0</v>
      </c>
      <c r="AD5846">
        <v>1</v>
      </c>
      <c r="AE5846">
        <v>1</v>
      </c>
      <c r="AF5846">
        <v>1</v>
      </c>
      <c r="AG5846">
        <v>1</v>
      </c>
      <c r="AH5846">
        <v>1</v>
      </c>
      <c r="AI5846">
        <v>1</v>
      </c>
      <c r="AJ5846">
        <v>1</v>
      </c>
      <c r="AK5846">
        <v>1</v>
      </c>
      <c r="AL5846">
        <v>1</v>
      </c>
      <c r="AM5846">
        <v>1</v>
      </c>
    </row>
    <row r="5847" spans="1:39" x14ac:dyDescent="0.2">
      <c r="A5847" t="str">
        <f>"5843"</f>
        <v>5843</v>
      </c>
      <c r="B5847" t="str">
        <f t="shared" si="324"/>
        <v>1</v>
      </c>
      <c r="C5847" t="str">
        <f t="shared" si="325"/>
        <v>117</v>
      </c>
      <c r="D5847" t="str">
        <f>"10"</f>
        <v>10</v>
      </c>
      <c r="E5847" t="str">
        <f>"1-117-10"</f>
        <v>1-117-10</v>
      </c>
      <c r="F5847" t="s">
        <v>65</v>
      </c>
      <c r="G5847" t="s">
        <v>66</v>
      </c>
      <c r="H5847" t="s">
        <v>67</v>
      </c>
      <c r="S5847">
        <v>0</v>
      </c>
      <c r="T5847">
        <v>1</v>
      </c>
      <c r="U5847">
        <v>0</v>
      </c>
      <c r="V5847">
        <v>0</v>
      </c>
      <c r="W5847">
        <v>1</v>
      </c>
      <c r="X5847">
        <v>0</v>
      </c>
      <c r="Y5847">
        <v>1</v>
      </c>
      <c r="Z5847">
        <v>0</v>
      </c>
      <c r="AA5847">
        <v>1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</row>
    <row r="5848" spans="1:39" x14ac:dyDescent="0.2">
      <c r="A5848" t="str">
        <f>"5844"</f>
        <v>5844</v>
      </c>
      <c r="B5848" t="str">
        <f t="shared" si="324"/>
        <v>1</v>
      </c>
      <c r="C5848" t="str">
        <f t="shared" si="325"/>
        <v>117</v>
      </c>
      <c r="D5848" t="str">
        <f>"49"</f>
        <v>49</v>
      </c>
      <c r="E5848" t="str">
        <f>"1-117-49"</f>
        <v>1-117-49</v>
      </c>
      <c r="F5848" t="s">
        <v>65</v>
      </c>
      <c r="G5848" t="s">
        <v>66</v>
      </c>
      <c r="H5848" t="s">
        <v>67</v>
      </c>
      <c r="S5848">
        <v>1</v>
      </c>
      <c r="T5848">
        <v>0</v>
      </c>
      <c r="U5848">
        <v>0</v>
      </c>
      <c r="V5848">
        <v>0</v>
      </c>
      <c r="W5848">
        <v>1</v>
      </c>
      <c r="X5848">
        <v>0</v>
      </c>
      <c r="Y5848">
        <v>0</v>
      </c>
      <c r="Z5848">
        <v>1</v>
      </c>
      <c r="AA5848">
        <v>1</v>
      </c>
      <c r="AB5848">
        <v>0</v>
      </c>
      <c r="AC5848">
        <v>0</v>
      </c>
      <c r="AD5848">
        <v>1</v>
      </c>
      <c r="AE5848">
        <v>1</v>
      </c>
      <c r="AF5848">
        <v>1</v>
      </c>
      <c r="AG5848">
        <v>0</v>
      </c>
      <c r="AH5848">
        <v>1</v>
      </c>
      <c r="AI5848">
        <v>1</v>
      </c>
      <c r="AJ5848">
        <v>1</v>
      </c>
      <c r="AK5848">
        <v>1</v>
      </c>
      <c r="AL5848">
        <v>1</v>
      </c>
      <c r="AM5848">
        <v>1</v>
      </c>
    </row>
    <row r="5849" spans="1:39" x14ac:dyDescent="0.2">
      <c r="A5849" t="str">
        <f>"5845"</f>
        <v>5845</v>
      </c>
      <c r="B5849" t="str">
        <f t="shared" si="324"/>
        <v>1</v>
      </c>
      <c r="C5849" t="str">
        <f t="shared" si="325"/>
        <v>117</v>
      </c>
      <c r="D5849" t="str">
        <f>"31"</f>
        <v>31</v>
      </c>
      <c r="E5849" t="str">
        <f>"1-117-31"</f>
        <v>1-117-31</v>
      </c>
      <c r="F5849" t="s">
        <v>65</v>
      </c>
      <c r="G5849" t="s">
        <v>66</v>
      </c>
      <c r="H5849" t="s">
        <v>67</v>
      </c>
      <c r="S5849">
        <v>0</v>
      </c>
      <c r="T5849">
        <v>1</v>
      </c>
      <c r="U5849">
        <v>0</v>
      </c>
      <c r="V5849">
        <v>0</v>
      </c>
      <c r="W5849">
        <v>0</v>
      </c>
      <c r="X5849">
        <v>1</v>
      </c>
      <c r="Y5849">
        <v>0</v>
      </c>
      <c r="Z5849">
        <v>1</v>
      </c>
      <c r="AA5849">
        <v>0</v>
      </c>
      <c r="AB5849">
        <v>0</v>
      </c>
      <c r="AC5849">
        <v>1</v>
      </c>
      <c r="AD5849">
        <v>1</v>
      </c>
      <c r="AE5849">
        <v>1</v>
      </c>
      <c r="AF5849">
        <v>1</v>
      </c>
      <c r="AG5849">
        <v>1</v>
      </c>
      <c r="AH5849">
        <v>1</v>
      </c>
      <c r="AI5849">
        <v>1</v>
      </c>
      <c r="AJ5849">
        <v>1</v>
      </c>
      <c r="AK5849">
        <v>1</v>
      </c>
      <c r="AL5849">
        <v>1</v>
      </c>
      <c r="AM5849">
        <v>1</v>
      </c>
    </row>
    <row r="5850" spans="1:39" x14ac:dyDescent="0.2">
      <c r="A5850" t="str">
        <f>"5846"</f>
        <v>5846</v>
      </c>
      <c r="B5850" t="str">
        <f t="shared" si="324"/>
        <v>1</v>
      </c>
      <c r="C5850" t="str">
        <f t="shared" si="325"/>
        <v>117</v>
      </c>
      <c r="D5850" t="str">
        <f>"12"</f>
        <v>12</v>
      </c>
      <c r="E5850" t="str">
        <f>"1-117-12"</f>
        <v>1-117-12</v>
      </c>
      <c r="F5850" t="s">
        <v>65</v>
      </c>
      <c r="G5850" t="s">
        <v>66</v>
      </c>
      <c r="H5850" t="s">
        <v>67</v>
      </c>
      <c r="S5850">
        <v>0</v>
      </c>
      <c r="T5850">
        <v>1</v>
      </c>
      <c r="U5850">
        <v>0</v>
      </c>
      <c r="V5850">
        <v>0</v>
      </c>
      <c r="W5850">
        <v>1</v>
      </c>
      <c r="X5850">
        <v>0</v>
      </c>
      <c r="Y5850">
        <v>1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1</v>
      </c>
      <c r="AF5850">
        <v>1</v>
      </c>
      <c r="AG5850">
        <v>1</v>
      </c>
      <c r="AH5850">
        <v>1</v>
      </c>
      <c r="AI5850">
        <v>1</v>
      </c>
      <c r="AJ5850">
        <v>1</v>
      </c>
      <c r="AK5850">
        <v>1</v>
      </c>
      <c r="AL5850">
        <v>1</v>
      </c>
      <c r="AM5850">
        <v>1</v>
      </c>
    </row>
    <row r="5851" spans="1:39" x14ac:dyDescent="0.2">
      <c r="A5851" t="str">
        <f>"5847"</f>
        <v>5847</v>
      </c>
      <c r="B5851" t="str">
        <f t="shared" si="324"/>
        <v>1</v>
      </c>
      <c r="C5851" t="str">
        <f t="shared" si="325"/>
        <v>117</v>
      </c>
      <c r="D5851" t="str">
        <f>"32"</f>
        <v>32</v>
      </c>
      <c r="E5851" t="str">
        <f>"1-117-32"</f>
        <v>1-117-32</v>
      </c>
      <c r="F5851" t="s">
        <v>65</v>
      </c>
      <c r="G5851" t="s">
        <v>66</v>
      </c>
      <c r="H5851" t="s">
        <v>67</v>
      </c>
      <c r="S5851">
        <v>1</v>
      </c>
      <c r="T5851">
        <v>0</v>
      </c>
      <c r="U5851">
        <v>0</v>
      </c>
      <c r="V5851">
        <v>0</v>
      </c>
      <c r="W5851">
        <v>1</v>
      </c>
      <c r="X5851">
        <v>0</v>
      </c>
      <c r="Y5851">
        <v>1</v>
      </c>
      <c r="Z5851">
        <v>0</v>
      </c>
      <c r="AA5851">
        <v>0</v>
      </c>
      <c r="AB5851">
        <v>0</v>
      </c>
      <c r="AC5851">
        <v>1</v>
      </c>
      <c r="AD5851">
        <v>1</v>
      </c>
      <c r="AE5851">
        <v>1</v>
      </c>
      <c r="AF5851">
        <v>1</v>
      </c>
      <c r="AG5851">
        <v>1</v>
      </c>
      <c r="AH5851">
        <v>1</v>
      </c>
      <c r="AI5851">
        <v>1</v>
      </c>
      <c r="AJ5851">
        <v>1</v>
      </c>
      <c r="AK5851">
        <v>1</v>
      </c>
      <c r="AL5851">
        <v>1</v>
      </c>
      <c r="AM5851">
        <v>1</v>
      </c>
    </row>
    <row r="5852" spans="1:39" x14ac:dyDescent="0.2">
      <c r="A5852" t="str">
        <f>"5848"</f>
        <v>5848</v>
      </c>
      <c r="B5852" t="str">
        <f t="shared" si="324"/>
        <v>1</v>
      </c>
      <c r="C5852" t="str">
        <f t="shared" si="325"/>
        <v>117</v>
      </c>
      <c r="D5852" t="str">
        <f>"7"</f>
        <v>7</v>
      </c>
      <c r="E5852" t="str">
        <f>"1-117-7"</f>
        <v>1-117-7</v>
      </c>
      <c r="F5852" t="s">
        <v>65</v>
      </c>
      <c r="G5852" t="s">
        <v>66</v>
      </c>
      <c r="H5852" t="s">
        <v>67</v>
      </c>
      <c r="S5852">
        <v>0</v>
      </c>
      <c r="T5852">
        <v>1</v>
      </c>
      <c r="U5852">
        <v>0</v>
      </c>
      <c r="V5852">
        <v>0</v>
      </c>
      <c r="W5852">
        <v>1</v>
      </c>
      <c r="X5852">
        <v>0</v>
      </c>
      <c r="Y5852">
        <v>0</v>
      </c>
      <c r="Z5852">
        <v>1</v>
      </c>
      <c r="AA5852">
        <v>1</v>
      </c>
      <c r="AB5852">
        <v>0</v>
      </c>
      <c r="AC5852">
        <v>0</v>
      </c>
      <c r="AD5852">
        <v>1</v>
      </c>
      <c r="AE5852">
        <v>1</v>
      </c>
      <c r="AF5852">
        <v>1</v>
      </c>
      <c r="AG5852">
        <v>1</v>
      </c>
      <c r="AH5852">
        <v>1</v>
      </c>
      <c r="AI5852">
        <v>1</v>
      </c>
      <c r="AJ5852">
        <v>1</v>
      </c>
      <c r="AK5852">
        <v>1</v>
      </c>
      <c r="AL5852">
        <v>1</v>
      </c>
      <c r="AM5852">
        <v>1</v>
      </c>
    </row>
    <row r="5853" spans="1:39" x14ac:dyDescent="0.2">
      <c r="A5853" t="str">
        <f>"5849"</f>
        <v>5849</v>
      </c>
      <c r="B5853" t="str">
        <f t="shared" si="324"/>
        <v>1</v>
      </c>
      <c r="C5853" t="str">
        <f t="shared" si="325"/>
        <v>117</v>
      </c>
      <c r="D5853" t="str">
        <f>"50"</f>
        <v>50</v>
      </c>
      <c r="E5853" t="str">
        <f>"1-117-50"</f>
        <v>1-117-50</v>
      </c>
      <c r="F5853" t="s">
        <v>65</v>
      </c>
      <c r="G5853" t="s">
        <v>66</v>
      </c>
      <c r="H5853" t="s">
        <v>67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1</v>
      </c>
      <c r="Y5853">
        <v>0</v>
      </c>
      <c r="Z5853">
        <v>1</v>
      </c>
      <c r="AA5853">
        <v>0</v>
      </c>
      <c r="AB5853">
        <v>1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</row>
    <row r="5854" spans="1:39" x14ac:dyDescent="0.2">
      <c r="A5854" t="str">
        <f>"5850"</f>
        <v>5850</v>
      </c>
      <c r="B5854" t="str">
        <f t="shared" si="324"/>
        <v>1</v>
      </c>
      <c r="C5854" t="str">
        <f t="shared" si="325"/>
        <v>117</v>
      </c>
      <c r="D5854" t="str">
        <f>"48"</f>
        <v>48</v>
      </c>
      <c r="E5854" t="str">
        <f>"1-117-48"</f>
        <v>1-117-48</v>
      </c>
      <c r="F5854" t="s">
        <v>65</v>
      </c>
      <c r="G5854" t="s">
        <v>66</v>
      </c>
      <c r="H5854" t="s">
        <v>67</v>
      </c>
      <c r="S5854">
        <v>0</v>
      </c>
      <c r="T5854">
        <v>1</v>
      </c>
      <c r="U5854">
        <v>0</v>
      </c>
      <c r="V5854">
        <v>0</v>
      </c>
      <c r="W5854">
        <v>0</v>
      </c>
      <c r="X5854">
        <v>1</v>
      </c>
      <c r="Y5854">
        <v>0</v>
      </c>
      <c r="Z5854">
        <v>1</v>
      </c>
      <c r="AA5854">
        <v>0</v>
      </c>
      <c r="AB5854">
        <v>1</v>
      </c>
      <c r="AC5854">
        <v>0</v>
      </c>
      <c r="AD5854">
        <v>1</v>
      </c>
      <c r="AE5854">
        <v>1</v>
      </c>
      <c r="AF5854">
        <v>1</v>
      </c>
      <c r="AG5854">
        <v>1</v>
      </c>
      <c r="AH5854">
        <v>1</v>
      </c>
      <c r="AI5854">
        <v>1</v>
      </c>
      <c r="AJ5854">
        <v>1</v>
      </c>
      <c r="AK5854">
        <v>1</v>
      </c>
      <c r="AL5854">
        <v>1</v>
      </c>
      <c r="AM5854">
        <v>1</v>
      </c>
    </row>
    <row r="5855" spans="1:39" x14ac:dyDescent="0.2">
      <c r="A5855" t="str">
        <f>"5851"</f>
        <v>5851</v>
      </c>
      <c r="B5855" t="str">
        <f t="shared" si="324"/>
        <v>1</v>
      </c>
      <c r="C5855" t="str">
        <f t="shared" ref="C5855:C5886" si="326">"118"</f>
        <v>118</v>
      </c>
      <c r="D5855" t="str">
        <f>"43"</f>
        <v>43</v>
      </c>
      <c r="E5855" t="str">
        <f>"1-118-43"</f>
        <v>1-118-43</v>
      </c>
      <c r="F5855" t="s">
        <v>65</v>
      </c>
      <c r="G5855" t="s">
        <v>66</v>
      </c>
      <c r="H5855" t="s">
        <v>67</v>
      </c>
      <c r="S5855">
        <v>0</v>
      </c>
      <c r="T5855">
        <v>1</v>
      </c>
      <c r="U5855">
        <v>0</v>
      </c>
      <c r="V5855">
        <v>0</v>
      </c>
      <c r="W5855">
        <v>1</v>
      </c>
      <c r="X5855">
        <v>0</v>
      </c>
      <c r="Y5855">
        <v>0</v>
      </c>
      <c r="Z5855">
        <v>1</v>
      </c>
      <c r="AA5855">
        <v>0</v>
      </c>
      <c r="AB5855">
        <v>0</v>
      </c>
      <c r="AC5855">
        <v>0</v>
      </c>
      <c r="AD5855">
        <v>1</v>
      </c>
      <c r="AE5855">
        <v>1</v>
      </c>
      <c r="AF5855">
        <v>1</v>
      </c>
      <c r="AG5855">
        <v>1</v>
      </c>
      <c r="AH5855">
        <v>1</v>
      </c>
      <c r="AI5855">
        <v>1</v>
      </c>
      <c r="AJ5855">
        <v>1</v>
      </c>
      <c r="AK5855">
        <v>1</v>
      </c>
      <c r="AL5855">
        <v>1</v>
      </c>
      <c r="AM5855">
        <v>1</v>
      </c>
    </row>
    <row r="5856" spans="1:39" x14ac:dyDescent="0.2">
      <c r="A5856" t="str">
        <f>"5852"</f>
        <v>5852</v>
      </c>
      <c r="B5856" t="str">
        <f t="shared" si="324"/>
        <v>1</v>
      </c>
      <c r="C5856" t="str">
        <f t="shared" si="326"/>
        <v>118</v>
      </c>
      <c r="D5856" t="str">
        <f>"42"</f>
        <v>42</v>
      </c>
      <c r="E5856" t="str">
        <f>"1-118-42"</f>
        <v>1-118-42</v>
      </c>
      <c r="F5856" t="s">
        <v>65</v>
      </c>
      <c r="G5856" t="s">
        <v>66</v>
      </c>
      <c r="H5856" t="s">
        <v>67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1</v>
      </c>
      <c r="AE5856">
        <v>1</v>
      </c>
      <c r="AF5856">
        <v>1</v>
      </c>
      <c r="AG5856">
        <v>1</v>
      </c>
      <c r="AH5856">
        <v>1</v>
      </c>
      <c r="AI5856">
        <v>1</v>
      </c>
      <c r="AJ5856">
        <v>1</v>
      </c>
      <c r="AK5856">
        <v>1</v>
      </c>
      <c r="AL5856">
        <v>1</v>
      </c>
      <c r="AM5856">
        <v>1</v>
      </c>
    </row>
    <row r="5857" spans="1:39" x14ac:dyDescent="0.2">
      <c r="A5857" t="str">
        <f>"5853"</f>
        <v>5853</v>
      </c>
      <c r="B5857" t="str">
        <f t="shared" si="324"/>
        <v>1</v>
      </c>
      <c r="C5857" t="str">
        <f t="shared" si="326"/>
        <v>118</v>
      </c>
      <c r="D5857" t="str">
        <f>"34"</f>
        <v>34</v>
      </c>
      <c r="E5857" t="str">
        <f>"1-118-34"</f>
        <v>1-118-34</v>
      </c>
      <c r="F5857" t="s">
        <v>65</v>
      </c>
      <c r="G5857" t="s">
        <v>66</v>
      </c>
      <c r="H5857" t="s">
        <v>67</v>
      </c>
      <c r="S5857">
        <v>1</v>
      </c>
      <c r="T5857">
        <v>0</v>
      </c>
      <c r="U5857">
        <v>0</v>
      </c>
      <c r="V5857">
        <v>0</v>
      </c>
      <c r="W5857">
        <v>1</v>
      </c>
      <c r="X5857">
        <v>0</v>
      </c>
      <c r="Y5857">
        <v>1</v>
      </c>
      <c r="Z5857">
        <v>0</v>
      </c>
      <c r="AA5857">
        <v>0</v>
      </c>
      <c r="AB5857">
        <v>0</v>
      </c>
      <c r="AC5857">
        <v>1</v>
      </c>
      <c r="AD5857">
        <v>1</v>
      </c>
      <c r="AE5857">
        <v>1</v>
      </c>
      <c r="AF5857">
        <v>1</v>
      </c>
      <c r="AG5857">
        <v>1</v>
      </c>
      <c r="AH5857">
        <v>1</v>
      </c>
      <c r="AI5857">
        <v>1</v>
      </c>
      <c r="AJ5857">
        <v>1</v>
      </c>
      <c r="AK5857">
        <v>1</v>
      </c>
      <c r="AL5857">
        <v>1</v>
      </c>
      <c r="AM5857">
        <v>1</v>
      </c>
    </row>
    <row r="5858" spans="1:39" x14ac:dyDescent="0.2">
      <c r="A5858" t="str">
        <f>"5854"</f>
        <v>5854</v>
      </c>
      <c r="B5858" t="str">
        <f t="shared" si="324"/>
        <v>1</v>
      </c>
      <c r="C5858" t="str">
        <f t="shared" si="326"/>
        <v>118</v>
      </c>
      <c r="D5858" t="str">
        <f>"33"</f>
        <v>33</v>
      </c>
      <c r="E5858" t="str">
        <f>"1-118-33"</f>
        <v>1-118-33</v>
      </c>
      <c r="F5858" t="s">
        <v>65</v>
      </c>
      <c r="G5858" t="s">
        <v>66</v>
      </c>
      <c r="H5858" t="s">
        <v>67</v>
      </c>
      <c r="S5858">
        <v>0</v>
      </c>
      <c r="T5858">
        <v>1</v>
      </c>
      <c r="U5858">
        <v>0</v>
      </c>
      <c r="V5858">
        <v>0</v>
      </c>
      <c r="W5858">
        <v>0</v>
      </c>
      <c r="X5858">
        <v>1</v>
      </c>
      <c r="Y5858">
        <v>1</v>
      </c>
      <c r="Z5858">
        <v>0</v>
      </c>
      <c r="AA5858">
        <v>0</v>
      </c>
      <c r="AB5858">
        <v>0</v>
      </c>
      <c r="AC5858">
        <v>1</v>
      </c>
      <c r="AD5858">
        <v>1</v>
      </c>
      <c r="AE5858">
        <v>1</v>
      </c>
      <c r="AF5858">
        <v>1</v>
      </c>
      <c r="AG5858">
        <v>1</v>
      </c>
      <c r="AH5858">
        <v>1</v>
      </c>
      <c r="AI5858">
        <v>1</v>
      </c>
      <c r="AJ5858">
        <v>1</v>
      </c>
      <c r="AK5858">
        <v>1</v>
      </c>
      <c r="AL5858">
        <v>1</v>
      </c>
      <c r="AM5858">
        <v>1</v>
      </c>
    </row>
    <row r="5859" spans="1:39" x14ac:dyDescent="0.2">
      <c r="A5859" t="str">
        <f>"5855"</f>
        <v>5855</v>
      </c>
      <c r="B5859" t="str">
        <f t="shared" si="324"/>
        <v>1</v>
      </c>
      <c r="C5859" t="str">
        <f t="shared" si="326"/>
        <v>118</v>
      </c>
      <c r="D5859" t="str">
        <f>"19"</f>
        <v>19</v>
      </c>
      <c r="E5859" t="str">
        <f>"1-118-19"</f>
        <v>1-118-19</v>
      </c>
      <c r="F5859" t="s">
        <v>65</v>
      </c>
      <c r="G5859" t="s">
        <v>66</v>
      </c>
      <c r="H5859" t="s">
        <v>67</v>
      </c>
      <c r="S5859">
        <v>0</v>
      </c>
      <c r="T5859">
        <v>1</v>
      </c>
      <c r="U5859">
        <v>0</v>
      </c>
      <c r="V5859">
        <v>0</v>
      </c>
      <c r="W5859">
        <v>1</v>
      </c>
      <c r="X5859">
        <v>0</v>
      </c>
      <c r="Y5859">
        <v>0</v>
      </c>
      <c r="Z5859">
        <v>1</v>
      </c>
      <c r="AA5859">
        <v>0</v>
      </c>
      <c r="AB5859">
        <v>0</v>
      </c>
      <c r="AC5859">
        <v>1</v>
      </c>
      <c r="AD5859">
        <v>1</v>
      </c>
      <c r="AE5859">
        <v>1</v>
      </c>
      <c r="AF5859">
        <v>1</v>
      </c>
      <c r="AG5859">
        <v>1</v>
      </c>
      <c r="AH5859">
        <v>1</v>
      </c>
      <c r="AI5859">
        <v>1</v>
      </c>
      <c r="AJ5859">
        <v>1</v>
      </c>
      <c r="AK5859">
        <v>1</v>
      </c>
      <c r="AL5859">
        <v>1</v>
      </c>
      <c r="AM5859">
        <v>1</v>
      </c>
    </row>
    <row r="5860" spans="1:39" x14ac:dyDescent="0.2">
      <c r="A5860" t="str">
        <f>"5856"</f>
        <v>5856</v>
      </c>
      <c r="B5860" t="str">
        <f t="shared" si="324"/>
        <v>1</v>
      </c>
      <c r="C5860" t="str">
        <f t="shared" si="326"/>
        <v>118</v>
      </c>
      <c r="D5860" t="str">
        <f>"15"</f>
        <v>15</v>
      </c>
      <c r="E5860" t="str">
        <f>"1-118-15"</f>
        <v>1-118-15</v>
      </c>
      <c r="F5860" t="s">
        <v>65</v>
      </c>
      <c r="G5860" t="s">
        <v>66</v>
      </c>
      <c r="H5860" t="s">
        <v>67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1</v>
      </c>
      <c r="Y5860">
        <v>0</v>
      </c>
      <c r="Z5860">
        <v>1</v>
      </c>
      <c r="AA5860">
        <v>1</v>
      </c>
      <c r="AB5860">
        <v>0</v>
      </c>
      <c r="AC5860">
        <v>0</v>
      </c>
      <c r="AD5860">
        <v>1</v>
      </c>
      <c r="AE5860">
        <v>1</v>
      </c>
      <c r="AF5860">
        <v>1</v>
      </c>
      <c r="AG5860">
        <v>1</v>
      </c>
      <c r="AH5860">
        <v>1</v>
      </c>
      <c r="AI5860">
        <v>1</v>
      </c>
      <c r="AJ5860">
        <v>1</v>
      </c>
      <c r="AK5860">
        <v>1</v>
      </c>
      <c r="AL5860">
        <v>1</v>
      </c>
      <c r="AM5860">
        <v>1</v>
      </c>
    </row>
    <row r="5861" spans="1:39" x14ac:dyDescent="0.2">
      <c r="A5861" t="str">
        <f>"5857"</f>
        <v>5857</v>
      </c>
      <c r="B5861" t="str">
        <f t="shared" si="324"/>
        <v>1</v>
      </c>
      <c r="C5861" t="str">
        <f t="shared" si="326"/>
        <v>118</v>
      </c>
      <c r="D5861" t="str">
        <f>"6"</f>
        <v>6</v>
      </c>
      <c r="E5861" t="str">
        <f>"1-118-6"</f>
        <v>1-118-6</v>
      </c>
      <c r="F5861" t="s">
        <v>65</v>
      </c>
      <c r="G5861" t="s">
        <v>66</v>
      </c>
      <c r="H5861" t="s">
        <v>67</v>
      </c>
      <c r="S5861">
        <v>1</v>
      </c>
      <c r="T5861">
        <v>0</v>
      </c>
      <c r="U5861">
        <v>0</v>
      </c>
      <c r="V5861">
        <v>0</v>
      </c>
      <c r="W5861">
        <v>1</v>
      </c>
      <c r="X5861">
        <v>0</v>
      </c>
      <c r="Y5861">
        <v>0</v>
      </c>
      <c r="Z5861">
        <v>1</v>
      </c>
      <c r="AA5861">
        <v>0</v>
      </c>
      <c r="AB5861">
        <v>0</v>
      </c>
      <c r="AC5861">
        <v>1</v>
      </c>
      <c r="AD5861">
        <v>1</v>
      </c>
      <c r="AE5861">
        <v>1</v>
      </c>
      <c r="AF5861">
        <v>1</v>
      </c>
      <c r="AG5861">
        <v>1</v>
      </c>
      <c r="AH5861">
        <v>1</v>
      </c>
      <c r="AI5861">
        <v>1</v>
      </c>
      <c r="AJ5861">
        <v>1</v>
      </c>
      <c r="AK5861">
        <v>1</v>
      </c>
      <c r="AL5861">
        <v>1</v>
      </c>
      <c r="AM5861">
        <v>1</v>
      </c>
    </row>
    <row r="5862" spans="1:39" x14ac:dyDescent="0.2">
      <c r="A5862" t="str">
        <f>"5858"</f>
        <v>5858</v>
      </c>
      <c r="B5862" t="str">
        <f t="shared" si="324"/>
        <v>1</v>
      </c>
      <c r="C5862" t="str">
        <f t="shared" si="326"/>
        <v>118</v>
      </c>
      <c r="D5862" t="str">
        <f>"40"</f>
        <v>40</v>
      </c>
      <c r="E5862" t="str">
        <f>"1-118-40"</f>
        <v>1-118-40</v>
      </c>
      <c r="F5862" t="s">
        <v>65</v>
      </c>
      <c r="G5862" t="s">
        <v>66</v>
      </c>
      <c r="H5862" t="s">
        <v>67</v>
      </c>
      <c r="S5862">
        <v>1</v>
      </c>
      <c r="T5862">
        <v>0</v>
      </c>
      <c r="U5862">
        <v>0</v>
      </c>
      <c r="V5862">
        <v>0</v>
      </c>
      <c r="W5862">
        <v>1</v>
      </c>
      <c r="X5862">
        <v>0</v>
      </c>
      <c r="Y5862">
        <v>1</v>
      </c>
      <c r="Z5862">
        <v>0</v>
      </c>
      <c r="AA5862">
        <v>1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1</v>
      </c>
      <c r="AH5862">
        <v>1</v>
      </c>
      <c r="AI5862">
        <v>1</v>
      </c>
      <c r="AJ5862">
        <v>1</v>
      </c>
      <c r="AK5862">
        <v>1</v>
      </c>
      <c r="AL5862">
        <v>1</v>
      </c>
      <c r="AM5862">
        <v>0</v>
      </c>
    </row>
    <row r="5863" spans="1:39" x14ac:dyDescent="0.2">
      <c r="A5863" t="str">
        <f>"5859"</f>
        <v>5859</v>
      </c>
      <c r="B5863" t="str">
        <f t="shared" si="324"/>
        <v>1</v>
      </c>
      <c r="C5863" t="str">
        <f t="shared" si="326"/>
        <v>118</v>
      </c>
      <c r="D5863" t="str">
        <f>"39"</f>
        <v>39</v>
      </c>
      <c r="E5863" t="str">
        <f>"1-118-39"</f>
        <v>1-118-39</v>
      </c>
      <c r="F5863" t="s">
        <v>65</v>
      </c>
      <c r="G5863" t="s">
        <v>66</v>
      </c>
      <c r="H5863" t="s">
        <v>67</v>
      </c>
      <c r="S5863">
        <v>1</v>
      </c>
      <c r="T5863">
        <v>0</v>
      </c>
      <c r="U5863">
        <v>0</v>
      </c>
      <c r="V5863">
        <v>0</v>
      </c>
      <c r="W5863">
        <v>1</v>
      </c>
      <c r="X5863">
        <v>0</v>
      </c>
      <c r="Y5863">
        <v>1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1</v>
      </c>
      <c r="AF5863">
        <v>1</v>
      </c>
      <c r="AG5863">
        <v>1</v>
      </c>
      <c r="AH5863">
        <v>1</v>
      </c>
      <c r="AI5863">
        <v>1</v>
      </c>
      <c r="AJ5863">
        <v>1</v>
      </c>
      <c r="AK5863">
        <v>1</v>
      </c>
      <c r="AL5863">
        <v>1</v>
      </c>
      <c r="AM5863">
        <v>1</v>
      </c>
    </row>
    <row r="5864" spans="1:39" x14ac:dyDescent="0.2">
      <c r="A5864" t="str">
        <f>"5860"</f>
        <v>5860</v>
      </c>
      <c r="B5864" t="str">
        <f t="shared" si="324"/>
        <v>1</v>
      </c>
      <c r="C5864" t="str">
        <f t="shared" si="326"/>
        <v>118</v>
      </c>
      <c r="D5864" t="str">
        <f>"26"</f>
        <v>26</v>
      </c>
      <c r="E5864" t="str">
        <f>"1-118-26"</f>
        <v>1-118-26</v>
      </c>
      <c r="F5864" t="s">
        <v>65</v>
      </c>
      <c r="G5864" t="s">
        <v>66</v>
      </c>
      <c r="H5864" t="s">
        <v>67</v>
      </c>
      <c r="S5864">
        <v>1</v>
      </c>
      <c r="T5864">
        <v>0</v>
      </c>
      <c r="U5864">
        <v>0</v>
      </c>
      <c r="V5864">
        <v>0</v>
      </c>
      <c r="W5864">
        <v>1</v>
      </c>
      <c r="X5864">
        <v>0</v>
      </c>
      <c r="Y5864">
        <v>1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1</v>
      </c>
      <c r="AF5864">
        <v>1</v>
      </c>
      <c r="AG5864">
        <v>1</v>
      </c>
      <c r="AH5864">
        <v>1</v>
      </c>
      <c r="AI5864">
        <v>1</v>
      </c>
      <c r="AJ5864">
        <v>1</v>
      </c>
      <c r="AK5864">
        <v>1</v>
      </c>
      <c r="AL5864">
        <v>1</v>
      </c>
      <c r="AM5864">
        <v>1</v>
      </c>
    </row>
    <row r="5865" spans="1:39" x14ac:dyDescent="0.2">
      <c r="A5865" t="str">
        <f>"5861"</f>
        <v>5861</v>
      </c>
      <c r="B5865" t="str">
        <f t="shared" si="324"/>
        <v>1</v>
      </c>
      <c r="C5865" t="str">
        <f t="shared" si="326"/>
        <v>118</v>
      </c>
      <c r="D5865" t="str">
        <f>"16"</f>
        <v>16</v>
      </c>
      <c r="E5865" t="str">
        <f>"1-118-16"</f>
        <v>1-118-16</v>
      </c>
      <c r="F5865" t="s">
        <v>65</v>
      </c>
      <c r="G5865" t="s">
        <v>66</v>
      </c>
      <c r="H5865" t="s">
        <v>67</v>
      </c>
      <c r="S5865">
        <v>0</v>
      </c>
      <c r="T5865">
        <v>1</v>
      </c>
      <c r="U5865">
        <v>0</v>
      </c>
      <c r="V5865">
        <v>0</v>
      </c>
      <c r="W5865">
        <v>0</v>
      </c>
      <c r="X5865">
        <v>1</v>
      </c>
      <c r="Y5865">
        <v>1</v>
      </c>
      <c r="Z5865">
        <v>0</v>
      </c>
      <c r="AA5865">
        <v>0</v>
      </c>
      <c r="AB5865">
        <v>0</v>
      </c>
      <c r="AC5865">
        <v>1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</row>
    <row r="5866" spans="1:39" x14ac:dyDescent="0.2">
      <c r="A5866" t="str">
        <f>"5862"</f>
        <v>5862</v>
      </c>
      <c r="B5866" t="str">
        <f t="shared" si="324"/>
        <v>1</v>
      </c>
      <c r="C5866" t="str">
        <f t="shared" si="326"/>
        <v>118</v>
      </c>
      <c r="D5866" t="str">
        <f>"3"</f>
        <v>3</v>
      </c>
      <c r="E5866" t="str">
        <f>"1-118-3"</f>
        <v>1-118-3</v>
      </c>
      <c r="F5866" t="s">
        <v>65</v>
      </c>
      <c r="G5866" t="s">
        <v>66</v>
      </c>
      <c r="H5866" t="s">
        <v>67</v>
      </c>
      <c r="S5866">
        <v>0</v>
      </c>
      <c r="T5866">
        <v>1</v>
      </c>
      <c r="U5866">
        <v>0</v>
      </c>
      <c r="V5866">
        <v>0</v>
      </c>
      <c r="W5866">
        <v>0</v>
      </c>
      <c r="X5866">
        <v>1</v>
      </c>
      <c r="Y5866">
        <v>0</v>
      </c>
      <c r="Z5866">
        <v>1</v>
      </c>
      <c r="AA5866">
        <v>0</v>
      </c>
      <c r="AB5866">
        <v>1</v>
      </c>
      <c r="AC5866">
        <v>0</v>
      </c>
      <c r="AD5866">
        <v>1</v>
      </c>
      <c r="AE5866">
        <v>1</v>
      </c>
      <c r="AF5866">
        <v>1</v>
      </c>
      <c r="AG5866">
        <v>1</v>
      </c>
      <c r="AH5866">
        <v>1</v>
      </c>
      <c r="AI5866">
        <v>1</v>
      </c>
      <c r="AJ5866">
        <v>1</v>
      </c>
      <c r="AK5866">
        <v>1</v>
      </c>
      <c r="AL5866">
        <v>1</v>
      </c>
      <c r="AM5866">
        <v>1</v>
      </c>
    </row>
    <row r="5867" spans="1:39" x14ac:dyDescent="0.2">
      <c r="A5867" t="str">
        <f>"5863"</f>
        <v>5863</v>
      </c>
      <c r="B5867" t="str">
        <f t="shared" si="324"/>
        <v>1</v>
      </c>
      <c r="C5867" t="str">
        <f t="shared" si="326"/>
        <v>118</v>
      </c>
      <c r="D5867" t="str">
        <f>"38"</f>
        <v>38</v>
      </c>
      <c r="E5867" t="str">
        <f>"1-118-38"</f>
        <v>1-118-38</v>
      </c>
      <c r="F5867" t="s">
        <v>65</v>
      </c>
      <c r="G5867" t="s">
        <v>66</v>
      </c>
      <c r="H5867" t="s">
        <v>67</v>
      </c>
      <c r="S5867">
        <v>0</v>
      </c>
      <c r="T5867">
        <v>1</v>
      </c>
      <c r="U5867">
        <v>0</v>
      </c>
      <c r="V5867">
        <v>0</v>
      </c>
      <c r="W5867">
        <v>1</v>
      </c>
      <c r="X5867">
        <v>0</v>
      </c>
      <c r="Y5867">
        <v>0</v>
      </c>
      <c r="Z5867">
        <v>1</v>
      </c>
      <c r="AA5867">
        <v>0</v>
      </c>
      <c r="AB5867">
        <v>0</v>
      </c>
      <c r="AC5867">
        <v>1</v>
      </c>
      <c r="AD5867">
        <v>1</v>
      </c>
      <c r="AE5867">
        <v>1</v>
      </c>
      <c r="AF5867">
        <v>1</v>
      </c>
      <c r="AG5867">
        <v>1</v>
      </c>
      <c r="AH5867">
        <v>1</v>
      </c>
      <c r="AI5867">
        <v>1</v>
      </c>
      <c r="AJ5867">
        <v>1</v>
      </c>
      <c r="AK5867">
        <v>1</v>
      </c>
      <c r="AL5867">
        <v>1</v>
      </c>
      <c r="AM5867">
        <v>1</v>
      </c>
    </row>
    <row r="5868" spans="1:39" x14ac:dyDescent="0.2">
      <c r="A5868" t="str">
        <f>"5864"</f>
        <v>5864</v>
      </c>
      <c r="B5868" t="str">
        <f t="shared" si="324"/>
        <v>1</v>
      </c>
      <c r="C5868" t="str">
        <f t="shared" si="326"/>
        <v>118</v>
      </c>
      <c r="D5868" t="str">
        <f>"37"</f>
        <v>37</v>
      </c>
      <c r="E5868" t="str">
        <f>"1-118-37"</f>
        <v>1-118-37</v>
      </c>
      <c r="F5868" t="s">
        <v>65</v>
      </c>
      <c r="G5868" t="s">
        <v>66</v>
      </c>
      <c r="H5868" t="s">
        <v>67</v>
      </c>
      <c r="S5868">
        <v>0</v>
      </c>
      <c r="T5868">
        <v>1</v>
      </c>
      <c r="U5868">
        <v>0</v>
      </c>
      <c r="V5868">
        <v>0</v>
      </c>
      <c r="W5868">
        <v>1</v>
      </c>
      <c r="X5868">
        <v>0</v>
      </c>
      <c r="Y5868">
        <v>1</v>
      </c>
      <c r="Z5868">
        <v>0</v>
      </c>
      <c r="AA5868">
        <v>0</v>
      </c>
      <c r="AB5868">
        <v>1</v>
      </c>
      <c r="AC5868">
        <v>0</v>
      </c>
      <c r="AD5868">
        <v>1</v>
      </c>
      <c r="AE5868">
        <v>1</v>
      </c>
      <c r="AF5868">
        <v>1</v>
      </c>
      <c r="AG5868">
        <v>1</v>
      </c>
      <c r="AH5868">
        <v>1</v>
      </c>
      <c r="AI5868">
        <v>1</v>
      </c>
      <c r="AJ5868">
        <v>1</v>
      </c>
      <c r="AK5868">
        <v>1</v>
      </c>
      <c r="AL5868">
        <v>1</v>
      </c>
      <c r="AM5868">
        <v>1</v>
      </c>
    </row>
    <row r="5869" spans="1:39" x14ac:dyDescent="0.2">
      <c r="A5869" t="str">
        <f>"5865"</f>
        <v>5865</v>
      </c>
      <c r="B5869" t="str">
        <f t="shared" si="324"/>
        <v>1</v>
      </c>
      <c r="C5869" t="str">
        <f t="shared" si="326"/>
        <v>118</v>
      </c>
      <c r="D5869" t="str">
        <f>"25"</f>
        <v>25</v>
      </c>
      <c r="E5869" t="str">
        <f>"1-118-25"</f>
        <v>1-118-25</v>
      </c>
      <c r="F5869" t="s">
        <v>65</v>
      </c>
      <c r="G5869" t="s">
        <v>66</v>
      </c>
      <c r="H5869" t="s">
        <v>67</v>
      </c>
      <c r="S5869">
        <v>0</v>
      </c>
      <c r="T5869">
        <v>1</v>
      </c>
      <c r="U5869">
        <v>0</v>
      </c>
      <c r="V5869">
        <v>0</v>
      </c>
      <c r="W5869">
        <v>1</v>
      </c>
      <c r="X5869">
        <v>0</v>
      </c>
      <c r="Y5869">
        <v>1</v>
      </c>
      <c r="Z5869">
        <v>0</v>
      </c>
      <c r="AA5869">
        <v>1</v>
      </c>
      <c r="AB5869">
        <v>0</v>
      </c>
      <c r="AC5869">
        <v>0</v>
      </c>
      <c r="AD5869">
        <v>0</v>
      </c>
      <c r="AE5869">
        <v>1</v>
      </c>
      <c r="AF5869">
        <v>1</v>
      </c>
      <c r="AG5869">
        <v>1</v>
      </c>
      <c r="AH5869">
        <v>1</v>
      </c>
      <c r="AI5869">
        <v>1</v>
      </c>
      <c r="AJ5869">
        <v>1</v>
      </c>
      <c r="AK5869">
        <v>1</v>
      </c>
      <c r="AL5869">
        <v>1</v>
      </c>
      <c r="AM5869">
        <v>1</v>
      </c>
    </row>
    <row r="5870" spans="1:39" x14ac:dyDescent="0.2">
      <c r="A5870" t="str">
        <f>"5866"</f>
        <v>5866</v>
      </c>
      <c r="B5870" t="str">
        <f t="shared" si="324"/>
        <v>1</v>
      </c>
      <c r="C5870" t="str">
        <f t="shared" si="326"/>
        <v>118</v>
      </c>
      <c r="D5870" t="str">
        <f>"17"</f>
        <v>17</v>
      </c>
      <c r="E5870" t="str">
        <f>"1-118-17"</f>
        <v>1-118-17</v>
      </c>
      <c r="F5870" t="s">
        <v>65</v>
      </c>
      <c r="G5870" t="s">
        <v>66</v>
      </c>
      <c r="H5870" t="s">
        <v>67</v>
      </c>
      <c r="S5870">
        <v>0</v>
      </c>
      <c r="T5870">
        <v>0</v>
      </c>
      <c r="U5870">
        <v>0</v>
      </c>
      <c r="V5870">
        <v>0</v>
      </c>
      <c r="W5870">
        <v>1</v>
      </c>
      <c r="X5870">
        <v>0</v>
      </c>
      <c r="Y5870">
        <v>1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1</v>
      </c>
      <c r="AF5870">
        <v>1</v>
      </c>
      <c r="AG5870">
        <v>1</v>
      </c>
      <c r="AH5870">
        <v>1</v>
      </c>
      <c r="AI5870">
        <v>1</v>
      </c>
      <c r="AJ5870">
        <v>1</v>
      </c>
      <c r="AK5870">
        <v>1</v>
      </c>
      <c r="AL5870">
        <v>1</v>
      </c>
      <c r="AM5870">
        <v>1</v>
      </c>
    </row>
    <row r="5871" spans="1:39" x14ac:dyDescent="0.2">
      <c r="A5871" t="str">
        <f>"5867"</f>
        <v>5867</v>
      </c>
      <c r="B5871" t="str">
        <f t="shared" si="324"/>
        <v>1</v>
      </c>
      <c r="C5871" t="str">
        <f t="shared" si="326"/>
        <v>118</v>
      </c>
      <c r="D5871" t="str">
        <f>"1"</f>
        <v>1</v>
      </c>
      <c r="E5871" t="str">
        <f>"1-118-1"</f>
        <v>1-118-1</v>
      </c>
      <c r="F5871" t="s">
        <v>65</v>
      </c>
      <c r="G5871" t="s">
        <v>66</v>
      </c>
      <c r="H5871" t="s">
        <v>67</v>
      </c>
      <c r="S5871">
        <v>1</v>
      </c>
      <c r="T5871">
        <v>0</v>
      </c>
      <c r="U5871">
        <v>0</v>
      </c>
      <c r="V5871">
        <v>0</v>
      </c>
      <c r="W5871">
        <v>1</v>
      </c>
      <c r="X5871">
        <v>0</v>
      </c>
      <c r="Y5871">
        <v>0</v>
      </c>
      <c r="Z5871">
        <v>1</v>
      </c>
      <c r="AA5871">
        <v>0</v>
      </c>
      <c r="AB5871">
        <v>1</v>
      </c>
      <c r="AC5871">
        <v>0</v>
      </c>
      <c r="AD5871">
        <v>1</v>
      </c>
      <c r="AE5871">
        <v>1</v>
      </c>
      <c r="AF5871">
        <v>1</v>
      </c>
      <c r="AG5871">
        <v>1</v>
      </c>
      <c r="AH5871">
        <v>1</v>
      </c>
      <c r="AI5871">
        <v>1</v>
      </c>
      <c r="AJ5871">
        <v>1</v>
      </c>
      <c r="AK5871">
        <v>1</v>
      </c>
      <c r="AL5871">
        <v>1</v>
      </c>
      <c r="AM5871">
        <v>1</v>
      </c>
    </row>
    <row r="5872" spans="1:39" x14ac:dyDescent="0.2">
      <c r="A5872" t="str">
        <f>"5868"</f>
        <v>5868</v>
      </c>
      <c r="B5872" t="str">
        <f t="shared" si="324"/>
        <v>1</v>
      </c>
      <c r="C5872" t="str">
        <f t="shared" si="326"/>
        <v>118</v>
      </c>
      <c r="D5872" t="str">
        <f>"36"</f>
        <v>36</v>
      </c>
      <c r="E5872" t="str">
        <f>"1-118-36"</f>
        <v>1-118-36</v>
      </c>
      <c r="F5872" t="s">
        <v>65</v>
      </c>
      <c r="G5872" t="s">
        <v>66</v>
      </c>
      <c r="H5872" t="s">
        <v>67</v>
      </c>
      <c r="S5872">
        <v>1</v>
      </c>
      <c r="T5872">
        <v>0</v>
      </c>
      <c r="U5872">
        <v>0</v>
      </c>
      <c r="V5872">
        <v>0</v>
      </c>
      <c r="W5872">
        <v>1</v>
      </c>
      <c r="X5872">
        <v>0</v>
      </c>
      <c r="Y5872">
        <v>1</v>
      </c>
      <c r="Z5872">
        <v>0</v>
      </c>
      <c r="AA5872">
        <v>0</v>
      </c>
      <c r="AB5872">
        <v>0</v>
      </c>
      <c r="AC5872">
        <v>1</v>
      </c>
      <c r="AD5872">
        <v>1</v>
      </c>
      <c r="AE5872">
        <v>1</v>
      </c>
      <c r="AF5872">
        <v>1</v>
      </c>
      <c r="AG5872">
        <v>1</v>
      </c>
      <c r="AH5872">
        <v>1</v>
      </c>
      <c r="AI5872">
        <v>1</v>
      </c>
      <c r="AJ5872">
        <v>1</v>
      </c>
      <c r="AK5872">
        <v>1</v>
      </c>
      <c r="AL5872">
        <v>1</v>
      </c>
      <c r="AM5872">
        <v>1</v>
      </c>
    </row>
    <row r="5873" spans="1:39" x14ac:dyDescent="0.2">
      <c r="A5873" t="str">
        <f>"5869"</f>
        <v>5869</v>
      </c>
      <c r="B5873" t="str">
        <f t="shared" si="324"/>
        <v>1</v>
      </c>
      <c r="C5873" t="str">
        <f t="shared" si="326"/>
        <v>118</v>
      </c>
      <c r="D5873" t="str">
        <f>"35"</f>
        <v>35</v>
      </c>
      <c r="E5873" t="str">
        <f>"1-118-35"</f>
        <v>1-118-35</v>
      </c>
      <c r="F5873" t="s">
        <v>65</v>
      </c>
      <c r="G5873" t="s">
        <v>66</v>
      </c>
      <c r="H5873" t="s">
        <v>67</v>
      </c>
      <c r="S5873">
        <v>0</v>
      </c>
      <c r="T5873">
        <v>1</v>
      </c>
      <c r="U5873">
        <v>0</v>
      </c>
      <c r="V5873">
        <v>0</v>
      </c>
      <c r="W5873">
        <v>1</v>
      </c>
      <c r="X5873">
        <v>0</v>
      </c>
      <c r="Y5873">
        <v>1</v>
      </c>
      <c r="Z5873">
        <v>0</v>
      </c>
      <c r="AA5873">
        <v>1</v>
      </c>
      <c r="AB5873">
        <v>0</v>
      </c>
      <c r="AC5873">
        <v>0</v>
      </c>
      <c r="AD5873">
        <v>0</v>
      </c>
      <c r="AE5873">
        <v>1</v>
      </c>
      <c r="AF5873">
        <v>1</v>
      </c>
      <c r="AG5873">
        <v>1</v>
      </c>
      <c r="AH5873">
        <v>1</v>
      </c>
      <c r="AI5873">
        <v>1</v>
      </c>
      <c r="AJ5873">
        <v>1</v>
      </c>
      <c r="AK5873">
        <v>0</v>
      </c>
      <c r="AL5873">
        <v>1</v>
      </c>
      <c r="AM5873">
        <v>1</v>
      </c>
    </row>
    <row r="5874" spans="1:39" x14ac:dyDescent="0.2">
      <c r="A5874" t="str">
        <f>"5870"</f>
        <v>5870</v>
      </c>
      <c r="B5874" t="str">
        <f t="shared" si="324"/>
        <v>1</v>
      </c>
      <c r="C5874" t="str">
        <f t="shared" si="326"/>
        <v>118</v>
      </c>
      <c r="D5874" t="str">
        <f>"20"</f>
        <v>20</v>
      </c>
      <c r="E5874" t="str">
        <f>"1-118-20"</f>
        <v>1-118-20</v>
      </c>
      <c r="F5874" t="s">
        <v>65</v>
      </c>
      <c r="G5874" t="s">
        <v>66</v>
      </c>
      <c r="H5874" t="s">
        <v>67</v>
      </c>
      <c r="S5874">
        <v>1</v>
      </c>
      <c r="T5874">
        <v>0</v>
      </c>
      <c r="U5874">
        <v>0</v>
      </c>
      <c r="V5874">
        <v>0</v>
      </c>
      <c r="W5874">
        <v>1</v>
      </c>
      <c r="X5874">
        <v>0</v>
      </c>
      <c r="Y5874">
        <v>1</v>
      </c>
      <c r="Z5874">
        <v>0</v>
      </c>
      <c r="AA5874">
        <v>0</v>
      </c>
      <c r="AB5874">
        <v>1</v>
      </c>
      <c r="AC5874">
        <v>0</v>
      </c>
      <c r="AD5874">
        <v>1</v>
      </c>
      <c r="AE5874">
        <v>1</v>
      </c>
      <c r="AF5874">
        <v>1</v>
      </c>
      <c r="AG5874">
        <v>1</v>
      </c>
      <c r="AH5874">
        <v>1</v>
      </c>
      <c r="AI5874">
        <v>1</v>
      </c>
      <c r="AJ5874">
        <v>1</v>
      </c>
      <c r="AK5874">
        <v>1</v>
      </c>
      <c r="AL5874">
        <v>1</v>
      </c>
      <c r="AM5874">
        <v>1</v>
      </c>
    </row>
    <row r="5875" spans="1:39" x14ac:dyDescent="0.2">
      <c r="A5875" t="str">
        <f>"5871"</f>
        <v>5871</v>
      </c>
      <c r="B5875" t="str">
        <f t="shared" si="324"/>
        <v>1</v>
      </c>
      <c r="C5875" t="str">
        <f t="shared" si="326"/>
        <v>118</v>
      </c>
      <c r="D5875" t="str">
        <f>"18"</f>
        <v>18</v>
      </c>
      <c r="E5875" t="str">
        <f>"1-118-18"</f>
        <v>1-118-18</v>
      </c>
      <c r="F5875" t="s">
        <v>65</v>
      </c>
      <c r="G5875" t="s">
        <v>66</v>
      </c>
      <c r="H5875" t="s">
        <v>67</v>
      </c>
      <c r="S5875">
        <v>1</v>
      </c>
      <c r="T5875">
        <v>0</v>
      </c>
      <c r="U5875">
        <v>0</v>
      </c>
      <c r="V5875">
        <v>0</v>
      </c>
      <c r="W5875">
        <v>1</v>
      </c>
      <c r="X5875">
        <v>0</v>
      </c>
      <c r="Y5875">
        <v>1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1</v>
      </c>
      <c r="AF5875">
        <v>1</v>
      </c>
      <c r="AG5875">
        <v>1</v>
      </c>
      <c r="AH5875">
        <v>1</v>
      </c>
      <c r="AI5875">
        <v>1</v>
      </c>
      <c r="AJ5875">
        <v>1</v>
      </c>
      <c r="AK5875">
        <v>1</v>
      </c>
      <c r="AL5875">
        <v>1</v>
      </c>
      <c r="AM5875">
        <v>1</v>
      </c>
    </row>
    <row r="5876" spans="1:39" x14ac:dyDescent="0.2">
      <c r="A5876" t="str">
        <f>"5872"</f>
        <v>5872</v>
      </c>
      <c r="B5876" t="str">
        <f t="shared" si="324"/>
        <v>1</v>
      </c>
      <c r="C5876" t="str">
        <f t="shared" si="326"/>
        <v>118</v>
      </c>
      <c r="D5876" t="str">
        <f>"13"</f>
        <v>13</v>
      </c>
      <c r="E5876" t="str">
        <f>"1-118-13"</f>
        <v>1-118-13</v>
      </c>
      <c r="F5876" t="s">
        <v>65</v>
      </c>
      <c r="G5876" t="s">
        <v>66</v>
      </c>
      <c r="H5876" t="s">
        <v>67</v>
      </c>
      <c r="S5876">
        <v>0</v>
      </c>
      <c r="T5876">
        <v>1</v>
      </c>
      <c r="U5876">
        <v>0</v>
      </c>
      <c r="V5876">
        <v>0</v>
      </c>
      <c r="W5876">
        <v>0</v>
      </c>
      <c r="X5876">
        <v>1</v>
      </c>
      <c r="Y5876">
        <v>0</v>
      </c>
      <c r="Z5876">
        <v>1</v>
      </c>
      <c r="AA5876">
        <v>0</v>
      </c>
      <c r="AB5876">
        <v>1</v>
      </c>
      <c r="AC5876">
        <v>0</v>
      </c>
      <c r="AD5876">
        <v>1</v>
      </c>
      <c r="AE5876">
        <v>1</v>
      </c>
      <c r="AF5876">
        <v>1</v>
      </c>
      <c r="AG5876">
        <v>1</v>
      </c>
      <c r="AH5876">
        <v>1</v>
      </c>
      <c r="AI5876">
        <v>1</v>
      </c>
      <c r="AJ5876">
        <v>1</v>
      </c>
      <c r="AK5876">
        <v>1</v>
      </c>
      <c r="AL5876">
        <v>1</v>
      </c>
      <c r="AM5876">
        <v>1</v>
      </c>
    </row>
    <row r="5877" spans="1:39" x14ac:dyDescent="0.2">
      <c r="A5877" t="str">
        <f>"5873"</f>
        <v>5873</v>
      </c>
      <c r="B5877" t="str">
        <f t="shared" si="324"/>
        <v>1</v>
      </c>
      <c r="C5877" t="str">
        <f t="shared" si="326"/>
        <v>118</v>
      </c>
      <c r="D5877" t="str">
        <f>"41"</f>
        <v>41</v>
      </c>
      <c r="E5877" t="str">
        <f>"1-118-41"</f>
        <v>1-118-41</v>
      </c>
      <c r="F5877" t="s">
        <v>65</v>
      </c>
      <c r="G5877" t="s">
        <v>66</v>
      </c>
      <c r="H5877" t="s">
        <v>67</v>
      </c>
      <c r="S5877">
        <v>1</v>
      </c>
      <c r="T5877">
        <v>0</v>
      </c>
      <c r="U5877">
        <v>0</v>
      </c>
      <c r="V5877">
        <v>0</v>
      </c>
      <c r="W5877">
        <v>1</v>
      </c>
      <c r="X5877">
        <v>0</v>
      </c>
      <c r="Y5877">
        <v>1</v>
      </c>
      <c r="Z5877">
        <v>0</v>
      </c>
      <c r="AA5877">
        <v>1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1</v>
      </c>
      <c r="AH5877">
        <v>1</v>
      </c>
      <c r="AI5877">
        <v>1</v>
      </c>
      <c r="AJ5877">
        <v>1</v>
      </c>
      <c r="AK5877">
        <v>1</v>
      </c>
      <c r="AL5877">
        <v>1</v>
      </c>
      <c r="AM5877">
        <v>0</v>
      </c>
    </row>
    <row r="5878" spans="1:39" x14ac:dyDescent="0.2">
      <c r="A5878" t="str">
        <f>"5874"</f>
        <v>5874</v>
      </c>
      <c r="B5878" t="str">
        <f t="shared" si="324"/>
        <v>1</v>
      </c>
      <c r="C5878" t="str">
        <f t="shared" si="326"/>
        <v>118</v>
      </c>
      <c r="D5878" t="str">
        <f>"21"</f>
        <v>21</v>
      </c>
      <c r="E5878" t="str">
        <f>"1-118-21"</f>
        <v>1-118-21</v>
      </c>
      <c r="F5878" t="s">
        <v>65</v>
      </c>
      <c r="G5878" t="s">
        <v>66</v>
      </c>
      <c r="H5878" t="s">
        <v>67</v>
      </c>
      <c r="S5878">
        <v>1</v>
      </c>
      <c r="T5878">
        <v>0</v>
      </c>
      <c r="U5878">
        <v>0</v>
      </c>
      <c r="V5878">
        <v>0</v>
      </c>
      <c r="W5878">
        <v>1</v>
      </c>
      <c r="X5878">
        <v>0</v>
      </c>
      <c r="Y5878">
        <v>1</v>
      </c>
      <c r="Z5878">
        <v>0</v>
      </c>
      <c r="AA5878">
        <v>0</v>
      </c>
      <c r="AB5878">
        <v>0</v>
      </c>
      <c r="AC5878">
        <v>1</v>
      </c>
      <c r="AD5878">
        <v>1</v>
      </c>
      <c r="AE5878">
        <v>1</v>
      </c>
      <c r="AF5878">
        <v>1</v>
      </c>
      <c r="AG5878">
        <v>1</v>
      </c>
      <c r="AH5878">
        <v>1</v>
      </c>
      <c r="AI5878">
        <v>1</v>
      </c>
      <c r="AJ5878">
        <v>1</v>
      </c>
      <c r="AK5878">
        <v>1</v>
      </c>
      <c r="AL5878">
        <v>1</v>
      </c>
      <c r="AM5878">
        <v>1</v>
      </c>
    </row>
    <row r="5879" spans="1:39" x14ac:dyDescent="0.2">
      <c r="A5879" t="str">
        <f>"5875"</f>
        <v>5875</v>
      </c>
      <c r="B5879" t="str">
        <f t="shared" ref="B5879:B5942" si="327">"1"</f>
        <v>1</v>
      </c>
      <c r="C5879" t="str">
        <f t="shared" si="326"/>
        <v>118</v>
      </c>
      <c r="D5879" t="str">
        <f>"8"</f>
        <v>8</v>
      </c>
      <c r="E5879" t="str">
        <f>"1-118-8"</f>
        <v>1-118-8</v>
      </c>
      <c r="F5879" t="s">
        <v>65</v>
      </c>
      <c r="G5879" t="s">
        <v>66</v>
      </c>
      <c r="H5879" t="s">
        <v>67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1</v>
      </c>
      <c r="Y5879">
        <v>0</v>
      </c>
      <c r="Z5879">
        <v>1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1</v>
      </c>
      <c r="AH5879">
        <v>1</v>
      </c>
      <c r="AI5879">
        <v>1</v>
      </c>
      <c r="AJ5879">
        <v>1</v>
      </c>
      <c r="AK5879">
        <v>1</v>
      </c>
      <c r="AL5879">
        <v>1</v>
      </c>
      <c r="AM5879">
        <v>1</v>
      </c>
    </row>
    <row r="5880" spans="1:39" x14ac:dyDescent="0.2">
      <c r="A5880" t="str">
        <f>"5876"</f>
        <v>5876</v>
      </c>
      <c r="B5880" t="str">
        <f t="shared" si="327"/>
        <v>1</v>
      </c>
      <c r="C5880" t="str">
        <f t="shared" si="326"/>
        <v>118</v>
      </c>
      <c r="D5880" t="str">
        <f>"47"</f>
        <v>47</v>
      </c>
      <c r="E5880" t="str">
        <f>"1-118-47"</f>
        <v>1-118-47</v>
      </c>
      <c r="F5880" t="s">
        <v>65</v>
      </c>
      <c r="G5880" t="s">
        <v>66</v>
      </c>
      <c r="H5880" t="s">
        <v>67</v>
      </c>
      <c r="S5880">
        <v>0</v>
      </c>
      <c r="T5880">
        <v>1</v>
      </c>
      <c r="U5880">
        <v>0</v>
      </c>
      <c r="V5880">
        <v>0</v>
      </c>
      <c r="W5880">
        <v>1</v>
      </c>
      <c r="X5880">
        <v>0</v>
      </c>
      <c r="Y5880">
        <v>0</v>
      </c>
      <c r="Z5880">
        <v>1</v>
      </c>
      <c r="AA5880">
        <v>0</v>
      </c>
      <c r="AB5880">
        <v>1</v>
      </c>
      <c r="AC5880">
        <v>0</v>
      </c>
      <c r="AD5880">
        <v>1</v>
      </c>
      <c r="AE5880">
        <v>1</v>
      </c>
      <c r="AF5880">
        <v>1</v>
      </c>
      <c r="AG5880">
        <v>1</v>
      </c>
      <c r="AH5880">
        <v>1</v>
      </c>
      <c r="AI5880">
        <v>1</v>
      </c>
      <c r="AJ5880">
        <v>1</v>
      </c>
      <c r="AK5880">
        <v>1</v>
      </c>
      <c r="AL5880">
        <v>1</v>
      </c>
      <c r="AM5880">
        <v>1</v>
      </c>
    </row>
    <row r="5881" spans="1:39" x14ac:dyDescent="0.2">
      <c r="A5881" t="str">
        <f>"5877"</f>
        <v>5877</v>
      </c>
      <c r="B5881" t="str">
        <f t="shared" si="327"/>
        <v>1</v>
      </c>
      <c r="C5881" t="str">
        <f t="shared" si="326"/>
        <v>118</v>
      </c>
      <c r="D5881" t="str">
        <f>"22"</f>
        <v>22</v>
      </c>
      <c r="E5881" t="str">
        <f>"1-118-22"</f>
        <v>1-118-22</v>
      </c>
      <c r="F5881" t="s">
        <v>65</v>
      </c>
      <c r="G5881" t="s">
        <v>66</v>
      </c>
      <c r="H5881" t="s">
        <v>67</v>
      </c>
      <c r="S5881">
        <v>0</v>
      </c>
      <c r="T5881">
        <v>1</v>
      </c>
      <c r="U5881">
        <v>0</v>
      </c>
      <c r="V5881">
        <v>0</v>
      </c>
      <c r="W5881">
        <v>1</v>
      </c>
      <c r="X5881">
        <v>0</v>
      </c>
      <c r="Y5881">
        <v>0</v>
      </c>
      <c r="Z5881">
        <v>1</v>
      </c>
      <c r="AA5881">
        <v>0</v>
      </c>
      <c r="AB5881">
        <v>0</v>
      </c>
      <c r="AC5881">
        <v>1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</row>
    <row r="5882" spans="1:39" x14ac:dyDescent="0.2">
      <c r="A5882" t="str">
        <f>"5878"</f>
        <v>5878</v>
      </c>
      <c r="B5882" t="str">
        <f t="shared" si="327"/>
        <v>1</v>
      </c>
      <c r="C5882" t="str">
        <f t="shared" si="326"/>
        <v>118</v>
      </c>
      <c r="D5882" t="str">
        <f>"12"</f>
        <v>12</v>
      </c>
      <c r="E5882" t="str">
        <f>"1-118-12"</f>
        <v>1-118-12</v>
      </c>
      <c r="F5882" t="s">
        <v>65</v>
      </c>
      <c r="G5882" t="s">
        <v>66</v>
      </c>
      <c r="H5882" t="s">
        <v>67</v>
      </c>
      <c r="S5882">
        <v>1</v>
      </c>
      <c r="T5882">
        <v>0</v>
      </c>
      <c r="U5882">
        <v>0</v>
      </c>
      <c r="V5882">
        <v>0</v>
      </c>
      <c r="W5882">
        <v>0</v>
      </c>
      <c r="X5882">
        <v>1</v>
      </c>
      <c r="Y5882">
        <v>1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1</v>
      </c>
      <c r="AF5882">
        <v>1</v>
      </c>
      <c r="AG5882">
        <v>1</v>
      </c>
      <c r="AH5882">
        <v>1</v>
      </c>
      <c r="AI5882">
        <v>1</v>
      </c>
      <c r="AJ5882">
        <v>1</v>
      </c>
      <c r="AK5882">
        <v>1</v>
      </c>
      <c r="AL5882">
        <v>1</v>
      </c>
      <c r="AM5882">
        <v>1</v>
      </c>
    </row>
    <row r="5883" spans="1:39" x14ac:dyDescent="0.2">
      <c r="A5883" t="str">
        <f>"5879"</f>
        <v>5879</v>
      </c>
      <c r="B5883" t="str">
        <f t="shared" si="327"/>
        <v>1</v>
      </c>
      <c r="C5883" t="str">
        <f t="shared" si="326"/>
        <v>118</v>
      </c>
      <c r="D5883" t="str">
        <f>"49"</f>
        <v>49</v>
      </c>
      <c r="E5883" t="str">
        <f>"1-118-49"</f>
        <v>1-118-49</v>
      </c>
      <c r="F5883" t="s">
        <v>65</v>
      </c>
      <c r="G5883" t="s">
        <v>66</v>
      </c>
      <c r="H5883" t="s">
        <v>67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1</v>
      </c>
      <c r="Y5883">
        <v>0</v>
      </c>
      <c r="Z5883">
        <v>1</v>
      </c>
      <c r="AA5883">
        <v>0</v>
      </c>
      <c r="AB5883">
        <v>0</v>
      </c>
      <c r="AC5883">
        <v>1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</row>
    <row r="5884" spans="1:39" x14ac:dyDescent="0.2">
      <c r="A5884" t="str">
        <f>"5880"</f>
        <v>5880</v>
      </c>
      <c r="B5884" t="str">
        <f t="shared" si="327"/>
        <v>1</v>
      </c>
      <c r="C5884" t="str">
        <f t="shared" si="326"/>
        <v>118</v>
      </c>
      <c r="D5884" t="str">
        <f>"23"</f>
        <v>23</v>
      </c>
      <c r="E5884" t="str">
        <f>"1-118-23"</f>
        <v>1-118-23</v>
      </c>
      <c r="F5884" t="s">
        <v>65</v>
      </c>
      <c r="G5884" t="s">
        <v>66</v>
      </c>
      <c r="H5884" t="s">
        <v>67</v>
      </c>
      <c r="S5884">
        <v>1</v>
      </c>
      <c r="T5884">
        <v>0</v>
      </c>
      <c r="U5884">
        <v>0</v>
      </c>
      <c r="V5884">
        <v>0</v>
      </c>
      <c r="W5884">
        <v>1</v>
      </c>
      <c r="X5884">
        <v>0</v>
      </c>
      <c r="Y5884">
        <v>1</v>
      </c>
      <c r="Z5884">
        <v>0</v>
      </c>
      <c r="AA5884">
        <v>1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</row>
    <row r="5885" spans="1:39" x14ac:dyDescent="0.2">
      <c r="A5885" t="str">
        <f>"5881"</f>
        <v>5881</v>
      </c>
      <c r="B5885" t="str">
        <f t="shared" si="327"/>
        <v>1</v>
      </c>
      <c r="C5885" t="str">
        <f t="shared" si="326"/>
        <v>118</v>
      </c>
      <c r="D5885" t="str">
        <f>"9"</f>
        <v>9</v>
      </c>
      <c r="E5885" t="str">
        <f>"1-118-9"</f>
        <v>1-118-9</v>
      </c>
      <c r="F5885" t="s">
        <v>65</v>
      </c>
      <c r="G5885" t="s">
        <v>66</v>
      </c>
      <c r="H5885" t="s">
        <v>67</v>
      </c>
      <c r="S5885">
        <v>1</v>
      </c>
      <c r="T5885">
        <v>0</v>
      </c>
      <c r="U5885">
        <v>0</v>
      </c>
      <c r="V5885">
        <v>0</v>
      </c>
      <c r="W5885">
        <v>1</v>
      </c>
      <c r="X5885">
        <v>0</v>
      </c>
      <c r="Y5885">
        <v>0</v>
      </c>
      <c r="Z5885">
        <v>1</v>
      </c>
      <c r="AA5885">
        <v>0</v>
      </c>
      <c r="AB5885">
        <v>0</v>
      </c>
      <c r="AC5885">
        <v>1</v>
      </c>
      <c r="AD5885">
        <v>0</v>
      </c>
      <c r="AE5885">
        <v>1</v>
      </c>
      <c r="AF5885">
        <v>0</v>
      </c>
      <c r="AG5885">
        <v>0</v>
      </c>
      <c r="AH5885">
        <v>0</v>
      </c>
      <c r="AI5885">
        <v>1</v>
      </c>
      <c r="AJ5885">
        <v>1</v>
      </c>
      <c r="AK5885">
        <v>0</v>
      </c>
      <c r="AL5885">
        <v>0</v>
      </c>
      <c r="AM5885">
        <v>0</v>
      </c>
    </row>
    <row r="5886" spans="1:39" x14ac:dyDescent="0.2">
      <c r="A5886" t="str">
        <f>"5882"</f>
        <v>5882</v>
      </c>
      <c r="B5886" t="str">
        <f t="shared" si="327"/>
        <v>1</v>
      </c>
      <c r="C5886" t="str">
        <f t="shared" si="326"/>
        <v>118</v>
      </c>
      <c r="D5886" t="str">
        <f>"24"</f>
        <v>24</v>
      </c>
      <c r="E5886" t="str">
        <f>"1-118-24"</f>
        <v>1-118-24</v>
      </c>
      <c r="F5886" t="s">
        <v>65</v>
      </c>
      <c r="G5886" t="s">
        <v>66</v>
      </c>
      <c r="H5886" t="s">
        <v>67</v>
      </c>
      <c r="S5886">
        <v>0</v>
      </c>
      <c r="T5886">
        <v>1</v>
      </c>
      <c r="U5886">
        <v>0</v>
      </c>
      <c r="V5886">
        <v>0</v>
      </c>
      <c r="W5886">
        <v>0</v>
      </c>
      <c r="X5886">
        <v>1</v>
      </c>
      <c r="Y5886">
        <v>1</v>
      </c>
      <c r="Z5886">
        <v>0</v>
      </c>
      <c r="AA5886">
        <v>0</v>
      </c>
      <c r="AB5886">
        <v>1</v>
      </c>
      <c r="AC5886">
        <v>0</v>
      </c>
      <c r="AD5886">
        <v>1</v>
      </c>
      <c r="AE5886">
        <v>1</v>
      </c>
      <c r="AF5886">
        <v>1</v>
      </c>
      <c r="AG5886">
        <v>1</v>
      </c>
      <c r="AH5886">
        <v>1</v>
      </c>
      <c r="AI5886">
        <v>1</v>
      </c>
      <c r="AJ5886">
        <v>1</v>
      </c>
      <c r="AK5886">
        <v>1</v>
      </c>
      <c r="AL5886">
        <v>1</v>
      </c>
      <c r="AM5886">
        <v>1</v>
      </c>
    </row>
    <row r="5887" spans="1:39" x14ac:dyDescent="0.2">
      <c r="A5887" t="str">
        <f>"5883"</f>
        <v>5883</v>
      </c>
      <c r="B5887" t="str">
        <f t="shared" si="327"/>
        <v>1</v>
      </c>
      <c r="C5887" t="str">
        <f t="shared" ref="C5887:C5904" si="328">"118"</f>
        <v>118</v>
      </c>
      <c r="D5887" t="str">
        <f>"7"</f>
        <v>7</v>
      </c>
      <c r="E5887" t="str">
        <f>"1-118-7"</f>
        <v>1-118-7</v>
      </c>
      <c r="F5887" t="s">
        <v>65</v>
      </c>
      <c r="G5887" t="s">
        <v>66</v>
      </c>
      <c r="H5887" t="s">
        <v>67</v>
      </c>
      <c r="S5887">
        <v>0</v>
      </c>
      <c r="T5887">
        <v>1</v>
      </c>
      <c r="U5887">
        <v>0</v>
      </c>
      <c r="V5887">
        <v>0</v>
      </c>
      <c r="W5887">
        <v>1</v>
      </c>
      <c r="X5887">
        <v>0</v>
      </c>
      <c r="Y5887">
        <v>1</v>
      </c>
      <c r="Z5887">
        <v>0</v>
      </c>
      <c r="AA5887">
        <v>1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</row>
    <row r="5888" spans="1:39" x14ac:dyDescent="0.2">
      <c r="A5888" t="str">
        <f>"5884"</f>
        <v>5884</v>
      </c>
      <c r="B5888" t="str">
        <f t="shared" si="327"/>
        <v>1</v>
      </c>
      <c r="C5888" t="str">
        <f t="shared" si="328"/>
        <v>118</v>
      </c>
      <c r="D5888" t="str">
        <f>"27"</f>
        <v>27</v>
      </c>
      <c r="E5888" t="str">
        <f>"1-118-27"</f>
        <v>1-118-27</v>
      </c>
      <c r="F5888" t="s">
        <v>65</v>
      </c>
      <c r="G5888" t="s">
        <v>66</v>
      </c>
      <c r="H5888" t="s">
        <v>67</v>
      </c>
      <c r="S5888">
        <v>0</v>
      </c>
      <c r="T5888">
        <v>1</v>
      </c>
      <c r="U5888">
        <v>0</v>
      </c>
      <c r="V5888">
        <v>0</v>
      </c>
      <c r="W5888">
        <v>1</v>
      </c>
      <c r="X5888">
        <v>0</v>
      </c>
      <c r="Y5888">
        <v>1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1</v>
      </c>
      <c r="AF5888">
        <v>1</v>
      </c>
      <c r="AG5888">
        <v>1</v>
      </c>
      <c r="AH5888">
        <v>1</v>
      </c>
      <c r="AI5888">
        <v>1</v>
      </c>
      <c r="AJ5888">
        <v>1</v>
      </c>
      <c r="AK5888">
        <v>1</v>
      </c>
      <c r="AL5888">
        <v>1</v>
      </c>
      <c r="AM5888">
        <v>1</v>
      </c>
    </row>
    <row r="5889" spans="1:39" x14ac:dyDescent="0.2">
      <c r="A5889" t="str">
        <f>"5885"</f>
        <v>5885</v>
      </c>
      <c r="B5889" t="str">
        <f t="shared" si="327"/>
        <v>1</v>
      </c>
      <c r="C5889" t="str">
        <f t="shared" si="328"/>
        <v>118</v>
      </c>
      <c r="D5889" t="str">
        <f>"4"</f>
        <v>4</v>
      </c>
      <c r="E5889" t="str">
        <f>"1-118-4"</f>
        <v>1-118-4</v>
      </c>
      <c r="F5889" t="s">
        <v>65</v>
      </c>
      <c r="G5889" t="s">
        <v>66</v>
      </c>
      <c r="H5889" t="s">
        <v>67</v>
      </c>
      <c r="S5889">
        <v>1</v>
      </c>
      <c r="T5889">
        <v>0</v>
      </c>
      <c r="U5889">
        <v>0</v>
      </c>
      <c r="V5889">
        <v>0</v>
      </c>
      <c r="W5889">
        <v>1</v>
      </c>
      <c r="X5889">
        <v>0</v>
      </c>
      <c r="Y5889">
        <v>1</v>
      </c>
      <c r="Z5889">
        <v>0</v>
      </c>
      <c r="AA5889">
        <v>1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1</v>
      </c>
      <c r="AJ5889">
        <v>1</v>
      </c>
      <c r="AK5889">
        <v>0</v>
      </c>
      <c r="AL5889">
        <v>0</v>
      </c>
      <c r="AM5889">
        <v>0</v>
      </c>
    </row>
    <row r="5890" spans="1:39" x14ac:dyDescent="0.2">
      <c r="A5890" t="str">
        <f>"5886"</f>
        <v>5886</v>
      </c>
      <c r="B5890" t="str">
        <f t="shared" si="327"/>
        <v>1</v>
      </c>
      <c r="C5890" t="str">
        <f t="shared" si="328"/>
        <v>118</v>
      </c>
      <c r="D5890" t="str">
        <f>"28"</f>
        <v>28</v>
      </c>
      <c r="E5890" t="str">
        <f>"1-118-28"</f>
        <v>1-118-28</v>
      </c>
      <c r="F5890" t="s">
        <v>65</v>
      </c>
      <c r="G5890" t="s">
        <v>66</v>
      </c>
      <c r="H5890" t="s">
        <v>67</v>
      </c>
      <c r="S5890">
        <v>1</v>
      </c>
      <c r="T5890">
        <v>0</v>
      </c>
      <c r="U5890">
        <v>0</v>
      </c>
      <c r="V5890">
        <v>0</v>
      </c>
      <c r="W5890">
        <v>1</v>
      </c>
      <c r="X5890">
        <v>0</v>
      </c>
      <c r="Y5890">
        <v>0</v>
      </c>
      <c r="Z5890">
        <v>1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1</v>
      </c>
      <c r="AJ5890">
        <v>0</v>
      </c>
      <c r="AK5890">
        <v>0</v>
      </c>
      <c r="AL5890">
        <v>0</v>
      </c>
      <c r="AM5890">
        <v>0</v>
      </c>
    </row>
    <row r="5891" spans="1:39" x14ac:dyDescent="0.2">
      <c r="A5891" t="str">
        <f>"5887"</f>
        <v>5887</v>
      </c>
      <c r="B5891" t="str">
        <f t="shared" si="327"/>
        <v>1</v>
      </c>
      <c r="C5891" t="str">
        <f t="shared" si="328"/>
        <v>118</v>
      </c>
      <c r="D5891" t="str">
        <f>"2"</f>
        <v>2</v>
      </c>
      <c r="E5891" t="str">
        <f>"1-118-2"</f>
        <v>1-118-2</v>
      </c>
      <c r="F5891" t="s">
        <v>65</v>
      </c>
      <c r="G5891" t="s">
        <v>66</v>
      </c>
      <c r="H5891" t="s">
        <v>67</v>
      </c>
      <c r="S5891">
        <v>1</v>
      </c>
      <c r="T5891">
        <v>0</v>
      </c>
      <c r="U5891">
        <v>0</v>
      </c>
      <c r="V5891">
        <v>0</v>
      </c>
      <c r="W5891">
        <v>1</v>
      </c>
      <c r="X5891">
        <v>0</v>
      </c>
      <c r="Y5891">
        <v>0</v>
      </c>
      <c r="Z5891">
        <v>1</v>
      </c>
      <c r="AA5891">
        <v>1</v>
      </c>
      <c r="AB5891">
        <v>0</v>
      </c>
      <c r="AC5891">
        <v>0</v>
      </c>
      <c r="AD5891">
        <v>1</v>
      </c>
      <c r="AE5891">
        <v>1</v>
      </c>
      <c r="AF5891">
        <v>1</v>
      </c>
      <c r="AG5891">
        <v>1</v>
      </c>
      <c r="AH5891">
        <v>1</v>
      </c>
      <c r="AI5891">
        <v>1</v>
      </c>
      <c r="AJ5891">
        <v>1</v>
      </c>
      <c r="AK5891">
        <v>1</v>
      </c>
      <c r="AL5891">
        <v>1</v>
      </c>
      <c r="AM5891">
        <v>1</v>
      </c>
    </row>
    <row r="5892" spans="1:39" x14ac:dyDescent="0.2">
      <c r="A5892" t="str">
        <f>"5888"</f>
        <v>5888</v>
      </c>
      <c r="B5892" t="str">
        <f t="shared" si="327"/>
        <v>1</v>
      </c>
      <c r="C5892" t="str">
        <f t="shared" si="328"/>
        <v>118</v>
      </c>
      <c r="D5892" t="str">
        <f>"44"</f>
        <v>44</v>
      </c>
      <c r="E5892" t="str">
        <f>"1-118-44"</f>
        <v>1-118-44</v>
      </c>
      <c r="F5892" t="s">
        <v>65</v>
      </c>
      <c r="G5892" t="s">
        <v>66</v>
      </c>
      <c r="H5892" t="s">
        <v>67</v>
      </c>
      <c r="S5892">
        <v>1</v>
      </c>
      <c r="T5892">
        <v>0</v>
      </c>
      <c r="U5892">
        <v>0</v>
      </c>
      <c r="V5892">
        <v>0</v>
      </c>
      <c r="W5892">
        <v>1</v>
      </c>
      <c r="X5892">
        <v>0</v>
      </c>
      <c r="Y5892">
        <v>0</v>
      </c>
      <c r="Z5892">
        <v>1</v>
      </c>
      <c r="AA5892">
        <v>1</v>
      </c>
      <c r="AB5892">
        <v>0</v>
      </c>
      <c r="AC5892">
        <v>0</v>
      </c>
      <c r="AD5892">
        <v>1</v>
      </c>
      <c r="AE5892">
        <v>1</v>
      </c>
      <c r="AF5892">
        <v>1</v>
      </c>
      <c r="AG5892">
        <v>1</v>
      </c>
      <c r="AH5892">
        <v>1</v>
      </c>
      <c r="AI5892">
        <v>1</v>
      </c>
      <c r="AJ5892">
        <v>1</v>
      </c>
      <c r="AK5892">
        <v>1</v>
      </c>
      <c r="AL5892">
        <v>1</v>
      </c>
      <c r="AM5892">
        <v>1</v>
      </c>
    </row>
    <row r="5893" spans="1:39" x14ac:dyDescent="0.2">
      <c r="A5893" t="str">
        <f>"5889"</f>
        <v>5889</v>
      </c>
      <c r="B5893" t="str">
        <f t="shared" si="327"/>
        <v>1</v>
      </c>
      <c r="C5893" t="str">
        <f t="shared" si="328"/>
        <v>118</v>
      </c>
      <c r="D5893" t="str">
        <f>"29"</f>
        <v>29</v>
      </c>
      <c r="E5893" t="str">
        <f>"1-118-29"</f>
        <v>1-118-29</v>
      </c>
      <c r="F5893" t="s">
        <v>65</v>
      </c>
      <c r="G5893" t="s">
        <v>66</v>
      </c>
      <c r="H5893" t="s">
        <v>67</v>
      </c>
      <c r="S5893">
        <v>1</v>
      </c>
      <c r="T5893">
        <v>0</v>
      </c>
      <c r="U5893">
        <v>0</v>
      </c>
      <c r="V5893">
        <v>0</v>
      </c>
      <c r="W5893">
        <v>1</v>
      </c>
      <c r="X5893">
        <v>0</v>
      </c>
      <c r="Y5893">
        <v>0</v>
      </c>
      <c r="Z5893">
        <v>1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1</v>
      </c>
      <c r="AJ5893">
        <v>0</v>
      </c>
      <c r="AK5893">
        <v>0</v>
      </c>
      <c r="AL5893">
        <v>0</v>
      </c>
      <c r="AM5893">
        <v>0</v>
      </c>
    </row>
    <row r="5894" spans="1:39" x14ac:dyDescent="0.2">
      <c r="A5894" t="str">
        <f>"5890"</f>
        <v>5890</v>
      </c>
      <c r="B5894" t="str">
        <f t="shared" si="327"/>
        <v>1</v>
      </c>
      <c r="C5894" t="str">
        <f t="shared" si="328"/>
        <v>118</v>
      </c>
      <c r="D5894" t="str">
        <f>"5"</f>
        <v>5</v>
      </c>
      <c r="E5894" t="str">
        <f>"1-118-5"</f>
        <v>1-118-5</v>
      </c>
      <c r="F5894" t="s">
        <v>65</v>
      </c>
      <c r="G5894" t="s">
        <v>66</v>
      </c>
      <c r="H5894" t="s">
        <v>67</v>
      </c>
      <c r="S5894">
        <v>1</v>
      </c>
      <c r="T5894">
        <v>0</v>
      </c>
      <c r="U5894">
        <v>0</v>
      </c>
      <c r="V5894">
        <v>0</v>
      </c>
      <c r="W5894">
        <v>1</v>
      </c>
      <c r="X5894">
        <v>0</v>
      </c>
      <c r="Y5894">
        <v>1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1</v>
      </c>
      <c r="AF5894">
        <v>1</v>
      </c>
      <c r="AG5894">
        <v>1</v>
      </c>
      <c r="AH5894">
        <v>0</v>
      </c>
      <c r="AI5894">
        <v>1</v>
      </c>
      <c r="AJ5894">
        <v>1</v>
      </c>
      <c r="AK5894">
        <v>1</v>
      </c>
      <c r="AL5894">
        <v>0</v>
      </c>
      <c r="AM5894">
        <v>0</v>
      </c>
    </row>
    <row r="5895" spans="1:39" x14ac:dyDescent="0.2">
      <c r="A5895" t="str">
        <f>"5891"</f>
        <v>5891</v>
      </c>
      <c r="B5895" t="str">
        <f t="shared" si="327"/>
        <v>1</v>
      </c>
      <c r="C5895" t="str">
        <f t="shared" si="328"/>
        <v>118</v>
      </c>
      <c r="D5895" t="str">
        <f>"45"</f>
        <v>45</v>
      </c>
      <c r="E5895" t="str">
        <f>"1-118-45"</f>
        <v>1-118-45</v>
      </c>
      <c r="F5895" t="s">
        <v>65</v>
      </c>
      <c r="G5895" t="s">
        <v>66</v>
      </c>
      <c r="H5895" t="s">
        <v>67</v>
      </c>
      <c r="S5895">
        <v>0</v>
      </c>
      <c r="T5895">
        <v>1</v>
      </c>
      <c r="U5895">
        <v>0</v>
      </c>
      <c r="V5895">
        <v>0</v>
      </c>
      <c r="W5895">
        <v>1</v>
      </c>
      <c r="X5895">
        <v>0</v>
      </c>
      <c r="Y5895">
        <v>0</v>
      </c>
      <c r="Z5895">
        <v>1</v>
      </c>
      <c r="AA5895">
        <v>0</v>
      </c>
      <c r="AB5895">
        <v>0</v>
      </c>
      <c r="AC5895">
        <v>1</v>
      </c>
      <c r="AD5895">
        <v>1</v>
      </c>
      <c r="AE5895">
        <v>1</v>
      </c>
      <c r="AF5895">
        <v>1</v>
      </c>
      <c r="AG5895">
        <v>1</v>
      </c>
      <c r="AH5895">
        <v>1</v>
      </c>
      <c r="AI5895">
        <v>1</v>
      </c>
      <c r="AJ5895">
        <v>1</v>
      </c>
      <c r="AK5895">
        <v>1</v>
      </c>
      <c r="AL5895">
        <v>1</v>
      </c>
      <c r="AM5895">
        <v>1</v>
      </c>
    </row>
    <row r="5896" spans="1:39" x14ac:dyDescent="0.2">
      <c r="A5896" t="str">
        <f>"5892"</f>
        <v>5892</v>
      </c>
      <c r="B5896" t="str">
        <f t="shared" si="327"/>
        <v>1</v>
      </c>
      <c r="C5896" t="str">
        <f t="shared" si="328"/>
        <v>118</v>
      </c>
      <c r="D5896" t="str">
        <f>"30"</f>
        <v>30</v>
      </c>
      <c r="E5896" t="str">
        <f>"1-118-30"</f>
        <v>1-118-30</v>
      </c>
      <c r="F5896" t="s">
        <v>65</v>
      </c>
      <c r="G5896" t="s">
        <v>66</v>
      </c>
      <c r="H5896" t="s">
        <v>67</v>
      </c>
      <c r="S5896">
        <v>1</v>
      </c>
      <c r="T5896">
        <v>0</v>
      </c>
      <c r="U5896">
        <v>0</v>
      </c>
      <c r="V5896">
        <v>0</v>
      </c>
      <c r="W5896">
        <v>1</v>
      </c>
      <c r="X5896">
        <v>0</v>
      </c>
      <c r="Y5896">
        <v>0</v>
      </c>
      <c r="Z5896">
        <v>1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1</v>
      </c>
      <c r="AJ5896">
        <v>0</v>
      </c>
      <c r="AK5896">
        <v>0</v>
      </c>
      <c r="AL5896">
        <v>0</v>
      </c>
      <c r="AM5896">
        <v>0</v>
      </c>
    </row>
    <row r="5897" spans="1:39" x14ac:dyDescent="0.2">
      <c r="A5897" t="str">
        <f>"5893"</f>
        <v>5893</v>
      </c>
      <c r="B5897" t="str">
        <f t="shared" si="327"/>
        <v>1</v>
      </c>
      <c r="C5897" t="str">
        <f t="shared" si="328"/>
        <v>118</v>
      </c>
      <c r="D5897" t="str">
        <f>"10"</f>
        <v>10</v>
      </c>
      <c r="E5897" t="str">
        <f>"1-118-10"</f>
        <v>1-118-10</v>
      </c>
      <c r="F5897" t="s">
        <v>65</v>
      </c>
      <c r="G5897" t="s">
        <v>66</v>
      </c>
      <c r="H5897" t="s">
        <v>67</v>
      </c>
      <c r="S5897">
        <v>1</v>
      </c>
      <c r="T5897">
        <v>0</v>
      </c>
      <c r="U5897">
        <v>0</v>
      </c>
      <c r="V5897">
        <v>0</v>
      </c>
      <c r="W5897">
        <v>0</v>
      </c>
      <c r="X5897">
        <v>1</v>
      </c>
      <c r="Y5897">
        <v>1</v>
      </c>
      <c r="Z5897">
        <v>0</v>
      </c>
      <c r="AA5897">
        <v>0</v>
      </c>
      <c r="AB5897">
        <v>0</v>
      </c>
      <c r="AC5897">
        <v>1</v>
      </c>
      <c r="AD5897">
        <v>1</v>
      </c>
      <c r="AE5897">
        <v>1</v>
      </c>
      <c r="AF5897">
        <v>1</v>
      </c>
      <c r="AG5897">
        <v>1</v>
      </c>
      <c r="AH5897">
        <v>1</v>
      </c>
      <c r="AI5897">
        <v>1</v>
      </c>
      <c r="AJ5897">
        <v>1</v>
      </c>
      <c r="AK5897">
        <v>1</v>
      </c>
      <c r="AL5897">
        <v>1</v>
      </c>
      <c r="AM5897">
        <v>1</v>
      </c>
    </row>
    <row r="5898" spans="1:39" x14ac:dyDescent="0.2">
      <c r="A5898" t="str">
        <f>"5894"</f>
        <v>5894</v>
      </c>
      <c r="B5898" t="str">
        <f t="shared" si="327"/>
        <v>1</v>
      </c>
      <c r="C5898" t="str">
        <f t="shared" si="328"/>
        <v>118</v>
      </c>
      <c r="D5898" t="str">
        <f>"46"</f>
        <v>46</v>
      </c>
      <c r="E5898" t="str">
        <f>"1-118-46"</f>
        <v>1-118-46</v>
      </c>
      <c r="F5898" t="s">
        <v>65</v>
      </c>
      <c r="G5898" t="s">
        <v>66</v>
      </c>
      <c r="H5898" t="s">
        <v>67</v>
      </c>
      <c r="S5898">
        <v>0</v>
      </c>
      <c r="T5898">
        <v>1</v>
      </c>
      <c r="U5898">
        <v>0</v>
      </c>
      <c r="V5898">
        <v>0</v>
      </c>
      <c r="W5898">
        <v>1</v>
      </c>
      <c r="X5898">
        <v>0</v>
      </c>
      <c r="Y5898">
        <v>0</v>
      </c>
      <c r="Z5898">
        <v>1</v>
      </c>
      <c r="AA5898">
        <v>0</v>
      </c>
      <c r="AB5898">
        <v>1</v>
      </c>
      <c r="AC5898">
        <v>0</v>
      </c>
      <c r="AD5898">
        <v>1</v>
      </c>
      <c r="AE5898">
        <v>1</v>
      </c>
      <c r="AF5898">
        <v>1</v>
      </c>
      <c r="AG5898">
        <v>1</v>
      </c>
      <c r="AH5898">
        <v>1</v>
      </c>
      <c r="AI5898">
        <v>1</v>
      </c>
      <c r="AJ5898">
        <v>1</v>
      </c>
      <c r="AK5898">
        <v>1</v>
      </c>
      <c r="AL5898">
        <v>1</v>
      </c>
      <c r="AM5898">
        <v>1</v>
      </c>
    </row>
    <row r="5899" spans="1:39" x14ac:dyDescent="0.2">
      <c r="A5899" t="str">
        <f>"5895"</f>
        <v>5895</v>
      </c>
      <c r="B5899" t="str">
        <f t="shared" si="327"/>
        <v>1</v>
      </c>
      <c r="C5899" t="str">
        <f t="shared" si="328"/>
        <v>118</v>
      </c>
      <c r="D5899" t="str">
        <f>"31"</f>
        <v>31</v>
      </c>
      <c r="E5899" t="str">
        <f>"1-118-31"</f>
        <v>1-118-31</v>
      </c>
      <c r="F5899" t="s">
        <v>65</v>
      </c>
      <c r="G5899" t="s">
        <v>66</v>
      </c>
      <c r="H5899" t="s">
        <v>67</v>
      </c>
      <c r="S5899">
        <v>0</v>
      </c>
      <c r="T5899">
        <v>1</v>
      </c>
      <c r="U5899">
        <v>0</v>
      </c>
      <c r="V5899">
        <v>0</v>
      </c>
      <c r="W5899">
        <v>1</v>
      </c>
      <c r="X5899">
        <v>0</v>
      </c>
      <c r="Y5899">
        <v>0</v>
      </c>
      <c r="Z5899">
        <v>1</v>
      </c>
      <c r="AA5899">
        <v>0</v>
      </c>
      <c r="AB5899">
        <v>0</v>
      </c>
      <c r="AC5899">
        <v>1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</row>
    <row r="5900" spans="1:39" x14ac:dyDescent="0.2">
      <c r="A5900" t="str">
        <f>"5896"</f>
        <v>5896</v>
      </c>
      <c r="B5900" t="str">
        <f t="shared" si="327"/>
        <v>1</v>
      </c>
      <c r="C5900" t="str">
        <f t="shared" si="328"/>
        <v>118</v>
      </c>
      <c r="D5900" t="str">
        <f>"14"</f>
        <v>14</v>
      </c>
      <c r="E5900" t="str">
        <f>"1-118-14"</f>
        <v>1-118-14</v>
      </c>
      <c r="F5900" t="s">
        <v>65</v>
      </c>
      <c r="G5900" t="s">
        <v>66</v>
      </c>
      <c r="H5900" t="s">
        <v>67</v>
      </c>
      <c r="S5900">
        <v>0</v>
      </c>
      <c r="T5900">
        <v>1</v>
      </c>
      <c r="U5900">
        <v>0</v>
      </c>
      <c r="V5900">
        <v>0</v>
      </c>
      <c r="W5900">
        <v>1</v>
      </c>
      <c r="X5900">
        <v>0</v>
      </c>
      <c r="Y5900">
        <v>0</v>
      </c>
      <c r="Z5900">
        <v>1</v>
      </c>
      <c r="AA5900">
        <v>0</v>
      </c>
      <c r="AB5900">
        <v>0</v>
      </c>
      <c r="AC5900">
        <v>1</v>
      </c>
      <c r="AD5900">
        <v>1</v>
      </c>
      <c r="AE5900">
        <v>1</v>
      </c>
      <c r="AF5900">
        <v>1</v>
      </c>
      <c r="AG5900">
        <v>1</v>
      </c>
      <c r="AH5900">
        <v>1</v>
      </c>
      <c r="AI5900">
        <v>1</v>
      </c>
      <c r="AJ5900">
        <v>1</v>
      </c>
      <c r="AK5900">
        <v>1</v>
      </c>
      <c r="AL5900">
        <v>1</v>
      </c>
      <c r="AM5900">
        <v>1</v>
      </c>
    </row>
    <row r="5901" spans="1:39" x14ac:dyDescent="0.2">
      <c r="A5901" t="str">
        <f>"5897"</f>
        <v>5897</v>
      </c>
      <c r="B5901" t="str">
        <f t="shared" si="327"/>
        <v>1</v>
      </c>
      <c r="C5901" t="str">
        <f t="shared" si="328"/>
        <v>118</v>
      </c>
      <c r="D5901" t="str">
        <f>"48"</f>
        <v>48</v>
      </c>
      <c r="E5901" t="str">
        <f>"1-118-48"</f>
        <v>1-118-48</v>
      </c>
      <c r="F5901" t="s">
        <v>65</v>
      </c>
      <c r="G5901" t="s">
        <v>66</v>
      </c>
      <c r="H5901" t="s">
        <v>67</v>
      </c>
      <c r="S5901">
        <v>0</v>
      </c>
      <c r="T5901">
        <v>1</v>
      </c>
      <c r="U5901">
        <v>0</v>
      </c>
      <c r="V5901">
        <v>0</v>
      </c>
      <c r="W5901">
        <v>1</v>
      </c>
      <c r="X5901">
        <v>0</v>
      </c>
      <c r="Y5901">
        <v>0</v>
      </c>
      <c r="Z5901">
        <v>1</v>
      </c>
      <c r="AA5901">
        <v>0</v>
      </c>
      <c r="AB5901">
        <v>0</v>
      </c>
      <c r="AC5901">
        <v>1</v>
      </c>
      <c r="AD5901">
        <v>1</v>
      </c>
      <c r="AE5901">
        <v>1</v>
      </c>
      <c r="AF5901">
        <v>1</v>
      </c>
      <c r="AG5901">
        <v>1</v>
      </c>
      <c r="AH5901">
        <v>1</v>
      </c>
      <c r="AI5901">
        <v>1</v>
      </c>
      <c r="AJ5901">
        <v>1</v>
      </c>
      <c r="AK5901">
        <v>1</v>
      </c>
      <c r="AL5901">
        <v>1</v>
      </c>
      <c r="AM5901">
        <v>1</v>
      </c>
    </row>
    <row r="5902" spans="1:39" x14ac:dyDescent="0.2">
      <c r="A5902" t="str">
        <f>"5898"</f>
        <v>5898</v>
      </c>
      <c r="B5902" t="str">
        <f t="shared" si="327"/>
        <v>1</v>
      </c>
      <c r="C5902" t="str">
        <f t="shared" si="328"/>
        <v>118</v>
      </c>
      <c r="D5902" t="str">
        <f>"32"</f>
        <v>32</v>
      </c>
      <c r="E5902" t="str">
        <f>"1-118-32"</f>
        <v>1-118-32</v>
      </c>
      <c r="F5902" t="s">
        <v>65</v>
      </c>
      <c r="G5902" t="s">
        <v>66</v>
      </c>
      <c r="H5902" t="s">
        <v>67</v>
      </c>
      <c r="S5902">
        <v>1</v>
      </c>
      <c r="T5902">
        <v>0</v>
      </c>
      <c r="U5902">
        <v>0</v>
      </c>
      <c r="V5902">
        <v>0</v>
      </c>
      <c r="W5902">
        <v>1</v>
      </c>
      <c r="X5902">
        <v>0</v>
      </c>
      <c r="Y5902">
        <v>1</v>
      </c>
      <c r="Z5902">
        <v>0</v>
      </c>
      <c r="AA5902">
        <v>0</v>
      </c>
      <c r="AB5902">
        <v>0</v>
      </c>
      <c r="AC5902">
        <v>1</v>
      </c>
      <c r="AD5902">
        <v>1</v>
      </c>
      <c r="AE5902">
        <v>1</v>
      </c>
      <c r="AF5902">
        <v>1</v>
      </c>
      <c r="AG5902">
        <v>1</v>
      </c>
      <c r="AH5902">
        <v>1</v>
      </c>
      <c r="AI5902">
        <v>1</v>
      </c>
      <c r="AJ5902">
        <v>1</v>
      </c>
      <c r="AK5902">
        <v>1</v>
      </c>
      <c r="AL5902">
        <v>1</v>
      </c>
      <c r="AM5902">
        <v>1</v>
      </c>
    </row>
    <row r="5903" spans="1:39" x14ac:dyDescent="0.2">
      <c r="A5903" t="str">
        <f>"5899"</f>
        <v>5899</v>
      </c>
      <c r="B5903" t="str">
        <f t="shared" si="327"/>
        <v>1</v>
      </c>
      <c r="C5903" t="str">
        <f t="shared" si="328"/>
        <v>118</v>
      </c>
      <c r="D5903" t="str">
        <f>"11"</f>
        <v>11</v>
      </c>
      <c r="E5903" t="str">
        <f>"1-118-11"</f>
        <v>1-118-11</v>
      </c>
      <c r="F5903" t="s">
        <v>65</v>
      </c>
      <c r="G5903" t="s">
        <v>66</v>
      </c>
      <c r="H5903" t="s">
        <v>67</v>
      </c>
      <c r="S5903">
        <v>1</v>
      </c>
      <c r="T5903">
        <v>0</v>
      </c>
      <c r="U5903">
        <v>0</v>
      </c>
      <c r="V5903">
        <v>0</v>
      </c>
      <c r="W5903">
        <v>1</v>
      </c>
      <c r="X5903">
        <v>0</v>
      </c>
      <c r="Y5903">
        <v>0</v>
      </c>
      <c r="Z5903">
        <v>1</v>
      </c>
      <c r="AA5903">
        <v>0</v>
      </c>
      <c r="AB5903">
        <v>1</v>
      </c>
      <c r="AC5903">
        <v>0</v>
      </c>
      <c r="AD5903">
        <v>1</v>
      </c>
      <c r="AE5903">
        <v>1</v>
      </c>
      <c r="AF5903">
        <v>1</v>
      </c>
      <c r="AG5903">
        <v>1</v>
      </c>
      <c r="AH5903">
        <v>1</v>
      </c>
      <c r="AI5903">
        <v>1</v>
      </c>
      <c r="AJ5903">
        <v>1</v>
      </c>
      <c r="AK5903">
        <v>1</v>
      </c>
      <c r="AL5903">
        <v>1</v>
      </c>
      <c r="AM5903">
        <v>1</v>
      </c>
    </row>
    <row r="5904" spans="1:39" x14ac:dyDescent="0.2">
      <c r="A5904" t="str">
        <f>"5900"</f>
        <v>5900</v>
      </c>
      <c r="B5904" t="str">
        <f t="shared" si="327"/>
        <v>1</v>
      </c>
      <c r="C5904" t="str">
        <f t="shared" si="328"/>
        <v>118</v>
      </c>
      <c r="D5904" t="str">
        <f>"50"</f>
        <v>50</v>
      </c>
      <c r="E5904" t="str">
        <f>"1-118-50"</f>
        <v>1-118-50</v>
      </c>
      <c r="F5904" t="s">
        <v>65</v>
      </c>
      <c r="G5904" t="s">
        <v>66</v>
      </c>
      <c r="H5904" t="s">
        <v>67</v>
      </c>
      <c r="S5904">
        <v>0</v>
      </c>
      <c r="T5904">
        <v>1</v>
      </c>
      <c r="U5904">
        <v>0</v>
      </c>
      <c r="V5904">
        <v>0</v>
      </c>
      <c r="W5904">
        <v>1</v>
      </c>
      <c r="X5904">
        <v>0</v>
      </c>
      <c r="Y5904">
        <v>1</v>
      </c>
      <c r="Z5904">
        <v>0</v>
      </c>
      <c r="AA5904">
        <v>0</v>
      </c>
      <c r="AB5904">
        <v>1</v>
      </c>
      <c r="AC5904">
        <v>0</v>
      </c>
      <c r="AD5904">
        <v>1</v>
      </c>
      <c r="AE5904">
        <v>1</v>
      </c>
      <c r="AF5904">
        <v>1</v>
      </c>
      <c r="AG5904">
        <v>1</v>
      </c>
      <c r="AH5904">
        <v>1</v>
      </c>
      <c r="AI5904">
        <v>1</v>
      </c>
      <c r="AJ5904">
        <v>1</v>
      </c>
      <c r="AK5904">
        <v>1</v>
      </c>
      <c r="AL5904">
        <v>1</v>
      </c>
      <c r="AM5904">
        <v>1</v>
      </c>
    </row>
    <row r="5905" spans="1:39" x14ac:dyDescent="0.2">
      <c r="A5905" t="str">
        <f>"5901"</f>
        <v>5901</v>
      </c>
      <c r="B5905" t="str">
        <f t="shared" si="327"/>
        <v>1</v>
      </c>
      <c r="C5905" t="str">
        <f t="shared" ref="C5905:C5936" si="329">"119"</f>
        <v>119</v>
      </c>
      <c r="D5905" t="str">
        <f>"34"</f>
        <v>34</v>
      </c>
      <c r="E5905" t="str">
        <f>"1-119-34"</f>
        <v>1-119-34</v>
      </c>
      <c r="F5905" t="s">
        <v>65</v>
      </c>
      <c r="G5905" t="s">
        <v>66</v>
      </c>
      <c r="H5905" t="s">
        <v>67</v>
      </c>
      <c r="S5905">
        <v>1</v>
      </c>
      <c r="T5905">
        <v>0</v>
      </c>
      <c r="U5905">
        <v>0</v>
      </c>
      <c r="V5905">
        <v>0</v>
      </c>
      <c r="W5905">
        <v>1</v>
      </c>
      <c r="X5905">
        <v>0</v>
      </c>
      <c r="Y5905">
        <v>1</v>
      </c>
      <c r="Z5905">
        <v>0</v>
      </c>
      <c r="AA5905">
        <v>0</v>
      </c>
      <c r="AB5905">
        <v>1</v>
      </c>
      <c r="AC5905">
        <v>0</v>
      </c>
      <c r="AD5905">
        <v>1</v>
      </c>
      <c r="AE5905">
        <v>1</v>
      </c>
      <c r="AF5905">
        <v>1</v>
      </c>
      <c r="AG5905">
        <v>1</v>
      </c>
      <c r="AH5905">
        <v>1</v>
      </c>
      <c r="AI5905">
        <v>1</v>
      </c>
      <c r="AJ5905">
        <v>1</v>
      </c>
      <c r="AK5905">
        <v>1</v>
      </c>
      <c r="AL5905">
        <v>1</v>
      </c>
      <c r="AM5905">
        <v>1</v>
      </c>
    </row>
    <row r="5906" spans="1:39" x14ac:dyDescent="0.2">
      <c r="A5906" t="str">
        <f>"5902"</f>
        <v>5902</v>
      </c>
      <c r="B5906" t="str">
        <f t="shared" si="327"/>
        <v>1</v>
      </c>
      <c r="C5906" t="str">
        <f t="shared" si="329"/>
        <v>119</v>
      </c>
      <c r="D5906" t="str">
        <f>"33"</f>
        <v>33</v>
      </c>
      <c r="E5906" t="str">
        <f>"1-119-33"</f>
        <v>1-119-33</v>
      </c>
      <c r="F5906" t="s">
        <v>65</v>
      </c>
      <c r="G5906" t="s">
        <v>66</v>
      </c>
      <c r="H5906" t="s">
        <v>67</v>
      </c>
      <c r="S5906">
        <v>1</v>
      </c>
      <c r="T5906">
        <v>0</v>
      </c>
      <c r="U5906">
        <v>0</v>
      </c>
      <c r="V5906">
        <v>0</v>
      </c>
      <c r="W5906">
        <v>1</v>
      </c>
      <c r="X5906">
        <v>0</v>
      </c>
      <c r="Y5906">
        <v>1</v>
      </c>
      <c r="Z5906">
        <v>0</v>
      </c>
      <c r="AA5906">
        <v>0</v>
      </c>
      <c r="AB5906">
        <v>1</v>
      </c>
      <c r="AC5906">
        <v>0</v>
      </c>
      <c r="AD5906">
        <v>1</v>
      </c>
      <c r="AE5906">
        <v>1</v>
      </c>
      <c r="AF5906">
        <v>1</v>
      </c>
      <c r="AG5906">
        <v>1</v>
      </c>
      <c r="AH5906">
        <v>1</v>
      </c>
      <c r="AI5906">
        <v>1</v>
      </c>
      <c r="AJ5906">
        <v>1</v>
      </c>
      <c r="AK5906">
        <v>1</v>
      </c>
      <c r="AL5906">
        <v>1</v>
      </c>
      <c r="AM5906">
        <v>1</v>
      </c>
    </row>
    <row r="5907" spans="1:39" x14ac:dyDescent="0.2">
      <c r="A5907" t="str">
        <f>"5903"</f>
        <v>5903</v>
      </c>
      <c r="B5907" t="str">
        <f t="shared" si="327"/>
        <v>1</v>
      </c>
      <c r="C5907" t="str">
        <f t="shared" si="329"/>
        <v>119</v>
      </c>
      <c r="D5907" t="str">
        <f>"21"</f>
        <v>21</v>
      </c>
      <c r="E5907" t="str">
        <f>"1-119-21"</f>
        <v>1-119-21</v>
      </c>
      <c r="F5907" t="s">
        <v>65</v>
      </c>
      <c r="G5907" t="s">
        <v>66</v>
      </c>
      <c r="H5907" t="s">
        <v>67</v>
      </c>
      <c r="S5907">
        <v>0</v>
      </c>
      <c r="T5907">
        <v>1</v>
      </c>
      <c r="U5907">
        <v>0</v>
      </c>
      <c r="V5907">
        <v>0</v>
      </c>
      <c r="W5907">
        <v>1</v>
      </c>
      <c r="X5907">
        <v>0</v>
      </c>
      <c r="Y5907">
        <v>1</v>
      </c>
      <c r="Z5907">
        <v>0</v>
      </c>
      <c r="AA5907">
        <v>0</v>
      </c>
      <c r="AB5907">
        <v>0</v>
      </c>
      <c r="AC5907">
        <v>1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</row>
    <row r="5908" spans="1:39" x14ac:dyDescent="0.2">
      <c r="A5908" t="str">
        <f>"5904"</f>
        <v>5904</v>
      </c>
      <c r="B5908" t="str">
        <f t="shared" si="327"/>
        <v>1</v>
      </c>
      <c r="C5908" t="str">
        <f t="shared" si="329"/>
        <v>119</v>
      </c>
      <c r="D5908" t="str">
        <f>"15"</f>
        <v>15</v>
      </c>
      <c r="E5908" t="str">
        <f>"1-119-15"</f>
        <v>1-119-15</v>
      </c>
      <c r="F5908" t="s">
        <v>65</v>
      </c>
      <c r="G5908" t="s">
        <v>66</v>
      </c>
      <c r="H5908" t="s">
        <v>67</v>
      </c>
      <c r="S5908">
        <v>1</v>
      </c>
      <c r="T5908">
        <v>0</v>
      </c>
      <c r="U5908">
        <v>0</v>
      </c>
      <c r="V5908">
        <v>0</v>
      </c>
      <c r="W5908">
        <v>1</v>
      </c>
      <c r="X5908">
        <v>0</v>
      </c>
      <c r="Y5908">
        <v>1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1</v>
      </c>
      <c r="AF5908">
        <v>1</v>
      </c>
      <c r="AG5908">
        <v>1</v>
      </c>
      <c r="AH5908">
        <v>1</v>
      </c>
      <c r="AI5908">
        <v>1</v>
      </c>
      <c r="AJ5908">
        <v>1</v>
      </c>
      <c r="AK5908">
        <v>1</v>
      </c>
      <c r="AL5908">
        <v>1</v>
      </c>
      <c r="AM5908">
        <v>0</v>
      </c>
    </row>
    <row r="5909" spans="1:39" x14ac:dyDescent="0.2">
      <c r="A5909" t="str">
        <f>"5905"</f>
        <v>5905</v>
      </c>
      <c r="B5909" t="str">
        <f t="shared" si="327"/>
        <v>1</v>
      </c>
      <c r="C5909" t="str">
        <f t="shared" si="329"/>
        <v>119</v>
      </c>
      <c r="D5909" t="str">
        <f>"1"</f>
        <v>1</v>
      </c>
      <c r="E5909" t="str">
        <f>"1-119-1"</f>
        <v>1-119-1</v>
      </c>
      <c r="F5909" t="s">
        <v>65</v>
      </c>
      <c r="G5909" t="s">
        <v>66</v>
      </c>
      <c r="H5909" t="s">
        <v>67</v>
      </c>
      <c r="S5909">
        <v>0</v>
      </c>
      <c r="T5909">
        <v>1</v>
      </c>
      <c r="U5909">
        <v>0</v>
      </c>
      <c r="V5909">
        <v>0</v>
      </c>
      <c r="W5909">
        <v>1</v>
      </c>
      <c r="X5909">
        <v>0</v>
      </c>
      <c r="Y5909">
        <v>0</v>
      </c>
      <c r="Z5909">
        <v>1</v>
      </c>
      <c r="AA5909">
        <v>0</v>
      </c>
      <c r="AB5909">
        <v>0</v>
      </c>
      <c r="AC5909">
        <v>1</v>
      </c>
      <c r="AD5909">
        <v>1</v>
      </c>
      <c r="AE5909">
        <v>1</v>
      </c>
      <c r="AF5909">
        <v>1</v>
      </c>
      <c r="AG5909">
        <v>1</v>
      </c>
      <c r="AH5909">
        <v>1</v>
      </c>
      <c r="AI5909">
        <v>1</v>
      </c>
      <c r="AJ5909">
        <v>1</v>
      </c>
      <c r="AK5909">
        <v>1</v>
      </c>
      <c r="AL5909">
        <v>1</v>
      </c>
      <c r="AM5909">
        <v>1</v>
      </c>
    </row>
    <row r="5910" spans="1:39" x14ac:dyDescent="0.2">
      <c r="A5910" t="str">
        <f>"5906"</f>
        <v>5906</v>
      </c>
      <c r="B5910" t="str">
        <f t="shared" si="327"/>
        <v>1</v>
      </c>
      <c r="C5910" t="str">
        <f t="shared" si="329"/>
        <v>119</v>
      </c>
      <c r="D5910" t="str">
        <f>"38"</f>
        <v>38</v>
      </c>
      <c r="E5910" t="str">
        <f>"1-119-38"</f>
        <v>1-119-38</v>
      </c>
      <c r="F5910" t="s">
        <v>65</v>
      </c>
      <c r="G5910" t="s">
        <v>66</v>
      </c>
      <c r="H5910" t="s">
        <v>67</v>
      </c>
      <c r="S5910">
        <v>1</v>
      </c>
      <c r="T5910">
        <v>0</v>
      </c>
      <c r="U5910">
        <v>0</v>
      </c>
      <c r="V5910">
        <v>0</v>
      </c>
      <c r="W5910">
        <v>1</v>
      </c>
      <c r="X5910">
        <v>0</v>
      </c>
      <c r="Y5910">
        <v>0</v>
      </c>
      <c r="Z5910">
        <v>1</v>
      </c>
      <c r="AA5910">
        <v>0</v>
      </c>
      <c r="AB5910">
        <v>0</v>
      </c>
      <c r="AC5910">
        <v>1</v>
      </c>
      <c r="AD5910">
        <v>1</v>
      </c>
      <c r="AE5910">
        <v>1</v>
      </c>
      <c r="AF5910">
        <v>1</v>
      </c>
      <c r="AG5910">
        <v>1</v>
      </c>
      <c r="AH5910">
        <v>1</v>
      </c>
      <c r="AI5910">
        <v>1</v>
      </c>
      <c r="AJ5910">
        <v>1</v>
      </c>
      <c r="AK5910">
        <v>1</v>
      </c>
      <c r="AL5910">
        <v>1</v>
      </c>
      <c r="AM5910">
        <v>1</v>
      </c>
    </row>
    <row r="5911" spans="1:39" x14ac:dyDescent="0.2">
      <c r="A5911" t="str">
        <f>"5907"</f>
        <v>5907</v>
      </c>
      <c r="B5911" t="str">
        <f t="shared" si="327"/>
        <v>1</v>
      </c>
      <c r="C5911" t="str">
        <f t="shared" si="329"/>
        <v>119</v>
      </c>
      <c r="D5911" t="str">
        <f>"37"</f>
        <v>37</v>
      </c>
      <c r="E5911" t="str">
        <f>"1-119-37"</f>
        <v>1-119-37</v>
      </c>
      <c r="F5911" t="s">
        <v>65</v>
      </c>
      <c r="G5911" t="s">
        <v>66</v>
      </c>
      <c r="H5911" t="s">
        <v>67</v>
      </c>
      <c r="S5911">
        <v>1</v>
      </c>
      <c r="T5911">
        <v>0</v>
      </c>
      <c r="U5911">
        <v>0</v>
      </c>
      <c r="V5911">
        <v>0</v>
      </c>
      <c r="W5911">
        <v>1</v>
      </c>
      <c r="X5911">
        <v>0</v>
      </c>
      <c r="Y5911">
        <v>1</v>
      </c>
      <c r="Z5911">
        <v>0</v>
      </c>
      <c r="AA5911">
        <v>0</v>
      </c>
      <c r="AB5911">
        <v>0</v>
      </c>
      <c r="AC5911">
        <v>1</v>
      </c>
      <c r="AD5911">
        <v>1</v>
      </c>
      <c r="AE5911">
        <v>1</v>
      </c>
      <c r="AF5911">
        <v>1</v>
      </c>
      <c r="AG5911">
        <v>1</v>
      </c>
      <c r="AH5911">
        <v>1</v>
      </c>
      <c r="AI5911">
        <v>1</v>
      </c>
      <c r="AJ5911">
        <v>1</v>
      </c>
      <c r="AK5911">
        <v>1</v>
      </c>
      <c r="AL5911">
        <v>1</v>
      </c>
      <c r="AM5911">
        <v>1</v>
      </c>
    </row>
    <row r="5912" spans="1:39" x14ac:dyDescent="0.2">
      <c r="A5912" t="str">
        <f>"5908"</f>
        <v>5908</v>
      </c>
      <c r="B5912" t="str">
        <f t="shared" si="327"/>
        <v>1</v>
      </c>
      <c r="C5912" t="str">
        <f t="shared" si="329"/>
        <v>119</v>
      </c>
      <c r="D5912" t="str">
        <f>"25"</f>
        <v>25</v>
      </c>
      <c r="E5912" t="str">
        <f>"1-119-25"</f>
        <v>1-119-25</v>
      </c>
      <c r="F5912" t="s">
        <v>65</v>
      </c>
      <c r="G5912" t="s">
        <v>66</v>
      </c>
      <c r="H5912" t="s">
        <v>67</v>
      </c>
      <c r="S5912">
        <v>0</v>
      </c>
      <c r="T5912">
        <v>1</v>
      </c>
      <c r="U5912">
        <v>0</v>
      </c>
      <c r="V5912">
        <v>0</v>
      </c>
      <c r="W5912">
        <v>1</v>
      </c>
      <c r="X5912">
        <v>0</v>
      </c>
      <c r="Y5912">
        <v>0</v>
      </c>
      <c r="Z5912">
        <v>1</v>
      </c>
      <c r="AA5912">
        <v>0</v>
      </c>
      <c r="AB5912">
        <v>1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</row>
    <row r="5913" spans="1:39" x14ac:dyDescent="0.2">
      <c r="A5913" t="str">
        <f>"5909"</f>
        <v>5909</v>
      </c>
      <c r="B5913" t="str">
        <f t="shared" si="327"/>
        <v>1</v>
      </c>
      <c r="C5913" t="str">
        <f t="shared" si="329"/>
        <v>119</v>
      </c>
      <c r="D5913" t="str">
        <f>"16"</f>
        <v>16</v>
      </c>
      <c r="E5913" t="str">
        <f>"1-119-16"</f>
        <v>1-119-16</v>
      </c>
      <c r="F5913" t="s">
        <v>65</v>
      </c>
      <c r="G5913" t="s">
        <v>66</v>
      </c>
      <c r="H5913" t="s">
        <v>67</v>
      </c>
      <c r="S5913">
        <v>1</v>
      </c>
      <c r="T5913">
        <v>0</v>
      </c>
      <c r="U5913">
        <v>0</v>
      </c>
      <c r="V5913">
        <v>0</v>
      </c>
      <c r="W5913">
        <v>1</v>
      </c>
      <c r="X5913">
        <v>0</v>
      </c>
      <c r="Y5913">
        <v>0</v>
      </c>
      <c r="Z5913">
        <v>1</v>
      </c>
      <c r="AA5913">
        <v>0</v>
      </c>
      <c r="AB5913">
        <v>0</v>
      </c>
      <c r="AC5913">
        <v>1</v>
      </c>
      <c r="AD5913">
        <v>1</v>
      </c>
      <c r="AE5913">
        <v>1</v>
      </c>
      <c r="AF5913">
        <v>1</v>
      </c>
      <c r="AG5913">
        <v>1</v>
      </c>
      <c r="AH5913">
        <v>1</v>
      </c>
      <c r="AI5913">
        <v>1</v>
      </c>
      <c r="AJ5913">
        <v>1</v>
      </c>
      <c r="AK5913">
        <v>1</v>
      </c>
      <c r="AL5913">
        <v>1</v>
      </c>
      <c r="AM5913">
        <v>1</v>
      </c>
    </row>
    <row r="5914" spans="1:39" x14ac:dyDescent="0.2">
      <c r="A5914" t="str">
        <f>"5910"</f>
        <v>5910</v>
      </c>
      <c r="B5914" t="str">
        <f t="shared" si="327"/>
        <v>1</v>
      </c>
      <c r="C5914" t="str">
        <f t="shared" si="329"/>
        <v>119</v>
      </c>
      <c r="D5914" t="str">
        <f>"8"</f>
        <v>8</v>
      </c>
      <c r="E5914" t="str">
        <f>"1-119-8"</f>
        <v>1-119-8</v>
      </c>
      <c r="F5914" t="s">
        <v>65</v>
      </c>
      <c r="G5914" t="s">
        <v>66</v>
      </c>
      <c r="H5914" t="s">
        <v>67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0</v>
      </c>
      <c r="AB5914">
        <v>0</v>
      </c>
      <c r="AC5914">
        <v>1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</row>
    <row r="5915" spans="1:39" x14ac:dyDescent="0.2">
      <c r="A5915" t="str">
        <f>"5911"</f>
        <v>5911</v>
      </c>
      <c r="B5915" t="str">
        <f t="shared" si="327"/>
        <v>1</v>
      </c>
      <c r="C5915" t="str">
        <f t="shared" si="329"/>
        <v>119</v>
      </c>
      <c r="D5915" t="str">
        <f>"40"</f>
        <v>40</v>
      </c>
      <c r="E5915" t="str">
        <f>"1-119-40"</f>
        <v>1-119-40</v>
      </c>
      <c r="F5915" t="s">
        <v>65</v>
      </c>
      <c r="G5915" t="s">
        <v>66</v>
      </c>
      <c r="H5915" t="s">
        <v>67</v>
      </c>
      <c r="S5915">
        <v>0</v>
      </c>
      <c r="T5915">
        <v>1</v>
      </c>
      <c r="U5915">
        <v>0</v>
      </c>
      <c r="V5915">
        <v>0</v>
      </c>
      <c r="W5915">
        <v>1</v>
      </c>
      <c r="X5915">
        <v>0</v>
      </c>
      <c r="Y5915">
        <v>0</v>
      </c>
      <c r="Z5915">
        <v>1</v>
      </c>
      <c r="AA5915">
        <v>0</v>
      </c>
      <c r="AB5915">
        <v>1</v>
      </c>
      <c r="AC5915">
        <v>0</v>
      </c>
      <c r="AD5915">
        <v>1</v>
      </c>
      <c r="AE5915">
        <v>1</v>
      </c>
      <c r="AF5915">
        <v>1</v>
      </c>
      <c r="AG5915">
        <v>1</v>
      </c>
      <c r="AH5915">
        <v>1</v>
      </c>
      <c r="AI5915">
        <v>1</v>
      </c>
      <c r="AJ5915">
        <v>1</v>
      </c>
      <c r="AK5915">
        <v>1</v>
      </c>
      <c r="AL5915">
        <v>1</v>
      </c>
      <c r="AM5915">
        <v>1</v>
      </c>
    </row>
    <row r="5916" spans="1:39" x14ac:dyDescent="0.2">
      <c r="A5916" t="str">
        <f>"5912"</f>
        <v>5912</v>
      </c>
      <c r="B5916" t="str">
        <f t="shared" si="327"/>
        <v>1</v>
      </c>
      <c r="C5916" t="str">
        <f t="shared" si="329"/>
        <v>119</v>
      </c>
      <c r="D5916" t="str">
        <f>"39"</f>
        <v>39</v>
      </c>
      <c r="E5916" t="str">
        <f>"1-119-39"</f>
        <v>1-119-39</v>
      </c>
      <c r="F5916" t="s">
        <v>65</v>
      </c>
      <c r="G5916" t="s">
        <v>66</v>
      </c>
      <c r="H5916" t="s">
        <v>67</v>
      </c>
      <c r="S5916">
        <v>1</v>
      </c>
      <c r="T5916">
        <v>0</v>
      </c>
      <c r="U5916">
        <v>0</v>
      </c>
      <c r="V5916">
        <v>0</v>
      </c>
      <c r="W5916">
        <v>1</v>
      </c>
      <c r="X5916">
        <v>0</v>
      </c>
      <c r="Y5916">
        <v>1</v>
      </c>
      <c r="Z5916">
        <v>0</v>
      </c>
      <c r="AA5916">
        <v>0</v>
      </c>
      <c r="AB5916">
        <v>0</v>
      </c>
      <c r="AC5916">
        <v>1</v>
      </c>
      <c r="AD5916">
        <v>1</v>
      </c>
      <c r="AE5916">
        <v>1</v>
      </c>
      <c r="AF5916">
        <v>1</v>
      </c>
      <c r="AG5916">
        <v>1</v>
      </c>
      <c r="AH5916">
        <v>1</v>
      </c>
      <c r="AI5916">
        <v>1</v>
      </c>
      <c r="AJ5916">
        <v>1</v>
      </c>
      <c r="AK5916">
        <v>1</v>
      </c>
      <c r="AL5916">
        <v>1</v>
      </c>
      <c r="AM5916">
        <v>1</v>
      </c>
    </row>
    <row r="5917" spans="1:39" x14ac:dyDescent="0.2">
      <c r="A5917" t="str">
        <f>"5913"</f>
        <v>5913</v>
      </c>
      <c r="B5917" t="str">
        <f t="shared" si="327"/>
        <v>1</v>
      </c>
      <c r="C5917" t="str">
        <f t="shared" si="329"/>
        <v>119</v>
      </c>
      <c r="D5917" t="str">
        <f>"28"</f>
        <v>28</v>
      </c>
      <c r="E5917" t="str">
        <f>"1-119-28"</f>
        <v>1-119-28</v>
      </c>
      <c r="F5917" t="s">
        <v>65</v>
      </c>
      <c r="G5917" t="s">
        <v>66</v>
      </c>
      <c r="H5917" t="s">
        <v>67</v>
      </c>
      <c r="S5917">
        <v>0</v>
      </c>
      <c r="T5917">
        <v>1</v>
      </c>
      <c r="U5917">
        <v>0</v>
      </c>
      <c r="V5917">
        <v>0</v>
      </c>
      <c r="W5917">
        <v>1</v>
      </c>
      <c r="X5917">
        <v>0</v>
      </c>
      <c r="Y5917">
        <v>0</v>
      </c>
      <c r="Z5917">
        <v>1</v>
      </c>
      <c r="AA5917">
        <v>1</v>
      </c>
      <c r="AB5917">
        <v>0</v>
      </c>
      <c r="AC5917">
        <v>0</v>
      </c>
      <c r="AD5917">
        <v>1</v>
      </c>
      <c r="AE5917">
        <v>1</v>
      </c>
      <c r="AF5917">
        <v>1</v>
      </c>
      <c r="AG5917">
        <v>1</v>
      </c>
      <c r="AH5917">
        <v>1</v>
      </c>
      <c r="AI5917">
        <v>1</v>
      </c>
      <c r="AJ5917">
        <v>1</v>
      </c>
      <c r="AK5917">
        <v>1</v>
      </c>
      <c r="AL5917">
        <v>1</v>
      </c>
      <c r="AM5917">
        <v>1</v>
      </c>
    </row>
    <row r="5918" spans="1:39" x14ac:dyDescent="0.2">
      <c r="A5918" t="str">
        <f>"5914"</f>
        <v>5914</v>
      </c>
      <c r="B5918" t="str">
        <f t="shared" si="327"/>
        <v>1</v>
      </c>
      <c r="C5918" t="str">
        <f t="shared" si="329"/>
        <v>119</v>
      </c>
      <c r="D5918" t="str">
        <f>"17"</f>
        <v>17</v>
      </c>
      <c r="E5918" t="str">
        <f>"1-119-17"</f>
        <v>1-119-17</v>
      </c>
      <c r="F5918" t="s">
        <v>65</v>
      </c>
      <c r="G5918" t="s">
        <v>66</v>
      </c>
      <c r="H5918" t="s">
        <v>67</v>
      </c>
      <c r="S5918">
        <v>1</v>
      </c>
      <c r="T5918">
        <v>0</v>
      </c>
      <c r="U5918">
        <v>0</v>
      </c>
      <c r="V5918">
        <v>0</v>
      </c>
      <c r="W5918">
        <v>1</v>
      </c>
      <c r="X5918">
        <v>0</v>
      </c>
      <c r="Y5918">
        <v>1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1</v>
      </c>
      <c r="AF5918">
        <v>1</v>
      </c>
      <c r="AG5918">
        <v>1</v>
      </c>
      <c r="AH5918">
        <v>1</v>
      </c>
      <c r="AI5918">
        <v>1</v>
      </c>
      <c r="AJ5918">
        <v>1</v>
      </c>
      <c r="AK5918">
        <v>1</v>
      </c>
      <c r="AL5918">
        <v>1</v>
      </c>
      <c r="AM5918">
        <v>1</v>
      </c>
    </row>
    <row r="5919" spans="1:39" x14ac:dyDescent="0.2">
      <c r="A5919" t="str">
        <f>"5915"</f>
        <v>5915</v>
      </c>
      <c r="B5919" t="str">
        <f t="shared" si="327"/>
        <v>1</v>
      </c>
      <c r="C5919" t="str">
        <f t="shared" si="329"/>
        <v>119</v>
      </c>
      <c r="D5919" t="str">
        <f>"2"</f>
        <v>2</v>
      </c>
      <c r="E5919" t="str">
        <f>"1-119-2"</f>
        <v>1-119-2</v>
      </c>
      <c r="F5919" t="s">
        <v>65</v>
      </c>
      <c r="G5919" t="s">
        <v>66</v>
      </c>
      <c r="H5919" t="s">
        <v>67</v>
      </c>
      <c r="S5919">
        <v>1</v>
      </c>
      <c r="T5919">
        <v>0</v>
      </c>
      <c r="U5919">
        <v>0</v>
      </c>
      <c r="V5919">
        <v>0</v>
      </c>
      <c r="W5919">
        <v>1</v>
      </c>
      <c r="X5919">
        <v>0</v>
      </c>
      <c r="Y5919">
        <v>1</v>
      </c>
      <c r="Z5919">
        <v>0</v>
      </c>
      <c r="AA5919">
        <v>0</v>
      </c>
      <c r="AB5919">
        <v>1</v>
      </c>
      <c r="AC5919">
        <v>0</v>
      </c>
      <c r="AD5919">
        <v>1</v>
      </c>
      <c r="AE5919">
        <v>1</v>
      </c>
      <c r="AF5919">
        <v>1</v>
      </c>
      <c r="AG5919">
        <v>1</v>
      </c>
      <c r="AH5919">
        <v>1</v>
      </c>
      <c r="AI5919">
        <v>1</v>
      </c>
      <c r="AJ5919">
        <v>1</v>
      </c>
      <c r="AK5919">
        <v>1</v>
      </c>
      <c r="AL5919">
        <v>1</v>
      </c>
      <c r="AM5919">
        <v>1</v>
      </c>
    </row>
    <row r="5920" spans="1:39" x14ac:dyDescent="0.2">
      <c r="A5920" t="str">
        <f>"5916"</f>
        <v>5916</v>
      </c>
      <c r="B5920" t="str">
        <f t="shared" si="327"/>
        <v>1</v>
      </c>
      <c r="C5920" t="str">
        <f t="shared" si="329"/>
        <v>119</v>
      </c>
      <c r="D5920" t="str">
        <f>"36"</f>
        <v>36</v>
      </c>
      <c r="E5920" t="str">
        <f>"1-119-36"</f>
        <v>1-119-36</v>
      </c>
      <c r="F5920" t="s">
        <v>65</v>
      </c>
      <c r="G5920" t="s">
        <v>66</v>
      </c>
      <c r="H5920" t="s">
        <v>67</v>
      </c>
      <c r="S5920">
        <v>1</v>
      </c>
      <c r="T5920">
        <v>0</v>
      </c>
      <c r="U5920">
        <v>0</v>
      </c>
      <c r="V5920">
        <v>0</v>
      </c>
      <c r="W5920">
        <v>1</v>
      </c>
      <c r="X5920">
        <v>0</v>
      </c>
      <c r="Y5920">
        <v>0</v>
      </c>
      <c r="Z5920">
        <v>1</v>
      </c>
      <c r="AA5920">
        <v>1</v>
      </c>
      <c r="AB5920">
        <v>0</v>
      </c>
      <c r="AC5920">
        <v>0</v>
      </c>
      <c r="AD5920">
        <v>1</v>
      </c>
      <c r="AE5920">
        <v>1</v>
      </c>
      <c r="AF5920">
        <v>1</v>
      </c>
      <c r="AG5920">
        <v>1</v>
      </c>
      <c r="AH5920">
        <v>1</v>
      </c>
      <c r="AI5920">
        <v>1</v>
      </c>
      <c r="AJ5920">
        <v>1</v>
      </c>
      <c r="AK5920">
        <v>1</v>
      </c>
      <c r="AL5920">
        <v>1</v>
      </c>
      <c r="AM5920">
        <v>1</v>
      </c>
    </row>
    <row r="5921" spans="1:39" x14ac:dyDescent="0.2">
      <c r="A5921" t="str">
        <f>"5917"</f>
        <v>5917</v>
      </c>
      <c r="B5921" t="str">
        <f t="shared" si="327"/>
        <v>1</v>
      </c>
      <c r="C5921" t="str">
        <f t="shared" si="329"/>
        <v>119</v>
      </c>
      <c r="D5921" t="str">
        <f>"35"</f>
        <v>35</v>
      </c>
      <c r="E5921" t="str">
        <f>"1-119-35"</f>
        <v>1-119-35</v>
      </c>
      <c r="F5921" t="s">
        <v>65</v>
      </c>
      <c r="G5921" t="s">
        <v>66</v>
      </c>
      <c r="H5921" t="s">
        <v>67</v>
      </c>
      <c r="S5921">
        <v>1</v>
      </c>
      <c r="T5921">
        <v>0</v>
      </c>
      <c r="U5921">
        <v>0</v>
      </c>
      <c r="V5921">
        <v>0</v>
      </c>
      <c r="W5921">
        <v>1</v>
      </c>
      <c r="X5921">
        <v>0</v>
      </c>
      <c r="Y5921">
        <v>1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1</v>
      </c>
      <c r="AF5921">
        <v>1</v>
      </c>
      <c r="AG5921">
        <v>1</v>
      </c>
      <c r="AH5921">
        <v>0</v>
      </c>
      <c r="AI5921">
        <v>1</v>
      </c>
      <c r="AJ5921">
        <v>1</v>
      </c>
      <c r="AK5921">
        <v>1</v>
      </c>
      <c r="AL5921">
        <v>1</v>
      </c>
      <c r="AM5921">
        <v>1</v>
      </c>
    </row>
    <row r="5922" spans="1:39" x14ac:dyDescent="0.2">
      <c r="A5922" t="str">
        <f>"5918"</f>
        <v>5918</v>
      </c>
      <c r="B5922" t="str">
        <f t="shared" si="327"/>
        <v>1</v>
      </c>
      <c r="C5922" t="str">
        <f t="shared" si="329"/>
        <v>119</v>
      </c>
      <c r="D5922" t="str">
        <f>"26"</f>
        <v>26</v>
      </c>
      <c r="E5922" t="str">
        <f>"1-119-26"</f>
        <v>1-119-26</v>
      </c>
      <c r="F5922" t="s">
        <v>65</v>
      </c>
      <c r="G5922" t="s">
        <v>66</v>
      </c>
      <c r="H5922" t="s">
        <v>67</v>
      </c>
      <c r="S5922">
        <v>1</v>
      </c>
      <c r="T5922">
        <v>0</v>
      </c>
      <c r="U5922">
        <v>0</v>
      </c>
      <c r="V5922">
        <v>0</v>
      </c>
      <c r="W5922">
        <v>1</v>
      </c>
      <c r="X5922">
        <v>0</v>
      </c>
      <c r="Y5922">
        <v>1</v>
      </c>
      <c r="Z5922">
        <v>0</v>
      </c>
      <c r="AA5922">
        <v>0</v>
      </c>
      <c r="AB5922">
        <v>1</v>
      </c>
      <c r="AC5922">
        <v>0</v>
      </c>
      <c r="AD5922">
        <v>1</v>
      </c>
      <c r="AE5922">
        <v>1</v>
      </c>
      <c r="AF5922">
        <v>1</v>
      </c>
      <c r="AG5922">
        <v>1</v>
      </c>
      <c r="AH5922">
        <v>1</v>
      </c>
      <c r="AI5922">
        <v>1</v>
      </c>
      <c r="AJ5922">
        <v>1</v>
      </c>
      <c r="AK5922">
        <v>1</v>
      </c>
      <c r="AL5922">
        <v>1</v>
      </c>
      <c r="AM5922">
        <v>1</v>
      </c>
    </row>
    <row r="5923" spans="1:39" x14ac:dyDescent="0.2">
      <c r="A5923" t="str">
        <f>"5919"</f>
        <v>5919</v>
      </c>
      <c r="B5923" t="str">
        <f t="shared" si="327"/>
        <v>1</v>
      </c>
      <c r="C5923" t="str">
        <f t="shared" si="329"/>
        <v>119</v>
      </c>
      <c r="D5923" t="str">
        <f>"18"</f>
        <v>18</v>
      </c>
      <c r="E5923" t="str">
        <f>"1-119-18"</f>
        <v>1-119-18</v>
      </c>
      <c r="F5923" t="s">
        <v>65</v>
      </c>
      <c r="G5923" t="s">
        <v>66</v>
      </c>
      <c r="H5923" t="s">
        <v>67</v>
      </c>
      <c r="S5923">
        <v>1</v>
      </c>
      <c r="T5923">
        <v>0</v>
      </c>
      <c r="U5923">
        <v>0</v>
      </c>
      <c r="V5923">
        <v>0</v>
      </c>
      <c r="W5923">
        <v>1</v>
      </c>
      <c r="X5923">
        <v>0</v>
      </c>
      <c r="Y5923">
        <v>1</v>
      </c>
      <c r="Z5923">
        <v>0</v>
      </c>
      <c r="AA5923">
        <v>0</v>
      </c>
      <c r="AB5923">
        <v>0</v>
      </c>
      <c r="AC5923">
        <v>1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1</v>
      </c>
      <c r="AJ5923">
        <v>0</v>
      </c>
      <c r="AK5923">
        <v>0</v>
      </c>
      <c r="AL5923">
        <v>0</v>
      </c>
      <c r="AM5923">
        <v>1</v>
      </c>
    </row>
    <row r="5924" spans="1:39" x14ac:dyDescent="0.2">
      <c r="A5924" t="str">
        <f>"5920"</f>
        <v>5920</v>
      </c>
      <c r="B5924" t="str">
        <f t="shared" si="327"/>
        <v>1</v>
      </c>
      <c r="C5924" t="str">
        <f t="shared" si="329"/>
        <v>119</v>
      </c>
      <c r="D5924" t="str">
        <f>"6"</f>
        <v>6</v>
      </c>
      <c r="E5924" t="str">
        <f>"1-119-6"</f>
        <v>1-119-6</v>
      </c>
      <c r="F5924" t="s">
        <v>65</v>
      </c>
      <c r="G5924" t="s">
        <v>66</v>
      </c>
      <c r="H5924" t="s">
        <v>67</v>
      </c>
      <c r="S5924">
        <v>0</v>
      </c>
      <c r="T5924">
        <v>1</v>
      </c>
      <c r="U5924">
        <v>0</v>
      </c>
      <c r="V5924">
        <v>0</v>
      </c>
      <c r="W5924">
        <v>0</v>
      </c>
      <c r="X5924">
        <v>1</v>
      </c>
      <c r="Y5924">
        <v>0</v>
      </c>
      <c r="Z5924">
        <v>1</v>
      </c>
      <c r="AA5924">
        <v>0</v>
      </c>
      <c r="AB5924">
        <v>0</v>
      </c>
      <c r="AC5924">
        <v>1</v>
      </c>
      <c r="AD5924">
        <v>0</v>
      </c>
      <c r="AE5924">
        <v>0</v>
      </c>
      <c r="AF5924">
        <v>0</v>
      </c>
      <c r="AG5924">
        <v>1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</row>
    <row r="5925" spans="1:39" x14ac:dyDescent="0.2">
      <c r="A5925" t="str">
        <f>"5921"</f>
        <v>5921</v>
      </c>
      <c r="B5925" t="str">
        <f t="shared" si="327"/>
        <v>1</v>
      </c>
      <c r="C5925" t="str">
        <f t="shared" si="329"/>
        <v>119</v>
      </c>
      <c r="D5925" t="str">
        <f>"41"</f>
        <v>41</v>
      </c>
      <c r="E5925" t="str">
        <f>"1-119-41"</f>
        <v>1-119-41</v>
      </c>
      <c r="F5925" t="s">
        <v>65</v>
      </c>
      <c r="G5925" t="s">
        <v>66</v>
      </c>
      <c r="H5925" t="s">
        <v>67</v>
      </c>
      <c r="S5925">
        <v>0</v>
      </c>
      <c r="T5925">
        <v>1</v>
      </c>
      <c r="U5925">
        <v>0</v>
      </c>
      <c r="V5925">
        <v>0</v>
      </c>
      <c r="W5925">
        <v>1</v>
      </c>
      <c r="X5925">
        <v>0</v>
      </c>
      <c r="Y5925">
        <v>1</v>
      </c>
      <c r="Z5925">
        <v>0</v>
      </c>
      <c r="AA5925">
        <v>0</v>
      </c>
      <c r="AB5925">
        <v>1</v>
      </c>
      <c r="AC5925">
        <v>0</v>
      </c>
      <c r="AD5925">
        <v>1</v>
      </c>
      <c r="AE5925">
        <v>1</v>
      </c>
      <c r="AF5925">
        <v>1</v>
      </c>
      <c r="AG5925">
        <v>0</v>
      </c>
      <c r="AH5925">
        <v>1</v>
      </c>
      <c r="AI5925">
        <v>1</v>
      </c>
      <c r="AJ5925">
        <v>1</v>
      </c>
      <c r="AK5925">
        <v>0</v>
      </c>
      <c r="AL5925">
        <v>1</v>
      </c>
      <c r="AM5925">
        <v>1</v>
      </c>
    </row>
    <row r="5926" spans="1:39" x14ac:dyDescent="0.2">
      <c r="A5926" t="str">
        <f>"5922"</f>
        <v>5922</v>
      </c>
      <c r="B5926" t="str">
        <f t="shared" si="327"/>
        <v>1</v>
      </c>
      <c r="C5926" t="str">
        <f t="shared" si="329"/>
        <v>119</v>
      </c>
      <c r="D5926" t="str">
        <f>"19"</f>
        <v>19</v>
      </c>
      <c r="E5926" t="str">
        <f>"1-119-19"</f>
        <v>1-119-19</v>
      </c>
      <c r="F5926" t="s">
        <v>65</v>
      </c>
      <c r="G5926" t="s">
        <v>66</v>
      </c>
      <c r="H5926" t="s">
        <v>67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1</v>
      </c>
      <c r="AE5926">
        <v>1</v>
      </c>
      <c r="AF5926">
        <v>1</v>
      </c>
      <c r="AG5926">
        <v>1</v>
      </c>
      <c r="AH5926">
        <v>1</v>
      </c>
      <c r="AI5926">
        <v>1</v>
      </c>
      <c r="AJ5926">
        <v>1</v>
      </c>
      <c r="AK5926">
        <v>1</v>
      </c>
      <c r="AL5926">
        <v>1</v>
      </c>
      <c r="AM5926">
        <v>1</v>
      </c>
    </row>
    <row r="5927" spans="1:39" x14ac:dyDescent="0.2">
      <c r="A5927" t="str">
        <f>"5923"</f>
        <v>5923</v>
      </c>
      <c r="B5927" t="str">
        <f t="shared" si="327"/>
        <v>1</v>
      </c>
      <c r="C5927" t="str">
        <f t="shared" si="329"/>
        <v>119</v>
      </c>
      <c r="D5927" t="str">
        <f>"12"</f>
        <v>12</v>
      </c>
      <c r="E5927" t="str">
        <f>"1-119-12"</f>
        <v>1-119-12</v>
      </c>
      <c r="F5927" t="s">
        <v>65</v>
      </c>
      <c r="G5927" t="s">
        <v>66</v>
      </c>
      <c r="H5927" t="s">
        <v>67</v>
      </c>
      <c r="S5927">
        <v>0</v>
      </c>
      <c r="T5927">
        <v>1</v>
      </c>
      <c r="U5927">
        <v>0</v>
      </c>
      <c r="V5927">
        <v>0</v>
      </c>
      <c r="W5927">
        <v>0</v>
      </c>
      <c r="X5927">
        <v>1</v>
      </c>
      <c r="Y5927">
        <v>1</v>
      </c>
      <c r="Z5927">
        <v>0</v>
      </c>
      <c r="AA5927">
        <v>0</v>
      </c>
      <c r="AB5927">
        <v>0</v>
      </c>
      <c r="AC5927">
        <v>1</v>
      </c>
      <c r="AD5927">
        <v>1</v>
      </c>
      <c r="AE5927">
        <v>1</v>
      </c>
      <c r="AF5927">
        <v>1</v>
      </c>
      <c r="AG5927">
        <v>1</v>
      </c>
      <c r="AH5927">
        <v>1</v>
      </c>
      <c r="AI5927">
        <v>1</v>
      </c>
      <c r="AJ5927">
        <v>1</v>
      </c>
      <c r="AK5927">
        <v>0</v>
      </c>
      <c r="AL5927">
        <v>1</v>
      </c>
      <c r="AM5927">
        <v>1</v>
      </c>
    </row>
    <row r="5928" spans="1:39" x14ac:dyDescent="0.2">
      <c r="A5928" t="str">
        <f>"5924"</f>
        <v>5924</v>
      </c>
      <c r="B5928" t="str">
        <f t="shared" si="327"/>
        <v>1</v>
      </c>
      <c r="C5928" t="str">
        <f t="shared" si="329"/>
        <v>119</v>
      </c>
      <c r="D5928" t="str">
        <f>"42"</f>
        <v>42</v>
      </c>
      <c r="E5928" t="str">
        <f>"1-119-42"</f>
        <v>1-119-42</v>
      </c>
      <c r="F5928" t="s">
        <v>65</v>
      </c>
      <c r="G5928" t="s">
        <v>66</v>
      </c>
      <c r="H5928" t="s">
        <v>67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1</v>
      </c>
      <c r="Y5928">
        <v>0</v>
      </c>
      <c r="Z5928">
        <v>1</v>
      </c>
      <c r="AA5928">
        <v>0</v>
      </c>
      <c r="AB5928">
        <v>0</v>
      </c>
      <c r="AC5928">
        <v>1</v>
      </c>
      <c r="AD5928">
        <v>1</v>
      </c>
      <c r="AE5928">
        <v>1</v>
      </c>
      <c r="AF5928">
        <v>1</v>
      </c>
      <c r="AG5928">
        <v>1</v>
      </c>
      <c r="AH5928">
        <v>1</v>
      </c>
      <c r="AI5928">
        <v>1</v>
      </c>
      <c r="AJ5928">
        <v>1</v>
      </c>
      <c r="AK5928">
        <v>1</v>
      </c>
      <c r="AL5928">
        <v>1</v>
      </c>
      <c r="AM5928">
        <v>1</v>
      </c>
    </row>
    <row r="5929" spans="1:39" x14ac:dyDescent="0.2">
      <c r="A5929" t="str">
        <f>"5925"</f>
        <v>5925</v>
      </c>
      <c r="B5929" t="str">
        <f t="shared" si="327"/>
        <v>1</v>
      </c>
      <c r="C5929" t="str">
        <f t="shared" si="329"/>
        <v>119</v>
      </c>
      <c r="D5929" t="str">
        <f>"20"</f>
        <v>20</v>
      </c>
      <c r="E5929" t="str">
        <f>"1-119-20"</f>
        <v>1-119-20</v>
      </c>
      <c r="F5929" t="s">
        <v>65</v>
      </c>
      <c r="G5929" t="s">
        <v>66</v>
      </c>
      <c r="H5929" t="s">
        <v>67</v>
      </c>
      <c r="S5929">
        <v>0</v>
      </c>
      <c r="T5929">
        <v>0</v>
      </c>
      <c r="U5929">
        <v>0</v>
      </c>
      <c r="V5929">
        <v>0</v>
      </c>
      <c r="W5929">
        <v>1</v>
      </c>
      <c r="X5929">
        <v>0</v>
      </c>
      <c r="Y5929">
        <v>1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1</v>
      </c>
      <c r="AJ5929">
        <v>0</v>
      </c>
      <c r="AK5929">
        <v>0</v>
      </c>
      <c r="AL5929">
        <v>1</v>
      </c>
      <c r="AM5929">
        <v>0</v>
      </c>
    </row>
    <row r="5930" spans="1:39" x14ac:dyDescent="0.2">
      <c r="A5930" t="str">
        <f>"5926"</f>
        <v>5926</v>
      </c>
      <c r="B5930" t="str">
        <f t="shared" si="327"/>
        <v>1</v>
      </c>
      <c r="C5930" t="str">
        <f t="shared" si="329"/>
        <v>119</v>
      </c>
      <c r="D5930" t="str">
        <f>"7"</f>
        <v>7</v>
      </c>
      <c r="E5930" t="str">
        <f>"1-119-7"</f>
        <v>1-119-7</v>
      </c>
      <c r="F5930" t="s">
        <v>65</v>
      </c>
      <c r="G5930" t="s">
        <v>66</v>
      </c>
      <c r="H5930" t="s">
        <v>67</v>
      </c>
      <c r="S5930">
        <v>0</v>
      </c>
      <c r="T5930">
        <v>1</v>
      </c>
      <c r="U5930">
        <v>0</v>
      </c>
      <c r="V5930">
        <v>0</v>
      </c>
      <c r="W5930">
        <v>1</v>
      </c>
      <c r="X5930">
        <v>0</v>
      </c>
      <c r="Y5930">
        <v>1</v>
      </c>
      <c r="Z5930">
        <v>0</v>
      </c>
      <c r="AA5930">
        <v>0</v>
      </c>
      <c r="AB5930">
        <v>1</v>
      </c>
      <c r="AC5930">
        <v>0</v>
      </c>
      <c r="AD5930">
        <v>1</v>
      </c>
      <c r="AE5930">
        <v>1</v>
      </c>
      <c r="AF5930">
        <v>1</v>
      </c>
      <c r="AG5930">
        <v>1</v>
      </c>
      <c r="AH5930">
        <v>1</v>
      </c>
      <c r="AI5930">
        <v>1</v>
      </c>
      <c r="AJ5930">
        <v>1</v>
      </c>
      <c r="AK5930">
        <v>1</v>
      </c>
      <c r="AL5930">
        <v>1</v>
      </c>
      <c r="AM5930">
        <v>1</v>
      </c>
    </row>
    <row r="5931" spans="1:39" x14ac:dyDescent="0.2">
      <c r="A5931" t="str">
        <f>"5927"</f>
        <v>5927</v>
      </c>
      <c r="B5931" t="str">
        <f t="shared" si="327"/>
        <v>1</v>
      </c>
      <c r="C5931" t="str">
        <f t="shared" si="329"/>
        <v>119</v>
      </c>
      <c r="D5931" t="str">
        <f>"44"</f>
        <v>44</v>
      </c>
      <c r="E5931" t="str">
        <f>"1-119-44"</f>
        <v>1-119-44</v>
      </c>
      <c r="F5931" t="s">
        <v>65</v>
      </c>
      <c r="G5931" t="s">
        <v>66</v>
      </c>
      <c r="H5931" t="s">
        <v>67</v>
      </c>
      <c r="S5931">
        <v>0</v>
      </c>
      <c r="T5931">
        <v>1</v>
      </c>
      <c r="U5931">
        <v>0</v>
      </c>
      <c r="V5931">
        <v>0</v>
      </c>
      <c r="W5931">
        <v>1</v>
      </c>
      <c r="X5931">
        <v>0</v>
      </c>
      <c r="Y5931">
        <v>0</v>
      </c>
      <c r="Z5931">
        <v>1</v>
      </c>
      <c r="AA5931">
        <v>1</v>
      </c>
      <c r="AB5931">
        <v>0</v>
      </c>
      <c r="AC5931">
        <v>0</v>
      </c>
      <c r="AD5931">
        <v>1</v>
      </c>
      <c r="AE5931">
        <v>1</v>
      </c>
      <c r="AF5931">
        <v>1</v>
      </c>
      <c r="AG5931">
        <v>1</v>
      </c>
      <c r="AH5931">
        <v>1</v>
      </c>
      <c r="AI5931">
        <v>1</v>
      </c>
      <c r="AJ5931">
        <v>1</v>
      </c>
      <c r="AK5931">
        <v>1</v>
      </c>
      <c r="AL5931">
        <v>1</v>
      </c>
      <c r="AM5931">
        <v>1</v>
      </c>
    </row>
    <row r="5932" spans="1:39" x14ac:dyDescent="0.2">
      <c r="A5932" t="str">
        <f>"5928"</f>
        <v>5928</v>
      </c>
      <c r="B5932" t="str">
        <f t="shared" si="327"/>
        <v>1</v>
      </c>
      <c r="C5932" t="str">
        <f t="shared" si="329"/>
        <v>119</v>
      </c>
      <c r="D5932" t="str">
        <f>"22"</f>
        <v>22</v>
      </c>
      <c r="E5932" t="str">
        <f>"1-119-22"</f>
        <v>1-119-22</v>
      </c>
      <c r="F5932" t="s">
        <v>65</v>
      </c>
      <c r="G5932" t="s">
        <v>66</v>
      </c>
      <c r="H5932" t="s">
        <v>67</v>
      </c>
      <c r="S5932">
        <v>0</v>
      </c>
      <c r="T5932">
        <v>1</v>
      </c>
      <c r="U5932">
        <v>0</v>
      </c>
      <c r="V5932">
        <v>0</v>
      </c>
      <c r="W5932">
        <v>1</v>
      </c>
      <c r="X5932">
        <v>0</v>
      </c>
      <c r="Y5932">
        <v>1</v>
      </c>
      <c r="Z5932">
        <v>0</v>
      </c>
      <c r="AA5932">
        <v>0</v>
      </c>
      <c r="AB5932">
        <v>0</v>
      </c>
      <c r="AC5932">
        <v>1</v>
      </c>
      <c r="AD5932">
        <v>1</v>
      </c>
      <c r="AE5932">
        <v>1</v>
      </c>
      <c r="AF5932">
        <v>1</v>
      </c>
      <c r="AG5932">
        <v>1</v>
      </c>
      <c r="AH5932">
        <v>1</v>
      </c>
      <c r="AI5932">
        <v>1</v>
      </c>
      <c r="AJ5932">
        <v>1</v>
      </c>
      <c r="AK5932">
        <v>1</v>
      </c>
      <c r="AL5932">
        <v>1</v>
      </c>
      <c r="AM5932">
        <v>1</v>
      </c>
    </row>
    <row r="5933" spans="1:39" x14ac:dyDescent="0.2">
      <c r="A5933" t="str">
        <f>"5929"</f>
        <v>5929</v>
      </c>
      <c r="B5933" t="str">
        <f t="shared" si="327"/>
        <v>1</v>
      </c>
      <c r="C5933" t="str">
        <f t="shared" si="329"/>
        <v>119</v>
      </c>
      <c r="D5933" t="str">
        <f>"9"</f>
        <v>9</v>
      </c>
      <c r="E5933" t="str">
        <f>"1-119-9"</f>
        <v>1-119-9</v>
      </c>
      <c r="F5933" t="s">
        <v>65</v>
      </c>
      <c r="G5933" t="s">
        <v>66</v>
      </c>
      <c r="H5933" t="s">
        <v>67</v>
      </c>
      <c r="S5933">
        <v>1</v>
      </c>
      <c r="T5933">
        <v>0</v>
      </c>
      <c r="U5933">
        <v>0</v>
      </c>
      <c r="V5933">
        <v>0</v>
      </c>
      <c r="W5933">
        <v>1</v>
      </c>
      <c r="X5933">
        <v>0</v>
      </c>
      <c r="Y5933">
        <v>1</v>
      </c>
      <c r="Z5933">
        <v>0</v>
      </c>
      <c r="AA5933">
        <v>0</v>
      </c>
      <c r="AB5933">
        <v>1</v>
      </c>
      <c r="AC5933">
        <v>0</v>
      </c>
      <c r="AD5933">
        <v>1</v>
      </c>
      <c r="AE5933">
        <v>1</v>
      </c>
      <c r="AF5933">
        <v>1</v>
      </c>
      <c r="AG5933">
        <v>1</v>
      </c>
      <c r="AH5933">
        <v>1</v>
      </c>
      <c r="AI5933">
        <v>1</v>
      </c>
      <c r="AJ5933">
        <v>1</v>
      </c>
      <c r="AK5933">
        <v>1</v>
      </c>
      <c r="AL5933">
        <v>1</v>
      </c>
      <c r="AM5933">
        <v>1</v>
      </c>
    </row>
    <row r="5934" spans="1:39" x14ac:dyDescent="0.2">
      <c r="A5934" t="str">
        <f>"5930"</f>
        <v>5930</v>
      </c>
      <c r="B5934" t="str">
        <f t="shared" si="327"/>
        <v>1</v>
      </c>
      <c r="C5934" t="str">
        <f t="shared" si="329"/>
        <v>119</v>
      </c>
      <c r="D5934" t="str">
        <f>"23"</f>
        <v>23</v>
      </c>
      <c r="E5934" t="str">
        <f>"1-119-23"</f>
        <v>1-119-23</v>
      </c>
      <c r="F5934" t="s">
        <v>65</v>
      </c>
      <c r="G5934" t="s">
        <v>66</v>
      </c>
      <c r="H5934" t="s">
        <v>67</v>
      </c>
      <c r="S5934">
        <v>1</v>
      </c>
      <c r="T5934">
        <v>0</v>
      </c>
      <c r="U5934">
        <v>0</v>
      </c>
      <c r="V5934">
        <v>0</v>
      </c>
      <c r="W5934">
        <v>1</v>
      </c>
      <c r="X5934">
        <v>0</v>
      </c>
      <c r="Y5934">
        <v>1</v>
      </c>
      <c r="Z5934">
        <v>0</v>
      </c>
      <c r="AA5934">
        <v>1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1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</row>
    <row r="5935" spans="1:39" x14ac:dyDescent="0.2">
      <c r="A5935" t="str">
        <f>"5931"</f>
        <v>5931</v>
      </c>
      <c r="B5935" t="str">
        <f t="shared" si="327"/>
        <v>1</v>
      </c>
      <c r="C5935" t="str">
        <f t="shared" si="329"/>
        <v>119</v>
      </c>
      <c r="D5935" t="str">
        <f>"10"</f>
        <v>10</v>
      </c>
      <c r="E5935" t="str">
        <f>"1-119-10"</f>
        <v>1-119-10</v>
      </c>
      <c r="F5935" t="s">
        <v>65</v>
      </c>
      <c r="G5935" t="s">
        <v>66</v>
      </c>
      <c r="H5935" t="s">
        <v>67</v>
      </c>
      <c r="S5935">
        <v>1</v>
      </c>
      <c r="T5935">
        <v>0</v>
      </c>
      <c r="U5935">
        <v>0</v>
      </c>
      <c r="V5935">
        <v>0</v>
      </c>
      <c r="W5935">
        <v>1</v>
      </c>
      <c r="X5935">
        <v>0</v>
      </c>
      <c r="Y5935">
        <v>0</v>
      </c>
      <c r="Z5935">
        <v>1</v>
      </c>
      <c r="AA5935">
        <v>0</v>
      </c>
      <c r="AB5935">
        <v>0</v>
      </c>
      <c r="AC5935">
        <v>1</v>
      </c>
      <c r="AD5935">
        <v>1</v>
      </c>
      <c r="AE5935">
        <v>1</v>
      </c>
      <c r="AF5935">
        <v>1</v>
      </c>
      <c r="AG5935">
        <v>1</v>
      </c>
      <c r="AH5935">
        <v>1</v>
      </c>
      <c r="AI5935">
        <v>1</v>
      </c>
      <c r="AJ5935">
        <v>1</v>
      </c>
      <c r="AK5935">
        <v>1</v>
      </c>
      <c r="AL5935">
        <v>1</v>
      </c>
      <c r="AM5935">
        <v>1</v>
      </c>
    </row>
    <row r="5936" spans="1:39" x14ac:dyDescent="0.2">
      <c r="A5936" t="str">
        <f>"5932"</f>
        <v>5932</v>
      </c>
      <c r="B5936" t="str">
        <f t="shared" si="327"/>
        <v>1</v>
      </c>
      <c r="C5936" t="str">
        <f t="shared" si="329"/>
        <v>119</v>
      </c>
      <c r="D5936" t="str">
        <f>"43"</f>
        <v>43</v>
      </c>
      <c r="E5936" t="str">
        <f>"1-119-43"</f>
        <v>1-119-43</v>
      </c>
      <c r="F5936" t="s">
        <v>65</v>
      </c>
      <c r="G5936" t="s">
        <v>66</v>
      </c>
      <c r="H5936" t="s">
        <v>67</v>
      </c>
      <c r="S5936">
        <v>0</v>
      </c>
      <c r="T5936">
        <v>1</v>
      </c>
      <c r="U5936">
        <v>0</v>
      </c>
      <c r="V5936">
        <v>0</v>
      </c>
      <c r="W5936">
        <v>1</v>
      </c>
      <c r="X5936">
        <v>0</v>
      </c>
      <c r="Y5936">
        <v>1</v>
      </c>
      <c r="Z5936">
        <v>0</v>
      </c>
      <c r="AA5936">
        <v>0</v>
      </c>
      <c r="AB5936">
        <v>1</v>
      </c>
      <c r="AC5936">
        <v>0</v>
      </c>
      <c r="AD5936">
        <v>1</v>
      </c>
      <c r="AE5936">
        <v>1</v>
      </c>
      <c r="AF5936">
        <v>1</v>
      </c>
      <c r="AG5936">
        <v>1</v>
      </c>
      <c r="AH5936">
        <v>1</v>
      </c>
      <c r="AI5936">
        <v>1</v>
      </c>
      <c r="AJ5936">
        <v>1</v>
      </c>
      <c r="AK5936">
        <v>0</v>
      </c>
      <c r="AL5936">
        <v>1</v>
      </c>
      <c r="AM5936">
        <v>1</v>
      </c>
    </row>
    <row r="5937" spans="1:39" x14ac:dyDescent="0.2">
      <c r="A5937" t="str">
        <f>"5933"</f>
        <v>5933</v>
      </c>
      <c r="B5937" t="str">
        <f t="shared" si="327"/>
        <v>1</v>
      </c>
      <c r="C5937" t="str">
        <f t="shared" ref="C5937:C5954" si="330">"119"</f>
        <v>119</v>
      </c>
      <c r="D5937" t="str">
        <f>"24"</f>
        <v>24</v>
      </c>
      <c r="E5937" t="str">
        <f>"1-119-24"</f>
        <v>1-119-24</v>
      </c>
      <c r="F5937" t="s">
        <v>65</v>
      </c>
      <c r="G5937" t="s">
        <v>66</v>
      </c>
      <c r="H5937" t="s">
        <v>67</v>
      </c>
      <c r="S5937">
        <v>0</v>
      </c>
      <c r="T5937">
        <v>1</v>
      </c>
      <c r="U5937">
        <v>0</v>
      </c>
      <c r="V5937">
        <v>0</v>
      </c>
      <c r="W5937">
        <v>1</v>
      </c>
      <c r="X5937">
        <v>0</v>
      </c>
      <c r="Y5937">
        <v>1</v>
      </c>
      <c r="Z5937">
        <v>0</v>
      </c>
      <c r="AA5937">
        <v>0</v>
      </c>
      <c r="AB5937">
        <v>0</v>
      </c>
      <c r="AC5937">
        <v>1</v>
      </c>
      <c r="AD5937">
        <v>1</v>
      </c>
      <c r="AE5937">
        <v>1</v>
      </c>
      <c r="AF5937">
        <v>1</v>
      </c>
      <c r="AG5937">
        <v>1</v>
      </c>
      <c r="AH5937">
        <v>1</v>
      </c>
      <c r="AI5937">
        <v>1</v>
      </c>
      <c r="AJ5937">
        <v>1</v>
      </c>
      <c r="AK5937">
        <v>1</v>
      </c>
      <c r="AL5937">
        <v>1</v>
      </c>
      <c r="AM5937">
        <v>1</v>
      </c>
    </row>
    <row r="5938" spans="1:39" x14ac:dyDescent="0.2">
      <c r="A5938" t="str">
        <f>"5934"</f>
        <v>5934</v>
      </c>
      <c r="B5938" t="str">
        <f t="shared" si="327"/>
        <v>1</v>
      </c>
      <c r="C5938" t="str">
        <f t="shared" si="330"/>
        <v>119</v>
      </c>
      <c r="D5938" t="str">
        <f>"11"</f>
        <v>11</v>
      </c>
      <c r="E5938" t="str">
        <f>"1-119-11"</f>
        <v>1-119-11</v>
      </c>
      <c r="F5938" t="s">
        <v>65</v>
      </c>
      <c r="G5938" t="s">
        <v>66</v>
      </c>
      <c r="H5938" t="s">
        <v>67</v>
      </c>
      <c r="S5938">
        <v>0</v>
      </c>
      <c r="T5938">
        <v>1</v>
      </c>
      <c r="U5938">
        <v>0</v>
      </c>
      <c r="V5938">
        <v>0</v>
      </c>
      <c r="W5938">
        <v>1</v>
      </c>
      <c r="X5938">
        <v>0</v>
      </c>
      <c r="Y5938">
        <v>0</v>
      </c>
      <c r="Z5938">
        <v>1</v>
      </c>
      <c r="AA5938">
        <v>0</v>
      </c>
      <c r="AB5938">
        <v>0</v>
      </c>
      <c r="AC5938">
        <v>1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</row>
    <row r="5939" spans="1:39" x14ac:dyDescent="0.2">
      <c r="A5939" t="str">
        <f>"5935"</f>
        <v>5935</v>
      </c>
      <c r="B5939" t="str">
        <f t="shared" si="327"/>
        <v>1</v>
      </c>
      <c r="C5939" t="str">
        <f t="shared" si="330"/>
        <v>119</v>
      </c>
      <c r="D5939" t="str">
        <f>"45"</f>
        <v>45</v>
      </c>
      <c r="E5939" t="str">
        <f>"1-119-45"</f>
        <v>1-119-45</v>
      </c>
      <c r="F5939" t="s">
        <v>65</v>
      </c>
      <c r="G5939" t="s">
        <v>66</v>
      </c>
      <c r="H5939" t="s">
        <v>67</v>
      </c>
      <c r="S5939">
        <v>1</v>
      </c>
      <c r="T5939">
        <v>0</v>
      </c>
      <c r="U5939">
        <v>0</v>
      </c>
      <c r="V5939">
        <v>0</v>
      </c>
      <c r="W5939">
        <v>1</v>
      </c>
      <c r="X5939">
        <v>0</v>
      </c>
      <c r="Y5939">
        <v>0</v>
      </c>
      <c r="Z5939">
        <v>1</v>
      </c>
      <c r="AA5939">
        <v>1</v>
      </c>
      <c r="AB5939">
        <v>0</v>
      </c>
      <c r="AC5939">
        <v>0</v>
      </c>
      <c r="AD5939">
        <v>1</v>
      </c>
      <c r="AE5939">
        <v>1</v>
      </c>
      <c r="AF5939">
        <v>1</v>
      </c>
      <c r="AG5939">
        <v>1</v>
      </c>
      <c r="AH5939">
        <v>1</v>
      </c>
      <c r="AI5939">
        <v>1</v>
      </c>
      <c r="AJ5939">
        <v>1</v>
      </c>
      <c r="AK5939">
        <v>1</v>
      </c>
      <c r="AL5939">
        <v>1</v>
      </c>
      <c r="AM5939">
        <v>1</v>
      </c>
    </row>
    <row r="5940" spans="1:39" x14ac:dyDescent="0.2">
      <c r="A5940" t="str">
        <f>"5936"</f>
        <v>5936</v>
      </c>
      <c r="B5940" t="str">
        <f t="shared" si="327"/>
        <v>1</v>
      </c>
      <c r="C5940" t="str">
        <f t="shared" si="330"/>
        <v>119</v>
      </c>
      <c r="D5940" t="str">
        <f>"27"</f>
        <v>27</v>
      </c>
      <c r="E5940" t="str">
        <f>"1-119-27"</f>
        <v>1-119-27</v>
      </c>
      <c r="F5940" t="s">
        <v>65</v>
      </c>
      <c r="G5940" t="s">
        <v>66</v>
      </c>
      <c r="H5940" t="s">
        <v>67</v>
      </c>
      <c r="S5940">
        <v>0</v>
      </c>
      <c r="T5940">
        <v>1</v>
      </c>
      <c r="U5940">
        <v>0</v>
      </c>
      <c r="V5940">
        <v>0</v>
      </c>
      <c r="W5940">
        <v>0</v>
      </c>
      <c r="X5940">
        <v>1</v>
      </c>
      <c r="Y5940">
        <v>1</v>
      </c>
      <c r="Z5940">
        <v>0</v>
      </c>
      <c r="AA5940">
        <v>0</v>
      </c>
      <c r="AB5940">
        <v>1</v>
      </c>
      <c r="AC5940">
        <v>0</v>
      </c>
      <c r="AD5940">
        <v>1</v>
      </c>
      <c r="AE5940">
        <v>1</v>
      </c>
      <c r="AF5940">
        <v>1</v>
      </c>
      <c r="AG5940">
        <v>1</v>
      </c>
      <c r="AH5940">
        <v>1</v>
      </c>
      <c r="AI5940">
        <v>1</v>
      </c>
      <c r="AJ5940">
        <v>1</v>
      </c>
      <c r="AK5940">
        <v>1</v>
      </c>
      <c r="AL5940">
        <v>1</v>
      </c>
      <c r="AM5940">
        <v>1</v>
      </c>
    </row>
    <row r="5941" spans="1:39" x14ac:dyDescent="0.2">
      <c r="A5941" t="str">
        <f>"5937"</f>
        <v>5937</v>
      </c>
      <c r="B5941" t="str">
        <f t="shared" si="327"/>
        <v>1</v>
      </c>
      <c r="C5941" t="str">
        <f t="shared" si="330"/>
        <v>119</v>
      </c>
      <c r="D5941" t="str">
        <f>"5"</f>
        <v>5</v>
      </c>
      <c r="E5941" t="str">
        <f>"1-119-5"</f>
        <v>1-119-5</v>
      </c>
      <c r="F5941" t="s">
        <v>65</v>
      </c>
      <c r="G5941" t="s">
        <v>66</v>
      </c>
      <c r="H5941" t="s">
        <v>67</v>
      </c>
      <c r="S5941">
        <v>1</v>
      </c>
      <c r="T5941">
        <v>0</v>
      </c>
      <c r="U5941">
        <v>0</v>
      </c>
      <c r="V5941">
        <v>0</v>
      </c>
      <c r="W5941">
        <v>1</v>
      </c>
      <c r="X5941">
        <v>0</v>
      </c>
      <c r="Y5941">
        <v>1</v>
      </c>
      <c r="Z5941">
        <v>0</v>
      </c>
      <c r="AA5941">
        <v>0</v>
      </c>
      <c r="AB5941">
        <v>0</v>
      </c>
      <c r="AC5941">
        <v>1</v>
      </c>
      <c r="AD5941">
        <v>1</v>
      </c>
      <c r="AE5941">
        <v>1</v>
      </c>
      <c r="AF5941">
        <v>1</v>
      </c>
      <c r="AG5941">
        <v>1</v>
      </c>
      <c r="AH5941">
        <v>1</v>
      </c>
      <c r="AI5941">
        <v>1</v>
      </c>
      <c r="AJ5941">
        <v>1</v>
      </c>
      <c r="AK5941">
        <v>1</v>
      </c>
      <c r="AL5941">
        <v>1</v>
      </c>
      <c r="AM5941">
        <v>1</v>
      </c>
    </row>
    <row r="5942" spans="1:39" x14ac:dyDescent="0.2">
      <c r="A5942" t="str">
        <f>"5938"</f>
        <v>5938</v>
      </c>
      <c r="B5942" t="str">
        <f t="shared" si="327"/>
        <v>1</v>
      </c>
      <c r="C5942" t="str">
        <f t="shared" si="330"/>
        <v>119</v>
      </c>
      <c r="D5942" t="str">
        <f>"47"</f>
        <v>47</v>
      </c>
      <c r="E5942" t="str">
        <f>"1-119-47"</f>
        <v>1-119-47</v>
      </c>
      <c r="F5942" t="s">
        <v>65</v>
      </c>
      <c r="G5942" t="s">
        <v>66</v>
      </c>
      <c r="H5942" t="s">
        <v>67</v>
      </c>
      <c r="S5942">
        <v>1</v>
      </c>
      <c r="T5942">
        <v>0</v>
      </c>
      <c r="U5942">
        <v>0</v>
      </c>
      <c r="V5942">
        <v>0</v>
      </c>
      <c r="W5942">
        <v>1</v>
      </c>
      <c r="X5942">
        <v>0</v>
      </c>
      <c r="Y5942">
        <v>1</v>
      </c>
      <c r="Z5942">
        <v>0</v>
      </c>
      <c r="AA5942">
        <v>0</v>
      </c>
      <c r="AB5942">
        <v>1</v>
      </c>
      <c r="AC5942">
        <v>0</v>
      </c>
      <c r="AD5942">
        <v>1</v>
      </c>
      <c r="AE5942">
        <v>1</v>
      </c>
      <c r="AF5942">
        <v>1</v>
      </c>
      <c r="AG5942">
        <v>1</v>
      </c>
      <c r="AH5942">
        <v>1</v>
      </c>
      <c r="AI5942">
        <v>1</v>
      </c>
      <c r="AJ5942">
        <v>1</v>
      </c>
      <c r="AK5942">
        <v>1</v>
      </c>
      <c r="AL5942">
        <v>1</v>
      </c>
      <c r="AM5942">
        <v>1</v>
      </c>
    </row>
    <row r="5943" spans="1:39" x14ac:dyDescent="0.2">
      <c r="A5943" t="str">
        <f>"5939"</f>
        <v>5939</v>
      </c>
      <c r="B5943" t="str">
        <f t="shared" ref="B5943:B6006" si="331">"1"</f>
        <v>1</v>
      </c>
      <c r="C5943" t="str">
        <f t="shared" si="330"/>
        <v>119</v>
      </c>
      <c r="D5943" t="str">
        <f>"29"</f>
        <v>29</v>
      </c>
      <c r="E5943" t="str">
        <f>"1-119-29"</f>
        <v>1-119-29</v>
      </c>
      <c r="F5943" t="s">
        <v>65</v>
      </c>
      <c r="G5943" t="s">
        <v>66</v>
      </c>
      <c r="H5943" t="s">
        <v>67</v>
      </c>
      <c r="S5943">
        <v>0</v>
      </c>
      <c r="T5943">
        <v>1</v>
      </c>
      <c r="U5943">
        <v>0</v>
      </c>
      <c r="V5943">
        <v>0</v>
      </c>
      <c r="W5943">
        <v>0</v>
      </c>
      <c r="X5943">
        <v>1</v>
      </c>
      <c r="Y5943">
        <v>0</v>
      </c>
      <c r="Z5943">
        <v>1</v>
      </c>
      <c r="AA5943">
        <v>0</v>
      </c>
      <c r="AB5943">
        <v>1</v>
      </c>
      <c r="AC5943">
        <v>0</v>
      </c>
      <c r="AD5943">
        <v>1</v>
      </c>
      <c r="AE5943">
        <v>1</v>
      </c>
      <c r="AF5943">
        <v>1</v>
      </c>
      <c r="AG5943">
        <v>1</v>
      </c>
      <c r="AH5943">
        <v>1</v>
      </c>
      <c r="AI5943">
        <v>1</v>
      </c>
      <c r="AJ5943">
        <v>1</v>
      </c>
      <c r="AK5943">
        <v>1</v>
      </c>
      <c r="AL5943">
        <v>1</v>
      </c>
      <c r="AM5943">
        <v>1</v>
      </c>
    </row>
    <row r="5944" spans="1:39" x14ac:dyDescent="0.2">
      <c r="A5944" t="str">
        <f>"5940"</f>
        <v>5940</v>
      </c>
      <c r="B5944" t="str">
        <f t="shared" si="331"/>
        <v>1</v>
      </c>
      <c r="C5944" t="str">
        <f t="shared" si="330"/>
        <v>119</v>
      </c>
      <c r="D5944" t="str">
        <f>"3"</f>
        <v>3</v>
      </c>
      <c r="E5944" t="str">
        <f>"1-119-3"</f>
        <v>1-119-3</v>
      </c>
      <c r="F5944" t="s">
        <v>65</v>
      </c>
      <c r="G5944" t="s">
        <v>66</v>
      </c>
      <c r="H5944" t="s">
        <v>67</v>
      </c>
      <c r="S5944">
        <v>1</v>
      </c>
      <c r="T5944">
        <v>0</v>
      </c>
      <c r="U5944">
        <v>0</v>
      </c>
      <c r="V5944">
        <v>0</v>
      </c>
      <c r="W5944">
        <v>1</v>
      </c>
      <c r="X5944">
        <v>0</v>
      </c>
      <c r="Y5944">
        <v>0</v>
      </c>
      <c r="Z5944">
        <v>1</v>
      </c>
      <c r="AA5944">
        <v>0</v>
      </c>
      <c r="AB5944">
        <v>0</v>
      </c>
      <c r="AC5944">
        <v>1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</row>
    <row r="5945" spans="1:39" x14ac:dyDescent="0.2">
      <c r="A5945" t="str">
        <f>"5941"</f>
        <v>5941</v>
      </c>
      <c r="B5945" t="str">
        <f t="shared" si="331"/>
        <v>1</v>
      </c>
      <c r="C5945" t="str">
        <f t="shared" si="330"/>
        <v>119</v>
      </c>
      <c r="D5945" t="str">
        <f>"46"</f>
        <v>46</v>
      </c>
      <c r="E5945" t="str">
        <f>"1-119-46"</f>
        <v>1-119-46</v>
      </c>
      <c r="F5945" t="s">
        <v>65</v>
      </c>
      <c r="G5945" t="s">
        <v>66</v>
      </c>
      <c r="H5945" t="s">
        <v>67</v>
      </c>
      <c r="S5945">
        <v>1</v>
      </c>
      <c r="T5945">
        <v>0</v>
      </c>
      <c r="U5945">
        <v>0</v>
      </c>
      <c r="V5945">
        <v>0</v>
      </c>
      <c r="W5945">
        <v>1</v>
      </c>
      <c r="X5945">
        <v>0</v>
      </c>
      <c r="Y5945">
        <v>1</v>
      </c>
      <c r="Z5945">
        <v>0</v>
      </c>
      <c r="AA5945">
        <v>0</v>
      </c>
      <c r="AB5945">
        <v>1</v>
      </c>
      <c r="AC5945">
        <v>0</v>
      </c>
      <c r="AD5945">
        <v>1</v>
      </c>
      <c r="AE5945">
        <v>1</v>
      </c>
      <c r="AF5945">
        <v>1</v>
      </c>
      <c r="AG5945">
        <v>1</v>
      </c>
      <c r="AH5945">
        <v>1</v>
      </c>
      <c r="AI5945">
        <v>1</v>
      </c>
      <c r="AJ5945">
        <v>1</v>
      </c>
      <c r="AK5945">
        <v>1</v>
      </c>
      <c r="AL5945">
        <v>1</v>
      </c>
      <c r="AM5945">
        <v>1</v>
      </c>
    </row>
    <row r="5946" spans="1:39" x14ac:dyDescent="0.2">
      <c r="A5946" t="str">
        <f>"5942"</f>
        <v>5942</v>
      </c>
      <c r="B5946" t="str">
        <f t="shared" si="331"/>
        <v>1</v>
      </c>
      <c r="C5946" t="str">
        <f t="shared" si="330"/>
        <v>119</v>
      </c>
      <c r="D5946" t="str">
        <f>"30"</f>
        <v>30</v>
      </c>
      <c r="E5946" t="str">
        <f>"1-119-30"</f>
        <v>1-119-30</v>
      </c>
      <c r="F5946" t="s">
        <v>65</v>
      </c>
      <c r="G5946" t="s">
        <v>66</v>
      </c>
      <c r="H5946" t="s">
        <v>67</v>
      </c>
      <c r="S5946">
        <v>1</v>
      </c>
      <c r="T5946">
        <v>0</v>
      </c>
      <c r="U5946">
        <v>0</v>
      </c>
      <c r="V5946">
        <v>0</v>
      </c>
      <c r="W5946">
        <v>1</v>
      </c>
      <c r="X5946">
        <v>0</v>
      </c>
      <c r="Y5946">
        <v>1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1</v>
      </c>
      <c r="AF5946">
        <v>1</v>
      </c>
      <c r="AG5946">
        <v>1</v>
      </c>
      <c r="AH5946">
        <v>1</v>
      </c>
      <c r="AI5946">
        <v>1</v>
      </c>
      <c r="AJ5946">
        <v>1</v>
      </c>
      <c r="AK5946">
        <v>1</v>
      </c>
      <c r="AL5946">
        <v>1</v>
      </c>
      <c r="AM5946">
        <v>1</v>
      </c>
    </row>
    <row r="5947" spans="1:39" x14ac:dyDescent="0.2">
      <c r="A5947" t="str">
        <f>"5943"</f>
        <v>5943</v>
      </c>
      <c r="B5947" t="str">
        <f t="shared" si="331"/>
        <v>1</v>
      </c>
      <c r="C5947" t="str">
        <f t="shared" si="330"/>
        <v>119</v>
      </c>
      <c r="D5947" t="str">
        <f>"13"</f>
        <v>13</v>
      </c>
      <c r="E5947" t="str">
        <f>"1-119-13"</f>
        <v>1-119-13</v>
      </c>
      <c r="F5947" t="s">
        <v>65</v>
      </c>
      <c r="G5947" t="s">
        <v>66</v>
      </c>
      <c r="H5947" t="s">
        <v>67</v>
      </c>
      <c r="S5947">
        <v>1</v>
      </c>
      <c r="T5947">
        <v>0</v>
      </c>
      <c r="U5947">
        <v>0</v>
      </c>
      <c r="V5947">
        <v>0</v>
      </c>
      <c r="W5947">
        <v>1</v>
      </c>
      <c r="X5947">
        <v>0</v>
      </c>
      <c r="Y5947">
        <v>1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1</v>
      </c>
      <c r="AJ5947">
        <v>0</v>
      </c>
      <c r="AK5947">
        <v>0</v>
      </c>
      <c r="AL5947">
        <v>0</v>
      </c>
      <c r="AM5947">
        <v>0</v>
      </c>
    </row>
    <row r="5948" spans="1:39" x14ac:dyDescent="0.2">
      <c r="A5948" t="str">
        <f>"5944"</f>
        <v>5944</v>
      </c>
      <c r="B5948" t="str">
        <f t="shared" si="331"/>
        <v>1</v>
      </c>
      <c r="C5948" t="str">
        <f t="shared" si="330"/>
        <v>119</v>
      </c>
      <c r="D5948" t="str">
        <f>"49"</f>
        <v>49</v>
      </c>
      <c r="E5948" t="str">
        <f>"1-119-49"</f>
        <v>1-119-49</v>
      </c>
      <c r="F5948" t="s">
        <v>65</v>
      </c>
      <c r="G5948" t="s">
        <v>66</v>
      </c>
      <c r="H5948" t="s">
        <v>67</v>
      </c>
      <c r="S5948">
        <v>1</v>
      </c>
      <c r="T5948">
        <v>0</v>
      </c>
      <c r="U5948">
        <v>0</v>
      </c>
      <c r="V5948">
        <v>0</v>
      </c>
      <c r="W5948">
        <v>1</v>
      </c>
      <c r="X5948">
        <v>0</v>
      </c>
      <c r="Y5948">
        <v>1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1</v>
      </c>
      <c r="AF5948">
        <v>1</v>
      </c>
      <c r="AG5948">
        <v>1</v>
      </c>
      <c r="AH5948">
        <v>0</v>
      </c>
      <c r="AI5948">
        <v>1</v>
      </c>
      <c r="AJ5948">
        <v>1</v>
      </c>
      <c r="AK5948">
        <v>1</v>
      </c>
      <c r="AL5948">
        <v>1</v>
      </c>
      <c r="AM5948">
        <v>1</v>
      </c>
    </row>
    <row r="5949" spans="1:39" x14ac:dyDescent="0.2">
      <c r="A5949" t="str">
        <f>"5945"</f>
        <v>5945</v>
      </c>
      <c r="B5949" t="str">
        <f t="shared" si="331"/>
        <v>1</v>
      </c>
      <c r="C5949" t="str">
        <f t="shared" si="330"/>
        <v>119</v>
      </c>
      <c r="D5949" t="str">
        <f>"31"</f>
        <v>31</v>
      </c>
      <c r="E5949" t="str">
        <f>"1-119-31"</f>
        <v>1-119-31</v>
      </c>
      <c r="F5949" t="s">
        <v>65</v>
      </c>
      <c r="G5949" t="s">
        <v>66</v>
      </c>
      <c r="H5949" t="s">
        <v>67</v>
      </c>
      <c r="S5949">
        <v>1</v>
      </c>
      <c r="T5949">
        <v>0</v>
      </c>
      <c r="U5949">
        <v>0</v>
      </c>
      <c r="V5949">
        <v>0</v>
      </c>
      <c r="W5949">
        <v>1</v>
      </c>
      <c r="X5949">
        <v>0</v>
      </c>
      <c r="Y5949">
        <v>0</v>
      </c>
      <c r="Z5949">
        <v>1</v>
      </c>
      <c r="AA5949">
        <v>1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</row>
    <row r="5950" spans="1:39" x14ac:dyDescent="0.2">
      <c r="A5950" t="str">
        <f>"5946"</f>
        <v>5946</v>
      </c>
      <c r="B5950" t="str">
        <f t="shared" si="331"/>
        <v>1</v>
      </c>
      <c r="C5950" t="str">
        <f t="shared" si="330"/>
        <v>119</v>
      </c>
      <c r="D5950" t="str">
        <f>"14"</f>
        <v>14</v>
      </c>
      <c r="E5950" t="str">
        <f>"1-119-14"</f>
        <v>1-119-14</v>
      </c>
      <c r="F5950" t="s">
        <v>65</v>
      </c>
      <c r="G5950" t="s">
        <v>66</v>
      </c>
      <c r="H5950" t="s">
        <v>67</v>
      </c>
      <c r="S5950">
        <v>1</v>
      </c>
      <c r="T5950">
        <v>0</v>
      </c>
      <c r="U5950">
        <v>0</v>
      </c>
      <c r="V5950">
        <v>0</v>
      </c>
      <c r="W5950">
        <v>1</v>
      </c>
      <c r="X5950">
        <v>0</v>
      </c>
      <c r="Y5950">
        <v>1</v>
      </c>
      <c r="Z5950">
        <v>0</v>
      </c>
      <c r="AA5950">
        <v>0</v>
      </c>
      <c r="AB5950">
        <v>1</v>
      </c>
      <c r="AC5950">
        <v>0</v>
      </c>
      <c r="AD5950">
        <v>1</v>
      </c>
      <c r="AE5950">
        <v>1</v>
      </c>
      <c r="AF5950">
        <v>1</v>
      </c>
      <c r="AG5950">
        <v>1</v>
      </c>
      <c r="AH5950">
        <v>1</v>
      </c>
      <c r="AI5950">
        <v>1</v>
      </c>
      <c r="AJ5950">
        <v>1</v>
      </c>
      <c r="AK5950">
        <v>1</v>
      </c>
      <c r="AL5950">
        <v>0</v>
      </c>
      <c r="AM5950">
        <v>1</v>
      </c>
    </row>
    <row r="5951" spans="1:39" x14ac:dyDescent="0.2">
      <c r="A5951" t="str">
        <f>"5947"</f>
        <v>5947</v>
      </c>
      <c r="B5951" t="str">
        <f t="shared" si="331"/>
        <v>1</v>
      </c>
      <c r="C5951" t="str">
        <f t="shared" si="330"/>
        <v>119</v>
      </c>
      <c r="D5951" t="str">
        <f>"48"</f>
        <v>48</v>
      </c>
      <c r="E5951" t="str">
        <f>"1-119-48"</f>
        <v>1-119-48</v>
      </c>
      <c r="F5951" t="s">
        <v>65</v>
      </c>
      <c r="G5951" t="s">
        <v>66</v>
      </c>
      <c r="H5951" t="s">
        <v>67</v>
      </c>
      <c r="S5951">
        <v>1</v>
      </c>
      <c r="T5951">
        <v>0</v>
      </c>
      <c r="U5951">
        <v>0</v>
      </c>
      <c r="V5951">
        <v>0</v>
      </c>
      <c r="W5951">
        <v>1</v>
      </c>
      <c r="X5951">
        <v>0</v>
      </c>
      <c r="Y5951">
        <v>1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1</v>
      </c>
      <c r="AG5951">
        <v>1</v>
      </c>
      <c r="AH5951">
        <v>0</v>
      </c>
      <c r="AI5951">
        <v>1</v>
      </c>
      <c r="AJ5951">
        <v>1</v>
      </c>
      <c r="AK5951">
        <v>1</v>
      </c>
      <c r="AL5951">
        <v>1</v>
      </c>
      <c r="AM5951">
        <v>1</v>
      </c>
    </row>
    <row r="5952" spans="1:39" x14ac:dyDescent="0.2">
      <c r="A5952" t="str">
        <f>"5948"</f>
        <v>5948</v>
      </c>
      <c r="B5952" t="str">
        <f t="shared" si="331"/>
        <v>1</v>
      </c>
      <c r="C5952" t="str">
        <f t="shared" si="330"/>
        <v>119</v>
      </c>
      <c r="D5952" t="str">
        <f>"32"</f>
        <v>32</v>
      </c>
      <c r="E5952" t="str">
        <f>"1-119-32"</f>
        <v>1-119-32</v>
      </c>
      <c r="F5952" t="s">
        <v>65</v>
      </c>
      <c r="G5952" t="s">
        <v>66</v>
      </c>
      <c r="H5952" t="s">
        <v>67</v>
      </c>
      <c r="S5952">
        <v>0</v>
      </c>
      <c r="T5952">
        <v>1</v>
      </c>
      <c r="U5952">
        <v>0</v>
      </c>
      <c r="V5952">
        <v>0</v>
      </c>
      <c r="W5952">
        <v>1</v>
      </c>
      <c r="X5952">
        <v>0</v>
      </c>
      <c r="Y5952">
        <v>1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</row>
    <row r="5953" spans="1:39" x14ac:dyDescent="0.2">
      <c r="A5953" t="str">
        <f>"5949"</f>
        <v>5949</v>
      </c>
      <c r="B5953" t="str">
        <f t="shared" si="331"/>
        <v>1</v>
      </c>
      <c r="C5953" t="str">
        <f t="shared" si="330"/>
        <v>119</v>
      </c>
      <c r="D5953" t="str">
        <f>"4"</f>
        <v>4</v>
      </c>
      <c r="E5953" t="str">
        <f>"1-119-4"</f>
        <v>1-119-4</v>
      </c>
      <c r="F5953" t="s">
        <v>65</v>
      </c>
      <c r="G5953" t="s">
        <v>66</v>
      </c>
      <c r="H5953" t="s">
        <v>67</v>
      </c>
      <c r="S5953">
        <v>1</v>
      </c>
      <c r="T5953">
        <v>0</v>
      </c>
      <c r="U5953">
        <v>0</v>
      </c>
      <c r="V5953">
        <v>0</v>
      </c>
      <c r="W5953">
        <v>1</v>
      </c>
      <c r="X5953">
        <v>0</v>
      </c>
      <c r="Y5953">
        <v>1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1</v>
      </c>
      <c r="AF5953">
        <v>1</v>
      </c>
      <c r="AG5953">
        <v>1</v>
      </c>
      <c r="AH5953">
        <v>1</v>
      </c>
      <c r="AI5953">
        <v>1</v>
      </c>
      <c r="AJ5953">
        <v>1</v>
      </c>
      <c r="AK5953">
        <v>1</v>
      </c>
      <c r="AL5953">
        <v>1</v>
      </c>
      <c r="AM5953">
        <v>1</v>
      </c>
    </row>
    <row r="5954" spans="1:39" x14ac:dyDescent="0.2">
      <c r="A5954" t="str">
        <f>"5950"</f>
        <v>5950</v>
      </c>
      <c r="B5954" t="str">
        <f t="shared" si="331"/>
        <v>1</v>
      </c>
      <c r="C5954" t="str">
        <f t="shared" si="330"/>
        <v>119</v>
      </c>
      <c r="D5954" t="str">
        <f>"50"</f>
        <v>50</v>
      </c>
      <c r="E5954" t="str">
        <f>"1-119-50"</f>
        <v>1-119-50</v>
      </c>
      <c r="F5954" t="s">
        <v>65</v>
      </c>
      <c r="G5954" t="s">
        <v>66</v>
      </c>
      <c r="H5954" t="s">
        <v>67</v>
      </c>
      <c r="S5954">
        <v>0</v>
      </c>
      <c r="T5954">
        <v>1</v>
      </c>
      <c r="U5954">
        <v>0</v>
      </c>
      <c r="V5954">
        <v>0</v>
      </c>
      <c r="W5954">
        <v>1</v>
      </c>
      <c r="X5954">
        <v>0</v>
      </c>
      <c r="Y5954">
        <v>0</v>
      </c>
      <c r="Z5954">
        <v>1</v>
      </c>
      <c r="AA5954">
        <v>1</v>
      </c>
      <c r="AB5954">
        <v>0</v>
      </c>
      <c r="AC5954">
        <v>0</v>
      </c>
      <c r="AD5954">
        <v>1</v>
      </c>
      <c r="AE5954">
        <v>1</v>
      </c>
      <c r="AF5954">
        <v>1</v>
      </c>
      <c r="AG5954">
        <v>1</v>
      </c>
      <c r="AH5954">
        <v>1</v>
      </c>
      <c r="AI5954">
        <v>1</v>
      </c>
      <c r="AJ5954">
        <v>1</v>
      </c>
      <c r="AK5954">
        <v>1</v>
      </c>
      <c r="AL5954">
        <v>1</v>
      </c>
      <c r="AM5954">
        <v>1</v>
      </c>
    </row>
    <row r="5955" spans="1:39" x14ac:dyDescent="0.2">
      <c r="A5955" t="str">
        <f>"5951"</f>
        <v>5951</v>
      </c>
      <c r="B5955" t="str">
        <f t="shared" si="331"/>
        <v>1</v>
      </c>
      <c r="C5955" t="str">
        <f t="shared" ref="C5955:C5986" si="332">"120"</f>
        <v>120</v>
      </c>
      <c r="D5955" t="str">
        <f>"38"</f>
        <v>38</v>
      </c>
      <c r="E5955" t="str">
        <f>"1-120-38"</f>
        <v>1-120-38</v>
      </c>
      <c r="F5955" t="s">
        <v>65</v>
      </c>
      <c r="G5955" t="s">
        <v>66</v>
      </c>
      <c r="H5955" t="s">
        <v>67</v>
      </c>
      <c r="S5955">
        <v>1</v>
      </c>
      <c r="T5955">
        <v>0</v>
      </c>
      <c r="U5955">
        <v>0</v>
      </c>
      <c r="V5955">
        <v>0</v>
      </c>
      <c r="W5955">
        <v>1</v>
      </c>
      <c r="X5955">
        <v>0</v>
      </c>
      <c r="Y5955">
        <v>1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1</v>
      </c>
      <c r="AF5955">
        <v>1</v>
      </c>
      <c r="AG5955">
        <v>1</v>
      </c>
      <c r="AH5955">
        <v>1</v>
      </c>
      <c r="AI5955">
        <v>1</v>
      </c>
      <c r="AJ5955">
        <v>1</v>
      </c>
      <c r="AK5955">
        <v>1</v>
      </c>
      <c r="AL5955">
        <v>1</v>
      </c>
      <c r="AM5955">
        <v>1</v>
      </c>
    </row>
    <row r="5956" spans="1:39" x14ac:dyDescent="0.2">
      <c r="A5956" t="str">
        <f>"5952"</f>
        <v>5952</v>
      </c>
      <c r="B5956" t="str">
        <f t="shared" si="331"/>
        <v>1</v>
      </c>
      <c r="C5956" t="str">
        <f t="shared" si="332"/>
        <v>120</v>
      </c>
      <c r="D5956" t="str">
        <f>"37"</f>
        <v>37</v>
      </c>
      <c r="E5956" t="str">
        <f>"1-120-37"</f>
        <v>1-120-37</v>
      </c>
      <c r="F5956" t="s">
        <v>65</v>
      </c>
      <c r="G5956" t="s">
        <v>66</v>
      </c>
      <c r="H5956" t="s">
        <v>67</v>
      </c>
      <c r="S5956">
        <v>0</v>
      </c>
      <c r="T5956">
        <v>1</v>
      </c>
      <c r="U5956">
        <v>0</v>
      </c>
      <c r="V5956">
        <v>0</v>
      </c>
      <c r="W5956">
        <v>1</v>
      </c>
      <c r="X5956">
        <v>0</v>
      </c>
      <c r="Y5956">
        <v>1</v>
      </c>
      <c r="Z5956">
        <v>0</v>
      </c>
      <c r="AA5956">
        <v>0</v>
      </c>
      <c r="AB5956">
        <v>1</v>
      </c>
      <c r="AC5956">
        <v>0</v>
      </c>
      <c r="AD5956">
        <v>1</v>
      </c>
      <c r="AE5956">
        <v>1</v>
      </c>
      <c r="AF5956">
        <v>1</v>
      </c>
      <c r="AG5956">
        <v>1</v>
      </c>
      <c r="AH5956">
        <v>1</v>
      </c>
      <c r="AI5956">
        <v>1</v>
      </c>
      <c r="AJ5956">
        <v>1</v>
      </c>
      <c r="AK5956">
        <v>1</v>
      </c>
      <c r="AL5956">
        <v>1</v>
      </c>
      <c r="AM5956">
        <v>1</v>
      </c>
    </row>
    <row r="5957" spans="1:39" x14ac:dyDescent="0.2">
      <c r="A5957" t="str">
        <f>"5953"</f>
        <v>5953</v>
      </c>
      <c r="B5957" t="str">
        <f t="shared" si="331"/>
        <v>1</v>
      </c>
      <c r="C5957" t="str">
        <f t="shared" si="332"/>
        <v>120</v>
      </c>
      <c r="D5957" t="str">
        <f>"28"</f>
        <v>28</v>
      </c>
      <c r="E5957" t="str">
        <f>"1-120-28"</f>
        <v>1-120-28</v>
      </c>
      <c r="F5957" t="s">
        <v>65</v>
      </c>
      <c r="G5957" t="s">
        <v>66</v>
      </c>
      <c r="H5957" t="s">
        <v>67</v>
      </c>
      <c r="S5957">
        <v>1</v>
      </c>
      <c r="T5957">
        <v>0</v>
      </c>
      <c r="U5957">
        <v>0</v>
      </c>
      <c r="V5957">
        <v>0</v>
      </c>
      <c r="W5957">
        <v>1</v>
      </c>
      <c r="X5957">
        <v>0</v>
      </c>
      <c r="Y5957">
        <v>0</v>
      </c>
      <c r="Z5957">
        <v>1</v>
      </c>
      <c r="AA5957">
        <v>0</v>
      </c>
      <c r="AB5957">
        <v>1</v>
      </c>
      <c r="AC5957">
        <v>0</v>
      </c>
      <c r="AD5957">
        <v>1</v>
      </c>
      <c r="AE5957">
        <v>1</v>
      </c>
      <c r="AF5957">
        <v>1</v>
      </c>
      <c r="AG5957">
        <v>1</v>
      </c>
      <c r="AH5957">
        <v>1</v>
      </c>
      <c r="AI5957">
        <v>1</v>
      </c>
      <c r="AJ5957">
        <v>1</v>
      </c>
      <c r="AK5957">
        <v>1</v>
      </c>
      <c r="AL5957">
        <v>1</v>
      </c>
      <c r="AM5957">
        <v>1</v>
      </c>
    </row>
    <row r="5958" spans="1:39" x14ac:dyDescent="0.2">
      <c r="A5958" t="str">
        <f>"5954"</f>
        <v>5954</v>
      </c>
      <c r="B5958" t="str">
        <f t="shared" si="331"/>
        <v>1</v>
      </c>
      <c r="C5958" t="str">
        <f t="shared" si="332"/>
        <v>120</v>
      </c>
      <c r="D5958" t="str">
        <f>"15"</f>
        <v>15</v>
      </c>
      <c r="E5958" t="str">
        <f>"1-120-15"</f>
        <v>1-120-15</v>
      </c>
      <c r="F5958" t="s">
        <v>65</v>
      </c>
      <c r="G5958" t="s">
        <v>66</v>
      </c>
      <c r="H5958" t="s">
        <v>67</v>
      </c>
      <c r="S5958">
        <v>1</v>
      </c>
      <c r="T5958">
        <v>0</v>
      </c>
      <c r="U5958">
        <v>0</v>
      </c>
      <c r="V5958">
        <v>0</v>
      </c>
      <c r="W5958">
        <v>1</v>
      </c>
      <c r="X5958">
        <v>0</v>
      </c>
      <c r="Y5958">
        <v>1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1</v>
      </c>
      <c r="AF5958">
        <v>1</v>
      </c>
      <c r="AG5958">
        <v>1</v>
      </c>
      <c r="AH5958">
        <v>1</v>
      </c>
      <c r="AI5958">
        <v>1</v>
      </c>
      <c r="AJ5958">
        <v>1</v>
      </c>
      <c r="AK5958">
        <v>1</v>
      </c>
      <c r="AL5958">
        <v>1</v>
      </c>
      <c r="AM5958">
        <v>1</v>
      </c>
    </row>
    <row r="5959" spans="1:39" x14ac:dyDescent="0.2">
      <c r="A5959" t="str">
        <f>"5955"</f>
        <v>5955</v>
      </c>
      <c r="B5959" t="str">
        <f t="shared" si="331"/>
        <v>1</v>
      </c>
      <c r="C5959" t="str">
        <f t="shared" si="332"/>
        <v>120</v>
      </c>
      <c r="D5959" t="str">
        <f>"4"</f>
        <v>4</v>
      </c>
      <c r="E5959" t="str">
        <f>"1-120-4"</f>
        <v>1-120-4</v>
      </c>
      <c r="F5959" t="s">
        <v>65</v>
      </c>
      <c r="G5959" t="s">
        <v>66</v>
      </c>
      <c r="H5959" t="s">
        <v>67</v>
      </c>
      <c r="S5959">
        <v>1</v>
      </c>
      <c r="T5959">
        <v>0</v>
      </c>
      <c r="U5959">
        <v>0</v>
      </c>
      <c r="V5959">
        <v>0</v>
      </c>
      <c r="W5959">
        <v>1</v>
      </c>
      <c r="X5959">
        <v>0</v>
      </c>
      <c r="Y5959">
        <v>0</v>
      </c>
      <c r="Z5959">
        <v>1</v>
      </c>
      <c r="AA5959">
        <v>0</v>
      </c>
      <c r="AB5959">
        <v>0</v>
      </c>
      <c r="AC5959">
        <v>1</v>
      </c>
      <c r="AD5959">
        <v>1</v>
      </c>
      <c r="AE5959">
        <v>1</v>
      </c>
      <c r="AF5959">
        <v>1</v>
      </c>
      <c r="AG5959">
        <v>1</v>
      </c>
      <c r="AH5959">
        <v>1</v>
      </c>
      <c r="AI5959">
        <v>1</v>
      </c>
      <c r="AJ5959">
        <v>1</v>
      </c>
      <c r="AK5959">
        <v>1</v>
      </c>
      <c r="AL5959">
        <v>1</v>
      </c>
      <c r="AM5959">
        <v>1</v>
      </c>
    </row>
    <row r="5960" spans="1:39" x14ac:dyDescent="0.2">
      <c r="A5960" t="str">
        <f>"5956"</f>
        <v>5956</v>
      </c>
      <c r="B5960" t="str">
        <f t="shared" si="331"/>
        <v>1</v>
      </c>
      <c r="C5960" t="str">
        <f t="shared" si="332"/>
        <v>120</v>
      </c>
      <c r="D5960" t="str">
        <f>"36"</f>
        <v>36</v>
      </c>
      <c r="E5960" t="str">
        <f>"1-120-36"</f>
        <v>1-120-36</v>
      </c>
      <c r="F5960" t="s">
        <v>65</v>
      </c>
      <c r="G5960" t="s">
        <v>66</v>
      </c>
      <c r="H5960" t="s">
        <v>67</v>
      </c>
      <c r="S5960">
        <v>0</v>
      </c>
      <c r="T5960">
        <v>1</v>
      </c>
      <c r="U5960">
        <v>0</v>
      </c>
      <c r="V5960">
        <v>0</v>
      </c>
      <c r="W5960">
        <v>0</v>
      </c>
      <c r="X5960">
        <v>1</v>
      </c>
      <c r="Y5960">
        <v>0</v>
      </c>
      <c r="Z5960">
        <v>1</v>
      </c>
      <c r="AA5960">
        <v>0</v>
      </c>
      <c r="AB5960">
        <v>1</v>
      </c>
      <c r="AC5960">
        <v>0</v>
      </c>
      <c r="AD5960">
        <v>1</v>
      </c>
      <c r="AE5960">
        <v>1</v>
      </c>
      <c r="AF5960">
        <v>1</v>
      </c>
      <c r="AG5960">
        <v>1</v>
      </c>
      <c r="AH5960">
        <v>1</v>
      </c>
      <c r="AI5960">
        <v>1</v>
      </c>
      <c r="AJ5960">
        <v>1</v>
      </c>
      <c r="AK5960">
        <v>1</v>
      </c>
      <c r="AL5960">
        <v>1</v>
      </c>
      <c r="AM5960">
        <v>1</v>
      </c>
    </row>
    <row r="5961" spans="1:39" x14ac:dyDescent="0.2">
      <c r="A5961" t="str">
        <f>"5957"</f>
        <v>5957</v>
      </c>
      <c r="B5961" t="str">
        <f t="shared" si="331"/>
        <v>1</v>
      </c>
      <c r="C5961" t="str">
        <f t="shared" si="332"/>
        <v>120</v>
      </c>
      <c r="D5961" t="str">
        <f>"35"</f>
        <v>35</v>
      </c>
      <c r="E5961" t="str">
        <f>"1-120-35"</f>
        <v>1-120-35</v>
      </c>
      <c r="F5961" t="s">
        <v>65</v>
      </c>
      <c r="G5961" t="s">
        <v>66</v>
      </c>
      <c r="H5961" t="s">
        <v>67</v>
      </c>
      <c r="S5961">
        <v>0</v>
      </c>
      <c r="T5961">
        <v>1</v>
      </c>
      <c r="U5961">
        <v>0</v>
      </c>
      <c r="V5961">
        <v>0</v>
      </c>
      <c r="W5961">
        <v>0</v>
      </c>
      <c r="X5961">
        <v>1</v>
      </c>
      <c r="Y5961">
        <v>1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1</v>
      </c>
      <c r="AF5961">
        <v>1</v>
      </c>
      <c r="AG5961">
        <v>1</v>
      </c>
      <c r="AH5961">
        <v>1</v>
      </c>
      <c r="AI5961">
        <v>1</v>
      </c>
      <c r="AJ5961">
        <v>1</v>
      </c>
      <c r="AK5961">
        <v>1</v>
      </c>
      <c r="AL5961">
        <v>1</v>
      </c>
      <c r="AM5961">
        <v>1</v>
      </c>
    </row>
    <row r="5962" spans="1:39" x14ac:dyDescent="0.2">
      <c r="A5962" t="str">
        <f>"5958"</f>
        <v>5958</v>
      </c>
      <c r="B5962" t="str">
        <f t="shared" si="331"/>
        <v>1</v>
      </c>
      <c r="C5962" t="str">
        <f t="shared" si="332"/>
        <v>120</v>
      </c>
      <c r="D5962" t="str">
        <f>"25"</f>
        <v>25</v>
      </c>
      <c r="E5962" t="str">
        <f>"1-120-25"</f>
        <v>1-120-25</v>
      </c>
      <c r="F5962" t="s">
        <v>65</v>
      </c>
      <c r="G5962" t="s">
        <v>66</v>
      </c>
      <c r="H5962" t="s">
        <v>67</v>
      </c>
      <c r="S5962">
        <v>1</v>
      </c>
      <c r="T5962">
        <v>0</v>
      </c>
      <c r="U5962">
        <v>0</v>
      </c>
      <c r="V5962">
        <v>0</v>
      </c>
      <c r="W5962">
        <v>1</v>
      </c>
      <c r="X5962">
        <v>0</v>
      </c>
      <c r="Y5962">
        <v>0</v>
      </c>
      <c r="Z5962">
        <v>1</v>
      </c>
      <c r="AA5962">
        <v>1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1</v>
      </c>
      <c r="AJ5962">
        <v>1</v>
      </c>
      <c r="AK5962">
        <v>1</v>
      </c>
      <c r="AL5962">
        <v>1</v>
      </c>
      <c r="AM5962">
        <v>1</v>
      </c>
    </row>
    <row r="5963" spans="1:39" x14ac:dyDescent="0.2">
      <c r="A5963" t="str">
        <f>"5959"</f>
        <v>5959</v>
      </c>
      <c r="B5963" t="str">
        <f t="shared" si="331"/>
        <v>1</v>
      </c>
      <c r="C5963" t="str">
        <f t="shared" si="332"/>
        <v>120</v>
      </c>
      <c r="D5963" t="str">
        <f>"16"</f>
        <v>16</v>
      </c>
      <c r="E5963" t="str">
        <f>"1-120-16"</f>
        <v>1-120-16</v>
      </c>
      <c r="F5963" t="s">
        <v>65</v>
      </c>
      <c r="G5963" t="s">
        <v>66</v>
      </c>
      <c r="H5963" t="s">
        <v>67</v>
      </c>
      <c r="S5963">
        <v>0</v>
      </c>
      <c r="T5963">
        <v>0</v>
      </c>
      <c r="U5963">
        <v>0</v>
      </c>
      <c r="V5963">
        <v>0</v>
      </c>
      <c r="W5963">
        <v>1</v>
      </c>
      <c r="X5963">
        <v>0</v>
      </c>
      <c r="Y5963">
        <v>0</v>
      </c>
      <c r="Z5963">
        <v>1</v>
      </c>
      <c r="AA5963">
        <v>1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1</v>
      </c>
      <c r="AH5963">
        <v>1</v>
      </c>
      <c r="AI5963">
        <v>1</v>
      </c>
      <c r="AJ5963">
        <v>1</v>
      </c>
      <c r="AK5963">
        <v>1</v>
      </c>
      <c r="AL5963">
        <v>1</v>
      </c>
      <c r="AM5963">
        <v>0</v>
      </c>
    </row>
    <row r="5964" spans="1:39" x14ac:dyDescent="0.2">
      <c r="A5964" t="str">
        <f>"5960"</f>
        <v>5960</v>
      </c>
      <c r="B5964" t="str">
        <f t="shared" si="331"/>
        <v>1</v>
      </c>
      <c r="C5964" t="str">
        <f t="shared" si="332"/>
        <v>120</v>
      </c>
      <c r="D5964" t="str">
        <f>"11"</f>
        <v>11</v>
      </c>
      <c r="E5964" t="str">
        <f>"1-120-11"</f>
        <v>1-120-11</v>
      </c>
      <c r="F5964" t="s">
        <v>65</v>
      </c>
      <c r="G5964" t="s">
        <v>66</v>
      </c>
      <c r="H5964" t="s">
        <v>67</v>
      </c>
      <c r="S5964">
        <v>1</v>
      </c>
      <c r="T5964">
        <v>0</v>
      </c>
      <c r="U5964">
        <v>0</v>
      </c>
      <c r="V5964">
        <v>0</v>
      </c>
      <c r="W5964">
        <v>1</v>
      </c>
      <c r="X5964">
        <v>0</v>
      </c>
      <c r="Y5964">
        <v>0</v>
      </c>
      <c r="Z5964">
        <v>1</v>
      </c>
      <c r="AA5964">
        <v>0</v>
      </c>
      <c r="AB5964">
        <v>1</v>
      </c>
      <c r="AC5964">
        <v>0</v>
      </c>
      <c r="AD5964">
        <v>1</v>
      </c>
      <c r="AE5964">
        <v>1</v>
      </c>
      <c r="AF5964">
        <v>1</v>
      </c>
      <c r="AG5964">
        <v>1</v>
      </c>
      <c r="AH5964">
        <v>1</v>
      </c>
      <c r="AI5964">
        <v>1</v>
      </c>
      <c r="AJ5964">
        <v>1</v>
      </c>
      <c r="AK5964">
        <v>1</v>
      </c>
      <c r="AL5964">
        <v>1</v>
      </c>
      <c r="AM5964">
        <v>1</v>
      </c>
    </row>
    <row r="5965" spans="1:39" x14ac:dyDescent="0.2">
      <c r="A5965" t="str">
        <f>"5961"</f>
        <v>5961</v>
      </c>
      <c r="B5965" t="str">
        <f t="shared" si="331"/>
        <v>1</v>
      </c>
      <c r="C5965" t="str">
        <f t="shared" si="332"/>
        <v>120</v>
      </c>
      <c r="D5965" t="str">
        <f>"40"</f>
        <v>40</v>
      </c>
      <c r="E5965" t="str">
        <f>"1-120-40"</f>
        <v>1-120-40</v>
      </c>
      <c r="F5965" t="s">
        <v>65</v>
      </c>
      <c r="G5965" t="s">
        <v>66</v>
      </c>
      <c r="H5965" t="s">
        <v>67</v>
      </c>
      <c r="S5965">
        <v>1</v>
      </c>
      <c r="T5965">
        <v>0</v>
      </c>
      <c r="U5965">
        <v>0</v>
      </c>
      <c r="V5965">
        <v>0</v>
      </c>
      <c r="W5965">
        <v>1</v>
      </c>
      <c r="X5965">
        <v>0</v>
      </c>
      <c r="Y5965">
        <v>1</v>
      </c>
      <c r="Z5965">
        <v>0</v>
      </c>
      <c r="AA5965">
        <v>0</v>
      </c>
      <c r="AB5965">
        <v>1</v>
      </c>
      <c r="AC5965">
        <v>0</v>
      </c>
      <c r="AD5965">
        <v>1</v>
      </c>
      <c r="AE5965">
        <v>1</v>
      </c>
      <c r="AF5965">
        <v>1</v>
      </c>
      <c r="AG5965">
        <v>1</v>
      </c>
      <c r="AH5965">
        <v>1</v>
      </c>
      <c r="AI5965">
        <v>1</v>
      </c>
      <c r="AJ5965">
        <v>0</v>
      </c>
      <c r="AK5965">
        <v>1</v>
      </c>
      <c r="AL5965">
        <v>1</v>
      </c>
      <c r="AM5965">
        <v>1</v>
      </c>
    </row>
    <row r="5966" spans="1:39" x14ac:dyDescent="0.2">
      <c r="A5966" t="str">
        <f>"5962"</f>
        <v>5962</v>
      </c>
      <c r="B5966" t="str">
        <f t="shared" si="331"/>
        <v>1</v>
      </c>
      <c r="C5966" t="str">
        <f t="shared" si="332"/>
        <v>120</v>
      </c>
      <c r="D5966" t="str">
        <f>"39"</f>
        <v>39</v>
      </c>
      <c r="E5966" t="str">
        <f>"1-120-39"</f>
        <v>1-120-39</v>
      </c>
      <c r="F5966" t="s">
        <v>65</v>
      </c>
      <c r="G5966" t="s">
        <v>66</v>
      </c>
      <c r="H5966" t="s">
        <v>67</v>
      </c>
      <c r="S5966">
        <v>0</v>
      </c>
      <c r="T5966">
        <v>1</v>
      </c>
      <c r="U5966">
        <v>0</v>
      </c>
      <c r="V5966">
        <v>0</v>
      </c>
      <c r="W5966">
        <v>0</v>
      </c>
      <c r="X5966">
        <v>1</v>
      </c>
      <c r="Y5966">
        <v>0</v>
      </c>
      <c r="Z5966">
        <v>1</v>
      </c>
      <c r="AA5966">
        <v>0</v>
      </c>
      <c r="AB5966">
        <v>0</v>
      </c>
      <c r="AC5966">
        <v>1</v>
      </c>
      <c r="AD5966">
        <v>1</v>
      </c>
      <c r="AE5966">
        <v>1</v>
      </c>
      <c r="AF5966">
        <v>1</v>
      </c>
      <c r="AG5966">
        <v>1</v>
      </c>
      <c r="AH5966">
        <v>1</v>
      </c>
      <c r="AI5966">
        <v>1</v>
      </c>
      <c r="AJ5966">
        <v>1</v>
      </c>
      <c r="AK5966">
        <v>1</v>
      </c>
      <c r="AL5966">
        <v>1</v>
      </c>
      <c r="AM5966">
        <v>1</v>
      </c>
    </row>
    <row r="5967" spans="1:39" x14ac:dyDescent="0.2">
      <c r="A5967" t="str">
        <f>"5963"</f>
        <v>5963</v>
      </c>
      <c r="B5967" t="str">
        <f t="shared" si="331"/>
        <v>1</v>
      </c>
      <c r="C5967" t="str">
        <f t="shared" si="332"/>
        <v>120</v>
      </c>
      <c r="D5967" t="str">
        <f>"31"</f>
        <v>31</v>
      </c>
      <c r="E5967" t="str">
        <f>"1-120-31"</f>
        <v>1-120-31</v>
      </c>
      <c r="F5967" t="s">
        <v>65</v>
      </c>
      <c r="G5967" t="s">
        <v>66</v>
      </c>
      <c r="H5967" t="s">
        <v>67</v>
      </c>
      <c r="S5967">
        <v>0</v>
      </c>
      <c r="T5967">
        <v>0</v>
      </c>
      <c r="U5967">
        <v>0</v>
      </c>
      <c r="V5967">
        <v>0</v>
      </c>
      <c r="W5967">
        <v>1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1</v>
      </c>
      <c r="AH5967">
        <v>0</v>
      </c>
      <c r="AI5967">
        <v>0</v>
      </c>
      <c r="AJ5967">
        <v>1</v>
      </c>
      <c r="AK5967">
        <v>0</v>
      </c>
      <c r="AL5967">
        <v>1</v>
      </c>
      <c r="AM5967">
        <v>0</v>
      </c>
    </row>
    <row r="5968" spans="1:39" x14ac:dyDescent="0.2">
      <c r="A5968" t="str">
        <f>"5964"</f>
        <v>5964</v>
      </c>
      <c r="B5968" t="str">
        <f t="shared" si="331"/>
        <v>1</v>
      </c>
      <c r="C5968" t="str">
        <f t="shared" si="332"/>
        <v>120</v>
      </c>
      <c r="D5968" t="str">
        <f>"17"</f>
        <v>17</v>
      </c>
      <c r="E5968" t="str">
        <f>"1-120-17"</f>
        <v>1-120-17</v>
      </c>
      <c r="F5968" t="s">
        <v>65</v>
      </c>
      <c r="G5968" t="s">
        <v>66</v>
      </c>
      <c r="H5968" t="s">
        <v>67</v>
      </c>
      <c r="S5968">
        <v>0</v>
      </c>
      <c r="T5968">
        <v>0</v>
      </c>
      <c r="U5968">
        <v>0</v>
      </c>
      <c r="V5968">
        <v>0</v>
      </c>
      <c r="W5968">
        <v>1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</row>
    <row r="5969" spans="1:39" x14ac:dyDescent="0.2">
      <c r="A5969" t="str">
        <f>"5965"</f>
        <v>5965</v>
      </c>
      <c r="B5969" t="str">
        <f t="shared" si="331"/>
        <v>1</v>
      </c>
      <c r="C5969" t="str">
        <f t="shared" si="332"/>
        <v>120</v>
      </c>
      <c r="D5969" t="str">
        <f>"1"</f>
        <v>1</v>
      </c>
      <c r="E5969" t="str">
        <f>"1-120-1"</f>
        <v>1-120-1</v>
      </c>
      <c r="F5969" t="s">
        <v>65</v>
      </c>
      <c r="G5969" t="s">
        <v>66</v>
      </c>
      <c r="H5969" t="s">
        <v>67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1</v>
      </c>
      <c r="AJ5969">
        <v>0</v>
      </c>
      <c r="AK5969">
        <v>0</v>
      </c>
      <c r="AL5969">
        <v>0</v>
      </c>
      <c r="AM5969">
        <v>0</v>
      </c>
    </row>
    <row r="5970" spans="1:39" x14ac:dyDescent="0.2">
      <c r="A5970" t="str">
        <f>"5966"</f>
        <v>5966</v>
      </c>
      <c r="B5970" t="str">
        <f t="shared" si="331"/>
        <v>1</v>
      </c>
      <c r="C5970" t="str">
        <f t="shared" si="332"/>
        <v>120</v>
      </c>
      <c r="D5970" t="str">
        <f>"46"</f>
        <v>46</v>
      </c>
      <c r="E5970" t="str">
        <f>"1-120-46"</f>
        <v>1-120-46</v>
      </c>
      <c r="F5970" t="s">
        <v>65</v>
      </c>
      <c r="G5970" t="s">
        <v>66</v>
      </c>
      <c r="H5970" t="s">
        <v>67</v>
      </c>
      <c r="S5970">
        <v>0</v>
      </c>
      <c r="T5970">
        <v>1</v>
      </c>
      <c r="U5970">
        <v>0</v>
      </c>
      <c r="V5970">
        <v>0</v>
      </c>
      <c r="W5970">
        <v>1</v>
      </c>
      <c r="X5970">
        <v>0</v>
      </c>
      <c r="Y5970">
        <v>0</v>
      </c>
      <c r="Z5970">
        <v>1</v>
      </c>
      <c r="AA5970">
        <v>0</v>
      </c>
      <c r="AB5970">
        <v>1</v>
      </c>
      <c r="AC5970">
        <v>0</v>
      </c>
      <c r="AD5970">
        <v>1</v>
      </c>
      <c r="AE5970">
        <v>1</v>
      </c>
      <c r="AF5970">
        <v>1</v>
      </c>
      <c r="AG5970">
        <v>1</v>
      </c>
      <c r="AH5970">
        <v>1</v>
      </c>
      <c r="AI5970">
        <v>1</v>
      </c>
      <c r="AJ5970">
        <v>1</v>
      </c>
      <c r="AK5970">
        <v>1</v>
      </c>
      <c r="AL5970">
        <v>1</v>
      </c>
      <c r="AM5970">
        <v>1</v>
      </c>
    </row>
    <row r="5971" spans="1:39" x14ac:dyDescent="0.2">
      <c r="A5971" t="str">
        <f>"5967"</f>
        <v>5967</v>
      </c>
      <c r="B5971" t="str">
        <f t="shared" si="331"/>
        <v>1</v>
      </c>
      <c r="C5971" t="str">
        <f t="shared" si="332"/>
        <v>120</v>
      </c>
      <c r="D5971" t="str">
        <f>"45"</f>
        <v>45</v>
      </c>
      <c r="E5971" t="str">
        <f>"1-120-45"</f>
        <v>1-120-45</v>
      </c>
      <c r="F5971" t="s">
        <v>65</v>
      </c>
      <c r="G5971" t="s">
        <v>66</v>
      </c>
      <c r="H5971" t="s">
        <v>67</v>
      </c>
      <c r="S5971">
        <v>1</v>
      </c>
      <c r="T5971">
        <v>0</v>
      </c>
      <c r="U5971">
        <v>0</v>
      </c>
      <c r="V5971">
        <v>0</v>
      </c>
      <c r="W5971">
        <v>1</v>
      </c>
      <c r="X5971">
        <v>0</v>
      </c>
      <c r="Y5971">
        <v>1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1</v>
      </c>
      <c r="AF5971">
        <v>1</v>
      </c>
      <c r="AG5971">
        <v>1</v>
      </c>
      <c r="AH5971">
        <v>1</v>
      </c>
      <c r="AI5971">
        <v>1</v>
      </c>
      <c r="AJ5971">
        <v>1</v>
      </c>
      <c r="AK5971">
        <v>1</v>
      </c>
      <c r="AL5971">
        <v>1</v>
      </c>
      <c r="AM5971">
        <v>1</v>
      </c>
    </row>
    <row r="5972" spans="1:39" x14ac:dyDescent="0.2">
      <c r="A5972" t="str">
        <f>"5968"</f>
        <v>5968</v>
      </c>
      <c r="B5972" t="str">
        <f t="shared" si="331"/>
        <v>1</v>
      </c>
      <c r="C5972" t="str">
        <f t="shared" si="332"/>
        <v>120</v>
      </c>
      <c r="D5972" t="str">
        <f>"32"</f>
        <v>32</v>
      </c>
      <c r="E5972" t="str">
        <f>"1-120-32"</f>
        <v>1-120-32</v>
      </c>
      <c r="F5972" t="s">
        <v>65</v>
      </c>
      <c r="G5972" t="s">
        <v>66</v>
      </c>
      <c r="H5972" t="s">
        <v>67</v>
      </c>
      <c r="S5972">
        <v>0</v>
      </c>
      <c r="T5972">
        <v>1</v>
      </c>
      <c r="U5972">
        <v>0</v>
      </c>
      <c r="V5972">
        <v>0</v>
      </c>
      <c r="W5972">
        <v>1</v>
      </c>
      <c r="X5972">
        <v>0</v>
      </c>
      <c r="Y5972">
        <v>0</v>
      </c>
      <c r="Z5972">
        <v>1</v>
      </c>
      <c r="AA5972">
        <v>1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</row>
    <row r="5973" spans="1:39" x14ac:dyDescent="0.2">
      <c r="A5973" t="str">
        <f>"5969"</f>
        <v>5969</v>
      </c>
      <c r="B5973" t="str">
        <f t="shared" si="331"/>
        <v>1</v>
      </c>
      <c r="C5973" t="str">
        <f t="shared" si="332"/>
        <v>120</v>
      </c>
      <c r="D5973" t="str">
        <f>"18"</f>
        <v>18</v>
      </c>
      <c r="E5973" t="str">
        <f>"1-120-18"</f>
        <v>1-120-18</v>
      </c>
      <c r="F5973" t="s">
        <v>65</v>
      </c>
      <c r="G5973" t="s">
        <v>66</v>
      </c>
      <c r="H5973" t="s">
        <v>67</v>
      </c>
      <c r="S5973">
        <v>0</v>
      </c>
      <c r="T5973">
        <v>1</v>
      </c>
      <c r="U5973">
        <v>0</v>
      </c>
      <c r="V5973">
        <v>0</v>
      </c>
      <c r="W5973">
        <v>1</v>
      </c>
      <c r="X5973">
        <v>0</v>
      </c>
      <c r="Y5973">
        <v>0</v>
      </c>
      <c r="Z5973">
        <v>1</v>
      </c>
      <c r="AA5973">
        <v>0</v>
      </c>
      <c r="AB5973">
        <v>0</v>
      </c>
      <c r="AC5973">
        <v>1</v>
      </c>
      <c r="AD5973">
        <v>1</v>
      </c>
      <c r="AE5973">
        <v>1</v>
      </c>
      <c r="AF5973">
        <v>1</v>
      </c>
      <c r="AG5973">
        <v>1</v>
      </c>
      <c r="AH5973">
        <v>1</v>
      </c>
      <c r="AI5973">
        <v>1</v>
      </c>
      <c r="AJ5973">
        <v>1</v>
      </c>
      <c r="AK5973">
        <v>1</v>
      </c>
      <c r="AL5973">
        <v>1</v>
      </c>
      <c r="AM5973">
        <v>1</v>
      </c>
    </row>
    <row r="5974" spans="1:39" x14ac:dyDescent="0.2">
      <c r="A5974" t="str">
        <f>"5970"</f>
        <v>5970</v>
      </c>
      <c r="B5974" t="str">
        <f t="shared" si="331"/>
        <v>1</v>
      </c>
      <c r="C5974" t="str">
        <f t="shared" si="332"/>
        <v>120</v>
      </c>
      <c r="D5974" t="str">
        <f>"10"</f>
        <v>10</v>
      </c>
      <c r="E5974" t="str">
        <f>"1-120-10"</f>
        <v>1-120-10</v>
      </c>
      <c r="F5974" t="s">
        <v>65</v>
      </c>
      <c r="G5974" t="s">
        <v>66</v>
      </c>
      <c r="H5974" t="s">
        <v>67</v>
      </c>
      <c r="S5974">
        <v>0</v>
      </c>
      <c r="T5974">
        <v>1</v>
      </c>
      <c r="U5974">
        <v>0</v>
      </c>
      <c r="V5974">
        <v>0</v>
      </c>
      <c r="W5974">
        <v>0</v>
      </c>
      <c r="X5974">
        <v>1</v>
      </c>
      <c r="Y5974">
        <v>1</v>
      </c>
      <c r="Z5974">
        <v>0</v>
      </c>
      <c r="AA5974">
        <v>0</v>
      </c>
      <c r="AB5974">
        <v>0</v>
      </c>
      <c r="AC5974">
        <v>1</v>
      </c>
      <c r="AD5974">
        <v>1</v>
      </c>
      <c r="AE5974">
        <v>1</v>
      </c>
      <c r="AF5974">
        <v>1</v>
      </c>
      <c r="AG5974">
        <v>0</v>
      </c>
      <c r="AH5974">
        <v>0</v>
      </c>
      <c r="AI5974">
        <v>0</v>
      </c>
      <c r="AJ5974">
        <v>1</v>
      </c>
      <c r="AK5974">
        <v>1</v>
      </c>
      <c r="AL5974">
        <v>1</v>
      </c>
      <c r="AM5974">
        <v>1</v>
      </c>
    </row>
    <row r="5975" spans="1:39" x14ac:dyDescent="0.2">
      <c r="A5975" t="str">
        <f>"5971"</f>
        <v>5971</v>
      </c>
      <c r="B5975" t="str">
        <f t="shared" si="331"/>
        <v>1</v>
      </c>
      <c r="C5975" t="str">
        <f t="shared" si="332"/>
        <v>120</v>
      </c>
      <c r="D5975" t="str">
        <f>"50"</f>
        <v>50</v>
      </c>
      <c r="E5975" t="str">
        <f>"1-120-50"</f>
        <v>1-120-50</v>
      </c>
      <c r="F5975" t="s">
        <v>65</v>
      </c>
      <c r="G5975" t="s">
        <v>66</v>
      </c>
      <c r="H5975" t="s">
        <v>67</v>
      </c>
      <c r="S5975">
        <v>0</v>
      </c>
      <c r="T5975">
        <v>1</v>
      </c>
      <c r="U5975">
        <v>0</v>
      </c>
      <c r="V5975">
        <v>0</v>
      </c>
      <c r="W5975">
        <v>1</v>
      </c>
      <c r="X5975">
        <v>0</v>
      </c>
      <c r="Y5975">
        <v>1</v>
      </c>
      <c r="Z5975">
        <v>0</v>
      </c>
      <c r="AA5975">
        <v>0</v>
      </c>
      <c r="AB5975">
        <v>0</v>
      </c>
      <c r="AC5975">
        <v>1</v>
      </c>
      <c r="AD5975">
        <v>1</v>
      </c>
      <c r="AE5975">
        <v>1</v>
      </c>
      <c r="AF5975">
        <v>1</v>
      </c>
      <c r="AG5975">
        <v>1</v>
      </c>
      <c r="AH5975">
        <v>1</v>
      </c>
      <c r="AI5975">
        <v>1</v>
      </c>
      <c r="AJ5975">
        <v>1</v>
      </c>
      <c r="AK5975">
        <v>1</v>
      </c>
      <c r="AL5975">
        <v>1</v>
      </c>
      <c r="AM5975">
        <v>1</v>
      </c>
    </row>
    <row r="5976" spans="1:39" x14ac:dyDescent="0.2">
      <c r="A5976" t="str">
        <f>"5972"</f>
        <v>5972</v>
      </c>
      <c r="B5976" t="str">
        <f t="shared" si="331"/>
        <v>1</v>
      </c>
      <c r="C5976" t="str">
        <f t="shared" si="332"/>
        <v>120</v>
      </c>
      <c r="D5976" t="str">
        <f>"33"</f>
        <v>33</v>
      </c>
      <c r="E5976" t="str">
        <f>"1-120-33"</f>
        <v>1-120-33</v>
      </c>
      <c r="F5976" t="s">
        <v>65</v>
      </c>
      <c r="G5976" t="s">
        <v>66</v>
      </c>
      <c r="H5976" t="s">
        <v>67</v>
      </c>
      <c r="S5976">
        <v>0</v>
      </c>
      <c r="T5976">
        <v>1</v>
      </c>
      <c r="U5976">
        <v>0</v>
      </c>
      <c r="V5976">
        <v>0</v>
      </c>
      <c r="W5976">
        <v>1</v>
      </c>
      <c r="X5976">
        <v>0</v>
      </c>
      <c r="Y5976">
        <v>1</v>
      </c>
      <c r="Z5976">
        <v>0</v>
      </c>
      <c r="AA5976">
        <v>1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</row>
    <row r="5977" spans="1:39" x14ac:dyDescent="0.2">
      <c r="A5977" t="str">
        <f>"5973"</f>
        <v>5973</v>
      </c>
      <c r="B5977" t="str">
        <f t="shared" si="331"/>
        <v>1</v>
      </c>
      <c r="C5977" t="str">
        <f t="shared" si="332"/>
        <v>120</v>
      </c>
      <c r="D5977" t="str">
        <f>"19"</f>
        <v>19</v>
      </c>
      <c r="E5977" t="str">
        <f>"1-120-19"</f>
        <v>1-120-19</v>
      </c>
      <c r="F5977" t="s">
        <v>65</v>
      </c>
      <c r="G5977" t="s">
        <v>66</v>
      </c>
      <c r="H5977" t="s">
        <v>67</v>
      </c>
      <c r="S5977">
        <v>1</v>
      </c>
      <c r="T5977">
        <v>0</v>
      </c>
      <c r="U5977">
        <v>0</v>
      </c>
      <c r="V5977">
        <v>0</v>
      </c>
      <c r="W5977">
        <v>1</v>
      </c>
      <c r="X5977">
        <v>0</v>
      </c>
      <c r="Y5977">
        <v>1</v>
      </c>
      <c r="Z5977">
        <v>0</v>
      </c>
      <c r="AA5977">
        <v>0</v>
      </c>
      <c r="AB5977">
        <v>0</v>
      </c>
      <c r="AC5977">
        <v>1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1</v>
      </c>
      <c r="AJ5977">
        <v>0</v>
      </c>
      <c r="AK5977">
        <v>0</v>
      </c>
      <c r="AL5977">
        <v>0</v>
      </c>
      <c r="AM5977">
        <v>0</v>
      </c>
    </row>
    <row r="5978" spans="1:39" x14ac:dyDescent="0.2">
      <c r="A5978" t="str">
        <f>"5974"</f>
        <v>5974</v>
      </c>
      <c r="B5978" t="str">
        <f t="shared" si="331"/>
        <v>1</v>
      </c>
      <c r="C5978" t="str">
        <f t="shared" si="332"/>
        <v>120</v>
      </c>
      <c r="D5978" t="str">
        <f>"2"</f>
        <v>2</v>
      </c>
      <c r="E5978" t="str">
        <f>"1-120-2"</f>
        <v>1-120-2</v>
      </c>
      <c r="F5978" t="s">
        <v>65</v>
      </c>
      <c r="G5978" t="s">
        <v>66</v>
      </c>
      <c r="H5978" t="s">
        <v>67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</row>
    <row r="5979" spans="1:39" x14ac:dyDescent="0.2">
      <c r="A5979" t="str">
        <f>"5975"</f>
        <v>5975</v>
      </c>
      <c r="B5979" t="str">
        <f t="shared" si="331"/>
        <v>1</v>
      </c>
      <c r="C5979" t="str">
        <f t="shared" si="332"/>
        <v>120</v>
      </c>
      <c r="D5979" t="str">
        <f>"34"</f>
        <v>34</v>
      </c>
      <c r="E5979" t="str">
        <f>"1-120-34"</f>
        <v>1-120-34</v>
      </c>
      <c r="F5979" t="s">
        <v>65</v>
      </c>
      <c r="G5979" t="s">
        <v>66</v>
      </c>
      <c r="H5979" t="s">
        <v>67</v>
      </c>
      <c r="S5979">
        <v>0</v>
      </c>
      <c r="T5979">
        <v>1</v>
      </c>
      <c r="U5979">
        <v>0</v>
      </c>
      <c r="V5979">
        <v>0</v>
      </c>
      <c r="W5979">
        <v>1</v>
      </c>
      <c r="X5979">
        <v>0</v>
      </c>
      <c r="Y5979">
        <v>0</v>
      </c>
      <c r="Z5979">
        <v>1</v>
      </c>
      <c r="AA5979">
        <v>0</v>
      </c>
      <c r="AB5979">
        <v>0</v>
      </c>
      <c r="AC5979">
        <v>1</v>
      </c>
      <c r="AD5979">
        <v>1</v>
      </c>
      <c r="AE5979">
        <v>1</v>
      </c>
      <c r="AF5979">
        <v>1</v>
      </c>
      <c r="AG5979">
        <v>1</v>
      </c>
      <c r="AH5979">
        <v>1</v>
      </c>
      <c r="AI5979">
        <v>1</v>
      </c>
      <c r="AJ5979">
        <v>1</v>
      </c>
      <c r="AK5979">
        <v>1</v>
      </c>
      <c r="AL5979">
        <v>1</v>
      </c>
      <c r="AM5979">
        <v>1</v>
      </c>
    </row>
    <row r="5980" spans="1:39" x14ac:dyDescent="0.2">
      <c r="A5980" t="str">
        <f>"5976"</f>
        <v>5976</v>
      </c>
      <c r="B5980" t="str">
        <f t="shared" si="331"/>
        <v>1</v>
      </c>
      <c r="C5980" t="str">
        <f t="shared" si="332"/>
        <v>120</v>
      </c>
      <c r="D5980" t="str">
        <f>"20"</f>
        <v>20</v>
      </c>
      <c r="E5980" t="str">
        <f>"1-120-20"</f>
        <v>1-120-20</v>
      </c>
      <c r="F5980" t="s">
        <v>65</v>
      </c>
      <c r="G5980" t="s">
        <v>66</v>
      </c>
      <c r="H5980" t="s">
        <v>67</v>
      </c>
      <c r="S5980">
        <v>0</v>
      </c>
      <c r="T5980">
        <v>1</v>
      </c>
      <c r="U5980">
        <v>0</v>
      </c>
      <c r="V5980">
        <v>0</v>
      </c>
      <c r="W5980">
        <v>1</v>
      </c>
      <c r="X5980">
        <v>0</v>
      </c>
      <c r="Y5980">
        <v>0</v>
      </c>
      <c r="Z5980">
        <v>1</v>
      </c>
      <c r="AA5980">
        <v>0</v>
      </c>
      <c r="AB5980">
        <v>0</v>
      </c>
      <c r="AC5980">
        <v>0</v>
      </c>
      <c r="AD5980">
        <v>1</v>
      </c>
      <c r="AE5980">
        <v>1</v>
      </c>
      <c r="AF5980">
        <v>1</v>
      </c>
      <c r="AG5980">
        <v>1</v>
      </c>
      <c r="AH5980">
        <v>1</v>
      </c>
      <c r="AI5980">
        <v>1</v>
      </c>
      <c r="AJ5980">
        <v>1</v>
      </c>
      <c r="AK5980">
        <v>1</v>
      </c>
      <c r="AL5980">
        <v>1</v>
      </c>
      <c r="AM5980">
        <v>1</v>
      </c>
    </row>
    <row r="5981" spans="1:39" x14ac:dyDescent="0.2">
      <c r="A5981" t="str">
        <f>"5977"</f>
        <v>5977</v>
      </c>
      <c r="B5981" t="str">
        <f t="shared" si="331"/>
        <v>1</v>
      </c>
      <c r="C5981" t="str">
        <f t="shared" si="332"/>
        <v>120</v>
      </c>
      <c r="D5981" t="str">
        <f>"9"</f>
        <v>9</v>
      </c>
      <c r="E5981" t="str">
        <f>"1-120-9"</f>
        <v>1-120-9</v>
      </c>
      <c r="F5981" t="s">
        <v>65</v>
      </c>
      <c r="G5981" t="s">
        <v>66</v>
      </c>
      <c r="H5981" t="s">
        <v>67</v>
      </c>
      <c r="S5981">
        <v>1</v>
      </c>
      <c r="T5981">
        <v>0</v>
      </c>
      <c r="U5981">
        <v>0</v>
      </c>
      <c r="V5981">
        <v>0</v>
      </c>
      <c r="W5981">
        <v>1</v>
      </c>
      <c r="X5981">
        <v>0</v>
      </c>
      <c r="Y5981">
        <v>0</v>
      </c>
      <c r="Z5981">
        <v>1</v>
      </c>
      <c r="AA5981">
        <v>0</v>
      </c>
      <c r="AB5981">
        <v>1</v>
      </c>
      <c r="AC5981">
        <v>0</v>
      </c>
      <c r="AD5981">
        <v>1</v>
      </c>
      <c r="AE5981">
        <v>1</v>
      </c>
      <c r="AF5981">
        <v>1</v>
      </c>
      <c r="AG5981">
        <v>1</v>
      </c>
      <c r="AH5981">
        <v>1</v>
      </c>
      <c r="AI5981">
        <v>1</v>
      </c>
      <c r="AJ5981">
        <v>1</v>
      </c>
      <c r="AK5981">
        <v>1</v>
      </c>
      <c r="AL5981">
        <v>1</v>
      </c>
      <c r="AM5981">
        <v>1</v>
      </c>
    </row>
    <row r="5982" spans="1:39" x14ac:dyDescent="0.2">
      <c r="A5982" t="str">
        <f>"5978"</f>
        <v>5978</v>
      </c>
      <c r="B5982" t="str">
        <f t="shared" si="331"/>
        <v>1</v>
      </c>
      <c r="C5982" t="str">
        <f t="shared" si="332"/>
        <v>120</v>
      </c>
      <c r="D5982" t="str">
        <f>"49"</f>
        <v>49</v>
      </c>
      <c r="E5982" t="str">
        <f>"1-120-49"</f>
        <v>1-120-49</v>
      </c>
      <c r="F5982" t="s">
        <v>65</v>
      </c>
      <c r="G5982" t="s">
        <v>66</v>
      </c>
      <c r="H5982" t="s">
        <v>67</v>
      </c>
      <c r="S5982">
        <v>1</v>
      </c>
      <c r="T5982">
        <v>0</v>
      </c>
      <c r="U5982">
        <v>0</v>
      </c>
      <c r="V5982">
        <v>0</v>
      </c>
      <c r="W5982">
        <v>1</v>
      </c>
      <c r="X5982">
        <v>0</v>
      </c>
      <c r="Y5982">
        <v>0</v>
      </c>
      <c r="Z5982">
        <v>1</v>
      </c>
      <c r="AA5982">
        <v>0</v>
      </c>
      <c r="AB5982">
        <v>0</v>
      </c>
      <c r="AC5982">
        <v>1</v>
      </c>
      <c r="AD5982">
        <v>1</v>
      </c>
      <c r="AE5982">
        <v>1</v>
      </c>
      <c r="AF5982">
        <v>1</v>
      </c>
      <c r="AG5982">
        <v>1</v>
      </c>
      <c r="AH5982">
        <v>1</v>
      </c>
      <c r="AI5982">
        <v>1</v>
      </c>
      <c r="AJ5982">
        <v>1</v>
      </c>
      <c r="AK5982">
        <v>1</v>
      </c>
      <c r="AL5982">
        <v>1</v>
      </c>
      <c r="AM5982">
        <v>1</v>
      </c>
    </row>
    <row r="5983" spans="1:39" x14ac:dyDescent="0.2">
      <c r="A5983" t="str">
        <f>"5979"</f>
        <v>5979</v>
      </c>
      <c r="B5983" t="str">
        <f t="shared" si="331"/>
        <v>1</v>
      </c>
      <c r="C5983" t="str">
        <f t="shared" si="332"/>
        <v>120</v>
      </c>
      <c r="D5983" t="str">
        <f>"21"</f>
        <v>21</v>
      </c>
      <c r="E5983" t="str">
        <f>"1-120-21"</f>
        <v>1-120-21</v>
      </c>
      <c r="F5983" t="s">
        <v>65</v>
      </c>
      <c r="G5983" t="s">
        <v>66</v>
      </c>
      <c r="H5983" t="s">
        <v>67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1</v>
      </c>
      <c r="Y5983">
        <v>1</v>
      </c>
      <c r="Z5983">
        <v>0</v>
      </c>
      <c r="AA5983">
        <v>0</v>
      </c>
      <c r="AB5983">
        <v>1</v>
      </c>
      <c r="AC5983">
        <v>0</v>
      </c>
      <c r="AD5983">
        <v>1</v>
      </c>
      <c r="AE5983">
        <v>1</v>
      </c>
      <c r="AF5983">
        <v>1</v>
      </c>
      <c r="AG5983">
        <v>1</v>
      </c>
      <c r="AH5983">
        <v>1</v>
      </c>
      <c r="AI5983">
        <v>1</v>
      </c>
      <c r="AJ5983">
        <v>1</v>
      </c>
      <c r="AK5983">
        <v>1</v>
      </c>
      <c r="AL5983">
        <v>1</v>
      </c>
      <c r="AM5983">
        <v>1</v>
      </c>
    </row>
    <row r="5984" spans="1:39" x14ac:dyDescent="0.2">
      <c r="A5984" t="str">
        <f>"5980"</f>
        <v>5980</v>
      </c>
      <c r="B5984" t="str">
        <f t="shared" si="331"/>
        <v>1</v>
      </c>
      <c r="C5984" t="str">
        <f t="shared" si="332"/>
        <v>120</v>
      </c>
      <c r="D5984" t="str">
        <f>"3"</f>
        <v>3</v>
      </c>
      <c r="E5984" t="str">
        <f>"1-120-3"</f>
        <v>1-120-3</v>
      </c>
      <c r="F5984" t="s">
        <v>65</v>
      </c>
      <c r="G5984" t="s">
        <v>66</v>
      </c>
      <c r="H5984" t="s">
        <v>67</v>
      </c>
      <c r="S5984">
        <v>1</v>
      </c>
      <c r="T5984">
        <v>0</v>
      </c>
      <c r="U5984">
        <v>0</v>
      </c>
      <c r="V5984">
        <v>0</v>
      </c>
      <c r="W5984">
        <v>1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1</v>
      </c>
      <c r="AK5984">
        <v>0</v>
      </c>
      <c r="AL5984">
        <v>0</v>
      </c>
      <c r="AM5984">
        <v>0</v>
      </c>
    </row>
    <row r="5985" spans="1:39" x14ac:dyDescent="0.2">
      <c r="A5985" t="str">
        <f>"5981"</f>
        <v>5981</v>
      </c>
      <c r="B5985" t="str">
        <f t="shared" si="331"/>
        <v>1</v>
      </c>
      <c r="C5985" t="str">
        <f t="shared" si="332"/>
        <v>120</v>
      </c>
      <c r="D5985" t="str">
        <f>"42"</f>
        <v>42</v>
      </c>
      <c r="E5985" t="str">
        <f>"1-120-42"</f>
        <v>1-120-42</v>
      </c>
      <c r="F5985" t="s">
        <v>65</v>
      </c>
      <c r="G5985" t="s">
        <v>66</v>
      </c>
      <c r="H5985" t="s">
        <v>67</v>
      </c>
      <c r="S5985">
        <v>1</v>
      </c>
      <c r="T5985">
        <v>0</v>
      </c>
      <c r="U5985">
        <v>0</v>
      </c>
      <c r="V5985">
        <v>0</v>
      </c>
      <c r="W5985">
        <v>1</v>
      </c>
      <c r="X5985">
        <v>0</v>
      </c>
      <c r="Y5985">
        <v>1</v>
      </c>
      <c r="Z5985">
        <v>0</v>
      </c>
      <c r="AA5985">
        <v>0</v>
      </c>
      <c r="AB5985">
        <v>1</v>
      </c>
      <c r="AC5985">
        <v>0</v>
      </c>
      <c r="AD5985">
        <v>1</v>
      </c>
      <c r="AE5985">
        <v>1</v>
      </c>
      <c r="AF5985">
        <v>1</v>
      </c>
      <c r="AG5985">
        <v>1</v>
      </c>
      <c r="AH5985">
        <v>1</v>
      </c>
      <c r="AI5985">
        <v>1</v>
      </c>
      <c r="AJ5985">
        <v>1</v>
      </c>
      <c r="AK5985">
        <v>1</v>
      </c>
      <c r="AL5985">
        <v>1</v>
      </c>
      <c r="AM5985">
        <v>1</v>
      </c>
    </row>
    <row r="5986" spans="1:39" x14ac:dyDescent="0.2">
      <c r="A5986" t="str">
        <f>"5982"</f>
        <v>5982</v>
      </c>
      <c r="B5986" t="str">
        <f t="shared" si="331"/>
        <v>1</v>
      </c>
      <c r="C5986" t="str">
        <f t="shared" si="332"/>
        <v>120</v>
      </c>
      <c r="D5986" t="str">
        <f>"22"</f>
        <v>22</v>
      </c>
      <c r="E5986" t="str">
        <f>"1-120-22"</f>
        <v>1-120-22</v>
      </c>
      <c r="F5986" t="s">
        <v>65</v>
      </c>
      <c r="G5986" t="s">
        <v>66</v>
      </c>
      <c r="H5986" t="s">
        <v>67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1</v>
      </c>
      <c r="AH5986">
        <v>1</v>
      </c>
      <c r="AI5986">
        <v>1</v>
      </c>
      <c r="AJ5986">
        <v>1</v>
      </c>
      <c r="AK5986">
        <v>1</v>
      </c>
      <c r="AL5986">
        <v>1</v>
      </c>
      <c r="AM5986">
        <v>1</v>
      </c>
    </row>
    <row r="5987" spans="1:39" x14ac:dyDescent="0.2">
      <c r="A5987" t="str">
        <f>"5983"</f>
        <v>5983</v>
      </c>
      <c r="B5987" t="str">
        <f t="shared" si="331"/>
        <v>1</v>
      </c>
      <c r="C5987" t="str">
        <f t="shared" ref="C5987:C6004" si="333">"120"</f>
        <v>120</v>
      </c>
      <c r="D5987" t="str">
        <f>"13"</f>
        <v>13</v>
      </c>
      <c r="E5987" t="str">
        <f>"1-120-13"</f>
        <v>1-120-13</v>
      </c>
      <c r="F5987" t="s">
        <v>65</v>
      </c>
      <c r="G5987" t="s">
        <v>66</v>
      </c>
      <c r="H5987" t="s">
        <v>67</v>
      </c>
      <c r="S5987">
        <v>1</v>
      </c>
      <c r="T5987">
        <v>0</v>
      </c>
      <c r="U5987">
        <v>0</v>
      </c>
      <c r="V5987">
        <v>0</v>
      </c>
      <c r="W5987">
        <v>1</v>
      </c>
      <c r="X5987">
        <v>0</v>
      </c>
      <c r="Y5987">
        <v>1</v>
      </c>
      <c r="Z5987">
        <v>0</v>
      </c>
      <c r="AA5987">
        <v>0</v>
      </c>
      <c r="AB5987">
        <v>0</v>
      </c>
      <c r="AC5987">
        <v>1</v>
      </c>
      <c r="AD5987">
        <v>1</v>
      </c>
      <c r="AE5987">
        <v>1</v>
      </c>
      <c r="AF5987">
        <v>1</v>
      </c>
      <c r="AG5987">
        <v>1</v>
      </c>
      <c r="AH5987">
        <v>1</v>
      </c>
      <c r="AI5987">
        <v>1</v>
      </c>
      <c r="AJ5987">
        <v>1</v>
      </c>
      <c r="AK5987">
        <v>1</v>
      </c>
      <c r="AL5987">
        <v>1</v>
      </c>
      <c r="AM5987">
        <v>1</v>
      </c>
    </row>
    <row r="5988" spans="1:39" x14ac:dyDescent="0.2">
      <c r="A5988" t="str">
        <f>"5984"</f>
        <v>5984</v>
      </c>
      <c r="B5988" t="str">
        <f t="shared" si="331"/>
        <v>1</v>
      </c>
      <c r="C5988" t="str">
        <f t="shared" si="333"/>
        <v>120</v>
      </c>
      <c r="D5988" t="str">
        <f>"41"</f>
        <v>41</v>
      </c>
      <c r="E5988" t="str">
        <f>"1-120-41"</f>
        <v>1-120-41</v>
      </c>
      <c r="F5988" t="s">
        <v>65</v>
      </c>
      <c r="G5988" t="s">
        <v>66</v>
      </c>
      <c r="H5988" t="s">
        <v>67</v>
      </c>
      <c r="S5988">
        <v>1</v>
      </c>
      <c r="T5988">
        <v>0</v>
      </c>
      <c r="U5988">
        <v>0</v>
      </c>
      <c r="V5988">
        <v>0</v>
      </c>
      <c r="W5988">
        <v>1</v>
      </c>
      <c r="X5988">
        <v>0</v>
      </c>
      <c r="Y5988">
        <v>0</v>
      </c>
      <c r="Z5988">
        <v>1</v>
      </c>
      <c r="AA5988">
        <v>1</v>
      </c>
      <c r="AB5988">
        <v>0</v>
      </c>
      <c r="AC5988">
        <v>0</v>
      </c>
      <c r="AD5988">
        <v>1</v>
      </c>
      <c r="AE5988">
        <v>1</v>
      </c>
      <c r="AF5988">
        <v>1</v>
      </c>
      <c r="AG5988">
        <v>1</v>
      </c>
      <c r="AH5988">
        <v>1</v>
      </c>
      <c r="AI5988">
        <v>1</v>
      </c>
      <c r="AJ5988">
        <v>1</v>
      </c>
      <c r="AK5988">
        <v>1</v>
      </c>
      <c r="AL5988">
        <v>1</v>
      </c>
      <c r="AM5988">
        <v>1</v>
      </c>
    </row>
    <row r="5989" spans="1:39" x14ac:dyDescent="0.2">
      <c r="A5989" t="str">
        <f>"5985"</f>
        <v>5985</v>
      </c>
      <c r="B5989" t="str">
        <f t="shared" si="331"/>
        <v>1</v>
      </c>
      <c r="C5989" t="str">
        <f t="shared" si="333"/>
        <v>120</v>
      </c>
      <c r="D5989" t="str">
        <f>"23"</f>
        <v>23</v>
      </c>
      <c r="E5989" t="str">
        <f>"1-120-23"</f>
        <v>1-120-23</v>
      </c>
      <c r="F5989" t="s">
        <v>65</v>
      </c>
      <c r="G5989" t="s">
        <v>66</v>
      </c>
      <c r="H5989" t="s">
        <v>67</v>
      </c>
      <c r="S5989">
        <v>1</v>
      </c>
      <c r="T5989">
        <v>0</v>
      </c>
      <c r="U5989">
        <v>0</v>
      </c>
      <c r="V5989">
        <v>0</v>
      </c>
      <c r="W5989">
        <v>1</v>
      </c>
      <c r="X5989">
        <v>0</v>
      </c>
      <c r="Y5989">
        <v>1</v>
      </c>
      <c r="Z5989">
        <v>0</v>
      </c>
      <c r="AA5989">
        <v>0</v>
      </c>
      <c r="AB5989">
        <v>1</v>
      </c>
      <c r="AC5989">
        <v>0</v>
      </c>
      <c r="AD5989">
        <v>1</v>
      </c>
      <c r="AE5989">
        <v>1</v>
      </c>
      <c r="AF5989">
        <v>1</v>
      </c>
      <c r="AG5989">
        <v>1</v>
      </c>
      <c r="AH5989">
        <v>1</v>
      </c>
      <c r="AI5989">
        <v>1</v>
      </c>
      <c r="AJ5989">
        <v>1</v>
      </c>
      <c r="AK5989">
        <v>1</v>
      </c>
      <c r="AL5989">
        <v>1</v>
      </c>
      <c r="AM5989">
        <v>1</v>
      </c>
    </row>
    <row r="5990" spans="1:39" x14ac:dyDescent="0.2">
      <c r="A5990" t="str">
        <f>"5986"</f>
        <v>5986</v>
      </c>
      <c r="B5990" t="str">
        <f t="shared" si="331"/>
        <v>1</v>
      </c>
      <c r="C5990" t="str">
        <f t="shared" si="333"/>
        <v>120</v>
      </c>
      <c r="D5990" t="str">
        <f>"7"</f>
        <v>7</v>
      </c>
      <c r="E5990" t="str">
        <f>"1-120-7"</f>
        <v>1-120-7</v>
      </c>
      <c r="F5990" t="s">
        <v>65</v>
      </c>
      <c r="G5990" t="s">
        <v>66</v>
      </c>
      <c r="H5990" t="s">
        <v>67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1</v>
      </c>
      <c r="Y5990">
        <v>0</v>
      </c>
      <c r="Z5990">
        <v>1</v>
      </c>
      <c r="AA5990">
        <v>0</v>
      </c>
      <c r="AB5990">
        <v>0</v>
      </c>
      <c r="AC5990">
        <v>1</v>
      </c>
      <c r="AD5990">
        <v>1</v>
      </c>
      <c r="AE5990">
        <v>1</v>
      </c>
      <c r="AF5990">
        <v>0</v>
      </c>
      <c r="AG5990">
        <v>1</v>
      </c>
      <c r="AH5990">
        <v>1</v>
      </c>
      <c r="AI5990">
        <v>1</v>
      </c>
      <c r="AJ5990">
        <v>1</v>
      </c>
      <c r="AK5990">
        <v>1</v>
      </c>
      <c r="AL5990">
        <v>1</v>
      </c>
      <c r="AM5990">
        <v>1</v>
      </c>
    </row>
    <row r="5991" spans="1:39" x14ac:dyDescent="0.2">
      <c r="A5991" t="str">
        <f>"5987"</f>
        <v>5987</v>
      </c>
      <c r="B5991" t="str">
        <f t="shared" si="331"/>
        <v>1</v>
      </c>
      <c r="C5991" t="str">
        <f t="shared" si="333"/>
        <v>120</v>
      </c>
      <c r="D5991" t="str">
        <f>"43"</f>
        <v>43</v>
      </c>
      <c r="E5991" t="str">
        <f>"1-120-43"</f>
        <v>1-120-43</v>
      </c>
      <c r="F5991" t="s">
        <v>65</v>
      </c>
      <c r="G5991" t="s">
        <v>66</v>
      </c>
      <c r="H5991" t="s">
        <v>67</v>
      </c>
      <c r="S5991">
        <v>1</v>
      </c>
      <c r="T5991">
        <v>0</v>
      </c>
      <c r="U5991">
        <v>0</v>
      </c>
      <c r="V5991">
        <v>0</v>
      </c>
      <c r="W5991">
        <v>0</v>
      </c>
      <c r="X5991">
        <v>1</v>
      </c>
      <c r="Y5991">
        <v>0</v>
      </c>
      <c r="Z5991">
        <v>1</v>
      </c>
      <c r="AA5991">
        <v>0</v>
      </c>
      <c r="AB5991">
        <v>0</v>
      </c>
      <c r="AC5991">
        <v>1</v>
      </c>
      <c r="AD5991">
        <v>1</v>
      </c>
      <c r="AE5991">
        <v>1</v>
      </c>
      <c r="AF5991">
        <v>1</v>
      </c>
      <c r="AG5991">
        <v>1</v>
      </c>
      <c r="AH5991">
        <v>1</v>
      </c>
      <c r="AI5991">
        <v>1</v>
      </c>
      <c r="AJ5991">
        <v>1</v>
      </c>
      <c r="AK5991">
        <v>1</v>
      </c>
      <c r="AL5991">
        <v>1</v>
      </c>
      <c r="AM5991">
        <v>1</v>
      </c>
    </row>
    <row r="5992" spans="1:39" x14ac:dyDescent="0.2">
      <c r="A5992" t="str">
        <f>"5988"</f>
        <v>5988</v>
      </c>
      <c r="B5992" t="str">
        <f t="shared" si="331"/>
        <v>1</v>
      </c>
      <c r="C5992" t="str">
        <f t="shared" si="333"/>
        <v>120</v>
      </c>
      <c r="D5992" t="str">
        <f>"24"</f>
        <v>24</v>
      </c>
      <c r="E5992" t="str">
        <f>"1-120-24"</f>
        <v>1-120-24</v>
      </c>
      <c r="F5992" t="s">
        <v>65</v>
      </c>
      <c r="G5992" t="s">
        <v>66</v>
      </c>
      <c r="H5992" t="s">
        <v>67</v>
      </c>
      <c r="S5992">
        <v>1</v>
      </c>
      <c r="T5992">
        <v>0</v>
      </c>
      <c r="U5992">
        <v>0</v>
      </c>
      <c r="V5992">
        <v>0</v>
      </c>
      <c r="W5992">
        <v>1</v>
      </c>
      <c r="X5992">
        <v>0</v>
      </c>
      <c r="Y5992">
        <v>0</v>
      </c>
      <c r="Z5992">
        <v>1</v>
      </c>
      <c r="AA5992">
        <v>1</v>
      </c>
      <c r="AB5992">
        <v>0</v>
      </c>
      <c r="AC5992">
        <v>0</v>
      </c>
      <c r="AD5992">
        <v>1</v>
      </c>
      <c r="AE5992">
        <v>1</v>
      </c>
      <c r="AF5992">
        <v>1</v>
      </c>
      <c r="AG5992">
        <v>1</v>
      </c>
      <c r="AH5992">
        <v>1</v>
      </c>
      <c r="AI5992">
        <v>1</v>
      </c>
      <c r="AJ5992">
        <v>1</v>
      </c>
      <c r="AK5992">
        <v>1</v>
      </c>
      <c r="AL5992">
        <v>1</v>
      </c>
      <c r="AM5992">
        <v>1</v>
      </c>
    </row>
    <row r="5993" spans="1:39" x14ac:dyDescent="0.2">
      <c r="A5993" t="str">
        <f>"5989"</f>
        <v>5989</v>
      </c>
      <c r="B5993" t="str">
        <f t="shared" si="331"/>
        <v>1</v>
      </c>
      <c r="C5993" t="str">
        <f t="shared" si="333"/>
        <v>120</v>
      </c>
      <c r="D5993" t="str">
        <f>"14"</f>
        <v>14</v>
      </c>
      <c r="E5993" t="str">
        <f>"1-120-14"</f>
        <v>1-120-14</v>
      </c>
      <c r="F5993" t="s">
        <v>65</v>
      </c>
      <c r="G5993" t="s">
        <v>66</v>
      </c>
      <c r="H5993" t="s">
        <v>67</v>
      </c>
      <c r="S5993">
        <v>1</v>
      </c>
      <c r="T5993">
        <v>0</v>
      </c>
      <c r="U5993">
        <v>0</v>
      </c>
      <c r="V5993">
        <v>0</v>
      </c>
      <c r="W5993">
        <v>1</v>
      </c>
      <c r="X5993">
        <v>0</v>
      </c>
      <c r="Y5993">
        <v>0</v>
      </c>
      <c r="Z5993">
        <v>1</v>
      </c>
      <c r="AA5993">
        <v>0</v>
      </c>
      <c r="AB5993">
        <v>0</v>
      </c>
      <c r="AC5993">
        <v>1</v>
      </c>
      <c r="AD5993">
        <v>1</v>
      </c>
      <c r="AE5993">
        <v>1</v>
      </c>
      <c r="AF5993">
        <v>1</v>
      </c>
      <c r="AG5993">
        <v>1</v>
      </c>
      <c r="AH5993">
        <v>1</v>
      </c>
      <c r="AI5993">
        <v>1</v>
      </c>
      <c r="AJ5993">
        <v>1</v>
      </c>
      <c r="AK5993">
        <v>1</v>
      </c>
      <c r="AL5993">
        <v>1</v>
      </c>
      <c r="AM5993">
        <v>1</v>
      </c>
    </row>
    <row r="5994" spans="1:39" x14ac:dyDescent="0.2">
      <c r="A5994" t="str">
        <f>"5990"</f>
        <v>5990</v>
      </c>
      <c r="B5994" t="str">
        <f t="shared" si="331"/>
        <v>1</v>
      </c>
      <c r="C5994" t="str">
        <f t="shared" si="333"/>
        <v>120</v>
      </c>
      <c r="D5994" t="str">
        <f>"26"</f>
        <v>26</v>
      </c>
      <c r="E5994" t="str">
        <f>"1-120-26"</f>
        <v>1-120-26</v>
      </c>
      <c r="F5994" t="s">
        <v>65</v>
      </c>
      <c r="G5994" t="s">
        <v>66</v>
      </c>
      <c r="H5994" t="s">
        <v>67</v>
      </c>
      <c r="S5994">
        <v>1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1</v>
      </c>
      <c r="Z5994">
        <v>0</v>
      </c>
      <c r="AA5994">
        <v>0</v>
      </c>
      <c r="AB5994">
        <v>1</v>
      </c>
      <c r="AC5994">
        <v>0</v>
      </c>
      <c r="AD5994">
        <v>1</v>
      </c>
      <c r="AE5994">
        <v>1</v>
      </c>
      <c r="AF5994">
        <v>1</v>
      </c>
      <c r="AG5994">
        <v>1</v>
      </c>
      <c r="AH5994">
        <v>1</v>
      </c>
      <c r="AI5994">
        <v>1</v>
      </c>
      <c r="AJ5994">
        <v>1</v>
      </c>
      <c r="AK5994">
        <v>1</v>
      </c>
      <c r="AL5994">
        <v>1</v>
      </c>
      <c r="AM5994">
        <v>1</v>
      </c>
    </row>
    <row r="5995" spans="1:39" x14ac:dyDescent="0.2">
      <c r="A5995" t="str">
        <f>"5991"</f>
        <v>5991</v>
      </c>
      <c r="B5995" t="str">
        <f t="shared" si="331"/>
        <v>1</v>
      </c>
      <c r="C5995" t="str">
        <f t="shared" si="333"/>
        <v>120</v>
      </c>
      <c r="D5995" t="str">
        <f>"12"</f>
        <v>12</v>
      </c>
      <c r="E5995" t="str">
        <f>"1-120-12"</f>
        <v>1-120-12</v>
      </c>
      <c r="F5995" t="s">
        <v>65</v>
      </c>
      <c r="G5995" t="s">
        <v>66</v>
      </c>
      <c r="H5995" t="s">
        <v>67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1</v>
      </c>
      <c r="AH5995">
        <v>0</v>
      </c>
      <c r="AI5995">
        <v>0</v>
      </c>
      <c r="AJ5995">
        <v>0</v>
      </c>
      <c r="AK5995">
        <v>0</v>
      </c>
      <c r="AL5995">
        <v>1</v>
      </c>
      <c r="AM5995">
        <v>0</v>
      </c>
    </row>
    <row r="5996" spans="1:39" x14ac:dyDescent="0.2">
      <c r="A5996" t="str">
        <f>"5992"</f>
        <v>5992</v>
      </c>
      <c r="B5996" t="str">
        <f t="shared" si="331"/>
        <v>1</v>
      </c>
      <c r="C5996" t="str">
        <f t="shared" si="333"/>
        <v>120</v>
      </c>
      <c r="D5996" t="str">
        <f>"44"</f>
        <v>44</v>
      </c>
      <c r="E5996" t="str">
        <f>"1-120-44"</f>
        <v>1-120-44</v>
      </c>
      <c r="F5996" t="s">
        <v>65</v>
      </c>
      <c r="G5996" t="s">
        <v>66</v>
      </c>
      <c r="H5996" t="s">
        <v>67</v>
      </c>
      <c r="S5996">
        <v>1</v>
      </c>
      <c r="T5996">
        <v>0</v>
      </c>
      <c r="U5996">
        <v>0</v>
      </c>
      <c r="V5996">
        <v>0</v>
      </c>
      <c r="W5996">
        <v>0</v>
      </c>
      <c r="X5996">
        <v>1</v>
      </c>
      <c r="Y5996">
        <v>0</v>
      </c>
      <c r="Z5996">
        <v>1</v>
      </c>
      <c r="AA5996">
        <v>0</v>
      </c>
      <c r="AB5996">
        <v>0</v>
      </c>
      <c r="AC5996">
        <v>1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</row>
    <row r="5997" spans="1:39" x14ac:dyDescent="0.2">
      <c r="A5997" t="str">
        <f>"5993"</f>
        <v>5993</v>
      </c>
      <c r="B5997" t="str">
        <f t="shared" si="331"/>
        <v>1</v>
      </c>
      <c r="C5997" t="str">
        <f t="shared" si="333"/>
        <v>120</v>
      </c>
      <c r="D5997" t="str">
        <f>"27"</f>
        <v>27</v>
      </c>
      <c r="E5997" t="str">
        <f>"1-120-27"</f>
        <v>1-120-27</v>
      </c>
      <c r="F5997" t="s">
        <v>65</v>
      </c>
      <c r="G5997" t="s">
        <v>66</v>
      </c>
      <c r="H5997" t="s">
        <v>67</v>
      </c>
      <c r="S5997">
        <v>0</v>
      </c>
      <c r="T5997">
        <v>1</v>
      </c>
      <c r="U5997">
        <v>0</v>
      </c>
      <c r="V5997">
        <v>0</v>
      </c>
      <c r="W5997">
        <v>1</v>
      </c>
      <c r="X5997">
        <v>0</v>
      </c>
      <c r="Y5997">
        <v>0</v>
      </c>
      <c r="Z5997">
        <v>1</v>
      </c>
      <c r="AA5997">
        <v>0</v>
      </c>
      <c r="AB5997">
        <v>1</v>
      </c>
      <c r="AC5997">
        <v>0</v>
      </c>
      <c r="AD5997">
        <v>1</v>
      </c>
      <c r="AE5997">
        <v>1</v>
      </c>
      <c r="AF5997">
        <v>1</v>
      </c>
      <c r="AG5997">
        <v>1</v>
      </c>
      <c r="AH5997">
        <v>1</v>
      </c>
      <c r="AI5997">
        <v>1</v>
      </c>
      <c r="AJ5997">
        <v>1</v>
      </c>
      <c r="AK5997">
        <v>1</v>
      </c>
      <c r="AL5997">
        <v>1</v>
      </c>
      <c r="AM5997">
        <v>1</v>
      </c>
    </row>
    <row r="5998" spans="1:39" x14ac:dyDescent="0.2">
      <c r="A5998" t="str">
        <f>"5994"</f>
        <v>5994</v>
      </c>
      <c r="B5998" t="str">
        <f t="shared" si="331"/>
        <v>1</v>
      </c>
      <c r="C5998" t="str">
        <f t="shared" si="333"/>
        <v>120</v>
      </c>
      <c r="D5998" t="str">
        <f>"8"</f>
        <v>8</v>
      </c>
      <c r="E5998" t="str">
        <f>"1-120-8"</f>
        <v>1-120-8</v>
      </c>
      <c r="F5998" t="s">
        <v>65</v>
      </c>
      <c r="G5998" t="s">
        <v>66</v>
      </c>
      <c r="H5998" t="s">
        <v>67</v>
      </c>
      <c r="S5998">
        <v>1</v>
      </c>
      <c r="T5998">
        <v>0</v>
      </c>
      <c r="U5998">
        <v>0</v>
      </c>
      <c r="V5998">
        <v>0</v>
      </c>
      <c r="W5998">
        <v>1</v>
      </c>
      <c r="X5998">
        <v>0</v>
      </c>
      <c r="Y5998">
        <v>1</v>
      </c>
      <c r="Z5998">
        <v>0</v>
      </c>
      <c r="AA5998">
        <v>0</v>
      </c>
      <c r="AB5998">
        <v>1</v>
      </c>
      <c r="AC5998">
        <v>0</v>
      </c>
      <c r="AD5998">
        <v>1</v>
      </c>
      <c r="AE5998">
        <v>1</v>
      </c>
      <c r="AF5998">
        <v>1</v>
      </c>
      <c r="AG5998">
        <v>1</v>
      </c>
      <c r="AH5998">
        <v>1</v>
      </c>
      <c r="AI5998">
        <v>1</v>
      </c>
      <c r="AJ5998">
        <v>1</v>
      </c>
      <c r="AK5998">
        <v>1</v>
      </c>
      <c r="AL5998">
        <v>1</v>
      </c>
      <c r="AM5998">
        <v>1</v>
      </c>
    </row>
    <row r="5999" spans="1:39" x14ac:dyDescent="0.2">
      <c r="A5999" t="str">
        <f>"5995"</f>
        <v>5995</v>
      </c>
      <c r="B5999" t="str">
        <f t="shared" si="331"/>
        <v>1</v>
      </c>
      <c r="C5999" t="str">
        <f t="shared" si="333"/>
        <v>120</v>
      </c>
      <c r="D5999" t="str">
        <f>"47"</f>
        <v>47</v>
      </c>
      <c r="E5999" t="str">
        <f>"1-120-47"</f>
        <v>1-120-47</v>
      </c>
      <c r="F5999" t="s">
        <v>65</v>
      </c>
      <c r="G5999" t="s">
        <v>66</v>
      </c>
      <c r="H5999" t="s">
        <v>67</v>
      </c>
      <c r="S5999">
        <v>0</v>
      </c>
      <c r="T5999">
        <v>1</v>
      </c>
      <c r="U5999">
        <v>0</v>
      </c>
      <c r="V5999">
        <v>0</v>
      </c>
      <c r="W5999">
        <v>1</v>
      </c>
      <c r="X5999">
        <v>0</v>
      </c>
      <c r="Y5999">
        <v>1</v>
      </c>
      <c r="Z5999">
        <v>0</v>
      </c>
      <c r="AA5999">
        <v>0</v>
      </c>
      <c r="AB5999">
        <v>1</v>
      </c>
      <c r="AC5999">
        <v>0</v>
      </c>
      <c r="AD5999">
        <v>1</v>
      </c>
      <c r="AE5999">
        <v>1</v>
      </c>
      <c r="AF5999">
        <v>1</v>
      </c>
      <c r="AG5999">
        <v>1</v>
      </c>
      <c r="AH5999">
        <v>1</v>
      </c>
      <c r="AI5999">
        <v>1</v>
      </c>
      <c r="AJ5999">
        <v>1</v>
      </c>
      <c r="AK5999">
        <v>1</v>
      </c>
      <c r="AL5999">
        <v>1</v>
      </c>
      <c r="AM5999">
        <v>1</v>
      </c>
    </row>
    <row r="6000" spans="1:39" x14ac:dyDescent="0.2">
      <c r="A6000" t="str">
        <f>"5996"</f>
        <v>5996</v>
      </c>
      <c r="B6000" t="str">
        <f t="shared" si="331"/>
        <v>1</v>
      </c>
      <c r="C6000" t="str">
        <f t="shared" si="333"/>
        <v>120</v>
      </c>
      <c r="D6000" t="str">
        <f>"29"</f>
        <v>29</v>
      </c>
      <c r="E6000" t="str">
        <f>"1-120-29"</f>
        <v>1-120-29</v>
      </c>
      <c r="F6000" t="s">
        <v>65</v>
      </c>
      <c r="G6000" t="s">
        <v>66</v>
      </c>
      <c r="H6000" t="s">
        <v>67</v>
      </c>
      <c r="S6000">
        <v>1</v>
      </c>
      <c r="T6000">
        <v>0</v>
      </c>
      <c r="U6000">
        <v>0</v>
      </c>
      <c r="V6000">
        <v>0</v>
      </c>
      <c r="W6000">
        <v>1</v>
      </c>
      <c r="X6000">
        <v>0</v>
      </c>
      <c r="Y6000">
        <v>0</v>
      </c>
      <c r="Z6000">
        <v>1</v>
      </c>
      <c r="AA6000">
        <v>0</v>
      </c>
      <c r="AB6000">
        <v>1</v>
      </c>
      <c r="AC6000">
        <v>0</v>
      </c>
      <c r="AD6000">
        <v>1</v>
      </c>
      <c r="AE6000">
        <v>1</v>
      </c>
      <c r="AF6000">
        <v>1</v>
      </c>
      <c r="AG6000">
        <v>1</v>
      </c>
      <c r="AH6000">
        <v>1</v>
      </c>
      <c r="AI6000">
        <v>1</v>
      </c>
      <c r="AJ6000">
        <v>1</v>
      </c>
      <c r="AK6000">
        <v>1</v>
      </c>
      <c r="AL6000">
        <v>1</v>
      </c>
      <c r="AM6000">
        <v>1</v>
      </c>
    </row>
    <row r="6001" spans="1:39" x14ac:dyDescent="0.2">
      <c r="A6001" t="str">
        <f>"5997"</f>
        <v>5997</v>
      </c>
      <c r="B6001" t="str">
        <f t="shared" si="331"/>
        <v>1</v>
      </c>
      <c r="C6001" t="str">
        <f t="shared" si="333"/>
        <v>120</v>
      </c>
      <c r="D6001" t="str">
        <f>"5"</f>
        <v>5</v>
      </c>
      <c r="E6001" t="str">
        <f>"1-120-5"</f>
        <v>1-120-5</v>
      </c>
      <c r="F6001" t="s">
        <v>65</v>
      </c>
      <c r="G6001" t="s">
        <v>66</v>
      </c>
      <c r="H6001" t="s">
        <v>67</v>
      </c>
      <c r="S6001">
        <v>0</v>
      </c>
      <c r="T6001">
        <v>1</v>
      </c>
      <c r="U6001">
        <v>0</v>
      </c>
      <c r="V6001">
        <v>0</v>
      </c>
      <c r="W6001">
        <v>1</v>
      </c>
      <c r="X6001">
        <v>0</v>
      </c>
      <c r="Y6001">
        <v>1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</row>
    <row r="6002" spans="1:39" x14ac:dyDescent="0.2">
      <c r="A6002" t="str">
        <f>"5998"</f>
        <v>5998</v>
      </c>
      <c r="B6002" t="str">
        <f t="shared" si="331"/>
        <v>1</v>
      </c>
      <c r="C6002" t="str">
        <f t="shared" si="333"/>
        <v>120</v>
      </c>
      <c r="D6002" t="str">
        <f>"48"</f>
        <v>48</v>
      </c>
      <c r="E6002" t="str">
        <f>"1-120-48"</f>
        <v>1-120-48</v>
      </c>
      <c r="F6002" t="s">
        <v>65</v>
      </c>
      <c r="G6002" t="s">
        <v>66</v>
      </c>
      <c r="H6002" t="s">
        <v>67</v>
      </c>
      <c r="S6002">
        <v>0</v>
      </c>
      <c r="T6002">
        <v>1</v>
      </c>
      <c r="U6002">
        <v>0</v>
      </c>
      <c r="V6002">
        <v>0</v>
      </c>
      <c r="W6002">
        <v>1</v>
      </c>
      <c r="X6002">
        <v>0</v>
      </c>
      <c r="Y6002">
        <v>1</v>
      </c>
      <c r="Z6002">
        <v>0</v>
      </c>
      <c r="AA6002">
        <v>1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</row>
    <row r="6003" spans="1:39" x14ac:dyDescent="0.2">
      <c r="A6003" t="str">
        <f>"5999"</f>
        <v>5999</v>
      </c>
      <c r="B6003" t="str">
        <f t="shared" si="331"/>
        <v>1</v>
      </c>
      <c r="C6003" t="str">
        <f t="shared" si="333"/>
        <v>120</v>
      </c>
      <c r="D6003" t="str">
        <f>"30"</f>
        <v>30</v>
      </c>
      <c r="E6003" t="str">
        <f>"1-120-30"</f>
        <v>1-120-30</v>
      </c>
      <c r="F6003" t="s">
        <v>65</v>
      </c>
      <c r="G6003" t="s">
        <v>66</v>
      </c>
      <c r="H6003" t="s">
        <v>67</v>
      </c>
      <c r="S6003">
        <v>1</v>
      </c>
      <c r="T6003">
        <v>0</v>
      </c>
      <c r="U6003">
        <v>0</v>
      </c>
      <c r="V6003">
        <v>0</v>
      </c>
      <c r="W6003">
        <v>1</v>
      </c>
      <c r="X6003">
        <v>0</v>
      </c>
      <c r="Y6003">
        <v>1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1</v>
      </c>
      <c r="AF6003">
        <v>1</v>
      </c>
      <c r="AG6003">
        <v>1</v>
      </c>
      <c r="AH6003">
        <v>1</v>
      </c>
      <c r="AI6003">
        <v>1</v>
      </c>
      <c r="AJ6003">
        <v>1</v>
      </c>
      <c r="AK6003">
        <v>1</v>
      </c>
      <c r="AL6003">
        <v>1</v>
      </c>
      <c r="AM6003">
        <v>1</v>
      </c>
    </row>
    <row r="6004" spans="1:39" x14ac:dyDescent="0.2">
      <c r="A6004" t="str">
        <f>"6000"</f>
        <v>6000</v>
      </c>
      <c r="B6004" t="str">
        <f t="shared" si="331"/>
        <v>1</v>
      </c>
      <c r="C6004" t="str">
        <f t="shared" si="333"/>
        <v>120</v>
      </c>
      <c r="D6004" t="str">
        <f>"6"</f>
        <v>6</v>
      </c>
      <c r="E6004" t="str">
        <f>"1-120-6"</f>
        <v>1-120-6</v>
      </c>
      <c r="F6004" t="s">
        <v>65</v>
      </c>
      <c r="G6004" t="s">
        <v>66</v>
      </c>
      <c r="H6004" t="s">
        <v>67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1</v>
      </c>
      <c r="AM6004">
        <v>0</v>
      </c>
    </row>
    <row r="6005" spans="1:39" x14ac:dyDescent="0.2">
      <c r="A6005" t="str">
        <f>"6001"</f>
        <v>6001</v>
      </c>
      <c r="B6005" t="str">
        <f t="shared" si="331"/>
        <v>1</v>
      </c>
      <c r="C6005" t="str">
        <f t="shared" ref="C6005:C6036" si="334">"121"</f>
        <v>121</v>
      </c>
      <c r="D6005" t="str">
        <f>"36"</f>
        <v>36</v>
      </c>
      <c r="E6005" t="str">
        <f>"1-121-36"</f>
        <v>1-121-36</v>
      </c>
      <c r="F6005" t="s">
        <v>65</v>
      </c>
      <c r="G6005" t="s">
        <v>66</v>
      </c>
      <c r="H6005" t="s">
        <v>67</v>
      </c>
      <c r="S6005">
        <v>0</v>
      </c>
      <c r="T6005">
        <v>1</v>
      </c>
      <c r="U6005">
        <v>0</v>
      </c>
      <c r="V6005">
        <v>0</v>
      </c>
      <c r="W6005">
        <v>1</v>
      </c>
      <c r="X6005">
        <v>0</v>
      </c>
      <c r="Y6005">
        <v>0</v>
      </c>
      <c r="Z6005">
        <v>1</v>
      </c>
      <c r="AA6005">
        <v>0</v>
      </c>
      <c r="AB6005">
        <v>1</v>
      </c>
      <c r="AC6005">
        <v>0</v>
      </c>
      <c r="AD6005">
        <v>1</v>
      </c>
      <c r="AE6005">
        <v>1</v>
      </c>
      <c r="AF6005">
        <v>1</v>
      </c>
      <c r="AG6005">
        <v>1</v>
      </c>
      <c r="AH6005">
        <v>1</v>
      </c>
      <c r="AI6005">
        <v>1</v>
      </c>
      <c r="AJ6005">
        <v>1</v>
      </c>
      <c r="AK6005">
        <v>1</v>
      </c>
      <c r="AL6005">
        <v>1</v>
      </c>
      <c r="AM6005">
        <v>0</v>
      </c>
    </row>
    <row r="6006" spans="1:39" x14ac:dyDescent="0.2">
      <c r="A6006" t="str">
        <f>"6002"</f>
        <v>6002</v>
      </c>
      <c r="B6006" t="str">
        <f t="shared" si="331"/>
        <v>1</v>
      </c>
      <c r="C6006" t="str">
        <f t="shared" si="334"/>
        <v>121</v>
      </c>
      <c r="D6006" t="str">
        <f>"35"</f>
        <v>35</v>
      </c>
      <c r="E6006" t="str">
        <f>"1-121-35"</f>
        <v>1-121-35</v>
      </c>
      <c r="F6006" t="s">
        <v>65</v>
      </c>
      <c r="G6006" t="s">
        <v>66</v>
      </c>
      <c r="H6006" t="s">
        <v>67</v>
      </c>
      <c r="S6006">
        <v>0</v>
      </c>
      <c r="T6006">
        <v>1</v>
      </c>
      <c r="U6006">
        <v>0</v>
      </c>
      <c r="V6006">
        <v>0</v>
      </c>
      <c r="W6006">
        <v>1</v>
      </c>
      <c r="X6006">
        <v>0</v>
      </c>
      <c r="Y6006">
        <v>1</v>
      </c>
      <c r="Z6006">
        <v>0</v>
      </c>
      <c r="AA6006">
        <v>0</v>
      </c>
      <c r="AB6006">
        <v>1</v>
      </c>
      <c r="AC6006">
        <v>0</v>
      </c>
      <c r="AD6006">
        <v>1</v>
      </c>
      <c r="AE6006">
        <v>1</v>
      </c>
      <c r="AF6006">
        <v>1</v>
      </c>
      <c r="AG6006">
        <v>1</v>
      </c>
      <c r="AH6006">
        <v>1</v>
      </c>
      <c r="AI6006">
        <v>1</v>
      </c>
      <c r="AJ6006">
        <v>1</v>
      </c>
      <c r="AK6006">
        <v>1</v>
      </c>
      <c r="AL6006">
        <v>1</v>
      </c>
      <c r="AM6006">
        <v>1</v>
      </c>
    </row>
    <row r="6007" spans="1:39" x14ac:dyDescent="0.2">
      <c r="A6007" t="str">
        <f>"6003"</f>
        <v>6003</v>
      </c>
      <c r="B6007" t="str">
        <f t="shared" ref="B6007:B6070" si="335">"1"</f>
        <v>1</v>
      </c>
      <c r="C6007" t="str">
        <f t="shared" si="334"/>
        <v>121</v>
      </c>
      <c r="D6007" t="str">
        <f>"26"</f>
        <v>26</v>
      </c>
      <c r="E6007" t="str">
        <f>"1-121-26"</f>
        <v>1-121-26</v>
      </c>
      <c r="F6007" t="s">
        <v>65</v>
      </c>
      <c r="G6007" t="s">
        <v>66</v>
      </c>
      <c r="H6007" t="s">
        <v>67</v>
      </c>
      <c r="S6007">
        <v>1</v>
      </c>
      <c r="T6007">
        <v>0</v>
      </c>
      <c r="U6007">
        <v>0</v>
      </c>
      <c r="V6007">
        <v>0</v>
      </c>
      <c r="W6007">
        <v>1</v>
      </c>
      <c r="X6007">
        <v>0</v>
      </c>
      <c r="Y6007">
        <v>1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1</v>
      </c>
      <c r="AF6007">
        <v>1</v>
      </c>
      <c r="AG6007">
        <v>1</v>
      </c>
      <c r="AH6007">
        <v>1</v>
      </c>
      <c r="AI6007">
        <v>1</v>
      </c>
      <c r="AJ6007">
        <v>1</v>
      </c>
      <c r="AK6007">
        <v>1</v>
      </c>
      <c r="AL6007">
        <v>1</v>
      </c>
      <c r="AM6007">
        <v>1</v>
      </c>
    </row>
    <row r="6008" spans="1:39" x14ac:dyDescent="0.2">
      <c r="A6008" t="str">
        <f>"6004"</f>
        <v>6004</v>
      </c>
      <c r="B6008" t="str">
        <f t="shared" si="335"/>
        <v>1</v>
      </c>
      <c r="C6008" t="str">
        <f t="shared" si="334"/>
        <v>121</v>
      </c>
      <c r="D6008" t="str">
        <f>"25"</f>
        <v>25</v>
      </c>
      <c r="E6008" t="str">
        <f>"1-121-25"</f>
        <v>1-121-25</v>
      </c>
      <c r="F6008" t="s">
        <v>65</v>
      </c>
      <c r="G6008" t="s">
        <v>66</v>
      </c>
      <c r="H6008" t="s">
        <v>67</v>
      </c>
      <c r="S6008">
        <v>1</v>
      </c>
      <c r="T6008">
        <v>0</v>
      </c>
      <c r="U6008">
        <v>0</v>
      </c>
      <c r="V6008">
        <v>0</v>
      </c>
      <c r="W6008">
        <v>1</v>
      </c>
      <c r="X6008">
        <v>0</v>
      </c>
      <c r="Y6008">
        <v>0</v>
      </c>
      <c r="Z6008">
        <v>1</v>
      </c>
      <c r="AA6008">
        <v>1</v>
      </c>
      <c r="AB6008">
        <v>0</v>
      </c>
      <c r="AC6008">
        <v>0</v>
      </c>
      <c r="AD6008">
        <v>1</v>
      </c>
      <c r="AE6008">
        <v>1</v>
      </c>
      <c r="AF6008">
        <v>1</v>
      </c>
      <c r="AG6008">
        <v>0</v>
      </c>
      <c r="AH6008">
        <v>1</v>
      </c>
      <c r="AI6008">
        <v>1</v>
      </c>
      <c r="AJ6008">
        <v>1</v>
      </c>
      <c r="AK6008">
        <v>0</v>
      </c>
      <c r="AL6008">
        <v>1</v>
      </c>
      <c r="AM6008">
        <v>0</v>
      </c>
    </row>
    <row r="6009" spans="1:39" x14ac:dyDescent="0.2">
      <c r="A6009" t="str">
        <f>"6005"</f>
        <v>6005</v>
      </c>
      <c r="B6009" t="str">
        <f t="shared" si="335"/>
        <v>1</v>
      </c>
      <c r="C6009" t="str">
        <f t="shared" si="334"/>
        <v>121</v>
      </c>
      <c r="D6009" t="str">
        <f>"17"</f>
        <v>17</v>
      </c>
      <c r="E6009" t="str">
        <f>"1-121-17"</f>
        <v>1-121-17</v>
      </c>
      <c r="F6009" t="s">
        <v>65</v>
      </c>
      <c r="G6009" t="s">
        <v>66</v>
      </c>
      <c r="H6009" t="s">
        <v>67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</row>
    <row r="6010" spans="1:39" x14ac:dyDescent="0.2">
      <c r="A6010" t="str">
        <f>"6006"</f>
        <v>6006</v>
      </c>
      <c r="B6010" t="str">
        <f t="shared" si="335"/>
        <v>1</v>
      </c>
      <c r="C6010" t="str">
        <f t="shared" si="334"/>
        <v>121</v>
      </c>
      <c r="D6010" t="str">
        <f>"15"</f>
        <v>15</v>
      </c>
      <c r="E6010" t="str">
        <f>"1-121-15"</f>
        <v>1-121-15</v>
      </c>
      <c r="F6010" t="s">
        <v>65</v>
      </c>
      <c r="G6010" t="s">
        <v>66</v>
      </c>
      <c r="H6010" t="s">
        <v>67</v>
      </c>
      <c r="S6010">
        <v>1</v>
      </c>
      <c r="T6010">
        <v>0</v>
      </c>
      <c r="U6010">
        <v>0</v>
      </c>
      <c r="V6010">
        <v>0</v>
      </c>
      <c r="W6010">
        <v>1</v>
      </c>
      <c r="X6010">
        <v>0</v>
      </c>
      <c r="Y6010">
        <v>1</v>
      </c>
      <c r="Z6010">
        <v>0</v>
      </c>
      <c r="AA6010">
        <v>0</v>
      </c>
      <c r="AB6010">
        <v>1</v>
      </c>
      <c r="AC6010">
        <v>0</v>
      </c>
      <c r="AD6010">
        <v>1</v>
      </c>
      <c r="AE6010">
        <v>1</v>
      </c>
      <c r="AF6010">
        <v>1</v>
      </c>
      <c r="AG6010">
        <v>1</v>
      </c>
      <c r="AH6010">
        <v>1</v>
      </c>
      <c r="AI6010">
        <v>1</v>
      </c>
      <c r="AJ6010">
        <v>1</v>
      </c>
      <c r="AK6010">
        <v>1</v>
      </c>
      <c r="AL6010">
        <v>1</v>
      </c>
      <c r="AM6010">
        <v>1</v>
      </c>
    </row>
    <row r="6011" spans="1:39" x14ac:dyDescent="0.2">
      <c r="A6011" t="str">
        <f>"6007"</f>
        <v>6007</v>
      </c>
      <c r="B6011" t="str">
        <f t="shared" si="335"/>
        <v>1</v>
      </c>
      <c r="C6011" t="str">
        <f t="shared" si="334"/>
        <v>121</v>
      </c>
      <c r="D6011" t="str">
        <f>"1"</f>
        <v>1</v>
      </c>
      <c r="E6011" t="str">
        <f>"1-121-1"</f>
        <v>1-121-1</v>
      </c>
      <c r="F6011" t="s">
        <v>65</v>
      </c>
      <c r="G6011" t="s">
        <v>66</v>
      </c>
      <c r="H6011" t="s">
        <v>67</v>
      </c>
      <c r="S6011">
        <v>1</v>
      </c>
      <c r="T6011">
        <v>0</v>
      </c>
      <c r="U6011">
        <v>0</v>
      </c>
      <c r="V6011">
        <v>0</v>
      </c>
      <c r="W6011">
        <v>1</v>
      </c>
      <c r="X6011">
        <v>0</v>
      </c>
      <c r="Y6011">
        <v>0</v>
      </c>
      <c r="Z6011">
        <v>1</v>
      </c>
      <c r="AA6011">
        <v>1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</row>
    <row r="6012" spans="1:39" x14ac:dyDescent="0.2">
      <c r="A6012" t="str">
        <f>"6008"</f>
        <v>6008</v>
      </c>
      <c r="B6012" t="str">
        <f t="shared" si="335"/>
        <v>1</v>
      </c>
      <c r="C6012" t="str">
        <f t="shared" si="334"/>
        <v>121</v>
      </c>
      <c r="D6012" t="str">
        <f>"38"</f>
        <v>38</v>
      </c>
      <c r="E6012" t="str">
        <f>"1-121-38"</f>
        <v>1-121-38</v>
      </c>
      <c r="F6012" t="s">
        <v>65</v>
      </c>
      <c r="G6012" t="s">
        <v>66</v>
      </c>
      <c r="H6012" t="s">
        <v>67</v>
      </c>
      <c r="S6012">
        <v>0</v>
      </c>
      <c r="T6012">
        <v>1</v>
      </c>
      <c r="U6012">
        <v>0</v>
      </c>
      <c r="V6012">
        <v>0</v>
      </c>
      <c r="W6012">
        <v>1</v>
      </c>
      <c r="X6012">
        <v>0</v>
      </c>
      <c r="Y6012">
        <v>1</v>
      </c>
      <c r="Z6012">
        <v>0</v>
      </c>
      <c r="AA6012">
        <v>0</v>
      </c>
      <c r="AB6012">
        <v>0</v>
      </c>
      <c r="AC6012">
        <v>1</v>
      </c>
      <c r="AD6012">
        <v>1</v>
      </c>
      <c r="AE6012">
        <v>1</v>
      </c>
      <c r="AF6012">
        <v>1</v>
      </c>
      <c r="AG6012">
        <v>1</v>
      </c>
      <c r="AH6012">
        <v>1</v>
      </c>
      <c r="AI6012">
        <v>1</v>
      </c>
      <c r="AJ6012">
        <v>1</v>
      </c>
      <c r="AK6012">
        <v>1</v>
      </c>
      <c r="AL6012">
        <v>1</v>
      </c>
      <c r="AM6012">
        <v>1</v>
      </c>
    </row>
    <row r="6013" spans="1:39" x14ac:dyDescent="0.2">
      <c r="A6013" t="str">
        <f>"6009"</f>
        <v>6009</v>
      </c>
      <c r="B6013" t="str">
        <f t="shared" si="335"/>
        <v>1</v>
      </c>
      <c r="C6013" t="str">
        <f t="shared" si="334"/>
        <v>121</v>
      </c>
      <c r="D6013" t="str">
        <f>"37"</f>
        <v>37</v>
      </c>
      <c r="E6013" t="str">
        <f>"1-121-37"</f>
        <v>1-121-37</v>
      </c>
      <c r="F6013" t="s">
        <v>65</v>
      </c>
      <c r="G6013" t="s">
        <v>66</v>
      </c>
      <c r="H6013" t="s">
        <v>67</v>
      </c>
      <c r="S6013">
        <v>0</v>
      </c>
      <c r="T6013">
        <v>1</v>
      </c>
      <c r="U6013">
        <v>0</v>
      </c>
      <c r="V6013">
        <v>0</v>
      </c>
      <c r="W6013">
        <v>1</v>
      </c>
      <c r="X6013">
        <v>0</v>
      </c>
      <c r="Y6013">
        <v>0</v>
      </c>
      <c r="Z6013">
        <v>1</v>
      </c>
      <c r="AA6013">
        <v>1</v>
      </c>
      <c r="AB6013">
        <v>0</v>
      </c>
      <c r="AC6013">
        <v>0</v>
      </c>
      <c r="AD6013">
        <v>1</v>
      </c>
      <c r="AE6013">
        <v>1</v>
      </c>
      <c r="AF6013">
        <v>1</v>
      </c>
      <c r="AG6013">
        <v>1</v>
      </c>
      <c r="AH6013">
        <v>1</v>
      </c>
      <c r="AI6013">
        <v>1</v>
      </c>
      <c r="AJ6013">
        <v>1</v>
      </c>
      <c r="AK6013">
        <v>1</v>
      </c>
      <c r="AL6013">
        <v>1</v>
      </c>
      <c r="AM6013">
        <v>1</v>
      </c>
    </row>
    <row r="6014" spans="1:39" x14ac:dyDescent="0.2">
      <c r="A6014" t="str">
        <f>"6010"</f>
        <v>6010</v>
      </c>
      <c r="B6014" t="str">
        <f t="shared" si="335"/>
        <v>1</v>
      </c>
      <c r="C6014" t="str">
        <f t="shared" si="334"/>
        <v>121</v>
      </c>
      <c r="D6014" t="str">
        <f>"29"</f>
        <v>29</v>
      </c>
      <c r="E6014" t="str">
        <f>"1-121-29"</f>
        <v>1-121-29</v>
      </c>
      <c r="F6014" t="s">
        <v>65</v>
      </c>
      <c r="G6014" t="s">
        <v>66</v>
      </c>
      <c r="H6014" t="s">
        <v>67</v>
      </c>
      <c r="S6014">
        <v>1</v>
      </c>
      <c r="T6014">
        <v>0</v>
      </c>
      <c r="U6014">
        <v>0</v>
      </c>
      <c r="V6014">
        <v>0</v>
      </c>
      <c r="W6014">
        <v>1</v>
      </c>
      <c r="X6014">
        <v>0</v>
      </c>
      <c r="Y6014">
        <v>0</v>
      </c>
      <c r="Z6014">
        <v>1</v>
      </c>
      <c r="AA6014">
        <v>0</v>
      </c>
      <c r="AB6014">
        <v>0</v>
      </c>
      <c r="AC6014">
        <v>1</v>
      </c>
      <c r="AD6014">
        <v>1</v>
      </c>
      <c r="AE6014">
        <v>1</v>
      </c>
      <c r="AF6014">
        <v>1</v>
      </c>
      <c r="AG6014">
        <v>1</v>
      </c>
      <c r="AH6014">
        <v>1</v>
      </c>
      <c r="AI6014">
        <v>1</v>
      </c>
      <c r="AJ6014">
        <v>1</v>
      </c>
      <c r="AK6014">
        <v>1</v>
      </c>
      <c r="AL6014">
        <v>1</v>
      </c>
      <c r="AM6014">
        <v>1</v>
      </c>
    </row>
    <row r="6015" spans="1:39" x14ac:dyDescent="0.2">
      <c r="A6015" t="str">
        <f>"6011"</f>
        <v>6011</v>
      </c>
      <c r="B6015" t="str">
        <f t="shared" si="335"/>
        <v>1</v>
      </c>
      <c r="C6015" t="str">
        <f t="shared" si="334"/>
        <v>121</v>
      </c>
      <c r="D6015" t="str">
        <f>"28"</f>
        <v>28</v>
      </c>
      <c r="E6015" t="str">
        <f>"1-121-28"</f>
        <v>1-121-28</v>
      </c>
      <c r="F6015" t="s">
        <v>65</v>
      </c>
      <c r="G6015" t="s">
        <v>66</v>
      </c>
      <c r="H6015" t="s">
        <v>67</v>
      </c>
      <c r="S6015">
        <v>0</v>
      </c>
      <c r="T6015">
        <v>1</v>
      </c>
      <c r="U6015">
        <v>0</v>
      </c>
      <c r="V6015">
        <v>0</v>
      </c>
      <c r="W6015">
        <v>1</v>
      </c>
      <c r="X6015">
        <v>0</v>
      </c>
      <c r="Y6015">
        <v>0</v>
      </c>
      <c r="Z6015">
        <v>1</v>
      </c>
      <c r="AA6015">
        <v>0</v>
      </c>
      <c r="AB6015">
        <v>1</v>
      </c>
      <c r="AC6015">
        <v>0</v>
      </c>
      <c r="AD6015">
        <v>0</v>
      </c>
      <c r="AE6015">
        <v>0</v>
      </c>
      <c r="AF6015">
        <v>0</v>
      </c>
      <c r="AG6015">
        <v>1</v>
      </c>
      <c r="AH6015">
        <v>1</v>
      </c>
      <c r="AI6015">
        <v>1</v>
      </c>
      <c r="AJ6015">
        <v>1</v>
      </c>
      <c r="AK6015">
        <v>1</v>
      </c>
      <c r="AL6015">
        <v>1</v>
      </c>
      <c r="AM6015">
        <v>1</v>
      </c>
    </row>
    <row r="6016" spans="1:39" x14ac:dyDescent="0.2">
      <c r="A6016" t="str">
        <f>"6012"</f>
        <v>6012</v>
      </c>
      <c r="B6016" t="str">
        <f t="shared" si="335"/>
        <v>1</v>
      </c>
      <c r="C6016" t="str">
        <f t="shared" si="334"/>
        <v>121</v>
      </c>
      <c r="D6016" t="str">
        <f>"18"</f>
        <v>18</v>
      </c>
      <c r="E6016" t="str">
        <f>"1-121-18"</f>
        <v>1-121-18</v>
      </c>
      <c r="F6016" t="s">
        <v>65</v>
      </c>
      <c r="G6016" t="s">
        <v>66</v>
      </c>
      <c r="H6016" t="s">
        <v>67</v>
      </c>
      <c r="S6016">
        <v>1</v>
      </c>
      <c r="T6016">
        <v>0</v>
      </c>
      <c r="U6016">
        <v>0</v>
      </c>
      <c r="V6016">
        <v>0</v>
      </c>
      <c r="W6016">
        <v>1</v>
      </c>
      <c r="X6016">
        <v>0</v>
      </c>
      <c r="Y6016">
        <v>1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1</v>
      </c>
      <c r="AF6016">
        <v>1</v>
      </c>
      <c r="AG6016">
        <v>1</v>
      </c>
      <c r="AH6016">
        <v>1</v>
      </c>
      <c r="AI6016">
        <v>1</v>
      </c>
      <c r="AJ6016">
        <v>1</v>
      </c>
      <c r="AK6016">
        <v>1</v>
      </c>
      <c r="AL6016">
        <v>1</v>
      </c>
      <c r="AM6016">
        <v>1</v>
      </c>
    </row>
    <row r="6017" spans="1:39" x14ac:dyDescent="0.2">
      <c r="A6017" t="str">
        <f>"6013"</f>
        <v>6013</v>
      </c>
      <c r="B6017" t="str">
        <f t="shared" si="335"/>
        <v>1</v>
      </c>
      <c r="C6017" t="str">
        <f t="shared" si="334"/>
        <v>121</v>
      </c>
      <c r="D6017" t="str">
        <f>"16"</f>
        <v>16</v>
      </c>
      <c r="E6017" t="str">
        <f>"1-121-16"</f>
        <v>1-121-16</v>
      </c>
      <c r="F6017" t="s">
        <v>65</v>
      </c>
      <c r="G6017" t="s">
        <v>66</v>
      </c>
      <c r="H6017" t="s">
        <v>67</v>
      </c>
      <c r="S6017">
        <v>1</v>
      </c>
      <c r="T6017">
        <v>0</v>
      </c>
      <c r="U6017">
        <v>0</v>
      </c>
      <c r="V6017">
        <v>0</v>
      </c>
      <c r="W6017">
        <v>1</v>
      </c>
      <c r="X6017">
        <v>0</v>
      </c>
      <c r="Y6017">
        <v>1</v>
      </c>
      <c r="Z6017">
        <v>0</v>
      </c>
      <c r="AA6017">
        <v>0</v>
      </c>
      <c r="AB6017">
        <v>0</v>
      </c>
      <c r="AC6017">
        <v>1</v>
      </c>
      <c r="AD6017">
        <v>1</v>
      </c>
      <c r="AE6017">
        <v>1</v>
      </c>
      <c r="AF6017">
        <v>1</v>
      </c>
      <c r="AG6017">
        <v>1</v>
      </c>
      <c r="AH6017">
        <v>1</v>
      </c>
      <c r="AI6017">
        <v>1</v>
      </c>
      <c r="AJ6017">
        <v>1</v>
      </c>
      <c r="AK6017">
        <v>1</v>
      </c>
      <c r="AL6017">
        <v>1</v>
      </c>
      <c r="AM6017">
        <v>1</v>
      </c>
    </row>
    <row r="6018" spans="1:39" x14ac:dyDescent="0.2">
      <c r="A6018" t="str">
        <f>"6014"</f>
        <v>6014</v>
      </c>
      <c r="B6018" t="str">
        <f t="shared" si="335"/>
        <v>1</v>
      </c>
      <c r="C6018" t="str">
        <f t="shared" si="334"/>
        <v>121</v>
      </c>
      <c r="D6018" t="str">
        <f>"3"</f>
        <v>3</v>
      </c>
      <c r="E6018" t="str">
        <f>"1-121-3"</f>
        <v>1-121-3</v>
      </c>
      <c r="F6018" t="s">
        <v>65</v>
      </c>
      <c r="G6018" t="s">
        <v>66</v>
      </c>
      <c r="H6018" t="s">
        <v>67</v>
      </c>
      <c r="S6018">
        <v>1</v>
      </c>
      <c r="T6018">
        <v>0</v>
      </c>
      <c r="U6018">
        <v>0</v>
      </c>
      <c r="V6018">
        <v>0</v>
      </c>
      <c r="W6018">
        <v>1</v>
      </c>
      <c r="X6018">
        <v>0</v>
      </c>
      <c r="Y6018">
        <v>1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1</v>
      </c>
      <c r="AF6018">
        <v>1</v>
      </c>
      <c r="AG6018">
        <v>1</v>
      </c>
      <c r="AH6018">
        <v>1</v>
      </c>
      <c r="AI6018">
        <v>1</v>
      </c>
      <c r="AJ6018">
        <v>1</v>
      </c>
      <c r="AK6018">
        <v>1</v>
      </c>
      <c r="AL6018">
        <v>1</v>
      </c>
      <c r="AM6018">
        <v>1</v>
      </c>
    </row>
    <row r="6019" spans="1:39" x14ac:dyDescent="0.2">
      <c r="A6019" t="str">
        <f>"6015"</f>
        <v>6015</v>
      </c>
      <c r="B6019" t="str">
        <f t="shared" si="335"/>
        <v>1</v>
      </c>
      <c r="C6019" t="str">
        <f t="shared" si="334"/>
        <v>121</v>
      </c>
      <c r="D6019" t="str">
        <f>"41"</f>
        <v>41</v>
      </c>
      <c r="E6019" t="str">
        <f>"1-121-41"</f>
        <v>1-121-41</v>
      </c>
      <c r="F6019" t="s">
        <v>65</v>
      </c>
      <c r="G6019" t="s">
        <v>66</v>
      </c>
      <c r="H6019" t="s">
        <v>67</v>
      </c>
      <c r="S6019">
        <v>0</v>
      </c>
      <c r="T6019">
        <v>0</v>
      </c>
      <c r="U6019">
        <v>0</v>
      </c>
      <c r="V6019">
        <v>0</v>
      </c>
      <c r="W6019">
        <v>1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</row>
    <row r="6020" spans="1:39" x14ac:dyDescent="0.2">
      <c r="A6020" t="str">
        <f>"6016"</f>
        <v>6016</v>
      </c>
      <c r="B6020" t="str">
        <f t="shared" si="335"/>
        <v>1</v>
      </c>
      <c r="C6020" t="str">
        <f t="shared" si="334"/>
        <v>121</v>
      </c>
      <c r="D6020" t="str">
        <f>"19"</f>
        <v>19</v>
      </c>
      <c r="E6020" t="str">
        <f>"1-121-19"</f>
        <v>1-121-19</v>
      </c>
      <c r="F6020" t="s">
        <v>65</v>
      </c>
      <c r="G6020" t="s">
        <v>66</v>
      </c>
      <c r="H6020" t="s">
        <v>67</v>
      </c>
      <c r="S6020">
        <v>1</v>
      </c>
      <c r="T6020">
        <v>0</v>
      </c>
      <c r="U6020">
        <v>0</v>
      </c>
      <c r="V6020">
        <v>0</v>
      </c>
      <c r="W6020">
        <v>1</v>
      </c>
      <c r="X6020">
        <v>0</v>
      </c>
      <c r="Y6020">
        <v>0</v>
      </c>
      <c r="Z6020">
        <v>1</v>
      </c>
      <c r="AA6020">
        <v>1</v>
      </c>
      <c r="AB6020">
        <v>0</v>
      </c>
      <c r="AC6020">
        <v>0</v>
      </c>
      <c r="AD6020">
        <v>1</v>
      </c>
      <c r="AE6020">
        <v>1</v>
      </c>
      <c r="AF6020">
        <v>1</v>
      </c>
      <c r="AG6020">
        <v>1</v>
      </c>
      <c r="AH6020">
        <v>1</v>
      </c>
      <c r="AI6020">
        <v>1</v>
      </c>
      <c r="AJ6020">
        <v>1</v>
      </c>
      <c r="AK6020">
        <v>1</v>
      </c>
      <c r="AL6020">
        <v>1</v>
      </c>
      <c r="AM6020">
        <v>1</v>
      </c>
    </row>
    <row r="6021" spans="1:39" x14ac:dyDescent="0.2">
      <c r="A6021" t="str">
        <f>"6017"</f>
        <v>6017</v>
      </c>
      <c r="B6021" t="str">
        <f t="shared" si="335"/>
        <v>1</v>
      </c>
      <c r="C6021" t="str">
        <f t="shared" si="334"/>
        <v>121</v>
      </c>
      <c r="D6021" t="str">
        <f>"9"</f>
        <v>9</v>
      </c>
      <c r="E6021" t="str">
        <f>"1-121-9"</f>
        <v>1-121-9</v>
      </c>
      <c r="F6021" t="s">
        <v>65</v>
      </c>
      <c r="G6021" t="s">
        <v>66</v>
      </c>
      <c r="H6021" t="s">
        <v>67</v>
      </c>
      <c r="S6021">
        <v>1</v>
      </c>
      <c r="T6021">
        <v>0</v>
      </c>
      <c r="U6021">
        <v>0</v>
      </c>
      <c r="V6021">
        <v>0</v>
      </c>
      <c r="W6021">
        <v>1</v>
      </c>
      <c r="X6021">
        <v>0</v>
      </c>
      <c r="Y6021">
        <v>1</v>
      </c>
      <c r="Z6021">
        <v>0</v>
      </c>
      <c r="AA6021">
        <v>0</v>
      </c>
      <c r="AB6021">
        <v>1</v>
      </c>
      <c r="AC6021">
        <v>0</v>
      </c>
      <c r="AD6021">
        <v>1</v>
      </c>
      <c r="AE6021">
        <v>1</v>
      </c>
      <c r="AF6021">
        <v>1</v>
      </c>
      <c r="AG6021">
        <v>1</v>
      </c>
      <c r="AH6021">
        <v>1</v>
      </c>
      <c r="AI6021">
        <v>1</v>
      </c>
      <c r="AJ6021">
        <v>1</v>
      </c>
      <c r="AK6021">
        <v>1</v>
      </c>
      <c r="AL6021">
        <v>1</v>
      </c>
      <c r="AM6021">
        <v>1</v>
      </c>
    </row>
    <row r="6022" spans="1:39" x14ac:dyDescent="0.2">
      <c r="A6022" t="str">
        <f>"6018"</f>
        <v>6018</v>
      </c>
      <c r="B6022" t="str">
        <f t="shared" si="335"/>
        <v>1</v>
      </c>
      <c r="C6022" t="str">
        <f t="shared" si="334"/>
        <v>121</v>
      </c>
      <c r="D6022" t="str">
        <f>"40"</f>
        <v>40</v>
      </c>
      <c r="E6022" t="str">
        <f>"1-121-40"</f>
        <v>1-121-40</v>
      </c>
      <c r="F6022" t="s">
        <v>65</v>
      </c>
      <c r="G6022" t="s">
        <v>66</v>
      </c>
      <c r="H6022" t="s">
        <v>67</v>
      </c>
      <c r="S6022">
        <v>0</v>
      </c>
      <c r="T6022">
        <v>1</v>
      </c>
      <c r="U6022">
        <v>0</v>
      </c>
      <c r="V6022">
        <v>0</v>
      </c>
      <c r="W6022">
        <v>0</v>
      </c>
      <c r="X6022">
        <v>1</v>
      </c>
      <c r="Y6022">
        <v>0</v>
      </c>
      <c r="Z6022">
        <v>1</v>
      </c>
      <c r="AA6022">
        <v>0</v>
      </c>
      <c r="AB6022">
        <v>0</v>
      </c>
      <c r="AC6022">
        <v>1</v>
      </c>
      <c r="AD6022">
        <v>1</v>
      </c>
      <c r="AE6022">
        <v>1</v>
      </c>
      <c r="AF6022">
        <v>1</v>
      </c>
      <c r="AG6022">
        <v>1</v>
      </c>
      <c r="AH6022">
        <v>1</v>
      </c>
      <c r="AI6022">
        <v>1</v>
      </c>
      <c r="AJ6022">
        <v>1</v>
      </c>
      <c r="AK6022">
        <v>1</v>
      </c>
      <c r="AL6022">
        <v>1</v>
      </c>
      <c r="AM6022">
        <v>1</v>
      </c>
    </row>
    <row r="6023" spans="1:39" x14ac:dyDescent="0.2">
      <c r="A6023" t="str">
        <f>"6019"</f>
        <v>6019</v>
      </c>
      <c r="B6023" t="str">
        <f t="shared" si="335"/>
        <v>1</v>
      </c>
      <c r="C6023" t="str">
        <f t="shared" si="334"/>
        <v>121</v>
      </c>
      <c r="D6023" t="str">
        <f>"20"</f>
        <v>20</v>
      </c>
      <c r="E6023" t="str">
        <f>"1-121-20"</f>
        <v>1-121-20</v>
      </c>
      <c r="F6023" t="s">
        <v>65</v>
      </c>
      <c r="G6023" t="s">
        <v>66</v>
      </c>
      <c r="H6023" t="s">
        <v>67</v>
      </c>
      <c r="S6023">
        <v>1</v>
      </c>
      <c r="T6023">
        <v>0</v>
      </c>
      <c r="U6023">
        <v>0</v>
      </c>
      <c r="V6023">
        <v>0</v>
      </c>
      <c r="W6023">
        <v>1</v>
      </c>
      <c r="X6023">
        <v>0</v>
      </c>
      <c r="Y6023">
        <v>1</v>
      </c>
      <c r="Z6023">
        <v>0</v>
      </c>
      <c r="AA6023">
        <v>0</v>
      </c>
      <c r="AB6023">
        <v>1</v>
      </c>
      <c r="AC6023">
        <v>0</v>
      </c>
      <c r="AD6023">
        <v>1</v>
      </c>
      <c r="AE6023">
        <v>1</v>
      </c>
      <c r="AF6023">
        <v>1</v>
      </c>
      <c r="AG6023">
        <v>1</v>
      </c>
      <c r="AH6023">
        <v>1</v>
      </c>
      <c r="AI6023">
        <v>1</v>
      </c>
      <c r="AJ6023">
        <v>1</v>
      </c>
      <c r="AK6023">
        <v>1</v>
      </c>
      <c r="AL6023">
        <v>1</v>
      </c>
      <c r="AM6023">
        <v>1</v>
      </c>
    </row>
    <row r="6024" spans="1:39" x14ac:dyDescent="0.2">
      <c r="A6024" t="str">
        <f>"6020"</f>
        <v>6020</v>
      </c>
      <c r="B6024" t="str">
        <f t="shared" si="335"/>
        <v>1</v>
      </c>
      <c r="C6024" t="str">
        <f t="shared" si="334"/>
        <v>121</v>
      </c>
      <c r="D6024" t="str">
        <f>"10"</f>
        <v>10</v>
      </c>
      <c r="E6024" t="str">
        <f>"1-121-10"</f>
        <v>1-121-10</v>
      </c>
      <c r="F6024" t="s">
        <v>65</v>
      </c>
      <c r="G6024" t="s">
        <v>66</v>
      </c>
      <c r="H6024" t="s">
        <v>67</v>
      </c>
      <c r="S6024">
        <v>1</v>
      </c>
      <c r="T6024">
        <v>0</v>
      </c>
      <c r="U6024">
        <v>0</v>
      </c>
      <c r="V6024">
        <v>0</v>
      </c>
      <c r="W6024">
        <v>0</v>
      </c>
      <c r="X6024">
        <v>1</v>
      </c>
      <c r="Y6024">
        <v>1</v>
      </c>
      <c r="Z6024">
        <v>0</v>
      </c>
      <c r="AA6024">
        <v>0</v>
      </c>
      <c r="AB6024">
        <v>1</v>
      </c>
      <c r="AC6024">
        <v>0</v>
      </c>
      <c r="AD6024">
        <v>1</v>
      </c>
      <c r="AE6024">
        <v>1</v>
      </c>
      <c r="AF6024">
        <v>1</v>
      </c>
      <c r="AG6024">
        <v>1</v>
      </c>
      <c r="AH6024">
        <v>1</v>
      </c>
      <c r="AI6024">
        <v>1</v>
      </c>
      <c r="AJ6024">
        <v>1</v>
      </c>
      <c r="AK6024">
        <v>1</v>
      </c>
      <c r="AL6024">
        <v>1</v>
      </c>
      <c r="AM6024">
        <v>1</v>
      </c>
    </row>
    <row r="6025" spans="1:39" x14ac:dyDescent="0.2">
      <c r="A6025" t="str">
        <f>"6021"</f>
        <v>6021</v>
      </c>
      <c r="B6025" t="str">
        <f t="shared" si="335"/>
        <v>1</v>
      </c>
      <c r="C6025" t="str">
        <f t="shared" si="334"/>
        <v>121</v>
      </c>
      <c r="D6025" t="str">
        <f>"39"</f>
        <v>39</v>
      </c>
      <c r="E6025" t="str">
        <f>"1-121-39"</f>
        <v>1-121-39</v>
      </c>
      <c r="F6025" t="s">
        <v>65</v>
      </c>
      <c r="G6025" t="s">
        <v>66</v>
      </c>
      <c r="H6025" t="s">
        <v>67</v>
      </c>
      <c r="S6025">
        <v>1</v>
      </c>
      <c r="T6025">
        <v>0</v>
      </c>
      <c r="U6025">
        <v>0</v>
      </c>
      <c r="V6025">
        <v>0</v>
      </c>
      <c r="W6025">
        <v>1</v>
      </c>
      <c r="X6025">
        <v>0</v>
      </c>
      <c r="Y6025">
        <v>0</v>
      </c>
      <c r="Z6025">
        <v>1</v>
      </c>
      <c r="AA6025">
        <v>1</v>
      </c>
      <c r="AB6025">
        <v>0</v>
      </c>
      <c r="AC6025">
        <v>0</v>
      </c>
      <c r="AD6025">
        <v>1</v>
      </c>
      <c r="AE6025">
        <v>1</v>
      </c>
      <c r="AF6025">
        <v>1</v>
      </c>
      <c r="AG6025">
        <v>1</v>
      </c>
      <c r="AH6025">
        <v>1</v>
      </c>
      <c r="AI6025">
        <v>1</v>
      </c>
      <c r="AJ6025">
        <v>1</v>
      </c>
      <c r="AK6025">
        <v>1</v>
      </c>
      <c r="AL6025">
        <v>1</v>
      </c>
      <c r="AM6025">
        <v>1</v>
      </c>
    </row>
    <row r="6026" spans="1:39" x14ac:dyDescent="0.2">
      <c r="A6026" t="str">
        <f>"6022"</f>
        <v>6022</v>
      </c>
      <c r="B6026" t="str">
        <f t="shared" si="335"/>
        <v>1</v>
      </c>
      <c r="C6026" t="str">
        <f t="shared" si="334"/>
        <v>121</v>
      </c>
      <c r="D6026" t="str">
        <f>"21"</f>
        <v>21</v>
      </c>
      <c r="E6026" t="str">
        <f>"1-121-21"</f>
        <v>1-121-21</v>
      </c>
      <c r="F6026" t="s">
        <v>65</v>
      </c>
      <c r="G6026" t="s">
        <v>66</v>
      </c>
      <c r="H6026" t="s">
        <v>67</v>
      </c>
      <c r="S6026">
        <v>1</v>
      </c>
      <c r="T6026">
        <v>0</v>
      </c>
      <c r="U6026">
        <v>0</v>
      </c>
      <c r="V6026">
        <v>0</v>
      </c>
      <c r="W6026">
        <v>1</v>
      </c>
      <c r="X6026">
        <v>0</v>
      </c>
      <c r="Y6026">
        <v>1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1</v>
      </c>
      <c r="AF6026">
        <v>1</v>
      </c>
      <c r="AG6026">
        <v>1</v>
      </c>
      <c r="AH6026">
        <v>1</v>
      </c>
      <c r="AI6026">
        <v>1</v>
      </c>
      <c r="AJ6026">
        <v>1</v>
      </c>
      <c r="AK6026">
        <v>1</v>
      </c>
      <c r="AL6026">
        <v>1</v>
      </c>
      <c r="AM6026">
        <v>1</v>
      </c>
    </row>
    <row r="6027" spans="1:39" x14ac:dyDescent="0.2">
      <c r="A6027" t="str">
        <f>"6023"</f>
        <v>6023</v>
      </c>
      <c r="B6027" t="str">
        <f t="shared" si="335"/>
        <v>1</v>
      </c>
      <c r="C6027" t="str">
        <f t="shared" si="334"/>
        <v>121</v>
      </c>
      <c r="D6027" t="str">
        <f>"5"</f>
        <v>5</v>
      </c>
      <c r="E6027" t="str">
        <f>"1-121-5"</f>
        <v>1-121-5</v>
      </c>
      <c r="F6027" t="s">
        <v>65</v>
      </c>
      <c r="G6027" t="s">
        <v>66</v>
      </c>
      <c r="H6027" t="s">
        <v>67</v>
      </c>
      <c r="S6027">
        <v>1</v>
      </c>
      <c r="T6027">
        <v>0</v>
      </c>
      <c r="U6027">
        <v>0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0</v>
      </c>
      <c r="AB6027">
        <v>1</v>
      </c>
      <c r="AC6027">
        <v>0</v>
      </c>
      <c r="AD6027">
        <v>1</v>
      </c>
      <c r="AE6027">
        <v>1</v>
      </c>
      <c r="AF6027">
        <v>1</v>
      </c>
      <c r="AG6027">
        <v>1</v>
      </c>
      <c r="AH6027">
        <v>0</v>
      </c>
      <c r="AI6027">
        <v>1</v>
      </c>
      <c r="AJ6027">
        <v>1</v>
      </c>
      <c r="AK6027">
        <v>1</v>
      </c>
      <c r="AL6027">
        <v>1</v>
      </c>
      <c r="AM6027">
        <v>1</v>
      </c>
    </row>
    <row r="6028" spans="1:39" x14ac:dyDescent="0.2">
      <c r="A6028" t="str">
        <f>"6024"</f>
        <v>6024</v>
      </c>
      <c r="B6028" t="str">
        <f t="shared" si="335"/>
        <v>1</v>
      </c>
      <c r="C6028" t="str">
        <f t="shared" si="334"/>
        <v>121</v>
      </c>
      <c r="D6028" t="str">
        <f>"44"</f>
        <v>44</v>
      </c>
      <c r="E6028" t="str">
        <f>"1-121-44"</f>
        <v>1-121-44</v>
      </c>
      <c r="F6028" t="s">
        <v>65</v>
      </c>
      <c r="G6028" t="s">
        <v>66</v>
      </c>
      <c r="H6028" t="s">
        <v>67</v>
      </c>
      <c r="S6028">
        <v>1</v>
      </c>
      <c r="T6028">
        <v>0</v>
      </c>
      <c r="U6028">
        <v>0</v>
      </c>
      <c r="V6028">
        <v>0</v>
      </c>
      <c r="W6028">
        <v>0</v>
      </c>
      <c r="X6028">
        <v>1</v>
      </c>
      <c r="Y6028">
        <v>0</v>
      </c>
      <c r="Z6028">
        <v>1</v>
      </c>
      <c r="AA6028">
        <v>0</v>
      </c>
      <c r="AB6028">
        <v>1</v>
      </c>
      <c r="AC6028">
        <v>0</v>
      </c>
      <c r="AD6028">
        <v>1</v>
      </c>
      <c r="AE6028">
        <v>0</v>
      </c>
      <c r="AF6028">
        <v>1</v>
      </c>
      <c r="AG6028">
        <v>1</v>
      </c>
      <c r="AH6028">
        <v>1</v>
      </c>
      <c r="AI6028">
        <v>1</v>
      </c>
      <c r="AJ6028">
        <v>1</v>
      </c>
      <c r="AK6028">
        <v>1</v>
      </c>
      <c r="AL6028">
        <v>1</v>
      </c>
      <c r="AM6028">
        <v>1</v>
      </c>
    </row>
    <row r="6029" spans="1:39" x14ac:dyDescent="0.2">
      <c r="A6029" t="str">
        <f>"6025"</f>
        <v>6025</v>
      </c>
      <c r="B6029" t="str">
        <f t="shared" si="335"/>
        <v>1</v>
      </c>
      <c r="C6029" t="str">
        <f t="shared" si="334"/>
        <v>121</v>
      </c>
      <c r="D6029" t="str">
        <f>"22"</f>
        <v>22</v>
      </c>
      <c r="E6029" t="str">
        <f>"1-121-22"</f>
        <v>1-121-22</v>
      </c>
      <c r="F6029" t="s">
        <v>65</v>
      </c>
      <c r="G6029" t="s">
        <v>66</v>
      </c>
      <c r="H6029" t="s">
        <v>67</v>
      </c>
      <c r="S6029">
        <v>1</v>
      </c>
      <c r="T6029">
        <v>0</v>
      </c>
      <c r="U6029">
        <v>0</v>
      </c>
      <c r="V6029">
        <v>0</v>
      </c>
      <c r="W6029">
        <v>1</v>
      </c>
      <c r="X6029">
        <v>0</v>
      </c>
      <c r="Y6029">
        <v>1</v>
      </c>
      <c r="Z6029">
        <v>0</v>
      </c>
      <c r="AA6029">
        <v>0</v>
      </c>
      <c r="AB6029">
        <v>1</v>
      </c>
      <c r="AC6029">
        <v>0</v>
      </c>
      <c r="AD6029">
        <v>1</v>
      </c>
      <c r="AE6029">
        <v>1</v>
      </c>
      <c r="AF6029">
        <v>1</v>
      </c>
      <c r="AG6029">
        <v>1</v>
      </c>
      <c r="AH6029">
        <v>1</v>
      </c>
      <c r="AI6029">
        <v>1</v>
      </c>
      <c r="AJ6029">
        <v>1</v>
      </c>
      <c r="AK6029">
        <v>1</v>
      </c>
      <c r="AL6029">
        <v>1</v>
      </c>
      <c r="AM6029">
        <v>0</v>
      </c>
    </row>
    <row r="6030" spans="1:39" x14ac:dyDescent="0.2">
      <c r="A6030" t="str">
        <f>"6026"</f>
        <v>6026</v>
      </c>
      <c r="B6030" t="str">
        <f t="shared" si="335"/>
        <v>1</v>
      </c>
      <c r="C6030" t="str">
        <f t="shared" si="334"/>
        <v>121</v>
      </c>
      <c r="D6030" t="str">
        <f>"2"</f>
        <v>2</v>
      </c>
      <c r="E6030" t="str">
        <f>"1-121-2"</f>
        <v>1-121-2</v>
      </c>
      <c r="F6030" t="s">
        <v>65</v>
      </c>
      <c r="G6030" t="s">
        <v>66</v>
      </c>
      <c r="H6030" t="s">
        <v>67</v>
      </c>
      <c r="S6030">
        <v>1</v>
      </c>
      <c r="T6030">
        <v>0</v>
      </c>
      <c r="U6030">
        <v>0</v>
      </c>
      <c r="V6030">
        <v>0</v>
      </c>
      <c r="W6030">
        <v>1</v>
      </c>
      <c r="X6030">
        <v>0</v>
      </c>
      <c r="Y6030">
        <v>0</v>
      </c>
      <c r="Z6030">
        <v>1</v>
      </c>
      <c r="AA6030">
        <v>1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</row>
    <row r="6031" spans="1:39" x14ac:dyDescent="0.2">
      <c r="A6031" t="str">
        <f>"6027"</f>
        <v>6027</v>
      </c>
      <c r="B6031" t="str">
        <f t="shared" si="335"/>
        <v>1</v>
      </c>
      <c r="C6031" t="str">
        <f t="shared" si="334"/>
        <v>121</v>
      </c>
      <c r="D6031" t="str">
        <f>"42"</f>
        <v>42</v>
      </c>
      <c r="E6031" t="str">
        <f>"1-121-42"</f>
        <v>1-121-42</v>
      </c>
      <c r="F6031" t="s">
        <v>65</v>
      </c>
      <c r="G6031" t="s">
        <v>66</v>
      </c>
      <c r="H6031" t="s">
        <v>67</v>
      </c>
      <c r="S6031">
        <v>1</v>
      </c>
      <c r="T6031">
        <v>0</v>
      </c>
      <c r="U6031">
        <v>0</v>
      </c>
      <c r="V6031">
        <v>0</v>
      </c>
      <c r="W6031">
        <v>1</v>
      </c>
      <c r="X6031">
        <v>0</v>
      </c>
      <c r="Y6031">
        <v>1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1</v>
      </c>
      <c r="AF6031">
        <v>1</v>
      </c>
      <c r="AG6031">
        <v>1</v>
      </c>
      <c r="AH6031">
        <v>1</v>
      </c>
      <c r="AI6031">
        <v>1</v>
      </c>
      <c r="AJ6031">
        <v>1</v>
      </c>
      <c r="AK6031">
        <v>1</v>
      </c>
      <c r="AL6031">
        <v>1</v>
      </c>
      <c r="AM6031">
        <v>1</v>
      </c>
    </row>
    <row r="6032" spans="1:39" x14ac:dyDescent="0.2">
      <c r="A6032" t="str">
        <f>"6028"</f>
        <v>6028</v>
      </c>
      <c r="B6032" t="str">
        <f t="shared" si="335"/>
        <v>1</v>
      </c>
      <c r="C6032" t="str">
        <f t="shared" si="334"/>
        <v>121</v>
      </c>
      <c r="D6032" t="str">
        <f>"23"</f>
        <v>23</v>
      </c>
      <c r="E6032" t="str">
        <f>"1-121-23"</f>
        <v>1-121-23</v>
      </c>
      <c r="F6032" t="s">
        <v>65</v>
      </c>
      <c r="G6032" t="s">
        <v>66</v>
      </c>
      <c r="H6032" t="s">
        <v>67</v>
      </c>
      <c r="S6032">
        <v>1</v>
      </c>
      <c r="T6032">
        <v>0</v>
      </c>
      <c r="U6032">
        <v>0</v>
      </c>
      <c r="V6032">
        <v>0</v>
      </c>
      <c r="W6032">
        <v>1</v>
      </c>
      <c r="X6032">
        <v>0</v>
      </c>
      <c r="Y6032">
        <v>0</v>
      </c>
      <c r="Z6032">
        <v>1</v>
      </c>
      <c r="AA6032">
        <v>1</v>
      </c>
      <c r="AB6032">
        <v>0</v>
      </c>
      <c r="AC6032">
        <v>0</v>
      </c>
      <c r="AD6032">
        <v>1</v>
      </c>
      <c r="AE6032">
        <v>1</v>
      </c>
      <c r="AF6032">
        <v>1</v>
      </c>
      <c r="AG6032">
        <v>0</v>
      </c>
      <c r="AH6032">
        <v>1</v>
      </c>
      <c r="AI6032">
        <v>1</v>
      </c>
      <c r="AJ6032">
        <v>1</v>
      </c>
      <c r="AK6032">
        <v>0</v>
      </c>
      <c r="AL6032">
        <v>1</v>
      </c>
      <c r="AM6032">
        <v>0</v>
      </c>
    </row>
    <row r="6033" spans="1:39" x14ac:dyDescent="0.2">
      <c r="A6033" t="str">
        <f>"6029"</f>
        <v>6029</v>
      </c>
      <c r="B6033" t="str">
        <f t="shared" si="335"/>
        <v>1</v>
      </c>
      <c r="C6033" t="str">
        <f t="shared" si="334"/>
        <v>121</v>
      </c>
      <c r="D6033" t="str">
        <f>"6"</f>
        <v>6</v>
      </c>
      <c r="E6033" t="str">
        <f>"1-121-6"</f>
        <v>1-121-6</v>
      </c>
      <c r="F6033" t="s">
        <v>65</v>
      </c>
      <c r="G6033" t="s">
        <v>66</v>
      </c>
      <c r="H6033" t="s">
        <v>67</v>
      </c>
      <c r="S6033">
        <v>1</v>
      </c>
      <c r="T6033">
        <v>0</v>
      </c>
      <c r="U6033">
        <v>0</v>
      </c>
      <c r="V6033">
        <v>0</v>
      </c>
      <c r="W6033">
        <v>1</v>
      </c>
      <c r="X6033">
        <v>0</v>
      </c>
      <c r="Y6033">
        <v>1</v>
      </c>
      <c r="Z6033">
        <v>0</v>
      </c>
      <c r="AA6033">
        <v>0</v>
      </c>
      <c r="AB6033">
        <v>1</v>
      </c>
      <c r="AC6033">
        <v>0</v>
      </c>
      <c r="AD6033">
        <v>0</v>
      </c>
      <c r="AE6033">
        <v>0</v>
      </c>
      <c r="AF6033">
        <v>0</v>
      </c>
      <c r="AG6033">
        <v>1</v>
      </c>
      <c r="AH6033">
        <v>1</v>
      </c>
      <c r="AI6033">
        <v>1</v>
      </c>
      <c r="AJ6033">
        <v>1</v>
      </c>
      <c r="AK6033">
        <v>1</v>
      </c>
      <c r="AL6033">
        <v>1</v>
      </c>
      <c r="AM6033">
        <v>1</v>
      </c>
    </row>
    <row r="6034" spans="1:39" x14ac:dyDescent="0.2">
      <c r="A6034" t="str">
        <f>"6030"</f>
        <v>6030</v>
      </c>
      <c r="B6034" t="str">
        <f t="shared" si="335"/>
        <v>1</v>
      </c>
      <c r="C6034" t="str">
        <f t="shared" si="334"/>
        <v>121</v>
      </c>
      <c r="D6034" t="str">
        <f>"46"</f>
        <v>46</v>
      </c>
      <c r="E6034" t="str">
        <f>"1-121-46"</f>
        <v>1-121-46</v>
      </c>
      <c r="F6034" t="s">
        <v>65</v>
      </c>
      <c r="G6034" t="s">
        <v>66</v>
      </c>
      <c r="H6034" t="s">
        <v>67</v>
      </c>
      <c r="S6034">
        <v>1</v>
      </c>
      <c r="T6034">
        <v>0</v>
      </c>
      <c r="U6034">
        <v>0</v>
      </c>
      <c r="V6034">
        <v>0</v>
      </c>
      <c r="W6034">
        <v>1</v>
      </c>
      <c r="X6034">
        <v>0</v>
      </c>
      <c r="Y6034">
        <v>1</v>
      </c>
      <c r="Z6034">
        <v>0</v>
      </c>
      <c r="AA6034">
        <v>0</v>
      </c>
      <c r="AB6034">
        <v>0</v>
      </c>
      <c r="AC6034">
        <v>1</v>
      </c>
      <c r="AD6034">
        <v>1</v>
      </c>
      <c r="AE6034">
        <v>1</v>
      </c>
      <c r="AF6034">
        <v>1</v>
      </c>
      <c r="AG6034">
        <v>1</v>
      </c>
      <c r="AH6034">
        <v>1</v>
      </c>
      <c r="AI6034">
        <v>1</v>
      </c>
      <c r="AJ6034">
        <v>1</v>
      </c>
      <c r="AK6034">
        <v>1</v>
      </c>
      <c r="AL6034">
        <v>1</v>
      </c>
      <c r="AM6034">
        <v>1</v>
      </c>
    </row>
    <row r="6035" spans="1:39" x14ac:dyDescent="0.2">
      <c r="A6035" t="str">
        <f>"6031"</f>
        <v>6031</v>
      </c>
      <c r="B6035" t="str">
        <f t="shared" si="335"/>
        <v>1</v>
      </c>
      <c r="C6035" t="str">
        <f t="shared" si="334"/>
        <v>121</v>
      </c>
      <c r="D6035" t="str">
        <f>"24"</f>
        <v>24</v>
      </c>
      <c r="E6035" t="str">
        <f>"1-121-24"</f>
        <v>1-121-24</v>
      </c>
      <c r="F6035" t="s">
        <v>65</v>
      </c>
      <c r="G6035" t="s">
        <v>66</v>
      </c>
      <c r="H6035" t="s">
        <v>67</v>
      </c>
      <c r="S6035">
        <v>0</v>
      </c>
      <c r="T6035">
        <v>1</v>
      </c>
      <c r="U6035">
        <v>0</v>
      </c>
      <c r="V6035">
        <v>0</v>
      </c>
      <c r="W6035">
        <v>0</v>
      </c>
      <c r="X6035">
        <v>1</v>
      </c>
      <c r="Y6035">
        <v>1</v>
      </c>
      <c r="Z6035">
        <v>0</v>
      </c>
      <c r="AA6035">
        <v>0</v>
      </c>
      <c r="AB6035">
        <v>1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</row>
    <row r="6036" spans="1:39" x14ac:dyDescent="0.2">
      <c r="A6036" t="str">
        <f>"6032"</f>
        <v>6032</v>
      </c>
      <c r="B6036" t="str">
        <f t="shared" si="335"/>
        <v>1</v>
      </c>
      <c r="C6036" t="str">
        <f t="shared" si="334"/>
        <v>121</v>
      </c>
      <c r="D6036" t="str">
        <f>"13"</f>
        <v>13</v>
      </c>
      <c r="E6036" t="str">
        <f>"1-121-13"</f>
        <v>1-121-13</v>
      </c>
      <c r="F6036" t="s">
        <v>65</v>
      </c>
      <c r="G6036" t="s">
        <v>66</v>
      </c>
      <c r="H6036" t="s">
        <v>67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1</v>
      </c>
      <c r="AH6036">
        <v>0</v>
      </c>
      <c r="AI6036">
        <v>1</v>
      </c>
      <c r="AJ6036">
        <v>0</v>
      </c>
      <c r="AK6036">
        <v>0</v>
      </c>
      <c r="AL6036">
        <v>0</v>
      </c>
      <c r="AM6036">
        <v>0</v>
      </c>
    </row>
    <row r="6037" spans="1:39" x14ac:dyDescent="0.2">
      <c r="A6037" t="str">
        <f>"6033"</f>
        <v>6033</v>
      </c>
      <c r="B6037" t="str">
        <f t="shared" si="335"/>
        <v>1</v>
      </c>
      <c r="C6037" t="str">
        <f t="shared" ref="C6037:C6054" si="336">"121"</f>
        <v>121</v>
      </c>
      <c r="D6037" t="str">
        <f>"43"</f>
        <v>43</v>
      </c>
      <c r="E6037" t="str">
        <f>"1-121-43"</f>
        <v>1-121-43</v>
      </c>
      <c r="F6037" t="s">
        <v>65</v>
      </c>
      <c r="G6037" t="s">
        <v>66</v>
      </c>
      <c r="H6037" t="s">
        <v>67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1</v>
      </c>
      <c r="AH6037">
        <v>1</v>
      </c>
      <c r="AI6037">
        <v>0</v>
      </c>
      <c r="AJ6037">
        <v>1</v>
      </c>
      <c r="AK6037">
        <v>1</v>
      </c>
      <c r="AL6037">
        <v>1</v>
      </c>
      <c r="AM6037">
        <v>1</v>
      </c>
    </row>
    <row r="6038" spans="1:39" x14ac:dyDescent="0.2">
      <c r="A6038" t="str">
        <f>"6034"</f>
        <v>6034</v>
      </c>
      <c r="B6038" t="str">
        <f t="shared" si="335"/>
        <v>1</v>
      </c>
      <c r="C6038" t="str">
        <f t="shared" si="336"/>
        <v>121</v>
      </c>
      <c r="D6038" t="str">
        <f>"27"</f>
        <v>27</v>
      </c>
      <c r="E6038" t="str">
        <f>"1-121-27"</f>
        <v>1-121-27</v>
      </c>
      <c r="F6038" t="s">
        <v>65</v>
      </c>
      <c r="G6038" t="s">
        <v>66</v>
      </c>
      <c r="H6038" t="s">
        <v>67</v>
      </c>
      <c r="S6038">
        <v>0</v>
      </c>
      <c r="T6038">
        <v>1</v>
      </c>
      <c r="U6038">
        <v>0</v>
      </c>
      <c r="V6038">
        <v>0</v>
      </c>
      <c r="W6038">
        <v>1</v>
      </c>
      <c r="X6038">
        <v>0</v>
      </c>
      <c r="Y6038">
        <v>1</v>
      </c>
      <c r="Z6038">
        <v>0</v>
      </c>
      <c r="AA6038">
        <v>0</v>
      </c>
      <c r="AB6038">
        <v>0</v>
      </c>
      <c r="AC6038">
        <v>1</v>
      </c>
      <c r="AD6038">
        <v>1</v>
      </c>
      <c r="AE6038">
        <v>1</v>
      </c>
      <c r="AF6038">
        <v>1</v>
      </c>
      <c r="AG6038">
        <v>1</v>
      </c>
      <c r="AH6038">
        <v>1</v>
      </c>
      <c r="AI6038">
        <v>1</v>
      </c>
      <c r="AJ6038">
        <v>1</v>
      </c>
      <c r="AK6038">
        <v>1</v>
      </c>
      <c r="AL6038">
        <v>1</v>
      </c>
      <c r="AM6038">
        <v>1</v>
      </c>
    </row>
    <row r="6039" spans="1:39" x14ac:dyDescent="0.2">
      <c r="A6039" t="str">
        <f>"6035"</f>
        <v>6035</v>
      </c>
      <c r="B6039" t="str">
        <f t="shared" si="335"/>
        <v>1</v>
      </c>
      <c r="C6039" t="str">
        <f t="shared" si="336"/>
        <v>121</v>
      </c>
      <c r="D6039" t="str">
        <f>"4"</f>
        <v>4</v>
      </c>
      <c r="E6039" t="str">
        <f>"1-121-4"</f>
        <v>1-121-4</v>
      </c>
      <c r="F6039" t="s">
        <v>65</v>
      </c>
      <c r="G6039" t="s">
        <v>66</v>
      </c>
      <c r="H6039" t="s">
        <v>67</v>
      </c>
      <c r="S6039">
        <v>0</v>
      </c>
      <c r="T6039">
        <v>1</v>
      </c>
      <c r="U6039">
        <v>0</v>
      </c>
      <c r="V6039">
        <v>0</v>
      </c>
      <c r="W6039">
        <v>1</v>
      </c>
      <c r="X6039">
        <v>0</v>
      </c>
      <c r="Y6039">
        <v>0</v>
      </c>
      <c r="Z6039">
        <v>1</v>
      </c>
      <c r="AA6039">
        <v>1</v>
      </c>
      <c r="AB6039">
        <v>0</v>
      </c>
      <c r="AC6039">
        <v>0</v>
      </c>
      <c r="AD6039">
        <v>1</v>
      </c>
      <c r="AE6039">
        <v>1</v>
      </c>
      <c r="AF6039">
        <v>1</v>
      </c>
      <c r="AG6039">
        <v>1</v>
      </c>
      <c r="AH6039">
        <v>1</v>
      </c>
      <c r="AI6039">
        <v>1</v>
      </c>
      <c r="AJ6039">
        <v>1</v>
      </c>
      <c r="AK6039">
        <v>1</v>
      </c>
      <c r="AL6039">
        <v>1</v>
      </c>
      <c r="AM6039">
        <v>1</v>
      </c>
    </row>
    <row r="6040" spans="1:39" x14ac:dyDescent="0.2">
      <c r="A6040" t="str">
        <f>"6036"</f>
        <v>6036</v>
      </c>
      <c r="B6040" t="str">
        <f t="shared" si="335"/>
        <v>1</v>
      </c>
      <c r="C6040" t="str">
        <f t="shared" si="336"/>
        <v>121</v>
      </c>
      <c r="D6040" t="str">
        <f>"45"</f>
        <v>45</v>
      </c>
      <c r="E6040" t="str">
        <f>"1-121-45"</f>
        <v>1-121-45</v>
      </c>
      <c r="F6040" t="s">
        <v>65</v>
      </c>
      <c r="G6040" t="s">
        <v>66</v>
      </c>
      <c r="H6040" t="s">
        <v>67</v>
      </c>
      <c r="S6040">
        <v>1</v>
      </c>
      <c r="T6040">
        <v>0</v>
      </c>
      <c r="U6040">
        <v>0</v>
      </c>
      <c r="V6040">
        <v>0</v>
      </c>
      <c r="W6040">
        <v>1</v>
      </c>
      <c r="X6040">
        <v>0</v>
      </c>
      <c r="Y6040">
        <v>1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1</v>
      </c>
      <c r="AF6040">
        <v>1</v>
      </c>
      <c r="AG6040">
        <v>1</v>
      </c>
      <c r="AH6040">
        <v>1</v>
      </c>
      <c r="AI6040">
        <v>1</v>
      </c>
      <c r="AJ6040">
        <v>1</v>
      </c>
      <c r="AK6040">
        <v>1</v>
      </c>
      <c r="AL6040">
        <v>1</v>
      </c>
      <c r="AM6040">
        <v>1</v>
      </c>
    </row>
    <row r="6041" spans="1:39" x14ac:dyDescent="0.2">
      <c r="A6041" t="str">
        <f>"6037"</f>
        <v>6037</v>
      </c>
      <c r="B6041" t="str">
        <f t="shared" si="335"/>
        <v>1</v>
      </c>
      <c r="C6041" t="str">
        <f t="shared" si="336"/>
        <v>121</v>
      </c>
      <c r="D6041" t="str">
        <f>"30"</f>
        <v>30</v>
      </c>
      <c r="E6041" t="str">
        <f>"1-121-30"</f>
        <v>1-121-30</v>
      </c>
      <c r="F6041" t="s">
        <v>65</v>
      </c>
      <c r="G6041" t="s">
        <v>66</v>
      </c>
      <c r="H6041" t="s">
        <v>67</v>
      </c>
      <c r="S6041">
        <v>1</v>
      </c>
      <c r="T6041">
        <v>0</v>
      </c>
      <c r="U6041">
        <v>0</v>
      </c>
      <c r="V6041">
        <v>0</v>
      </c>
      <c r="W6041">
        <v>1</v>
      </c>
      <c r="X6041">
        <v>0</v>
      </c>
      <c r="Y6041">
        <v>1</v>
      </c>
      <c r="Z6041">
        <v>0</v>
      </c>
      <c r="AA6041">
        <v>0</v>
      </c>
      <c r="AB6041">
        <v>0</v>
      </c>
      <c r="AC6041">
        <v>1</v>
      </c>
      <c r="AD6041">
        <v>1</v>
      </c>
      <c r="AE6041">
        <v>1</v>
      </c>
      <c r="AF6041">
        <v>1</v>
      </c>
      <c r="AG6041">
        <v>1</v>
      </c>
      <c r="AH6041">
        <v>1</v>
      </c>
      <c r="AI6041">
        <v>1</v>
      </c>
      <c r="AJ6041">
        <v>1</v>
      </c>
      <c r="AK6041">
        <v>1</v>
      </c>
      <c r="AL6041">
        <v>1</v>
      </c>
      <c r="AM6041">
        <v>1</v>
      </c>
    </row>
    <row r="6042" spans="1:39" x14ac:dyDescent="0.2">
      <c r="A6042" t="str">
        <f>"6038"</f>
        <v>6038</v>
      </c>
      <c r="B6042" t="str">
        <f t="shared" si="335"/>
        <v>1</v>
      </c>
      <c r="C6042" t="str">
        <f t="shared" si="336"/>
        <v>121</v>
      </c>
      <c r="D6042" t="str">
        <f>"7"</f>
        <v>7</v>
      </c>
      <c r="E6042" t="str">
        <f>"1-121-7"</f>
        <v>1-121-7</v>
      </c>
      <c r="F6042" t="s">
        <v>65</v>
      </c>
      <c r="G6042" t="s">
        <v>66</v>
      </c>
      <c r="H6042" t="s">
        <v>67</v>
      </c>
      <c r="S6042">
        <v>1</v>
      </c>
      <c r="T6042">
        <v>0</v>
      </c>
      <c r="U6042">
        <v>0</v>
      </c>
      <c r="V6042">
        <v>0</v>
      </c>
      <c r="W6042">
        <v>1</v>
      </c>
      <c r="X6042">
        <v>0</v>
      </c>
      <c r="Y6042">
        <v>1</v>
      </c>
      <c r="Z6042">
        <v>0</v>
      </c>
      <c r="AA6042">
        <v>0</v>
      </c>
      <c r="AB6042">
        <v>1</v>
      </c>
      <c r="AC6042">
        <v>0</v>
      </c>
      <c r="AD6042">
        <v>0</v>
      </c>
      <c r="AE6042">
        <v>0</v>
      </c>
      <c r="AF6042">
        <v>0</v>
      </c>
      <c r="AG6042">
        <v>1</v>
      </c>
      <c r="AH6042">
        <v>1</v>
      </c>
      <c r="AI6042">
        <v>1</v>
      </c>
      <c r="AJ6042">
        <v>1</v>
      </c>
      <c r="AK6042">
        <v>1</v>
      </c>
      <c r="AL6042">
        <v>0</v>
      </c>
      <c r="AM6042">
        <v>1</v>
      </c>
    </row>
    <row r="6043" spans="1:39" x14ac:dyDescent="0.2">
      <c r="A6043" t="str">
        <f>"6039"</f>
        <v>6039</v>
      </c>
      <c r="B6043" t="str">
        <f t="shared" si="335"/>
        <v>1</v>
      </c>
      <c r="C6043" t="str">
        <f t="shared" si="336"/>
        <v>121</v>
      </c>
      <c r="D6043" t="str">
        <f>"49"</f>
        <v>49</v>
      </c>
      <c r="E6043" t="str">
        <f>"1-121-49"</f>
        <v>1-121-49</v>
      </c>
      <c r="F6043" t="s">
        <v>65</v>
      </c>
      <c r="G6043" t="s">
        <v>66</v>
      </c>
      <c r="H6043" t="s">
        <v>67</v>
      </c>
      <c r="S6043">
        <v>0</v>
      </c>
      <c r="T6043">
        <v>1</v>
      </c>
      <c r="U6043">
        <v>0</v>
      </c>
      <c r="V6043">
        <v>0</v>
      </c>
      <c r="W6043">
        <v>1</v>
      </c>
      <c r="X6043">
        <v>0</v>
      </c>
      <c r="Y6043">
        <v>0</v>
      </c>
      <c r="Z6043">
        <v>1</v>
      </c>
      <c r="AA6043">
        <v>1</v>
      </c>
      <c r="AB6043">
        <v>0</v>
      </c>
      <c r="AC6043">
        <v>0</v>
      </c>
      <c r="AD6043">
        <v>1</v>
      </c>
      <c r="AE6043">
        <v>1</v>
      </c>
      <c r="AF6043">
        <v>1</v>
      </c>
      <c r="AG6043">
        <v>1</v>
      </c>
      <c r="AH6043">
        <v>1</v>
      </c>
      <c r="AI6043">
        <v>1</v>
      </c>
      <c r="AJ6043">
        <v>1</v>
      </c>
      <c r="AK6043">
        <v>1</v>
      </c>
      <c r="AL6043">
        <v>1</v>
      </c>
      <c r="AM6043">
        <v>1</v>
      </c>
    </row>
    <row r="6044" spans="1:39" x14ac:dyDescent="0.2">
      <c r="A6044" t="str">
        <f>"6040"</f>
        <v>6040</v>
      </c>
      <c r="B6044" t="str">
        <f t="shared" si="335"/>
        <v>1</v>
      </c>
      <c r="C6044" t="str">
        <f t="shared" si="336"/>
        <v>121</v>
      </c>
      <c r="D6044" t="str">
        <f>"31"</f>
        <v>31</v>
      </c>
      <c r="E6044" t="str">
        <f>"1-121-31"</f>
        <v>1-121-31</v>
      </c>
      <c r="F6044" t="s">
        <v>65</v>
      </c>
      <c r="G6044" t="s">
        <v>66</v>
      </c>
      <c r="H6044" t="s">
        <v>67</v>
      </c>
      <c r="S6044">
        <v>0</v>
      </c>
      <c r="T6044">
        <v>1</v>
      </c>
      <c r="U6044">
        <v>0</v>
      </c>
      <c r="V6044">
        <v>0</v>
      </c>
      <c r="W6044">
        <v>0</v>
      </c>
      <c r="X6044">
        <v>1</v>
      </c>
      <c r="Y6044">
        <v>1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1</v>
      </c>
      <c r="AF6044">
        <v>1</v>
      </c>
      <c r="AG6044">
        <v>1</v>
      </c>
      <c r="AH6044">
        <v>1</v>
      </c>
      <c r="AI6044">
        <v>1</v>
      </c>
      <c r="AJ6044">
        <v>1</v>
      </c>
      <c r="AK6044">
        <v>1</v>
      </c>
      <c r="AL6044">
        <v>1</v>
      </c>
      <c r="AM6044">
        <v>1</v>
      </c>
    </row>
    <row r="6045" spans="1:39" x14ac:dyDescent="0.2">
      <c r="A6045" t="str">
        <f>"6041"</f>
        <v>6041</v>
      </c>
      <c r="B6045" t="str">
        <f t="shared" si="335"/>
        <v>1</v>
      </c>
      <c r="C6045" t="str">
        <f t="shared" si="336"/>
        <v>121</v>
      </c>
      <c r="D6045" t="str">
        <f>"12"</f>
        <v>12</v>
      </c>
      <c r="E6045" t="str">
        <f>"1-121-12"</f>
        <v>1-121-12</v>
      </c>
      <c r="F6045" t="s">
        <v>65</v>
      </c>
      <c r="G6045" t="s">
        <v>66</v>
      </c>
      <c r="H6045" t="s">
        <v>67</v>
      </c>
      <c r="S6045">
        <v>1</v>
      </c>
      <c r="T6045">
        <v>0</v>
      </c>
      <c r="U6045">
        <v>0</v>
      </c>
      <c r="V6045">
        <v>0</v>
      </c>
      <c r="W6045">
        <v>1</v>
      </c>
      <c r="X6045">
        <v>0</v>
      </c>
      <c r="Y6045">
        <v>0</v>
      </c>
      <c r="Z6045">
        <v>1</v>
      </c>
      <c r="AA6045">
        <v>1</v>
      </c>
      <c r="AB6045">
        <v>0</v>
      </c>
      <c r="AC6045">
        <v>0</v>
      </c>
      <c r="AD6045">
        <v>1</v>
      </c>
      <c r="AE6045">
        <v>1</v>
      </c>
      <c r="AF6045">
        <v>1</v>
      </c>
      <c r="AG6045">
        <v>1</v>
      </c>
      <c r="AH6045">
        <v>1</v>
      </c>
      <c r="AI6045">
        <v>1</v>
      </c>
      <c r="AJ6045">
        <v>1</v>
      </c>
      <c r="AK6045">
        <v>1</v>
      </c>
      <c r="AL6045">
        <v>1</v>
      </c>
      <c r="AM6045">
        <v>1</v>
      </c>
    </row>
    <row r="6046" spans="1:39" x14ac:dyDescent="0.2">
      <c r="A6046" t="str">
        <f>"6042"</f>
        <v>6042</v>
      </c>
      <c r="B6046" t="str">
        <f t="shared" si="335"/>
        <v>1</v>
      </c>
      <c r="C6046" t="str">
        <f t="shared" si="336"/>
        <v>121</v>
      </c>
      <c r="D6046" t="str">
        <f>"47"</f>
        <v>47</v>
      </c>
      <c r="E6046" t="str">
        <f>"1-121-47"</f>
        <v>1-121-47</v>
      </c>
      <c r="F6046" t="s">
        <v>65</v>
      </c>
      <c r="G6046" t="s">
        <v>66</v>
      </c>
      <c r="H6046" t="s">
        <v>67</v>
      </c>
      <c r="S6046">
        <v>0</v>
      </c>
      <c r="T6046">
        <v>1</v>
      </c>
      <c r="U6046">
        <v>0</v>
      </c>
      <c r="V6046">
        <v>0</v>
      </c>
      <c r="W6046">
        <v>1</v>
      </c>
      <c r="X6046">
        <v>0</v>
      </c>
      <c r="Y6046">
        <v>1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1</v>
      </c>
      <c r="AF6046">
        <v>1</v>
      </c>
      <c r="AG6046">
        <v>1</v>
      </c>
      <c r="AH6046">
        <v>1</v>
      </c>
      <c r="AI6046">
        <v>1</v>
      </c>
      <c r="AJ6046">
        <v>1</v>
      </c>
      <c r="AK6046">
        <v>1</v>
      </c>
      <c r="AL6046">
        <v>1</v>
      </c>
      <c r="AM6046">
        <v>1</v>
      </c>
    </row>
    <row r="6047" spans="1:39" x14ac:dyDescent="0.2">
      <c r="A6047" t="str">
        <f>"6043"</f>
        <v>6043</v>
      </c>
      <c r="B6047" t="str">
        <f t="shared" si="335"/>
        <v>1</v>
      </c>
      <c r="C6047" t="str">
        <f t="shared" si="336"/>
        <v>121</v>
      </c>
      <c r="D6047" t="str">
        <f>"32"</f>
        <v>32</v>
      </c>
      <c r="E6047" t="str">
        <f>"1-121-32"</f>
        <v>1-121-32</v>
      </c>
      <c r="F6047" t="s">
        <v>65</v>
      </c>
      <c r="G6047" t="s">
        <v>66</v>
      </c>
      <c r="H6047" t="s">
        <v>67</v>
      </c>
      <c r="S6047">
        <v>1</v>
      </c>
      <c r="T6047">
        <v>0</v>
      </c>
      <c r="U6047">
        <v>0</v>
      </c>
      <c r="V6047">
        <v>0</v>
      </c>
      <c r="W6047">
        <v>1</v>
      </c>
      <c r="X6047">
        <v>0</v>
      </c>
      <c r="Y6047">
        <v>0</v>
      </c>
      <c r="Z6047">
        <v>1</v>
      </c>
      <c r="AA6047">
        <v>1</v>
      </c>
      <c r="AB6047">
        <v>0</v>
      </c>
      <c r="AC6047">
        <v>0</v>
      </c>
      <c r="AD6047">
        <v>1</v>
      </c>
      <c r="AE6047">
        <v>1</v>
      </c>
      <c r="AF6047">
        <v>1</v>
      </c>
      <c r="AG6047">
        <v>1</v>
      </c>
      <c r="AH6047">
        <v>1</v>
      </c>
      <c r="AI6047">
        <v>1</v>
      </c>
      <c r="AJ6047">
        <v>1</v>
      </c>
      <c r="AK6047">
        <v>1</v>
      </c>
      <c r="AL6047">
        <v>1</v>
      </c>
      <c r="AM6047">
        <v>1</v>
      </c>
    </row>
    <row r="6048" spans="1:39" x14ac:dyDescent="0.2">
      <c r="A6048" t="str">
        <f>"6044"</f>
        <v>6044</v>
      </c>
      <c r="B6048" t="str">
        <f t="shared" si="335"/>
        <v>1</v>
      </c>
      <c r="C6048" t="str">
        <f t="shared" si="336"/>
        <v>121</v>
      </c>
      <c r="D6048" t="str">
        <f>"14"</f>
        <v>14</v>
      </c>
      <c r="E6048" t="str">
        <f>"1-121-14"</f>
        <v>1-121-14</v>
      </c>
      <c r="F6048" t="s">
        <v>65</v>
      </c>
      <c r="G6048" t="s">
        <v>66</v>
      </c>
      <c r="H6048" t="s">
        <v>67</v>
      </c>
      <c r="S6048">
        <v>0</v>
      </c>
      <c r="T6048">
        <v>1</v>
      </c>
      <c r="U6048">
        <v>0</v>
      </c>
      <c r="V6048">
        <v>0</v>
      </c>
      <c r="W6048">
        <v>0</v>
      </c>
      <c r="X6048">
        <v>1</v>
      </c>
      <c r="Y6048">
        <v>0</v>
      </c>
      <c r="Z6048">
        <v>1</v>
      </c>
      <c r="AA6048">
        <v>0</v>
      </c>
      <c r="AB6048">
        <v>1</v>
      </c>
      <c r="AC6048">
        <v>0</v>
      </c>
      <c r="AD6048">
        <v>1</v>
      </c>
      <c r="AE6048">
        <v>1</v>
      </c>
      <c r="AF6048">
        <v>1</v>
      </c>
      <c r="AG6048">
        <v>1</v>
      </c>
      <c r="AH6048">
        <v>1</v>
      </c>
      <c r="AI6048">
        <v>1</v>
      </c>
      <c r="AJ6048">
        <v>1</v>
      </c>
      <c r="AK6048">
        <v>1</v>
      </c>
      <c r="AL6048">
        <v>1</v>
      </c>
      <c r="AM6048">
        <v>1</v>
      </c>
    </row>
    <row r="6049" spans="1:39" x14ac:dyDescent="0.2">
      <c r="A6049" t="str">
        <f>"6045"</f>
        <v>6045</v>
      </c>
      <c r="B6049" t="str">
        <f t="shared" si="335"/>
        <v>1</v>
      </c>
      <c r="C6049" t="str">
        <f t="shared" si="336"/>
        <v>121</v>
      </c>
      <c r="D6049" t="str">
        <f>"33"</f>
        <v>33</v>
      </c>
      <c r="E6049" t="str">
        <f>"1-121-33"</f>
        <v>1-121-33</v>
      </c>
      <c r="F6049" t="s">
        <v>65</v>
      </c>
      <c r="G6049" t="s">
        <v>66</v>
      </c>
      <c r="H6049" t="s">
        <v>67</v>
      </c>
      <c r="S6049">
        <v>1</v>
      </c>
      <c r="T6049">
        <v>0</v>
      </c>
      <c r="U6049">
        <v>0</v>
      </c>
      <c r="V6049">
        <v>0</v>
      </c>
      <c r="W6049">
        <v>1</v>
      </c>
      <c r="X6049">
        <v>0</v>
      </c>
      <c r="Y6049">
        <v>1</v>
      </c>
      <c r="Z6049">
        <v>0</v>
      </c>
      <c r="AA6049">
        <v>0</v>
      </c>
      <c r="AB6049">
        <v>1</v>
      </c>
      <c r="AC6049">
        <v>0</v>
      </c>
      <c r="AD6049">
        <v>1</v>
      </c>
      <c r="AE6049">
        <v>1</v>
      </c>
      <c r="AF6049">
        <v>1</v>
      </c>
      <c r="AG6049">
        <v>1</v>
      </c>
      <c r="AH6049">
        <v>1</v>
      </c>
      <c r="AI6049">
        <v>1</v>
      </c>
      <c r="AJ6049">
        <v>1</v>
      </c>
      <c r="AK6049">
        <v>1</v>
      </c>
      <c r="AL6049">
        <v>1</v>
      </c>
      <c r="AM6049">
        <v>1</v>
      </c>
    </row>
    <row r="6050" spans="1:39" x14ac:dyDescent="0.2">
      <c r="A6050" t="str">
        <f>"6046"</f>
        <v>6046</v>
      </c>
      <c r="B6050" t="str">
        <f t="shared" si="335"/>
        <v>1</v>
      </c>
      <c r="C6050" t="str">
        <f t="shared" si="336"/>
        <v>121</v>
      </c>
      <c r="D6050" t="str">
        <f>"11"</f>
        <v>11</v>
      </c>
      <c r="E6050" t="str">
        <f>"1-121-11"</f>
        <v>1-121-11</v>
      </c>
      <c r="F6050" t="s">
        <v>65</v>
      </c>
      <c r="G6050" t="s">
        <v>66</v>
      </c>
      <c r="H6050" t="s">
        <v>67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0</v>
      </c>
      <c r="AB6050">
        <v>0</v>
      </c>
      <c r="AC6050">
        <v>1</v>
      </c>
      <c r="AD6050">
        <v>0</v>
      </c>
      <c r="AE6050">
        <v>0</v>
      </c>
      <c r="AF6050">
        <v>0</v>
      </c>
      <c r="AG6050">
        <v>1</v>
      </c>
      <c r="AH6050">
        <v>1</v>
      </c>
      <c r="AI6050">
        <v>1</v>
      </c>
      <c r="AJ6050">
        <v>1</v>
      </c>
      <c r="AK6050">
        <v>1</v>
      </c>
      <c r="AL6050">
        <v>1</v>
      </c>
      <c r="AM6050">
        <v>0</v>
      </c>
    </row>
    <row r="6051" spans="1:39" x14ac:dyDescent="0.2">
      <c r="A6051" t="str">
        <f>"6047"</f>
        <v>6047</v>
      </c>
      <c r="B6051" t="str">
        <f t="shared" si="335"/>
        <v>1</v>
      </c>
      <c r="C6051" t="str">
        <f t="shared" si="336"/>
        <v>121</v>
      </c>
      <c r="D6051" t="str">
        <f>"48"</f>
        <v>48</v>
      </c>
      <c r="E6051" t="str">
        <f>"1-121-48"</f>
        <v>1-121-48</v>
      </c>
      <c r="F6051" t="s">
        <v>65</v>
      </c>
      <c r="G6051" t="s">
        <v>66</v>
      </c>
      <c r="H6051" t="s">
        <v>67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0</v>
      </c>
      <c r="AB6051">
        <v>0</v>
      </c>
      <c r="AC6051">
        <v>1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</row>
    <row r="6052" spans="1:39" x14ac:dyDescent="0.2">
      <c r="A6052" t="str">
        <f>"6048"</f>
        <v>6048</v>
      </c>
      <c r="B6052" t="str">
        <f t="shared" si="335"/>
        <v>1</v>
      </c>
      <c r="C6052" t="str">
        <f t="shared" si="336"/>
        <v>121</v>
      </c>
      <c r="D6052" t="str">
        <f>"34"</f>
        <v>34</v>
      </c>
      <c r="E6052" t="str">
        <f>"1-121-34"</f>
        <v>1-121-34</v>
      </c>
      <c r="F6052" t="s">
        <v>65</v>
      </c>
      <c r="G6052" t="s">
        <v>66</v>
      </c>
      <c r="H6052" t="s">
        <v>67</v>
      </c>
      <c r="S6052">
        <v>0</v>
      </c>
      <c r="T6052">
        <v>1</v>
      </c>
      <c r="U6052">
        <v>0</v>
      </c>
      <c r="V6052">
        <v>0</v>
      </c>
      <c r="W6052">
        <v>1</v>
      </c>
      <c r="X6052">
        <v>0</v>
      </c>
      <c r="Y6052">
        <v>0</v>
      </c>
      <c r="Z6052">
        <v>1</v>
      </c>
      <c r="AA6052">
        <v>1</v>
      </c>
      <c r="AB6052">
        <v>0</v>
      </c>
      <c r="AC6052">
        <v>0</v>
      </c>
      <c r="AD6052">
        <v>1</v>
      </c>
      <c r="AE6052">
        <v>1</v>
      </c>
      <c r="AF6052">
        <v>1</v>
      </c>
      <c r="AG6052">
        <v>1</v>
      </c>
      <c r="AH6052">
        <v>1</v>
      </c>
      <c r="AI6052">
        <v>1</v>
      </c>
      <c r="AJ6052">
        <v>1</v>
      </c>
      <c r="AK6052">
        <v>1</v>
      </c>
      <c r="AL6052">
        <v>1</v>
      </c>
      <c r="AM6052">
        <v>1</v>
      </c>
    </row>
    <row r="6053" spans="1:39" x14ac:dyDescent="0.2">
      <c r="A6053" t="str">
        <f>"6049"</f>
        <v>6049</v>
      </c>
      <c r="B6053" t="str">
        <f t="shared" si="335"/>
        <v>1</v>
      </c>
      <c r="C6053" t="str">
        <f t="shared" si="336"/>
        <v>121</v>
      </c>
      <c r="D6053" t="str">
        <f>"8"</f>
        <v>8</v>
      </c>
      <c r="E6053" t="str">
        <f>"1-121-8"</f>
        <v>1-121-8</v>
      </c>
      <c r="F6053" t="s">
        <v>65</v>
      </c>
      <c r="G6053" t="s">
        <v>66</v>
      </c>
      <c r="H6053" t="s">
        <v>67</v>
      </c>
      <c r="S6053">
        <v>1</v>
      </c>
      <c r="T6053">
        <v>0</v>
      </c>
      <c r="U6053">
        <v>0</v>
      </c>
      <c r="V6053">
        <v>0</v>
      </c>
      <c r="W6053">
        <v>1</v>
      </c>
      <c r="X6053">
        <v>0</v>
      </c>
      <c r="Y6053">
        <v>1</v>
      </c>
      <c r="Z6053">
        <v>0</v>
      </c>
      <c r="AA6053">
        <v>0</v>
      </c>
      <c r="AB6053">
        <v>1</v>
      </c>
      <c r="AC6053">
        <v>0</v>
      </c>
      <c r="AD6053">
        <v>1</v>
      </c>
      <c r="AE6053">
        <v>1</v>
      </c>
      <c r="AF6053">
        <v>1</v>
      </c>
      <c r="AG6053">
        <v>1</v>
      </c>
      <c r="AH6053">
        <v>1</v>
      </c>
      <c r="AI6053">
        <v>1</v>
      </c>
      <c r="AJ6053">
        <v>1</v>
      </c>
      <c r="AK6053">
        <v>1</v>
      </c>
      <c r="AL6053">
        <v>1</v>
      </c>
      <c r="AM6053">
        <v>0</v>
      </c>
    </row>
    <row r="6054" spans="1:39" x14ac:dyDescent="0.2">
      <c r="A6054" t="str">
        <f>"6050"</f>
        <v>6050</v>
      </c>
      <c r="B6054" t="str">
        <f t="shared" si="335"/>
        <v>1</v>
      </c>
      <c r="C6054" t="str">
        <f t="shared" si="336"/>
        <v>121</v>
      </c>
      <c r="D6054" t="str">
        <f>"50"</f>
        <v>50</v>
      </c>
      <c r="E6054" t="str">
        <f>"1-121-50"</f>
        <v>1-121-50</v>
      </c>
      <c r="F6054" t="s">
        <v>65</v>
      </c>
      <c r="G6054" t="s">
        <v>66</v>
      </c>
      <c r="H6054" t="s">
        <v>67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1</v>
      </c>
      <c r="AH6054">
        <v>1</v>
      </c>
      <c r="AI6054">
        <v>1</v>
      </c>
      <c r="AJ6054">
        <v>1</v>
      </c>
      <c r="AK6054">
        <v>1</v>
      </c>
      <c r="AL6054">
        <v>1</v>
      </c>
      <c r="AM6054">
        <v>1</v>
      </c>
    </row>
    <row r="6055" spans="1:39" x14ac:dyDescent="0.2">
      <c r="A6055" t="str">
        <f>"6051"</f>
        <v>6051</v>
      </c>
      <c r="B6055" t="str">
        <f t="shared" si="335"/>
        <v>1</v>
      </c>
      <c r="C6055" t="str">
        <f t="shared" ref="C6055:C6086" si="337">"122"</f>
        <v>122</v>
      </c>
      <c r="D6055" t="str">
        <f>"36"</f>
        <v>36</v>
      </c>
      <c r="E6055" t="str">
        <f>"1-122-36"</f>
        <v>1-122-36</v>
      </c>
      <c r="F6055" t="s">
        <v>65</v>
      </c>
      <c r="G6055" t="s">
        <v>66</v>
      </c>
      <c r="H6055" t="s">
        <v>67</v>
      </c>
      <c r="S6055">
        <v>0</v>
      </c>
      <c r="T6055">
        <v>0</v>
      </c>
      <c r="U6055">
        <v>0</v>
      </c>
      <c r="V6055">
        <v>0</v>
      </c>
      <c r="W6055">
        <v>1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</row>
    <row r="6056" spans="1:39" x14ac:dyDescent="0.2">
      <c r="A6056" t="str">
        <f>"6052"</f>
        <v>6052</v>
      </c>
      <c r="B6056" t="str">
        <f t="shared" si="335"/>
        <v>1</v>
      </c>
      <c r="C6056" t="str">
        <f t="shared" si="337"/>
        <v>122</v>
      </c>
      <c r="D6056" t="str">
        <f>"35"</f>
        <v>35</v>
      </c>
      <c r="E6056" t="str">
        <f>"1-122-35"</f>
        <v>1-122-35</v>
      </c>
      <c r="F6056" t="s">
        <v>65</v>
      </c>
      <c r="G6056" t="s">
        <v>66</v>
      </c>
      <c r="H6056" t="s">
        <v>67</v>
      </c>
      <c r="S6056">
        <v>0</v>
      </c>
      <c r="T6056">
        <v>1</v>
      </c>
      <c r="U6056">
        <v>0</v>
      </c>
      <c r="V6056">
        <v>0</v>
      </c>
      <c r="W6056">
        <v>0</v>
      </c>
      <c r="X6056">
        <v>1</v>
      </c>
      <c r="Y6056">
        <v>1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1</v>
      </c>
      <c r="AF6056">
        <v>1</v>
      </c>
      <c r="AG6056">
        <v>1</v>
      </c>
      <c r="AH6056">
        <v>1</v>
      </c>
      <c r="AI6056">
        <v>1</v>
      </c>
      <c r="AJ6056">
        <v>1</v>
      </c>
      <c r="AK6056">
        <v>1</v>
      </c>
      <c r="AL6056">
        <v>1</v>
      </c>
      <c r="AM6056">
        <v>1</v>
      </c>
    </row>
    <row r="6057" spans="1:39" x14ac:dyDescent="0.2">
      <c r="A6057" t="str">
        <f>"6053"</f>
        <v>6053</v>
      </c>
      <c r="B6057" t="str">
        <f t="shared" si="335"/>
        <v>1</v>
      </c>
      <c r="C6057" t="str">
        <f t="shared" si="337"/>
        <v>122</v>
      </c>
      <c r="D6057" t="str">
        <f>"22"</f>
        <v>22</v>
      </c>
      <c r="E6057" t="str">
        <f>"1-122-22"</f>
        <v>1-122-22</v>
      </c>
      <c r="F6057" t="s">
        <v>65</v>
      </c>
      <c r="G6057" t="s">
        <v>66</v>
      </c>
      <c r="H6057" t="s">
        <v>67</v>
      </c>
      <c r="S6057">
        <v>0</v>
      </c>
      <c r="T6057">
        <v>1</v>
      </c>
      <c r="U6057">
        <v>0</v>
      </c>
      <c r="V6057">
        <v>0</v>
      </c>
      <c r="W6057">
        <v>1</v>
      </c>
      <c r="X6057">
        <v>0</v>
      </c>
      <c r="Y6057">
        <v>1</v>
      </c>
      <c r="Z6057">
        <v>0</v>
      </c>
      <c r="AA6057">
        <v>0</v>
      </c>
      <c r="AB6057">
        <v>1</v>
      </c>
      <c r="AC6057">
        <v>0</v>
      </c>
      <c r="AD6057">
        <v>1</v>
      </c>
      <c r="AE6057">
        <v>1</v>
      </c>
      <c r="AF6057">
        <v>1</v>
      </c>
      <c r="AG6057">
        <v>1</v>
      </c>
      <c r="AH6057">
        <v>1</v>
      </c>
      <c r="AI6057">
        <v>1</v>
      </c>
      <c r="AJ6057">
        <v>1</v>
      </c>
      <c r="AK6057">
        <v>1</v>
      </c>
      <c r="AL6057">
        <v>1</v>
      </c>
      <c r="AM6057">
        <v>1</v>
      </c>
    </row>
    <row r="6058" spans="1:39" x14ac:dyDescent="0.2">
      <c r="A6058" t="str">
        <f>"6054"</f>
        <v>6054</v>
      </c>
      <c r="B6058" t="str">
        <f t="shared" si="335"/>
        <v>1</v>
      </c>
      <c r="C6058" t="str">
        <f t="shared" si="337"/>
        <v>122</v>
      </c>
      <c r="D6058" t="str">
        <f>"15"</f>
        <v>15</v>
      </c>
      <c r="E6058" t="str">
        <f>"1-122-15"</f>
        <v>1-122-15</v>
      </c>
      <c r="F6058" t="s">
        <v>65</v>
      </c>
      <c r="G6058" t="s">
        <v>66</v>
      </c>
      <c r="H6058" t="s">
        <v>67</v>
      </c>
      <c r="S6058">
        <v>0</v>
      </c>
      <c r="T6058">
        <v>1</v>
      </c>
      <c r="U6058">
        <v>0</v>
      </c>
      <c r="V6058">
        <v>0</v>
      </c>
      <c r="W6058">
        <v>0</v>
      </c>
      <c r="X6058">
        <v>1</v>
      </c>
      <c r="Y6058">
        <v>1</v>
      </c>
      <c r="Z6058">
        <v>0</v>
      </c>
      <c r="AA6058">
        <v>0</v>
      </c>
      <c r="AB6058">
        <v>0</v>
      </c>
      <c r="AC6058">
        <v>1</v>
      </c>
      <c r="AD6058">
        <v>1</v>
      </c>
      <c r="AE6058">
        <v>1</v>
      </c>
      <c r="AF6058">
        <v>1</v>
      </c>
      <c r="AG6058">
        <v>1</v>
      </c>
      <c r="AH6058">
        <v>1</v>
      </c>
      <c r="AI6058">
        <v>1</v>
      </c>
      <c r="AJ6058">
        <v>1</v>
      </c>
      <c r="AK6058">
        <v>1</v>
      </c>
      <c r="AL6058">
        <v>1</v>
      </c>
      <c r="AM6058">
        <v>1</v>
      </c>
    </row>
    <row r="6059" spans="1:39" x14ac:dyDescent="0.2">
      <c r="A6059" t="str">
        <f>"6055"</f>
        <v>6055</v>
      </c>
      <c r="B6059" t="str">
        <f t="shared" si="335"/>
        <v>1</v>
      </c>
      <c r="C6059" t="str">
        <f t="shared" si="337"/>
        <v>122</v>
      </c>
      <c r="D6059" t="str">
        <f>"4"</f>
        <v>4</v>
      </c>
      <c r="E6059" t="str">
        <f>"1-122-4"</f>
        <v>1-122-4</v>
      </c>
      <c r="F6059" t="s">
        <v>65</v>
      </c>
      <c r="G6059" t="s">
        <v>66</v>
      </c>
      <c r="H6059" t="s">
        <v>67</v>
      </c>
      <c r="S6059">
        <v>0</v>
      </c>
      <c r="T6059">
        <v>0</v>
      </c>
      <c r="U6059">
        <v>0</v>
      </c>
      <c r="V6059">
        <v>0</v>
      </c>
      <c r="W6059">
        <v>1</v>
      </c>
      <c r="X6059">
        <v>0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</row>
    <row r="6060" spans="1:39" x14ac:dyDescent="0.2">
      <c r="A6060" t="str">
        <f>"6056"</f>
        <v>6056</v>
      </c>
      <c r="B6060" t="str">
        <f t="shared" si="335"/>
        <v>1</v>
      </c>
      <c r="C6060" t="str">
        <f t="shared" si="337"/>
        <v>122</v>
      </c>
      <c r="D6060" t="str">
        <f>"38"</f>
        <v>38</v>
      </c>
      <c r="E6060" t="str">
        <f>"1-122-38"</f>
        <v>1-122-38</v>
      </c>
      <c r="F6060" t="s">
        <v>65</v>
      </c>
      <c r="G6060" t="s">
        <v>66</v>
      </c>
      <c r="H6060" t="s">
        <v>67</v>
      </c>
      <c r="S6060">
        <v>0</v>
      </c>
      <c r="T6060">
        <v>0</v>
      </c>
      <c r="U6060">
        <v>0</v>
      </c>
      <c r="V6060">
        <v>0</v>
      </c>
      <c r="W6060">
        <v>1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1</v>
      </c>
      <c r="AH6060">
        <v>0</v>
      </c>
      <c r="AI6060">
        <v>0</v>
      </c>
      <c r="AJ6060">
        <v>0</v>
      </c>
      <c r="AK6060">
        <v>0</v>
      </c>
      <c r="AL6060">
        <v>1</v>
      </c>
      <c r="AM6060">
        <v>0</v>
      </c>
    </row>
    <row r="6061" spans="1:39" x14ac:dyDescent="0.2">
      <c r="A6061" t="str">
        <f>"6057"</f>
        <v>6057</v>
      </c>
      <c r="B6061" t="str">
        <f t="shared" si="335"/>
        <v>1</v>
      </c>
      <c r="C6061" t="str">
        <f t="shared" si="337"/>
        <v>122</v>
      </c>
      <c r="D6061" t="str">
        <f>"37"</f>
        <v>37</v>
      </c>
      <c r="E6061" t="str">
        <f>"1-122-37"</f>
        <v>1-122-37</v>
      </c>
      <c r="F6061" t="s">
        <v>65</v>
      </c>
      <c r="G6061" t="s">
        <v>66</v>
      </c>
      <c r="H6061" t="s">
        <v>67</v>
      </c>
      <c r="S6061">
        <v>0</v>
      </c>
      <c r="T6061">
        <v>1</v>
      </c>
      <c r="U6061">
        <v>0</v>
      </c>
      <c r="V6061">
        <v>0</v>
      </c>
      <c r="W6061">
        <v>1</v>
      </c>
      <c r="X6061">
        <v>0</v>
      </c>
      <c r="Y6061">
        <v>0</v>
      </c>
      <c r="Z6061">
        <v>1</v>
      </c>
      <c r="AA6061">
        <v>0</v>
      </c>
      <c r="AB6061">
        <v>1</v>
      </c>
      <c r="AC6061">
        <v>0</v>
      </c>
      <c r="AD6061">
        <v>1</v>
      </c>
      <c r="AE6061">
        <v>1</v>
      </c>
      <c r="AF6061">
        <v>1</v>
      </c>
      <c r="AG6061">
        <v>1</v>
      </c>
      <c r="AH6061">
        <v>1</v>
      </c>
      <c r="AI6061">
        <v>1</v>
      </c>
      <c r="AJ6061">
        <v>1</v>
      </c>
      <c r="AK6061">
        <v>1</v>
      </c>
      <c r="AL6061">
        <v>1</v>
      </c>
      <c r="AM6061">
        <v>1</v>
      </c>
    </row>
    <row r="6062" spans="1:39" x14ac:dyDescent="0.2">
      <c r="A6062" t="str">
        <f>"6058"</f>
        <v>6058</v>
      </c>
      <c r="B6062" t="str">
        <f t="shared" si="335"/>
        <v>1</v>
      </c>
      <c r="C6062" t="str">
        <f t="shared" si="337"/>
        <v>122</v>
      </c>
      <c r="D6062" t="str">
        <f>"25"</f>
        <v>25</v>
      </c>
      <c r="E6062" t="str">
        <f>"1-122-25"</f>
        <v>1-122-25</v>
      </c>
      <c r="F6062" t="s">
        <v>65</v>
      </c>
      <c r="G6062" t="s">
        <v>66</v>
      </c>
      <c r="H6062" t="s">
        <v>67</v>
      </c>
      <c r="S6062">
        <v>1</v>
      </c>
      <c r="T6062">
        <v>0</v>
      </c>
      <c r="U6062">
        <v>0</v>
      </c>
      <c r="V6062">
        <v>0</v>
      </c>
      <c r="W6062">
        <v>1</v>
      </c>
      <c r="X6062">
        <v>0</v>
      </c>
      <c r="Y6062">
        <v>1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1</v>
      </c>
      <c r="AF6062">
        <v>1</v>
      </c>
      <c r="AG6062">
        <v>1</v>
      </c>
      <c r="AH6062">
        <v>1</v>
      </c>
      <c r="AI6062">
        <v>1</v>
      </c>
      <c r="AJ6062">
        <v>1</v>
      </c>
      <c r="AK6062">
        <v>1</v>
      </c>
      <c r="AL6062">
        <v>1</v>
      </c>
      <c r="AM6062">
        <v>1</v>
      </c>
    </row>
    <row r="6063" spans="1:39" x14ac:dyDescent="0.2">
      <c r="A6063" t="str">
        <f>"6059"</f>
        <v>6059</v>
      </c>
      <c r="B6063" t="str">
        <f t="shared" si="335"/>
        <v>1</v>
      </c>
      <c r="C6063" t="str">
        <f t="shared" si="337"/>
        <v>122</v>
      </c>
      <c r="D6063" t="str">
        <f>"16"</f>
        <v>16</v>
      </c>
      <c r="E6063" t="str">
        <f>"1-122-16"</f>
        <v>1-122-16</v>
      </c>
      <c r="F6063" t="s">
        <v>65</v>
      </c>
      <c r="G6063" t="s">
        <v>66</v>
      </c>
      <c r="H6063" t="s">
        <v>67</v>
      </c>
      <c r="S6063">
        <v>1</v>
      </c>
      <c r="T6063">
        <v>0</v>
      </c>
      <c r="U6063">
        <v>0</v>
      </c>
      <c r="V6063">
        <v>0</v>
      </c>
      <c r="W6063">
        <v>1</v>
      </c>
      <c r="X6063">
        <v>0</v>
      </c>
      <c r="Y6063">
        <v>1</v>
      </c>
      <c r="Z6063">
        <v>0</v>
      </c>
      <c r="AA6063">
        <v>1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</row>
    <row r="6064" spans="1:39" x14ac:dyDescent="0.2">
      <c r="A6064" t="str">
        <f>"6060"</f>
        <v>6060</v>
      </c>
      <c r="B6064" t="str">
        <f t="shared" si="335"/>
        <v>1</v>
      </c>
      <c r="C6064" t="str">
        <f t="shared" si="337"/>
        <v>122</v>
      </c>
      <c r="D6064" t="str">
        <f>"6"</f>
        <v>6</v>
      </c>
      <c r="E6064" t="str">
        <f>"1-122-6"</f>
        <v>1-122-6</v>
      </c>
      <c r="F6064" t="s">
        <v>65</v>
      </c>
      <c r="G6064" t="s">
        <v>66</v>
      </c>
      <c r="H6064" t="s">
        <v>67</v>
      </c>
      <c r="S6064">
        <v>0</v>
      </c>
      <c r="T6064">
        <v>1</v>
      </c>
      <c r="U6064">
        <v>0</v>
      </c>
      <c r="V6064">
        <v>0</v>
      </c>
      <c r="W6064">
        <v>1</v>
      </c>
      <c r="X6064">
        <v>0</v>
      </c>
      <c r="Y6064">
        <v>0</v>
      </c>
      <c r="Z6064">
        <v>1</v>
      </c>
      <c r="AA6064">
        <v>1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1</v>
      </c>
      <c r="AH6064">
        <v>1</v>
      </c>
      <c r="AI6064">
        <v>1</v>
      </c>
      <c r="AJ6064">
        <v>1</v>
      </c>
      <c r="AK6064">
        <v>1</v>
      </c>
      <c r="AL6064">
        <v>1</v>
      </c>
      <c r="AM6064">
        <v>1</v>
      </c>
    </row>
    <row r="6065" spans="1:39" x14ac:dyDescent="0.2">
      <c r="A6065" t="str">
        <f>"6061"</f>
        <v>6061</v>
      </c>
      <c r="B6065" t="str">
        <f t="shared" si="335"/>
        <v>1</v>
      </c>
      <c r="C6065" t="str">
        <f t="shared" si="337"/>
        <v>122</v>
      </c>
      <c r="D6065" t="str">
        <f>"43"</f>
        <v>43</v>
      </c>
      <c r="E6065" t="str">
        <f>"1-122-43"</f>
        <v>1-122-43</v>
      </c>
      <c r="F6065" t="s">
        <v>65</v>
      </c>
      <c r="G6065" t="s">
        <v>66</v>
      </c>
      <c r="H6065" t="s">
        <v>67</v>
      </c>
      <c r="S6065">
        <v>1</v>
      </c>
      <c r="T6065">
        <v>0</v>
      </c>
      <c r="U6065">
        <v>0</v>
      </c>
      <c r="V6065">
        <v>0</v>
      </c>
      <c r="W6065">
        <v>1</v>
      </c>
      <c r="X6065">
        <v>0</v>
      </c>
      <c r="Y6065">
        <v>1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1</v>
      </c>
      <c r="AF6065">
        <v>1</v>
      </c>
      <c r="AG6065">
        <v>1</v>
      </c>
      <c r="AH6065">
        <v>1</v>
      </c>
      <c r="AI6065">
        <v>1</v>
      </c>
      <c r="AJ6065">
        <v>1</v>
      </c>
      <c r="AK6065">
        <v>1</v>
      </c>
      <c r="AL6065">
        <v>1</v>
      </c>
      <c r="AM6065">
        <v>1</v>
      </c>
    </row>
    <row r="6066" spans="1:39" x14ac:dyDescent="0.2">
      <c r="A6066" t="str">
        <f>"6062"</f>
        <v>6062</v>
      </c>
      <c r="B6066" t="str">
        <f t="shared" si="335"/>
        <v>1</v>
      </c>
      <c r="C6066" t="str">
        <f t="shared" si="337"/>
        <v>122</v>
      </c>
      <c r="D6066" t="str">
        <f>"42"</f>
        <v>42</v>
      </c>
      <c r="E6066" t="str">
        <f>"1-122-42"</f>
        <v>1-122-42</v>
      </c>
      <c r="F6066" t="s">
        <v>65</v>
      </c>
      <c r="G6066" t="s">
        <v>66</v>
      </c>
      <c r="H6066" t="s">
        <v>67</v>
      </c>
      <c r="S6066">
        <v>1</v>
      </c>
      <c r="T6066">
        <v>0</v>
      </c>
      <c r="U6066">
        <v>0</v>
      </c>
      <c r="V6066">
        <v>0</v>
      </c>
      <c r="W6066">
        <v>1</v>
      </c>
      <c r="X6066">
        <v>0</v>
      </c>
      <c r="Y6066">
        <v>1</v>
      </c>
      <c r="Z6066">
        <v>0</v>
      </c>
      <c r="AA6066">
        <v>0</v>
      </c>
      <c r="AB6066">
        <v>0</v>
      </c>
      <c r="AC6066">
        <v>1</v>
      </c>
      <c r="AD6066">
        <v>1</v>
      </c>
      <c r="AE6066">
        <v>1</v>
      </c>
      <c r="AF6066">
        <v>1</v>
      </c>
      <c r="AG6066">
        <v>1</v>
      </c>
      <c r="AH6066">
        <v>1</v>
      </c>
      <c r="AI6066">
        <v>1</v>
      </c>
      <c r="AJ6066">
        <v>1</v>
      </c>
      <c r="AK6066">
        <v>1</v>
      </c>
      <c r="AL6066">
        <v>1</v>
      </c>
      <c r="AM6066">
        <v>1</v>
      </c>
    </row>
    <row r="6067" spans="1:39" x14ac:dyDescent="0.2">
      <c r="A6067" t="str">
        <f>"6063"</f>
        <v>6063</v>
      </c>
      <c r="B6067" t="str">
        <f t="shared" si="335"/>
        <v>1</v>
      </c>
      <c r="C6067" t="str">
        <f t="shared" si="337"/>
        <v>122</v>
      </c>
      <c r="D6067" t="str">
        <f>"31"</f>
        <v>31</v>
      </c>
      <c r="E6067" t="str">
        <f>"1-122-31"</f>
        <v>1-122-31</v>
      </c>
      <c r="F6067" t="s">
        <v>65</v>
      </c>
      <c r="G6067" t="s">
        <v>66</v>
      </c>
      <c r="H6067" t="s">
        <v>67</v>
      </c>
      <c r="S6067">
        <v>1</v>
      </c>
      <c r="T6067">
        <v>0</v>
      </c>
      <c r="U6067">
        <v>0</v>
      </c>
      <c r="V6067">
        <v>0</v>
      </c>
      <c r="W6067">
        <v>1</v>
      </c>
      <c r="X6067">
        <v>0</v>
      </c>
      <c r="Y6067">
        <v>0</v>
      </c>
      <c r="Z6067">
        <v>1</v>
      </c>
      <c r="AA6067">
        <v>1</v>
      </c>
      <c r="AB6067">
        <v>0</v>
      </c>
      <c r="AC6067">
        <v>0</v>
      </c>
      <c r="AD6067">
        <v>1</v>
      </c>
      <c r="AE6067">
        <v>1</v>
      </c>
      <c r="AF6067">
        <v>1</v>
      </c>
      <c r="AG6067">
        <v>1</v>
      </c>
      <c r="AH6067">
        <v>1</v>
      </c>
      <c r="AI6067">
        <v>1</v>
      </c>
      <c r="AJ6067">
        <v>1</v>
      </c>
      <c r="AK6067">
        <v>1</v>
      </c>
      <c r="AL6067">
        <v>1</v>
      </c>
      <c r="AM6067">
        <v>1</v>
      </c>
    </row>
    <row r="6068" spans="1:39" x14ac:dyDescent="0.2">
      <c r="A6068" t="str">
        <f>"6064"</f>
        <v>6064</v>
      </c>
      <c r="B6068" t="str">
        <f t="shared" si="335"/>
        <v>1</v>
      </c>
      <c r="C6068" t="str">
        <f t="shared" si="337"/>
        <v>122</v>
      </c>
      <c r="D6068" t="str">
        <f>"17"</f>
        <v>17</v>
      </c>
      <c r="E6068" t="str">
        <f>"1-122-17"</f>
        <v>1-122-17</v>
      </c>
      <c r="F6068" t="s">
        <v>65</v>
      </c>
      <c r="G6068" t="s">
        <v>66</v>
      </c>
      <c r="H6068" t="s">
        <v>67</v>
      </c>
      <c r="S6068">
        <v>1</v>
      </c>
      <c r="T6068">
        <v>0</v>
      </c>
      <c r="U6068">
        <v>0</v>
      </c>
      <c r="V6068">
        <v>0</v>
      </c>
      <c r="W6068">
        <v>1</v>
      </c>
      <c r="X6068">
        <v>0</v>
      </c>
      <c r="Y6068">
        <v>1</v>
      </c>
      <c r="Z6068">
        <v>0</v>
      </c>
      <c r="AA6068">
        <v>0</v>
      </c>
      <c r="AB6068">
        <v>1</v>
      </c>
      <c r="AC6068">
        <v>0</v>
      </c>
      <c r="AD6068">
        <v>0</v>
      </c>
      <c r="AE6068">
        <v>0</v>
      </c>
      <c r="AF6068">
        <v>0</v>
      </c>
      <c r="AG6068">
        <v>1</v>
      </c>
      <c r="AH6068">
        <v>1</v>
      </c>
      <c r="AI6068">
        <v>1</v>
      </c>
      <c r="AJ6068">
        <v>1</v>
      </c>
      <c r="AK6068">
        <v>1</v>
      </c>
      <c r="AL6068">
        <v>0</v>
      </c>
      <c r="AM6068">
        <v>0</v>
      </c>
    </row>
    <row r="6069" spans="1:39" x14ac:dyDescent="0.2">
      <c r="A6069" t="str">
        <f>"6065"</f>
        <v>6065</v>
      </c>
      <c r="B6069" t="str">
        <f t="shared" si="335"/>
        <v>1</v>
      </c>
      <c r="C6069" t="str">
        <f t="shared" si="337"/>
        <v>122</v>
      </c>
      <c r="D6069" t="str">
        <f>"1"</f>
        <v>1</v>
      </c>
      <c r="E6069" t="str">
        <f>"1-122-1"</f>
        <v>1-122-1</v>
      </c>
      <c r="F6069" t="s">
        <v>65</v>
      </c>
      <c r="G6069" t="s">
        <v>66</v>
      </c>
      <c r="H6069" t="s">
        <v>67</v>
      </c>
      <c r="S6069">
        <v>1</v>
      </c>
      <c r="T6069">
        <v>0</v>
      </c>
      <c r="U6069">
        <v>0</v>
      </c>
      <c r="V6069">
        <v>0</v>
      </c>
      <c r="W6069">
        <v>1</v>
      </c>
      <c r="X6069">
        <v>0</v>
      </c>
      <c r="Y6069">
        <v>1</v>
      </c>
      <c r="Z6069">
        <v>0</v>
      </c>
      <c r="AA6069">
        <v>0</v>
      </c>
      <c r="AB6069">
        <v>1</v>
      </c>
      <c r="AC6069">
        <v>0</v>
      </c>
      <c r="AD6069">
        <v>1</v>
      </c>
      <c r="AE6069">
        <v>1</v>
      </c>
      <c r="AF6069">
        <v>1</v>
      </c>
      <c r="AG6069">
        <v>1</v>
      </c>
      <c r="AH6069">
        <v>1</v>
      </c>
      <c r="AI6069">
        <v>1</v>
      </c>
      <c r="AJ6069">
        <v>1</v>
      </c>
      <c r="AK6069">
        <v>1</v>
      </c>
      <c r="AL6069">
        <v>1</v>
      </c>
      <c r="AM6069">
        <v>0</v>
      </c>
    </row>
    <row r="6070" spans="1:39" x14ac:dyDescent="0.2">
      <c r="A6070" t="str">
        <f>"6066"</f>
        <v>6066</v>
      </c>
      <c r="B6070" t="str">
        <f t="shared" si="335"/>
        <v>1</v>
      </c>
      <c r="C6070" t="str">
        <f t="shared" si="337"/>
        <v>122</v>
      </c>
      <c r="D6070" t="str">
        <f>"41"</f>
        <v>41</v>
      </c>
      <c r="E6070" t="str">
        <f>"1-122-41"</f>
        <v>1-122-41</v>
      </c>
      <c r="F6070" t="s">
        <v>65</v>
      </c>
      <c r="G6070" t="s">
        <v>66</v>
      </c>
      <c r="H6070" t="s">
        <v>67</v>
      </c>
      <c r="S6070">
        <v>1</v>
      </c>
      <c r="T6070">
        <v>0</v>
      </c>
      <c r="U6070">
        <v>0</v>
      </c>
      <c r="V6070">
        <v>0</v>
      </c>
      <c r="W6070">
        <v>1</v>
      </c>
      <c r="X6070">
        <v>0</v>
      </c>
      <c r="Y6070">
        <v>1</v>
      </c>
      <c r="Z6070">
        <v>0</v>
      </c>
      <c r="AA6070">
        <v>0</v>
      </c>
      <c r="AB6070">
        <v>0</v>
      </c>
      <c r="AC6070">
        <v>1</v>
      </c>
      <c r="AD6070">
        <v>1</v>
      </c>
      <c r="AE6070">
        <v>1</v>
      </c>
      <c r="AF6070">
        <v>1</v>
      </c>
      <c r="AG6070">
        <v>1</v>
      </c>
      <c r="AH6070">
        <v>1</v>
      </c>
      <c r="AI6070">
        <v>1</v>
      </c>
      <c r="AJ6070">
        <v>1</v>
      </c>
      <c r="AK6070">
        <v>1</v>
      </c>
      <c r="AL6070">
        <v>1</v>
      </c>
      <c r="AM6070">
        <v>1</v>
      </c>
    </row>
    <row r="6071" spans="1:39" x14ac:dyDescent="0.2">
      <c r="A6071" t="str">
        <f>"6067"</f>
        <v>6067</v>
      </c>
      <c r="B6071" t="str">
        <f t="shared" ref="B6071:B6134" si="338">"1"</f>
        <v>1</v>
      </c>
      <c r="C6071" t="str">
        <f t="shared" si="337"/>
        <v>122</v>
      </c>
      <c r="D6071" t="str">
        <f>"40"</f>
        <v>40</v>
      </c>
      <c r="E6071" t="str">
        <f>"1-122-40"</f>
        <v>1-122-40</v>
      </c>
      <c r="F6071" t="s">
        <v>65</v>
      </c>
      <c r="G6071" t="s">
        <v>66</v>
      </c>
      <c r="H6071" t="s">
        <v>67</v>
      </c>
      <c r="S6071">
        <v>0</v>
      </c>
      <c r="T6071">
        <v>1</v>
      </c>
      <c r="U6071">
        <v>0</v>
      </c>
      <c r="V6071">
        <v>0</v>
      </c>
      <c r="W6071">
        <v>1</v>
      </c>
      <c r="X6071">
        <v>0</v>
      </c>
      <c r="Y6071">
        <v>0</v>
      </c>
      <c r="Z6071">
        <v>1</v>
      </c>
      <c r="AA6071">
        <v>1</v>
      </c>
      <c r="AB6071">
        <v>0</v>
      </c>
      <c r="AC6071">
        <v>0</v>
      </c>
      <c r="AD6071">
        <v>1</v>
      </c>
      <c r="AE6071">
        <v>1</v>
      </c>
      <c r="AF6071">
        <v>1</v>
      </c>
      <c r="AG6071">
        <v>1</v>
      </c>
      <c r="AH6071">
        <v>1</v>
      </c>
      <c r="AI6071">
        <v>1</v>
      </c>
      <c r="AJ6071">
        <v>1</v>
      </c>
      <c r="AK6071">
        <v>1</v>
      </c>
      <c r="AL6071">
        <v>1</v>
      </c>
      <c r="AM6071">
        <v>1</v>
      </c>
    </row>
    <row r="6072" spans="1:39" x14ac:dyDescent="0.2">
      <c r="A6072" t="str">
        <f>"6068"</f>
        <v>6068</v>
      </c>
      <c r="B6072" t="str">
        <f t="shared" si="338"/>
        <v>1</v>
      </c>
      <c r="C6072" t="str">
        <f t="shared" si="337"/>
        <v>122</v>
      </c>
      <c r="D6072" t="str">
        <f>"32"</f>
        <v>32</v>
      </c>
      <c r="E6072" t="str">
        <f>"1-122-32"</f>
        <v>1-122-32</v>
      </c>
      <c r="F6072" t="s">
        <v>65</v>
      </c>
      <c r="G6072" t="s">
        <v>66</v>
      </c>
      <c r="H6072" t="s">
        <v>67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1</v>
      </c>
      <c r="Y6072">
        <v>0</v>
      </c>
      <c r="Z6072">
        <v>1</v>
      </c>
      <c r="AA6072">
        <v>0</v>
      </c>
      <c r="AB6072">
        <v>0</v>
      </c>
      <c r="AC6072">
        <v>1</v>
      </c>
      <c r="AD6072">
        <v>1</v>
      </c>
      <c r="AE6072">
        <v>1</v>
      </c>
      <c r="AF6072">
        <v>1</v>
      </c>
      <c r="AG6072">
        <v>1</v>
      </c>
      <c r="AH6072">
        <v>1</v>
      </c>
      <c r="AI6072">
        <v>1</v>
      </c>
      <c r="AJ6072">
        <v>1</v>
      </c>
      <c r="AK6072">
        <v>1</v>
      </c>
      <c r="AL6072">
        <v>1</v>
      </c>
      <c r="AM6072">
        <v>1</v>
      </c>
    </row>
    <row r="6073" spans="1:39" x14ac:dyDescent="0.2">
      <c r="A6073" t="str">
        <f>"6069"</f>
        <v>6069</v>
      </c>
      <c r="B6073" t="str">
        <f t="shared" si="338"/>
        <v>1</v>
      </c>
      <c r="C6073" t="str">
        <f t="shared" si="337"/>
        <v>122</v>
      </c>
      <c r="D6073" t="str">
        <f>"18"</f>
        <v>18</v>
      </c>
      <c r="E6073" t="str">
        <f>"1-122-18"</f>
        <v>1-122-18</v>
      </c>
      <c r="F6073" t="s">
        <v>65</v>
      </c>
      <c r="G6073" t="s">
        <v>66</v>
      </c>
      <c r="H6073" t="s">
        <v>67</v>
      </c>
      <c r="S6073">
        <v>0</v>
      </c>
      <c r="T6073">
        <v>1</v>
      </c>
      <c r="U6073">
        <v>0</v>
      </c>
      <c r="V6073">
        <v>0</v>
      </c>
      <c r="W6073">
        <v>1</v>
      </c>
      <c r="X6073">
        <v>0</v>
      </c>
      <c r="Y6073">
        <v>1</v>
      </c>
      <c r="Z6073">
        <v>0</v>
      </c>
      <c r="AA6073">
        <v>0</v>
      </c>
      <c r="AB6073">
        <v>1</v>
      </c>
      <c r="AC6073">
        <v>0</v>
      </c>
      <c r="AD6073">
        <v>1</v>
      </c>
      <c r="AE6073">
        <v>1</v>
      </c>
      <c r="AF6073">
        <v>1</v>
      </c>
      <c r="AG6073">
        <v>1</v>
      </c>
      <c r="AH6073">
        <v>1</v>
      </c>
      <c r="AI6073">
        <v>1</v>
      </c>
      <c r="AJ6073">
        <v>1</v>
      </c>
      <c r="AK6073">
        <v>1</v>
      </c>
      <c r="AL6073">
        <v>1</v>
      </c>
      <c r="AM6073">
        <v>1</v>
      </c>
    </row>
    <row r="6074" spans="1:39" x14ac:dyDescent="0.2">
      <c r="A6074" t="str">
        <f>"6070"</f>
        <v>6070</v>
      </c>
      <c r="B6074" t="str">
        <f t="shared" si="338"/>
        <v>1</v>
      </c>
      <c r="C6074" t="str">
        <f t="shared" si="337"/>
        <v>122</v>
      </c>
      <c r="D6074" t="str">
        <f>"10"</f>
        <v>10</v>
      </c>
      <c r="E6074" t="str">
        <f>"1-122-10"</f>
        <v>1-122-10</v>
      </c>
      <c r="F6074" t="s">
        <v>65</v>
      </c>
      <c r="G6074" t="s">
        <v>66</v>
      </c>
      <c r="H6074" t="s">
        <v>67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1</v>
      </c>
      <c r="AH6074">
        <v>1</v>
      </c>
      <c r="AI6074">
        <v>1</v>
      </c>
      <c r="AJ6074">
        <v>1</v>
      </c>
      <c r="AK6074">
        <v>1</v>
      </c>
      <c r="AL6074">
        <v>1</v>
      </c>
      <c r="AM6074">
        <v>1</v>
      </c>
    </row>
    <row r="6075" spans="1:39" x14ac:dyDescent="0.2">
      <c r="A6075" t="str">
        <f>"6071"</f>
        <v>6071</v>
      </c>
      <c r="B6075" t="str">
        <f t="shared" si="338"/>
        <v>1</v>
      </c>
      <c r="C6075" t="str">
        <f t="shared" si="337"/>
        <v>122</v>
      </c>
      <c r="D6075" t="str">
        <f>"50"</f>
        <v>50</v>
      </c>
      <c r="E6075" t="str">
        <f>"1-122-50"</f>
        <v>1-122-50</v>
      </c>
      <c r="F6075" t="s">
        <v>65</v>
      </c>
      <c r="G6075" t="s">
        <v>66</v>
      </c>
      <c r="H6075" t="s">
        <v>67</v>
      </c>
      <c r="S6075">
        <v>1</v>
      </c>
      <c r="T6075">
        <v>0</v>
      </c>
      <c r="U6075">
        <v>0</v>
      </c>
      <c r="V6075">
        <v>0</v>
      </c>
      <c r="W6075">
        <v>1</v>
      </c>
      <c r="X6075">
        <v>0</v>
      </c>
      <c r="Y6075">
        <v>1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1</v>
      </c>
      <c r="AF6075">
        <v>1</v>
      </c>
      <c r="AG6075">
        <v>1</v>
      </c>
      <c r="AH6075">
        <v>1</v>
      </c>
      <c r="AI6075">
        <v>1</v>
      </c>
      <c r="AJ6075">
        <v>1</v>
      </c>
      <c r="AK6075">
        <v>1</v>
      </c>
      <c r="AL6075">
        <v>1</v>
      </c>
      <c r="AM6075">
        <v>1</v>
      </c>
    </row>
    <row r="6076" spans="1:39" x14ac:dyDescent="0.2">
      <c r="A6076" t="str">
        <f>"6072"</f>
        <v>6072</v>
      </c>
      <c r="B6076" t="str">
        <f t="shared" si="338"/>
        <v>1</v>
      </c>
      <c r="C6076" t="str">
        <f t="shared" si="337"/>
        <v>122</v>
      </c>
      <c r="D6076" t="str">
        <f>"34"</f>
        <v>34</v>
      </c>
      <c r="E6076" t="str">
        <f>"1-122-34"</f>
        <v>1-122-34</v>
      </c>
      <c r="F6076" t="s">
        <v>65</v>
      </c>
      <c r="G6076" t="s">
        <v>66</v>
      </c>
      <c r="H6076" t="s">
        <v>67</v>
      </c>
      <c r="S6076">
        <v>1</v>
      </c>
      <c r="T6076">
        <v>0</v>
      </c>
      <c r="U6076">
        <v>0</v>
      </c>
      <c r="V6076">
        <v>0</v>
      </c>
      <c r="W6076">
        <v>1</v>
      </c>
      <c r="X6076">
        <v>0</v>
      </c>
      <c r="Y6076">
        <v>0</v>
      </c>
      <c r="Z6076">
        <v>1</v>
      </c>
      <c r="AA6076">
        <v>0</v>
      </c>
      <c r="AB6076">
        <v>1</v>
      </c>
      <c r="AC6076">
        <v>0</v>
      </c>
      <c r="AD6076">
        <v>1</v>
      </c>
      <c r="AE6076">
        <v>1</v>
      </c>
      <c r="AF6076">
        <v>1</v>
      </c>
      <c r="AG6076">
        <v>1</v>
      </c>
      <c r="AH6076">
        <v>1</v>
      </c>
      <c r="AI6076">
        <v>1</v>
      </c>
      <c r="AJ6076">
        <v>1</v>
      </c>
      <c r="AK6076">
        <v>1</v>
      </c>
      <c r="AL6076">
        <v>1</v>
      </c>
      <c r="AM6076">
        <v>1</v>
      </c>
    </row>
    <row r="6077" spans="1:39" x14ac:dyDescent="0.2">
      <c r="A6077" t="str">
        <f>"6073"</f>
        <v>6073</v>
      </c>
      <c r="B6077" t="str">
        <f t="shared" si="338"/>
        <v>1</v>
      </c>
      <c r="C6077" t="str">
        <f t="shared" si="337"/>
        <v>122</v>
      </c>
      <c r="D6077" t="str">
        <f>"19"</f>
        <v>19</v>
      </c>
      <c r="E6077" t="str">
        <f>"1-122-19"</f>
        <v>1-122-19</v>
      </c>
      <c r="F6077" t="s">
        <v>65</v>
      </c>
      <c r="G6077" t="s">
        <v>66</v>
      </c>
      <c r="H6077" t="s">
        <v>67</v>
      </c>
      <c r="S6077">
        <v>0</v>
      </c>
      <c r="T6077">
        <v>1</v>
      </c>
      <c r="U6077">
        <v>0</v>
      </c>
      <c r="V6077">
        <v>0</v>
      </c>
      <c r="W6077">
        <v>1</v>
      </c>
      <c r="X6077">
        <v>0</v>
      </c>
      <c r="Y6077">
        <v>1</v>
      </c>
      <c r="Z6077">
        <v>0</v>
      </c>
      <c r="AA6077">
        <v>0</v>
      </c>
      <c r="AB6077">
        <v>1</v>
      </c>
      <c r="AC6077">
        <v>0</v>
      </c>
      <c r="AD6077">
        <v>1</v>
      </c>
      <c r="AE6077">
        <v>1</v>
      </c>
      <c r="AF6077">
        <v>1</v>
      </c>
      <c r="AG6077">
        <v>1</v>
      </c>
      <c r="AH6077">
        <v>1</v>
      </c>
      <c r="AI6077">
        <v>1</v>
      </c>
      <c r="AJ6077">
        <v>1</v>
      </c>
      <c r="AK6077">
        <v>1</v>
      </c>
      <c r="AL6077">
        <v>1</v>
      </c>
      <c r="AM6077">
        <v>1</v>
      </c>
    </row>
    <row r="6078" spans="1:39" x14ac:dyDescent="0.2">
      <c r="A6078" t="str">
        <f>"6074"</f>
        <v>6074</v>
      </c>
      <c r="B6078" t="str">
        <f t="shared" si="338"/>
        <v>1</v>
      </c>
      <c r="C6078" t="str">
        <f t="shared" si="337"/>
        <v>122</v>
      </c>
      <c r="D6078" t="str">
        <f>"7"</f>
        <v>7</v>
      </c>
      <c r="E6078" t="str">
        <f>"1-122-7"</f>
        <v>1-122-7</v>
      </c>
      <c r="F6078" t="s">
        <v>65</v>
      </c>
      <c r="G6078" t="s">
        <v>66</v>
      </c>
      <c r="H6078" t="s">
        <v>67</v>
      </c>
      <c r="S6078">
        <v>0</v>
      </c>
      <c r="T6078">
        <v>1</v>
      </c>
      <c r="U6078">
        <v>0</v>
      </c>
      <c r="V6078">
        <v>0</v>
      </c>
      <c r="W6078">
        <v>1</v>
      </c>
      <c r="X6078">
        <v>0</v>
      </c>
      <c r="Y6078">
        <v>0</v>
      </c>
      <c r="Z6078">
        <v>1</v>
      </c>
      <c r="AA6078">
        <v>1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1</v>
      </c>
      <c r="AH6078">
        <v>1</v>
      </c>
      <c r="AI6078">
        <v>1</v>
      </c>
      <c r="AJ6078">
        <v>1</v>
      </c>
      <c r="AK6078">
        <v>1</v>
      </c>
      <c r="AL6078">
        <v>1</v>
      </c>
      <c r="AM6078">
        <v>1</v>
      </c>
    </row>
    <row r="6079" spans="1:39" x14ac:dyDescent="0.2">
      <c r="A6079" t="str">
        <f>"6075"</f>
        <v>6075</v>
      </c>
      <c r="B6079" t="str">
        <f t="shared" si="338"/>
        <v>1</v>
      </c>
      <c r="C6079" t="str">
        <f t="shared" si="337"/>
        <v>122</v>
      </c>
      <c r="D6079" t="str">
        <f>"33"</f>
        <v>33</v>
      </c>
      <c r="E6079" t="str">
        <f>"1-122-33"</f>
        <v>1-122-33</v>
      </c>
      <c r="F6079" t="s">
        <v>65</v>
      </c>
      <c r="G6079" t="s">
        <v>66</v>
      </c>
      <c r="H6079" t="s">
        <v>67</v>
      </c>
      <c r="S6079">
        <v>1</v>
      </c>
      <c r="T6079">
        <v>0</v>
      </c>
      <c r="U6079">
        <v>0</v>
      </c>
      <c r="V6079">
        <v>0</v>
      </c>
      <c r="W6079">
        <v>1</v>
      </c>
      <c r="X6079">
        <v>0</v>
      </c>
      <c r="Y6079">
        <v>1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1</v>
      </c>
      <c r="AH6079">
        <v>1</v>
      </c>
      <c r="AI6079">
        <v>1</v>
      </c>
      <c r="AJ6079">
        <v>1</v>
      </c>
      <c r="AK6079">
        <v>1</v>
      </c>
      <c r="AL6079">
        <v>1</v>
      </c>
      <c r="AM6079">
        <v>1</v>
      </c>
    </row>
    <row r="6080" spans="1:39" x14ac:dyDescent="0.2">
      <c r="A6080" t="str">
        <f>"6076"</f>
        <v>6076</v>
      </c>
      <c r="B6080" t="str">
        <f t="shared" si="338"/>
        <v>1</v>
      </c>
      <c r="C6080" t="str">
        <f t="shared" si="337"/>
        <v>122</v>
      </c>
      <c r="D6080" t="str">
        <f>"20"</f>
        <v>20</v>
      </c>
      <c r="E6080" t="str">
        <f>"1-122-20"</f>
        <v>1-122-20</v>
      </c>
      <c r="F6080" t="s">
        <v>65</v>
      </c>
      <c r="G6080" t="s">
        <v>66</v>
      </c>
      <c r="H6080" t="s">
        <v>67</v>
      </c>
      <c r="S6080">
        <v>1</v>
      </c>
      <c r="T6080">
        <v>0</v>
      </c>
      <c r="U6080">
        <v>0</v>
      </c>
      <c r="V6080">
        <v>0</v>
      </c>
      <c r="W6080">
        <v>0</v>
      </c>
      <c r="X6080">
        <v>1</v>
      </c>
      <c r="Y6080">
        <v>0</v>
      </c>
      <c r="Z6080">
        <v>1</v>
      </c>
      <c r="AA6080">
        <v>0</v>
      </c>
      <c r="AB6080">
        <v>0</v>
      </c>
      <c r="AC6080">
        <v>1</v>
      </c>
      <c r="AD6080">
        <v>1</v>
      </c>
      <c r="AE6080">
        <v>1</v>
      </c>
      <c r="AF6080">
        <v>1</v>
      </c>
      <c r="AG6080">
        <v>1</v>
      </c>
      <c r="AH6080">
        <v>1</v>
      </c>
      <c r="AI6080">
        <v>1</v>
      </c>
      <c r="AJ6080">
        <v>1</v>
      </c>
      <c r="AK6080">
        <v>1</v>
      </c>
      <c r="AL6080">
        <v>1</v>
      </c>
      <c r="AM6080">
        <v>1</v>
      </c>
    </row>
    <row r="6081" spans="1:39" x14ac:dyDescent="0.2">
      <c r="A6081" t="str">
        <f>"6077"</f>
        <v>6077</v>
      </c>
      <c r="B6081" t="str">
        <f t="shared" si="338"/>
        <v>1</v>
      </c>
      <c r="C6081" t="str">
        <f t="shared" si="337"/>
        <v>122</v>
      </c>
      <c r="D6081" t="str">
        <f>"3"</f>
        <v>3</v>
      </c>
      <c r="E6081" t="str">
        <f>"1-122-3"</f>
        <v>1-122-3</v>
      </c>
      <c r="F6081" t="s">
        <v>65</v>
      </c>
      <c r="G6081" t="s">
        <v>66</v>
      </c>
      <c r="H6081" t="s">
        <v>67</v>
      </c>
      <c r="S6081">
        <v>1</v>
      </c>
      <c r="T6081">
        <v>0</v>
      </c>
      <c r="U6081">
        <v>0</v>
      </c>
      <c r="V6081">
        <v>0</v>
      </c>
      <c r="W6081">
        <v>1</v>
      </c>
      <c r="X6081">
        <v>0</v>
      </c>
      <c r="Y6081">
        <v>1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1</v>
      </c>
      <c r="AF6081">
        <v>1</v>
      </c>
      <c r="AG6081">
        <v>1</v>
      </c>
      <c r="AH6081">
        <v>1</v>
      </c>
      <c r="AI6081">
        <v>1</v>
      </c>
      <c r="AJ6081">
        <v>1</v>
      </c>
      <c r="AK6081">
        <v>1</v>
      </c>
      <c r="AL6081">
        <v>1</v>
      </c>
      <c r="AM6081">
        <v>1</v>
      </c>
    </row>
    <row r="6082" spans="1:39" x14ac:dyDescent="0.2">
      <c r="A6082" t="str">
        <f>"6078"</f>
        <v>6078</v>
      </c>
      <c r="B6082" t="str">
        <f t="shared" si="338"/>
        <v>1</v>
      </c>
      <c r="C6082" t="str">
        <f t="shared" si="337"/>
        <v>122</v>
      </c>
      <c r="D6082" t="str">
        <f>"39"</f>
        <v>39</v>
      </c>
      <c r="E6082" t="str">
        <f>"1-122-39"</f>
        <v>1-122-39</v>
      </c>
      <c r="F6082" t="s">
        <v>65</v>
      </c>
      <c r="G6082" t="s">
        <v>66</v>
      </c>
      <c r="H6082" t="s">
        <v>67</v>
      </c>
      <c r="S6082">
        <v>1</v>
      </c>
      <c r="T6082">
        <v>0</v>
      </c>
      <c r="U6082">
        <v>0</v>
      </c>
      <c r="V6082">
        <v>0</v>
      </c>
      <c r="W6082">
        <v>0</v>
      </c>
      <c r="X6082">
        <v>1</v>
      </c>
      <c r="Y6082">
        <v>0</v>
      </c>
      <c r="Z6082">
        <v>1</v>
      </c>
      <c r="AA6082">
        <v>0</v>
      </c>
      <c r="AB6082">
        <v>1</v>
      </c>
      <c r="AC6082">
        <v>0</v>
      </c>
      <c r="AD6082">
        <v>1</v>
      </c>
      <c r="AE6082">
        <v>1</v>
      </c>
      <c r="AF6082">
        <v>1</v>
      </c>
      <c r="AG6082">
        <v>1</v>
      </c>
      <c r="AH6082">
        <v>1</v>
      </c>
      <c r="AI6082">
        <v>1</v>
      </c>
      <c r="AJ6082">
        <v>1</v>
      </c>
      <c r="AK6082">
        <v>1</v>
      </c>
      <c r="AL6082">
        <v>1</v>
      </c>
      <c r="AM6082">
        <v>1</v>
      </c>
    </row>
    <row r="6083" spans="1:39" x14ac:dyDescent="0.2">
      <c r="A6083" t="str">
        <f>"6079"</f>
        <v>6079</v>
      </c>
      <c r="B6083" t="str">
        <f t="shared" si="338"/>
        <v>1</v>
      </c>
      <c r="C6083" t="str">
        <f t="shared" si="337"/>
        <v>122</v>
      </c>
      <c r="D6083" t="str">
        <f>"21"</f>
        <v>21</v>
      </c>
      <c r="E6083" t="str">
        <f>"1-122-21"</f>
        <v>1-122-21</v>
      </c>
      <c r="F6083" t="s">
        <v>65</v>
      </c>
      <c r="G6083" t="s">
        <v>66</v>
      </c>
      <c r="H6083" t="s">
        <v>67</v>
      </c>
      <c r="S6083">
        <v>0</v>
      </c>
      <c r="T6083">
        <v>1</v>
      </c>
      <c r="U6083">
        <v>0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0</v>
      </c>
      <c r="AB6083">
        <v>1</v>
      </c>
      <c r="AC6083">
        <v>0</v>
      </c>
      <c r="AD6083">
        <v>0</v>
      </c>
      <c r="AE6083">
        <v>1</v>
      </c>
      <c r="AF6083">
        <v>1</v>
      </c>
      <c r="AG6083">
        <v>1</v>
      </c>
      <c r="AH6083">
        <v>0</v>
      </c>
      <c r="AI6083">
        <v>1</v>
      </c>
      <c r="AJ6083">
        <v>1</v>
      </c>
      <c r="AK6083">
        <v>1</v>
      </c>
      <c r="AL6083">
        <v>1</v>
      </c>
      <c r="AM6083">
        <v>1</v>
      </c>
    </row>
    <row r="6084" spans="1:39" x14ac:dyDescent="0.2">
      <c r="A6084" t="str">
        <f>"6080"</f>
        <v>6080</v>
      </c>
      <c r="B6084" t="str">
        <f t="shared" si="338"/>
        <v>1</v>
      </c>
      <c r="C6084" t="str">
        <f t="shared" si="337"/>
        <v>122</v>
      </c>
      <c r="D6084" t="str">
        <f>"2"</f>
        <v>2</v>
      </c>
      <c r="E6084" t="str">
        <f>"1-122-2"</f>
        <v>1-122-2</v>
      </c>
      <c r="F6084" t="s">
        <v>65</v>
      </c>
      <c r="G6084" t="s">
        <v>66</v>
      </c>
      <c r="H6084" t="s">
        <v>67</v>
      </c>
      <c r="S6084">
        <v>0</v>
      </c>
      <c r="T6084">
        <v>1</v>
      </c>
      <c r="U6084">
        <v>0</v>
      </c>
      <c r="V6084">
        <v>0</v>
      </c>
      <c r="W6084">
        <v>1</v>
      </c>
      <c r="X6084">
        <v>0</v>
      </c>
      <c r="Y6084">
        <v>1</v>
      </c>
      <c r="Z6084">
        <v>0</v>
      </c>
      <c r="AA6084">
        <v>0</v>
      </c>
      <c r="AB6084">
        <v>1</v>
      </c>
      <c r="AC6084">
        <v>0</v>
      </c>
      <c r="AD6084">
        <v>1</v>
      </c>
      <c r="AE6084">
        <v>1</v>
      </c>
      <c r="AF6084">
        <v>1</v>
      </c>
      <c r="AG6084">
        <v>1</v>
      </c>
      <c r="AH6084">
        <v>1</v>
      </c>
      <c r="AI6084">
        <v>1</v>
      </c>
      <c r="AJ6084">
        <v>1</v>
      </c>
      <c r="AK6084">
        <v>1</v>
      </c>
      <c r="AL6084">
        <v>1</v>
      </c>
      <c r="AM6084">
        <v>1</v>
      </c>
    </row>
    <row r="6085" spans="1:39" x14ac:dyDescent="0.2">
      <c r="A6085" t="str">
        <f>"6081"</f>
        <v>6081</v>
      </c>
      <c r="B6085" t="str">
        <f t="shared" si="338"/>
        <v>1</v>
      </c>
      <c r="C6085" t="str">
        <f t="shared" si="337"/>
        <v>122</v>
      </c>
      <c r="D6085" t="str">
        <f>"45"</f>
        <v>45</v>
      </c>
      <c r="E6085" t="str">
        <f>"1-122-45"</f>
        <v>1-122-45</v>
      </c>
      <c r="F6085" t="s">
        <v>65</v>
      </c>
      <c r="G6085" t="s">
        <v>66</v>
      </c>
      <c r="H6085" t="s">
        <v>67</v>
      </c>
      <c r="S6085">
        <v>1</v>
      </c>
      <c r="T6085">
        <v>0</v>
      </c>
      <c r="U6085">
        <v>0</v>
      </c>
      <c r="V6085">
        <v>0</v>
      </c>
      <c r="W6085">
        <v>1</v>
      </c>
      <c r="X6085">
        <v>0</v>
      </c>
      <c r="Y6085">
        <v>1</v>
      </c>
      <c r="Z6085">
        <v>0</v>
      </c>
      <c r="AA6085">
        <v>0</v>
      </c>
      <c r="AB6085">
        <v>0</v>
      </c>
      <c r="AC6085">
        <v>1</v>
      </c>
      <c r="AD6085">
        <v>1</v>
      </c>
      <c r="AE6085">
        <v>1</v>
      </c>
      <c r="AF6085">
        <v>1</v>
      </c>
      <c r="AG6085">
        <v>1</v>
      </c>
      <c r="AH6085">
        <v>1</v>
      </c>
      <c r="AI6085">
        <v>1</v>
      </c>
      <c r="AJ6085">
        <v>1</v>
      </c>
      <c r="AK6085">
        <v>1</v>
      </c>
      <c r="AL6085">
        <v>1</v>
      </c>
      <c r="AM6085">
        <v>1</v>
      </c>
    </row>
    <row r="6086" spans="1:39" x14ac:dyDescent="0.2">
      <c r="A6086" t="str">
        <f>"6082"</f>
        <v>6082</v>
      </c>
      <c r="B6086" t="str">
        <f t="shared" si="338"/>
        <v>1</v>
      </c>
      <c r="C6086" t="str">
        <f t="shared" si="337"/>
        <v>122</v>
      </c>
      <c r="D6086" t="str">
        <f>"23"</f>
        <v>23</v>
      </c>
      <c r="E6086" t="str">
        <f>"1-122-23"</f>
        <v>1-122-23</v>
      </c>
      <c r="F6086" t="s">
        <v>65</v>
      </c>
      <c r="G6086" t="s">
        <v>66</v>
      </c>
      <c r="H6086" t="s">
        <v>67</v>
      </c>
      <c r="S6086">
        <v>1</v>
      </c>
      <c r="T6086">
        <v>0</v>
      </c>
      <c r="U6086">
        <v>0</v>
      </c>
      <c r="V6086">
        <v>0</v>
      </c>
      <c r="W6086">
        <v>1</v>
      </c>
      <c r="X6086">
        <v>0</v>
      </c>
      <c r="Y6086">
        <v>1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1</v>
      </c>
      <c r="AF6086">
        <v>1</v>
      </c>
      <c r="AG6086">
        <v>1</v>
      </c>
      <c r="AH6086">
        <v>1</v>
      </c>
      <c r="AI6086">
        <v>1</v>
      </c>
      <c r="AJ6086">
        <v>1</v>
      </c>
      <c r="AK6086">
        <v>1</v>
      </c>
      <c r="AL6086">
        <v>1</v>
      </c>
      <c r="AM6086">
        <v>1</v>
      </c>
    </row>
    <row r="6087" spans="1:39" x14ac:dyDescent="0.2">
      <c r="A6087" t="str">
        <f>"6083"</f>
        <v>6083</v>
      </c>
      <c r="B6087" t="str">
        <f t="shared" si="338"/>
        <v>1</v>
      </c>
      <c r="C6087" t="str">
        <f t="shared" ref="C6087:C6104" si="339">"122"</f>
        <v>122</v>
      </c>
      <c r="D6087" t="str">
        <f>"12"</f>
        <v>12</v>
      </c>
      <c r="E6087" t="str">
        <f>"1-122-12"</f>
        <v>1-122-12</v>
      </c>
      <c r="F6087" t="s">
        <v>65</v>
      </c>
      <c r="G6087" t="s">
        <v>66</v>
      </c>
      <c r="H6087" t="s">
        <v>67</v>
      </c>
      <c r="S6087">
        <v>1</v>
      </c>
      <c r="T6087">
        <v>0</v>
      </c>
      <c r="U6087">
        <v>0</v>
      </c>
      <c r="V6087">
        <v>0</v>
      </c>
      <c r="W6087">
        <v>1</v>
      </c>
      <c r="X6087">
        <v>0</v>
      </c>
      <c r="Y6087">
        <v>1</v>
      </c>
      <c r="Z6087">
        <v>0</v>
      </c>
      <c r="AA6087">
        <v>0</v>
      </c>
      <c r="AB6087">
        <v>0</v>
      </c>
      <c r="AC6087">
        <v>1</v>
      </c>
      <c r="AD6087">
        <v>1</v>
      </c>
      <c r="AE6087">
        <v>1</v>
      </c>
      <c r="AF6087">
        <v>1</v>
      </c>
      <c r="AG6087">
        <v>1</v>
      </c>
      <c r="AH6087">
        <v>1</v>
      </c>
      <c r="AI6087">
        <v>1</v>
      </c>
      <c r="AJ6087">
        <v>1</v>
      </c>
      <c r="AK6087">
        <v>1</v>
      </c>
      <c r="AL6087">
        <v>1</v>
      </c>
      <c r="AM6087">
        <v>1</v>
      </c>
    </row>
    <row r="6088" spans="1:39" x14ac:dyDescent="0.2">
      <c r="A6088" t="str">
        <f>"6084"</f>
        <v>6084</v>
      </c>
      <c r="B6088" t="str">
        <f t="shared" si="338"/>
        <v>1</v>
      </c>
      <c r="C6088" t="str">
        <f t="shared" si="339"/>
        <v>122</v>
      </c>
      <c r="D6088" t="str">
        <f>"44"</f>
        <v>44</v>
      </c>
      <c r="E6088" t="str">
        <f>"1-122-44"</f>
        <v>1-122-44</v>
      </c>
      <c r="F6088" t="s">
        <v>65</v>
      </c>
      <c r="G6088" t="s">
        <v>66</v>
      </c>
      <c r="H6088" t="s">
        <v>67</v>
      </c>
      <c r="S6088">
        <v>1</v>
      </c>
      <c r="T6088">
        <v>0</v>
      </c>
      <c r="U6088">
        <v>0</v>
      </c>
      <c r="V6088">
        <v>0</v>
      </c>
      <c r="W6088">
        <v>1</v>
      </c>
      <c r="X6088">
        <v>0</v>
      </c>
      <c r="Y6088">
        <v>0</v>
      </c>
      <c r="Z6088">
        <v>1</v>
      </c>
      <c r="AA6088">
        <v>0</v>
      </c>
      <c r="AB6088">
        <v>0</v>
      </c>
      <c r="AC6088">
        <v>1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</row>
    <row r="6089" spans="1:39" x14ac:dyDescent="0.2">
      <c r="A6089" t="str">
        <f>"6085"</f>
        <v>6085</v>
      </c>
      <c r="B6089" t="str">
        <f t="shared" si="338"/>
        <v>1</v>
      </c>
      <c r="C6089" t="str">
        <f t="shared" si="339"/>
        <v>122</v>
      </c>
      <c r="D6089" t="str">
        <f>"24"</f>
        <v>24</v>
      </c>
      <c r="E6089" t="str">
        <f>"1-122-24"</f>
        <v>1-122-24</v>
      </c>
      <c r="F6089" t="s">
        <v>65</v>
      </c>
      <c r="G6089" t="s">
        <v>66</v>
      </c>
      <c r="H6089" t="s">
        <v>67</v>
      </c>
      <c r="S6089">
        <v>1</v>
      </c>
      <c r="T6089">
        <v>0</v>
      </c>
      <c r="U6089">
        <v>0</v>
      </c>
      <c r="V6089">
        <v>0</v>
      </c>
      <c r="W6089">
        <v>1</v>
      </c>
      <c r="X6089">
        <v>0</v>
      </c>
      <c r="Y6089">
        <v>1</v>
      </c>
      <c r="Z6089">
        <v>0</v>
      </c>
      <c r="AA6089">
        <v>0</v>
      </c>
      <c r="AB6089">
        <v>0</v>
      </c>
      <c r="AC6089">
        <v>0</v>
      </c>
      <c r="AD6089">
        <v>1</v>
      </c>
      <c r="AE6089">
        <v>1</v>
      </c>
      <c r="AF6089">
        <v>1</v>
      </c>
      <c r="AG6089">
        <v>1</v>
      </c>
      <c r="AH6089">
        <v>1</v>
      </c>
      <c r="AI6089">
        <v>1</v>
      </c>
      <c r="AJ6089">
        <v>0</v>
      </c>
      <c r="AK6089">
        <v>1</v>
      </c>
      <c r="AL6089">
        <v>1</v>
      </c>
      <c r="AM6089">
        <v>1</v>
      </c>
    </row>
    <row r="6090" spans="1:39" x14ac:dyDescent="0.2">
      <c r="A6090" t="str">
        <f>"6086"</f>
        <v>6086</v>
      </c>
      <c r="B6090" t="str">
        <f t="shared" si="338"/>
        <v>1</v>
      </c>
      <c r="C6090" t="str">
        <f t="shared" si="339"/>
        <v>122</v>
      </c>
      <c r="D6090" t="str">
        <f>"13"</f>
        <v>13</v>
      </c>
      <c r="E6090" t="str">
        <f>"1-122-13"</f>
        <v>1-122-13</v>
      </c>
      <c r="F6090" t="s">
        <v>65</v>
      </c>
      <c r="G6090" t="s">
        <v>66</v>
      </c>
      <c r="H6090" t="s">
        <v>67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1</v>
      </c>
      <c r="Y6090">
        <v>0</v>
      </c>
      <c r="Z6090">
        <v>1</v>
      </c>
      <c r="AA6090">
        <v>0</v>
      </c>
      <c r="AB6090">
        <v>1</v>
      </c>
      <c r="AC6090">
        <v>0</v>
      </c>
      <c r="AD6090">
        <v>1</v>
      </c>
      <c r="AE6090">
        <v>1</v>
      </c>
      <c r="AF6090">
        <v>1</v>
      </c>
      <c r="AG6090">
        <v>1</v>
      </c>
      <c r="AH6090">
        <v>1</v>
      </c>
      <c r="AI6090">
        <v>1</v>
      </c>
      <c r="AJ6090">
        <v>1</v>
      </c>
      <c r="AK6090">
        <v>1</v>
      </c>
      <c r="AL6090">
        <v>1</v>
      </c>
      <c r="AM6090">
        <v>1</v>
      </c>
    </row>
    <row r="6091" spans="1:39" x14ac:dyDescent="0.2">
      <c r="A6091" t="str">
        <f>"6087"</f>
        <v>6087</v>
      </c>
      <c r="B6091" t="str">
        <f t="shared" si="338"/>
        <v>1</v>
      </c>
      <c r="C6091" t="str">
        <f t="shared" si="339"/>
        <v>122</v>
      </c>
      <c r="D6091" t="str">
        <f>"26"</f>
        <v>26</v>
      </c>
      <c r="E6091" t="str">
        <f>"1-122-26"</f>
        <v>1-122-26</v>
      </c>
      <c r="F6091" t="s">
        <v>65</v>
      </c>
      <c r="G6091" t="s">
        <v>66</v>
      </c>
      <c r="H6091" t="s">
        <v>67</v>
      </c>
      <c r="S6091">
        <v>1</v>
      </c>
      <c r="T6091">
        <v>0</v>
      </c>
      <c r="U6091">
        <v>0</v>
      </c>
      <c r="V6091">
        <v>0</v>
      </c>
      <c r="W6091">
        <v>0</v>
      </c>
      <c r="X6091">
        <v>1</v>
      </c>
      <c r="Y6091">
        <v>1</v>
      </c>
      <c r="Z6091">
        <v>0</v>
      </c>
      <c r="AA6091">
        <v>0</v>
      </c>
      <c r="AB6091">
        <v>1</v>
      </c>
      <c r="AC6091">
        <v>0</v>
      </c>
      <c r="AD6091">
        <v>1</v>
      </c>
      <c r="AE6091">
        <v>1</v>
      </c>
      <c r="AF6091">
        <v>1</v>
      </c>
      <c r="AG6091">
        <v>1</v>
      </c>
      <c r="AH6091">
        <v>1</v>
      </c>
      <c r="AI6091">
        <v>1</v>
      </c>
      <c r="AJ6091">
        <v>1</v>
      </c>
      <c r="AK6091">
        <v>1</v>
      </c>
      <c r="AL6091">
        <v>1</v>
      </c>
      <c r="AM6091">
        <v>1</v>
      </c>
    </row>
    <row r="6092" spans="1:39" x14ac:dyDescent="0.2">
      <c r="A6092" t="str">
        <f>"6088"</f>
        <v>6088</v>
      </c>
      <c r="B6092" t="str">
        <f t="shared" si="338"/>
        <v>1</v>
      </c>
      <c r="C6092" t="str">
        <f t="shared" si="339"/>
        <v>122</v>
      </c>
      <c r="D6092" t="str">
        <f>"46"</f>
        <v>46</v>
      </c>
      <c r="E6092" t="str">
        <f>"1-122-46"</f>
        <v>1-122-46</v>
      </c>
      <c r="F6092" t="s">
        <v>65</v>
      </c>
      <c r="G6092" t="s">
        <v>66</v>
      </c>
      <c r="H6092" t="s">
        <v>67</v>
      </c>
      <c r="S6092">
        <v>1</v>
      </c>
      <c r="T6092">
        <v>0</v>
      </c>
      <c r="U6092">
        <v>0</v>
      </c>
      <c r="V6092">
        <v>0</v>
      </c>
      <c r="W6092">
        <v>1</v>
      </c>
      <c r="X6092">
        <v>0</v>
      </c>
      <c r="Y6092">
        <v>1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1</v>
      </c>
      <c r="AF6092">
        <v>1</v>
      </c>
      <c r="AG6092">
        <v>1</v>
      </c>
      <c r="AH6092">
        <v>1</v>
      </c>
      <c r="AI6092">
        <v>1</v>
      </c>
      <c r="AJ6092">
        <v>1</v>
      </c>
      <c r="AK6092">
        <v>1</v>
      </c>
      <c r="AL6092">
        <v>1</v>
      </c>
      <c r="AM6092">
        <v>1</v>
      </c>
    </row>
    <row r="6093" spans="1:39" x14ac:dyDescent="0.2">
      <c r="A6093" t="str">
        <f>"6089"</f>
        <v>6089</v>
      </c>
      <c r="B6093" t="str">
        <f t="shared" si="338"/>
        <v>1</v>
      </c>
      <c r="C6093" t="str">
        <f t="shared" si="339"/>
        <v>122</v>
      </c>
      <c r="D6093" t="str">
        <f>"27"</f>
        <v>27</v>
      </c>
      <c r="E6093" t="str">
        <f>"1-122-27"</f>
        <v>1-122-27</v>
      </c>
      <c r="F6093" t="s">
        <v>65</v>
      </c>
      <c r="G6093" t="s">
        <v>66</v>
      </c>
      <c r="H6093" t="s">
        <v>67</v>
      </c>
      <c r="S6093">
        <v>0</v>
      </c>
      <c r="T6093">
        <v>1</v>
      </c>
      <c r="U6093">
        <v>0</v>
      </c>
      <c r="V6093">
        <v>0</v>
      </c>
      <c r="W6093">
        <v>0</v>
      </c>
      <c r="X6093">
        <v>1</v>
      </c>
      <c r="Y6093">
        <v>0</v>
      </c>
      <c r="Z6093">
        <v>1</v>
      </c>
      <c r="AA6093">
        <v>0</v>
      </c>
      <c r="AB6093">
        <v>0</v>
      </c>
      <c r="AC6093">
        <v>1</v>
      </c>
      <c r="AD6093">
        <v>1</v>
      </c>
      <c r="AE6093">
        <v>1</v>
      </c>
      <c r="AF6093">
        <v>1</v>
      </c>
      <c r="AG6093">
        <v>1</v>
      </c>
      <c r="AH6093">
        <v>1</v>
      </c>
      <c r="AI6093">
        <v>1</v>
      </c>
      <c r="AJ6093">
        <v>1</v>
      </c>
      <c r="AK6093">
        <v>1</v>
      </c>
      <c r="AL6093">
        <v>1</v>
      </c>
      <c r="AM6093">
        <v>1</v>
      </c>
    </row>
    <row r="6094" spans="1:39" x14ac:dyDescent="0.2">
      <c r="A6094" t="str">
        <f>"6090"</f>
        <v>6090</v>
      </c>
      <c r="B6094" t="str">
        <f t="shared" si="338"/>
        <v>1</v>
      </c>
      <c r="C6094" t="str">
        <f t="shared" si="339"/>
        <v>122</v>
      </c>
      <c r="D6094" t="str">
        <f>"8"</f>
        <v>8</v>
      </c>
      <c r="E6094" t="str">
        <f>"1-122-8"</f>
        <v>1-122-8</v>
      </c>
      <c r="F6094" t="s">
        <v>65</v>
      </c>
      <c r="G6094" t="s">
        <v>66</v>
      </c>
      <c r="H6094" t="s">
        <v>67</v>
      </c>
      <c r="S6094">
        <v>0</v>
      </c>
      <c r="T6094">
        <v>1</v>
      </c>
      <c r="U6094">
        <v>0</v>
      </c>
      <c r="V6094">
        <v>0</v>
      </c>
      <c r="W6094">
        <v>0</v>
      </c>
      <c r="X6094">
        <v>1</v>
      </c>
      <c r="Y6094">
        <v>0</v>
      </c>
      <c r="Z6094">
        <v>1</v>
      </c>
      <c r="AA6094">
        <v>0</v>
      </c>
      <c r="AB6094">
        <v>1</v>
      </c>
      <c r="AC6094">
        <v>0</v>
      </c>
      <c r="AD6094">
        <v>1</v>
      </c>
      <c r="AE6094">
        <v>1</v>
      </c>
      <c r="AF6094">
        <v>1</v>
      </c>
      <c r="AG6094">
        <v>1</v>
      </c>
      <c r="AH6094">
        <v>1</v>
      </c>
      <c r="AI6094">
        <v>1</v>
      </c>
      <c r="AJ6094">
        <v>1</v>
      </c>
      <c r="AK6094">
        <v>1</v>
      </c>
      <c r="AL6094">
        <v>1</v>
      </c>
      <c r="AM6094">
        <v>1</v>
      </c>
    </row>
    <row r="6095" spans="1:39" x14ac:dyDescent="0.2">
      <c r="A6095" t="str">
        <f>"6091"</f>
        <v>6091</v>
      </c>
      <c r="B6095" t="str">
        <f t="shared" si="338"/>
        <v>1</v>
      </c>
      <c r="C6095" t="str">
        <f t="shared" si="339"/>
        <v>122</v>
      </c>
      <c r="D6095" t="str">
        <f>"47"</f>
        <v>47</v>
      </c>
      <c r="E6095" t="str">
        <f>"1-122-47"</f>
        <v>1-122-47</v>
      </c>
      <c r="F6095" t="s">
        <v>65</v>
      </c>
      <c r="G6095" t="s">
        <v>66</v>
      </c>
      <c r="H6095" t="s">
        <v>67</v>
      </c>
      <c r="S6095">
        <v>0</v>
      </c>
      <c r="T6095">
        <v>0</v>
      </c>
      <c r="U6095">
        <v>0</v>
      </c>
      <c r="V6095">
        <v>0</v>
      </c>
      <c r="W6095">
        <v>1</v>
      </c>
      <c r="X6095">
        <v>0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1</v>
      </c>
      <c r="AF6095">
        <v>1</v>
      </c>
      <c r="AG6095">
        <v>1</v>
      </c>
      <c r="AH6095">
        <v>1</v>
      </c>
      <c r="AI6095">
        <v>1</v>
      </c>
      <c r="AJ6095">
        <v>1</v>
      </c>
      <c r="AK6095">
        <v>1</v>
      </c>
      <c r="AL6095">
        <v>1</v>
      </c>
      <c r="AM6095">
        <v>1</v>
      </c>
    </row>
    <row r="6096" spans="1:39" x14ac:dyDescent="0.2">
      <c r="A6096" t="str">
        <f>"6092"</f>
        <v>6092</v>
      </c>
      <c r="B6096" t="str">
        <f t="shared" si="338"/>
        <v>1</v>
      </c>
      <c r="C6096" t="str">
        <f t="shared" si="339"/>
        <v>122</v>
      </c>
      <c r="D6096" t="str">
        <f>"28"</f>
        <v>28</v>
      </c>
      <c r="E6096" t="str">
        <f>"1-122-28"</f>
        <v>1-122-28</v>
      </c>
      <c r="F6096" t="s">
        <v>65</v>
      </c>
      <c r="G6096" t="s">
        <v>66</v>
      </c>
      <c r="H6096" t="s">
        <v>67</v>
      </c>
      <c r="S6096">
        <v>1</v>
      </c>
      <c r="T6096">
        <v>0</v>
      </c>
      <c r="U6096">
        <v>0</v>
      </c>
      <c r="V6096">
        <v>0</v>
      </c>
      <c r="W6096">
        <v>1</v>
      </c>
      <c r="X6096">
        <v>0</v>
      </c>
      <c r="Y6096">
        <v>1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1</v>
      </c>
      <c r="AF6096">
        <v>1</v>
      </c>
      <c r="AG6096">
        <v>1</v>
      </c>
      <c r="AH6096">
        <v>1</v>
      </c>
      <c r="AI6096">
        <v>1</v>
      </c>
      <c r="AJ6096">
        <v>1</v>
      </c>
      <c r="AK6096">
        <v>1</v>
      </c>
      <c r="AL6096">
        <v>1</v>
      </c>
      <c r="AM6096">
        <v>1</v>
      </c>
    </row>
    <row r="6097" spans="1:39" x14ac:dyDescent="0.2">
      <c r="A6097" t="str">
        <f>"6093"</f>
        <v>6093</v>
      </c>
      <c r="B6097" t="str">
        <f t="shared" si="338"/>
        <v>1</v>
      </c>
      <c r="C6097" t="str">
        <f t="shared" si="339"/>
        <v>122</v>
      </c>
      <c r="D6097" t="str">
        <f>"5"</f>
        <v>5</v>
      </c>
      <c r="E6097" t="str">
        <f>"1-122-5"</f>
        <v>1-122-5</v>
      </c>
      <c r="F6097" t="s">
        <v>65</v>
      </c>
      <c r="G6097" t="s">
        <v>66</v>
      </c>
      <c r="H6097" t="s">
        <v>67</v>
      </c>
      <c r="S6097">
        <v>1</v>
      </c>
      <c r="T6097">
        <v>0</v>
      </c>
      <c r="U6097">
        <v>0</v>
      </c>
      <c r="V6097">
        <v>0</v>
      </c>
      <c r="W6097">
        <v>1</v>
      </c>
      <c r="X6097">
        <v>0</v>
      </c>
      <c r="Y6097">
        <v>1</v>
      </c>
      <c r="Z6097">
        <v>0</v>
      </c>
      <c r="AA6097">
        <v>0</v>
      </c>
      <c r="AB6097">
        <v>1</v>
      </c>
      <c r="AC6097">
        <v>0</v>
      </c>
      <c r="AD6097">
        <v>1</v>
      </c>
      <c r="AE6097">
        <v>1</v>
      </c>
      <c r="AF6097">
        <v>1</v>
      </c>
      <c r="AG6097">
        <v>1</v>
      </c>
      <c r="AH6097">
        <v>1</v>
      </c>
      <c r="AI6097">
        <v>1</v>
      </c>
      <c r="AJ6097">
        <v>1</v>
      </c>
      <c r="AK6097">
        <v>1</v>
      </c>
      <c r="AL6097">
        <v>1</v>
      </c>
      <c r="AM6097">
        <v>1</v>
      </c>
    </row>
    <row r="6098" spans="1:39" x14ac:dyDescent="0.2">
      <c r="A6098" t="str">
        <f>"6094"</f>
        <v>6094</v>
      </c>
      <c r="B6098" t="str">
        <f t="shared" si="338"/>
        <v>1</v>
      </c>
      <c r="C6098" t="str">
        <f t="shared" si="339"/>
        <v>122</v>
      </c>
      <c r="D6098" t="str">
        <f>"48"</f>
        <v>48</v>
      </c>
      <c r="E6098" t="str">
        <f>"1-122-48"</f>
        <v>1-122-48</v>
      </c>
      <c r="F6098" t="s">
        <v>65</v>
      </c>
      <c r="G6098" t="s">
        <v>66</v>
      </c>
      <c r="H6098" t="s">
        <v>67</v>
      </c>
      <c r="S6098">
        <v>1</v>
      </c>
      <c r="T6098">
        <v>0</v>
      </c>
      <c r="U6098">
        <v>0</v>
      </c>
      <c r="V6098">
        <v>0</v>
      </c>
      <c r="W6098">
        <v>1</v>
      </c>
      <c r="X6098">
        <v>0</v>
      </c>
      <c r="Y6098">
        <v>1</v>
      </c>
      <c r="Z6098">
        <v>0</v>
      </c>
      <c r="AA6098">
        <v>0</v>
      </c>
      <c r="AB6098">
        <v>0</v>
      </c>
      <c r="AC6098">
        <v>1</v>
      </c>
      <c r="AD6098">
        <v>1</v>
      </c>
      <c r="AE6098">
        <v>1</v>
      </c>
      <c r="AF6098">
        <v>1</v>
      </c>
      <c r="AG6098">
        <v>1</v>
      </c>
      <c r="AH6098">
        <v>1</v>
      </c>
      <c r="AI6098">
        <v>1</v>
      </c>
      <c r="AJ6098">
        <v>1</v>
      </c>
      <c r="AK6098">
        <v>1</v>
      </c>
      <c r="AL6098">
        <v>1</v>
      </c>
      <c r="AM6098">
        <v>1</v>
      </c>
    </row>
    <row r="6099" spans="1:39" x14ac:dyDescent="0.2">
      <c r="A6099" t="str">
        <f>"6095"</f>
        <v>6095</v>
      </c>
      <c r="B6099" t="str">
        <f t="shared" si="338"/>
        <v>1</v>
      </c>
      <c r="C6099" t="str">
        <f t="shared" si="339"/>
        <v>122</v>
      </c>
      <c r="D6099" t="str">
        <f>"29"</f>
        <v>29</v>
      </c>
      <c r="E6099" t="str">
        <f>"1-122-29"</f>
        <v>1-122-29</v>
      </c>
      <c r="F6099" t="s">
        <v>65</v>
      </c>
      <c r="G6099" t="s">
        <v>66</v>
      </c>
      <c r="H6099" t="s">
        <v>67</v>
      </c>
      <c r="S6099">
        <v>0</v>
      </c>
      <c r="T6099">
        <v>1</v>
      </c>
      <c r="U6099">
        <v>0</v>
      </c>
      <c r="V6099">
        <v>0</v>
      </c>
      <c r="W6099">
        <v>1</v>
      </c>
      <c r="X6099">
        <v>0</v>
      </c>
      <c r="Y6099">
        <v>0</v>
      </c>
      <c r="Z6099">
        <v>1</v>
      </c>
      <c r="AA6099">
        <v>0</v>
      </c>
      <c r="AB6099">
        <v>0</v>
      </c>
      <c r="AC6099">
        <v>1</v>
      </c>
      <c r="AD6099">
        <v>1</v>
      </c>
      <c r="AE6099">
        <v>1</v>
      </c>
      <c r="AF6099">
        <v>1</v>
      </c>
      <c r="AG6099">
        <v>1</v>
      </c>
      <c r="AH6099">
        <v>1</v>
      </c>
      <c r="AI6099">
        <v>1</v>
      </c>
      <c r="AJ6099">
        <v>1</v>
      </c>
      <c r="AK6099">
        <v>1</v>
      </c>
      <c r="AL6099">
        <v>1</v>
      </c>
      <c r="AM6099">
        <v>1</v>
      </c>
    </row>
    <row r="6100" spans="1:39" x14ac:dyDescent="0.2">
      <c r="A6100" t="str">
        <f>"6096"</f>
        <v>6096</v>
      </c>
      <c r="B6100" t="str">
        <f t="shared" si="338"/>
        <v>1</v>
      </c>
      <c r="C6100" t="str">
        <f t="shared" si="339"/>
        <v>122</v>
      </c>
      <c r="D6100" t="str">
        <f>"14"</f>
        <v>14</v>
      </c>
      <c r="E6100" t="str">
        <f>"1-122-14"</f>
        <v>1-122-14</v>
      </c>
      <c r="F6100" t="s">
        <v>65</v>
      </c>
      <c r="G6100" t="s">
        <v>66</v>
      </c>
      <c r="H6100" t="s">
        <v>67</v>
      </c>
      <c r="S6100">
        <v>1</v>
      </c>
      <c r="T6100">
        <v>0</v>
      </c>
      <c r="U6100">
        <v>0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0</v>
      </c>
      <c r="AB6100">
        <v>0</v>
      </c>
      <c r="AC6100">
        <v>1</v>
      </c>
      <c r="AD6100">
        <v>1</v>
      </c>
      <c r="AE6100">
        <v>1</v>
      </c>
      <c r="AF6100">
        <v>1</v>
      </c>
      <c r="AG6100">
        <v>1</v>
      </c>
      <c r="AH6100">
        <v>1</v>
      </c>
      <c r="AI6100">
        <v>1</v>
      </c>
      <c r="AJ6100">
        <v>1</v>
      </c>
      <c r="AK6100">
        <v>1</v>
      </c>
      <c r="AL6100">
        <v>1</v>
      </c>
      <c r="AM6100">
        <v>1</v>
      </c>
    </row>
    <row r="6101" spans="1:39" x14ac:dyDescent="0.2">
      <c r="A6101" t="str">
        <f>"6097"</f>
        <v>6097</v>
      </c>
      <c r="B6101" t="str">
        <f t="shared" si="338"/>
        <v>1</v>
      </c>
      <c r="C6101" t="str">
        <f t="shared" si="339"/>
        <v>122</v>
      </c>
      <c r="D6101" t="str">
        <f>"49"</f>
        <v>49</v>
      </c>
      <c r="E6101" t="str">
        <f>"1-122-49"</f>
        <v>1-122-49</v>
      </c>
      <c r="F6101" t="s">
        <v>65</v>
      </c>
      <c r="G6101" t="s">
        <v>66</v>
      </c>
      <c r="H6101" t="s">
        <v>67</v>
      </c>
      <c r="S6101">
        <v>0</v>
      </c>
      <c r="T6101">
        <v>0</v>
      </c>
      <c r="U6101">
        <v>0</v>
      </c>
      <c r="V6101">
        <v>0</v>
      </c>
      <c r="W6101">
        <v>1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1</v>
      </c>
      <c r="AI6101">
        <v>1</v>
      </c>
      <c r="AJ6101">
        <v>1</v>
      </c>
      <c r="AK6101">
        <v>1</v>
      </c>
      <c r="AL6101">
        <v>1</v>
      </c>
      <c r="AM6101">
        <v>1</v>
      </c>
    </row>
    <row r="6102" spans="1:39" x14ac:dyDescent="0.2">
      <c r="A6102" t="str">
        <f>"6098"</f>
        <v>6098</v>
      </c>
      <c r="B6102" t="str">
        <f t="shared" si="338"/>
        <v>1</v>
      </c>
      <c r="C6102" t="str">
        <f t="shared" si="339"/>
        <v>122</v>
      </c>
      <c r="D6102" t="str">
        <f>"30"</f>
        <v>30</v>
      </c>
      <c r="E6102" t="str">
        <f>"1-122-30"</f>
        <v>1-122-30</v>
      </c>
      <c r="F6102" t="s">
        <v>65</v>
      </c>
      <c r="G6102" t="s">
        <v>66</v>
      </c>
      <c r="H6102" t="s">
        <v>67</v>
      </c>
      <c r="S6102">
        <v>0</v>
      </c>
      <c r="T6102">
        <v>0</v>
      </c>
      <c r="U6102">
        <v>0</v>
      </c>
      <c r="V6102">
        <v>0</v>
      </c>
      <c r="W6102">
        <v>1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1</v>
      </c>
      <c r="AE6102">
        <v>1</v>
      </c>
      <c r="AF6102">
        <v>1</v>
      </c>
      <c r="AG6102">
        <v>1</v>
      </c>
      <c r="AH6102">
        <v>1</v>
      </c>
      <c r="AI6102">
        <v>1</v>
      </c>
      <c r="AJ6102">
        <v>1</v>
      </c>
      <c r="AK6102">
        <v>1</v>
      </c>
      <c r="AL6102">
        <v>1</v>
      </c>
      <c r="AM6102">
        <v>1</v>
      </c>
    </row>
    <row r="6103" spans="1:39" x14ac:dyDescent="0.2">
      <c r="A6103" t="str">
        <f>"6099"</f>
        <v>6099</v>
      </c>
      <c r="B6103" t="str">
        <f t="shared" si="338"/>
        <v>1</v>
      </c>
      <c r="C6103" t="str">
        <f t="shared" si="339"/>
        <v>122</v>
      </c>
      <c r="D6103" t="str">
        <f>"11"</f>
        <v>11</v>
      </c>
      <c r="E6103" t="str">
        <f>"1-122-11"</f>
        <v>1-122-11</v>
      </c>
      <c r="F6103" t="s">
        <v>65</v>
      </c>
      <c r="G6103" t="s">
        <v>66</v>
      </c>
      <c r="H6103" t="s">
        <v>67</v>
      </c>
      <c r="S6103">
        <v>0</v>
      </c>
      <c r="T6103">
        <v>1</v>
      </c>
      <c r="U6103">
        <v>0</v>
      </c>
      <c r="V6103">
        <v>0</v>
      </c>
      <c r="W6103">
        <v>1</v>
      </c>
      <c r="X6103">
        <v>0</v>
      </c>
      <c r="Y6103">
        <v>1</v>
      </c>
      <c r="Z6103">
        <v>0</v>
      </c>
      <c r="AA6103">
        <v>0</v>
      </c>
      <c r="AB6103">
        <v>0</v>
      </c>
      <c r="AC6103">
        <v>1</v>
      </c>
      <c r="AD6103">
        <v>1</v>
      </c>
      <c r="AE6103">
        <v>1</v>
      </c>
      <c r="AF6103">
        <v>0</v>
      </c>
      <c r="AG6103">
        <v>1</v>
      </c>
      <c r="AH6103">
        <v>1</v>
      </c>
      <c r="AI6103">
        <v>1</v>
      </c>
      <c r="AJ6103">
        <v>1</v>
      </c>
      <c r="AK6103">
        <v>1</v>
      </c>
      <c r="AL6103">
        <v>1</v>
      </c>
      <c r="AM6103">
        <v>1</v>
      </c>
    </row>
    <row r="6104" spans="1:39" x14ac:dyDescent="0.2">
      <c r="A6104" t="str">
        <f>"6100"</f>
        <v>6100</v>
      </c>
      <c r="B6104" t="str">
        <f t="shared" si="338"/>
        <v>1</v>
      </c>
      <c r="C6104" t="str">
        <f t="shared" si="339"/>
        <v>122</v>
      </c>
      <c r="D6104" t="str">
        <f>"9"</f>
        <v>9</v>
      </c>
      <c r="E6104" t="str">
        <f>"1-122-9"</f>
        <v>1-122-9</v>
      </c>
      <c r="F6104" t="s">
        <v>65</v>
      </c>
      <c r="G6104" t="s">
        <v>66</v>
      </c>
      <c r="H6104" t="s">
        <v>67</v>
      </c>
      <c r="S6104">
        <v>1</v>
      </c>
      <c r="T6104">
        <v>0</v>
      </c>
      <c r="U6104">
        <v>0</v>
      </c>
      <c r="V6104">
        <v>0</v>
      </c>
      <c r="W6104">
        <v>1</v>
      </c>
      <c r="X6104">
        <v>0</v>
      </c>
      <c r="Y6104">
        <v>1</v>
      </c>
      <c r="Z6104">
        <v>0</v>
      </c>
      <c r="AA6104">
        <v>1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</row>
    <row r="6105" spans="1:39" x14ac:dyDescent="0.2">
      <c r="A6105" t="str">
        <f>"6101"</f>
        <v>6101</v>
      </c>
      <c r="B6105" t="str">
        <f t="shared" si="338"/>
        <v>1</v>
      </c>
      <c r="C6105" t="str">
        <f t="shared" ref="C6105:C6136" si="340">"123"</f>
        <v>123</v>
      </c>
      <c r="D6105" t="str">
        <f>"38"</f>
        <v>38</v>
      </c>
      <c r="E6105" t="str">
        <f>"1-123-38"</f>
        <v>1-123-38</v>
      </c>
      <c r="F6105" t="s">
        <v>65</v>
      </c>
      <c r="G6105" t="s">
        <v>66</v>
      </c>
      <c r="H6105" t="s">
        <v>67</v>
      </c>
      <c r="S6105">
        <v>0</v>
      </c>
      <c r="T6105">
        <v>1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1</v>
      </c>
      <c r="AA6105">
        <v>0</v>
      </c>
      <c r="AB6105">
        <v>0</v>
      </c>
      <c r="AC6105">
        <v>1</v>
      </c>
      <c r="AD6105">
        <v>1</v>
      </c>
      <c r="AE6105">
        <v>1</v>
      </c>
      <c r="AF6105">
        <v>1</v>
      </c>
      <c r="AG6105">
        <v>1</v>
      </c>
      <c r="AH6105">
        <v>1</v>
      </c>
      <c r="AI6105">
        <v>1</v>
      </c>
      <c r="AJ6105">
        <v>1</v>
      </c>
      <c r="AK6105">
        <v>1</v>
      </c>
      <c r="AL6105">
        <v>1</v>
      </c>
      <c r="AM6105">
        <v>1</v>
      </c>
    </row>
    <row r="6106" spans="1:39" x14ac:dyDescent="0.2">
      <c r="A6106" t="str">
        <f>"6102"</f>
        <v>6102</v>
      </c>
      <c r="B6106" t="str">
        <f t="shared" si="338"/>
        <v>1</v>
      </c>
      <c r="C6106" t="str">
        <f t="shared" si="340"/>
        <v>123</v>
      </c>
      <c r="D6106" t="str">
        <f>"37"</f>
        <v>37</v>
      </c>
      <c r="E6106" t="str">
        <f>"1-123-37"</f>
        <v>1-123-37</v>
      </c>
      <c r="F6106" t="s">
        <v>65</v>
      </c>
      <c r="G6106" t="s">
        <v>66</v>
      </c>
      <c r="H6106" t="s">
        <v>67</v>
      </c>
      <c r="S6106">
        <v>1</v>
      </c>
      <c r="T6106">
        <v>0</v>
      </c>
      <c r="U6106">
        <v>0</v>
      </c>
      <c r="V6106">
        <v>0</v>
      </c>
      <c r="W6106">
        <v>1</v>
      </c>
      <c r="X6106">
        <v>0</v>
      </c>
      <c r="Y6106">
        <v>1</v>
      </c>
      <c r="Z6106">
        <v>0</v>
      </c>
      <c r="AA6106">
        <v>0</v>
      </c>
      <c r="AB6106">
        <v>1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1</v>
      </c>
      <c r="AJ6106">
        <v>1</v>
      </c>
      <c r="AK6106">
        <v>1</v>
      </c>
      <c r="AL6106">
        <v>0</v>
      </c>
      <c r="AM6106">
        <v>0</v>
      </c>
    </row>
    <row r="6107" spans="1:39" x14ac:dyDescent="0.2">
      <c r="A6107" t="str">
        <f>"6103"</f>
        <v>6103</v>
      </c>
      <c r="B6107" t="str">
        <f t="shared" si="338"/>
        <v>1</v>
      </c>
      <c r="C6107" t="str">
        <f t="shared" si="340"/>
        <v>123</v>
      </c>
      <c r="D6107" t="str">
        <f>"27"</f>
        <v>27</v>
      </c>
      <c r="E6107" t="str">
        <f>"1-123-27"</f>
        <v>1-123-27</v>
      </c>
      <c r="F6107" t="s">
        <v>65</v>
      </c>
      <c r="G6107" t="s">
        <v>66</v>
      </c>
      <c r="H6107" t="s">
        <v>67</v>
      </c>
      <c r="S6107">
        <v>0</v>
      </c>
      <c r="T6107">
        <v>1</v>
      </c>
      <c r="U6107">
        <v>0</v>
      </c>
      <c r="V6107">
        <v>0</v>
      </c>
      <c r="W6107">
        <v>1</v>
      </c>
      <c r="X6107">
        <v>0</v>
      </c>
      <c r="Y6107">
        <v>0</v>
      </c>
      <c r="Z6107">
        <v>1</v>
      </c>
      <c r="AA6107">
        <v>1</v>
      </c>
      <c r="AB6107">
        <v>0</v>
      </c>
      <c r="AC6107">
        <v>0</v>
      </c>
      <c r="AD6107">
        <v>1</v>
      </c>
      <c r="AE6107">
        <v>1</v>
      </c>
      <c r="AF6107">
        <v>1</v>
      </c>
      <c r="AG6107">
        <v>1</v>
      </c>
      <c r="AH6107">
        <v>1</v>
      </c>
      <c r="AI6107">
        <v>1</v>
      </c>
      <c r="AJ6107">
        <v>1</v>
      </c>
      <c r="AK6107">
        <v>1</v>
      </c>
      <c r="AL6107">
        <v>1</v>
      </c>
      <c r="AM6107">
        <v>1</v>
      </c>
    </row>
    <row r="6108" spans="1:39" x14ac:dyDescent="0.2">
      <c r="A6108" t="str">
        <f>"6104"</f>
        <v>6104</v>
      </c>
      <c r="B6108" t="str">
        <f t="shared" si="338"/>
        <v>1</v>
      </c>
      <c r="C6108" t="str">
        <f t="shared" si="340"/>
        <v>123</v>
      </c>
      <c r="D6108" t="str">
        <f>"26"</f>
        <v>26</v>
      </c>
      <c r="E6108" t="str">
        <f>"1-123-26"</f>
        <v>1-123-26</v>
      </c>
      <c r="F6108" t="s">
        <v>65</v>
      </c>
      <c r="G6108" t="s">
        <v>66</v>
      </c>
      <c r="H6108" t="s">
        <v>67</v>
      </c>
      <c r="S6108">
        <v>1</v>
      </c>
      <c r="T6108">
        <v>0</v>
      </c>
      <c r="U6108">
        <v>0</v>
      </c>
      <c r="V6108">
        <v>0</v>
      </c>
      <c r="W6108">
        <v>1</v>
      </c>
      <c r="X6108">
        <v>0</v>
      </c>
      <c r="Y6108">
        <v>1</v>
      </c>
      <c r="Z6108">
        <v>0</v>
      </c>
      <c r="AA6108">
        <v>0</v>
      </c>
      <c r="AB6108">
        <v>1</v>
      </c>
      <c r="AC6108">
        <v>0</v>
      </c>
      <c r="AD6108">
        <v>1</v>
      </c>
      <c r="AE6108">
        <v>1</v>
      </c>
      <c r="AF6108">
        <v>1</v>
      </c>
      <c r="AG6108">
        <v>1</v>
      </c>
      <c r="AH6108">
        <v>1</v>
      </c>
      <c r="AI6108">
        <v>1</v>
      </c>
      <c r="AJ6108">
        <v>1</v>
      </c>
      <c r="AK6108">
        <v>1</v>
      </c>
      <c r="AL6108">
        <v>1</v>
      </c>
      <c r="AM6108">
        <v>1</v>
      </c>
    </row>
    <row r="6109" spans="1:39" x14ac:dyDescent="0.2">
      <c r="A6109" t="str">
        <f>"6105"</f>
        <v>6105</v>
      </c>
      <c r="B6109" t="str">
        <f t="shared" si="338"/>
        <v>1</v>
      </c>
      <c r="C6109" t="str">
        <f t="shared" si="340"/>
        <v>123</v>
      </c>
      <c r="D6109" t="str">
        <f>"19"</f>
        <v>19</v>
      </c>
      <c r="E6109" t="str">
        <f>"1-123-19"</f>
        <v>1-123-19</v>
      </c>
      <c r="F6109" t="s">
        <v>65</v>
      </c>
      <c r="G6109" t="s">
        <v>66</v>
      </c>
      <c r="H6109" t="s">
        <v>67</v>
      </c>
      <c r="S6109">
        <v>0</v>
      </c>
      <c r="T6109">
        <v>1</v>
      </c>
      <c r="U6109">
        <v>0</v>
      </c>
      <c r="V6109">
        <v>0</v>
      </c>
      <c r="W6109">
        <v>1</v>
      </c>
      <c r="X6109">
        <v>0</v>
      </c>
      <c r="Y6109">
        <v>1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1</v>
      </c>
      <c r="AF6109">
        <v>1</v>
      </c>
      <c r="AG6109">
        <v>1</v>
      </c>
      <c r="AH6109">
        <v>1</v>
      </c>
      <c r="AI6109">
        <v>1</v>
      </c>
      <c r="AJ6109">
        <v>1</v>
      </c>
      <c r="AK6109">
        <v>1</v>
      </c>
      <c r="AL6109">
        <v>1</v>
      </c>
      <c r="AM6109">
        <v>1</v>
      </c>
    </row>
    <row r="6110" spans="1:39" x14ac:dyDescent="0.2">
      <c r="A6110" t="str">
        <f>"6106"</f>
        <v>6106</v>
      </c>
      <c r="B6110" t="str">
        <f t="shared" si="338"/>
        <v>1</v>
      </c>
      <c r="C6110" t="str">
        <f t="shared" si="340"/>
        <v>123</v>
      </c>
      <c r="D6110" t="str">
        <f>"15"</f>
        <v>15</v>
      </c>
      <c r="E6110" t="str">
        <f>"1-123-15"</f>
        <v>1-123-15</v>
      </c>
      <c r="F6110" t="s">
        <v>65</v>
      </c>
      <c r="G6110" t="s">
        <v>66</v>
      </c>
      <c r="H6110" t="s">
        <v>67</v>
      </c>
      <c r="S6110">
        <v>1</v>
      </c>
      <c r="T6110">
        <v>0</v>
      </c>
      <c r="U6110">
        <v>0</v>
      </c>
      <c r="V6110">
        <v>0</v>
      </c>
      <c r="W6110">
        <v>1</v>
      </c>
      <c r="X6110">
        <v>0</v>
      </c>
      <c r="Y6110">
        <v>0</v>
      </c>
      <c r="Z6110">
        <v>1</v>
      </c>
      <c r="AA6110">
        <v>1</v>
      </c>
      <c r="AB6110">
        <v>0</v>
      </c>
      <c r="AC6110">
        <v>0</v>
      </c>
      <c r="AD6110">
        <v>1</v>
      </c>
      <c r="AE6110">
        <v>1</v>
      </c>
      <c r="AF6110">
        <v>1</v>
      </c>
      <c r="AG6110">
        <v>1</v>
      </c>
      <c r="AH6110">
        <v>1</v>
      </c>
      <c r="AI6110">
        <v>1</v>
      </c>
      <c r="AJ6110">
        <v>1</v>
      </c>
      <c r="AK6110">
        <v>1</v>
      </c>
      <c r="AL6110">
        <v>1</v>
      </c>
      <c r="AM6110">
        <v>1</v>
      </c>
    </row>
    <row r="6111" spans="1:39" x14ac:dyDescent="0.2">
      <c r="A6111" t="str">
        <f>"6107"</f>
        <v>6107</v>
      </c>
      <c r="B6111" t="str">
        <f t="shared" si="338"/>
        <v>1</v>
      </c>
      <c r="C6111" t="str">
        <f t="shared" si="340"/>
        <v>123</v>
      </c>
      <c r="D6111" t="str">
        <f>"8"</f>
        <v>8</v>
      </c>
      <c r="E6111" t="str">
        <f>"1-123-8"</f>
        <v>1-123-8</v>
      </c>
      <c r="F6111" t="s">
        <v>65</v>
      </c>
      <c r="G6111" t="s">
        <v>66</v>
      </c>
      <c r="H6111" t="s">
        <v>67</v>
      </c>
      <c r="S6111">
        <v>1</v>
      </c>
      <c r="T6111">
        <v>0</v>
      </c>
      <c r="U6111">
        <v>0</v>
      </c>
      <c r="V6111">
        <v>0</v>
      </c>
      <c r="W6111">
        <v>1</v>
      </c>
      <c r="X6111">
        <v>0</v>
      </c>
      <c r="Y6111">
        <v>0</v>
      </c>
      <c r="Z6111">
        <v>1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1</v>
      </c>
      <c r="AG6111">
        <v>1</v>
      </c>
      <c r="AH6111">
        <v>1</v>
      </c>
      <c r="AI6111">
        <v>1</v>
      </c>
      <c r="AJ6111">
        <v>0</v>
      </c>
      <c r="AK6111">
        <v>1</v>
      </c>
      <c r="AL6111">
        <v>1</v>
      </c>
      <c r="AM6111">
        <v>1</v>
      </c>
    </row>
    <row r="6112" spans="1:39" x14ac:dyDescent="0.2">
      <c r="A6112" t="str">
        <f>"6108"</f>
        <v>6108</v>
      </c>
      <c r="B6112" t="str">
        <f t="shared" si="338"/>
        <v>1</v>
      </c>
      <c r="C6112" t="str">
        <f t="shared" si="340"/>
        <v>123</v>
      </c>
      <c r="D6112" t="str">
        <f>"36"</f>
        <v>36</v>
      </c>
      <c r="E6112" t="str">
        <f>"1-123-36"</f>
        <v>1-123-36</v>
      </c>
      <c r="F6112" t="s">
        <v>65</v>
      </c>
      <c r="G6112" t="s">
        <v>66</v>
      </c>
      <c r="H6112" t="s">
        <v>67</v>
      </c>
      <c r="S6112">
        <v>1</v>
      </c>
      <c r="T6112">
        <v>0</v>
      </c>
      <c r="U6112">
        <v>0</v>
      </c>
      <c r="V6112">
        <v>0</v>
      </c>
      <c r="W6112">
        <v>1</v>
      </c>
      <c r="X6112">
        <v>0</v>
      </c>
      <c r="Y6112">
        <v>0</v>
      </c>
      <c r="Z6112">
        <v>1</v>
      </c>
      <c r="AA6112">
        <v>0</v>
      </c>
      <c r="AB6112">
        <v>0</v>
      </c>
      <c r="AC6112">
        <v>1</v>
      </c>
      <c r="AD6112">
        <v>1</v>
      </c>
      <c r="AE6112">
        <v>1</v>
      </c>
      <c r="AF6112">
        <v>1</v>
      </c>
      <c r="AG6112">
        <v>1</v>
      </c>
      <c r="AH6112">
        <v>1</v>
      </c>
      <c r="AI6112">
        <v>1</v>
      </c>
      <c r="AJ6112">
        <v>1</v>
      </c>
      <c r="AK6112">
        <v>1</v>
      </c>
      <c r="AL6112">
        <v>1</v>
      </c>
      <c r="AM6112">
        <v>1</v>
      </c>
    </row>
    <row r="6113" spans="1:39" x14ac:dyDescent="0.2">
      <c r="A6113" t="str">
        <f>"6109"</f>
        <v>6109</v>
      </c>
      <c r="B6113" t="str">
        <f t="shared" si="338"/>
        <v>1</v>
      </c>
      <c r="C6113" t="str">
        <f t="shared" si="340"/>
        <v>123</v>
      </c>
      <c r="D6113" t="str">
        <f>"35"</f>
        <v>35</v>
      </c>
      <c r="E6113" t="str">
        <f>"1-123-35"</f>
        <v>1-123-35</v>
      </c>
      <c r="F6113" t="s">
        <v>65</v>
      </c>
      <c r="G6113" t="s">
        <v>66</v>
      </c>
      <c r="H6113" t="s">
        <v>67</v>
      </c>
      <c r="S6113">
        <v>1</v>
      </c>
      <c r="T6113">
        <v>0</v>
      </c>
      <c r="U6113">
        <v>0</v>
      </c>
      <c r="V6113">
        <v>0</v>
      </c>
      <c r="W6113">
        <v>0</v>
      </c>
      <c r="X6113">
        <v>1</v>
      </c>
      <c r="Y6113">
        <v>1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1</v>
      </c>
      <c r="AF6113">
        <v>1</v>
      </c>
      <c r="AG6113">
        <v>1</v>
      </c>
      <c r="AH6113">
        <v>1</v>
      </c>
      <c r="AI6113">
        <v>1</v>
      </c>
      <c r="AJ6113">
        <v>1</v>
      </c>
      <c r="AK6113">
        <v>1</v>
      </c>
      <c r="AL6113">
        <v>1</v>
      </c>
      <c r="AM6113">
        <v>1</v>
      </c>
    </row>
    <row r="6114" spans="1:39" x14ac:dyDescent="0.2">
      <c r="A6114" t="str">
        <f>"6110"</f>
        <v>6110</v>
      </c>
      <c r="B6114" t="str">
        <f t="shared" si="338"/>
        <v>1</v>
      </c>
      <c r="C6114" t="str">
        <f t="shared" si="340"/>
        <v>123</v>
      </c>
      <c r="D6114" t="str">
        <f>"23"</f>
        <v>23</v>
      </c>
      <c r="E6114" t="str">
        <f>"1-123-23"</f>
        <v>1-123-23</v>
      </c>
      <c r="F6114" t="s">
        <v>65</v>
      </c>
      <c r="G6114" t="s">
        <v>66</v>
      </c>
      <c r="H6114" t="s">
        <v>67</v>
      </c>
      <c r="S6114">
        <v>0</v>
      </c>
      <c r="T6114">
        <v>1</v>
      </c>
      <c r="U6114">
        <v>0</v>
      </c>
      <c r="V6114">
        <v>0</v>
      </c>
      <c r="W6114">
        <v>1</v>
      </c>
      <c r="X6114">
        <v>0</v>
      </c>
      <c r="Y6114">
        <v>0</v>
      </c>
      <c r="Z6114">
        <v>1</v>
      </c>
      <c r="AA6114">
        <v>1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</row>
    <row r="6115" spans="1:39" x14ac:dyDescent="0.2">
      <c r="A6115" t="str">
        <f>"6111"</f>
        <v>6111</v>
      </c>
      <c r="B6115" t="str">
        <f t="shared" si="338"/>
        <v>1</v>
      </c>
      <c r="C6115" t="str">
        <f t="shared" si="340"/>
        <v>123</v>
      </c>
      <c r="D6115" t="str">
        <f>"16"</f>
        <v>16</v>
      </c>
      <c r="E6115" t="str">
        <f>"1-123-16"</f>
        <v>1-123-16</v>
      </c>
      <c r="F6115" t="s">
        <v>65</v>
      </c>
      <c r="G6115" t="s">
        <v>66</v>
      </c>
      <c r="H6115" t="s">
        <v>67</v>
      </c>
      <c r="S6115">
        <v>0</v>
      </c>
      <c r="T6115">
        <v>1</v>
      </c>
      <c r="U6115">
        <v>0</v>
      </c>
      <c r="V6115">
        <v>0</v>
      </c>
      <c r="W6115">
        <v>1</v>
      </c>
      <c r="X6115">
        <v>0</v>
      </c>
      <c r="Y6115">
        <v>1</v>
      </c>
      <c r="Z6115">
        <v>0</v>
      </c>
      <c r="AA6115">
        <v>1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1</v>
      </c>
      <c r="AM6115">
        <v>0</v>
      </c>
    </row>
    <row r="6116" spans="1:39" x14ac:dyDescent="0.2">
      <c r="A6116" t="str">
        <f>"6112"</f>
        <v>6112</v>
      </c>
      <c r="B6116" t="str">
        <f t="shared" si="338"/>
        <v>1</v>
      </c>
      <c r="C6116" t="str">
        <f t="shared" si="340"/>
        <v>123</v>
      </c>
      <c r="D6116" t="str">
        <f>"4"</f>
        <v>4</v>
      </c>
      <c r="E6116" t="str">
        <f>"1-123-4"</f>
        <v>1-123-4</v>
      </c>
      <c r="F6116" t="s">
        <v>65</v>
      </c>
      <c r="G6116" t="s">
        <v>66</v>
      </c>
      <c r="H6116" t="s">
        <v>67</v>
      </c>
      <c r="S6116">
        <v>1</v>
      </c>
      <c r="T6116">
        <v>0</v>
      </c>
      <c r="U6116">
        <v>0</v>
      </c>
      <c r="V6116">
        <v>0</v>
      </c>
      <c r="W6116">
        <v>1</v>
      </c>
      <c r="X6116">
        <v>0</v>
      </c>
      <c r="Y6116">
        <v>1</v>
      </c>
      <c r="Z6116">
        <v>0</v>
      </c>
      <c r="AA6116">
        <v>0</v>
      </c>
      <c r="AB6116">
        <v>0</v>
      </c>
      <c r="AC6116">
        <v>1</v>
      </c>
      <c r="AD6116">
        <v>1</v>
      </c>
      <c r="AE6116">
        <v>1</v>
      </c>
      <c r="AF6116">
        <v>1</v>
      </c>
      <c r="AG6116">
        <v>1</v>
      </c>
      <c r="AH6116">
        <v>1</v>
      </c>
      <c r="AI6116">
        <v>1</v>
      </c>
      <c r="AJ6116">
        <v>1</v>
      </c>
      <c r="AK6116">
        <v>1</v>
      </c>
      <c r="AL6116">
        <v>1</v>
      </c>
      <c r="AM6116">
        <v>1</v>
      </c>
    </row>
    <row r="6117" spans="1:39" x14ac:dyDescent="0.2">
      <c r="A6117" t="str">
        <f>"6113"</f>
        <v>6113</v>
      </c>
      <c r="B6117" t="str">
        <f t="shared" si="338"/>
        <v>1</v>
      </c>
      <c r="C6117" t="str">
        <f t="shared" si="340"/>
        <v>123</v>
      </c>
      <c r="D6117" t="str">
        <f>"45"</f>
        <v>45</v>
      </c>
      <c r="E6117" t="str">
        <f>"1-123-45"</f>
        <v>1-123-45</v>
      </c>
      <c r="F6117" t="s">
        <v>65</v>
      </c>
      <c r="G6117" t="s">
        <v>66</v>
      </c>
      <c r="H6117" t="s">
        <v>67</v>
      </c>
      <c r="S6117">
        <v>0</v>
      </c>
      <c r="T6117">
        <v>1</v>
      </c>
      <c r="U6117">
        <v>0</v>
      </c>
      <c r="V6117">
        <v>0</v>
      </c>
      <c r="W6117">
        <v>0</v>
      </c>
      <c r="X6117">
        <v>1</v>
      </c>
      <c r="Y6117">
        <v>0</v>
      </c>
      <c r="Z6117">
        <v>1</v>
      </c>
      <c r="AA6117">
        <v>0</v>
      </c>
      <c r="AB6117">
        <v>0</v>
      </c>
      <c r="AC6117">
        <v>1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</row>
    <row r="6118" spans="1:39" x14ac:dyDescent="0.2">
      <c r="A6118" t="str">
        <f>"6114"</f>
        <v>6114</v>
      </c>
      <c r="B6118" t="str">
        <f t="shared" si="338"/>
        <v>1</v>
      </c>
      <c r="C6118" t="str">
        <f t="shared" si="340"/>
        <v>123</v>
      </c>
      <c r="D6118" t="str">
        <f>"44"</f>
        <v>44</v>
      </c>
      <c r="E6118" t="str">
        <f>"1-123-44"</f>
        <v>1-123-44</v>
      </c>
      <c r="F6118" t="s">
        <v>65</v>
      </c>
      <c r="G6118" t="s">
        <v>66</v>
      </c>
      <c r="H6118" t="s">
        <v>67</v>
      </c>
      <c r="S6118">
        <v>1</v>
      </c>
      <c r="T6118">
        <v>0</v>
      </c>
      <c r="U6118">
        <v>0</v>
      </c>
      <c r="V6118">
        <v>0</v>
      </c>
      <c r="W6118">
        <v>1</v>
      </c>
      <c r="X6118">
        <v>0</v>
      </c>
      <c r="Y6118">
        <v>1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1</v>
      </c>
      <c r="AF6118">
        <v>1</v>
      </c>
      <c r="AG6118">
        <v>1</v>
      </c>
      <c r="AH6118">
        <v>1</v>
      </c>
      <c r="AI6118">
        <v>1</v>
      </c>
      <c r="AJ6118">
        <v>1</v>
      </c>
      <c r="AK6118">
        <v>1</v>
      </c>
      <c r="AL6118">
        <v>1</v>
      </c>
      <c r="AM6118">
        <v>1</v>
      </c>
    </row>
    <row r="6119" spans="1:39" x14ac:dyDescent="0.2">
      <c r="A6119" t="str">
        <f>"6115"</f>
        <v>6115</v>
      </c>
      <c r="B6119" t="str">
        <f t="shared" si="338"/>
        <v>1</v>
      </c>
      <c r="C6119" t="str">
        <f t="shared" si="340"/>
        <v>123</v>
      </c>
      <c r="D6119" t="str">
        <f>"32"</f>
        <v>32</v>
      </c>
      <c r="E6119" t="str">
        <f>"1-123-32"</f>
        <v>1-123-32</v>
      </c>
      <c r="F6119" t="s">
        <v>65</v>
      </c>
      <c r="G6119" t="s">
        <v>66</v>
      </c>
      <c r="H6119" t="s">
        <v>67</v>
      </c>
      <c r="S6119">
        <v>0</v>
      </c>
      <c r="T6119">
        <v>1</v>
      </c>
      <c r="U6119">
        <v>0</v>
      </c>
      <c r="V6119">
        <v>0</v>
      </c>
      <c r="W6119">
        <v>1</v>
      </c>
      <c r="X6119">
        <v>0</v>
      </c>
      <c r="Y6119">
        <v>1</v>
      </c>
      <c r="Z6119">
        <v>0</v>
      </c>
      <c r="AA6119">
        <v>0</v>
      </c>
      <c r="AB6119">
        <v>0</v>
      </c>
      <c r="AC6119">
        <v>1</v>
      </c>
      <c r="AD6119">
        <v>1</v>
      </c>
      <c r="AE6119">
        <v>1</v>
      </c>
      <c r="AF6119">
        <v>1</v>
      </c>
      <c r="AG6119">
        <v>1</v>
      </c>
      <c r="AH6119">
        <v>1</v>
      </c>
      <c r="AI6119">
        <v>1</v>
      </c>
      <c r="AJ6119">
        <v>1</v>
      </c>
      <c r="AK6119">
        <v>1</v>
      </c>
      <c r="AL6119">
        <v>1</v>
      </c>
      <c r="AM6119">
        <v>1</v>
      </c>
    </row>
    <row r="6120" spans="1:39" x14ac:dyDescent="0.2">
      <c r="A6120" t="str">
        <f>"6116"</f>
        <v>6116</v>
      </c>
      <c r="B6120" t="str">
        <f t="shared" si="338"/>
        <v>1</v>
      </c>
      <c r="C6120" t="str">
        <f t="shared" si="340"/>
        <v>123</v>
      </c>
      <c r="D6120" t="str">
        <f>"17"</f>
        <v>17</v>
      </c>
      <c r="E6120" t="str">
        <f>"1-123-17"</f>
        <v>1-123-17</v>
      </c>
      <c r="F6120" t="s">
        <v>65</v>
      </c>
      <c r="G6120" t="s">
        <v>66</v>
      </c>
      <c r="H6120" t="s">
        <v>67</v>
      </c>
      <c r="S6120">
        <v>0</v>
      </c>
      <c r="T6120">
        <v>1</v>
      </c>
      <c r="U6120">
        <v>0</v>
      </c>
      <c r="V6120">
        <v>0</v>
      </c>
      <c r="W6120">
        <v>1</v>
      </c>
      <c r="X6120">
        <v>0</v>
      </c>
      <c r="Y6120">
        <v>1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1</v>
      </c>
      <c r="AF6120">
        <v>1</v>
      </c>
      <c r="AG6120">
        <v>1</v>
      </c>
      <c r="AH6120">
        <v>1</v>
      </c>
      <c r="AI6120">
        <v>1</v>
      </c>
      <c r="AJ6120">
        <v>1</v>
      </c>
      <c r="AK6120">
        <v>1</v>
      </c>
      <c r="AL6120">
        <v>1</v>
      </c>
      <c r="AM6120">
        <v>1</v>
      </c>
    </row>
    <row r="6121" spans="1:39" x14ac:dyDescent="0.2">
      <c r="A6121" t="str">
        <f>"6117"</f>
        <v>6117</v>
      </c>
      <c r="B6121" t="str">
        <f t="shared" si="338"/>
        <v>1</v>
      </c>
      <c r="C6121" t="str">
        <f t="shared" si="340"/>
        <v>123</v>
      </c>
      <c r="D6121" t="str">
        <f>"1"</f>
        <v>1</v>
      </c>
      <c r="E6121" t="str">
        <f>"1-123-1"</f>
        <v>1-123-1</v>
      </c>
      <c r="F6121" t="s">
        <v>65</v>
      </c>
      <c r="G6121" t="s">
        <v>66</v>
      </c>
      <c r="H6121" t="s">
        <v>67</v>
      </c>
      <c r="S6121">
        <v>1</v>
      </c>
      <c r="T6121">
        <v>0</v>
      </c>
      <c r="U6121">
        <v>0</v>
      </c>
      <c r="V6121">
        <v>0</v>
      </c>
      <c r="W6121">
        <v>1</v>
      </c>
      <c r="X6121">
        <v>0</v>
      </c>
      <c r="Y6121">
        <v>1</v>
      </c>
      <c r="Z6121">
        <v>0</v>
      </c>
      <c r="AA6121">
        <v>0</v>
      </c>
      <c r="AB6121">
        <v>0</v>
      </c>
      <c r="AC6121">
        <v>1</v>
      </c>
      <c r="AD6121">
        <v>1</v>
      </c>
      <c r="AE6121">
        <v>1</v>
      </c>
      <c r="AF6121">
        <v>1</v>
      </c>
      <c r="AG6121">
        <v>1</v>
      </c>
      <c r="AH6121">
        <v>1</v>
      </c>
      <c r="AI6121">
        <v>1</v>
      </c>
      <c r="AJ6121">
        <v>1</v>
      </c>
      <c r="AK6121">
        <v>1</v>
      </c>
      <c r="AL6121">
        <v>1</v>
      </c>
      <c r="AM6121">
        <v>1</v>
      </c>
    </row>
    <row r="6122" spans="1:39" x14ac:dyDescent="0.2">
      <c r="A6122" t="str">
        <f>"6118"</f>
        <v>6118</v>
      </c>
      <c r="B6122" t="str">
        <f t="shared" si="338"/>
        <v>1</v>
      </c>
      <c r="C6122" t="str">
        <f t="shared" si="340"/>
        <v>123</v>
      </c>
      <c r="D6122" t="str">
        <f>"40"</f>
        <v>40</v>
      </c>
      <c r="E6122" t="str">
        <f>"1-123-40"</f>
        <v>1-123-40</v>
      </c>
      <c r="F6122" t="s">
        <v>65</v>
      </c>
      <c r="G6122" t="s">
        <v>66</v>
      </c>
      <c r="H6122" t="s">
        <v>68</v>
      </c>
      <c r="I6122">
        <v>1</v>
      </c>
      <c r="J6122">
        <v>1</v>
      </c>
      <c r="K6122">
        <v>0</v>
      </c>
      <c r="L6122">
        <v>0</v>
      </c>
      <c r="M6122">
        <v>1</v>
      </c>
      <c r="N6122">
        <v>1</v>
      </c>
      <c r="O6122">
        <v>1</v>
      </c>
      <c r="P6122">
        <v>1</v>
      </c>
      <c r="Q6122">
        <v>1</v>
      </c>
      <c r="R6122">
        <v>1</v>
      </c>
    </row>
    <row r="6123" spans="1:39" x14ac:dyDescent="0.2">
      <c r="A6123" t="str">
        <f>"6119"</f>
        <v>6119</v>
      </c>
      <c r="B6123" t="str">
        <f t="shared" si="338"/>
        <v>1</v>
      </c>
      <c r="C6123" t="str">
        <f t="shared" si="340"/>
        <v>123</v>
      </c>
      <c r="D6123" t="str">
        <f>"39"</f>
        <v>39</v>
      </c>
      <c r="E6123" t="str">
        <f>"1-123-39"</f>
        <v>1-123-39</v>
      </c>
      <c r="F6123" t="s">
        <v>65</v>
      </c>
      <c r="G6123" t="s">
        <v>66</v>
      </c>
      <c r="H6123" t="s">
        <v>67</v>
      </c>
      <c r="S6123">
        <v>1</v>
      </c>
      <c r="T6123">
        <v>0</v>
      </c>
      <c r="U6123">
        <v>0</v>
      </c>
      <c r="V6123">
        <v>0</v>
      </c>
      <c r="W6123">
        <v>1</v>
      </c>
      <c r="X6123">
        <v>0</v>
      </c>
      <c r="Y6123">
        <v>1</v>
      </c>
      <c r="Z6123">
        <v>0</v>
      </c>
      <c r="AA6123">
        <v>0</v>
      </c>
      <c r="AB6123">
        <v>0</v>
      </c>
      <c r="AC6123">
        <v>1</v>
      </c>
      <c r="AD6123">
        <v>1</v>
      </c>
      <c r="AE6123">
        <v>1</v>
      </c>
      <c r="AF6123">
        <v>1</v>
      </c>
      <c r="AG6123">
        <v>1</v>
      </c>
      <c r="AH6123">
        <v>0</v>
      </c>
      <c r="AI6123">
        <v>1</v>
      </c>
      <c r="AJ6123">
        <v>1</v>
      </c>
      <c r="AK6123">
        <v>1</v>
      </c>
      <c r="AL6123">
        <v>1</v>
      </c>
      <c r="AM6123">
        <v>1</v>
      </c>
    </row>
    <row r="6124" spans="1:39" x14ac:dyDescent="0.2">
      <c r="A6124" t="str">
        <f>"6120"</f>
        <v>6120</v>
      </c>
      <c r="B6124" t="str">
        <f t="shared" si="338"/>
        <v>1</v>
      </c>
      <c r="C6124" t="str">
        <f t="shared" si="340"/>
        <v>123</v>
      </c>
      <c r="D6124" t="str">
        <f>"34"</f>
        <v>34</v>
      </c>
      <c r="E6124" t="str">
        <f>"1-123-34"</f>
        <v>1-123-34</v>
      </c>
      <c r="F6124" t="s">
        <v>65</v>
      </c>
      <c r="G6124" t="s">
        <v>66</v>
      </c>
      <c r="H6124" t="s">
        <v>67</v>
      </c>
      <c r="S6124">
        <v>0</v>
      </c>
      <c r="T6124">
        <v>1</v>
      </c>
      <c r="U6124">
        <v>0</v>
      </c>
      <c r="V6124">
        <v>0</v>
      </c>
      <c r="W6124">
        <v>0</v>
      </c>
      <c r="X6124">
        <v>1</v>
      </c>
      <c r="Y6124">
        <v>1</v>
      </c>
      <c r="Z6124">
        <v>0</v>
      </c>
      <c r="AA6124">
        <v>0</v>
      </c>
      <c r="AB6124">
        <v>0</v>
      </c>
      <c r="AC6124">
        <v>1</v>
      </c>
      <c r="AD6124">
        <v>1</v>
      </c>
      <c r="AE6124">
        <v>1</v>
      </c>
      <c r="AF6124">
        <v>1</v>
      </c>
      <c r="AG6124">
        <v>1</v>
      </c>
      <c r="AH6124">
        <v>1</v>
      </c>
      <c r="AI6124">
        <v>1</v>
      </c>
      <c r="AJ6124">
        <v>1</v>
      </c>
      <c r="AK6124">
        <v>1</v>
      </c>
      <c r="AL6124">
        <v>1</v>
      </c>
      <c r="AM6124">
        <v>1</v>
      </c>
    </row>
    <row r="6125" spans="1:39" x14ac:dyDescent="0.2">
      <c r="A6125" t="str">
        <f>"6121"</f>
        <v>6121</v>
      </c>
      <c r="B6125" t="str">
        <f t="shared" si="338"/>
        <v>1</v>
      </c>
      <c r="C6125" t="str">
        <f t="shared" si="340"/>
        <v>123</v>
      </c>
      <c r="D6125" t="str">
        <f>"18"</f>
        <v>18</v>
      </c>
      <c r="E6125" t="str">
        <f>"1-123-18"</f>
        <v>1-123-18</v>
      </c>
      <c r="F6125" t="s">
        <v>65</v>
      </c>
      <c r="G6125" t="s">
        <v>66</v>
      </c>
      <c r="H6125" t="s">
        <v>67</v>
      </c>
      <c r="S6125">
        <v>1</v>
      </c>
      <c r="T6125">
        <v>0</v>
      </c>
      <c r="U6125">
        <v>0</v>
      </c>
      <c r="V6125">
        <v>0</v>
      </c>
      <c r="W6125">
        <v>1</v>
      </c>
      <c r="X6125">
        <v>0</v>
      </c>
      <c r="Y6125">
        <v>1</v>
      </c>
      <c r="Z6125">
        <v>0</v>
      </c>
      <c r="AA6125">
        <v>1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</row>
    <row r="6126" spans="1:39" x14ac:dyDescent="0.2">
      <c r="A6126" t="str">
        <f>"6122"</f>
        <v>6122</v>
      </c>
      <c r="B6126" t="str">
        <f t="shared" si="338"/>
        <v>1</v>
      </c>
      <c r="C6126" t="str">
        <f t="shared" si="340"/>
        <v>123</v>
      </c>
      <c r="D6126" t="str">
        <f>"13"</f>
        <v>13</v>
      </c>
      <c r="E6126" t="str">
        <f>"1-123-13"</f>
        <v>1-123-13</v>
      </c>
      <c r="F6126" t="s">
        <v>65</v>
      </c>
      <c r="G6126" t="s">
        <v>66</v>
      </c>
      <c r="H6126" t="s">
        <v>67</v>
      </c>
      <c r="S6126">
        <v>1</v>
      </c>
      <c r="T6126">
        <v>0</v>
      </c>
      <c r="U6126">
        <v>0</v>
      </c>
      <c r="V6126">
        <v>0</v>
      </c>
      <c r="W6126">
        <v>1</v>
      </c>
      <c r="X6126">
        <v>0</v>
      </c>
      <c r="Y6126">
        <v>1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1</v>
      </c>
      <c r="AF6126">
        <v>1</v>
      </c>
      <c r="AG6126">
        <v>1</v>
      </c>
      <c r="AH6126">
        <v>1</v>
      </c>
      <c r="AI6126">
        <v>1</v>
      </c>
      <c r="AJ6126">
        <v>1</v>
      </c>
      <c r="AK6126">
        <v>1</v>
      </c>
      <c r="AL6126">
        <v>1</v>
      </c>
      <c r="AM6126">
        <v>1</v>
      </c>
    </row>
    <row r="6127" spans="1:39" x14ac:dyDescent="0.2">
      <c r="A6127" t="str">
        <f>"6123"</f>
        <v>6123</v>
      </c>
      <c r="B6127" t="str">
        <f t="shared" si="338"/>
        <v>1</v>
      </c>
      <c r="C6127" t="str">
        <f t="shared" si="340"/>
        <v>123</v>
      </c>
      <c r="D6127" t="str">
        <f>"41"</f>
        <v>41</v>
      </c>
      <c r="E6127" t="str">
        <f>"1-123-41"</f>
        <v>1-123-41</v>
      </c>
      <c r="F6127" t="s">
        <v>65</v>
      </c>
      <c r="G6127" t="s">
        <v>66</v>
      </c>
      <c r="H6127" t="s">
        <v>67</v>
      </c>
      <c r="S6127">
        <v>0</v>
      </c>
      <c r="T6127">
        <v>1</v>
      </c>
      <c r="U6127">
        <v>0</v>
      </c>
      <c r="V6127">
        <v>0</v>
      </c>
      <c r="W6127">
        <v>0</v>
      </c>
      <c r="X6127">
        <v>1</v>
      </c>
      <c r="Y6127">
        <v>1</v>
      </c>
      <c r="Z6127">
        <v>0</v>
      </c>
      <c r="AA6127">
        <v>0</v>
      </c>
      <c r="AB6127">
        <v>1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</row>
    <row r="6128" spans="1:39" x14ac:dyDescent="0.2">
      <c r="A6128" t="str">
        <f>"6124"</f>
        <v>6124</v>
      </c>
      <c r="B6128" t="str">
        <f t="shared" si="338"/>
        <v>1</v>
      </c>
      <c r="C6128" t="str">
        <f t="shared" si="340"/>
        <v>123</v>
      </c>
      <c r="D6128" t="str">
        <f>"20"</f>
        <v>20</v>
      </c>
      <c r="E6128" t="str">
        <f>"1-123-20"</f>
        <v>1-123-20</v>
      </c>
      <c r="F6128" t="s">
        <v>65</v>
      </c>
      <c r="G6128" t="s">
        <v>66</v>
      </c>
      <c r="H6128" t="s">
        <v>67</v>
      </c>
      <c r="S6128">
        <v>1</v>
      </c>
      <c r="T6128">
        <v>0</v>
      </c>
      <c r="U6128">
        <v>0</v>
      </c>
      <c r="V6128">
        <v>0</v>
      </c>
      <c r="W6128">
        <v>1</v>
      </c>
      <c r="X6128">
        <v>0</v>
      </c>
      <c r="Y6128">
        <v>1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1</v>
      </c>
      <c r="AF6128">
        <v>1</v>
      </c>
      <c r="AG6128">
        <v>1</v>
      </c>
      <c r="AH6128">
        <v>1</v>
      </c>
      <c r="AI6128">
        <v>1</v>
      </c>
      <c r="AJ6128">
        <v>1</v>
      </c>
      <c r="AK6128">
        <v>1</v>
      </c>
      <c r="AL6128">
        <v>1</v>
      </c>
      <c r="AM6128">
        <v>1</v>
      </c>
    </row>
    <row r="6129" spans="1:39" x14ac:dyDescent="0.2">
      <c r="A6129" t="str">
        <f>"6125"</f>
        <v>6125</v>
      </c>
      <c r="B6129" t="str">
        <f t="shared" si="338"/>
        <v>1</v>
      </c>
      <c r="C6129" t="str">
        <f t="shared" si="340"/>
        <v>123</v>
      </c>
      <c r="D6129" t="str">
        <f>"7"</f>
        <v>7</v>
      </c>
      <c r="E6129" t="str">
        <f>"1-123-7"</f>
        <v>1-123-7</v>
      </c>
      <c r="F6129" t="s">
        <v>65</v>
      </c>
      <c r="G6129" t="s">
        <v>66</v>
      </c>
      <c r="H6129" t="s">
        <v>67</v>
      </c>
      <c r="S6129">
        <v>1</v>
      </c>
      <c r="T6129">
        <v>0</v>
      </c>
      <c r="U6129">
        <v>0</v>
      </c>
      <c r="V6129">
        <v>0</v>
      </c>
      <c r="W6129">
        <v>0</v>
      </c>
      <c r="X6129">
        <v>1</v>
      </c>
      <c r="Y6129">
        <v>1</v>
      </c>
      <c r="Z6129">
        <v>0</v>
      </c>
      <c r="AA6129">
        <v>0</v>
      </c>
      <c r="AB6129">
        <v>0</v>
      </c>
      <c r="AC6129">
        <v>1</v>
      </c>
      <c r="AD6129">
        <v>1</v>
      </c>
      <c r="AE6129">
        <v>1</v>
      </c>
      <c r="AF6129">
        <v>1</v>
      </c>
      <c r="AG6129">
        <v>1</v>
      </c>
      <c r="AH6129">
        <v>1</v>
      </c>
      <c r="AI6129">
        <v>1</v>
      </c>
      <c r="AJ6129">
        <v>0</v>
      </c>
      <c r="AK6129">
        <v>1</v>
      </c>
      <c r="AL6129">
        <v>1</v>
      </c>
      <c r="AM6129">
        <v>1</v>
      </c>
    </row>
    <row r="6130" spans="1:39" x14ac:dyDescent="0.2">
      <c r="A6130" t="str">
        <f>"6126"</f>
        <v>6126</v>
      </c>
      <c r="B6130" t="str">
        <f t="shared" si="338"/>
        <v>1</v>
      </c>
      <c r="C6130" t="str">
        <f t="shared" si="340"/>
        <v>123</v>
      </c>
      <c r="D6130" t="str">
        <f>"42"</f>
        <v>42</v>
      </c>
      <c r="E6130" t="str">
        <f>"1-123-42"</f>
        <v>1-123-42</v>
      </c>
      <c r="F6130" t="s">
        <v>65</v>
      </c>
      <c r="G6130" t="s">
        <v>66</v>
      </c>
      <c r="H6130" t="s">
        <v>67</v>
      </c>
      <c r="S6130">
        <v>0</v>
      </c>
      <c r="T6130">
        <v>1</v>
      </c>
      <c r="U6130">
        <v>0</v>
      </c>
      <c r="V6130">
        <v>0</v>
      </c>
      <c r="W6130">
        <v>0</v>
      </c>
      <c r="X6130">
        <v>1</v>
      </c>
      <c r="Y6130">
        <v>1</v>
      </c>
      <c r="Z6130">
        <v>0</v>
      </c>
      <c r="AA6130">
        <v>0</v>
      </c>
      <c r="AB6130">
        <v>1</v>
      </c>
      <c r="AC6130">
        <v>0</v>
      </c>
      <c r="AD6130">
        <v>0</v>
      </c>
      <c r="AE6130">
        <v>0</v>
      </c>
      <c r="AF6130">
        <v>0</v>
      </c>
      <c r="AG6130">
        <v>1</v>
      </c>
      <c r="AH6130">
        <v>1</v>
      </c>
      <c r="AI6130">
        <v>1</v>
      </c>
      <c r="AJ6130">
        <v>1</v>
      </c>
      <c r="AK6130">
        <v>1</v>
      </c>
      <c r="AL6130">
        <v>1</v>
      </c>
      <c r="AM6130">
        <v>1</v>
      </c>
    </row>
    <row r="6131" spans="1:39" x14ac:dyDescent="0.2">
      <c r="A6131" t="str">
        <f>"6127"</f>
        <v>6127</v>
      </c>
      <c r="B6131" t="str">
        <f t="shared" si="338"/>
        <v>1</v>
      </c>
      <c r="C6131" t="str">
        <f t="shared" si="340"/>
        <v>123</v>
      </c>
      <c r="D6131" t="str">
        <f>"21"</f>
        <v>21</v>
      </c>
      <c r="E6131" t="str">
        <f>"1-123-21"</f>
        <v>1-123-21</v>
      </c>
      <c r="F6131" t="s">
        <v>65</v>
      </c>
      <c r="G6131" t="s">
        <v>66</v>
      </c>
      <c r="H6131" t="s">
        <v>67</v>
      </c>
      <c r="S6131">
        <v>1</v>
      </c>
      <c r="T6131">
        <v>0</v>
      </c>
      <c r="U6131">
        <v>0</v>
      </c>
      <c r="V6131">
        <v>0</v>
      </c>
      <c r="W6131">
        <v>1</v>
      </c>
      <c r="X6131">
        <v>0</v>
      </c>
      <c r="Y6131">
        <v>0</v>
      </c>
      <c r="Z6131">
        <v>1</v>
      </c>
      <c r="AA6131">
        <v>1</v>
      </c>
      <c r="AB6131">
        <v>0</v>
      </c>
      <c r="AC6131">
        <v>0</v>
      </c>
      <c r="AD6131">
        <v>1</v>
      </c>
      <c r="AE6131">
        <v>1</v>
      </c>
      <c r="AF6131">
        <v>1</v>
      </c>
      <c r="AG6131">
        <v>1</v>
      </c>
      <c r="AH6131">
        <v>1</v>
      </c>
      <c r="AI6131">
        <v>1</v>
      </c>
      <c r="AJ6131">
        <v>1</v>
      </c>
      <c r="AK6131">
        <v>1</v>
      </c>
      <c r="AL6131">
        <v>1</v>
      </c>
      <c r="AM6131">
        <v>1</v>
      </c>
    </row>
    <row r="6132" spans="1:39" x14ac:dyDescent="0.2">
      <c r="A6132" t="str">
        <f>"6128"</f>
        <v>6128</v>
      </c>
      <c r="B6132" t="str">
        <f t="shared" si="338"/>
        <v>1</v>
      </c>
      <c r="C6132" t="str">
        <f t="shared" si="340"/>
        <v>123</v>
      </c>
      <c r="D6132" t="str">
        <f>"14"</f>
        <v>14</v>
      </c>
      <c r="E6132" t="str">
        <f>"1-123-14"</f>
        <v>1-123-14</v>
      </c>
      <c r="F6132" t="s">
        <v>65</v>
      </c>
      <c r="G6132" t="s">
        <v>66</v>
      </c>
      <c r="H6132" t="s">
        <v>67</v>
      </c>
      <c r="S6132">
        <v>1</v>
      </c>
      <c r="T6132">
        <v>0</v>
      </c>
      <c r="U6132">
        <v>0</v>
      </c>
      <c r="V6132">
        <v>0</v>
      </c>
      <c r="W6132">
        <v>1</v>
      </c>
      <c r="X6132">
        <v>0</v>
      </c>
      <c r="Y6132">
        <v>1</v>
      </c>
      <c r="Z6132">
        <v>0</v>
      </c>
      <c r="AA6132">
        <v>0</v>
      </c>
      <c r="AB6132">
        <v>0</v>
      </c>
      <c r="AC6132">
        <v>1</v>
      </c>
      <c r="AD6132">
        <v>1</v>
      </c>
      <c r="AE6132">
        <v>1</v>
      </c>
      <c r="AF6132">
        <v>1</v>
      </c>
      <c r="AG6132">
        <v>1</v>
      </c>
      <c r="AH6132">
        <v>1</v>
      </c>
      <c r="AI6132">
        <v>1</v>
      </c>
      <c r="AJ6132">
        <v>1</v>
      </c>
      <c r="AK6132">
        <v>1</v>
      </c>
      <c r="AL6132">
        <v>1</v>
      </c>
      <c r="AM6132">
        <v>1</v>
      </c>
    </row>
    <row r="6133" spans="1:39" x14ac:dyDescent="0.2">
      <c r="A6133" t="str">
        <f>"6129"</f>
        <v>6129</v>
      </c>
      <c r="B6133" t="str">
        <f t="shared" si="338"/>
        <v>1</v>
      </c>
      <c r="C6133" t="str">
        <f t="shared" si="340"/>
        <v>123</v>
      </c>
      <c r="D6133" t="str">
        <f>"43"</f>
        <v>43</v>
      </c>
      <c r="E6133" t="str">
        <f>"1-123-43"</f>
        <v>1-123-43</v>
      </c>
      <c r="F6133" t="s">
        <v>65</v>
      </c>
      <c r="G6133" t="s">
        <v>66</v>
      </c>
      <c r="H6133" t="s">
        <v>67</v>
      </c>
      <c r="S6133">
        <v>0</v>
      </c>
      <c r="T6133">
        <v>1</v>
      </c>
      <c r="U6133">
        <v>0</v>
      </c>
      <c r="V6133">
        <v>0</v>
      </c>
      <c r="W6133">
        <v>0</v>
      </c>
      <c r="X6133">
        <v>1</v>
      </c>
      <c r="Y6133">
        <v>1</v>
      </c>
      <c r="Z6133">
        <v>0</v>
      </c>
      <c r="AA6133">
        <v>0</v>
      </c>
      <c r="AB6133">
        <v>0</v>
      </c>
      <c r="AC6133">
        <v>1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</row>
    <row r="6134" spans="1:39" x14ac:dyDescent="0.2">
      <c r="A6134" t="str">
        <f>"6130"</f>
        <v>6130</v>
      </c>
      <c r="B6134" t="str">
        <f t="shared" si="338"/>
        <v>1</v>
      </c>
      <c r="C6134" t="str">
        <f t="shared" si="340"/>
        <v>123</v>
      </c>
      <c r="D6134" t="str">
        <f>"22"</f>
        <v>22</v>
      </c>
      <c r="E6134" t="str">
        <f>"1-123-22"</f>
        <v>1-123-22</v>
      </c>
      <c r="F6134" t="s">
        <v>65</v>
      </c>
      <c r="G6134" t="s">
        <v>66</v>
      </c>
      <c r="H6134" t="s">
        <v>67</v>
      </c>
      <c r="S6134">
        <v>1</v>
      </c>
      <c r="T6134">
        <v>0</v>
      </c>
      <c r="U6134">
        <v>0</v>
      </c>
      <c r="V6134">
        <v>0</v>
      </c>
      <c r="W6134">
        <v>1</v>
      </c>
      <c r="X6134">
        <v>0</v>
      </c>
      <c r="Y6134">
        <v>0</v>
      </c>
      <c r="Z6134">
        <v>1</v>
      </c>
      <c r="AA6134">
        <v>1</v>
      </c>
      <c r="AB6134">
        <v>0</v>
      </c>
      <c r="AC6134">
        <v>0</v>
      </c>
      <c r="AD6134">
        <v>1</v>
      </c>
      <c r="AE6134">
        <v>1</v>
      </c>
      <c r="AF6134">
        <v>1</v>
      </c>
      <c r="AG6134">
        <v>1</v>
      </c>
      <c r="AH6134">
        <v>1</v>
      </c>
      <c r="AI6134">
        <v>1</v>
      </c>
      <c r="AJ6134">
        <v>1</v>
      </c>
      <c r="AK6134">
        <v>1</v>
      </c>
      <c r="AL6134">
        <v>1</v>
      </c>
      <c r="AM6134">
        <v>1</v>
      </c>
    </row>
    <row r="6135" spans="1:39" x14ac:dyDescent="0.2">
      <c r="A6135" t="str">
        <f>"6131"</f>
        <v>6131</v>
      </c>
      <c r="B6135" t="str">
        <f t="shared" ref="B6135:B6198" si="341">"1"</f>
        <v>1</v>
      </c>
      <c r="C6135" t="str">
        <f t="shared" si="340"/>
        <v>123</v>
      </c>
      <c r="D6135" t="str">
        <f>"3"</f>
        <v>3</v>
      </c>
      <c r="E6135" t="str">
        <f>"1-123-3"</f>
        <v>1-123-3</v>
      </c>
      <c r="F6135" t="s">
        <v>65</v>
      </c>
      <c r="G6135" t="s">
        <v>66</v>
      </c>
      <c r="H6135" t="s">
        <v>67</v>
      </c>
      <c r="S6135">
        <v>1</v>
      </c>
      <c r="T6135">
        <v>0</v>
      </c>
      <c r="U6135">
        <v>0</v>
      </c>
      <c r="V6135">
        <v>0</v>
      </c>
      <c r="W6135">
        <v>1</v>
      </c>
      <c r="X6135">
        <v>0</v>
      </c>
      <c r="Y6135">
        <v>1</v>
      </c>
      <c r="Z6135">
        <v>0</v>
      </c>
      <c r="AA6135">
        <v>0</v>
      </c>
      <c r="AB6135">
        <v>0</v>
      </c>
      <c r="AC6135">
        <v>1</v>
      </c>
      <c r="AD6135">
        <v>1</v>
      </c>
      <c r="AE6135">
        <v>1</v>
      </c>
      <c r="AF6135">
        <v>1</v>
      </c>
      <c r="AG6135">
        <v>1</v>
      </c>
      <c r="AH6135">
        <v>1</v>
      </c>
      <c r="AI6135">
        <v>1</v>
      </c>
      <c r="AJ6135">
        <v>1</v>
      </c>
      <c r="AK6135">
        <v>1</v>
      </c>
      <c r="AL6135">
        <v>1</v>
      </c>
      <c r="AM6135">
        <v>1</v>
      </c>
    </row>
    <row r="6136" spans="1:39" x14ac:dyDescent="0.2">
      <c r="A6136" t="str">
        <f>"6132"</f>
        <v>6132</v>
      </c>
      <c r="B6136" t="str">
        <f t="shared" si="341"/>
        <v>1</v>
      </c>
      <c r="C6136" t="str">
        <f t="shared" si="340"/>
        <v>123</v>
      </c>
      <c r="D6136" t="str">
        <f>"46"</f>
        <v>46</v>
      </c>
      <c r="E6136" t="str">
        <f>"1-123-46"</f>
        <v>1-123-46</v>
      </c>
      <c r="F6136" t="s">
        <v>65</v>
      </c>
      <c r="G6136" t="s">
        <v>66</v>
      </c>
      <c r="H6136" t="s">
        <v>67</v>
      </c>
      <c r="S6136">
        <v>1</v>
      </c>
      <c r="T6136">
        <v>0</v>
      </c>
      <c r="U6136">
        <v>0</v>
      </c>
      <c r="V6136">
        <v>0</v>
      </c>
      <c r="W6136">
        <v>0</v>
      </c>
      <c r="X6136">
        <v>1</v>
      </c>
      <c r="Y6136">
        <v>1</v>
      </c>
      <c r="Z6136">
        <v>0</v>
      </c>
      <c r="AA6136">
        <v>0</v>
      </c>
      <c r="AB6136">
        <v>1</v>
      </c>
      <c r="AC6136">
        <v>0</v>
      </c>
      <c r="AD6136">
        <v>1</v>
      </c>
      <c r="AE6136">
        <v>1</v>
      </c>
      <c r="AF6136">
        <v>1</v>
      </c>
      <c r="AG6136">
        <v>1</v>
      </c>
      <c r="AH6136">
        <v>1</v>
      </c>
      <c r="AI6136">
        <v>1</v>
      </c>
      <c r="AJ6136">
        <v>1</v>
      </c>
      <c r="AK6136">
        <v>1</v>
      </c>
      <c r="AL6136">
        <v>1</v>
      </c>
      <c r="AM6136">
        <v>1</v>
      </c>
    </row>
    <row r="6137" spans="1:39" x14ac:dyDescent="0.2">
      <c r="A6137" t="str">
        <f>"6133"</f>
        <v>6133</v>
      </c>
      <c r="B6137" t="str">
        <f t="shared" si="341"/>
        <v>1</v>
      </c>
      <c r="C6137" t="str">
        <f t="shared" ref="C6137:C6154" si="342">"123"</f>
        <v>123</v>
      </c>
      <c r="D6137" t="str">
        <f>"24"</f>
        <v>24</v>
      </c>
      <c r="E6137" t="str">
        <f>"1-123-24"</f>
        <v>1-123-24</v>
      </c>
      <c r="F6137" t="s">
        <v>65</v>
      </c>
      <c r="G6137" t="s">
        <v>66</v>
      </c>
      <c r="H6137" t="s">
        <v>67</v>
      </c>
      <c r="S6137">
        <v>0</v>
      </c>
      <c r="T6137">
        <v>1</v>
      </c>
      <c r="U6137">
        <v>0</v>
      </c>
      <c r="V6137">
        <v>0</v>
      </c>
      <c r="W6137">
        <v>1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1</v>
      </c>
      <c r="AE6137">
        <v>1</v>
      </c>
      <c r="AF6137">
        <v>0</v>
      </c>
      <c r="AG6137">
        <v>1</v>
      </c>
      <c r="AH6137">
        <v>0</v>
      </c>
      <c r="AI6137">
        <v>1</v>
      </c>
      <c r="AJ6137">
        <v>0</v>
      </c>
      <c r="AK6137">
        <v>1</v>
      </c>
      <c r="AL6137">
        <v>0</v>
      </c>
      <c r="AM6137">
        <v>0</v>
      </c>
    </row>
    <row r="6138" spans="1:39" x14ac:dyDescent="0.2">
      <c r="A6138" t="str">
        <f>"6134"</f>
        <v>6134</v>
      </c>
      <c r="B6138" t="str">
        <f t="shared" si="341"/>
        <v>1</v>
      </c>
      <c r="C6138" t="str">
        <f t="shared" si="342"/>
        <v>123</v>
      </c>
      <c r="D6138" t="str">
        <f>"12"</f>
        <v>12</v>
      </c>
      <c r="E6138" t="str">
        <f>"1-123-12"</f>
        <v>1-123-12</v>
      </c>
      <c r="F6138" t="s">
        <v>65</v>
      </c>
      <c r="G6138" t="s">
        <v>66</v>
      </c>
      <c r="H6138" t="s">
        <v>67</v>
      </c>
      <c r="S6138">
        <v>1</v>
      </c>
      <c r="T6138">
        <v>0</v>
      </c>
      <c r="U6138">
        <v>0</v>
      </c>
      <c r="V6138">
        <v>0</v>
      </c>
      <c r="W6138">
        <v>1</v>
      </c>
      <c r="X6138">
        <v>0</v>
      </c>
      <c r="Y6138">
        <v>1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1</v>
      </c>
      <c r="AF6138">
        <v>1</v>
      </c>
      <c r="AG6138">
        <v>1</v>
      </c>
      <c r="AH6138">
        <v>1</v>
      </c>
      <c r="AI6138">
        <v>1</v>
      </c>
      <c r="AJ6138">
        <v>1</v>
      </c>
      <c r="AK6138">
        <v>1</v>
      </c>
      <c r="AL6138">
        <v>1</v>
      </c>
      <c r="AM6138">
        <v>1</v>
      </c>
    </row>
    <row r="6139" spans="1:39" x14ac:dyDescent="0.2">
      <c r="A6139" t="str">
        <f>"6135"</f>
        <v>6135</v>
      </c>
      <c r="B6139" t="str">
        <f t="shared" si="341"/>
        <v>1</v>
      </c>
      <c r="C6139" t="str">
        <f t="shared" si="342"/>
        <v>123</v>
      </c>
      <c r="D6139" t="str">
        <f>"47"</f>
        <v>47</v>
      </c>
      <c r="E6139" t="str">
        <f>"1-123-47"</f>
        <v>1-123-47</v>
      </c>
      <c r="F6139" t="s">
        <v>65</v>
      </c>
      <c r="G6139" t="s">
        <v>66</v>
      </c>
      <c r="H6139" t="s">
        <v>67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0</v>
      </c>
      <c r="AB6139">
        <v>0</v>
      </c>
      <c r="AC6139">
        <v>1</v>
      </c>
      <c r="AD6139">
        <v>0</v>
      </c>
      <c r="AE6139">
        <v>0</v>
      </c>
      <c r="AF6139">
        <v>0</v>
      </c>
      <c r="AG6139">
        <v>0</v>
      </c>
      <c r="AH6139">
        <v>1</v>
      </c>
      <c r="AI6139">
        <v>1</v>
      </c>
      <c r="AJ6139">
        <v>1</v>
      </c>
      <c r="AK6139">
        <v>1</v>
      </c>
      <c r="AL6139">
        <v>1</v>
      </c>
      <c r="AM6139">
        <v>1</v>
      </c>
    </row>
    <row r="6140" spans="1:39" x14ac:dyDescent="0.2">
      <c r="A6140" t="str">
        <f>"6136"</f>
        <v>6136</v>
      </c>
      <c r="B6140" t="str">
        <f t="shared" si="341"/>
        <v>1</v>
      </c>
      <c r="C6140" t="str">
        <f t="shared" si="342"/>
        <v>123</v>
      </c>
      <c r="D6140" t="str">
        <f>"25"</f>
        <v>25</v>
      </c>
      <c r="E6140" t="str">
        <f>"1-123-25"</f>
        <v>1-123-25</v>
      </c>
      <c r="F6140" t="s">
        <v>65</v>
      </c>
      <c r="G6140" t="s">
        <v>66</v>
      </c>
      <c r="H6140" t="s">
        <v>67</v>
      </c>
      <c r="S6140">
        <v>1</v>
      </c>
      <c r="T6140">
        <v>0</v>
      </c>
      <c r="U6140">
        <v>0</v>
      </c>
      <c r="V6140">
        <v>0</v>
      </c>
      <c r="W6140">
        <v>1</v>
      </c>
      <c r="X6140">
        <v>0</v>
      </c>
      <c r="Y6140">
        <v>1</v>
      </c>
      <c r="Z6140">
        <v>0</v>
      </c>
      <c r="AA6140">
        <v>0</v>
      </c>
      <c r="AB6140">
        <v>1</v>
      </c>
      <c r="AC6140">
        <v>0</v>
      </c>
      <c r="AD6140">
        <v>0</v>
      </c>
      <c r="AE6140">
        <v>1</v>
      </c>
      <c r="AF6140">
        <v>0</v>
      </c>
      <c r="AG6140">
        <v>0</v>
      </c>
      <c r="AH6140">
        <v>1</v>
      </c>
      <c r="AI6140">
        <v>1</v>
      </c>
      <c r="AJ6140">
        <v>1</v>
      </c>
      <c r="AK6140">
        <v>1</v>
      </c>
      <c r="AL6140">
        <v>1</v>
      </c>
      <c r="AM6140">
        <v>0</v>
      </c>
    </row>
    <row r="6141" spans="1:39" x14ac:dyDescent="0.2">
      <c r="A6141" t="str">
        <f>"6137"</f>
        <v>6137</v>
      </c>
      <c r="B6141" t="str">
        <f t="shared" si="341"/>
        <v>1</v>
      </c>
      <c r="C6141" t="str">
        <f t="shared" si="342"/>
        <v>123</v>
      </c>
      <c r="D6141" t="str">
        <f>"9"</f>
        <v>9</v>
      </c>
      <c r="E6141" t="str">
        <f>"1-123-9"</f>
        <v>1-123-9</v>
      </c>
      <c r="F6141" t="s">
        <v>65</v>
      </c>
      <c r="G6141" t="s">
        <v>66</v>
      </c>
      <c r="H6141" t="s">
        <v>67</v>
      </c>
      <c r="S6141">
        <v>1</v>
      </c>
      <c r="T6141">
        <v>0</v>
      </c>
      <c r="U6141">
        <v>0</v>
      </c>
      <c r="V6141">
        <v>0</v>
      </c>
      <c r="W6141">
        <v>1</v>
      </c>
      <c r="X6141">
        <v>0</v>
      </c>
      <c r="Y6141">
        <v>0</v>
      </c>
      <c r="Z6141">
        <v>1</v>
      </c>
      <c r="AA6141">
        <v>0</v>
      </c>
      <c r="AB6141">
        <v>1</v>
      </c>
      <c r="AC6141">
        <v>0</v>
      </c>
      <c r="AD6141">
        <v>1</v>
      </c>
      <c r="AE6141">
        <v>1</v>
      </c>
      <c r="AF6141">
        <v>1</v>
      </c>
      <c r="AG6141">
        <v>1</v>
      </c>
      <c r="AH6141">
        <v>1</v>
      </c>
      <c r="AI6141">
        <v>1</v>
      </c>
      <c r="AJ6141">
        <v>1</v>
      </c>
      <c r="AK6141">
        <v>1</v>
      </c>
      <c r="AL6141">
        <v>1</v>
      </c>
      <c r="AM6141">
        <v>1</v>
      </c>
    </row>
    <row r="6142" spans="1:39" x14ac:dyDescent="0.2">
      <c r="A6142" t="str">
        <f>"6138"</f>
        <v>6138</v>
      </c>
      <c r="B6142" t="str">
        <f t="shared" si="341"/>
        <v>1</v>
      </c>
      <c r="C6142" t="str">
        <f t="shared" si="342"/>
        <v>123</v>
      </c>
      <c r="D6142" t="str">
        <f>"28"</f>
        <v>28</v>
      </c>
      <c r="E6142" t="str">
        <f>"1-123-28"</f>
        <v>1-123-28</v>
      </c>
      <c r="F6142" t="s">
        <v>65</v>
      </c>
      <c r="G6142" t="s">
        <v>66</v>
      </c>
      <c r="H6142" t="s">
        <v>67</v>
      </c>
      <c r="S6142">
        <v>0</v>
      </c>
      <c r="T6142">
        <v>1</v>
      </c>
      <c r="U6142">
        <v>0</v>
      </c>
      <c r="V6142">
        <v>0</v>
      </c>
      <c r="W6142">
        <v>1</v>
      </c>
      <c r="X6142">
        <v>0</v>
      </c>
      <c r="Y6142">
        <v>0</v>
      </c>
      <c r="Z6142">
        <v>1</v>
      </c>
      <c r="AA6142">
        <v>1</v>
      </c>
      <c r="AB6142">
        <v>0</v>
      </c>
      <c r="AC6142">
        <v>0</v>
      </c>
      <c r="AD6142">
        <v>1</v>
      </c>
      <c r="AE6142">
        <v>1</v>
      </c>
      <c r="AF6142">
        <v>1</v>
      </c>
      <c r="AG6142">
        <v>1</v>
      </c>
      <c r="AH6142">
        <v>1</v>
      </c>
      <c r="AI6142">
        <v>1</v>
      </c>
      <c r="AJ6142">
        <v>1</v>
      </c>
      <c r="AK6142">
        <v>1</v>
      </c>
      <c r="AL6142">
        <v>1</v>
      </c>
      <c r="AM6142">
        <v>1</v>
      </c>
    </row>
    <row r="6143" spans="1:39" x14ac:dyDescent="0.2">
      <c r="A6143" t="str">
        <f>"6139"</f>
        <v>6139</v>
      </c>
      <c r="B6143" t="str">
        <f t="shared" si="341"/>
        <v>1</v>
      </c>
      <c r="C6143" t="str">
        <f t="shared" si="342"/>
        <v>123</v>
      </c>
      <c r="D6143" t="str">
        <f>"10"</f>
        <v>10</v>
      </c>
      <c r="E6143" t="str">
        <f>"1-123-10"</f>
        <v>1-123-10</v>
      </c>
      <c r="F6143" t="s">
        <v>65</v>
      </c>
      <c r="G6143" t="s">
        <v>66</v>
      </c>
      <c r="H6143" t="s">
        <v>67</v>
      </c>
      <c r="S6143">
        <v>0</v>
      </c>
      <c r="T6143">
        <v>1</v>
      </c>
      <c r="U6143">
        <v>0</v>
      </c>
      <c r="V6143">
        <v>0</v>
      </c>
      <c r="W6143">
        <v>1</v>
      </c>
      <c r="X6143">
        <v>0</v>
      </c>
      <c r="Y6143">
        <v>1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1</v>
      </c>
      <c r="AF6143">
        <v>1</v>
      </c>
      <c r="AG6143">
        <v>1</v>
      </c>
      <c r="AH6143">
        <v>1</v>
      </c>
      <c r="AI6143">
        <v>1</v>
      </c>
      <c r="AJ6143">
        <v>1</v>
      </c>
      <c r="AK6143">
        <v>1</v>
      </c>
      <c r="AL6143">
        <v>1</v>
      </c>
      <c r="AM6143">
        <v>1</v>
      </c>
    </row>
    <row r="6144" spans="1:39" x14ac:dyDescent="0.2">
      <c r="A6144" t="str">
        <f>"6140"</f>
        <v>6140</v>
      </c>
      <c r="B6144" t="str">
        <f t="shared" si="341"/>
        <v>1</v>
      </c>
      <c r="C6144" t="str">
        <f t="shared" si="342"/>
        <v>123</v>
      </c>
      <c r="D6144" t="str">
        <f>"48"</f>
        <v>48</v>
      </c>
      <c r="E6144" t="str">
        <f>"1-123-48"</f>
        <v>1-123-48</v>
      </c>
      <c r="F6144" t="s">
        <v>65</v>
      </c>
      <c r="G6144" t="s">
        <v>66</v>
      </c>
      <c r="H6144" t="s">
        <v>67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</row>
    <row r="6145" spans="1:39" x14ac:dyDescent="0.2">
      <c r="A6145" t="str">
        <f>"6141"</f>
        <v>6141</v>
      </c>
      <c r="B6145" t="str">
        <f t="shared" si="341"/>
        <v>1</v>
      </c>
      <c r="C6145" t="str">
        <f t="shared" si="342"/>
        <v>123</v>
      </c>
      <c r="D6145" t="str">
        <f>"29"</f>
        <v>29</v>
      </c>
      <c r="E6145" t="str">
        <f>"1-123-29"</f>
        <v>1-123-29</v>
      </c>
      <c r="F6145" t="s">
        <v>65</v>
      </c>
      <c r="G6145" t="s">
        <v>66</v>
      </c>
      <c r="H6145" t="s">
        <v>67</v>
      </c>
      <c r="S6145">
        <v>1</v>
      </c>
      <c r="T6145">
        <v>0</v>
      </c>
      <c r="U6145">
        <v>0</v>
      </c>
      <c r="V6145">
        <v>0</v>
      </c>
      <c r="W6145">
        <v>1</v>
      </c>
      <c r="X6145">
        <v>0</v>
      </c>
      <c r="Y6145">
        <v>1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1</v>
      </c>
      <c r="AF6145">
        <v>1</v>
      </c>
      <c r="AG6145">
        <v>1</v>
      </c>
      <c r="AH6145">
        <v>1</v>
      </c>
      <c r="AI6145">
        <v>1</v>
      </c>
      <c r="AJ6145">
        <v>1</v>
      </c>
      <c r="AK6145">
        <v>1</v>
      </c>
      <c r="AL6145">
        <v>1</v>
      </c>
      <c r="AM6145">
        <v>1</v>
      </c>
    </row>
    <row r="6146" spans="1:39" x14ac:dyDescent="0.2">
      <c r="A6146" t="str">
        <f>"6142"</f>
        <v>6142</v>
      </c>
      <c r="B6146" t="str">
        <f t="shared" si="341"/>
        <v>1</v>
      </c>
      <c r="C6146" t="str">
        <f t="shared" si="342"/>
        <v>123</v>
      </c>
      <c r="D6146" t="str">
        <f>"2"</f>
        <v>2</v>
      </c>
      <c r="E6146" t="str">
        <f>"1-123-2"</f>
        <v>1-123-2</v>
      </c>
      <c r="F6146" t="s">
        <v>65</v>
      </c>
      <c r="G6146" t="s">
        <v>66</v>
      </c>
      <c r="H6146" t="s">
        <v>67</v>
      </c>
      <c r="S6146">
        <v>1</v>
      </c>
      <c r="T6146">
        <v>0</v>
      </c>
      <c r="U6146">
        <v>0</v>
      </c>
      <c r="V6146">
        <v>0</v>
      </c>
      <c r="W6146">
        <v>1</v>
      </c>
      <c r="X6146">
        <v>0</v>
      </c>
      <c r="Y6146">
        <v>1</v>
      </c>
      <c r="Z6146">
        <v>0</v>
      </c>
      <c r="AA6146">
        <v>0</v>
      </c>
      <c r="AB6146">
        <v>0</v>
      </c>
      <c r="AC6146">
        <v>1</v>
      </c>
      <c r="AD6146">
        <v>1</v>
      </c>
      <c r="AE6146">
        <v>1</v>
      </c>
      <c r="AF6146">
        <v>1</v>
      </c>
      <c r="AG6146">
        <v>1</v>
      </c>
      <c r="AH6146">
        <v>1</v>
      </c>
      <c r="AI6146">
        <v>1</v>
      </c>
      <c r="AJ6146">
        <v>1</v>
      </c>
      <c r="AK6146">
        <v>1</v>
      </c>
      <c r="AL6146">
        <v>1</v>
      </c>
      <c r="AM6146">
        <v>1</v>
      </c>
    </row>
    <row r="6147" spans="1:39" x14ac:dyDescent="0.2">
      <c r="A6147" t="str">
        <f>"6143"</f>
        <v>6143</v>
      </c>
      <c r="B6147" t="str">
        <f t="shared" si="341"/>
        <v>1</v>
      </c>
      <c r="C6147" t="str">
        <f t="shared" si="342"/>
        <v>123</v>
      </c>
      <c r="D6147" t="str">
        <f>"50"</f>
        <v>50</v>
      </c>
      <c r="E6147" t="str">
        <f>"1-123-50"</f>
        <v>1-123-50</v>
      </c>
      <c r="F6147" t="s">
        <v>65</v>
      </c>
      <c r="G6147" t="s">
        <v>66</v>
      </c>
      <c r="H6147" t="s">
        <v>67</v>
      </c>
      <c r="S6147">
        <v>1</v>
      </c>
      <c r="T6147">
        <v>0</v>
      </c>
      <c r="U6147">
        <v>0</v>
      </c>
      <c r="V6147">
        <v>0</v>
      </c>
      <c r="W6147">
        <v>1</v>
      </c>
      <c r="X6147">
        <v>0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</row>
    <row r="6148" spans="1:39" x14ac:dyDescent="0.2">
      <c r="A6148" t="str">
        <f>"6144"</f>
        <v>6144</v>
      </c>
      <c r="B6148" t="str">
        <f t="shared" si="341"/>
        <v>1</v>
      </c>
      <c r="C6148" t="str">
        <f t="shared" si="342"/>
        <v>123</v>
      </c>
      <c r="D6148" t="str">
        <f>"30"</f>
        <v>30</v>
      </c>
      <c r="E6148" t="str">
        <f>"1-123-30"</f>
        <v>1-123-30</v>
      </c>
      <c r="F6148" t="s">
        <v>65</v>
      </c>
      <c r="G6148" t="s">
        <v>66</v>
      </c>
      <c r="H6148" t="s">
        <v>67</v>
      </c>
      <c r="S6148">
        <v>1</v>
      </c>
      <c r="T6148">
        <v>0</v>
      </c>
      <c r="U6148">
        <v>0</v>
      </c>
      <c r="V6148">
        <v>0</v>
      </c>
      <c r="W6148">
        <v>1</v>
      </c>
      <c r="X6148">
        <v>0</v>
      </c>
      <c r="Y6148">
        <v>0</v>
      </c>
      <c r="Z6148">
        <v>1</v>
      </c>
      <c r="AA6148">
        <v>0</v>
      </c>
      <c r="AB6148">
        <v>0</v>
      </c>
      <c r="AC6148">
        <v>1</v>
      </c>
      <c r="AD6148">
        <v>1</v>
      </c>
      <c r="AE6148">
        <v>1</v>
      </c>
      <c r="AF6148">
        <v>1</v>
      </c>
      <c r="AG6148">
        <v>1</v>
      </c>
      <c r="AH6148">
        <v>1</v>
      </c>
      <c r="AI6148">
        <v>1</v>
      </c>
      <c r="AJ6148">
        <v>1</v>
      </c>
      <c r="AK6148">
        <v>1</v>
      </c>
      <c r="AL6148">
        <v>1</v>
      </c>
      <c r="AM6148">
        <v>1</v>
      </c>
    </row>
    <row r="6149" spans="1:39" x14ac:dyDescent="0.2">
      <c r="A6149" t="str">
        <f>"6145"</f>
        <v>6145</v>
      </c>
      <c r="B6149" t="str">
        <f t="shared" si="341"/>
        <v>1</v>
      </c>
      <c r="C6149" t="str">
        <f t="shared" si="342"/>
        <v>123</v>
      </c>
      <c r="D6149" t="str">
        <f>"6"</f>
        <v>6</v>
      </c>
      <c r="E6149" t="str">
        <f>"1-123-6"</f>
        <v>1-123-6</v>
      </c>
      <c r="F6149" t="s">
        <v>65</v>
      </c>
      <c r="G6149" t="s">
        <v>66</v>
      </c>
      <c r="H6149" t="s">
        <v>67</v>
      </c>
      <c r="S6149">
        <v>0</v>
      </c>
      <c r="T6149">
        <v>1</v>
      </c>
      <c r="U6149">
        <v>0</v>
      </c>
      <c r="V6149">
        <v>0</v>
      </c>
      <c r="W6149">
        <v>0</v>
      </c>
      <c r="X6149">
        <v>1</v>
      </c>
      <c r="Y6149">
        <v>0</v>
      </c>
      <c r="Z6149">
        <v>1</v>
      </c>
      <c r="AA6149">
        <v>0</v>
      </c>
      <c r="AB6149">
        <v>0</v>
      </c>
      <c r="AC6149">
        <v>1</v>
      </c>
      <c r="AD6149">
        <v>1</v>
      </c>
      <c r="AE6149">
        <v>1</v>
      </c>
      <c r="AF6149">
        <v>1</v>
      </c>
      <c r="AG6149">
        <v>1</v>
      </c>
      <c r="AH6149">
        <v>1</v>
      </c>
      <c r="AI6149">
        <v>1</v>
      </c>
      <c r="AJ6149">
        <v>1</v>
      </c>
      <c r="AK6149">
        <v>1</v>
      </c>
      <c r="AL6149">
        <v>1</v>
      </c>
      <c r="AM6149">
        <v>1</v>
      </c>
    </row>
    <row r="6150" spans="1:39" x14ac:dyDescent="0.2">
      <c r="A6150" t="str">
        <f>"6146"</f>
        <v>6146</v>
      </c>
      <c r="B6150" t="str">
        <f t="shared" si="341"/>
        <v>1</v>
      </c>
      <c r="C6150" t="str">
        <f t="shared" si="342"/>
        <v>123</v>
      </c>
      <c r="D6150" t="str">
        <f>"49"</f>
        <v>49</v>
      </c>
      <c r="E6150" t="str">
        <f>"1-123-49"</f>
        <v>1-123-49</v>
      </c>
      <c r="F6150" t="s">
        <v>65</v>
      </c>
      <c r="G6150" t="s">
        <v>66</v>
      </c>
      <c r="H6150" t="s">
        <v>67</v>
      </c>
      <c r="S6150">
        <v>0</v>
      </c>
      <c r="T6150">
        <v>1</v>
      </c>
      <c r="U6150">
        <v>0</v>
      </c>
      <c r="V6150">
        <v>0</v>
      </c>
      <c r="W6150">
        <v>1</v>
      </c>
      <c r="X6150">
        <v>0</v>
      </c>
      <c r="Y6150">
        <v>1</v>
      </c>
      <c r="Z6150">
        <v>0</v>
      </c>
      <c r="AA6150">
        <v>0</v>
      </c>
      <c r="AB6150">
        <v>0</v>
      </c>
      <c r="AC6150">
        <v>1</v>
      </c>
      <c r="AD6150">
        <v>1</v>
      </c>
      <c r="AE6150">
        <v>1</v>
      </c>
      <c r="AF6150">
        <v>1</v>
      </c>
      <c r="AG6150">
        <v>1</v>
      </c>
      <c r="AH6150">
        <v>0</v>
      </c>
      <c r="AI6150">
        <v>1</v>
      </c>
      <c r="AJ6150">
        <v>1</v>
      </c>
      <c r="AK6150">
        <v>1</v>
      </c>
      <c r="AL6150">
        <v>1</v>
      </c>
      <c r="AM6150">
        <v>1</v>
      </c>
    </row>
    <row r="6151" spans="1:39" x14ac:dyDescent="0.2">
      <c r="A6151" t="str">
        <f>"6147"</f>
        <v>6147</v>
      </c>
      <c r="B6151" t="str">
        <f t="shared" si="341"/>
        <v>1</v>
      </c>
      <c r="C6151" t="str">
        <f t="shared" si="342"/>
        <v>123</v>
      </c>
      <c r="D6151" t="str">
        <f>"31"</f>
        <v>31</v>
      </c>
      <c r="E6151" t="str">
        <f>"1-123-31"</f>
        <v>1-123-31</v>
      </c>
      <c r="F6151" t="s">
        <v>65</v>
      </c>
      <c r="G6151" t="s">
        <v>66</v>
      </c>
      <c r="H6151" t="s">
        <v>67</v>
      </c>
      <c r="S6151">
        <v>1</v>
      </c>
      <c r="T6151">
        <v>0</v>
      </c>
      <c r="U6151">
        <v>0</v>
      </c>
      <c r="V6151">
        <v>0</v>
      </c>
      <c r="W6151">
        <v>0</v>
      </c>
      <c r="X6151">
        <v>1</v>
      </c>
      <c r="Y6151">
        <v>0</v>
      </c>
      <c r="Z6151">
        <v>1</v>
      </c>
      <c r="AA6151">
        <v>0</v>
      </c>
      <c r="AB6151">
        <v>0</v>
      </c>
      <c r="AC6151">
        <v>1</v>
      </c>
      <c r="AD6151">
        <v>1</v>
      </c>
      <c r="AE6151">
        <v>1</v>
      </c>
      <c r="AF6151">
        <v>1</v>
      </c>
      <c r="AG6151">
        <v>1</v>
      </c>
      <c r="AH6151">
        <v>1</v>
      </c>
      <c r="AI6151">
        <v>1</v>
      </c>
      <c r="AJ6151">
        <v>1</v>
      </c>
      <c r="AK6151">
        <v>1</v>
      </c>
      <c r="AL6151">
        <v>0</v>
      </c>
      <c r="AM6151">
        <v>1</v>
      </c>
    </row>
    <row r="6152" spans="1:39" x14ac:dyDescent="0.2">
      <c r="A6152" t="str">
        <f>"6148"</f>
        <v>6148</v>
      </c>
      <c r="B6152" t="str">
        <f t="shared" si="341"/>
        <v>1</v>
      </c>
      <c r="C6152" t="str">
        <f t="shared" si="342"/>
        <v>123</v>
      </c>
      <c r="D6152" t="str">
        <f>"11"</f>
        <v>11</v>
      </c>
      <c r="E6152" t="str">
        <f>"1-123-11"</f>
        <v>1-123-11</v>
      </c>
      <c r="F6152" t="s">
        <v>65</v>
      </c>
      <c r="G6152" t="s">
        <v>66</v>
      </c>
      <c r="H6152" t="s">
        <v>67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1</v>
      </c>
      <c r="AF6152">
        <v>1</v>
      </c>
      <c r="AG6152">
        <v>1</v>
      </c>
      <c r="AH6152">
        <v>1</v>
      </c>
      <c r="AI6152">
        <v>1</v>
      </c>
      <c r="AJ6152">
        <v>1</v>
      </c>
      <c r="AK6152">
        <v>1</v>
      </c>
      <c r="AL6152">
        <v>1</v>
      </c>
      <c r="AM6152">
        <v>1</v>
      </c>
    </row>
    <row r="6153" spans="1:39" x14ac:dyDescent="0.2">
      <c r="A6153" t="str">
        <f>"6149"</f>
        <v>6149</v>
      </c>
      <c r="B6153" t="str">
        <f t="shared" si="341"/>
        <v>1</v>
      </c>
      <c r="C6153" t="str">
        <f t="shared" si="342"/>
        <v>123</v>
      </c>
      <c r="D6153" t="str">
        <f>"33"</f>
        <v>33</v>
      </c>
      <c r="E6153" t="str">
        <f>"1-123-33"</f>
        <v>1-123-33</v>
      </c>
      <c r="F6153" t="s">
        <v>65</v>
      </c>
      <c r="G6153" t="s">
        <v>66</v>
      </c>
      <c r="H6153" t="s">
        <v>67</v>
      </c>
      <c r="S6153">
        <v>0</v>
      </c>
      <c r="T6153">
        <v>1</v>
      </c>
      <c r="U6153">
        <v>0</v>
      </c>
      <c r="V6153">
        <v>0</v>
      </c>
      <c r="W6153">
        <v>1</v>
      </c>
      <c r="X6153">
        <v>0</v>
      </c>
      <c r="Y6153">
        <v>1</v>
      </c>
      <c r="Z6153">
        <v>0</v>
      </c>
      <c r="AA6153">
        <v>0</v>
      </c>
      <c r="AB6153">
        <v>0</v>
      </c>
      <c r="AC6153">
        <v>1</v>
      </c>
      <c r="AD6153">
        <v>1</v>
      </c>
      <c r="AE6153">
        <v>1</v>
      </c>
      <c r="AF6153">
        <v>1</v>
      </c>
      <c r="AG6153">
        <v>1</v>
      </c>
      <c r="AH6153">
        <v>1</v>
      </c>
      <c r="AI6153">
        <v>1</v>
      </c>
      <c r="AJ6153">
        <v>1</v>
      </c>
      <c r="AK6153">
        <v>1</v>
      </c>
      <c r="AL6153">
        <v>1</v>
      </c>
      <c r="AM6153">
        <v>1</v>
      </c>
    </row>
    <row r="6154" spans="1:39" x14ac:dyDescent="0.2">
      <c r="A6154" t="str">
        <f>"6150"</f>
        <v>6150</v>
      </c>
      <c r="B6154" t="str">
        <f t="shared" si="341"/>
        <v>1</v>
      </c>
      <c r="C6154" t="str">
        <f t="shared" si="342"/>
        <v>123</v>
      </c>
      <c r="D6154" t="str">
        <f>"5"</f>
        <v>5</v>
      </c>
      <c r="E6154" t="str">
        <f>"1-123-5"</f>
        <v>1-123-5</v>
      </c>
      <c r="F6154" t="s">
        <v>65</v>
      </c>
      <c r="G6154" t="s">
        <v>66</v>
      </c>
      <c r="H6154" t="s">
        <v>67</v>
      </c>
      <c r="S6154">
        <v>0</v>
      </c>
      <c r="T6154">
        <v>1</v>
      </c>
      <c r="U6154">
        <v>0</v>
      </c>
      <c r="V6154">
        <v>0</v>
      </c>
      <c r="W6154">
        <v>0</v>
      </c>
      <c r="X6154">
        <v>1</v>
      </c>
      <c r="Y6154">
        <v>0</v>
      </c>
      <c r="Z6154">
        <v>1</v>
      </c>
      <c r="AA6154">
        <v>0</v>
      </c>
      <c r="AB6154">
        <v>0</v>
      </c>
      <c r="AC6154">
        <v>1</v>
      </c>
      <c r="AD6154">
        <v>1</v>
      </c>
      <c r="AE6154">
        <v>1</v>
      </c>
      <c r="AF6154">
        <v>1</v>
      </c>
      <c r="AG6154">
        <v>1</v>
      </c>
      <c r="AH6154">
        <v>1</v>
      </c>
      <c r="AI6154">
        <v>1</v>
      </c>
      <c r="AJ6154">
        <v>1</v>
      </c>
      <c r="AK6154">
        <v>1</v>
      </c>
      <c r="AL6154">
        <v>1</v>
      </c>
      <c r="AM6154">
        <v>1</v>
      </c>
    </row>
    <row r="6155" spans="1:39" x14ac:dyDescent="0.2">
      <c r="A6155" t="str">
        <f>"6151"</f>
        <v>6151</v>
      </c>
      <c r="B6155" t="str">
        <f t="shared" si="341"/>
        <v>1</v>
      </c>
      <c r="C6155" t="str">
        <f t="shared" ref="C6155:C6186" si="343">"124"</f>
        <v>124</v>
      </c>
      <c r="D6155" t="str">
        <f>"38"</f>
        <v>38</v>
      </c>
      <c r="E6155" t="str">
        <f>"1-124-38"</f>
        <v>1-124-38</v>
      </c>
      <c r="F6155" t="s">
        <v>65</v>
      </c>
      <c r="G6155" t="s">
        <v>66</v>
      </c>
      <c r="H6155" t="s">
        <v>67</v>
      </c>
      <c r="S6155">
        <v>1</v>
      </c>
      <c r="T6155">
        <v>0</v>
      </c>
      <c r="U6155">
        <v>0</v>
      </c>
      <c r="V6155">
        <v>0</v>
      </c>
      <c r="W6155">
        <v>1</v>
      </c>
      <c r="X6155">
        <v>0</v>
      </c>
      <c r="Y6155">
        <v>1</v>
      </c>
      <c r="Z6155">
        <v>0</v>
      </c>
      <c r="AA6155">
        <v>0</v>
      </c>
      <c r="AB6155">
        <v>0</v>
      </c>
      <c r="AC6155">
        <v>1</v>
      </c>
      <c r="AD6155">
        <v>1</v>
      </c>
      <c r="AE6155">
        <v>1</v>
      </c>
      <c r="AF6155">
        <v>1</v>
      </c>
      <c r="AG6155">
        <v>1</v>
      </c>
      <c r="AH6155">
        <v>1</v>
      </c>
      <c r="AI6155">
        <v>1</v>
      </c>
      <c r="AJ6155">
        <v>1</v>
      </c>
      <c r="AK6155">
        <v>1</v>
      </c>
      <c r="AL6155">
        <v>1</v>
      </c>
      <c r="AM6155">
        <v>1</v>
      </c>
    </row>
    <row r="6156" spans="1:39" x14ac:dyDescent="0.2">
      <c r="A6156" t="str">
        <f>"6152"</f>
        <v>6152</v>
      </c>
      <c r="B6156" t="str">
        <f t="shared" si="341"/>
        <v>1</v>
      </c>
      <c r="C6156" t="str">
        <f t="shared" si="343"/>
        <v>124</v>
      </c>
      <c r="D6156" t="str">
        <f>"37"</f>
        <v>37</v>
      </c>
      <c r="E6156" t="str">
        <f>"1-124-37"</f>
        <v>1-124-37</v>
      </c>
      <c r="F6156" t="s">
        <v>65</v>
      </c>
      <c r="G6156" t="s">
        <v>66</v>
      </c>
      <c r="H6156" t="s">
        <v>67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0</v>
      </c>
      <c r="AB6156">
        <v>0</v>
      </c>
      <c r="AC6156">
        <v>1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</row>
    <row r="6157" spans="1:39" x14ac:dyDescent="0.2">
      <c r="A6157" t="str">
        <f>"6153"</f>
        <v>6153</v>
      </c>
      <c r="B6157" t="str">
        <f t="shared" si="341"/>
        <v>1</v>
      </c>
      <c r="C6157" t="str">
        <f t="shared" si="343"/>
        <v>124</v>
      </c>
      <c r="D6157" t="str">
        <f>"27"</f>
        <v>27</v>
      </c>
      <c r="E6157" t="str">
        <f>"1-124-27"</f>
        <v>1-124-27</v>
      </c>
      <c r="F6157" t="s">
        <v>65</v>
      </c>
      <c r="G6157" t="s">
        <v>66</v>
      </c>
      <c r="H6157" t="s">
        <v>67</v>
      </c>
      <c r="S6157">
        <v>1</v>
      </c>
      <c r="T6157">
        <v>0</v>
      </c>
      <c r="U6157">
        <v>0</v>
      </c>
      <c r="V6157">
        <v>0</v>
      </c>
      <c r="W6157">
        <v>1</v>
      </c>
      <c r="X6157">
        <v>0</v>
      </c>
      <c r="Y6157">
        <v>1</v>
      </c>
      <c r="Z6157">
        <v>0</v>
      </c>
      <c r="AA6157">
        <v>1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1</v>
      </c>
      <c r="AJ6157">
        <v>0</v>
      </c>
      <c r="AK6157">
        <v>0</v>
      </c>
      <c r="AL6157">
        <v>0</v>
      </c>
      <c r="AM6157">
        <v>0</v>
      </c>
    </row>
    <row r="6158" spans="1:39" x14ac:dyDescent="0.2">
      <c r="A6158" t="str">
        <f>"6154"</f>
        <v>6154</v>
      </c>
      <c r="B6158" t="str">
        <f t="shared" si="341"/>
        <v>1</v>
      </c>
      <c r="C6158" t="str">
        <f t="shared" si="343"/>
        <v>124</v>
      </c>
      <c r="D6158" t="str">
        <f>"15"</f>
        <v>15</v>
      </c>
      <c r="E6158" t="str">
        <f>"1-124-15"</f>
        <v>1-124-15</v>
      </c>
      <c r="F6158" t="s">
        <v>65</v>
      </c>
      <c r="G6158" t="s">
        <v>66</v>
      </c>
      <c r="H6158" t="s">
        <v>67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</row>
    <row r="6159" spans="1:39" x14ac:dyDescent="0.2">
      <c r="A6159" t="str">
        <f>"6155"</f>
        <v>6155</v>
      </c>
      <c r="B6159" t="str">
        <f t="shared" si="341"/>
        <v>1</v>
      </c>
      <c r="C6159" t="str">
        <f t="shared" si="343"/>
        <v>124</v>
      </c>
      <c r="D6159" t="str">
        <f>"4"</f>
        <v>4</v>
      </c>
      <c r="E6159" t="str">
        <f>"1-124-4"</f>
        <v>1-124-4</v>
      </c>
      <c r="F6159" t="s">
        <v>65</v>
      </c>
      <c r="G6159" t="s">
        <v>66</v>
      </c>
      <c r="H6159" t="s">
        <v>67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1</v>
      </c>
      <c r="Y6159">
        <v>0</v>
      </c>
      <c r="Z6159">
        <v>1</v>
      </c>
      <c r="AA6159">
        <v>0</v>
      </c>
      <c r="AB6159">
        <v>1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</row>
    <row r="6160" spans="1:39" x14ac:dyDescent="0.2">
      <c r="A6160" t="str">
        <f>"6156"</f>
        <v>6156</v>
      </c>
      <c r="B6160" t="str">
        <f t="shared" si="341"/>
        <v>1</v>
      </c>
      <c r="C6160" t="str">
        <f t="shared" si="343"/>
        <v>124</v>
      </c>
      <c r="D6160" t="str">
        <f>"36"</f>
        <v>36</v>
      </c>
      <c r="E6160" t="str">
        <f>"1-124-36"</f>
        <v>1-124-36</v>
      </c>
      <c r="F6160" t="s">
        <v>65</v>
      </c>
      <c r="G6160" t="s">
        <v>66</v>
      </c>
      <c r="H6160" t="s">
        <v>67</v>
      </c>
      <c r="S6160">
        <v>1</v>
      </c>
      <c r="T6160">
        <v>0</v>
      </c>
      <c r="U6160">
        <v>0</v>
      </c>
      <c r="V6160">
        <v>0</v>
      </c>
      <c r="W6160">
        <v>1</v>
      </c>
      <c r="X6160">
        <v>0</v>
      </c>
      <c r="Y6160">
        <v>1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</row>
    <row r="6161" spans="1:39" x14ac:dyDescent="0.2">
      <c r="A6161" t="str">
        <f>"6157"</f>
        <v>6157</v>
      </c>
      <c r="B6161" t="str">
        <f t="shared" si="341"/>
        <v>1</v>
      </c>
      <c r="C6161" t="str">
        <f t="shared" si="343"/>
        <v>124</v>
      </c>
      <c r="D6161" t="str">
        <f>"35"</f>
        <v>35</v>
      </c>
      <c r="E6161" t="str">
        <f>"1-124-35"</f>
        <v>1-124-35</v>
      </c>
      <c r="F6161" t="s">
        <v>65</v>
      </c>
      <c r="G6161" t="s">
        <v>66</v>
      </c>
      <c r="H6161" t="s">
        <v>67</v>
      </c>
      <c r="S6161">
        <v>0</v>
      </c>
      <c r="T6161">
        <v>1</v>
      </c>
      <c r="U6161">
        <v>0</v>
      </c>
      <c r="V6161">
        <v>0</v>
      </c>
      <c r="W6161">
        <v>0</v>
      </c>
      <c r="X6161">
        <v>1</v>
      </c>
      <c r="Y6161">
        <v>0</v>
      </c>
      <c r="Z6161">
        <v>1</v>
      </c>
      <c r="AA6161">
        <v>0</v>
      </c>
      <c r="AB6161">
        <v>1</v>
      </c>
      <c r="AC6161">
        <v>0</v>
      </c>
      <c r="AD6161">
        <v>1</v>
      </c>
      <c r="AE6161">
        <v>1</v>
      </c>
      <c r="AF6161">
        <v>1</v>
      </c>
      <c r="AG6161">
        <v>1</v>
      </c>
      <c r="AH6161">
        <v>1</v>
      </c>
      <c r="AI6161">
        <v>1</v>
      </c>
      <c r="AJ6161">
        <v>1</v>
      </c>
      <c r="AK6161">
        <v>1</v>
      </c>
      <c r="AL6161">
        <v>1</v>
      </c>
      <c r="AM6161">
        <v>1</v>
      </c>
    </row>
    <row r="6162" spans="1:39" x14ac:dyDescent="0.2">
      <c r="A6162" t="str">
        <f>"6158"</f>
        <v>6158</v>
      </c>
      <c r="B6162" t="str">
        <f t="shared" si="341"/>
        <v>1</v>
      </c>
      <c r="C6162" t="str">
        <f t="shared" si="343"/>
        <v>124</v>
      </c>
      <c r="D6162" t="str">
        <f>"24"</f>
        <v>24</v>
      </c>
      <c r="E6162" t="str">
        <f>"1-124-24"</f>
        <v>1-124-24</v>
      </c>
      <c r="F6162" t="s">
        <v>65</v>
      </c>
      <c r="G6162" t="s">
        <v>66</v>
      </c>
      <c r="H6162" t="s">
        <v>67</v>
      </c>
      <c r="S6162">
        <v>0</v>
      </c>
      <c r="T6162">
        <v>1</v>
      </c>
      <c r="U6162">
        <v>0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0</v>
      </c>
      <c r="AB6162">
        <v>1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</row>
    <row r="6163" spans="1:39" x14ac:dyDescent="0.2">
      <c r="A6163" t="str">
        <f>"6159"</f>
        <v>6159</v>
      </c>
      <c r="B6163" t="str">
        <f t="shared" si="341"/>
        <v>1</v>
      </c>
      <c r="C6163" t="str">
        <f t="shared" si="343"/>
        <v>124</v>
      </c>
      <c r="D6163" t="str">
        <f>"16"</f>
        <v>16</v>
      </c>
      <c r="E6163" t="str">
        <f>"1-124-16"</f>
        <v>1-124-16</v>
      </c>
      <c r="F6163" t="s">
        <v>65</v>
      </c>
      <c r="G6163" t="s">
        <v>66</v>
      </c>
      <c r="H6163" t="s">
        <v>67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</v>
      </c>
      <c r="Y6163">
        <v>0</v>
      </c>
      <c r="Z6163">
        <v>1</v>
      </c>
      <c r="AA6163">
        <v>0</v>
      </c>
      <c r="AB6163">
        <v>0</v>
      </c>
      <c r="AC6163">
        <v>1</v>
      </c>
      <c r="AD6163">
        <v>0</v>
      </c>
      <c r="AE6163">
        <v>0</v>
      </c>
      <c r="AF6163">
        <v>0</v>
      </c>
      <c r="AG6163">
        <v>1</v>
      </c>
      <c r="AH6163">
        <v>1</v>
      </c>
      <c r="AI6163">
        <v>1</v>
      </c>
      <c r="AJ6163">
        <v>1</v>
      </c>
      <c r="AK6163">
        <v>0</v>
      </c>
      <c r="AL6163">
        <v>1</v>
      </c>
      <c r="AM6163">
        <v>0</v>
      </c>
    </row>
    <row r="6164" spans="1:39" x14ac:dyDescent="0.2">
      <c r="A6164" t="str">
        <f>"6160"</f>
        <v>6160</v>
      </c>
      <c r="B6164" t="str">
        <f t="shared" si="341"/>
        <v>1</v>
      </c>
      <c r="C6164" t="str">
        <f t="shared" si="343"/>
        <v>124</v>
      </c>
      <c r="D6164" t="str">
        <f>"3"</f>
        <v>3</v>
      </c>
      <c r="E6164" t="str">
        <f>"1-124-3"</f>
        <v>1-124-3</v>
      </c>
      <c r="F6164" t="s">
        <v>65</v>
      </c>
      <c r="G6164" t="s">
        <v>66</v>
      </c>
      <c r="H6164" t="s">
        <v>67</v>
      </c>
      <c r="S6164">
        <v>0</v>
      </c>
      <c r="T6164">
        <v>1</v>
      </c>
      <c r="U6164">
        <v>0</v>
      </c>
      <c r="V6164">
        <v>0</v>
      </c>
      <c r="W6164">
        <v>0</v>
      </c>
      <c r="X6164">
        <v>1</v>
      </c>
      <c r="Y6164">
        <v>0</v>
      </c>
      <c r="Z6164">
        <v>1</v>
      </c>
      <c r="AA6164">
        <v>0</v>
      </c>
      <c r="AB6164">
        <v>0</v>
      </c>
      <c r="AC6164">
        <v>1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</row>
    <row r="6165" spans="1:39" x14ac:dyDescent="0.2">
      <c r="A6165" t="str">
        <f>"6161"</f>
        <v>6161</v>
      </c>
      <c r="B6165" t="str">
        <f t="shared" si="341"/>
        <v>1</v>
      </c>
      <c r="C6165" t="str">
        <f t="shared" si="343"/>
        <v>124</v>
      </c>
      <c r="D6165" t="str">
        <f>"46"</f>
        <v>46</v>
      </c>
      <c r="E6165" t="str">
        <f>"1-124-46"</f>
        <v>1-124-46</v>
      </c>
      <c r="F6165" t="s">
        <v>65</v>
      </c>
      <c r="G6165" t="s">
        <v>66</v>
      </c>
      <c r="H6165" t="s">
        <v>67</v>
      </c>
      <c r="S6165">
        <v>1</v>
      </c>
      <c r="T6165">
        <v>0</v>
      </c>
      <c r="U6165">
        <v>0</v>
      </c>
      <c r="V6165">
        <v>0</v>
      </c>
      <c r="W6165">
        <v>1</v>
      </c>
      <c r="X6165">
        <v>0</v>
      </c>
      <c r="Y6165">
        <v>1</v>
      </c>
      <c r="Z6165">
        <v>0</v>
      </c>
      <c r="AA6165">
        <v>0</v>
      </c>
      <c r="AB6165">
        <v>1</v>
      </c>
      <c r="AC6165">
        <v>0</v>
      </c>
      <c r="AD6165">
        <v>1</v>
      </c>
      <c r="AE6165">
        <v>1</v>
      </c>
      <c r="AF6165">
        <v>1</v>
      </c>
      <c r="AG6165">
        <v>1</v>
      </c>
      <c r="AH6165">
        <v>1</v>
      </c>
      <c r="AI6165">
        <v>1</v>
      </c>
      <c r="AJ6165">
        <v>1</v>
      </c>
      <c r="AK6165">
        <v>1</v>
      </c>
      <c r="AL6165">
        <v>1</v>
      </c>
      <c r="AM6165">
        <v>1</v>
      </c>
    </row>
    <row r="6166" spans="1:39" x14ac:dyDescent="0.2">
      <c r="A6166" t="str">
        <f>"6162"</f>
        <v>6162</v>
      </c>
      <c r="B6166" t="str">
        <f t="shared" si="341"/>
        <v>1</v>
      </c>
      <c r="C6166" t="str">
        <f t="shared" si="343"/>
        <v>124</v>
      </c>
      <c r="D6166" t="str">
        <f>"45"</f>
        <v>45</v>
      </c>
      <c r="E6166" t="str">
        <f>"1-124-45"</f>
        <v>1-124-45</v>
      </c>
      <c r="F6166" t="s">
        <v>65</v>
      </c>
      <c r="G6166" t="s">
        <v>66</v>
      </c>
      <c r="H6166" t="s">
        <v>67</v>
      </c>
      <c r="S6166">
        <v>0</v>
      </c>
      <c r="T6166">
        <v>1</v>
      </c>
      <c r="U6166">
        <v>0</v>
      </c>
      <c r="V6166">
        <v>0</v>
      </c>
      <c r="W6166">
        <v>0</v>
      </c>
      <c r="X6166">
        <v>1</v>
      </c>
      <c r="Y6166">
        <v>0</v>
      </c>
      <c r="Z6166">
        <v>1</v>
      </c>
      <c r="AA6166">
        <v>0</v>
      </c>
      <c r="AB6166">
        <v>1</v>
      </c>
      <c r="AC6166">
        <v>0</v>
      </c>
      <c r="AD6166">
        <v>0</v>
      </c>
      <c r="AE6166">
        <v>0</v>
      </c>
      <c r="AF6166">
        <v>0</v>
      </c>
      <c r="AG6166">
        <v>1</v>
      </c>
      <c r="AH6166">
        <v>1</v>
      </c>
      <c r="AI6166">
        <v>1</v>
      </c>
      <c r="AJ6166">
        <v>1</v>
      </c>
      <c r="AK6166">
        <v>1</v>
      </c>
      <c r="AL6166">
        <v>1</v>
      </c>
      <c r="AM6166">
        <v>0</v>
      </c>
    </row>
    <row r="6167" spans="1:39" x14ac:dyDescent="0.2">
      <c r="A6167" t="str">
        <f>"6163"</f>
        <v>6163</v>
      </c>
      <c r="B6167" t="str">
        <f t="shared" si="341"/>
        <v>1</v>
      </c>
      <c r="C6167" t="str">
        <f t="shared" si="343"/>
        <v>124</v>
      </c>
      <c r="D6167" t="str">
        <f>"31"</f>
        <v>31</v>
      </c>
      <c r="E6167" t="str">
        <f>"1-124-31"</f>
        <v>1-124-31</v>
      </c>
      <c r="F6167" t="s">
        <v>65</v>
      </c>
      <c r="G6167" t="s">
        <v>66</v>
      </c>
      <c r="H6167" t="s">
        <v>67</v>
      </c>
      <c r="S6167">
        <v>0</v>
      </c>
      <c r="T6167">
        <v>1</v>
      </c>
      <c r="U6167">
        <v>0</v>
      </c>
      <c r="V6167">
        <v>0</v>
      </c>
      <c r="W6167">
        <v>1</v>
      </c>
      <c r="X6167">
        <v>0</v>
      </c>
      <c r="Y6167">
        <v>0</v>
      </c>
      <c r="Z6167">
        <v>1</v>
      </c>
      <c r="AA6167">
        <v>1</v>
      </c>
      <c r="AB6167">
        <v>0</v>
      </c>
      <c r="AC6167">
        <v>0</v>
      </c>
      <c r="AD6167">
        <v>1</v>
      </c>
      <c r="AE6167">
        <v>1</v>
      </c>
      <c r="AF6167">
        <v>1</v>
      </c>
      <c r="AG6167">
        <v>1</v>
      </c>
      <c r="AH6167">
        <v>1</v>
      </c>
      <c r="AI6167">
        <v>1</v>
      </c>
      <c r="AJ6167">
        <v>1</v>
      </c>
      <c r="AK6167">
        <v>1</v>
      </c>
      <c r="AL6167">
        <v>1</v>
      </c>
      <c r="AM6167">
        <v>1</v>
      </c>
    </row>
    <row r="6168" spans="1:39" x14ac:dyDescent="0.2">
      <c r="A6168" t="str">
        <f>"6164"</f>
        <v>6164</v>
      </c>
      <c r="B6168" t="str">
        <f t="shared" si="341"/>
        <v>1</v>
      </c>
      <c r="C6168" t="str">
        <f t="shared" si="343"/>
        <v>124</v>
      </c>
      <c r="D6168" t="str">
        <f>"17"</f>
        <v>17</v>
      </c>
      <c r="E6168" t="str">
        <f>"1-124-17"</f>
        <v>1-124-17</v>
      </c>
      <c r="F6168" t="s">
        <v>65</v>
      </c>
      <c r="G6168" t="s">
        <v>66</v>
      </c>
      <c r="H6168" t="s">
        <v>67</v>
      </c>
      <c r="S6168">
        <v>1</v>
      </c>
      <c r="T6168">
        <v>0</v>
      </c>
      <c r="U6168">
        <v>0</v>
      </c>
      <c r="V6168">
        <v>0</v>
      </c>
      <c r="W6168">
        <v>1</v>
      </c>
      <c r="X6168">
        <v>0</v>
      </c>
      <c r="Y6168">
        <v>1</v>
      </c>
      <c r="Z6168">
        <v>0</v>
      </c>
      <c r="AA6168">
        <v>0</v>
      </c>
      <c r="AB6168">
        <v>1</v>
      </c>
      <c r="AC6168">
        <v>0</v>
      </c>
      <c r="AD6168">
        <v>1</v>
      </c>
      <c r="AE6168">
        <v>1</v>
      </c>
      <c r="AF6168">
        <v>1</v>
      </c>
      <c r="AG6168">
        <v>1</v>
      </c>
      <c r="AH6168">
        <v>1</v>
      </c>
      <c r="AI6168">
        <v>1</v>
      </c>
      <c r="AJ6168">
        <v>1</v>
      </c>
      <c r="AK6168">
        <v>1</v>
      </c>
      <c r="AL6168">
        <v>1</v>
      </c>
      <c r="AM6168">
        <v>1</v>
      </c>
    </row>
    <row r="6169" spans="1:39" x14ac:dyDescent="0.2">
      <c r="A6169" t="str">
        <f>"6165"</f>
        <v>6165</v>
      </c>
      <c r="B6169" t="str">
        <f t="shared" si="341"/>
        <v>1</v>
      </c>
      <c r="C6169" t="str">
        <f t="shared" si="343"/>
        <v>124</v>
      </c>
      <c r="D6169" t="str">
        <f>"1"</f>
        <v>1</v>
      </c>
      <c r="E6169" t="str">
        <f>"1-124-1"</f>
        <v>1-124-1</v>
      </c>
      <c r="F6169" t="s">
        <v>65</v>
      </c>
      <c r="G6169" t="s">
        <v>66</v>
      </c>
      <c r="H6169" t="s">
        <v>67</v>
      </c>
      <c r="S6169">
        <v>0</v>
      </c>
      <c r="T6169">
        <v>1</v>
      </c>
      <c r="U6169">
        <v>0</v>
      </c>
      <c r="V6169">
        <v>0</v>
      </c>
      <c r="W6169">
        <v>0</v>
      </c>
      <c r="X6169">
        <v>1</v>
      </c>
      <c r="Y6169">
        <v>1</v>
      </c>
      <c r="Z6169">
        <v>0</v>
      </c>
      <c r="AA6169">
        <v>0</v>
      </c>
      <c r="AB6169">
        <v>1</v>
      </c>
      <c r="AC6169">
        <v>0</v>
      </c>
      <c r="AD6169">
        <v>1</v>
      </c>
      <c r="AE6169">
        <v>1</v>
      </c>
      <c r="AF6169">
        <v>1</v>
      </c>
      <c r="AG6169">
        <v>1</v>
      </c>
      <c r="AH6169">
        <v>1</v>
      </c>
      <c r="AI6169">
        <v>1</v>
      </c>
      <c r="AJ6169">
        <v>1</v>
      </c>
      <c r="AK6169">
        <v>1</v>
      </c>
      <c r="AL6169">
        <v>1</v>
      </c>
      <c r="AM6169">
        <v>1</v>
      </c>
    </row>
    <row r="6170" spans="1:39" x14ac:dyDescent="0.2">
      <c r="A6170" t="str">
        <f>"6166"</f>
        <v>6166</v>
      </c>
      <c r="B6170" t="str">
        <f t="shared" si="341"/>
        <v>1</v>
      </c>
      <c r="C6170" t="str">
        <f t="shared" si="343"/>
        <v>124</v>
      </c>
      <c r="D6170" t="str">
        <f>"41"</f>
        <v>41</v>
      </c>
      <c r="E6170" t="str">
        <f>"1-124-41"</f>
        <v>1-124-41</v>
      </c>
      <c r="F6170" t="s">
        <v>65</v>
      </c>
      <c r="G6170" t="s">
        <v>66</v>
      </c>
      <c r="H6170" t="s">
        <v>67</v>
      </c>
      <c r="S6170">
        <v>0</v>
      </c>
      <c r="T6170">
        <v>1</v>
      </c>
      <c r="U6170">
        <v>0</v>
      </c>
      <c r="V6170">
        <v>0</v>
      </c>
      <c r="W6170">
        <v>1</v>
      </c>
      <c r="X6170">
        <v>0</v>
      </c>
      <c r="Y6170">
        <v>0</v>
      </c>
      <c r="Z6170">
        <v>1</v>
      </c>
      <c r="AA6170">
        <v>0</v>
      </c>
      <c r="AB6170">
        <v>0</v>
      </c>
      <c r="AC6170">
        <v>1</v>
      </c>
      <c r="AD6170">
        <v>1</v>
      </c>
      <c r="AE6170">
        <v>1</v>
      </c>
      <c r="AF6170">
        <v>1</v>
      </c>
      <c r="AG6170">
        <v>1</v>
      </c>
      <c r="AH6170">
        <v>1</v>
      </c>
      <c r="AI6170">
        <v>1</v>
      </c>
      <c r="AJ6170">
        <v>1</v>
      </c>
      <c r="AK6170">
        <v>1</v>
      </c>
      <c r="AL6170">
        <v>1</v>
      </c>
      <c r="AM6170">
        <v>1</v>
      </c>
    </row>
    <row r="6171" spans="1:39" x14ac:dyDescent="0.2">
      <c r="A6171" t="str">
        <f>"6167"</f>
        <v>6167</v>
      </c>
      <c r="B6171" t="str">
        <f t="shared" si="341"/>
        <v>1</v>
      </c>
      <c r="C6171" t="str">
        <f t="shared" si="343"/>
        <v>124</v>
      </c>
      <c r="D6171" t="str">
        <f>"40"</f>
        <v>40</v>
      </c>
      <c r="E6171" t="str">
        <f>"1-124-40"</f>
        <v>1-124-40</v>
      </c>
      <c r="F6171" t="s">
        <v>65</v>
      </c>
      <c r="G6171" t="s">
        <v>66</v>
      </c>
      <c r="H6171" t="s">
        <v>67</v>
      </c>
      <c r="S6171">
        <v>0</v>
      </c>
      <c r="T6171">
        <v>1</v>
      </c>
      <c r="U6171">
        <v>0</v>
      </c>
      <c r="V6171">
        <v>0</v>
      </c>
      <c r="W6171">
        <v>1</v>
      </c>
      <c r="X6171">
        <v>0</v>
      </c>
      <c r="Y6171">
        <v>0</v>
      </c>
      <c r="Z6171">
        <v>1</v>
      </c>
      <c r="AA6171">
        <v>0</v>
      </c>
      <c r="AB6171">
        <v>0</v>
      </c>
      <c r="AC6171">
        <v>1</v>
      </c>
      <c r="AD6171">
        <v>1</v>
      </c>
      <c r="AE6171">
        <v>1</v>
      </c>
      <c r="AF6171">
        <v>1</v>
      </c>
      <c r="AG6171">
        <v>1</v>
      </c>
      <c r="AH6171">
        <v>1</v>
      </c>
      <c r="AI6171">
        <v>1</v>
      </c>
      <c r="AJ6171">
        <v>1</v>
      </c>
      <c r="AK6171">
        <v>1</v>
      </c>
      <c r="AL6171">
        <v>1</v>
      </c>
      <c r="AM6171">
        <v>1</v>
      </c>
    </row>
    <row r="6172" spans="1:39" x14ac:dyDescent="0.2">
      <c r="A6172" t="str">
        <f>"6168"</f>
        <v>6168</v>
      </c>
      <c r="B6172" t="str">
        <f t="shared" si="341"/>
        <v>1</v>
      </c>
      <c r="C6172" t="str">
        <f t="shared" si="343"/>
        <v>124</v>
      </c>
      <c r="D6172" t="str">
        <f>"32"</f>
        <v>32</v>
      </c>
      <c r="E6172" t="str">
        <f>"1-124-32"</f>
        <v>1-124-32</v>
      </c>
      <c r="F6172" t="s">
        <v>65</v>
      </c>
      <c r="G6172" t="s">
        <v>66</v>
      </c>
      <c r="H6172" t="s">
        <v>67</v>
      </c>
      <c r="S6172">
        <v>0</v>
      </c>
      <c r="T6172">
        <v>1</v>
      </c>
      <c r="U6172">
        <v>0</v>
      </c>
      <c r="V6172">
        <v>0</v>
      </c>
      <c r="W6172">
        <v>0</v>
      </c>
      <c r="X6172">
        <v>1</v>
      </c>
      <c r="Y6172">
        <v>0</v>
      </c>
      <c r="Z6172">
        <v>1</v>
      </c>
      <c r="AA6172">
        <v>0</v>
      </c>
      <c r="AB6172">
        <v>0</v>
      </c>
      <c r="AC6172">
        <v>1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</row>
    <row r="6173" spans="1:39" x14ac:dyDescent="0.2">
      <c r="A6173" t="str">
        <f>"6169"</f>
        <v>6169</v>
      </c>
      <c r="B6173" t="str">
        <f t="shared" si="341"/>
        <v>1</v>
      </c>
      <c r="C6173" t="str">
        <f t="shared" si="343"/>
        <v>124</v>
      </c>
      <c r="D6173" t="str">
        <f>"18"</f>
        <v>18</v>
      </c>
      <c r="E6173" t="str">
        <f>"1-124-18"</f>
        <v>1-124-18</v>
      </c>
      <c r="F6173" t="s">
        <v>65</v>
      </c>
      <c r="G6173" t="s">
        <v>66</v>
      </c>
      <c r="H6173" t="s">
        <v>67</v>
      </c>
      <c r="S6173">
        <v>1</v>
      </c>
      <c r="T6173">
        <v>0</v>
      </c>
      <c r="U6173">
        <v>0</v>
      </c>
      <c r="V6173">
        <v>0</v>
      </c>
      <c r="W6173">
        <v>1</v>
      </c>
      <c r="X6173">
        <v>0</v>
      </c>
      <c r="Y6173">
        <v>1</v>
      </c>
      <c r="Z6173">
        <v>0</v>
      </c>
      <c r="AA6173">
        <v>0</v>
      </c>
      <c r="AB6173">
        <v>1</v>
      </c>
      <c r="AC6173">
        <v>0</v>
      </c>
      <c r="AD6173">
        <v>1</v>
      </c>
      <c r="AE6173">
        <v>1</v>
      </c>
      <c r="AF6173">
        <v>1</v>
      </c>
      <c r="AG6173">
        <v>1</v>
      </c>
      <c r="AH6173">
        <v>1</v>
      </c>
      <c r="AI6173">
        <v>1</v>
      </c>
      <c r="AJ6173">
        <v>1</v>
      </c>
      <c r="AK6173">
        <v>1</v>
      </c>
      <c r="AL6173">
        <v>1</v>
      </c>
      <c r="AM6173">
        <v>1</v>
      </c>
    </row>
    <row r="6174" spans="1:39" x14ac:dyDescent="0.2">
      <c r="A6174" t="str">
        <f>"6170"</f>
        <v>6170</v>
      </c>
      <c r="B6174" t="str">
        <f t="shared" si="341"/>
        <v>1</v>
      </c>
      <c r="C6174" t="str">
        <f t="shared" si="343"/>
        <v>124</v>
      </c>
      <c r="D6174" t="str">
        <f>"12"</f>
        <v>12</v>
      </c>
      <c r="E6174" t="str">
        <f>"1-124-12"</f>
        <v>1-124-12</v>
      </c>
      <c r="F6174" t="s">
        <v>65</v>
      </c>
      <c r="G6174" t="s">
        <v>66</v>
      </c>
      <c r="H6174" t="s">
        <v>67</v>
      </c>
      <c r="S6174">
        <v>0</v>
      </c>
      <c r="T6174">
        <v>0</v>
      </c>
      <c r="U6174">
        <v>0</v>
      </c>
      <c r="V6174">
        <v>0</v>
      </c>
      <c r="W6174">
        <v>1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1</v>
      </c>
      <c r="AH6174">
        <v>1</v>
      </c>
      <c r="AI6174">
        <v>1</v>
      </c>
      <c r="AJ6174">
        <v>1</v>
      </c>
      <c r="AK6174">
        <v>1</v>
      </c>
      <c r="AL6174">
        <v>1</v>
      </c>
      <c r="AM6174">
        <v>0</v>
      </c>
    </row>
    <row r="6175" spans="1:39" x14ac:dyDescent="0.2">
      <c r="A6175" t="str">
        <f>"6171"</f>
        <v>6171</v>
      </c>
      <c r="B6175" t="str">
        <f t="shared" si="341"/>
        <v>1</v>
      </c>
      <c r="C6175" t="str">
        <f t="shared" si="343"/>
        <v>124</v>
      </c>
      <c r="D6175" t="str">
        <f>"34"</f>
        <v>34</v>
      </c>
      <c r="E6175" t="str">
        <f>"1-124-34"</f>
        <v>1-124-34</v>
      </c>
      <c r="F6175" t="s">
        <v>65</v>
      </c>
      <c r="G6175" t="s">
        <v>66</v>
      </c>
      <c r="H6175" t="s">
        <v>67</v>
      </c>
      <c r="S6175">
        <v>1</v>
      </c>
      <c r="T6175">
        <v>0</v>
      </c>
      <c r="U6175">
        <v>0</v>
      </c>
      <c r="V6175">
        <v>0</v>
      </c>
      <c r="W6175">
        <v>1</v>
      </c>
      <c r="X6175">
        <v>0</v>
      </c>
      <c r="Y6175">
        <v>1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1</v>
      </c>
      <c r="AF6175">
        <v>1</v>
      </c>
      <c r="AG6175">
        <v>1</v>
      </c>
      <c r="AH6175">
        <v>1</v>
      </c>
      <c r="AI6175">
        <v>1</v>
      </c>
      <c r="AJ6175">
        <v>1</v>
      </c>
      <c r="AK6175">
        <v>1</v>
      </c>
      <c r="AL6175">
        <v>1</v>
      </c>
      <c r="AM6175">
        <v>1</v>
      </c>
    </row>
    <row r="6176" spans="1:39" x14ac:dyDescent="0.2">
      <c r="A6176" t="str">
        <f>"6172"</f>
        <v>6172</v>
      </c>
      <c r="B6176" t="str">
        <f t="shared" si="341"/>
        <v>1</v>
      </c>
      <c r="C6176" t="str">
        <f t="shared" si="343"/>
        <v>124</v>
      </c>
      <c r="D6176" t="str">
        <f>"19"</f>
        <v>19</v>
      </c>
      <c r="E6176" t="str">
        <f>"1-124-19"</f>
        <v>1-124-19</v>
      </c>
      <c r="F6176" t="s">
        <v>65</v>
      </c>
      <c r="G6176" t="s">
        <v>66</v>
      </c>
      <c r="H6176" t="s">
        <v>67</v>
      </c>
      <c r="S6176">
        <v>1</v>
      </c>
      <c r="T6176">
        <v>0</v>
      </c>
      <c r="U6176">
        <v>0</v>
      </c>
      <c r="V6176">
        <v>0</v>
      </c>
      <c r="W6176">
        <v>1</v>
      </c>
      <c r="X6176">
        <v>0</v>
      </c>
      <c r="Y6176">
        <v>1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1</v>
      </c>
      <c r="AF6176">
        <v>1</v>
      </c>
      <c r="AG6176">
        <v>1</v>
      </c>
      <c r="AH6176">
        <v>1</v>
      </c>
      <c r="AI6176">
        <v>1</v>
      </c>
      <c r="AJ6176">
        <v>1</v>
      </c>
      <c r="AK6176">
        <v>1</v>
      </c>
      <c r="AL6176">
        <v>1</v>
      </c>
      <c r="AM6176">
        <v>1</v>
      </c>
    </row>
    <row r="6177" spans="1:39" x14ac:dyDescent="0.2">
      <c r="A6177" t="str">
        <f>"6173"</f>
        <v>6173</v>
      </c>
      <c r="B6177" t="str">
        <f t="shared" si="341"/>
        <v>1</v>
      </c>
      <c r="C6177" t="str">
        <f t="shared" si="343"/>
        <v>124</v>
      </c>
      <c r="D6177" t="str">
        <f>"8"</f>
        <v>8</v>
      </c>
      <c r="E6177" t="str">
        <f>"1-124-8"</f>
        <v>1-124-8</v>
      </c>
      <c r="F6177" t="s">
        <v>65</v>
      </c>
      <c r="G6177" t="s">
        <v>66</v>
      </c>
      <c r="H6177" t="s">
        <v>67</v>
      </c>
      <c r="S6177">
        <v>0</v>
      </c>
      <c r="T6177">
        <v>1</v>
      </c>
      <c r="U6177">
        <v>0</v>
      </c>
      <c r="V6177">
        <v>0</v>
      </c>
      <c r="W6177">
        <v>1</v>
      </c>
      <c r="X6177">
        <v>0</v>
      </c>
      <c r="Y6177">
        <v>1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1</v>
      </c>
      <c r="AF6177">
        <v>1</v>
      </c>
      <c r="AG6177">
        <v>1</v>
      </c>
      <c r="AH6177">
        <v>1</v>
      </c>
      <c r="AI6177">
        <v>1</v>
      </c>
      <c r="AJ6177">
        <v>1</v>
      </c>
      <c r="AK6177">
        <v>1</v>
      </c>
      <c r="AL6177">
        <v>1</v>
      </c>
      <c r="AM6177">
        <v>1</v>
      </c>
    </row>
    <row r="6178" spans="1:39" x14ac:dyDescent="0.2">
      <c r="A6178" t="str">
        <f>"6174"</f>
        <v>6174</v>
      </c>
      <c r="B6178" t="str">
        <f t="shared" si="341"/>
        <v>1</v>
      </c>
      <c r="C6178" t="str">
        <f t="shared" si="343"/>
        <v>124</v>
      </c>
      <c r="D6178" t="str">
        <f>"33"</f>
        <v>33</v>
      </c>
      <c r="E6178" t="str">
        <f>"1-124-33"</f>
        <v>1-124-33</v>
      </c>
      <c r="F6178" t="s">
        <v>65</v>
      </c>
      <c r="G6178" t="s">
        <v>66</v>
      </c>
      <c r="H6178" t="s">
        <v>67</v>
      </c>
      <c r="S6178">
        <v>1</v>
      </c>
      <c r="T6178">
        <v>0</v>
      </c>
      <c r="U6178">
        <v>0</v>
      </c>
      <c r="V6178">
        <v>0</v>
      </c>
      <c r="W6178">
        <v>1</v>
      </c>
      <c r="X6178">
        <v>0</v>
      </c>
      <c r="Y6178">
        <v>0</v>
      </c>
      <c r="Z6178">
        <v>1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</row>
    <row r="6179" spans="1:39" x14ac:dyDescent="0.2">
      <c r="A6179" t="str">
        <f>"6175"</f>
        <v>6175</v>
      </c>
      <c r="B6179" t="str">
        <f t="shared" si="341"/>
        <v>1</v>
      </c>
      <c r="C6179" t="str">
        <f t="shared" si="343"/>
        <v>124</v>
      </c>
      <c r="D6179" t="str">
        <f>"20"</f>
        <v>20</v>
      </c>
      <c r="E6179" t="str">
        <f>"1-124-20"</f>
        <v>1-124-20</v>
      </c>
      <c r="F6179" t="s">
        <v>65</v>
      </c>
      <c r="G6179" t="s">
        <v>66</v>
      </c>
      <c r="H6179" t="s">
        <v>67</v>
      </c>
      <c r="S6179">
        <v>0</v>
      </c>
      <c r="T6179">
        <v>1</v>
      </c>
      <c r="U6179">
        <v>0</v>
      </c>
      <c r="V6179">
        <v>0</v>
      </c>
      <c r="W6179">
        <v>0</v>
      </c>
      <c r="X6179">
        <v>1</v>
      </c>
      <c r="Y6179">
        <v>0</v>
      </c>
      <c r="Z6179">
        <v>1</v>
      </c>
      <c r="AA6179">
        <v>0</v>
      </c>
      <c r="AB6179">
        <v>0</v>
      </c>
      <c r="AC6179">
        <v>1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</row>
    <row r="6180" spans="1:39" x14ac:dyDescent="0.2">
      <c r="A6180" t="str">
        <f>"6176"</f>
        <v>6176</v>
      </c>
      <c r="B6180" t="str">
        <f t="shared" si="341"/>
        <v>1</v>
      </c>
      <c r="C6180" t="str">
        <f t="shared" si="343"/>
        <v>124</v>
      </c>
      <c r="D6180" t="str">
        <f>"14"</f>
        <v>14</v>
      </c>
      <c r="E6180" t="str">
        <f>"1-124-14"</f>
        <v>1-124-14</v>
      </c>
      <c r="F6180" t="s">
        <v>65</v>
      </c>
      <c r="G6180" t="s">
        <v>66</v>
      </c>
      <c r="H6180" t="s">
        <v>67</v>
      </c>
      <c r="S6180">
        <v>0</v>
      </c>
      <c r="T6180">
        <v>1</v>
      </c>
      <c r="U6180">
        <v>0</v>
      </c>
      <c r="V6180">
        <v>0</v>
      </c>
      <c r="W6180">
        <v>0</v>
      </c>
      <c r="X6180">
        <v>1</v>
      </c>
      <c r="Y6180">
        <v>0</v>
      </c>
      <c r="Z6180">
        <v>1</v>
      </c>
      <c r="AA6180">
        <v>0</v>
      </c>
      <c r="AB6180">
        <v>0</v>
      </c>
      <c r="AC6180">
        <v>1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1</v>
      </c>
      <c r="AJ6180">
        <v>1</v>
      </c>
      <c r="AK6180">
        <v>1</v>
      </c>
      <c r="AL6180">
        <v>0</v>
      </c>
      <c r="AM6180">
        <v>0</v>
      </c>
    </row>
    <row r="6181" spans="1:39" x14ac:dyDescent="0.2">
      <c r="A6181" t="str">
        <f>"6177"</f>
        <v>6177</v>
      </c>
      <c r="B6181" t="str">
        <f t="shared" si="341"/>
        <v>1</v>
      </c>
      <c r="C6181" t="str">
        <f t="shared" si="343"/>
        <v>124</v>
      </c>
      <c r="D6181" t="str">
        <f>"39"</f>
        <v>39</v>
      </c>
      <c r="E6181" t="str">
        <f>"1-124-39"</f>
        <v>1-124-39</v>
      </c>
      <c r="F6181" t="s">
        <v>65</v>
      </c>
      <c r="G6181" t="s">
        <v>66</v>
      </c>
      <c r="H6181" t="s">
        <v>67</v>
      </c>
      <c r="S6181">
        <v>0</v>
      </c>
      <c r="T6181">
        <v>1</v>
      </c>
      <c r="U6181">
        <v>0</v>
      </c>
      <c r="V6181">
        <v>0</v>
      </c>
      <c r="W6181">
        <v>0</v>
      </c>
      <c r="X6181">
        <v>1</v>
      </c>
      <c r="Y6181">
        <v>0</v>
      </c>
      <c r="Z6181">
        <v>1</v>
      </c>
      <c r="AA6181">
        <v>0</v>
      </c>
      <c r="AB6181">
        <v>0</v>
      </c>
      <c r="AC6181">
        <v>1</v>
      </c>
      <c r="AD6181">
        <v>1</v>
      </c>
      <c r="AE6181">
        <v>0</v>
      </c>
      <c r="AF6181">
        <v>0</v>
      </c>
      <c r="AG6181">
        <v>1</v>
      </c>
      <c r="AH6181">
        <v>1</v>
      </c>
      <c r="AI6181">
        <v>1</v>
      </c>
      <c r="AJ6181">
        <v>1</v>
      </c>
      <c r="AK6181">
        <v>1</v>
      </c>
      <c r="AL6181">
        <v>1</v>
      </c>
      <c r="AM6181">
        <v>0</v>
      </c>
    </row>
    <row r="6182" spans="1:39" x14ac:dyDescent="0.2">
      <c r="A6182" t="str">
        <f>"6178"</f>
        <v>6178</v>
      </c>
      <c r="B6182" t="str">
        <f t="shared" si="341"/>
        <v>1</v>
      </c>
      <c r="C6182" t="str">
        <f t="shared" si="343"/>
        <v>124</v>
      </c>
      <c r="D6182" t="str">
        <f>"21"</f>
        <v>21</v>
      </c>
      <c r="E6182" t="str">
        <f>"1-124-21"</f>
        <v>1-124-21</v>
      </c>
      <c r="F6182" t="s">
        <v>65</v>
      </c>
      <c r="G6182" t="s">
        <v>66</v>
      </c>
      <c r="H6182" t="s">
        <v>67</v>
      </c>
      <c r="S6182">
        <v>0</v>
      </c>
      <c r="T6182">
        <v>1</v>
      </c>
      <c r="U6182">
        <v>0</v>
      </c>
      <c r="V6182">
        <v>0</v>
      </c>
      <c r="W6182">
        <v>0</v>
      </c>
      <c r="X6182">
        <v>1</v>
      </c>
      <c r="Y6182">
        <v>0</v>
      </c>
      <c r="Z6182">
        <v>1</v>
      </c>
      <c r="AA6182">
        <v>0</v>
      </c>
      <c r="AB6182">
        <v>1</v>
      </c>
      <c r="AC6182">
        <v>0</v>
      </c>
      <c r="AD6182">
        <v>1</v>
      </c>
      <c r="AE6182">
        <v>1</v>
      </c>
      <c r="AF6182">
        <v>1</v>
      </c>
      <c r="AG6182">
        <v>1</v>
      </c>
      <c r="AH6182">
        <v>1</v>
      </c>
      <c r="AI6182">
        <v>1</v>
      </c>
      <c r="AJ6182">
        <v>1</v>
      </c>
      <c r="AK6182">
        <v>1</v>
      </c>
      <c r="AL6182">
        <v>1</v>
      </c>
      <c r="AM6182">
        <v>1</v>
      </c>
    </row>
    <row r="6183" spans="1:39" x14ac:dyDescent="0.2">
      <c r="A6183" t="str">
        <f>"6179"</f>
        <v>6179</v>
      </c>
      <c r="B6183" t="str">
        <f t="shared" si="341"/>
        <v>1</v>
      </c>
      <c r="C6183" t="str">
        <f t="shared" si="343"/>
        <v>124</v>
      </c>
      <c r="D6183" t="str">
        <f>"11"</f>
        <v>11</v>
      </c>
      <c r="E6183" t="str">
        <f>"1-124-11"</f>
        <v>1-124-11</v>
      </c>
      <c r="F6183" t="s">
        <v>65</v>
      </c>
      <c r="G6183" t="s">
        <v>66</v>
      </c>
      <c r="H6183" t="s">
        <v>67</v>
      </c>
      <c r="S6183">
        <v>1</v>
      </c>
      <c r="T6183">
        <v>0</v>
      </c>
      <c r="U6183">
        <v>0</v>
      </c>
      <c r="V6183">
        <v>0</v>
      </c>
      <c r="W6183">
        <v>1</v>
      </c>
      <c r="X6183">
        <v>0</v>
      </c>
      <c r="Y6183">
        <v>1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1</v>
      </c>
      <c r="AI6183">
        <v>1</v>
      </c>
      <c r="AJ6183">
        <v>1</v>
      </c>
      <c r="AK6183">
        <v>1</v>
      </c>
      <c r="AL6183">
        <v>1</v>
      </c>
      <c r="AM6183">
        <v>1</v>
      </c>
    </row>
    <row r="6184" spans="1:39" x14ac:dyDescent="0.2">
      <c r="A6184" t="str">
        <f>"6180"</f>
        <v>6180</v>
      </c>
      <c r="B6184" t="str">
        <f t="shared" si="341"/>
        <v>1</v>
      </c>
      <c r="C6184" t="str">
        <f t="shared" si="343"/>
        <v>124</v>
      </c>
      <c r="D6184" t="str">
        <f>"43"</f>
        <v>43</v>
      </c>
      <c r="E6184" t="str">
        <f>"1-124-43"</f>
        <v>1-124-43</v>
      </c>
      <c r="F6184" t="s">
        <v>65</v>
      </c>
      <c r="G6184" t="s">
        <v>66</v>
      </c>
      <c r="H6184" t="s">
        <v>67</v>
      </c>
      <c r="S6184">
        <v>1</v>
      </c>
      <c r="T6184">
        <v>0</v>
      </c>
      <c r="U6184">
        <v>0</v>
      </c>
      <c r="V6184">
        <v>0</v>
      </c>
      <c r="W6184">
        <v>0</v>
      </c>
      <c r="X6184">
        <v>1</v>
      </c>
      <c r="Y6184">
        <v>1</v>
      </c>
      <c r="Z6184">
        <v>0</v>
      </c>
      <c r="AA6184">
        <v>0</v>
      </c>
      <c r="AB6184">
        <v>1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</row>
    <row r="6185" spans="1:39" x14ac:dyDescent="0.2">
      <c r="A6185" t="str">
        <f>"6181"</f>
        <v>6181</v>
      </c>
      <c r="B6185" t="str">
        <f t="shared" si="341"/>
        <v>1</v>
      </c>
      <c r="C6185" t="str">
        <f t="shared" si="343"/>
        <v>124</v>
      </c>
      <c r="D6185" t="str">
        <f>"22"</f>
        <v>22</v>
      </c>
      <c r="E6185" t="str">
        <f>"1-124-22"</f>
        <v>1-124-22</v>
      </c>
      <c r="F6185" t="s">
        <v>65</v>
      </c>
      <c r="G6185" t="s">
        <v>66</v>
      </c>
      <c r="H6185" t="s">
        <v>67</v>
      </c>
      <c r="S6185">
        <v>0</v>
      </c>
      <c r="T6185">
        <v>1</v>
      </c>
      <c r="U6185">
        <v>0</v>
      </c>
      <c r="V6185">
        <v>0</v>
      </c>
      <c r="W6185">
        <v>0</v>
      </c>
      <c r="X6185">
        <v>1</v>
      </c>
      <c r="Y6185">
        <v>0</v>
      </c>
      <c r="Z6185">
        <v>1</v>
      </c>
      <c r="AA6185">
        <v>0</v>
      </c>
      <c r="AB6185">
        <v>1</v>
      </c>
      <c r="AC6185">
        <v>0</v>
      </c>
      <c r="AD6185">
        <v>1</v>
      </c>
      <c r="AE6185">
        <v>1</v>
      </c>
      <c r="AF6185">
        <v>1</v>
      </c>
      <c r="AG6185">
        <v>1</v>
      </c>
      <c r="AH6185">
        <v>1</v>
      </c>
      <c r="AI6185">
        <v>1</v>
      </c>
      <c r="AJ6185">
        <v>1</v>
      </c>
      <c r="AK6185">
        <v>1</v>
      </c>
      <c r="AL6185">
        <v>1</v>
      </c>
      <c r="AM6185">
        <v>1</v>
      </c>
    </row>
    <row r="6186" spans="1:39" x14ac:dyDescent="0.2">
      <c r="A6186" t="str">
        <f>"6182"</f>
        <v>6182</v>
      </c>
      <c r="B6186" t="str">
        <f t="shared" si="341"/>
        <v>1</v>
      </c>
      <c r="C6186" t="str">
        <f t="shared" si="343"/>
        <v>124</v>
      </c>
      <c r="D6186" t="str">
        <f>"7"</f>
        <v>7</v>
      </c>
      <c r="E6186" t="str">
        <f>"1-124-7"</f>
        <v>1-124-7</v>
      </c>
      <c r="F6186" t="s">
        <v>65</v>
      </c>
      <c r="G6186" t="s">
        <v>66</v>
      </c>
      <c r="H6186" t="s">
        <v>67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0</v>
      </c>
      <c r="AB6186">
        <v>0</v>
      </c>
      <c r="AC6186">
        <v>1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</row>
    <row r="6187" spans="1:39" x14ac:dyDescent="0.2">
      <c r="A6187" t="str">
        <f>"6183"</f>
        <v>6183</v>
      </c>
      <c r="B6187" t="str">
        <f t="shared" si="341"/>
        <v>1</v>
      </c>
      <c r="C6187" t="str">
        <f t="shared" ref="C6187:C6204" si="344">"124"</f>
        <v>124</v>
      </c>
      <c r="D6187" t="str">
        <f>"42"</f>
        <v>42</v>
      </c>
      <c r="E6187" t="str">
        <f>"1-124-42"</f>
        <v>1-124-42</v>
      </c>
      <c r="F6187" t="s">
        <v>65</v>
      </c>
      <c r="G6187" t="s">
        <v>66</v>
      </c>
      <c r="H6187" t="s">
        <v>67</v>
      </c>
      <c r="S6187">
        <v>1</v>
      </c>
      <c r="T6187">
        <v>0</v>
      </c>
      <c r="U6187">
        <v>0</v>
      </c>
      <c r="V6187">
        <v>0</v>
      </c>
      <c r="W6187">
        <v>1</v>
      </c>
      <c r="X6187">
        <v>0</v>
      </c>
      <c r="Y6187">
        <v>1</v>
      </c>
      <c r="Z6187">
        <v>0</v>
      </c>
      <c r="AA6187">
        <v>0</v>
      </c>
      <c r="AB6187">
        <v>0</v>
      </c>
      <c r="AC6187">
        <v>1</v>
      </c>
      <c r="AD6187">
        <v>1</v>
      </c>
      <c r="AE6187">
        <v>1</v>
      </c>
      <c r="AF6187">
        <v>1</v>
      </c>
      <c r="AG6187">
        <v>1</v>
      </c>
      <c r="AH6187">
        <v>1</v>
      </c>
      <c r="AI6187">
        <v>1</v>
      </c>
      <c r="AJ6187">
        <v>1</v>
      </c>
      <c r="AK6187">
        <v>1</v>
      </c>
      <c r="AL6187">
        <v>1</v>
      </c>
      <c r="AM6187">
        <v>1</v>
      </c>
    </row>
    <row r="6188" spans="1:39" x14ac:dyDescent="0.2">
      <c r="A6188" t="str">
        <f>"6184"</f>
        <v>6184</v>
      </c>
      <c r="B6188" t="str">
        <f t="shared" si="341"/>
        <v>1</v>
      </c>
      <c r="C6188" t="str">
        <f t="shared" si="344"/>
        <v>124</v>
      </c>
      <c r="D6188" t="str">
        <f>"23"</f>
        <v>23</v>
      </c>
      <c r="E6188" t="str">
        <f>"1-124-23"</f>
        <v>1-124-23</v>
      </c>
      <c r="F6188" t="s">
        <v>65</v>
      </c>
      <c r="G6188" t="s">
        <v>66</v>
      </c>
      <c r="H6188" t="s">
        <v>67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1</v>
      </c>
      <c r="Y6188">
        <v>0</v>
      </c>
      <c r="Z6188">
        <v>0</v>
      </c>
      <c r="AA6188">
        <v>0</v>
      </c>
      <c r="AB6188">
        <v>1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</row>
    <row r="6189" spans="1:39" x14ac:dyDescent="0.2">
      <c r="A6189" t="str">
        <f>"6185"</f>
        <v>6185</v>
      </c>
      <c r="B6189" t="str">
        <f t="shared" si="341"/>
        <v>1</v>
      </c>
      <c r="C6189" t="str">
        <f t="shared" si="344"/>
        <v>124</v>
      </c>
      <c r="D6189" t="str">
        <f>"5"</f>
        <v>5</v>
      </c>
      <c r="E6189" t="str">
        <f>"1-124-5"</f>
        <v>1-124-5</v>
      </c>
      <c r="F6189" t="s">
        <v>65</v>
      </c>
      <c r="G6189" t="s">
        <v>66</v>
      </c>
      <c r="H6189" t="s">
        <v>67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1</v>
      </c>
      <c r="Y6189">
        <v>0</v>
      </c>
      <c r="Z6189">
        <v>1</v>
      </c>
      <c r="AA6189">
        <v>0</v>
      </c>
      <c r="AB6189">
        <v>0</v>
      </c>
      <c r="AC6189">
        <v>1</v>
      </c>
      <c r="AD6189">
        <v>1</v>
      </c>
      <c r="AE6189">
        <v>1</v>
      </c>
      <c r="AF6189">
        <v>1</v>
      </c>
      <c r="AG6189">
        <v>1</v>
      </c>
      <c r="AH6189">
        <v>1</v>
      </c>
      <c r="AI6189">
        <v>1</v>
      </c>
      <c r="AJ6189">
        <v>1</v>
      </c>
      <c r="AK6189">
        <v>1</v>
      </c>
      <c r="AL6189">
        <v>1</v>
      </c>
      <c r="AM6189">
        <v>1</v>
      </c>
    </row>
    <row r="6190" spans="1:39" x14ac:dyDescent="0.2">
      <c r="A6190" t="str">
        <f>"6186"</f>
        <v>6186</v>
      </c>
      <c r="B6190" t="str">
        <f t="shared" si="341"/>
        <v>1</v>
      </c>
      <c r="C6190" t="str">
        <f t="shared" si="344"/>
        <v>124</v>
      </c>
      <c r="D6190" t="str">
        <f>"50"</f>
        <v>50</v>
      </c>
      <c r="E6190" t="str">
        <f>"1-124-50"</f>
        <v>1-124-50</v>
      </c>
      <c r="F6190" t="s">
        <v>65</v>
      </c>
      <c r="G6190" t="s">
        <v>66</v>
      </c>
      <c r="H6190" t="s">
        <v>67</v>
      </c>
      <c r="S6190">
        <v>1</v>
      </c>
      <c r="T6190">
        <v>0</v>
      </c>
      <c r="U6190">
        <v>0</v>
      </c>
      <c r="V6190">
        <v>0</v>
      </c>
      <c r="W6190">
        <v>1</v>
      </c>
      <c r="X6190">
        <v>0</v>
      </c>
      <c r="Y6190">
        <v>0</v>
      </c>
      <c r="Z6190">
        <v>1</v>
      </c>
      <c r="AA6190">
        <v>1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</row>
    <row r="6191" spans="1:39" x14ac:dyDescent="0.2">
      <c r="A6191" t="str">
        <f>"6187"</f>
        <v>6187</v>
      </c>
      <c r="B6191" t="str">
        <f t="shared" si="341"/>
        <v>1</v>
      </c>
      <c r="C6191" t="str">
        <f t="shared" si="344"/>
        <v>124</v>
      </c>
      <c r="D6191" t="str">
        <f>"25"</f>
        <v>25</v>
      </c>
      <c r="E6191" t="str">
        <f>"1-124-25"</f>
        <v>1-124-25</v>
      </c>
      <c r="F6191" t="s">
        <v>65</v>
      </c>
      <c r="G6191" t="s">
        <v>66</v>
      </c>
      <c r="H6191" t="s">
        <v>67</v>
      </c>
      <c r="S6191">
        <v>0</v>
      </c>
      <c r="T6191">
        <v>1</v>
      </c>
      <c r="U6191">
        <v>0</v>
      </c>
      <c r="V6191">
        <v>0</v>
      </c>
      <c r="W6191">
        <v>0</v>
      </c>
      <c r="X6191">
        <v>1</v>
      </c>
      <c r="Y6191">
        <v>0</v>
      </c>
      <c r="Z6191">
        <v>1</v>
      </c>
      <c r="AA6191">
        <v>0</v>
      </c>
      <c r="AB6191">
        <v>0</v>
      </c>
      <c r="AC6191">
        <v>1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</row>
    <row r="6192" spans="1:39" x14ac:dyDescent="0.2">
      <c r="A6192" t="str">
        <f>"6188"</f>
        <v>6188</v>
      </c>
      <c r="B6192" t="str">
        <f t="shared" si="341"/>
        <v>1</v>
      </c>
      <c r="C6192" t="str">
        <f t="shared" si="344"/>
        <v>124</v>
      </c>
      <c r="D6192" t="str">
        <f>"10"</f>
        <v>10</v>
      </c>
      <c r="E6192" t="str">
        <f>"1-124-10"</f>
        <v>1-124-10</v>
      </c>
      <c r="F6192" t="s">
        <v>65</v>
      </c>
      <c r="G6192" t="s">
        <v>66</v>
      </c>
      <c r="H6192" t="s">
        <v>67</v>
      </c>
      <c r="S6192">
        <v>1</v>
      </c>
      <c r="T6192">
        <v>0</v>
      </c>
      <c r="U6192">
        <v>0</v>
      </c>
      <c r="V6192">
        <v>0</v>
      </c>
      <c r="W6192">
        <v>1</v>
      </c>
      <c r="X6192">
        <v>0</v>
      </c>
      <c r="Y6192">
        <v>1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</row>
    <row r="6193" spans="1:39" x14ac:dyDescent="0.2">
      <c r="A6193" t="str">
        <f>"6189"</f>
        <v>6189</v>
      </c>
      <c r="B6193" t="str">
        <f t="shared" si="341"/>
        <v>1</v>
      </c>
      <c r="C6193" t="str">
        <f t="shared" si="344"/>
        <v>124</v>
      </c>
      <c r="D6193" t="str">
        <f>"44"</f>
        <v>44</v>
      </c>
      <c r="E6193" t="str">
        <f>"1-124-44"</f>
        <v>1-124-44</v>
      </c>
      <c r="F6193" t="s">
        <v>65</v>
      </c>
      <c r="G6193" t="s">
        <v>66</v>
      </c>
      <c r="H6193" t="s">
        <v>67</v>
      </c>
      <c r="S6193">
        <v>0</v>
      </c>
      <c r="T6193">
        <v>1</v>
      </c>
      <c r="U6193">
        <v>0</v>
      </c>
      <c r="V6193">
        <v>0</v>
      </c>
      <c r="W6193">
        <v>0</v>
      </c>
      <c r="X6193">
        <v>1</v>
      </c>
      <c r="Y6193">
        <v>0</v>
      </c>
      <c r="Z6193">
        <v>1</v>
      </c>
      <c r="AA6193">
        <v>0</v>
      </c>
      <c r="AB6193">
        <v>0</v>
      </c>
      <c r="AC6193">
        <v>1</v>
      </c>
      <c r="AD6193">
        <v>0</v>
      </c>
      <c r="AE6193">
        <v>0</v>
      </c>
      <c r="AF6193">
        <v>0</v>
      </c>
      <c r="AG6193">
        <v>0</v>
      </c>
      <c r="AH6193">
        <v>1</v>
      </c>
      <c r="AI6193">
        <v>0</v>
      </c>
      <c r="AJ6193">
        <v>0</v>
      </c>
      <c r="AK6193">
        <v>0</v>
      </c>
      <c r="AL6193">
        <v>0</v>
      </c>
      <c r="AM6193">
        <v>0</v>
      </c>
    </row>
    <row r="6194" spans="1:39" x14ac:dyDescent="0.2">
      <c r="A6194" t="str">
        <f>"6190"</f>
        <v>6190</v>
      </c>
      <c r="B6194" t="str">
        <f t="shared" si="341"/>
        <v>1</v>
      </c>
      <c r="C6194" t="str">
        <f t="shared" si="344"/>
        <v>124</v>
      </c>
      <c r="D6194" t="str">
        <f>"9"</f>
        <v>9</v>
      </c>
      <c r="E6194" t="str">
        <f>"1-124-9"</f>
        <v>1-124-9</v>
      </c>
      <c r="F6194" t="s">
        <v>65</v>
      </c>
      <c r="G6194" t="s">
        <v>66</v>
      </c>
      <c r="H6194" t="s">
        <v>67</v>
      </c>
      <c r="S6194">
        <v>1</v>
      </c>
      <c r="T6194">
        <v>0</v>
      </c>
      <c r="U6194">
        <v>0</v>
      </c>
      <c r="V6194">
        <v>0</v>
      </c>
      <c r="W6194">
        <v>1</v>
      </c>
      <c r="X6194">
        <v>0</v>
      </c>
      <c r="Y6194">
        <v>0</v>
      </c>
      <c r="Z6194">
        <v>1</v>
      </c>
      <c r="AA6194">
        <v>1</v>
      </c>
      <c r="AB6194">
        <v>0</v>
      </c>
      <c r="AC6194">
        <v>0</v>
      </c>
      <c r="AD6194">
        <v>1</v>
      </c>
      <c r="AE6194">
        <v>1</v>
      </c>
      <c r="AF6194">
        <v>1</v>
      </c>
      <c r="AG6194">
        <v>1</v>
      </c>
      <c r="AH6194">
        <v>1</v>
      </c>
      <c r="AI6194">
        <v>1</v>
      </c>
      <c r="AJ6194">
        <v>1</v>
      </c>
      <c r="AK6194">
        <v>1</v>
      </c>
      <c r="AL6194">
        <v>1</v>
      </c>
      <c r="AM6194">
        <v>1</v>
      </c>
    </row>
    <row r="6195" spans="1:39" x14ac:dyDescent="0.2">
      <c r="A6195" t="str">
        <f>"6191"</f>
        <v>6191</v>
      </c>
      <c r="B6195" t="str">
        <f t="shared" si="341"/>
        <v>1</v>
      </c>
      <c r="C6195" t="str">
        <f t="shared" si="344"/>
        <v>124</v>
      </c>
      <c r="D6195" t="str">
        <f>"48"</f>
        <v>48</v>
      </c>
      <c r="E6195" t="str">
        <f>"1-124-48"</f>
        <v>1-124-48</v>
      </c>
      <c r="F6195" t="s">
        <v>65</v>
      </c>
      <c r="G6195" t="s">
        <v>66</v>
      </c>
      <c r="H6195" t="s">
        <v>67</v>
      </c>
      <c r="S6195">
        <v>0</v>
      </c>
      <c r="T6195">
        <v>1</v>
      </c>
      <c r="U6195">
        <v>0</v>
      </c>
      <c r="V6195">
        <v>0</v>
      </c>
      <c r="W6195">
        <v>0</v>
      </c>
      <c r="X6195">
        <v>1</v>
      </c>
      <c r="Y6195">
        <v>1</v>
      </c>
      <c r="Z6195">
        <v>0</v>
      </c>
      <c r="AA6195">
        <v>0</v>
      </c>
      <c r="AB6195">
        <v>1</v>
      </c>
      <c r="AC6195">
        <v>0</v>
      </c>
      <c r="AD6195">
        <v>1</v>
      </c>
      <c r="AE6195">
        <v>1</v>
      </c>
      <c r="AF6195">
        <v>1</v>
      </c>
      <c r="AG6195">
        <v>1</v>
      </c>
      <c r="AH6195">
        <v>1</v>
      </c>
      <c r="AI6195">
        <v>1</v>
      </c>
      <c r="AJ6195">
        <v>1</v>
      </c>
      <c r="AK6195">
        <v>1</v>
      </c>
      <c r="AL6195">
        <v>1</v>
      </c>
      <c r="AM6195">
        <v>1</v>
      </c>
    </row>
    <row r="6196" spans="1:39" x14ac:dyDescent="0.2">
      <c r="A6196" t="str">
        <f>"6192"</f>
        <v>6192</v>
      </c>
      <c r="B6196" t="str">
        <f t="shared" si="341"/>
        <v>1</v>
      </c>
      <c r="C6196" t="str">
        <f t="shared" si="344"/>
        <v>124</v>
      </c>
      <c r="D6196" t="str">
        <f>"28"</f>
        <v>28</v>
      </c>
      <c r="E6196" t="str">
        <f>"1-124-28"</f>
        <v>1-124-28</v>
      </c>
      <c r="F6196" t="s">
        <v>65</v>
      </c>
      <c r="G6196" t="s">
        <v>66</v>
      </c>
      <c r="H6196" t="s">
        <v>67</v>
      </c>
      <c r="S6196">
        <v>0</v>
      </c>
      <c r="T6196">
        <v>1</v>
      </c>
      <c r="U6196">
        <v>0</v>
      </c>
      <c r="V6196">
        <v>0</v>
      </c>
      <c r="W6196">
        <v>1</v>
      </c>
      <c r="X6196">
        <v>0</v>
      </c>
      <c r="Y6196">
        <v>0</v>
      </c>
      <c r="Z6196">
        <v>1</v>
      </c>
      <c r="AA6196">
        <v>0</v>
      </c>
      <c r="AB6196">
        <v>1</v>
      </c>
      <c r="AC6196">
        <v>0</v>
      </c>
      <c r="AD6196">
        <v>1</v>
      </c>
      <c r="AE6196">
        <v>1</v>
      </c>
      <c r="AF6196">
        <v>1</v>
      </c>
      <c r="AG6196">
        <v>1</v>
      </c>
      <c r="AH6196">
        <v>1</v>
      </c>
      <c r="AI6196">
        <v>1</v>
      </c>
      <c r="AJ6196">
        <v>1</v>
      </c>
      <c r="AK6196">
        <v>1</v>
      </c>
      <c r="AL6196">
        <v>1</v>
      </c>
      <c r="AM6196">
        <v>1</v>
      </c>
    </row>
    <row r="6197" spans="1:39" x14ac:dyDescent="0.2">
      <c r="A6197" t="str">
        <f>"6193"</f>
        <v>6193</v>
      </c>
      <c r="B6197" t="str">
        <f t="shared" si="341"/>
        <v>1</v>
      </c>
      <c r="C6197" t="str">
        <f t="shared" si="344"/>
        <v>124</v>
      </c>
      <c r="D6197" t="str">
        <f>"2"</f>
        <v>2</v>
      </c>
      <c r="E6197" t="str">
        <f>"1-124-2"</f>
        <v>1-124-2</v>
      </c>
      <c r="F6197" t="s">
        <v>65</v>
      </c>
      <c r="G6197" t="s">
        <v>66</v>
      </c>
      <c r="H6197" t="s">
        <v>67</v>
      </c>
      <c r="S6197">
        <v>1</v>
      </c>
      <c r="T6197">
        <v>0</v>
      </c>
      <c r="U6197">
        <v>0</v>
      </c>
      <c r="V6197">
        <v>0</v>
      </c>
      <c r="W6197">
        <v>0</v>
      </c>
      <c r="X6197">
        <v>1</v>
      </c>
      <c r="Y6197">
        <v>1</v>
      </c>
      <c r="Z6197">
        <v>0</v>
      </c>
      <c r="AA6197">
        <v>0</v>
      </c>
      <c r="AB6197">
        <v>1</v>
      </c>
      <c r="AC6197">
        <v>0</v>
      </c>
      <c r="AD6197">
        <v>1</v>
      </c>
      <c r="AE6197">
        <v>1</v>
      </c>
      <c r="AF6197">
        <v>1</v>
      </c>
      <c r="AG6197">
        <v>1</v>
      </c>
      <c r="AH6197">
        <v>1</v>
      </c>
      <c r="AI6197">
        <v>1</v>
      </c>
      <c r="AJ6197">
        <v>1</v>
      </c>
      <c r="AK6197">
        <v>1</v>
      </c>
      <c r="AL6197">
        <v>1</v>
      </c>
      <c r="AM6197">
        <v>1</v>
      </c>
    </row>
    <row r="6198" spans="1:39" x14ac:dyDescent="0.2">
      <c r="A6198" t="str">
        <f>"6194"</f>
        <v>6194</v>
      </c>
      <c r="B6198" t="str">
        <f t="shared" si="341"/>
        <v>1</v>
      </c>
      <c r="C6198" t="str">
        <f t="shared" si="344"/>
        <v>124</v>
      </c>
      <c r="D6198" t="str">
        <f>"47"</f>
        <v>47</v>
      </c>
      <c r="E6198" t="str">
        <f>"1-124-47"</f>
        <v>1-124-47</v>
      </c>
      <c r="F6198" t="s">
        <v>65</v>
      </c>
      <c r="G6198" t="s">
        <v>66</v>
      </c>
      <c r="H6198" t="s">
        <v>67</v>
      </c>
      <c r="S6198">
        <v>1</v>
      </c>
      <c r="T6198">
        <v>0</v>
      </c>
      <c r="U6198">
        <v>0</v>
      </c>
      <c r="V6198">
        <v>0</v>
      </c>
      <c r="W6198">
        <v>1</v>
      </c>
      <c r="X6198">
        <v>0</v>
      </c>
      <c r="Y6198">
        <v>1</v>
      </c>
      <c r="Z6198">
        <v>0</v>
      </c>
      <c r="AA6198">
        <v>1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</row>
    <row r="6199" spans="1:39" x14ac:dyDescent="0.2">
      <c r="A6199" t="str">
        <f>"6195"</f>
        <v>6195</v>
      </c>
      <c r="B6199" t="str">
        <f t="shared" ref="B6199:B6262" si="345">"1"</f>
        <v>1</v>
      </c>
      <c r="C6199" t="str">
        <f t="shared" si="344"/>
        <v>124</v>
      </c>
      <c r="D6199" t="str">
        <f>"29"</f>
        <v>29</v>
      </c>
      <c r="E6199" t="str">
        <f>"1-124-29"</f>
        <v>1-124-29</v>
      </c>
      <c r="F6199" t="s">
        <v>65</v>
      </c>
      <c r="G6199" t="s">
        <v>66</v>
      </c>
      <c r="H6199" t="s">
        <v>67</v>
      </c>
      <c r="S6199">
        <v>0</v>
      </c>
      <c r="T6199">
        <v>1</v>
      </c>
      <c r="U6199">
        <v>0</v>
      </c>
      <c r="V6199">
        <v>0</v>
      </c>
      <c r="W6199">
        <v>0</v>
      </c>
      <c r="X6199">
        <v>1</v>
      </c>
      <c r="Y6199">
        <v>1</v>
      </c>
      <c r="Z6199">
        <v>0</v>
      </c>
      <c r="AA6199">
        <v>0</v>
      </c>
      <c r="AB6199">
        <v>0</v>
      </c>
      <c r="AC6199">
        <v>1</v>
      </c>
      <c r="AD6199">
        <v>1</v>
      </c>
      <c r="AE6199">
        <v>1</v>
      </c>
      <c r="AF6199">
        <v>1</v>
      </c>
      <c r="AG6199">
        <v>1</v>
      </c>
      <c r="AH6199">
        <v>1</v>
      </c>
      <c r="AI6199">
        <v>1</v>
      </c>
      <c r="AJ6199">
        <v>1</v>
      </c>
      <c r="AK6199">
        <v>1</v>
      </c>
      <c r="AL6199">
        <v>1</v>
      </c>
      <c r="AM6199">
        <v>1</v>
      </c>
    </row>
    <row r="6200" spans="1:39" x14ac:dyDescent="0.2">
      <c r="A6200" t="str">
        <f>"6196"</f>
        <v>6196</v>
      </c>
      <c r="B6200" t="str">
        <f t="shared" si="345"/>
        <v>1</v>
      </c>
      <c r="C6200" t="str">
        <f t="shared" si="344"/>
        <v>124</v>
      </c>
      <c r="D6200" t="str">
        <f>"6"</f>
        <v>6</v>
      </c>
      <c r="E6200" t="str">
        <f>"1-124-6"</f>
        <v>1-124-6</v>
      </c>
      <c r="F6200" t="s">
        <v>65</v>
      </c>
      <c r="G6200" t="s">
        <v>66</v>
      </c>
      <c r="H6200" t="s">
        <v>67</v>
      </c>
      <c r="S6200">
        <v>1</v>
      </c>
      <c r="T6200">
        <v>0</v>
      </c>
      <c r="U6200">
        <v>0</v>
      </c>
      <c r="V6200">
        <v>0</v>
      </c>
      <c r="W6200">
        <v>1</v>
      </c>
      <c r="X6200">
        <v>0</v>
      </c>
      <c r="Y6200">
        <v>0</v>
      </c>
      <c r="Z6200">
        <v>1</v>
      </c>
      <c r="AA6200">
        <v>1</v>
      </c>
      <c r="AB6200">
        <v>0</v>
      </c>
      <c r="AC6200">
        <v>0</v>
      </c>
      <c r="AD6200">
        <v>1</v>
      </c>
      <c r="AE6200">
        <v>1</v>
      </c>
      <c r="AF6200">
        <v>1</v>
      </c>
      <c r="AG6200">
        <v>1</v>
      </c>
      <c r="AH6200">
        <v>1</v>
      </c>
      <c r="AI6200">
        <v>1</v>
      </c>
      <c r="AJ6200">
        <v>1</v>
      </c>
      <c r="AK6200">
        <v>1</v>
      </c>
      <c r="AL6200">
        <v>1</v>
      </c>
      <c r="AM6200">
        <v>1</v>
      </c>
    </row>
    <row r="6201" spans="1:39" x14ac:dyDescent="0.2">
      <c r="A6201" t="str">
        <f>"6197"</f>
        <v>6197</v>
      </c>
      <c r="B6201" t="str">
        <f t="shared" si="345"/>
        <v>1</v>
      </c>
      <c r="C6201" t="str">
        <f t="shared" si="344"/>
        <v>124</v>
      </c>
      <c r="D6201" t="str">
        <f>"30"</f>
        <v>30</v>
      </c>
      <c r="E6201" t="str">
        <f>"1-124-30"</f>
        <v>1-124-30</v>
      </c>
      <c r="F6201" t="s">
        <v>65</v>
      </c>
      <c r="G6201" t="s">
        <v>66</v>
      </c>
      <c r="H6201" t="s">
        <v>67</v>
      </c>
      <c r="S6201">
        <v>0</v>
      </c>
      <c r="T6201">
        <v>1</v>
      </c>
      <c r="U6201">
        <v>0</v>
      </c>
      <c r="V6201">
        <v>0</v>
      </c>
      <c r="W6201">
        <v>1</v>
      </c>
      <c r="X6201">
        <v>0</v>
      </c>
      <c r="Y6201">
        <v>0</v>
      </c>
      <c r="Z6201">
        <v>1</v>
      </c>
      <c r="AA6201">
        <v>1</v>
      </c>
      <c r="AB6201">
        <v>0</v>
      </c>
      <c r="AC6201">
        <v>0</v>
      </c>
      <c r="AD6201">
        <v>1</v>
      </c>
      <c r="AE6201">
        <v>1</v>
      </c>
      <c r="AF6201">
        <v>1</v>
      </c>
      <c r="AG6201">
        <v>1</v>
      </c>
      <c r="AH6201">
        <v>1</v>
      </c>
      <c r="AI6201">
        <v>1</v>
      </c>
      <c r="AJ6201">
        <v>1</v>
      </c>
      <c r="AK6201">
        <v>1</v>
      </c>
      <c r="AL6201">
        <v>1</v>
      </c>
      <c r="AM6201">
        <v>1</v>
      </c>
    </row>
    <row r="6202" spans="1:39" x14ac:dyDescent="0.2">
      <c r="A6202" t="str">
        <f>"6198"</f>
        <v>6198</v>
      </c>
      <c r="B6202" t="str">
        <f t="shared" si="345"/>
        <v>1</v>
      </c>
      <c r="C6202" t="str">
        <f t="shared" si="344"/>
        <v>124</v>
      </c>
      <c r="D6202" t="str">
        <f>"13"</f>
        <v>13</v>
      </c>
      <c r="E6202" t="str">
        <f>"1-124-13"</f>
        <v>1-124-13</v>
      </c>
      <c r="F6202" t="s">
        <v>65</v>
      </c>
      <c r="G6202" t="s">
        <v>66</v>
      </c>
      <c r="H6202" t="s">
        <v>67</v>
      </c>
      <c r="S6202">
        <v>0</v>
      </c>
      <c r="T6202">
        <v>1</v>
      </c>
      <c r="U6202">
        <v>0</v>
      </c>
      <c r="V6202">
        <v>0</v>
      </c>
      <c r="W6202">
        <v>0</v>
      </c>
      <c r="X6202">
        <v>1</v>
      </c>
      <c r="Y6202">
        <v>0</v>
      </c>
      <c r="Z6202">
        <v>1</v>
      </c>
      <c r="AA6202">
        <v>0</v>
      </c>
      <c r="AB6202">
        <v>0</v>
      </c>
      <c r="AC6202">
        <v>1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1</v>
      </c>
      <c r="AJ6202">
        <v>1</v>
      </c>
      <c r="AK6202">
        <v>1</v>
      </c>
      <c r="AL6202">
        <v>0</v>
      </c>
      <c r="AM6202">
        <v>0</v>
      </c>
    </row>
    <row r="6203" spans="1:39" x14ac:dyDescent="0.2">
      <c r="A6203" t="str">
        <f>"6199"</f>
        <v>6199</v>
      </c>
      <c r="B6203" t="str">
        <f t="shared" si="345"/>
        <v>1</v>
      </c>
      <c r="C6203" t="str">
        <f t="shared" si="344"/>
        <v>124</v>
      </c>
      <c r="D6203" t="str">
        <f>"26"</f>
        <v>26</v>
      </c>
      <c r="E6203" t="str">
        <f>"1-124-26"</f>
        <v>1-124-26</v>
      </c>
      <c r="F6203" t="s">
        <v>65</v>
      </c>
      <c r="G6203" t="s">
        <v>66</v>
      </c>
      <c r="H6203" t="s">
        <v>67</v>
      </c>
      <c r="S6203">
        <v>0</v>
      </c>
      <c r="T6203">
        <v>1</v>
      </c>
      <c r="U6203">
        <v>0</v>
      </c>
      <c r="V6203">
        <v>0</v>
      </c>
      <c r="W6203">
        <v>1</v>
      </c>
      <c r="X6203">
        <v>0</v>
      </c>
      <c r="Y6203">
        <v>1</v>
      </c>
      <c r="Z6203">
        <v>0</v>
      </c>
      <c r="AA6203">
        <v>0</v>
      </c>
      <c r="AB6203">
        <v>1</v>
      </c>
      <c r="AC6203">
        <v>0</v>
      </c>
      <c r="AD6203">
        <v>1</v>
      </c>
      <c r="AE6203">
        <v>1</v>
      </c>
      <c r="AF6203">
        <v>1</v>
      </c>
      <c r="AG6203">
        <v>1</v>
      </c>
      <c r="AH6203">
        <v>1</v>
      </c>
      <c r="AI6203">
        <v>1</v>
      </c>
      <c r="AJ6203">
        <v>1</v>
      </c>
      <c r="AK6203">
        <v>1</v>
      </c>
      <c r="AL6203">
        <v>1</v>
      </c>
      <c r="AM6203">
        <v>1</v>
      </c>
    </row>
    <row r="6204" spans="1:39" x14ac:dyDescent="0.2">
      <c r="A6204" t="str">
        <f>"6200"</f>
        <v>6200</v>
      </c>
      <c r="B6204" t="str">
        <f t="shared" si="345"/>
        <v>1</v>
      </c>
      <c r="C6204" t="str">
        <f t="shared" si="344"/>
        <v>124</v>
      </c>
      <c r="D6204" t="str">
        <f>"49"</f>
        <v>49</v>
      </c>
      <c r="E6204" t="str">
        <f>"1-124-49"</f>
        <v>1-124-49</v>
      </c>
      <c r="F6204" t="s">
        <v>65</v>
      </c>
      <c r="G6204" t="s">
        <v>66</v>
      </c>
      <c r="H6204" t="s">
        <v>67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1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1</v>
      </c>
      <c r="AI6204">
        <v>1</v>
      </c>
      <c r="AJ6204">
        <v>0</v>
      </c>
      <c r="AK6204">
        <v>0</v>
      </c>
      <c r="AL6204">
        <v>1</v>
      </c>
      <c r="AM6204">
        <v>0</v>
      </c>
    </row>
    <row r="6205" spans="1:39" x14ac:dyDescent="0.2">
      <c r="A6205" t="str">
        <f>"6201"</f>
        <v>6201</v>
      </c>
      <c r="B6205" t="str">
        <f t="shared" si="345"/>
        <v>1</v>
      </c>
      <c r="C6205" t="str">
        <f t="shared" ref="C6205:C6236" si="346">"125"</f>
        <v>125</v>
      </c>
      <c r="D6205" t="str">
        <f>"34"</f>
        <v>34</v>
      </c>
      <c r="E6205" t="str">
        <f>"1-125-34"</f>
        <v>1-125-34</v>
      </c>
      <c r="F6205" t="s">
        <v>65</v>
      </c>
      <c r="G6205" t="s">
        <v>66</v>
      </c>
      <c r="H6205" t="s">
        <v>67</v>
      </c>
      <c r="S6205">
        <v>0</v>
      </c>
      <c r="T6205">
        <v>1</v>
      </c>
      <c r="U6205">
        <v>0</v>
      </c>
      <c r="V6205">
        <v>0</v>
      </c>
      <c r="W6205">
        <v>0</v>
      </c>
      <c r="X6205">
        <v>1</v>
      </c>
      <c r="Y6205">
        <v>1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1</v>
      </c>
      <c r="AF6205">
        <v>1</v>
      </c>
      <c r="AG6205">
        <v>1</v>
      </c>
      <c r="AH6205">
        <v>1</v>
      </c>
      <c r="AI6205">
        <v>1</v>
      </c>
      <c r="AJ6205">
        <v>1</v>
      </c>
      <c r="AK6205">
        <v>1</v>
      </c>
      <c r="AL6205">
        <v>1</v>
      </c>
      <c r="AM6205">
        <v>1</v>
      </c>
    </row>
    <row r="6206" spans="1:39" x14ac:dyDescent="0.2">
      <c r="A6206" t="str">
        <f>"6202"</f>
        <v>6202</v>
      </c>
      <c r="B6206" t="str">
        <f t="shared" si="345"/>
        <v>1</v>
      </c>
      <c r="C6206" t="str">
        <f t="shared" si="346"/>
        <v>125</v>
      </c>
      <c r="D6206" t="str">
        <f>"33"</f>
        <v>33</v>
      </c>
      <c r="E6206" t="str">
        <f>"1-125-33"</f>
        <v>1-125-33</v>
      </c>
      <c r="F6206" t="s">
        <v>65</v>
      </c>
      <c r="G6206" t="s">
        <v>66</v>
      </c>
      <c r="H6206" t="s">
        <v>67</v>
      </c>
      <c r="S6206">
        <v>0</v>
      </c>
      <c r="T6206">
        <v>1</v>
      </c>
      <c r="U6206">
        <v>0</v>
      </c>
      <c r="V6206">
        <v>0</v>
      </c>
      <c r="W6206">
        <v>0</v>
      </c>
      <c r="X6206">
        <v>1</v>
      </c>
      <c r="Y6206">
        <v>1</v>
      </c>
      <c r="Z6206">
        <v>0</v>
      </c>
      <c r="AA6206">
        <v>0</v>
      </c>
      <c r="AB6206">
        <v>0</v>
      </c>
      <c r="AC6206">
        <v>1</v>
      </c>
      <c r="AD6206">
        <v>1</v>
      </c>
      <c r="AE6206">
        <v>1</v>
      </c>
      <c r="AF6206">
        <v>1</v>
      </c>
      <c r="AG6206">
        <v>1</v>
      </c>
      <c r="AH6206">
        <v>1</v>
      </c>
      <c r="AI6206">
        <v>1</v>
      </c>
      <c r="AJ6206">
        <v>1</v>
      </c>
      <c r="AK6206">
        <v>1</v>
      </c>
      <c r="AL6206">
        <v>1</v>
      </c>
      <c r="AM6206">
        <v>1</v>
      </c>
    </row>
    <row r="6207" spans="1:39" x14ac:dyDescent="0.2">
      <c r="A6207" t="str">
        <f>"6203"</f>
        <v>6203</v>
      </c>
      <c r="B6207" t="str">
        <f t="shared" si="345"/>
        <v>1</v>
      </c>
      <c r="C6207" t="str">
        <f t="shared" si="346"/>
        <v>125</v>
      </c>
      <c r="D6207" t="str">
        <f>"21"</f>
        <v>21</v>
      </c>
      <c r="E6207" t="str">
        <f>"1-125-21"</f>
        <v>1-125-21</v>
      </c>
      <c r="F6207" t="s">
        <v>65</v>
      </c>
      <c r="G6207" t="s">
        <v>66</v>
      </c>
      <c r="H6207" t="s">
        <v>67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1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</row>
    <row r="6208" spans="1:39" x14ac:dyDescent="0.2">
      <c r="A6208" t="str">
        <f>"6204"</f>
        <v>6204</v>
      </c>
      <c r="B6208" t="str">
        <f t="shared" si="345"/>
        <v>1</v>
      </c>
      <c r="C6208" t="str">
        <f t="shared" si="346"/>
        <v>125</v>
      </c>
      <c r="D6208" t="str">
        <f>"15"</f>
        <v>15</v>
      </c>
      <c r="E6208" t="str">
        <f>"1-125-15"</f>
        <v>1-125-15</v>
      </c>
      <c r="F6208" t="s">
        <v>65</v>
      </c>
      <c r="G6208" t="s">
        <v>66</v>
      </c>
      <c r="H6208" t="s">
        <v>67</v>
      </c>
      <c r="S6208">
        <v>0</v>
      </c>
      <c r="T6208">
        <v>1</v>
      </c>
      <c r="U6208">
        <v>0</v>
      </c>
      <c r="V6208">
        <v>0</v>
      </c>
      <c r="W6208">
        <v>1</v>
      </c>
      <c r="X6208">
        <v>0</v>
      </c>
      <c r="Y6208">
        <v>1</v>
      </c>
      <c r="Z6208">
        <v>0</v>
      </c>
      <c r="AA6208">
        <v>0</v>
      </c>
      <c r="AB6208">
        <v>1</v>
      </c>
      <c r="AC6208">
        <v>0</v>
      </c>
      <c r="AD6208">
        <v>1</v>
      </c>
      <c r="AE6208">
        <v>1</v>
      </c>
      <c r="AF6208">
        <v>1</v>
      </c>
      <c r="AG6208">
        <v>1</v>
      </c>
      <c r="AH6208">
        <v>1</v>
      </c>
      <c r="AI6208">
        <v>1</v>
      </c>
      <c r="AJ6208">
        <v>1</v>
      </c>
      <c r="AK6208">
        <v>1</v>
      </c>
      <c r="AL6208">
        <v>1</v>
      </c>
      <c r="AM6208">
        <v>1</v>
      </c>
    </row>
    <row r="6209" spans="1:39" x14ac:dyDescent="0.2">
      <c r="A6209" t="str">
        <f>"6205"</f>
        <v>6205</v>
      </c>
      <c r="B6209" t="str">
        <f t="shared" si="345"/>
        <v>1</v>
      </c>
      <c r="C6209" t="str">
        <f t="shared" si="346"/>
        <v>125</v>
      </c>
      <c r="D6209" t="str">
        <f>"2"</f>
        <v>2</v>
      </c>
      <c r="E6209" t="str">
        <f>"1-125-2"</f>
        <v>1-125-2</v>
      </c>
      <c r="F6209" t="s">
        <v>65</v>
      </c>
      <c r="G6209" t="s">
        <v>66</v>
      </c>
      <c r="H6209" t="s">
        <v>67</v>
      </c>
      <c r="S6209">
        <v>0</v>
      </c>
      <c r="T6209">
        <v>1</v>
      </c>
      <c r="U6209">
        <v>0</v>
      </c>
      <c r="V6209">
        <v>0</v>
      </c>
      <c r="W6209">
        <v>0</v>
      </c>
      <c r="X6209">
        <v>1</v>
      </c>
      <c r="Y6209">
        <v>0</v>
      </c>
      <c r="Z6209">
        <v>1</v>
      </c>
      <c r="AA6209">
        <v>0</v>
      </c>
      <c r="AB6209">
        <v>0</v>
      </c>
      <c r="AC6209">
        <v>1</v>
      </c>
      <c r="AD6209">
        <v>1</v>
      </c>
      <c r="AE6209">
        <v>1</v>
      </c>
      <c r="AF6209">
        <v>1</v>
      </c>
      <c r="AG6209">
        <v>1</v>
      </c>
      <c r="AH6209">
        <v>1</v>
      </c>
      <c r="AI6209">
        <v>1</v>
      </c>
      <c r="AJ6209">
        <v>1</v>
      </c>
      <c r="AK6209">
        <v>1</v>
      </c>
      <c r="AL6209">
        <v>1</v>
      </c>
      <c r="AM6209">
        <v>1</v>
      </c>
    </row>
    <row r="6210" spans="1:39" x14ac:dyDescent="0.2">
      <c r="A6210" t="str">
        <f>"6206"</f>
        <v>6206</v>
      </c>
      <c r="B6210" t="str">
        <f t="shared" si="345"/>
        <v>1</v>
      </c>
      <c r="C6210" t="str">
        <f t="shared" si="346"/>
        <v>125</v>
      </c>
      <c r="D6210" t="str">
        <f>"38"</f>
        <v>38</v>
      </c>
      <c r="E6210" t="str">
        <f>"1-125-38"</f>
        <v>1-125-38</v>
      </c>
      <c r="F6210" t="s">
        <v>65</v>
      </c>
      <c r="G6210" t="s">
        <v>66</v>
      </c>
      <c r="H6210" t="s">
        <v>67</v>
      </c>
      <c r="S6210">
        <v>0</v>
      </c>
      <c r="T6210">
        <v>1</v>
      </c>
      <c r="U6210">
        <v>0</v>
      </c>
      <c r="V6210">
        <v>0</v>
      </c>
      <c r="W6210">
        <v>0</v>
      </c>
      <c r="X6210">
        <v>1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</row>
    <row r="6211" spans="1:39" x14ac:dyDescent="0.2">
      <c r="A6211" t="str">
        <f>"6207"</f>
        <v>6207</v>
      </c>
      <c r="B6211" t="str">
        <f t="shared" si="345"/>
        <v>1</v>
      </c>
      <c r="C6211" t="str">
        <f t="shared" si="346"/>
        <v>125</v>
      </c>
      <c r="D6211" t="str">
        <f>"37"</f>
        <v>37</v>
      </c>
      <c r="E6211" t="str">
        <f>"1-125-37"</f>
        <v>1-125-37</v>
      </c>
      <c r="F6211" t="s">
        <v>65</v>
      </c>
      <c r="G6211" t="s">
        <v>66</v>
      </c>
      <c r="H6211" t="s">
        <v>67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1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1</v>
      </c>
      <c r="AI6211">
        <v>1</v>
      </c>
      <c r="AJ6211">
        <v>1</v>
      </c>
      <c r="AK6211">
        <v>0</v>
      </c>
      <c r="AL6211">
        <v>1</v>
      </c>
      <c r="AM6211">
        <v>1</v>
      </c>
    </row>
    <row r="6212" spans="1:39" x14ac:dyDescent="0.2">
      <c r="A6212" t="str">
        <f>"6208"</f>
        <v>6208</v>
      </c>
      <c r="B6212" t="str">
        <f t="shared" si="345"/>
        <v>1</v>
      </c>
      <c r="C6212" t="str">
        <f t="shared" si="346"/>
        <v>125</v>
      </c>
      <c r="D6212" t="str">
        <f>"26"</f>
        <v>26</v>
      </c>
      <c r="E6212" t="str">
        <f>"1-125-26"</f>
        <v>1-125-26</v>
      </c>
      <c r="F6212" t="s">
        <v>65</v>
      </c>
      <c r="G6212" t="s">
        <v>66</v>
      </c>
      <c r="H6212" t="s">
        <v>67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1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</row>
    <row r="6213" spans="1:39" x14ac:dyDescent="0.2">
      <c r="A6213" t="str">
        <f>"6209"</f>
        <v>6209</v>
      </c>
      <c r="B6213" t="str">
        <f t="shared" si="345"/>
        <v>1</v>
      </c>
      <c r="C6213" t="str">
        <f t="shared" si="346"/>
        <v>125</v>
      </c>
      <c r="D6213" t="str">
        <f>"16"</f>
        <v>16</v>
      </c>
      <c r="E6213" t="str">
        <f>"1-125-16"</f>
        <v>1-125-16</v>
      </c>
      <c r="F6213" t="s">
        <v>65</v>
      </c>
      <c r="G6213" t="s">
        <v>66</v>
      </c>
      <c r="H6213" t="s">
        <v>67</v>
      </c>
      <c r="S6213">
        <v>0</v>
      </c>
      <c r="T6213">
        <v>1</v>
      </c>
      <c r="U6213">
        <v>0</v>
      </c>
      <c r="V6213">
        <v>0</v>
      </c>
      <c r="W6213">
        <v>1</v>
      </c>
      <c r="X6213">
        <v>0</v>
      </c>
      <c r="Y6213">
        <v>1</v>
      </c>
      <c r="Z6213">
        <v>0</v>
      </c>
      <c r="AA6213">
        <v>0</v>
      </c>
      <c r="AB6213">
        <v>0</v>
      </c>
      <c r="AC6213">
        <v>1</v>
      </c>
      <c r="AD6213">
        <v>1</v>
      </c>
      <c r="AE6213">
        <v>1</v>
      </c>
      <c r="AF6213">
        <v>1</v>
      </c>
      <c r="AG6213">
        <v>1</v>
      </c>
      <c r="AH6213">
        <v>1</v>
      </c>
      <c r="AI6213">
        <v>1</v>
      </c>
      <c r="AJ6213">
        <v>1</v>
      </c>
      <c r="AK6213">
        <v>1</v>
      </c>
      <c r="AL6213">
        <v>1</v>
      </c>
      <c r="AM6213">
        <v>1</v>
      </c>
    </row>
    <row r="6214" spans="1:39" x14ac:dyDescent="0.2">
      <c r="A6214" t="str">
        <f>"6210"</f>
        <v>6210</v>
      </c>
      <c r="B6214" t="str">
        <f t="shared" si="345"/>
        <v>1</v>
      </c>
      <c r="C6214" t="str">
        <f t="shared" si="346"/>
        <v>125</v>
      </c>
      <c r="D6214" t="str">
        <f>"7"</f>
        <v>7</v>
      </c>
      <c r="E6214" t="str">
        <f>"1-125-7"</f>
        <v>1-125-7</v>
      </c>
      <c r="F6214" t="s">
        <v>65</v>
      </c>
      <c r="G6214" t="s">
        <v>66</v>
      </c>
      <c r="H6214" t="s">
        <v>67</v>
      </c>
      <c r="S6214">
        <v>0</v>
      </c>
      <c r="T6214">
        <v>1</v>
      </c>
      <c r="U6214">
        <v>0</v>
      </c>
      <c r="V6214">
        <v>0</v>
      </c>
      <c r="W6214">
        <v>1</v>
      </c>
      <c r="X6214">
        <v>0</v>
      </c>
      <c r="Y6214">
        <v>1</v>
      </c>
      <c r="Z6214">
        <v>0</v>
      </c>
      <c r="AA6214">
        <v>0</v>
      </c>
      <c r="AB6214">
        <v>1</v>
      </c>
      <c r="AC6214">
        <v>0</v>
      </c>
      <c r="AD6214">
        <v>1</v>
      </c>
      <c r="AE6214">
        <v>1</v>
      </c>
      <c r="AF6214">
        <v>1</v>
      </c>
      <c r="AG6214">
        <v>1</v>
      </c>
      <c r="AH6214">
        <v>1</v>
      </c>
      <c r="AI6214">
        <v>1</v>
      </c>
      <c r="AJ6214">
        <v>1</v>
      </c>
      <c r="AK6214">
        <v>1</v>
      </c>
      <c r="AL6214">
        <v>1</v>
      </c>
      <c r="AM6214">
        <v>1</v>
      </c>
    </row>
    <row r="6215" spans="1:39" x14ac:dyDescent="0.2">
      <c r="A6215" t="str">
        <f>"6211"</f>
        <v>6211</v>
      </c>
      <c r="B6215" t="str">
        <f t="shared" si="345"/>
        <v>1</v>
      </c>
      <c r="C6215" t="str">
        <f t="shared" si="346"/>
        <v>125</v>
      </c>
      <c r="D6215" t="str">
        <f>"40"</f>
        <v>40</v>
      </c>
      <c r="E6215" t="str">
        <f>"1-125-40"</f>
        <v>1-125-40</v>
      </c>
      <c r="F6215" t="s">
        <v>65</v>
      </c>
      <c r="G6215" t="s">
        <v>66</v>
      </c>
      <c r="H6215" t="s">
        <v>67</v>
      </c>
      <c r="S6215">
        <v>0</v>
      </c>
      <c r="T6215">
        <v>1</v>
      </c>
      <c r="U6215">
        <v>0</v>
      </c>
      <c r="V6215">
        <v>0</v>
      </c>
      <c r="W6215">
        <v>1</v>
      </c>
      <c r="X6215">
        <v>0</v>
      </c>
      <c r="Y6215">
        <v>1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1</v>
      </c>
      <c r="AF6215">
        <v>1</v>
      </c>
      <c r="AG6215">
        <v>1</v>
      </c>
      <c r="AH6215">
        <v>1</v>
      </c>
      <c r="AI6215">
        <v>1</v>
      </c>
      <c r="AJ6215">
        <v>1</v>
      </c>
      <c r="AK6215">
        <v>1</v>
      </c>
      <c r="AL6215">
        <v>1</v>
      </c>
      <c r="AM6215">
        <v>1</v>
      </c>
    </row>
    <row r="6216" spans="1:39" x14ac:dyDescent="0.2">
      <c r="A6216" t="str">
        <f>"6212"</f>
        <v>6212</v>
      </c>
      <c r="B6216" t="str">
        <f t="shared" si="345"/>
        <v>1</v>
      </c>
      <c r="C6216" t="str">
        <f t="shared" si="346"/>
        <v>125</v>
      </c>
      <c r="D6216" t="str">
        <f>"39"</f>
        <v>39</v>
      </c>
      <c r="E6216" t="str">
        <f>"1-125-39"</f>
        <v>1-125-39</v>
      </c>
      <c r="F6216" t="s">
        <v>65</v>
      </c>
      <c r="G6216" t="s">
        <v>66</v>
      </c>
      <c r="H6216" t="s">
        <v>67</v>
      </c>
      <c r="S6216">
        <v>1</v>
      </c>
      <c r="T6216">
        <v>0</v>
      </c>
      <c r="U6216">
        <v>0</v>
      </c>
      <c r="V6216">
        <v>0</v>
      </c>
      <c r="W6216">
        <v>1</v>
      </c>
      <c r="X6216">
        <v>0</v>
      </c>
      <c r="Y6216">
        <v>0</v>
      </c>
      <c r="Z6216">
        <v>1</v>
      </c>
      <c r="AA6216">
        <v>0</v>
      </c>
      <c r="AB6216">
        <v>1</v>
      </c>
      <c r="AC6216">
        <v>0</v>
      </c>
      <c r="AD6216">
        <v>1</v>
      </c>
      <c r="AE6216">
        <v>1</v>
      </c>
      <c r="AF6216">
        <v>1</v>
      </c>
      <c r="AG6216">
        <v>1</v>
      </c>
      <c r="AH6216">
        <v>1</v>
      </c>
      <c r="AI6216">
        <v>1</v>
      </c>
      <c r="AJ6216">
        <v>1</v>
      </c>
      <c r="AK6216">
        <v>1</v>
      </c>
      <c r="AL6216">
        <v>1</v>
      </c>
      <c r="AM6216">
        <v>1</v>
      </c>
    </row>
    <row r="6217" spans="1:39" x14ac:dyDescent="0.2">
      <c r="A6217" t="str">
        <f>"6213"</f>
        <v>6213</v>
      </c>
      <c r="B6217" t="str">
        <f t="shared" si="345"/>
        <v>1</v>
      </c>
      <c r="C6217" t="str">
        <f t="shared" si="346"/>
        <v>125</v>
      </c>
      <c r="D6217" t="str">
        <f>"31"</f>
        <v>31</v>
      </c>
      <c r="E6217" t="str">
        <f>"1-125-31"</f>
        <v>1-125-31</v>
      </c>
      <c r="F6217" t="s">
        <v>65</v>
      </c>
      <c r="G6217" t="s">
        <v>66</v>
      </c>
      <c r="H6217" t="s">
        <v>67</v>
      </c>
      <c r="S6217">
        <v>1</v>
      </c>
      <c r="T6217">
        <v>0</v>
      </c>
      <c r="U6217">
        <v>0</v>
      </c>
      <c r="V6217">
        <v>0</v>
      </c>
      <c r="W6217">
        <v>1</v>
      </c>
      <c r="X6217">
        <v>0</v>
      </c>
      <c r="Y6217">
        <v>0</v>
      </c>
      <c r="Z6217">
        <v>1</v>
      </c>
      <c r="AA6217">
        <v>1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1</v>
      </c>
      <c r="AH6217">
        <v>1</v>
      </c>
      <c r="AI6217">
        <v>0</v>
      </c>
      <c r="AJ6217">
        <v>0</v>
      </c>
      <c r="AK6217">
        <v>0</v>
      </c>
      <c r="AL6217">
        <v>0</v>
      </c>
      <c r="AM6217">
        <v>0</v>
      </c>
    </row>
    <row r="6218" spans="1:39" x14ac:dyDescent="0.2">
      <c r="A6218" t="str">
        <f>"6214"</f>
        <v>6214</v>
      </c>
      <c r="B6218" t="str">
        <f t="shared" si="345"/>
        <v>1</v>
      </c>
      <c r="C6218" t="str">
        <f t="shared" si="346"/>
        <v>125</v>
      </c>
      <c r="D6218" t="str">
        <f>"17"</f>
        <v>17</v>
      </c>
      <c r="E6218" t="str">
        <f>"1-125-17"</f>
        <v>1-125-17</v>
      </c>
      <c r="F6218" t="s">
        <v>65</v>
      </c>
      <c r="G6218" t="s">
        <v>66</v>
      </c>
      <c r="H6218" t="s">
        <v>67</v>
      </c>
      <c r="S6218">
        <v>1</v>
      </c>
      <c r="T6218">
        <v>0</v>
      </c>
      <c r="U6218">
        <v>0</v>
      </c>
      <c r="V6218">
        <v>0</v>
      </c>
      <c r="W6218">
        <v>1</v>
      </c>
      <c r="X6218">
        <v>0</v>
      </c>
      <c r="Y6218">
        <v>0</v>
      </c>
      <c r="Z6218">
        <v>1</v>
      </c>
      <c r="AA6218">
        <v>1</v>
      </c>
      <c r="AB6218">
        <v>0</v>
      </c>
      <c r="AC6218">
        <v>0</v>
      </c>
      <c r="AD6218">
        <v>1</v>
      </c>
      <c r="AE6218">
        <v>1</v>
      </c>
      <c r="AF6218">
        <v>1</v>
      </c>
      <c r="AG6218">
        <v>1</v>
      </c>
      <c r="AH6218">
        <v>1</v>
      </c>
      <c r="AI6218">
        <v>1</v>
      </c>
      <c r="AJ6218">
        <v>1</v>
      </c>
      <c r="AK6218">
        <v>1</v>
      </c>
      <c r="AL6218">
        <v>1</v>
      </c>
      <c r="AM6218">
        <v>1</v>
      </c>
    </row>
    <row r="6219" spans="1:39" x14ac:dyDescent="0.2">
      <c r="A6219" t="str">
        <f>"6215"</f>
        <v>6215</v>
      </c>
      <c r="B6219" t="str">
        <f t="shared" si="345"/>
        <v>1</v>
      </c>
      <c r="C6219" t="str">
        <f t="shared" si="346"/>
        <v>125</v>
      </c>
      <c r="D6219" t="str">
        <f>"1"</f>
        <v>1</v>
      </c>
      <c r="E6219" t="str">
        <f>"1-125-1"</f>
        <v>1-125-1</v>
      </c>
      <c r="F6219" t="s">
        <v>65</v>
      </c>
      <c r="G6219" t="s">
        <v>66</v>
      </c>
      <c r="H6219" t="s">
        <v>67</v>
      </c>
      <c r="S6219">
        <v>0</v>
      </c>
      <c r="T6219">
        <v>0</v>
      </c>
      <c r="U6219">
        <v>0</v>
      </c>
      <c r="V6219">
        <v>0</v>
      </c>
      <c r="W6219">
        <v>1</v>
      </c>
      <c r="X6219">
        <v>0</v>
      </c>
      <c r="Y6219">
        <v>1</v>
      </c>
      <c r="Z6219">
        <v>0</v>
      </c>
      <c r="AA6219">
        <v>0</v>
      </c>
      <c r="AB6219">
        <v>0</v>
      </c>
      <c r="AC6219">
        <v>0</v>
      </c>
      <c r="AD6219">
        <v>1</v>
      </c>
      <c r="AE6219">
        <v>1</v>
      </c>
      <c r="AF6219">
        <v>1</v>
      </c>
      <c r="AG6219">
        <v>1</v>
      </c>
      <c r="AH6219">
        <v>1</v>
      </c>
      <c r="AI6219">
        <v>1</v>
      </c>
      <c r="AJ6219">
        <v>1</v>
      </c>
      <c r="AK6219">
        <v>1</v>
      </c>
      <c r="AL6219">
        <v>1</v>
      </c>
      <c r="AM6219">
        <v>1</v>
      </c>
    </row>
    <row r="6220" spans="1:39" x14ac:dyDescent="0.2">
      <c r="A6220" t="str">
        <f>"6216"</f>
        <v>6216</v>
      </c>
      <c r="B6220" t="str">
        <f t="shared" si="345"/>
        <v>1</v>
      </c>
      <c r="C6220" t="str">
        <f t="shared" si="346"/>
        <v>125</v>
      </c>
      <c r="D6220" t="str">
        <f>"46"</f>
        <v>46</v>
      </c>
      <c r="E6220" t="str">
        <f>"1-125-46"</f>
        <v>1-125-46</v>
      </c>
      <c r="F6220" t="s">
        <v>65</v>
      </c>
      <c r="G6220" t="s">
        <v>66</v>
      </c>
      <c r="H6220" t="s">
        <v>67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1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1</v>
      </c>
      <c r="AE6220">
        <v>1</v>
      </c>
      <c r="AF6220">
        <v>1</v>
      </c>
      <c r="AG6220">
        <v>1</v>
      </c>
      <c r="AH6220">
        <v>1</v>
      </c>
      <c r="AI6220">
        <v>1</v>
      </c>
      <c r="AJ6220">
        <v>1</v>
      </c>
      <c r="AK6220">
        <v>1</v>
      </c>
      <c r="AL6220">
        <v>1</v>
      </c>
      <c r="AM6220">
        <v>0</v>
      </c>
    </row>
    <row r="6221" spans="1:39" x14ac:dyDescent="0.2">
      <c r="A6221" t="str">
        <f>"6217"</f>
        <v>6217</v>
      </c>
      <c r="B6221" t="str">
        <f t="shared" si="345"/>
        <v>1</v>
      </c>
      <c r="C6221" t="str">
        <f t="shared" si="346"/>
        <v>125</v>
      </c>
      <c r="D6221" t="str">
        <f>"45"</f>
        <v>45</v>
      </c>
      <c r="E6221" t="str">
        <f>"1-125-45"</f>
        <v>1-125-45</v>
      </c>
      <c r="F6221" t="s">
        <v>65</v>
      </c>
      <c r="G6221" t="s">
        <v>66</v>
      </c>
      <c r="H6221" t="s">
        <v>67</v>
      </c>
      <c r="S6221">
        <v>0</v>
      </c>
      <c r="T6221">
        <v>1</v>
      </c>
      <c r="U6221">
        <v>0</v>
      </c>
      <c r="V6221">
        <v>0</v>
      </c>
      <c r="W6221">
        <v>1</v>
      </c>
      <c r="X6221">
        <v>0</v>
      </c>
      <c r="Y6221">
        <v>0</v>
      </c>
      <c r="Z6221">
        <v>1</v>
      </c>
      <c r="AA6221">
        <v>0</v>
      </c>
      <c r="AB6221">
        <v>1</v>
      </c>
      <c r="AC6221">
        <v>0</v>
      </c>
      <c r="AD6221">
        <v>1</v>
      </c>
      <c r="AE6221">
        <v>1</v>
      </c>
      <c r="AF6221">
        <v>1</v>
      </c>
      <c r="AG6221">
        <v>1</v>
      </c>
      <c r="AH6221">
        <v>1</v>
      </c>
      <c r="AI6221">
        <v>1</v>
      </c>
      <c r="AJ6221">
        <v>1</v>
      </c>
      <c r="AK6221">
        <v>1</v>
      </c>
      <c r="AL6221">
        <v>0</v>
      </c>
      <c r="AM6221">
        <v>1</v>
      </c>
    </row>
    <row r="6222" spans="1:39" x14ac:dyDescent="0.2">
      <c r="A6222" t="str">
        <f>"6218"</f>
        <v>6218</v>
      </c>
      <c r="B6222" t="str">
        <f t="shared" si="345"/>
        <v>1</v>
      </c>
      <c r="C6222" t="str">
        <f t="shared" si="346"/>
        <v>125</v>
      </c>
      <c r="D6222" t="str">
        <f>"32"</f>
        <v>32</v>
      </c>
      <c r="E6222" t="str">
        <f>"1-125-32"</f>
        <v>1-125-32</v>
      </c>
      <c r="F6222" t="s">
        <v>65</v>
      </c>
      <c r="G6222" t="s">
        <v>66</v>
      </c>
      <c r="H6222" t="s">
        <v>67</v>
      </c>
      <c r="S6222">
        <v>0</v>
      </c>
      <c r="T6222">
        <v>1</v>
      </c>
      <c r="U6222">
        <v>0</v>
      </c>
      <c r="V6222">
        <v>0</v>
      </c>
      <c r="W6222">
        <v>1</v>
      </c>
      <c r="X6222">
        <v>0</v>
      </c>
      <c r="Y6222">
        <v>0</v>
      </c>
      <c r="Z6222">
        <v>1</v>
      </c>
      <c r="AA6222">
        <v>1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</row>
    <row r="6223" spans="1:39" x14ac:dyDescent="0.2">
      <c r="A6223" t="str">
        <f>"6219"</f>
        <v>6219</v>
      </c>
      <c r="B6223" t="str">
        <f t="shared" si="345"/>
        <v>1</v>
      </c>
      <c r="C6223" t="str">
        <f t="shared" si="346"/>
        <v>125</v>
      </c>
      <c r="D6223" t="str">
        <f>"18"</f>
        <v>18</v>
      </c>
      <c r="E6223" t="str">
        <f>"1-125-18"</f>
        <v>1-125-18</v>
      </c>
      <c r="F6223" t="s">
        <v>65</v>
      </c>
      <c r="G6223" t="s">
        <v>66</v>
      </c>
      <c r="H6223" t="s">
        <v>67</v>
      </c>
      <c r="S6223">
        <v>1</v>
      </c>
      <c r="T6223">
        <v>0</v>
      </c>
      <c r="U6223">
        <v>0</v>
      </c>
      <c r="V6223">
        <v>0</v>
      </c>
      <c r="W6223">
        <v>0</v>
      </c>
      <c r="X6223">
        <v>1</v>
      </c>
      <c r="Y6223">
        <v>1</v>
      </c>
      <c r="Z6223">
        <v>0</v>
      </c>
      <c r="AA6223">
        <v>1</v>
      </c>
      <c r="AB6223">
        <v>0</v>
      </c>
      <c r="AC6223">
        <v>0</v>
      </c>
      <c r="AD6223">
        <v>1</v>
      </c>
      <c r="AE6223">
        <v>1</v>
      </c>
      <c r="AF6223">
        <v>1</v>
      </c>
      <c r="AG6223">
        <v>1</v>
      </c>
      <c r="AH6223">
        <v>1</v>
      </c>
      <c r="AI6223">
        <v>1</v>
      </c>
      <c r="AJ6223">
        <v>1</v>
      </c>
      <c r="AK6223">
        <v>1</v>
      </c>
      <c r="AL6223">
        <v>0</v>
      </c>
      <c r="AM6223">
        <v>1</v>
      </c>
    </row>
    <row r="6224" spans="1:39" x14ac:dyDescent="0.2">
      <c r="A6224" t="str">
        <f>"6220"</f>
        <v>6220</v>
      </c>
      <c r="B6224" t="str">
        <f t="shared" si="345"/>
        <v>1</v>
      </c>
      <c r="C6224" t="str">
        <f t="shared" si="346"/>
        <v>125</v>
      </c>
      <c r="D6224" t="str">
        <f>"8"</f>
        <v>8</v>
      </c>
      <c r="E6224" t="str">
        <f>"1-125-8"</f>
        <v>1-125-8</v>
      </c>
      <c r="F6224" t="s">
        <v>65</v>
      </c>
      <c r="G6224" t="s">
        <v>66</v>
      </c>
      <c r="H6224" t="s">
        <v>67</v>
      </c>
      <c r="S6224">
        <v>1</v>
      </c>
      <c r="T6224">
        <v>0</v>
      </c>
      <c r="U6224">
        <v>0</v>
      </c>
      <c r="V6224">
        <v>0</v>
      </c>
      <c r="W6224">
        <v>1</v>
      </c>
      <c r="X6224">
        <v>0</v>
      </c>
      <c r="Y6224">
        <v>0</v>
      </c>
      <c r="Z6224">
        <v>1</v>
      </c>
      <c r="AA6224">
        <v>1</v>
      </c>
      <c r="AB6224">
        <v>0</v>
      </c>
      <c r="AC6224">
        <v>0</v>
      </c>
      <c r="AD6224">
        <v>1</v>
      </c>
      <c r="AE6224">
        <v>1</v>
      </c>
      <c r="AF6224">
        <v>1</v>
      </c>
      <c r="AG6224">
        <v>1</v>
      </c>
      <c r="AH6224">
        <v>1</v>
      </c>
      <c r="AI6224">
        <v>1</v>
      </c>
      <c r="AJ6224">
        <v>1</v>
      </c>
      <c r="AK6224">
        <v>1</v>
      </c>
      <c r="AL6224">
        <v>1</v>
      </c>
      <c r="AM6224">
        <v>1</v>
      </c>
    </row>
    <row r="6225" spans="1:39" x14ac:dyDescent="0.2">
      <c r="A6225" t="str">
        <f>"6221"</f>
        <v>6221</v>
      </c>
      <c r="B6225" t="str">
        <f t="shared" si="345"/>
        <v>1</v>
      </c>
      <c r="C6225" t="str">
        <f t="shared" si="346"/>
        <v>125</v>
      </c>
      <c r="D6225" t="str">
        <f>"35"</f>
        <v>35</v>
      </c>
      <c r="E6225" t="str">
        <f>"1-125-35"</f>
        <v>1-125-35</v>
      </c>
      <c r="F6225" t="s">
        <v>65</v>
      </c>
      <c r="G6225" t="s">
        <v>66</v>
      </c>
      <c r="H6225" t="s">
        <v>67</v>
      </c>
      <c r="S6225">
        <v>1</v>
      </c>
      <c r="T6225">
        <v>0</v>
      </c>
      <c r="U6225">
        <v>0</v>
      </c>
      <c r="V6225">
        <v>0</v>
      </c>
      <c r="W6225">
        <v>1</v>
      </c>
      <c r="X6225">
        <v>0</v>
      </c>
      <c r="Y6225">
        <v>1</v>
      </c>
      <c r="Z6225">
        <v>0</v>
      </c>
      <c r="AA6225">
        <v>0</v>
      </c>
      <c r="AB6225">
        <v>1</v>
      </c>
      <c r="AC6225">
        <v>0</v>
      </c>
      <c r="AD6225">
        <v>1</v>
      </c>
      <c r="AE6225">
        <v>1</v>
      </c>
      <c r="AF6225">
        <v>1</v>
      </c>
      <c r="AG6225">
        <v>1</v>
      </c>
      <c r="AH6225">
        <v>1</v>
      </c>
      <c r="AI6225">
        <v>1</v>
      </c>
      <c r="AJ6225">
        <v>1</v>
      </c>
      <c r="AK6225">
        <v>1</v>
      </c>
      <c r="AL6225">
        <v>1</v>
      </c>
      <c r="AM6225">
        <v>1</v>
      </c>
    </row>
    <row r="6226" spans="1:39" x14ac:dyDescent="0.2">
      <c r="A6226" t="str">
        <f>"6222"</f>
        <v>6222</v>
      </c>
      <c r="B6226" t="str">
        <f t="shared" si="345"/>
        <v>1</v>
      </c>
      <c r="C6226" t="str">
        <f t="shared" si="346"/>
        <v>125</v>
      </c>
      <c r="D6226" t="str">
        <f>"19"</f>
        <v>19</v>
      </c>
      <c r="E6226" t="str">
        <f>"1-125-19"</f>
        <v>1-125-19</v>
      </c>
      <c r="F6226" t="s">
        <v>65</v>
      </c>
      <c r="G6226" t="s">
        <v>66</v>
      </c>
      <c r="H6226" t="s">
        <v>67</v>
      </c>
      <c r="S6226">
        <v>0</v>
      </c>
      <c r="T6226">
        <v>1</v>
      </c>
      <c r="U6226">
        <v>0</v>
      </c>
      <c r="V6226">
        <v>0</v>
      </c>
      <c r="W6226">
        <v>0</v>
      </c>
      <c r="X6226">
        <v>1</v>
      </c>
      <c r="Y6226">
        <v>1</v>
      </c>
      <c r="Z6226">
        <v>0</v>
      </c>
      <c r="AA6226">
        <v>0</v>
      </c>
      <c r="AB6226">
        <v>0</v>
      </c>
      <c r="AC6226">
        <v>1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</row>
    <row r="6227" spans="1:39" x14ac:dyDescent="0.2">
      <c r="A6227" t="str">
        <f>"6223"</f>
        <v>6223</v>
      </c>
      <c r="B6227" t="str">
        <f t="shared" si="345"/>
        <v>1</v>
      </c>
      <c r="C6227" t="str">
        <f t="shared" si="346"/>
        <v>125</v>
      </c>
      <c r="D6227" t="str">
        <f>"9"</f>
        <v>9</v>
      </c>
      <c r="E6227" t="str">
        <f>"1-125-9"</f>
        <v>1-125-9</v>
      </c>
      <c r="F6227" t="s">
        <v>65</v>
      </c>
      <c r="G6227" t="s">
        <v>66</v>
      </c>
      <c r="H6227" t="s">
        <v>67</v>
      </c>
      <c r="S6227">
        <v>1</v>
      </c>
      <c r="T6227">
        <v>0</v>
      </c>
      <c r="U6227">
        <v>0</v>
      </c>
      <c r="V6227">
        <v>0</v>
      </c>
      <c r="W6227">
        <v>1</v>
      </c>
      <c r="X6227">
        <v>0</v>
      </c>
      <c r="Y6227">
        <v>0</v>
      </c>
      <c r="Z6227">
        <v>1</v>
      </c>
      <c r="AA6227">
        <v>0</v>
      </c>
      <c r="AB6227">
        <v>0</v>
      </c>
      <c r="AC6227">
        <v>1</v>
      </c>
      <c r="AD6227">
        <v>1</v>
      </c>
      <c r="AE6227">
        <v>1</v>
      </c>
      <c r="AF6227">
        <v>1</v>
      </c>
      <c r="AG6227">
        <v>1</v>
      </c>
      <c r="AH6227">
        <v>1</v>
      </c>
      <c r="AI6227">
        <v>1</v>
      </c>
      <c r="AJ6227">
        <v>1</v>
      </c>
      <c r="AK6227">
        <v>1</v>
      </c>
      <c r="AL6227">
        <v>1</v>
      </c>
      <c r="AM6227">
        <v>1</v>
      </c>
    </row>
    <row r="6228" spans="1:39" x14ac:dyDescent="0.2">
      <c r="A6228" t="str">
        <f>"6224"</f>
        <v>6224</v>
      </c>
      <c r="B6228" t="str">
        <f t="shared" si="345"/>
        <v>1</v>
      </c>
      <c r="C6228" t="str">
        <f t="shared" si="346"/>
        <v>125</v>
      </c>
      <c r="D6228" t="str">
        <f>"36"</f>
        <v>36</v>
      </c>
      <c r="E6228" t="str">
        <f>"1-125-36"</f>
        <v>1-125-36</v>
      </c>
      <c r="F6228" t="s">
        <v>65</v>
      </c>
      <c r="G6228" t="s">
        <v>66</v>
      </c>
      <c r="H6228" t="s">
        <v>67</v>
      </c>
      <c r="S6228">
        <v>1</v>
      </c>
      <c r="T6228">
        <v>0</v>
      </c>
      <c r="U6228">
        <v>0</v>
      </c>
      <c r="V6228">
        <v>0</v>
      </c>
      <c r="W6228">
        <v>1</v>
      </c>
      <c r="X6228">
        <v>0</v>
      </c>
      <c r="Y6228">
        <v>1</v>
      </c>
      <c r="Z6228">
        <v>0</v>
      </c>
      <c r="AA6228">
        <v>0</v>
      </c>
      <c r="AB6228">
        <v>1</v>
      </c>
      <c r="AC6228">
        <v>0</v>
      </c>
      <c r="AD6228">
        <v>1</v>
      </c>
      <c r="AE6228">
        <v>1</v>
      </c>
      <c r="AF6228">
        <v>1</v>
      </c>
      <c r="AG6228">
        <v>1</v>
      </c>
      <c r="AH6228">
        <v>1</v>
      </c>
      <c r="AI6228">
        <v>1</v>
      </c>
      <c r="AJ6228">
        <v>1</v>
      </c>
      <c r="AK6228">
        <v>1</v>
      </c>
      <c r="AL6228">
        <v>1</v>
      </c>
      <c r="AM6228">
        <v>1</v>
      </c>
    </row>
    <row r="6229" spans="1:39" x14ac:dyDescent="0.2">
      <c r="A6229" t="str">
        <f>"6225"</f>
        <v>6225</v>
      </c>
      <c r="B6229" t="str">
        <f t="shared" si="345"/>
        <v>1</v>
      </c>
      <c r="C6229" t="str">
        <f t="shared" si="346"/>
        <v>125</v>
      </c>
      <c r="D6229" t="str">
        <f>"20"</f>
        <v>20</v>
      </c>
      <c r="E6229" t="str">
        <f>"1-125-20"</f>
        <v>1-125-20</v>
      </c>
      <c r="F6229" t="s">
        <v>65</v>
      </c>
      <c r="G6229" t="s">
        <v>66</v>
      </c>
      <c r="H6229" t="s">
        <v>67</v>
      </c>
      <c r="S6229">
        <v>0</v>
      </c>
      <c r="T6229">
        <v>1</v>
      </c>
      <c r="U6229">
        <v>0</v>
      </c>
      <c r="V6229">
        <v>0</v>
      </c>
      <c r="W6229">
        <v>0</v>
      </c>
      <c r="X6229">
        <v>1</v>
      </c>
      <c r="Y6229">
        <v>0</v>
      </c>
      <c r="Z6229">
        <v>1</v>
      </c>
      <c r="AA6229">
        <v>0</v>
      </c>
      <c r="AB6229">
        <v>0</v>
      </c>
      <c r="AC6229">
        <v>1</v>
      </c>
      <c r="AD6229">
        <v>0</v>
      </c>
      <c r="AE6229">
        <v>0</v>
      </c>
      <c r="AF6229">
        <v>0</v>
      </c>
      <c r="AG6229">
        <v>0</v>
      </c>
      <c r="AH6229">
        <v>1</v>
      </c>
      <c r="AI6229">
        <v>1</v>
      </c>
      <c r="AJ6229">
        <v>1</v>
      </c>
      <c r="AK6229">
        <v>0</v>
      </c>
      <c r="AL6229">
        <v>0</v>
      </c>
      <c r="AM6229">
        <v>1</v>
      </c>
    </row>
    <row r="6230" spans="1:39" x14ac:dyDescent="0.2">
      <c r="A6230" t="str">
        <f>"6226"</f>
        <v>6226</v>
      </c>
      <c r="B6230" t="str">
        <f t="shared" si="345"/>
        <v>1</v>
      </c>
      <c r="C6230" t="str">
        <f t="shared" si="346"/>
        <v>125</v>
      </c>
      <c r="D6230" t="str">
        <f>"12"</f>
        <v>12</v>
      </c>
      <c r="E6230" t="str">
        <f>"1-125-12"</f>
        <v>1-125-12</v>
      </c>
      <c r="F6230" t="s">
        <v>65</v>
      </c>
      <c r="G6230" t="s">
        <v>66</v>
      </c>
      <c r="H6230" t="s">
        <v>67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1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1</v>
      </c>
      <c r="AH6230">
        <v>1</v>
      </c>
      <c r="AI6230">
        <v>1</v>
      </c>
      <c r="AJ6230">
        <v>1</v>
      </c>
      <c r="AK6230">
        <v>1</v>
      </c>
      <c r="AL6230">
        <v>1</v>
      </c>
      <c r="AM6230">
        <v>1</v>
      </c>
    </row>
    <row r="6231" spans="1:39" x14ac:dyDescent="0.2">
      <c r="A6231" t="str">
        <f>"6227"</f>
        <v>6227</v>
      </c>
      <c r="B6231" t="str">
        <f t="shared" si="345"/>
        <v>1</v>
      </c>
      <c r="C6231" t="str">
        <f t="shared" si="346"/>
        <v>125</v>
      </c>
      <c r="D6231" t="str">
        <f>"41"</f>
        <v>41</v>
      </c>
      <c r="E6231" t="str">
        <f>"1-125-41"</f>
        <v>1-125-41</v>
      </c>
      <c r="F6231" t="s">
        <v>65</v>
      </c>
      <c r="G6231" t="s">
        <v>66</v>
      </c>
      <c r="H6231" t="s">
        <v>67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1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1</v>
      </c>
      <c r="AI6231">
        <v>0</v>
      </c>
      <c r="AJ6231">
        <v>0</v>
      </c>
      <c r="AK6231">
        <v>0</v>
      </c>
      <c r="AL6231">
        <v>1</v>
      </c>
      <c r="AM6231">
        <v>0</v>
      </c>
    </row>
    <row r="6232" spans="1:39" x14ac:dyDescent="0.2">
      <c r="A6232" t="str">
        <f>"6228"</f>
        <v>6228</v>
      </c>
      <c r="B6232" t="str">
        <f t="shared" si="345"/>
        <v>1</v>
      </c>
      <c r="C6232" t="str">
        <f t="shared" si="346"/>
        <v>125</v>
      </c>
      <c r="D6232" t="str">
        <f>"22"</f>
        <v>22</v>
      </c>
      <c r="E6232" t="str">
        <f>"1-125-22"</f>
        <v>1-125-22</v>
      </c>
      <c r="F6232" t="s">
        <v>65</v>
      </c>
      <c r="G6232" t="s">
        <v>66</v>
      </c>
      <c r="H6232" t="s">
        <v>67</v>
      </c>
      <c r="S6232">
        <v>0</v>
      </c>
      <c r="T6232">
        <v>1</v>
      </c>
      <c r="U6232">
        <v>0</v>
      </c>
      <c r="V6232">
        <v>0</v>
      </c>
      <c r="W6232">
        <v>0</v>
      </c>
      <c r="X6232">
        <v>1</v>
      </c>
      <c r="Y6232">
        <v>1</v>
      </c>
      <c r="Z6232">
        <v>0</v>
      </c>
      <c r="AA6232">
        <v>0</v>
      </c>
      <c r="AB6232">
        <v>0</v>
      </c>
      <c r="AC6232">
        <v>1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</row>
    <row r="6233" spans="1:39" x14ac:dyDescent="0.2">
      <c r="A6233" t="str">
        <f>"6229"</f>
        <v>6229</v>
      </c>
      <c r="B6233" t="str">
        <f t="shared" si="345"/>
        <v>1</v>
      </c>
      <c r="C6233" t="str">
        <f t="shared" si="346"/>
        <v>125</v>
      </c>
      <c r="D6233" t="str">
        <f>"6"</f>
        <v>6</v>
      </c>
      <c r="E6233" t="str">
        <f>"1-125-6"</f>
        <v>1-125-6</v>
      </c>
      <c r="F6233" t="s">
        <v>65</v>
      </c>
      <c r="G6233" t="s">
        <v>66</v>
      </c>
      <c r="H6233" t="s">
        <v>67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1</v>
      </c>
      <c r="Y6233">
        <v>0</v>
      </c>
      <c r="Z6233">
        <v>0</v>
      </c>
      <c r="AA6233">
        <v>0</v>
      </c>
      <c r="AB6233">
        <v>0</v>
      </c>
      <c r="AC6233">
        <v>1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</row>
    <row r="6234" spans="1:39" x14ac:dyDescent="0.2">
      <c r="A6234" t="str">
        <f>"6230"</f>
        <v>6230</v>
      </c>
      <c r="B6234" t="str">
        <f t="shared" si="345"/>
        <v>1</v>
      </c>
      <c r="C6234" t="str">
        <f t="shared" si="346"/>
        <v>125</v>
      </c>
      <c r="D6234" t="str">
        <f>"23"</f>
        <v>23</v>
      </c>
      <c r="E6234" t="str">
        <f>"1-125-23"</f>
        <v>1-125-23</v>
      </c>
      <c r="F6234" t="s">
        <v>65</v>
      </c>
      <c r="G6234" t="s">
        <v>66</v>
      </c>
      <c r="H6234" t="s">
        <v>67</v>
      </c>
      <c r="S6234">
        <v>0</v>
      </c>
      <c r="T6234">
        <v>1</v>
      </c>
      <c r="U6234">
        <v>0</v>
      </c>
      <c r="V6234">
        <v>0</v>
      </c>
      <c r="W6234">
        <v>1</v>
      </c>
      <c r="X6234">
        <v>0</v>
      </c>
      <c r="Y6234">
        <v>1</v>
      </c>
      <c r="Z6234">
        <v>0</v>
      </c>
      <c r="AA6234">
        <v>0</v>
      </c>
      <c r="AB6234">
        <v>0</v>
      </c>
      <c r="AC6234">
        <v>1</v>
      </c>
      <c r="AD6234">
        <v>1</v>
      </c>
      <c r="AE6234">
        <v>1</v>
      </c>
      <c r="AF6234">
        <v>1</v>
      </c>
      <c r="AG6234">
        <v>1</v>
      </c>
      <c r="AH6234">
        <v>1</v>
      </c>
      <c r="AI6234">
        <v>1</v>
      </c>
      <c r="AJ6234">
        <v>1</v>
      </c>
      <c r="AK6234">
        <v>1</v>
      </c>
      <c r="AL6234">
        <v>1</v>
      </c>
      <c r="AM6234">
        <v>1</v>
      </c>
    </row>
    <row r="6235" spans="1:39" x14ac:dyDescent="0.2">
      <c r="A6235" t="str">
        <f>"6231"</f>
        <v>6231</v>
      </c>
      <c r="B6235" t="str">
        <f t="shared" si="345"/>
        <v>1</v>
      </c>
      <c r="C6235" t="str">
        <f t="shared" si="346"/>
        <v>125</v>
      </c>
      <c r="D6235" t="str">
        <f>"11"</f>
        <v>11</v>
      </c>
      <c r="E6235" t="str">
        <f>"1-125-11"</f>
        <v>1-125-11</v>
      </c>
      <c r="F6235" t="s">
        <v>65</v>
      </c>
      <c r="G6235" t="s">
        <v>66</v>
      </c>
      <c r="H6235" t="s">
        <v>67</v>
      </c>
      <c r="S6235">
        <v>0</v>
      </c>
      <c r="T6235">
        <v>1</v>
      </c>
      <c r="U6235">
        <v>0</v>
      </c>
      <c r="V6235">
        <v>0</v>
      </c>
      <c r="W6235">
        <v>0</v>
      </c>
      <c r="X6235">
        <v>1</v>
      </c>
      <c r="Y6235">
        <v>0</v>
      </c>
      <c r="Z6235">
        <v>1</v>
      </c>
      <c r="AA6235">
        <v>0</v>
      </c>
      <c r="AB6235">
        <v>1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</row>
    <row r="6236" spans="1:39" x14ac:dyDescent="0.2">
      <c r="A6236" t="str">
        <f>"6232"</f>
        <v>6232</v>
      </c>
      <c r="B6236" t="str">
        <f t="shared" si="345"/>
        <v>1</v>
      </c>
      <c r="C6236" t="str">
        <f t="shared" si="346"/>
        <v>125</v>
      </c>
      <c r="D6236" t="str">
        <f>"42"</f>
        <v>42</v>
      </c>
      <c r="E6236" t="str">
        <f>"1-125-42"</f>
        <v>1-125-42</v>
      </c>
      <c r="F6236" t="s">
        <v>65</v>
      </c>
      <c r="G6236" t="s">
        <v>66</v>
      </c>
      <c r="H6236" t="s">
        <v>67</v>
      </c>
      <c r="S6236">
        <v>1</v>
      </c>
      <c r="T6236">
        <v>0</v>
      </c>
      <c r="U6236">
        <v>0</v>
      </c>
      <c r="V6236">
        <v>0</v>
      </c>
      <c r="W6236">
        <v>1</v>
      </c>
      <c r="X6236">
        <v>0</v>
      </c>
      <c r="Y6236">
        <v>1</v>
      </c>
      <c r="Z6236">
        <v>0</v>
      </c>
      <c r="AA6236">
        <v>0</v>
      </c>
      <c r="AB6236">
        <v>0</v>
      </c>
      <c r="AC6236">
        <v>1</v>
      </c>
      <c r="AD6236">
        <v>1</v>
      </c>
      <c r="AE6236">
        <v>1</v>
      </c>
      <c r="AF6236">
        <v>1</v>
      </c>
      <c r="AG6236">
        <v>1</v>
      </c>
      <c r="AH6236">
        <v>1</v>
      </c>
      <c r="AI6236">
        <v>1</v>
      </c>
      <c r="AJ6236">
        <v>1</v>
      </c>
      <c r="AK6236">
        <v>1</v>
      </c>
      <c r="AL6236">
        <v>1</v>
      </c>
      <c r="AM6236">
        <v>1</v>
      </c>
    </row>
    <row r="6237" spans="1:39" x14ac:dyDescent="0.2">
      <c r="A6237" t="str">
        <f>"6233"</f>
        <v>6233</v>
      </c>
      <c r="B6237" t="str">
        <f t="shared" si="345"/>
        <v>1</v>
      </c>
      <c r="C6237" t="str">
        <f t="shared" ref="C6237:C6254" si="347">"125"</f>
        <v>125</v>
      </c>
      <c r="D6237" t="str">
        <f>"24"</f>
        <v>24</v>
      </c>
      <c r="E6237" t="str">
        <f>"1-125-24"</f>
        <v>1-125-24</v>
      </c>
      <c r="F6237" t="s">
        <v>65</v>
      </c>
      <c r="G6237" t="s">
        <v>66</v>
      </c>
      <c r="H6237" t="s">
        <v>67</v>
      </c>
      <c r="S6237">
        <v>0</v>
      </c>
      <c r="T6237">
        <v>1</v>
      </c>
      <c r="U6237">
        <v>0</v>
      </c>
      <c r="V6237">
        <v>0</v>
      </c>
      <c r="W6237">
        <v>1</v>
      </c>
      <c r="X6237">
        <v>0</v>
      </c>
      <c r="Y6237">
        <v>1</v>
      </c>
      <c r="Z6237">
        <v>0</v>
      </c>
      <c r="AA6237">
        <v>0</v>
      </c>
      <c r="AB6237">
        <v>0</v>
      </c>
      <c r="AC6237">
        <v>1</v>
      </c>
      <c r="AD6237">
        <v>1</v>
      </c>
      <c r="AE6237">
        <v>1</v>
      </c>
      <c r="AF6237">
        <v>1</v>
      </c>
      <c r="AG6237">
        <v>1</v>
      </c>
      <c r="AH6237">
        <v>1</v>
      </c>
      <c r="AI6237">
        <v>1</v>
      </c>
      <c r="AJ6237">
        <v>1</v>
      </c>
      <c r="AK6237">
        <v>1</v>
      </c>
      <c r="AL6237">
        <v>1</v>
      </c>
      <c r="AM6237">
        <v>1</v>
      </c>
    </row>
    <row r="6238" spans="1:39" x14ac:dyDescent="0.2">
      <c r="A6238" t="str">
        <f>"6234"</f>
        <v>6234</v>
      </c>
      <c r="B6238" t="str">
        <f t="shared" si="345"/>
        <v>1</v>
      </c>
      <c r="C6238" t="str">
        <f t="shared" si="347"/>
        <v>125</v>
      </c>
      <c r="D6238" t="str">
        <f>"14"</f>
        <v>14</v>
      </c>
      <c r="E6238" t="str">
        <f>"1-125-14"</f>
        <v>1-125-14</v>
      </c>
      <c r="F6238" t="s">
        <v>65</v>
      </c>
      <c r="G6238" t="s">
        <v>66</v>
      </c>
      <c r="H6238" t="s">
        <v>67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1</v>
      </c>
      <c r="Y6238">
        <v>0</v>
      </c>
      <c r="Z6238">
        <v>0</v>
      </c>
      <c r="AA6238">
        <v>0</v>
      </c>
      <c r="AB6238">
        <v>1</v>
      </c>
      <c r="AC6238">
        <v>0</v>
      </c>
      <c r="AD6238">
        <v>0</v>
      </c>
      <c r="AE6238">
        <v>0</v>
      </c>
      <c r="AF6238">
        <v>0</v>
      </c>
      <c r="AG6238">
        <v>1</v>
      </c>
      <c r="AH6238">
        <v>1</v>
      </c>
      <c r="AI6238">
        <v>0</v>
      </c>
      <c r="AJ6238">
        <v>1</v>
      </c>
      <c r="AK6238">
        <v>1</v>
      </c>
      <c r="AL6238">
        <v>1</v>
      </c>
      <c r="AM6238">
        <v>0</v>
      </c>
    </row>
    <row r="6239" spans="1:39" x14ac:dyDescent="0.2">
      <c r="A6239" t="str">
        <f>"6235"</f>
        <v>6235</v>
      </c>
      <c r="B6239" t="str">
        <f t="shared" si="345"/>
        <v>1</v>
      </c>
      <c r="C6239" t="str">
        <f t="shared" si="347"/>
        <v>125</v>
      </c>
      <c r="D6239" t="str">
        <f>"43"</f>
        <v>43</v>
      </c>
      <c r="E6239" t="str">
        <f>"1-125-43"</f>
        <v>1-125-43</v>
      </c>
      <c r="F6239" t="s">
        <v>65</v>
      </c>
      <c r="G6239" t="s">
        <v>66</v>
      </c>
      <c r="H6239" t="s">
        <v>67</v>
      </c>
      <c r="S6239">
        <v>1</v>
      </c>
      <c r="T6239">
        <v>0</v>
      </c>
      <c r="U6239">
        <v>0</v>
      </c>
      <c r="V6239">
        <v>0</v>
      </c>
      <c r="W6239">
        <v>1</v>
      </c>
      <c r="X6239">
        <v>0</v>
      </c>
      <c r="Y6239">
        <v>1</v>
      </c>
      <c r="Z6239">
        <v>0</v>
      </c>
      <c r="AA6239">
        <v>0</v>
      </c>
      <c r="AB6239">
        <v>1</v>
      </c>
      <c r="AC6239">
        <v>0</v>
      </c>
      <c r="AD6239">
        <v>1</v>
      </c>
      <c r="AE6239">
        <v>1</v>
      </c>
      <c r="AF6239">
        <v>1</v>
      </c>
      <c r="AG6239">
        <v>1</v>
      </c>
      <c r="AH6239">
        <v>1</v>
      </c>
      <c r="AI6239">
        <v>1</v>
      </c>
      <c r="AJ6239">
        <v>1</v>
      </c>
      <c r="AK6239">
        <v>1</v>
      </c>
      <c r="AL6239">
        <v>1</v>
      </c>
      <c r="AM6239">
        <v>1</v>
      </c>
    </row>
    <row r="6240" spans="1:39" x14ac:dyDescent="0.2">
      <c r="A6240" t="str">
        <f>"6236"</f>
        <v>6236</v>
      </c>
      <c r="B6240" t="str">
        <f t="shared" si="345"/>
        <v>1</v>
      </c>
      <c r="C6240" t="str">
        <f t="shared" si="347"/>
        <v>125</v>
      </c>
      <c r="D6240" t="str">
        <f>"25"</f>
        <v>25</v>
      </c>
      <c r="E6240" t="str">
        <f>"1-125-25"</f>
        <v>1-125-25</v>
      </c>
      <c r="F6240" t="s">
        <v>65</v>
      </c>
      <c r="G6240" t="s">
        <v>66</v>
      </c>
      <c r="H6240" t="s">
        <v>67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1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</row>
    <row r="6241" spans="1:39" x14ac:dyDescent="0.2">
      <c r="A6241" t="str">
        <f>"6237"</f>
        <v>6237</v>
      </c>
      <c r="B6241" t="str">
        <f t="shared" si="345"/>
        <v>1</v>
      </c>
      <c r="C6241" t="str">
        <f t="shared" si="347"/>
        <v>125</v>
      </c>
      <c r="D6241" t="str">
        <f>"3"</f>
        <v>3</v>
      </c>
      <c r="E6241" t="str">
        <f>"1-125-3"</f>
        <v>1-125-3</v>
      </c>
      <c r="F6241" t="s">
        <v>65</v>
      </c>
      <c r="G6241" t="s">
        <v>66</v>
      </c>
      <c r="H6241" t="s">
        <v>67</v>
      </c>
      <c r="S6241">
        <v>0</v>
      </c>
      <c r="T6241">
        <v>1</v>
      </c>
      <c r="U6241">
        <v>0</v>
      </c>
      <c r="V6241">
        <v>0</v>
      </c>
      <c r="W6241">
        <v>0</v>
      </c>
      <c r="X6241">
        <v>1</v>
      </c>
      <c r="Y6241">
        <v>0</v>
      </c>
      <c r="Z6241">
        <v>1</v>
      </c>
      <c r="AA6241">
        <v>0</v>
      </c>
      <c r="AB6241">
        <v>1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</row>
    <row r="6242" spans="1:39" x14ac:dyDescent="0.2">
      <c r="A6242" t="str">
        <f>"6238"</f>
        <v>6238</v>
      </c>
      <c r="B6242" t="str">
        <f t="shared" si="345"/>
        <v>1</v>
      </c>
      <c r="C6242" t="str">
        <f t="shared" si="347"/>
        <v>125</v>
      </c>
      <c r="D6242" t="str">
        <f>"44"</f>
        <v>44</v>
      </c>
      <c r="E6242" t="str">
        <f>"1-125-44"</f>
        <v>1-125-44</v>
      </c>
      <c r="F6242" t="s">
        <v>65</v>
      </c>
      <c r="G6242" t="s">
        <v>66</v>
      </c>
      <c r="H6242" t="s">
        <v>67</v>
      </c>
      <c r="S6242">
        <v>0</v>
      </c>
      <c r="T6242">
        <v>1</v>
      </c>
      <c r="U6242">
        <v>0</v>
      </c>
      <c r="V6242">
        <v>0</v>
      </c>
      <c r="W6242">
        <v>0</v>
      </c>
      <c r="X6242">
        <v>1</v>
      </c>
      <c r="Y6242">
        <v>1</v>
      </c>
      <c r="Z6242">
        <v>0</v>
      </c>
      <c r="AA6242">
        <v>0</v>
      </c>
      <c r="AB6242">
        <v>0</v>
      </c>
      <c r="AC6242">
        <v>1</v>
      </c>
      <c r="AD6242">
        <v>1</v>
      </c>
      <c r="AE6242">
        <v>1</v>
      </c>
      <c r="AF6242">
        <v>1</v>
      </c>
      <c r="AG6242">
        <v>1</v>
      </c>
      <c r="AH6242">
        <v>1</v>
      </c>
      <c r="AI6242">
        <v>1</v>
      </c>
      <c r="AJ6242">
        <v>1</v>
      </c>
      <c r="AK6242">
        <v>1</v>
      </c>
      <c r="AL6242">
        <v>1</v>
      </c>
      <c r="AM6242">
        <v>1</v>
      </c>
    </row>
    <row r="6243" spans="1:39" x14ac:dyDescent="0.2">
      <c r="A6243" t="str">
        <f>"6239"</f>
        <v>6239</v>
      </c>
      <c r="B6243" t="str">
        <f t="shared" si="345"/>
        <v>1</v>
      </c>
      <c r="C6243" t="str">
        <f t="shared" si="347"/>
        <v>125</v>
      </c>
      <c r="D6243" t="str">
        <f>"10"</f>
        <v>10</v>
      </c>
      <c r="E6243" t="str">
        <f>"1-125-10"</f>
        <v>1-125-10</v>
      </c>
      <c r="F6243" t="s">
        <v>65</v>
      </c>
      <c r="G6243" t="s">
        <v>66</v>
      </c>
      <c r="H6243" t="s">
        <v>67</v>
      </c>
      <c r="S6243">
        <v>0</v>
      </c>
      <c r="T6243">
        <v>1</v>
      </c>
      <c r="U6243">
        <v>0</v>
      </c>
      <c r="V6243">
        <v>0</v>
      </c>
      <c r="W6243">
        <v>0</v>
      </c>
      <c r="X6243">
        <v>1</v>
      </c>
      <c r="Y6243">
        <v>1</v>
      </c>
      <c r="Z6243">
        <v>0</v>
      </c>
      <c r="AA6243">
        <v>0</v>
      </c>
      <c r="AB6243">
        <v>0</v>
      </c>
      <c r="AC6243">
        <v>1</v>
      </c>
      <c r="AD6243">
        <v>1</v>
      </c>
      <c r="AE6243">
        <v>1</v>
      </c>
      <c r="AF6243">
        <v>1</v>
      </c>
      <c r="AG6243">
        <v>0</v>
      </c>
      <c r="AH6243">
        <v>1</v>
      </c>
      <c r="AI6243">
        <v>1</v>
      </c>
      <c r="AJ6243">
        <v>1</v>
      </c>
      <c r="AK6243">
        <v>1</v>
      </c>
      <c r="AL6243">
        <v>1</v>
      </c>
      <c r="AM6243">
        <v>1</v>
      </c>
    </row>
    <row r="6244" spans="1:39" x14ac:dyDescent="0.2">
      <c r="A6244" t="str">
        <f>"6240"</f>
        <v>6240</v>
      </c>
      <c r="B6244" t="str">
        <f t="shared" si="345"/>
        <v>1</v>
      </c>
      <c r="C6244" t="str">
        <f t="shared" si="347"/>
        <v>125</v>
      </c>
      <c r="D6244" t="str">
        <f>"47"</f>
        <v>47</v>
      </c>
      <c r="E6244" t="str">
        <f>"1-125-47"</f>
        <v>1-125-47</v>
      </c>
      <c r="F6244" t="s">
        <v>65</v>
      </c>
      <c r="G6244" t="s">
        <v>66</v>
      </c>
      <c r="H6244" t="s">
        <v>67</v>
      </c>
      <c r="S6244">
        <v>1</v>
      </c>
      <c r="T6244">
        <v>0</v>
      </c>
      <c r="U6244">
        <v>0</v>
      </c>
      <c r="V6244">
        <v>0</v>
      </c>
      <c r="W6244">
        <v>1</v>
      </c>
      <c r="X6244">
        <v>0</v>
      </c>
      <c r="Y6244">
        <v>1</v>
      </c>
      <c r="Z6244">
        <v>0</v>
      </c>
      <c r="AA6244">
        <v>0</v>
      </c>
      <c r="AB6244">
        <v>0</v>
      </c>
      <c r="AC6244">
        <v>1</v>
      </c>
      <c r="AD6244">
        <v>1</v>
      </c>
      <c r="AE6244">
        <v>1</v>
      </c>
      <c r="AF6244">
        <v>1</v>
      </c>
      <c r="AG6244">
        <v>1</v>
      </c>
      <c r="AH6244">
        <v>1</v>
      </c>
      <c r="AI6244">
        <v>1</v>
      </c>
      <c r="AJ6244">
        <v>1</v>
      </c>
      <c r="AK6244">
        <v>1</v>
      </c>
      <c r="AL6244">
        <v>1</v>
      </c>
      <c r="AM6244">
        <v>1</v>
      </c>
    </row>
    <row r="6245" spans="1:39" x14ac:dyDescent="0.2">
      <c r="A6245" t="str">
        <f>"6241"</f>
        <v>6241</v>
      </c>
      <c r="B6245" t="str">
        <f t="shared" si="345"/>
        <v>1</v>
      </c>
      <c r="C6245" t="str">
        <f t="shared" si="347"/>
        <v>125</v>
      </c>
      <c r="D6245" t="str">
        <f>"28"</f>
        <v>28</v>
      </c>
      <c r="E6245" t="str">
        <f>"1-125-28"</f>
        <v>1-125-28</v>
      </c>
      <c r="F6245" t="s">
        <v>65</v>
      </c>
      <c r="G6245" t="s">
        <v>66</v>
      </c>
      <c r="H6245" t="s">
        <v>67</v>
      </c>
      <c r="S6245">
        <v>0</v>
      </c>
      <c r="T6245">
        <v>1</v>
      </c>
      <c r="U6245">
        <v>0</v>
      </c>
      <c r="V6245">
        <v>0</v>
      </c>
      <c r="W6245">
        <v>1</v>
      </c>
      <c r="X6245">
        <v>0</v>
      </c>
      <c r="Y6245">
        <v>0</v>
      </c>
      <c r="Z6245">
        <v>1</v>
      </c>
      <c r="AA6245">
        <v>0</v>
      </c>
      <c r="AB6245">
        <v>0</v>
      </c>
      <c r="AC6245">
        <v>1</v>
      </c>
      <c r="AD6245">
        <v>0</v>
      </c>
      <c r="AE6245">
        <v>0</v>
      </c>
      <c r="AF6245">
        <v>0</v>
      </c>
      <c r="AG6245">
        <v>1</v>
      </c>
      <c r="AH6245">
        <v>0</v>
      </c>
      <c r="AI6245">
        <v>1</v>
      </c>
      <c r="AJ6245">
        <v>1</v>
      </c>
      <c r="AK6245">
        <v>1</v>
      </c>
      <c r="AL6245">
        <v>1</v>
      </c>
      <c r="AM6245">
        <v>1</v>
      </c>
    </row>
    <row r="6246" spans="1:39" x14ac:dyDescent="0.2">
      <c r="A6246" t="str">
        <f>"6242"</f>
        <v>6242</v>
      </c>
      <c r="B6246" t="str">
        <f t="shared" si="345"/>
        <v>1</v>
      </c>
      <c r="C6246" t="str">
        <f t="shared" si="347"/>
        <v>125</v>
      </c>
      <c r="D6246" t="str">
        <f>"5"</f>
        <v>5</v>
      </c>
      <c r="E6246" t="str">
        <f>"1-125-5"</f>
        <v>1-125-5</v>
      </c>
      <c r="F6246" t="s">
        <v>65</v>
      </c>
      <c r="G6246" t="s">
        <v>66</v>
      </c>
      <c r="H6246" t="s">
        <v>67</v>
      </c>
      <c r="S6246">
        <v>1</v>
      </c>
      <c r="T6246">
        <v>0</v>
      </c>
      <c r="U6246">
        <v>0</v>
      </c>
      <c r="V6246">
        <v>0</v>
      </c>
      <c r="W6246">
        <v>1</v>
      </c>
      <c r="X6246">
        <v>0</v>
      </c>
      <c r="Y6246">
        <v>0</v>
      </c>
      <c r="Z6246">
        <v>1</v>
      </c>
      <c r="AA6246">
        <v>0</v>
      </c>
      <c r="AB6246">
        <v>0</v>
      </c>
      <c r="AC6246">
        <v>1</v>
      </c>
      <c r="AD6246">
        <v>1</v>
      </c>
      <c r="AE6246">
        <v>1</v>
      </c>
      <c r="AF6246">
        <v>1</v>
      </c>
      <c r="AG6246">
        <v>1</v>
      </c>
      <c r="AH6246">
        <v>1</v>
      </c>
      <c r="AI6246">
        <v>1</v>
      </c>
      <c r="AJ6246">
        <v>1</v>
      </c>
      <c r="AK6246">
        <v>1</v>
      </c>
      <c r="AL6246">
        <v>1</v>
      </c>
      <c r="AM6246">
        <v>1</v>
      </c>
    </row>
    <row r="6247" spans="1:39" x14ac:dyDescent="0.2">
      <c r="A6247" t="str">
        <f>"6243"</f>
        <v>6243</v>
      </c>
      <c r="B6247" t="str">
        <f t="shared" si="345"/>
        <v>1</v>
      </c>
      <c r="C6247" t="str">
        <f t="shared" si="347"/>
        <v>125</v>
      </c>
      <c r="D6247" t="str">
        <f>"29"</f>
        <v>29</v>
      </c>
      <c r="E6247" t="str">
        <f>"1-125-29"</f>
        <v>1-125-29</v>
      </c>
      <c r="F6247" t="s">
        <v>65</v>
      </c>
      <c r="G6247" t="s">
        <v>66</v>
      </c>
      <c r="H6247" t="s">
        <v>67</v>
      </c>
      <c r="S6247">
        <v>0</v>
      </c>
      <c r="T6247">
        <v>1</v>
      </c>
      <c r="U6247">
        <v>0</v>
      </c>
      <c r="V6247">
        <v>0</v>
      </c>
      <c r="W6247">
        <v>1</v>
      </c>
      <c r="X6247">
        <v>0</v>
      </c>
      <c r="Y6247">
        <v>0</v>
      </c>
      <c r="Z6247">
        <v>1</v>
      </c>
      <c r="AA6247">
        <v>0</v>
      </c>
      <c r="AB6247">
        <v>0</v>
      </c>
      <c r="AC6247">
        <v>1</v>
      </c>
      <c r="AD6247">
        <v>1</v>
      </c>
      <c r="AE6247">
        <v>1</v>
      </c>
      <c r="AF6247">
        <v>1</v>
      </c>
      <c r="AG6247">
        <v>1</v>
      </c>
      <c r="AH6247">
        <v>1</v>
      </c>
      <c r="AI6247">
        <v>1</v>
      </c>
      <c r="AJ6247">
        <v>1</v>
      </c>
      <c r="AK6247">
        <v>1</v>
      </c>
      <c r="AL6247">
        <v>1</v>
      </c>
      <c r="AM6247">
        <v>1</v>
      </c>
    </row>
    <row r="6248" spans="1:39" x14ac:dyDescent="0.2">
      <c r="A6248" t="str">
        <f>"6244"</f>
        <v>6244</v>
      </c>
      <c r="B6248" t="str">
        <f t="shared" si="345"/>
        <v>1</v>
      </c>
      <c r="C6248" t="str">
        <f t="shared" si="347"/>
        <v>125</v>
      </c>
      <c r="D6248" t="str">
        <f>"49"</f>
        <v>49</v>
      </c>
      <c r="E6248" t="str">
        <f>"1-125-49"</f>
        <v>1-125-49</v>
      </c>
      <c r="F6248" t="s">
        <v>65</v>
      </c>
      <c r="G6248" t="s">
        <v>66</v>
      </c>
      <c r="H6248" t="s">
        <v>67</v>
      </c>
      <c r="S6248">
        <v>1</v>
      </c>
      <c r="T6248">
        <v>0</v>
      </c>
      <c r="U6248">
        <v>0</v>
      </c>
      <c r="V6248">
        <v>0</v>
      </c>
      <c r="W6248">
        <v>1</v>
      </c>
      <c r="X6248">
        <v>0</v>
      </c>
      <c r="Y6248">
        <v>1</v>
      </c>
      <c r="Z6248">
        <v>0</v>
      </c>
      <c r="AA6248">
        <v>1</v>
      </c>
      <c r="AB6248">
        <v>0</v>
      </c>
      <c r="AC6248">
        <v>0</v>
      </c>
      <c r="AD6248">
        <v>1</v>
      </c>
      <c r="AE6248">
        <v>1</v>
      </c>
      <c r="AF6248">
        <v>1</v>
      </c>
      <c r="AG6248">
        <v>1</v>
      </c>
      <c r="AH6248">
        <v>1</v>
      </c>
      <c r="AI6248">
        <v>1</v>
      </c>
      <c r="AJ6248">
        <v>1</v>
      </c>
      <c r="AK6248">
        <v>1</v>
      </c>
      <c r="AL6248">
        <v>1</v>
      </c>
      <c r="AM6248">
        <v>1</v>
      </c>
    </row>
    <row r="6249" spans="1:39" x14ac:dyDescent="0.2">
      <c r="A6249" t="str">
        <f>"6245"</f>
        <v>6245</v>
      </c>
      <c r="B6249" t="str">
        <f t="shared" si="345"/>
        <v>1</v>
      </c>
      <c r="C6249" t="str">
        <f t="shared" si="347"/>
        <v>125</v>
      </c>
      <c r="D6249" t="str">
        <f>"30"</f>
        <v>30</v>
      </c>
      <c r="E6249" t="str">
        <f>"1-125-30"</f>
        <v>1-125-30</v>
      </c>
      <c r="F6249" t="s">
        <v>65</v>
      </c>
      <c r="G6249" t="s">
        <v>66</v>
      </c>
      <c r="H6249" t="s">
        <v>67</v>
      </c>
      <c r="S6249">
        <v>1</v>
      </c>
      <c r="T6249">
        <v>0</v>
      </c>
      <c r="U6249">
        <v>0</v>
      </c>
      <c r="V6249">
        <v>0</v>
      </c>
      <c r="W6249">
        <v>1</v>
      </c>
      <c r="X6249">
        <v>0</v>
      </c>
      <c r="Y6249">
        <v>0</v>
      </c>
      <c r="Z6249">
        <v>1</v>
      </c>
      <c r="AA6249">
        <v>1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1</v>
      </c>
      <c r="AI6249">
        <v>0</v>
      </c>
      <c r="AJ6249">
        <v>0</v>
      </c>
      <c r="AK6249">
        <v>0</v>
      </c>
      <c r="AL6249">
        <v>0</v>
      </c>
      <c r="AM6249">
        <v>0</v>
      </c>
    </row>
    <row r="6250" spans="1:39" x14ac:dyDescent="0.2">
      <c r="A6250" t="str">
        <f>"6246"</f>
        <v>6246</v>
      </c>
      <c r="B6250" t="str">
        <f t="shared" si="345"/>
        <v>1</v>
      </c>
      <c r="C6250" t="str">
        <f t="shared" si="347"/>
        <v>125</v>
      </c>
      <c r="D6250" t="str">
        <f>"13"</f>
        <v>13</v>
      </c>
      <c r="E6250" t="str">
        <f>"1-125-13"</f>
        <v>1-125-13</v>
      </c>
      <c r="F6250" t="s">
        <v>65</v>
      </c>
      <c r="G6250" t="s">
        <v>66</v>
      </c>
      <c r="H6250" t="s">
        <v>67</v>
      </c>
      <c r="S6250">
        <v>1</v>
      </c>
      <c r="T6250">
        <v>0</v>
      </c>
      <c r="U6250">
        <v>0</v>
      </c>
      <c r="V6250">
        <v>0</v>
      </c>
      <c r="W6250">
        <v>1</v>
      </c>
      <c r="X6250">
        <v>0</v>
      </c>
      <c r="Y6250">
        <v>1</v>
      </c>
      <c r="Z6250">
        <v>0</v>
      </c>
      <c r="AA6250">
        <v>1</v>
      </c>
      <c r="AB6250">
        <v>0</v>
      </c>
      <c r="AC6250">
        <v>0</v>
      </c>
      <c r="AD6250">
        <v>1</v>
      </c>
      <c r="AE6250">
        <v>0</v>
      </c>
      <c r="AF6250">
        <v>1</v>
      </c>
      <c r="AG6250">
        <v>1</v>
      </c>
      <c r="AH6250">
        <v>1</v>
      </c>
      <c r="AI6250">
        <v>1</v>
      </c>
      <c r="AJ6250">
        <v>1</v>
      </c>
      <c r="AK6250">
        <v>1</v>
      </c>
      <c r="AL6250">
        <v>1</v>
      </c>
      <c r="AM6250">
        <v>1</v>
      </c>
    </row>
    <row r="6251" spans="1:39" x14ac:dyDescent="0.2">
      <c r="A6251" t="str">
        <f>"6247"</f>
        <v>6247</v>
      </c>
      <c r="B6251" t="str">
        <f t="shared" si="345"/>
        <v>1</v>
      </c>
      <c r="C6251" t="str">
        <f t="shared" si="347"/>
        <v>125</v>
      </c>
      <c r="D6251" t="str">
        <f>"4"</f>
        <v>4</v>
      </c>
      <c r="E6251" t="str">
        <f>"1-125-4"</f>
        <v>1-125-4</v>
      </c>
      <c r="F6251" t="s">
        <v>65</v>
      </c>
      <c r="G6251" t="s">
        <v>66</v>
      </c>
      <c r="H6251" t="s">
        <v>67</v>
      </c>
      <c r="S6251">
        <v>0</v>
      </c>
      <c r="T6251">
        <v>1</v>
      </c>
      <c r="U6251">
        <v>0</v>
      </c>
      <c r="V6251">
        <v>0</v>
      </c>
      <c r="W6251">
        <v>1</v>
      </c>
      <c r="X6251">
        <v>0</v>
      </c>
      <c r="Y6251">
        <v>1</v>
      </c>
      <c r="Z6251">
        <v>0</v>
      </c>
      <c r="AA6251">
        <v>0</v>
      </c>
      <c r="AB6251">
        <v>0</v>
      </c>
      <c r="AC6251">
        <v>1</v>
      </c>
      <c r="AD6251">
        <v>1</v>
      </c>
      <c r="AE6251">
        <v>1</v>
      </c>
      <c r="AF6251">
        <v>1</v>
      </c>
      <c r="AG6251">
        <v>1</v>
      </c>
      <c r="AH6251">
        <v>1</v>
      </c>
      <c r="AI6251">
        <v>1</v>
      </c>
      <c r="AJ6251">
        <v>1</v>
      </c>
      <c r="AK6251">
        <v>1</v>
      </c>
      <c r="AL6251">
        <v>1</v>
      </c>
      <c r="AM6251">
        <v>1</v>
      </c>
    </row>
    <row r="6252" spans="1:39" x14ac:dyDescent="0.2">
      <c r="A6252" t="str">
        <f>"6248"</f>
        <v>6248</v>
      </c>
      <c r="B6252" t="str">
        <f t="shared" si="345"/>
        <v>1</v>
      </c>
      <c r="C6252" t="str">
        <f t="shared" si="347"/>
        <v>125</v>
      </c>
      <c r="D6252" t="str">
        <f>"27"</f>
        <v>27</v>
      </c>
      <c r="E6252" t="str">
        <f>"1-125-27"</f>
        <v>1-125-27</v>
      </c>
      <c r="F6252" t="s">
        <v>65</v>
      </c>
      <c r="G6252" t="s">
        <v>66</v>
      </c>
      <c r="H6252" t="s">
        <v>67</v>
      </c>
      <c r="S6252">
        <v>0</v>
      </c>
      <c r="T6252">
        <v>1</v>
      </c>
      <c r="U6252">
        <v>0</v>
      </c>
      <c r="V6252">
        <v>0</v>
      </c>
      <c r="W6252">
        <v>1</v>
      </c>
      <c r="X6252">
        <v>0</v>
      </c>
      <c r="Y6252">
        <v>1</v>
      </c>
      <c r="Z6252">
        <v>0</v>
      </c>
      <c r="AA6252">
        <v>1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1</v>
      </c>
      <c r="AM6252">
        <v>1</v>
      </c>
    </row>
    <row r="6253" spans="1:39" x14ac:dyDescent="0.2">
      <c r="A6253" t="str">
        <f>"6249"</f>
        <v>6249</v>
      </c>
      <c r="B6253" t="str">
        <f t="shared" si="345"/>
        <v>1</v>
      </c>
      <c r="C6253" t="str">
        <f t="shared" si="347"/>
        <v>125</v>
      </c>
      <c r="D6253" t="str">
        <f>"48"</f>
        <v>48</v>
      </c>
      <c r="E6253" t="str">
        <f>"1-125-48"</f>
        <v>1-125-48</v>
      </c>
      <c r="F6253" t="s">
        <v>65</v>
      </c>
      <c r="G6253" t="s">
        <v>66</v>
      </c>
      <c r="H6253" t="s">
        <v>67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</row>
    <row r="6254" spans="1:39" x14ac:dyDescent="0.2">
      <c r="A6254" t="str">
        <f>"6250"</f>
        <v>6250</v>
      </c>
      <c r="B6254" t="str">
        <f t="shared" si="345"/>
        <v>1</v>
      </c>
      <c r="C6254" t="str">
        <f t="shared" si="347"/>
        <v>125</v>
      </c>
      <c r="D6254" t="str">
        <f>"50"</f>
        <v>50</v>
      </c>
      <c r="E6254" t="str">
        <f>"1-125-50"</f>
        <v>1-125-50</v>
      </c>
      <c r="F6254" t="s">
        <v>65</v>
      </c>
      <c r="G6254" t="s">
        <v>66</v>
      </c>
      <c r="H6254" t="s">
        <v>67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</v>
      </c>
      <c r="Y6254">
        <v>0</v>
      </c>
      <c r="Z6254">
        <v>1</v>
      </c>
      <c r="AA6254">
        <v>1</v>
      </c>
      <c r="AB6254">
        <v>0</v>
      </c>
      <c r="AC6254">
        <v>0</v>
      </c>
      <c r="AD6254">
        <v>1</v>
      </c>
      <c r="AE6254">
        <v>1</v>
      </c>
      <c r="AF6254">
        <v>1</v>
      </c>
      <c r="AG6254">
        <v>1</v>
      </c>
      <c r="AH6254">
        <v>1</v>
      </c>
      <c r="AI6254">
        <v>1</v>
      </c>
      <c r="AJ6254">
        <v>1</v>
      </c>
      <c r="AK6254">
        <v>1</v>
      </c>
      <c r="AL6254">
        <v>1</v>
      </c>
      <c r="AM6254">
        <v>1</v>
      </c>
    </row>
    <row r="6255" spans="1:39" x14ac:dyDescent="0.2">
      <c r="A6255" t="str">
        <f>"6251"</f>
        <v>6251</v>
      </c>
      <c r="B6255" t="str">
        <f t="shared" si="345"/>
        <v>1</v>
      </c>
      <c r="C6255" t="str">
        <f t="shared" ref="C6255:C6286" si="348">"126"</f>
        <v>126</v>
      </c>
      <c r="D6255" t="str">
        <f>"34"</f>
        <v>34</v>
      </c>
      <c r="E6255" t="str">
        <f>"1-126-34"</f>
        <v>1-126-34</v>
      </c>
      <c r="F6255" t="s">
        <v>65</v>
      </c>
      <c r="G6255" t="s">
        <v>66</v>
      </c>
      <c r="H6255" t="s">
        <v>67</v>
      </c>
      <c r="S6255">
        <v>1</v>
      </c>
      <c r="T6255">
        <v>0</v>
      </c>
      <c r="U6255">
        <v>0</v>
      </c>
      <c r="V6255">
        <v>0</v>
      </c>
      <c r="W6255">
        <v>0</v>
      </c>
      <c r="X6255">
        <v>1</v>
      </c>
      <c r="Y6255">
        <v>0</v>
      </c>
      <c r="Z6255">
        <v>1</v>
      </c>
      <c r="AA6255">
        <v>0</v>
      </c>
      <c r="AB6255">
        <v>1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1</v>
      </c>
      <c r="AI6255">
        <v>0</v>
      </c>
      <c r="AJ6255">
        <v>1</v>
      </c>
      <c r="AK6255">
        <v>0</v>
      </c>
      <c r="AL6255">
        <v>1</v>
      </c>
      <c r="AM6255">
        <v>1</v>
      </c>
    </row>
    <row r="6256" spans="1:39" x14ac:dyDescent="0.2">
      <c r="A6256" t="str">
        <f>"6252"</f>
        <v>6252</v>
      </c>
      <c r="B6256" t="str">
        <f t="shared" si="345"/>
        <v>1</v>
      </c>
      <c r="C6256" t="str">
        <f t="shared" si="348"/>
        <v>126</v>
      </c>
      <c r="D6256" t="str">
        <f>"33"</f>
        <v>33</v>
      </c>
      <c r="E6256" t="str">
        <f>"1-126-33"</f>
        <v>1-126-33</v>
      </c>
      <c r="F6256" t="s">
        <v>65</v>
      </c>
      <c r="G6256" t="s">
        <v>66</v>
      </c>
      <c r="H6256" t="s">
        <v>67</v>
      </c>
      <c r="S6256">
        <v>1</v>
      </c>
      <c r="T6256">
        <v>0</v>
      </c>
      <c r="U6256">
        <v>0</v>
      </c>
      <c r="V6256">
        <v>0</v>
      </c>
      <c r="W6256">
        <v>1</v>
      </c>
      <c r="X6256">
        <v>0</v>
      </c>
      <c r="Y6256">
        <v>0</v>
      </c>
      <c r="Z6256">
        <v>1</v>
      </c>
      <c r="AA6256">
        <v>0</v>
      </c>
      <c r="AB6256">
        <v>0</v>
      </c>
      <c r="AC6256">
        <v>1</v>
      </c>
      <c r="AD6256">
        <v>1</v>
      </c>
      <c r="AE6256">
        <v>1</v>
      </c>
      <c r="AF6256">
        <v>1</v>
      </c>
      <c r="AG6256">
        <v>1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</row>
    <row r="6257" spans="1:39" x14ac:dyDescent="0.2">
      <c r="A6257" t="str">
        <f>"6253"</f>
        <v>6253</v>
      </c>
      <c r="B6257" t="str">
        <f t="shared" si="345"/>
        <v>1</v>
      </c>
      <c r="C6257" t="str">
        <f t="shared" si="348"/>
        <v>126</v>
      </c>
      <c r="D6257" t="str">
        <f>"23"</f>
        <v>23</v>
      </c>
      <c r="E6257" t="str">
        <f>"1-126-23"</f>
        <v>1-126-23</v>
      </c>
      <c r="F6257" t="s">
        <v>65</v>
      </c>
      <c r="G6257" t="s">
        <v>66</v>
      </c>
      <c r="H6257" t="s">
        <v>67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1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1</v>
      </c>
      <c r="AJ6257">
        <v>1</v>
      </c>
      <c r="AK6257">
        <v>0</v>
      </c>
      <c r="AL6257">
        <v>0</v>
      </c>
      <c r="AM6257">
        <v>0</v>
      </c>
    </row>
    <row r="6258" spans="1:39" x14ac:dyDescent="0.2">
      <c r="A6258" t="str">
        <f>"6254"</f>
        <v>6254</v>
      </c>
      <c r="B6258" t="str">
        <f t="shared" si="345"/>
        <v>1</v>
      </c>
      <c r="C6258" t="str">
        <f t="shared" si="348"/>
        <v>126</v>
      </c>
      <c r="D6258" t="str">
        <f>"15"</f>
        <v>15</v>
      </c>
      <c r="E6258" t="str">
        <f>"1-126-15"</f>
        <v>1-126-15</v>
      </c>
      <c r="F6258" t="s">
        <v>65</v>
      </c>
      <c r="G6258" t="s">
        <v>66</v>
      </c>
      <c r="H6258" t="s">
        <v>67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1</v>
      </c>
      <c r="Y6258">
        <v>1</v>
      </c>
      <c r="Z6258">
        <v>0</v>
      </c>
      <c r="AA6258">
        <v>0</v>
      </c>
      <c r="AB6258">
        <v>0</v>
      </c>
      <c r="AC6258">
        <v>0</v>
      </c>
      <c r="AD6258">
        <v>1</v>
      </c>
      <c r="AE6258">
        <v>1</v>
      </c>
      <c r="AF6258">
        <v>1</v>
      </c>
      <c r="AG6258">
        <v>1</v>
      </c>
      <c r="AH6258">
        <v>1</v>
      </c>
      <c r="AI6258">
        <v>1</v>
      </c>
      <c r="AJ6258">
        <v>1</v>
      </c>
      <c r="AK6258">
        <v>1</v>
      </c>
      <c r="AL6258">
        <v>1</v>
      </c>
      <c r="AM6258">
        <v>1</v>
      </c>
    </row>
    <row r="6259" spans="1:39" x14ac:dyDescent="0.2">
      <c r="A6259" t="str">
        <f>"6255"</f>
        <v>6255</v>
      </c>
      <c r="B6259" t="str">
        <f t="shared" si="345"/>
        <v>1</v>
      </c>
      <c r="C6259" t="str">
        <f t="shared" si="348"/>
        <v>126</v>
      </c>
      <c r="D6259" t="str">
        <f>"3"</f>
        <v>3</v>
      </c>
      <c r="E6259" t="str">
        <f>"1-126-3"</f>
        <v>1-126-3</v>
      </c>
      <c r="F6259" t="s">
        <v>65</v>
      </c>
      <c r="G6259" t="s">
        <v>66</v>
      </c>
      <c r="H6259" t="s">
        <v>67</v>
      </c>
      <c r="S6259">
        <v>0</v>
      </c>
      <c r="T6259">
        <v>1</v>
      </c>
      <c r="U6259">
        <v>0</v>
      </c>
      <c r="V6259">
        <v>0</v>
      </c>
      <c r="W6259">
        <v>0</v>
      </c>
      <c r="X6259">
        <v>1</v>
      </c>
      <c r="Y6259">
        <v>1</v>
      </c>
      <c r="Z6259">
        <v>0</v>
      </c>
      <c r="AA6259">
        <v>0</v>
      </c>
      <c r="AB6259">
        <v>1</v>
      </c>
      <c r="AC6259">
        <v>0</v>
      </c>
      <c r="AD6259">
        <v>1</v>
      </c>
      <c r="AE6259">
        <v>1</v>
      </c>
      <c r="AF6259">
        <v>1</v>
      </c>
      <c r="AG6259">
        <v>1</v>
      </c>
      <c r="AH6259">
        <v>1</v>
      </c>
      <c r="AI6259">
        <v>1</v>
      </c>
      <c r="AJ6259">
        <v>1</v>
      </c>
      <c r="AK6259">
        <v>1</v>
      </c>
      <c r="AL6259">
        <v>1</v>
      </c>
      <c r="AM6259">
        <v>1</v>
      </c>
    </row>
    <row r="6260" spans="1:39" x14ac:dyDescent="0.2">
      <c r="A6260" t="str">
        <f>"6256"</f>
        <v>6256</v>
      </c>
      <c r="B6260" t="str">
        <f t="shared" si="345"/>
        <v>1</v>
      </c>
      <c r="C6260" t="str">
        <f t="shared" si="348"/>
        <v>126</v>
      </c>
      <c r="D6260" t="str">
        <f>"38"</f>
        <v>38</v>
      </c>
      <c r="E6260" t="str">
        <f>"1-126-38"</f>
        <v>1-126-38</v>
      </c>
      <c r="F6260" t="s">
        <v>65</v>
      </c>
      <c r="G6260" t="s">
        <v>66</v>
      </c>
      <c r="H6260" t="s">
        <v>67</v>
      </c>
      <c r="S6260">
        <v>0</v>
      </c>
      <c r="T6260">
        <v>1</v>
      </c>
      <c r="U6260">
        <v>0</v>
      </c>
      <c r="V6260">
        <v>0</v>
      </c>
      <c r="W6260">
        <v>0</v>
      </c>
      <c r="X6260">
        <v>1</v>
      </c>
      <c r="Y6260">
        <v>0</v>
      </c>
      <c r="Z6260">
        <v>1</v>
      </c>
      <c r="AA6260">
        <v>0</v>
      </c>
      <c r="AB6260">
        <v>0</v>
      </c>
      <c r="AC6260">
        <v>1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1</v>
      </c>
    </row>
    <row r="6261" spans="1:39" x14ac:dyDescent="0.2">
      <c r="A6261" t="str">
        <f>"6257"</f>
        <v>6257</v>
      </c>
      <c r="B6261" t="str">
        <f t="shared" si="345"/>
        <v>1</v>
      </c>
      <c r="C6261" t="str">
        <f t="shared" si="348"/>
        <v>126</v>
      </c>
      <c r="D6261" t="str">
        <f>"37"</f>
        <v>37</v>
      </c>
      <c r="E6261" t="str">
        <f>"1-126-37"</f>
        <v>1-126-37</v>
      </c>
      <c r="F6261" t="s">
        <v>65</v>
      </c>
      <c r="G6261" t="s">
        <v>66</v>
      </c>
      <c r="H6261" t="s">
        <v>67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1</v>
      </c>
      <c r="Y6261">
        <v>1</v>
      </c>
      <c r="Z6261">
        <v>0</v>
      </c>
      <c r="AA6261">
        <v>0</v>
      </c>
      <c r="AB6261">
        <v>0</v>
      </c>
      <c r="AC6261">
        <v>1</v>
      </c>
      <c r="AD6261">
        <v>0</v>
      </c>
      <c r="AE6261">
        <v>0</v>
      </c>
      <c r="AF6261">
        <v>1</v>
      </c>
      <c r="AG6261">
        <v>1</v>
      </c>
      <c r="AH6261">
        <v>1</v>
      </c>
      <c r="AI6261">
        <v>1</v>
      </c>
      <c r="AJ6261">
        <v>1</v>
      </c>
      <c r="AK6261">
        <v>1</v>
      </c>
      <c r="AL6261">
        <v>0</v>
      </c>
      <c r="AM6261">
        <v>1</v>
      </c>
    </row>
    <row r="6262" spans="1:39" x14ac:dyDescent="0.2">
      <c r="A6262" t="str">
        <f>"6258"</f>
        <v>6258</v>
      </c>
      <c r="B6262" t="str">
        <f t="shared" si="345"/>
        <v>1</v>
      </c>
      <c r="C6262" t="str">
        <f t="shared" si="348"/>
        <v>126</v>
      </c>
      <c r="D6262" t="str">
        <f>"25"</f>
        <v>25</v>
      </c>
      <c r="E6262" t="str">
        <f>"1-126-25"</f>
        <v>1-126-25</v>
      </c>
      <c r="F6262" t="s">
        <v>65</v>
      </c>
      <c r="G6262" t="s">
        <v>66</v>
      </c>
      <c r="H6262" t="s">
        <v>67</v>
      </c>
      <c r="S6262">
        <v>0</v>
      </c>
      <c r="T6262">
        <v>1</v>
      </c>
      <c r="U6262">
        <v>0</v>
      </c>
      <c r="V6262">
        <v>0</v>
      </c>
      <c r="W6262">
        <v>1</v>
      </c>
      <c r="X6262">
        <v>0</v>
      </c>
      <c r="Y6262">
        <v>1</v>
      </c>
      <c r="Z6262">
        <v>0</v>
      </c>
      <c r="AA6262">
        <v>1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1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</row>
    <row r="6263" spans="1:39" x14ac:dyDescent="0.2">
      <c r="A6263" t="str">
        <f>"6259"</f>
        <v>6259</v>
      </c>
      <c r="B6263" t="str">
        <f t="shared" ref="B6263:B6326" si="349">"1"</f>
        <v>1</v>
      </c>
      <c r="C6263" t="str">
        <f t="shared" si="348"/>
        <v>126</v>
      </c>
      <c r="D6263" t="str">
        <f>"16"</f>
        <v>16</v>
      </c>
      <c r="E6263" t="str">
        <f>"1-126-16"</f>
        <v>1-126-16</v>
      </c>
      <c r="F6263" t="s">
        <v>65</v>
      </c>
      <c r="G6263" t="s">
        <v>66</v>
      </c>
      <c r="H6263" t="s">
        <v>67</v>
      </c>
      <c r="S6263">
        <v>0</v>
      </c>
      <c r="T6263">
        <v>1</v>
      </c>
      <c r="U6263">
        <v>0</v>
      </c>
      <c r="V6263">
        <v>0</v>
      </c>
      <c r="W6263">
        <v>0</v>
      </c>
      <c r="X6263">
        <v>1</v>
      </c>
      <c r="Y6263">
        <v>0</v>
      </c>
      <c r="Z6263">
        <v>1</v>
      </c>
      <c r="AA6263">
        <v>0</v>
      </c>
      <c r="AB6263">
        <v>0</v>
      </c>
      <c r="AC6263">
        <v>1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</row>
    <row r="6264" spans="1:39" x14ac:dyDescent="0.2">
      <c r="A6264" t="str">
        <f>"6260"</f>
        <v>6260</v>
      </c>
      <c r="B6264" t="str">
        <f t="shared" si="349"/>
        <v>1</v>
      </c>
      <c r="C6264" t="str">
        <f t="shared" si="348"/>
        <v>126</v>
      </c>
      <c r="D6264" t="str">
        <f>"6"</f>
        <v>6</v>
      </c>
      <c r="E6264" t="str">
        <f>"1-126-6"</f>
        <v>1-126-6</v>
      </c>
      <c r="F6264" t="s">
        <v>65</v>
      </c>
      <c r="G6264" t="s">
        <v>66</v>
      </c>
      <c r="H6264" t="s">
        <v>67</v>
      </c>
      <c r="S6264">
        <v>1</v>
      </c>
      <c r="T6264">
        <v>0</v>
      </c>
      <c r="U6264">
        <v>0</v>
      </c>
      <c r="V6264">
        <v>0</v>
      </c>
      <c r="W6264">
        <v>1</v>
      </c>
      <c r="X6264">
        <v>0</v>
      </c>
      <c r="Y6264">
        <v>1</v>
      </c>
      <c r="Z6264">
        <v>0</v>
      </c>
      <c r="AA6264">
        <v>0</v>
      </c>
      <c r="AB6264">
        <v>0</v>
      </c>
      <c r="AC6264">
        <v>1</v>
      </c>
      <c r="AD6264">
        <v>1</v>
      </c>
      <c r="AE6264">
        <v>1</v>
      </c>
      <c r="AF6264">
        <v>1</v>
      </c>
      <c r="AG6264">
        <v>1</v>
      </c>
      <c r="AH6264">
        <v>1</v>
      </c>
      <c r="AI6264">
        <v>1</v>
      </c>
      <c r="AJ6264">
        <v>1</v>
      </c>
      <c r="AK6264">
        <v>1</v>
      </c>
      <c r="AL6264">
        <v>1</v>
      </c>
      <c r="AM6264">
        <v>1</v>
      </c>
    </row>
    <row r="6265" spans="1:39" x14ac:dyDescent="0.2">
      <c r="A6265" t="str">
        <f>"6261"</f>
        <v>6261</v>
      </c>
      <c r="B6265" t="str">
        <f t="shared" si="349"/>
        <v>1</v>
      </c>
      <c r="C6265" t="str">
        <f t="shared" si="348"/>
        <v>126</v>
      </c>
      <c r="D6265" t="str">
        <f>"42"</f>
        <v>42</v>
      </c>
      <c r="E6265" t="str">
        <f>"1-126-42"</f>
        <v>1-126-42</v>
      </c>
      <c r="F6265" t="s">
        <v>65</v>
      </c>
      <c r="G6265" t="s">
        <v>66</v>
      </c>
      <c r="H6265" t="s">
        <v>67</v>
      </c>
      <c r="S6265">
        <v>1</v>
      </c>
      <c r="T6265">
        <v>0</v>
      </c>
      <c r="U6265">
        <v>0</v>
      </c>
      <c r="V6265">
        <v>0</v>
      </c>
      <c r="W6265">
        <v>0</v>
      </c>
      <c r="X6265">
        <v>1</v>
      </c>
      <c r="Y6265">
        <v>0</v>
      </c>
      <c r="Z6265">
        <v>1</v>
      </c>
      <c r="AA6265">
        <v>0</v>
      </c>
      <c r="AB6265">
        <v>0</v>
      </c>
      <c r="AC6265">
        <v>1</v>
      </c>
      <c r="AD6265">
        <v>1</v>
      </c>
      <c r="AE6265">
        <v>1</v>
      </c>
      <c r="AF6265">
        <v>1</v>
      </c>
      <c r="AG6265">
        <v>1</v>
      </c>
      <c r="AH6265">
        <v>1</v>
      </c>
      <c r="AI6265">
        <v>1</v>
      </c>
      <c r="AJ6265">
        <v>1</v>
      </c>
      <c r="AK6265">
        <v>1</v>
      </c>
      <c r="AL6265">
        <v>1</v>
      </c>
      <c r="AM6265">
        <v>1</v>
      </c>
    </row>
    <row r="6266" spans="1:39" x14ac:dyDescent="0.2">
      <c r="A6266" t="str">
        <f>"6262"</f>
        <v>6262</v>
      </c>
      <c r="B6266" t="str">
        <f t="shared" si="349"/>
        <v>1</v>
      </c>
      <c r="C6266" t="str">
        <f t="shared" si="348"/>
        <v>126</v>
      </c>
      <c r="D6266" t="str">
        <f>"41"</f>
        <v>41</v>
      </c>
      <c r="E6266" t="str">
        <f>"1-126-41"</f>
        <v>1-126-41</v>
      </c>
      <c r="F6266" t="s">
        <v>65</v>
      </c>
      <c r="G6266" t="s">
        <v>66</v>
      </c>
      <c r="H6266" t="s">
        <v>67</v>
      </c>
      <c r="S6266">
        <v>1</v>
      </c>
      <c r="T6266">
        <v>0</v>
      </c>
      <c r="U6266">
        <v>0</v>
      </c>
      <c r="V6266">
        <v>0</v>
      </c>
      <c r="W6266">
        <v>0</v>
      </c>
      <c r="X6266">
        <v>1</v>
      </c>
      <c r="Y6266">
        <v>1</v>
      </c>
      <c r="Z6266">
        <v>0</v>
      </c>
      <c r="AA6266">
        <v>0</v>
      </c>
      <c r="AB6266">
        <v>0</v>
      </c>
      <c r="AC6266">
        <v>1</v>
      </c>
      <c r="AD6266">
        <v>1</v>
      </c>
      <c r="AE6266">
        <v>1</v>
      </c>
      <c r="AF6266">
        <v>1</v>
      </c>
      <c r="AG6266">
        <v>1</v>
      </c>
      <c r="AH6266">
        <v>1</v>
      </c>
      <c r="AI6266">
        <v>1</v>
      </c>
      <c r="AJ6266">
        <v>1</v>
      </c>
      <c r="AK6266">
        <v>1</v>
      </c>
      <c r="AL6266">
        <v>1</v>
      </c>
      <c r="AM6266">
        <v>1</v>
      </c>
    </row>
    <row r="6267" spans="1:39" x14ac:dyDescent="0.2">
      <c r="A6267" t="str">
        <f>"6263"</f>
        <v>6263</v>
      </c>
      <c r="B6267" t="str">
        <f t="shared" si="349"/>
        <v>1</v>
      </c>
      <c r="C6267" t="str">
        <f t="shared" si="348"/>
        <v>126</v>
      </c>
      <c r="D6267" t="str">
        <f>"31"</f>
        <v>31</v>
      </c>
      <c r="E6267" t="str">
        <f>"1-126-31"</f>
        <v>1-126-31</v>
      </c>
      <c r="F6267" t="s">
        <v>65</v>
      </c>
      <c r="G6267" t="s">
        <v>66</v>
      </c>
      <c r="H6267" t="s">
        <v>67</v>
      </c>
      <c r="S6267">
        <v>0</v>
      </c>
      <c r="T6267">
        <v>1</v>
      </c>
      <c r="U6267">
        <v>0</v>
      </c>
      <c r="V6267">
        <v>0</v>
      </c>
      <c r="W6267">
        <v>0</v>
      </c>
      <c r="X6267">
        <v>1</v>
      </c>
      <c r="Y6267">
        <v>0</v>
      </c>
      <c r="Z6267">
        <v>1</v>
      </c>
      <c r="AA6267">
        <v>0</v>
      </c>
      <c r="AB6267">
        <v>0</v>
      </c>
      <c r="AC6267">
        <v>1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</row>
    <row r="6268" spans="1:39" x14ac:dyDescent="0.2">
      <c r="A6268" t="str">
        <f>"6264"</f>
        <v>6264</v>
      </c>
      <c r="B6268" t="str">
        <f t="shared" si="349"/>
        <v>1</v>
      </c>
      <c r="C6268" t="str">
        <f t="shared" si="348"/>
        <v>126</v>
      </c>
      <c r="D6268" t="str">
        <f>"17"</f>
        <v>17</v>
      </c>
      <c r="E6268" t="str">
        <f>"1-126-17"</f>
        <v>1-126-17</v>
      </c>
      <c r="F6268" t="s">
        <v>65</v>
      </c>
      <c r="G6268" t="s">
        <v>66</v>
      </c>
      <c r="H6268" t="s">
        <v>67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1</v>
      </c>
      <c r="Y6268">
        <v>1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1</v>
      </c>
      <c r="AH6268">
        <v>0</v>
      </c>
      <c r="AI6268">
        <v>0</v>
      </c>
      <c r="AJ6268">
        <v>0</v>
      </c>
      <c r="AK6268">
        <v>0</v>
      </c>
      <c r="AL6268">
        <v>1</v>
      </c>
      <c r="AM6268">
        <v>0</v>
      </c>
    </row>
    <row r="6269" spans="1:39" x14ac:dyDescent="0.2">
      <c r="A6269" t="str">
        <f>"6265"</f>
        <v>6265</v>
      </c>
      <c r="B6269" t="str">
        <f t="shared" si="349"/>
        <v>1</v>
      </c>
      <c r="C6269" t="str">
        <f t="shared" si="348"/>
        <v>126</v>
      </c>
      <c r="D6269" t="str">
        <f>"1"</f>
        <v>1</v>
      </c>
      <c r="E6269" t="str">
        <f>"1-126-1"</f>
        <v>1-126-1</v>
      </c>
      <c r="F6269" t="s">
        <v>65</v>
      </c>
      <c r="G6269" t="s">
        <v>66</v>
      </c>
      <c r="H6269" t="s">
        <v>67</v>
      </c>
      <c r="S6269">
        <v>1</v>
      </c>
      <c r="T6269">
        <v>0</v>
      </c>
      <c r="U6269">
        <v>0</v>
      </c>
      <c r="V6269">
        <v>0</v>
      </c>
      <c r="W6269">
        <v>1</v>
      </c>
      <c r="X6269">
        <v>0</v>
      </c>
      <c r="Y6269">
        <v>1</v>
      </c>
      <c r="Z6269">
        <v>0</v>
      </c>
      <c r="AA6269">
        <v>0</v>
      </c>
      <c r="AB6269">
        <v>0</v>
      </c>
      <c r="AC6269">
        <v>1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</row>
    <row r="6270" spans="1:39" x14ac:dyDescent="0.2">
      <c r="A6270" t="str">
        <f>"6266"</f>
        <v>6266</v>
      </c>
      <c r="B6270" t="str">
        <f t="shared" si="349"/>
        <v>1</v>
      </c>
      <c r="C6270" t="str">
        <f t="shared" si="348"/>
        <v>126</v>
      </c>
      <c r="D6270" t="str">
        <f>"44"</f>
        <v>44</v>
      </c>
      <c r="E6270" t="str">
        <f>"1-126-44"</f>
        <v>1-126-44</v>
      </c>
      <c r="F6270" t="s">
        <v>65</v>
      </c>
      <c r="G6270" t="s">
        <v>66</v>
      </c>
      <c r="H6270" t="s">
        <v>67</v>
      </c>
      <c r="S6270">
        <v>0</v>
      </c>
      <c r="T6270">
        <v>1</v>
      </c>
      <c r="U6270">
        <v>0</v>
      </c>
      <c r="V6270">
        <v>0</v>
      </c>
      <c r="W6270">
        <v>1</v>
      </c>
      <c r="X6270">
        <v>0</v>
      </c>
      <c r="Y6270">
        <v>1</v>
      </c>
      <c r="Z6270">
        <v>0</v>
      </c>
      <c r="AA6270">
        <v>1</v>
      </c>
      <c r="AB6270">
        <v>0</v>
      </c>
      <c r="AC6270">
        <v>0</v>
      </c>
      <c r="AD6270">
        <v>1</v>
      </c>
      <c r="AE6270">
        <v>1</v>
      </c>
      <c r="AF6270">
        <v>1</v>
      </c>
      <c r="AG6270">
        <v>1</v>
      </c>
      <c r="AH6270">
        <v>1</v>
      </c>
      <c r="AI6270">
        <v>1</v>
      </c>
      <c r="AJ6270">
        <v>1</v>
      </c>
      <c r="AK6270">
        <v>1</v>
      </c>
      <c r="AL6270">
        <v>1</v>
      </c>
      <c r="AM6270">
        <v>1</v>
      </c>
    </row>
    <row r="6271" spans="1:39" x14ac:dyDescent="0.2">
      <c r="A6271" t="str">
        <f>"6267"</f>
        <v>6267</v>
      </c>
      <c r="B6271" t="str">
        <f t="shared" si="349"/>
        <v>1</v>
      </c>
      <c r="C6271" t="str">
        <f t="shared" si="348"/>
        <v>126</v>
      </c>
      <c r="D6271" t="str">
        <f>"43"</f>
        <v>43</v>
      </c>
      <c r="E6271" t="str">
        <f>"1-126-43"</f>
        <v>1-126-43</v>
      </c>
      <c r="F6271" t="s">
        <v>65</v>
      </c>
      <c r="G6271" t="s">
        <v>66</v>
      </c>
      <c r="H6271" t="s">
        <v>67</v>
      </c>
      <c r="S6271">
        <v>0</v>
      </c>
      <c r="T6271">
        <v>0</v>
      </c>
      <c r="U6271">
        <v>0</v>
      </c>
      <c r="V6271">
        <v>0</v>
      </c>
      <c r="W6271">
        <v>1</v>
      </c>
      <c r="X6271">
        <v>0</v>
      </c>
      <c r="Y6271">
        <v>1</v>
      </c>
      <c r="Z6271">
        <v>0</v>
      </c>
      <c r="AA6271">
        <v>1</v>
      </c>
      <c r="AB6271">
        <v>0</v>
      </c>
      <c r="AC6271">
        <v>0</v>
      </c>
      <c r="AD6271">
        <v>1</v>
      </c>
      <c r="AE6271">
        <v>1</v>
      </c>
      <c r="AF6271">
        <v>1</v>
      </c>
      <c r="AG6271">
        <v>1</v>
      </c>
      <c r="AH6271">
        <v>1</v>
      </c>
      <c r="AI6271">
        <v>1</v>
      </c>
      <c r="AJ6271">
        <v>1</v>
      </c>
      <c r="AK6271">
        <v>1</v>
      </c>
      <c r="AL6271">
        <v>0</v>
      </c>
      <c r="AM6271">
        <v>1</v>
      </c>
    </row>
    <row r="6272" spans="1:39" x14ac:dyDescent="0.2">
      <c r="A6272" t="str">
        <f>"6268"</f>
        <v>6268</v>
      </c>
      <c r="B6272" t="str">
        <f t="shared" si="349"/>
        <v>1</v>
      </c>
      <c r="C6272" t="str">
        <f t="shared" si="348"/>
        <v>126</v>
      </c>
      <c r="D6272" t="str">
        <f>"32"</f>
        <v>32</v>
      </c>
      <c r="E6272" t="str">
        <f>"1-126-32"</f>
        <v>1-126-32</v>
      </c>
      <c r="F6272" t="s">
        <v>65</v>
      </c>
      <c r="G6272" t="s">
        <v>66</v>
      </c>
      <c r="H6272" t="s">
        <v>67</v>
      </c>
      <c r="S6272">
        <v>1</v>
      </c>
      <c r="T6272">
        <v>0</v>
      </c>
      <c r="U6272">
        <v>0</v>
      </c>
      <c r="V6272">
        <v>0</v>
      </c>
      <c r="W6272">
        <v>0</v>
      </c>
      <c r="X6272">
        <v>1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</row>
    <row r="6273" spans="1:39" x14ac:dyDescent="0.2">
      <c r="A6273" t="str">
        <f>"6269"</f>
        <v>6269</v>
      </c>
      <c r="B6273" t="str">
        <f t="shared" si="349"/>
        <v>1</v>
      </c>
      <c r="C6273" t="str">
        <f t="shared" si="348"/>
        <v>126</v>
      </c>
      <c r="D6273" t="str">
        <f>"18"</f>
        <v>18</v>
      </c>
      <c r="E6273" t="str">
        <f>"1-126-18"</f>
        <v>1-126-18</v>
      </c>
      <c r="F6273" t="s">
        <v>65</v>
      </c>
      <c r="G6273" t="s">
        <v>66</v>
      </c>
      <c r="H6273" t="s">
        <v>67</v>
      </c>
      <c r="S6273">
        <v>1</v>
      </c>
      <c r="T6273">
        <v>0</v>
      </c>
      <c r="U6273">
        <v>0</v>
      </c>
      <c r="V6273">
        <v>0</v>
      </c>
      <c r="W6273">
        <v>1</v>
      </c>
      <c r="X6273">
        <v>0</v>
      </c>
      <c r="Y6273">
        <v>1</v>
      </c>
      <c r="Z6273">
        <v>0</v>
      </c>
      <c r="AA6273">
        <v>0</v>
      </c>
      <c r="AB6273">
        <v>1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</row>
    <row r="6274" spans="1:39" x14ac:dyDescent="0.2">
      <c r="A6274" t="str">
        <f>"6270"</f>
        <v>6270</v>
      </c>
      <c r="B6274" t="str">
        <f t="shared" si="349"/>
        <v>1</v>
      </c>
      <c r="C6274" t="str">
        <f t="shared" si="348"/>
        <v>126</v>
      </c>
      <c r="D6274" t="str">
        <f>"13"</f>
        <v>13</v>
      </c>
      <c r="E6274" t="str">
        <f>"1-126-13"</f>
        <v>1-126-13</v>
      </c>
      <c r="F6274" t="s">
        <v>65</v>
      </c>
      <c r="G6274" t="s">
        <v>66</v>
      </c>
      <c r="H6274" t="s">
        <v>67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1</v>
      </c>
      <c r="Y6274">
        <v>0</v>
      </c>
      <c r="Z6274">
        <v>0</v>
      </c>
      <c r="AA6274">
        <v>0</v>
      </c>
      <c r="AB6274">
        <v>0</v>
      </c>
      <c r="AC6274">
        <v>1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</row>
    <row r="6275" spans="1:39" x14ac:dyDescent="0.2">
      <c r="A6275" t="str">
        <f>"6271"</f>
        <v>6271</v>
      </c>
      <c r="B6275" t="str">
        <f t="shared" si="349"/>
        <v>1</v>
      </c>
      <c r="C6275" t="str">
        <f t="shared" si="348"/>
        <v>126</v>
      </c>
      <c r="D6275" t="str">
        <f>"35"</f>
        <v>35</v>
      </c>
      <c r="E6275" t="str">
        <f>"1-126-35"</f>
        <v>1-126-35</v>
      </c>
      <c r="F6275" t="s">
        <v>65</v>
      </c>
      <c r="G6275" t="s">
        <v>66</v>
      </c>
      <c r="H6275" t="s">
        <v>67</v>
      </c>
      <c r="S6275">
        <v>0</v>
      </c>
      <c r="T6275">
        <v>1</v>
      </c>
      <c r="U6275">
        <v>0</v>
      </c>
      <c r="V6275">
        <v>0</v>
      </c>
      <c r="W6275">
        <v>1</v>
      </c>
      <c r="X6275">
        <v>0</v>
      </c>
      <c r="Y6275">
        <v>0</v>
      </c>
      <c r="Z6275">
        <v>1</v>
      </c>
      <c r="AA6275">
        <v>0</v>
      </c>
      <c r="AB6275">
        <v>0</v>
      </c>
      <c r="AC6275">
        <v>1</v>
      </c>
      <c r="AD6275">
        <v>0</v>
      </c>
      <c r="AE6275">
        <v>0</v>
      </c>
      <c r="AF6275">
        <v>0</v>
      </c>
      <c r="AG6275">
        <v>1</v>
      </c>
      <c r="AH6275">
        <v>0</v>
      </c>
      <c r="AI6275">
        <v>1</v>
      </c>
      <c r="AJ6275">
        <v>1</v>
      </c>
      <c r="AK6275">
        <v>1</v>
      </c>
      <c r="AL6275">
        <v>1</v>
      </c>
      <c r="AM6275">
        <v>0</v>
      </c>
    </row>
    <row r="6276" spans="1:39" x14ac:dyDescent="0.2">
      <c r="A6276" t="str">
        <f>"6272"</f>
        <v>6272</v>
      </c>
      <c r="B6276" t="str">
        <f t="shared" si="349"/>
        <v>1</v>
      </c>
      <c r="C6276" t="str">
        <f t="shared" si="348"/>
        <v>126</v>
      </c>
      <c r="D6276" t="str">
        <f>"19"</f>
        <v>19</v>
      </c>
      <c r="E6276" t="str">
        <f>"1-126-19"</f>
        <v>1-126-19</v>
      </c>
      <c r="F6276" t="s">
        <v>65</v>
      </c>
      <c r="G6276" t="s">
        <v>66</v>
      </c>
      <c r="H6276" t="s">
        <v>67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1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1</v>
      </c>
      <c r="AK6276">
        <v>0</v>
      </c>
      <c r="AL6276">
        <v>0</v>
      </c>
      <c r="AM6276">
        <v>0</v>
      </c>
    </row>
    <row r="6277" spans="1:39" x14ac:dyDescent="0.2">
      <c r="A6277" t="str">
        <f>"6273"</f>
        <v>6273</v>
      </c>
      <c r="B6277" t="str">
        <f t="shared" si="349"/>
        <v>1</v>
      </c>
      <c r="C6277" t="str">
        <f t="shared" si="348"/>
        <v>126</v>
      </c>
      <c r="D6277" t="str">
        <f>"8"</f>
        <v>8</v>
      </c>
      <c r="E6277" t="str">
        <f>"1-126-8"</f>
        <v>1-126-8</v>
      </c>
      <c r="F6277" t="s">
        <v>65</v>
      </c>
      <c r="G6277" t="s">
        <v>66</v>
      </c>
      <c r="H6277" t="s">
        <v>67</v>
      </c>
      <c r="S6277">
        <v>0</v>
      </c>
      <c r="T6277">
        <v>1</v>
      </c>
      <c r="U6277">
        <v>0</v>
      </c>
      <c r="V6277">
        <v>0</v>
      </c>
      <c r="W6277">
        <v>1</v>
      </c>
      <c r="X6277">
        <v>0</v>
      </c>
      <c r="Y6277">
        <v>0</v>
      </c>
      <c r="Z6277">
        <v>1</v>
      </c>
      <c r="AA6277">
        <v>0</v>
      </c>
      <c r="AB6277">
        <v>0</v>
      </c>
      <c r="AC6277">
        <v>1</v>
      </c>
      <c r="AD6277">
        <v>1</v>
      </c>
      <c r="AE6277">
        <v>1</v>
      </c>
      <c r="AF6277">
        <v>1</v>
      </c>
      <c r="AG6277">
        <v>1</v>
      </c>
      <c r="AH6277">
        <v>1</v>
      </c>
      <c r="AI6277">
        <v>1</v>
      </c>
      <c r="AJ6277">
        <v>1</v>
      </c>
      <c r="AK6277">
        <v>1</v>
      </c>
      <c r="AL6277">
        <v>1</v>
      </c>
      <c r="AM6277">
        <v>1</v>
      </c>
    </row>
    <row r="6278" spans="1:39" x14ac:dyDescent="0.2">
      <c r="A6278" t="str">
        <f>"6274"</f>
        <v>6274</v>
      </c>
      <c r="B6278" t="str">
        <f t="shared" si="349"/>
        <v>1</v>
      </c>
      <c r="C6278" t="str">
        <f t="shared" si="348"/>
        <v>126</v>
      </c>
      <c r="D6278" t="str">
        <f>"36"</f>
        <v>36</v>
      </c>
      <c r="E6278" t="str">
        <f>"1-126-36"</f>
        <v>1-126-36</v>
      </c>
      <c r="F6278" t="s">
        <v>65</v>
      </c>
      <c r="G6278" t="s">
        <v>66</v>
      </c>
      <c r="H6278" t="s">
        <v>67</v>
      </c>
      <c r="S6278">
        <v>0</v>
      </c>
      <c r="T6278">
        <v>1</v>
      </c>
      <c r="U6278">
        <v>0</v>
      </c>
      <c r="V6278">
        <v>0</v>
      </c>
      <c r="W6278">
        <v>1</v>
      </c>
      <c r="X6278">
        <v>0</v>
      </c>
      <c r="Y6278">
        <v>1</v>
      </c>
      <c r="Z6278">
        <v>0</v>
      </c>
      <c r="AA6278">
        <v>0</v>
      </c>
      <c r="AB6278">
        <v>0</v>
      </c>
      <c r="AC6278">
        <v>1</v>
      </c>
      <c r="AD6278">
        <v>1</v>
      </c>
      <c r="AE6278">
        <v>1</v>
      </c>
      <c r="AF6278">
        <v>1</v>
      </c>
      <c r="AG6278">
        <v>1</v>
      </c>
      <c r="AH6278">
        <v>1</v>
      </c>
      <c r="AI6278">
        <v>1</v>
      </c>
      <c r="AJ6278">
        <v>1</v>
      </c>
      <c r="AK6278">
        <v>1</v>
      </c>
      <c r="AL6278">
        <v>1</v>
      </c>
      <c r="AM6278">
        <v>1</v>
      </c>
    </row>
    <row r="6279" spans="1:39" x14ac:dyDescent="0.2">
      <c r="A6279" t="str">
        <f>"6275"</f>
        <v>6275</v>
      </c>
      <c r="B6279" t="str">
        <f t="shared" si="349"/>
        <v>1</v>
      </c>
      <c r="C6279" t="str">
        <f t="shared" si="348"/>
        <v>126</v>
      </c>
      <c r="D6279" t="str">
        <f>"20"</f>
        <v>20</v>
      </c>
      <c r="E6279" t="str">
        <f>"1-126-20"</f>
        <v>1-126-20</v>
      </c>
      <c r="F6279" t="s">
        <v>65</v>
      </c>
      <c r="G6279" t="s">
        <v>66</v>
      </c>
      <c r="H6279" t="s">
        <v>67</v>
      </c>
      <c r="S6279">
        <v>0</v>
      </c>
      <c r="T6279">
        <v>1</v>
      </c>
      <c r="U6279">
        <v>0</v>
      </c>
      <c r="V6279">
        <v>0</v>
      </c>
      <c r="W6279">
        <v>0</v>
      </c>
      <c r="X6279">
        <v>1</v>
      </c>
      <c r="Y6279">
        <v>1</v>
      </c>
      <c r="Z6279">
        <v>0</v>
      </c>
      <c r="AA6279">
        <v>0</v>
      </c>
      <c r="AB6279">
        <v>0</v>
      </c>
      <c r="AC6279">
        <v>1</v>
      </c>
      <c r="AD6279">
        <v>1</v>
      </c>
      <c r="AE6279">
        <v>1</v>
      </c>
      <c r="AF6279">
        <v>1</v>
      </c>
      <c r="AG6279">
        <v>1</v>
      </c>
      <c r="AH6279">
        <v>1</v>
      </c>
      <c r="AI6279">
        <v>1</v>
      </c>
      <c r="AJ6279">
        <v>1</v>
      </c>
      <c r="AK6279">
        <v>1</v>
      </c>
      <c r="AL6279">
        <v>1</v>
      </c>
      <c r="AM6279">
        <v>1</v>
      </c>
    </row>
    <row r="6280" spans="1:39" x14ac:dyDescent="0.2">
      <c r="A6280" t="str">
        <f>"6276"</f>
        <v>6276</v>
      </c>
      <c r="B6280" t="str">
        <f t="shared" si="349"/>
        <v>1</v>
      </c>
      <c r="C6280" t="str">
        <f t="shared" si="348"/>
        <v>126</v>
      </c>
      <c r="D6280" t="str">
        <f>"4"</f>
        <v>4</v>
      </c>
      <c r="E6280" t="str">
        <f>"1-126-4"</f>
        <v>1-126-4</v>
      </c>
      <c r="F6280" t="s">
        <v>65</v>
      </c>
      <c r="G6280" t="s">
        <v>66</v>
      </c>
      <c r="H6280" t="s">
        <v>67</v>
      </c>
      <c r="S6280">
        <v>1</v>
      </c>
      <c r="T6280">
        <v>0</v>
      </c>
      <c r="U6280">
        <v>0</v>
      </c>
      <c r="V6280">
        <v>0</v>
      </c>
      <c r="W6280">
        <v>1</v>
      </c>
      <c r="X6280">
        <v>0</v>
      </c>
      <c r="Y6280">
        <v>0</v>
      </c>
      <c r="Z6280">
        <v>1</v>
      </c>
      <c r="AA6280">
        <v>1</v>
      </c>
      <c r="AB6280">
        <v>0</v>
      </c>
      <c r="AC6280">
        <v>0</v>
      </c>
      <c r="AD6280">
        <v>1</v>
      </c>
      <c r="AE6280">
        <v>1</v>
      </c>
      <c r="AF6280">
        <v>1</v>
      </c>
      <c r="AG6280">
        <v>1</v>
      </c>
      <c r="AH6280">
        <v>1</v>
      </c>
      <c r="AI6280">
        <v>1</v>
      </c>
      <c r="AJ6280">
        <v>1</v>
      </c>
      <c r="AK6280">
        <v>1</v>
      </c>
      <c r="AL6280">
        <v>1</v>
      </c>
      <c r="AM6280">
        <v>1</v>
      </c>
    </row>
    <row r="6281" spans="1:39" x14ac:dyDescent="0.2">
      <c r="A6281" t="str">
        <f>"6277"</f>
        <v>6277</v>
      </c>
      <c r="B6281" t="str">
        <f t="shared" si="349"/>
        <v>1</v>
      </c>
      <c r="C6281" t="str">
        <f t="shared" si="348"/>
        <v>126</v>
      </c>
      <c r="D6281" t="str">
        <f>"39"</f>
        <v>39</v>
      </c>
      <c r="E6281" t="str">
        <f>"1-126-39"</f>
        <v>1-126-39</v>
      </c>
      <c r="F6281" t="s">
        <v>65</v>
      </c>
      <c r="G6281" t="s">
        <v>66</v>
      </c>
      <c r="H6281" t="s">
        <v>67</v>
      </c>
      <c r="S6281">
        <v>1</v>
      </c>
      <c r="T6281">
        <v>0</v>
      </c>
      <c r="U6281">
        <v>0</v>
      </c>
      <c r="V6281">
        <v>0</v>
      </c>
      <c r="W6281">
        <v>1</v>
      </c>
      <c r="X6281">
        <v>0</v>
      </c>
      <c r="Y6281">
        <v>0</v>
      </c>
      <c r="Z6281">
        <v>1</v>
      </c>
      <c r="AA6281">
        <v>1</v>
      </c>
      <c r="AB6281">
        <v>0</v>
      </c>
      <c r="AC6281">
        <v>0</v>
      </c>
      <c r="AD6281">
        <v>1</v>
      </c>
      <c r="AE6281">
        <v>1</v>
      </c>
      <c r="AF6281">
        <v>1</v>
      </c>
      <c r="AG6281">
        <v>1</v>
      </c>
      <c r="AH6281">
        <v>1</v>
      </c>
      <c r="AI6281">
        <v>1</v>
      </c>
      <c r="AJ6281">
        <v>1</v>
      </c>
      <c r="AK6281">
        <v>1</v>
      </c>
      <c r="AL6281">
        <v>1</v>
      </c>
      <c r="AM6281">
        <v>0</v>
      </c>
    </row>
    <row r="6282" spans="1:39" x14ac:dyDescent="0.2">
      <c r="A6282" t="str">
        <f>"6278"</f>
        <v>6278</v>
      </c>
      <c r="B6282" t="str">
        <f t="shared" si="349"/>
        <v>1</v>
      </c>
      <c r="C6282" t="str">
        <f t="shared" si="348"/>
        <v>126</v>
      </c>
      <c r="D6282" t="str">
        <f>"21"</f>
        <v>21</v>
      </c>
      <c r="E6282" t="str">
        <f>"1-126-21"</f>
        <v>1-126-21</v>
      </c>
      <c r="F6282" t="s">
        <v>65</v>
      </c>
      <c r="G6282" t="s">
        <v>66</v>
      </c>
      <c r="H6282" t="s">
        <v>67</v>
      </c>
      <c r="S6282">
        <v>1</v>
      </c>
      <c r="T6282">
        <v>0</v>
      </c>
      <c r="U6282">
        <v>0</v>
      </c>
      <c r="V6282">
        <v>0</v>
      </c>
      <c r="W6282">
        <v>0</v>
      </c>
      <c r="X6282">
        <v>1</v>
      </c>
      <c r="Y6282">
        <v>0</v>
      </c>
      <c r="Z6282">
        <v>1</v>
      </c>
      <c r="AA6282">
        <v>0</v>
      </c>
      <c r="AB6282">
        <v>1</v>
      </c>
      <c r="AC6282">
        <v>0</v>
      </c>
      <c r="AD6282">
        <v>1</v>
      </c>
      <c r="AE6282">
        <v>1</v>
      </c>
      <c r="AF6282">
        <v>1</v>
      </c>
      <c r="AG6282">
        <v>1</v>
      </c>
      <c r="AH6282">
        <v>1</v>
      </c>
      <c r="AI6282">
        <v>1</v>
      </c>
      <c r="AJ6282">
        <v>1</v>
      </c>
      <c r="AK6282">
        <v>1</v>
      </c>
      <c r="AL6282">
        <v>1</v>
      </c>
      <c r="AM6282">
        <v>1</v>
      </c>
    </row>
    <row r="6283" spans="1:39" x14ac:dyDescent="0.2">
      <c r="A6283" t="str">
        <f>"6279"</f>
        <v>6279</v>
      </c>
      <c r="B6283" t="str">
        <f t="shared" si="349"/>
        <v>1</v>
      </c>
      <c r="C6283" t="str">
        <f t="shared" si="348"/>
        <v>126</v>
      </c>
      <c r="D6283" t="str">
        <f>"2"</f>
        <v>2</v>
      </c>
      <c r="E6283" t="str">
        <f>"1-126-2"</f>
        <v>1-126-2</v>
      </c>
      <c r="F6283" t="s">
        <v>65</v>
      </c>
      <c r="G6283" t="s">
        <v>66</v>
      </c>
      <c r="H6283" t="s">
        <v>67</v>
      </c>
      <c r="S6283">
        <v>0</v>
      </c>
      <c r="T6283">
        <v>1</v>
      </c>
      <c r="U6283">
        <v>0</v>
      </c>
      <c r="V6283">
        <v>0</v>
      </c>
      <c r="W6283">
        <v>0</v>
      </c>
      <c r="X6283">
        <v>1</v>
      </c>
      <c r="Y6283">
        <v>0</v>
      </c>
      <c r="Z6283">
        <v>1</v>
      </c>
      <c r="AA6283">
        <v>0</v>
      </c>
      <c r="AB6283">
        <v>1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</row>
    <row r="6284" spans="1:39" x14ac:dyDescent="0.2">
      <c r="A6284" t="str">
        <f>"6280"</f>
        <v>6280</v>
      </c>
      <c r="B6284" t="str">
        <f t="shared" si="349"/>
        <v>1</v>
      </c>
      <c r="C6284" t="str">
        <f t="shared" si="348"/>
        <v>126</v>
      </c>
      <c r="D6284" t="str">
        <f>"40"</f>
        <v>40</v>
      </c>
      <c r="E6284" t="str">
        <f>"1-126-40"</f>
        <v>1-126-40</v>
      </c>
      <c r="F6284" t="s">
        <v>65</v>
      </c>
      <c r="G6284" t="s">
        <v>66</v>
      </c>
      <c r="H6284" t="s">
        <v>67</v>
      </c>
      <c r="S6284">
        <v>1</v>
      </c>
      <c r="T6284">
        <v>0</v>
      </c>
      <c r="U6284">
        <v>0</v>
      </c>
      <c r="V6284">
        <v>0</v>
      </c>
      <c r="W6284">
        <v>1</v>
      </c>
      <c r="X6284">
        <v>0</v>
      </c>
      <c r="Y6284">
        <v>1</v>
      </c>
      <c r="Z6284">
        <v>0</v>
      </c>
      <c r="AA6284">
        <v>0</v>
      </c>
      <c r="AB6284">
        <v>1</v>
      </c>
      <c r="AC6284">
        <v>0</v>
      </c>
      <c r="AD6284">
        <v>0</v>
      </c>
      <c r="AE6284">
        <v>0</v>
      </c>
      <c r="AF6284">
        <v>0</v>
      </c>
      <c r="AG6284">
        <v>1</v>
      </c>
      <c r="AH6284">
        <v>1</v>
      </c>
      <c r="AI6284">
        <v>1</v>
      </c>
      <c r="AJ6284">
        <v>1</v>
      </c>
      <c r="AK6284">
        <v>1</v>
      </c>
      <c r="AL6284">
        <v>1</v>
      </c>
      <c r="AM6284">
        <v>1</v>
      </c>
    </row>
    <row r="6285" spans="1:39" x14ac:dyDescent="0.2">
      <c r="A6285" t="str">
        <f>"6281"</f>
        <v>6281</v>
      </c>
      <c r="B6285" t="str">
        <f t="shared" si="349"/>
        <v>1</v>
      </c>
      <c r="C6285" t="str">
        <f t="shared" si="348"/>
        <v>126</v>
      </c>
      <c r="D6285" t="str">
        <f>"22"</f>
        <v>22</v>
      </c>
      <c r="E6285" t="str">
        <f>"1-126-22"</f>
        <v>1-126-22</v>
      </c>
      <c r="F6285" t="s">
        <v>65</v>
      </c>
      <c r="G6285" t="s">
        <v>66</v>
      </c>
      <c r="H6285" t="s">
        <v>67</v>
      </c>
      <c r="S6285">
        <v>0</v>
      </c>
      <c r="T6285">
        <v>1</v>
      </c>
      <c r="U6285">
        <v>0</v>
      </c>
      <c r="V6285">
        <v>0</v>
      </c>
      <c r="W6285">
        <v>0</v>
      </c>
      <c r="X6285">
        <v>1</v>
      </c>
      <c r="Y6285">
        <v>0</v>
      </c>
      <c r="Z6285">
        <v>0</v>
      </c>
      <c r="AA6285">
        <v>0</v>
      </c>
      <c r="AB6285">
        <v>0</v>
      </c>
      <c r="AC6285">
        <v>1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</row>
    <row r="6286" spans="1:39" x14ac:dyDescent="0.2">
      <c r="A6286" t="str">
        <f>"6282"</f>
        <v>6282</v>
      </c>
      <c r="B6286" t="str">
        <f t="shared" si="349"/>
        <v>1</v>
      </c>
      <c r="C6286" t="str">
        <f t="shared" si="348"/>
        <v>126</v>
      </c>
      <c r="D6286" t="str">
        <f>"12"</f>
        <v>12</v>
      </c>
      <c r="E6286" t="str">
        <f>"1-126-12"</f>
        <v>1-126-12</v>
      </c>
      <c r="F6286" t="s">
        <v>65</v>
      </c>
      <c r="G6286" t="s">
        <v>66</v>
      </c>
      <c r="H6286" t="s">
        <v>67</v>
      </c>
      <c r="S6286">
        <v>0</v>
      </c>
      <c r="T6286">
        <v>1</v>
      </c>
      <c r="U6286">
        <v>0</v>
      </c>
      <c r="V6286">
        <v>0</v>
      </c>
      <c r="W6286">
        <v>0</v>
      </c>
      <c r="X6286">
        <v>1</v>
      </c>
      <c r="Y6286">
        <v>0</v>
      </c>
      <c r="Z6286">
        <v>1</v>
      </c>
      <c r="AA6286">
        <v>0</v>
      </c>
      <c r="AB6286">
        <v>0</v>
      </c>
      <c r="AC6286">
        <v>1</v>
      </c>
      <c r="AD6286">
        <v>1</v>
      </c>
      <c r="AE6286">
        <v>1</v>
      </c>
      <c r="AF6286">
        <v>1</v>
      </c>
      <c r="AG6286">
        <v>1</v>
      </c>
      <c r="AH6286">
        <v>1</v>
      </c>
      <c r="AI6286">
        <v>1</v>
      </c>
      <c r="AJ6286">
        <v>1</v>
      </c>
      <c r="AK6286">
        <v>1</v>
      </c>
      <c r="AL6286">
        <v>1</v>
      </c>
      <c r="AM6286">
        <v>1</v>
      </c>
    </row>
    <row r="6287" spans="1:39" x14ac:dyDescent="0.2">
      <c r="A6287" t="str">
        <f>"6283"</f>
        <v>6283</v>
      </c>
      <c r="B6287" t="str">
        <f t="shared" si="349"/>
        <v>1</v>
      </c>
      <c r="C6287" t="str">
        <f t="shared" ref="C6287:C6304" si="350">"126"</f>
        <v>126</v>
      </c>
      <c r="D6287" t="str">
        <f>"45"</f>
        <v>45</v>
      </c>
      <c r="E6287" t="str">
        <f>"1-126-45"</f>
        <v>1-126-45</v>
      </c>
      <c r="F6287" t="s">
        <v>65</v>
      </c>
      <c r="G6287" t="s">
        <v>66</v>
      </c>
      <c r="H6287" t="s">
        <v>67</v>
      </c>
      <c r="S6287">
        <v>1</v>
      </c>
      <c r="T6287">
        <v>0</v>
      </c>
      <c r="U6287">
        <v>0</v>
      </c>
      <c r="V6287">
        <v>0</v>
      </c>
      <c r="W6287">
        <v>1</v>
      </c>
      <c r="X6287">
        <v>0</v>
      </c>
      <c r="Y6287">
        <v>1</v>
      </c>
      <c r="Z6287">
        <v>0</v>
      </c>
      <c r="AA6287">
        <v>1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1</v>
      </c>
      <c r="AH6287">
        <v>0</v>
      </c>
      <c r="AI6287">
        <v>0</v>
      </c>
      <c r="AJ6287">
        <v>0</v>
      </c>
      <c r="AK6287">
        <v>0</v>
      </c>
      <c r="AL6287">
        <v>1</v>
      </c>
      <c r="AM6287">
        <v>1</v>
      </c>
    </row>
    <row r="6288" spans="1:39" x14ac:dyDescent="0.2">
      <c r="A6288" t="str">
        <f>"6284"</f>
        <v>6284</v>
      </c>
      <c r="B6288" t="str">
        <f t="shared" si="349"/>
        <v>1</v>
      </c>
      <c r="C6288" t="str">
        <f t="shared" si="350"/>
        <v>126</v>
      </c>
      <c r="D6288" t="str">
        <f>"24"</f>
        <v>24</v>
      </c>
      <c r="E6288" t="str">
        <f>"1-126-24"</f>
        <v>1-126-24</v>
      </c>
      <c r="F6288" t="s">
        <v>65</v>
      </c>
      <c r="G6288" t="s">
        <v>66</v>
      </c>
      <c r="H6288" t="s">
        <v>67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1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1</v>
      </c>
      <c r="AJ6288">
        <v>1</v>
      </c>
      <c r="AK6288">
        <v>0</v>
      </c>
      <c r="AL6288">
        <v>0</v>
      </c>
      <c r="AM6288">
        <v>0</v>
      </c>
    </row>
    <row r="6289" spans="1:39" x14ac:dyDescent="0.2">
      <c r="A6289" t="str">
        <f>"6285"</f>
        <v>6285</v>
      </c>
      <c r="B6289" t="str">
        <f t="shared" si="349"/>
        <v>1</v>
      </c>
      <c r="C6289" t="str">
        <f t="shared" si="350"/>
        <v>126</v>
      </c>
      <c r="D6289" t="str">
        <f>"7"</f>
        <v>7</v>
      </c>
      <c r="E6289" t="str">
        <f>"1-126-7"</f>
        <v>1-126-7</v>
      </c>
      <c r="F6289" t="s">
        <v>65</v>
      </c>
      <c r="G6289" t="s">
        <v>66</v>
      </c>
      <c r="H6289" t="s">
        <v>67</v>
      </c>
      <c r="S6289">
        <v>1</v>
      </c>
      <c r="T6289">
        <v>0</v>
      </c>
      <c r="U6289">
        <v>0</v>
      </c>
      <c r="V6289">
        <v>0</v>
      </c>
      <c r="W6289">
        <v>1</v>
      </c>
      <c r="X6289">
        <v>0</v>
      </c>
      <c r="Y6289">
        <v>1</v>
      </c>
      <c r="Z6289">
        <v>0</v>
      </c>
      <c r="AA6289">
        <v>1</v>
      </c>
      <c r="AB6289">
        <v>0</v>
      </c>
      <c r="AC6289">
        <v>0</v>
      </c>
      <c r="AD6289">
        <v>1</v>
      </c>
      <c r="AE6289">
        <v>1</v>
      </c>
      <c r="AF6289">
        <v>1</v>
      </c>
      <c r="AG6289">
        <v>1</v>
      </c>
      <c r="AH6289">
        <v>1</v>
      </c>
      <c r="AI6289">
        <v>1</v>
      </c>
      <c r="AJ6289">
        <v>1</v>
      </c>
      <c r="AK6289">
        <v>1</v>
      </c>
      <c r="AL6289">
        <v>1</v>
      </c>
      <c r="AM6289">
        <v>1</v>
      </c>
    </row>
    <row r="6290" spans="1:39" x14ac:dyDescent="0.2">
      <c r="A6290" t="str">
        <f>"6286"</f>
        <v>6286</v>
      </c>
      <c r="B6290" t="str">
        <f t="shared" si="349"/>
        <v>1</v>
      </c>
      <c r="C6290" t="str">
        <f t="shared" si="350"/>
        <v>126</v>
      </c>
      <c r="D6290" t="str">
        <f>"46"</f>
        <v>46</v>
      </c>
      <c r="E6290" t="str">
        <f>"1-126-46"</f>
        <v>1-126-46</v>
      </c>
      <c r="F6290" t="s">
        <v>65</v>
      </c>
      <c r="G6290" t="s">
        <v>66</v>
      </c>
      <c r="H6290" t="s">
        <v>67</v>
      </c>
      <c r="S6290">
        <v>0</v>
      </c>
      <c r="T6290">
        <v>1</v>
      </c>
      <c r="U6290">
        <v>0</v>
      </c>
      <c r="V6290">
        <v>0</v>
      </c>
      <c r="W6290">
        <v>1</v>
      </c>
      <c r="X6290">
        <v>0</v>
      </c>
      <c r="Y6290">
        <v>0</v>
      </c>
      <c r="Z6290">
        <v>1</v>
      </c>
      <c r="AA6290">
        <v>1</v>
      </c>
      <c r="AB6290">
        <v>0</v>
      </c>
      <c r="AC6290">
        <v>0</v>
      </c>
      <c r="AD6290">
        <v>1</v>
      </c>
      <c r="AE6290">
        <v>1</v>
      </c>
      <c r="AF6290">
        <v>1</v>
      </c>
      <c r="AG6290">
        <v>1</v>
      </c>
      <c r="AH6290">
        <v>1</v>
      </c>
      <c r="AI6290">
        <v>1</v>
      </c>
      <c r="AJ6290">
        <v>1</v>
      </c>
      <c r="AK6290">
        <v>1</v>
      </c>
      <c r="AL6290">
        <v>1</v>
      </c>
      <c r="AM6290">
        <v>1</v>
      </c>
    </row>
    <row r="6291" spans="1:39" x14ac:dyDescent="0.2">
      <c r="A6291" t="str">
        <f>"6287"</f>
        <v>6287</v>
      </c>
      <c r="B6291" t="str">
        <f t="shared" si="349"/>
        <v>1</v>
      </c>
      <c r="C6291" t="str">
        <f t="shared" si="350"/>
        <v>126</v>
      </c>
      <c r="D6291" t="str">
        <f>"26"</f>
        <v>26</v>
      </c>
      <c r="E6291" t="str">
        <f>"1-126-26"</f>
        <v>1-126-26</v>
      </c>
      <c r="F6291" t="s">
        <v>65</v>
      </c>
      <c r="G6291" t="s">
        <v>66</v>
      </c>
      <c r="H6291" t="s">
        <v>67</v>
      </c>
      <c r="S6291">
        <v>0</v>
      </c>
      <c r="T6291">
        <v>1</v>
      </c>
      <c r="U6291">
        <v>0</v>
      </c>
      <c r="V6291">
        <v>0</v>
      </c>
      <c r="W6291">
        <v>1</v>
      </c>
      <c r="X6291">
        <v>0</v>
      </c>
      <c r="Y6291">
        <v>1</v>
      </c>
      <c r="Z6291">
        <v>0</v>
      </c>
      <c r="AA6291">
        <v>1</v>
      </c>
      <c r="AB6291">
        <v>0</v>
      </c>
      <c r="AC6291">
        <v>0</v>
      </c>
      <c r="AD6291">
        <v>1</v>
      </c>
      <c r="AE6291">
        <v>1</v>
      </c>
      <c r="AF6291">
        <v>0</v>
      </c>
      <c r="AG6291">
        <v>1</v>
      </c>
      <c r="AH6291">
        <v>1</v>
      </c>
      <c r="AI6291">
        <v>1</v>
      </c>
      <c r="AJ6291">
        <v>1</v>
      </c>
      <c r="AK6291">
        <v>1</v>
      </c>
      <c r="AL6291">
        <v>1</v>
      </c>
      <c r="AM6291">
        <v>1</v>
      </c>
    </row>
    <row r="6292" spans="1:39" x14ac:dyDescent="0.2">
      <c r="A6292" t="str">
        <f>"6288"</f>
        <v>6288</v>
      </c>
      <c r="B6292" t="str">
        <f t="shared" si="349"/>
        <v>1</v>
      </c>
      <c r="C6292" t="str">
        <f t="shared" si="350"/>
        <v>126</v>
      </c>
      <c r="D6292" t="str">
        <f>"10"</f>
        <v>10</v>
      </c>
      <c r="E6292" t="str">
        <f>"1-126-10"</f>
        <v>1-126-10</v>
      </c>
      <c r="F6292" t="s">
        <v>65</v>
      </c>
      <c r="G6292" t="s">
        <v>66</v>
      </c>
      <c r="H6292" t="s">
        <v>67</v>
      </c>
      <c r="S6292">
        <v>0</v>
      </c>
      <c r="T6292">
        <v>1</v>
      </c>
      <c r="U6292">
        <v>0</v>
      </c>
      <c r="V6292">
        <v>0</v>
      </c>
      <c r="W6292">
        <v>1</v>
      </c>
      <c r="X6292">
        <v>0</v>
      </c>
      <c r="Y6292">
        <v>1</v>
      </c>
      <c r="Z6292">
        <v>0</v>
      </c>
      <c r="AA6292">
        <v>0</v>
      </c>
      <c r="AB6292">
        <v>0</v>
      </c>
      <c r="AC6292">
        <v>1</v>
      </c>
      <c r="AD6292">
        <v>1</v>
      </c>
      <c r="AE6292">
        <v>1</v>
      </c>
      <c r="AF6292">
        <v>1</v>
      </c>
      <c r="AG6292">
        <v>1</v>
      </c>
      <c r="AH6292">
        <v>1</v>
      </c>
      <c r="AI6292">
        <v>1</v>
      </c>
      <c r="AJ6292">
        <v>1</v>
      </c>
      <c r="AK6292">
        <v>1</v>
      </c>
      <c r="AL6292">
        <v>1</v>
      </c>
      <c r="AM6292">
        <v>1</v>
      </c>
    </row>
    <row r="6293" spans="1:39" x14ac:dyDescent="0.2">
      <c r="A6293" t="str">
        <f>"6289"</f>
        <v>6289</v>
      </c>
      <c r="B6293" t="str">
        <f t="shared" si="349"/>
        <v>1</v>
      </c>
      <c r="C6293" t="str">
        <f t="shared" si="350"/>
        <v>126</v>
      </c>
      <c r="D6293" t="str">
        <f>"47"</f>
        <v>47</v>
      </c>
      <c r="E6293" t="str">
        <f>"1-126-47"</f>
        <v>1-126-47</v>
      </c>
      <c r="F6293" t="s">
        <v>65</v>
      </c>
      <c r="G6293" t="s">
        <v>66</v>
      </c>
      <c r="H6293" t="s">
        <v>67</v>
      </c>
      <c r="S6293">
        <v>1</v>
      </c>
      <c r="T6293">
        <v>0</v>
      </c>
      <c r="U6293">
        <v>0</v>
      </c>
      <c r="V6293">
        <v>0</v>
      </c>
      <c r="W6293">
        <v>1</v>
      </c>
      <c r="X6293">
        <v>0</v>
      </c>
      <c r="Y6293">
        <v>0</v>
      </c>
      <c r="Z6293">
        <v>1</v>
      </c>
      <c r="AA6293">
        <v>0</v>
      </c>
      <c r="AB6293">
        <v>0</v>
      </c>
      <c r="AC6293">
        <v>1</v>
      </c>
      <c r="AD6293">
        <v>1</v>
      </c>
      <c r="AE6293">
        <v>1</v>
      </c>
      <c r="AF6293">
        <v>1</v>
      </c>
      <c r="AG6293">
        <v>1</v>
      </c>
      <c r="AH6293">
        <v>1</v>
      </c>
      <c r="AI6293">
        <v>1</v>
      </c>
      <c r="AJ6293">
        <v>1</v>
      </c>
      <c r="AK6293">
        <v>1</v>
      </c>
      <c r="AL6293">
        <v>1</v>
      </c>
      <c r="AM6293">
        <v>1</v>
      </c>
    </row>
    <row r="6294" spans="1:39" x14ac:dyDescent="0.2">
      <c r="A6294" t="str">
        <f>"6290"</f>
        <v>6290</v>
      </c>
      <c r="B6294" t="str">
        <f t="shared" si="349"/>
        <v>1</v>
      </c>
      <c r="C6294" t="str">
        <f t="shared" si="350"/>
        <v>126</v>
      </c>
      <c r="D6294" t="str">
        <f>"27"</f>
        <v>27</v>
      </c>
      <c r="E6294" t="str">
        <f>"1-126-27"</f>
        <v>1-126-27</v>
      </c>
      <c r="F6294" t="s">
        <v>65</v>
      </c>
      <c r="G6294" t="s">
        <v>66</v>
      </c>
      <c r="H6294" t="s">
        <v>67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1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</row>
    <row r="6295" spans="1:39" x14ac:dyDescent="0.2">
      <c r="A6295" t="str">
        <f>"6291"</f>
        <v>6291</v>
      </c>
      <c r="B6295" t="str">
        <f t="shared" si="349"/>
        <v>1</v>
      </c>
      <c r="C6295" t="str">
        <f t="shared" si="350"/>
        <v>126</v>
      </c>
      <c r="D6295" t="str">
        <f>"9"</f>
        <v>9</v>
      </c>
      <c r="E6295" t="str">
        <f>"1-126-9"</f>
        <v>1-126-9</v>
      </c>
      <c r="F6295" t="s">
        <v>65</v>
      </c>
      <c r="G6295" t="s">
        <v>66</v>
      </c>
      <c r="H6295" t="s">
        <v>67</v>
      </c>
      <c r="S6295">
        <v>0</v>
      </c>
      <c r="T6295">
        <v>1</v>
      </c>
      <c r="U6295">
        <v>0</v>
      </c>
      <c r="V6295">
        <v>0</v>
      </c>
      <c r="W6295">
        <v>1</v>
      </c>
      <c r="X6295">
        <v>0</v>
      </c>
      <c r="Y6295">
        <v>1</v>
      </c>
      <c r="Z6295">
        <v>0</v>
      </c>
      <c r="AA6295">
        <v>0</v>
      </c>
      <c r="AB6295">
        <v>0</v>
      </c>
      <c r="AC6295">
        <v>1</v>
      </c>
      <c r="AD6295">
        <v>1</v>
      </c>
      <c r="AE6295">
        <v>1</v>
      </c>
      <c r="AF6295">
        <v>1</v>
      </c>
      <c r="AG6295">
        <v>1</v>
      </c>
      <c r="AH6295">
        <v>1</v>
      </c>
      <c r="AI6295">
        <v>1</v>
      </c>
      <c r="AJ6295">
        <v>1</v>
      </c>
      <c r="AK6295">
        <v>1</v>
      </c>
      <c r="AL6295">
        <v>1</v>
      </c>
      <c r="AM6295">
        <v>1</v>
      </c>
    </row>
    <row r="6296" spans="1:39" x14ac:dyDescent="0.2">
      <c r="A6296" t="str">
        <f>"6292"</f>
        <v>6292</v>
      </c>
      <c r="B6296" t="str">
        <f t="shared" si="349"/>
        <v>1</v>
      </c>
      <c r="C6296" t="str">
        <f t="shared" si="350"/>
        <v>126</v>
      </c>
      <c r="D6296" t="str">
        <f>"48"</f>
        <v>48</v>
      </c>
      <c r="E6296" t="str">
        <f>"1-126-48"</f>
        <v>1-126-48</v>
      </c>
      <c r="F6296" t="s">
        <v>65</v>
      </c>
      <c r="G6296" t="s">
        <v>66</v>
      </c>
      <c r="H6296" t="s">
        <v>67</v>
      </c>
      <c r="S6296">
        <v>1</v>
      </c>
      <c r="T6296">
        <v>0</v>
      </c>
      <c r="U6296">
        <v>0</v>
      </c>
      <c r="V6296">
        <v>0</v>
      </c>
      <c r="W6296">
        <v>1</v>
      </c>
      <c r="X6296">
        <v>0</v>
      </c>
      <c r="Y6296">
        <v>1</v>
      </c>
      <c r="Z6296">
        <v>0</v>
      </c>
      <c r="AA6296">
        <v>0</v>
      </c>
      <c r="AB6296">
        <v>0</v>
      </c>
      <c r="AC6296">
        <v>1</v>
      </c>
      <c r="AD6296">
        <v>1</v>
      </c>
      <c r="AE6296">
        <v>1</v>
      </c>
      <c r="AF6296">
        <v>1</v>
      </c>
      <c r="AG6296">
        <v>1</v>
      </c>
      <c r="AH6296">
        <v>1</v>
      </c>
      <c r="AI6296">
        <v>1</v>
      </c>
      <c r="AJ6296">
        <v>1</v>
      </c>
      <c r="AK6296">
        <v>1</v>
      </c>
      <c r="AL6296">
        <v>1</v>
      </c>
      <c r="AM6296">
        <v>1</v>
      </c>
    </row>
    <row r="6297" spans="1:39" x14ac:dyDescent="0.2">
      <c r="A6297" t="str">
        <f>"6293"</f>
        <v>6293</v>
      </c>
      <c r="B6297" t="str">
        <f t="shared" si="349"/>
        <v>1</v>
      </c>
      <c r="C6297" t="str">
        <f t="shared" si="350"/>
        <v>126</v>
      </c>
      <c r="D6297" t="str">
        <f>"28"</f>
        <v>28</v>
      </c>
      <c r="E6297" t="str">
        <f>"1-126-28"</f>
        <v>1-126-28</v>
      </c>
      <c r="F6297" t="s">
        <v>65</v>
      </c>
      <c r="G6297" t="s">
        <v>66</v>
      </c>
      <c r="H6297" t="s">
        <v>67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1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</row>
    <row r="6298" spans="1:39" x14ac:dyDescent="0.2">
      <c r="A6298" t="str">
        <f>"6294"</f>
        <v>6294</v>
      </c>
      <c r="B6298" t="str">
        <f t="shared" si="349"/>
        <v>1</v>
      </c>
      <c r="C6298" t="str">
        <f t="shared" si="350"/>
        <v>126</v>
      </c>
      <c r="D6298" t="str">
        <f>"14"</f>
        <v>14</v>
      </c>
      <c r="E6298" t="str">
        <f>"1-126-14"</f>
        <v>1-126-14</v>
      </c>
      <c r="F6298" t="s">
        <v>65</v>
      </c>
      <c r="G6298" t="s">
        <v>66</v>
      </c>
      <c r="H6298" t="s">
        <v>67</v>
      </c>
      <c r="S6298">
        <v>0</v>
      </c>
      <c r="T6298">
        <v>1</v>
      </c>
      <c r="U6298">
        <v>0</v>
      </c>
      <c r="V6298">
        <v>0</v>
      </c>
      <c r="W6298">
        <v>1</v>
      </c>
      <c r="X6298">
        <v>0</v>
      </c>
      <c r="Y6298">
        <v>0</v>
      </c>
      <c r="Z6298">
        <v>1</v>
      </c>
      <c r="AA6298">
        <v>1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1</v>
      </c>
      <c r="AI6298">
        <v>0</v>
      </c>
      <c r="AJ6298">
        <v>0</v>
      </c>
      <c r="AK6298">
        <v>0</v>
      </c>
      <c r="AL6298">
        <v>1</v>
      </c>
      <c r="AM6298">
        <v>0</v>
      </c>
    </row>
    <row r="6299" spans="1:39" x14ac:dyDescent="0.2">
      <c r="A6299" t="str">
        <f>"6295"</f>
        <v>6295</v>
      </c>
      <c r="B6299" t="str">
        <f t="shared" si="349"/>
        <v>1</v>
      </c>
      <c r="C6299" t="str">
        <f t="shared" si="350"/>
        <v>126</v>
      </c>
      <c r="D6299" t="str">
        <f>"49"</f>
        <v>49</v>
      </c>
      <c r="E6299" t="str">
        <f>"1-126-49"</f>
        <v>1-126-49</v>
      </c>
      <c r="F6299" t="s">
        <v>65</v>
      </c>
      <c r="G6299" t="s">
        <v>66</v>
      </c>
      <c r="H6299" t="s">
        <v>67</v>
      </c>
      <c r="S6299">
        <v>0</v>
      </c>
      <c r="T6299">
        <v>1</v>
      </c>
      <c r="U6299">
        <v>0</v>
      </c>
      <c r="V6299">
        <v>0</v>
      </c>
      <c r="W6299">
        <v>1</v>
      </c>
      <c r="X6299">
        <v>0</v>
      </c>
      <c r="Y6299">
        <v>1</v>
      </c>
      <c r="Z6299">
        <v>0</v>
      </c>
      <c r="AA6299">
        <v>0</v>
      </c>
      <c r="AB6299">
        <v>1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</row>
    <row r="6300" spans="1:39" x14ac:dyDescent="0.2">
      <c r="A6300" t="str">
        <f>"6296"</f>
        <v>6296</v>
      </c>
      <c r="B6300" t="str">
        <f t="shared" si="349"/>
        <v>1</v>
      </c>
      <c r="C6300" t="str">
        <f t="shared" si="350"/>
        <v>126</v>
      </c>
      <c r="D6300" t="str">
        <f>"29"</f>
        <v>29</v>
      </c>
      <c r="E6300" t="str">
        <f>"1-126-29"</f>
        <v>1-126-29</v>
      </c>
      <c r="F6300" t="s">
        <v>65</v>
      </c>
      <c r="G6300" t="s">
        <v>66</v>
      </c>
      <c r="H6300" t="s">
        <v>67</v>
      </c>
      <c r="S6300">
        <v>1</v>
      </c>
      <c r="T6300">
        <v>0</v>
      </c>
      <c r="U6300">
        <v>0</v>
      </c>
      <c r="V6300">
        <v>0</v>
      </c>
      <c r="W6300">
        <v>1</v>
      </c>
      <c r="X6300">
        <v>0</v>
      </c>
      <c r="Y6300">
        <v>1</v>
      </c>
      <c r="Z6300">
        <v>0</v>
      </c>
      <c r="AA6300">
        <v>1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</row>
    <row r="6301" spans="1:39" x14ac:dyDescent="0.2">
      <c r="A6301" t="str">
        <f>"6297"</f>
        <v>6297</v>
      </c>
      <c r="B6301" t="str">
        <f t="shared" si="349"/>
        <v>1</v>
      </c>
      <c r="C6301" t="str">
        <f t="shared" si="350"/>
        <v>126</v>
      </c>
      <c r="D6301" t="str">
        <f>"5"</f>
        <v>5</v>
      </c>
      <c r="E6301" t="str">
        <f>"1-126-5"</f>
        <v>1-126-5</v>
      </c>
      <c r="F6301" t="s">
        <v>65</v>
      </c>
      <c r="G6301" t="s">
        <v>66</v>
      </c>
      <c r="H6301" t="s">
        <v>67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1</v>
      </c>
      <c r="Y6301">
        <v>1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1</v>
      </c>
      <c r="AI6301">
        <v>1</v>
      </c>
      <c r="AJ6301">
        <v>1</v>
      </c>
      <c r="AK6301">
        <v>0</v>
      </c>
      <c r="AL6301">
        <v>1</v>
      </c>
      <c r="AM6301">
        <v>0</v>
      </c>
    </row>
    <row r="6302" spans="1:39" x14ac:dyDescent="0.2">
      <c r="A6302" t="str">
        <f>"6298"</f>
        <v>6298</v>
      </c>
      <c r="B6302" t="str">
        <f t="shared" si="349"/>
        <v>1</v>
      </c>
      <c r="C6302" t="str">
        <f t="shared" si="350"/>
        <v>126</v>
      </c>
      <c r="D6302" t="str">
        <f>"50"</f>
        <v>50</v>
      </c>
      <c r="E6302" t="str">
        <f>"1-126-50"</f>
        <v>1-126-50</v>
      </c>
      <c r="F6302" t="s">
        <v>65</v>
      </c>
      <c r="G6302" t="s">
        <v>66</v>
      </c>
      <c r="H6302" t="s">
        <v>67</v>
      </c>
      <c r="S6302">
        <v>1</v>
      </c>
      <c r="T6302">
        <v>0</v>
      </c>
      <c r="U6302">
        <v>0</v>
      </c>
      <c r="V6302">
        <v>0</v>
      </c>
      <c r="W6302">
        <v>1</v>
      </c>
      <c r="X6302">
        <v>0</v>
      </c>
      <c r="Y6302">
        <v>1</v>
      </c>
      <c r="Z6302">
        <v>0</v>
      </c>
      <c r="AA6302">
        <v>0</v>
      </c>
      <c r="AB6302">
        <v>1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1</v>
      </c>
      <c r="AI6302">
        <v>1</v>
      </c>
      <c r="AJ6302">
        <v>1</v>
      </c>
      <c r="AK6302">
        <v>1</v>
      </c>
      <c r="AL6302">
        <v>1</v>
      </c>
      <c r="AM6302">
        <v>0</v>
      </c>
    </row>
    <row r="6303" spans="1:39" x14ac:dyDescent="0.2">
      <c r="A6303" t="str">
        <f>"6299"</f>
        <v>6299</v>
      </c>
      <c r="B6303" t="str">
        <f t="shared" si="349"/>
        <v>1</v>
      </c>
      <c r="C6303" t="str">
        <f t="shared" si="350"/>
        <v>126</v>
      </c>
      <c r="D6303" t="str">
        <f>"30"</f>
        <v>30</v>
      </c>
      <c r="E6303" t="str">
        <f>"1-126-30"</f>
        <v>1-126-30</v>
      </c>
      <c r="F6303" t="s">
        <v>65</v>
      </c>
      <c r="G6303" t="s">
        <v>66</v>
      </c>
      <c r="H6303" t="s">
        <v>67</v>
      </c>
      <c r="S6303">
        <v>0</v>
      </c>
      <c r="T6303">
        <v>1</v>
      </c>
      <c r="U6303">
        <v>0</v>
      </c>
      <c r="V6303">
        <v>0</v>
      </c>
      <c r="W6303">
        <v>1</v>
      </c>
      <c r="X6303">
        <v>0</v>
      </c>
      <c r="Y6303">
        <v>0</v>
      </c>
      <c r="Z6303">
        <v>1</v>
      </c>
      <c r="AA6303">
        <v>0</v>
      </c>
      <c r="AB6303">
        <v>1</v>
      </c>
      <c r="AC6303">
        <v>0</v>
      </c>
      <c r="AD6303">
        <v>1</v>
      </c>
      <c r="AE6303">
        <v>1</v>
      </c>
      <c r="AF6303">
        <v>1</v>
      </c>
      <c r="AG6303">
        <v>1</v>
      </c>
      <c r="AH6303">
        <v>1</v>
      </c>
      <c r="AI6303">
        <v>1</v>
      </c>
      <c r="AJ6303">
        <v>1</v>
      </c>
      <c r="AK6303">
        <v>1</v>
      </c>
      <c r="AL6303">
        <v>1</v>
      </c>
      <c r="AM6303">
        <v>1</v>
      </c>
    </row>
    <row r="6304" spans="1:39" x14ac:dyDescent="0.2">
      <c r="A6304" t="str">
        <f>"6300"</f>
        <v>6300</v>
      </c>
      <c r="B6304" t="str">
        <f t="shared" si="349"/>
        <v>1</v>
      </c>
      <c r="C6304" t="str">
        <f t="shared" si="350"/>
        <v>126</v>
      </c>
      <c r="D6304" t="str">
        <f>"11"</f>
        <v>11</v>
      </c>
      <c r="E6304" t="str">
        <f>"1-126-11"</f>
        <v>1-126-11</v>
      </c>
      <c r="F6304" t="s">
        <v>65</v>
      </c>
      <c r="G6304" t="s">
        <v>66</v>
      </c>
      <c r="H6304" t="s">
        <v>67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1</v>
      </c>
      <c r="AK6304">
        <v>0</v>
      </c>
      <c r="AL6304">
        <v>0</v>
      </c>
      <c r="AM6304">
        <v>0</v>
      </c>
    </row>
    <row r="6305" spans="1:39" x14ac:dyDescent="0.2">
      <c r="A6305" t="str">
        <f>"6301"</f>
        <v>6301</v>
      </c>
      <c r="B6305" t="str">
        <f t="shared" si="349"/>
        <v>1</v>
      </c>
      <c r="C6305" t="str">
        <f t="shared" ref="C6305:C6336" si="351">"127"</f>
        <v>127</v>
      </c>
      <c r="D6305" t="str">
        <f>"36"</f>
        <v>36</v>
      </c>
      <c r="E6305" t="str">
        <f>"1-127-36"</f>
        <v>1-127-36</v>
      </c>
      <c r="F6305" t="s">
        <v>65</v>
      </c>
      <c r="G6305" t="s">
        <v>66</v>
      </c>
      <c r="H6305" t="s">
        <v>67</v>
      </c>
      <c r="S6305">
        <v>1</v>
      </c>
      <c r="T6305">
        <v>0</v>
      </c>
      <c r="U6305">
        <v>0</v>
      </c>
      <c r="V6305">
        <v>0</v>
      </c>
      <c r="W6305">
        <v>0</v>
      </c>
      <c r="X6305">
        <v>1</v>
      </c>
      <c r="Y6305">
        <v>1</v>
      </c>
      <c r="Z6305">
        <v>0</v>
      </c>
      <c r="AA6305">
        <v>1</v>
      </c>
      <c r="AB6305">
        <v>0</v>
      </c>
      <c r="AC6305">
        <v>0</v>
      </c>
      <c r="AD6305">
        <v>1</v>
      </c>
      <c r="AE6305">
        <v>1</v>
      </c>
      <c r="AF6305">
        <v>1</v>
      </c>
      <c r="AG6305">
        <v>1</v>
      </c>
      <c r="AH6305">
        <v>1</v>
      </c>
      <c r="AI6305">
        <v>1</v>
      </c>
      <c r="AJ6305">
        <v>1</v>
      </c>
      <c r="AK6305">
        <v>1</v>
      </c>
      <c r="AL6305">
        <v>1</v>
      </c>
      <c r="AM6305">
        <v>1</v>
      </c>
    </row>
    <row r="6306" spans="1:39" x14ac:dyDescent="0.2">
      <c r="A6306" t="str">
        <f>"6302"</f>
        <v>6302</v>
      </c>
      <c r="B6306" t="str">
        <f t="shared" si="349"/>
        <v>1</v>
      </c>
      <c r="C6306" t="str">
        <f t="shared" si="351"/>
        <v>127</v>
      </c>
      <c r="D6306" t="str">
        <f>"35"</f>
        <v>35</v>
      </c>
      <c r="E6306" t="str">
        <f>"1-127-35"</f>
        <v>1-127-35</v>
      </c>
      <c r="F6306" t="s">
        <v>65</v>
      </c>
      <c r="G6306" t="s">
        <v>66</v>
      </c>
      <c r="H6306" t="s">
        <v>67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1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</row>
    <row r="6307" spans="1:39" x14ac:dyDescent="0.2">
      <c r="A6307" t="str">
        <f>"6303"</f>
        <v>6303</v>
      </c>
      <c r="B6307" t="str">
        <f t="shared" si="349"/>
        <v>1</v>
      </c>
      <c r="C6307" t="str">
        <f t="shared" si="351"/>
        <v>127</v>
      </c>
      <c r="D6307" t="str">
        <f>"21"</f>
        <v>21</v>
      </c>
      <c r="E6307" t="str">
        <f>"1-127-21"</f>
        <v>1-127-21</v>
      </c>
      <c r="F6307" t="s">
        <v>65</v>
      </c>
      <c r="G6307" t="s">
        <v>66</v>
      </c>
      <c r="H6307" t="s">
        <v>67</v>
      </c>
      <c r="S6307">
        <v>1</v>
      </c>
      <c r="T6307">
        <v>0</v>
      </c>
      <c r="U6307">
        <v>0</v>
      </c>
      <c r="V6307">
        <v>0</v>
      </c>
      <c r="W6307">
        <v>1</v>
      </c>
      <c r="X6307">
        <v>0</v>
      </c>
      <c r="Y6307">
        <v>0</v>
      </c>
      <c r="Z6307">
        <v>1</v>
      </c>
      <c r="AA6307">
        <v>1</v>
      </c>
      <c r="AB6307">
        <v>0</v>
      </c>
      <c r="AC6307">
        <v>0</v>
      </c>
      <c r="AD6307">
        <v>1</v>
      </c>
      <c r="AE6307">
        <v>1</v>
      </c>
      <c r="AF6307">
        <v>1</v>
      </c>
      <c r="AG6307">
        <v>1</v>
      </c>
      <c r="AH6307">
        <v>1</v>
      </c>
      <c r="AI6307">
        <v>1</v>
      </c>
      <c r="AJ6307">
        <v>1</v>
      </c>
      <c r="AK6307">
        <v>1</v>
      </c>
      <c r="AL6307">
        <v>1</v>
      </c>
      <c r="AM6307">
        <v>1</v>
      </c>
    </row>
    <row r="6308" spans="1:39" x14ac:dyDescent="0.2">
      <c r="A6308" t="str">
        <f>"6304"</f>
        <v>6304</v>
      </c>
      <c r="B6308" t="str">
        <f t="shared" si="349"/>
        <v>1</v>
      </c>
      <c r="C6308" t="str">
        <f t="shared" si="351"/>
        <v>127</v>
      </c>
      <c r="D6308" t="str">
        <f>"15"</f>
        <v>15</v>
      </c>
      <c r="E6308" t="str">
        <f>"1-127-15"</f>
        <v>1-127-15</v>
      </c>
      <c r="F6308" t="s">
        <v>65</v>
      </c>
      <c r="G6308" t="s">
        <v>66</v>
      </c>
      <c r="H6308" t="s">
        <v>67</v>
      </c>
      <c r="S6308">
        <v>0</v>
      </c>
      <c r="T6308">
        <v>1</v>
      </c>
      <c r="U6308">
        <v>0</v>
      </c>
      <c r="V6308">
        <v>0</v>
      </c>
      <c r="W6308">
        <v>0</v>
      </c>
      <c r="X6308">
        <v>1</v>
      </c>
      <c r="Y6308">
        <v>1</v>
      </c>
      <c r="Z6308">
        <v>0</v>
      </c>
      <c r="AA6308">
        <v>0</v>
      </c>
      <c r="AB6308">
        <v>0</v>
      </c>
      <c r="AC6308">
        <v>1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</row>
    <row r="6309" spans="1:39" x14ac:dyDescent="0.2">
      <c r="A6309" t="str">
        <f>"6305"</f>
        <v>6305</v>
      </c>
      <c r="B6309" t="str">
        <f t="shared" si="349"/>
        <v>1</v>
      </c>
      <c r="C6309" t="str">
        <f t="shared" si="351"/>
        <v>127</v>
      </c>
      <c r="D6309" t="str">
        <f>"6"</f>
        <v>6</v>
      </c>
      <c r="E6309" t="str">
        <f>"1-127-6"</f>
        <v>1-127-6</v>
      </c>
      <c r="F6309" t="s">
        <v>65</v>
      </c>
      <c r="G6309" t="s">
        <v>66</v>
      </c>
      <c r="H6309" t="s">
        <v>67</v>
      </c>
      <c r="S6309">
        <v>1</v>
      </c>
      <c r="T6309">
        <v>0</v>
      </c>
      <c r="U6309">
        <v>0</v>
      </c>
      <c r="V6309">
        <v>0</v>
      </c>
      <c r="W6309">
        <v>1</v>
      </c>
      <c r="X6309">
        <v>0</v>
      </c>
      <c r="Y6309">
        <v>1</v>
      </c>
      <c r="Z6309">
        <v>0</v>
      </c>
      <c r="AA6309">
        <v>0</v>
      </c>
      <c r="AB6309">
        <v>0</v>
      </c>
      <c r="AC6309">
        <v>1</v>
      </c>
      <c r="AD6309">
        <v>1</v>
      </c>
      <c r="AE6309">
        <v>1</v>
      </c>
      <c r="AF6309">
        <v>1</v>
      </c>
      <c r="AG6309">
        <v>1</v>
      </c>
      <c r="AH6309">
        <v>1</v>
      </c>
      <c r="AI6309">
        <v>1</v>
      </c>
      <c r="AJ6309">
        <v>1</v>
      </c>
      <c r="AK6309">
        <v>1</v>
      </c>
      <c r="AL6309">
        <v>1</v>
      </c>
      <c r="AM6309">
        <v>1</v>
      </c>
    </row>
    <row r="6310" spans="1:39" x14ac:dyDescent="0.2">
      <c r="A6310" t="str">
        <f>"6306"</f>
        <v>6306</v>
      </c>
      <c r="B6310" t="str">
        <f t="shared" si="349"/>
        <v>1</v>
      </c>
      <c r="C6310" t="str">
        <f t="shared" si="351"/>
        <v>127</v>
      </c>
      <c r="D6310" t="str">
        <f>"38"</f>
        <v>38</v>
      </c>
      <c r="E6310" t="str">
        <f>"1-127-38"</f>
        <v>1-127-38</v>
      </c>
      <c r="F6310" t="s">
        <v>65</v>
      </c>
      <c r="G6310" t="s">
        <v>66</v>
      </c>
      <c r="H6310" t="s">
        <v>67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1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</row>
    <row r="6311" spans="1:39" x14ac:dyDescent="0.2">
      <c r="A6311" t="str">
        <f>"6307"</f>
        <v>6307</v>
      </c>
      <c r="B6311" t="str">
        <f t="shared" si="349"/>
        <v>1</v>
      </c>
      <c r="C6311" t="str">
        <f t="shared" si="351"/>
        <v>127</v>
      </c>
      <c r="D6311" t="str">
        <f>"37"</f>
        <v>37</v>
      </c>
      <c r="E6311" t="str">
        <f>"1-127-37"</f>
        <v>1-127-37</v>
      </c>
      <c r="F6311" t="s">
        <v>65</v>
      </c>
      <c r="G6311" t="s">
        <v>66</v>
      </c>
      <c r="H6311" t="s">
        <v>67</v>
      </c>
      <c r="S6311">
        <v>1</v>
      </c>
      <c r="T6311">
        <v>0</v>
      </c>
      <c r="U6311">
        <v>0</v>
      </c>
      <c r="V6311">
        <v>0</v>
      </c>
      <c r="W6311">
        <v>1</v>
      </c>
      <c r="X6311">
        <v>0</v>
      </c>
      <c r="Y6311">
        <v>1</v>
      </c>
      <c r="Z6311">
        <v>0</v>
      </c>
      <c r="AA6311">
        <v>1</v>
      </c>
      <c r="AB6311">
        <v>0</v>
      </c>
      <c r="AC6311">
        <v>0</v>
      </c>
      <c r="AD6311">
        <v>1</v>
      </c>
      <c r="AE6311">
        <v>1</v>
      </c>
      <c r="AF6311">
        <v>1</v>
      </c>
      <c r="AG6311">
        <v>1</v>
      </c>
      <c r="AH6311">
        <v>1</v>
      </c>
      <c r="AI6311">
        <v>1</v>
      </c>
      <c r="AJ6311">
        <v>1</v>
      </c>
      <c r="AK6311">
        <v>1</v>
      </c>
      <c r="AL6311">
        <v>1</v>
      </c>
      <c r="AM6311">
        <v>1</v>
      </c>
    </row>
    <row r="6312" spans="1:39" x14ac:dyDescent="0.2">
      <c r="A6312" t="str">
        <f>"6308"</f>
        <v>6308</v>
      </c>
      <c r="B6312" t="str">
        <f t="shared" si="349"/>
        <v>1</v>
      </c>
      <c r="C6312" t="str">
        <f t="shared" si="351"/>
        <v>127</v>
      </c>
      <c r="D6312" t="str">
        <f>"30"</f>
        <v>30</v>
      </c>
      <c r="E6312" t="str">
        <f>"1-127-30"</f>
        <v>1-127-30</v>
      </c>
      <c r="F6312" t="s">
        <v>65</v>
      </c>
      <c r="G6312" t="s">
        <v>66</v>
      </c>
      <c r="H6312" t="s">
        <v>67</v>
      </c>
      <c r="S6312">
        <v>0</v>
      </c>
      <c r="T6312">
        <v>1</v>
      </c>
      <c r="U6312">
        <v>0</v>
      </c>
      <c r="V6312">
        <v>0</v>
      </c>
      <c r="W6312">
        <v>1</v>
      </c>
      <c r="X6312">
        <v>0</v>
      </c>
      <c r="Y6312">
        <v>1</v>
      </c>
      <c r="Z6312">
        <v>0</v>
      </c>
      <c r="AA6312">
        <v>0</v>
      </c>
      <c r="AB6312">
        <v>1</v>
      </c>
      <c r="AC6312">
        <v>0</v>
      </c>
      <c r="AD6312">
        <v>1</v>
      </c>
      <c r="AE6312">
        <v>1</v>
      </c>
      <c r="AF6312">
        <v>1</v>
      </c>
      <c r="AG6312">
        <v>1</v>
      </c>
      <c r="AH6312">
        <v>1</v>
      </c>
      <c r="AI6312">
        <v>1</v>
      </c>
      <c r="AJ6312">
        <v>1</v>
      </c>
      <c r="AK6312">
        <v>1</v>
      </c>
      <c r="AL6312">
        <v>1</v>
      </c>
      <c r="AM6312">
        <v>1</v>
      </c>
    </row>
    <row r="6313" spans="1:39" x14ac:dyDescent="0.2">
      <c r="A6313" t="str">
        <f>"6309"</f>
        <v>6309</v>
      </c>
      <c r="B6313" t="str">
        <f t="shared" si="349"/>
        <v>1</v>
      </c>
      <c r="C6313" t="str">
        <f t="shared" si="351"/>
        <v>127</v>
      </c>
      <c r="D6313" t="str">
        <f>"16"</f>
        <v>16</v>
      </c>
      <c r="E6313" t="str">
        <f>"1-127-16"</f>
        <v>1-127-16</v>
      </c>
      <c r="F6313" t="s">
        <v>65</v>
      </c>
      <c r="G6313" t="s">
        <v>66</v>
      </c>
      <c r="H6313" t="s">
        <v>67</v>
      </c>
      <c r="S6313">
        <v>0</v>
      </c>
      <c r="T6313">
        <v>1</v>
      </c>
      <c r="U6313">
        <v>0</v>
      </c>
      <c r="V6313">
        <v>0</v>
      </c>
      <c r="W6313">
        <v>1</v>
      </c>
      <c r="X6313">
        <v>0</v>
      </c>
      <c r="Y6313">
        <v>0</v>
      </c>
      <c r="Z6313">
        <v>1</v>
      </c>
      <c r="AA6313">
        <v>0</v>
      </c>
      <c r="AB6313">
        <v>1</v>
      </c>
      <c r="AC6313">
        <v>0</v>
      </c>
      <c r="AD6313">
        <v>1</v>
      </c>
      <c r="AE6313">
        <v>1</v>
      </c>
      <c r="AF6313">
        <v>1</v>
      </c>
      <c r="AG6313">
        <v>1</v>
      </c>
      <c r="AH6313">
        <v>1</v>
      </c>
      <c r="AI6313">
        <v>1</v>
      </c>
      <c r="AJ6313">
        <v>1</v>
      </c>
      <c r="AK6313">
        <v>1</v>
      </c>
      <c r="AL6313">
        <v>1</v>
      </c>
      <c r="AM6313">
        <v>1</v>
      </c>
    </row>
    <row r="6314" spans="1:39" x14ac:dyDescent="0.2">
      <c r="A6314" t="str">
        <f>"6310"</f>
        <v>6310</v>
      </c>
      <c r="B6314" t="str">
        <f t="shared" si="349"/>
        <v>1</v>
      </c>
      <c r="C6314" t="str">
        <f t="shared" si="351"/>
        <v>127</v>
      </c>
      <c r="D6314" t="str">
        <f>"3"</f>
        <v>3</v>
      </c>
      <c r="E6314" t="str">
        <f>"1-127-3"</f>
        <v>1-127-3</v>
      </c>
      <c r="F6314" t="s">
        <v>65</v>
      </c>
      <c r="G6314" t="s">
        <v>66</v>
      </c>
      <c r="H6314" t="s">
        <v>67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1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</row>
    <row r="6315" spans="1:39" x14ac:dyDescent="0.2">
      <c r="A6315" t="str">
        <f>"6311"</f>
        <v>6311</v>
      </c>
      <c r="B6315" t="str">
        <f t="shared" si="349"/>
        <v>1</v>
      </c>
      <c r="C6315" t="str">
        <f t="shared" si="351"/>
        <v>127</v>
      </c>
      <c r="D6315" t="str">
        <f>"40"</f>
        <v>40</v>
      </c>
      <c r="E6315" t="str">
        <f>"1-127-40"</f>
        <v>1-127-40</v>
      </c>
      <c r="F6315" t="s">
        <v>65</v>
      </c>
      <c r="G6315" t="s">
        <v>66</v>
      </c>
      <c r="H6315" t="s">
        <v>67</v>
      </c>
      <c r="S6315">
        <v>0</v>
      </c>
      <c r="T6315">
        <v>1</v>
      </c>
      <c r="U6315">
        <v>0</v>
      </c>
      <c r="V6315">
        <v>0</v>
      </c>
      <c r="W6315">
        <v>0</v>
      </c>
      <c r="X6315">
        <v>1</v>
      </c>
      <c r="Y6315">
        <v>0</v>
      </c>
      <c r="Z6315">
        <v>0</v>
      </c>
      <c r="AA6315">
        <v>0</v>
      </c>
      <c r="AB6315">
        <v>1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</row>
    <row r="6316" spans="1:39" x14ac:dyDescent="0.2">
      <c r="A6316" t="str">
        <f>"6312"</f>
        <v>6312</v>
      </c>
      <c r="B6316" t="str">
        <f t="shared" si="349"/>
        <v>1</v>
      </c>
      <c r="C6316" t="str">
        <f t="shared" si="351"/>
        <v>127</v>
      </c>
      <c r="D6316" t="str">
        <f>"31"</f>
        <v>31</v>
      </c>
      <c r="E6316" t="str">
        <f>"1-127-31"</f>
        <v>1-127-31</v>
      </c>
      <c r="F6316" t="s">
        <v>65</v>
      </c>
      <c r="G6316" t="s">
        <v>66</v>
      </c>
      <c r="H6316" t="s">
        <v>67</v>
      </c>
      <c r="S6316">
        <v>0</v>
      </c>
      <c r="T6316">
        <v>1</v>
      </c>
      <c r="U6316">
        <v>0</v>
      </c>
      <c r="V6316">
        <v>0</v>
      </c>
      <c r="W6316">
        <v>1</v>
      </c>
      <c r="X6316">
        <v>0</v>
      </c>
      <c r="Y6316">
        <v>1</v>
      </c>
      <c r="Z6316">
        <v>0</v>
      </c>
      <c r="AA6316">
        <v>0</v>
      </c>
      <c r="AB6316">
        <v>1</v>
      </c>
      <c r="AC6316">
        <v>0</v>
      </c>
      <c r="AD6316">
        <v>1</v>
      </c>
      <c r="AE6316">
        <v>1</v>
      </c>
      <c r="AF6316">
        <v>1</v>
      </c>
      <c r="AG6316">
        <v>1</v>
      </c>
      <c r="AH6316">
        <v>1</v>
      </c>
      <c r="AI6316">
        <v>1</v>
      </c>
      <c r="AJ6316">
        <v>1</v>
      </c>
      <c r="AK6316">
        <v>1</v>
      </c>
      <c r="AL6316">
        <v>1</v>
      </c>
      <c r="AM6316">
        <v>1</v>
      </c>
    </row>
    <row r="6317" spans="1:39" x14ac:dyDescent="0.2">
      <c r="A6317" t="str">
        <f>"6313"</f>
        <v>6313</v>
      </c>
      <c r="B6317" t="str">
        <f t="shared" si="349"/>
        <v>1</v>
      </c>
      <c r="C6317" t="str">
        <f t="shared" si="351"/>
        <v>127</v>
      </c>
      <c r="D6317" t="str">
        <f>"17"</f>
        <v>17</v>
      </c>
      <c r="E6317" t="str">
        <f>"1-127-17"</f>
        <v>1-127-17</v>
      </c>
      <c r="F6317" t="s">
        <v>65</v>
      </c>
      <c r="G6317" t="s">
        <v>66</v>
      </c>
      <c r="H6317" t="s">
        <v>67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1</v>
      </c>
      <c r="Y6317">
        <v>1</v>
      </c>
      <c r="Z6317">
        <v>0</v>
      </c>
      <c r="AA6317">
        <v>0</v>
      </c>
      <c r="AB6317">
        <v>1</v>
      </c>
      <c r="AC6317">
        <v>0</v>
      </c>
      <c r="AD6317">
        <v>1</v>
      </c>
      <c r="AE6317">
        <v>1</v>
      </c>
      <c r="AF6317">
        <v>1</v>
      </c>
      <c r="AG6317">
        <v>1</v>
      </c>
      <c r="AH6317">
        <v>1</v>
      </c>
      <c r="AI6317">
        <v>1</v>
      </c>
      <c r="AJ6317">
        <v>1</v>
      </c>
      <c r="AK6317">
        <v>1</v>
      </c>
      <c r="AL6317">
        <v>1</v>
      </c>
      <c r="AM6317">
        <v>1</v>
      </c>
    </row>
    <row r="6318" spans="1:39" x14ac:dyDescent="0.2">
      <c r="A6318" t="str">
        <f>"6314"</f>
        <v>6314</v>
      </c>
      <c r="B6318" t="str">
        <f t="shared" si="349"/>
        <v>1</v>
      </c>
      <c r="C6318" t="str">
        <f t="shared" si="351"/>
        <v>127</v>
      </c>
      <c r="D6318" t="str">
        <f>"1"</f>
        <v>1</v>
      </c>
      <c r="E6318" t="str">
        <f>"1-127-1"</f>
        <v>1-127-1</v>
      </c>
      <c r="F6318" t="s">
        <v>65</v>
      </c>
      <c r="G6318" t="s">
        <v>66</v>
      </c>
      <c r="H6318" t="s">
        <v>67</v>
      </c>
      <c r="S6318">
        <v>1</v>
      </c>
      <c r="T6318">
        <v>0</v>
      </c>
      <c r="U6318">
        <v>0</v>
      </c>
      <c r="V6318">
        <v>0</v>
      </c>
      <c r="W6318">
        <v>1</v>
      </c>
      <c r="X6318">
        <v>0</v>
      </c>
      <c r="Y6318">
        <v>1</v>
      </c>
      <c r="Z6318">
        <v>0</v>
      </c>
      <c r="AA6318">
        <v>0</v>
      </c>
      <c r="AB6318">
        <v>0</v>
      </c>
      <c r="AC6318">
        <v>1</v>
      </c>
      <c r="AD6318">
        <v>1</v>
      </c>
      <c r="AE6318">
        <v>1</v>
      </c>
      <c r="AF6318">
        <v>1</v>
      </c>
      <c r="AG6318">
        <v>1</v>
      </c>
      <c r="AH6318">
        <v>1</v>
      </c>
      <c r="AI6318">
        <v>1</v>
      </c>
      <c r="AJ6318">
        <v>1</v>
      </c>
      <c r="AK6318">
        <v>1</v>
      </c>
      <c r="AL6318">
        <v>1</v>
      </c>
      <c r="AM6318">
        <v>1</v>
      </c>
    </row>
    <row r="6319" spans="1:39" x14ac:dyDescent="0.2">
      <c r="A6319" t="str">
        <f>"6315"</f>
        <v>6315</v>
      </c>
      <c r="B6319" t="str">
        <f t="shared" si="349"/>
        <v>1</v>
      </c>
      <c r="C6319" t="str">
        <f t="shared" si="351"/>
        <v>127</v>
      </c>
      <c r="D6319" t="str">
        <f>"47"</f>
        <v>47</v>
      </c>
      <c r="E6319" t="str">
        <f>"1-127-47"</f>
        <v>1-127-47</v>
      </c>
      <c r="F6319" t="s">
        <v>65</v>
      </c>
      <c r="G6319" t="s">
        <v>66</v>
      </c>
      <c r="H6319" t="s">
        <v>67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1</v>
      </c>
      <c r="Y6319">
        <v>0</v>
      </c>
      <c r="Z6319">
        <v>0</v>
      </c>
      <c r="AA6319">
        <v>0</v>
      </c>
      <c r="AB6319">
        <v>1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</row>
    <row r="6320" spans="1:39" x14ac:dyDescent="0.2">
      <c r="A6320" t="str">
        <f>"6316"</f>
        <v>6316</v>
      </c>
      <c r="B6320" t="str">
        <f t="shared" si="349"/>
        <v>1</v>
      </c>
      <c r="C6320" t="str">
        <f t="shared" si="351"/>
        <v>127</v>
      </c>
      <c r="D6320" t="str">
        <f>"46"</f>
        <v>46</v>
      </c>
      <c r="E6320" t="str">
        <f>"1-127-46"</f>
        <v>1-127-46</v>
      </c>
      <c r="F6320" t="s">
        <v>65</v>
      </c>
      <c r="G6320" t="s">
        <v>66</v>
      </c>
      <c r="H6320" t="s">
        <v>67</v>
      </c>
      <c r="S6320">
        <v>1</v>
      </c>
      <c r="T6320">
        <v>0</v>
      </c>
      <c r="U6320">
        <v>0</v>
      </c>
      <c r="V6320">
        <v>0</v>
      </c>
      <c r="W6320">
        <v>1</v>
      </c>
      <c r="X6320">
        <v>0</v>
      </c>
      <c r="Y6320">
        <v>1</v>
      </c>
      <c r="Z6320">
        <v>0</v>
      </c>
      <c r="AA6320">
        <v>0</v>
      </c>
      <c r="AB6320">
        <v>1</v>
      </c>
      <c r="AC6320">
        <v>0</v>
      </c>
      <c r="AD6320">
        <v>1</v>
      </c>
      <c r="AE6320">
        <v>1</v>
      </c>
      <c r="AF6320">
        <v>1</v>
      </c>
      <c r="AG6320">
        <v>1</v>
      </c>
      <c r="AH6320">
        <v>1</v>
      </c>
      <c r="AI6320">
        <v>1</v>
      </c>
      <c r="AJ6320">
        <v>1</v>
      </c>
      <c r="AK6320">
        <v>1</v>
      </c>
      <c r="AL6320">
        <v>1</v>
      </c>
      <c r="AM6320">
        <v>1</v>
      </c>
    </row>
    <row r="6321" spans="1:39" x14ac:dyDescent="0.2">
      <c r="A6321" t="str">
        <f>"6317"</f>
        <v>6317</v>
      </c>
      <c r="B6321" t="str">
        <f t="shared" si="349"/>
        <v>1</v>
      </c>
      <c r="C6321" t="str">
        <f t="shared" si="351"/>
        <v>127</v>
      </c>
      <c r="D6321" t="str">
        <f>"32"</f>
        <v>32</v>
      </c>
      <c r="E6321" t="str">
        <f>"1-127-32"</f>
        <v>1-127-32</v>
      </c>
      <c r="F6321" t="s">
        <v>65</v>
      </c>
      <c r="G6321" t="s">
        <v>66</v>
      </c>
      <c r="H6321" t="s">
        <v>67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1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</row>
    <row r="6322" spans="1:39" x14ac:dyDescent="0.2">
      <c r="A6322" t="str">
        <f>"6318"</f>
        <v>6318</v>
      </c>
      <c r="B6322" t="str">
        <f t="shared" si="349"/>
        <v>1</v>
      </c>
      <c r="C6322" t="str">
        <f t="shared" si="351"/>
        <v>127</v>
      </c>
      <c r="D6322" t="str">
        <f>"18"</f>
        <v>18</v>
      </c>
      <c r="E6322" t="str">
        <f>"1-127-18"</f>
        <v>1-127-18</v>
      </c>
      <c r="F6322" t="s">
        <v>65</v>
      </c>
      <c r="G6322" t="s">
        <v>66</v>
      </c>
      <c r="H6322" t="s">
        <v>67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1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1</v>
      </c>
      <c r="AI6322">
        <v>1</v>
      </c>
      <c r="AJ6322">
        <v>1</v>
      </c>
      <c r="AK6322">
        <v>1</v>
      </c>
      <c r="AL6322">
        <v>1</v>
      </c>
      <c r="AM6322">
        <v>1</v>
      </c>
    </row>
    <row r="6323" spans="1:39" x14ac:dyDescent="0.2">
      <c r="A6323" t="str">
        <f>"6319"</f>
        <v>6319</v>
      </c>
      <c r="B6323" t="str">
        <f t="shared" si="349"/>
        <v>1</v>
      </c>
      <c r="C6323" t="str">
        <f t="shared" si="351"/>
        <v>127</v>
      </c>
      <c r="D6323" t="str">
        <f>"12"</f>
        <v>12</v>
      </c>
      <c r="E6323" t="str">
        <f>"1-127-12"</f>
        <v>1-127-12</v>
      </c>
      <c r="F6323" t="s">
        <v>65</v>
      </c>
      <c r="G6323" t="s">
        <v>66</v>
      </c>
      <c r="H6323" t="s">
        <v>67</v>
      </c>
      <c r="S6323">
        <v>0</v>
      </c>
      <c r="T6323">
        <v>1</v>
      </c>
      <c r="U6323">
        <v>0</v>
      </c>
      <c r="V6323">
        <v>0</v>
      </c>
      <c r="W6323">
        <v>0</v>
      </c>
      <c r="X6323">
        <v>1</v>
      </c>
      <c r="Y6323">
        <v>1</v>
      </c>
      <c r="Z6323">
        <v>0</v>
      </c>
      <c r="AA6323">
        <v>0</v>
      </c>
      <c r="AB6323">
        <v>1</v>
      </c>
      <c r="AC6323">
        <v>0</v>
      </c>
      <c r="AD6323">
        <v>1</v>
      </c>
      <c r="AE6323">
        <v>1</v>
      </c>
      <c r="AF6323">
        <v>1</v>
      </c>
      <c r="AG6323">
        <v>1</v>
      </c>
      <c r="AH6323">
        <v>1</v>
      </c>
      <c r="AI6323">
        <v>1</v>
      </c>
      <c r="AJ6323">
        <v>1</v>
      </c>
      <c r="AK6323">
        <v>1</v>
      </c>
      <c r="AL6323">
        <v>1</v>
      </c>
      <c r="AM6323">
        <v>1</v>
      </c>
    </row>
    <row r="6324" spans="1:39" x14ac:dyDescent="0.2">
      <c r="A6324" t="str">
        <f>"6320"</f>
        <v>6320</v>
      </c>
      <c r="B6324" t="str">
        <f t="shared" si="349"/>
        <v>1</v>
      </c>
      <c r="C6324" t="str">
        <f t="shared" si="351"/>
        <v>127</v>
      </c>
      <c r="D6324" t="str">
        <f>"33"</f>
        <v>33</v>
      </c>
      <c r="E6324" t="str">
        <f>"1-127-33"</f>
        <v>1-127-33</v>
      </c>
      <c r="F6324" t="s">
        <v>65</v>
      </c>
      <c r="G6324" t="s">
        <v>66</v>
      </c>
      <c r="H6324" t="s">
        <v>67</v>
      </c>
      <c r="S6324">
        <v>0</v>
      </c>
      <c r="T6324">
        <v>1</v>
      </c>
      <c r="U6324">
        <v>0</v>
      </c>
      <c r="V6324">
        <v>0</v>
      </c>
      <c r="W6324">
        <v>0</v>
      </c>
      <c r="X6324">
        <v>1</v>
      </c>
      <c r="Y6324">
        <v>0</v>
      </c>
      <c r="Z6324">
        <v>1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1</v>
      </c>
      <c r="AH6324">
        <v>1</v>
      </c>
      <c r="AI6324">
        <v>1</v>
      </c>
      <c r="AJ6324">
        <v>1</v>
      </c>
      <c r="AK6324">
        <v>1</v>
      </c>
      <c r="AL6324">
        <v>1</v>
      </c>
      <c r="AM6324">
        <v>1</v>
      </c>
    </row>
    <row r="6325" spans="1:39" x14ac:dyDescent="0.2">
      <c r="A6325" t="str">
        <f>"6321"</f>
        <v>6321</v>
      </c>
      <c r="B6325" t="str">
        <f t="shared" si="349"/>
        <v>1</v>
      </c>
      <c r="C6325" t="str">
        <f t="shared" si="351"/>
        <v>127</v>
      </c>
      <c r="D6325" t="str">
        <f>"19"</f>
        <v>19</v>
      </c>
      <c r="E6325" t="str">
        <f>"1-127-19"</f>
        <v>1-127-19</v>
      </c>
      <c r="F6325" t="s">
        <v>65</v>
      </c>
      <c r="G6325" t="s">
        <v>66</v>
      </c>
      <c r="H6325" t="s">
        <v>67</v>
      </c>
      <c r="S6325">
        <v>0</v>
      </c>
      <c r="T6325">
        <v>1</v>
      </c>
      <c r="U6325">
        <v>0</v>
      </c>
      <c r="V6325">
        <v>0</v>
      </c>
      <c r="W6325">
        <v>1</v>
      </c>
      <c r="X6325">
        <v>0</v>
      </c>
      <c r="Y6325">
        <v>0</v>
      </c>
      <c r="Z6325">
        <v>1</v>
      </c>
      <c r="AA6325">
        <v>1</v>
      </c>
      <c r="AB6325">
        <v>0</v>
      </c>
      <c r="AC6325">
        <v>0</v>
      </c>
      <c r="AD6325">
        <v>1</v>
      </c>
      <c r="AE6325">
        <v>1</v>
      </c>
      <c r="AF6325">
        <v>1</v>
      </c>
      <c r="AG6325">
        <v>1</v>
      </c>
      <c r="AH6325">
        <v>1</v>
      </c>
      <c r="AI6325">
        <v>1</v>
      </c>
      <c r="AJ6325">
        <v>1</v>
      </c>
      <c r="AK6325">
        <v>1</v>
      </c>
      <c r="AL6325">
        <v>1</v>
      </c>
      <c r="AM6325">
        <v>1</v>
      </c>
    </row>
    <row r="6326" spans="1:39" x14ac:dyDescent="0.2">
      <c r="A6326" t="str">
        <f>"6322"</f>
        <v>6322</v>
      </c>
      <c r="B6326" t="str">
        <f t="shared" si="349"/>
        <v>1</v>
      </c>
      <c r="C6326" t="str">
        <f t="shared" si="351"/>
        <v>127</v>
      </c>
      <c r="D6326" t="str">
        <f>"4"</f>
        <v>4</v>
      </c>
      <c r="E6326" t="str">
        <f>"1-127-4"</f>
        <v>1-127-4</v>
      </c>
      <c r="F6326" t="s">
        <v>65</v>
      </c>
      <c r="G6326" t="s">
        <v>66</v>
      </c>
      <c r="H6326" t="s">
        <v>67</v>
      </c>
      <c r="S6326">
        <v>1</v>
      </c>
      <c r="T6326">
        <v>0</v>
      </c>
      <c r="U6326">
        <v>0</v>
      </c>
      <c r="V6326">
        <v>0</v>
      </c>
      <c r="W6326">
        <v>1</v>
      </c>
      <c r="X6326">
        <v>0</v>
      </c>
      <c r="Y6326">
        <v>1</v>
      </c>
      <c r="Z6326">
        <v>0</v>
      </c>
      <c r="AA6326">
        <v>0</v>
      </c>
      <c r="AB6326">
        <v>1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</row>
    <row r="6327" spans="1:39" x14ac:dyDescent="0.2">
      <c r="A6327" t="str">
        <f>"6323"</f>
        <v>6323</v>
      </c>
      <c r="B6327" t="str">
        <f t="shared" ref="B6327:B6390" si="352">"1"</f>
        <v>1</v>
      </c>
      <c r="C6327" t="str">
        <f t="shared" si="351"/>
        <v>127</v>
      </c>
      <c r="D6327" t="str">
        <f>"34"</f>
        <v>34</v>
      </c>
      <c r="E6327" t="str">
        <f>"1-127-34"</f>
        <v>1-127-34</v>
      </c>
      <c r="F6327" t="s">
        <v>65</v>
      </c>
      <c r="G6327" t="s">
        <v>66</v>
      </c>
      <c r="H6327" t="s">
        <v>67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1</v>
      </c>
      <c r="Y6327">
        <v>1</v>
      </c>
      <c r="Z6327">
        <v>0</v>
      </c>
      <c r="AA6327">
        <v>0</v>
      </c>
      <c r="AB6327">
        <v>0</v>
      </c>
      <c r="AC6327">
        <v>1</v>
      </c>
      <c r="AD6327">
        <v>1</v>
      </c>
      <c r="AE6327">
        <v>1</v>
      </c>
      <c r="AF6327">
        <v>1</v>
      </c>
      <c r="AG6327">
        <v>1</v>
      </c>
      <c r="AH6327">
        <v>1</v>
      </c>
      <c r="AI6327">
        <v>1</v>
      </c>
      <c r="AJ6327">
        <v>1</v>
      </c>
      <c r="AK6327">
        <v>1</v>
      </c>
      <c r="AL6327">
        <v>1</v>
      </c>
      <c r="AM6327">
        <v>1</v>
      </c>
    </row>
    <row r="6328" spans="1:39" x14ac:dyDescent="0.2">
      <c r="A6328" t="str">
        <f>"6324"</f>
        <v>6324</v>
      </c>
      <c r="B6328" t="str">
        <f t="shared" si="352"/>
        <v>1</v>
      </c>
      <c r="C6328" t="str">
        <f t="shared" si="351"/>
        <v>127</v>
      </c>
      <c r="D6328" t="str">
        <f>"20"</f>
        <v>20</v>
      </c>
      <c r="E6328" t="str">
        <f>"1-127-20"</f>
        <v>1-127-20</v>
      </c>
      <c r="F6328" t="s">
        <v>65</v>
      </c>
      <c r="G6328" t="s">
        <v>66</v>
      </c>
      <c r="H6328" t="s">
        <v>67</v>
      </c>
      <c r="S6328">
        <v>0</v>
      </c>
      <c r="T6328">
        <v>1</v>
      </c>
      <c r="U6328">
        <v>0</v>
      </c>
      <c r="V6328">
        <v>0</v>
      </c>
      <c r="W6328">
        <v>0</v>
      </c>
      <c r="X6328">
        <v>1</v>
      </c>
      <c r="Y6328">
        <v>1</v>
      </c>
      <c r="Z6328">
        <v>0</v>
      </c>
      <c r="AA6328">
        <v>0</v>
      </c>
      <c r="AB6328">
        <v>0</v>
      </c>
      <c r="AC6328">
        <v>1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</row>
    <row r="6329" spans="1:39" x14ac:dyDescent="0.2">
      <c r="A6329" t="str">
        <f>"6325"</f>
        <v>6325</v>
      </c>
      <c r="B6329" t="str">
        <f t="shared" si="352"/>
        <v>1</v>
      </c>
      <c r="C6329" t="str">
        <f t="shared" si="351"/>
        <v>127</v>
      </c>
      <c r="D6329" t="str">
        <f>"10"</f>
        <v>10</v>
      </c>
      <c r="E6329" t="str">
        <f>"1-127-10"</f>
        <v>1-127-10</v>
      </c>
      <c r="F6329" t="s">
        <v>65</v>
      </c>
      <c r="G6329" t="s">
        <v>66</v>
      </c>
      <c r="H6329" t="s">
        <v>67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1</v>
      </c>
      <c r="Y6329">
        <v>0</v>
      </c>
      <c r="Z6329">
        <v>1</v>
      </c>
      <c r="AA6329">
        <v>0</v>
      </c>
      <c r="AB6329">
        <v>0</v>
      </c>
      <c r="AC6329">
        <v>1</v>
      </c>
      <c r="AD6329">
        <v>1</v>
      </c>
      <c r="AE6329">
        <v>1</v>
      </c>
      <c r="AF6329">
        <v>1</v>
      </c>
      <c r="AG6329">
        <v>1</v>
      </c>
      <c r="AH6329">
        <v>1</v>
      </c>
      <c r="AI6329">
        <v>1</v>
      </c>
      <c r="AJ6329">
        <v>1</v>
      </c>
      <c r="AK6329">
        <v>1</v>
      </c>
      <c r="AL6329">
        <v>1</v>
      </c>
      <c r="AM6329">
        <v>1</v>
      </c>
    </row>
    <row r="6330" spans="1:39" x14ac:dyDescent="0.2">
      <c r="A6330" t="str">
        <f>"6326"</f>
        <v>6326</v>
      </c>
      <c r="B6330" t="str">
        <f t="shared" si="352"/>
        <v>1</v>
      </c>
      <c r="C6330" t="str">
        <f t="shared" si="351"/>
        <v>127</v>
      </c>
      <c r="D6330" t="str">
        <f>"41"</f>
        <v>41</v>
      </c>
      <c r="E6330" t="str">
        <f>"1-127-41"</f>
        <v>1-127-41</v>
      </c>
      <c r="F6330" t="s">
        <v>65</v>
      </c>
      <c r="G6330" t="s">
        <v>66</v>
      </c>
      <c r="H6330" t="s">
        <v>67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1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</row>
    <row r="6331" spans="1:39" x14ac:dyDescent="0.2">
      <c r="A6331" t="str">
        <f>"6327"</f>
        <v>6327</v>
      </c>
      <c r="B6331" t="str">
        <f t="shared" si="352"/>
        <v>1</v>
      </c>
      <c r="C6331" t="str">
        <f t="shared" si="351"/>
        <v>127</v>
      </c>
      <c r="D6331" t="str">
        <f>"22"</f>
        <v>22</v>
      </c>
      <c r="E6331" t="str">
        <f>"1-127-22"</f>
        <v>1-127-22</v>
      </c>
      <c r="F6331" t="s">
        <v>65</v>
      </c>
      <c r="G6331" t="s">
        <v>66</v>
      </c>
      <c r="H6331" t="s">
        <v>67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1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</row>
    <row r="6332" spans="1:39" x14ac:dyDescent="0.2">
      <c r="A6332" t="str">
        <f>"6328"</f>
        <v>6328</v>
      </c>
      <c r="B6332" t="str">
        <f t="shared" si="352"/>
        <v>1</v>
      </c>
      <c r="C6332" t="str">
        <f t="shared" si="351"/>
        <v>127</v>
      </c>
      <c r="D6332" t="str">
        <f>"14"</f>
        <v>14</v>
      </c>
      <c r="E6332" t="str">
        <f>"1-127-14"</f>
        <v>1-127-14</v>
      </c>
      <c r="F6332" t="s">
        <v>65</v>
      </c>
      <c r="G6332" t="s">
        <v>66</v>
      </c>
      <c r="H6332" t="s">
        <v>67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1</v>
      </c>
      <c r="Y6332">
        <v>0</v>
      </c>
      <c r="Z6332">
        <v>0</v>
      </c>
      <c r="AA6332">
        <v>0</v>
      </c>
      <c r="AB6332">
        <v>0</v>
      </c>
      <c r="AC6332">
        <v>1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</row>
    <row r="6333" spans="1:39" x14ac:dyDescent="0.2">
      <c r="A6333" t="str">
        <f>"6329"</f>
        <v>6329</v>
      </c>
      <c r="B6333" t="str">
        <f t="shared" si="352"/>
        <v>1</v>
      </c>
      <c r="C6333" t="str">
        <f t="shared" si="351"/>
        <v>127</v>
      </c>
      <c r="D6333" t="str">
        <f>"45"</f>
        <v>45</v>
      </c>
      <c r="E6333" t="str">
        <f>"1-127-45"</f>
        <v>1-127-45</v>
      </c>
      <c r="F6333" t="s">
        <v>65</v>
      </c>
      <c r="G6333" t="s">
        <v>66</v>
      </c>
      <c r="H6333" t="s">
        <v>67</v>
      </c>
      <c r="S6333">
        <v>0</v>
      </c>
      <c r="T6333">
        <v>1</v>
      </c>
      <c r="U6333">
        <v>0</v>
      </c>
      <c r="V6333">
        <v>0</v>
      </c>
      <c r="W6333">
        <v>1</v>
      </c>
      <c r="X6333">
        <v>0</v>
      </c>
      <c r="Y6333">
        <v>1</v>
      </c>
      <c r="Z6333">
        <v>0</v>
      </c>
      <c r="AA6333">
        <v>1</v>
      </c>
      <c r="AB6333">
        <v>0</v>
      </c>
      <c r="AC6333">
        <v>0</v>
      </c>
      <c r="AD6333">
        <v>1</v>
      </c>
      <c r="AE6333">
        <v>1</v>
      </c>
      <c r="AF6333">
        <v>1</v>
      </c>
      <c r="AG6333">
        <v>1</v>
      </c>
      <c r="AH6333">
        <v>1</v>
      </c>
      <c r="AI6333">
        <v>1</v>
      </c>
      <c r="AJ6333">
        <v>1</v>
      </c>
      <c r="AK6333">
        <v>1</v>
      </c>
      <c r="AL6333">
        <v>1</v>
      </c>
      <c r="AM6333">
        <v>1</v>
      </c>
    </row>
    <row r="6334" spans="1:39" x14ac:dyDescent="0.2">
      <c r="A6334" t="str">
        <f>"6330"</f>
        <v>6330</v>
      </c>
      <c r="B6334" t="str">
        <f t="shared" si="352"/>
        <v>1</v>
      </c>
      <c r="C6334" t="str">
        <f t="shared" si="351"/>
        <v>127</v>
      </c>
      <c r="D6334" t="str">
        <f>"23"</f>
        <v>23</v>
      </c>
      <c r="E6334" t="str">
        <f>"1-127-23"</f>
        <v>1-127-23</v>
      </c>
      <c r="F6334" t="s">
        <v>65</v>
      </c>
      <c r="G6334" t="s">
        <v>66</v>
      </c>
      <c r="H6334" t="s">
        <v>67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1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</row>
    <row r="6335" spans="1:39" x14ac:dyDescent="0.2">
      <c r="A6335" t="str">
        <f>"6331"</f>
        <v>6331</v>
      </c>
      <c r="B6335" t="str">
        <f t="shared" si="352"/>
        <v>1</v>
      </c>
      <c r="C6335" t="str">
        <f t="shared" si="351"/>
        <v>127</v>
      </c>
      <c r="D6335" t="str">
        <f>"5"</f>
        <v>5</v>
      </c>
      <c r="E6335" t="str">
        <f>"1-127-5"</f>
        <v>1-127-5</v>
      </c>
      <c r="F6335" t="s">
        <v>65</v>
      </c>
      <c r="G6335" t="s">
        <v>66</v>
      </c>
      <c r="H6335" t="s">
        <v>67</v>
      </c>
      <c r="S6335">
        <v>0</v>
      </c>
      <c r="T6335">
        <v>0</v>
      </c>
      <c r="U6335">
        <v>0</v>
      </c>
      <c r="V6335">
        <v>0</v>
      </c>
      <c r="W6335">
        <v>1</v>
      </c>
      <c r="X6335">
        <v>0</v>
      </c>
      <c r="Y6335">
        <v>1</v>
      </c>
      <c r="Z6335">
        <v>0</v>
      </c>
      <c r="AA6335">
        <v>0</v>
      </c>
      <c r="AB6335">
        <v>1</v>
      </c>
      <c r="AC6335">
        <v>0</v>
      </c>
      <c r="AD6335">
        <v>0</v>
      </c>
      <c r="AE6335">
        <v>0</v>
      </c>
      <c r="AF6335">
        <v>0</v>
      </c>
      <c r="AG6335">
        <v>1</v>
      </c>
      <c r="AH6335">
        <v>0</v>
      </c>
      <c r="AI6335">
        <v>0</v>
      </c>
      <c r="AJ6335">
        <v>0</v>
      </c>
      <c r="AK6335">
        <v>0</v>
      </c>
      <c r="AL6335">
        <v>1</v>
      </c>
      <c r="AM6335">
        <v>0</v>
      </c>
    </row>
    <row r="6336" spans="1:39" x14ac:dyDescent="0.2">
      <c r="A6336" t="str">
        <f>"6332"</f>
        <v>6332</v>
      </c>
      <c r="B6336" t="str">
        <f t="shared" si="352"/>
        <v>1</v>
      </c>
      <c r="C6336" t="str">
        <f t="shared" si="351"/>
        <v>127</v>
      </c>
      <c r="D6336" t="str">
        <f>"42"</f>
        <v>42</v>
      </c>
      <c r="E6336" t="str">
        <f>"1-127-42"</f>
        <v>1-127-42</v>
      </c>
      <c r="F6336" t="s">
        <v>65</v>
      </c>
      <c r="G6336" t="s">
        <v>66</v>
      </c>
      <c r="H6336" t="s">
        <v>67</v>
      </c>
      <c r="S6336">
        <v>0</v>
      </c>
      <c r="T6336">
        <v>1</v>
      </c>
      <c r="U6336">
        <v>0</v>
      </c>
      <c r="V6336">
        <v>0</v>
      </c>
      <c r="W6336">
        <v>0</v>
      </c>
      <c r="X6336">
        <v>1</v>
      </c>
      <c r="Y6336">
        <v>1</v>
      </c>
      <c r="Z6336">
        <v>0</v>
      </c>
      <c r="AA6336">
        <v>0</v>
      </c>
      <c r="AB6336">
        <v>0</v>
      </c>
      <c r="AC6336">
        <v>1</v>
      </c>
      <c r="AD6336">
        <v>1</v>
      </c>
      <c r="AE6336">
        <v>1</v>
      </c>
      <c r="AF6336">
        <v>1</v>
      </c>
      <c r="AG6336">
        <v>1</v>
      </c>
      <c r="AH6336">
        <v>1</v>
      </c>
      <c r="AI6336">
        <v>1</v>
      </c>
      <c r="AJ6336">
        <v>1</v>
      </c>
      <c r="AK6336">
        <v>1</v>
      </c>
      <c r="AL6336">
        <v>1</v>
      </c>
      <c r="AM6336">
        <v>1</v>
      </c>
    </row>
    <row r="6337" spans="1:39" x14ac:dyDescent="0.2">
      <c r="A6337" t="str">
        <f>"6333"</f>
        <v>6333</v>
      </c>
      <c r="B6337" t="str">
        <f t="shared" si="352"/>
        <v>1</v>
      </c>
      <c r="C6337" t="str">
        <f t="shared" ref="C6337:C6354" si="353">"127"</f>
        <v>127</v>
      </c>
      <c r="D6337" t="str">
        <f>"24"</f>
        <v>24</v>
      </c>
      <c r="E6337" t="str">
        <f>"1-127-24"</f>
        <v>1-127-24</v>
      </c>
      <c r="F6337" t="s">
        <v>65</v>
      </c>
      <c r="G6337" t="s">
        <v>66</v>
      </c>
      <c r="H6337" t="s">
        <v>67</v>
      </c>
      <c r="S6337">
        <v>1</v>
      </c>
      <c r="T6337">
        <v>0</v>
      </c>
      <c r="U6337">
        <v>0</v>
      </c>
      <c r="V6337">
        <v>0</v>
      </c>
      <c r="W6337">
        <v>1</v>
      </c>
      <c r="X6337">
        <v>0</v>
      </c>
      <c r="Y6337">
        <v>1</v>
      </c>
      <c r="Z6337">
        <v>0</v>
      </c>
      <c r="AA6337">
        <v>0</v>
      </c>
      <c r="AB6337">
        <v>0</v>
      </c>
      <c r="AC6337">
        <v>1</v>
      </c>
      <c r="AD6337">
        <v>1</v>
      </c>
      <c r="AE6337">
        <v>1</v>
      </c>
      <c r="AF6337">
        <v>1</v>
      </c>
      <c r="AG6337">
        <v>1</v>
      </c>
      <c r="AH6337">
        <v>1</v>
      </c>
      <c r="AI6337">
        <v>1</v>
      </c>
      <c r="AJ6337">
        <v>1</v>
      </c>
      <c r="AK6337">
        <v>1</v>
      </c>
      <c r="AL6337">
        <v>1</v>
      </c>
      <c r="AM6337">
        <v>0</v>
      </c>
    </row>
    <row r="6338" spans="1:39" x14ac:dyDescent="0.2">
      <c r="A6338" t="str">
        <f>"6334"</f>
        <v>6334</v>
      </c>
      <c r="B6338" t="str">
        <f t="shared" si="352"/>
        <v>1</v>
      </c>
      <c r="C6338" t="str">
        <f t="shared" si="353"/>
        <v>127</v>
      </c>
      <c r="D6338" t="str">
        <f>"13"</f>
        <v>13</v>
      </c>
      <c r="E6338" t="str">
        <f>"1-127-13"</f>
        <v>1-127-13</v>
      </c>
      <c r="F6338" t="s">
        <v>65</v>
      </c>
      <c r="G6338" t="s">
        <v>66</v>
      </c>
      <c r="H6338" t="s">
        <v>67</v>
      </c>
      <c r="S6338">
        <v>0</v>
      </c>
      <c r="T6338">
        <v>1</v>
      </c>
      <c r="U6338">
        <v>0</v>
      </c>
      <c r="V6338">
        <v>0</v>
      </c>
      <c r="W6338">
        <v>1</v>
      </c>
      <c r="X6338">
        <v>0</v>
      </c>
      <c r="Y6338">
        <v>1</v>
      </c>
      <c r="Z6338">
        <v>0</v>
      </c>
      <c r="AA6338">
        <v>1</v>
      </c>
      <c r="AB6338">
        <v>0</v>
      </c>
      <c r="AC6338">
        <v>0</v>
      </c>
      <c r="AD6338">
        <v>1</v>
      </c>
      <c r="AE6338">
        <v>1</v>
      </c>
      <c r="AF6338">
        <v>1</v>
      </c>
      <c r="AG6338">
        <v>1</v>
      </c>
      <c r="AH6338">
        <v>1</v>
      </c>
      <c r="AI6338">
        <v>1</v>
      </c>
      <c r="AJ6338">
        <v>1</v>
      </c>
      <c r="AK6338">
        <v>1</v>
      </c>
      <c r="AL6338">
        <v>1</v>
      </c>
      <c r="AM6338">
        <v>1</v>
      </c>
    </row>
    <row r="6339" spans="1:39" x14ac:dyDescent="0.2">
      <c r="A6339" t="str">
        <f>"6335"</f>
        <v>6335</v>
      </c>
      <c r="B6339" t="str">
        <f t="shared" si="352"/>
        <v>1</v>
      </c>
      <c r="C6339" t="str">
        <f t="shared" si="353"/>
        <v>127</v>
      </c>
      <c r="D6339" t="str">
        <f>"43"</f>
        <v>43</v>
      </c>
      <c r="E6339" t="str">
        <f>"1-127-43"</f>
        <v>1-127-43</v>
      </c>
      <c r="F6339" t="s">
        <v>65</v>
      </c>
      <c r="G6339" t="s">
        <v>66</v>
      </c>
      <c r="H6339" t="s">
        <v>67</v>
      </c>
      <c r="S6339">
        <v>0</v>
      </c>
      <c r="T6339">
        <v>1</v>
      </c>
      <c r="U6339">
        <v>0</v>
      </c>
      <c r="V6339">
        <v>0</v>
      </c>
      <c r="W6339">
        <v>0</v>
      </c>
      <c r="X6339">
        <v>1</v>
      </c>
      <c r="Y6339">
        <v>0</v>
      </c>
      <c r="Z6339">
        <v>1</v>
      </c>
      <c r="AA6339">
        <v>0</v>
      </c>
      <c r="AB6339">
        <v>0</v>
      </c>
      <c r="AC6339">
        <v>1</v>
      </c>
      <c r="AD6339">
        <v>1</v>
      </c>
      <c r="AE6339">
        <v>1</v>
      </c>
      <c r="AF6339">
        <v>1</v>
      </c>
      <c r="AG6339">
        <v>1</v>
      </c>
      <c r="AH6339">
        <v>1</v>
      </c>
      <c r="AI6339">
        <v>1</v>
      </c>
      <c r="AJ6339">
        <v>1</v>
      </c>
      <c r="AK6339">
        <v>1</v>
      </c>
      <c r="AL6339">
        <v>1</v>
      </c>
      <c r="AM6339">
        <v>1</v>
      </c>
    </row>
    <row r="6340" spans="1:39" x14ac:dyDescent="0.2">
      <c r="A6340" t="str">
        <f>"6336"</f>
        <v>6336</v>
      </c>
      <c r="B6340" t="str">
        <f t="shared" si="352"/>
        <v>1</v>
      </c>
      <c r="C6340" t="str">
        <f t="shared" si="353"/>
        <v>127</v>
      </c>
      <c r="D6340" t="str">
        <f>"25"</f>
        <v>25</v>
      </c>
      <c r="E6340" t="str">
        <f>"1-127-25"</f>
        <v>1-127-25</v>
      </c>
      <c r="F6340" t="s">
        <v>65</v>
      </c>
      <c r="G6340" t="s">
        <v>66</v>
      </c>
      <c r="H6340" t="s">
        <v>67</v>
      </c>
      <c r="S6340">
        <v>1</v>
      </c>
      <c r="T6340">
        <v>0</v>
      </c>
      <c r="U6340">
        <v>0</v>
      </c>
      <c r="V6340">
        <v>0</v>
      </c>
      <c r="W6340">
        <v>1</v>
      </c>
      <c r="X6340">
        <v>0</v>
      </c>
      <c r="Y6340">
        <v>0</v>
      </c>
      <c r="Z6340">
        <v>1</v>
      </c>
      <c r="AA6340">
        <v>0</v>
      </c>
      <c r="AB6340">
        <v>1</v>
      </c>
      <c r="AC6340">
        <v>0</v>
      </c>
      <c r="AD6340">
        <v>1</v>
      </c>
      <c r="AE6340">
        <v>1</v>
      </c>
      <c r="AF6340">
        <v>1</v>
      </c>
      <c r="AG6340">
        <v>1</v>
      </c>
      <c r="AH6340">
        <v>1</v>
      </c>
      <c r="AI6340">
        <v>1</v>
      </c>
      <c r="AJ6340">
        <v>1</v>
      </c>
      <c r="AK6340">
        <v>1</v>
      </c>
      <c r="AL6340">
        <v>1</v>
      </c>
      <c r="AM6340">
        <v>1</v>
      </c>
    </row>
    <row r="6341" spans="1:39" x14ac:dyDescent="0.2">
      <c r="A6341" t="str">
        <f>"6337"</f>
        <v>6337</v>
      </c>
      <c r="B6341" t="str">
        <f t="shared" si="352"/>
        <v>1</v>
      </c>
      <c r="C6341" t="str">
        <f t="shared" si="353"/>
        <v>127</v>
      </c>
      <c r="D6341" t="str">
        <f>"7"</f>
        <v>7</v>
      </c>
      <c r="E6341" t="str">
        <f>"1-127-7"</f>
        <v>1-127-7</v>
      </c>
      <c r="F6341" t="s">
        <v>65</v>
      </c>
      <c r="G6341" t="s">
        <v>66</v>
      </c>
      <c r="H6341" t="s">
        <v>67</v>
      </c>
      <c r="S6341">
        <v>1</v>
      </c>
      <c r="T6341">
        <v>0</v>
      </c>
      <c r="U6341">
        <v>0</v>
      </c>
      <c r="V6341">
        <v>0</v>
      </c>
      <c r="W6341">
        <v>1</v>
      </c>
      <c r="X6341">
        <v>0</v>
      </c>
      <c r="Y6341">
        <v>0</v>
      </c>
      <c r="Z6341">
        <v>1</v>
      </c>
      <c r="AA6341">
        <v>0</v>
      </c>
      <c r="AB6341">
        <v>0</v>
      </c>
      <c r="AC6341">
        <v>1</v>
      </c>
      <c r="AD6341">
        <v>1</v>
      </c>
      <c r="AE6341">
        <v>1</v>
      </c>
      <c r="AF6341">
        <v>1</v>
      </c>
      <c r="AG6341">
        <v>1</v>
      </c>
      <c r="AH6341">
        <v>1</v>
      </c>
      <c r="AI6341">
        <v>1</v>
      </c>
      <c r="AJ6341">
        <v>1</v>
      </c>
      <c r="AK6341">
        <v>1</v>
      </c>
      <c r="AL6341">
        <v>1</v>
      </c>
      <c r="AM6341">
        <v>1</v>
      </c>
    </row>
    <row r="6342" spans="1:39" x14ac:dyDescent="0.2">
      <c r="A6342" t="str">
        <f>"6338"</f>
        <v>6338</v>
      </c>
      <c r="B6342" t="str">
        <f t="shared" si="352"/>
        <v>1</v>
      </c>
      <c r="C6342" t="str">
        <f t="shared" si="353"/>
        <v>127</v>
      </c>
      <c r="D6342" t="str">
        <f>"44"</f>
        <v>44</v>
      </c>
      <c r="E6342" t="str">
        <f>"1-127-44"</f>
        <v>1-127-44</v>
      </c>
      <c r="F6342" t="s">
        <v>65</v>
      </c>
      <c r="G6342" t="s">
        <v>66</v>
      </c>
      <c r="H6342" t="s">
        <v>67</v>
      </c>
      <c r="S6342">
        <v>1</v>
      </c>
      <c r="T6342">
        <v>0</v>
      </c>
      <c r="U6342">
        <v>0</v>
      </c>
      <c r="V6342">
        <v>0</v>
      </c>
      <c r="W6342">
        <v>0</v>
      </c>
      <c r="X6342">
        <v>1</v>
      </c>
      <c r="Y6342">
        <v>1</v>
      </c>
      <c r="Z6342">
        <v>0</v>
      </c>
      <c r="AA6342">
        <v>1</v>
      </c>
      <c r="AB6342">
        <v>0</v>
      </c>
      <c r="AC6342">
        <v>0</v>
      </c>
      <c r="AD6342">
        <v>1</v>
      </c>
      <c r="AE6342">
        <v>1</v>
      </c>
      <c r="AF6342">
        <v>1</v>
      </c>
      <c r="AG6342">
        <v>1</v>
      </c>
      <c r="AH6342">
        <v>1</v>
      </c>
      <c r="AI6342">
        <v>1</v>
      </c>
      <c r="AJ6342">
        <v>1</v>
      </c>
      <c r="AK6342">
        <v>1</v>
      </c>
      <c r="AL6342">
        <v>1</v>
      </c>
      <c r="AM6342">
        <v>1</v>
      </c>
    </row>
    <row r="6343" spans="1:39" x14ac:dyDescent="0.2">
      <c r="A6343" t="str">
        <f>"6339"</f>
        <v>6339</v>
      </c>
      <c r="B6343" t="str">
        <f t="shared" si="352"/>
        <v>1</v>
      </c>
      <c r="C6343" t="str">
        <f t="shared" si="353"/>
        <v>127</v>
      </c>
      <c r="D6343" t="str">
        <f>"26"</f>
        <v>26</v>
      </c>
      <c r="E6343" t="str">
        <f>"1-127-26"</f>
        <v>1-127-26</v>
      </c>
      <c r="F6343" t="s">
        <v>65</v>
      </c>
      <c r="G6343" t="s">
        <v>66</v>
      </c>
      <c r="H6343" t="s">
        <v>67</v>
      </c>
      <c r="S6343">
        <v>1</v>
      </c>
      <c r="T6343">
        <v>0</v>
      </c>
      <c r="U6343">
        <v>0</v>
      </c>
      <c r="V6343">
        <v>0</v>
      </c>
      <c r="W6343">
        <v>1</v>
      </c>
      <c r="X6343">
        <v>0</v>
      </c>
      <c r="Y6343">
        <v>1</v>
      </c>
      <c r="Z6343">
        <v>0</v>
      </c>
      <c r="AA6343">
        <v>1</v>
      </c>
      <c r="AB6343">
        <v>0</v>
      </c>
      <c r="AC6343">
        <v>0</v>
      </c>
      <c r="AD6343">
        <v>1</v>
      </c>
      <c r="AE6343">
        <v>1</v>
      </c>
      <c r="AF6343">
        <v>1</v>
      </c>
      <c r="AG6343">
        <v>1</v>
      </c>
      <c r="AH6343">
        <v>1</v>
      </c>
      <c r="AI6343">
        <v>1</v>
      </c>
      <c r="AJ6343">
        <v>1</v>
      </c>
      <c r="AK6343">
        <v>1</v>
      </c>
      <c r="AL6343">
        <v>1</v>
      </c>
      <c r="AM6343">
        <v>1</v>
      </c>
    </row>
    <row r="6344" spans="1:39" x14ac:dyDescent="0.2">
      <c r="A6344" t="str">
        <f>"6340"</f>
        <v>6340</v>
      </c>
      <c r="B6344" t="str">
        <f t="shared" si="352"/>
        <v>1</v>
      </c>
      <c r="C6344" t="str">
        <f t="shared" si="353"/>
        <v>127</v>
      </c>
      <c r="D6344" t="str">
        <f>"11"</f>
        <v>11</v>
      </c>
      <c r="E6344" t="str">
        <f>"1-127-11"</f>
        <v>1-127-11</v>
      </c>
      <c r="F6344" t="s">
        <v>65</v>
      </c>
      <c r="G6344" t="s">
        <v>66</v>
      </c>
      <c r="H6344" t="s">
        <v>67</v>
      </c>
      <c r="S6344">
        <v>0</v>
      </c>
      <c r="T6344">
        <v>1</v>
      </c>
      <c r="U6344">
        <v>0</v>
      </c>
      <c r="V6344">
        <v>0</v>
      </c>
      <c r="W6344">
        <v>0</v>
      </c>
      <c r="X6344">
        <v>1</v>
      </c>
      <c r="Y6344">
        <v>1</v>
      </c>
      <c r="Z6344">
        <v>0</v>
      </c>
      <c r="AA6344">
        <v>0</v>
      </c>
      <c r="AB6344">
        <v>1</v>
      </c>
      <c r="AC6344">
        <v>0</v>
      </c>
      <c r="AD6344">
        <v>0</v>
      </c>
      <c r="AE6344">
        <v>0</v>
      </c>
      <c r="AF6344">
        <v>0</v>
      </c>
      <c r="AG6344">
        <v>1</v>
      </c>
      <c r="AH6344">
        <v>0</v>
      </c>
      <c r="AI6344">
        <v>0</v>
      </c>
      <c r="AJ6344">
        <v>0</v>
      </c>
      <c r="AK6344">
        <v>0</v>
      </c>
      <c r="AL6344">
        <v>1</v>
      </c>
      <c r="AM6344">
        <v>1</v>
      </c>
    </row>
    <row r="6345" spans="1:39" x14ac:dyDescent="0.2">
      <c r="A6345" t="str">
        <f>"6341"</f>
        <v>6341</v>
      </c>
      <c r="B6345" t="str">
        <f t="shared" si="352"/>
        <v>1</v>
      </c>
      <c r="C6345" t="str">
        <f t="shared" si="353"/>
        <v>127</v>
      </c>
      <c r="D6345" t="str">
        <f>"48"</f>
        <v>48</v>
      </c>
      <c r="E6345" t="str">
        <f>"1-127-48"</f>
        <v>1-127-48</v>
      </c>
      <c r="F6345" t="s">
        <v>65</v>
      </c>
      <c r="G6345" t="s">
        <v>66</v>
      </c>
      <c r="H6345" t="s">
        <v>67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1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</row>
    <row r="6346" spans="1:39" x14ac:dyDescent="0.2">
      <c r="A6346" t="str">
        <f>"6342"</f>
        <v>6342</v>
      </c>
      <c r="B6346" t="str">
        <f t="shared" si="352"/>
        <v>1</v>
      </c>
      <c r="C6346" t="str">
        <f t="shared" si="353"/>
        <v>127</v>
      </c>
      <c r="D6346" t="str">
        <f>"27"</f>
        <v>27</v>
      </c>
      <c r="E6346" t="str">
        <f>"1-127-27"</f>
        <v>1-127-27</v>
      </c>
      <c r="F6346" t="s">
        <v>65</v>
      </c>
      <c r="G6346" t="s">
        <v>66</v>
      </c>
      <c r="H6346" t="s">
        <v>67</v>
      </c>
      <c r="S6346">
        <v>1</v>
      </c>
      <c r="T6346">
        <v>0</v>
      </c>
      <c r="U6346">
        <v>0</v>
      </c>
      <c r="V6346">
        <v>0</v>
      </c>
      <c r="W6346">
        <v>0</v>
      </c>
      <c r="X6346">
        <v>1</v>
      </c>
      <c r="Y6346">
        <v>0</v>
      </c>
      <c r="Z6346">
        <v>1</v>
      </c>
      <c r="AA6346">
        <v>1</v>
      </c>
      <c r="AB6346">
        <v>0</v>
      </c>
      <c r="AC6346">
        <v>0</v>
      </c>
      <c r="AD6346">
        <v>1</v>
      </c>
      <c r="AE6346">
        <v>1</v>
      </c>
      <c r="AF6346">
        <v>1</v>
      </c>
      <c r="AG6346">
        <v>1</v>
      </c>
      <c r="AH6346">
        <v>1</v>
      </c>
      <c r="AI6346">
        <v>1</v>
      </c>
      <c r="AJ6346">
        <v>1</v>
      </c>
      <c r="AK6346">
        <v>1</v>
      </c>
      <c r="AL6346">
        <v>1</v>
      </c>
      <c r="AM6346">
        <v>1</v>
      </c>
    </row>
    <row r="6347" spans="1:39" x14ac:dyDescent="0.2">
      <c r="A6347" t="str">
        <f>"6343"</f>
        <v>6343</v>
      </c>
      <c r="B6347" t="str">
        <f t="shared" si="352"/>
        <v>1</v>
      </c>
      <c r="C6347" t="str">
        <f t="shared" si="353"/>
        <v>127</v>
      </c>
      <c r="D6347" t="str">
        <f>"2"</f>
        <v>2</v>
      </c>
      <c r="E6347" t="str">
        <f>"1-127-2"</f>
        <v>1-127-2</v>
      </c>
      <c r="F6347" t="s">
        <v>65</v>
      </c>
      <c r="G6347" t="s">
        <v>66</v>
      </c>
      <c r="H6347" t="s">
        <v>67</v>
      </c>
      <c r="S6347">
        <v>1</v>
      </c>
      <c r="T6347">
        <v>0</v>
      </c>
      <c r="U6347">
        <v>0</v>
      </c>
      <c r="V6347">
        <v>0</v>
      </c>
      <c r="W6347">
        <v>1</v>
      </c>
      <c r="X6347">
        <v>0</v>
      </c>
      <c r="Y6347">
        <v>1</v>
      </c>
      <c r="Z6347">
        <v>0</v>
      </c>
      <c r="AA6347">
        <v>0</v>
      </c>
      <c r="AB6347">
        <v>0</v>
      </c>
      <c r="AC6347">
        <v>1</v>
      </c>
      <c r="AD6347">
        <v>1</v>
      </c>
      <c r="AE6347">
        <v>1</v>
      </c>
      <c r="AF6347">
        <v>1</v>
      </c>
      <c r="AG6347">
        <v>1</v>
      </c>
      <c r="AH6347">
        <v>1</v>
      </c>
      <c r="AI6347">
        <v>1</v>
      </c>
      <c r="AJ6347">
        <v>1</v>
      </c>
      <c r="AK6347">
        <v>1</v>
      </c>
      <c r="AL6347">
        <v>1</v>
      </c>
      <c r="AM6347">
        <v>1</v>
      </c>
    </row>
    <row r="6348" spans="1:39" x14ac:dyDescent="0.2">
      <c r="A6348" t="str">
        <f>"6344"</f>
        <v>6344</v>
      </c>
      <c r="B6348" t="str">
        <f t="shared" si="352"/>
        <v>1</v>
      </c>
      <c r="C6348" t="str">
        <f t="shared" si="353"/>
        <v>127</v>
      </c>
      <c r="D6348" t="str">
        <f>"28"</f>
        <v>28</v>
      </c>
      <c r="E6348" t="str">
        <f>"1-127-28"</f>
        <v>1-127-28</v>
      </c>
      <c r="F6348" t="s">
        <v>65</v>
      </c>
      <c r="G6348" t="s">
        <v>66</v>
      </c>
      <c r="H6348" t="s">
        <v>67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1</v>
      </c>
      <c r="Y6348">
        <v>0</v>
      </c>
      <c r="Z6348">
        <v>0</v>
      </c>
      <c r="AA6348">
        <v>0</v>
      </c>
      <c r="AB6348">
        <v>0</v>
      </c>
      <c r="AC6348">
        <v>1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</row>
    <row r="6349" spans="1:39" x14ac:dyDescent="0.2">
      <c r="A6349" t="str">
        <f>"6345"</f>
        <v>6345</v>
      </c>
      <c r="B6349" t="str">
        <f t="shared" si="352"/>
        <v>1</v>
      </c>
      <c r="C6349" t="str">
        <f t="shared" si="353"/>
        <v>127</v>
      </c>
      <c r="D6349" t="str">
        <f>"9"</f>
        <v>9</v>
      </c>
      <c r="E6349" t="str">
        <f>"1-127-9"</f>
        <v>1-127-9</v>
      </c>
      <c r="F6349" t="s">
        <v>65</v>
      </c>
      <c r="G6349" t="s">
        <v>66</v>
      </c>
      <c r="H6349" t="s">
        <v>67</v>
      </c>
      <c r="S6349">
        <v>0</v>
      </c>
      <c r="T6349">
        <v>1</v>
      </c>
      <c r="U6349">
        <v>0</v>
      </c>
      <c r="V6349">
        <v>0</v>
      </c>
      <c r="W6349">
        <v>1</v>
      </c>
      <c r="X6349">
        <v>0</v>
      </c>
      <c r="Y6349">
        <v>1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</row>
    <row r="6350" spans="1:39" x14ac:dyDescent="0.2">
      <c r="A6350" t="str">
        <f>"6346"</f>
        <v>6346</v>
      </c>
      <c r="B6350" t="str">
        <f t="shared" si="352"/>
        <v>1</v>
      </c>
      <c r="C6350" t="str">
        <f t="shared" si="353"/>
        <v>127</v>
      </c>
      <c r="D6350" t="str">
        <f>"49"</f>
        <v>49</v>
      </c>
      <c r="E6350" t="str">
        <f>"1-127-49"</f>
        <v>1-127-49</v>
      </c>
      <c r="F6350" t="s">
        <v>65</v>
      </c>
      <c r="G6350" t="s">
        <v>66</v>
      </c>
      <c r="H6350" t="s">
        <v>67</v>
      </c>
      <c r="S6350">
        <v>0</v>
      </c>
      <c r="T6350">
        <v>1</v>
      </c>
      <c r="U6350">
        <v>0</v>
      </c>
      <c r="V6350">
        <v>0</v>
      </c>
      <c r="W6350">
        <v>0</v>
      </c>
      <c r="X6350">
        <v>1</v>
      </c>
      <c r="Y6350">
        <v>0</v>
      </c>
      <c r="Z6350">
        <v>1</v>
      </c>
      <c r="AA6350">
        <v>0</v>
      </c>
      <c r="AB6350">
        <v>0</v>
      </c>
      <c r="AC6350">
        <v>1</v>
      </c>
      <c r="AD6350">
        <v>1</v>
      </c>
      <c r="AE6350">
        <v>1</v>
      </c>
      <c r="AF6350">
        <v>1</v>
      </c>
      <c r="AG6350">
        <v>1</v>
      </c>
      <c r="AH6350">
        <v>1</v>
      </c>
      <c r="AI6350">
        <v>1</v>
      </c>
      <c r="AJ6350">
        <v>1</v>
      </c>
      <c r="AK6350">
        <v>1</v>
      </c>
      <c r="AL6350">
        <v>1</v>
      </c>
      <c r="AM6350">
        <v>1</v>
      </c>
    </row>
    <row r="6351" spans="1:39" x14ac:dyDescent="0.2">
      <c r="A6351" t="str">
        <f>"6347"</f>
        <v>6347</v>
      </c>
      <c r="B6351" t="str">
        <f t="shared" si="352"/>
        <v>1</v>
      </c>
      <c r="C6351" t="str">
        <f t="shared" si="353"/>
        <v>127</v>
      </c>
      <c r="D6351" t="str">
        <f>"29"</f>
        <v>29</v>
      </c>
      <c r="E6351" t="str">
        <f>"1-127-29"</f>
        <v>1-127-29</v>
      </c>
      <c r="F6351" t="s">
        <v>65</v>
      </c>
      <c r="G6351" t="s">
        <v>66</v>
      </c>
      <c r="H6351" t="s">
        <v>67</v>
      </c>
      <c r="S6351">
        <v>1</v>
      </c>
      <c r="T6351">
        <v>0</v>
      </c>
      <c r="U6351">
        <v>0</v>
      </c>
      <c r="V6351">
        <v>0</v>
      </c>
      <c r="W6351">
        <v>1</v>
      </c>
      <c r="X6351">
        <v>0</v>
      </c>
      <c r="Y6351">
        <v>1</v>
      </c>
      <c r="Z6351">
        <v>0</v>
      </c>
      <c r="AA6351">
        <v>1</v>
      </c>
      <c r="AB6351">
        <v>0</v>
      </c>
      <c r="AC6351">
        <v>0</v>
      </c>
      <c r="AD6351">
        <v>1</v>
      </c>
      <c r="AE6351">
        <v>1</v>
      </c>
      <c r="AF6351">
        <v>1</v>
      </c>
      <c r="AG6351">
        <v>1</v>
      </c>
      <c r="AH6351">
        <v>1</v>
      </c>
      <c r="AI6351">
        <v>1</v>
      </c>
      <c r="AJ6351">
        <v>1</v>
      </c>
      <c r="AK6351">
        <v>1</v>
      </c>
      <c r="AL6351">
        <v>1</v>
      </c>
      <c r="AM6351">
        <v>1</v>
      </c>
    </row>
    <row r="6352" spans="1:39" x14ac:dyDescent="0.2">
      <c r="A6352" t="str">
        <f>"6348"</f>
        <v>6348</v>
      </c>
      <c r="B6352" t="str">
        <f t="shared" si="352"/>
        <v>1</v>
      </c>
      <c r="C6352" t="str">
        <f t="shared" si="353"/>
        <v>127</v>
      </c>
      <c r="D6352" t="str">
        <f>"8"</f>
        <v>8</v>
      </c>
      <c r="E6352" t="str">
        <f>"1-127-8"</f>
        <v>1-127-8</v>
      </c>
      <c r="F6352" t="s">
        <v>65</v>
      </c>
      <c r="G6352" t="s">
        <v>66</v>
      </c>
      <c r="H6352" t="s">
        <v>67</v>
      </c>
      <c r="S6352">
        <v>0</v>
      </c>
      <c r="T6352">
        <v>1</v>
      </c>
      <c r="U6352">
        <v>0</v>
      </c>
      <c r="V6352">
        <v>0</v>
      </c>
      <c r="W6352">
        <v>0</v>
      </c>
      <c r="X6352">
        <v>1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1</v>
      </c>
      <c r="AM6352">
        <v>0</v>
      </c>
    </row>
    <row r="6353" spans="1:39" x14ac:dyDescent="0.2">
      <c r="A6353" t="str">
        <f>"6349"</f>
        <v>6349</v>
      </c>
      <c r="B6353" t="str">
        <f t="shared" si="352"/>
        <v>1</v>
      </c>
      <c r="C6353" t="str">
        <f t="shared" si="353"/>
        <v>127</v>
      </c>
      <c r="D6353" t="str">
        <f>"39"</f>
        <v>39</v>
      </c>
      <c r="E6353" t="str">
        <f>"1-127-39"</f>
        <v>1-127-39</v>
      </c>
      <c r="F6353" t="s">
        <v>65</v>
      </c>
      <c r="G6353" t="s">
        <v>66</v>
      </c>
      <c r="H6353" t="s">
        <v>67</v>
      </c>
      <c r="S6353">
        <v>0</v>
      </c>
      <c r="T6353">
        <v>1</v>
      </c>
      <c r="U6353">
        <v>0</v>
      </c>
      <c r="V6353">
        <v>0</v>
      </c>
      <c r="W6353">
        <v>1</v>
      </c>
      <c r="X6353">
        <v>0</v>
      </c>
      <c r="Y6353">
        <v>0</v>
      </c>
      <c r="Z6353">
        <v>1</v>
      </c>
      <c r="AA6353">
        <v>0</v>
      </c>
      <c r="AB6353">
        <v>0</v>
      </c>
      <c r="AC6353">
        <v>1</v>
      </c>
      <c r="AD6353">
        <v>1</v>
      </c>
      <c r="AE6353">
        <v>1</v>
      </c>
      <c r="AF6353">
        <v>1</v>
      </c>
      <c r="AG6353">
        <v>1</v>
      </c>
      <c r="AH6353">
        <v>1</v>
      </c>
      <c r="AI6353">
        <v>1</v>
      </c>
      <c r="AJ6353">
        <v>1</v>
      </c>
      <c r="AK6353">
        <v>1</v>
      </c>
      <c r="AL6353">
        <v>1</v>
      </c>
      <c r="AM6353">
        <v>1</v>
      </c>
    </row>
    <row r="6354" spans="1:39" x14ac:dyDescent="0.2">
      <c r="A6354" t="str">
        <f>"6350"</f>
        <v>6350</v>
      </c>
      <c r="B6354" t="str">
        <f t="shared" si="352"/>
        <v>1</v>
      </c>
      <c r="C6354" t="str">
        <f t="shared" si="353"/>
        <v>127</v>
      </c>
      <c r="D6354" t="str">
        <f>"50"</f>
        <v>50</v>
      </c>
      <c r="E6354" t="str">
        <f>"1-127-50"</f>
        <v>1-127-50</v>
      </c>
      <c r="F6354" t="s">
        <v>65</v>
      </c>
      <c r="G6354" t="s">
        <v>66</v>
      </c>
      <c r="H6354" t="s">
        <v>67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</v>
      </c>
      <c r="Y6354">
        <v>0</v>
      </c>
      <c r="Z6354">
        <v>1</v>
      </c>
      <c r="AA6354">
        <v>0</v>
      </c>
      <c r="AB6354">
        <v>0</v>
      </c>
      <c r="AC6354">
        <v>1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</row>
    <row r="6355" spans="1:39" x14ac:dyDescent="0.2">
      <c r="A6355" t="str">
        <f>"6351"</f>
        <v>6351</v>
      </c>
      <c r="B6355" t="str">
        <f t="shared" si="352"/>
        <v>1</v>
      </c>
      <c r="C6355" t="str">
        <f t="shared" ref="C6355:C6386" si="354">"128"</f>
        <v>128</v>
      </c>
      <c r="D6355" t="str">
        <f>"36"</f>
        <v>36</v>
      </c>
      <c r="E6355" t="str">
        <f>"1-128-36"</f>
        <v>1-128-36</v>
      </c>
      <c r="F6355" t="s">
        <v>65</v>
      </c>
      <c r="G6355" t="s">
        <v>66</v>
      </c>
      <c r="H6355" t="s">
        <v>67</v>
      </c>
      <c r="S6355">
        <v>1</v>
      </c>
      <c r="T6355">
        <v>0</v>
      </c>
      <c r="U6355">
        <v>0</v>
      </c>
      <c r="V6355">
        <v>0</v>
      </c>
      <c r="W6355">
        <v>0</v>
      </c>
      <c r="X6355">
        <v>1</v>
      </c>
      <c r="Y6355">
        <v>0</v>
      </c>
      <c r="Z6355">
        <v>1</v>
      </c>
      <c r="AA6355">
        <v>0</v>
      </c>
      <c r="AB6355">
        <v>0</v>
      </c>
      <c r="AC6355">
        <v>1</v>
      </c>
      <c r="AD6355">
        <v>1</v>
      </c>
      <c r="AE6355">
        <v>1</v>
      </c>
      <c r="AF6355">
        <v>1</v>
      </c>
      <c r="AG6355">
        <v>1</v>
      </c>
      <c r="AH6355">
        <v>1</v>
      </c>
      <c r="AI6355">
        <v>1</v>
      </c>
      <c r="AJ6355">
        <v>1</v>
      </c>
      <c r="AK6355">
        <v>1</v>
      </c>
      <c r="AL6355">
        <v>1</v>
      </c>
      <c r="AM6355">
        <v>1</v>
      </c>
    </row>
    <row r="6356" spans="1:39" x14ac:dyDescent="0.2">
      <c r="A6356" t="str">
        <f>"6352"</f>
        <v>6352</v>
      </c>
      <c r="B6356" t="str">
        <f t="shared" si="352"/>
        <v>1</v>
      </c>
      <c r="C6356" t="str">
        <f t="shared" si="354"/>
        <v>128</v>
      </c>
      <c r="D6356" t="str">
        <f>"35"</f>
        <v>35</v>
      </c>
      <c r="E6356" t="str">
        <f>"1-128-35"</f>
        <v>1-128-35</v>
      </c>
      <c r="F6356" t="s">
        <v>65</v>
      </c>
      <c r="G6356" t="s">
        <v>66</v>
      </c>
      <c r="H6356" t="s">
        <v>67</v>
      </c>
      <c r="S6356">
        <v>0</v>
      </c>
      <c r="T6356">
        <v>1</v>
      </c>
      <c r="U6356">
        <v>0</v>
      </c>
      <c r="V6356">
        <v>0</v>
      </c>
      <c r="W6356">
        <v>0</v>
      </c>
      <c r="X6356">
        <v>1</v>
      </c>
      <c r="Y6356">
        <v>0</v>
      </c>
      <c r="Z6356">
        <v>1</v>
      </c>
      <c r="AA6356">
        <v>0</v>
      </c>
      <c r="AB6356">
        <v>0</v>
      </c>
      <c r="AC6356">
        <v>1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</row>
    <row r="6357" spans="1:39" x14ac:dyDescent="0.2">
      <c r="A6357" t="str">
        <f>"6353"</f>
        <v>6353</v>
      </c>
      <c r="B6357" t="str">
        <f t="shared" si="352"/>
        <v>1</v>
      </c>
      <c r="C6357" t="str">
        <f t="shared" si="354"/>
        <v>128</v>
      </c>
      <c r="D6357" t="str">
        <f>"23"</f>
        <v>23</v>
      </c>
      <c r="E6357" t="str">
        <f>"1-128-23"</f>
        <v>1-128-23</v>
      </c>
      <c r="F6357" t="s">
        <v>65</v>
      </c>
      <c r="G6357" t="s">
        <v>66</v>
      </c>
      <c r="H6357" t="s">
        <v>67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1</v>
      </c>
      <c r="Y6357">
        <v>0</v>
      </c>
      <c r="Z6357">
        <v>0</v>
      </c>
      <c r="AA6357">
        <v>0</v>
      </c>
      <c r="AB6357">
        <v>0</v>
      </c>
      <c r="AC6357">
        <v>1</v>
      </c>
      <c r="AD6357">
        <v>1</v>
      </c>
      <c r="AE6357">
        <v>1</v>
      </c>
      <c r="AF6357">
        <v>1</v>
      </c>
      <c r="AG6357">
        <v>1</v>
      </c>
      <c r="AH6357">
        <v>1</v>
      </c>
      <c r="AI6357">
        <v>1</v>
      </c>
      <c r="AJ6357">
        <v>1</v>
      </c>
      <c r="AK6357">
        <v>1</v>
      </c>
      <c r="AL6357">
        <v>1</v>
      </c>
      <c r="AM6357">
        <v>1</v>
      </c>
    </row>
    <row r="6358" spans="1:39" x14ac:dyDescent="0.2">
      <c r="A6358" t="str">
        <f>"6354"</f>
        <v>6354</v>
      </c>
      <c r="B6358" t="str">
        <f t="shared" si="352"/>
        <v>1</v>
      </c>
      <c r="C6358" t="str">
        <f t="shared" si="354"/>
        <v>128</v>
      </c>
      <c r="D6358" t="str">
        <f>"15"</f>
        <v>15</v>
      </c>
      <c r="E6358" t="str">
        <f>"1-128-15"</f>
        <v>1-128-15</v>
      </c>
      <c r="F6358" t="s">
        <v>65</v>
      </c>
      <c r="G6358" t="s">
        <v>66</v>
      </c>
      <c r="H6358" t="s">
        <v>67</v>
      </c>
      <c r="S6358">
        <v>0</v>
      </c>
      <c r="T6358">
        <v>1</v>
      </c>
      <c r="U6358">
        <v>0</v>
      </c>
      <c r="V6358">
        <v>0</v>
      </c>
      <c r="W6358">
        <v>0</v>
      </c>
      <c r="X6358">
        <v>1</v>
      </c>
      <c r="Y6358">
        <v>0</v>
      </c>
      <c r="Z6358">
        <v>1</v>
      </c>
      <c r="AA6358">
        <v>0</v>
      </c>
      <c r="AB6358">
        <v>1</v>
      </c>
      <c r="AC6358">
        <v>0</v>
      </c>
      <c r="AD6358">
        <v>1</v>
      </c>
      <c r="AE6358">
        <v>1</v>
      </c>
      <c r="AF6358">
        <v>1</v>
      </c>
      <c r="AG6358">
        <v>1</v>
      </c>
      <c r="AH6358">
        <v>1</v>
      </c>
      <c r="AI6358">
        <v>1</v>
      </c>
      <c r="AJ6358">
        <v>1</v>
      </c>
      <c r="AK6358">
        <v>1</v>
      </c>
      <c r="AL6358">
        <v>1</v>
      </c>
      <c r="AM6358">
        <v>1</v>
      </c>
    </row>
    <row r="6359" spans="1:39" x14ac:dyDescent="0.2">
      <c r="A6359" t="str">
        <f>"6355"</f>
        <v>6355</v>
      </c>
      <c r="B6359" t="str">
        <f t="shared" si="352"/>
        <v>1</v>
      </c>
      <c r="C6359" t="str">
        <f t="shared" si="354"/>
        <v>128</v>
      </c>
      <c r="D6359" t="str">
        <f>"4"</f>
        <v>4</v>
      </c>
      <c r="E6359" t="str">
        <f>"1-128-4"</f>
        <v>1-128-4</v>
      </c>
      <c r="F6359" t="s">
        <v>65</v>
      </c>
      <c r="G6359" t="s">
        <v>66</v>
      </c>
      <c r="H6359" t="s">
        <v>67</v>
      </c>
      <c r="S6359">
        <v>0</v>
      </c>
      <c r="T6359">
        <v>1</v>
      </c>
      <c r="U6359">
        <v>0</v>
      </c>
      <c r="V6359">
        <v>0</v>
      </c>
      <c r="W6359">
        <v>0</v>
      </c>
      <c r="X6359">
        <v>1</v>
      </c>
      <c r="Y6359">
        <v>1</v>
      </c>
      <c r="Z6359">
        <v>0</v>
      </c>
      <c r="AA6359">
        <v>0</v>
      </c>
      <c r="AB6359">
        <v>1</v>
      </c>
      <c r="AC6359">
        <v>0</v>
      </c>
      <c r="AD6359">
        <v>1</v>
      </c>
      <c r="AE6359">
        <v>1</v>
      </c>
      <c r="AF6359">
        <v>1</v>
      </c>
      <c r="AG6359">
        <v>1</v>
      </c>
      <c r="AH6359">
        <v>1</v>
      </c>
      <c r="AI6359">
        <v>1</v>
      </c>
      <c r="AJ6359">
        <v>1</v>
      </c>
      <c r="AK6359">
        <v>1</v>
      </c>
      <c r="AL6359">
        <v>1</v>
      </c>
      <c r="AM6359">
        <v>1</v>
      </c>
    </row>
    <row r="6360" spans="1:39" x14ac:dyDescent="0.2">
      <c r="A6360" t="str">
        <f>"6356"</f>
        <v>6356</v>
      </c>
      <c r="B6360" t="str">
        <f t="shared" si="352"/>
        <v>1</v>
      </c>
      <c r="C6360" t="str">
        <f t="shared" si="354"/>
        <v>128</v>
      </c>
      <c r="D6360" t="str">
        <f>"38"</f>
        <v>38</v>
      </c>
      <c r="E6360" t="str">
        <f>"1-128-38"</f>
        <v>1-128-38</v>
      </c>
      <c r="F6360" t="s">
        <v>65</v>
      </c>
      <c r="G6360" t="s">
        <v>66</v>
      </c>
      <c r="H6360" t="s">
        <v>67</v>
      </c>
      <c r="S6360">
        <v>1</v>
      </c>
      <c r="T6360">
        <v>0</v>
      </c>
      <c r="U6360">
        <v>0</v>
      </c>
      <c r="V6360">
        <v>0</v>
      </c>
      <c r="W6360">
        <v>1</v>
      </c>
      <c r="X6360">
        <v>0</v>
      </c>
      <c r="Y6360">
        <v>1</v>
      </c>
      <c r="Z6360">
        <v>0</v>
      </c>
      <c r="AA6360">
        <v>1</v>
      </c>
      <c r="AB6360">
        <v>0</v>
      </c>
      <c r="AC6360">
        <v>0</v>
      </c>
      <c r="AD6360">
        <v>1</v>
      </c>
      <c r="AE6360">
        <v>1</v>
      </c>
      <c r="AF6360">
        <v>1</v>
      </c>
      <c r="AG6360">
        <v>1</v>
      </c>
      <c r="AH6360">
        <v>1</v>
      </c>
      <c r="AI6360">
        <v>1</v>
      </c>
      <c r="AJ6360">
        <v>1</v>
      </c>
      <c r="AK6360">
        <v>0</v>
      </c>
      <c r="AL6360">
        <v>0</v>
      </c>
      <c r="AM6360">
        <v>0</v>
      </c>
    </row>
    <row r="6361" spans="1:39" x14ac:dyDescent="0.2">
      <c r="A6361" t="str">
        <f>"6357"</f>
        <v>6357</v>
      </c>
      <c r="B6361" t="str">
        <f t="shared" si="352"/>
        <v>1</v>
      </c>
      <c r="C6361" t="str">
        <f t="shared" si="354"/>
        <v>128</v>
      </c>
      <c r="D6361" t="str">
        <f>"37"</f>
        <v>37</v>
      </c>
      <c r="E6361" t="str">
        <f>"1-128-37"</f>
        <v>1-128-37</v>
      </c>
      <c r="F6361" t="s">
        <v>65</v>
      </c>
      <c r="G6361" t="s">
        <v>66</v>
      </c>
      <c r="H6361" t="s">
        <v>67</v>
      </c>
      <c r="S6361">
        <v>0</v>
      </c>
      <c r="T6361">
        <v>1</v>
      </c>
      <c r="U6361">
        <v>0</v>
      </c>
      <c r="V6361">
        <v>0</v>
      </c>
      <c r="W6361">
        <v>0</v>
      </c>
      <c r="X6361">
        <v>1</v>
      </c>
      <c r="Y6361">
        <v>0</v>
      </c>
      <c r="Z6361">
        <v>1</v>
      </c>
      <c r="AA6361">
        <v>0</v>
      </c>
      <c r="AB6361">
        <v>1</v>
      </c>
      <c r="AC6361">
        <v>0</v>
      </c>
      <c r="AD6361">
        <v>1</v>
      </c>
      <c r="AE6361">
        <v>1</v>
      </c>
      <c r="AF6361">
        <v>1</v>
      </c>
      <c r="AG6361">
        <v>1</v>
      </c>
      <c r="AH6361">
        <v>1</v>
      </c>
      <c r="AI6361">
        <v>1</v>
      </c>
      <c r="AJ6361">
        <v>1</v>
      </c>
      <c r="AK6361">
        <v>1</v>
      </c>
      <c r="AL6361">
        <v>1</v>
      </c>
      <c r="AM6361">
        <v>1</v>
      </c>
    </row>
    <row r="6362" spans="1:39" x14ac:dyDescent="0.2">
      <c r="A6362" t="str">
        <f>"6358"</f>
        <v>6358</v>
      </c>
      <c r="B6362" t="str">
        <f t="shared" si="352"/>
        <v>1</v>
      </c>
      <c r="C6362" t="str">
        <f t="shared" si="354"/>
        <v>128</v>
      </c>
      <c r="D6362" t="str">
        <f>"25"</f>
        <v>25</v>
      </c>
      <c r="E6362" t="str">
        <f>"1-128-25"</f>
        <v>1-128-25</v>
      </c>
      <c r="F6362" t="s">
        <v>65</v>
      </c>
      <c r="G6362" t="s">
        <v>66</v>
      </c>
      <c r="H6362" t="s">
        <v>67</v>
      </c>
      <c r="S6362">
        <v>0</v>
      </c>
      <c r="T6362">
        <v>1</v>
      </c>
      <c r="U6362">
        <v>0</v>
      </c>
      <c r="V6362">
        <v>0</v>
      </c>
      <c r="W6362">
        <v>1</v>
      </c>
      <c r="X6362">
        <v>0</v>
      </c>
      <c r="Y6362">
        <v>0</v>
      </c>
      <c r="Z6362">
        <v>1</v>
      </c>
      <c r="AA6362">
        <v>1</v>
      </c>
      <c r="AB6362">
        <v>0</v>
      </c>
      <c r="AC6362">
        <v>0</v>
      </c>
      <c r="AD6362">
        <v>1</v>
      </c>
      <c r="AE6362">
        <v>1</v>
      </c>
      <c r="AF6362">
        <v>1</v>
      </c>
      <c r="AG6362">
        <v>1</v>
      </c>
      <c r="AH6362">
        <v>1</v>
      </c>
      <c r="AI6362">
        <v>1</v>
      </c>
      <c r="AJ6362">
        <v>1</v>
      </c>
      <c r="AK6362">
        <v>1</v>
      </c>
      <c r="AL6362">
        <v>1</v>
      </c>
      <c r="AM6362">
        <v>1</v>
      </c>
    </row>
    <row r="6363" spans="1:39" x14ac:dyDescent="0.2">
      <c r="A6363" t="str">
        <f>"6359"</f>
        <v>6359</v>
      </c>
      <c r="B6363" t="str">
        <f t="shared" si="352"/>
        <v>1</v>
      </c>
      <c r="C6363" t="str">
        <f t="shared" si="354"/>
        <v>128</v>
      </c>
      <c r="D6363" t="str">
        <f>"16"</f>
        <v>16</v>
      </c>
      <c r="E6363" t="str">
        <f>"1-128-16"</f>
        <v>1-128-16</v>
      </c>
      <c r="F6363" t="s">
        <v>65</v>
      </c>
      <c r="G6363" t="s">
        <v>66</v>
      </c>
      <c r="H6363" t="s">
        <v>67</v>
      </c>
      <c r="S6363">
        <v>1</v>
      </c>
      <c r="T6363">
        <v>0</v>
      </c>
      <c r="U6363">
        <v>0</v>
      </c>
      <c r="V6363">
        <v>0</v>
      </c>
      <c r="W6363">
        <v>1</v>
      </c>
      <c r="X6363">
        <v>0</v>
      </c>
      <c r="Y6363">
        <v>1</v>
      </c>
      <c r="Z6363">
        <v>0</v>
      </c>
      <c r="AA6363">
        <v>1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1</v>
      </c>
      <c r="AH6363">
        <v>1</v>
      </c>
      <c r="AI6363">
        <v>1</v>
      </c>
      <c r="AJ6363">
        <v>1</v>
      </c>
      <c r="AK6363">
        <v>0</v>
      </c>
      <c r="AL6363">
        <v>1</v>
      </c>
      <c r="AM6363">
        <v>1</v>
      </c>
    </row>
    <row r="6364" spans="1:39" x14ac:dyDescent="0.2">
      <c r="A6364" t="str">
        <f>"6360"</f>
        <v>6360</v>
      </c>
      <c r="B6364" t="str">
        <f t="shared" si="352"/>
        <v>1</v>
      </c>
      <c r="C6364" t="str">
        <f t="shared" si="354"/>
        <v>128</v>
      </c>
      <c r="D6364" t="str">
        <f>"40"</f>
        <v>40</v>
      </c>
      <c r="E6364" t="str">
        <f>"1-128-40"</f>
        <v>1-128-40</v>
      </c>
      <c r="F6364" t="s">
        <v>65</v>
      </c>
      <c r="G6364" t="s">
        <v>66</v>
      </c>
      <c r="H6364" t="s">
        <v>67</v>
      </c>
      <c r="S6364">
        <v>1</v>
      </c>
      <c r="T6364">
        <v>0</v>
      </c>
      <c r="U6364">
        <v>0</v>
      </c>
      <c r="V6364">
        <v>0</v>
      </c>
      <c r="W6364">
        <v>1</v>
      </c>
      <c r="X6364">
        <v>0</v>
      </c>
      <c r="Y6364">
        <v>1</v>
      </c>
      <c r="Z6364">
        <v>0</v>
      </c>
      <c r="AA6364">
        <v>1</v>
      </c>
      <c r="AB6364">
        <v>0</v>
      </c>
      <c r="AC6364">
        <v>0</v>
      </c>
      <c r="AD6364">
        <v>1</v>
      </c>
      <c r="AE6364">
        <v>1</v>
      </c>
      <c r="AF6364">
        <v>1</v>
      </c>
      <c r="AG6364">
        <v>1</v>
      </c>
      <c r="AH6364">
        <v>1</v>
      </c>
      <c r="AI6364">
        <v>1</v>
      </c>
      <c r="AJ6364">
        <v>1</v>
      </c>
      <c r="AK6364">
        <v>1</v>
      </c>
      <c r="AL6364">
        <v>1</v>
      </c>
      <c r="AM6364">
        <v>1</v>
      </c>
    </row>
    <row r="6365" spans="1:39" x14ac:dyDescent="0.2">
      <c r="A6365" t="str">
        <f>"6361"</f>
        <v>6361</v>
      </c>
      <c r="B6365" t="str">
        <f t="shared" si="352"/>
        <v>1</v>
      </c>
      <c r="C6365" t="str">
        <f t="shared" si="354"/>
        <v>128</v>
      </c>
      <c r="D6365" t="str">
        <f>"39"</f>
        <v>39</v>
      </c>
      <c r="E6365" t="str">
        <f>"1-128-39"</f>
        <v>1-128-39</v>
      </c>
      <c r="F6365" t="s">
        <v>65</v>
      </c>
      <c r="G6365" t="s">
        <v>66</v>
      </c>
      <c r="H6365" t="s">
        <v>67</v>
      </c>
      <c r="S6365">
        <v>1</v>
      </c>
      <c r="T6365">
        <v>0</v>
      </c>
      <c r="U6365">
        <v>0</v>
      </c>
      <c r="V6365">
        <v>0</v>
      </c>
      <c r="W6365">
        <v>1</v>
      </c>
      <c r="X6365">
        <v>0</v>
      </c>
      <c r="Y6365">
        <v>1</v>
      </c>
      <c r="Z6365">
        <v>0</v>
      </c>
      <c r="AA6365">
        <v>1</v>
      </c>
      <c r="AB6365">
        <v>0</v>
      </c>
      <c r="AC6365">
        <v>0</v>
      </c>
      <c r="AD6365">
        <v>1</v>
      </c>
      <c r="AE6365">
        <v>1</v>
      </c>
      <c r="AF6365">
        <v>1</v>
      </c>
      <c r="AG6365">
        <v>1</v>
      </c>
      <c r="AH6365">
        <v>1</v>
      </c>
      <c r="AI6365">
        <v>1</v>
      </c>
      <c r="AJ6365">
        <v>1</v>
      </c>
      <c r="AK6365">
        <v>1</v>
      </c>
      <c r="AL6365">
        <v>1</v>
      </c>
      <c r="AM6365">
        <v>1</v>
      </c>
    </row>
    <row r="6366" spans="1:39" x14ac:dyDescent="0.2">
      <c r="A6366" t="str">
        <f>"6362"</f>
        <v>6362</v>
      </c>
      <c r="B6366" t="str">
        <f t="shared" si="352"/>
        <v>1</v>
      </c>
      <c r="C6366" t="str">
        <f t="shared" si="354"/>
        <v>128</v>
      </c>
      <c r="D6366" t="str">
        <f>"31"</f>
        <v>31</v>
      </c>
      <c r="E6366" t="str">
        <f>"1-128-31"</f>
        <v>1-128-31</v>
      </c>
      <c r="F6366" t="s">
        <v>65</v>
      </c>
      <c r="G6366" t="s">
        <v>66</v>
      </c>
      <c r="H6366" t="s">
        <v>67</v>
      </c>
      <c r="S6366">
        <v>0</v>
      </c>
      <c r="T6366">
        <v>1</v>
      </c>
      <c r="U6366">
        <v>0</v>
      </c>
      <c r="V6366">
        <v>0</v>
      </c>
      <c r="W6366">
        <v>1</v>
      </c>
      <c r="X6366">
        <v>0</v>
      </c>
      <c r="Y6366">
        <v>1</v>
      </c>
      <c r="Z6366">
        <v>0</v>
      </c>
      <c r="AA6366">
        <v>0</v>
      </c>
      <c r="AB6366">
        <v>0</v>
      </c>
      <c r="AC6366">
        <v>1</v>
      </c>
      <c r="AD6366">
        <v>1</v>
      </c>
      <c r="AE6366">
        <v>1</v>
      </c>
      <c r="AF6366">
        <v>1</v>
      </c>
      <c r="AG6366">
        <v>1</v>
      </c>
      <c r="AH6366">
        <v>1</v>
      </c>
      <c r="AI6366">
        <v>1</v>
      </c>
      <c r="AJ6366">
        <v>1</v>
      </c>
      <c r="AK6366">
        <v>1</v>
      </c>
      <c r="AL6366">
        <v>1</v>
      </c>
      <c r="AM6366">
        <v>1</v>
      </c>
    </row>
    <row r="6367" spans="1:39" x14ac:dyDescent="0.2">
      <c r="A6367" t="str">
        <f>"6363"</f>
        <v>6363</v>
      </c>
      <c r="B6367" t="str">
        <f t="shared" si="352"/>
        <v>1</v>
      </c>
      <c r="C6367" t="str">
        <f t="shared" si="354"/>
        <v>128</v>
      </c>
      <c r="D6367" t="str">
        <f>"17"</f>
        <v>17</v>
      </c>
      <c r="E6367" t="str">
        <f>"1-128-17"</f>
        <v>1-128-17</v>
      </c>
      <c r="F6367" t="s">
        <v>65</v>
      </c>
      <c r="G6367" t="s">
        <v>66</v>
      </c>
      <c r="H6367" t="s">
        <v>67</v>
      </c>
      <c r="S6367">
        <v>0</v>
      </c>
      <c r="T6367">
        <v>1</v>
      </c>
      <c r="U6367">
        <v>0</v>
      </c>
      <c r="V6367">
        <v>0</v>
      </c>
      <c r="W6367">
        <v>0</v>
      </c>
      <c r="X6367">
        <v>1</v>
      </c>
      <c r="Y6367">
        <v>1</v>
      </c>
      <c r="Z6367">
        <v>0</v>
      </c>
      <c r="AA6367">
        <v>0</v>
      </c>
      <c r="AB6367">
        <v>1</v>
      </c>
      <c r="AC6367">
        <v>0</v>
      </c>
      <c r="AD6367">
        <v>1</v>
      </c>
      <c r="AE6367">
        <v>1</v>
      </c>
      <c r="AF6367">
        <v>1</v>
      </c>
      <c r="AG6367">
        <v>1</v>
      </c>
      <c r="AH6367">
        <v>1</v>
      </c>
      <c r="AI6367">
        <v>1</v>
      </c>
      <c r="AJ6367">
        <v>1</v>
      </c>
      <c r="AK6367">
        <v>1</v>
      </c>
      <c r="AL6367">
        <v>1</v>
      </c>
      <c r="AM6367">
        <v>1</v>
      </c>
    </row>
    <row r="6368" spans="1:39" x14ac:dyDescent="0.2">
      <c r="A6368" t="str">
        <f>"6364"</f>
        <v>6364</v>
      </c>
      <c r="B6368" t="str">
        <f t="shared" si="352"/>
        <v>1</v>
      </c>
      <c r="C6368" t="str">
        <f t="shared" si="354"/>
        <v>128</v>
      </c>
      <c r="D6368" t="str">
        <f>"1"</f>
        <v>1</v>
      </c>
      <c r="E6368" t="str">
        <f>"1-128-1"</f>
        <v>1-128-1</v>
      </c>
      <c r="F6368" t="s">
        <v>65</v>
      </c>
      <c r="G6368" t="s">
        <v>66</v>
      </c>
      <c r="H6368" t="s">
        <v>67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1</v>
      </c>
      <c r="Y6368">
        <v>0</v>
      </c>
      <c r="Z6368">
        <v>0</v>
      </c>
      <c r="AA6368">
        <v>0</v>
      </c>
      <c r="AB6368">
        <v>0</v>
      </c>
      <c r="AC6368">
        <v>1</v>
      </c>
      <c r="AD6368">
        <v>1</v>
      </c>
      <c r="AE6368">
        <v>1</v>
      </c>
      <c r="AF6368">
        <v>1</v>
      </c>
      <c r="AG6368">
        <v>1</v>
      </c>
      <c r="AH6368">
        <v>1</v>
      </c>
      <c r="AI6368">
        <v>1</v>
      </c>
      <c r="AJ6368">
        <v>1</v>
      </c>
      <c r="AK6368">
        <v>1</v>
      </c>
      <c r="AL6368">
        <v>1</v>
      </c>
      <c r="AM6368">
        <v>1</v>
      </c>
    </row>
    <row r="6369" spans="1:39" x14ac:dyDescent="0.2">
      <c r="A6369" t="str">
        <f>"6365"</f>
        <v>6365</v>
      </c>
      <c r="B6369" t="str">
        <f t="shared" si="352"/>
        <v>1</v>
      </c>
      <c r="C6369" t="str">
        <f t="shared" si="354"/>
        <v>128</v>
      </c>
      <c r="D6369" t="str">
        <f>"42"</f>
        <v>42</v>
      </c>
      <c r="E6369" t="str">
        <f>"1-128-42"</f>
        <v>1-128-42</v>
      </c>
      <c r="F6369" t="s">
        <v>65</v>
      </c>
      <c r="G6369" t="s">
        <v>66</v>
      </c>
      <c r="H6369" t="s">
        <v>67</v>
      </c>
      <c r="S6369">
        <v>1</v>
      </c>
      <c r="T6369">
        <v>0</v>
      </c>
      <c r="U6369">
        <v>0</v>
      </c>
      <c r="V6369">
        <v>0</v>
      </c>
      <c r="W6369">
        <v>1</v>
      </c>
      <c r="X6369">
        <v>0</v>
      </c>
      <c r="Y6369">
        <v>1</v>
      </c>
      <c r="Z6369">
        <v>0</v>
      </c>
      <c r="AA6369">
        <v>0</v>
      </c>
      <c r="AB6369">
        <v>1</v>
      </c>
      <c r="AC6369">
        <v>0</v>
      </c>
      <c r="AD6369">
        <v>1</v>
      </c>
      <c r="AE6369">
        <v>1</v>
      </c>
      <c r="AF6369">
        <v>1</v>
      </c>
      <c r="AG6369">
        <v>1</v>
      </c>
      <c r="AH6369">
        <v>1</v>
      </c>
      <c r="AI6369">
        <v>1</v>
      </c>
      <c r="AJ6369">
        <v>1</v>
      </c>
      <c r="AK6369">
        <v>1</v>
      </c>
      <c r="AL6369">
        <v>1</v>
      </c>
      <c r="AM6369">
        <v>1</v>
      </c>
    </row>
    <row r="6370" spans="1:39" x14ac:dyDescent="0.2">
      <c r="A6370" t="str">
        <f>"6366"</f>
        <v>6366</v>
      </c>
      <c r="B6370" t="str">
        <f t="shared" si="352"/>
        <v>1</v>
      </c>
      <c r="C6370" t="str">
        <f t="shared" si="354"/>
        <v>128</v>
      </c>
      <c r="D6370" t="str">
        <f>"41"</f>
        <v>41</v>
      </c>
      <c r="E6370" t="str">
        <f>"1-128-41"</f>
        <v>1-128-41</v>
      </c>
      <c r="F6370" t="s">
        <v>65</v>
      </c>
      <c r="G6370" t="s">
        <v>66</v>
      </c>
      <c r="H6370" t="s">
        <v>67</v>
      </c>
      <c r="S6370">
        <v>0</v>
      </c>
      <c r="T6370">
        <v>1</v>
      </c>
      <c r="U6370">
        <v>0</v>
      </c>
      <c r="V6370">
        <v>0</v>
      </c>
      <c r="W6370">
        <v>0</v>
      </c>
      <c r="X6370">
        <v>1</v>
      </c>
      <c r="Y6370">
        <v>0</v>
      </c>
      <c r="Z6370">
        <v>1</v>
      </c>
      <c r="AA6370">
        <v>0</v>
      </c>
      <c r="AB6370">
        <v>0</v>
      </c>
      <c r="AC6370">
        <v>1</v>
      </c>
      <c r="AD6370">
        <v>0</v>
      </c>
      <c r="AE6370">
        <v>0</v>
      </c>
      <c r="AF6370">
        <v>0</v>
      </c>
      <c r="AG6370">
        <v>0</v>
      </c>
      <c r="AH6370">
        <v>1</v>
      </c>
      <c r="AI6370">
        <v>1</v>
      </c>
      <c r="AJ6370">
        <v>1</v>
      </c>
      <c r="AK6370">
        <v>1</v>
      </c>
      <c r="AL6370">
        <v>1</v>
      </c>
      <c r="AM6370">
        <v>0</v>
      </c>
    </row>
    <row r="6371" spans="1:39" x14ac:dyDescent="0.2">
      <c r="A6371" t="str">
        <f>"6367"</f>
        <v>6367</v>
      </c>
      <c r="B6371" t="str">
        <f t="shared" si="352"/>
        <v>1</v>
      </c>
      <c r="C6371" t="str">
        <f t="shared" si="354"/>
        <v>128</v>
      </c>
      <c r="D6371" t="str">
        <f>"32"</f>
        <v>32</v>
      </c>
      <c r="E6371" t="str">
        <f>"1-128-32"</f>
        <v>1-128-32</v>
      </c>
      <c r="F6371" t="s">
        <v>65</v>
      </c>
      <c r="G6371" t="s">
        <v>66</v>
      </c>
      <c r="H6371" t="s">
        <v>67</v>
      </c>
      <c r="S6371">
        <v>1</v>
      </c>
      <c r="T6371">
        <v>0</v>
      </c>
      <c r="U6371">
        <v>0</v>
      </c>
      <c r="V6371">
        <v>0</v>
      </c>
      <c r="W6371">
        <v>1</v>
      </c>
      <c r="X6371">
        <v>0</v>
      </c>
      <c r="Y6371">
        <v>1</v>
      </c>
      <c r="Z6371">
        <v>0</v>
      </c>
      <c r="AA6371">
        <v>1</v>
      </c>
      <c r="AB6371">
        <v>0</v>
      </c>
      <c r="AC6371">
        <v>0</v>
      </c>
      <c r="AD6371">
        <v>1</v>
      </c>
      <c r="AE6371">
        <v>1</v>
      </c>
      <c r="AF6371">
        <v>1</v>
      </c>
      <c r="AG6371">
        <v>1</v>
      </c>
      <c r="AH6371">
        <v>1</v>
      </c>
      <c r="AI6371">
        <v>1</v>
      </c>
      <c r="AJ6371">
        <v>1</v>
      </c>
      <c r="AK6371">
        <v>1</v>
      </c>
      <c r="AL6371">
        <v>1</v>
      </c>
      <c r="AM6371">
        <v>1</v>
      </c>
    </row>
    <row r="6372" spans="1:39" x14ac:dyDescent="0.2">
      <c r="A6372" t="str">
        <f>"6368"</f>
        <v>6368</v>
      </c>
      <c r="B6372" t="str">
        <f t="shared" si="352"/>
        <v>1</v>
      </c>
      <c r="C6372" t="str">
        <f t="shared" si="354"/>
        <v>128</v>
      </c>
      <c r="D6372" t="str">
        <f>"18"</f>
        <v>18</v>
      </c>
      <c r="E6372" t="str">
        <f>"1-128-18"</f>
        <v>1-128-18</v>
      </c>
      <c r="F6372" t="s">
        <v>65</v>
      </c>
      <c r="G6372" t="s">
        <v>66</v>
      </c>
      <c r="H6372" t="s">
        <v>67</v>
      </c>
      <c r="S6372">
        <v>1</v>
      </c>
      <c r="T6372">
        <v>0</v>
      </c>
      <c r="U6372">
        <v>0</v>
      </c>
      <c r="V6372">
        <v>0</v>
      </c>
      <c r="W6372">
        <v>1</v>
      </c>
      <c r="X6372">
        <v>0</v>
      </c>
      <c r="Y6372">
        <v>1</v>
      </c>
      <c r="Z6372">
        <v>0</v>
      </c>
      <c r="AA6372">
        <v>1</v>
      </c>
      <c r="AB6372">
        <v>0</v>
      </c>
      <c r="AC6372">
        <v>0</v>
      </c>
      <c r="AD6372">
        <v>1</v>
      </c>
      <c r="AE6372">
        <v>1</v>
      </c>
      <c r="AF6372">
        <v>1</v>
      </c>
      <c r="AG6372">
        <v>1</v>
      </c>
      <c r="AH6372">
        <v>1</v>
      </c>
      <c r="AI6372">
        <v>1</v>
      </c>
      <c r="AJ6372">
        <v>1</v>
      </c>
      <c r="AK6372">
        <v>1</v>
      </c>
      <c r="AL6372">
        <v>1</v>
      </c>
      <c r="AM6372">
        <v>1</v>
      </c>
    </row>
    <row r="6373" spans="1:39" x14ac:dyDescent="0.2">
      <c r="A6373" t="str">
        <f>"6369"</f>
        <v>6369</v>
      </c>
      <c r="B6373" t="str">
        <f t="shared" si="352"/>
        <v>1</v>
      </c>
      <c r="C6373" t="str">
        <f t="shared" si="354"/>
        <v>128</v>
      </c>
      <c r="D6373" t="str">
        <f>"11"</f>
        <v>11</v>
      </c>
      <c r="E6373" t="str">
        <f>"1-128-11"</f>
        <v>1-128-11</v>
      </c>
      <c r="F6373" t="s">
        <v>65</v>
      </c>
      <c r="G6373" t="s">
        <v>66</v>
      </c>
      <c r="H6373" t="s">
        <v>67</v>
      </c>
      <c r="S6373">
        <v>1</v>
      </c>
      <c r="T6373">
        <v>0</v>
      </c>
      <c r="U6373">
        <v>0</v>
      </c>
      <c r="V6373">
        <v>0</v>
      </c>
      <c r="W6373">
        <v>1</v>
      </c>
      <c r="X6373">
        <v>0</v>
      </c>
      <c r="Y6373">
        <v>0</v>
      </c>
      <c r="Z6373">
        <v>1</v>
      </c>
      <c r="AA6373">
        <v>0</v>
      </c>
      <c r="AB6373">
        <v>0</v>
      </c>
      <c r="AC6373">
        <v>1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</row>
    <row r="6374" spans="1:39" x14ac:dyDescent="0.2">
      <c r="A6374" t="str">
        <f>"6370"</f>
        <v>6370</v>
      </c>
      <c r="B6374" t="str">
        <f t="shared" si="352"/>
        <v>1</v>
      </c>
      <c r="C6374" t="str">
        <f t="shared" si="354"/>
        <v>128</v>
      </c>
      <c r="D6374" t="str">
        <f>"34"</f>
        <v>34</v>
      </c>
      <c r="E6374" t="str">
        <f>"1-128-34"</f>
        <v>1-128-34</v>
      </c>
      <c r="F6374" t="s">
        <v>65</v>
      </c>
      <c r="G6374" t="s">
        <v>66</v>
      </c>
      <c r="H6374" t="s">
        <v>67</v>
      </c>
      <c r="S6374">
        <v>0</v>
      </c>
      <c r="T6374">
        <v>1</v>
      </c>
      <c r="U6374">
        <v>0</v>
      </c>
      <c r="V6374">
        <v>0</v>
      </c>
      <c r="W6374">
        <v>0</v>
      </c>
      <c r="X6374">
        <v>1</v>
      </c>
      <c r="Y6374">
        <v>0</v>
      </c>
      <c r="Z6374">
        <v>0</v>
      </c>
      <c r="AA6374">
        <v>0</v>
      </c>
      <c r="AB6374">
        <v>1</v>
      </c>
      <c r="AC6374">
        <v>0</v>
      </c>
      <c r="AD6374">
        <v>0</v>
      </c>
      <c r="AE6374">
        <v>0</v>
      </c>
      <c r="AF6374">
        <v>0</v>
      </c>
      <c r="AG6374">
        <v>1</v>
      </c>
      <c r="AH6374">
        <v>1</v>
      </c>
      <c r="AI6374">
        <v>1</v>
      </c>
      <c r="AJ6374">
        <v>1</v>
      </c>
      <c r="AK6374">
        <v>1</v>
      </c>
      <c r="AL6374">
        <v>1</v>
      </c>
      <c r="AM6374">
        <v>1</v>
      </c>
    </row>
    <row r="6375" spans="1:39" x14ac:dyDescent="0.2">
      <c r="A6375" t="str">
        <f>"6371"</f>
        <v>6371</v>
      </c>
      <c r="B6375" t="str">
        <f t="shared" si="352"/>
        <v>1</v>
      </c>
      <c r="C6375" t="str">
        <f t="shared" si="354"/>
        <v>128</v>
      </c>
      <c r="D6375" t="str">
        <f>"19"</f>
        <v>19</v>
      </c>
      <c r="E6375" t="str">
        <f>"1-128-19"</f>
        <v>1-128-19</v>
      </c>
      <c r="F6375" t="s">
        <v>65</v>
      </c>
      <c r="G6375" t="s">
        <v>66</v>
      </c>
      <c r="H6375" t="s">
        <v>67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1</v>
      </c>
      <c r="Y6375">
        <v>0</v>
      </c>
      <c r="Z6375">
        <v>1</v>
      </c>
      <c r="AA6375">
        <v>0</v>
      </c>
      <c r="AB6375">
        <v>0</v>
      </c>
      <c r="AC6375">
        <v>1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1</v>
      </c>
      <c r="AL6375">
        <v>1</v>
      </c>
      <c r="AM6375">
        <v>0</v>
      </c>
    </row>
    <row r="6376" spans="1:39" x14ac:dyDescent="0.2">
      <c r="A6376" t="str">
        <f>"6372"</f>
        <v>6372</v>
      </c>
      <c r="B6376" t="str">
        <f t="shared" si="352"/>
        <v>1</v>
      </c>
      <c r="C6376" t="str">
        <f t="shared" si="354"/>
        <v>128</v>
      </c>
      <c r="D6376" t="str">
        <f>"12"</f>
        <v>12</v>
      </c>
      <c r="E6376" t="str">
        <f>"1-128-12"</f>
        <v>1-128-12</v>
      </c>
      <c r="F6376" t="s">
        <v>65</v>
      </c>
      <c r="G6376" t="s">
        <v>66</v>
      </c>
      <c r="H6376" t="s">
        <v>67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1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</row>
    <row r="6377" spans="1:39" x14ac:dyDescent="0.2">
      <c r="A6377" t="str">
        <f>"6373"</f>
        <v>6373</v>
      </c>
      <c r="B6377" t="str">
        <f t="shared" si="352"/>
        <v>1</v>
      </c>
      <c r="C6377" t="str">
        <f t="shared" si="354"/>
        <v>128</v>
      </c>
      <c r="D6377" t="str">
        <f>"33"</f>
        <v>33</v>
      </c>
      <c r="E6377" t="str">
        <f>"1-128-33"</f>
        <v>1-128-33</v>
      </c>
      <c r="F6377" t="s">
        <v>65</v>
      </c>
      <c r="G6377" t="s">
        <v>66</v>
      </c>
      <c r="H6377" t="s">
        <v>67</v>
      </c>
      <c r="S6377">
        <v>0</v>
      </c>
      <c r="T6377">
        <v>1</v>
      </c>
      <c r="U6377">
        <v>0</v>
      </c>
      <c r="V6377">
        <v>0</v>
      </c>
      <c r="W6377">
        <v>0</v>
      </c>
      <c r="X6377">
        <v>1</v>
      </c>
      <c r="Y6377">
        <v>0</v>
      </c>
      <c r="Z6377">
        <v>1</v>
      </c>
      <c r="AA6377">
        <v>0</v>
      </c>
      <c r="AB6377">
        <v>0</v>
      </c>
      <c r="AC6377">
        <v>1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1</v>
      </c>
      <c r="AM6377">
        <v>0</v>
      </c>
    </row>
    <row r="6378" spans="1:39" x14ac:dyDescent="0.2">
      <c r="A6378" t="str">
        <f>"6374"</f>
        <v>6374</v>
      </c>
      <c r="B6378" t="str">
        <f t="shared" si="352"/>
        <v>1</v>
      </c>
      <c r="C6378" t="str">
        <f t="shared" si="354"/>
        <v>128</v>
      </c>
      <c r="D6378" t="str">
        <f>"20"</f>
        <v>20</v>
      </c>
      <c r="E6378" t="str">
        <f>"1-128-20"</f>
        <v>1-128-20</v>
      </c>
      <c r="F6378" t="s">
        <v>65</v>
      </c>
      <c r="G6378" t="s">
        <v>66</v>
      </c>
      <c r="H6378" t="s">
        <v>67</v>
      </c>
      <c r="S6378">
        <v>0</v>
      </c>
      <c r="T6378">
        <v>1</v>
      </c>
      <c r="U6378">
        <v>0</v>
      </c>
      <c r="V6378">
        <v>0</v>
      </c>
      <c r="W6378">
        <v>0</v>
      </c>
      <c r="X6378">
        <v>1</v>
      </c>
      <c r="Y6378">
        <v>0</v>
      </c>
      <c r="Z6378">
        <v>1</v>
      </c>
      <c r="AA6378">
        <v>0</v>
      </c>
      <c r="AB6378">
        <v>0</v>
      </c>
      <c r="AC6378">
        <v>0</v>
      </c>
      <c r="AD6378">
        <v>1</v>
      </c>
      <c r="AE6378">
        <v>1</v>
      </c>
      <c r="AF6378">
        <v>1</v>
      </c>
      <c r="AG6378">
        <v>0</v>
      </c>
      <c r="AH6378">
        <v>0</v>
      </c>
      <c r="AI6378">
        <v>1</v>
      </c>
      <c r="AJ6378">
        <v>1</v>
      </c>
      <c r="AK6378">
        <v>0</v>
      </c>
      <c r="AL6378">
        <v>1</v>
      </c>
      <c r="AM6378">
        <v>1</v>
      </c>
    </row>
    <row r="6379" spans="1:39" x14ac:dyDescent="0.2">
      <c r="A6379" t="str">
        <f>"6375"</f>
        <v>6375</v>
      </c>
      <c r="B6379" t="str">
        <f t="shared" si="352"/>
        <v>1</v>
      </c>
      <c r="C6379" t="str">
        <f t="shared" si="354"/>
        <v>128</v>
      </c>
      <c r="D6379" t="str">
        <f>"6"</f>
        <v>6</v>
      </c>
      <c r="E6379" t="str">
        <f>"1-128-6"</f>
        <v>1-128-6</v>
      </c>
      <c r="F6379" t="s">
        <v>65</v>
      </c>
      <c r="G6379" t="s">
        <v>66</v>
      </c>
      <c r="H6379" t="s">
        <v>67</v>
      </c>
      <c r="S6379">
        <v>1</v>
      </c>
      <c r="T6379">
        <v>0</v>
      </c>
      <c r="U6379">
        <v>0</v>
      </c>
      <c r="V6379">
        <v>0</v>
      </c>
      <c r="W6379">
        <v>1</v>
      </c>
      <c r="X6379">
        <v>0</v>
      </c>
      <c r="Y6379">
        <v>0</v>
      </c>
      <c r="Z6379">
        <v>1</v>
      </c>
      <c r="AA6379">
        <v>0</v>
      </c>
      <c r="AB6379">
        <v>0</v>
      </c>
      <c r="AC6379">
        <v>1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</row>
    <row r="6380" spans="1:39" x14ac:dyDescent="0.2">
      <c r="A6380" t="str">
        <f>"6376"</f>
        <v>6376</v>
      </c>
      <c r="B6380" t="str">
        <f t="shared" si="352"/>
        <v>1</v>
      </c>
      <c r="C6380" t="str">
        <f t="shared" si="354"/>
        <v>128</v>
      </c>
      <c r="D6380" t="str">
        <f>"49"</f>
        <v>49</v>
      </c>
      <c r="E6380" t="str">
        <f>"1-128-49"</f>
        <v>1-128-49</v>
      </c>
      <c r="F6380" t="s">
        <v>65</v>
      </c>
      <c r="G6380" t="s">
        <v>66</v>
      </c>
      <c r="H6380" t="s">
        <v>67</v>
      </c>
      <c r="S6380">
        <v>0</v>
      </c>
      <c r="T6380">
        <v>1</v>
      </c>
      <c r="U6380">
        <v>0</v>
      </c>
      <c r="V6380">
        <v>0</v>
      </c>
      <c r="W6380">
        <v>0</v>
      </c>
      <c r="X6380">
        <v>1</v>
      </c>
      <c r="Y6380">
        <v>1</v>
      </c>
      <c r="Z6380">
        <v>0</v>
      </c>
      <c r="AA6380">
        <v>0</v>
      </c>
      <c r="AB6380">
        <v>1</v>
      </c>
      <c r="AC6380">
        <v>0</v>
      </c>
      <c r="AD6380">
        <v>1</v>
      </c>
      <c r="AE6380">
        <v>1</v>
      </c>
      <c r="AF6380">
        <v>1</v>
      </c>
      <c r="AG6380">
        <v>1</v>
      </c>
      <c r="AH6380">
        <v>1</v>
      </c>
      <c r="AI6380">
        <v>1</v>
      </c>
      <c r="AJ6380">
        <v>1</v>
      </c>
      <c r="AK6380">
        <v>1</v>
      </c>
      <c r="AL6380">
        <v>1</v>
      </c>
      <c r="AM6380">
        <v>1</v>
      </c>
    </row>
    <row r="6381" spans="1:39" x14ac:dyDescent="0.2">
      <c r="A6381" t="str">
        <f>"6377"</f>
        <v>6377</v>
      </c>
      <c r="B6381" t="str">
        <f t="shared" si="352"/>
        <v>1</v>
      </c>
      <c r="C6381" t="str">
        <f t="shared" si="354"/>
        <v>128</v>
      </c>
      <c r="D6381" t="str">
        <f>"21"</f>
        <v>21</v>
      </c>
      <c r="E6381" t="str">
        <f>"1-128-21"</f>
        <v>1-128-21</v>
      </c>
      <c r="F6381" t="s">
        <v>65</v>
      </c>
      <c r="G6381" t="s">
        <v>66</v>
      </c>
      <c r="H6381" t="s">
        <v>67</v>
      </c>
      <c r="S6381">
        <v>1</v>
      </c>
      <c r="T6381">
        <v>0</v>
      </c>
      <c r="U6381">
        <v>0</v>
      </c>
      <c r="V6381">
        <v>0</v>
      </c>
      <c r="W6381">
        <v>0</v>
      </c>
      <c r="X6381">
        <v>1</v>
      </c>
      <c r="Y6381">
        <v>0</v>
      </c>
      <c r="Z6381">
        <v>1</v>
      </c>
      <c r="AA6381">
        <v>0</v>
      </c>
      <c r="AB6381">
        <v>1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</row>
    <row r="6382" spans="1:39" x14ac:dyDescent="0.2">
      <c r="A6382" t="str">
        <f>"6378"</f>
        <v>6378</v>
      </c>
      <c r="B6382" t="str">
        <f t="shared" si="352"/>
        <v>1</v>
      </c>
      <c r="C6382" t="str">
        <f t="shared" si="354"/>
        <v>128</v>
      </c>
      <c r="D6382" t="str">
        <f>"10"</f>
        <v>10</v>
      </c>
      <c r="E6382" t="str">
        <f>"1-128-10"</f>
        <v>1-128-10</v>
      </c>
      <c r="F6382" t="s">
        <v>65</v>
      </c>
      <c r="G6382" t="s">
        <v>66</v>
      </c>
      <c r="H6382" t="s">
        <v>67</v>
      </c>
      <c r="S6382">
        <v>0</v>
      </c>
      <c r="T6382">
        <v>1</v>
      </c>
      <c r="U6382">
        <v>0</v>
      </c>
      <c r="V6382">
        <v>0</v>
      </c>
      <c r="W6382">
        <v>0</v>
      </c>
      <c r="X6382">
        <v>1</v>
      </c>
      <c r="Y6382">
        <v>0</v>
      </c>
      <c r="Z6382">
        <v>1</v>
      </c>
      <c r="AA6382">
        <v>0</v>
      </c>
      <c r="AB6382">
        <v>0</v>
      </c>
      <c r="AC6382">
        <v>1</v>
      </c>
      <c r="AD6382">
        <v>1</v>
      </c>
      <c r="AE6382">
        <v>1</v>
      </c>
      <c r="AF6382">
        <v>1</v>
      </c>
      <c r="AG6382">
        <v>1</v>
      </c>
      <c r="AH6382">
        <v>1</v>
      </c>
      <c r="AI6382">
        <v>1</v>
      </c>
      <c r="AJ6382">
        <v>1</v>
      </c>
      <c r="AK6382">
        <v>1</v>
      </c>
      <c r="AL6382">
        <v>1</v>
      </c>
      <c r="AM6382">
        <v>1</v>
      </c>
    </row>
    <row r="6383" spans="1:39" x14ac:dyDescent="0.2">
      <c r="A6383" t="str">
        <f>"6379"</f>
        <v>6379</v>
      </c>
      <c r="B6383" t="str">
        <f t="shared" si="352"/>
        <v>1</v>
      </c>
      <c r="C6383" t="str">
        <f t="shared" si="354"/>
        <v>128</v>
      </c>
      <c r="D6383" t="str">
        <f>"48"</f>
        <v>48</v>
      </c>
      <c r="E6383" t="str">
        <f>"1-128-48"</f>
        <v>1-128-48</v>
      </c>
      <c r="F6383" t="s">
        <v>65</v>
      </c>
      <c r="G6383" t="s">
        <v>66</v>
      </c>
      <c r="H6383" t="s">
        <v>67</v>
      </c>
      <c r="S6383">
        <v>1</v>
      </c>
      <c r="T6383">
        <v>0</v>
      </c>
      <c r="U6383">
        <v>0</v>
      </c>
      <c r="V6383">
        <v>0</v>
      </c>
      <c r="W6383">
        <v>0</v>
      </c>
      <c r="X6383">
        <v>1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1</v>
      </c>
      <c r="AE6383">
        <v>0</v>
      </c>
      <c r="AF6383">
        <v>0</v>
      </c>
      <c r="AG6383">
        <v>0</v>
      </c>
      <c r="AH6383">
        <v>0</v>
      </c>
      <c r="AI6383">
        <v>1</v>
      </c>
      <c r="AJ6383">
        <v>0</v>
      </c>
      <c r="AK6383">
        <v>0</v>
      </c>
      <c r="AL6383">
        <v>0</v>
      </c>
      <c r="AM6383">
        <v>0</v>
      </c>
    </row>
    <row r="6384" spans="1:39" x14ac:dyDescent="0.2">
      <c r="A6384" t="str">
        <f>"6380"</f>
        <v>6380</v>
      </c>
      <c r="B6384" t="str">
        <f t="shared" si="352"/>
        <v>1</v>
      </c>
      <c r="C6384" t="str">
        <f t="shared" si="354"/>
        <v>128</v>
      </c>
      <c r="D6384" t="str">
        <f>"22"</f>
        <v>22</v>
      </c>
      <c r="E6384" t="str">
        <f>"1-128-22"</f>
        <v>1-128-22</v>
      </c>
      <c r="F6384" t="s">
        <v>65</v>
      </c>
      <c r="G6384" t="s">
        <v>66</v>
      </c>
      <c r="H6384" t="s">
        <v>67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1</v>
      </c>
      <c r="Y6384">
        <v>0</v>
      </c>
      <c r="Z6384">
        <v>0</v>
      </c>
      <c r="AA6384">
        <v>0</v>
      </c>
      <c r="AB6384">
        <v>0</v>
      </c>
      <c r="AC6384">
        <v>1</v>
      </c>
      <c r="AD6384">
        <v>1</v>
      </c>
      <c r="AE6384">
        <v>1</v>
      </c>
      <c r="AF6384">
        <v>1</v>
      </c>
      <c r="AG6384">
        <v>1</v>
      </c>
      <c r="AH6384">
        <v>1</v>
      </c>
      <c r="AI6384">
        <v>1</v>
      </c>
      <c r="AJ6384">
        <v>1</v>
      </c>
      <c r="AK6384">
        <v>1</v>
      </c>
      <c r="AL6384">
        <v>1</v>
      </c>
      <c r="AM6384">
        <v>1</v>
      </c>
    </row>
    <row r="6385" spans="1:39" x14ac:dyDescent="0.2">
      <c r="A6385" t="str">
        <f>"6381"</f>
        <v>6381</v>
      </c>
      <c r="B6385" t="str">
        <f t="shared" si="352"/>
        <v>1</v>
      </c>
      <c r="C6385" t="str">
        <f t="shared" si="354"/>
        <v>128</v>
      </c>
      <c r="D6385" t="str">
        <f>"9"</f>
        <v>9</v>
      </c>
      <c r="E6385" t="str">
        <f>"1-128-9"</f>
        <v>1-128-9</v>
      </c>
      <c r="F6385" t="s">
        <v>65</v>
      </c>
      <c r="G6385" t="s">
        <v>66</v>
      </c>
      <c r="H6385" t="s">
        <v>67</v>
      </c>
      <c r="S6385">
        <v>1</v>
      </c>
      <c r="T6385">
        <v>0</v>
      </c>
      <c r="U6385">
        <v>0</v>
      </c>
      <c r="V6385">
        <v>0</v>
      </c>
      <c r="W6385">
        <v>0</v>
      </c>
      <c r="X6385">
        <v>1</v>
      </c>
      <c r="Y6385">
        <v>0</v>
      </c>
      <c r="Z6385">
        <v>1</v>
      </c>
      <c r="AA6385">
        <v>0</v>
      </c>
      <c r="AB6385">
        <v>0</v>
      </c>
      <c r="AC6385">
        <v>1</v>
      </c>
      <c r="AD6385">
        <v>1</v>
      </c>
      <c r="AE6385">
        <v>1</v>
      </c>
      <c r="AF6385">
        <v>1</v>
      </c>
      <c r="AG6385">
        <v>1</v>
      </c>
      <c r="AH6385">
        <v>1</v>
      </c>
      <c r="AI6385">
        <v>1</v>
      </c>
      <c r="AJ6385">
        <v>1</v>
      </c>
      <c r="AK6385">
        <v>1</v>
      </c>
      <c r="AL6385">
        <v>1</v>
      </c>
      <c r="AM6385">
        <v>1</v>
      </c>
    </row>
    <row r="6386" spans="1:39" x14ac:dyDescent="0.2">
      <c r="A6386" t="str">
        <f>"6382"</f>
        <v>6382</v>
      </c>
      <c r="B6386" t="str">
        <f t="shared" si="352"/>
        <v>1</v>
      </c>
      <c r="C6386" t="str">
        <f t="shared" si="354"/>
        <v>128</v>
      </c>
      <c r="D6386" t="str">
        <f>"44"</f>
        <v>44</v>
      </c>
      <c r="E6386" t="str">
        <f>"1-128-44"</f>
        <v>1-128-44</v>
      </c>
      <c r="F6386" t="s">
        <v>65</v>
      </c>
      <c r="G6386" t="s">
        <v>66</v>
      </c>
      <c r="H6386" t="s">
        <v>67</v>
      </c>
      <c r="S6386">
        <v>1</v>
      </c>
      <c r="T6386">
        <v>0</v>
      </c>
      <c r="U6386">
        <v>0</v>
      </c>
      <c r="V6386">
        <v>0</v>
      </c>
      <c r="W6386">
        <v>1</v>
      </c>
      <c r="X6386">
        <v>0</v>
      </c>
      <c r="Y6386">
        <v>0</v>
      </c>
      <c r="Z6386">
        <v>1</v>
      </c>
      <c r="AA6386">
        <v>0</v>
      </c>
      <c r="AB6386">
        <v>1</v>
      </c>
      <c r="AC6386">
        <v>0</v>
      </c>
      <c r="AD6386">
        <v>1</v>
      </c>
      <c r="AE6386">
        <v>1</v>
      </c>
      <c r="AF6386">
        <v>1</v>
      </c>
      <c r="AG6386">
        <v>1</v>
      </c>
      <c r="AH6386">
        <v>1</v>
      </c>
      <c r="AI6386">
        <v>1</v>
      </c>
      <c r="AJ6386">
        <v>1</v>
      </c>
      <c r="AK6386">
        <v>1</v>
      </c>
      <c r="AL6386">
        <v>1</v>
      </c>
      <c r="AM6386">
        <v>1</v>
      </c>
    </row>
    <row r="6387" spans="1:39" x14ac:dyDescent="0.2">
      <c r="A6387" t="str">
        <f>"6383"</f>
        <v>6383</v>
      </c>
      <c r="B6387" t="str">
        <f t="shared" si="352"/>
        <v>1</v>
      </c>
      <c r="C6387" t="str">
        <f t="shared" ref="C6387:C6404" si="355">"128"</f>
        <v>128</v>
      </c>
      <c r="D6387" t="str">
        <f>"24"</f>
        <v>24</v>
      </c>
      <c r="E6387" t="str">
        <f>"1-128-24"</f>
        <v>1-128-24</v>
      </c>
      <c r="F6387" t="s">
        <v>65</v>
      </c>
      <c r="G6387" t="s">
        <v>66</v>
      </c>
      <c r="H6387" t="s">
        <v>67</v>
      </c>
      <c r="S6387">
        <v>0</v>
      </c>
      <c r="T6387">
        <v>1</v>
      </c>
      <c r="U6387">
        <v>0</v>
      </c>
      <c r="V6387">
        <v>0</v>
      </c>
      <c r="W6387">
        <v>0</v>
      </c>
      <c r="X6387">
        <v>1</v>
      </c>
      <c r="Y6387">
        <v>0</v>
      </c>
      <c r="Z6387">
        <v>1</v>
      </c>
      <c r="AA6387">
        <v>0</v>
      </c>
      <c r="AB6387">
        <v>1</v>
      </c>
      <c r="AC6387">
        <v>0</v>
      </c>
      <c r="AD6387">
        <v>1</v>
      </c>
      <c r="AE6387">
        <v>1</v>
      </c>
      <c r="AF6387">
        <v>1</v>
      </c>
      <c r="AG6387">
        <v>1</v>
      </c>
      <c r="AH6387">
        <v>1</v>
      </c>
      <c r="AI6387">
        <v>1</v>
      </c>
      <c r="AJ6387">
        <v>1</v>
      </c>
      <c r="AK6387">
        <v>1</v>
      </c>
      <c r="AL6387">
        <v>1</v>
      </c>
      <c r="AM6387">
        <v>1</v>
      </c>
    </row>
    <row r="6388" spans="1:39" x14ac:dyDescent="0.2">
      <c r="A6388" t="str">
        <f>"6384"</f>
        <v>6384</v>
      </c>
      <c r="B6388" t="str">
        <f t="shared" si="352"/>
        <v>1</v>
      </c>
      <c r="C6388" t="str">
        <f t="shared" si="355"/>
        <v>128</v>
      </c>
      <c r="D6388" t="str">
        <f>"5"</f>
        <v>5</v>
      </c>
      <c r="E6388" t="str">
        <f>"1-128-5"</f>
        <v>1-128-5</v>
      </c>
      <c r="F6388" t="s">
        <v>65</v>
      </c>
      <c r="G6388" t="s">
        <v>66</v>
      </c>
      <c r="H6388" t="s">
        <v>67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1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1</v>
      </c>
      <c r="AI6388">
        <v>1</v>
      </c>
      <c r="AJ6388">
        <v>1</v>
      </c>
      <c r="AK6388">
        <v>1</v>
      </c>
      <c r="AL6388">
        <v>1</v>
      </c>
      <c r="AM6388">
        <v>1</v>
      </c>
    </row>
    <row r="6389" spans="1:39" x14ac:dyDescent="0.2">
      <c r="A6389" t="str">
        <f>"6385"</f>
        <v>6385</v>
      </c>
      <c r="B6389" t="str">
        <f t="shared" si="352"/>
        <v>1</v>
      </c>
      <c r="C6389" t="str">
        <f t="shared" si="355"/>
        <v>128</v>
      </c>
      <c r="D6389" t="str">
        <f>"43"</f>
        <v>43</v>
      </c>
      <c r="E6389" t="str">
        <f>"1-128-43"</f>
        <v>1-128-43</v>
      </c>
      <c r="F6389" t="s">
        <v>65</v>
      </c>
      <c r="G6389" t="s">
        <v>66</v>
      </c>
      <c r="H6389" t="s">
        <v>67</v>
      </c>
      <c r="S6389">
        <v>0</v>
      </c>
      <c r="T6389">
        <v>1</v>
      </c>
      <c r="U6389">
        <v>0</v>
      </c>
      <c r="V6389">
        <v>0</v>
      </c>
      <c r="W6389">
        <v>0</v>
      </c>
      <c r="X6389">
        <v>1</v>
      </c>
      <c r="Y6389">
        <v>0</v>
      </c>
      <c r="Z6389">
        <v>1</v>
      </c>
      <c r="AA6389">
        <v>0</v>
      </c>
      <c r="AB6389">
        <v>1</v>
      </c>
      <c r="AC6389">
        <v>0</v>
      </c>
      <c r="AD6389">
        <v>0</v>
      </c>
      <c r="AE6389">
        <v>0</v>
      </c>
      <c r="AF6389">
        <v>0</v>
      </c>
      <c r="AG6389">
        <v>1</v>
      </c>
      <c r="AH6389">
        <v>1</v>
      </c>
      <c r="AI6389">
        <v>1</v>
      </c>
      <c r="AJ6389">
        <v>1</v>
      </c>
      <c r="AK6389">
        <v>1</v>
      </c>
      <c r="AL6389">
        <v>1</v>
      </c>
      <c r="AM6389">
        <v>1</v>
      </c>
    </row>
    <row r="6390" spans="1:39" x14ac:dyDescent="0.2">
      <c r="A6390" t="str">
        <f>"6386"</f>
        <v>6386</v>
      </c>
      <c r="B6390" t="str">
        <f t="shared" si="352"/>
        <v>1</v>
      </c>
      <c r="C6390" t="str">
        <f t="shared" si="355"/>
        <v>128</v>
      </c>
      <c r="D6390" t="str">
        <f>"26"</f>
        <v>26</v>
      </c>
      <c r="E6390" t="str">
        <f>"1-128-26"</f>
        <v>1-128-26</v>
      </c>
      <c r="F6390" t="s">
        <v>65</v>
      </c>
      <c r="G6390" t="s">
        <v>66</v>
      </c>
      <c r="H6390" t="s">
        <v>67</v>
      </c>
      <c r="S6390">
        <v>1</v>
      </c>
      <c r="T6390">
        <v>0</v>
      </c>
      <c r="U6390">
        <v>0</v>
      </c>
      <c r="V6390">
        <v>0</v>
      </c>
      <c r="W6390">
        <v>1</v>
      </c>
      <c r="X6390">
        <v>0</v>
      </c>
      <c r="Y6390">
        <v>0</v>
      </c>
      <c r="Z6390">
        <v>1</v>
      </c>
      <c r="AA6390">
        <v>1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</row>
    <row r="6391" spans="1:39" x14ac:dyDescent="0.2">
      <c r="A6391" t="str">
        <f>"6387"</f>
        <v>6387</v>
      </c>
      <c r="B6391" t="str">
        <f t="shared" ref="B6391:B6454" si="356">"1"</f>
        <v>1</v>
      </c>
      <c r="C6391" t="str">
        <f t="shared" si="355"/>
        <v>128</v>
      </c>
      <c r="D6391" t="str">
        <f>"7"</f>
        <v>7</v>
      </c>
      <c r="E6391" t="str">
        <f>"1-128-7"</f>
        <v>1-128-7</v>
      </c>
      <c r="F6391" t="s">
        <v>65</v>
      </c>
      <c r="G6391" t="s">
        <v>66</v>
      </c>
      <c r="H6391" t="s">
        <v>67</v>
      </c>
      <c r="S6391">
        <v>0</v>
      </c>
      <c r="T6391">
        <v>1</v>
      </c>
      <c r="U6391">
        <v>0</v>
      </c>
      <c r="V6391">
        <v>0</v>
      </c>
      <c r="W6391">
        <v>0</v>
      </c>
      <c r="X6391">
        <v>1</v>
      </c>
      <c r="Y6391">
        <v>0</v>
      </c>
      <c r="Z6391">
        <v>1</v>
      </c>
      <c r="AA6391">
        <v>0</v>
      </c>
      <c r="AB6391">
        <v>0</v>
      </c>
      <c r="AC6391">
        <v>1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</row>
    <row r="6392" spans="1:39" x14ac:dyDescent="0.2">
      <c r="A6392" t="str">
        <f>"6388"</f>
        <v>6388</v>
      </c>
      <c r="B6392" t="str">
        <f t="shared" si="356"/>
        <v>1</v>
      </c>
      <c r="C6392" t="str">
        <f t="shared" si="355"/>
        <v>128</v>
      </c>
      <c r="D6392" t="str">
        <f>"45"</f>
        <v>45</v>
      </c>
      <c r="E6392" t="str">
        <f>"1-128-45"</f>
        <v>1-128-45</v>
      </c>
      <c r="F6392" t="s">
        <v>65</v>
      </c>
      <c r="G6392" t="s">
        <v>66</v>
      </c>
      <c r="H6392" t="s">
        <v>67</v>
      </c>
      <c r="S6392">
        <v>1</v>
      </c>
      <c r="T6392">
        <v>0</v>
      </c>
      <c r="U6392">
        <v>0</v>
      </c>
      <c r="V6392">
        <v>0</v>
      </c>
      <c r="W6392">
        <v>1</v>
      </c>
      <c r="X6392">
        <v>0</v>
      </c>
      <c r="Y6392">
        <v>0</v>
      </c>
      <c r="Z6392">
        <v>1</v>
      </c>
      <c r="AA6392">
        <v>1</v>
      </c>
      <c r="AB6392">
        <v>0</v>
      </c>
      <c r="AC6392">
        <v>0</v>
      </c>
      <c r="AD6392">
        <v>1</v>
      </c>
      <c r="AE6392">
        <v>1</v>
      </c>
      <c r="AF6392">
        <v>1</v>
      </c>
      <c r="AG6392">
        <v>1</v>
      </c>
      <c r="AH6392">
        <v>1</v>
      </c>
      <c r="AI6392">
        <v>1</v>
      </c>
      <c r="AJ6392">
        <v>1</v>
      </c>
      <c r="AK6392">
        <v>1</v>
      </c>
      <c r="AL6392">
        <v>1</v>
      </c>
      <c r="AM6392">
        <v>1</v>
      </c>
    </row>
    <row r="6393" spans="1:39" x14ac:dyDescent="0.2">
      <c r="A6393" t="str">
        <f>"6389"</f>
        <v>6389</v>
      </c>
      <c r="B6393" t="str">
        <f t="shared" si="356"/>
        <v>1</v>
      </c>
      <c r="C6393" t="str">
        <f t="shared" si="355"/>
        <v>128</v>
      </c>
      <c r="D6393" t="str">
        <f>"27"</f>
        <v>27</v>
      </c>
      <c r="E6393" t="str">
        <f>"1-128-27"</f>
        <v>1-128-27</v>
      </c>
      <c r="F6393" t="s">
        <v>65</v>
      </c>
      <c r="G6393" t="s">
        <v>66</v>
      </c>
      <c r="H6393" t="s">
        <v>67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1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</row>
    <row r="6394" spans="1:39" x14ac:dyDescent="0.2">
      <c r="A6394" t="str">
        <f>"6390"</f>
        <v>6390</v>
      </c>
      <c r="B6394" t="str">
        <f t="shared" si="356"/>
        <v>1</v>
      </c>
      <c r="C6394" t="str">
        <f t="shared" si="355"/>
        <v>128</v>
      </c>
      <c r="D6394" t="str">
        <f>"14"</f>
        <v>14</v>
      </c>
      <c r="E6394" t="str">
        <f>"1-128-14"</f>
        <v>1-128-14</v>
      </c>
      <c r="F6394" t="s">
        <v>65</v>
      </c>
      <c r="G6394" t="s">
        <v>66</v>
      </c>
      <c r="H6394" t="s">
        <v>67</v>
      </c>
      <c r="S6394">
        <v>0</v>
      </c>
      <c r="T6394">
        <v>1</v>
      </c>
      <c r="U6394">
        <v>0</v>
      </c>
      <c r="V6394">
        <v>0</v>
      </c>
      <c r="W6394">
        <v>1</v>
      </c>
      <c r="X6394">
        <v>0</v>
      </c>
      <c r="Y6394">
        <v>1</v>
      </c>
      <c r="Z6394">
        <v>0</v>
      </c>
      <c r="AA6394">
        <v>0</v>
      </c>
      <c r="AB6394">
        <v>0</v>
      </c>
      <c r="AC6394">
        <v>1</v>
      </c>
      <c r="AD6394">
        <v>1</v>
      </c>
      <c r="AE6394">
        <v>1</v>
      </c>
      <c r="AF6394">
        <v>1</v>
      </c>
      <c r="AG6394">
        <v>1</v>
      </c>
      <c r="AH6394">
        <v>1</v>
      </c>
      <c r="AI6394">
        <v>1</v>
      </c>
      <c r="AJ6394">
        <v>1</v>
      </c>
      <c r="AK6394">
        <v>1</v>
      </c>
      <c r="AL6394">
        <v>1</v>
      </c>
      <c r="AM6394">
        <v>1</v>
      </c>
    </row>
    <row r="6395" spans="1:39" x14ac:dyDescent="0.2">
      <c r="A6395" t="str">
        <f>"6391"</f>
        <v>6391</v>
      </c>
      <c r="B6395" t="str">
        <f t="shared" si="356"/>
        <v>1</v>
      </c>
      <c r="C6395" t="str">
        <f t="shared" si="355"/>
        <v>128</v>
      </c>
      <c r="D6395" t="str">
        <f>"28"</f>
        <v>28</v>
      </c>
      <c r="E6395" t="str">
        <f>"1-128-28"</f>
        <v>1-128-28</v>
      </c>
      <c r="F6395" t="s">
        <v>65</v>
      </c>
      <c r="G6395" t="s">
        <v>66</v>
      </c>
      <c r="H6395" t="s">
        <v>67</v>
      </c>
      <c r="S6395">
        <v>1</v>
      </c>
      <c r="T6395">
        <v>0</v>
      </c>
      <c r="U6395">
        <v>0</v>
      </c>
      <c r="V6395">
        <v>0</v>
      </c>
      <c r="W6395">
        <v>1</v>
      </c>
      <c r="X6395">
        <v>0</v>
      </c>
      <c r="Y6395">
        <v>1</v>
      </c>
      <c r="Z6395">
        <v>0</v>
      </c>
      <c r="AA6395">
        <v>1</v>
      </c>
      <c r="AB6395">
        <v>0</v>
      </c>
      <c r="AC6395">
        <v>0</v>
      </c>
      <c r="AD6395">
        <v>1</v>
      </c>
      <c r="AE6395">
        <v>1</v>
      </c>
      <c r="AF6395">
        <v>1</v>
      </c>
      <c r="AG6395">
        <v>0</v>
      </c>
      <c r="AH6395">
        <v>0</v>
      </c>
      <c r="AI6395">
        <v>1</v>
      </c>
      <c r="AJ6395">
        <v>0</v>
      </c>
      <c r="AK6395">
        <v>1</v>
      </c>
      <c r="AL6395">
        <v>1</v>
      </c>
      <c r="AM6395">
        <v>1</v>
      </c>
    </row>
    <row r="6396" spans="1:39" x14ac:dyDescent="0.2">
      <c r="A6396" t="str">
        <f>"6392"</f>
        <v>6392</v>
      </c>
      <c r="B6396" t="str">
        <f t="shared" si="356"/>
        <v>1</v>
      </c>
      <c r="C6396" t="str">
        <f t="shared" si="355"/>
        <v>128</v>
      </c>
      <c r="D6396" t="str">
        <f>"3"</f>
        <v>3</v>
      </c>
      <c r="E6396" t="str">
        <f>"1-128-3"</f>
        <v>1-128-3</v>
      </c>
      <c r="F6396" t="s">
        <v>65</v>
      </c>
      <c r="G6396" t="s">
        <v>66</v>
      </c>
      <c r="H6396" t="s">
        <v>67</v>
      </c>
      <c r="S6396">
        <v>1</v>
      </c>
      <c r="T6396">
        <v>0</v>
      </c>
      <c r="U6396">
        <v>0</v>
      </c>
      <c r="V6396">
        <v>0</v>
      </c>
      <c r="W6396">
        <v>1</v>
      </c>
      <c r="X6396">
        <v>0</v>
      </c>
      <c r="Y6396">
        <v>0</v>
      </c>
      <c r="Z6396">
        <v>1</v>
      </c>
      <c r="AA6396">
        <v>1</v>
      </c>
      <c r="AB6396">
        <v>0</v>
      </c>
      <c r="AC6396">
        <v>0</v>
      </c>
      <c r="AD6396">
        <v>1</v>
      </c>
      <c r="AE6396">
        <v>1</v>
      </c>
      <c r="AF6396">
        <v>1</v>
      </c>
      <c r="AG6396">
        <v>1</v>
      </c>
      <c r="AH6396">
        <v>1</v>
      </c>
      <c r="AI6396">
        <v>1</v>
      </c>
      <c r="AJ6396">
        <v>1</v>
      </c>
      <c r="AK6396">
        <v>1</v>
      </c>
      <c r="AL6396">
        <v>1</v>
      </c>
      <c r="AM6396">
        <v>1</v>
      </c>
    </row>
    <row r="6397" spans="1:39" x14ac:dyDescent="0.2">
      <c r="A6397" t="str">
        <f>"6393"</f>
        <v>6393</v>
      </c>
      <c r="B6397" t="str">
        <f t="shared" si="356"/>
        <v>1</v>
      </c>
      <c r="C6397" t="str">
        <f t="shared" si="355"/>
        <v>128</v>
      </c>
      <c r="D6397" t="str">
        <f>"46"</f>
        <v>46</v>
      </c>
      <c r="E6397" t="str">
        <f>"1-128-46"</f>
        <v>1-128-46</v>
      </c>
      <c r="F6397" t="s">
        <v>65</v>
      </c>
      <c r="G6397" t="s">
        <v>66</v>
      </c>
      <c r="H6397" t="s">
        <v>67</v>
      </c>
      <c r="S6397">
        <v>1</v>
      </c>
      <c r="T6397">
        <v>0</v>
      </c>
      <c r="U6397">
        <v>0</v>
      </c>
      <c r="V6397">
        <v>0</v>
      </c>
      <c r="W6397">
        <v>0</v>
      </c>
      <c r="X6397">
        <v>1</v>
      </c>
      <c r="Y6397">
        <v>0</v>
      </c>
      <c r="Z6397">
        <v>1</v>
      </c>
      <c r="AA6397">
        <v>0</v>
      </c>
      <c r="AB6397">
        <v>1</v>
      </c>
      <c r="AC6397">
        <v>0</v>
      </c>
      <c r="AD6397">
        <v>0</v>
      </c>
      <c r="AE6397">
        <v>0</v>
      </c>
      <c r="AF6397">
        <v>0</v>
      </c>
      <c r="AG6397">
        <v>1</v>
      </c>
      <c r="AH6397">
        <v>1</v>
      </c>
      <c r="AI6397">
        <v>1</v>
      </c>
      <c r="AJ6397">
        <v>1</v>
      </c>
      <c r="AK6397">
        <v>1</v>
      </c>
      <c r="AL6397">
        <v>1</v>
      </c>
      <c r="AM6397">
        <v>1</v>
      </c>
    </row>
    <row r="6398" spans="1:39" x14ac:dyDescent="0.2">
      <c r="A6398" t="str">
        <f>"6394"</f>
        <v>6394</v>
      </c>
      <c r="B6398" t="str">
        <f t="shared" si="356"/>
        <v>1</v>
      </c>
      <c r="C6398" t="str">
        <f t="shared" si="355"/>
        <v>128</v>
      </c>
      <c r="D6398" t="str">
        <f>"29"</f>
        <v>29</v>
      </c>
      <c r="E6398" t="str">
        <f>"1-128-29"</f>
        <v>1-128-29</v>
      </c>
      <c r="F6398" t="s">
        <v>65</v>
      </c>
      <c r="G6398" t="s">
        <v>66</v>
      </c>
      <c r="H6398" t="s">
        <v>67</v>
      </c>
      <c r="S6398">
        <v>1</v>
      </c>
      <c r="T6398">
        <v>0</v>
      </c>
      <c r="U6398">
        <v>0</v>
      </c>
      <c r="V6398">
        <v>0</v>
      </c>
      <c r="W6398">
        <v>1</v>
      </c>
      <c r="X6398">
        <v>0</v>
      </c>
      <c r="Y6398">
        <v>1</v>
      </c>
      <c r="Z6398">
        <v>0</v>
      </c>
      <c r="AA6398">
        <v>1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</row>
    <row r="6399" spans="1:39" x14ac:dyDescent="0.2">
      <c r="A6399" t="str">
        <f>"6395"</f>
        <v>6395</v>
      </c>
      <c r="B6399" t="str">
        <f t="shared" si="356"/>
        <v>1</v>
      </c>
      <c r="C6399" t="str">
        <f t="shared" si="355"/>
        <v>128</v>
      </c>
      <c r="D6399" t="str">
        <f>"13"</f>
        <v>13</v>
      </c>
      <c r="E6399" t="str">
        <f>"1-128-13"</f>
        <v>1-128-13</v>
      </c>
      <c r="F6399" t="s">
        <v>65</v>
      </c>
      <c r="G6399" t="s">
        <v>66</v>
      </c>
      <c r="H6399" t="s">
        <v>67</v>
      </c>
      <c r="S6399">
        <v>1</v>
      </c>
      <c r="T6399">
        <v>0</v>
      </c>
      <c r="U6399">
        <v>0</v>
      </c>
      <c r="V6399">
        <v>0</v>
      </c>
      <c r="W6399">
        <v>1</v>
      </c>
      <c r="X6399">
        <v>0</v>
      </c>
      <c r="Y6399">
        <v>1</v>
      </c>
      <c r="Z6399">
        <v>0</v>
      </c>
      <c r="AA6399">
        <v>1</v>
      </c>
      <c r="AB6399">
        <v>0</v>
      </c>
      <c r="AC6399">
        <v>0</v>
      </c>
      <c r="AD6399">
        <v>1</v>
      </c>
      <c r="AE6399">
        <v>1</v>
      </c>
      <c r="AF6399">
        <v>0</v>
      </c>
      <c r="AG6399">
        <v>1</v>
      </c>
      <c r="AH6399">
        <v>1</v>
      </c>
      <c r="AI6399">
        <v>1</v>
      </c>
      <c r="AJ6399">
        <v>1</v>
      </c>
      <c r="AK6399">
        <v>1</v>
      </c>
      <c r="AL6399">
        <v>1</v>
      </c>
      <c r="AM6399">
        <v>1</v>
      </c>
    </row>
    <row r="6400" spans="1:39" x14ac:dyDescent="0.2">
      <c r="A6400" t="str">
        <f>"6396"</f>
        <v>6396</v>
      </c>
      <c r="B6400" t="str">
        <f t="shared" si="356"/>
        <v>1</v>
      </c>
      <c r="C6400" t="str">
        <f t="shared" si="355"/>
        <v>128</v>
      </c>
      <c r="D6400" t="str">
        <f>"47"</f>
        <v>47</v>
      </c>
      <c r="E6400" t="str">
        <f>"1-128-47"</f>
        <v>1-128-47</v>
      </c>
      <c r="F6400" t="s">
        <v>65</v>
      </c>
      <c r="G6400" t="s">
        <v>66</v>
      </c>
      <c r="H6400" t="s">
        <v>67</v>
      </c>
      <c r="S6400">
        <v>1</v>
      </c>
      <c r="T6400">
        <v>0</v>
      </c>
      <c r="U6400">
        <v>0</v>
      </c>
      <c r="V6400">
        <v>0</v>
      </c>
      <c r="W6400">
        <v>1</v>
      </c>
      <c r="X6400">
        <v>0</v>
      </c>
      <c r="Y6400">
        <v>0</v>
      </c>
      <c r="Z6400">
        <v>1</v>
      </c>
      <c r="AA6400">
        <v>1</v>
      </c>
      <c r="AB6400">
        <v>0</v>
      </c>
      <c r="AC6400">
        <v>0</v>
      </c>
      <c r="AD6400">
        <v>1</v>
      </c>
      <c r="AE6400">
        <v>1</v>
      </c>
      <c r="AF6400">
        <v>1</v>
      </c>
      <c r="AG6400">
        <v>1</v>
      </c>
      <c r="AH6400">
        <v>1</v>
      </c>
      <c r="AI6400">
        <v>1</v>
      </c>
      <c r="AJ6400">
        <v>1</v>
      </c>
      <c r="AK6400">
        <v>1</v>
      </c>
      <c r="AL6400">
        <v>1</v>
      </c>
      <c r="AM6400">
        <v>1</v>
      </c>
    </row>
    <row r="6401" spans="1:39" x14ac:dyDescent="0.2">
      <c r="A6401" t="str">
        <f>"6397"</f>
        <v>6397</v>
      </c>
      <c r="B6401" t="str">
        <f t="shared" si="356"/>
        <v>1</v>
      </c>
      <c r="C6401" t="str">
        <f t="shared" si="355"/>
        <v>128</v>
      </c>
      <c r="D6401" t="str">
        <f>"30"</f>
        <v>30</v>
      </c>
      <c r="E6401" t="str">
        <f>"1-128-30"</f>
        <v>1-128-30</v>
      </c>
      <c r="F6401" t="s">
        <v>65</v>
      </c>
      <c r="G6401" t="s">
        <v>66</v>
      </c>
      <c r="H6401" t="s">
        <v>67</v>
      </c>
      <c r="S6401">
        <v>0</v>
      </c>
      <c r="T6401">
        <v>1</v>
      </c>
      <c r="U6401">
        <v>0</v>
      </c>
      <c r="V6401">
        <v>0</v>
      </c>
      <c r="W6401">
        <v>0</v>
      </c>
      <c r="X6401">
        <v>1</v>
      </c>
      <c r="Y6401">
        <v>0</v>
      </c>
      <c r="Z6401">
        <v>1</v>
      </c>
      <c r="AA6401">
        <v>0</v>
      </c>
      <c r="AB6401">
        <v>0</v>
      </c>
      <c r="AC6401">
        <v>1</v>
      </c>
      <c r="AD6401">
        <v>1</v>
      </c>
      <c r="AE6401">
        <v>1</v>
      </c>
      <c r="AF6401">
        <v>1</v>
      </c>
      <c r="AG6401">
        <v>1</v>
      </c>
      <c r="AH6401">
        <v>1</v>
      </c>
      <c r="AI6401">
        <v>1</v>
      </c>
      <c r="AJ6401">
        <v>1</v>
      </c>
      <c r="AK6401">
        <v>1</v>
      </c>
      <c r="AL6401">
        <v>1</v>
      </c>
      <c r="AM6401">
        <v>1</v>
      </c>
    </row>
    <row r="6402" spans="1:39" x14ac:dyDescent="0.2">
      <c r="A6402" t="str">
        <f>"6398"</f>
        <v>6398</v>
      </c>
      <c r="B6402" t="str">
        <f t="shared" si="356"/>
        <v>1</v>
      </c>
      <c r="C6402" t="str">
        <f t="shared" si="355"/>
        <v>128</v>
      </c>
      <c r="D6402" t="str">
        <f>"8"</f>
        <v>8</v>
      </c>
      <c r="E6402" t="str">
        <f>"1-128-8"</f>
        <v>1-128-8</v>
      </c>
      <c r="F6402" t="s">
        <v>65</v>
      </c>
      <c r="G6402" t="s">
        <v>66</v>
      </c>
      <c r="H6402" t="s">
        <v>67</v>
      </c>
      <c r="S6402">
        <v>0</v>
      </c>
      <c r="T6402">
        <v>0</v>
      </c>
      <c r="U6402">
        <v>0</v>
      </c>
      <c r="V6402">
        <v>0</v>
      </c>
      <c r="W6402">
        <v>1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</row>
    <row r="6403" spans="1:39" x14ac:dyDescent="0.2">
      <c r="A6403" t="str">
        <f>"6399"</f>
        <v>6399</v>
      </c>
      <c r="B6403" t="str">
        <f t="shared" si="356"/>
        <v>1</v>
      </c>
      <c r="C6403" t="str">
        <f t="shared" si="355"/>
        <v>128</v>
      </c>
      <c r="D6403" t="str">
        <f>"2"</f>
        <v>2</v>
      </c>
      <c r="E6403" t="str">
        <f>"1-128-2"</f>
        <v>1-128-2</v>
      </c>
      <c r="F6403" t="s">
        <v>65</v>
      </c>
      <c r="G6403" t="s">
        <v>66</v>
      </c>
      <c r="H6403" t="s">
        <v>67</v>
      </c>
      <c r="S6403">
        <v>1</v>
      </c>
      <c r="T6403">
        <v>0</v>
      </c>
      <c r="U6403">
        <v>0</v>
      </c>
      <c r="V6403">
        <v>0</v>
      </c>
      <c r="W6403">
        <v>1</v>
      </c>
      <c r="X6403">
        <v>0</v>
      </c>
      <c r="Y6403">
        <v>1</v>
      </c>
      <c r="Z6403">
        <v>0</v>
      </c>
      <c r="AA6403">
        <v>1</v>
      </c>
      <c r="AB6403">
        <v>0</v>
      </c>
      <c r="AC6403">
        <v>0</v>
      </c>
      <c r="AD6403">
        <v>0</v>
      </c>
      <c r="AE6403">
        <v>0</v>
      </c>
      <c r="AF6403">
        <v>1</v>
      </c>
      <c r="AG6403">
        <v>1</v>
      </c>
      <c r="AH6403">
        <v>1</v>
      </c>
      <c r="AI6403">
        <v>1</v>
      </c>
      <c r="AJ6403">
        <v>0</v>
      </c>
      <c r="AK6403">
        <v>1</v>
      </c>
      <c r="AL6403">
        <v>1</v>
      </c>
      <c r="AM6403">
        <v>0</v>
      </c>
    </row>
    <row r="6404" spans="1:39" x14ac:dyDescent="0.2">
      <c r="A6404" t="str">
        <f>"6400"</f>
        <v>6400</v>
      </c>
      <c r="B6404" t="str">
        <f t="shared" si="356"/>
        <v>1</v>
      </c>
      <c r="C6404" t="str">
        <f t="shared" si="355"/>
        <v>128</v>
      </c>
      <c r="D6404" t="str">
        <f>"50"</f>
        <v>50</v>
      </c>
      <c r="E6404" t="str">
        <f>"1-128-50"</f>
        <v>1-128-50</v>
      </c>
      <c r="F6404" t="s">
        <v>65</v>
      </c>
      <c r="G6404" t="s">
        <v>66</v>
      </c>
      <c r="H6404" t="s">
        <v>67</v>
      </c>
      <c r="S6404">
        <v>0</v>
      </c>
      <c r="T6404">
        <v>1</v>
      </c>
      <c r="U6404">
        <v>0</v>
      </c>
      <c r="V6404">
        <v>0</v>
      </c>
      <c r="W6404">
        <v>1</v>
      </c>
      <c r="X6404">
        <v>0</v>
      </c>
      <c r="Y6404">
        <v>1</v>
      </c>
      <c r="Z6404">
        <v>0</v>
      </c>
      <c r="AA6404">
        <v>1</v>
      </c>
      <c r="AB6404">
        <v>0</v>
      </c>
      <c r="AC6404">
        <v>0</v>
      </c>
      <c r="AD6404">
        <v>1</v>
      </c>
      <c r="AE6404">
        <v>1</v>
      </c>
      <c r="AF6404">
        <v>1</v>
      </c>
      <c r="AG6404">
        <v>1</v>
      </c>
      <c r="AH6404">
        <v>1</v>
      </c>
      <c r="AI6404">
        <v>1</v>
      </c>
      <c r="AJ6404">
        <v>1</v>
      </c>
      <c r="AK6404">
        <v>1</v>
      </c>
      <c r="AL6404">
        <v>1</v>
      </c>
      <c r="AM6404">
        <v>1</v>
      </c>
    </row>
    <row r="6405" spans="1:39" x14ac:dyDescent="0.2">
      <c r="A6405" t="str">
        <f>"6401"</f>
        <v>6401</v>
      </c>
      <c r="B6405" t="str">
        <f t="shared" si="356"/>
        <v>1</v>
      </c>
      <c r="C6405" t="str">
        <f t="shared" ref="C6405:C6436" si="357">"129"</f>
        <v>129</v>
      </c>
      <c r="D6405" t="str">
        <f>"38"</f>
        <v>38</v>
      </c>
      <c r="E6405" t="str">
        <f>"1-129-38"</f>
        <v>1-129-38</v>
      </c>
      <c r="F6405" t="s">
        <v>65</v>
      </c>
      <c r="G6405" t="s">
        <v>66</v>
      </c>
      <c r="H6405" t="s">
        <v>68</v>
      </c>
      <c r="I6405">
        <v>1</v>
      </c>
      <c r="J6405">
        <v>0</v>
      </c>
      <c r="K6405">
        <v>0</v>
      </c>
      <c r="L6405">
        <v>1</v>
      </c>
      <c r="M6405">
        <v>1</v>
      </c>
      <c r="N6405">
        <v>1</v>
      </c>
      <c r="O6405">
        <v>1</v>
      </c>
      <c r="P6405">
        <v>1</v>
      </c>
      <c r="Q6405">
        <v>1</v>
      </c>
      <c r="R6405">
        <v>1</v>
      </c>
    </row>
    <row r="6406" spans="1:39" x14ac:dyDescent="0.2">
      <c r="A6406" t="str">
        <f>"6402"</f>
        <v>6402</v>
      </c>
      <c r="B6406" t="str">
        <f t="shared" si="356"/>
        <v>1</v>
      </c>
      <c r="C6406" t="str">
        <f t="shared" si="357"/>
        <v>129</v>
      </c>
      <c r="D6406" t="str">
        <f>"37"</f>
        <v>37</v>
      </c>
      <c r="E6406" t="str">
        <f>"1-129-37"</f>
        <v>1-129-37</v>
      </c>
      <c r="F6406" t="s">
        <v>65</v>
      </c>
      <c r="G6406" t="s">
        <v>66</v>
      </c>
      <c r="H6406" t="s">
        <v>68</v>
      </c>
      <c r="I6406">
        <v>1</v>
      </c>
      <c r="J6406">
        <v>1</v>
      </c>
      <c r="K6406">
        <v>0</v>
      </c>
      <c r="L6406">
        <v>0</v>
      </c>
      <c r="M6406">
        <v>1</v>
      </c>
      <c r="N6406">
        <v>1</v>
      </c>
      <c r="O6406">
        <v>1</v>
      </c>
      <c r="P6406">
        <v>1</v>
      </c>
      <c r="Q6406">
        <v>1</v>
      </c>
      <c r="R6406">
        <v>1</v>
      </c>
    </row>
    <row r="6407" spans="1:39" x14ac:dyDescent="0.2">
      <c r="A6407" t="str">
        <f>"6403"</f>
        <v>6403</v>
      </c>
      <c r="B6407" t="str">
        <f t="shared" si="356"/>
        <v>1</v>
      </c>
      <c r="C6407" t="str">
        <f t="shared" si="357"/>
        <v>129</v>
      </c>
      <c r="D6407" t="str">
        <f>"28"</f>
        <v>28</v>
      </c>
      <c r="E6407" t="str">
        <f>"1-129-28"</f>
        <v>1-129-28</v>
      </c>
      <c r="F6407" t="s">
        <v>65</v>
      </c>
      <c r="G6407" t="s">
        <v>66</v>
      </c>
      <c r="H6407" t="s">
        <v>68</v>
      </c>
      <c r="I6407">
        <v>1</v>
      </c>
      <c r="J6407">
        <v>0</v>
      </c>
      <c r="K6407">
        <v>1</v>
      </c>
      <c r="L6407">
        <v>0</v>
      </c>
      <c r="M6407">
        <v>0</v>
      </c>
      <c r="N6407">
        <v>1</v>
      </c>
      <c r="O6407">
        <v>1</v>
      </c>
      <c r="P6407">
        <v>1</v>
      </c>
      <c r="Q6407">
        <v>1</v>
      </c>
      <c r="R6407">
        <v>1</v>
      </c>
    </row>
    <row r="6408" spans="1:39" x14ac:dyDescent="0.2">
      <c r="A6408" t="str">
        <f>"6404"</f>
        <v>6404</v>
      </c>
      <c r="B6408" t="str">
        <f t="shared" si="356"/>
        <v>1</v>
      </c>
      <c r="C6408" t="str">
        <f t="shared" si="357"/>
        <v>129</v>
      </c>
      <c r="D6408" t="str">
        <f>"15"</f>
        <v>15</v>
      </c>
      <c r="E6408" t="str">
        <f>"1-129-15"</f>
        <v>1-129-15</v>
      </c>
      <c r="F6408" t="s">
        <v>65</v>
      </c>
      <c r="G6408" t="s">
        <v>66</v>
      </c>
      <c r="H6408" t="s">
        <v>68</v>
      </c>
      <c r="I6408">
        <v>1</v>
      </c>
      <c r="J6408">
        <v>1</v>
      </c>
      <c r="K6408">
        <v>0</v>
      </c>
      <c r="L6408">
        <v>0</v>
      </c>
      <c r="M6408">
        <v>1</v>
      </c>
      <c r="N6408">
        <v>1</v>
      </c>
      <c r="O6408">
        <v>1</v>
      </c>
      <c r="P6408">
        <v>1</v>
      </c>
      <c r="Q6408">
        <v>1</v>
      </c>
      <c r="R6408">
        <v>1</v>
      </c>
    </row>
    <row r="6409" spans="1:39" x14ac:dyDescent="0.2">
      <c r="A6409" t="str">
        <f>"6405"</f>
        <v>6405</v>
      </c>
      <c r="B6409" t="str">
        <f t="shared" si="356"/>
        <v>1</v>
      </c>
      <c r="C6409" t="str">
        <f t="shared" si="357"/>
        <v>129</v>
      </c>
      <c r="D6409" t="str">
        <f>"6"</f>
        <v>6</v>
      </c>
      <c r="E6409" t="str">
        <f>"1-129-6"</f>
        <v>1-129-6</v>
      </c>
      <c r="F6409" t="s">
        <v>65</v>
      </c>
      <c r="G6409" t="s">
        <v>66</v>
      </c>
      <c r="H6409" t="s">
        <v>68</v>
      </c>
      <c r="I6409">
        <v>1</v>
      </c>
      <c r="J6409">
        <v>0</v>
      </c>
      <c r="K6409">
        <v>0</v>
      </c>
      <c r="L6409">
        <v>1</v>
      </c>
      <c r="M6409">
        <v>1</v>
      </c>
      <c r="N6409">
        <v>0</v>
      </c>
      <c r="O6409">
        <v>0</v>
      </c>
      <c r="P6409">
        <v>1</v>
      </c>
      <c r="Q6409">
        <v>1</v>
      </c>
      <c r="R6409">
        <v>0</v>
      </c>
    </row>
    <row r="6410" spans="1:39" x14ac:dyDescent="0.2">
      <c r="A6410" t="str">
        <f>"6406"</f>
        <v>6406</v>
      </c>
      <c r="B6410" t="str">
        <f t="shared" si="356"/>
        <v>1</v>
      </c>
      <c r="C6410" t="str">
        <f t="shared" si="357"/>
        <v>129</v>
      </c>
      <c r="D6410" t="str">
        <f>"36"</f>
        <v>36</v>
      </c>
      <c r="E6410" t="str">
        <f>"1-129-36"</f>
        <v>1-129-36</v>
      </c>
      <c r="F6410" t="s">
        <v>65</v>
      </c>
      <c r="G6410" t="s">
        <v>66</v>
      </c>
      <c r="H6410" t="s">
        <v>68</v>
      </c>
      <c r="I6410">
        <v>1</v>
      </c>
      <c r="J6410">
        <v>1</v>
      </c>
      <c r="K6410">
        <v>0</v>
      </c>
      <c r="L6410">
        <v>0</v>
      </c>
      <c r="M6410">
        <v>1</v>
      </c>
      <c r="N6410">
        <v>1</v>
      </c>
      <c r="O6410">
        <v>1</v>
      </c>
      <c r="P6410">
        <v>1</v>
      </c>
      <c r="Q6410">
        <v>1</v>
      </c>
      <c r="R6410">
        <v>1</v>
      </c>
    </row>
    <row r="6411" spans="1:39" x14ac:dyDescent="0.2">
      <c r="A6411" t="str">
        <f>"6407"</f>
        <v>6407</v>
      </c>
      <c r="B6411" t="str">
        <f t="shared" si="356"/>
        <v>1</v>
      </c>
      <c r="C6411" t="str">
        <f t="shared" si="357"/>
        <v>129</v>
      </c>
      <c r="D6411" t="str">
        <f>"35"</f>
        <v>35</v>
      </c>
      <c r="E6411" t="str">
        <f>"1-129-35"</f>
        <v>1-129-35</v>
      </c>
      <c r="F6411" t="s">
        <v>65</v>
      </c>
      <c r="G6411" t="s">
        <v>66</v>
      </c>
      <c r="H6411" t="s">
        <v>68</v>
      </c>
      <c r="I6411">
        <v>1</v>
      </c>
      <c r="J6411">
        <v>0</v>
      </c>
      <c r="K6411">
        <v>1</v>
      </c>
      <c r="L6411">
        <v>0</v>
      </c>
      <c r="M6411">
        <v>1</v>
      </c>
      <c r="N6411">
        <v>1</v>
      </c>
      <c r="O6411">
        <v>1</v>
      </c>
      <c r="P6411">
        <v>1</v>
      </c>
      <c r="Q6411">
        <v>1</v>
      </c>
      <c r="R6411">
        <v>1</v>
      </c>
    </row>
    <row r="6412" spans="1:39" x14ac:dyDescent="0.2">
      <c r="A6412" t="str">
        <f>"6408"</f>
        <v>6408</v>
      </c>
      <c r="B6412" t="str">
        <f t="shared" si="356"/>
        <v>1</v>
      </c>
      <c r="C6412" t="str">
        <f t="shared" si="357"/>
        <v>129</v>
      </c>
      <c r="D6412" t="str">
        <f>"24"</f>
        <v>24</v>
      </c>
      <c r="E6412" t="str">
        <f>"1-129-24"</f>
        <v>1-129-24</v>
      </c>
      <c r="F6412" t="s">
        <v>65</v>
      </c>
      <c r="G6412" t="s">
        <v>66</v>
      </c>
      <c r="H6412" t="s">
        <v>68</v>
      </c>
      <c r="I6412">
        <v>1</v>
      </c>
      <c r="J6412">
        <v>0</v>
      </c>
      <c r="K6412">
        <v>0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39" x14ac:dyDescent="0.2">
      <c r="A6413" t="str">
        <f>"6409"</f>
        <v>6409</v>
      </c>
      <c r="B6413" t="str">
        <f t="shared" si="356"/>
        <v>1</v>
      </c>
      <c r="C6413" t="str">
        <f t="shared" si="357"/>
        <v>129</v>
      </c>
      <c r="D6413" t="str">
        <f>"16"</f>
        <v>16</v>
      </c>
      <c r="E6413" t="str">
        <f>"1-129-16"</f>
        <v>1-129-16</v>
      </c>
      <c r="F6413" t="s">
        <v>65</v>
      </c>
      <c r="G6413" t="s">
        <v>66</v>
      </c>
      <c r="H6413" t="s">
        <v>68</v>
      </c>
      <c r="I6413">
        <v>1</v>
      </c>
      <c r="J6413">
        <v>0</v>
      </c>
      <c r="K6413">
        <v>0</v>
      </c>
      <c r="L6413">
        <v>1</v>
      </c>
      <c r="M6413">
        <v>1</v>
      </c>
      <c r="N6413">
        <v>1</v>
      </c>
      <c r="O6413">
        <v>1</v>
      </c>
      <c r="P6413">
        <v>1</v>
      </c>
      <c r="Q6413">
        <v>1</v>
      </c>
      <c r="R6413">
        <v>1</v>
      </c>
    </row>
    <row r="6414" spans="1:39" x14ac:dyDescent="0.2">
      <c r="A6414" t="str">
        <f>"6410"</f>
        <v>6410</v>
      </c>
      <c r="B6414" t="str">
        <f t="shared" si="356"/>
        <v>1</v>
      </c>
      <c r="C6414" t="str">
        <f t="shared" si="357"/>
        <v>129</v>
      </c>
      <c r="D6414" t="str">
        <f>"10"</f>
        <v>10</v>
      </c>
      <c r="E6414" t="str">
        <f>"1-129-10"</f>
        <v>1-129-10</v>
      </c>
      <c r="F6414" t="s">
        <v>65</v>
      </c>
      <c r="G6414" t="s">
        <v>66</v>
      </c>
      <c r="H6414" t="s">
        <v>68</v>
      </c>
      <c r="I6414">
        <v>1</v>
      </c>
      <c r="J6414">
        <v>0</v>
      </c>
      <c r="K6414">
        <v>1</v>
      </c>
      <c r="L6414">
        <v>0</v>
      </c>
      <c r="M6414">
        <v>1</v>
      </c>
      <c r="N6414">
        <v>1</v>
      </c>
      <c r="O6414">
        <v>1</v>
      </c>
      <c r="P6414">
        <v>1</v>
      </c>
      <c r="Q6414">
        <v>1</v>
      </c>
      <c r="R6414">
        <v>1</v>
      </c>
    </row>
    <row r="6415" spans="1:39" x14ac:dyDescent="0.2">
      <c r="A6415" t="str">
        <f>"6411"</f>
        <v>6411</v>
      </c>
      <c r="B6415" t="str">
        <f t="shared" si="356"/>
        <v>1</v>
      </c>
      <c r="C6415" t="str">
        <f t="shared" si="357"/>
        <v>129</v>
      </c>
      <c r="D6415" t="str">
        <f>"40"</f>
        <v>40</v>
      </c>
      <c r="E6415" t="str">
        <f>"1-129-40"</f>
        <v>1-129-40</v>
      </c>
      <c r="F6415" t="s">
        <v>65</v>
      </c>
      <c r="G6415" t="s">
        <v>66</v>
      </c>
      <c r="H6415" t="s">
        <v>68</v>
      </c>
      <c r="I6415">
        <v>1</v>
      </c>
      <c r="J6415">
        <v>0</v>
      </c>
      <c r="K6415">
        <v>0</v>
      </c>
      <c r="L6415">
        <v>1</v>
      </c>
      <c r="M6415">
        <v>1</v>
      </c>
      <c r="N6415">
        <v>1</v>
      </c>
      <c r="O6415">
        <v>1</v>
      </c>
      <c r="P6415">
        <v>1</v>
      </c>
      <c r="Q6415">
        <v>1</v>
      </c>
      <c r="R6415">
        <v>1</v>
      </c>
    </row>
    <row r="6416" spans="1:39" x14ac:dyDescent="0.2">
      <c r="A6416" t="str">
        <f>"6412"</f>
        <v>6412</v>
      </c>
      <c r="B6416" t="str">
        <f t="shared" si="356"/>
        <v>1</v>
      </c>
      <c r="C6416" t="str">
        <f t="shared" si="357"/>
        <v>129</v>
      </c>
      <c r="D6416" t="str">
        <f>"39"</f>
        <v>39</v>
      </c>
      <c r="E6416" t="str">
        <f>"1-129-39"</f>
        <v>1-129-39</v>
      </c>
      <c r="F6416" t="s">
        <v>65</v>
      </c>
      <c r="G6416" t="s">
        <v>66</v>
      </c>
      <c r="H6416" t="s">
        <v>68</v>
      </c>
      <c r="I6416">
        <v>1</v>
      </c>
      <c r="J6416">
        <v>0</v>
      </c>
      <c r="K6416">
        <v>0</v>
      </c>
      <c r="L6416">
        <v>1</v>
      </c>
      <c r="M6416">
        <v>1</v>
      </c>
      <c r="N6416">
        <v>1</v>
      </c>
      <c r="O6416">
        <v>1</v>
      </c>
      <c r="P6416">
        <v>1</v>
      </c>
      <c r="Q6416">
        <v>1</v>
      </c>
      <c r="R6416">
        <v>1</v>
      </c>
    </row>
    <row r="6417" spans="1:39" x14ac:dyDescent="0.2">
      <c r="A6417" t="str">
        <f>"6413"</f>
        <v>6413</v>
      </c>
      <c r="B6417" t="str">
        <f t="shared" si="356"/>
        <v>1</v>
      </c>
      <c r="C6417" t="str">
        <f t="shared" si="357"/>
        <v>129</v>
      </c>
      <c r="D6417" t="str">
        <f>"29"</f>
        <v>29</v>
      </c>
      <c r="E6417" t="str">
        <f>"1-129-29"</f>
        <v>1-129-29</v>
      </c>
      <c r="F6417" t="s">
        <v>65</v>
      </c>
      <c r="G6417" t="s">
        <v>66</v>
      </c>
      <c r="H6417" t="s">
        <v>68</v>
      </c>
      <c r="I6417">
        <v>1</v>
      </c>
      <c r="J6417">
        <v>1</v>
      </c>
      <c r="K6417">
        <v>0</v>
      </c>
      <c r="L6417">
        <v>0</v>
      </c>
      <c r="M6417">
        <v>1</v>
      </c>
      <c r="N6417">
        <v>1</v>
      </c>
      <c r="O6417">
        <v>1</v>
      </c>
      <c r="P6417">
        <v>1</v>
      </c>
      <c r="Q6417">
        <v>1</v>
      </c>
      <c r="R6417">
        <v>1</v>
      </c>
    </row>
    <row r="6418" spans="1:39" x14ac:dyDescent="0.2">
      <c r="A6418" t="str">
        <f>"6414"</f>
        <v>6414</v>
      </c>
      <c r="B6418" t="str">
        <f t="shared" si="356"/>
        <v>1</v>
      </c>
      <c r="C6418" t="str">
        <f t="shared" si="357"/>
        <v>129</v>
      </c>
      <c r="D6418" t="str">
        <f>"17"</f>
        <v>17</v>
      </c>
      <c r="E6418" t="str">
        <f>"1-129-17"</f>
        <v>1-129-17</v>
      </c>
      <c r="F6418" t="s">
        <v>65</v>
      </c>
      <c r="G6418" t="s">
        <v>66</v>
      </c>
      <c r="H6418" t="s">
        <v>68</v>
      </c>
      <c r="I6418">
        <v>1</v>
      </c>
      <c r="J6418">
        <v>0</v>
      </c>
      <c r="K6418">
        <v>0</v>
      </c>
      <c r="L6418">
        <v>1</v>
      </c>
      <c r="M6418">
        <v>1</v>
      </c>
      <c r="N6418">
        <v>1</v>
      </c>
      <c r="O6418">
        <v>1</v>
      </c>
      <c r="P6418">
        <v>1</v>
      </c>
      <c r="Q6418">
        <v>1</v>
      </c>
      <c r="R6418">
        <v>1</v>
      </c>
    </row>
    <row r="6419" spans="1:39" x14ac:dyDescent="0.2">
      <c r="A6419" t="str">
        <f>"6415"</f>
        <v>6415</v>
      </c>
      <c r="B6419" t="str">
        <f t="shared" si="356"/>
        <v>1</v>
      </c>
      <c r="C6419" t="str">
        <f t="shared" si="357"/>
        <v>129</v>
      </c>
      <c r="D6419" t="str">
        <f>"1"</f>
        <v>1</v>
      </c>
      <c r="E6419" t="str">
        <f>"1-129-1"</f>
        <v>1-129-1</v>
      </c>
      <c r="F6419" t="s">
        <v>65</v>
      </c>
      <c r="G6419" t="s">
        <v>66</v>
      </c>
      <c r="H6419" t="s">
        <v>68</v>
      </c>
      <c r="I6419">
        <v>1</v>
      </c>
      <c r="J6419">
        <v>0</v>
      </c>
      <c r="K6419">
        <v>0</v>
      </c>
      <c r="L6419">
        <v>1</v>
      </c>
      <c r="M6419">
        <v>1</v>
      </c>
      <c r="N6419">
        <v>1</v>
      </c>
      <c r="O6419">
        <v>1</v>
      </c>
      <c r="P6419">
        <v>1</v>
      </c>
      <c r="Q6419">
        <v>1</v>
      </c>
      <c r="R6419">
        <v>1</v>
      </c>
    </row>
    <row r="6420" spans="1:39" x14ac:dyDescent="0.2">
      <c r="A6420" t="str">
        <f>"6416"</f>
        <v>6416</v>
      </c>
      <c r="B6420" t="str">
        <f t="shared" si="356"/>
        <v>1</v>
      </c>
      <c r="C6420" t="str">
        <f t="shared" si="357"/>
        <v>129</v>
      </c>
      <c r="D6420" t="str">
        <f>"42"</f>
        <v>42</v>
      </c>
      <c r="E6420" t="str">
        <f>"1-129-42"</f>
        <v>1-129-42</v>
      </c>
      <c r="F6420" t="s">
        <v>65</v>
      </c>
      <c r="G6420" t="s">
        <v>66</v>
      </c>
      <c r="H6420" t="s">
        <v>68</v>
      </c>
      <c r="I6420">
        <v>1</v>
      </c>
      <c r="J6420">
        <v>0</v>
      </c>
      <c r="K6420">
        <v>1</v>
      </c>
      <c r="L6420">
        <v>0</v>
      </c>
      <c r="M6420">
        <v>1</v>
      </c>
      <c r="N6420">
        <v>1</v>
      </c>
      <c r="O6420">
        <v>1</v>
      </c>
      <c r="P6420">
        <v>1</v>
      </c>
      <c r="Q6420">
        <v>0</v>
      </c>
      <c r="R6420">
        <v>0</v>
      </c>
    </row>
    <row r="6421" spans="1:39" x14ac:dyDescent="0.2">
      <c r="A6421" t="str">
        <f>"6417"</f>
        <v>6417</v>
      </c>
      <c r="B6421" t="str">
        <f t="shared" si="356"/>
        <v>1</v>
      </c>
      <c r="C6421" t="str">
        <f t="shared" si="357"/>
        <v>129</v>
      </c>
      <c r="D6421" t="str">
        <f>"41"</f>
        <v>41</v>
      </c>
      <c r="E6421" t="str">
        <f>"1-129-41"</f>
        <v>1-129-41</v>
      </c>
      <c r="F6421" t="s">
        <v>65</v>
      </c>
      <c r="G6421" t="s">
        <v>66</v>
      </c>
      <c r="H6421" t="s">
        <v>68</v>
      </c>
      <c r="I6421">
        <v>1</v>
      </c>
      <c r="J6421">
        <v>0</v>
      </c>
      <c r="K6421">
        <v>0</v>
      </c>
      <c r="L6421">
        <v>1</v>
      </c>
      <c r="M6421">
        <v>1</v>
      </c>
      <c r="N6421">
        <v>1</v>
      </c>
      <c r="O6421">
        <v>1</v>
      </c>
      <c r="P6421">
        <v>1</v>
      </c>
      <c r="Q6421">
        <v>0</v>
      </c>
      <c r="R6421">
        <v>0</v>
      </c>
    </row>
    <row r="6422" spans="1:39" x14ac:dyDescent="0.2">
      <c r="A6422" t="str">
        <f>"6418"</f>
        <v>6418</v>
      </c>
      <c r="B6422" t="str">
        <f t="shared" si="356"/>
        <v>1</v>
      </c>
      <c r="C6422" t="str">
        <f t="shared" si="357"/>
        <v>129</v>
      </c>
      <c r="D6422" t="str">
        <f>"31"</f>
        <v>31</v>
      </c>
      <c r="E6422" t="str">
        <f>"1-129-31"</f>
        <v>1-129-31</v>
      </c>
      <c r="F6422" t="s">
        <v>65</v>
      </c>
      <c r="G6422" t="s">
        <v>66</v>
      </c>
      <c r="H6422" t="s">
        <v>68</v>
      </c>
      <c r="I6422">
        <v>1</v>
      </c>
      <c r="J6422">
        <v>0</v>
      </c>
      <c r="K6422">
        <v>1</v>
      </c>
      <c r="L6422">
        <v>0</v>
      </c>
      <c r="M6422">
        <v>1</v>
      </c>
      <c r="N6422">
        <v>1</v>
      </c>
      <c r="O6422">
        <v>1</v>
      </c>
      <c r="P6422">
        <v>1</v>
      </c>
      <c r="Q6422">
        <v>1</v>
      </c>
      <c r="R6422">
        <v>1</v>
      </c>
    </row>
    <row r="6423" spans="1:39" x14ac:dyDescent="0.2">
      <c r="A6423" t="str">
        <f>"6419"</f>
        <v>6419</v>
      </c>
      <c r="B6423" t="str">
        <f t="shared" si="356"/>
        <v>1</v>
      </c>
      <c r="C6423" t="str">
        <f t="shared" si="357"/>
        <v>129</v>
      </c>
      <c r="D6423" t="str">
        <f>"18"</f>
        <v>18</v>
      </c>
      <c r="E6423" t="str">
        <f>"1-129-18"</f>
        <v>1-129-18</v>
      </c>
      <c r="F6423" t="s">
        <v>65</v>
      </c>
      <c r="G6423" t="s">
        <v>66</v>
      </c>
      <c r="H6423" t="s">
        <v>68</v>
      </c>
      <c r="I6423">
        <v>1</v>
      </c>
      <c r="J6423">
        <v>0</v>
      </c>
      <c r="K6423">
        <v>0</v>
      </c>
      <c r="L6423">
        <v>1</v>
      </c>
      <c r="M6423">
        <v>1</v>
      </c>
      <c r="N6423">
        <v>1</v>
      </c>
      <c r="O6423">
        <v>1</v>
      </c>
      <c r="P6423">
        <v>1</v>
      </c>
      <c r="Q6423">
        <v>1</v>
      </c>
      <c r="R6423">
        <v>1</v>
      </c>
    </row>
    <row r="6424" spans="1:39" x14ac:dyDescent="0.2">
      <c r="A6424" t="str">
        <f>"6420"</f>
        <v>6420</v>
      </c>
      <c r="B6424" t="str">
        <f t="shared" si="356"/>
        <v>1</v>
      </c>
      <c r="C6424" t="str">
        <f t="shared" si="357"/>
        <v>129</v>
      </c>
      <c r="D6424" t="str">
        <f>"13"</f>
        <v>13</v>
      </c>
      <c r="E6424" t="str">
        <f>"1-129-13"</f>
        <v>1-129-13</v>
      </c>
      <c r="F6424" t="s">
        <v>65</v>
      </c>
      <c r="G6424" t="s">
        <v>66</v>
      </c>
      <c r="H6424" t="s">
        <v>68</v>
      </c>
      <c r="I6424">
        <v>1</v>
      </c>
      <c r="J6424">
        <v>0</v>
      </c>
      <c r="K6424">
        <v>1</v>
      </c>
      <c r="L6424">
        <v>0</v>
      </c>
      <c r="M6424">
        <v>1</v>
      </c>
      <c r="N6424">
        <v>1</v>
      </c>
      <c r="O6424">
        <v>0</v>
      </c>
      <c r="P6424">
        <v>1</v>
      </c>
      <c r="Q6424">
        <v>1</v>
      </c>
      <c r="R6424">
        <v>1</v>
      </c>
    </row>
    <row r="6425" spans="1:39" x14ac:dyDescent="0.2">
      <c r="A6425" t="str">
        <f>"6421"</f>
        <v>6421</v>
      </c>
      <c r="B6425" t="str">
        <f t="shared" si="356"/>
        <v>1</v>
      </c>
      <c r="C6425" t="str">
        <f t="shared" si="357"/>
        <v>129</v>
      </c>
      <c r="D6425" t="str">
        <f>"34"</f>
        <v>34</v>
      </c>
      <c r="E6425" t="str">
        <f>"1-129-34"</f>
        <v>1-129-34</v>
      </c>
      <c r="F6425" t="s">
        <v>65</v>
      </c>
      <c r="G6425" t="s">
        <v>66</v>
      </c>
      <c r="H6425" t="s">
        <v>68</v>
      </c>
      <c r="I6425">
        <v>1</v>
      </c>
      <c r="J6425">
        <v>0</v>
      </c>
      <c r="K6425">
        <v>0</v>
      </c>
      <c r="L6425">
        <v>1</v>
      </c>
      <c r="M6425">
        <v>1</v>
      </c>
      <c r="N6425">
        <v>0</v>
      </c>
      <c r="O6425">
        <v>1</v>
      </c>
      <c r="P6425">
        <v>1</v>
      </c>
      <c r="Q6425">
        <v>1</v>
      </c>
      <c r="R6425">
        <v>1</v>
      </c>
    </row>
    <row r="6426" spans="1:39" x14ac:dyDescent="0.2">
      <c r="A6426" t="str">
        <f>"6422"</f>
        <v>6422</v>
      </c>
      <c r="B6426" t="str">
        <f t="shared" si="356"/>
        <v>1</v>
      </c>
      <c r="C6426" t="str">
        <f t="shared" si="357"/>
        <v>129</v>
      </c>
      <c r="D6426" t="str">
        <f>"19"</f>
        <v>19</v>
      </c>
      <c r="E6426" t="str">
        <f>"1-129-19"</f>
        <v>1-129-19</v>
      </c>
      <c r="F6426" t="s">
        <v>65</v>
      </c>
      <c r="G6426" t="s">
        <v>66</v>
      </c>
      <c r="H6426" t="s">
        <v>68</v>
      </c>
      <c r="I6426">
        <v>1</v>
      </c>
      <c r="J6426">
        <v>0</v>
      </c>
      <c r="K6426">
        <v>0</v>
      </c>
      <c r="L6426">
        <v>1</v>
      </c>
      <c r="M6426">
        <v>1</v>
      </c>
      <c r="N6426">
        <v>1</v>
      </c>
      <c r="O6426">
        <v>1</v>
      </c>
      <c r="P6426">
        <v>1</v>
      </c>
      <c r="Q6426">
        <v>1</v>
      </c>
      <c r="R6426">
        <v>1</v>
      </c>
    </row>
    <row r="6427" spans="1:39" x14ac:dyDescent="0.2">
      <c r="A6427" t="str">
        <f>"6423"</f>
        <v>6423</v>
      </c>
      <c r="B6427" t="str">
        <f t="shared" si="356"/>
        <v>1</v>
      </c>
      <c r="C6427" t="str">
        <f t="shared" si="357"/>
        <v>129</v>
      </c>
      <c r="D6427" t="str">
        <f>"9"</f>
        <v>9</v>
      </c>
      <c r="E6427" t="str">
        <f>"1-129-9"</f>
        <v>1-129-9</v>
      </c>
      <c r="F6427" t="s">
        <v>65</v>
      </c>
      <c r="G6427" t="s">
        <v>66</v>
      </c>
      <c r="H6427" t="s">
        <v>68</v>
      </c>
      <c r="I6427">
        <v>1</v>
      </c>
      <c r="J6427">
        <v>0</v>
      </c>
      <c r="K6427">
        <v>0</v>
      </c>
      <c r="L6427">
        <v>1</v>
      </c>
      <c r="M6427">
        <v>1</v>
      </c>
      <c r="N6427">
        <v>1</v>
      </c>
      <c r="O6427">
        <v>1</v>
      </c>
      <c r="P6427">
        <v>1</v>
      </c>
      <c r="Q6427">
        <v>1</v>
      </c>
      <c r="R6427">
        <v>1</v>
      </c>
    </row>
    <row r="6428" spans="1:39" x14ac:dyDescent="0.2">
      <c r="A6428" t="str">
        <f>"6424"</f>
        <v>6424</v>
      </c>
      <c r="B6428" t="str">
        <f t="shared" si="356"/>
        <v>1</v>
      </c>
      <c r="C6428" t="str">
        <f t="shared" si="357"/>
        <v>129</v>
      </c>
      <c r="D6428" t="str">
        <f>"50"</f>
        <v>50</v>
      </c>
      <c r="E6428" t="str">
        <f>"1-129-50"</f>
        <v>1-129-50</v>
      </c>
      <c r="F6428" t="s">
        <v>65</v>
      </c>
      <c r="G6428" t="s">
        <v>66</v>
      </c>
      <c r="H6428" t="s">
        <v>67</v>
      </c>
      <c r="S6428">
        <v>1</v>
      </c>
      <c r="T6428">
        <v>0</v>
      </c>
      <c r="U6428">
        <v>0</v>
      </c>
      <c r="V6428">
        <v>0</v>
      </c>
      <c r="W6428">
        <v>1</v>
      </c>
      <c r="X6428">
        <v>0</v>
      </c>
      <c r="Y6428">
        <v>0</v>
      </c>
      <c r="Z6428">
        <v>1</v>
      </c>
      <c r="AA6428">
        <v>0</v>
      </c>
      <c r="AB6428">
        <v>1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</row>
    <row r="6429" spans="1:39" x14ac:dyDescent="0.2">
      <c r="A6429" t="str">
        <f>"6425"</f>
        <v>6425</v>
      </c>
      <c r="B6429" t="str">
        <f t="shared" si="356"/>
        <v>1</v>
      </c>
      <c r="C6429" t="str">
        <f t="shared" si="357"/>
        <v>129</v>
      </c>
      <c r="D6429" t="str">
        <f>"49"</f>
        <v>49</v>
      </c>
      <c r="E6429" t="str">
        <f>"1-129-49"</f>
        <v>1-129-49</v>
      </c>
      <c r="F6429" t="s">
        <v>65</v>
      </c>
      <c r="G6429" t="s">
        <v>66</v>
      </c>
      <c r="H6429" t="s">
        <v>67</v>
      </c>
      <c r="S6429">
        <v>1</v>
      </c>
      <c r="T6429">
        <v>0</v>
      </c>
      <c r="U6429">
        <v>0</v>
      </c>
      <c r="V6429">
        <v>0</v>
      </c>
      <c r="W6429">
        <v>1</v>
      </c>
      <c r="X6429">
        <v>0</v>
      </c>
      <c r="Y6429">
        <v>1</v>
      </c>
      <c r="Z6429">
        <v>0</v>
      </c>
      <c r="AA6429">
        <v>1</v>
      </c>
      <c r="AB6429">
        <v>0</v>
      </c>
      <c r="AC6429">
        <v>0</v>
      </c>
      <c r="AD6429">
        <v>1</v>
      </c>
      <c r="AE6429">
        <v>1</v>
      </c>
      <c r="AF6429">
        <v>1</v>
      </c>
      <c r="AG6429">
        <v>1</v>
      </c>
      <c r="AH6429">
        <v>1</v>
      </c>
      <c r="AI6429">
        <v>1</v>
      </c>
      <c r="AJ6429">
        <v>1</v>
      </c>
      <c r="AK6429">
        <v>1</v>
      </c>
      <c r="AL6429">
        <v>1</v>
      </c>
      <c r="AM6429">
        <v>1</v>
      </c>
    </row>
    <row r="6430" spans="1:39" x14ac:dyDescent="0.2">
      <c r="A6430" t="str">
        <f>"6426"</f>
        <v>6426</v>
      </c>
      <c r="B6430" t="str">
        <f t="shared" si="356"/>
        <v>1</v>
      </c>
      <c r="C6430" t="str">
        <f t="shared" si="357"/>
        <v>129</v>
      </c>
      <c r="D6430" t="str">
        <f>"33"</f>
        <v>33</v>
      </c>
      <c r="E6430" t="str">
        <f>"1-129-33"</f>
        <v>1-129-33</v>
      </c>
      <c r="F6430" t="s">
        <v>65</v>
      </c>
      <c r="G6430" t="s">
        <v>66</v>
      </c>
      <c r="H6430" t="s">
        <v>68</v>
      </c>
      <c r="I6430">
        <v>1</v>
      </c>
      <c r="J6430">
        <v>0</v>
      </c>
      <c r="K6430">
        <v>0</v>
      </c>
      <c r="L6430">
        <v>1</v>
      </c>
      <c r="M6430">
        <v>1</v>
      </c>
      <c r="N6430">
        <v>0</v>
      </c>
      <c r="O6430">
        <v>1</v>
      </c>
      <c r="P6430">
        <v>1</v>
      </c>
      <c r="Q6430">
        <v>1</v>
      </c>
      <c r="R6430">
        <v>1</v>
      </c>
    </row>
    <row r="6431" spans="1:39" x14ac:dyDescent="0.2">
      <c r="A6431" t="str">
        <f>"6427"</f>
        <v>6427</v>
      </c>
      <c r="B6431" t="str">
        <f t="shared" si="356"/>
        <v>1</v>
      </c>
      <c r="C6431" t="str">
        <f t="shared" si="357"/>
        <v>129</v>
      </c>
      <c r="D6431" t="str">
        <f>"20"</f>
        <v>20</v>
      </c>
      <c r="E6431" t="str">
        <f>"1-129-20"</f>
        <v>1-129-20</v>
      </c>
      <c r="F6431" t="s">
        <v>65</v>
      </c>
      <c r="G6431" t="s">
        <v>66</v>
      </c>
      <c r="H6431" t="s">
        <v>68</v>
      </c>
      <c r="I6431">
        <v>0</v>
      </c>
      <c r="J6431">
        <v>0</v>
      </c>
      <c r="K6431">
        <v>0</v>
      </c>
      <c r="L6431">
        <v>0</v>
      </c>
      <c r="M6431">
        <v>1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39" x14ac:dyDescent="0.2">
      <c r="A6432" t="str">
        <f>"6428"</f>
        <v>6428</v>
      </c>
      <c r="B6432" t="str">
        <f t="shared" si="356"/>
        <v>1</v>
      </c>
      <c r="C6432" t="str">
        <f t="shared" si="357"/>
        <v>129</v>
      </c>
      <c r="D6432" t="str">
        <f>"4"</f>
        <v>4</v>
      </c>
      <c r="E6432" t="str">
        <f>"1-129-4"</f>
        <v>1-129-4</v>
      </c>
      <c r="F6432" t="s">
        <v>65</v>
      </c>
      <c r="G6432" t="s">
        <v>66</v>
      </c>
      <c r="H6432" t="s">
        <v>68</v>
      </c>
      <c r="I6432">
        <v>1</v>
      </c>
      <c r="J6432">
        <v>0</v>
      </c>
      <c r="K6432">
        <v>1</v>
      </c>
      <c r="L6432">
        <v>0</v>
      </c>
      <c r="M6432">
        <v>1</v>
      </c>
      <c r="N6432">
        <v>1</v>
      </c>
      <c r="O6432">
        <v>1</v>
      </c>
      <c r="P6432">
        <v>1</v>
      </c>
      <c r="Q6432">
        <v>1</v>
      </c>
      <c r="R6432">
        <v>1</v>
      </c>
    </row>
    <row r="6433" spans="1:39" x14ac:dyDescent="0.2">
      <c r="A6433" t="str">
        <f>"6429"</f>
        <v>6429</v>
      </c>
      <c r="B6433" t="str">
        <f t="shared" si="356"/>
        <v>1</v>
      </c>
      <c r="C6433" t="str">
        <f t="shared" si="357"/>
        <v>129</v>
      </c>
      <c r="D6433" t="str">
        <f>"43"</f>
        <v>43</v>
      </c>
      <c r="E6433" t="str">
        <f>"1-129-43"</f>
        <v>1-129-43</v>
      </c>
      <c r="F6433" t="s">
        <v>65</v>
      </c>
      <c r="G6433" t="s">
        <v>66</v>
      </c>
      <c r="H6433" t="s">
        <v>68</v>
      </c>
      <c r="I6433">
        <v>1</v>
      </c>
      <c r="J6433">
        <v>0</v>
      </c>
      <c r="K6433">
        <v>0</v>
      </c>
      <c r="L6433">
        <v>1</v>
      </c>
      <c r="M6433">
        <v>1</v>
      </c>
      <c r="N6433">
        <v>1</v>
      </c>
      <c r="O6433">
        <v>1</v>
      </c>
      <c r="P6433">
        <v>1</v>
      </c>
      <c r="Q6433">
        <v>1</v>
      </c>
      <c r="R6433">
        <v>1</v>
      </c>
    </row>
    <row r="6434" spans="1:39" x14ac:dyDescent="0.2">
      <c r="A6434" t="str">
        <f>"6430"</f>
        <v>6430</v>
      </c>
      <c r="B6434" t="str">
        <f t="shared" si="356"/>
        <v>1</v>
      </c>
      <c r="C6434" t="str">
        <f t="shared" si="357"/>
        <v>129</v>
      </c>
      <c r="D6434" t="str">
        <f>"21"</f>
        <v>21</v>
      </c>
      <c r="E6434" t="str">
        <f>"1-129-21"</f>
        <v>1-129-21</v>
      </c>
      <c r="F6434" t="s">
        <v>65</v>
      </c>
      <c r="G6434" t="s">
        <v>66</v>
      </c>
      <c r="H6434" t="s">
        <v>68</v>
      </c>
      <c r="I6434">
        <v>1</v>
      </c>
      <c r="J6434">
        <v>0</v>
      </c>
      <c r="K6434">
        <v>0</v>
      </c>
      <c r="L6434">
        <v>1</v>
      </c>
      <c r="M6434">
        <v>1</v>
      </c>
      <c r="N6434">
        <v>1</v>
      </c>
      <c r="O6434">
        <v>1</v>
      </c>
      <c r="P6434">
        <v>1</v>
      </c>
      <c r="Q6434">
        <v>1</v>
      </c>
      <c r="R6434">
        <v>1</v>
      </c>
    </row>
    <row r="6435" spans="1:39" x14ac:dyDescent="0.2">
      <c r="A6435" t="str">
        <f>"6431"</f>
        <v>6431</v>
      </c>
      <c r="B6435" t="str">
        <f t="shared" si="356"/>
        <v>1</v>
      </c>
      <c r="C6435" t="str">
        <f t="shared" si="357"/>
        <v>129</v>
      </c>
      <c r="D6435" t="str">
        <f>"2"</f>
        <v>2</v>
      </c>
      <c r="E6435" t="str">
        <f>"1-129-2"</f>
        <v>1-129-2</v>
      </c>
      <c r="F6435" t="s">
        <v>65</v>
      </c>
      <c r="G6435" t="s">
        <v>66</v>
      </c>
      <c r="H6435" t="s">
        <v>68</v>
      </c>
      <c r="I6435">
        <v>1</v>
      </c>
      <c r="J6435">
        <v>0</v>
      </c>
      <c r="K6435">
        <v>0</v>
      </c>
      <c r="L6435">
        <v>1</v>
      </c>
      <c r="M6435">
        <v>1</v>
      </c>
      <c r="N6435">
        <v>1</v>
      </c>
      <c r="O6435">
        <v>1</v>
      </c>
      <c r="P6435">
        <v>1</v>
      </c>
      <c r="Q6435">
        <v>1</v>
      </c>
      <c r="R6435">
        <v>1</v>
      </c>
    </row>
    <row r="6436" spans="1:39" x14ac:dyDescent="0.2">
      <c r="A6436" t="str">
        <f>"6432"</f>
        <v>6432</v>
      </c>
      <c r="B6436" t="str">
        <f t="shared" si="356"/>
        <v>1</v>
      </c>
      <c r="C6436" t="str">
        <f t="shared" si="357"/>
        <v>129</v>
      </c>
      <c r="D6436" t="str">
        <f>"44"</f>
        <v>44</v>
      </c>
      <c r="E6436" t="str">
        <f>"1-129-44"</f>
        <v>1-129-44</v>
      </c>
      <c r="F6436" t="s">
        <v>65</v>
      </c>
      <c r="G6436" t="s">
        <v>66</v>
      </c>
      <c r="H6436" t="s">
        <v>68</v>
      </c>
      <c r="I6436">
        <v>1</v>
      </c>
      <c r="J6436">
        <v>0</v>
      </c>
      <c r="K6436">
        <v>0</v>
      </c>
      <c r="L6436">
        <v>1</v>
      </c>
      <c r="M6436">
        <v>1</v>
      </c>
      <c r="N6436">
        <v>1</v>
      </c>
      <c r="O6436">
        <v>1</v>
      </c>
      <c r="P6436">
        <v>1</v>
      </c>
      <c r="Q6436">
        <v>1</v>
      </c>
      <c r="R6436">
        <v>1</v>
      </c>
    </row>
    <row r="6437" spans="1:39" x14ac:dyDescent="0.2">
      <c r="A6437" t="str">
        <f>"6433"</f>
        <v>6433</v>
      </c>
      <c r="B6437" t="str">
        <f t="shared" si="356"/>
        <v>1</v>
      </c>
      <c r="C6437" t="str">
        <f t="shared" ref="C6437:C6454" si="358">"129"</f>
        <v>129</v>
      </c>
      <c r="D6437" t="str">
        <f>"22"</f>
        <v>22</v>
      </c>
      <c r="E6437" t="str">
        <f>"1-129-22"</f>
        <v>1-129-22</v>
      </c>
      <c r="F6437" t="s">
        <v>65</v>
      </c>
      <c r="G6437" t="s">
        <v>66</v>
      </c>
      <c r="H6437" t="s">
        <v>68</v>
      </c>
      <c r="I6437">
        <v>1</v>
      </c>
      <c r="J6437">
        <v>1</v>
      </c>
      <c r="K6437">
        <v>0</v>
      </c>
      <c r="L6437">
        <v>0</v>
      </c>
      <c r="M6437">
        <v>1</v>
      </c>
      <c r="N6437">
        <v>1</v>
      </c>
      <c r="O6437">
        <v>1</v>
      </c>
      <c r="P6437">
        <v>1</v>
      </c>
      <c r="Q6437">
        <v>1</v>
      </c>
      <c r="R6437">
        <v>1</v>
      </c>
    </row>
    <row r="6438" spans="1:39" x14ac:dyDescent="0.2">
      <c r="A6438" t="str">
        <f>"6434"</f>
        <v>6434</v>
      </c>
      <c r="B6438" t="str">
        <f t="shared" si="356"/>
        <v>1</v>
      </c>
      <c r="C6438" t="str">
        <f t="shared" si="358"/>
        <v>129</v>
      </c>
      <c r="D6438" t="str">
        <f>"11"</f>
        <v>11</v>
      </c>
      <c r="E6438" t="str">
        <f>"1-129-11"</f>
        <v>1-129-11</v>
      </c>
      <c r="F6438" t="s">
        <v>65</v>
      </c>
      <c r="G6438" t="s">
        <v>66</v>
      </c>
      <c r="H6438" t="s">
        <v>68</v>
      </c>
      <c r="I6438">
        <v>1</v>
      </c>
      <c r="J6438">
        <v>1</v>
      </c>
      <c r="K6438">
        <v>0</v>
      </c>
      <c r="L6438">
        <v>0</v>
      </c>
      <c r="M6438">
        <v>1</v>
      </c>
      <c r="N6438">
        <v>1</v>
      </c>
      <c r="O6438">
        <v>1</v>
      </c>
      <c r="P6438">
        <v>1</v>
      </c>
      <c r="Q6438">
        <v>1</v>
      </c>
      <c r="R6438">
        <v>1</v>
      </c>
    </row>
    <row r="6439" spans="1:39" x14ac:dyDescent="0.2">
      <c r="A6439" t="str">
        <f>"6435"</f>
        <v>6435</v>
      </c>
      <c r="B6439" t="str">
        <f t="shared" si="356"/>
        <v>1</v>
      </c>
      <c r="C6439" t="str">
        <f t="shared" si="358"/>
        <v>129</v>
      </c>
      <c r="D6439" t="str">
        <f>"23"</f>
        <v>23</v>
      </c>
      <c r="E6439" t="str">
        <f>"1-129-23"</f>
        <v>1-129-23</v>
      </c>
      <c r="F6439" t="s">
        <v>65</v>
      </c>
      <c r="G6439" t="s">
        <v>66</v>
      </c>
      <c r="H6439" t="s">
        <v>68</v>
      </c>
      <c r="I6439">
        <v>1</v>
      </c>
      <c r="J6439">
        <v>0</v>
      </c>
      <c r="K6439">
        <v>0</v>
      </c>
      <c r="L6439">
        <v>1</v>
      </c>
      <c r="M6439">
        <v>1</v>
      </c>
      <c r="N6439">
        <v>1</v>
      </c>
      <c r="O6439">
        <v>1</v>
      </c>
      <c r="P6439">
        <v>1</v>
      </c>
      <c r="Q6439">
        <v>1</v>
      </c>
      <c r="R6439">
        <v>1</v>
      </c>
    </row>
    <row r="6440" spans="1:39" x14ac:dyDescent="0.2">
      <c r="A6440" t="str">
        <f>"6436"</f>
        <v>6436</v>
      </c>
      <c r="B6440" t="str">
        <f t="shared" si="356"/>
        <v>1</v>
      </c>
      <c r="C6440" t="str">
        <f t="shared" si="358"/>
        <v>129</v>
      </c>
      <c r="D6440" t="str">
        <f>"8"</f>
        <v>8</v>
      </c>
      <c r="E6440" t="str">
        <f>"1-129-8"</f>
        <v>1-129-8</v>
      </c>
      <c r="F6440" t="s">
        <v>65</v>
      </c>
      <c r="G6440" t="s">
        <v>66</v>
      </c>
      <c r="H6440" t="s">
        <v>68</v>
      </c>
      <c r="I6440">
        <v>1</v>
      </c>
      <c r="J6440">
        <v>0</v>
      </c>
      <c r="K6440">
        <v>0</v>
      </c>
      <c r="L6440">
        <v>1</v>
      </c>
      <c r="M6440">
        <v>1</v>
      </c>
      <c r="N6440">
        <v>1</v>
      </c>
      <c r="O6440">
        <v>1</v>
      </c>
      <c r="P6440">
        <v>1</v>
      </c>
      <c r="Q6440">
        <v>1</v>
      </c>
      <c r="R6440">
        <v>1</v>
      </c>
    </row>
    <row r="6441" spans="1:39" x14ac:dyDescent="0.2">
      <c r="A6441" t="str">
        <f>"6437"</f>
        <v>6437</v>
      </c>
      <c r="B6441" t="str">
        <f t="shared" si="356"/>
        <v>1</v>
      </c>
      <c r="C6441" t="str">
        <f t="shared" si="358"/>
        <v>129</v>
      </c>
      <c r="D6441" t="str">
        <f>"45"</f>
        <v>45</v>
      </c>
      <c r="E6441" t="str">
        <f>"1-129-45"</f>
        <v>1-129-45</v>
      </c>
      <c r="F6441" t="s">
        <v>65</v>
      </c>
      <c r="G6441" t="s">
        <v>66</v>
      </c>
      <c r="H6441" t="s">
        <v>68</v>
      </c>
      <c r="I6441">
        <v>1</v>
      </c>
      <c r="J6441">
        <v>0</v>
      </c>
      <c r="K6441">
        <v>0</v>
      </c>
      <c r="L6441">
        <v>1</v>
      </c>
      <c r="M6441">
        <v>1</v>
      </c>
      <c r="N6441">
        <v>1</v>
      </c>
      <c r="O6441">
        <v>1</v>
      </c>
      <c r="P6441">
        <v>1</v>
      </c>
      <c r="Q6441">
        <v>1</v>
      </c>
      <c r="R6441">
        <v>1</v>
      </c>
    </row>
    <row r="6442" spans="1:39" x14ac:dyDescent="0.2">
      <c r="A6442" t="str">
        <f>"6438"</f>
        <v>6438</v>
      </c>
      <c r="B6442" t="str">
        <f t="shared" si="356"/>
        <v>1</v>
      </c>
      <c r="C6442" t="str">
        <f t="shared" si="358"/>
        <v>129</v>
      </c>
      <c r="D6442" t="str">
        <f>"25"</f>
        <v>25</v>
      </c>
      <c r="E6442" t="str">
        <f>"1-129-25"</f>
        <v>1-129-25</v>
      </c>
      <c r="F6442" t="s">
        <v>65</v>
      </c>
      <c r="G6442" t="s">
        <v>66</v>
      </c>
      <c r="H6442" t="s">
        <v>68</v>
      </c>
      <c r="I6442">
        <v>1</v>
      </c>
      <c r="J6442">
        <v>0</v>
      </c>
      <c r="K6442">
        <v>0</v>
      </c>
      <c r="L6442">
        <v>1</v>
      </c>
      <c r="M6442">
        <v>1</v>
      </c>
      <c r="N6442">
        <v>1</v>
      </c>
      <c r="O6442">
        <v>1</v>
      </c>
      <c r="P6442">
        <v>1</v>
      </c>
      <c r="Q6442">
        <v>1</v>
      </c>
      <c r="R6442">
        <v>1</v>
      </c>
    </row>
    <row r="6443" spans="1:39" x14ac:dyDescent="0.2">
      <c r="A6443" t="str">
        <f>"6439"</f>
        <v>6439</v>
      </c>
      <c r="B6443" t="str">
        <f t="shared" si="356"/>
        <v>1</v>
      </c>
      <c r="C6443" t="str">
        <f t="shared" si="358"/>
        <v>129</v>
      </c>
      <c r="D6443" t="str">
        <f>"5"</f>
        <v>5</v>
      </c>
      <c r="E6443" t="str">
        <f>"1-129-5"</f>
        <v>1-129-5</v>
      </c>
      <c r="F6443" t="s">
        <v>65</v>
      </c>
      <c r="G6443" t="s">
        <v>66</v>
      </c>
      <c r="H6443" t="s">
        <v>68</v>
      </c>
      <c r="I6443">
        <v>1</v>
      </c>
      <c r="J6443">
        <v>1</v>
      </c>
      <c r="K6443">
        <v>0</v>
      </c>
      <c r="L6443">
        <v>0</v>
      </c>
      <c r="M6443">
        <v>1</v>
      </c>
      <c r="N6443">
        <v>1</v>
      </c>
      <c r="O6443">
        <v>1</v>
      </c>
      <c r="P6443">
        <v>1</v>
      </c>
      <c r="Q6443">
        <v>1</v>
      </c>
      <c r="R6443">
        <v>1</v>
      </c>
    </row>
    <row r="6444" spans="1:39" x14ac:dyDescent="0.2">
      <c r="A6444" t="str">
        <f>"6440"</f>
        <v>6440</v>
      </c>
      <c r="B6444" t="str">
        <f t="shared" si="356"/>
        <v>1</v>
      </c>
      <c r="C6444" t="str">
        <f t="shared" si="358"/>
        <v>129</v>
      </c>
      <c r="D6444" t="str">
        <f>"26"</f>
        <v>26</v>
      </c>
      <c r="E6444" t="str">
        <f>"1-129-26"</f>
        <v>1-129-26</v>
      </c>
      <c r="F6444" t="s">
        <v>65</v>
      </c>
      <c r="G6444" t="s">
        <v>66</v>
      </c>
      <c r="H6444" t="s">
        <v>68</v>
      </c>
      <c r="I6444">
        <v>1</v>
      </c>
      <c r="J6444">
        <v>0</v>
      </c>
      <c r="K6444">
        <v>0</v>
      </c>
      <c r="L6444">
        <v>1</v>
      </c>
      <c r="M6444">
        <v>1</v>
      </c>
      <c r="N6444">
        <v>1</v>
      </c>
      <c r="O6444">
        <v>1</v>
      </c>
      <c r="P6444">
        <v>1</v>
      </c>
      <c r="Q6444">
        <v>1</v>
      </c>
      <c r="R6444">
        <v>1</v>
      </c>
    </row>
    <row r="6445" spans="1:39" x14ac:dyDescent="0.2">
      <c r="A6445" t="str">
        <f>"6441"</f>
        <v>6441</v>
      </c>
      <c r="B6445" t="str">
        <f t="shared" si="356"/>
        <v>1</v>
      </c>
      <c r="C6445" t="str">
        <f t="shared" si="358"/>
        <v>129</v>
      </c>
      <c r="D6445" t="str">
        <f>"7"</f>
        <v>7</v>
      </c>
      <c r="E6445" t="str">
        <f>"1-129-7"</f>
        <v>1-129-7</v>
      </c>
      <c r="F6445" t="s">
        <v>65</v>
      </c>
      <c r="G6445" t="s">
        <v>66</v>
      </c>
      <c r="H6445" t="s">
        <v>68</v>
      </c>
      <c r="I6445">
        <v>1</v>
      </c>
      <c r="J6445">
        <v>0</v>
      </c>
      <c r="K6445">
        <v>1</v>
      </c>
      <c r="L6445">
        <v>0</v>
      </c>
      <c r="M6445">
        <v>1</v>
      </c>
      <c r="N6445">
        <v>1</v>
      </c>
      <c r="O6445">
        <v>1</v>
      </c>
      <c r="P6445">
        <v>1</v>
      </c>
      <c r="Q6445">
        <v>1</v>
      </c>
      <c r="R6445">
        <v>1</v>
      </c>
    </row>
    <row r="6446" spans="1:39" x14ac:dyDescent="0.2">
      <c r="A6446" t="str">
        <f>"6442"</f>
        <v>6442</v>
      </c>
      <c r="B6446" t="str">
        <f t="shared" si="356"/>
        <v>1</v>
      </c>
      <c r="C6446" t="str">
        <f t="shared" si="358"/>
        <v>129</v>
      </c>
      <c r="D6446" t="str">
        <f>"27"</f>
        <v>27</v>
      </c>
      <c r="E6446" t="str">
        <f>"1-129-27"</f>
        <v>1-129-27</v>
      </c>
      <c r="F6446" t="s">
        <v>65</v>
      </c>
      <c r="G6446" t="s">
        <v>66</v>
      </c>
      <c r="H6446" t="s">
        <v>68</v>
      </c>
      <c r="I6446">
        <v>1</v>
      </c>
      <c r="J6446">
        <v>0</v>
      </c>
      <c r="K6446">
        <v>0</v>
      </c>
      <c r="L6446">
        <v>1</v>
      </c>
      <c r="M6446">
        <v>1</v>
      </c>
      <c r="N6446">
        <v>1</v>
      </c>
      <c r="O6446">
        <v>1</v>
      </c>
      <c r="P6446">
        <v>1</v>
      </c>
      <c r="Q6446">
        <v>1</v>
      </c>
      <c r="R6446">
        <v>1</v>
      </c>
    </row>
    <row r="6447" spans="1:39" x14ac:dyDescent="0.2">
      <c r="A6447" t="str">
        <f>"6443"</f>
        <v>6443</v>
      </c>
      <c r="B6447" t="str">
        <f t="shared" si="356"/>
        <v>1</v>
      </c>
      <c r="C6447" t="str">
        <f t="shared" si="358"/>
        <v>129</v>
      </c>
      <c r="D6447" t="str">
        <f>"12"</f>
        <v>12</v>
      </c>
      <c r="E6447" t="str">
        <f>"1-129-12"</f>
        <v>1-129-12</v>
      </c>
      <c r="F6447" t="s">
        <v>65</v>
      </c>
      <c r="G6447" t="s">
        <v>66</v>
      </c>
      <c r="H6447" t="s">
        <v>68</v>
      </c>
      <c r="I6447">
        <v>1</v>
      </c>
      <c r="J6447">
        <v>0</v>
      </c>
      <c r="K6447">
        <v>1</v>
      </c>
      <c r="L6447">
        <v>0</v>
      </c>
      <c r="M6447">
        <v>1</v>
      </c>
      <c r="N6447">
        <v>1</v>
      </c>
      <c r="O6447">
        <v>1</v>
      </c>
      <c r="P6447">
        <v>1</v>
      </c>
      <c r="Q6447">
        <v>1</v>
      </c>
      <c r="R6447">
        <v>1</v>
      </c>
    </row>
    <row r="6448" spans="1:39" x14ac:dyDescent="0.2">
      <c r="A6448" t="str">
        <f>"6444"</f>
        <v>6444</v>
      </c>
      <c r="B6448" t="str">
        <f t="shared" si="356"/>
        <v>1</v>
      </c>
      <c r="C6448" t="str">
        <f t="shared" si="358"/>
        <v>129</v>
      </c>
      <c r="D6448" t="str">
        <f>"48"</f>
        <v>48</v>
      </c>
      <c r="E6448" t="str">
        <f>"1-129-48"</f>
        <v>1-129-48</v>
      </c>
      <c r="F6448" t="s">
        <v>65</v>
      </c>
      <c r="G6448" t="s">
        <v>66</v>
      </c>
      <c r="H6448" t="s">
        <v>67</v>
      </c>
      <c r="S6448">
        <v>1</v>
      </c>
      <c r="T6448">
        <v>0</v>
      </c>
      <c r="U6448">
        <v>0</v>
      </c>
      <c r="V6448">
        <v>0</v>
      </c>
      <c r="W6448">
        <v>1</v>
      </c>
      <c r="X6448">
        <v>0</v>
      </c>
      <c r="Y6448">
        <v>1</v>
      </c>
      <c r="Z6448">
        <v>0</v>
      </c>
      <c r="AA6448">
        <v>1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</row>
    <row r="6449" spans="1:39" x14ac:dyDescent="0.2">
      <c r="A6449" t="str">
        <f>"6445"</f>
        <v>6445</v>
      </c>
      <c r="B6449" t="str">
        <f t="shared" si="356"/>
        <v>1</v>
      </c>
      <c r="C6449" t="str">
        <f t="shared" si="358"/>
        <v>129</v>
      </c>
      <c r="D6449" t="str">
        <f>"30"</f>
        <v>30</v>
      </c>
      <c r="E6449" t="str">
        <f>"1-129-30"</f>
        <v>1-129-30</v>
      </c>
      <c r="F6449" t="s">
        <v>65</v>
      </c>
      <c r="G6449" t="s">
        <v>66</v>
      </c>
      <c r="H6449" t="s">
        <v>68</v>
      </c>
      <c r="I6449">
        <v>1</v>
      </c>
      <c r="J6449">
        <v>0</v>
      </c>
      <c r="K6449">
        <v>1</v>
      </c>
      <c r="L6449">
        <v>0</v>
      </c>
      <c r="M6449">
        <v>1</v>
      </c>
      <c r="N6449">
        <v>1</v>
      </c>
      <c r="O6449">
        <v>1</v>
      </c>
      <c r="P6449">
        <v>1</v>
      </c>
      <c r="Q6449">
        <v>1</v>
      </c>
      <c r="R6449">
        <v>1</v>
      </c>
    </row>
    <row r="6450" spans="1:39" x14ac:dyDescent="0.2">
      <c r="A6450" t="str">
        <f>"6446"</f>
        <v>6446</v>
      </c>
      <c r="B6450" t="str">
        <f t="shared" si="356"/>
        <v>1</v>
      </c>
      <c r="C6450" t="str">
        <f t="shared" si="358"/>
        <v>129</v>
      </c>
      <c r="D6450" t="str">
        <f>"3"</f>
        <v>3</v>
      </c>
      <c r="E6450" t="str">
        <f>"1-129-3"</f>
        <v>1-129-3</v>
      </c>
      <c r="F6450" t="s">
        <v>65</v>
      </c>
      <c r="G6450" t="s">
        <v>66</v>
      </c>
      <c r="H6450" t="s">
        <v>68</v>
      </c>
      <c r="I6450">
        <v>1</v>
      </c>
      <c r="J6450">
        <v>1</v>
      </c>
      <c r="K6450">
        <v>0</v>
      </c>
      <c r="L6450">
        <v>0</v>
      </c>
      <c r="M6450">
        <v>1</v>
      </c>
      <c r="N6450">
        <v>1</v>
      </c>
      <c r="O6450">
        <v>1</v>
      </c>
      <c r="P6450">
        <v>1</v>
      </c>
      <c r="Q6450">
        <v>1</v>
      </c>
      <c r="R6450">
        <v>1</v>
      </c>
    </row>
    <row r="6451" spans="1:39" x14ac:dyDescent="0.2">
      <c r="A6451" t="str">
        <f>"6447"</f>
        <v>6447</v>
      </c>
      <c r="B6451" t="str">
        <f t="shared" si="356"/>
        <v>1</v>
      </c>
      <c r="C6451" t="str">
        <f t="shared" si="358"/>
        <v>129</v>
      </c>
      <c r="D6451" t="str">
        <f>"32"</f>
        <v>32</v>
      </c>
      <c r="E6451" t="str">
        <f>"1-129-32"</f>
        <v>1-129-32</v>
      </c>
      <c r="F6451" t="s">
        <v>65</v>
      </c>
      <c r="G6451" t="s">
        <v>66</v>
      </c>
      <c r="H6451" t="s">
        <v>68</v>
      </c>
      <c r="I6451">
        <v>1</v>
      </c>
      <c r="J6451">
        <v>1</v>
      </c>
      <c r="K6451">
        <v>0</v>
      </c>
      <c r="L6451">
        <v>0</v>
      </c>
      <c r="M6451">
        <v>1</v>
      </c>
      <c r="N6451">
        <v>1</v>
      </c>
      <c r="O6451">
        <v>1</v>
      </c>
      <c r="P6451">
        <v>1</v>
      </c>
      <c r="Q6451">
        <v>1</v>
      </c>
      <c r="R6451">
        <v>1</v>
      </c>
    </row>
    <row r="6452" spans="1:39" x14ac:dyDescent="0.2">
      <c r="A6452" t="str">
        <f>"6448"</f>
        <v>6448</v>
      </c>
      <c r="B6452" t="str">
        <f t="shared" si="356"/>
        <v>1</v>
      </c>
      <c r="C6452" t="str">
        <f t="shared" si="358"/>
        <v>129</v>
      </c>
      <c r="D6452" t="str">
        <f>"14"</f>
        <v>14</v>
      </c>
      <c r="E6452" t="str">
        <f>"1-129-14"</f>
        <v>1-129-14</v>
      </c>
      <c r="F6452" t="s">
        <v>65</v>
      </c>
      <c r="G6452" t="s">
        <v>66</v>
      </c>
      <c r="H6452" t="s">
        <v>68</v>
      </c>
      <c r="I6452">
        <v>1</v>
      </c>
      <c r="J6452">
        <v>0</v>
      </c>
      <c r="K6452">
        <v>1</v>
      </c>
      <c r="L6452">
        <v>0</v>
      </c>
      <c r="M6452">
        <v>1</v>
      </c>
      <c r="N6452">
        <v>1</v>
      </c>
      <c r="O6452">
        <v>1</v>
      </c>
      <c r="P6452">
        <v>1</v>
      </c>
      <c r="Q6452">
        <v>1</v>
      </c>
      <c r="R6452">
        <v>1</v>
      </c>
    </row>
    <row r="6453" spans="1:39" x14ac:dyDescent="0.2">
      <c r="A6453" t="str">
        <f>"6449"</f>
        <v>6449</v>
      </c>
      <c r="B6453" t="str">
        <f t="shared" si="356"/>
        <v>1</v>
      </c>
      <c r="C6453" t="str">
        <f t="shared" si="358"/>
        <v>129</v>
      </c>
      <c r="D6453" t="str">
        <f>"46"</f>
        <v>46</v>
      </c>
      <c r="E6453" t="str">
        <f>"1-129-46"</f>
        <v>1-129-46</v>
      </c>
      <c r="F6453" t="s">
        <v>65</v>
      </c>
      <c r="G6453" t="s">
        <v>66</v>
      </c>
      <c r="H6453" t="s">
        <v>68</v>
      </c>
      <c r="I6453">
        <v>1</v>
      </c>
      <c r="J6453">
        <v>0</v>
      </c>
      <c r="K6453">
        <v>1</v>
      </c>
      <c r="L6453">
        <v>0</v>
      </c>
      <c r="M6453">
        <v>1</v>
      </c>
      <c r="N6453">
        <v>1</v>
      </c>
      <c r="O6453">
        <v>0</v>
      </c>
      <c r="P6453">
        <v>1</v>
      </c>
      <c r="Q6453">
        <v>1</v>
      </c>
      <c r="R6453">
        <v>1</v>
      </c>
    </row>
    <row r="6454" spans="1:39" x14ac:dyDescent="0.2">
      <c r="A6454" t="str">
        <f>"6450"</f>
        <v>6450</v>
      </c>
      <c r="B6454" t="str">
        <f t="shared" si="356"/>
        <v>1</v>
      </c>
      <c r="C6454" t="str">
        <f t="shared" si="358"/>
        <v>129</v>
      </c>
      <c r="D6454" t="str">
        <f>"47"</f>
        <v>47</v>
      </c>
      <c r="E6454" t="str">
        <f>"1-129-47"</f>
        <v>1-129-47</v>
      </c>
      <c r="F6454" t="s">
        <v>65</v>
      </c>
      <c r="G6454" t="s">
        <v>66</v>
      </c>
      <c r="H6454" t="s">
        <v>68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39" x14ac:dyDescent="0.2">
      <c r="A6455" t="str">
        <f>"6451"</f>
        <v>6451</v>
      </c>
      <c r="B6455" t="str">
        <f t="shared" ref="B6455:B6518" si="359">"1"</f>
        <v>1</v>
      </c>
      <c r="C6455" t="str">
        <f t="shared" ref="C6455:C6486" si="360">"130"</f>
        <v>130</v>
      </c>
      <c r="D6455" t="str">
        <f>"38"</f>
        <v>38</v>
      </c>
      <c r="E6455" t="str">
        <f>"1-130-38"</f>
        <v>1-130-38</v>
      </c>
      <c r="F6455" t="s">
        <v>65</v>
      </c>
      <c r="G6455" t="s">
        <v>66</v>
      </c>
      <c r="H6455" t="s">
        <v>67</v>
      </c>
      <c r="S6455">
        <v>1</v>
      </c>
      <c r="T6455">
        <v>0</v>
      </c>
      <c r="U6455">
        <v>0</v>
      </c>
      <c r="V6455">
        <v>0</v>
      </c>
      <c r="W6455">
        <v>1</v>
      </c>
      <c r="X6455">
        <v>0</v>
      </c>
      <c r="Y6455">
        <v>0</v>
      </c>
      <c r="Z6455">
        <v>1</v>
      </c>
      <c r="AA6455">
        <v>1</v>
      </c>
      <c r="AB6455">
        <v>0</v>
      </c>
      <c r="AC6455">
        <v>0</v>
      </c>
      <c r="AD6455">
        <v>1</v>
      </c>
      <c r="AE6455">
        <v>1</v>
      </c>
      <c r="AF6455">
        <v>1</v>
      </c>
      <c r="AG6455">
        <v>1</v>
      </c>
      <c r="AH6455">
        <v>1</v>
      </c>
      <c r="AI6455">
        <v>1</v>
      </c>
      <c r="AJ6455">
        <v>1</v>
      </c>
      <c r="AK6455">
        <v>1</v>
      </c>
      <c r="AL6455">
        <v>1</v>
      </c>
      <c r="AM6455">
        <v>1</v>
      </c>
    </row>
    <row r="6456" spans="1:39" x14ac:dyDescent="0.2">
      <c r="A6456" t="str">
        <f>"6452"</f>
        <v>6452</v>
      </c>
      <c r="B6456" t="str">
        <f t="shared" si="359"/>
        <v>1</v>
      </c>
      <c r="C6456" t="str">
        <f t="shared" si="360"/>
        <v>130</v>
      </c>
      <c r="D6456" t="str">
        <f>"37"</f>
        <v>37</v>
      </c>
      <c r="E6456" t="str">
        <f>"1-130-37"</f>
        <v>1-130-37</v>
      </c>
      <c r="F6456" t="s">
        <v>65</v>
      </c>
      <c r="G6456" t="s">
        <v>66</v>
      </c>
      <c r="H6456" t="s">
        <v>67</v>
      </c>
      <c r="S6456">
        <v>1</v>
      </c>
      <c r="T6456">
        <v>0</v>
      </c>
      <c r="U6456">
        <v>0</v>
      </c>
      <c r="V6456">
        <v>0</v>
      </c>
      <c r="W6456">
        <v>1</v>
      </c>
      <c r="X6456">
        <v>0</v>
      </c>
      <c r="Y6456">
        <v>1</v>
      </c>
      <c r="Z6456">
        <v>0</v>
      </c>
      <c r="AA6456">
        <v>1</v>
      </c>
      <c r="AB6456">
        <v>0</v>
      </c>
      <c r="AC6456">
        <v>0</v>
      </c>
      <c r="AD6456">
        <v>1</v>
      </c>
      <c r="AE6456">
        <v>1</v>
      </c>
      <c r="AF6456">
        <v>1</v>
      </c>
      <c r="AG6456">
        <v>1</v>
      </c>
      <c r="AH6456">
        <v>1</v>
      </c>
      <c r="AI6456">
        <v>1</v>
      </c>
      <c r="AJ6456">
        <v>1</v>
      </c>
      <c r="AK6456">
        <v>1</v>
      </c>
      <c r="AL6456">
        <v>1</v>
      </c>
      <c r="AM6456">
        <v>1</v>
      </c>
    </row>
    <row r="6457" spans="1:39" x14ac:dyDescent="0.2">
      <c r="A6457" t="str">
        <f>"6453"</f>
        <v>6453</v>
      </c>
      <c r="B6457" t="str">
        <f t="shared" si="359"/>
        <v>1</v>
      </c>
      <c r="C6457" t="str">
        <f t="shared" si="360"/>
        <v>130</v>
      </c>
      <c r="D6457" t="str">
        <f>"27"</f>
        <v>27</v>
      </c>
      <c r="E6457" t="str">
        <f>"1-130-27"</f>
        <v>1-130-27</v>
      </c>
      <c r="F6457" t="s">
        <v>65</v>
      </c>
      <c r="G6457" t="s">
        <v>66</v>
      </c>
      <c r="H6457" t="s">
        <v>67</v>
      </c>
      <c r="S6457">
        <v>0</v>
      </c>
      <c r="T6457">
        <v>1</v>
      </c>
      <c r="U6457">
        <v>0</v>
      </c>
      <c r="V6457">
        <v>0</v>
      </c>
      <c r="W6457">
        <v>0</v>
      </c>
      <c r="X6457">
        <v>1</v>
      </c>
      <c r="Y6457">
        <v>0</v>
      </c>
      <c r="Z6457">
        <v>1</v>
      </c>
      <c r="AA6457">
        <v>1</v>
      </c>
      <c r="AB6457">
        <v>0</v>
      </c>
      <c r="AC6457">
        <v>0</v>
      </c>
      <c r="AD6457">
        <v>1</v>
      </c>
      <c r="AE6457">
        <v>1</v>
      </c>
      <c r="AF6457">
        <v>1</v>
      </c>
      <c r="AG6457">
        <v>1</v>
      </c>
      <c r="AH6457">
        <v>1</v>
      </c>
      <c r="AI6457">
        <v>1</v>
      </c>
      <c r="AJ6457">
        <v>1</v>
      </c>
      <c r="AK6457">
        <v>1</v>
      </c>
      <c r="AL6457">
        <v>1</v>
      </c>
      <c r="AM6457">
        <v>1</v>
      </c>
    </row>
    <row r="6458" spans="1:39" x14ac:dyDescent="0.2">
      <c r="A6458" t="str">
        <f>"6454"</f>
        <v>6454</v>
      </c>
      <c r="B6458" t="str">
        <f t="shared" si="359"/>
        <v>1</v>
      </c>
      <c r="C6458" t="str">
        <f t="shared" si="360"/>
        <v>130</v>
      </c>
      <c r="D6458" t="str">
        <f>"15"</f>
        <v>15</v>
      </c>
      <c r="E6458" t="str">
        <f>"1-130-15"</f>
        <v>1-130-15</v>
      </c>
      <c r="F6458" t="s">
        <v>65</v>
      </c>
      <c r="G6458" t="s">
        <v>66</v>
      </c>
      <c r="H6458" t="s">
        <v>67</v>
      </c>
      <c r="S6458">
        <v>0</v>
      </c>
      <c r="T6458">
        <v>1</v>
      </c>
      <c r="U6458">
        <v>0</v>
      </c>
      <c r="V6458">
        <v>0</v>
      </c>
      <c r="W6458">
        <v>0</v>
      </c>
      <c r="X6458">
        <v>1</v>
      </c>
      <c r="Y6458">
        <v>0</v>
      </c>
      <c r="Z6458">
        <v>1</v>
      </c>
      <c r="AA6458">
        <v>0</v>
      </c>
      <c r="AB6458">
        <v>0</v>
      </c>
      <c r="AC6458">
        <v>1</v>
      </c>
      <c r="AD6458">
        <v>1</v>
      </c>
      <c r="AE6458">
        <v>1</v>
      </c>
      <c r="AF6458">
        <v>1</v>
      </c>
      <c r="AG6458">
        <v>1</v>
      </c>
      <c r="AH6458">
        <v>1</v>
      </c>
      <c r="AI6458">
        <v>1</v>
      </c>
      <c r="AJ6458">
        <v>1</v>
      </c>
      <c r="AK6458">
        <v>1</v>
      </c>
      <c r="AL6458">
        <v>1</v>
      </c>
      <c r="AM6458">
        <v>1</v>
      </c>
    </row>
    <row r="6459" spans="1:39" x14ac:dyDescent="0.2">
      <c r="A6459" t="str">
        <f>"6455"</f>
        <v>6455</v>
      </c>
      <c r="B6459" t="str">
        <f t="shared" si="359"/>
        <v>1</v>
      </c>
      <c r="C6459" t="str">
        <f t="shared" si="360"/>
        <v>130</v>
      </c>
      <c r="D6459" t="str">
        <f>"4"</f>
        <v>4</v>
      </c>
      <c r="E6459" t="str">
        <f>"1-130-4"</f>
        <v>1-130-4</v>
      </c>
      <c r="F6459" t="s">
        <v>65</v>
      </c>
      <c r="G6459" t="s">
        <v>66</v>
      </c>
      <c r="H6459" t="s">
        <v>67</v>
      </c>
      <c r="S6459">
        <v>0</v>
      </c>
      <c r="T6459">
        <v>1</v>
      </c>
      <c r="U6459">
        <v>0</v>
      </c>
      <c r="V6459">
        <v>0</v>
      </c>
      <c r="W6459">
        <v>1</v>
      </c>
      <c r="X6459">
        <v>0</v>
      </c>
      <c r="Y6459">
        <v>1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1</v>
      </c>
      <c r="AK6459">
        <v>1</v>
      </c>
      <c r="AL6459">
        <v>1</v>
      </c>
      <c r="AM6459">
        <v>0</v>
      </c>
    </row>
    <row r="6460" spans="1:39" x14ac:dyDescent="0.2">
      <c r="A6460" t="str">
        <f>"6456"</f>
        <v>6456</v>
      </c>
      <c r="B6460" t="str">
        <f t="shared" si="359"/>
        <v>1</v>
      </c>
      <c r="C6460" t="str">
        <f t="shared" si="360"/>
        <v>130</v>
      </c>
      <c r="D6460" t="str">
        <f>"36"</f>
        <v>36</v>
      </c>
      <c r="E6460" t="str">
        <f>"1-130-36"</f>
        <v>1-130-36</v>
      </c>
      <c r="F6460" t="s">
        <v>65</v>
      </c>
      <c r="G6460" t="s">
        <v>66</v>
      </c>
      <c r="H6460" t="s">
        <v>67</v>
      </c>
      <c r="S6460">
        <v>1</v>
      </c>
      <c r="T6460">
        <v>0</v>
      </c>
      <c r="U6460">
        <v>0</v>
      </c>
      <c r="V6460">
        <v>0</v>
      </c>
      <c r="W6460">
        <v>1</v>
      </c>
      <c r="X6460">
        <v>0</v>
      </c>
      <c r="Y6460">
        <v>1</v>
      </c>
      <c r="Z6460">
        <v>0</v>
      </c>
      <c r="AA6460">
        <v>1</v>
      </c>
      <c r="AB6460">
        <v>0</v>
      </c>
      <c r="AC6460">
        <v>0</v>
      </c>
      <c r="AD6460">
        <v>1</v>
      </c>
      <c r="AE6460">
        <v>1</v>
      </c>
      <c r="AF6460">
        <v>1</v>
      </c>
      <c r="AG6460">
        <v>1</v>
      </c>
      <c r="AH6460">
        <v>1</v>
      </c>
      <c r="AI6460">
        <v>1</v>
      </c>
      <c r="AJ6460">
        <v>1</v>
      </c>
      <c r="AK6460">
        <v>1</v>
      </c>
      <c r="AL6460">
        <v>1</v>
      </c>
      <c r="AM6460">
        <v>1</v>
      </c>
    </row>
    <row r="6461" spans="1:39" x14ac:dyDescent="0.2">
      <c r="A6461" t="str">
        <f>"6457"</f>
        <v>6457</v>
      </c>
      <c r="B6461" t="str">
        <f t="shared" si="359"/>
        <v>1</v>
      </c>
      <c r="C6461" t="str">
        <f t="shared" si="360"/>
        <v>130</v>
      </c>
      <c r="D6461" t="str">
        <f>"35"</f>
        <v>35</v>
      </c>
      <c r="E6461" t="str">
        <f>"1-130-35"</f>
        <v>1-130-35</v>
      </c>
      <c r="F6461" t="s">
        <v>65</v>
      </c>
      <c r="G6461" t="s">
        <v>66</v>
      </c>
      <c r="H6461" t="s">
        <v>67</v>
      </c>
      <c r="S6461">
        <v>1</v>
      </c>
      <c r="T6461">
        <v>0</v>
      </c>
      <c r="U6461">
        <v>0</v>
      </c>
      <c r="V6461">
        <v>0</v>
      </c>
      <c r="W6461">
        <v>1</v>
      </c>
      <c r="X6461">
        <v>0</v>
      </c>
      <c r="Y6461">
        <v>1</v>
      </c>
      <c r="Z6461">
        <v>0</v>
      </c>
      <c r="AA6461">
        <v>0</v>
      </c>
      <c r="AB6461">
        <v>1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1</v>
      </c>
      <c r="AJ6461">
        <v>1</v>
      </c>
      <c r="AK6461">
        <v>1</v>
      </c>
      <c r="AL6461">
        <v>1</v>
      </c>
      <c r="AM6461">
        <v>1</v>
      </c>
    </row>
    <row r="6462" spans="1:39" x14ac:dyDescent="0.2">
      <c r="A6462" t="str">
        <f>"6458"</f>
        <v>6458</v>
      </c>
      <c r="B6462" t="str">
        <f t="shared" si="359"/>
        <v>1</v>
      </c>
      <c r="C6462" t="str">
        <f t="shared" si="360"/>
        <v>130</v>
      </c>
      <c r="D6462" t="str">
        <f>"22"</f>
        <v>22</v>
      </c>
      <c r="E6462" t="str">
        <f>"1-130-22"</f>
        <v>1-130-22</v>
      </c>
      <c r="F6462" t="s">
        <v>65</v>
      </c>
      <c r="G6462" t="s">
        <v>66</v>
      </c>
      <c r="H6462" t="s">
        <v>67</v>
      </c>
      <c r="S6462">
        <v>1</v>
      </c>
      <c r="T6462">
        <v>0</v>
      </c>
      <c r="U6462">
        <v>0</v>
      </c>
      <c r="V6462">
        <v>0</v>
      </c>
      <c r="W6462">
        <v>1</v>
      </c>
      <c r="X6462">
        <v>0</v>
      </c>
      <c r="Y6462">
        <v>0</v>
      </c>
      <c r="Z6462">
        <v>1</v>
      </c>
      <c r="AA6462">
        <v>1</v>
      </c>
      <c r="AB6462">
        <v>0</v>
      </c>
      <c r="AC6462">
        <v>0</v>
      </c>
      <c r="AD6462">
        <v>1</v>
      </c>
      <c r="AE6462">
        <v>1</v>
      </c>
      <c r="AF6462">
        <v>1</v>
      </c>
      <c r="AG6462">
        <v>1</v>
      </c>
      <c r="AH6462">
        <v>1</v>
      </c>
      <c r="AI6462">
        <v>1</v>
      </c>
      <c r="AJ6462">
        <v>1</v>
      </c>
      <c r="AK6462">
        <v>1</v>
      </c>
      <c r="AL6462">
        <v>1</v>
      </c>
      <c r="AM6462">
        <v>1</v>
      </c>
    </row>
    <row r="6463" spans="1:39" x14ac:dyDescent="0.2">
      <c r="A6463" t="str">
        <f>"6459"</f>
        <v>6459</v>
      </c>
      <c r="B6463" t="str">
        <f t="shared" si="359"/>
        <v>1</v>
      </c>
      <c r="C6463" t="str">
        <f t="shared" si="360"/>
        <v>130</v>
      </c>
      <c r="D6463" t="str">
        <f>"16"</f>
        <v>16</v>
      </c>
      <c r="E6463" t="str">
        <f>"1-130-16"</f>
        <v>1-130-16</v>
      </c>
      <c r="F6463" t="s">
        <v>65</v>
      </c>
      <c r="G6463" t="s">
        <v>66</v>
      </c>
      <c r="H6463" t="s">
        <v>67</v>
      </c>
      <c r="S6463">
        <v>1</v>
      </c>
      <c r="T6463">
        <v>0</v>
      </c>
      <c r="U6463">
        <v>0</v>
      </c>
      <c r="V6463">
        <v>0</v>
      </c>
      <c r="W6463">
        <v>1</v>
      </c>
      <c r="X6463">
        <v>0</v>
      </c>
      <c r="Y6463">
        <v>1</v>
      </c>
      <c r="Z6463">
        <v>0</v>
      </c>
      <c r="AA6463">
        <v>0</v>
      </c>
      <c r="AB6463">
        <v>0</v>
      </c>
      <c r="AC6463">
        <v>1</v>
      </c>
      <c r="AD6463">
        <v>1</v>
      </c>
      <c r="AE6463">
        <v>1</v>
      </c>
      <c r="AF6463">
        <v>1</v>
      </c>
      <c r="AG6463">
        <v>1</v>
      </c>
      <c r="AH6463">
        <v>0</v>
      </c>
      <c r="AI6463">
        <v>1</v>
      </c>
      <c r="AJ6463">
        <v>1</v>
      </c>
      <c r="AK6463">
        <v>0</v>
      </c>
      <c r="AL6463">
        <v>1</v>
      </c>
      <c r="AM6463">
        <v>1</v>
      </c>
    </row>
    <row r="6464" spans="1:39" x14ac:dyDescent="0.2">
      <c r="A6464" t="str">
        <f>"6460"</f>
        <v>6460</v>
      </c>
      <c r="B6464" t="str">
        <f t="shared" si="359"/>
        <v>1</v>
      </c>
      <c r="C6464" t="str">
        <f t="shared" si="360"/>
        <v>130</v>
      </c>
      <c r="D6464" t="str">
        <f>"3"</f>
        <v>3</v>
      </c>
      <c r="E6464" t="str">
        <f>"1-130-3"</f>
        <v>1-130-3</v>
      </c>
      <c r="F6464" t="s">
        <v>65</v>
      </c>
      <c r="G6464" t="s">
        <v>66</v>
      </c>
      <c r="H6464" t="s">
        <v>67</v>
      </c>
      <c r="S6464">
        <v>1</v>
      </c>
      <c r="T6464">
        <v>0</v>
      </c>
      <c r="U6464">
        <v>0</v>
      </c>
      <c r="V6464">
        <v>0</v>
      </c>
      <c r="W6464">
        <v>1</v>
      </c>
      <c r="X6464">
        <v>0</v>
      </c>
      <c r="Y6464">
        <v>1</v>
      </c>
      <c r="Z6464">
        <v>0</v>
      </c>
      <c r="AA6464">
        <v>1</v>
      </c>
      <c r="AB6464">
        <v>0</v>
      </c>
      <c r="AC6464">
        <v>0</v>
      </c>
      <c r="AD6464">
        <v>1</v>
      </c>
      <c r="AE6464">
        <v>1</v>
      </c>
      <c r="AF6464">
        <v>1</v>
      </c>
      <c r="AG6464">
        <v>1</v>
      </c>
      <c r="AH6464">
        <v>1</v>
      </c>
      <c r="AI6464">
        <v>1</v>
      </c>
      <c r="AJ6464">
        <v>1</v>
      </c>
      <c r="AK6464">
        <v>1</v>
      </c>
      <c r="AL6464">
        <v>1</v>
      </c>
      <c r="AM6464">
        <v>1</v>
      </c>
    </row>
    <row r="6465" spans="1:39" x14ac:dyDescent="0.2">
      <c r="A6465" t="str">
        <f>"6461"</f>
        <v>6461</v>
      </c>
      <c r="B6465" t="str">
        <f t="shared" si="359"/>
        <v>1</v>
      </c>
      <c r="C6465" t="str">
        <f t="shared" si="360"/>
        <v>130</v>
      </c>
      <c r="D6465" t="str">
        <f>"47"</f>
        <v>47</v>
      </c>
      <c r="E6465" t="str">
        <f>"1-130-47"</f>
        <v>1-130-47</v>
      </c>
      <c r="F6465" t="s">
        <v>65</v>
      </c>
      <c r="G6465" t="s">
        <v>66</v>
      </c>
      <c r="H6465" t="s">
        <v>67</v>
      </c>
      <c r="S6465">
        <v>1</v>
      </c>
      <c r="T6465">
        <v>0</v>
      </c>
      <c r="U6465">
        <v>0</v>
      </c>
      <c r="V6465">
        <v>0</v>
      </c>
      <c r="W6465">
        <v>1</v>
      </c>
      <c r="X6465">
        <v>0</v>
      </c>
      <c r="Y6465">
        <v>0</v>
      </c>
      <c r="Z6465">
        <v>1</v>
      </c>
      <c r="AA6465">
        <v>1</v>
      </c>
      <c r="AB6465">
        <v>0</v>
      </c>
      <c r="AC6465">
        <v>0</v>
      </c>
      <c r="AD6465">
        <v>1</v>
      </c>
      <c r="AE6465">
        <v>1</v>
      </c>
      <c r="AF6465">
        <v>1</v>
      </c>
      <c r="AG6465">
        <v>1</v>
      </c>
      <c r="AH6465">
        <v>1</v>
      </c>
      <c r="AI6465">
        <v>1</v>
      </c>
      <c r="AJ6465">
        <v>1</v>
      </c>
      <c r="AK6465">
        <v>1</v>
      </c>
      <c r="AL6465">
        <v>1</v>
      </c>
      <c r="AM6465">
        <v>1</v>
      </c>
    </row>
    <row r="6466" spans="1:39" x14ac:dyDescent="0.2">
      <c r="A6466" t="str">
        <f>"6462"</f>
        <v>6462</v>
      </c>
      <c r="B6466" t="str">
        <f t="shared" si="359"/>
        <v>1</v>
      </c>
      <c r="C6466" t="str">
        <f t="shared" si="360"/>
        <v>130</v>
      </c>
      <c r="D6466" t="str">
        <f>"46"</f>
        <v>46</v>
      </c>
      <c r="E6466" t="str">
        <f>"1-130-46"</f>
        <v>1-130-46</v>
      </c>
      <c r="F6466" t="s">
        <v>65</v>
      </c>
      <c r="G6466" t="s">
        <v>66</v>
      </c>
      <c r="H6466" t="s">
        <v>67</v>
      </c>
      <c r="S6466">
        <v>1</v>
      </c>
      <c r="T6466">
        <v>0</v>
      </c>
      <c r="U6466">
        <v>0</v>
      </c>
      <c r="V6466">
        <v>0</v>
      </c>
      <c r="W6466">
        <v>1</v>
      </c>
      <c r="X6466">
        <v>0</v>
      </c>
      <c r="Y6466">
        <v>0</v>
      </c>
      <c r="Z6466">
        <v>1</v>
      </c>
      <c r="AA6466">
        <v>0</v>
      </c>
      <c r="AB6466">
        <v>0</v>
      </c>
      <c r="AC6466">
        <v>1</v>
      </c>
      <c r="AD6466">
        <v>1</v>
      </c>
      <c r="AE6466">
        <v>1</v>
      </c>
      <c r="AF6466">
        <v>1</v>
      </c>
      <c r="AG6466">
        <v>1</v>
      </c>
      <c r="AH6466">
        <v>1</v>
      </c>
      <c r="AI6466">
        <v>1</v>
      </c>
      <c r="AJ6466">
        <v>1</v>
      </c>
      <c r="AK6466">
        <v>1</v>
      </c>
      <c r="AL6466">
        <v>1</v>
      </c>
      <c r="AM6466">
        <v>1</v>
      </c>
    </row>
    <row r="6467" spans="1:39" x14ac:dyDescent="0.2">
      <c r="A6467" t="str">
        <f>"6463"</f>
        <v>6463</v>
      </c>
      <c r="B6467" t="str">
        <f t="shared" si="359"/>
        <v>1</v>
      </c>
      <c r="C6467" t="str">
        <f t="shared" si="360"/>
        <v>130</v>
      </c>
      <c r="D6467" t="str">
        <f>"32"</f>
        <v>32</v>
      </c>
      <c r="E6467" t="str">
        <f>"1-130-32"</f>
        <v>1-130-32</v>
      </c>
      <c r="F6467" t="s">
        <v>65</v>
      </c>
      <c r="G6467" t="s">
        <v>66</v>
      </c>
      <c r="H6467" t="s">
        <v>67</v>
      </c>
      <c r="S6467">
        <v>1</v>
      </c>
      <c r="T6467">
        <v>0</v>
      </c>
      <c r="U6467">
        <v>0</v>
      </c>
      <c r="V6467">
        <v>0</v>
      </c>
      <c r="W6467">
        <v>1</v>
      </c>
      <c r="X6467">
        <v>0</v>
      </c>
      <c r="Y6467">
        <v>1</v>
      </c>
      <c r="Z6467">
        <v>0</v>
      </c>
      <c r="AA6467">
        <v>1</v>
      </c>
      <c r="AB6467">
        <v>0</v>
      </c>
      <c r="AC6467">
        <v>0</v>
      </c>
      <c r="AD6467">
        <v>1</v>
      </c>
      <c r="AE6467">
        <v>1</v>
      </c>
      <c r="AF6467">
        <v>1</v>
      </c>
      <c r="AG6467">
        <v>1</v>
      </c>
      <c r="AH6467">
        <v>1</v>
      </c>
      <c r="AI6467">
        <v>1</v>
      </c>
      <c r="AJ6467">
        <v>1</v>
      </c>
      <c r="AK6467">
        <v>1</v>
      </c>
      <c r="AL6467">
        <v>1</v>
      </c>
      <c r="AM6467">
        <v>1</v>
      </c>
    </row>
    <row r="6468" spans="1:39" x14ac:dyDescent="0.2">
      <c r="A6468" t="str">
        <f>"6464"</f>
        <v>6464</v>
      </c>
      <c r="B6468" t="str">
        <f t="shared" si="359"/>
        <v>1</v>
      </c>
      <c r="C6468" t="str">
        <f t="shared" si="360"/>
        <v>130</v>
      </c>
      <c r="D6468" t="str">
        <f>"17"</f>
        <v>17</v>
      </c>
      <c r="E6468" t="str">
        <f>"1-130-17"</f>
        <v>1-130-17</v>
      </c>
      <c r="F6468" t="s">
        <v>65</v>
      </c>
      <c r="G6468" t="s">
        <v>66</v>
      </c>
      <c r="H6468" t="s">
        <v>67</v>
      </c>
      <c r="S6468">
        <v>1</v>
      </c>
      <c r="T6468">
        <v>0</v>
      </c>
      <c r="U6468">
        <v>0</v>
      </c>
      <c r="V6468">
        <v>0</v>
      </c>
      <c r="W6468">
        <v>1</v>
      </c>
      <c r="X6468">
        <v>0</v>
      </c>
      <c r="Y6468">
        <v>0</v>
      </c>
      <c r="Z6468">
        <v>1</v>
      </c>
      <c r="AA6468">
        <v>0</v>
      </c>
      <c r="AB6468">
        <v>1</v>
      </c>
      <c r="AC6468">
        <v>0</v>
      </c>
      <c r="AD6468">
        <v>1</v>
      </c>
      <c r="AE6468">
        <v>1</v>
      </c>
      <c r="AF6468">
        <v>1</v>
      </c>
      <c r="AG6468">
        <v>1</v>
      </c>
      <c r="AH6468">
        <v>1</v>
      </c>
      <c r="AI6468">
        <v>1</v>
      </c>
      <c r="AJ6468">
        <v>1</v>
      </c>
      <c r="AK6468">
        <v>1</v>
      </c>
      <c r="AL6468">
        <v>1</v>
      </c>
      <c r="AM6468">
        <v>1</v>
      </c>
    </row>
    <row r="6469" spans="1:39" x14ac:dyDescent="0.2">
      <c r="A6469" t="str">
        <f>"6465"</f>
        <v>6465</v>
      </c>
      <c r="B6469" t="str">
        <f t="shared" si="359"/>
        <v>1</v>
      </c>
      <c r="C6469" t="str">
        <f t="shared" si="360"/>
        <v>130</v>
      </c>
      <c r="D6469" t="str">
        <f>"1"</f>
        <v>1</v>
      </c>
      <c r="E6469" t="str">
        <f>"1-130-1"</f>
        <v>1-130-1</v>
      </c>
      <c r="F6469" t="s">
        <v>65</v>
      </c>
      <c r="G6469" t="s">
        <v>66</v>
      </c>
      <c r="H6469" t="s">
        <v>67</v>
      </c>
      <c r="S6469">
        <v>1</v>
      </c>
      <c r="T6469">
        <v>0</v>
      </c>
      <c r="U6469">
        <v>0</v>
      </c>
      <c r="V6469">
        <v>0</v>
      </c>
      <c r="W6469">
        <v>0</v>
      </c>
      <c r="X6469">
        <v>1</v>
      </c>
      <c r="Y6469">
        <v>1</v>
      </c>
      <c r="Z6469">
        <v>0</v>
      </c>
      <c r="AA6469">
        <v>0</v>
      </c>
      <c r="AB6469">
        <v>1</v>
      </c>
      <c r="AC6469">
        <v>0</v>
      </c>
      <c r="AD6469">
        <v>0</v>
      </c>
      <c r="AE6469">
        <v>0</v>
      </c>
      <c r="AF6469">
        <v>0</v>
      </c>
      <c r="AG6469">
        <v>1</v>
      </c>
      <c r="AH6469">
        <v>1</v>
      </c>
      <c r="AI6469">
        <v>1</v>
      </c>
      <c r="AJ6469">
        <v>1</v>
      </c>
      <c r="AK6469">
        <v>1</v>
      </c>
      <c r="AL6469">
        <v>1</v>
      </c>
      <c r="AM6469">
        <v>0</v>
      </c>
    </row>
    <row r="6470" spans="1:39" x14ac:dyDescent="0.2">
      <c r="A6470" t="str">
        <f>"6466"</f>
        <v>6466</v>
      </c>
      <c r="B6470" t="str">
        <f t="shared" si="359"/>
        <v>1</v>
      </c>
      <c r="C6470" t="str">
        <f t="shared" si="360"/>
        <v>130</v>
      </c>
      <c r="D6470" t="str">
        <f>"40"</f>
        <v>40</v>
      </c>
      <c r="E6470" t="str">
        <f>"1-130-40"</f>
        <v>1-130-40</v>
      </c>
      <c r="F6470" t="s">
        <v>65</v>
      </c>
      <c r="G6470" t="s">
        <v>66</v>
      </c>
      <c r="H6470" t="s">
        <v>67</v>
      </c>
      <c r="S6470">
        <v>0</v>
      </c>
      <c r="T6470">
        <v>1</v>
      </c>
      <c r="U6470">
        <v>0</v>
      </c>
      <c r="V6470">
        <v>0</v>
      </c>
      <c r="W6470">
        <v>0</v>
      </c>
      <c r="X6470">
        <v>1</v>
      </c>
      <c r="Y6470">
        <v>0</v>
      </c>
      <c r="Z6470">
        <v>1</v>
      </c>
      <c r="AA6470">
        <v>0</v>
      </c>
      <c r="AB6470">
        <v>0</v>
      </c>
      <c r="AC6470">
        <v>1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</row>
    <row r="6471" spans="1:39" x14ac:dyDescent="0.2">
      <c r="A6471" t="str">
        <f>"6467"</f>
        <v>6467</v>
      </c>
      <c r="B6471" t="str">
        <f t="shared" si="359"/>
        <v>1</v>
      </c>
      <c r="C6471" t="str">
        <f t="shared" si="360"/>
        <v>130</v>
      </c>
      <c r="D6471" t="str">
        <f>"39"</f>
        <v>39</v>
      </c>
      <c r="E6471" t="str">
        <f>"1-130-39"</f>
        <v>1-130-39</v>
      </c>
      <c r="F6471" t="s">
        <v>65</v>
      </c>
      <c r="G6471" t="s">
        <v>66</v>
      </c>
      <c r="H6471" t="s">
        <v>67</v>
      </c>
      <c r="S6471">
        <v>1</v>
      </c>
      <c r="T6471">
        <v>0</v>
      </c>
      <c r="U6471">
        <v>0</v>
      </c>
      <c r="V6471">
        <v>0</v>
      </c>
      <c r="W6471">
        <v>1</v>
      </c>
      <c r="X6471">
        <v>0</v>
      </c>
      <c r="Y6471">
        <v>1</v>
      </c>
      <c r="Z6471">
        <v>0</v>
      </c>
      <c r="AA6471">
        <v>1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</row>
    <row r="6472" spans="1:39" x14ac:dyDescent="0.2">
      <c r="A6472" t="str">
        <f>"6468"</f>
        <v>6468</v>
      </c>
      <c r="B6472" t="str">
        <f t="shared" si="359"/>
        <v>1</v>
      </c>
      <c r="C6472" t="str">
        <f t="shared" si="360"/>
        <v>130</v>
      </c>
      <c r="D6472" t="str">
        <f>"31"</f>
        <v>31</v>
      </c>
      <c r="E6472" t="str">
        <f>"1-130-31"</f>
        <v>1-130-31</v>
      </c>
      <c r="F6472" t="s">
        <v>65</v>
      </c>
      <c r="G6472" t="s">
        <v>66</v>
      </c>
      <c r="H6472" t="s">
        <v>67</v>
      </c>
      <c r="S6472">
        <v>0</v>
      </c>
      <c r="T6472">
        <v>1</v>
      </c>
      <c r="U6472">
        <v>0</v>
      </c>
      <c r="V6472">
        <v>0</v>
      </c>
      <c r="W6472">
        <v>0</v>
      </c>
      <c r="X6472">
        <v>1</v>
      </c>
      <c r="Y6472">
        <v>1</v>
      </c>
      <c r="Z6472">
        <v>0</v>
      </c>
      <c r="AA6472">
        <v>0</v>
      </c>
      <c r="AB6472">
        <v>1</v>
      </c>
      <c r="AC6472">
        <v>0</v>
      </c>
      <c r="AD6472">
        <v>1</v>
      </c>
      <c r="AE6472">
        <v>1</v>
      </c>
      <c r="AF6472">
        <v>1</v>
      </c>
      <c r="AG6472">
        <v>1</v>
      </c>
      <c r="AH6472">
        <v>1</v>
      </c>
      <c r="AI6472">
        <v>1</v>
      </c>
      <c r="AJ6472">
        <v>1</v>
      </c>
      <c r="AK6472">
        <v>1</v>
      </c>
      <c r="AL6472">
        <v>1</v>
      </c>
      <c r="AM6472">
        <v>1</v>
      </c>
    </row>
    <row r="6473" spans="1:39" x14ac:dyDescent="0.2">
      <c r="A6473" t="str">
        <f>"6469"</f>
        <v>6469</v>
      </c>
      <c r="B6473" t="str">
        <f t="shared" si="359"/>
        <v>1</v>
      </c>
      <c r="C6473" t="str">
        <f t="shared" si="360"/>
        <v>130</v>
      </c>
      <c r="D6473" t="str">
        <f>"18"</f>
        <v>18</v>
      </c>
      <c r="E6473" t="str">
        <f>"1-130-18"</f>
        <v>1-130-18</v>
      </c>
      <c r="F6473" t="s">
        <v>65</v>
      </c>
      <c r="G6473" t="s">
        <v>66</v>
      </c>
      <c r="H6473" t="s">
        <v>67</v>
      </c>
      <c r="S6473">
        <v>1</v>
      </c>
      <c r="T6473">
        <v>0</v>
      </c>
      <c r="U6473">
        <v>0</v>
      </c>
      <c r="V6473">
        <v>0</v>
      </c>
      <c r="W6473">
        <v>0</v>
      </c>
      <c r="X6473">
        <v>1</v>
      </c>
      <c r="Y6473">
        <v>1</v>
      </c>
      <c r="Z6473">
        <v>0</v>
      </c>
      <c r="AA6473">
        <v>0</v>
      </c>
      <c r="AB6473">
        <v>0</v>
      </c>
      <c r="AC6473">
        <v>1</v>
      </c>
      <c r="AD6473">
        <v>1</v>
      </c>
      <c r="AE6473">
        <v>1</v>
      </c>
      <c r="AF6473">
        <v>1</v>
      </c>
      <c r="AG6473">
        <v>1</v>
      </c>
      <c r="AH6473">
        <v>1</v>
      </c>
      <c r="AI6473">
        <v>1</v>
      </c>
      <c r="AJ6473">
        <v>1</v>
      </c>
      <c r="AK6473">
        <v>1</v>
      </c>
      <c r="AL6473">
        <v>1</v>
      </c>
      <c r="AM6473">
        <v>1</v>
      </c>
    </row>
    <row r="6474" spans="1:39" x14ac:dyDescent="0.2">
      <c r="A6474" t="str">
        <f>"6470"</f>
        <v>6470</v>
      </c>
      <c r="B6474" t="str">
        <f t="shared" si="359"/>
        <v>1</v>
      </c>
      <c r="C6474" t="str">
        <f t="shared" si="360"/>
        <v>130</v>
      </c>
      <c r="D6474" t="str">
        <f>"12"</f>
        <v>12</v>
      </c>
      <c r="E6474" t="str">
        <f>"1-130-12"</f>
        <v>1-130-12</v>
      </c>
      <c r="F6474" t="s">
        <v>65</v>
      </c>
      <c r="G6474" t="s">
        <v>66</v>
      </c>
      <c r="H6474" t="s">
        <v>67</v>
      </c>
      <c r="S6474">
        <v>0</v>
      </c>
      <c r="T6474">
        <v>1</v>
      </c>
      <c r="U6474">
        <v>0</v>
      </c>
      <c r="V6474">
        <v>0</v>
      </c>
      <c r="W6474">
        <v>1</v>
      </c>
      <c r="X6474">
        <v>0</v>
      </c>
      <c r="Y6474">
        <v>1</v>
      </c>
      <c r="Z6474">
        <v>0</v>
      </c>
      <c r="AA6474">
        <v>1</v>
      </c>
      <c r="AB6474">
        <v>0</v>
      </c>
      <c r="AC6474">
        <v>0</v>
      </c>
      <c r="AD6474">
        <v>1</v>
      </c>
      <c r="AE6474">
        <v>1</v>
      </c>
      <c r="AF6474">
        <v>1</v>
      </c>
      <c r="AG6474">
        <v>1</v>
      </c>
      <c r="AH6474">
        <v>1</v>
      </c>
      <c r="AI6474">
        <v>1</v>
      </c>
      <c r="AJ6474">
        <v>1</v>
      </c>
      <c r="AK6474">
        <v>1</v>
      </c>
      <c r="AL6474">
        <v>1</v>
      </c>
      <c r="AM6474">
        <v>1</v>
      </c>
    </row>
    <row r="6475" spans="1:39" x14ac:dyDescent="0.2">
      <c r="A6475" t="str">
        <f>"6471"</f>
        <v>6471</v>
      </c>
      <c r="B6475" t="str">
        <f t="shared" si="359"/>
        <v>1</v>
      </c>
      <c r="C6475" t="str">
        <f t="shared" si="360"/>
        <v>130</v>
      </c>
      <c r="D6475" t="str">
        <f>"33"</f>
        <v>33</v>
      </c>
      <c r="E6475" t="str">
        <f>"1-130-33"</f>
        <v>1-130-33</v>
      </c>
      <c r="F6475" t="s">
        <v>65</v>
      </c>
      <c r="G6475" t="s">
        <v>66</v>
      </c>
      <c r="H6475" t="s">
        <v>67</v>
      </c>
      <c r="S6475">
        <v>0</v>
      </c>
      <c r="T6475">
        <v>1</v>
      </c>
      <c r="U6475">
        <v>0</v>
      </c>
      <c r="V6475">
        <v>0</v>
      </c>
      <c r="W6475">
        <v>1</v>
      </c>
      <c r="X6475">
        <v>0</v>
      </c>
      <c r="Y6475">
        <v>1</v>
      </c>
      <c r="Z6475">
        <v>0</v>
      </c>
      <c r="AA6475">
        <v>1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</row>
    <row r="6476" spans="1:39" x14ac:dyDescent="0.2">
      <c r="A6476" t="str">
        <f>"6472"</f>
        <v>6472</v>
      </c>
      <c r="B6476" t="str">
        <f t="shared" si="359"/>
        <v>1</v>
      </c>
      <c r="C6476" t="str">
        <f t="shared" si="360"/>
        <v>130</v>
      </c>
      <c r="D6476" t="str">
        <f>"19"</f>
        <v>19</v>
      </c>
      <c r="E6476" t="str">
        <f>"1-130-19"</f>
        <v>1-130-19</v>
      </c>
      <c r="F6476" t="s">
        <v>65</v>
      </c>
      <c r="G6476" t="s">
        <v>66</v>
      </c>
      <c r="H6476" t="s">
        <v>67</v>
      </c>
      <c r="S6476">
        <v>0</v>
      </c>
      <c r="T6476">
        <v>1</v>
      </c>
      <c r="U6476">
        <v>0</v>
      </c>
      <c r="V6476">
        <v>0</v>
      </c>
      <c r="W6476">
        <v>0</v>
      </c>
      <c r="X6476">
        <v>1</v>
      </c>
      <c r="Y6476">
        <v>1</v>
      </c>
      <c r="Z6476">
        <v>0</v>
      </c>
      <c r="AA6476">
        <v>0</v>
      </c>
      <c r="AB6476">
        <v>0</v>
      </c>
      <c r="AC6476">
        <v>1</v>
      </c>
      <c r="AD6476">
        <v>1</v>
      </c>
      <c r="AE6476">
        <v>1</v>
      </c>
      <c r="AF6476">
        <v>1</v>
      </c>
      <c r="AG6476">
        <v>1</v>
      </c>
      <c r="AH6476">
        <v>1</v>
      </c>
      <c r="AI6476">
        <v>1</v>
      </c>
      <c r="AJ6476">
        <v>1</v>
      </c>
      <c r="AK6476">
        <v>1</v>
      </c>
      <c r="AL6476">
        <v>1</v>
      </c>
      <c r="AM6476">
        <v>1</v>
      </c>
    </row>
    <row r="6477" spans="1:39" x14ac:dyDescent="0.2">
      <c r="A6477" t="str">
        <f>"6473"</f>
        <v>6473</v>
      </c>
      <c r="B6477" t="str">
        <f t="shared" si="359"/>
        <v>1</v>
      </c>
      <c r="C6477" t="str">
        <f t="shared" si="360"/>
        <v>130</v>
      </c>
      <c r="D6477" t="str">
        <f>"5"</f>
        <v>5</v>
      </c>
      <c r="E6477" t="str">
        <f>"1-130-5"</f>
        <v>1-130-5</v>
      </c>
      <c r="F6477" t="s">
        <v>65</v>
      </c>
      <c r="G6477" t="s">
        <v>66</v>
      </c>
      <c r="H6477" t="s">
        <v>67</v>
      </c>
      <c r="S6477">
        <v>1</v>
      </c>
      <c r="T6477">
        <v>0</v>
      </c>
      <c r="U6477">
        <v>0</v>
      </c>
      <c r="V6477">
        <v>0</v>
      </c>
      <c r="W6477">
        <v>1</v>
      </c>
      <c r="X6477">
        <v>0</v>
      </c>
      <c r="Y6477">
        <v>1</v>
      </c>
      <c r="Z6477">
        <v>0</v>
      </c>
      <c r="AA6477">
        <v>0</v>
      </c>
      <c r="AB6477">
        <v>0</v>
      </c>
      <c r="AC6477">
        <v>1</v>
      </c>
      <c r="AD6477">
        <v>1</v>
      </c>
      <c r="AE6477">
        <v>1</v>
      </c>
      <c r="AF6477">
        <v>1</v>
      </c>
      <c r="AG6477">
        <v>1</v>
      </c>
      <c r="AH6477">
        <v>1</v>
      </c>
      <c r="AI6477">
        <v>1</v>
      </c>
      <c r="AJ6477">
        <v>1</v>
      </c>
      <c r="AK6477">
        <v>1</v>
      </c>
      <c r="AL6477">
        <v>1</v>
      </c>
      <c r="AM6477">
        <v>1</v>
      </c>
    </row>
    <row r="6478" spans="1:39" x14ac:dyDescent="0.2">
      <c r="A6478" t="str">
        <f>"6474"</f>
        <v>6474</v>
      </c>
      <c r="B6478" t="str">
        <f t="shared" si="359"/>
        <v>1</v>
      </c>
      <c r="C6478" t="str">
        <f t="shared" si="360"/>
        <v>130</v>
      </c>
      <c r="D6478" t="str">
        <f>"49"</f>
        <v>49</v>
      </c>
      <c r="E6478" t="str">
        <f>"1-130-49"</f>
        <v>1-130-49</v>
      </c>
      <c r="F6478" t="s">
        <v>65</v>
      </c>
      <c r="G6478" t="s">
        <v>66</v>
      </c>
      <c r="H6478" t="s">
        <v>67</v>
      </c>
      <c r="S6478">
        <v>1</v>
      </c>
      <c r="T6478">
        <v>0</v>
      </c>
      <c r="U6478">
        <v>0</v>
      </c>
      <c r="V6478">
        <v>0</v>
      </c>
      <c r="W6478">
        <v>1</v>
      </c>
      <c r="X6478">
        <v>0</v>
      </c>
      <c r="Y6478">
        <v>0</v>
      </c>
      <c r="Z6478">
        <v>1</v>
      </c>
      <c r="AA6478">
        <v>1</v>
      </c>
      <c r="AB6478">
        <v>0</v>
      </c>
      <c r="AC6478">
        <v>0</v>
      </c>
      <c r="AD6478">
        <v>1</v>
      </c>
      <c r="AE6478">
        <v>1</v>
      </c>
      <c r="AF6478">
        <v>1</v>
      </c>
      <c r="AG6478">
        <v>1</v>
      </c>
      <c r="AH6478">
        <v>1</v>
      </c>
      <c r="AI6478">
        <v>1</v>
      </c>
      <c r="AJ6478">
        <v>1</v>
      </c>
      <c r="AK6478">
        <v>1</v>
      </c>
      <c r="AL6478">
        <v>1</v>
      </c>
      <c r="AM6478">
        <v>1</v>
      </c>
    </row>
    <row r="6479" spans="1:39" x14ac:dyDescent="0.2">
      <c r="A6479" t="str">
        <f>"6475"</f>
        <v>6475</v>
      </c>
      <c r="B6479" t="str">
        <f t="shared" si="359"/>
        <v>1</v>
      </c>
      <c r="C6479" t="str">
        <f t="shared" si="360"/>
        <v>130</v>
      </c>
      <c r="D6479" t="str">
        <f>"34"</f>
        <v>34</v>
      </c>
      <c r="E6479" t="str">
        <f>"1-130-34"</f>
        <v>1-130-34</v>
      </c>
      <c r="F6479" t="s">
        <v>65</v>
      </c>
      <c r="G6479" t="s">
        <v>66</v>
      </c>
      <c r="H6479" t="s">
        <v>67</v>
      </c>
      <c r="S6479">
        <v>0</v>
      </c>
      <c r="T6479">
        <v>1</v>
      </c>
      <c r="U6479">
        <v>0</v>
      </c>
      <c r="V6479">
        <v>0</v>
      </c>
      <c r="W6479">
        <v>1</v>
      </c>
      <c r="X6479">
        <v>0</v>
      </c>
      <c r="Y6479">
        <v>1</v>
      </c>
      <c r="Z6479">
        <v>0</v>
      </c>
      <c r="AA6479">
        <v>0</v>
      </c>
      <c r="AB6479">
        <v>1</v>
      </c>
      <c r="AC6479">
        <v>0</v>
      </c>
      <c r="AD6479">
        <v>1</v>
      </c>
      <c r="AE6479">
        <v>1</v>
      </c>
      <c r="AF6479">
        <v>1</v>
      </c>
      <c r="AG6479">
        <v>1</v>
      </c>
      <c r="AH6479">
        <v>1</v>
      </c>
      <c r="AI6479">
        <v>1</v>
      </c>
      <c r="AJ6479">
        <v>1</v>
      </c>
      <c r="AK6479">
        <v>1</v>
      </c>
      <c r="AL6479">
        <v>1</v>
      </c>
      <c r="AM6479">
        <v>1</v>
      </c>
    </row>
    <row r="6480" spans="1:39" x14ac:dyDescent="0.2">
      <c r="A6480" t="str">
        <f>"6476"</f>
        <v>6476</v>
      </c>
      <c r="B6480" t="str">
        <f t="shared" si="359"/>
        <v>1</v>
      </c>
      <c r="C6480" t="str">
        <f t="shared" si="360"/>
        <v>130</v>
      </c>
      <c r="D6480" t="str">
        <f>"20"</f>
        <v>20</v>
      </c>
      <c r="E6480" t="str">
        <f>"1-130-20"</f>
        <v>1-130-20</v>
      </c>
      <c r="F6480" t="s">
        <v>65</v>
      </c>
      <c r="G6480" t="s">
        <v>66</v>
      </c>
      <c r="H6480" t="s">
        <v>67</v>
      </c>
      <c r="S6480">
        <v>1</v>
      </c>
      <c r="T6480">
        <v>0</v>
      </c>
      <c r="U6480">
        <v>0</v>
      </c>
      <c r="V6480">
        <v>0</v>
      </c>
      <c r="W6480">
        <v>0</v>
      </c>
      <c r="X6480">
        <v>1</v>
      </c>
      <c r="Y6480">
        <v>1</v>
      </c>
      <c r="Z6480">
        <v>0</v>
      </c>
      <c r="AA6480">
        <v>1</v>
      </c>
      <c r="AB6480">
        <v>0</v>
      </c>
      <c r="AC6480">
        <v>0</v>
      </c>
      <c r="AD6480">
        <v>1</v>
      </c>
      <c r="AE6480">
        <v>1</v>
      </c>
      <c r="AF6480">
        <v>1</v>
      </c>
      <c r="AG6480">
        <v>1</v>
      </c>
      <c r="AH6480">
        <v>1</v>
      </c>
      <c r="AI6480">
        <v>1</v>
      </c>
      <c r="AJ6480">
        <v>1</v>
      </c>
      <c r="AK6480">
        <v>1</v>
      </c>
      <c r="AL6480">
        <v>1</v>
      </c>
      <c r="AM6480">
        <v>1</v>
      </c>
    </row>
    <row r="6481" spans="1:39" x14ac:dyDescent="0.2">
      <c r="A6481" t="str">
        <f>"6477"</f>
        <v>6477</v>
      </c>
      <c r="B6481" t="str">
        <f t="shared" si="359"/>
        <v>1</v>
      </c>
      <c r="C6481" t="str">
        <f t="shared" si="360"/>
        <v>130</v>
      </c>
      <c r="D6481" t="str">
        <f>"13"</f>
        <v>13</v>
      </c>
      <c r="E6481" t="str">
        <f>"1-130-13"</f>
        <v>1-130-13</v>
      </c>
      <c r="F6481" t="s">
        <v>65</v>
      </c>
      <c r="G6481" t="s">
        <v>66</v>
      </c>
      <c r="H6481" t="s">
        <v>67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1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1</v>
      </c>
      <c r="AM6481">
        <v>0</v>
      </c>
    </row>
    <row r="6482" spans="1:39" x14ac:dyDescent="0.2">
      <c r="A6482" t="str">
        <f>"6478"</f>
        <v>6478</v>
      </c>
      <c r="B6482" t="str">
        <f t="shared" si="359"/>
        <v>1</v>
      </c>
      <c r="C6482" t="str">
        <f t="shared" si="360"/>
        <v>130</v>
      </c>
      <c r="D6482" t="str">
        <f>"42"</f>
        <v>42</v>
      </c>
      <c r="E6482" t="str">
        <f>"1-130-42"</f>
        <v>1-130-42</v>
      </c>
      <c r="F6482" t="s">
        <v>65</v>
      </c>
      <c r="G6482" t="s">
        <v>66</v>
      </c>
      <c r="H6482" t="s">
        <v>67</v>
      </c>
      <c r="S6482">
        <v>1</v>
      </c>
      <c r="T6482">
        <v>0</v>
      </c>
      <c r="U6482">
        <v>0</v>
      </c>
      <c r="V6482">
        <v>0</v>
      </c>
      <c r="W6482">
        <v>0</v>
      </c>
      <c r="X6482">
        <v>1</v>
      </c>
      <c r="Y6482">
        <v>0</v>
      </c>
      <c r="Z6482">
        <v>1</v>
      </c>
      <c r="AA6482">
        <v>0</v>
      </c>
      <c r="AB6482">
        <v>1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</row>
    <row r="6483" spans="1:39" x14ac:dyDescent="0.2">
      <c r="A6483" t="str">
        <f>"6479"</f>
        <v>6479</v>
      </c>
      <c r="B6483" t="str">
        <f t="shared" si="359"/>
        <v>1</v>
      </c>
      <c r="C6483" t="str">
        <f t="shared" si="360"/>
        <v>130</v>
      </c>
      <c r="D6483" t="str">
        <f>"21"</f>
        <v>21</v>
      </c>
      <c r="E6483" t="str">
        <f>"1-130-21"</f>
        <v>1-130-21</v>
      </c>
      <c r="F6483" t="s">
        <v>65</v>
      </c>
      <c r="G6483" t="s">
        <v>66</v>
      </c>
      <c r="H6483" t="s">
        <v>67</v>
      </c>
      <c r="S6483">
        <v>1</v>
      </c>
      <c r="T6483">
        <v>0</v>
      </c>
      <c r="U6483">
        <v>0</v>
      </c>
      <c r="V6483">
        <v>0</v>
      </c>
      <c r="W6483">
        <v>1</v>
      </c>
      <c r="X6483">
        <v>0</v>
      </c>
      <c r="Y6483">
        <v>1</v>
      </c>
      <c r="Z6483">
        <v>0</v>
      </c>
      <c r="AA6483">
        <v>1</v>
      </c>
      <c r="AB6483">
        <v>0</v>
      </c>
      <c r="AC6483">
        <v>0</v>
      </c>
      <c r="AD6483">
        <v>1</v>
      </c>
      <c r="AE6483">
        <v>1</v>
      </c>
      <c r="AF6483">
        <v>1</v>
      </c>
      <c r="AG6483">
        <v>1</v>
      </c>
      <c r="AH6483">
        <v>1</v>
      </c>
      <c r="AI6483">
        <v>1</v>
      </c>
      <c r="AJ6483">
        <v>1</v>
      </c>
      <c r="AK6483">
        <v>1</v>
      </c>
      <c r="AL6483">
        <v>1</v>
      </c>
      <c r="AM6483">
        <v>1</v>
      </c>
    </row>
    <row r="6484" spans="1:39" x14ac:dyDescent="0.2">
      <c r="A6484" t="str">
        <f>"6480"</f>
        <v>6480</v>
      </c>
      <c r="B6484" t="str">
        <f t="shared" si="359"/>
        <v>1</v>
      </c>
      <c r="C6484" t="str">
        <f t="shared" si="360"/>
        <v>130</v>
      </c>
      <c r="D6484" t="str">
        <f>"10"</f>
        <v>10</v>
      </c>
      <c r="E6484" t="str">
        <f>"1-130-10"</f>
        <v>1-130-10</v>
      </c>
      <c r="F6484" t="s">
        <v>65</v>
      </c>
      <c r="G6484" t="s">
        <v>66</v>
      </c>
      <c r="H6484" t="s">
        <v>67</v>
      </c>
      <c r="S6484">
        <v>1</v>
      </c>
      <c r="T6484">
        <v>0</v>
      </c>
      <c r="U6484">
        <v>0</v>
      </c>
      <c r="V6484">
        <v>0</v>
      </c>
      <c r="W6484">
        <v>1</v>
      </c>
      <c r="X6484">
        <v>0</v>
      </c>
      <c r="Y6484">
        <v>0</v>
      </c>
      <c r="Z6484">
        <v>1</v>
      </c>
      <c r="AA6484">
        <v>1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</row>
    <row r="6485" spans="1:39" x14ac:dyDescent="0.2">
      <c r="A6485" t="str">
        <f>"6481"</f>
        <v>6481</v>
      </c>
      <c r="B6485" t="str">
        <f t="shared" si="359"/>
        <v>1</v>
      </c>
      <c r="C6485" t="str">
        <f t="shared" si="360"/>
        <v>130</v>
      </c>
      <c r="D6485" t="str">
        <f>"41"</f>
        <v>41</v>
      </c>
      <c r="E6485" t="str">
        <f>"1-130-41"</f>
        <v>1-130-41</v>
      </c>
      <c r="F6485" t="s">
        <v>65</v>
      </c>
      <c r="G6485" t="s">
        <v>66</v>
      </c>
      <c r="H6485" t="s">
        <v>67</v>
      </c>
      <c r="S6485">
        <v>1</v>
      </c>
      <c r="T6485">
        <v>0</v>
      </c>
      <c r="U6485">
        <v>0</v>
      </c>
      <c r="V6485">
        <v>0</v>
      </c>
      <c r="W6485">
        <v>1</v>
      </c>
      <c r="X6485">
        <v>0</v>
      </c>
      <c r="Y6485">
        <v>1</v>
      </c>
      <c r="Z6485">
        <v>0</v>
      </c>
      <c r="AA6485">
        <v>1</v>
      </c>
      <c r="AB6485">
        <v>0</v>
      </c>
      <c r="AC6485">
        <v>0</v>
      </c>
      <c r="AD6485">
        <v>1</v>
      </c>
      <c r="AE6485">
        <v>1</v>
      </c>
      <c r="AF6485">
        <v>1</v>
      </c>
      <c r="AG6485">
        <v>1</v>
      </c>
      <c r="AH6485">
        <v>1</v>
      </c>
      <c r="AI6485">
        <v>1</v>
      </c>
      <c r="AJ6485">
        <v>1</v>
      </c>
      <c r="AK6485">
        <v>1</v>
      </c>
      <c r="AL6485">
        <v>1</v>
      </c>
      <c r="AM6485">
        <v>1</v>
      </c>
    </row>
    <row r="6486" spans="1:39" x14ac:dyDescent="0.2">
      <c r="A6486" t="str">
        <f>"6482"</f>
        <v>6482</v>
      </c>
      <c r="B6486" t="str">
        <f t="shared" si="359"/>
        <v>1</v>
      </c>
      <c r="C6486" t="str">
        <f t="shared" si="360"/>
        <v>130</v>
      </c>
      <c r="D6486" t="str">
        <f>"23"</f>
        <v>23</v>
      </c>
      <c r="E6486" t="str">
        <f>"1-130-23"</f>
        <v>1-130-23</v>
      </c>
      <c r="F6486" t="s">
        <v>65</v>
      </c>
      <c r="G6486" t="s">
        <v>66</v>
      </c>
      <c r="H6486" t="s">
        <v>67</v>
      </c>
      <c r="S6486">
        <v>1</v>
      </c>
      <c r="T6486">
        <v>0</v>
      </c>
      <c r="U6486">
        <v>0</v>
      </c>
      <c r="V6486">
        <v>0</v>
      </c>
      <c r="W6486">
        <v>0</v>
      </c>
      <c r="X6486">
        <v>1</v>
      </c>
      <c r="Y6486">
        <v>1</v>
      </c>
      <c r="Z6486">
        <v>0</v>
      </c>
      <c r="AA6486">
        <v>0</v>
      </c>
      <c r="AB6486">
        <v>0</v>
      </c>
      <c r="AC6486">
        <v>1</v>
      </c>
      <c r="AD6486">
        <v>0</v>
      </c>
      <c r="AE6486">
        <v>0</v>
      </c>
      <c r="AF6486">
        <v>0</v>
      </c>
      <c r="AG6486">
        <v>1</v>
      </c>
      <c r="AH6486">
        <v>1</v>
      </c>
      <c r="AI6486">
        <v>1</v>
      </c>
      <c r="AJ6486">
        <v>1</v>
      </c>
      <c r="AK6486">
        <v>1</v>
      </c>
      <c r="AL6486">
        <v>1</v>
      </c>
      <c r="AM6486">
        <v>0</v>
      </c>
    </row>
    <row r="6487" spans="1:39" x14ac:dyDescent="0.2">
      <c r="A6487" t="str">
        <f>"6483"</f>
        <v>6483</v>
      </c>
      <c r="B6487" t="str">
        <f t="shared" si="359"/>
        <v>1</v>
      </c>
      <c r="C6487" t="str">
        <f t="shared" ref="C6487:C6504" si="361">"130"</f>
        <v>130</v>
      </c>
      <c r="D6487" t="str">
        <f>"2"</f>
        <v>2</v>
      </c>
      <c r="E6487" t="str">
        <f>"1-130-2"</f>
        <v>1-130-2</v>
      </c>
      <c r="F6487" t="s">
        <v>65</v>
      </c>
      <c r="G6487" t="s">
        <v>66</v>
      </c>
      <c r="H6487" t="s">
        <v>67</v>
      </c>
      <c r="S6487">
        <v>1</v>
      </c>
      <c r="T6487">
        <v>0</v>
      </c>
      <c r="U6487">
        <v>0</v>
      </c>
      <c r="V6487">
        <v>0</v>
      </c>
      <c r="W6487">
        <v>1</v>
      </c>
      <c r="X6487">
        <v>0</v>
      </c>
      <c r="Y6487">
        <v>1</v>
      </c>
      <c r="Z6487">
        <v>0</v>
      </c>
      <c r="AA6487">
        <v>1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1</v>
      </c>
      <c r="AH6487">
        <v>1</v>
      </c>
      <c r="AI6487">
        <v>0</v>
      </c>
      <c r="AJ6487">
        <v>0</v>
      </c>
      <c r="AK6487">
        <v>0</v>
      </c>
      <c r="AL6487">
        <v>0</v>
      </c>
      <c r="AM6487">
        <v>0</v>
      </c>
    </row>
    <row r="6488" spans="1:39" x14ac:dyDescent="0.2">
      <c r="A6488" t="str">
        <f>"6484"</f>
        <v>6484</v>
      </c>
      <c r="B6488" t="str">
        <f t="shared" si="359"/>
        <v>1</v>
      </c>
      <c r="C6488" t="str">
        <f t="shared" si="361"/>
        <v>130</v>
      </c>
      <c r="D6488" t="str">
        <f>"24"</f>
        <v>24</v>
      </c>
      <c r="E6488" t="str">
        <f>"1-130-24"</f>
        <v>1-130-24</v>
      </c>
      <c r="F6488" t="s">
        <v>65</v>
      </c>
      <c r="G6488" t="s">
        <v>66</v>
      </c>
      <c r="H6488" t="s">
        <v>67</v>
      </c>
      <c r="S6488">
        <v>1</v>
      </c>
      <c r="T6488">
        <v>0</v>
      </c>
      <c r="U6488">
        <v>0</v>
      </c>
      <c r="V6488">
        <v>0</v>
      </c>
      <c r="W6488">
        <v>1</v>
      </c>
      <c r="X6488">
        <v>0</v>
      </c>
      <c r="Y6488">
        <v>1</v>
      </c>
      <c r="Z6488">
        <v>0</v>
      </c>
      <c r="AA6488">
        <v>1</v>
      </c>
      <c r="AB6488">
        <v>0</v>
      </c>
      <c r="AC6488">
        <v>0</v>
      </c>
      <c r="AD6488">
        <v>1</v>
      </c>
      <c r="AE6488">
        <v>1</v>
      </c>
      <c r="AF6488">
        <v>1</v>
      </c>
      <c r="AG6488">
        <v>1</v>
      </c>
      <c r="AH6488">
        <v>1</v>
      </c>
      <c r="AI6488">
        <v>1</v>
      </c>
      <c r="AJ6488">
        <v>1</v>
      </c>
      <c r="AK6488">
        <v>1</v>
      </c>
      <c r="AL6488">
        <v>1</v>
      </c>
      <c r="AM6488">
        <v>1</v>
      </c>
    </row>
    <row r="6489" spans="1:39" x14ac:dyDescent="0.2">
      <c r="A6489" t="str">
        <f>"6485"</f>
        <v>6485</v>
      </c>
      <c r="B6489" t="str">
        <f t="shared" si="359"/>
        <v>1</v>
      </c>
      <c r="C6489" t="str">
        <f t="shared" si="361"/>
        <v>130</v>
      </c>
      <c r="D6489" t="str">
        <f>"11"</f>
        <v>11</v>
      </c>
      <c r="E6489" t="str">
        <f>"1-130-11"</f>
        <v>1-130-11</v>
      </c>
      <c r="F6489" t="s">
        <v>65</v>
      </c>
      <c r="G6489" t="s">
        <v>66</v>
      </c>
      <c r="H6489" t="s">
        <v>67</v>
      </c>
      <c r="S6489">
        <v>0</v>
      </c>
      <c r="T6489">
        <v>1</v>
      </c>
      <c r="U6489">
        <v>0</v>
      </c>
      <c r="V6489">
        <v>0</v>
      </c>
      <c r="W6489">
        <v>0</v>
      </c>
      <c r="X6489">
        <v>1</v>
      </c>
      <c r="Y6489">
        <v>0</v>
      </c>
      <c r="Z6489">
        <v>1</v>
      </c>
      <c r="AA6489">
        <v>1</v>
      </c>
      <c r="AB6489">
        <v>0</v>
      </c>
      <c r="AC6489">
        <v>0</v>
      </c>
      <c r="AD6489">
        <v>1</v>
      </c>
      <c r="AE6489">
        <v>1</v>
      </c>
      <c r="AF6489">
        <v>1</v>
      </c>
      <c r="AG6489">
        <v>1</v>
      </c>
      <c r="AH6489">
        <v>1</v>
      </c>
      <c r="AI6489">
        <v>1</v>
      </c>
      <c r="AJ6489">
        <v>1</v>
      </c>
      <c r="AK6489">
        <v>1</v>
      </c>
      <c r="AL6489">
        <v>1</v>
      </c>
      <c r="AM6489">
        <v>1</v>
      </c>
    </row>
    <row r="6490" spans="1:39" x14ac:dyDescent="0.2">
      <c r="A6490" t="str">
        <f>"6486"</f>
        <v>6486</v>
      </c>
      <c r="B6490" t="str">
        <f t="shared" si="359"/>
        <v>1</v>
      </c>
      <c r="C6490" t="str">
        <f t="shared" si="361"/>
        <v>130</v>
      </c>
      <c r="D6490" t="str">
        <f>"44"</f>
        <v>44</v>
      </c>
      <c r="E6490" t="str">
        <f>"1-130-44"</f>
        <v>1-130-44</v>
      </c>
      <c r="F6490" t="s">
        <v>65</v>
      </c>
      <c r="G6490" t="s">
        <v>66</v>
      </c>
      <c r="H6490" t="s">
        <v>67</v>
      </c>
      <c r="S6490">
        <v>0</v>
      </c>
      <c r="T6490">
        <v>0</v>
      </c>
      <c r="U6490">
        <v>0</v>
      </c>
      <c r="V6490">
        <v>0</v>
      </c>
      <c r="W6490">
        <v>1</v>
      </c>
      <c r="X6490">
        <v>0</v>
      </c>
      <c r="Y6490">
        <v>1</v>
      </c>
      <c r="Z6490">
        <v>0</v>
      </c>
      <c r="AA6490">
        <v>1</v>
      </c>
      <c r="AB6490">
        <v>0</v>
      </c>
      <c r="AC6490">
        <v>0</v>
      </c>
      <c r="AD6490">
        <v>1</v>
      </c>
      <c r="AE6490">
        <v>1</v>
      </c>
      <c r="AF6490">
        <v>1</v>
      </c>
      <c r="AG6490">
        <v>1</v>
      </c>
      <c r="AH6490">
        <v>1</v>
      </c>
      <c r="AI6490">
        <v>1</v>
      </c>
      <c r="AJ6490">
        <v>1</v>
      </c>
      <c r="AK6490">
        <v>1</v>
      </c>
      <c r="AL6490">
        <v>1</v>
      </c>
      <c r="AM6490">
        <v>1</v>
      </c>
    </row>
    <row r="6491" spans="1:39" x14ac:dyDescent="0.2">
      <c r="A6491" t="str">
        <f>"6487"</f>
        <v>6487</v>
      </c>
      <c r="B6491" t="str">
        <f t="shared" si="359"/>
        <v>1</v>
      </c>
      <c r="C6491" t="str">
        <f t="shared" si="361"/>
        <v>130</v>
      </c>
      <c r="D6491" t="str">
        <f>"25"</f>
        <v>25</v>
      </c>
      <c r="E6491" t="str">
        <f>"1-130-25"</f>
        <v>1-130-25</v>
      </c>
      <c r="F6491" t="s">
        <v>65</v>
      </c>
      <c r="G6491" t="s">
        <v>66</v>
      </c>
      <c r="H6491" t="s">
        <v>67</v>
      </c>
      <c r="S6491">
        <v>0</v>
      </c>
      <c r="T6491">
        <v>1</v>
      </c>
      <c r="U6491">
        <v>0</v>
      </c>
      <c r="V6491">
        <v>0</v>
      </c>
      <c r="W6491">
        <v>1</v>
      </c>
      <c r="X6491">
        <v>0</v>
      </c>
      <c r="Y6491">
        <v>0</v>
      </c>
      <c r="Z6491">
        <v>1</v>
      </c>
      <c r="AA6491">
        <v>0</v>
      </c>
      <c r="AB6491">
        <v>0</v>
      </c>
      <c r="AC6491">
        <v>1</v>
      </c>
      <c r="AD6491">
        <v>1</v>
      </c>
      <c r="AE6491">
        <v>1</v>
      </c>
      <c r="AF6491">
        <v>1</v>
      </c>
      <c r="AG6491">
        <v>1</v>
      </c>
      <c r="AH6491">
        <v>0</v>
      </c>
      <c r="AI6491">
        <v>1</v>
      </c>
      <c r="AJ6491">
        <v>1</v>
      </c>
      <c r="AK6491">
        <v>1</v>
      </c>
      <c r="AL6491">
        <v>1</v>
      </c>
      <c r="AM6491">
        <v>1</v>
      </c>
    </row>
    <row r="6492" spans="1:39" x14ac:dyDescent="0.2">
      <c r="A6492" t="str">
        <f>"6488"</f>
        <v>6488</v>
      </c>
      <c r="B6492" t="str">
        <f t="shared" si="359"/>
        <v>1</v>
      </c>
      <c r="C6492" t="str">
        <f t="shared" si="361"/>
        <v>130</v>
      </c>
      <c r="D6492" t="str">
        <f>"9"</f>
        <v>9</v>
      </c>
      <c r="E6492" t="str">
        <f>"1-130-9"</f>
        <v>1-130-9</v>
      </c>
      <c r="F6492" t="s">
        <v>65</v>
      </c>
      <c r="G6492" t="s">
        <v>66</v>
      </c>
      <c r="H6492" t="s">
        <v>67</v>
      </c>
      <c r="S6492">
        <v>0</v>
      </c>
      <c r="T6492">
        <v>1</v>
      </c>
      <c r="U6492">
        <v>0</v>
      </c>
      <c r="V6492">
        <v>0</v>
      </c>
      <c r="W6492">
        <v>0</v>
      </c>
      <c r="X6492">
        <v>1</v>
      </c>
      <c r="Y6492">
        <v>0</v>
      </c>
      <c r="Z6492">
        <v>1</v>
      </c>
      <c r="AA6492">
        <v>0</v>
      </c>
      <c r="AB6492">
        <v>0</v>
      </c>
      <c r="AC6492">
        <v>1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</row>
    <row r="6493" spans="1:39" x14ac:dyDescent="0.2">
      <c r="A6493" t="str">
        <f>"6489"</f>
        <v>6489</v>
      </c>
      <c r="B6493" t="str">
        <f t="shared" si="359"/>
        <v>1</v>
      </c>
      <c r="C6493" t="str">
        <f t="shared" si="361"/>
        <v>130</v>
      </c>
      <c r="D6493" t="str">
        <f>"43"</f>
        <v>43</v>
      </c>
      <c r="E6493" t="str">
        <f>"1-130-43"</f>
        <v>1-130-43</v>
      </c>
      <c r="F6493" t="s">
        <v>65</v>
      </c>
      <c r="G6493" t="s">
        <v>66</v>
      </c>
      <c r="H6493" t="s">
        <v>67</v>
      </c>
      <c r="S6493">
        <v>1</v>
      </c>
      <c r="T6493">
        <v>0</v>
      </c>
      <c r="U6493">
        <v>0</v>
      </c>
      <c r="V6493">
        <v>0</v>
      </c>
      <c r="W6493">
        <v>1</v>
      </c>
      <c r="X6493">
        <v>0</v>
      </c>
      <c r="Y6493">
        <v>1</v>
      </c>
      <c r="Z6493">
        <v>0</v>
      </c>
      <c r="AA6493">
        <v>0</v>
      </c>
      <c r="AB6493">
        <v>1</v>
      </c>
      <c r="AC6493">
        <v>0</v>
      </c>
      <c r="AD6493">
        <v>1</v>
      </c>
      <c r="AE6493">
        <v>1</v>
      </c>
      <c r="AF6493">
        <v>1</v>
      </c>
      <c r="AG6493">
        <v>1</v>
      </c>
      <c r="AH6493">
        <v>1</v>
      </c>
      <c r="AI6493">
        <v>1</v>
      </c>
      <c r="AJ6493">
        <v>1</v>
      </c>
      <c r="AK6493">
        <v>1</v>
      </c>
      <c r="AL6493">
        <v>1</v>
      </c>
      <c r="AM6493">
        <v>1</v>
      </c>
    </row>
    <row r="6494" spans="1:39" x14ac:dyDescent="0.2">
      <c r="A6494" t="str">
        <f>"6490"</f>
        <v>6490</v>
      </c>
      <c r="B6494" t="str">
        <f t="shared" si="359"/>
        <v>1</v>
      </c>
      <c r="C6494" t="str">
        <f t="shared" si="361"/>
        <v>130</v>
      </c>
      <c r="D6494" t="str">
        <f>"6"</f>
        <v>6</v>
      </c>
      <c r="E6494" t="str">
        <f>"1-130-6"</f>
        <v>1-130-6</v>
      </c>
      <c r="F6494" t="s">
        <v>65</v>
      </c>
      <c r="G6494" t="s">
        <v>66</v>
      </c>
      <c r="H6494" t="s">
        <v>67</v>
      </c>
      <c r="S6494">
        <v>0</v>
      </c>
      <c r="T6494">
        <v>1</v>
      </c>
      <c r="U6494">
        <v>0</v>
      </c>
      <c r="V6494">
        <v>0</v>
      </c>
      <c r="W6494">
        <v>1</v>
      </c>
      <c r="X6494">
        <v>0</v>
      </c>
      <c r="Y6494">
        <v>1</v>
      </c>
      <c r="Z6494">
        <v>0</v>
      </c>
      <c r="AA6494">
        <v>0</v>
      </c>
      <c r="AB6494">
        <v>1</v>
      </c>
      <c r="AC6494">
        <v>0</v>
      </c>
      <c r="AD6494">
        <v>1</v>
      </c>
      <c r="AE6494">
        <v>1</v>
      </c>
      <c r="AF6494">
        <v>1</v>
      </c>
      <c r="AG6494">
        <v>1</v>
      </c>
      <c r="AH6494">
        <v>1</v>
      </c>
      <c r="AI6494">
        <v>1</v>
      </c>
      <c r="AJ6494">
        <v>1</v>
      </c>
      <c r="AK6494">
        <v>1</v>
      </c>
      <c r="AL6494">
        <v>1</v>
      </c>
      <c r="AM6494">
        <v>1</v>
      </c>
    </row>
    <row r="6495" spans="1:39" x14ac:dyDescent="0.2">
      <c r="A6495" t="str">
        <f>"6491"</f>
        <v>6491</v>
      </c>
      <c r="B6495" t="str">
        <f t="shared" si="359"/>
        <v>1</v>
      </c>
      <c r="C6495" t="str">
        <f t="shared" si="361"/>
        <v>130</v>
      </c>
      <c r="D6495" t="str">
        <f>"28"</f>
        <v>28</v>
      </c>
      <c r="E6495" t="str">
        <f>"1-130-28"</f>
        <v>1-130-28</v>
      </c>
      <c r="F6495" t="s">
        <v>65</v>
      </c>
      <c r="G6495" t="s">
        <v>66</v>
      </c>
      <c r="H6495" t="s">
        <v>67</v>
      </c>
      <c r="S6495">
        <v>0</v>
      </c>
      <c r="T6495">
        <v>1</v>
      </c>
      <c r="U6495">
        <v>0</v>
      </c>
      <c r="V6495">
        <v>0</v>
      </c>
      <c r="W6495">
        <v>0</v>
      </c>
      <c r="X6495">
        <v>1</v>
      </c>
      <c r="Y6495">
        <v>0</v>
      </c>
      <c r="Z6495">
        <v>1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</row>
    <row r="6496" spans="1:39" x14ac:dyDescent="0.2">
      <c r="A6496" t="str">
        <f>"6492"</f>
        <v>6492</v>
      </c>
      <c r="B6496" t="str">
        <f t="shared" si="359"/>
        <v>1</v>
      </c>
      <c r="C6496" t="str">
        <f t="shared" si="361"/>
        <v>130</v>
      </c>
      <c r="D6496" t="str">
        <f>"7"</f>
        <v>7</v>
      </c>
      <c r="E6496" t="str">
        <f>"1-130-7"</f>
        <v>1-130-7</v>
      </c>
      <c r="F6496" t="s">
        <v>65</v>
      </c>
      <c r="G6496" t="s">
        <v>66</v>
      </c>
      <c r="H6496" t="s">
        <v>67</v>
      </c>
      <c r="S6496">
        <v>1</v>
      </c>
      <c r="T6496">
        <v>0</v>
      </c>
      <c r="U6496">
        <v>0</v>
      </c>
      <c r="V6496">
        <v>0</v>
      </c>
      <c r="W6496">
        <v>1</v>
      </c>
      <c r="X6496">
        <v>0</v>
      </c>
      <c r="Y6496">
        <v>1</v>
      </c>
      <c r="Z6496">
        <v>0</v>
      </c>
      <c r="AA6496">
        <v>1</v>
      </c>
      <c r="AB6496">
        <v>0</v>
      </c>
      <c r="AC6496">
        <v>0</v>
      </c>
      <c r="AD6496">
        <v>1</v>
      </c>
      <c r="AE6496">
        <v>1</v>
      </c>
      <c r="AF6496">
        <v>1</v>
      </c>
      <c r="AG6496">
        <v>1</v>
      </c>
      <c r="AH6496">
        <v>1</v>
      </c>
      <c r="AI6496">
        <v>1</v>
      </c>
      <c r="AJ6496">
        <v>1</v>
      </c>
      <c r="AK6496">
        <v>1</v>
      </c>
      <c r="AL6496">
        <v>1</v>
      </c>
      <c r="AM6496">
        <v>1</v>
      </c>
    </row>
    <row r="6497" spans="1:39" x14ac:dyDescent="0.2">
      <c r="A6497" t="str">
        <f>"6493"</f>
        <v>6493</v>
      </c>
      <c r="B6497" t="str">
        <f t="shared" si="359"/>
        <v>1</v>
      </c>
      <c r="C6497" t="str">
        <f t="shared" si="361"/>
        <v>130</v>
      </c>
      <c r="D6497" t="str">
        <f>"29"</f>
        <v>29</v>
      </c>
      <c r="E6497" t="str">
        <f>"1-130-29"</f>
        <v>1-130-29</v>
      </c>
      <c r="F6497" t="s">
        <v>65</v>
      </c>
      <c r="G6497" t="s">
        <v>66</v>
      </c>
      <c r="H6497" t="s">
        <v>67</v>
      </c>
      <c r="S6497">
        <v>0</v>
      </c>
      <c r="T6497">
        <v>0</v>
      </c>
      <c r="U6497">
        <v>0</v>
      </c>
      <c r="V6497">
        <v>0</v>
      </c>
      <c r="W6497">
        <v>1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1</v>
      </c>
      <c r="AJ6497">
        <v>1</v>
      </c>
      <c r="AK6497">
        <v>1</v>
      </c>
      <c r="AL6497">
        <v>1</v>
      </c>
      <c r="AM6497">
        <v>0</v>
      </c>
    </row>
    <row r="6498" spans="1:39" x14ac:dyDescent="0.2">
      <c r="A6498" t="str">
        <f>"6494"</f>
        <v>6494</v>
      </c>
      <c r="B6498" t="str">
        <f t="shared" si="359"/>
        <v>1</v>
      </c>
      <c r="C6498" t="str">
        <f t="shared" si="361"/>
        <v>130</v>
      </c>
      <c r="D6498" t="str">
        <f>"14"</f>
        <v>14</v>
      </c>
      <c r="E6498" t="str">
        <f>"1-130-14"</f>
        <v>1-130-14</v>
      </c>
      <c r="F6498" t="s">
        <v>65</v>
      </c>
      <c r="G6498" t="s">
        <v>66</v>
      </c>
      <c r="H6498" t="s">
        <v>67</v>
      </c>
      <c r="S6498">
        <v>1</v>
      </c>
      <c r="T6498">
        <v>0</v>
      </c>
      <c r="U6498">
        <v>0</v>
      </c>
      <c r="V6498">
        <v>0</v>
      </c>
      <c r="W6498">
        <v>1</v>
      </c>
      <c r="X6498">
        <v>0</v>
      </c>
      <c r="Y6498">
        <v>0</v>
      </c>
      <c r="Z6498">
        <v>1</v>
      </c>
      <c r="AA6498">
        <v>0</v>
      </c>
      <c r="AB6498">
        <v>0</v>
      </c>
      <c r="AC6498">
        <v>1</v>
      </c>
      <c r="AD6498">
        <v>1</v>
      </c>
      <c r="AE6498">
        <v>1</v>
      </c>
      <c r="AF6498">
        <v>1</v>
      </c>
      <c r="AG6498">
        <v>1</v>
      </c>
      <c r="AH6498">
        <v>1</v>
      </c>
      <c r="AI6498">
        <v>1</v>
      </c>
      <c r="AJ6498">
        <v>1</v>
      </c>
      <c r="AK6498">
        <v>1</v>
      </c>
      <c r="AL6498">
        <v>1</v>
      </c>
      <c r="AM6498">
        <v>0</v>
      </c>
    </row>
    <row r="6499" spans="1:39" x14ac:dyDescent="0.2">
      <c r="A6499" t="str">
        <f>"6495"</f>
        <v>6495</v>
      </c>
      <c r="B6499" t="str">
        <f t="shared" si="359"/>
        <v>1</v>
      </c>
      <c r="C6499" t="str">
        <f t="shared" si="361"/>
        <v>130</v>
      </c>
      <c r="D6499" t="str">
        <f>"45"</f>
        <v>45</v>
      </c>
      <c r="E6499" t="str">
        <f>"1-130-45"</f>
        <v>1-130-45</v>
      </c>
      <c r="F6499" t="s">
        <v>65</v>
      </c>
      <c r="G6499" t="s">
        <v>66</v>
      </c>
      <c r="H6499" t="s">
        <v>67</v>
      </c>
      <c r="S6499">
        <v>1</v>
      </c>
      <c r="T6499">
        <v>0</v>
      </c>
      <c r="U6499">
        <v>0</v>
      </c>
      <c r="V6499">
        <v>0</v>
      </c>
      <c r="W6499">
        <v>1</v>
      </c>
      <c r="X6499">
        <v>0</v>
      </c>
      <c r="Y6499">
        <v>1</v>
      </c>
      <c r="Z6499">
        <v>0</v>
      </c>
      <c r="AA6499">
        <v>0</v>
      </c>
      <c r="AB6499">
        <v>0</v>
      </c>
      <c r="AC6499">
        <v>1</v>
      </c>
      <c r="AD6499">
        <v>1</v>
      </c>
      <c r="AE6499">
        <v>1</v>
      </c>
      <c r="AF6499">
        <v>0</v>
      </c>
      <c r="AG6499">
        <v>1</v>
      </c>
      <c r="AH6499">
        <v>1</v>
      </c>
      <c r="AI6499">
        <v>1</v>
      </c>
      <c r="AJ6499">
        <v>1</v>
      </c>
      <c r="AK6499">
        <v>1</v>
      </c>
      <c r="AL6499">
        <v>1</v>
      </c>
      <c r="AM6499">
        <v>1</v>
      </c>
    </row>
    <row r="6500" spans="1:39" x14ac:dyDescent="0.2">
      <c r="A6500" t="str">
        <f>"6496"</f>
        <v>6496</v>
      </c>
      <c r="B6500" t="str">
        <f t="shared" si="359"/>
        <v>1</v>
      </c>
      <c r="C6500" t="str">
        <f t="shared" si="361"/>
        <v>130</v>
      </c>
      <c r="D6500" t="str">
        <f>"30"</f>
        <v>30</v>
      </c>
      <c r="E6500" t="str">
        <f>"1-130-30"</f>
        <v>1-130-30</v>
      </c>
      <c r="F6500" t="s">
        <v>65</v>
      </c>
      <c r="G6500" t="s">
        <v>66</v>
      </c>
      <c r="H6500" t="s">
        <v>67</v>
      </c>
      <c r="S6500">
        <v>1</v>
      </c>
      <c r="T6500">
        <v>0</v>
      </c>
      <c r="U6500">
        <v>0</v>
      </c>
      <c r="V6500">
        <v>0</v>
      </c>
      <c r="W6500">
        <v>1</v>
      </c>
      <c r="X6500">
        <v>0</v>
      </c>
      <c r="Y6500">
        <v>1</v>
      </c>
      <c r="Z6500">
        <v>0</v>
      </c>
      <c r="AA6500">
        <v>1</v>
      </c>
      <c r="AB6500">
        <v>0</v>
      </c>
      <c r="AC6500">
        <v>0</v>
      </c>
      <c r="AD6500">
        <v>1</v>
      </c>
      <c r="AE6500">
        <v>1</v>
      </c>
      <c r="AF6500">
        <v>1</v>
      </c>
      <c r="AG6500">
        <v>1</v>
      </c>
      <c r="AH6500">
        <v>1</v>
      </c>
      <c r="AI6500">
        <v>1</v>
      </c>
      <c r="AJ6500">
        <v>1</v>
      </c>
      <c r="AK6500">
        <v>1</v>
      </c>
      <c r="AL6500">
        <v>1</v>
      </c>
      <c r="AM6500">
        <v>1</v>
      </c>
    </row>
    <row r="6501" spans="1:39" x14ac:dyDescent="0.2">
      <c r="A6501" t="str">
        <f>"6497"</f>
        <v>6497</v>
      </c>
      <c r="B6501" t="str">
        <f t="shared" si="359"/>
        <v>1</v>
      </c>
      <c r="C6501" t="str">
        <f t="shared" si="361"/>
        <v>130</v>
      </c>
      <c r="D6501" t="str">
        <f>"8"</f>
        <v>8</v>
      </c>
      <c r="E6501" t="str">
        <f>"1-130-8"</f>
        <v>1-130-8</v>
      </c>
      <c r="F6501" t="s">
        <v>65</v>
      </c>
      <c r="G6501" t="s">
        <v>66</v>
      </c>
      <c r="H6501" t="s">
        <v>67</v>
      </c>
      <c r="S6501">
        <v>0</v>
      </c>
      <c r="T6501">
        <v>1</v>
      </c>
      <c r="U6501">
        <v>0</v>
      </c>
      <c r="V6501">
        <v>0</v>
      </c>
      <c r="W6501">
        <v>0</v>
      </c>
      <c r="X6501">
        <v>1</v>
      </c>
      <c r="Y6501">
        <v>0</v>
      </c>
      <c r="Z6501">
        <v>1</v>
      </c>
      <c r="AA6501">
        <v>0</v>
      </c>
      <c r="AB6501">
        <v>0</v>
      </c>
      <c r="AC6501">
        <v>1</v>
      </c>
      <c r="AD6501">
        <v>1</v>
      </c>
      <c r="AE6501">
        <v>1</v>
      </c>
      <c r="AF6501">
        <v>1</v>
      </c>
      <c r="AG6501">
        <v>0</v>
      </c>
      <c r="AH6501">
        <v>1</v>
      </c>
      <c r="AI6501">
        <v>1</v>
      </c>
      <c r="AJ6501">
        <v>1</v>
      </c>
      <c r="AK6501">
        <v>1</v>
      </c>
      <c r="AL6501">
        <v>1</v>
      </c>
      <c r="AM6501">
        <v>1</v>
      </c>
    </row>
    <row r="6502" spans="1:39" x14ac:dyDescent="0.2">
      <c r="A6502" t="str">
        <f>"6498"</f>
        <v>6498</v>
      </c>
      <c r="B6502" t="str">
        <f t="shared" si="359"/>
        <v>1</v>
      </c>
      <c r="C6502" t="str">
        <f t="shared" si="361"/>
        <v>130</v>
      </c>
      <c r="D6502" t="str">
        <f>"26"</f>
        <v>26</v>
      </c>
      <c r="E6502" t="str">
        <f>"1-130-26"</f>
        <v>1-130-26</v>
      </c>
      <c r="F6502" t="s">
        <v>65</v>
      </c>
      <c r="G6502" t="s">
        <v>66</v>
      </c>
      <c r="H6502" t="s">
        <v>67</v>
      </c>
      <c r="S6502">
        <v>1</v>
      </c>
      <c r="T6502">
        <v>0</v>
      </c>
      <c r="U6502">
        <v>0</v>
      </c>
      <c r="V6502">
        <v>0</v>
      </c>
      <c r="W6502">
        <v>0</v>
      </c>
      <c r="X6502">
        <v>1</v>
      </c>
      <c r="Y6502">
        <v>1</v>
      </c>
      <c r="Z6502">
        <v>0</v>
      </c>
      <c r="AA6502">
        <v>0</v>
      </c>
      <c r="AB6502">
        <v>0</v>
      </c>
      <c r="AC6502">
        <v>1</v>
      </c>
      <c r="AD6502">
        <v>0</v>
      </c>
      <c r="AE6502">
        <v>0</v>
      </c>
      <c r="AF6502">
        <v>0</v>
      </c>
      <c r="AG6502">
        <v>1</v>
      </c>
      <c r="AH6502">
        <v>1</v>
      </c>
      <c r="AI6502">
        <v>1</v>
      </c>
      <c r="AJ6502">
        <v>1</v>
      </c>
      <c r="AK6502">
        <v>1</v>
      </c>
      <c r="AL6502">
        <v>1</v>
      </c>
      <c r="AM6502">
        <v>0</v>
      </c>
    </row>
    <row r="6503" spans="1:39" x14ac:dyDescent="0.2">
      <c r="A6503" t="str">
        <f>"6499"</f>
        <v>6499</v>
      </c>
      <c r="B6503" t="str">
        <f t="shared" si="359"/>
        <v>1</v>
      </c>
      <c r="C6503" t="str">
        <f t="shared" si="361"/>
        <v>130</v>
      </c>
      <c r="D6503" t="str">
        <f>"48"</f>
        <v>48</v>
      </c>
      <c r="E6503" t="str">
        <f>"1-130-48"</f>
        <v>1-130-48</v>
      </c>
      <c r="F6503" t="s">
        <v>65</v>
      </c>
      <c r="G6503" t="s">
        <v>66</v>
      </c>
      <c r="H6503" t="s">
        <v>67</v>
      </c>
      <c r="S6503">
        <v>1</v>
      </c>
      <c r="T6503">
        <v>0</v>
      </c>
      <c r="U6503">
        <v>0</v>
      </c>
      <c r="V6503">
        <v>0</v>
      </c>
      <c r="W6503">
        <v>1</v>
      </c>
      <c r="X6503">
        <v>0</v>
      </c>
      <c r="Y6503">
        <v>1</v>
      </c>
      <c r="Z6503">
        <v>0</v>
      </c>
      <c r="AA6503">
        <v>1</v>
      </c>
      <c r="AB6503">
        <v>0</v>
      </c>
      <c r="AC6503">
        <v>0</v>
      </c>
      <c r="AD6503">
        <v>1</v>
      </c>
      <c r="AE6503">
        <v>1</v>
      </c>
      <c r="AF6503">
        <v>1</v>
      </c>
      <c r="AG6503">
        <v>1</v>
      </c>
      <c r="AH6503">
        <v>1</v>
      </c>
      <c r="AI6503">
        <v>1</v>
      </c>
      <c r="AJ6503">
        <v>1</v>
      </c>
      <c r="AK6503">
        <v>1</v>
      </c>
      <c r="AL6503">
        <v>1</v>
      </c>
      <c r="AM6503">
        <v>1</v>
      </c>
    </row>
    <row r="6504" spans="1:39" x14ac:dyDescent="0.2">
      <c r="A6504" t="str">
        <f>"6500"</f>
        <v>6500</v>
      </c>
      <c r="B6504" t="str">
        <f t="shared" si="359"/>
        <v>1</v>
      </c>
      <c r="C6504" t="str">
        <f t="shared" si="361"/>
        <v>130</v>
      </c>
      <c r="D6504" t="str">
        <f>"50"</f>
        <v>50</v>
      </c>
      <c r="E6504" t="str">
        <f>"1-130-50"</f>
        <v>1-130-50</v>
      </c>
      <c r="F6504" t="s">
        <v>65</v>
      </c>
      <c r="G6504" t="s">
        <v>66</v>
      </c>
      <c r="H6504" t="s">
        <v>67</v>
      </c>
      <c r="S6504">
        <v>1</v>
      </c>
      <c r="T6504">
        <v>0</v>
      </c>
      <c r="U6504">
        <v>0</v>
      </c>
      <c r="V6504">
        <v>0</v>
      </c>
      <c r="W6504">
        <v>1</v>
      </c>
      <c r="X6504">
        <v>0</v>
      </c>
      <c r="Y6504">
        <v>1</v>
      </c>
      <c r="Z6504">
        <v>0</v>
      </c>
      <c r="AA6504">
        <v>1</v>
      </c>
      <c r="AB6504">
        <v>0</v>
      </c>
      <c r="AC6504">
        <v>0</v>
      </c>
      <c r="AD6504">
        <v>1</v>
      </c>
      <c r="AE6504">
        <v>1</v>
      </c>
      <c r="AF6504">
        <v>1</v>
      </c>
      <c r="AG6504">
        <v>1</v>
      </c>
      <c r="AH6504">
        <v>1</v>
      </c>
      <c r="AI6504">
        <v>1</v>
      </c>
      <c r="AJ6504">
        <v>1</v>
      </c>
      <c r="AK6504">
        <v>1</v>
      </c>
      <c r="AL6504">
        <v>1</v>
      </c>
      <c r="AM6504">
        <v>1</v>
      </c>
    </row>
    <row r="6505" spans="1:39" x14ac:dyDescent="0.2">
      <c r="A6505" t="str">
        <f>"6501"</f>
        <v>6501</v>
      </c>
      <c r="B6505" t="str">
        <f t="shared" si="359"/>
        <v>1</v>
      </c>
      <c r="C6505" t="str">
        <f t="shared" ref="C6505:C6536" si="362">"131"</f>
        <v>131</v>
      </c>
      <c r="D6505" t="str">
        <f>"36"</f>
        <v>36</v>
      </c>
      <c r="E6505" t="str">
        <f>"1-131-36"</f>
        <v>1-131-36</v>
      </c>
      <c r="F6505" t="s">
        <v>65</v>
      </c>
      <c r="G6505" t="s">
        <v>66</v>
      </c>
      <c r="H6505" t="s">
        <v>67</v>
      </c>
      <c r="S6505">
        <v>1</v>
      </c>
      <c r="T6505">
        <v>0</v>
      </c>
      <c r="U6505">
        <v>0</v>
      </c>
      <c r="V6505">
        <v>0</v>
      </c>
      <c r="W6505">
        <v>1</v>
      </c>
      <c r="X6505">
        <v>0</v>
      </c>
      <c r="Y6505">
        <v>1</v>
      </c>
      <c r="Z6505">
        <v>0</v>
      </c>
      <c r="AA6505">
        <v>1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</row>
    <row r="6506" spans="1:39" x14ac:dyDescent="0.2">
      <c r="A6506" t="str">
        <f>"6502"</f>
        <v>6502</v>
      </c>
      <c r="B6506" t="str">
        <f t="shared" si="359"/>
        <v>1</v>
      </c>
      <c r="C6506" t="str">
        <f t="shared" si="362"/>
        <v>131</v>
      </c>
      <c r="D6506" t="str">
        <f>"35"</f>
        <v>35</v>
      </c>
      <c r="E6506" t="str">
        <f>"1-131-35"</f>
        <v>1-131-35</v>
      </c>
      <c r="F6506" t="s">
        <v>65</v>
      </c>
      <c r="G6506" t="s">
        <v>66</v>
      </c>
      <c r="H6506" t="s">
        <v>67</v>
      </c>
      <c r="S6506">
        <v>1</v>
      </c>
      <c r="T6506">
        <v>0</v>
      </c>
      <c r="U6506">
        <v>0</v>
      </c>
      <c r="V6506">
        <v>0</v>
      </c>
      <c r="W6506">
        <v>1</v>
      </c>
      <c r="X6506">
        <v>0</v>
      </c>
      <c r="Y6506">
        <v>1</v>
      </c>
      <c r="Z6506">
        <v>0</v>
      </c>
      <c r="AA6506">
        <v>1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</row>
    <row r="6507" spans="1:39" x14ac:dyDescent="0.2">
      <c r="A6507" t="str">
        <f>"6503"</f>
        <v>6503</v>
      </c>
      <c r="B6507" t="str">
        <f t="shared" si="359"/>
        <v>1</v>
      </c>
      <c r="C6507" t="str">
        <f t="shared" si="362"/>
        <v>131</v>
      </c>
      <c r="D6507" t="str">
        <f>"29"</f>
        <v>29</v>
      </c>
      <c r="E6507" t="str">
        <f>"1-131-29"</f>
        <v>1-131-29</v>
      </c>
      <c r="F6507" t="s">
        <v>65</v>
      </c>
      <c r="G6507" t="s">
        <v>66</v>
      </c>
      <c r="H6507" t="s">
        <v>67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1</v>
      </c>
      <c r="Y6507">
        <v>0</v>
      </c>
      <c r="Z6507">
        <v>0</v>
      </c>
      <c r="AA6507">
        <v>0</v>
      </c>
      <c r="AB6507">
        <v>0</v>
      </c>
      <c r="AC6507">
        <v>1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</row>
    <row r="6508" spans="1:39" x14ac:dyDescent="0.2">
      <c r="A6508" t="str">
        <f>"6504"</f>
        <v>6504</v>
      </c>
      <c r="B6508" t="str">
        <f t="shared" si="359"/>
        <v>1</v>
      </c>
      <c r="C6508" t="str">
        <f t="shared" si="362"/>
        <v>131</v>
      </c>
      <c r="D6508" t="str">
        <f>"15"</f>
        <v>15</v>
      </c>
      <c r="E6508" t="str">
        <f>"1-131-15"</f>
        <v>1-131-15</v>
      </c>
      <c r="F6508" t="s">
        <v>65</v>
      </c>
      <c r="G6508" t="s">
        <v>66</v>
      </c>
      <c r="H6508" t="s">
        <v>67</v>
      </c>
      <c r="S6508">
        <v>1</v>
      </c>
      <c r="T6508">
        <v>0</v>
      </c>
      <c r="U6508">
        <v>0</v>
      </c>
      <c r="V6508">
        <v>0</v>
      </c>
      <c r="W6508">
        <v>1</v>
      </c>
      <c r="X6508">
        <v>0</v>
      </c>
      <c r="Y6508">
        <v>1</v>
      </c>
      <c r="Z6508">
        <v>0</v>
      </c>
      <c r="AA6508">
        <v>0</v>
      </c>
      <c r="AB6508">
        <v>1</v>
      </c>
      <c r="AC6508">
        <v>0</v>
      </c>
      <c r="AD6508">
        <v>1</v>
      </c>
      <c r="AE6508">
        <v>1</v>
      </c>
      <c r="AF6508">
        <v>1</v>
      </c>
      <c r="AG6508">
        <v>1</v>
      </c>
      <c r="AH6508">
        <v>1</v>
      </c>
      <c r="AI6508">
        <v>1</v>
      </c>
      <c r="AJ6508">
        <v>1</v>
      </c>
      <c r="AK6508">
        <v>1</v>
      </c>
      <c r="AL6508">
        <v>1</v>
      </c>
      <c r="AM6508">
        <v>1</v>
      </c>
    </row>
    <row r="6509" spans="1:39" x14ac:dyDescent="0.2">
      <c r="A6509" t="str">
        <f>"6505"</f>
        <v>6505</v>
      </c>
      <c r="B6509" t="str">
        <f t="shared" si="359"/>
        <v>1</v>
      </c>
      <c r="C6509" t="str">
        <f t="shared" si="362"/>
        <v>131</v>
      </c>
      <c r="D6509" t="str">
        <f>"5"</f>
        <v>5</v>
      </c>
      <c r="E6509" t="str">
        <f>"1-131-5"</f>
        <v>1-131-5</v>
      </c>
      <c r="F6509" t="s">
        <v>65</v>
      </c>
      <c r="G6509" t="s">
        <v>66</v>
      </c>
      <c r="H6509" t="s">
        <v>67</v>
      </c>
      <c r="S6509">
        <v>0</v>
      </c>
      <c r="T6509">
        <v>1</v>
      </c>
      <c r="U6509">
        <v>0</v>
      </c>
      <c r="V6509">
        <v>0</v>
      </c>
      <c r="W6509">
        <v>0</v>
      </c>
      <c r="X6509">
        <v>1</v>
      </c>
      <c r="Y6509">
        <v>0</v>
      </c>
      <c r="Z6509">
        <v>1</v>
      </c>
      <c r="AA6509">
        <v>0</v>
      </c>
      <c r="AB6509">
        <v>0</v>
      </c>
      <c r="AC6509">
        <v>1</v>
      </c>
      <c r="AD6509">
        <v>1</v>
      </c>
      <c r="AE6509">
        <v>1</v>
      </c>
      <c r="AF6509">
        <v>1</v>
      </c>
      <c r="AG6509">
        <v>1</v>
      </c>
      <c r="AH6509">
        <v>1</v>
      </c>
      <c r="AI6509">
        <v>1</v>
      </c>
      <c r="AJ6509">
        <v>1</v>
      </c>
      <c r="AK6509">
        <v>1</v>
      </c>
      <c r="AL6509">
        <v>1</v>
      </c>
      <c r="AM6509">
        <v>1</v>
      </c>
    </row>
    <row r="6510" spans="1:39" x14ac:dyDescent="0.2">
      <c r="A6510" t="str">
        <f>"6506"</f>
        <v>6506</v>
      </c>
      <c r="B6510" t="str">
        <f t="shared" si="359"/>
        <v>1</v>
      </c>
      <c r="C6510" t="str">
        <f t="shared" si="362"/>
        <v>131</v>
      </c>
      <c r="D6510" t="str">
        <f>"39"</f>
        <v>39</v>
      </c>
      <c r="E6510" t="str">
        <f>"1-131-39"</f>
        <v>1-131-39</v>
      </c>
      <c r="F6510" t="s">
        <v>65</v>
      </c>
      <c r="G6510" t="s">
        <v>66</v>
      </c>
      <c r="H6510" t="s">
        <v>67</v>
      </c>
      <c r="S6510">
        <v>1</v>
      </c>
      <c r="T6510">
        <v>0</v>
      </c>
      <c r="U6510">
        <v>0</v>
      </c>
      <c r="V6510">
        <v>0</v>
      </c>
      <c r="W6510">
        <v>0</v>
      </c>
      <c r="X6510">
        <v>1</v>
      </c>
      <c r="Y6510">
        <v>1</v>
      </c>
      <c r="Z6510">
        <v>0</v>
      </c>
      <c r="AA6510">
        <v>0</v>
      </c>
      <c r="AB6510">
        <v>1</v>
      </c>
      <c r="AC6510">
        <v>0</v>
      </c>
      <c r="AD6510">
        <v>1</v>
      </c>
      <c r="AE6510">
        <v>1</v>
      </c>
      <c r="AF6510">
        <v>1</v>
      </c>
      <c r="AG6510">
        <v>1</v>
      </c>
      <c r="AH6510">
        <v>1</v>
      </c>
      <c r="AI6510">
        <v>1</v>
      </c>
      <c r="AJ6510">
        <v>1</v>
      </c>
      <c r="AK6510">
        <v>1</v>
      </c>
      <c r="AL6510">
        <v>1</v>
      </c>
      <c r="AM6510">
        <v>1</v>
      </c>
    </row>
    <row r="6511" spans="1:39" x14ac:dyDescent="0.2">
      <c r="A6511" t="str">
        <f>"6507"</f>
        <v>6507</v>
      </c>
      <c r="B6511" t="str">
        <f t="shared" si="359"/>
        <v>1</v>
      </c>
      <c r="C6511" t="str">
        <f t="shared" si="362"/>
        <v>131</v>
      </c>
      <c r="D6511" t="str">
        <f>"38"</f>
        <v>38</v>
      </c>
      <c r="E6511" t="str">
        <f>"1-131-38"</f>
        <v>1-131-38</v>
      </c>
      <c r="F6511" t="s">
        <v>65</v>
      </c>
      <c r="G6511" t="s">
        <v>66</v>
      </c>
      <c r="H6511" t="s">
        <v>67</v>
      </c>
      <c r="S6511">
        <v>1</v>
      </c>
      <c r="T6511">
        <v>0</v>
      </c>
      <c r="U6511">
        <v>0</v>
      </c>
      <c r="V6511">
        <v>0</v>
      </c>
      <c r="W6511">
        <v>0</v>
      </c>
      <c r="X6511">
        <v>1</v>
      </c>
      <c r="Y6511">
        <v>0</v>
      </c>
      <c r="Z6511">
        <v>0</v>
      </c>
      <c r="AA6511">
        <v>0</v>
      </c>
      <c r="AB6511">
        <v>1</v>
      </c>
      <c r="AC6511">
        <v>0</v>
      </c>
      <c r="AD6511">
        <v>1</v>
      </c>
      <c r="AE6511">
        <v>1</v>
      </c>
      <c r="AF6511">
        <v>1</v>
      </c>
      <c r="AG6511">
        <v>1</v>
      </c>
      <c r="AH6511">
        <v>1</v>
      </c>
      <c r="AI6511">
        <v>1</v>
      </c>
      <c r="AJ6511">
        <v>1</v>
      </c>
      <c r="AK6511">
        <v>1</v>
      </c>
      <c r="AL6511">
        <v>1</v>
      </c>
      <c r="AM6511">
        <v>1</v>
      </c>
    </row>
    <row r="6512" spans="1:39" x14ac:dyDescent="0.2">
      <c r="A6512" t="str">
        <f>"6508"</f>
        <v>6508</v>
      </c>
      <c r="B6512" t="str">
        <f t="shared" si="359"/>
        <v>1</v>
      </c>
      <c r="C6512" t="str">
        <f t="shared" si="362"/>
        <v>131</v>
      </c>
      <c r="D6512" t="str">
        <f>"32"</f>
        <v>32</v>
      </c>
      <c r="E6512" t="str">
        <f>"1-131-32"</f>
        <v>1-131-32</v>
      </c>
      <c r="F6512" t="s">
        <v>65</v>
      </c>
      <c r="G6512" t="s">
        <v>66</v>
      </c>
      <c r="H6512" t="s">
        <v>67</v>
      </c>
      <c r="S6512">
        <v>0</v>
      </c>
      <c r="T6512">
        <v>1</v>
      </c>
      <c r="U6512">
        <v>0</v>
      </c>
      <c r="V6512">
        <v>0</v>
      </c>
      <c r="W6512">
        <v>1</v>
      </c>
      <c r="X6512">
        <v>0</v>
      </c>
      <c r="Y6512">
        <v>1</v>
      </c>
      <c r="Z6512">
        <v>0</v>
      </c>
      <c r="AA6512">
        <v>1</v>
      </c>
      <c r="AB6512">
        <v>0</v>
      </c>
      <c r="AC6512">
        <v>0</v>
      </c>
      <c r="AD6512">
        <v>1</v>
      </c>
      <c r="AE6512">
        <v>1</v>
      </c>
      <c r="AF6512">
        <v>1</v>
      </c>
      <c r="AG6512">
        <v>1</v>
      </c>
      <c r="AH6512">
        <v>1</v>
      </c>
      <c r="AI6512">
        <v>1</v>
      </c>
      <c r="AJ6512">
        <v>1</v>
      </c>
      <c r="AK6512">
        <v>1</v>
      </c>
      <c r="AL6512">
        <v>1</v>
      </c>
      <c r="AM6512">
        <v>1</v>
      </c>
    </row>
    <row r="6513" spans="1:39" x14ac:dyDescent="0.2">
      <c r="A6513" t="str">
        <f>"6509"</f>
        <v>6509</v>
      </c>
      <c r="B6513" t="str">
        <f t="shared" si="359"/>
        <v>1</v>
      </c>
      <c r="C6513" t="str">
        <f t="shared" si="362"/>
        <v>131</v>
      </c>
      <c r="D6513" t="str">
        <f>"31"</f>
        <v>31</v>
      </c>
      <c r="E6513" t="str">
        <f>"1-131-31"</f>
        <v>1-131-31</v>
      </c>
      <c r="F6513" t="s">
        <v>65</v>
      </c>
      <c r="G6513" t="s">
        <v>66</v>
      </c>
      <c r="H6513" t="s">
        <v>67</v>
      </c>
      <c r="S6513">
        <v>1</v>
      </c>
      <c r="T6513">
        <v>0</v>
      </c>
      <c r="U6513">
        <v>0</v>
      </c>
      <c r="V6513">
        <v>0</v>
      </c>
      <c r="W6513">
        <v>1</v>
      </c>
      <c r="X6513">
        <v>0</v>
      </c>
      <c r="Y6513">
        <v>0</v>
      </c>
      <c r="Z6513">
        <v>1</v>
      </c>
      <c r="AA6513">
        <v>1</v>
      </c>
      <c r="AB6513">
        <v>0</v>
      </c>
      <c r="AC6513">
        <v>0</v>
      </c>
      <c r="AD6513">
        <v>1</v>
      </c>
      <c r="AE6513">
        <v>1</v>
      </c>
      <c r="AF6513">
        <v>1</v>
      </c>
      <c r="AG6513">
        <v>1</v>
      </c>
      <c r="AH6513">
        <v>1</v>
      </c>
      <c r="AI6513">
        <v>1</v>
      </c>
      <c r="AJ6513">
        <v>1</v>
      </c>
      <c r="AK6513">
        <v>1</v>
      </c>
      <c r="AL6513">
        <v>1</v>
      </c>
      <c r="AM6513">
        <v>1</v>
      </c>
    </row>
    <row r="6514" spans="1:39" x14ac:dyDescent="0.2">
      <c r="A6514" t="str">
        <f>"6510"</f>
        <v>6510</v>
      </c>
      <c r="B6514" t="str">
        <f t="shared" si="359"/>
        <v>1</v>
      </c>
      <c r="C6514" t="str">
        <f t="shared" si="362"/>
        <v>131</v>
      </c>
      <c r="D6514" t="str">
        <f>"19"</f>
        <v>19</v>
      </c>
      <c r="E6514" t="str">
        <f>"1-131-19"</f>
        <v>1-131-19</v>
      </c>
      <c r="F6514" t="s">
        <v>65</v>
      </c>
      <c r="G6514" t="s">
        <v>66</v>
      </c>
      <c r="H6514" t="s">
        <v>67</v>
      </c>
      <c r="S6514">
        <v>1</v>
      </c>
      <c r="T6514">
        <v>0</v>
      </c>
      <c r="U6514">
        <v>0</v>
      </c>
      <c r="V6514">
        <v>0</v>
      </c>
      <c r="W6514">
        <v>1</v>
      </c>
      <c r="X6514">
        <v>0</v>
      </c>
      <c r="Y6514">
        <v>1</v>
      </c>
      <c r="Z6514">
        <v>0</v>
      </c>
      <c r="AA6514">
        <v>1</v>
      </c>
      <c r="AB6514">
        <v>0</v>
      </c>
      <c r="AC6514">
        <v>0</v>
      </c>
      <c r="AD6514">
        <v>1</v>
      </c>
      <c r="AE6514">
        <v>1</v>
      </c>
      <c r="AF6514">
        <v>1</v>
      </c>
      <c r="AG6514">
        <v>1</v>
      </c>
      <c r="AH6514">
        <v>1</v>
      </c>
      <c r="AI6514">
        <v>1</v>
      </c>
      <c r="AJ6514">
        <v>1</v>
      </c>
      <c r="AK6514">
        <v>1</v>
      </c>
      <c r="AL6514">
        <v>1</v>
      </c>
      <c r="AM6514">
        <v>1</v>
      </c>
    </row>
    <row r="6515" spans="1:39" x14ac:dyDescent="0.2">
      <c r="A6515" t="str">
        <f>"6511"</f>
        <v>6511</v>
      </c>
      <c r="B6515" t="str">
        <f t="shared" si="359"/>
        <v>1</v>
      </c>
      <c r="C6515" t="str">
        <f t="shared" si="362"/>
        <v>131</v>
      </c>
      <c r="D6515" t="str">
        <f>"16"</f>
        <v>16</v>
      </c>
      <c r="E6515" t="str">
        <f>"1-131-16"</f>
        <v>1-131-16</v>
      </c>
      <c r="F6515" t="s">
        <v>65</v>
      </c>
      <c r="G6515" t="s">
        <v>66</v>
      </c>
      <c r="H6515" t="s">
        <v>67</v>
      </c>
      <c r="S6515">
        <v>0</v>
      </c>
      <c r="T6515">
        <v>1</v>
      </c>
      <c r="U6515">
        <v>0</v>
      </c>
      <c r="V6515">
        <v>0</v>
      </c>
      <c r="W6515">
        <v>1</v>
      </c>
      <c r="X6515">
        <v>0</v>
      </c>
      <c r="Y6515">
        <v>1</v>
      </c>
      <c r="Z6515">
        <v>0</v>
      </c>
      <c r="AA6515">
        <v>0</v>
      </c>
      <c r="AB6515">
        <v>1</v>
      </c>
      <c r="AC6515">
        <v>0</v>
      </c>
      <c r="AD6515">
        <v>1</v>
      </c>
      <c r="AE6515">
        <v>1</v>
      </c>
      <c r="AF6515">
        <v>1</v>
      </c>
      <c r="AG6515">
        <v>1</v>
      </c>
      <c r="AH6515">
        <v>1</v>
      </c>
      <c r="AI6515">
        <v>1</v>
      </c>
      <c r="AJ6515">
        <v>1</v>
      </c>
      <c r="AK6515">
        <v>1</v>
      </c>
      <c r="AL6515">
        <v>1</v>
      </c>
      <c r="AM6515">
        <v>1</v>
      </c>
    </row>
    <row r="6516" spans="1:39" x14ac:dyDescent="0.2">
      <c r="A6516" t="str">
        <f>"6512"</f>
        <v>6512</v>
      </c>
      <c r="B6516" t="str">
        <f t="shared" si="359"/>
        <v>1</v>
      </c>
      <c r="C6516" t="str">
        <f t="shared" si="362"/>
        <v>131</v>
      </c>
      <c r="D6516" t="str">
        <f>"10"</f>
        <v>10</v>
      </c>
      <c r="E6516" t="str">
        <f>"1-131-10"</f>
        <v>1-131-10</v>
      </c>
      <c r="F6516" t="s">
        <v>65</v>
      </c>
      <c r="G6516" t="s">
        <v>66</v>
      </c>
      <c r="H6516" t="s">
        <v>67</v>
      </c>
      <c r="S6516">
        <v>1</v>
      </c>
      <c r="T6516">
        <v>0</v>
      </c>
      <c r="U6516">
        <v>0</v>
      </c>
      <c r="V6516">
        <v>0</v>
      </c>
      <c r="W6516">
        <v>1</v>
      </c>
      <c r="X6516">
        <v>0</v>
      </c>
      <c r="Y6516">
        <v>1</v>
      </c>
      <c r="Z6516">
        <v>0</v>
      </c>
      <c r="AA6516">
        <v>1</v>
      </c>
      <c r="AB6516">
        <v>0</v>
      </c>
      <c r="AC6516">
        <v>0</v>
      </c>
      <c r="AD6516">
        <v>1</v>
      </c>
      <c r="AE6516">
        <v>1</v>
      </c>
      <c r="AF6516">
        <v>1</v>
      </c>
      <c r="AG6516">
        <v>1</v>
      </c>
      <c r="AH6516">
        <v>1</v>
      </c>
      <c r="AI6516">
        <v>1</v>
      </c>
      <c r="AJ6516">
        <v>1</v>
      </c>
      <c r="AK6516">
        <v>1</v>
      </c>
      <c r="AL6516">
        <v>1</v>
      </c>
      <c r="AM6516">
        <v>1</v>
      </c>
    </row>
    <row r="6517" spans="1:39" x14ac:dyDescent="0.2">
      <c r="A6517" t="str">
        <f>"6513"</f>
        <v>6513</v>
      </c>
      <c r="B6517" t="str">
        <f t="shared" si="359"/>
        <v>1</v>
      </c>
      <c r="C6517" t="str">
        <f t="shared" si="362"/>
        <v>131</v>
      </c>
      <c r="D6517" t="str">
        <f>"34"</f>
        <v>34</v>
      </c>
      <c r="E6517" t="str">
        <f>"1-131-34"</f>
        <v>1-131-34</v>
      </c>
      <c r="F6517" t="s">
        <v>65</v>
      </c>
      <c r="G6517" t="s">
        <v>66</v>
      </c>
      <c r="H6517" t="s">
        <v>67</v>
      </c>
      <c r="S6517">
        <v>1</v>
      </c>
      <c r="T6517">
        <v>0</v>
      </c>
      <c r="U6517">
        <v>0</v>
      </c>
      <c r="V6517">
        <v>0</v>
      </c>
      <c r="W6517">
        <v>1</v>
      </c>
      <c r="X6517">
        <v>0</v>
      </c>
      <c r="Y6517">
        <v>0</v>
      </c>
      <c r="Z6517">
        <v>1</v>
      </c>
      <c r="AA6517">
        <v>0</v>
      </c>
      <c r="AB6517">
        <v>1</v>
      </c>
      <c r="AC6517">
        <v>0</v>
      </c>
      <c r="AD6517">
        <v>1</v>
      </c>
      <c r="AE6517">
        <v>1</v>
      </c>
      <c r="AF6517">
        <v>1</v>
      </c>
      <c r="AG6517">
        <v>1</v>
      </c>
      <c r="AH6517">
        <v>1</v>
      </c>
      <c r="AI6517">
        <v>1</v>
      </c>
      <c r="AJ6517">
        <v>1</v>
      </c>
      <c r="AK6517">
        <v>1</v>
      </c>
      <c r="AL6517">
        <v>1</v>
      </c>
      <c r="AM6517">
        <v>1</v>
      </c>
    </row>
    <row r="6518" spans="1:39" x14ac:dyDescent="0.2">
      <c r="A6518" t="str">
        <f>"6514"</f>
        <v>6514</v>
      </c>
      <c r="B6518" t="str">
        <f t="shared" si="359"/>
        <v>1</v>
      </c>
      <c r="C6518" t="str">
        <f t="shared" si="362"/>
        <v>131</v>
      </c>
      <c r="D6518" t="str">
        <f>"17"</f>
        <v>17</v>
      </c>
      <c r="E6518" t="str">
        <f>"1-131-17"</f>
        <v>1-131-17</v>
      </c>
      <c r="F6518" t="s">
        <v>65</v>
      </c>
      <c r="G6518" t="s">
        <v>66</v>
      </c>
      <c r="H6518" t="s">
        <v>67</v>
      </c>
      <c r="S6518">
        <v>0</v>
      </c>
      <c r="T6518">
        <v>1</v>
      </c>
      <c r="U6518">
        <v>0</v>
      </c>
      <c r="V6518">
        <v>0</v>
      </c>
      <c r="W6518">
        <v>1</v>
      </c>
      <c r="X6518">
        <v>0</v>
      </c>
      <c r="Y6518">
        <v>0</v>
      </c>
      <c r="Z6518">
        <v>1</v>
      </c>
      <c r="AA6518">
        <v>0</v>
      </c>
      <c r="AB6518">
        <v>0</v>
      </c>
      <c r="AC6518">
        <v>1</v>
      </c>
      <c r="AD6518">
        <v>1</v>
      </c>
      <c r="AE6518">
        <v>1</v>
      </c>
      <c r="AF6518">
        <v>1</v>
      </c>
      <c r="AG6518">
        <v>1</v>
      </c>
      <c r="AH6518">
        <v>1</v>
      </c>
      <c r="AI6518">
        <v>1</v>
      </c>
      <c r="AJ6518">
        <v>1</v>
      </c>
      <c r="AK6518">
        <v>1</v>
      </c>
      <c r="AL6518">
        <v>1</v>
      </c>
      <c r="AM6518">
        <v>1</v>
      </c>
    </row>
    <row r="6519" spans="1:39" x14ac:dyDescent="0.2">
      <c r="A6519" t="str">
        <f>"6515"</f>
        <v>6515</v>
      </c>
      <c r="B6519" t="str">
        <f t="shared" ref="B6519:B6582" si="363">"1"</f>
        <v>1</v>
      </c>
      <c r="C6519" t="str">
        <f t="shared" si="362"/>
        <v>131</v>
      </c>
      <c r="D6519" t="str">
        <f>"8"</f>
        <v>8</v>
      </c>
      <c r="E6519" t="str">
        <f>"1-131-8"</f>
        <v>1-131-8</v>
      </c>
      <c r="F6519" t="s">
        <v>65</v>
      </c>
      <c r="G6519" t="s">
        <v>66</v>
      </c>
      <c r="H6519" t="s">
        <v>67</v>
      </c>
      <c r="S6519">
        <v>1</v>
      </c>
      <c r="T6519">
        <v>0</v>
      </c>
      <c r="U6519">
        <v>0</v>
      </c>
      <c r="V6519">
        <v>0</v>
      </c>
      <c r="W6519">
        <v>1</v>
      </c>
      <c r="X6519">
        <v>0</v>
      </c>
      <c r="Y6519">
        <v>1</v>
      </c>
      <c r="Z6519">
        <v>0</v>
      </c>
      <c r="AA6519">
        <v>0</v>
      </c>
      <c r="AB6519">
        <v>1</v>
      </c>
      <c r="AC6519">
        <v>0</v>
      </c>
      <c r="AD6519">
        <v>1</v>
      </c>
      <c r="AE6519">
        <v>1</v>
      </c>
      <c r="AF6519">
        <v>1</v>
      </c>
      <c r="AG6519">
        <v>1</v>
      </c>
      <c r="AH6519">
        <v>1</v>
      </c>
      <c r="AI6519">
        <v>1</v>
      </c>
      <c r="AJ6519">
        <v>1</v>
      </c>
      <c r="AK6519">
        <v>1</v>
      </c>
      <c r="AL6519">
        <v>1</v>
      </c>
      <c r="AM6519">
        <v>1</v>
      </c>
    </row>
    <row r="6520" spans="1:39" x14ac:dyDescent="0.2">
      <c r="A6520" t="str">
        <f>"6516"</f>
        <v>6516</v>
      </c>
      <c r="B6520" t="str">
        <f t="shared" si="363"/>
        <v>1</v>
      </c>
      <c r="C6520" t="str">
        <f t="shared" si="362"/>
        <v>131</v>
      </c>
      <c r="D6520" t="str">
        <f>"49"</f>
        <v>49</v>
      </c>
      <c r="E6520" t="str">
        <f>"1-131-49"</f>
        <v>1-131-49</v>
      </c>
      <c r="F6520" t="s">
        <v>65</v>
      </c>
      <c r="G6520" t="s">
        <v>66</v>
      </c>
      <c r="H6520" t="s">
        <v>67</v>
      </c>
      <c r="S6520">
        <v>1</v>
      </c>
      <c r="T6520">
        <v>0</v>
      </c>
      <c r="U6520">
        <v>0</v>
      </c>
      <c r="V6520">
        <v>0</v>
      </c>
      <c r="W6520">
        <v>1</v>
      </c>
      <c r="X6520">
        <v>0</v>
      </c>
      <c r="Y6520">
        <v>1</v>
      </c>
      <c r="Z6520">
        <v>0</v>
      </c>
      <c r="AA6520">
        <v>0</v>
      </c>
      <c r="AB6520">
        <v>1</v>
      </c>
      <c r="AC6520">
        <v>0</v>
      </c>
      <c r="AD6520">
        <v>1</v>
      </c>
      <c r="AE6520">
        <v>1</v>
      </c>
      <c r="AF6520">
        <v>1</v>
      </c>
      <c r="AG6520">
        <v>1</v>
      </c>
      <c r="AH6520">
        <v>1</v>
      </c>
      <c r="AI6520">
        <v>1</v>
      </c>
      <c r="AJ6520">
        <v>1</v>
      </c>
      <c r="AK6520">
        <v>1</v>
      </c>
      <c r="AL6520">
        <v>1</v>
      </c>
      <c r="AM6520">
        <v>1</v>
      </c>
    </row>
    <row r="6521" spans="1:39" x14ac:dyDescent="0.2">
      <c r="A6521" t="str">
        <f>"6517"</f>
        <v>6517</v>
      </c>
      <c r="B6521" t="str">
        <f t="shared" si="363"/>
        <v>1</v>
      </c>
      <c r="C6521" t="str">
        <f t="shared" si="362"/>
        <v>131</v>
      </c>
      <c r="D6521" t="str">
        <f>"48"</f>
        <v>48</v>
      </c>
      <c r="E6521" t="str">
        <f>"1-131-48"</f>
        <v>1-131-48</v>
      </c>
      <c r="F6521" t="s">
        <v>65</v>
      </c>
      <c r="G6521" t="s">
        <v>66</v>
      </c>
      <c r="H6521" t="s">
        <v>67</v>
      </c>
      <c r="S6521">
        <v>0</v>
      </c>
      <c r="T6521">
        <v>1</v>
      </c>
      <c r="U6521">
        <v>0</v>
      </c>
      <c r="V6521">
        <v>0</v>
      </c>
      <c r="W6521">
        <v>1</v>
      </c>
      <c r="X6521">
        <v>0</v>
      </c>
      <c r="Y6521">
        <v>1</v>
      </c>
      <c r="Z6521">
        <v>0</v>
      </c>
      <c r="AA6521">
        <v>1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1</v>
      </c>
      <c r="AM6521">
        <v>0</v>
      </c>
    </row>
    <row r="6522" spans="1:39" x14ac:dyDescent="0.2">
      <c r="A6522" t="str">
        <f>"6518"</f>
        <v>6518</v>
      </c>
      <c r="B6522" t="str">
        <f t="shared" si="363"/>
        <v>1</v>
      </c>
      <c r="C6522" t="str">
        <f t="shared" si="362"/>
        <v>131</v>
      </c>
      <c r="D6522" t="str">
        <f>"33"</f>
        <v>33</v>
      </c>
      <c r="E6522" t="str">
        <f>"1-131-33"</f>
        <v>1-131-33</v>
      </c>
      <c r="F6522" t="s">
        <v>65</v>
      </c>
      <c r="G6522" t="s">
        <v>66</v>
      </c>
      <c r="H6522" t="s">
        <v>67</v>
      </c>
      <c r="S6522">
        <v>1</v>
      </c>
      <c r="T6522">
        <v>0</v>
      </c>
      <c r="U6522">
        <v>0</v>
      </c>
      <c r="V6522">
        <v>0</v>
      </c>
      <c r="W6522">
        <v>1</v>
      </c>
      <c r="X6522">
        <v>0</v>
      </c>
      <c r="Y6522">
        <v>0</v>
      </c>
      <c r="Z6522">
        <v>1</v>
      </c>
      <c r="AA6522">
        <v>0</v>
      </c>
      <c r="AB6522">
        <v>0</v>
      </c>
      <c r="AC6522">
        <v>1</v>
      </c>
      <c r="AD6522">
        <v>1</v>
      </c>
      <c r="AE6522">
        <v>1</v>
      </c>
      <c r="AF6522">
        <v>1</v>
      </c>
      <c r="AG6522">
        <v>1</v>
      </c>
      <c r="AH6522">
        <v>1</v>
      </c>
      <c r="AI6522">
        <v>1</v>
      </c>
      <c r="AJ6522">
        <v>1</v>
      </c>
      <c r="AK6522">
        <v>1</v>
      </c>
      <c r="AL6522">
        <v>1</v>
      </c>
      <c r="AM6522">
        <v>1</v>
      </c>
    </row>
    <row r="6523" spans="1:39" x14ac:dyDescent="0.2">
      <c r="A6523" t="str">
        <f>"6519"</f>
        <v>6519</v>
      </c>
      <c r="B6523" t="str">
        <f t="shared" si="363"/>
        <v>1</v>
      </c>
      <c r="C6523" t="str">
        <f t="shared" si="362"/>
        <v>131</v>
      </c>
      <c r="D6523" t="str">
        <f>"18"</f>
        <v>18</v>
      </c>
      <c r="E6523" t="str">
        <f>"1-131-18"</f>
        <v>1-131-18</v>
      </c>
      <c r="F6523" t="s">
        <v>65</v>
      </c>
      <c r="G6523" t="s">
        <v>66</v>
      </c>
      <c r="H6523" t="s">
        <v>67</v>
      </c>
      <c r="S6523">
        <v>1</v>
      </c>
      <c r="T6523">
        <v>0</v>
      </c>
      <c r="U6523">
        <v>0</v>
      </c>
      <c r="V6523">
        <v>0</v>
      </c>
      <c r="W6523">
        <v>1</v>
      </c>
      <c r="X6523">
        <v>0</v>
      </c>
      <c r="Y6523">
        <v>1</v>
      </c>
      <c r="Z6523">
        <v>0</v>
      </c>
      <c r="AA6523">
        <v>1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1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1</v>
      </c>
    </row>
    <row r="6524" spans="1:39" x14ac:dyDescent="0.2">
      <c r="A6524" t="str">
        <f>"6520"</f>
        <v>6520</v>
      </c>
      <c r="B6524" t="str">
        <f t="shared" si="363"/>
        <v>1</v>
      </c>
      <c r="C6524" t="str">
        <f t="shared" si="362"/>
        <v>131</v>
      </c>
      <c r="D6524" t="str">
        <f>"3"</f>
        <v>3</v>
      </c>
      <c r="E6524" t="str">
        <f>"1-131-3"</f>
        <v>1-131-3</v>
      </c>
      <c r="F6524" t="s">
        <v>65</v>
      </c>
      <c r="G6524" t="s">
        <v>66</v>
      </c>
      <c r="H6524" t="s">
        <v>67</v>
      </c>
      <c r="S6524">
        <v>1</v>
      </c>
      <c r="T6524">
        <v>0</v>
      </c>
      <c r="U6524">
        <v>0</v>
      </c>
      <c r="V6524">
        <v>0</v>
      </c>
      <c r="W6524">
        <v>1</v>
      </c>
      <c r="X6524">
        <v>0</v>
      </c>
      <c r="Y6524">
        <v>1</v>
      </c>
      <c r="Z6524">
        <v>0</v>
      </c>
      <c r="AA6524">
        <v>0</v>
      </c>
      <c r="AB6524">
        <v>1</v>
      </c>
      <c r="AC6524">
        <v>0</v>
      </c>
      <c r="AD6524">
        <v>1</v>
      </c>
      <c r="AE6524">
        <v>1</v>
      </c>
      <c r="AF6524">
        <v>1</v>
      </c>
      <c r="AG6524">
        <v>1</v>
      </c>
      <c r="AH6524">
        <v>1</v>
      </c>
      <c r="AI6524">
        <v>1</v>
      </c>
      <c r="AJ6524">
        <v>1</v>
      </c>
      <c r="AK6524">
        <v>1</v>
      </c>
      <c r="AL6524">
        <v>1</v>
      </c>
      <c r="AM6524">
        <v>1</v>
      </c>
    </row>
    <row r="6525" spans="1:39" x14ac:dyDescent="0.2">
      <c r="A6525" t="str">
        <f>"6521"</f>
        <v>6521</v>
      </c>
      <c r="B6525" t="str">
        <f t="shared" si="363"/>
        <v>1</v>
      </c>
      <c r="C6525" t="str">
        <f t="shared" si="362"/>
        <v>131</v>
      </c>
      <c r="D6525" t="str">
        <f>"37"</f>
        <v>37</v>
      </c>
      <c r="E6525" t="str">
        <f>"1-131-37"</f>
        <v>1-131-37</v>
      </c>
      <c r="F6525" t="s">
        <v>65</v>
      </c>
      <c r="G6525" t="s">
        <v>66</v>
      </c>
      <c r="H6525" t="s">
        <v>67</v>
      </c>
      <c r="S6525">
        <v>1</v>
      </c>
      <c r="T6525">
        <v>0</v>
      </c>
      <c r="U6525">
        <v>0</v>
      </c>
      <c r="V6525">
        <v>0</v>
      </c>
      <c r="W6525">
        <v>1</v>
      </c>
      <c r="X6525">
        <v>0</v>
      </c>
      <c r="Y6525">
        <v>1</v>
      </c>
      <c r="Z6525">
        <v>0</v>
      </c>
      <c r="AA6525">
        <v>0</v>
      </c>
      <c r="AB6525">
        <v>1</v>
      </c>
      <c r="AC6525">
        <v>0</v>
      </c>
      <c r="AD6525">
        <v>1</v>
      </c>
      <c r="AE6525">
        <v>1</v>
      </c>
      <c r="AF6525">
        <v>1</v>
      </c>
      <c r="AG6525">
        <v>1</v>
      </c>
      <c r="AH6525">
        <v>1</v>
      </c>
      <c r="AI6525">
        <v>1</v>
      </c>
      <c r="AJ6525">
        <v>1</v>
      </c>
      <c r="AK6525">
        <v>1</v>
      </c>
      <c r="AL6525">
        <v>1</v>
      </c>
      <c r="AM6525">
        <v>1</v>
      </c>
    </row>
    <row r="6526" spans="1:39" x14ac:dyDescent="0.2">
      <c r="A6526" t="str">
        <f>"6522"</f>
        <v>6522</v>
      </c>
      <c r="B6526" t="str">
        <f t="shared" si="363"/>
        <v>1</v>
      </c>
      <c r="C6526" t="str">
        <f t="shared" si="362"/>
        <v>131</v>
      </c>
      <c r="D6526" t="str">
        <f>"20"</f>
        <v>20</v>
      </c>
      <c r="E6526" t="str">
        <f>"1-131-20"</f>
        <v>1-131-20</v>
      </c>
      <c r="F6526" t="s">
        <v>65</v>
      </c>
      <c r="G6526" t="s">
        <v>66</v>
      </c>
      <c r="H6526" t="s">
        <v>67</v>
      </c>
      <c r="S6526">
        <v>1</v>
      </c>
      <c r="T6526">
        <v>0</v>
      </c>
      <c r="U6526">
        <v>0</v>
      </c>
      <c r="V6526">
        <v>0</v>
      </c>
      <c r="W6526">
        <v>1</v>
      </c>
      <c r="X6526">
        <v>0</v>
      </c>
      <c r="Y6526">
        <v>1</v>
      </c>
      <c r="Z6526">
        <v>0</v>
      </c>
      <c r="AA6526">
        <v>1</v>
      </c>
      <c r="AB6526">
        <v>0</v>
      </c>
      <c r="AC6526">
        <v>0</v>
      </c>
      <c r="AD6526">
        <v>1</v>
      </c>
      <c r="AE6526">
        <v>1</v>
      </c>
      <c r="AF6526">
        <v>1</v>
      </c>
      <c r="AG6526">
        <v>1</v>
      </c>
      <c r="AH6526">
        <v>1</v>
      </c>
      <c r="AI6526">
        <v>1</v>
      </c>
      <c r="AJ6526">
        <v>1</v>
      </c>
      <c r="AK6526">
        <v>1</v>
      </c>
      <c r="AL6526">
        <v>1</v>
      </c>
      <c r="AM6526">
        <v>1</v>
      </c>
    </row>
    <row r="6527" spans="1:39" x14ac:dyDescent="0.2">
      <c r="A6527" t="str">
        <f>"6523"</f>
        <v>6523</v>
      </c>
      <c r="B6527" t="str">
        <f t="shared" si="363"/>
        <v>1</v>
      </c>
      <c r="C6527" t="str">
        <f t="shared" si="362"/>
        <v>131</v>
      </c>
      <c r="D6527" t="str">
        <f>"11"</f>
        <v>11</v>
      </c>
      <c r="E6527" t="str">
        <f>"1-131-11"</f>
        <v>1-131-11</v>
      </c>
      <c r="F6527" t="s">
        <v>65</v>
      </c>
      <c r="G6527" t="s">
        <v>66</v>
      </c>
      <c r="H6527" t="s">
        <v>67</v>
      </c>
      <c r="S6527">
        <v>1</v>
      </c>
      <c r="T6527">
        <v>0</v>
      </c>
      <c r="U6527">
        <v>0</v>
      </c>
      <c r="V6527">
        <v>0</v>
      </c>
      <c r="W6527">
        <v>1</v>
      </c>
      <c r="X6527">
        <v>0</v>
      </c>
      <c r="Y6527">
        <v>1</v>
      </c>
      <c r="Z6527">
        <v>0</v>
      </c>
      <c r="AA6527">
        <v>0</v>
      </c>
      <c r="AB6527">
        <v>0</v>
      </c>
      <c r="AC6527">
        <v>1</v>
      </c>
      <c r="AD6527">
        <v>1</v>
      </c>
      <c r="AE6527">
        <v>1</v>
      </c>
      <c r="AF6527">
        <v>1</v>
      </c>
      <c r="AG6527">
        <v>1</v>
      </c>
      <c r="AH6527">
        <v>1</v>
      </c>
      <c r="AI6527">
        <v>1</v>
      </c>
      <c r="AJ6527">
        <v>1</v>
      </c>
      <c r="AK6527">
        <v>1</v>
      </c>
      <c r="AL6527">
        <v>1</v>
      </c>
      <c r="AM6527">
        <v>1</v>
      </c>
    </row>
    <row r="6528" spans="1:39" x14ac:dyDescent="0.2">
      <c r="A6528" t="str">
        <f>"6524"</f>
        <v>6524</v>
      </c>
      <c r="B6528" t="str">
        <f t="shared" si="363"/>
        <v>1</v>
      </c>
      <c r="C6528" t="str">
        <f t="shared" si="362"/>
        <v>131</v>
      </c>
      <c r="D6528" t="str">
        <f>"41"</f>
        <v>41</v>
      </c>
      <c r="E6528" t="str">
        <f>"1-131-41"</f>
        <v>1-131-41</v>
      </c>
      <c r="F6528" t="s">
        <v>65</v>
      </c>
      <c r="G6528" t="s">
        <v>66</v>
      </c>
      <c r="H6528" t="s">
        <v>67</v>
      </c>
      <c r="S6528">
        <v>1</v>
      </c>
      <c r="T6528">
        <v>0</v>
      </c>
      <c r="U6528">
        <v>0</v>
      </c>
      <c r="V6528">
        <v>0</v>
      </c>
      <c r="W6528">
        <v>1</v>
      </c>
      <c r="X6528">
        <v>0</v>
      </c>
      <c r="Y6528">
        <v>1</v>
      </c>
      <c r="Z6528">
        <v>0</v>
      </c>
      <c r="AA6528">
        <v>1</v>
      </c>
      <c r="AB6528">
        <v>0</v>
      </c>
      <c r="AC6528">
        <v>0</v>
      </c>
      <c r="AD6528">
        <v>1</v>
      </c>
      <c r="AE6528">
        <v>1</v>
      </c>
      <c r="AF6528">
        <v>1</v>
      </c>
      <c r="AG6528">
        <v>1</v>
      </c>
      <c r="AH6528">
        <v>1</v>
      </c>
      <c r="AI6528">
        <v>1</v>
      </c>
      <c r="AJ6528">
        <v>1</v>
      </c>
      <c r="AK6528">
        <v>1</v>
      </c>
      <c r="AL6528">
        <v>1</v>
      </c>
      <c r="AM6528">
        <v>1</v>
      </c>
    </row>
    <row r="6529" spans="1:39" x14ac:dyDescent="0.2">
      <c r="A6529" t="str">
        <f>"6525"</f>
        <v>6525</v>
      </c>
      <c r="B6529" t="str">
        <f t="shared" si="363"/>
        <v>1</v>
      </c>
      <c r="C6529" t="str">
        <f t="shared" si="362"/>
        <v>131</v>
      </c>
      <c r="D6529" t="str">
        <f>"21"</f>
        <v>21</v>
      </c>
      <c r="E6529" t="str">
        <f>"1-131-21"</f>
        <v>1-131-21</v>
      </c>
      <c r="F6529" t="s">
        <v>65</v>
      </c>
      <c r="G6529" t="s">
        <v>66</v>
      </c>
      <c r="H6529" t="s">
        <v>67</v>
      </c>
      <c r="S6529">
        <v>1</v>
      </c>
      <c r="T6529">
        <v>0</v>
      </c>
      <c r="U6529">
        <v>0</v>
      </c>
      <c r="V6529">
        <v>0</v>
      </c>
      <c r="W6529">
        <v>1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1</v>
      </c>
      <c r="AD6529">
        <v>1</v>
      </c>
      <c r="AE6529">
        <v>1</v>
      </c>
      <c r="AF6529">
        <v>1</v>
      </c>
      <c r="AG6529">
        <v>0</v>
      </c>
      <c r="AH6529">
        <v>1</v>
      </c>
      <c r="AI6529">
        <v>1</v>
      </c>
      <c r="AJ6529">
        <v>1</v>
      </c>
      <c r="AK6529">
        <v>1</v>
      </c>
      <c r="AL6529">
        <v>1</v>
      </c>
      <c r="AM6529">
        <v>1</v>
      </c>
    </row>
    <row r="6530" spans="1:39" x14ac:dyDescent="0.2">
      <c r="A6530" t="str">
        <f>"6526"</f>
        <v>6526</v>
      </c>
      <c r="B6530" t="str">
        <f t="shared" si="363"/>
        <v>1</v>
      </c>
      <c r="C6530" t="str">
        <f t="shared" si="362"/>
        <v>131</v>
      </c>
      <c r="D6530" t="str">
        <f>"6"</f>
        <v>6</v>
      </c>
      <c r="E6530" t="str">
        <f>"1-131-6"</f>
        <v>1-131-6</v>
      </c>
      <c r="F6530" t="s">
        <v>65</v>
      </c>
      <c r="G6530" t="s">
        <v>66</v>
      </c>
      <c r="H6530" t="s">
        <v>67</v>
      </c>
      <c r="S6530">
        <v>0</v>
      </c>
      <c r="T6530">
        <v>0</v>
      </c>
      <c r="U6530">
        <v>0</v>
      </c>
      <c r="V6530">
        <v>0</v>
      </c>
      <c r="W6530">
        <v>1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</row>
    <row r="6531" spans="1:39" x14ac:dyDescent="0.2">
      <c r="A6531" t="str">
        <f>"6527"</f>
        <v>6527</v>
      </c>
      <c r="B6531" t="str">
        <f t="shared" si="363"/>
        <v>1</v>
      </c>
      <c r="C6531" t="str">
        <f t="shared" si="362"/>
        <v>131</v>
      </c>
      <c r="D6531" t="str">
        <f>"46"</f>
        <v>46</v>
      </c>
      <c r="E6531" t="str">
        <f>"1-131-46"</f>
        <v>1-131-46</v>
      </c>
      <c r="F6531" t="s">
        <v>65</v>
      </c>
      <c r="G6531" t="s">
        <v>66</v>
      </c>
      <c r="H6531" t="s">
        <v>67</v>
      </c>
      <c r="S6531">
        <v>0</v>
      </c>
      <c r="T6531">
        <v>1</v>
      </c>
      <c r="U6531">
        <v>0</v>
      </c>
      <c r="V6531">
        <v>0</v>
      </c>
      <c r="W6531">
        <v>1</v>
      </c>
      <c r="X6531">
        <v>0</v>
      </c>
      <c r="Y6531">
        <v>1</v>
      </c>
      <c r="Z6531">
        <v>0</v>
      </c>
      <c r="AA6531">
        <v>0</v>
      </c>
      <c r="AB6531">
        <v>1</v>
      </c>
      <c r="AC6531">
        <v>0</v>
      </c>
      <c r="AD6531">
        <v>1</v>
      </c>
      <c r="AE6531">
        <v>1</v>
      </c>
      <c r="AF6531">
        <v>1</v>
      </c>
      <c r="AG6531">
        <v>1</v>
      </c>
      <c r="AH6531">
        <v>1</v>
      </c>
      <c r="AI6531">
        <v>1</v>
      </c>
      <c r="AJ6531">
        <v>1</v>
      </c>
      <c r="AK6531">
        <v>1</v>
      </c>
      <c r="AL6531">
        <v>1</v>
      </c>
      <c r="AM6531">
        <v>1</v>
      </c>
    </row>
    <row r="6532" spans="1:39" x14ac:dyDescent="0.2">
      <c r="A6532" t="str">
        <f>"6528"</f>
        <v>6528</v>
      </c>
      <c r="B6532" t="str">
        <f t="shared" si="363"/>
        <v>1</v>
      </c>
      <c r="C6532" t="str">
        <f t="shared" si="362"/>
        <v>131</v>
      </c>
      <c r="D6532" t="str">
        <f>"22"</f>
        <v>22</v>
      </c>
      <c r="E6532" t="str">
        <f>"1-131-22"</f>
        <v>1-131-22</v>
      </c>
      <c r="F6532" t="s">
        <v>65</v>
      </c>
      <c r="G6532" t="s">
        <v>66</v>
      </c>
      <c r="H6532" t="s">
        <v>67</v>
      </c>
      <c r="S6532">
        <v>0</v>
      </c>
      <c r="T6532">
        <v>1</v>
      </c>
      <c r="U6532">
        <v>0</v>
      </c>
      <c r="V6532">
        <v>0</v>
      </c>
      <c r="W6532">
        <v>1</v>
      </c>
      <c r="X6532">
        <v>0</v>
      </c>
      <c r="Y6532">
        <v>1</v>
      </c>
      <c r="Z6532">
        <v>0</v>
      </c>
      <c r="AA6532">
        <v>1</v>
      </c>
      <c r="AB6532">
        <v>0</v>
      </c>
      <c r="AC6532">
        <v>0</v>
      </c>
      <c r="AD6532">
        <v>1</v>
      </c>
      <c r="AE6532">
        <v>1</v>
      </c>
      <c r="AF6532">
        <v>1</v>
      </c>
      <c r="AG6532">
        <v>1</v>
      </c>
      <c r="AH6532">
        <v>1</v>
      </c>
      <c r="AI6532">
        <v>1</v>
      </c>
      <c r="AJ6532">
        <v>1</v>
      </c>
      <c r="AK6532">
        <v>1</v>
      </c>
      <c r="AL6532">
        <v>1</v>
      </c>
      <c r="AM6532">
        <v>1</v>
      </c>
    </row>
    <row r="6533" spans="1:39" x14ac:dyDescent="0.2">
      <c r="A6533" t="str">
        <f>"6529"</f>
        <v>6529</v>
      </c>
      <c r="B6533" t="str">
        <f t="shared" si="363"/>
        <v>1</v>
      </c>
      <c r="C6533" t="str">
        <f t="shared" si="362"/>
        <v>131</v>
      </c>
      <c r="D6533" t="str">
        <f>"9"</f>
        <v>9</v>
      </c>
      <c r="E6533" t="str">
        <f>"1-131-9"</f>
        <v>1-131-9</v>
      </c>
      <c r="F6533" t="s">
        <v>65</v>
      </c>
      <c r="G6533" t="s">
        <v>66</v>
      </c>
      <c r="H6533" t="s">
        <v>67</v>
      </c>
      <c r="S6533">
        <v>1</v>
      </c>
      <c r="T6533">
        <v>0</v>
      </c>
      <c r="U6533">
        <v>0</v>
      </c>
      <c r="V6533">
        <v>0</v>
      </c>
      <c r="W6533">
        <v>1</v>
      </c>
      <c r="X6533">
        <v>0</v>
      </c>
      <c r="Y6533">
        <v>1</v>
      </c>
      <c r="Z6533">
        <v>0</v>
      </c>
      <c r="AA6533">
        <v>0</v>
      </c>
      <c r="AB6533">
        <v>0</v>
      </c>
      <c r="AC6533">
        <v>1</v>
      </c>
      <c r="AD6533">
        <v>1</v>
      </c>
      <c r="AE6533">
        <v>1</v>
      </c>
      <c r="AF6533">
        <v>1</v>
      </c>
      <c r="AG6533">
        <v>1</v>
      </c>
      <c r="AH6533">
        <v>1</v>
      </c>
      <c r="AI6533">
        <v>1</v>
      </c>
      <c r="AJ6533">
        <v>1</v>
      </c>
      <c r="AK6533">
        <v>1</v>
      </c>
      <c r="AL6533">
        <v>1</v>
      </c>
      <c r="AM6533">
        <v>1</v>
      </c>
    </row>
    <row r="6534" spans="1:39" x14ac:dyDescent="0.2">
      <c r="A6534" t="str">
        <f>"6530"</f>
        <v>6530</v>
      </c>
      <c r="B6534" t="str">
        <f t="shared" si="363"/>
        <v>1</v>
      </c>
      <c r="C6534" t="str">
        <f t="shared" si="362"/>
        <v>131</v>
      </c>
      <c r="D6534" t="str">
        <f>"44"</f>
        <v>44</v>
      </c>
      <c r="E6534" t="str">
        <f>"1-131-44"</f>
        <v>1-131-44</v>
      </c>
      <c r="F6534" t="s">
        <v>65</v>
      </c>
      <c r="G6534" t="s">
        <v>66</v>
      </c>
      <c r="H6534" t="s">
        <v>67</v>
      </c>
      <c r="S6534">
        <v>1</v>
      </c>
      <c r="T6534">
        <v>0</v>
      </c>
      <c r="U6534">
        <v>0</v>
      </c>
      <c r="V6534">
        <v>0</v>
      </c>
      <c r="W6534">
        <v>0</v>
      </c>
      <c r="X6534">
        <v>1</v>
      </c>
      <c r="Y6534">
        <v>1</v>
      </c>
      <c r="Z6534">
        <v>0</v>
      </c>
      <c r="AA6534">
        <v>0</v>
      </c>
      <c r="AB6534">
        <v>0</v>
      </c>
      <c r="AC6534">
        <v>1</v>
      </c>
      <c r="AD6534">
        <v>1</v>
      </c>
      <c r="AE6534">
        <v>1</v>
      </c>
      <c r="AF6534">
        <v>1</v>
      </c>
      <c r="AG6534">
        <v>1</v>
      </c>
      <c r="AH6534">
        <v>1</v>
      </c>
      <c r="AI6534">
        <v>1</v>
      </c>
      <c r="AJ6534">
        <v>1</v>
      </c>
      <c r="AK6534">
        <v>1</v>
      </c>
      <c r="AL6534">
        <v>1</v>
      </c>
      <c r="AM6534">
        <v>1</v>
      </c>
    </row>
    <row r="6535" spans="1:39" x14ac:dyDescent="0.2">
      <c r="A6535" t="str">
        <f>"6531"</f>
        <v>6531</v>
      </c>
      <c r="B6535" t="str">
        <f t="shared" si="363"/>
        <v>1</v>
      </c>
      <c r="C6535" t="str">
        <f t="shared" si="362"/>
        <v>131</v>
      </c>
      <c r="D6535" t="str">
        <f>"23"</f>
        <v>23</v>
      </c>
      <c r="E6535" t="str">
        <f>"1-131-23"</f>
        <v>1-131-23</v>
      </c>
      <c r="F6535" t="s">
        <v>65</v>
      </c>
      <c r="G6535" t="s">
        <v>66</v>
      </c>
      <c r="H6535" t="s">
        <v>67</v>
      </c>
      <c r="S6535">
        <v>1</v>
      </c>
      <c r="T6535">
        <v>0</v>
      </c>
      <c r="U6535">
        <v>0</v>
      </c>
      <c r="V6535">
        <v>0</v>
      </c>
      <c r="W6535">
        <v>1</v>
      </c>
      <c r="X6535">
        <v>0</v>
      </c>
      <c r="Y6535">
        <v>1</v>
      </c>
      <c r="Z6535">
        <v>0</v>
      </c>
      <c r="AA6535">
        <v>0</v>
      </c>
      <c r="AB6535">
        <v>1</v>
      </c>
      <c r="AC6535">
        <v>0</v>
      </c>
      <c r="AD6535">
        <v>1</v>
      </c>
      <c r="AE6535">
        <v>1</v>
      </c>
      <c r="AF6535">
        <v>1</v>
      </c>
      <c r="AG6535">
        <v>1</v>
      </c>
      <c r="AH6535">
        <v>1</v>
      </c>
      <c r="AI6535">
        <v>1</v>
      </c>
      <c r="AJ6535">
        <v>1</v>
      </c>
      <c r="AK6535">
        <v>1</v>
      </c>
      <c r="AL6535">
        <v>1</v>
      </c>
      <c r="AM6535">
        <v>1</v>
      </c>
    </row>
    <row r="6536" spans="1:39" x14ac:dyDescent="0.2">
      <c r="A6536" t="str">
        <f>"6532"</f>
        <v>6532</v>
      </c>
      <c r="B6536" t="str">
        <f t="shared" si="363"/>
        <v>1</v>
      </c>
      <c r="C6536" t="str">
        <f t="shared" si="362"/>
        <v>131</v>
      </c>
      <c r="D6536" t="str">
        <f>"13"</f>
        <v>13</v>
      </c>
      <c r="E6536" t="str">
        <f>"1-131-13"</f>
        <v>1-131-13</v>
      </c>
      <c r="F6536" t="s">
        <v>65</v>
      </c>
      <c r="G6536" t="s">
        <v>66</v>
      </c>
      <c r="H6536" t="s">
        <v>67</v>
      </c>
      <c r="S6536">
        <v>1</v>
      </c>
      <c r="T6536">
        <v>0</v>
      </c>
      <c r="U6536">
        <v>0</v>
      </c>
      <c r="V6536">
        <v>0</v>
      </c>
      <c r="W6536">
        <v>0</v>
      </c>
      <c r="X6536">
        <v>1</v>
      </c>
      <c r="Y6536">
        <v>1</v>
      </c>
      <c r="Z6536">
        <v>0</v>
      </c>
      <c r="AA6536">
        <v>0</v>
      </c>
      <c r="AB6536">
        <v>1</v>
      </c>
      <c r="AC6536">
        <v>0</v>
      </c>
      <c r="AD6536">
        <v>1</v>
      </c>
      <c r="AE6536">
        <v>0</v>
      </c>
      <c r="AF6536">
        <v>0</v>
      </c>
      <c r="AG6536">
        <v>1</v>
      </c>
      <c r="AH6536">
        <v>0</v>
      </c>
      <c r="AI6536">
        <v>1</v>
      </c>
      <c r="AJ6536">
        <v>1</v>
      </c>
      <c r="AK6536">
        <v>1</v>
      </c>
      <c r="AL6536">
        <v>1</v>
      </c>
      <c r="AM6536">
        <v>1</v>
      </c>
    </row>
    <row r="6537" spans="1:39" x14ac:dyDescent="0.2">
      <c r="A6537" t="str">
        <f>"6533"</f>
        <v>6533</v>
      </c>
      <c r="B6537" t="str">
        <f t="shared" si="363"/>
        <v>1</v>
      </c>
      <c r="C6537" t="str">
        <f t="shared" ref="C6537:C6554" si="364">"131"</f>
        <v>131</v>
      </c>
      <c r="D6537" t="str">
        <f>"43"</f>
        <v>43</v>
      </c>
      <c r="E6537" t="str">
        <f>"1-131-43"</f>
        <v>1-131-43</v>
      </c>
      <c r="F6537" t="s">
        <v>65</v>
      </c>
      <c r="G6537" t="s">
        <v>66</v>
      </c>
      <c r="H6537" t="s">
        <v>67</v>
      </c>
      <c r="S6537">
        <v>1</v>
      </c>
      <c r="T6537">
        <v>0</v>
      </c>
      <c r="U6537">
        <v>0</v>
      </c>
      <c r="V6537">
        <v>0</v>
      </c>
      <c r="W6537">
        <v>1</v>
      </c>
      <c r="X6537">
        <v>0</v>
      </c>
      <c r="Y6537">
        <v>0</v>
      </c>
      <c r="Z6537">
        <v>1</v>
      </c>
      <c r="AA6537">
        <v>0</v>
      </c>
      <c r="AB6537">
        <v>0</v>
      </c>
      <c r="AC6537">
        <v>1</v>
      </c>
      <c r="AD6537">
        <v>1</v>
      </c>
      <c r="AE6537">
        <v>1</v>
      </c>
      <c r="AF6537">
        <v>1</v>
      </c>
      <c r="AG6537">
        <v>1</v>
      </c>
      <c r="AH6537">
        <v>1</v>
      </c>
      <c r="AI6537">
        <v>1</v>
      </c>
      <c r="AJ6537">
        <v>1</v>
      </c>
      <c r="AK6537">
        <v>1</v>
      </c>
      <c r="AL6537">
        <v>1</v>
      </c>
      <c r="AM6537">
        <v>1</v>
      </c>
    </row>
    <row r="6538" spans="1:39" x14ac:dyDescent="0.2">
      <c r="A6538" t="str">
        <f>"6534"</f>
        <v>6534</v>
      </c>
      <c r="B6538" t="str">
        <f t="shared" si="363"/>
        <v>1</v>
      </c>
      <c r="C6538" t="str">
        <f t="shared" si="364"/>
        <v>131</v>
      </c>
      <c r="D6538" t="str">
        <f>"24"</f>
        <v>24</v>
      </c>
      <c r="E6538" t="str">
        <f>"1-131-24"</f>
        <v>1-131-24</v>
      </c>
      <c r="F6538" t="s">
        <v>65</v>
      </c>
      <c r="G6538" t="s">
        <v>66</v>
      </c>
      <c r="H6538" t="s">
        <v>67</v>
      </c>
      <c r="S6538">
        <v>0</v>
      </c>
      <c r="T6538">
        <v>1</v>
      </c>
      <c r="U6538">
        <v>0</v>
      </c>
      <c r="V6538">
        <v>0</v>
      </c>
      <c r="W6538">
        <v>1</v>
      </c>
      <c r="X6538">
        <v>0</v>
      </c>
      <c r="Y6538">
        <v>1</v>
      </c>
      <c r="Z6538">
        <v>0</v>
      </c>
      <c r="AA6538">
        <v>0</v>
      </c>
      <c r="AB6538">
        <v>1</v>
      </c>
      <c r="AC6538">
        <v>0</v>
      </c>
      <c r="AD6538">
        <v>1</v>
      </c>
      <c r="AE6538">
        <v>1</v>
      </c>
      <c r="AF6538">
        <v>1</v>
      </c>
      <c r="AG6538">
        <v>1</v>
      </c>
      <c r="AH6538">
        <v>1</v>
      </c>
      <c r="AI6538">
        <v>1</v>
      </c>
      <c r="AJ6538">
        <v>1</v>
      </c>
      <c r="AK6538">
        <v>1</v>
      </c>
      <c r="AL6538">
        <v>1</v>
      </c>
      <c r="AM6538">
        <v>1</v>
      </c>
    </row>
    <row r="6539" spans="1:39" x14ac:dyDescent="0.2">
      <c r="A6539" t="str">
        <f>"6535"</f>
        <v>6535</v>
      </c>
      <c r="B6539" t="str">
        <f t="shared" si="363"/>
        <v>1</v>
      </c>
      <c r="C6539" t="str">
        <f t="shared" si="364"/>
        <v>131</v>
      </c>
      <c r="D6539" t="str">
        <f>"1"</f>
        <v>1</v>
      </c>
      <c r="E6539" t="str">
        <f>"1-131-1"</f>
        <v>1-131-1</v>
      </c>
      <c r="F6539" t="s">
        <v>65</v>
      </c>
      <c r="G6539" t="s">
        <v>66</v>
      </c>
      <c r="H6539" t="s">
        <v>67</v>
      </c>
      <c r="S6539">
        <v>0</v>
      </c>
      <c r="T6539">
        <v>1</v>
      </c>
      <c r="U6539">
        <v>0</v>
      </c>
      <c r="V6539">
        <v>0</v>
      </c>
      <c r="W6539">
        <v>0</v>
      </c>
      <c r="X6539">
        <v>1</v>
      </c>
      <c r="Y6539">
        <v>0</v>
      </c>
      <c r="Z6539">
        <v>1</v>
      </c>
      <c r="AA6539">
        <v>0</v>
      </c>
      <c r="AB6539">
        <v>1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</row>
    <row r="6540" spans="1:39" x14ac:dyDescent="0.2">
      <c r="A6540" t="str">
        <f>"6536"</f>
        <v>6536</v>
      </c>
      <c r="B6540" t="str">
        <f t="shared" si="363"/>
        <v>1</v>
      </c>
      <c r="C6540" t="str">
        <f t="shared" si="364"/>
        <v>131</v>
      </c>
      <c r="D6540" t="str">
        <f>"40"</f>
        <v>40</v>
      </c>
      <c r="E6540" t="str">
        <f>"1-131-40"</f>
        <v>1-131-40</v>
      </c>
      <c r="F6540" t="s">
        <v>65</v>
      </c>
      <c r="G6540" t="s">
        <v>66</v>
      </c>
      <c r="H6540" t="s">
        <v>67</v>
      </c>
      <c r="S6540">
        <v>0</v>
      </c>
      <c r="T6540">
        <v>1</v>
      </c>
      <c r="U6540">
        <v>0</v>
      </c>
      <c r="V6540">
        <v>0</v>
      </c>
      <c r="W6540">
        <v>1</v>
      </c>
      <c r="X6540">
        <v>0</v>
      </c>
      <c r="Y6540">
        <v>0</v>
      </c>
      <c r="Z6540">
        <v>1</v>
      </c>
      <c r="AA6540">
        <v>0</v>
      </c>
      <c r="AB6540">
        <v>1</v>
      </c>
      <c r="AC6540">
        <v>0</v>
      </c>
      <c r="AD6540">
        <v>1</v>
      </c>
      <c r="AE6540">
        <v>1</v>
      </c>
      <c r="AF6540">
        <v>1</v>
      </c>
      <c r="AG6540">
        <v>1</v>
      </c>
      <c r="AH6540">
        <v>1</v>
      </c>
      <c r="AI6540">
        <v>1</v>
      </c>
      <c r="AJ6540">
        <v>1</v>
      </c>
      <c r="AK6540">
        <v>1</v>
      </c>
      <c r="AL6540">
        <v>1</v>
      </c>
      <c r="AM6540">
        <v>1</v>
      </c>
    </row>
    <row r="6541" spans="1:39" x14ac:dyDescent="0.2">
      <c r="A6541" t="str">
        <f>"6537"</f>
        <v>6537</v>
      </c>
      <c r="B6541" t="str">
        <f t="shared" si="363"/>
        <v>1</v>
      </c>
      <c r="C6541" t="str">
        <f t="shared" si="364"/>
        <v>131</v>
      </c>
      <c r="D6541" t="str">
        <f>"25"</f>
        <v>25</v>
      </c>
      <c r="E6541" t="str">
        <f>"1-131-25"</f>
        <v>1-131-25</v>
      </c>
      <c r="F6541" t="s">
        <v>65</v>
      </c>
      <c r="G6541" t="s">
        <v>66</v>
      </c>
      <c r="H6541" t="s">
        <v>67</v>
      </c>
      <c r="S6541">
        <v>1</v>
      </c>
      <c r="T6541">
        <v>0</v>
      </c>
      <c r="U6541">
        <v>0</v>
      </c>
      <c r="V6541">
        <v>0</v>
      </c>
      <c r="W6541">
        <v>1</v>
      </c>
      <c r="X6541">
        <v>0</v>
      </c>
      <c r="Y6541">
        <v>1</v>
      </c>
      <c r="Z6541">
        <v>0</v>
      </c>
      <c r="AA6541">
        <v>1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</row>
    <row r="6542" spans="1:39" x14ac:dyDescent="0.2">
      <c r="A6542" t="str">
        <f>"6538"</f>
        <v>6538</v>
      </c>
      <c r="B6542" t="str">
        <f t="shared" si="363"/>
        <v>1</v>
      </c>
      <c r="C6542" t="str">
        <f t="shared" si="364"/>
        <v>131</v>
      </c>
      <c r="D6542" t="str">
        <f>"12"</f>
        <v>12</v>
      </c>
      <c r="E6542" t="str">
        <f>"1-131-12"</f>
        <v>1-131-12</v>
      </c>
      <c r="F6542" t="s">
        <v>65</v>
      </c>
      <c r="G6542" t="s">
        <v>66</v>
      </c>
      <c r="H6542" t="s">
        <v>67</v>
      </c>
      <c r="S6542">
        <v>1</v>
      </c>
      <c r="T6542">
        <v>0</v>
      </c>
      <c r="U6542">
        <v>0</v>
      </c>
      <c r="V6542">
        <v>0</v>
      </c>
      <c r="W6542">
        <v>1</v>
      </c>
      <c r="X6542">
        <v>0</v>
      </c>
      <c r="Y6542">
        <v>1</v>
      </c>
      <c r="Z6542">
        <v>0</v>
      </c>
      <c r="AA6542">
        <v>0</v>
      </c>
      <c r="AB6542">
        <v>1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</row>
    <row r="6543" spans="1:39" x14ac:dyDescent="0.2">
      <c r="A6543" t="str">
        <f>"6539"</f>
        <v>6539</v>
      </c>
      <c r="B6543" t="str">
        <f t="shared" si="363"/>
        <v>1</v>
      </c>
      <c r="C6543" t="str">
        <f t="shared" si="364"/>
        <v>131</v>
      </c>
      <c r="D6543" t="str">
        <f>"42"</f>
        <v>42</v>
      </c>
      <c r="E6543" t="str">
        <f>"1-131-42"</f>
        <v>1-131-42</v>
      </c>
      <c r="F6543" t="s">
        <v>65</v>
      </c>
      <c r="G6543" t="s">
        <v>66</v>
      </c>
      <c r="H6543" t="s">
        <v>67</v>
      </c>
      <c r="S6543">
        <v>0</v>
      </c>
      <c r="T6543">
        <v>1</v>
      </c>
      <c r="U6543">
        <v>0</v>
      </c>
      <c r="V6543">
        <v>0</v>
      </c>
      <c r="W6543">
        <v>1</v>
      </c>
      <c r="X6543">
        <v>0</v>
      </c>
      <c r="Y6543">
        <v>0</v>
      </c>
      <c r="Z6543">
        <v>1</v>
      </c>
      <c r="AA6543">
        <v>0</v>
      </c>
      <c r="AB6543">
        <v>1</v>
      </c>
      <c r="AC6543">
        <v>0</v>
      </c>
      <c r="AD6543">
        <v>1</v>
      </c>
      <c r="AE6543">
        <v>1</v>
      </c>
      <c r="AF6543">
        <v>1</v>
      </c>
      <c r="AG6543">
        <v>1</v>
      </c>
      <c r="AH6543">
        <v>1</v>
      </c>
      <c r="AI6543">
        <v>1</v>
      </c>
      <c r="AJ6543">
        <v>1</v>
      </c>
      <c r="AK6543">
        <v>1</v>
      </c>
      <c r="AL6543">
        <v>1</v>
      </c>
      <c r="AM6543">
        <v>1</v>
      </c>
    </row>
    <row r="6544" spans="1:39" x14ac:dyDescent="0.2">
      <c r="A6544" t="str">
        <f>"6540"</f>
        <v>6540</v>
      </c>
      <c r="B6544" t="str">
        <f t="shared" si="363"/>
        <v>1</v>
      </c>
      <c r="C6544" t="str">
        <f t="shared" si="364"/>
        <v>131</v>
      </c>
      <c r="D6544" t="str">
        <f>"26"</f>
        <v>26</v>
      </c>
      <c r="E6544" t="str">
        <f>"1-131-26"</f>
        <v>1-131-26</v>
      </c>
      <c r="F6544" t="s">
        <v>65</v>
      </c>
      <c r="G6544" t="s">
        <v>66</v>
      </c>
      <c r="H6544" t="s">
        <v>67</v>
      </c>
      <c r="S6544">
        <v>1</v>
      </c>
      <c r="T6544">
        <v>0</v>
      </c>
      <c r="U6544">
        <v>0</v>
      </c>
      <c r="V6544">
        <v>0</v>
      </c>
      <c r="W6544">
        <v>1</v>
      </c>
      <c r="X6544">
        <v>0</v>
      </c>
      <c r="Y6544">
        <v>1</v>
      </c>
      <c r="Z6544">
        <v>0</v>
      </c>
      <c r="AA6544">
        <v>1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</row>
    <row r="6545" spans="1:39" x14ac:dyDescent="0.2">
      <c r="A6545" t="str">
        <f>"6541"</f>
        <v>6541</v>
      </c>
      <c r="B6545" t="str">
        <f t="shared" si="363"/>
        <v>1</v>
      </c>
      <c r="C6545" t="str">
        <f t="shared" si="364"/>
        <v>131</v>
      </c>
      <c r="D6545" t="str">
        <f>"4"</f>
        <v>4</v>
      </c>
      <c r="E6545" t="str">
        <f>"1-131-4"</f>
        <v>1-131-4</v>
      </c>
      <c r="F6545" t="s">
        <v>65</v>
      </c>
      <c r="G6545" t="s">
        <v>66</v>
      </c>
      <c r="H6545" t="s">
        <v>67</v>
      </c>
      <c r="S6545">
        <v>0</v>
      </c>
      <c r="T6545">
        <v>1</v>
      </c>
      <c r="U6545">
        <v>0</v>
      </c>
      <c r="V6545">
        <v>0</v>
      </c>
      <c r="W6545">
        <v>1</v>
      </c>
      <c r="X6545">
        <v>0</v>
      </c>
      <c r="Y6545">
        <v>1</v>
      </c>
      <c r="Z6545">
        <v>0</v>
      </c>
      <c r="AA6545">
        <v>0</v>
      </c>
      <c r="AB6545">
        <v>1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</row>
    <row r="6546" spans="1:39" x14ac:dyDescent="0.2">
      <c r="A6546" t="str">
        <f>"6542"</f>
        <v>6542</v>
      </c>
      <c r="B6546" t="str">
        <f t="shared" si="363"/>
        <v>1</v>
      </c>
      <c r="C6546" t="str">
        <f t="shared" si="364"/>
        <v>131</v>
      </c>
      <c r="D6546" t="str">
        <f>"45"</f>
        <v>45</v>
      </c>
      <c r="E6546" t="str">
        <f>"1-131-45"</f>
        <v>1-131-45</v>
      </c>
      <c r="F6546" t="s">
        <v>65</v>
      </c>
      <c r="G6546" t="s">
        <v>66</v>
      </c>
      <c r="H6546" t="s">
        <v>67</v>
      </c>
      <c r="S6546">
        <v>1</v>
      </c>
      <c r="T6546">
        <v>0</v>
      </c>
      <c r="U6546">
        <v>0</v>
      </c>
      <c r="V6546">
        <v>0</v>
      </c>
      <c r="W6546">
        <v>1</v>
      </c>
      <c r="X6546">
        <v>0</v>
      </c>
      <c r="Y6546">
        <v>1</v>
      </c>
      <c r="Z6546">
        <v>0</v>
      </c>
      <c r="AA6546">
        <v>0</v>
      </c>
      <c r="AB6546">
        <v>0</v>
      </c>
      <c r="AC6546">
        <v>1</v>
      </c>
      <c r="AD6546">
        <v>1</v>
      </c>
      <c r="AE6546">
        <v>1</v>
      </c>
      <c r="AF6546">
        <v>1</v>
      </c>
      <c r="AG6546">
        <v>1</v>
      </c>
      <c r="AH6546">
        <v>1</v>
      </c>
      <c r="AI6546">
        <v>1</v>
      </c>
      <c r="AJ6546">
        <v>1</v>
      </c>
      <c r="AK6546">
        <v>1</v>
      </c>
      <c r="AL6546">
        <v>1</v>
      </c>
      <c r="AM6546">
        <v>1</v>
      </c>
    </row>
    <row r="6547" spans="1:39" x14ac:dyDescent="0.2">
      <c r="A6547" t="str">
        <f>"6543"</f>
        <v>6543</v>
      </c>
      <c r="B6547" t="str">
        <f t="shared" si="363"/>
        <v>1</v>
      </c>
      <c r="C6547" t="str">
        <f t="shared" si="364"/>
        <v>131</v>
      </c>
      <c r="D6547" t="str">
        <f>"27"</f>
        <v>27</v>
      </c>
      <c r="E6547" t="str">
        <f>"1-131-27"</f>
        <v>1-131-27</v>
      </c>
      <c r="F6547" t="s">
        <v>65</v>
      </c>
      <c r="G6547" t="s">
        <v>66</v>
      </c>
      <c r="H6547" t="s">
        <v>67</v>
      </c>
      <c r="S6547">
        <v>0</v>
      </c>
      <c r="T6547">
        <v>1</v>
      </c>
      <c r="U6547">
        <v>0</v>
      </c>
      <c r="V6547">
        <v>0</v>
      </c>
      <c r="W6547">
        <v>1</v>
      </c>
      <c r="X6547">
        <v>0</v>
      </c>
      <c r="Y6547">
        <v>1</v>
      </c>
      <c r="Z6547">
        <v>0</v>
      </c>
      <c r="AA6547">
        <v>1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</row>
    <row r="6548" spans="1:39" x14ac:dyDescent="0.2">
      <c r="A6548" t="str">
        <f>"6544"</f>
        <v>6544</v>
      </c>
      <c r="B6548" t="str">
        <f t="shared" si="363"/>
        <v>1</v>
      </c>
      <c r="C6548" t="str">
        <f t="shared" si="364"/>
        <v>131</v>
      </c>
      <c r="D6548" t="str">
        <f>"2"</f>
        <v>2</v>
      </c>
      <c r="E6548" t="str">
        <f>"1-131-2"</f>
        <v>1-131-2</v>
      </c>
      <c r="F6548" t="s">
        <v>65</v>
      </c>
      <c r="G6548" t="s">
        <v>66</v>
      </c>
      <c r="H6548" t="s">
        <v>67</v>
      </c>
      <c r="S6548">
        <v>0</v>
      </c>
      <c r="T6548">
        <v>1</v>
      </c>
      <c r="U6548">
        <v>0</v>
      </c>
      <c r="V6548">
        <v>0</v>
      </c>
      <c r="W6548">
        <v>1</v>
      </c>
      <c r="X6548">
        <v>0</v>
      </c>
      <c r="Y6548">
        <v>1</v>
      </c>
      <c r="Z6548">
        <v>0</v>
      </c>
      <c r="AA6548">
        <v>1</v>
      </c>
      <c r="AB6548">
        <v>0</v>
      </c>
      <c r="AC6548">
        <v>0</v>
      </c>
      <c r="AD6548">
        <v>1</v>
      </c>
      <c r="AE6548">
        <v>1</v>
      </c>
      <c r="AF6548">
        <v>1</v>
      </c>
      <c r="AG6548">
        <v>1</v>
      </c>
      <c r="AH6548">
        <v>1</v>
      </c>
      <c r="AI6548">
        <v>1</v>
      </c>
      <c r="AJ6548">
        <v>1</v>
      </c>
      <c r="AK6548">
        <v>1</v>
      </c>
      <c r="AL6548">
        <v>1</v>
      </c>
      <c r="AM6548">
        <v>1</v>
      </c>
    </row>
    <row r="6549" spans="1:39" x14ac:dyDescent="0.2">
      <c r="A6549" t="str">
        <f>"6545"</f>
        <v>6545</v>
      </c>
      <c r="B6549" t="str">
        <f t="shared" si="363"/>
        <v>1</v>
      </c>
      <c r="C6549" t="str">
        <f t="shared" si="364"/>
        <v>131</v>
      </c>
      <c r="D6549" t="str">
        <f>"28"</f>
        <v>28</v>
      </c>
      <c r="E6549" t="str">
        <f>"1-131-28"</f>
        <v>1-131-28</v>
      </c>
      <c r="F6549" t="s">
        <v>65</v>
      </c>
      <c r="G6549" t="s">
        <v>66</v>
      </c>
      <c r="H6549" t="s">
        <v>67</v>
      </c>
      <c r="S6549">
        <v>0</v>
      </c>
      <c r="T6549">
        <v>1</v>
      </c>
      <c r="U6549">
        <v>0</v>
      </c>
      <c r="V6549">
        <v>0</v>
      </c>
      <c r="W6549">
        <v>0</v>
      </c>
      <c r="X6549">
        <v>1</v>
      </c>
      <c r="Y6549">
        <v>1</v>
      </c>
      <c r="Z6549">
        <v>0</v>
      </c>
      <c r="AA6549">
        <v>0</v>
      </c>
      <c r="AB6549">
        <v>1</v>
      </c>
      <c r="AC6549">
        <v>0</v>
      </c>
      <c r="AD6549">
        <v>1</v>
      </c>
      <c r="AE6549">
        <v>1</v>
      </c>
      <c r="AF6549">
        <v>1</v>
      </c>
      <c r="AG6549">
        <v>1</v>
      </c>
      <c r="AH6549">
        <v>1</v>
      </c>
      <c r="AI6549">
        <v>1</v>
      </c>
      <c r="AJ6549">
        <v>1</v>
      </c>
      <c r="AK6549">
        <v>1</v>
      </c>
      <c r="AL6549">
        <v>1</v>
      </c>
      <c r="AM6549">
        <v>1</v>
      </c>
    </row>
    <row r="6550" spans="1:39" x14ac:dyDescent="0.2">
      <c r="A6550" t="str">
        <f>"6546"</f>
        <v>6546</v>
      </c>
      <c r="B6550" t="str">
        <f t="shared" si="363"/>
        <v>1</v>
      </c>
      <c r="C6550" t="str">
        <f t="shared" si="364"/>
        <v>131</v>
      </c>
      <c r="D6550" t="str">
        <f>"14"</f>
        <v>14</v>
      </c>
      <c r="E6550" t="str">
        <f>"1-131-14"</f>
        <v>1-131-14</v>
      </c>
      <c r="F6550" t="s">
        <v>65</v>
      </c>
      <c r="G6550" t="s">
        <v>66</v>
      </c>
      <c r="H6550" t="s">
        <v>67</v>
      </c>
      <c r="S6550">
        <v>1</v>
      </c>
      <c r="T6550">
        <v>0</v>
      </c>
      <c r="U6550">
        <v>0</v>
      </c>
      <c r="V6550">
        <v>0</v>
      </c>
      <c r="W6550">
        <v>1</v>
      </c>
      <c r="X6550">
        <v>0</v>
      </c>
      <c r="Y6550">
        <v>1</v>
      </c>
      <c r="Z6550">
        <v>0</v>
      </c>
      <c r="AA6550">
        <v>0</v>
      </c>
      <c r="AB6550">
        <v>0</v>
      </c>
      <c r="AC6550">
        <v>1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</row>
    <row r="6551" spans="1:39" x14ac:dyDescent="0.2">
      <c r="A6551" t="str">
        <f>"6547"</f>
        <v>6547</v>
      </c>
      <c r="B6551" t="str">
        <f t="shared" si="363"/>
        <v>1</v>
      </c>
      <c r="C6551" t="str">
        <f t="shared" si="364"/>
        <v>131</v>
      </c>
      <c r="D6551" t="str">
        <f>"47"</f>
        <v>47</v>
      </c>
      <c r="E6551" t="str">
        <f>"1-131-47"</f>
        <v>1-131-47</v>
      </c>
      <c r="F6551" t="s">
        <v>65</v>
      </c>
      <c r="G6551" t="s">
        <v>66</v>
      </c>
      <c r="H6551" t="s">
        <v>67</v>
      </c>
      <c r="S6551">
        <v>0</v>
      </c>
      <c r="T6551">
        <v>1</v>
      </c>
      <c r="U6551">
        <v>0</v>
      </c>
      <c r="V6551">
        <v>0</v>
      </c>
      <c r="W6551">
        <v>1</v>
      </c>
      <c r="X6551">
        <v>0</v>
      </c>
      <c r="Y6551">
        <v>1</v>
      </c>
      <c r="Z6551">
        <v>0</v>
      </c>
      <c r="AA6551">
        <v>1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1</v>
      </c>
      <c r="AM6551">
        <v>0</v>
      </c>
    </row>
    <row r="6552" spans="1:39" x14ac:dyDescent="0.2">
      <c r="A6552" t="str">
        <f>"6548"</f>
        <v>6548</v>
      </c>
      <c r="B6552" t="str">
        <f t="shared" si="363"/>
        <v>1</v>
      </c>
      <c r="C6552" t="str">
        <f t="shared" si="364"/>
        <v>131</v>
      </c>
      <c r="D6552" t="str">
        <f>"30"</f>
        <v>30</v>
      </c>
      <c r="E6552" t="str">
        <f>"1-131-30"</f>
        <v>1-131-30</v>
      </c>
      <c r="F6552" t="s">
        <v>65</v>
      </c>
      <c r="G6552" t="s">
        <v>66</v>
      </c>
      <c r="H6552" t="s">
        <v>67</v>
      </c>
      <c r="S6552">
        <v>1</v>
      </c>
      <c r="T6552">
        <v>0</v>
      </c>
      <c r="U6552">
        <v>0</v>
      </c>
      <c r="V6552">
        <v>0</v>
      </c>
      <c r="W6552">
        <v>1</v>
      </c>
      <c r="X6552">
        <v>0</v>
      </c>
      <c r="Y6552">
        <v>1</v>
      </c>
      <c r="Z6552">
        <v>0</v>
      </c>
      <c r="AA6552">
        <v>1</v>
      </c>
      <c r="AB6552">
        <v>0</v>
      </c>
      <c r="AC6552">
        <v>0</v>
      </c>
      <c r="AD6552">
        <v>1</v>
      </c>
      <c r="AE6552">
        <v>1</v>
      </c>
      <c r="AF6552">
        <v>1</v>
      </c>
      <c r="AG6552">
        <v>1</v>
      </c>
      <c r="AH6552">
        <v>1</v>
      </c>
      <c r="AI6552">
        <v>1</v>
      </c>
      <c r="AJ6552">
        <v>1</v>
      </c>
      <c r="AK6552">
        <v>1</v>
      </c>
      <c r="AL6552">
        <v>1</v>
      </c>
      <c r="AM6552">
        <v>1</v>
      </c>
    </row>
    <row r="6553" spans="1:39" x14ac:dyDescent="0.2">
      <c r="A6553" t="str">
        <f>"6549"</f>
        <v>6549</v>
      </c>
      <c r="B6553" t="str">
        <f t="shared" si="363"/>
        <v>1</v>
      </c>
      <c r="C6553" t="str">
        <f t="shared" si="364"/>
        <v>131</v>
      </c>
      <c r="D6553" t="str">
        <f>"7"</f>
        <v>7</v>
      </c>
      <c r="E6553" t="str">
        <f>"1-131-7"</f>
        <v>1-131-7</v>
      </c>
      <c r="F6553" t="s">
        <v>65</v>
      </c>
      <c r="G6553" t="s">
        <v>66</v>
      </c>
      <c r="H6553" t="s">
        <v>67</v>
      </c>
      <c r="S6553">
        <v>0</v>
      </c>
      <c r="T6553">
        <v>1</v>
      </c>
      <c r="U6553">
        <v>0</v>
      </c>
      <c r="V6553">
        <v>0</v>
      </c>
      <c r="W6553">
        <v>1</v>
      </c>
      <c r="X6553">
        <v>0</v>
      </c>
      <c r="Y6553">
        <v>1</v>
      </c>
      <c r="Z6553">
        <v>0</v>
      </c>
      <c r="AA6553">
        <v>1</v>
      </c>
      <c r="AB6553">
        <v>0</v>
      </c>
      <c r="AC6553">
        <v>0</v>
      </c>
      <c r="AD6553">
        <v>1</v>
      </c>
      <c r="AE6553">
        <v>1</v>
      </c>
      <c r="AF6553">
        <v>1</v>
      </c>
      <c r="AG6553">
        <v>1</v>
      </c>
      <c r="AH6553">
        <v>1</v>
      </c>
      <c r="AI6553">
        <v>1</v>
      </c>
      <c r="AJ6553">
        <v>1</v>
      </c>
      <c r="AK6553">
        <v>1</v>
      </c>
      <c r="AL6553">
        <v>1</v>
      </c>
      <c r="AM6553">
        <v>1</v>
      </c>
    </row>
    <row r="6554" spans="1:39" x14ac:dyDescent="0.2">
      <c r="A6554" t="str">
        <f>"6550"</f>
        <v>6550</v>
      </c>
      <c r="B6554" t="str">
        <f t="shared" si="363"/>
        <v>1</v>
      </c>
      <c r="C6554" t="str">
        <f t="shared" si="364"/>
        <v>131</v>
      </c>
      <c r="D6554" t="str">
        <f>"50"</f>
        <v>50</v>
      </c>
      <c r="E6554" t="str">
        <f>"1-131-50"</f>
        <v>1-131-50</v>
      </c>
      <c r="F6554" t="s">
        <v>65</v>
      </c>
      <c r="G6554" t="s">
        <v>66</v>
      </c>
      <c r="H6554" t="s">
        <v>67</v>
      </c>
      <c r="S6554">
        <v>1</v>
      </c>
      <c r="T6554">
        <v>0</v>
      </c>
      <c r="U6554">
        <v>0</v>
      </c>
      <c r="V6554">
        <v>0</v>
      </c>
      <c r="W6554">
        <v>1</v>
      </c>
      <c r="X6554">
        <v>0</v>
      </c>
      <c r="Y6554">
        <v>0</v>
      </c>
      <c r="Z6554">
        <v>1</v>
      </c>
      <c r="AA6554">
        <v>0</v>
      </c>
      <c r="AB6554">
        <v>0</v>
      </c>
      <c r="AC6554">
        <v>1</v>
      </c>
      <c r="AD6554">
        <v>1</v>
      </c>
      <c r="AE6554">
        <v>1</v>
      </c>
      <c r="AF6554">
        <v>1</v>
      </c>
      <c r="AG6554">
        <v>1</v>
      </c>
      <c r="AH6554">
        <v>0</v>
      </c>
      <c r="AI6554">
        <v>0</v>
      </c>
      <c r="AJ6554">
        <v>1</v>
      </c>
      <c r="AK6554">
        <v>1</v>
      </c>
      <c r="AL6554">
        <v>1</v>
      </c>
      <c r="AM6554">
        <v>1</v>
      </c>
    </row>
    <row r="6555" spans="1:39" x14ac:dyDescent="0.2">
      <c r="A6555" t="str">
        <f>"6551"</f>
        <v>6551</v>
      </c>
      <c r="B6555" t="str">
        <f t="shared" si="363"/>
        <v>1</v>
      </c>
      <c r="C6555" t="str">
        <f t="shared" ref="C6555:C6586" si="365">"132"</f>
        <v>132</v>
      </c>
      <c r="D6555" t="str">
        <f>"38"</f>
        <v>38</v>
      </c>
      <c r="E6555" t="str">
        <f>"1-132-38"</f>
        <v>1-132-38</v>
      </c>
      <c r="F6555" t="s">
        <v>65</v>
      </c>
      <c r="G6555" t="s">
        <v>66</v>
      </c>
      <c r="H6555" t="s">
        <v>67</v>
      </c>
      <c r="S6555">
        <v>0</v>
      </c>
      <c r="T6555">
        <v>1</v>
      </c>
      <c r="U6555">
        <v>0</v>
      </c>
      <c r="V6555">
        <v>0</v>
      </c>
      <c r="W6555">
        <v>1</v>
      </c>
      <c r="X6555">
        <v>0</v>
      </c>
      <c r="Y6555">
        <v>1</v>
      </c>
      <c r="Z6555">
        <v>0</v>
      </c>
      <c r="AA6555">
        <v>0</v>
      </c>
      <c r="AB6555">
        <v>1</v>
      </c>
      <c r="AC6555">
        <v>0</v>
      </c>
      <c r="AD6555">
        <v>1</v>
      </c>
      <c r="AE6555">
        <v>1</v>
      </c>
      <c r="AF6555">
        <v>1</v>
      </c>
      <c r="AG6555">
        <v>1</v>
      </c>
      <c r="AH6555">
        <v>1</v>
      </c>
      <c r="AI6555">
        <v>1</v>
      </c>
      <c r="AJ6555">
        <v>1</v>
      </c>
      <c r="AK6555">
        <v>1</v>
      </c>
      <c r="AL6555">
        <v>1</v>
      </c>
      <c r="AM6555">
        <v>1</v>
      </c>
    </row>
    <row r="6556" spans="1:39" x14ac:dyDescent="0.2">
      <c r="A6556" t="str">
        <f>"6552"</f>
        <v>6552</v>
      </c>
      <c r="B6556" t="str">
        <f t="shared" si="363"/>
        <v>1</v>
      </c>
      <c r="C6556" t="str">
        <f t="shared" si="365"/>
        <v>132</v>
      </c>
      <c r="D6556" t="str">
        <f>"37"</f>
        <v>37</v>
      </c>
      <c r="E6556" t="str">
        <f>"1-132-37"</f>
        <v>1-132-37</v>
      </c>
      <c r="F6556" t="s">
        <v>65</v>
      </c>
      <c r="G6556" t="s">
        <v>66</v>
      </c>
      <c r="H6556" t="s">
        <v>67</v>
      </c>
      <c r="S6556">
        <v>1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1</v>
      </c>
      <c r="AA6556">
        <v>0</v>
      </c>
      <c r="AB6556">
        <v>1</v>
      </c>
      <c r="AC6556">
        <v>0</v>
      </c>
      <c r="AD6556">
        <v>1</v>
      </c>
      <c r="AE6556">
        <v>1</v>
      </c>
      <c r="AF6556">
        <v>1</v>
      </c>
      <c r="AG6556">
        <v>1</v>
      </c>
      <c r="AH6556">
        <v>1</v>
      </c>
      <c r="AI6556">
        <v>1</v>
      </c>
      <c r="AJ6556">
        <v>1</v>
      </c>
      <c r="AK6556">
        <v>1</v>
      </c>
      <c r="AL6556">
        <v>1</v>
      </c>
      <c r="AM6556">
        <v>1</v>
      </c>
    </row>
    <row r="6557" spans="1:39" x14ac:dyDescent="0.2">
      <c r="A6557" t="str">
        <f>"6553"</f>
        <v>6553</v>
      </c>
      <c r="B6557" t="str">
        <f t="shared" si="363"/>
        <v>1</v>
      </c>
      <c r="C6557" t="str">
        <f t="shared" si="365"/>
        <v>132</v>
      </c>
      <c r="D6557" t="str">
        <f>"26"</f>
        <v>26</v>
      </c>
      <c r="E6557" t="str">
        <f>"1-132-26"</f>
        <v>1-132-26</v>
      </c>
      <c r="F6557" t="s">
        <v>65</v>
      </c>
      <c r="G6557" t="s">
        <v>66</v>
      </c>
      <c r="H6557" t="s">
        <v>67</v>
      </c>
      <c r="S6557">
        <v>1</v>
      </c>
      <c r="T6557">
        <v>0</v>
      </c>
      <c r="U6557">
        <v>0</v>
      </c>
      <c r="V6557">
        <v>0</v>
      </c>
      <c r="W6557">
        <v>1</v>
      </c>
      <c r="X6557">
        <v>0</v>
      </c>
      <c r="Y6557">
        <v>0</v>
      </c>
      <c r="Z6557">
        <v>1</v>
      </c>
      <c r="AA6557">
        <v>0</v>
      </c>
      <c r="AB6557">
        <v>0</v>
      </c>
      <c r="AC6557">
        <v>1</v>
      </c>
      <c r="AD6557">
        <v>1</v>
      </c>
      <c r="AE6557">
        <v>1</v>
      </c>
      <c r="AF6557">
        <v>1</v>
      </c>
      <c r="AG6557">
        <v>1</v>
      </c>
      <c r="AH6557">
        <v>1</v>
      </c>
      <c r="AI6557">
        <v>1</v>
      </c>
      <c r="AJ6557">
        <v>1</v>
      </c>
      <c r="AK6557">
        <v>1</v>
      </c>
      <c r="AL6557">
        <v>1</v>
      </c>
      <c r="AM6557">
        <v>1</v>
      </c>
    </row>
    <row r="6558" spans="1:39" x14ac:dyDescent="0.2">
      <c r="A6558" t="str">
        <f>"6554"</f>
        <v>6554</v>
      </c>
      <c r="B6558" t="str">
        <f t="shared" si="363"/>
        <v>1</v>
      </c>
      <c r="C6558" t="str">
        <f t="shared" si="365"/>
        <v>132</v>
      </c>
      <c r="D6558" t="str">
        <f>"25"</f>
        <v>25</v>
      </c>
      <c r="E6558" t="str">
        <f>"1-132-25"</f>
        <v>1-132-25</v>
      </c>
      <c r="F6558" t="s">
        <v>65</v>
      </c>
      <c r="G6558" t="s">
        <v>66</v>
      </c>
      <c r="H6558" t="s">
        <v>67</v>
      </c>
      <c r="S6558">
        <v>1</v>
      </c>
      <c r="T6558">
        <v>0</v>
      </c>
      <c r="U6558">
        <v>0</v>
      </c>
      <c r="V6558">
        <v>0</v>
      </c>
      <c r="W6558">
        <v>1</v>
      </c>
      <c r="X6558">
        <v>0</v>
      </c>
      <c r="Y6558">
        <v>0</v>
      </c>
      <c r="Z6558">
        <v>1</v>
      </c>
      <c r="AA6558">
        <v>1</v>
      </c>
      <c r="AB6558">
        <v>0</v>
      </c>
      <c r="AC6558">
        <v>0</v>
      </c>
      <c r="AD6558">
        <v>1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</row>
    <row r="6559" spans="1:39" x14ac:dyDescent="0.2">
      <c r="A6559" t="str">
        <f>"6555"</f>
        <v>6555</v>
      </c>
      <c r="B6559" t="str">
        <f t="shared" si="363"/>
        <v>1</v>
      </c>
      <c r="C6559" t="str">
        <f t="shared" si="365"/>
        <v>132</v>
      </c>
      <c r="D6559" t="str">
        <f>"17"</f>
        <v>17</v>
      </c>
      <c r="E6559" t="str">
        <f>"1-132-17"</f>
        <v>1-132-17</v>
      </c>
      <c r="F6559" t="s">
        <v>65</v>
      </c>
      <c r="G6559" t="s">
        <v>66</v>
      </c>
      <c r="H6559" t="s">
        <v>67</v>
      </c>
      <c r="S6559">
        <v>1</v>
      </c>
      <c r="T6559">
        <v>0</v>
      </c>
      <c r="U6559">
        <v>0</v>
      </c>
      <c r="V6559">
        <v>0</v>
      </c>
      <c r="W6559">
        <v>1</v>
      </c>
      <c r="X6559">
        <v>0</v>
      </c>
      <c r="Y6559">
        <v>0</v>
      </c>
      <c r="Z6559">
        <v>1</v>
      </c>
      <c r="AA6559">
        <v>0</v>
      </c>
      <c r="AB6559">
        <v>0</v>
      </c>
      <c r="AC6559">
        <v>1</v>
      </c>
      <c r="AD6559">
        <v>1</v>
      </c>
      <c r="AE6559">
        <v>1</v>
      </c>
      <c r="AF6559">
        <v>1</v>
      </c>
      <c r="AG6559">
        <v>1</v>
      </c>
      <c r="AH6559">
        <v>1</v>
      </c>
      <c r="AI6559">
        <v>1</v>
      </c>
      <c r="AJ6559">
        <v>1</v>
      </c>
      <c r="AK6559">
        <v>1</v>
      </c>
      <c r="AL6559">
        <v>1</v>
      </c>
      <c r="AM6559">
        <v>1</v>
      </c>
    </row>
    <row r="6560" spans="1:39" x14ac:dyDescent="0.2">
      <c r="A6560" t="str">
        <f>"6556"</f>
        <v>6556</v>
      </c>
      <c r="B6560" t="str">
        <f t="shared" si="363"/>
        <v>1</v>
      </c>
      <c r="C6560" t="str">
        <f t="shared" si="365"/>
        <v>132</v>
      </c>
      <c r="D6560" t="str">
        <f>"15"</f>
        <v>15</v>
      </c>
      <c r="E6560" t="str">
        <f>"1-132-15"</f>
        <v>1-132-15</v>
      </c>
      <c r="F6560" t="s">
        <v>65</v>
      </c>
      <c r="G6560" t="s">
        <v>66</v>
      </c>
      <c r="H6560" t="s">
        <v>67</v>
      </c>
      <c r="S6560">
        <v>1</v>
      </c>
      <c r="T6560">
        <v>0</v>
      </c>
      <c r="U6560">
        <v>0</v>
      </c>
      <c r="V6560">
        <v>0</v>
      </c>
      <c r="W6560">
        <v>1</v>
      </c>
      <c r="X6560">
        <v>0</v>
      </c>
      <c r="Y6560">
        <v>1</v>
      </c>
      <c r="Z6560">
        <v>0</v>
      </c>
      <c r="AA6560">
        <v>1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</row>
    <row r="6561" spans="1:39" x14ac:dyDescent="0.2">
      <c r="A6561" t="str">
        <f>"6557"</f>
        <v>6557</v>
      </c>
      <c r="B6561" t="str">
        <f t="shared" si="363"/>
        <v>1</v>
      </c>
      <c r="C6561" t="str">
        <f t="shared" si="365"/>
        <v>132</v>
      </c>
      <c r="D6561" t="str">
        <f>"1"</f>
        <v>1</v>
      </c>
      <c r="E6561" t="str">
        <f>"1-132-1"</f>
        <v>1-132-1</v>
      </c>
      <c r="F6561" t="s">
        <v>65</v>
      </c>
      <c r="G6561" t="s">
        <v>66</v>
      </c>
      <c r="H6561" t="s">
        <v>67</v>
      </c>
      <c r="S6561">
        <v>0</v>
      </c>
      <c r="T6561">
        <v>1</v>
      </c>
      <c r="U6561">
        <v>0</v>
      </c>
      <c r="V6561">
        <v>0</v>
      </c>
      <c r="W6561">
        <v>1</v>
      </c>
      <c r="X6561">
        <v>0</v>
      </c>
      <c r="Y6561">
        <v>0</v>
      </c>
      <c r="Z6561">
        <v>0</v>
      </c>
      <c r="AA6561">
        <v>1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1</v>
      </c>
      <c r="AH6561">
        <v>1</v>
      </c>
      <c r="AI6561">
        <v>0</v>
      </c>
      <c r="AJ6561">
        <v>0</v>
      </c>
      <c r="AK6561">
        <v>0</v>
      </c>
      <c r="AL6561">
        <v>1</v>
      </c>
      <c r="AM6561">
        <v>0</v>
      </c>
    </row>
    <row r="6562" spans="1:39" x14ac:dyDescent="0.2">
      <c r="A6562" t="str">
        <f>"6558"</f>
        <v>6558</v>
      </c>
      <c r="B6562" t="str">
        <f t="shared" si="363"/>
        <v>1</v>
      </c>
      <c r="C6562" t="str">
        <f t="shared" si="365"/>
        <v>132</v>
      </c>
      <c r="D6562" t="str">
        <f>"35"</f>
        <v>35</v>
      </c>
      <c r="E6562" t="str">
        <f>"1-132-35"</f>
        <v>1-132-35</v>
      </c>
      <c r="F6562" t="s">
        <v>65</v>
      </c>
      <c r="G6562" t="s">
        <v>66</v>
      </c>
      <c r="H6562" t="s">
        <v>67</v>
      </c>
      <c r="S6562">
        <v>1</v>
      </c>
      <c r="T6562">
        <v>0</v>
      </c>
      <c r="U6562">
        <v>0</v>
      </c>
      <c r="V6562">
        <v>0</v>
      </c>
      <c r="W6562">
        <v>1</v>
      </c>
      <c r="X6562">
        <v>0</v>
      </c>
      <c r="Y6562">
        <v>0</v>
      </c>
      <c r="Z6562">
        <v>1</v>
      </c>
      <c r="AA6562">
        <v>0</v>
      </c>
      <c r="AB6562">
        <v>0</v>
      </c>
      <c r="AC6562">
        <v>1</v>
      </c>
      <c r="AD6562">
        <v>1</v>
      </c>
      <c r="AE6562">
        <v>1</v>
      </c>
      <c r="AF6562">
        <v>1</v>
      </c>
      <c r="AG6562">
        <v>1</v>
      </c>
      <c r="AH6562">
        <v>1</v>
      </c>
      <c r="AI6562">
        <v>1</v>
      </c>
      <c r="AJ6562">
        <v>1</v>
      </c>
      <c r="AK6562">
        <v>1</v>
      </c>
      <c r="AL6562">
        <v>1</v>
      </c>
      <c r="AM6562">
        <v>1</v>
      </c>
    </row>
    <row r="6563" spans="1:39" x14ac:dyDescent="0.2">
      <c r="A6563" t="str">
        <f>"6559"</f>
        <v>6559</v>
      </c>
      <c r="B6563" t="str">
        <f t="shared" si="363"/>
        <v>1</v>
      </c>
      <c r="C6563" t="str">
        <f t="shared" si="365"/>
        <v>132</v>
      </c>
      <c r="D6563" t="str">
        <f>"34"</f>
        <v>34</v>
      </c>
      <c r="E6563" t="str">
        <f>"1-132-34"</f>
        <v>1-132-34</v>
      </c>
      <c r="F6563" t="s">
        <v>65</v>
      </c>
      <c r="G6563" t="s">
        <v>66</v>
      </c>
      <c r="H6563" t="s">
        <v>67</v>
      </c>
      <c r="S6563">
        <v>1</v>
      </c>
      <c r="T6563">
        <v>0</v>
      </c>
      <c r="U6563">
        <v>0</v>
      </c>
      <c r="V6563">
        <v>0</v>
      </c>
      <c r="W6563">
        <v>1</v>
      </c>
      <c r="X6563">
        <v>0</v>
      </c>
      <c r="Y6563">
        <v>1</v>
      </c>
      <c r="Z6563">
        <v>0</v>
      </c>
      <c r="AA6563">
        <v>1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1</v>
      </c>
      <c r="AH6563">
        <v>1</v>
      </c>
      <c r="AI6563">
        <v>0</v>
      </c>
      <c r="AJ6563">
        <v>0</v>
      </c>
      <c r="AK6563">
        <v>0</v>
      </c>
      <c r="AL6563">
        <v>1</v>
      </c>
      <c r="AM6563">
        <v>0</v>
      </c>
    </row>
    <row r="6564" spans="1:39" x14ac:dyDescent="0.2">
      <c r="A6564" t="str">
        <f>"6560"</f>
        <v>6560</v>
      </c>
      <c r="B6564" t="str">
        <f t="shared" si="363"/>
        <v>1</v>
      </c>
      <c r="C6564" t="str">
        <f t="shared" si="365"/>
        <v>132</v>
      </c>
      <c r="D6564" t="str">
        <f>"20"</f>
        <v>20</v>
      </c>
      <c r="E6564" t="str">
        <f>"1-132-20"</f>
        <v>1-132-20</v>
      </c>
      <c r="F6564" t="s">
        <v>65</v>
      </c>
      <c r="G6564" t="s">
        <v>66</v>
      </c>
      <c r="H6564" t="s">
        <v>67</v>
      </c>
      <c r="S6564">
        <v>1</v>
      </c>
      <c r="T6564">
        <v>0</v>
      </c>
      <c r="U6564">
        <v>0</v>
      </c>
      <c r="V6564">
        <v>0</v>
      </c>
      <c r="W6564">
        <v>1</v>
      </c>
      <c r="X6564">
        <v>0</v>
      </c>
      <c r="Y6564">
        <v>0</v>
      </c>
      <c r="Z6564">
        <v>1</v>
      </c>
      <c r="AA6564">
        <v>1</v>
      </c>
      <c r="AB6564">
        <v>0</v>
      </c>
      <c r="AC6564">
        <v>0</v>
      </c>
      <c r="AD6564">
        <v>1</v>
      </c>
      <c r="AE6564">
        <v>1</v>
      </c>
      <c r="AF6564">
        <v>1</v>
      </c>
      <c r="AG6564">
        <v>1</v>
      </c>
      <c r="AH6564">
        <v>1</v>
      </c>
      <c r="AI6564">
        <v>1</v>
      </c>
      <c r="AJ6564">
        <v>1</v>
      </c>
      <c r="AK6564">
        <v>1</v>
      </c>
      <c r="AL6564">
        <v>1</v>
      </c>
      <c r="AM6564">
        <v>1</v>
      </c>
    </row>
    <row r="6565" spans="1:39" x14ac:dyDescent="0.2">
      <c r="A6565" t="str">
        <f>"6561"</f>
        <v>6561</v>
      </c>
      <c r="B6565" t="str">
        <f t="shared" si="363"/>
        <v>1</v>
      </c>
      <c r="C6565" t="str">
        <f t="shared" si="365"/>
        <v>132</v>
      </c>
      <c r="D6565" t="str">
        <f>"16"</f>
        <v>16</v>
      </c>
      <c r="E6565" t="str">
        <f>"1-132-16"</f>
        <v>1-132-16</v>
      </c>
      <c r="F6565" t="s">
        <v>65</v>
      </c>
      <c r="G6565" t="s">
        <v>66</v>
      </c>
      <c r="H6565" t="s">
        <v>67</v>
      </c>
      <c r="S6565">
        <v>0</v>
      </c>
      <c r="T6565">
        <v>1</v>
      </c>
      <c r="U6565">
        <v>0</v>
      </c>
      <c r="V6565">
        <v>0</v>
      </c>
      <c r="W6565">
        <v>1</v>
      </c>
      <c r="X6565">
        <v>0</v>
      </c>
      <c r="Y6565">
        <v>0</v>
      </c>
      <c r="Z6565">
        <v>1</v>
      </c>
      <c r="AA6565">
        <v>0</v>
      </c>
      <c r="AB6565">
        <v>1</v>
      </c>
      <c r="AC6565">
        <v>0</v>
      </c>
      <c r="AD6565">
        <v>1</v>
      </c>
      <c r="AE6565">
        <v>1</v>
      </c>
      <c r="AF6565">
        <v>1</v>
      </c>
      <c r="AG6565">
        <v>1</v>
      </c>
      <c r="AH6565">
        <v>1</v>
      </c>
      <c r="AI6565">
        <v>1</v>
      </c>
      <c r="AJ6565">
        <v>1</v>
      </c>
      <c r="AK6565">
        <v>1</v>
      </c>
      <c r="AL6565">
        <v>1</v>
      </c>
      <c r="AM6565">
        <v>1</v>
      </c>
    </row>
    <row r="6566" spans="1:39" x14ac:dyDescent="0.2">
      <c r="A6566" t="str">
        <f>"6562"</f>
        <v>6562</v>
      </c>
      <c r="B6566" t="str">
        <f t="shared" si="363"/>
        <v>1</v>
      </c>
      <c r="C6566" t="str">
        <f t="shared" si="365"/>
        <v>132</v>
      </c>
      <c r="D6566" t="str">
        <f>"4"</f>
        <v>4</v>
      </c>
      <c r="E6566" t="str">
        <f>"1-132-4"</f>
        <v>1-132-4</v>
      </c>
      <c r="F6566" t="s">
        <v>65</v>
      </c>
      <c r="G6566" t="s">
        <v>66</v>
      </c>
      <c r="H6566" t="s">
        <v>67</v>
      </c>
      <c r="S6566">
        <v>0</v>
      </c>
      <c r="T6566">
        <v>1</v>
      </c>
      <c r="U6566">
        <v>0</v>
      </c>
      <c r="V6566">
        <v>0</v>
      </c>
      <c r="W6566">
        <v>1</v>
      </c>
      <c r="X6566">
        <v>0</v>
      </c>
      <c r="Y6566">
        <v>1</v>
      </c>
      <c r="Z6566">
        <v>0</v>
      </c>
      <c r="AA6566">
        <v>1</v>
      </c>
      <c r="AB6566">
        <v>0</v>
      </c>
      <c r="AC6566">
        <v>0</v>
      </c>
      <c r="AD6566">
        <v>1</v>
      </c>
      <c r="AE6566">
        <v>1</v>
      </c>
      <c r="AF6566">
        <v>1</v>
      </c>
      <c r="AG6566">
        <v>1</v>
      </c>
      <c r="AH6566">
        <v>1</v>
      </c>
      <c r="AI6566">
        <v>1</v>
      </c>
      <c r="AJ6566">
        <v>1</v>
      </c>
      <c r="AK6566">
        <v>1</v>
      </c>
      <c r="AL6566">
        <v>1</v>
      </c>
      <c r="AM6566">
        <v>1</v>
      </c>
    </row>
    <row r="6567" spans="1:39" x14ac:dyDescent="0.2">
      <c r="A6567" t="str">
        <f>"6563"</f>
        <v>6563</v>
      </c>
      <c r="B6567" t="str">
        <f t="shared" si="363"/>
        <v>1</v>
      </c>
      <c r="C6567" t="str">
        <f t="shared" si="365"/>
        <v>132</v>
      </c>
      <c r="D6567" t="str">
        <f>"48"</f>
        <v>48</v>
      </c>
      <c r="E6567" t="str">
        <f>"1-132-48"</f>
        <v>1-132-48</v>
      </c>
      <c r="F6567" t="s">
        <v>65</v>
      </c>
      <c r="G6567" t="s">
        <v>66</v>
      </c>
      <c r="H6567" t="s">
        <v>67</v>
      </c>
      <c r="S6567">
        <v>0</v>
      </c>
      <c r="T6567">
        <v>1</v>
      </c>
      <c r="U6567">
        <v>0</v>
      </c>
      <c r="V6567">
        <v>0</v>
      </c>
      <c r="W6567">
        <v>1</v>
      </c>
      <c r="X6567">
        <v>0</v>
      </c>
      <c r="Y6567">
        <v>0</v>
      </c>
      <c r="Z6567">
        <v>1</v>
      </c>
      <c r="AA6567">
        <v>0</v>
      </c>
      <c r="AB6567">
        <v>1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</row>
    <row r="6568" spans="1:39" x14ac:dyDescent="0.2">
      <c r="A6568" t="str">
        <f>"6564"</f>
        <v>6564</v>
      </c>
      <c r="B6568" t="str">
        <f t="shared" si="363"/>
        <v>1</v>
      </c>
      <c r="C6568" t="str">
        <f t="shared" si="365"/>
        <v>132</v>
      </c>
      <c r="D6568" t="str">
        <f>"33"</f>
        <v>33</v>
      </c>
      <c r="E6568" t="str">
        <f>"1-132-33"</f>
        <v>1-132-33</v>
      </c>
      <c r="F6568" t="s">
        <v>65</v>
      </c>
      <c r="G6568" t="s">
        <v>66</v>
      </c>
      <c r="H6568" t="s">
        <v>67</v>
      </c>
      <c r="S6568">
        <v>1</v>
      </c>
      <c r="T6568">
        <v>0</v>
      </c>
      <c r="U6568">
        <v>0</v>
      </c>
      <c r="V6568">
        <v>0</v>
      </c>
      <c r="W6568">
        <v>0</v>
      </c>
      <c r="X6568">
        <v>1</v>
      </c>
      <c r="Y6568">
        <v>1</v>
      </c>
      <c r="Z6568">
        <v>0</v>
      </c>
      <c r="AA6568">
        <v>0</v>
      </c>
      <c r="AB6568">
        <v>0</v>
      </c>
      <c r="AC6568">
        <v>0</v>
      </c>
      <c r="AD6568">
        <v>1</v>
      </c>
      <c r="AE6568">
        <v>1</v>
      </c>
      <c r="AF6568">
        <v>1</v>
      </c>
      <c r="AG6568">
        <v>1</v>
      </c>
      <c r="AH6568">
        <v>1</v>
      </c>
      <c r="AI6568">
        <v>1</v>
      </c>
      <c r="AJ6568">
        <v>1</v>
      </c>
      <c r="AK6568">
        <v>1</v>
      </c>
      <c r="AL6568">
        <v>1</v>
      </c>
      <c r="AM6568">
        <v>1</v>
      </c>
    </row>
    <row r="6569" spans="1:39" x14ac:dyDescent="0.2">
      <c r="A6569" t="str">
        <f>"6565"</f>
        <v>6565</v>
      </c>
      <c r="B6569" t="str">
        <f t="shared" si="363"/>
        <v>1</v>
      </c>
      <c r="C6569" t="str">
        <f t="shared" si="365"/>
        <v>132</v>
      </c>
      <c r="D6569" t="str">
        <f>"18"</f>
        <v>18</v>
      </c>
      <c r="E6569" t="str">
        <f>"1-132-18"</f>
        <v>1-132-18</v>
      </c>
      <c r="F6569" t="s">
        <v>65</v>
      </c>
      <c r="G6569" t="s">
        <v>66</v>
      </c>
      <c r="H6569" t="s">
        <v>67</v>
      </c>
      <c r="S6569">
        <v>0</v>
      </c>
      <c r="T6569">
        <v>1</v>
      </c>
      <c r="U6569">
        <v>0</v>
      </c>
      <c r="V6569">
        <v>0</v>
      </c>
      <c r="W6569">
        <v>0</v>
      </c>
      <c r="X6569">
        <v>1</v>
      </c>
      <c r="Y6569">
        <v>1</v>
      </c>
      <c r="Z6569">
        <v>0</v>
      </c>
      <c r="AA6569">
        <v>0</v>
      </c>
      <c r="AB6569">
        <v>1</v>
      </c>
      <c r="AC6569">
        <v>0</v>
      </c>
      <c r="AD6569">
        <v>1</v>
      </c>
      <c r="AE6569">
        <v>1</v>
      </c>
      <c r="AF6569">
        <v>1</v>
      </c>
      <c r="AG6569">
        <v>1</v>
      </c>
      <c r="AH6569">
        <v>0</v>
      </c>
      <c r="AI6569">
        <v>1</v>
      </c>
      <c r="AJ6569">
        <v>1</v>
      </c>
      <c r="AK6569">
        <v>1</v>
      </c>
      <c r="AL6569">
        <v>1</v>
      </c>
      <c r="AM6569">
        <v>1</v>
      </c>
    </row>
    <row r="6570" spans="1:39" x14ac:dyDescent="0.2">
      <c r="A6570" t="str">
        <f>"6566"</f>
        <v>6566</v>
      </c>
      <c r="B6570" t="str">
        <f t="shared" si="363"/>
        <v>1</v>
      </c>
      <c r="C6570" t="str">
        <f t="shared" si="365"/>
        <v>132</v>
      </c>
      <c r="D6570" t="str">
        <f>"12"</f>
        <v>12</v>
      </c>
      <c r="E6570" t="str">
        <f>"1-132-12"</f>
        <v>1-132-12</v>
      </c>
      <c r="F6570" t="s">
        <v>65</v>
      </c>
      <c r="G6570" t="s">
        <v>66</v>
      </c>
      <c r="H6570" t="s">
        <v>67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1</v>
      </c>
      <c r="Y6570">
        <v>0</v>
      </c>
      <c r="Z6570">
        <v>1</v>
      </c>
      <c r="AA6570">
        <v>0</v>
      </c>
      <c r="AB6570">
        <v>1</v>
      </c>
      <c r="AC6570">
        <v>0</v>
      </c>
      <c r="AD6570">
        <v>0</v>
      </c>
      <c r="AE6570">
        <v>0</v>
      </c>
      <c r="AF6570">
        <v>0</v>
      </c>
      <c r="AG6570">
        <v>1</v>
      </c>
      <c r="AH6570">
        <v>1</v>
      </c>
      <c r="AI6570">
        <v>1</v>
      </c>
      <c r="AJ6570">
        <v>1</v>
      </c>
      <c r="AK6570">
        <v>1</v>
      </c>
      <c r="AL6570">
        <v>1</v>
      </c>
      <c r="AM6570">
        <v>1</v>
      </c>
    </row>
    <row r="6571" spans="1:39" x14ac:dyDescent="0.2">
      <c r="A6571" t="str">
        <f>"6567"</f>
        <v>6567</v>
      </c>
      <c r="B6571" t="str">
        <f t="shared" si="363"/>
        <v>1</v>
      </c>
      <c r="C6571" t="str">
        <f t="shared" si="365"/>
        <v>132</v>
      </c>
      <c r="D6571" t="str">
        <f>"36"</f>
        <v>36</v>
      </c>
      <c r="E6571" t="str">
        <f>"1-132-36"</f>
        <v>1-132-36</v>
      </c>
      <c r="F6571" t="s">
        <v>65</v>
      </c>
      <c r="G6571" t="s">
        <v>66</v>
      </c>
      <c r="H6571" t="s">
        <v>67</v>
      </c>
      <c r="S6571">
        <v>1</v>
      </c>
      <c r="T6571">
        <v>0</v>
      </c>
      <c r="U6571">
        <v>0</v>
      </c>
      <c r="V6571">
        <v>0</v>
      </c>
      <c r="W6571">
        <v>1</v>
      </c>
      <c r="X6571">
        <v>0</v>
      </c>
      <c r="Y6571">
        <v>1</v>
      </c>
      <c r="Z6571">
        <v>0</v>
      </c>
      <c r="AA6571">
        <v>1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</row>
    <row r="6572" spans="1:39" x14ac:dyDescent="0.2">
      <c r="A6572" t="str">
        <f>"6568"</f>
        <v>6568</v>
      </c>
      <c r="B6572" t="str">
        <f t="shared" si="363"/>
        <v>1</v>
      </c>
      <c r="C6572" t="str">
        <f t="shared" si="365"/>
        <v>132</v>
      </c>
      <c r="D6572" t="str">
        <f>"19"</f>
        <v>19</v>
      </c>
      <c r="E6572" t="str">
        <f>"1-132-19"</f>
        <v>1-132-19</v>
      </c>
      <c r="F6572" t="s">
        <v>65</v>
      </c>
      <c r="G6572" t="s">
        <v>66</v>
      </c>
      <c r="H6572" t="s">
        <v>67</v>
      </c>
      <c r="S6572">
        <v>1</v>
      </c>
      <c r="T6572">
        <v>0</v>
      </c>
      <c r="U6572">
        <v>0</v>
      </c>
      <c r="V6572">
        <v>0</v>
      </c>
      <c r="W6572">
        <v>0</v>
      </c>
      <c r="X6572">
        <v>1</v>
      </c>
      <c r="Y6572">
        <v>1</v>
      </c>
      <c r="Z6572">
        <v>0</v>
      </c>
      <c r="AA6572">
        <v>0</v>
      </c>
      <c r="AB6572">
        <v>0</v>
      </c>
      <c r="AC6572">
        <v>1</v>
      </c>
      <c r="AD6572">
        <v>1</v>
      </c>
      <c r="AE6572">
        <v>1</v>
      </c>
      <c r="AF6572">
        <v>1</v>
      </c>
      <c r="AG6572">
        <v>1</v>
      </c>
      <c r="AH6572">
        <v>0</v>
      </c>
      <c r="AI6572">
        <v>1</v>
      </c>
      <c r="AJ6572">
        <v>1</v>
      </c>
      <c r="AK6572">
        <v>1</v>
      </c>
      <c r="AL6572">
        <v>1</v>
      </c>
      <c r="AM6572">
        <v>1</v>
      </c>
    </row>
    <row r="6573" spans="1:39" x14ac:dyDescent="0.2">
      <c r="A6573" t="str">
        <f>"6569"</f>
        <v>6569</v>
      </c>
      <c r="B6573" t="str">
        <f t="shared" si="363"/>
        <v>1</v>
      </c>
      <c r="C6573" t="str">
        <f t="shared" si="365"/>
        <v>132</v>
      </c>
      <c r="D6573" t="str">
        <f>"8"</f>
        <v>8</v>
      </c>
      <c r="E6573" t="str">
        <f>"1-132-8"</f>
        <v>1-132-8</v>
      </c>
      <c r="F6573" t="s">
        <v>65</v>
      </c>
      <c r="G6573" t="s">
        <v>66</v>
      </c>
      <c r="H6573" t="s">
        <v>67</v>
      </c>
      <c r="S6573">
        <v>1</v>
      </c>
      <c r="T6573">
        <v>0</v>
      </c>
      <c r="U6573">
        <v>0</v>
      </c>
      <c r="V6573">
        <v>0</v>
      </c>
      <c r="W6573">
        <v>0</v>
      </c>
      <c r="X6573">
        <v>1</v>
      </c>
      <c r="Y6573">
        <v>0</v>
      </c>
      <c r="Z6573">
        <v>1</v>
      </c>
      <c r="AA6573">
        <v>0</v>
      </c>
      <c r="AB6573">
        <v>1</v>
      </c>
      <c r="AC6573">
        <v>0</v>
      </c>
      <c r="AD6573">
        <v>1</v>
      </c>
      <c r="AE6573">
        <v>1</v>
      </c>
      <c r="AF6573">
        <v>1</v>
      </c>
      <c r="AG6573">
        <v>1</v>
      </c>
      <c r="AH6573">
        <v>1</v>
      </c>
      <c r="AI6573">
        <v>1</v>
      </c>
      <c r="AJ6573">
        <v>1</v>
      </c>
      <c r="AK6573">
        <v>1</v>
      </c>
      <c r="AL6573">
        <v>1</v>
      </c>
      <c r="AM6573">
        <v>1</v>
      </c>
    </row>
    <row r="6574" spans="1:39" x14ac:dyDescent="0.2">
      <c r="A6574" t="str">
        <f>"6570"</f>
        <v>6570</v>
      </c>
      <c r="B6574" t="str">
        <f t="shared" si="363"/>
        <v>1</v>
      </c>
      <c r="C6574" t="str">
        <f t="shared" si="365"/>
        <v>132</v>
      </c>
      <c r="D6574" t="str">
        <f>"42"</f>
        <v>42</v>
      </c>
      <c r="E6574" t="str">
        <f>"1-132-42"</f>
        <v>1-132-42</v>
      </c>
      <c r="F6574" t="s">
        <v>65</v>
      </c>
      <c r="G6574" t="s">
        <v>66</v>
      </c>
      <c r="H6574" t="s">
        <v>67</v>
      </c>
      <c r="S6574">
        <v>1</v>
      </c>
      <c r="T6574">
        <v>0</v>
      </c>
      <c r="U6574">
        <v>0</v>
      </c>
      <c r="V6574">
        <v>0</v>
      </c>
      <c r="W6574">
        <v>1</v>
      </c>
      <c r="X6574">
        <v>0</v>
      </c>
      <c r="Y6574">
        <v>0</v>
      </c>
      <c r="Z6574">
        <v>1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</row>
    <row r="6575" spans="1:39" x14ac:dyDescent="0.2">
      <c r="A6575" t="str">
        <f>"6571"</f>
        <v>6571</v>
      </c>
      <c r="B6575" t="str">
        <f t="shared" si="363"/>
        <v>1</v>
      </c>
      <c r="C6575" t="str">
        <f t="shared" si="365"/>
        <v>132</v>
      </c>
      <c r="D6575" t="str">
        <f>"21"</f>
        <v>21</v>
      </c>
      <c r="E6575" t="str">
        <f>"1-132-21"</f>
        <v>1-132-21</v>
      </c>
      <c r="F6575" t="s">
        <v>65</v>
      </c>
      <c r="G6575" t="s">
        <v>66</v>
      </c>
      <c r="H6575" t="s">
        <v>67</v>
      </c>
      <c r="S6575">
        <v>0</v>
      </c>
      <c r="T6575">
        <v>1</v>
      </c>
      <c r="U6575">
        <v>0</v>
      </c>
      <c r="V6575">
        <v>0</v>
      </c>
      <c r="W6575">
        <v>0</v>
      </c>
      <c r="X6575">
        <v>1</v>
      </c>
      <c r="Y6575">
        <v>0</v>
      </c>
      <c r="Z6575">
        <v>1</v>
      </c>
      <c r="AA6575">
        <v>1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1</v>
      </c>
      <c r="AH6575">
        <v>0</v>
      </c>
      <c r="AI6575">
        <v>1</v>
      </c>
      <c r="AJ6575">
        <v>1</v>
      </c>
      <c r="AK6575">
        <v>1</v>
      </c>
      <c r="AL6575">
        <v>1</v>
      </c>
      <c r="AM6575">
        <v>1</v>
      </c>
    </row>
    <row r="6576" spans="1:39" x14ac:dyDescent="0.2">
      <c r="A6576" t="str">
        <f>"6572"</f>
        <v>6572</v>
      </c>
      <c r="B6576" t="str">
        <f t="shared" si="363"/>
        <v>1</v>
      </c>
      <c r="C6576" t="str">
        <f t="shared" si="365"/>
        <v>132</v>
      </c>
      <c r="D6576" t="str">
        <f>"10"</f>
        <v>10</v>
      </c>
      <c r="E6576" t="str">
        <f>"1-132-10"</f>
        <v>1-132-10</v>
      </c>
      <c r="F6576" t="s">
        <v>65</v>
      </c>
      <c r="G6576" t="s">
        <v>66</v>
      </c>
      <c r="H6576" t="s">
        <v>67</v>
      </c>
      <c r="S6576">
        <v>1</v>
      </c>
      <c r="T6576">
        <v>0</v>
      </c>
      <c r="U6576">
        <v>0</v>
      </c>
      <c r="V6576">
        <v>0</v>
      </c>
      <c r="W6576">
        <v>1</v>
      </c>
      <c r="X6576">
        <v>0</v>
      </c>
      <c r="Y6576">
        <v>1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1</v>
      </c>
      <c r="AH6576">
        <v>1</v>
      </c>
      <c r="AI6576">
        <v>0</v>
      </c>
      <c r="AJ6576">
        <v>1</v>
      </c>
      <c r="AK6576">
        <v>1</v>
      </c>
      <c r="AL6576">
        <v>1</v>
      </c>
      <c r="AM6576">
        <v>1</v>
      </c>
    </row>
    <row r="6577" spans="1:39" x14ac:dyDescent="0.2">
      <c r="A6577" t="str">
        <f>"6573"</f>
        <v>6573</v>
      </c>
      <c r="B6577" t="str">
        <f t="shared" si="363"/>
        <v>1</v>
      </c>
      <c r="C6577" t="str">
        <f t="shared" si="365"/>
        <v>132</v>
      </c>
      <c r="D6577" t="str">
        <f>"41"</f>
        <v>41</v>
      </c>
      <c r="E6577" t="str">
        <f>"1-132-41"</f>
        <v>1-132-41</v>
      </c>
      <c r="F6577" t="s">
        <v>65</v>
      </c>
      <c r="G6577" t="s">
        <v>66</v>
      </c>
      <c r="H6577" t="s">
        <v>67</v>
      </c>
      <c r="S6577">
        <v>0</v>
      </c>
      <c r="T6577">
        <v>1</v>
      </c>
      <c r="U6577">
        <v>0</v>
      </c>
      <c r="V6577">
        <v>0</v>
      </c>
      <c r="W6577">
        <v>0</v>
      </c>
      <c r="X6577">
        <v>1</v>
      </c>
      <c r="Y6577">
        <v>0</v>
      </c>
      <c r="Z6577">
        <v>1</v>
      </c>
      <c r="AA6577">
        <v>0</v>
      </c>
      <c r="AB6577">
        <v>0</v>
      </c>
      <c r="AC6577">
        <v>1</v>
      </c>
      <c r="AD6577">
        <v>1</v>
      </c>
      <c r="AE6577">
        <v>1</v>
      </c>
      <c r="AF6577">
        <v>1</v>
      </c>
      <c r="AG6577">
        <v>1</v>
      </c>
      <c r="AH6577">
        <v>1</v>
      </c>
      <c r="AI6577">
        <v>1</v>
      </c>
      <c r="AJ6577">
        <v>1</v>
      </c>
      <c r="AK6577">
        <v>1</v>
      </c>
      <c r="AL6577">
        <v>1</v>
      </c>
      <c r="AM6577">
        <v>1</v>
      </c>
    </row>
    <row r="6578" spans="1:39" x14ac:dyDescent="0.2">
      <c r="A6578" t="str">
        <f>"6574"</f>
        <v>6574</v>
      </c>
      <c r="B6578" t="str">
        <f t="shared" si="363"/>
        <v>1</v>
      </c>
      <c r="C6578" t="str">
        <f t="shared" si="365"/>
        <v>132</v>
      </c>
      <c r="D6578" t="str">
        <f>"22"</f>
        <v>22</v>
      </c>
      <c r="E6578" t="str">
        <f>"1-132-22"</f>
        <v>1-132-22</v>
      </c>
      <c r="F6578" t="s">
        <v>65</v>
      </c>
      <c r="G6578" t="s">
        <v>66</v>
      </c>
      <c r="H6578" t="s">
        <v>67</v>
      </c>
      <c r="S6578">
        <v>0</v>
      </c>
      <c r="T6578">
        <v>1</v>
      </c>
      <c r="U6578">
        <v>0</v>
      </c>
      <c r="V6578">
        <v>0</v>
      </c>
      <c r="W6578">
        <v>0</v>
      </c>
      <c r="X6578">
        <v>1</v>
      </c>
      <c r="Y6578">
        <v>0</v>
      </c>
      <c r="Z6578">
        <v>1</v>
      </c>
      <c r="AA6578">
        <v>1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1</v>
      </c>
      <c r="AH6578">
        <v>0</v>
      </c>
      <c r="AI6578">
        <v>1</v>
      </c>
      <c r="AJ6578">
        <v>1</v>
      </c>
      <c r="AK6578">
        <v>1</v>
      </c>
      <c r="AL6578">
        <v>1</v>
      </c>
      <c r="AM6578">
        <v>0</v>
      </c>
    </row>
    <row r="6579" spans="1:39" x14ac:dyDescent="0.2">
      <c r="A6579" t="str">
        <f>"6575"</f>
        <v>6575</v>
      </c>
      <c r="B6579" t="str">
        <f t="shared" si="363"/>
        <v>1</v>
      </c>
      <c r="C6579" t="str">
        <f t="shared" si="365"/>
        <v>132</v>
      </c>
      <c r="D6579" t="str">
        <f>"7"</f>
        <v>7</v>
      </c>
      <c r="E6579" t="str">
        <f>"1-132-7"</f>
        <v>1-132-7</v>
      </c>
      <c r="F6579" t="s">
        <v>65</v>
      </c>
      <c r="G6579" t="s">
        <v>66</v>
      </c>
      <c r="H6579" t="s">
        <v>67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1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</row>
    <row r="6580" spans="1:39" x14ac:dyDescent="0.2">
      <c r="A6580" t="str">
        <f>"6576"</f>
        <v>6576</v>
      </c>
      <c r="B6580" t="str">
        <f t="shared" si="363"/>
        <v>1</v>
      </c>
      <c r="C6580" t="str">
        <f t="shared" si="365"/>
        <v>132</v>
      </c>
      <c r="D6580" t="str">
        <f>"39"</f>
        <v>39</v>
      </c>
      <c r="E6580" t="str">
        <f>"1-132-39"</f>
        <v>1-132-39</v>
      </c>
      <c r="F6580" t="s">
        <v>65</v>
      </c>
      <c r="G6580" t="s">
        <v>66</v>
      </c>
      <c r="H6580" t="s">
        <v>67</v>
      </c>
      <c r="S6580">
        <v>1</v>
      </c>
      <c r="T6580">
        <v>0</v>
      </c>
      <c r="U6580">
        <v>0</v>
      </c>
      <c r="V6580">
        <v>0</v>
      </c>
      <c r="W6580">
        <v>1</v>
      </c>
      <c r="X6580">
        <v>0</v>
      </c>
      <c r="Y6580">
        <v>0</v>
      </c>
      <c r="Z6580">
        <v>1</v>
      </c>
      <c r="AA6580">
        <v>0</v>
      </c>
      <c r="AB6580">
        <v>1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</row>
    <row r="6581" spans="1:39" x14ac:dyDescent="0.2">
      <c r="A6581" t="str">
        <f>"6577"</f>
        <v>6577</v>
      </c>
      <c r="B6581" t="str">
        <f t="shared" si="363"/>
        <v>1</v>
      </c>
      <c r="C6581" t="str">
        <f t="shared" si="365"/>
        <v>132</v>
      </c>
      <c r="D6581" t="str">
        <f>"23"</f>
        <v>23</v>
      </c>
      <c r="E6581" t="str">
        <f>"1-132-23"</f>
        <v>1-132-23</v>
      </c>
      <c r="F6581" t="s">
        <v>65</v>
      </c>
      <c r="G6581" t="s">
        <v>66</v>
      </c>
      <c r="H6581" t="s">
        <v>67</v>
      </c>
      <c r="S6581">
        <v>0</v>
      </c>
      <c r="T6581">
        <v>1</v>
      </c>
      <c r="U6581">
        <v>0</v>
      </c>
      <c r="V6581">
        <v>0</v>
      </c>
      <c r="W6581">
        <v>0</v>
      </c>
      <c r="X6581">
        <v>1</v>
      </c>
      <c r="Y6581">
        <v>0</v>
      </c>
      <c r="Z6581">
        <v>1</v>
      </c>
      <c r="AA6581">
        <v>0</v>
      </c>
      <c r="AB6581">
        <v>0</v>
      </c>
      <c r="AC6581">
        <v>1</v>
      </c>
      <c r="AD6581">
        <v>1</v>
      </c>
      <c r="AE6581">
        <v>1</v>
      </c>
      <c r="AF6581">
        <v>1</v>
      </c>
      <c r="AG6581">
        <v>1</v>
      </c>
      <c r="AH6581">
        <v>1</v>
      </c>
      <c r="AI6581">
        <v>1</v>
      </c>
      <c r="AJ6581">
        <v>1</v>
      </c>
      <c r="AK6581">
        <v>1</v>
      </c>
      <c r="AL6581">
        <v>1</v>
      </c>
      <c r="AM6581">
        <v>1</v>
      </c>
    </row>
    <row r="6582" spans="1:39" x14ac:dyDescent="0.2">
      <c r="A6582" t="str">
        <f>"6578"</f>
        <v>6578</v>
      </c>
      <c r="B6582" t="str">
        <f t="shared" si="363"/>
        <v>1</v>
      </c>
      <c r="C6582" t="str">
        <f t="shared" si="365"/>
        <v>132</v>
      </c>
      <c r="D6582" t="str">
        <f>"3"</f>
        <v>3</v>
      </c>
      <c r="E6582" t="str">
        <f>"1-132-3"</f>
        <v>1-132-3</v>
      </c>
      <c r="F6582" t="s">
        <v>65</v>
      </c>
      <c r="G6582" t="s">
        <v>66</v>
      </c>
      <c r="H6582" t="s">
        <v>67</v>
      </c>
      <c r="S6582">
        <v>0</v>
      </c>
      <c r="T6582">
        <v>1</v>
      </c>
      <c r="U6582">
        <v>0</v>
      </c>
      <c r="V6582">
        <v>0</v>
      </c>
      <c r="W6582">
        <v>1</v>
      </c>
      <c r="X6582">
        <v>0</v>
      </c>
      <c r="Y6582">
        <v>0</v>
      </c>
      <c r="Z6582">
        <v>1</v>
      </c>
      <c r="AA6582">
        <v>0</v>
      </c>
      <c r="AB6582">
        <v>0</v>
      </c>
      <c r="AC6582">
        <v>1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</row>
    <row r="6583" spans="1:39" x14ac:dyDescent="0.2">
      <c r="A6583" t="str">
        <f>"6579"</f>
        <v>6579</v>
      </c>
      <c r="B6583" t="str">
        <f t="shared" ref="B6583:B6646" si="366">"1"</f>
        <v>1</v>
      </c>
      <c r="C6583" t="str">
        <f t="shared" si="365"/>
        <v>132</v>
      </c>
      <c r="D6583" t="str">
        <f>"40"</f>
        <v>40</v>
      </c>
      <c r="E6583" t="str">
        <f>"1-132-40"</f>
        <v>1-132-40</v>
      </c>
      <c r="F6583" t="s">
        <v>65</v>
      </c>
      <c r="G6583" t="s">
        <v>66</v>
      </c>
      <c r="H6583" t="s">
        <v>67</v>
      </c>
      <c r="S6583">
        <v>0</v>
      </c>
      <c r="T6583">
        <v>1</v>
      </c>
      <c r="U6583">
        <v>0</v>
      </c>
      <c r="V6583">
        <v>0</v>
      </c>
      <c r="W6583">
        <v>1</v>
      </c>
      <c r="X6583">
        <v>0</v>
      </c>
      <c r="Y6583">
        <v>1</v>
      </c>
      <c r="Z6583">
        <v>0</v>
      </c>
      <c r="AA6583">
        <v>0</v>
      </c>
      <c r="AB6583">
        <v>0</v>
      </c>
      <c r="AC6583">
        <v>1</v>
      </c>
      <c r="AD6583">
        <v>1</v>
      </c>
      <c r="AE6583">
        <v>1</v>
      </c>
      <c r="AF6583">
        <v>1</v>
      </c>
      <c r="AG6583">
        <v>1</v>
      </c>
      <c r="AH6583">
        <v>1</v>
      </c>
      <c r="AI6583">
        <v>1</v>
      </c>
      <c r="AJ6583">
        <v>1</v>
      </c>
      <c r="AK6583">
        <v>1</v>
      </c>
      <c r="AL6583">
        <v>1</v>
      </c>
      <c r="AM6583">
        <v>1</v>
      </c>
    </row>
    <row r="6584" spans="1:39" x14ac:dyDescent="0.2">
      <c r="A6584" t="str">
        <f>"6580"</f>
        <v>6580</v>
      </c>
      <c r="B6584" t="str">
        <f t="shared" si="366"/>
        <v>1</v>
      </c>
      <c r="C6584" t="str">
        <f t="shared" si="365"/>
        <v>132</v>
      </c>
      <c r="D6584" t="str">
        <f>"24"</f>
        <v>24</v>
      </c>
      <c r="E6584" t="str">
        <f>"1-132-24"</f>
        <v>1-132-24</v>
      </c>
      <c r="F6584" t="s">
        <v>65</v>
      </c>
      <c r="G6584" t="s">
        <v>66</v>
      </c>
      <c r="H6584" t="s">
        <v>67</v>
      </c>
      <c r="S6584">
        <v>1</v>
      </c>
      <c r="T6584">
        <v>0</v>
      </c>
      <c r="U6584">
        <v>0</v>
      </c>
      <c r="V6584">
        <v>0</v>
      </c>
      <c r="W6584">
        <v>1</v>
      </c>
      <c r="X6584">
        <v>0</v>
      </c>
      <c r="Y6584">
        <v>1</v>
      </c>
      <c r="Z6584">
        <v>0</v>
      </c>
      <c r="AA6584">
        <v>1</v>
      </c>
      <c r="AB6584">
        <v>0</v>
      </c>
      <c r="AC6584">
        <v>0</v>
      </c>
      <c r="AD6584">
        <v>1</v>
      </c>
      <c r="AE6584">
        <v>1</v>
      </c>
      <c r="AF6584">
        <v>1</v>
      </c>
      <c r="AG6584">
        <v>1</v>
      </c>
      <c r="AH6584">
        <v>1</v>
      </c>
      <c r="AI6584">
        <v>1</v>
      </c>
      <c r="AJ6584">
        <v>1</v>
      </c>
      <c r="AK6584">
        <v>1</v>
      </c>
      <c r="AL6584">
        <v>1</v>
      </c>
      <c r="AM6584">
        <v>1</v>
      </c>
    </row>
    <row r="6585" spans="1:39" x14ac:dyDescent="0.2">
      <c r="A6585" t="str">
        <f>"6581"</f>
        <v>6581</v>
      </c>
      <c r="B6585" t="str">
        <f t="shared" si="366"/>
        <v>1</v>
      </c>
      <c r="C6585" t="str">
        <f t="shared" si="365"/>
        <v>132</v>
      </c>
      <c r="D6585" t="str">
        <f>"2"</f>
        <v>2</v>
      </c>
      <c r="E6585" t="str">
        <f>"1-132-2"</f>
        <v>1-132-2</v>
      </c>
      <c r="F6585" t="s">
        <v>65</v>
      </c>
      <c r="G6585" t="s">
        <v>66</v>
      </c>
      <c r="H6585" t="s">
        <v>67</v>
      </c>
      <c r="S6585">
        <v>1</v>
      </c>
      <c r="T6585">
        <v>0</v>
      </c>
      <c r="U6585">
        <v>0</v>
      </c>
      <c r="V6585">
        <v>0</v>
      </c>
      <c r="W6585">
        <v>1</v>
      </c>
      <c r="X6585">
        <v>0</v>
      </c>
      <c r="Y6585">
        <v>1</v>
      </c>
      <c r="Z6585">
        <v>0</v>
      </c>
      <c r="AA6585">
        <v>0</v>
      </c>
      <c r="AB6585">
        <v>1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1</v>
      </c>
      <c r="AI6585">
        <v>0</v>
      </c>
      <c r="AJ6585">
        <v>0</v>
      </c>
      <c r="AK6585">
        <v>0</v>
      </c>
      <c r="AL6585">
        <v>0</v>
      </c>
      <c r="AM6585">
        <v>0</v>
      </c>
    </row>
    <row r="6586" spans="1:39" x14ac:dyDescent="0.2">
      <c r="A6586" t="str">
        <f>"6582"</f>
        <v>6582</v>
      </c>
      <c r="B6586" t="str">
        <f t="shared" si="366"/>
        <v>1</v>
      </c>
      <c r="C6586" t="str">
        <f t="shared" si="365"/>
        <v>132</v>
      </c>
      <c r="D6586" t="str">
        <f>"43"</f>
        <v>43</v>
      </c>
      <c r="E6586" t="str">
        <f>"1-132-43"</f>
        <v>1-132-43</v>
      </c>
      <c r="F6586" t="s">
        <v>65</v>
      </c>
      <c r="G6586" t="s">
        <v>66</v>
      </c>
      <c r="H6586" t="s">
        <v>67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1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1</v>
      </c>
      <c r="AE6586">
        <v>1</v>
      </c>
      <c r="AF6586">
        <v>1</v>
      </c>
      <c r="AG6586">
        <v>1</v>
      </c>
      <c r="AH6586">
        <v>1</v>
      </c>
      <c r="AI6586">
        <v>1</v>
      </c>
      <c r="AJ6586">
        <v>1</v>
      </c>
      <c r="AK6586">
        <v>1</v>
      </c>
      <c r="AL6586">
        <v>1</v>
      </c>
      <c r="AM6586">
        <v>1</v>
      </c>
    </row>
    <row r="6587" spans="1:39" x14ac:dyDescent="0.2">
      <c r="A6587" t="str">
        <f>"6583"</f>
        <v>6583</v>
      </c>
      <c r="B6587" t="str">
        <f t="shared" si="366"/>
        <v>1</v>
      </c>
      <c r="C6587" t="str">
        <f t="shared" ref="C6587:C6604" si="367">"132"</f>
        <v>132</v>
      </c>
      <c r="D6587" t="str">
        <f>"27"</f>
        <v>27</v>
      </c>
      <c r="E6587" t="str">
        <f>"1-132-27"</f>
        <v>1-132-27</v>
      </c>
      <c r="F6587" t="s">
        <v>65</v>
      </c>
      <c r="G6587" t="s">
        <v>66</v>
      </c>
      <c r="H6587" t="s">
        <v>67</v>
      </c>
      <c r="S6587">
        <v>1</v>
      </c>
      <c r="T6587">
        <v>0</v>
      </c>
      <c r="U6587">
        <v>0</v>
      </c>
      <c r="V6587">
        <v>0</v>
      </c>
      <c r="W6587">
        <v>1</v>
      </c>
      <c r="X6587">
        <v>0</v>
      </c>
      <c r="Y6587">
        <v>1</v>
      </c>
      <c r="Z6587">
        <v>0</v>
      </c>
      <c r="AA6587">
        <v>0</v>
      </c>
      <c r="AB6587">
        <v>1</v>
      </c>
      <c r="AC6587">
        <v>0</v>
      </c>
      <c r="AD6587">
        <v>0</v>
      </c>
      <c r="AE6587">
        <v>0</v>
      </c>
      <c r="AF6587">
        <v>0</v>
      </c>
      <c r="AG6587">
        <v>1</v>
      </c>
      <c r="AH6587">
        <v>1</v>
      </c>
      <c r="AI6587">
        <v>1</v>
      </c>
      <c r="AJ6587">
        <v>1</v>
      </c>
      <c r="AK6587">
        <v>1</v>
      </c>
      <c r="AL6587">
        <v>1</v>
      </c>
      <c r="AM6587">
        <v>1</v>
      </c>
    </row>
    <row r="6588" spans="1:39" x14ac:dyDescent="0.2">
      <c r="A6588" t="str">
        <f>"6584"</f>
        <v>6584</v>
      </c>
      <c r="B6588" t="str">
        <f t="shared" si="366"/>
        <v>1</v>
      </c>
      <c r="C6588" t="str">
        <f t="shared" si="367"/>
        <v>132</v>
      </c>
      <c r="D6588" t="str">
        <f>"13"</f>
        <v>13</v>
      </c>
      <c r="E6588" t="str">
        <f>"1-132-13"</f>
        <v>1-132-13</v>
      </c>
      <c r="F6588" t="s">
        <v>65</v>
      </c>
      <c r="G6588" t="s">
        <v>66</v>
      </c>
      <c r="H6588" t="s">
        <v>67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1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1</v>
      </c>
      <c r="AE6588">
        <v>1</v>
      </c>
      <c r="AF6588">
        <v>1</v>
      </c>
      <c r="AG6588">
        <v>1</v>
      </c>
      <c r="AH6588">
        <v>1</v>
      </c>
      <c r="AI6588">
        <v>1</v>
      </c>
      <c r="AJ6588">
        <v>1</v>
      </c>
      <c r="AK6588">
        <v>1</v>
      </c>
      <c r="AL6588">
        <v>1</v>
      </c>
      <c r="AM6588">
        <v>1</v>
      </c>
    </row>
    <row r="6589" spans="1:39" x14ac:dyDescent="0.2">
      <c r="A6589" t="str">
        <f>"6585"</f>
        <v>6585</v>
      </c>
      <c r="B6589" t="str">
        <f t="shared" si="366"/>
        <v>1</v>
      </c>
      <c r="C6589" t="str">
        <f t="shared" si="367"/>
        <v>132</v>
      </c>
      <c r="D6589" t="str">
        <f>"28"</f>
        <v>28</v>
      </c>
      <c r="E6589" t="str">
        <f>"1-132-28"</f>
        <v>1-132-28</v>
      </c>
      <c r="F6589" t="s">
        <v>65</v>
      </c>
      <c r="G6589" t="s">
        <v>66</v>
      </c>
      <c r="H6589" t="s">
        <v>67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1</v>
      </c>
      <c r="Y6589">
        <v>0</v>
      </c>
      <c r="Z6589">
        <v>1</v>
      </c>
      <c r="AA6589">
        <v>0</v>
      </c>
      <c r="AB6589">
        <v>0</v>
      </c>
      <c r="AC6589">
        <v>1</v>
      </c>
      <c r="AD6589">
        <v>1</v>
      </c>
      <c r="AE6589">
        <v>1</v>
      </c>
      <c r="AF6589">
        <v>1</v>
      </c>
      <c r="AG6589">
        <v>1</v>
      </c>
      <c r="AH6589">
        <v>1</v>
      </c>
      <c r="AI6589">
        <v>1</v>
      </c>
      <c r="AJ6589">
        <v>1</v>
      </c>
      <c r="AK6589">
        <v>1</v>
      </c>
      <c r="AL6589">
        <v>1</v>
      </c>
      <c r="AM6589">
        <v>1</v>
      </c>
    </row>
    <row r="6590" spans="1:39" x14ac:dyDescent="0.2">
      <c r="A6590" t="str">
        <f>"6586"</f>
        <v>6586</v>
      </c>
      <c r="B6590" t="str">
        <f t="shared" si="366"/>
        <v>1</v>
      </c>
      <c r="C6590" t="str">
        <f t="shared" si="367"/>
        <v>132</v>
      </c>
      <c r="D6590" t="str">
        <f>"5"</f>
        <v>5</v>
      </c>
      <c r="E6590" t="str">
        <f>"1-132-5"</f>
        <v>1-132-5</v>
      </c>
      <c r="F6590" t="s">
        <v>65</v>
      </c>
      <c r="G6590" t="s">
        <v>66</v>
      </c>
      <c r="H6590" t="s">
        <v>67</v>
      </c>
      <c r="S6590">
        <v>0</v>
      </c>
      <c r="T6590">
        <v>0</v>
      </c>
      <c r="U6590">
        <v>0</v>
      </c>
      <c r="V6590">
        <v>0</v>
      </c>
      <c r="W6590">
        <v>1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</row>
    <row r="6591" spans="1:39" x14ac:dyDescent="0.2">
      <c r="A6591" t="str">
        <f>"6587"</f>
        <v>6587</v>
      </c>
      <c r="B6591" t="str">
        <f t="shared" si="366"/>
        <v>1</v>
      </c>
      <c r="C6591" t="str">
        <f t="shared" si="367"/>
        <v>132</v>
      </c>
      <c r="D6591" t="str">
        <f>"44"</f>
        <v>44</v>
      </c>
      <c r="E6591" t="str">
        <f>"1-132-44"</f>
        <v>1-132-44</v>
      </c>
      <c r="F6591" t="s">
        <v>65</v>
      </c>
      <c r="G6591" t="s">
        <v>66</v>
      </c>
      <c r="H6591" t="s">
        <v>67</v>
      </c>
      <c r="S6591">
        <v>0</v>
      </c>
      <c r="T6591">
        <v>1</v>
      </c>
      <c r="U6591">
        <v>0</v>
      </c>
      <c r="V6591">
        <v>0</v>
      </c>
      <c r="W6591">
        <v>1</v>
      </c>
      <c r="X6591">
        <v>0</v>
      </c>
      <c r="Y6591">
        <v>0</v>
      </c>
      <c r="Z6591">
        <v>1</v>
      </c>
      <c r="AA6591">
        <v>0</v>
      </c>
      <c r="AB6591">
        <v>0</v>
      </c>
      <c r="AC6591">
        <v>1</v>
      </c>
      <c r="AD6591">
        <v>1</v>
      </c>
      <c r="AE6591">
        <v>1</v>
      </c>
      <c r="AF6591">
        <v>1</v>
      </c>
      <c r="AG6591">
        <v>1</v>
      </c>
      <c r="AH6591">
        <v>1</v>
      </c>
      <c r="AI6591">
        <v>1</v>
      </c>
      <c r="AJ6591">
        <v>1</v>
      </c>
      <c r="AK6591">
        <v>1</v>
      </c>
      <c r="AL6591">
        <v>1</v>
      </c>
      <c r="AM6591">
        <v>1</v>
      </c>
    </row>
    <row r="6592" spans="1:39" x14ac:dyDescent="0.2">
      <c r="A6592" t="str">
        <f>"6588"</f>
        <v>6588</v>
      </c>
      <c r="B6592" t="str">
        <f t="shared" si="366"/>
        <v>1</v>
      </c>
      <c r="C6592" t="str">
        <f t="shared" si="367"/>
        <v>132</v>
      </c>
      <c r="D6592" t="str">
        <f>"29"</f>
        <v>29</v>
      </c>
      <c r="E6592" t="str">
        <f>"1-132-29"</f>
        <v>1-132-29</v>
      </c>
      <c r="F6592" t="s">
        <v>65</v>
      </c>
      <c r="G6592" t="s">
        <v>66</v>
      </c>
      <c r="H6592" t="s">
        <v>67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1</v>
      </c>
      <c r="Y6592">
        <v>0</v>
      </c>
      <c r="Z6592">
        <v>1</v>
      </c>
      <c r="AA6592">
        <v>0</v>
      </c>
      <c r="AB6592">
        <v>0</v>
      </c>
      <c r="AC6592">
        <v>1</v>
      </c>
      <c r="AD6592">
        <v>1</v>
      </c>
      <c r="AE6592">
        <v>1</v>
      </c>
      <c r="AF6592">
        <v>1</v>
      </c>
      <c r="AG6592">
        <v>1</v>
      </c>
      <c r="AH6592">
        <v>1</v>
      </c>
      <c r="AI6592">
        <v>1</v>
      </c>
      <c r="AJ6592">
        <v>1</v>
      </c>
      <c r="AK6592">
        <v>1</v>
      </c>
      <c r="AL6592">
        <v>1</v>
      </c>
      <c r="AM6592">
        <v>1</v>
      </c>
    </row>
    <row r="6593" spans="1:39" x14ac:dyDescent="0.2">
      <c r="A6593" t="str">
        <f>"6589"</f>
        <v>6589</v>
      </c>
      <c r="B6593" t="str">
        <f t="shared" si="366"/>
        <v>1</v>
      </c>
      <c r="C6593" t="str">
        <f t="shared" si="367"/>
        <v>132</v>
      </c>
      <c r="D6593" t="str">
        <f>"6"</f>
        <v>6</v>
      </c>
      <c r="E6593" t="str">
        <f>"1-132-6"</f>
        <v>1-132-6</v>
      </c>
      <c r="F6593" t="s">
        <v>65</v>
      </c>
      <c r="G6593" t="s">
        <v>66</v>
      </c>
      <c r="H6593" t="s">
        <v>67</v>
      </c>
      <c r="S6593">
        <v>0</v>
      </c>
      <c r="T6593">
        <v>1</v>
      </c>
      <c r="U6593">
        <v>0</v>
      </c>
      <c r="V6593">
        <v>0</v>
      </c>
      <c r="W6593">
        <v>1</v>
      </c>
      <c r="X6593">
        <v>0</v>
      </c>
      <c r="Y6593">
        <v>1</v>
      </c>
      <c r="Z6593">
        <v>0</v>
      </c>
      <c r="AA6593">
        <v>1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1</v>
      </c>
      <c r="AH6593">
        <v>1</v>
      </c>
      <c r="AI6593">
        <v>1</v>
      </c>
      <c r="AJ6593">
        <v>1</v>
      </c>
      <c r="AK6593">
        <v>1</v>
      </c>
      <c r="AL6593">
        <v>1</v>
      </c>
      <c r="AM6593">
        <v>1</v>
      </c>
    </row>
    <row r="6594" spans="1:39" x14ac:dyDescent="0.2">
      <c r="A6594" t="str">
        <f>"6590"</f>
        <v>6590</v>
      </c>
      <c r="B6594" t="str">
        <f t="shared" si="366"/>
        <v>1</v>
      </c>
      <c r="C6594" t="str">
        <f t="shared" si="367"/>
        <v>132</v>
      </c>
      <c r="D6594" t="str">
        <f>"45"</f>
        <v>45</v>
      </c>
      <c r="E6594" t="str">
        <f>"1-132-45"</f>
        <v>1-132-45</v>
      </c>
      <c r="F6594" t="s">
        <v>65</v>
      </c>
      <c r="G6594" t="s">
        <v>66</v>
      </c>
      <c r="H6594" t="s">
        <v>67</v>
      </c>
      <c r="S6594">
        <v>0</v>
      </c>
      <c r="T6594">
        <v>1</v>
      </c>
      <c r="U6594">
        <v>0</v>
      </c>
      <c r="V6594">
        <v>0</v>
      </c>
      <c r="W6594">
        <v>1</v>
      </c>
      <c r="X6594">
        <v>0</v>
      </c>
      <c r="Y6594">
        <v>1</v>
      </c>
      <c r="Z6594">
        <v>0</v>
      </c>
      <c r="AA6594">
        <v>1</v>
      </c>
      <c r="AB6594">
        <v>0</v>
      </c>
      <c r="AC6594">
        <v>0</v>
      </c>
      <c r="AD6594">
        <v>1</v>
      </c>
      <c r="AE6594">
        <v>1</v>
      </c>
      <c r="AF6594">
        <v>1</v>
      </c>
      <c r="AG6594">
        <v>1</v>
      </c>
      <c r="AH6594">
        <v>1</v>
      </c>
      <c r="AI6594">
        <v>1</v>
      </c>
      <c r="AJ6594">
        <v>1</v>
      </c>
      <c r="AK6594">
        <v>1</v>
      </c>
      <c r="AL6594">
        <v>1</v>
      </c>
      <c r="AM6594">
        <v>1</v>
      </c>
    </row>
    <row r="6595" spans="1:39" x14ac:dyDescent="0.2">
      <c r="A6595" t="str">
        <f>"6591"</f>
        <v>6591</v>
      </c>
      <c r="B6595" t="str">
        <f t="shared" si="366"/>
        <v>1</v>
      </c>
      <c r="C6595" t="str">
        <f t="shared" si="367"/>
        <v>132</v>
      </c>
      <c r="D6595" t="str">
        <f>"30"</f>
        <v>30</v>
      </c>
      <c r="E6595" t="str">
        <f>"1-132-30"</f>
        <v>1-132-30</v>
      </c>
      <c r="F6595" t="s">
        <v>65</v>
      </c>
      <c r="G6595" t="s">
        <v>66</v>
      </c>
      <c r="H6595" t="s">
        <v>67</v>
      </c>
      <c r="S6595">
        <v>0</v>
      </c>
      <c r="T6595">
        <v>1</v>
      </c>
      <c r="U6595">
        <v>0</v>
      </c>
      <c r="V6595">
        <v>0</v>
      </c>
      <c r="W6595">
        <v>1</v>
      </c>
      <c r="X6595">
        <v>0</v>
      </c>
      <c r="Y6595">
        <v>0</v>
      </c>
      <c r="Z6595">
        <v>1</v>
      </c>
      <c r="AA6595">
        <v>0</v>
      </c>
      <c r="AB6595">
        <v>1</v>
      </c>
      <c r="AC6595">
        <v>0</v>
      </c>
      <c r="AD6595">
        <v>0</v>
      </c>
      <c r="AE6595">
        <v>1</v>
      </c>
      <c r="AF6595">
        <v>1</v>
      </c>
      <c r="AG6595">
        <v>1</v>
      </c>
      <c r="AH6595">
        <v>1</v>
      </c>
      <c r="AI6595">
        <v>1</v>
      </c>
      <c r="AJ6595">
        <v>1</v>
      </c>
      <c r="AK6595">
        <v>0</v>
      </c>
      <c r="AL6595">
        <v>0</v>
      </c>
      <c r="AM6595">
        <v>0</v>
      </c>
    </row>
    <row r="6596" spans="1:39" x14ac:dyDescent="0.2">
      <c r="A6596" t="str">
        <f>"6592"</f>
        <v>6592</v>
      </c>
      <c r="B6596" t="str">
        <f t="shared" si="366"/>
        <v>1</v>
      </c>
      <c r="C6596" t="str">
        <f t="shared" si="367"/>
        <v>132</v>
      </c>
      <c r="D6596" t="str">
        <f>"9"</f>
        <v>9</v>
      </c>
      <c r="E6596" t="str">
        <f>"1-132-9"</f>
        <v>1-132-9</v>
      </c>
      <c r="F6596" t="s">
        <v>65</v>
      </c>
      <c r="G6596" t="s">
        <v>66</v>
      </c>
      <c r="H6596" t="s">
        <v>67</v>
      </c>
      <c r="S6596">
        <v>0</v>
      </c>
      <c r="T6596">
        <v>1</v>
      </c>
      <c r="U6596">
        <v>0</v>
      </c>
      <c r="V6596">
        <v>0</v>
      </c>
      <c r="W6596">
        <v>1</v>
      </c>
      <c r="X6596">
        <v>0</v>
      </c>
      <c r="Y6596">
        <v>1</v>
      </c>
      <c r="Z6596">
        <v>0</v>
      </c>
      <c r="AA6596">
        <v>1</v>
      </c>
      <c r="AB6596">
        <v>0</v>
      </c>
      <c r="AC6596">
        <v>0</v>
      </c>
      <c r="AD6596">
        <v>1</v>
      </c>
      <c r="AE6596">
        <v>1</v>
      </c>
      <c r="AF6596">
        <v>1</v>
      </c>
      <c r="AG6596">
        <v>1</v>
      </c>
      <c r="AH6596">
        <v>1</v>
      </c>
      <c r="AI6596">
        <v>1</v>
      </c>
      <c r="AJ6596">
        <v>1</v>
      </c>
      <c r="AK6596">
        <v>1</v>
      </c>
      <c r="AL6596">
        <v>1</v>
      </c>
      <c r="AM6596">
        <v>1</v>
      </c>
    </row>
    <row r="6597" spans="1:39" x14ac:dyDescent="0.2">
      <c r="A6597" t="str">
        <f>"6593"</f>
        <v>6593</v>
      </c>
      <c r="B6597" t="str">
        <f t="shared" si="366"/>
        <v>1</v>
      </c>
      <c r="C6597" t="str">
        <f t="shared" si="367"/>
        <v>132</v>
      </c>
      <c r="D6597" t="str">
        <f>"46"</f>
        <v>46</v>
      </c>
      <c r="E6597" t="str">
        <f>"1-132-46"</f>
        <v>1-132-46</v>
      </c>
      <c r="F6597" t="s">
        <v>65</v>
      </c>
      <c r="G6597" t="s">
        <v>66</v>
      </c>
      <c r="H6597" t="s">
        <v>67</v>
      </c>
      <c r="S6597">
        <v>1</v>
      </c>
      <c r="T6597">
        <v>0</v>
      </c>
      <c r="U6597">
        <v>0</v>
      </c>
      <c r="V6597">
        <v>0</v>
      </c>
      <c r="W6597">
        <v>1</v>
      </c>
      <c r="X6597">
        <v>0</v>
      </c>
      <c r="Y6597">
        <v>1</v>
      </c>
      <c r="Z6597">
        <v>0</v>
      </c>
      <c r="AA6597">
        <v>0</v>
      </c>
      <c r="AB6597">
        <v>1</v>
      </c>
      <c r="AC6597">
        <v>0</v>
      </c>
      <c r="AD6597">
        <v>1</v>
      </c>
      <c r="AE6597">
        <v>1</v>
      </c>
      <c r="AF6597">
        <v>1</v>
      </c>
      <c r="AG6597">
        <v>0</v>
      </c>
      <c r="AH6597">
        <v>1</v>
      </c>
      <c r="AI6597">
        <v>1</v>
      </c>
      <c r="AJ6597">
        <v>1</v>
      </c>
      <c r="AK6597">
        <v>1</v>
      </c>
      <c r="AL6597">
        <v>1</v>
      </c>
      <c r="AM6597">
        <v>1</v>
      </c>
    </row>
    <row r="6598" spans="1:39" x14ac:dyDescent="0.2">
      <c r="A6598" t="str">
        <f>"6594"</f>
        <v>6594</v>
      </c>
      <c r="B6598" t="str">
        <f t="shared" si="366"/>
        <v>1</v>
      </c>
      <c r="C6598" t="str">
        <f t="shared" si="367"/>
        <v>132</v>
      </c>
      <c r="D6598" t="str">
        <f>"31"</f>
        <v>31</v>
      </c>
      <c r="E6598" t="str">
        <f>"1-132-31"</f>
        <v>1-132-31</v>
      </c>
      <c r="F6598" t="s">
        <v>65</v>
      </c>
      <c r="G6598" t="s">
        <v>66</v>
      </c>
      <c r="H6598" t="s">
        <v>67</v>
      </c>
      <c r="S6598">
        <v>1</v>
      </c>
      <c r="T6598">
        <v>0</v>
      </c>
      <c r="U6598">
        <v>0</v>
      </c>
      <c r="V6598">
        <v>0</v>
      </c>
      <c r="W6598">
        <v>1</v>
      </c>
      <c r="X6598">
        <v>0</v>
      </c>
      <c r="Y6598">
        <v>1</v>
      </c>
      <c r="Z6598">
        <v>0</v>
      </c>
      <c r="AA6598">
        <v>1</v>
      </c>
      <c r="AB6598">
        <v>0</v>
      </c>
      <c r="AC6598">
        <v>0</v>
      </c>
      <c r="AD6598">
        <v>1</v>
      </c>
      <c r="AE6598">
        <v>1</v>
      </c>
      <c r="AF6598">
        <v>1</v>
      </c>
      <c r="AG6598">
        <v>1</v>
      </c>
      <c r="AH6598">
        <v>1</v>
      </c>
      <c r="AI6598">
        <v>1</v>
      </c>
      <c r="AJ6598">
        <v>1</v>
      </c>
      <c r="AK6598">
        <v>1</v>
      </c>
      <c r="AL6598">
        <v>1</v>
      </c>
      <c r="AM6598">
        <v>1</v>
      </c>
    </row>
    <row r="6599" spans="1:39" x14ac:dyDescent="0.2">
      <c r="A6599" t="str">
        <f>"6595"</f>
        <v>6595</v>
      </c>
      <c r="B6599" t="str">
        <f t="shared" si="366"/>
        <v>1</v>
      </c>
      <c r="C6599" t="str">
        <f t="shared" si="367"/>
        <v>132</v>
      </c>
      <c r="D6599" t="str">
        <f>"11"</f>
        <v>11</v>
      </c>
      <c r="E6599" t="str">
        <f>"1-132-11"</f>
        <v>1-132-11</v>
      </c>
      <c r="F6599" t="s">
        <v>65</v>
      </c>
      <c r="G6599" t="s">
        <v>66</v>
      </c>
      <c r="H6599" t="s">
        <v>67</v>
      </c>
      <c r="S6599">
        <v>0</v>
      </c>
      <c r="T6599">
        <v>1</v>
      </c>
      <c r="U6599">
        <v>0</v>
      </c>
      <c r="V6599">
        <v>0</v>
      </c>
      <c r="W6599">
        <v>1</v>
      </c>
      <c r="X6599">
        <v>0</v>
      </c>
      <c r="Y6599">
        <v>1</v>
      </c>
      <c r="Z6599">
        <v>0</v>
      </c>
      <c r="AA6599">
        <v>0</v>
      </c>
      <c r="AB6599">
        <v>1</v>
      </c>
      <c r="AC6599">
        <v>0</v>
      </c>
      <c r="AD6599">
        <v>1</v>
      </c>
      <c r="AE6599">
        <v>1</v>
      </c>
      <c r="AF6599">
        <v>1</v>
      </c>
      <c r="AG6599">
        <v>1</v>
      </c>
      <c r="AH6599">
        <v>1</v>
      </c>
      <c r="AI6599">
        <v>1</v>
      </c>
      <c r="AJ6599">
        <v>1</v>
      </c>
      <c r="AK6599">
        <v>1</v>
      </c>
      <c r="AL6599">
        <v>1</v>
      </c>
      <c r="AM6599">
        <v>1</v>
      </c>
    </row>
    <row r="6600" spans="1:39" x14ac:dyDescent="0.2">
      <c r="A6600" t="str">
        <f>"6596"</f>
        <v>6596</v>
      </c>
      <c r="B6600" t="str">
        <f t="shared" si="366"/>
        <v>1</v>
      </c>
      <c r="C6600" t="str">
        <f t="shared" si="367"/>
        <v>132</v>
      </c>
      <c r="D6600" t="str">
        <f>"32"</f>
        <v>32</v>
      </c>
      <c r="E6600" t="str">
        <f>"1-132-32"</f>
        <v>1-132-32</v>
      </c>
      <c r="F6600" t="s">
        <v>65</v>
      </c>
      <c r="G6600" t="s">
        <v>66</v>
      </c>
      <c r="H6600" t="s">
        <v>67</v>
      </c>
      <c r="S6600">
        <v>0</v>
      </c>
      <c r="T6600">
        <v>1</v>
      </c>
      <c r="U6600">
        <v>0</v>
      </c>
      <c r="V6600">
        <v>0</v>
      </c>
      <c r="W6600">
        <v>0</v>
      </c>
      <c r="X6600">
        <v>1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1</v>
      </c>
      <c r="AM6600">
        <v>0</v>
      </c>
    </row>
    <row r="6601" spans="1:39" x14ac:dyDescent="0.2">
      <c r="A6601" t="str">
        <f>"6597"</f>
        <v>6597</v>
      </c>
      <c r="B6601" t="str">
        <f t="shared" si="366"/>
        <v>1</v>
      </c>
      <c r="C6601" t="str">
        <f t="shared" si="367"/>
        <v>132</v>
      </c>
      <c r="D6601" t="str">
        <f>"14"</f>
        <v>14</v>
      </c>
      <c r="E6601" t="str">
        <f>"1-132-14"</f>
        <v>1-132-14</v>
      </c>
      <c r="F6601" t="s">
        <v>65</v>
      </c>
      <c r="G6601" t="s">
        <v>66</v>
      </c>
      <c r="H6601" t="s">
        <v>67</v>
      </c>
      <c r="S6601">
        <v>1</v>
      </c>
      <c r="T6601">
        <v>0</v>
      </c>
      <c r="U6601">
        <v>0</v>
      </c>
      <c r="V6601">
        <v>0</v>
      </c>
      <c r="W6601">
        <v>1</v>
      </c>
      <c r="X6601">
        <v>0</v>
      </c>
      <c r="Y6601">
        <v>1</v>
      </c>
      <c r="Z6601">
        <v>0</v>
      </c>
      <c r="AA6601">
        <v>0</v>
      </c>
      <c r="AB6601">
        <v>1</v>
      </c>
      <c r="AC6601">
        <v>0</v>
      </c>
      <c r="AD6601">
        <v>0</v>
      </c>
      <c r="AE6601">
        <v>0</v>
      </c>
      <c r="AF6601">
        <v>0</v>
      </c>
      <c r="AG6601">
        <v>1</v>
      </c>
      <c r="AH6601">
        <v>1</v>
      </c>
      <c r="AI6601">
        <v>1</v>
      </c>
      <c r="AJ6601">
        <v>1</v>
      </c>
      <c r="AK6601">
        <v>1</v>
      </c>
      <c r="AL6601">
        <v>1</v>
      </c>
      <c r="AM6601">
        <v>1</v>
      </c>
    </row>
    <row r="6602" spans="1:39" x14ac:dyDescent="0.2">
      <c r="A6602" t="str">
        <f>"6598"</f>
        <v>6598</v>
      </c>
      <c r="B6602" t="str">
        <f t="shared" si="366"/>
        <v>1</v>
      </c>
      <c r="C6602" t="str">
        <f t="shared" si="367"/>
        <v>132</v>
      </c>
      <c r="D6602" t="str">
        <f>"47"</f>
        <v>47</v>
      </c>
      <c r="E6602" t="str">
        <f>"1-132-47"</f>
        <v>1-132-47</v>
      </c>
      <c r="F6602" t="s">
        <v>65</v>
      </c>
      <c r="G6602" t="s">
        <v>66</v>
      </c>
      <c r="H6602" t="s">
        <v>67</v>
      </c>
      <c r="S6602">
        <v>1</v>
      </c>
      <c r="T6602">
        <v>0</v>
      </c>
      <c r="U6602">
        <v>0</v>
      </c>
      <c r="V6602">
        <v>0</v>
      </c>
      <c r="W6602">
        <v>1</v>
      </c>
      <c r="X6602">
        <v>0</v>
      </c>
      <c r="Y6602">
        <v>0</v>
      </c>
      <c r="Z6602">
        <v>1</v>
      </c>
      <c r="AA6602">
        <v>0</v>
      </c>
      <c r="AB6602">
        <v>1</v>
      </c>
      <c r="AC6602">
        <v>0</v>
      </c>
      <c r="AD6602">
        <v>1</v>
      </c>
      <c r="AE6602">
        <v>1</v>
      </c>
      <c r="AF6602">
        <v>1</v>
      </c>
      <c r="AG6602">
        <v>1</v>
      </c>
      <c r="AH6602">
        <v>1</v>
      </c>
      <c r="AI6602">
        <v>1</v>
      </c>
      <c r="AJ6602">
        <v>1</v>
      </c>
      <c r="AK6602">
        <v>1</v>
      </c>
      <c r="AL6602">
        <v>1</v>
      </c>
      <c r="AM6602">
        <v>1</v>
      </c>
    </row>
    <row r="6603" spans="1:39" x14ac:dyDescent="0.2">
      <c r="A6603" t="str">
        <f>"6599"</f>
        <v>6599</v>
      </c>
      <c r="B6603" t="str">
        <f t="shared" si="366"/>
        <v>1</v>
      </c>
      <c r="C6603" t="str">
        <f t="shared" si="367"/>
        <v>132</v>
      </c>
      <c r="D6603" t="str">
        <f>"50"</f>
        <v>50</v>
      </c>
      <c r="E6603" t="str">
        <f>"1-132-50"</f>
        <v>1-132-50</v>
      </c>
      <c r="F6603" t="s">
        <v>65</v>
      </c>
      <c r="G6603" t="s">
        <v>66</v>
      </c>
      <c r="H6603" t="s">
        <v>67</v>
      </c>
      <c r="S6603">
        <v>1</v>
      </c>
      <c r="T6603">
        <v>0</v>
      </c>
      <c r="U6603">
        <v>0</v>
      </c>
      <c r="V6603">
        <v>0</v>
      </c>
      <c r="W6603">
        <v>1</v>
      </c>
      <c r="X6603">
        <v>0</v>
      </c>
      <c r="Y6603">
        <v>1</v>
      </c>
      <c r="Z6603">
        <v>0</v>
      </c>
      <c r="AA6603">
        <v>1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1</v>
      </c>
      <c r="AH6603">
        <v>1</v>
      </c>
      <c r="AI6603">
        <v>1</v>
      </c>
      <c r="AJ6603">
        <v>1</v>
      </c>
      <c r="AK6603">
        <v>1</v>
      </c>
      <c r="AL6603">
        <v>1</v>
      </c>
      <c r="AM6603">
        <v>0</v>
      </c>
    </row>
    <row r="6604" spans="1:39" x14ac:dyDescent="0.2">
      <c r="A6604" t="str">
        <f>"6600"</f>
        <v>6600</v>
      </c>
      <c r="B6604" t="str">
        <f t="shared" si="366"/>
        <v>1</v>
      </c>
      <c r="C6604" t="str">
        <f t="shared" si="367"/>
        <v>132</v>
      </c>
      <c r="D6604" t="str">
        <f>"49"</f>
        <v>49</v>
      </c>
      <c r="E6604" t="str">
        <f>"1-132-49"</f>
        <v>1-132-49</v>
      </c>
      <c r="F6604" t="s">
        <v>65</v>
      </c>
      <c r="G6604" t="s">
        <v>66</v>
      </c>
      <c r="H6604" t="s">
        <v>67</v>
      </c>
      <c r="S6604">
        <v>1</v>
      </c>
      <c r="T6604">
        <v>0</v>
      </c>
      <c r="U6604">
        <v>0</v>
      </c>
      <c r="V6604">
        <v>0</v>
      </c>
      <c r="W6604">
        <v>1</v>
      </c>
      <c r="X6604">
        <v>0</v>
      </c>
      <c r="Y6604">
        <v>1</v>
      </c>
      <c r="Z6604">
        <v>0</v>
      </c>
      <c r="AA6604">
        <v>1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1</v>
      </c>
      <c r="AH6604">
        <v>1</v>
      </c>
      <c r="AI6604">
        <v>1</v>
      </c>
      <c r="AJ6604">
        <v>1</v>
      </c>
      <c r="AK6604">
        <v>1</v>
      </c>
      <c r="AL6604">
        <v>1</v>
      </c>
      <c r="AM6604">
        <v>1</v>
      </c>
    </row>
    <row r="6605" spans="1:39" x14ac:dyDescent="0.2">
      <c r="A6605" t="str">
        <f>"6601"</f>
        <v>6601</v>
      </c>
      <c r="B6605" t="str">
        <f t="shared" si="366"/>
        <v>1</v>
      </c>
      <c r="C6605" t="str">
        <f t="shared" ref="C6605:C6636" si="368">"133"</f>
        <v>133</v>
      </c>
      <c r="D6605" t="str">
        <f>"36"</f>
        <v>36</v>
      </c>
      <c r="E6605" t="str">
        <f>"1-133-36"</f>
        <v>1-133-36</v>
      </c>
      <c r="F6605" t="s">
        <v>65</v>
      </c>
      <c r="G6605" t="s">
        <v>66</v>
      </c>
      <c r="H6605" t="s">
        <v>67</v>
      </c>
      <c r="S6605">
        <v>0</v>
      </c>
      <c r="T6605">
        <v>1</v>
      </c>
      <c r="U6605">
        <v>0</v>
      </c>
      <c r="V6605">
        <v>0</v>
      </c>
      <c r="W6605">
        <v>1</v>
      </c>
      <c r="X6605">
        <v>0</v>
      </c>
      <c r="Y6605">
        <v>1</v>
      </c>
      <c r="Z6605">
        <v>0</v>
      </c>
      <c r="AA6605">
        <v>0</v>
      </c>
      <c r="AB6605">
        <v>0</v>
      </c>
      <c r="AC6605">
        <v>1</v>
      </c>
      <c r="AD6605">
        <v>1</v>
      </c>
      <c r="AE6605">
        <v>1</v>
      </c>
      <c r="AF6605">
        <v>1</v>
      </c>
      <c r="AG6605">
        <v>1</v>
      </c>
      <c r="AH6605">
        <v>1</v>
      </c>
      <c r="AI6605">
        <v>1</v>
      </c>
      <c r="AJ6605">
        <v>1</v>
      </c>
      <c r="AK6605">
        <v>1</v>
      </c>
      <c r="AL6605">
        <v>1</v>
      </c>
      <c r="AM6605">
        <v>1</v>
      </c>
    </row>
    <row r="6606" spans="1:39" x14ac:dyDescent="0.2">
      <c r="A6606" t="str">
        <f>"6602"</f>
        <v>6602</v>
      </c>
      <c r="B6606" t="str">
        <f t="shared" si="366"/>
        <v>1</v>
      </c>
      <c r="C6606" t="str">
        <f t="shared" si="368"/>
        <v>133</v>
      </c>
      <c r="D6606" t="str">
        <f>"35"</f>
        <v>35</v>
      </c>
      <c r="E6606" t="str">
        <f>"1-133-35"</f>
        <v>1-133-35</v>
      </c>
      <c r="F6606" t="s">
        <v>65</v>
      </c>
      <c r="G6606" t="s">
        <v>66</v>
      </c>
      <c r="H6606" t="s">
        <v>67</v>
      </c>
      <c r="S6606">
        <v>1</v>
      </c>
      <c r="T6606">
        <v>0</v>
      </c>
      <c r="U6606">
        <v>0</v>
      </c>
      <c r="V6606">
        <v>0</v>
      </c>
      <c r="W6606">
        <v>1</v>
      </c>
      <c r="X6606">
        <v>0</v>
      </c>
      <c r="Y6606">
        <v>1</v>
      </c>
      <c r="Z6606">
        <v>0</v>
      </c>
      <c r="AA6606">
        <v>0</v>
      </c>
      <c r="AB6606">
        <v>1</v>
      </c>
      <c r="AC6606">
        <v>0</v>
      </c>
      <c r="AD6606">
        <v>1</v>
      </c>
      <c r="AE6606">
        <v>1</v>
      </c>
      <c r="AF6606">
        <v>1</v>
      </c>
      <c r="AG6606">
        <v>1</v>
      </c>
      <c r="AH6606">
        <v>1</v>
      </c>
      <c r="AI6606">
        <v>1</v>
      </c>
      <c r="AJ6606">
        <v>1</v>
      </c>
      <c r="AK6606">
        <v>1</v>
      </c>
      <c r="AL6606">
        <v>1</v>
      </c>
      <c r="AM6606">
        <v>1</v>
      </c>
    </row>
    <row r="6607" spans="1:39" x14ac:dyDescent="0.2">
      <c r="A6607" t="str">
        <f>"6603"</f>
        <v>6603</v>
      </c>
      <c r="B6607" t="str">
        <f t="shared" si="366"/>
        <v>1</v>
      </c>
      <c r="C6607" t="str">
        <f t="shared" si="368"/>
        <v>133</v>
      </c>
      <c r="D6607" t="str">
        <f>"22"</f>
        <v>22</v>
      </c>
      <c r="E6607" t="str">
        <f>"1-133-22"</f>
        <v>1-133-22</v>
      </c>
      <c r="F6607" t="s">
        <v>65</v>
      </c>
      <c r="G6607" t="s">
        <v>66</v>
      </c>
      <c r="H6607" t="s">
        <v>67</v>
      </c>
      <c r="S6607">
        <v>1</v>
      </c>
      <c r="T6607">
        <v>0</v>
      </c>
      <c r="U6607">
        <v>0</v>
      </c>
      <c r="V6607">
        <v>0</v>
      </c>
      <c r="W6607">
        <v>1</v>
      </c>
      <c r="X6607">
        <v>0</v>
      </c>
      <c r="Y6607">
        <v>0</v>
      </c>
      <c r="Z6607">
        <v>1</v>
      </c>
      <c r="AA6607">
        <v>0</v>
      </c>
      <c r="AB6607">
        <v>0</v>
      </c>
      <c r="AC6607">
        <v>1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1</v>
      </c>
      <c r="AM6607">
        <v>0</v>
      </c>
    </row>
    <row r="6608" spans="1:39" x14ac:dyDescent="0.2">
      <c r="A6608" t="str">
        <f>"6604"</f>
        <v>6604</v>
      </c>
      <c r="B6608" t="str">
        <f t="shared" si="366"/>
        <v>1</v>
      </c>
      <c r="C6608" t="str">
        <f t="shared" si="368"/>
        <v>133</v>
      </c>
      <c r="D6608" t="str">
        <f>"15"</f>
        <v>15</v>
      </c>
      <c r="E6608" t="str">
        <f>"1-133-15"</f>
        <v>1-133-15</v>
      </c>
      <c r="F6608" t="s">
        <v>65</v>
      </c>
      <c r="G6608" t="s">
        <v>66</v>
      </c>
      <c r="H6608" t="s">
        <v>67</v>
      </c>
      <c r="S6608">
        <v>1</v>
      </c>
      <c r="T6608">
        <v>0</v>
      </c>
      <c r="U6608">
        <v>0</v>
      </c>
      <c r="V6608">
        <v>0</v>
      </c>
      <c r="W6608">
        <v>1</v>
      </c>
      <c r="X6608">
        <v>0</v>
      </c>
      <c r="Y6608">
        <v>1</v>
      </c>
      <c r="Z6608">
        <v>0</v>
      </c>
      <c r="AA6608">
        <v>0</v>
      </c>
      <c r="AB6608">
        <v>1</v>
      </c>
      <c r="AC6608">
        <v>0</v>
      </c>
      <c r="AD6608">
        <v>1</v>
      </c>
      <c r="AE6608">
        <v>1</v>
      </c>
      <c r="AF6608">
        <v>1</v>
      </c>
      <c r="AG6608">
        <v>1</v>
      </c>
      <c r="AH6608">
        <v>1</v>
      </c>
      <c r="AI6608">
        <v>1</v>
      </c>
      <c r="AJ6608">
        <v>1</v>
      </c>
      <c r="AK6608">
        <v>1</v>
      </c>
      <c r="AL6608">
        <v>1</v>
      </c>
      <c r="AM6608">
        <v>1</v>
      </c>
    </row>
    <row r="6609" spans="1:39" x14ac:dyDescent="0.2">
      <c r="A6609" t="str">
        <f>"6605"</f>
        <v>6605</v>
      </c>
      <c r="B6609" t="str">
        <f t="shared" si="366"/>
        <v>1</v>
      </c>
      <c r="C6609" t="str">
        <f t="shared" si="368"/>
        <v>133</v>
      </c>
      <c r="D6609" t="str">
        <f>"7"</f>
        <v>7</v>
      </c>
      <c r="E6609" t="str">
        <f>"1-133-7"</f>
        <v>1-133-7</v>
      </c>
      <c r="F6609" t="s">
        <v>65</v>
      </c>
      <c r="G6609" t="s">
        <v>66</v>
      </c>
      <c r="H6609" t="s">
        <v>67</v>
      </c>
      <c r="S6609">
        <v>1</v>
      </c>
      <c r="T6609">
        <v>0</v>
      </c>
      <c r="U6609">
        <v>0</v>
      </c>
      <c r="V6609">
        <v>0</v>
      </c>
      <c r="W6609">
        <v>1</v>
      </c>
      <c r="X6609">
        <v>0</v>
      </c>
      <c r="Y6609">
        <v>0</v>
      </c>
      <c r="Z6609">
        <v>1</v>
      </c>
      <c r="AA6609">
        <v>1</v>
      </c>
      <c r="AB6609">
        <v>0</v>
      </c>
      <c r="AC6609">
        <v>0</v>
      </c>
      <c r="AD6609">
        <v>1</v>
      </c>
      <c r="AE6609">
        <v>1</v>
      </c>
      <c r="AF6609">
        <v>1</v>
      </c>
      <c r="AG6609">
        <v>1</v>
      </c>
      <c r="AH6609">
        <v>1</v>
      </c>
      <c r="AI6609">
        <v>1</v>
      </c>
      <c r="AJ6609">
        <v>1</v>
      </c>
      <c r="AK6609">
        <v>1</v>
      </c>
      <c r="AL6609">
        <v>1</v>
      </c>
      <c r="AM6609">
        <v>1</v>
      </c>
    </row>
    <row r="6610" spans="1:39" x14ac:dyDescent="0.2">
      <c r="A6610" t="str">
        <f>"6606"</f>
        <v>6606</v>
      </c>
      <c r="B6610" t="str">
        <f t="shared" si="366"/>
        <v>1</v>
      </c>
      <c r="C6610" t="str">
        <f t="shared" si="368"/>
        <v>133</v>
      </c>
      <c r="D6610" t="str">
        <f>"38"</f>
        <v>38</v>
      </c>
      <c r="E6610" t="str">
        <f>"1-133-38"</f>
        <v>1-133-38</v>
      </c>
      <c r="F6610" t="s">
        <v>65</v>
      </c>
      <c r="G6610" t="s">
        <v>66</v>
      </c>
      <c r="H6610" t="s">
        <v>67</v>
      </c>
      <c r="S6610">
        <v>1</v>
      </c>
      <c r="T6610">
        <v>0</v>
      </c>
      <c r="U6610">
        <v>0</v>
      </c>
      <c r="V6610">
        <v>0</v>
      </c>
      <c r="W6610">
        <v>1</v>
      </c>
      <c r="X6610">
        <v>0</v>
      </c>
      <c r="Y6610">
        <v>0</v>
      </c>
      <c r="Z6610">
        <v>1</v>
      </c>
      <c r="AA6610">
        <v>1</v>
      </c>
      <c r="AB6610">
        <v>0</v>
      </c>
      <c r="AC6610">
        <v>0</v>
      </c>
      <c r="AD6610">
        <v>1</v>
      </c>
      <c r="AE6610">
        <v>0</v>
      </c>
      <c r="AF6610">
        <v>1</v>
      </c>
      <c r="AG6610">
        <v>1</v>
      </c>
      <c r="AH6610">
        <v>1</v>
      </c>
      <c r="AI6610">
        <v>1</v>
      </c>
      <c r="AJ6610">
        <v>1</v>
      </c>
      <c r="AK6610">
        <v>1</v>
      </c>
      <c r="AL6610">
        <v>1</v>
      </c>
      <c r="AM6610">
        <v>1</v>
      </c>
    </row>
    <row r="6611" spans="1:39" x14ac:dyDescent="0.2">
      <c r="A6611" t="str">
        <f>"6607"</f>
        <v>6607</v>
      </c>
      <c r="B6611" t="str">
        <f t="shared" si="366"/>
        <v>1</v>
      </c>
      <c r="C6611" t="str">
        <f t="shared" si="368"/>
        <v>133</v>
      </c>
      <c r="D6611" t="str">
        <f>"37"</f>
        <v>37</v>
      </c>
      <c r="E6611" t="str">
        <f>"1-133-37"</f>
        <v>1-133-37</v>
      </c>
      <c r="F6611" t="s">
        <v>65</v>
      </c>
      <c r="G6611" t="s">
        <v>66</v>
      </c>
      <c r="H6611" t="s">
        <v>67</v>
      </c>
      <c r="S6611">
        <v>0</v>
      </c>
      <c r="T6611">
        <v>1</v>
      </c>
      <c r="U6611">
        <v>0</v>
      </c>
      <c r="V6611">
        <v>0</v>
      </c>
      <c r="W6611">
        <v>1</v>
      </c>
      <c r="X6611">
        <v>0</v>
      </c>
      <c r="Y6611">
        <v>1</v>
      </c>
      <c r="Z6611">
        <v>0</v>
      </c>
      <c r="AA6611">
        <v>0</v>
      </c>
      <c r="AB6611">
        <v>0</v>
      </c>
      <c r="AC6611">
        <v>1</v>
      </c>
      <c r="AD6611">
        <v>1</v>
      </c>
      <c r="AE6611">
        <v>1</v>
      </c>
      <c r="AF6611">
        <v>1</v>
      </c>
      <c r="AG6611">
        <v>1</v>
      </c>
      <c r="AH6611">
        <v>1</v>
      </c>
      <c r="AI6611">
        <v>1</v>
      </c>
      <c r="AJ6611">
        <v>1</v>
      </c>
      <c r="AK6611">
        <v>1</v>
      </c>
      <c r="AL6611">
        <v>1</v>
      </c>
      <c r="AM6611">
        <v>1</v>
      </c>
    </row>
    <row r="6612" spans="1:39" x14ac:dyDescent="0.2">
      <c r="A6612" t="str">
        <f>"6608"</f>
        <v>6608</v>
      </c>
      <c r="B6612" t="str">
        <f t="shared" si="366"/>
        <v>1</v>
      </c>
      <c r="C6612" t="str">
        <f t="shared" si="368"/>
        <v>133</v>
      </c>
      <c r="D6612" t="str">
        <f>"23"</f>
        <v>23</v>
      </c>
      <c r="E6612" t="str">
        <f>"1-133-23"</f>
        <v>1-133-23</v>
      </c>
      <c r="F6612" t="s">
        <v>65</v>
      </c>
      <c r="G6612" t="s">
        <v>66</v>
      </c>
      <c r="H6612" t="s">
        <v>67</v>
      </c>
      <c r="S6612">
        <v>0</v>
      </c>
      <c r="T6612">
        <v>1</v>
      </c>
      <c r="U6612">
        <v>0</v>
      </c>
      <c r="V6612">
        <v>0</v>
      </c>
      <c r="W6612">
        <v>1</v>
      </c>
      <c r="X6612">
        <v>0</v>
      </c>
      <c r="Y6612">
        <v>1</v>
      </c>
      <c r="Z6612">
        <v>0</v>
      </c>
      <c r="AA6612">
        <v>0</v>
      </c>
      <c r="AB6612">
        <v>1</v>
      </c>
      <c r="AC6612">
        <v>0</v>
      </c>
      <c r="AD6612">
        <v>1</v>
      </c>
      <c r="AE6612">
        <v>1</v>
      </c>
      <c r="AF6612">
        <v>1</v>
      </c>
      <c r="AG6612">
        <v>1</v>
      </c>
      <c r="AH6612">
        <v>1</v>
      </c>
      <c r="AI6612">
        <v>1</v>
      </c>
      <c r="AJ6612">
        <v>1</v>
      </c>
      <c r="AK6612">
        <v>1</v>
      </c>
      <c r="AL6612">
        <v>1</v>
      </c>
      <c r="AM6612">
        <v>1</v>
      </c>
    </row>
    <row r="6613" spans="1:39" x14ac:dyDescent="0.2">
      <c r="A6613" t="str">
        <f>"6609"</f>
        <v>6609</v>
      </c>
      <c r="B6613" t="str">
        <f t="shared" si="366"/>
        <v>1</v>
      </c>
      <c r="C6613" t="str">
        <f t="shared" si="368"/>
        <v>133</v>
      </c>
      <c r="D6613" t="str">
        <f>"16"</f>
        <v>16</v>
      </c>
      <c r="E6613" t="str">
        <f>"1-133-16"</f>
        <v>1-133-16</v>
      </c>
      <c r="F6613" t="s">
        <v>65</v>
      </c>
      <c r="G6613" t="s">
        <v>66</v>
      </c>
      <c r="H6613" t="s">
        <v>67</v>
      </c>
      <c r="S6613">
        <v>1</v>
      </c>
      <c r="T6613">
        <v>0</v>
      </c>
      <c r="U6613">
        <v>0</v>
      </c>
      <c r="V6613">
        <v>0</v>
      </c>
      <c r="W6613">
        <v>1</v>
      </c>
      <c r="X6613">
        <v>0</v>
      </c>
      <c r="Y6613">
        <v>0</v>
      </c>
      <c r="Z6613">
        <v>1</v>
      </c>
      <c r="AA6613">
        <v>0</v>
      </c>
      <c r="AB6613">
        <v>0</v>
      </c>
      <c r="AC6613">
        <v>1</v>
      </c>
      <c r="AD6613">
        <v>1</v>
      </c>
      <c r="AE6613">
        <v>1</v>
      </c>
      <c r="AF6613">
        <v>1</v>
      </c>
      <c r="AG6613">
        <v>1</v>
      </c>
      <c r="AH6613">
        <v>1</v>
      </c>
      <c r="AI6613">
        <v>1</v>
      </c>
      <c r="AJ6613">
        <v>1</v>
      </c>
      <c r="AK6613">
        <v>1</v>
      </c>
      <c r="AL6613">
        <v>1</v>
      </c>
      <c r="AM6613">
        <v>1</v>
      </c>
    </row>
    <row r="6614" spans="1:39" x14ac:dyDescent="0.2">
      <c r="A6614" t="str">
        <f>"6610"</f>
        <v>6610</v>
      </c>
      <c r="B6614" t="str">
        <f t="shared" si="366"/>
        <v>1</v>
      </c>
      <c r="C6614" t="str">
        <f t="shared" si="368"/>
        <v>133</v>
      </c>
      <c r="D6614" t="str">
        <f>"10"</f>
        <v>10</v>
      </c>
      <c r="E6614" t="str">
        <f>"1-133-10"</f>
        <v>1-133-10</v>
      </c>
      <c r="F6614" t="s">
        <v>65</v>
      </c>
      <c r="G6614" t="s">
        <v>66</v>
      </c>
      <c r="H6614" t="s">
        <v>67</v>
      </c>
      <c r="S6614">
        <v>1</v>
      </c>
      <c r="T6614">
        <v>0</v>
      </c>
      <c r="U6614">
        <v>0</v>
      </c>
      <c r="V6614">
        <v>0</v>
      </c>
      <c r="W6614">
        <v>1</v>
      </c>
      <c r="X6614">
        <v>0</v>
      </c>
      <c r="Y6614">
        <v>1</v>
      </c>
      <c r="Z6614">
        <v>0</v>
      </c>
      <c r="AA6614">
        <v>1</v>
      </c>
      <c r="AB6614">
        <v>0</v>
      </c>
      <c r="AC6614">
        <v>0</v>
      </c>
      <c r="AD6614">
        <v>1</v>
      </c>
      <c r="AE6614">
        <v>1</v>
      </c>
      <c r="AF6614">
        <v>1</v>
      </c>
      <c r="AG6614">
        <v>1</v>
      </c>
      <c r="AH6614">
        <v>1</v>
      </c>
      <c r="AI6614">
        <v>1</v>
      </c>
      <c r="AJ6614">
        <v>1</v>
      </c>
      <c r="AK6614">
        <v>1</v>
      </c>
      <c r="AL6614">
        <v>1</v>
      </c>
      <c r="AM6614">
        <v>1</v>
      </c>
    </row>
    <row r="6615" spans="1:39" x14ac:dyDescent="0.2">
      <c r="A6615" t="str">
        <f>"6611"</f>
        <v>6611</v>
      </c>
      <c r="B6615" t="str">
        <f t="shared" si="366"/>
        <v>1</v>
      </c>
      <c r="C6615" t="str">
        <f t="shared" si="368"/>
        <v>133</v>
      </c>
      <c r="D6615" t="str">
        <f>"40"</f>
        <v>40</v>
      </c>
      <c r="E6615" t="str">
        <f>"1-133-40"</f>
        <v>1-133-40</v>
      </c>
      <c r="F6615" t="s">
        <v>65</v>
      </c>
      <c r="G6615" t="s">
        <v>66</v>
      </c>
      <c r="H6615" t="s">
        <v>67</v>
      </c>
      <c r="S6615">
        <v>0</v>
      </c>
      <c r="T6615">
        <v>1</v>
      </c>
      <c r="U6615">
        <v>0</v>
      </c>
      <c r="V6615">
        <v>0</v>
      </c>
      <c r="W6615">
        <v>0</v>
      </c>
      <c r="X6615">
        <v>1</v>
      </c>
      <c r="Y6615">
        <v>0</v>
      </c>
      <c r="Z6615">
        <v>1</v>
      </c>
      <c r="AA6615">
        <v>0</v>
      </c>
      <c r="AB6615">
        <v>1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1</v>
      </c>
      <c r="AM6615">
        <v>0</v>
      </c>
    </row>
    <row r="6616" spans="1:39" x14ac:dyDescent="0.2">
      <c r="A6616" t="str">
        <f>"6612"</f>
        <v>6612</v>
      </c>
      <c r="B6616" t="str">
        <f t="shared" si="366"/>
        <v>1</v>
      </c>
      <c r="C6616" t="str">
        <f t="shared" si="368"/>
        <v>133</v>
      </c>
      <c r="D6616" t="str">
        <f>"39"</f>
        <v>39</v>
      </c>
      <c r="E6616" t="str">
        <f>"1-133-39"</f>
        <v>1-133-39</v>
      </c>
      <c r="F6616" t="s">
        <v>65</v>
      </c>
      <c r="G6616" t="s">
        <v>66</v>
      </c>
      <c r="H6616" t="s">
        <v>67</v>
      </c>
      <c r="S6616">
        <v>0</v>
      </c>
      <c r="T6616">
        <v>1</v>
      </c>
      <c r="U6616">
        <v>0</v>
      </c>
      <c r="V6616">
        <v>0</v>
      </c>
      <c r="W6616">
        <v>1</v>
      </c>
      <c r="X6616">
        <v>0</v>
      </c>
      <c r="Y6616">
        <v>1</v>
      </c>
      <c r="Z6616">
        <v>0</v>
      </c>
      <c r="AA6616">
        <v>1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</row>
    <row r="6617" spans="1:39" x14ac:dyDescent="0.2">
      <c r="A6617" t="str">
        <f>"6613"</f>
        <v>6613</v>
      </c>
      <c r="B6617" t="str">
        <f t="shared" si="366"/>
        <v>1</v>
      </c>
      <c r="C6617" t="str">
        <f t="shared" si="368"/>
        <v>133</v>
      </c>
      <c r="D6617" t="str">
        <f>"32"</f>
        <v>32</v>
      </c>
      <c r="E6617" t="str">
        <f>"1-133-32"</f>
        <v>1-133-32</v>
      </c>
      <c r="F6617" t="s">
        <v>65</v>
      </c>
      <c r="G6617" t="s">
        <v>66</v>
      </c>
      <c r="H6617" t="s">
        <v>67</v>
      </c>
      <c r="S6617">
        <v>1</v>
      </c>
      <c r="T6617">
        <v>0</v>
      </c>
      <c r="U6617">
        <v>0</v>
      </c>
      <c r="V6617">
        <v>0</v>
      </c>
      <c r="W6617">
        <v>1</v>
      </c>
      <c r="X6617">
        <v>0</v>
      </c>
      <c r="Y6617">
        <v>0</v>
      </c>
      <c r="Z6617">
        <v>1</v>
      </c>
      <c r="AA6617">
        <v>0</v>
      </c>
      <c r="AB6617">
        <v>0</v>
      </c>
      <c r="AC6617">
        <v>1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</row>
    <row r="6618" spans="1:39" x14ac:dyDescent="0.2">
      <c r="A6618" t="str">
        <f>"6614"</f>
        <v>6614</v>
      </c>
      <c r="B6618" t="str">
        <f t="shared" si="366"/>
        <v>1</v>
      </c>
      <c r="C6618" t="str">
        <f t="shared" si="368"/>
        <v>133</v>
      </c>
      <c r="D6618" t="str">
        <f>"17"</f>
        <v>17</v>
      </c>
      <c r="E6618" t="str">
        <f>"1-133-17"</f>
        <v>1-133-17</v>
      </c>
      <c r="F6618" t="s">
        <v>65</v>
      </c>
      <c r="G6618" t="s">
        <v>66</v>
      </c>
      <c r="H6618" t="s">
        <v>67</v>
      </c>
      <c r="S6618">
        <v>0</v>
      </c>
      <c r="T6618">
        <v>1</v>
      </c>
      <c r="U6618">
        <v>0</v>
      </c>
      <c r="V6618">
        <v>0</v>
      </c>
      <c r="W6618">
        <v>0</v>
      </c>
      <c r="X6618">
        <v>1</v>
      </c>
      <c r="Y6618">
        <v>0</v>
      </c>
      <c r="Z6618">
        <v>1</v>
      </c>
      <c r="AA6618">
        <v>0</v>
      </c>
      <c r="AB6618">
        <v>0</v>
      </c>
      <c r="AC6618">
        <v>1</v>
      </c>
      <c r="AD6618">
        <v>1</v>
      </c>
      <c r="AE6618">
        <v>1</v>
      </c>
      <c r="AF6618">
        <v>1</v>
      </c>
      <c r="AG6618">
        <v>1</v>
      </c>
      <c r="AH6618">
        <v>1</v>
      </c>
      <c r="AI6618">
        <v>1</v>
      </c>
      <c r="AJ6618">
        <v>1</v>
      </c>
      <c r="AK6618">
        <v>1</v>
      </c>
      <c r="AL6618">
        <v>1</v>
      </c>
      <c r="AM6618">
        <v>1</v>
      </c>
    </row>
    <row r="6619" spans="1:39" x14ac:dyDescent="0.2">
      <c r="A6619" t="str">
        <f>"6615"</f>
        <v>6615</v>
      </c>
      <c r="B6619" t="str">
        <f t="shared" si="366"/>
        <v>1</v>
      </c>
      <c r="C6619" t="str">
        <f t="shared" si="368"/>
        <v>133</v>
      </c>
      <c r="D6619" t="str">
        <f>"1"</f>
        <v>1</v>
      </c>
      <c r="E6619" t="str">
        <f>"1-133-1"</f>
        <v>1-133-1</v>
      </c>
      <c r="F6619" t="s">
        <v>65</v>
      </c>
      <c r="G6619" t="s">
        <v>66</v>
      </c>
      <c r="H6619" t="s">
        <v>67</v>
      </c>
      <c r="S6619">
        <v>1</v>
      </c>
      <c r="T6619">
        <v>0</v>
      </c>
      <c r="U6619">
        <v>0</v>
      </c>
      <c r="V6619">
        <v>0</v>
      </c>
      <c r="W6619">
        <v>0</v>
      </c>
      <c r="X6619">
        <v>1</v>
      </c>
      <c r="Y6619">
        <v>0</v>
      </c>
      <c r="Z6619">
        <v>1</v>
      </c>
      <c r="AA6619">
        <v>0</v>
      </c>
      <c r="AB6619">
        <v>0</v>
      </c>
      <c r="AC6619">
        <v>1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</row>
    <row r="6620" spans="1:39" x14ac:dyDescent="0.2">
      <c r="A6620" t="str">
        <f>"6616"</f>
        <v>6616</v>
      </c>
      <c r="B6620" t="str">
        <f t="shared" si="366"/>
        <v>1</v>
      </c>
      <c r="C6620" t="str">
        <f t="shared" si="368"/>
        <v>133</v>
      </c>
      <c r="D6620" t="str">
        <f>"46"</f>
        <v>46</v>
      </c>
      <c r="E6620" t="str">
        <f>"1-133-46"</f>
        <v>1-133-46</v>
      </c>
      <c r="F6620" t="s">
        <v>65</v>
      </c>
      <c r="G6620" t="s">
        <v>66</v>
      </c>
      <c r="H6620" t="s">
        <v>67</v>
      </c>
      <c r="S6620">
        <v>0</v>
      </c>
      <c r="T6620">
        <v>1</v>
      </c>
      <c r="U6620">
        <v>0</v>
      </c>
      <c r="V6620">
        <v>0</v>
      </c>
      <c r="W6620">
        <v>1</v>
      </c>
      <c r="X6620">
        <v>0</v>
      </c>
      <c r="Y6620">
        <v>1</v>
      </c>
      <c r="Z6620">
        <v>0</v>
      </c>
      <c r="AA6620">
        <v>0</v>
      </c>
      <c r="AB6620">
        <v>1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1</v>
      </c>
      <c r="AM6620">
        <v>0</v>
      </c>
    </row>
    <row r="6621" spans="1:39" x14ac:dyDescent="0.2">
      <c r="A6621" t="str">
        <f>"6617"</f>
        <v>6617</v>
      </c>
      <c r="B6621" t="str">
        <f t="shared" si="366"/>
        <v>1</v>
      </c>
      <c r="C6621" t="str">
        <f t="shared" si="368"/>
        <v>133</v>
      </c>
      <c r="D6621" t="str">
        <f>"45"</f>
        <v>45</v>
      </c>
      <c r="E6621" t="str">
        <f>"1-133-45"</f>
        <v>1-133-45</v>
      </c>
      <c r="F6621" t="s">
        <v>65</v>
      </c>
      <c r="G6621" t="s">
        <v>66</v>
      </c>
      <c r="H6621" t="s">
        <v>67</v>
      </c>
      <c r="S6621">
        <v>1</v>
      </c>
      <c r="T6621">
        <v>0</v>
      </c>
      <c r="U6621">
        <v>0</v>
      </c>
      <c r="V6621">
        <v>0</v>
      </c>
      <c r="W6621">
        <v>1</v>
      </c>
      <c r="X6621">
        <v>0</v>
      </c>
      <c r="Y6621">
        <v>1</v>
      </c>
      <c r="Z6621">
        <v>0</v>
      </c>
      <c r="AA6621">
        <v>1</v>
      </c>
      <c r="AB6621">
        <v>0</v>
      </c>
      <c r="AC6621">
        <v>0</v>
      </c>
      <c r="AD6621">
        <v>1</v>
      </c>
      <c r="AE6621">
        <v>1</v>
      </c>
      <c r="AF6621">
        <v>1</v>
      </c>
      <c r="AG6621">
        <v>1</v>
      </c>
      <c r="AH6621">
        <v>1</v>
      </c>
      <c r="AI6621">
        <v>1</v>
      </c>
      <c r="AJ6621">
        <v>1</v>
      </c>
      <c r="AK6621">
        <v>1</v>
      </c>
      <c r="AL6621">
        <v>1</v>
      </c>
      <c r="AM6621">
        <v>1</v>
      </c>
    </row>
    <row r="6622" spans="1:39" x14ac:dyDescent="0.2">
      <c r="A6622" t="str">
        <f>"6618"</f>
        <v>6618</v>
      </c>
      <c r="B6622" t="str">
        <f t="shared" si="366"/>
        <v>1</v>
      </c>
      <c r="C6622" t="str">
        <f t="shared" si="368"/>
        <v>133</v>
      </c>
      <c r="D6622" t="str">
        <f>"31"</f>
        <v>31</v>
      </c>
      <c r="E6622" t="str">
        <f>"1-133-31"</f>
        <v>1-133-31</v>
      </c>
      <c r="F6622" t="s">
        <v>65</v>
      </c>
      <c r="G6622" t="s">
        <v>66</v>
      </c>
      <c r="H6622" t="s">
        <v>67</v>
      </c>
      <c r="S6622">
        <v>0</v>
      </c>
      <c r="T6622">
        <v>1</v>
      </c>
      <c r="U6622">
        <v>0</v>
      </c>
      <c r="V6622">
        <v>0</v>
      </c>
      <c r="W6622">
        <v>1</v>
      </c>
      <c r="X6622">
        <v>0</v>
      </c>
      <c r="Y6622">
        <v>1</v>
      </c>
      <c r="Z6622">
        <v>0</v>
      </c>
      <c r="AA6622">
        <v>1</v>
      </c>
      <c r="AB6622">
        <v>0</v>
      </c>
      <c r="AC6622">
        <v>0</v>
      </c>
      <c r="AD6622">
        <v>0</v>
      </c>
      <c r="AE6622">
        <v>1</v>
      </c>
      <c r="AF6622">
        <v>0</v>
      </c>
      <c r="AG6622">
        <v>1</v>
      </c>
      <c r="AH6622">
        <v>1</v>
      </c>
      <c r="AI6622">
        <v>1</v>
      </c>
      <c r="AJ6622">
        <v>0</v>
      </c>
      <c r="AK6622">
        <v>0</v>
      </c>
      <c r="AL6622">
        <v>1</v>
      </c>
      <c r="AM6622">
        <v>0</v>
      </c>
    </row>
    <row r="6623" spans="1:39" x14ac:dyDescent="0.2">
      <c r="A6623" t="str">
        <f>"6619"</f>
        <v>6619</v>
      </c>
      <c r="B6623" t="str">
        <f t="shared" si="366"/>
        <v>1</v>
      </c>
      <c r="C6623" t="str">
        <f t="shared" si="368"/>
        <v>133</v>
      </c>
      <c r="D6623" t="str">
        <f>"18"</f>
        <v>18</v>
      </c>
      <c r="E6623" t="str">
        <f>"1-133-18"</f>
        <v>1-133-18</v>
      </c>
      <c r="F6623" t="s">
        <v>65</v>
      </c>
      <c r="G6623" t="s">
        <v>66</v>
      </c>
      <c r="H6623" t="s">
        <v>67</v>
      </c>
      <c r="S6623">
        <v>0</v>
      </c>
      <c r="T6623">
        <v>1</v>
      </c>
      <c r="U6623">
        <v>0</v>
      </c>
      <c r="V6623">
        <v>0</v>
      </c>
      <c r="W6623">
        <v>1</v>
      </c>
      <c r="X6623">
        <v>0</v>
      </c>
      <c r="Y6623">
        <v>0</v>
      </c>
      <c r="Z6623">
        <v>1</v>
      </c>
      <c r="AA6623">
        <v>0</v>
      </c>
      <c r="AB6623">
        <v>0</v>
      </c>
      <c r="AC6623">
        <v>1</v>
      </c>
      <c r="AD6623">
        <v>1</v>
      </c>
      <c r="AE6623">
        <v>1</v>
      </c>
      <c r="AF6623">
        <v>1</v>
      </c>
      <c r="AG6623">
        <v>1</v>
      </c>
      <c r="AH6623">
        <v>1</v>
      </c>
      <c r="AI6623">
        <v>1</v>
      </c>
      <c r="AJ6623">
        <v>1</v>
      </c>
      <c r="AK6623">
        <v>1</v>
      </c>
      <c r="AL6623">
        <v>1</v>
      </c>
      <c r="AM6623">
        <v>1</v>
      </c>
    </row>
    <row r="6624" spans="1:39" x14ac:dyDescent="0.2">
      <c r="A6624" t="str">
        <f>"6620"</f>
        <v>6620</v>
      </c>
      <c r="B6624" t="str">
        <f t="shared" si="366"/>
        <v>1</v>
      </c>
      <c r="C6624" t="str">
        <f t="shared" si="368"/>
        <v>133</v>
      </c>
      <c r="D6624" t="str">
        <f>"9"</f>
        <v>9</v>
      </c>
      <c r="E6624" t="str">
        <f>"1-133-9"</f>
        <v>1-133-9</v>
      </c>
      <c r="F6624" t="s">
        <v>65</v>
      </c>
      <c r="G6624" t="s">
        <v>66</v>
      </c>
      <c r="H6624" t="s">
        <v>67</v>
      </c>
      <c r="S6624">
        <v>1</v>
      </c>
      <c r="T6624">
        <v>0</v>
      </c>
      <c r="U6624">
        <v>0</v>
      </c>
      <c r="V6624">
        <v>0</v>
      </c>
      <c r="W6624">
        <v>1</v>
      </c>
      <c r="X6624">
        <v>0</v>
      </c>
      <c r="Y6624">
        <v>1</v>
      </c>
      <c r="Z6624">
        <v>0</v>
      </c>
      <c r="AA6624">
        <v>1</v>
      </c>
      <c r="AB6624">
        <v>0</v>
      </c>
      <c r="AC6624">
        <v>0</v>
      </c>
      <c r="AD6624">
        <v>1</v>
      </c>
      <c r="AE6624">
        <v>1</v>
      </c>
      <c r="AF6624">
        <v>1</v>
      </c>
      <c r="AG6624">
        <v>1</v>
      </c>
      <c r="AH6624">
        <v>1</v>
      </c>
      <c r="AI6624">
        <v>1</v>
      </c>
      <c r="AJ6624">
        <v>1</v>
      </c>
      <c r="AK6624">
        <v>1</v>
      </c>
      <c r="AL6624">
        <v>1</v>
      </c>
      <c r="AM6624">
        <v>1</v>
      </c>
    </row>
    <row r="6625" spans="1:39" x14ac:dyDescent="0.2">
      <c r="A6625" t="str">
        <f>"6621"</f>
        <v>6621</v>
      </c>
      <c r="B6625" t="str">
        <f t="shared" si="366"/>
        <v>1</v>
      </c>
      <c r="C6625" t="str">
        <f t="shared" si="368"/>
        <v>133</v>
      </c>
      <c r="D6625" t="str">
        <f>"50"</f>
        <v>50</v>
      </c>
      <c r="E6625" t="str">
        <f>"1-133-50"</f>
        <v>1-133-50</v>
      </c>
      <c r="F6625" t="s">
        <v>65</v>
      </c>
      <c r="G6625" t="s">
        <v>66</v>
      </c>
      <c r="H6625" t="s">
        <v>67</v>
      </c>
      <c r="S6625">
        <v>0</v>
      </c>
      <c r="T6625">
        <v>1</v>
      </c>
      <c r="U6625">
        <v>0</v>
      </c>
      <c r="V6625">
        <v>0</v>
      </c>
      <c r="W6625">
        <v>0</v>
      </c>
      <c r="X6625">
        <v>1</v>
      </c>
      <c r="Y6625">
        <v>1</v>
      </c>
      <c r="Z6625">
        <v>0</v>
      </c>
      <c r="AA6625">
        <v>0</v>
      </c>
      <c r="AB6625">
        <v>1</v>
      </c>
      <c r="AC6625">
        <v>0</v>
      </c>
      <c r="AD6625">
        <v>0</v>
      </c>
      <c r="AE6625">
        <v>0</v>
      </c>
      <c r="AF6625">
        <v>0</v>
      </c>
      <c r="AG6625">
        <v>1</v>
      </c>
      <c r="AH6625">
        <v>0</v>
      </c>
      <c r="AI6625">
        <v>1</v>
      </c>
      <c r="AJ6625">
        <v>1</v>
      </c>
      <c r="AK6625">
        <v>1</v>
      </c>
      <c r="AL6625">
        <v>1</v>
      </c>
      <c r="AM6625">
        <v>1</v>
      </c>
    </row>
    <row r="6626" spans="1:39" x14ac:dyDescent="0.2">
      <c r="A6626" t="str">
        <f>"6622"</f>
        <v>6622</v>
      </c>
      <c r="B6626" t="str">
        <f t="shared" si="366"/>
        <v>1</v>
      </c>
      <c r="C6626" t="str">
        <f t="shared" si="368"/>
        <v>133</v>
      </c>
      <c r="D6626" t="str">
        <f>"34"</f>
        <v>34</v>
      </c>
      <c r="E6626" t="str">
        <f>"1-133-34"</f>
        <v>1-133-34</v>
      </c>
      <c r="F6626" t="s">
        <v>65</v>
      </c>
      <c r="G6626" t="s">
        <v>66</v>
      </c>
      <c r="H6626" t="s">
        <v>67</v>
      </c>
      <c r="S6626">
        <v>0</v>
      </c>
      <c r="T6626">
        <v>1</v>
      </c>
      <c r="U6626">
        <v>0</v>
      </c>
      <c r="V6626">
        <v>0</v>
      </c>
      <c r="W6626">
        <v>0</v>
      </c>
      <c r="X6626">
        <v>1</v>
      </c>
      <c r="Y6626">
        <v>0</v>
      </c>
      <c r="Z6626">
        <v>1</v>
      </c>
      <c r="AA6626">
        <v>1</v>
      </c>
      <c r="AB6626">
        <v>0</v>
      </c>
      <c r="AC6626">
        <v>0</v>
      </c>
      <c r="AD6626">
        <v>1</v>
      </c>
      <c r="AE6626">
        <v>1</v>
      </c>
      <c r="AF6626">
        <v>1</v>
      </c>
      <c r="AG6626">
        <v>1</v>
      </c>
      <c r="AH6626">
        <v>1</v>
      </c>
      <c r="AI6626">
        <v>1</v>
      </c>
      <c r="AJ6626">
        <v>1</v>
      </c>
      <c r="AK6626">
        <v>1</v>
      </c>
      <c r="AL6626">
        <v>1</v>
      </c>
      <c r="AM6626">
        <v>1</v>
      </c>
    </row>
    <row r="6627" spans="1:39" x14ac:dyDescent="0.2">
      <c r="A6627" t="str">
        <f>"6623"</f>
        <v>6623</v>
      </c>
      <c r="B6627" t="str">
        <f t="shared" si="366"/>
        <v>1</v>
      </c>
      <c r="C6627" t="str">
        <f t="shared" si="368"/>
        <v>133</v>
      </c>
      <c r="D6627" t="str">
        <f>"19"</f>
        <v>19</v>
      </c>
      <c r="E6627" t="str">
        <f>"1-133-19"</f>
        <v>1-133-19</v>
      </c>
      <c r="F6627" t="s">
        <v>65</v>
      </c>
      <c r="G6627" t="s">
        <v>66</v>
      </c>
      <c r="H6627" t="s">
        <v>67</v>
      </c>
      <c r="S6627">
        <v>0</v>
      </c>
      <c r="T6627">
        <v>1</v>
      </c>
      <c r="U6627">
        <v>0</v>
      </c>
      <c r="V6627">
        <v>0</v>
      </c>
      <c r="W6627">
        <v>1</v>
      </c>
      <c r="X6627">
        <v>0</v>
      </c>
      <c r="Y6627">
        <v>1</v>
      </c>
      <c r="Z6627">
        <v>0</v>
      </c>
      <c r="AA6627">
        <v>0</v>
      </c>
      <c r="AB6627">
        <v>0</v>
      </c>
      <c r="AC6627">
        <v>1</v>
      </c>
      <c r="AD6627">
        <v>1</v>
      </c>
      <c r="AE6627">
        <v>1</v>
      </c>
      <c r="AF6627">
        <v>1</v>
      </c>
      <c r="AG6627">
        <v>1</v>
      </c>
      <c r="AH6627">
        <v>1</v>
      </c>
      <c r="AI6627">
        <v>1</v>
      </c>
      <c r="AJ6627">
        <v>1</v>
      </c>
      <c r="AK6627">
        <v>1</v>
      </c>
      <c r="AL6627">
        <v>1</v>
      </c>
      <c r="AM6627">
        <v>1</v>
      </c>
    </row>
    <row r="6628" spans="1:39" x14ac:dyDescent="0.2">
      <c r="A6628" t="str">
        <f>"6624"</f>
        <v>6624</v>
      </c>
      <c r="B6628" t="str">
        <f t="shared" si="366"/>
        <v>1</v>
      </c>
      <c r="C6628" t="str">
        <f t="shared" si="368"/>
        <v>133</v>
      </c>
      <c r="D6628" t="str">
        <f>"4"</f>
        <v>4</v>
      </c>
      <c r="E6628" t="str">
        <f>"1-133-4"</f>
        <v>1-133-4</v>
      </c>
      <c r="F6628" t="s">
        <v>65</v>
      </c>
      <c r="G6628" t="s">
        <v>66</v>
      </c>
      <c r="H6628" t="s">
        <v>67</v>
      </c>
      <c r="S6628">
        <v>1</v>
      </c>
      <c r="T6628">
        <v>0</v>
      </c>
      <c r="U6628">
        <v>0</v>
      </c>
      <c r="V6628">
        <v>0</v>
      </c>
      <c r="W6628">
        <v>1</v>
      </c>
      <c r="X6628">
        <v>0</v>
      </c>
      <c r="Y6628">
        <v>0</v>
      </c>
      <c r="Z6628">
        <v>1</v>
      </c>
      <c r="AA6628">
        <v>1</v>
      </c>
      <c r="AB6628">
        <v>0</v>
      </c>
      <c r="AC6628">
        <v>0</v>
      </c>
      <c r="AD6628">
        <v>1</v>
      </c>
      <c r="AE6628">
        <v>1</v>
      </c>
      <c r="AF6628">
        <v>1</v>
      </c>
      <c r="AG6628">
        <v>1</v>
      </c>
      <c r="AH6628">
        <v>1</v>
      </c>
      <c r="AI6628">
        <v>1</v>
      </c>
      <c r="AJ6628">
        <v>1</v>
      </c>
      <c r="AK6628">
        <v>1</v>
      </c>
      <c r="AL6628">
        <v>1</v>
      </c>
      <c r="AM6628">
        <v>1</v>
      </c>
    </row>
    <row r="6629" spans="1:39" x14ac:dyDescent="0.2">
      <c r="A6629" t="str">
        <f>"6625"</f>
        <v>6625</v>
      </c>
      <c r="B6629" t="str">
        <f t="shared" si="366"/>
        <v>1</v>
      </c>
      <c r="C6629" t="str">
        <f t="shared" si="368"/>
        <v>133</v>
      </c>
      <c r="D6629" t="str">
        <f>"33"</f>
        <v>33</v>
      </c>
      <c r="E6629" t="str">
        <f>"1-133-33"</f>
        <v>1-133-33</v>
      </c>
      <c r="F6629" t="s">
        <v>65</v>
      </c>
      <c r="G6629" t="s">
        <v>66</v>
      </c>
      <c r="H6629" t="s">
        <v>67</v>
      </c>
      <c r="S6629">
        <v>0</v>
      </c>
      <c r="T6629">
        <v>1</v>
      </c>
      <c r="U6629">
        <v>0</v>
      </c>
      <c r="V6629">
        <v>0</v>
      </c>
      <c r="W6629">
        <v>1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1</v>
      </c>
      <c r="AE6629">
        <v>1</v>
      </c>
      <c r="AF6629">
        <v>1</v>
      </c>
      <c r="AG6629">
        <v>1</v>
      </c>
      <c r="AH6629">
        <v>0</v>
      </c>
      <c r="AI6629">
        <v>1</v>
      </c>
      <c r="AJ6629">
        <v>1</v>
      </c>
      <c r="AK6629">
        <v>1</v>
      </c>
      <c r="AL6629">
        <v>1</v>
      </c>
      <c r="AM6629">
        <v>1</v>
      </c>
    </row>
    <row r="6630" spans="1:39" x14ac:dyDescent="0.2">
      <c r="A6630" t="str">
        <f>"6626"</f>
        <v>6626</v>
      </c>
      <c r="B6630" t="str">
        <f t="shared" si="366"/>
        <v>1</v>
      </c>
      <c r="C6630" t="str">
        <f t="shared" si="368"/>
        <v>133</v>
      </c>
      <c r="D6630" t="str">
        <f>"20"</f>
        <v>20</v>
      </c>
      <c r="E6630" t="str">
        <f>"1-133-20"</f>
        <v>1-133-20</v>
      </c>
      <c r="F6630" t="s">
        <v>65</v>
      </c>
      <c r="G6630" t="s">
        <v>66</v>
      </c>
      <c r="H6630" t="s">
        <v>67</v>
      </c>
      <c r="S6630">
        <v>1</v>
      </c>
      <c r="T6630">
        <v>0</v>
      </c>
      <c r="U6630">
        <v>0</v>
      </c>
      <c r="V6630">
        <v>0</v>
      </c>
      <c r="W6630">
        <v>1</v>
      </c>
      <c r="X6630">
        <v>0</v>
      </c>
      <c r="Y6630">
        <v>1</v>
      </c>
      <c r="Z6630">
        <v>0</v>
      </c>
      <c r="AA6630">
        <v>0</v>
      </c>
      <c r="AB6630">
        <v>1</v>
      </c>
      <c r="AC6630">
        <v>0</v>
      </c>
      <c r="AD6630">
        <v>1</v>
      </c>
      <c r="AE6630">
        <v>1</v>
      </c>
      <c r="AF6630">
        <v>1</v>
      </c>
      <c r="AG6630">
        <v>1</v>
      </c>
      <c r="AH6630">
        <v>1</v>
      </c>
      <c r="AI6630">
        <v>1</v>
      </c>
      <c r="AJ6630">
        <v>1</v>
      </c>
      <c r="AK6630">
        <v>1</v>
      </c>
      <c r="AL6630">
        <v>1</v>
      </c>
      <c r="AM6630">
        <v>1</v>
      </c>
    </row>
    <row r="6631" spans="1:39" x14ac:dyDescent="0.2">
      <c r="A6631" t="str">
        <f>"6627"</f>
        <v>6627</v>
      </c>
      <c r="B6631" t="str">
        <f t="shared" si="366"/>
        <v>1</v>
      </c>
      <c r="C6631" t="str">
        <f t="shared" si="368"/>
        <v>133</v>
      </c>
      <c r="D6631" t="str">
        <f>"11"</f>
        <v>11</v>
      </c>
      <c r="E6631" t="str">
        <f>"1-133-11"</f>
        <v>1-133-11</v>
      </c>
      <c r="F6631" t="s">
        <v>65</v>
      </c>
      <c r="G6631" t="s">
        <v>66</v>
      </c>
      <c r="H6631" t="s">
        <v>67</v>
      </c>
      <c r="S6631">
        <v>0</v>
      </c>
      <c r="T6631">
        <v>0</v>
      </c>
      <c r="U6631">
        <v>0</v>
      </c>
      <c r="V6631">
        <v>0</v>
      </c>
      <c r="W6631">
        <v>1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1</v>
      </c>
      <c r="AE6631">
        <v>1</v>
      </c>
      <c r="AF6631">
        <v>1</v>
      </c>
      <c r="AG6631">
        <v>1</v>
      </c>
      <c r="AH6631">
        <v>1</v>
      </c>
      <c r="AI6631">
        <v>1</v>
      </c>
      <c r="AJ6631">
        <v>1</v>
      </c>
      <c r="AK6631">
        <v>1</v>
      </c>
      <c r="AL6631">
        <v>1</v>
      </c>
      <c r="AM6631">
        <v>1</v>
      </c>
    </row>
    <row r="6632" spans="1:39" x14ac:dyDescent="0.2">
      <c r="A6632" t="str">
        <f>"6628"</f>
        <v>6628</v>
      </c>
      <c r="B6632" t="str">
        <f t="shared" si="366"/>
        <v>1</v>
      </c>
      <c r="C6632" t="str">
        <f t="shared" si="368"/>
        <v>133</v>
      </c>
      <c r="D6632" t="str">
        <f>"42"</f>
        <v>42</v>
      </c>
      <c r="E6632" t="str">
        <f>"1-133-42"</f>
        <v>1-133-42</v>
      </c>
      <c r="F6632" t="s">
        <v>65</v>
      </c>
      <c r="G6632" t="s">
        <v>66</v>
      </c>
      <c r="H6632" t="s">
        <v>67</v>
      </c>
      <c r="S6632">
        <v>0</v>
      </c>
      <c r="T6632">
        <v>1</v>
      </c>
      <c r="U6632">
        <v>0</v>
      </c>
      <c r="V6632">
        <v>0</v>
      </c>
      <c r="W6632">
        <v>1</v>
      </c>
      <c r="X6632">
        <v>0</v>
      </c>
      <c r="Y6632">
        <v>0</v>
      </c>
      <c r="Z6632">
        <v>1</v>
      </c>
      <c r="AA6632">
        <v>1</v>
      </c>
      <c r="AB6632">
        <v>0</v>
      </c>
      <c r="AC6632">
        <v>0</v>
      </c>
      <c r="AD6632">
        <v>1</v>
      </c>
      <c r="AE6632">
        <v>1</v>
      </c>
      <c r="AF6632">
        <v>1</v>
      </c>
      <c r="AG6632">
        <v>1</v>
      </c>
      <c r="AH6632">
        <v>1</v>
      </c>
      <c r="AI6632">
        <v>1</v>
      </c>
      <c r="AJ6632">
        <v>1</v>
      </c>
      <c r="AK6632">
        <v>1</v>
      </c>
      <c r="AL6632">
        <v>1</v>
      </c>
      <c r="AM6632">
        <v>1</v>
      </c>
    </row>
    <row r="6633" spans="1:39" x14ac:dyDescent="0.2">
      <c r="A6633" t="str">
        <f>"6629"</f>
        <v>6629</v>
      </c>
      <c r="B6633" t="str">
        <f t="shared" si="366"/>
        <v>1</v>
      </c>
      <c r="C6633" t="str">
        <f t="shared" si="368"/>
        <v>133</v>
      </c>
      <c r="D6633" t="str">
        <f>"21"</f>
        <v>21</v>
      </c>
      <c r="E6633" t="str">
        <f>"1-133-21"</f>
        <v>1-133-21</v>
      </c>
      <c r="F6633" t="s">
        <v>65</v>
      </c>
      <c r="G6633" t="s">
        <v>66</v>
      </c>
      <c r="H6633" t="s">
        <v>67</v>
      </c>
      <c r="S6633">
        <v>1</v>
      </c>
      <c r="T6633">
        <v>0</v>
      </c>
      <c r="U6633">
        <v>0</v>
      </c>
      <c r="V6633">
        <v>0</v>
      </c>
      <c r="W6633">
        <v>1</v>
      </c>
      <c r="X6633">
        <v>0</v>
      </c>
      <c r="Y6633">
        <v>1</v>
      </c>
      <c r="Z6633">
        <v>0</v>
      </c>
      <c r="AA6633">
        <v>0</v>
      </c>
      <c r="AB6633">
        <v>1</v>
      </c>
      <c r="AC6633">
        <v>0</v>
      </c>
      <c r="AD6633">
        <v>1</v>
      </c>
      <c r="AE6633">
        <v>1</v>
      </c>
      <c r="AF6633">
        <v>1</v>
      </c>
      <c r="AG6633">
        <v>1</v>
      </c>
      <c r="AH6633">
        <v>1</v>
      </c>
      <c r="AI6633">
        <v>1</v>
      </c>
      <c r="AJ6633">
        <v>1</v>
      </c>
      <c r="AK6633">
        <v>1</v>
      </c>
      <c r="AL6633">
        <v>1</v>
      </c>
      <c r="AM6633">
        <v>1</v>
      </c>
    </row>
    <row r="6634" spans="1:39" x14ac:dyDescent="0.2">
      <c r="A6634" t="str">
        <f>"6630"</f>
        <v>6630</v>
      </c>
      <c r="B6634" t="str">
        <f t="shared" si="366"/>
        <v>1</v>
      </c>
      <c r="C6634" t="str">
        <f t="shared" si="368"/>
        <v>133</v>
      </c>
      <c r="D6634" t="str">
        <f>"14"</f>
        <v>14</v>
      </c>
      <c r="E6634" t="str">
        <f>"1-133-14"</f>
        <v>1-133-14</v>
      </c>
      <c r="F6634" t="s">
        <v>65</v>
      </c>
      <c r="G6634" t="s">
        <v>66</v>
      </c>
      <c r="H6634" t="s">
        <v>67</v>
      </c>
      <c r="S6634">
        <v>0</v>
      </c>
      <c r="T6634">
        <v>1</v>
      </c>
      <c r="U6634">
        <v>0</v>
      </c>
      <c r="V6634">
        <v>0</v>
      </c>
      <c r="W6634">
        <v>0</v>
      </c>
      <c r="X6634">
        <v>1</v>
      </c>
      <c r="Y6634">
        <v>0</v>
      </c>
      <c r="Z6634">
        <v>1</v>
      </c>
      <c r="AA6634">
        <v>0</v>
      </c>
      <c r="AB6634">
        <v>1</v>
      </c>
      <c r="AC6634">
        <v>0</v>
      </c>
      <c r="AD6634">
        <v>1</v>
      </c>
      <c r="AE6634">
        <v>1</v>
      </c>
      <c r="AF6634">
        <v>1</v>
      </c>
      <c r="AG6634">
        <v>1</v>
      </c>
      <c r="AH6634">
        <v>1</v>
      </c>
      <c r="AI6634">
        <v>1</v>
      </c>
      <c r="AJ6634">
        <v>1</v>
      </c>
      <c r="AK6634">
        <v>1</v>
      </c>
      <c r="AL6634">
        <v>1</v>
      </c>
      <c r="AM6634">
        <v>1</v>
      </c>
    </row>
    <row r="6635" spans="1:39" x14ac:dyDescent="0.2">
      <c r="A6635" t="str">
        <f>"6631"</f>
        <v>6631</v>
      </c>
      <c r="B6635" t="str">
        <f t="shared" si="366"/>
        <v>1</v>
      </c>
      <c r="C6635" t="str">
        <f t="shared" si="368"/>
        <v>133</v>
      </c>
      <c r="D6635" t="str">
        <f>"41"</f>
        <v>41</v>
      </c>
      <c r="E6635" t="str">
        <f>"1-133-41"</f>
        <v>1-133-41</v>
      </c>
      <c r="F6635" t="s">
        <v>65</v>
      </c>
      <c r="G6635" t="s">
        <v>66</v>
      </c>
      <c r="H6635" t="s">
        <v>67</v>
      </c>
      <c r="S6635">
        <v>0</v>
      </c>
      <c r="T6635">
        <v>1</v>
      </c>
      <c r="U6635">
        <v>0</v>
      </c>
      <c r="V6635">
        <v>0</v>
      </c>
      <c r="W6635">
        <v>1</v>
      </c>
      <c r="X6635">
        <v>0</v>
      </c>
      <c r="Y6635">
        <v>0</v>
      </c>
      <c r="Z6635">
        <v>1</v>
      </c>
      <c r="AA6635">
        <v>0</v>
      </c>
      <c r="AB6635">
        <v>1</v>
      </c>
      <c r="AC6635">
        <v>0</v>
      </c>
      <c r="AD6635">
        <v>1</v>
      </c>
      <c r="AE6635">
        <v>1</v>
      </c>
      <c r="AF6635">
        <v>1</v>
      </c>
      <c r="AG6635">
        <v>1</v>
      </c>
      <c r="AH6635">
        <v>1</v>
      </c>
      <c r="AI6635">
        <v>1</v>
      </c>
      <c r="AJ6635">
        <v>1</v>
      </c>
      <c r="AK6635">
        <v>1</v>
      </c>
      <c r="AL6635">
        <v>1</v>
      </c>
      <c r="AM6635">
        <v>1</v>
      </c>
    </row>
    <row r="6636" spans="1:39" x14ac:dyDescent="0.2">
      <c r="A6636" t="str">
        <f>"6632"</f>
        <v>6632</v>
      </c>
      <c r="B6636" t="str">
        <f t="shared" si="366"/>
        <v>1</v>
      </c>
      <c r="C6636" t="str">
        <f t="shared" si="368"/>
        <v>133</v>
      </c>
      <c r="D6636" t="str">
        <f>"24"</f>
        <v>24</v>
      </c>
      <c r="E6636" t="str">
        <f>"1-133-24"</f>
        <v>1-133-24</v>
      </c>
      <c r="F6636" t="s">
        <v>65</v>
      </c>
      <c r="G6636" t="s">
        <v>66</v>
      </c>
      <c r="H6636" t="s">
        <v>67</v>
      </c>
      <c r="S6636">
        <v>0</v>
      </c>
      <c r="T6636">
        <v>1</v>
      </c>
      <c r="U6636">
        <v>0</v>
      </c>
      <c r="V6636">
        <v>0</v>
      </c>
      <c r="W6636">
        <v>0</v>
      </c>
      <c r="X6636">
        <v>1</v>
      </c>
      <c r="Y6636">
        <v>0</v>
      </c>
      <c r="Z6636">
        <v>1</v>
      </c>
      <c r="AA6636">
        <v>0</v>
      </c>
      <c r="AB6636">
        <v>0</v>
      </c>
      <c r="AC6636">
        <v>1</v>
      </c>
      <c r="AD6636">
        <v>1</v>
      </c>
      <c r="AE6636">
        <v>1</v>
      </c>
      <c r="AF6636">
        <v>1</v>
      </c>
      <c r="AG6636">
        <v>1</v>
      </c>
      <c r="AH6636">
        <v>1</v>
      </c>
      <c r="AI6636">
        <v>1</v>
      </c>
      <c r="AJ6636">
        <v>1</v>
      </c>
      <c r="AK6636">
        <v>1</v>
      </c>
      <c r="AL6636">
        <v>1</v>
      </c>
      <c r="AM6636">
        <v>1</v>
      </c>
    </row>
    <row r="6637" spans="1:39" x14ac:dyDescent="0.2">
      <c r="A6637" t="str">
        <f>"6633"</f>
        <v>6633</v>
      </c>
      <c r="B6637" t="str">
        <f t="shared" si="366"/>
        <v>1</v>
      </c>
      <c r="C6637" t="str">
        <f t="shared" ref="C6637:C6654" si="369">"133"</f>
        <v>133</v>
      </c>
      <c r="D6637" t="str">
        <f>"2"</f>
        <v>2</v>
      </c>
      <c r="E6637" t="str">
        <f>"1-133-2"</f>
        <v>1-133-2</v>
      </c>
      <c r="F6637" t="s">
        <v>65</v>
      </c>
      <c r="G6637" t="s">
        <v>66</v>
      </c>
      <c r="H6637" t="s">
        <v>67</v>
      </c>
      <c r="S6637">
        <v>0</v>
      </c>
      <c r="T6637">
        <v>1</v>
      </c>
      <c r="U6637">
        <v>0</v>
      </c>
      <c r="V6637">
        <v>0</v>
      </c>
      <c r="W6637">
        <v>0</v>
      </c>
      <c r="X6637">
        <v>1</v>
      </c>
      <c r="Y6637">
        <v>1</v>
      </c>
      <c r="Z6637">
        <v>0</v>
      </c>
      <c r="AA6637">
        <v>0</v>
      </c>
      <c r="AB6637">
        <v>1</v>
      </c>
      <c r="AC6637">
        <v>0</v>
      </c>
      <c r="AD6637">
        <v>1</v>
      </c>
      <c r="AE6637">
        <v>1</v>
      </c>
      <c r="AF6637">
        <v>1</v>
      </c>
      <c r="AG6637">
        <v>1</v>
      </c>
      <c r="AH6637">
        <v>1</v>
      </c>
      <c r="AI6637">
        <v>1</v>
      </c>
      <c r="AJ6637">
        <v>1</v>
      </c>
      <c r="AK6637">
        <v>1</v>
      </c>
      <c r="AL6637">
        <v>1</v>
      </c>
      <c r="AM6637">
        <v>1</v>
      </c>
    </row>
    <row r="6638" spans="1:39" x14ac:dyDescent="0.2">
      <c r="A6638" t="str">
        <f>"6634"</f>
        <v>6634</v>
      </c>
      <c r="B6638" t="str">
        <f t="shared" si="366"/>
        <v>1</v>
      </c>
      <c r="C6638" t="str">
        <f t="shared" si="369"/>
        <v>133</v>
      </c>
      <c r="D6638" t="str">
        <f>"25"</f>
        <v>25</v>
      </c>
      <c r="E6638" t="str">
        <f>"1-133-25"</f>
        <v>1-133-25</v>
      </c>
      <c r="F6638" t="s">
        <v>65</v>
      </c>
      <c r="G6638" t="s">
        <v>66</v>
      </c>
      <c r="H6638" t="s">
        <v>67</v>
      </c>
      <c r="S6638">
        <v>0</v>
      </c>
      <c r="T6638">
        <v>0</v>
      </c>
      <c r="U6638">
        <v>0</v>
      </c>
      <c r="V6638">
        <v>0</v>
      </c>
      <c r="W6638">
        <v>1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1</v>
      </c>
      <c r="AH6638">
        <v>1</v>
      </c>
      <c r="AI6638">
        <v>1</v>
      </c>
      <c r="AJ6638">
        <v>1</v>
      </c>
      <c r="AK6638">
        <v>1</v>
      </c>
      <c r="AL6638">
        <v>1</v>
      </c>
      <c r="AM6638">
        <v>0</v>
      </c>
    </row>
    <row r="6639" spans="1:39" x14ac:dyDescent="0.2">
      <c r="A6639" t="str">
        <f>"6635"</f>
        <v>6635</v>
      </c>
      <c r="B6639" t="str">
        <f t="shared" si="366"/>
        <v>1</v>
      </c>
      <c r="C6639" t="str">
        <f t="shared" si="369"/>
        <v>133</v>
      </c>
      <c r="D6639" t="str">
        <f>"8"</f>
        <v>8</v>
      </c>
      <c r="E6639" t="str">
        <f>"1-133-8"</f>
        <v>1-133-8</v>
      </c>
      <c r="F6639" t="s">
        <v>65</v>
      </c>
      <c r="G6639" t="s">
        <v>66</v>
      </c>
      <c r="H6639" t="s">
        <v>67</v>
      </c>
      <c r="S6639">
        <v>1</v>
      </c>
      <c r="T6639">
        <v>0</v>
      </c>
      <c r="U6639">
        <v>0</v>
      </c>
      <c r="V6639">
        <v>0</v>
      </c>
      <c r="W6639">
        <v>1</v>
      </c>
      <c r="X6639">
        <v>0</v>
      </c>
      <c r="Y6639">
        <v>1</v>
      </c>
      <c r="Z6639">
        <v>0</v>
      </c>
      <c r="AA6639">
        <v>1</v>
      </c>
      <c r="AB6639">
        <v>0</v>
      </c>
      <c r="AC6639">
        <v>0</v>
      </c>
      <c r="AD6639">
        <v>1</v>
      </c>
      <c r="AE6639">
        <v>1</v>
      </c>
      <c r="AF6639">
        <v>1</v>
      </c>
      <c r="AG6639">
        <v>1</v>
      </c>
      <c r="AH6639">
        <v>1</v>
      </c>
      <c r="AI6639">
        <v>1</v>
      </c>
      <c r="AJ6639">
        <v>1</v>
      </c>
      <c r="AK6639">
        <v>1</v>
      </c>
      <c r="AL6639">
        <v>1</v>
      </c>
      <c r="AM6639">
        <v>1</v>
      </c>
    </row>
    <row r="6640" spans="1:39" x14ac:dyDescent="0.2">
      <c r="A6640" t="str">
        <f>"6636"</f>
        <v>6636</v>
      </c>
      <c r="B6640" t="str">
        <f t="shared" si="366"/>
        <v>1</v>
      </c>
      <c r="C6640" t="str">
        <f t="shared" si="369"/>
        <v>133</v>
      </c>
      <c r="D6640" t="str">
        <f>"44"</f>
        <v>44</v>
      </c>
      <c r="E6640" t="str">
        <f>"1-133-44"</f>
        <v>1-133-44</v>
      </c>
      <c r="F6640" t="s">
        <v>65</v>
      </c>
      <c r="G6640" t="s">
        <v>66</v>
      </c>
      <c r="H6640" t="s">
        <v>67</v>
      </c>
      <c r="S6640">
        <v>1</v>
      </c>
      <c r="T6640">
        <v>0</v>
      </c>
      <c r="U6640">
        <v>0</v>
      </c>
      <c r="V6640">
        <v>0</v>
      </c>
      <c r="W6640">
        <v>1</v>
      </c>
      <c r="X6640">
        <v>0</v>
      </c>
      <c r="Y6640">
        <v>0</v>
      </c>
      <c r="Z6640">
        <v>1</v>
      </c>
      <c r="AA6640">
        <v>1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1</v>
      </c>
      <c r="AM6640">
        <v>1</v>
      </c>
    </row>
    <row r="6641" spans="1:39" x14ac:dyDescent="0.2">
      <c r="A6641" t="str">
        <f>"6637"</f>
        <v>6637</v>
      </c>
      <c r="B6641" t="str">
        <f t="shared" si="366"/>
        <v>1</v>
      </c>
      <c r="C6641" t="str">
        <f t="shared" si="369"/>
        <v>133</v>
      </c>
      <c r="D6641" t="str">
        <f>"26"</f>
        <v>26</v>
      </c>
      <c r="E6641" t="str">
        <f>"1-133-26"</f>
        <v>1-133-26</v>
      </c>
      <c r="F6641" t="s">
        <v>65</v>
      </c>
      <c r="G6641" t="s">
        <v>66</v>
      </c>
      <c r="H6641" t="s">
        <v>67</v>
      </c>
      <c r="S6641">
        <v>1</v>
      </c>
      <c r="T6641">
        <v>0</v>
      </c>
      <c r="U6641">
        <v>0</v>
      </c>
      <c r="V6641">
        <v>0</v>
      </c>
      <c r="W6641">
        <v>1</v>
      </c>
      <c r="X6641">
        <v>0</v>
      </c>
      <c r="Y6641">
        <v>1</v>
      </c>
      <c r="Z6641">
        <v>0</v>
      </c>
      <c r="AA6641">
        <v>0</v>
      </c>
      <c r="AB6641">
        <v>1</v>
      </c>
      <c r="AC6641">
        <v>0</v>
      </c>
      <c r="AD6641">
        <v>0</v>
      </c>
      <c r="AE6641">
        <v>0</v>
      </c>
      <c r="AF6641">
        <v>0</v>
      </c>
      <c r="AG6641">
        <v>1</v>
      </c>
      <c r="AH6641">
        <v>0</v>
      </c>
      <c r="AI6641">
        <v>1</v>
      </c>
      <c r="AJ6641">
        <v>1</v>
      </c>
      <c r="AK6641">
        <v>0</v>
      </c>
      <c r="AL6641">
        <v>1</v>
      </c>
      <c r="AM6641">
        <v>1</v>
      </c>
    </row>
    <row r="6642" spans="1:39" x14ac:dyDescent="0.2">
      <c r="A6642" t="str">
        <f>"6638"</f>
        <v>6638</v>
      </c>
      <c r="B6642" t="str">
        <f t="shared" si="366"/>
        <v>1</v>
      </c>
      <c r="C6642" t="str">
        <f t="shared" si="369"/>
        <v>133</v>
      </c>
      <c r="D6642" t="str">
        <f>"13"</f>
        <v>13</v>
      </c>
      <c r="E6642" t="str">
        <f>"1-133-13"</f>
        <v>1-133-13</v>
      </c>
      <c r="F6642" t="s">
        <v>65</v>
      </c>
      <c r="G6642" t="s">
        <v>66</v>
      </c>
      <c r="H6642" t="s">
        <v>67</v>
      </c>
      <c r="S6642">
        <v>0</v>
      </c>
      <c r="T6642">
        <v>1</v>
      </c>
      <c r="U6642">
        <v>0</v>
      </c>
      <c r="V6642">
        <v>0</v>
      </c>
      <c r="W6642">
        <v>1</v>
      </c>
      <c r="X6642">
        <v>0</v>
      </c>
      <c r="Y6642">
        <v>0</v>
      </c>
      <c r="Z6642">
        <v>1</v>
      </c>
      <c r="AA6642">
        <v>0</v>
      </c>
      <c r="AB6642">
        <v>1</v>
      </c>
      <c r="AC6642">
        <v>0</v>
      </c>
      <c r="AD6642">
        <v>1</v>
      </c>
      <c r="AE6642">
        <v>1</v>
      </c>
      <c r="AF6642">
        <v>1</v>
      </c>
      <c r="AG6642">
        <v>1</v>
      </c>
      <c r="AH6642">
        <v>1</v>
      </c>
      <c r="AI6642">
        <v>1</v>
      </c>
      <c r="AJ6642">
        <v>1</v>
      </c>
      <c r="AK6642">
        <v>1</v>
      </c>
      <c r="AL6642">
        <v>1</v>
      </c>
      <c r="AM6642">
        <v>1</v>
      </c>
    </row>
    <row r="6643" spans="1:39" x14ac:dyDescent="0.2">
      <c r="A6643" t="str">
        <f>"6639"</f>
        <v>6639</v>
      </c>
      <c r="B6643" t="str">
        <f t="shared" si="366"/>
        <v>1</v>
      </c>
      <c r="C6643" t="str">
        <f t="shared" si="369"/>
        <v>133</v>
      </c>
      <c r="D6643" t="str">
        <f>"43"</f>
        <v>43</v>
      </c>
      <c r="E6643" t="str">
        <f>"1-133-43"</f>
        <v>1-133-43</v>
      </c>
      <c r="F6643" t="s">
        <v>65</v>
      </c>
      <c r="G6643" t="s">
        <v>66</v>
      </c>
      <c r="H6643" t="s">
        <v>67</v>
      </c>
      <c r="S6643">
        <v>1</v>
      </c>
      <c r="T6643">
        <v>0</v>
      </c>
      <c r="U6643">
        <v>0</v>
      </c>
      <c r="V6643">
        <v>0</v>
      </c>
      <c r="W6643">
        <v>0</v>
      </c>
      <c r="X6643">
        <v>1</v>
      </c>
      <c r="Y6643">
        <v>0</v>
      </c>
      <c r="Z6643">
        <v>1</v>
      </c>
      <c r="AA6643">
        <v>0</v>
      </c>
      <c r="AB6643">
        <v>0</v>
      </c>
      <c r="AC6643">
        <v>1</v>
      </c>
      <c r="AD6643">
        <v>1</v>
      </c>
      <c r="AE6643">
        <v>1</v>
      </c>
      <c r="AF6643">
        <v>1</v>
      </c>
      <c r="AG6643">
        <v>1</v>
      </c>
      <c r="AH6643">
        <v>1</v>
      </c>
      <c r="AI6643">
        <v>1</v>
      </c>
      <c r="AJ6643">
        <v>1</v>
      </c>
      <c r="AK6643">
        <v>1</v>
      </c>
      <c r="AL6643">
        <v>1</v>
      </c>
      <c r="AM6643">
        <v>1</v>
      </c>
    </row>
    <row r="6644" spans="1:39" x14ac:dyDescent="0.2">
      <c r="A6644" t="str">
        <f>"6640"</f>
        <v>6640</v>
      </c>
      <c r="B6644" t="str">
        <f t="shared" si="366"/>
        <v>1</v>
      </c>
      <c r="C6644" t="str">
        <f t="shared" si="369"/>
        <v>133</v>
      </c>
      <c r="D6644" t="str">
        <f>"27"</f>
        <v>27</v>
      </c>
      <c r="E6644" t="str">
        <f>"1-133-27"</f>
        <v>1-133-27</v>
      </c>
      <c r="F6644" t="s">
        <v>65</v>
      </c>
      <c r="G6644" t="s">
        <v>66</v>
      </c>
      <c r="H6644" t="s">
        <v>67</v>
      </c>
      <c r="S6644">
        <v>0</v>
      </c>
      <c r="T6644">
        <v>1</v>
      </c>
      <c r="U6644">
        <v>0</v>
      </c>
      <c r="V6644">
        <v>0</v>
      </c>
      <c r="W6644">
        <v>0</v>
      </c>
      <c r="X6644">
        <v>1</v>
      </c>
      <c r="Y6644">
        <v>0</v>
      </c>
      <c r="Z6644">
        <v>1</v>
      </c>
      <c r="AA6644">
        <v>0</v>
      </c>
      <c r="AB6644">
        <v>0</v>
      </c>
      <c r="AC6644">
        <v>1</v>
      </c>
      <c r="AD6644">
        <v>1</v>
      </c>
      <c r="AE6644">
        <v>1</v>
      </c>
      <c r="AF6644">
        <v>1</v>
      </c>
      <c r="AG6644">
        <v>1</v>
      </c>
      <c r="AH6644">
        <v>1</v>
      </c>
      <c r="AI6644">
        <v>1</v>
      </c>
      <c r="AJ6644">
        <v>1</v>
      </c>
      <c r="AK6644">
        <v>1</v>
      </c>
      <c r="AL6644">
        <v>1</v>
      </c>
      <c r="AM6644">
        <v>1</v>
      </c>
    </row>
    <row r="6645" spans="1:39" x14ac:dyDescent="0.2">
      <c r="A6645" t="str">
        <f>"6641"</f>
        <v>6641</v>
      </c>
      <c r="B6645" t="str">
        <f t="shared" si="366"/>
        <v>1</v>
      </c>
      <c r="C6645" t="str">
        <f t="shared" si="369"/>
        <v>133</v>
      </c>
      <c r="D6645" t="str">
        <f>"5"</f>
        <v>5</v>
      </c>
      <c r="E6645" t="str">
        <f>"1-133-5"</f>
        <v>1-133-5</v>
      </c>
      <c r="F6645" t="s">
        <v>65</v>
      </c>
      <c r="G6645" t="s">
        <v>66</v>
      </c>
      <c r="H6645" t="s">
        <v>67</v>
      </c>
      <c r="S6645">
        <v>0</v>
      </c>
      <c r="T6645">
        <v>1</v>
      </c>
      <c r="U6645">
        <v>0</v>
      </c>
      <c r="V6645">
        <v>0</v>
      </c>
      <c r="W6645">
        <v>1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1</v>
      </c>
      <c r="AE6645">
        <v>1</v>
      </c>
      <c r="AF6645">
        <v>1</v>
      </c>
      <c r="AG6645">
        <v>1</v>
      </c>
      <c r="AH6645">
        <v>1</v>
      </c>
      <c r="AI6645">
        <v>1</v>
      </c>
      <c r="AJ6645">
        <v>1</v>
      </c>
      <c r="AK6645">
        <v>1</v>
      </c>
      <c r="AL6645">
        <v>1</v>
      </c>
      <c r="AM6645">
        <v>1</v>
      </c>
    </row>
    <row r="6646" spans="1:39" x14ac:dyDescent="0.2">
      <c r="A6646" t="str">
        <f>"6642"</f>
        <v>6642</v>
      </c>
      <c r="B6646" t="str">
        <f t="shared" si="366"/>
        <v>1</v>
      </c>
      <c r="C6646" t="str">
        <f t="shared" si="369"/>
        <v>133</v>
      </c>
      <c r="D6646" t="str">
        <f>"47"</f>
        <v>47</v>
      </c>
      <c r="E6646" t="str">
        <f>"1-133-47"</f>
        <v>1-133-47</v>
      </c>
      <c r="F6646" t="s">
        <v>65</v>
      </c>
      <c r="G6646" t="s">
        <v>66</v>
      </c>
      <c r="H6646" t="s">
        <v>67</v>
      </c>
      <c r="S6646">
        <v>1</v>
      </c>
      <c r="T6646">
        <v>0</v>
      </c>
      <c r="U6646">
        <v>0</v>
      </c>
      <c r="V6646">
        <v>0</v>
      </c>
      <c r="W6646">
        <v>1</v>
      </c>
      <c r="X6646">
        <v>0</v>
      </c>
      <c r="Y6646">
        <v>1</v>
      </c>
      <c r="Z6646">
        <v>0</v>
      </c>
      <c r="AA6646">
        <v>0</v>
      </c>
      <c r="AB6646">
        <v>1</v>
      </c>
      <c r="AC6646">
        <v>0</v>
      </c>
      <c r="AD6646">
        <v>1</v>
      </c>
      <c r="AE6646">
        <v>1</v>
      </c>
      <c r="AF6646">
        <v>1</v>
      </c>
      <c r="AG6646">
        <v>1</v>
      </c>
      <c r="AH6646">
        <v>1</v>
      </c>
      <c r="AI6646">
        <v>1</v>
      </c>
      <c r="AJ6646">
        <v>1</v>
      </c>
      <c r="AK6646">
        <v>1</v>
      </c>
      <c r="AL6646">
        <v>1</v>
      </c>
      <c r="AM6646">
        <v>1</v>
      </c>
    </row>
    <row r="6647" spans="1:39" x14ac:dyDescent="0.2">
      <c r="A6647" t="str">
        <f>"6643"</f>
        <v>6643</v>
      </c>
      <c r="B6647" t="str">
        <f t="shared" ref="B6647:B6710" si="370">"1"</f>
        <v>1</v>
      </c>
      <c r="C6647" t="str">
        <f t="shared" si="369"/>
        <v>133</v>
      </c>
      <c r="D6647" t="str">
        <f>"28"</f>
        <v>28</v>
      </c>
      <c r="E6647" t="str">
        <f>"1-133-28"</f>
        <v>1-133-28</v>
      </c>
      <c r="F6647" t="s">
        <v>65</v>
      </c>
      <c r="G6647" t="s">
        <v>66</v>
      </c>
      <c r="H6647" t="s">
        <v>67</v>
      </c>
      <c r="S6647">
        <v>1</v>
      </c>
      <c r="T6647">
        <v>0</v>
      </c>
      <c r="U6647">
        <v>0</v>
      </c>
      <c r="V6647">
        <v>0</v>
      </c>
      <c r="W6647">
        <v>1</v>
      </c>
      <c r="X6647">
        <v>0</v>
      </c>
      <c r="Y6647">
        <v>1</v>
      </c>
      <c r="Z6647">
        <v>0</v>
      </c>
      <c r="AA6647">
        <v>0</v>
      </c>
      <c r="AB6647">
        <v>0</v>
      </c>
      <c r="AC6647">
        <v>0</v>
      </c>
      <c r="AD6647">
        <v>1</v>
      </c>
      <c r="AE6647">
        <v>1</v>
      </c>
      <c r="AF6647">
        <v>1</v>
      </c>
      <c r="AG6647">
        <v>1</v>
      </c>
      <c r="AH6647">
        <v>1</v>
      </c>
      <c r="AI6647">
        <v>1</v>
      </c>
      <c r="AJ6647">
        <v>1</v>
      </c>
      <c r="AK6647">
        <v>1</v>
      </c>
      <c r="AL6647">
        <v>1</v>
      </c>
      <c r="AM6647">
        <v>1</v>
      </c>
    </row>
    <row r="6648" spans="1:39" x14ac:dyDescent="0.2">
      <c r="A6648" t="str">
        <f>"6644"</f>
        <v>6644</v>
      </c>
      <c r="B6648" t="str">
        <f t="shared" si="370"/>
        <v>1</v>
      </c>
      <c r="C6648" t="str">
        <f t="shared" si="369"/>
        <v>133</v>
      </c>
      <c r="D6648" t="str">
        <f>"3"</f>
        <v>3</v>
      </c>
      <c r="E6648" t="str">
        <f>"1-133-3"</f>
        <v>1-133-3</v>
      </c>
      <c r="F6648" t="s">
        <v>65</v>
      </c>
      <c r="G6648" t="s">
        <v>66</v>
      </c>
      <c r="H6648" t="s">
        <v>67</v>
      </c>
      <c r="S6648">
        <v>0</v>
      </c>
      <c r="T6648">
        <v>1</v>
      </c>
      <c r="U6648">
        <v>0</v>
      </c>
      <c r="V6648">
        <v>0</v>
      </c>
      <c r="W6648">
        <v>1</v>
      </c>
      <c r="X6648">
        <v>0</v>
      </c>
      <c r="Y6648">
        <v>0</v>
      </c>
      <c r="Z6648">
        <v>1</v>
      </c>
      <c r="AA6648">
        <v>0</v>
      </c>
      <c r="AB6648">
        <v>0</v>
      </c>
      <c r="AC6648">
        <v>1</v>
      </c>
      <c r="AD6648">
        <v>1</v>
      </c>
      <c r="AE6648">
        <v>1</v>
      </c>
      <c r="AF6648">
        <v>1</v>
      </c>
      <c r="AG6648">
        <v>1</v>
      </c>
      <c r="AH6648">
        <v>1</v>
      </c>
      <c r="AI6648">
        <v>1</v>
      </c>
      <c r="AJ6648">
        <v>1</v>
      </c>
      <c r="AK6648">
        <v>1</v>
      </c>
      <c r="AL6648">
        <v>1</v>
      </c>
      <c r="AM6648">
        <v>1</v>
      </c>
    </row>
    <row r="6649" spans="1:39" x14ac:dyDescent="0.2">
      <c r="A6649" t="str">
        <f>"6645"</f>
        <v>6645</v>
      </c>
      <c r="B6649" t="str">
        <f t="shared" si="370"/>
        <v>1</v>
      </c>
      <c r="C6649" t="str">
        <f t="shared" si="369"/>
        <v>133</v>
      </c>
      <c r="D6649" t="str">
        <f>"29"</f>
        <v>29</v>
      </c>
      <c r="E6649" t="str">
        <f>"1-133-29"</f>
        <v>1-133-29</v>
      </c>
      <c r="F6649" t="s">
        <v>65</v>
      </c>
      <c r="G6649" t="s">
        <v>66</v>
      </c>
      <c r="H6649" t="s">
        <v>67</v>
      </c>
      <c r="S6649">
        <v>0</v>
      </c>
      <c r="T6649">
        <v>1</v>
      </c>
      <c r="U6649">
        <v>0</v>
      </c>
      <c r="V6649">
        <v>0</v>
      </c>
      <c r="W6649">
        <v>0</v>
      </c>
      <c r="X6649">
        <v>1</v>
      </c>
      <c r="Y6649">
        <v>0</v>
      </c>
      <c r="Z6649">
        <v>1</v>
      </c>
      <c r="AA6649">
        <v>0</v>
      </c>
      <c r="AB6649">
        <v>0</v>
      </c>
      <c r="AC6649">
        <v>1</v>
      </c>
      <c r="AD6649">
        <v>1</v>
      </c>
      <c r="AE6649">
        <v>1</v>
      </c>
      <c r="AF6649">
        <v>1</v>
      </c>
      <c r="AG6649">
        <v>1</v>
      </c>
      <c r="AH6649">
        <v>1</v>
      </c>
      <c r="AI6649">
        <v>1</v>
      </c>
      <c r="AJ6649">
        <v>1</v>
      </c>
      <c r="AK6649">
        <v>1</v>
      </c>
      <c r="AL6649">
        <v>1</v>
      </c>
      <c r="AM6649">
        <v>1</v>
      </c>
    </row>
    <row r="6650" spans="1:39" x14ac:dyDescent="0.2">
      <c r="A6650" t="str">
        <f>"6646"</f>
        <v>6646</v>
      </c>
      <c r="B6650" t="str">
        <f t="shared" si="370"/>
        <v>1</v>
      </c>
      <c r="C6650" t="str">
        <f t="shared" si="369"/>
        <v>133</v>
      </c>
      <c r="D6650" t="str">
        <f>"6"</f>
        <v>6</v>
      </c>
      <c r="E6650" t="str">
        <f>"1-133-6"</f>
        <v>1-133-6</v>
      </c>
      <c r="F6650" t="s">
        <v>65</v>
      </c>
      <c r="G6650" t="s">
        <v>66</v>
      </c>
      <c r="H6650" t="s">
        <v>67</v>
      </c>
      <c r="S6650">
        <v>0</v>
      </c>
      <c r="T6650">
        <v>1</v>
      </c>
      <c r="U6650">
        <v>0</v>
      </c>
      <c r="V6650">
        <v>0</v>
      </c>
      <c r="W6650">
        <v>1</v>
      </c>
      <c r="X6650">
        <v>0</v>
      </c>
      <c r="Y6650">
        <v>0</v>
      </c>
      <c r="Z6650">
        <v>1</v>
      </c>
      <c r="AA6650">
        <v>0</v>
      </c>
      <c r="AB6650">
        <v>0</v>
      </c>
      <c r="AC6650">
        <v>1</v>
      </c>
      <c r="AD6650">
        <v>1</v>
      </c>
      <c r="AE6650">
        <v>1</v>
      </c>
      <c r="AF6650">
        <v>1</v>
      </c>
      <c r="AG6650">
        <v>1</v>
      </c>
      <c r="AH6650">
        <v>1</v>
      </c>
      <c r="AI6650">
        <v>1</v>
      </c>
      <c r="AJ6650">
        <v>1</v>
      </c>
      <c r="AK6650">
        <v>1</v>
      </c>
      <c r="AL6650">
        <v>1</v>
      </c>
      <c r="AM6650">
        <v>1</v>
      </c>
    </row>
    <row r="6651" spans="1:39" x14ac:dyDescent="0.2">
      <c r="A6651" t="str">
        <f>"6647"</f>
        <v>6647</v>
      </c>
      <c r="B6651" t="str">
        <f t="shared" si="370"/>
        <v>1</v>
      </c>
      <c r="C6651" t="str">
        <f t="shared" si="369"/>
        <v>133</v>
      </c>
      <c r="D6651" t="str">
        <f>"48"</f>
        <v>48</v>
      </c>
      <c r="E6651" t="str">
        <f>"1-133-48"</f>
        <v>1-133-48</v>
      </c>
      <c r="F6651" t="s">
        <v>65</v>
      </c>
      <c r="G6651" t="s">
        <v>66</v>
      </c>
      <c r="H6651" t="s">
        <v>67</v>
      </c>
      <c r="S6651">
        <v>0</v>
      </c>
      <c r="T6651">
        <v>1</v>
      </c>
      <c r="U6651">
        <v>0</v>
      </c>
      <c r="V6651">
        <v>0</v>
      </c>
      <c r="W6651">
        <v>1</v>
      </c>
      <c r="X6651">
        <v>0</v>
      </c>
      <c r="Y6651">
        <v>1</v>
      </c>
      <c r="Z6651">
        <v>0</v>
      </c>
      <c r="AA6651">
        <v>1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1</v>
      </c>
      <c r="AI6651">
        <v>1</v>
      </c>
      <c r="AJ6651">
        <v>0</v>
      </c>
      <c r="AK6651">
        <v>0</v>
      </c>
      <c r="AL6651">
        <v>1</v>
      </c>
      <c r="AM6651">
        <v>0</v>
      </c>
    </row>
    <row r="6652" spans="1:39" x14ac:dyDescent="0.2">
      <c r="A6652" t="str">
        <f>"6648"</f>
        <v>6648</v>
      </c>
      <c r="B6652" t="str">
        <f t="shared" si="370"/>
        <v>1</v>
      </c>
      <c r="C6652" t="str">
        <f t="shared" si="369"/>
        <v>133</v>
      </c>
      <c r="D6652" t="str">
        <f>"30"</f>
        <v>30</v>
      </c>
      <c r="E6652" t="str">
        <f>"1-133-30"</f>
        <v>1-133-30</v>
      </c>
      <c r="F6652" t="s">
        <v>65</v>
      </c>
      <c r="G6652" t="s">
        <v>66</v>
      </c>
      <c r="H6652" t="s">
        <v>67</v>
      </c>
      <c r="S6652">
        <v>1</v>
      </c>
      <c r="T6652">
        <v>0</v>
      </c>
      <c r="U6652">
        <v>0</v>
      </c>
      <c r="V6652">
        <v>0</v>
      </c>
      <c r="W6652">
        <v>1</v>
      </c>
      <c r="X6652">
        <v>0</v>
      </c>
      <c r="Y6652">
        <v>1</v>
      </c>
      <c r="Z6652">
        <v>0</v>
      </c>
      <c r="AA6652">
        <v>0</v>
      </c>
      <c r="AB6652">
        <v>1</v>
      </c>
      <c r="AC6652">
        <v>0</v>
      </c>
      <c r="AD6652">
        <v>1</v>
      </c>
      <c r="AE6652">
        <v>1</v>
      </c>
      <c r="AF6652">
        <v>1</v>
      </c>
      <c r="AG6652">
        <v>1</v>
      </c>
      <c r="AH6652">
        <v>1</v>
      </c>
      <c r="AI6652">
        <v>1</v>
      </c>
      <c r="AJ6652">
        <v>1</v>
      </c>
      <c r="AK6652">
        <v>1</v>
      </c>
      <c r="AL6652">
        <v>1</v>
      </c>
      <c r="AM6652">
        <v>1</v>
      </c>
    </row>
    <row r="6653" spans="1:39" x14ac:dyDescent="0.2">
      <c r="A6653" t="str">
        <f>"6649"</f>
        <v>6649</v>
      </c>
      <c r="B6653" t="str">
        <f t="shared" si="370"/>
        <v>1</v>
      </c>
      <c r="C6653" t="str">
        <f t="shared" si="369"/>
        <v>133</v>
      </c>
      <c r="D6653" t="str">
        <f>"12"</f>
        <v>12</v>
      </c>
      <c r="E6653" t="str">
        <f>"1-133-12"</f>
        <v>1-133-12</v>
      </c>
      <c r="F6653" t="s">
        <v>65</v>
      </c>
      <c r="G6653" t="s">
        <v>66</v>
      </c>
      <c r="H6653" t="s">
        <v>67</v>
      </c>
      <c r="S6653">
        <v>0</v>
      </c>
      <c r="T6653">
        <v>1</v>
      </c>
      <c r="U6653">
        <v>0</v>
      </c>
      <c r="V6653">
        <v>0</v>
      </c>
      <c r="W6653">
        <v>1</v>
      </c>
      <c r="X6653">
        <v>0</v>
      </c>
      <c r="Y6653">
        <v>0</v>
      </c>
      <c r="Z6653">
        <v>1</v>
      </c>
      <c r="AA6653">
        <v>0</v>
      </c>
      <c r="AB6653">
        <v>1</v>
      </c>
      <c r="AC6653">
        <v>0</v>
      </c>
      <c r="AD6653">
        <v>1</v>
      </c>
      <c r="AE6653">
        <v>1</v>
      </c>
      <c r="AF6653">
        <v>1</v>
      </c>
      <c r="AG6653">
        <v>1</v>
      </c>
      <c r="AH6653">
        <v>1</v>
      </c>
      <c r="AI6653">
        <v>1</v>
      </c>
      <c r="AJ6653">
        <v>1</v>
      </c>
      <c r="AK6653">
        <v>1</v>
      </c>
      <c r="AL6653">
        <v>1</v>
      </c>
      <c r="AM6653">
        <v>1</v>
      </c>
    </row>
    <row r="6654" spans="1:39" x14ac:dyDescent="0.2">
      <c r="A6654" t="str">
        <f>"6650"</f>
        <v>6650</v>
      </c>
      <c r="B6654" t="str">
        <f t="shared" si="370"/>
        <v>1</v>
      </c>
      <c r="C6654" t="str">
        <f t="shared" si="369"/>
        <v>133</v>
      </c>
      <c r="D6654" t="str">
        <f>"49"</f>
        <v>49</v>
      </c>
      <c r="E6654" t="str">
        <f>"1-133-49"</f>
        <v>1-133-49</v>
      </c>
      <c r="F6654" t="s">
        <v>65</v>
      </c>
      <c r="G6654" t="s">
        <v>66</v>
      </c>
      <c r="H6654" t="s">
        <v>67</v>
      </c>
      <c r="S6654">
        <v>1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1</v>
      </c>
      <c r="Z6654">
        <v>0</v>
      </c>
      <c r="AA6654">
        <v>0</v>
      </c>
      <c r="AB6654">
        <v>0</v>
      </c>
      <c r="AC6654">
        <v>1</v>
      </c>
      <c r="AD6654">
        <v>1</v>
      </c>
      <c r="AE6654">
        <v>1</v>
      </c>
      <c r="AF6654">
        <v>1</v>
      </c>
      <c r="AG6654">
        <v>1</v>
      </c>
      <c r="AH6654">
        <v>1</v>
      </c>
      <c r="AI6654">
        <v>1</v>
      </c>
      <c r="AJ6654">
        <v>1</v>
      </c>
      <c r="AK6654">
        <v>1</v>
      </c>
      <c r="AL6654">
        <v>1</v>
      </c>
      <c r="AM6654">
        <v>1</v>
      </c>
    </row>
    <row r="6655" spans="1:39" x14ac:dyDescent="0.2">
      <c r="A6655" t="str">
        <f>"6651"</f>
        <v>6651</v>
      </c>
      <c r="B6655" t="str">
        <f t="shared" si="370"/>
        <v>1</v>
      </c>
      <c r="C6655" t="str">
        <f t="shared" ref="C6655:C6686" si="371">"134"</f>
        <v>134</v>
      </c>
      <c r="D6655" t="str">
        <f>"38"</f>
        <v>38</v>
      </c>
      <c r="E6655" t="str">
        <f>"1-134-38"</f>
        <v>1-134-38</v>
      </c>
      <c r="F6655" t="s">
        <v>65</v>
      </c>
      <c r="G6655" t="s">
        <v>66</v>
      </c>
      <c r="H6655" t="s">
        <v>67</v>
      </c>
      <c r="S6655">
        <v>1</v>
      </c>
      <c r="T6655">
        <v>0</v>
      </c>
      <c r="U6655">
        <v>0</v>
      </c>
      <c r="V6655">
        <v>0</v>
      </c>
      <c r="W6655">
        <v>1</v>
      </c>
      <c r="X6655">
        <v>0</v>
      </c>
      <c r="Y6655">
        <v>1</v>
      </c>
      <c r="Z6655">
        <v>0</v>
      </c>
      <c r="AA6655">
        <v>1</v>
      </c>
      <c r="AB6655">
        <v>0</v>
      </c>
      <c r="AC6655">
        <v>0</v>
      </c>
      <c r="AD6655">
        <v>1</v>
      </c>
      <c r="AE6655">
        <v>1</v>
      </c>
      <c r="AF6655">
        <v>1</v>
      </c>
      <c r="AG6655">
        <v>1</v>
      </c>
      <c r="AH6655">
        <v>1</v>
      </c>
      <c r="AI6655">
        <v>1</v>
      </c>
      <c r="AJ6655">
        <v>1</v>
      </c>
      <c r="AK6655">
        <v>1</v>
      </c>
      <c r="AL6655">
        <v>1</v>
      </c>
      <c r="AM6655">
        <v>1</v>
      </c>
    </row>
    <row r="6656" spans="1:39" x14ac:dyDescent="0.2">
      <c r="A6656" t="str">
        <f>"6652"</f>
        <v>6652</v>
      </c>
      <c r="B6656" t="str">
        <f t="shared" si="370"/>
        <v>1</v>
      </c>
      <c r="C6656" t="str">
        <f t="shared" si="371"/>
        <v>134</v>
      </c>
      <c r="D6656" t="str">
        <f>"37"</f>
        <v>37</v>
      </c>
      <c r="E6656" t="str">
        <f>"1-134-37"</f>
        <v>1-134-37</v>
      </c>
      <c r="F6656" t="s">
        <v>65</v>
      </c>
      <c r="G6656" t="s">
        <v>66</v>
      </c>
      <c r="H6656" t="s">
        <v>67</v>
      </c>
      <c r="S6656">
        <v>1</v>
      </c>
      <c r="T6656">
        <v>0</v>
      </c>
      <c r="U6656">
        <v>0</v>
      </c>
      <c r="V6656">
        <v>0</v>
      </c>
      <c r="W6656">
        <v>1</v>
      </c>
      <c r="X6656">
        <v>0</v>
      </c>
      <c r="Y6656">
        <v>1</v>
      </c>
      <c r="Z6656">
        <v>0</v>
      </c>
      <c r="AA6656">
        <v>1</v>
      </c>
      <c r="AB6656">
        <v>0</v>
      </c>
      <c r="AC6656">
        <v>0</v>
      </c>
      <c r="AD6656">
        <v>1</v>
      </c>
      <c r="AE6656">
        <v>1</v>
      </c>
      <c r="AF6656">
        <v>1</v>
      </c>
      <c r="AG6656">
        <v>1</v>
      </c>
      <c r="AH6656">
        <v>1</v>
      </c>
      <c r="AI6656">
        <v>1</v>
      </c>
      <c r="AJ6656">
        <v>1</v>
      </c>
      <c r="AK6656">
        <v>1</v>
      </c>
      <c r="AL6656">
        <v>1</v>
      </c>
      <c r="AM6656">
        <v>1</v>
      </c>
    </row>
    <row r="6657" spans="1:39" x14ac:dyDescent="0.2">
      <c r="A6657" t="str">
        <f>"6653"</f>
        <v>6653</v>
      </c>
      <c r="B6657" t="str">
        <f t="shared" si="370"/>
        <v>1</v>
      </c>
      <c r="C6657" t="str">
        <f t="shared" si="371"/>
        <v>134</v>
      </c>
      <c r="D6657" t="str">
        <f>"26"</f>
        <v>26</v>
      </c>
      <c r="E6657" t="str">
        <f>"1-134-26"</f>
        <v>1-134-26</v>
      </c>
      <c r="F6657" t="s">
        <v>65</v>
      </c>
      <c r="G6657" t="s">
        <v>66</v>
      </c>
      <c r="H6657" t="s">
        <v>67</v>
      </c>
      <c r="S6657">
        <v>1</v>
      </c>
      <c r="T6657">
        <v>0</v>
      </c>
      <c r="U6657">
        <v>0</v>
      </c>
      <c r="V6657">
        <v>0</v>
      </c>
      <c r="W6657">
        <v>0</v>
      </c>
      <c r="X6657">
        <v>1</v>
      </c>
      <c r="Y6657">
        <v>0</v>
      </c>
      <c r="Z6657">
        <v>1</v>
      </c>
      <c r="AA6657">
        <v>0</v>
      </c>
      <c r="AB6657">
        <v>0</v>
      </c>
      <c r="AC6657">
        <v>1</v>
      </c>
      <c r="AD6657">
        <v>1</v>
      </c>
      <c r="AE6657">
        <v>1</v>
      </c>
      <c r="AF6657">
        <v>1</v>
      </c>
      <c r="AG6657">
        <v>1</v>
      </c>
      <c r="AH6657">
        <v>1</v>
      </c>
      <c r="AI6657">
        <v>1</v>
      </c>
      <c r="AJ6657">
        <v>1</v>
      </c>
      <c r="AK6657">
        <v>1</v>
      </c>
      <c r="AL6657">
        <v>1</v>
      </c>
      <c r="AM6657">
        <v>1</v>
      </c>
    </row>
    <row r="6658" spans="1:39" x14ac:dyDescent="0.2">
      <c r="A6658" t="str">
        <f>"6654"</f>
        <v>6654</v>
      </c>
      <c r="B6658" t="str">
        <f t="shared" si="370"/>
        <v>1</v>
      </c>
      <c r="C6658" t="str">
        <f t="shared" si="371"/>
        <v>134</v>
      </c>
      <c r="D6658" t="str">
        <f>"25"</f>
        <v>25</v>
      </c>
      <c r="E6658" t="str">
        <f>"1-134-25"</f>
        <v>1-134-25</v>
      </c>
      <c r="F6658" t="s">
        <v>65</v>
      </c>
      <c r="G6658" t="s">
        <v>66</v>
      </c>
      <c r="H6658" t="s">
        <v>67</v>
      </c>
      <c r="S6658">
        <v>1</v>
      </c>
      <c r="T6658">
        <v>0</v>
      </c>
      <c r="U6658">
        <v>0</v>
      </c>
      <c r="V6658">
        <v>0</v>
      </c>
      <c r="W6658">
        <v>1</v>
      </c>
      <c r="X6658">
        <v>0</v>
      </c>
      <c r="Y6658">
        <v>0</v>
      </c>
      <c r="Z6658">
        <v>1</v>
      </c>
      <c r="AA6658">
        <v>0</v>
      </c>
      <c r="AB6658">
        <v>0</v>
      </c>
      <c r="AC6658">
        <v>1</v>
      </c>
      <c r="AD6658">
        <v>1</v>
      </c>
      <c r="AE6658">
        <v>1</v>
      </c>
      <c r="AF6658">
        <v>1</v>
      </c>
      <c r="AG6658">
        <v>1</v>
      </c>
      <c r="AH6658">
        <v>1</v>
      </c>
      <c r="AI6658">
        <v>1</v>
      </c>
      <c r="AJ6658">
        <v>1</v>
      </c>
      <c r="AK6658">
        <v>1</v>
      </c>
      <c r="AL6658">
        <v>1</v>
      </c>
      <c r="AM6658">
        <v>1</v>
      </c>
    </row>
    <row r="6659" spans="1:39" x14ac:dyDescent="0.2">
      <c r="A6659" t="str">
        <f>"6655"</f>
        <v>6655</v>
      </c>
      <c r="B6659" t="str">
        <f t="shared" si="370"/>
        <v>1</v>
      </c>
      <c r="C6659" t="str">
        <f t="shared" si="371"/>
        <v>134</v>
      </c>
      <c r="D6659" t="str">
        <f>"17"</f>
        <v>17</v>
      </c>
      <c r="E6659" t="str">
        <f>"1-134-17"</f>
        <v>1-134-17</v>
      </c>
      <c r="F6659" t="s">
        <v>65</v>
      </c>
      <c r="G6659" t="s">
        <v>66</v>
      </c>
      <c r="H6659" t="s">
        <v>67</v>
      </c>
      <c r="S6659">
        <v>1</v>
      </c>
      <c r="T6659">
        <v>0</v>
      </c>
      <c r="U6659">
        <v>0</v>
      </c>
      <c r="V6659">
        <v>0</v>
      </c>
      <c r="W6659">
        <v>1</v>
      </c>
      <c r="X6659">
        <v>0</v>
      </c>
      <c r="Y6659">
        <v>1</v>
      </c>
      <c r="Z6659">
        <v>0</v>
      </c>
      <c r="AA6659">
        <v>0</v>
      </c>
      <c r="AB6659">
        <v>0</v>
      </c>
      <c r="AC6659">
        <v>1</v>
      </c>
      <c r="AD6659">
        <v>1</v>
      </c>
      <c r="AE6659">
        <v>0</v>
      </c>
      <c r="AF6659">
        <v>0</v>
      </c>
      <c r="AG6659">
        <v>0</v>
      </c>
      <c r="AH6659">
        <v>1</v>
      </c>
      <c r="AI6659">
        <v>1</v>
      </c>
      <c r="AJ6659">
        <v>1</v>
      </c>
      <c r="AK6659">
        <v>0</v>
      </c>
      <c r="AL6659">
        <v>1</v>
      </c>
      <c r="AM6659">
        <v>0</v>
      </c>
    </row>
    <row r="6660" spans="1:39" x14ac:dyDescent="0.2">
      <c r="A6660" t="str">
        <f>"6656"</f>
        <v>6656</v>
      </c>
      <c r="B6660" t="str">
        <f t="shared" si="370"/>
        <v>1</v>
      </c>
      <c r="C6660" t="str">
        <f t="shared" si="371"/>
        <v>134</v>
      </c>
      <c r="D6660" t="str">
        <f>"15"</f>
        <v>15</v>
      </c>
      <c r="E6660" t="str">
        <f>"1-134-15"</f>
        <v>1-134-15</v>
      </c>
      <c r="F6660" t="s">
        <v>65</v>
      </c>
      <c r="G6660" t="s">
        <v>66</v>
      </c>
      <c r="H6660" t="s">
        <v>67</v>
      </c>
      <c r="S6660">
        <v>1</v>
      </c>
      <c r="T6660">
        <v>0</v>
      </c>
      <c r="U6660">
        <v>0</v>
      </c>
      <c r="V6660">
        <v>0</v>
      </c>
      <c r="W6660">
        <v>1</v>
      </c>
      <c r="X6660">
        <v>0</v>
      </c>
      <c r="Y6660">
        <v>1</v>
      </c>
      <c r="Z6660">
        <v>0</v>
      </c>
      <c r="AA6660">
        <v>1</v>
      </c>
      <c r="AB6660">
        <v>0</v>
      </c>
      <c r="AC6660">
        <v>0</v>
      </c>
      <c r="AD6660">
        <v>1</v>
      </c>
      <c r="AE6660">
        <v>1</v>
      </c>
      <c r="AF6660">
        <v>1</v>
      </c>
      <c r="AG6660">
        <v>1</v>
      </c>
      <c r="AH6660">
        <v>1</v>
      </c>
      <c r="AI6660">
        <v>1</v>
      </c>
      <c r="AJ6660">
        <v>1</v>
      </c>
      <c r="AK6660">
        <v>1</v>
      </c>
      <c r="AL6660">
        <v>1</v>
      </c>
      <c r="AM6660">
        <v>1</v>
      </c>
    </row>
    <row r="6661" spans="1:39" x14ac:dyDescent="0.2">
      <c r="A6661" t="str">
        <f>"6657"</f>
        <v>6657</v>
      </c>
      <c r="B6661" t="str">
        <f t="shared" si="370"/>
        <v>1</v>
      </c>
      <c r="C6661" t="str">
        <f t="shared" si="371"/>
        <v>134</v>
      </c>
      <c r="D6661" t="str">
        <f>"1"</f>
        <v>1</v>
      </c>
      <c r="E6661" t="str">
        <f>"1-134-1"</f>
        <v>1-134-1</v>
      </c>
      <c r="F6661" t="s">
        <v>65</v>
      </c>
      <c r="G6661" t="s">
        <v>66</v>
      </c>
      <c r="H6661" t="s">
        <v>67</v>
      </c>
      <c r="S6661">
        <v>0</v>
      </c>
      <c r="T6661">
        <v>1</v>
      </c>
      <c r="U6661">
        <v>0</v>
      </c>
      <c r="V6661">
        <v>0</v>
      </c>
      <c r="W6661">
        <v>1</v>
      </c>
      <c r="X6661">
        <v>0</v>
      </c>
      <c r="Y6661">
        <v>1</v>
      </c>
      <c r="Z6661">
        <v>0</v>
      </c>
      <c r="AA6661">
        <v>1</v>
      </c>
      <c r="AB6661">
        <v>0</v>
      </c>
      <c r="AC6661">
        <v>0</v>
      </c>
      <c r="AD6661">
        <v>1</v>
      </c>
      <c r="AE6661">
        <v>1</v>
      </c>
      <c r="AF6661">
        <v>1</v>
      </c>
      <c r="AG6661">
        <v>1</v>
      </c>
      <c r="AH6661">
        <v>1</v>
      </c>
      <c r="AI6661">
        <v>1</v>
      </c>
      <c r="AJ6661">
        <v>1</v>
      </c>
      <c r="AK6661">
        <v>1</v>
      </c>
      <c r="AL6661">
        <v>1</v>
      </c>
      <c r="AM6661">
        <v>1</v>
      </c>
    </row>
    <row r="6662" spans="1:39" x14ac:dyDescent="0.2">
      <c r="A6662" t="str">
        <f>"6658"</f>
        <v>6658</v>
      </c>
      <c r="B6662" t="str">
        <f t="shared" si="370"/>
        <v>1</v>
      </c>
      <c r="C6662" t="str">
        <f t="shared" si="371"/>
        <v>134</v>
      </c>
      <c r="D6662" t="str">
        <f>"36"</f>
        <v>36</v>
      </c>
      <c r="E6662" t="str">
        <f>"1-134-36"</f>
        <v>1-134-36</v>
      </c>
      <c r="F6662" t="s">
        <v>65</v>
      </c>
      <c r="G6662" t="s">
        <v>66</v>
      </c>
      <c r="H6662" t="s">
        <v>67</v>
      </c>
      <c r="S6662">
        <v>0</v>
      </c>
      <c r="T6662">
        <v>1</v>
      </c>
      <c r="U6662">
        <v>0</v>
      </c>
      <c r="V6662">
        <v>0</v>
      </c>
      <c r="W6662">
        <v>1</v>
      </c>
      <c r="X6662">
        <v>0</v>
      </c>
      <c r="Y6662">
        <v>1</v>
      </c>
      <c r="Z6662">
        <v>0</v>
      </c>
      <c r="AA6662">
        <v>0</v>
      </c>
      <c r="AB6662">
        <v>0</v>
      </c>
      <c r="AC6662">
        <v>1</v>
      </c>
      <c r="AD6662">
        <v>1</v>
      </c>
      <c r="AE6662">
        <v>1</v>
      </c>
      <c r="AF6662">
        <v>1</v>
      </c>
      <c r="AG6662">
        <v>1</v>
      </c>
      <c r="AH6662">
        <v>1</v>
      </c>
      <c r="AI6662">
        <v>1</v>
      </c>
      <c r="AJ6662">
        <v>1</v>
      </c>
      <c r="AK6662">
        <v>1</v>
      </c>
      <c r="AL6662">
        <v>1</v>
      </c>
      <c r="AM6662">
        <v>1</v>
      </c>
    </row>
    <row r="6663" spans="1:39" x14ac:dyDescent="0.2">
      <c r="A6663" t="str">
        <f>"6659"</f>
        <v>6659</v>
      </c>
      <c r="B6663" t="str">
        <f t="shared" si="370"/>
        <v>1</v>
      </c>
      <c r="C6663" t="str">
        <f t="shared" si="371"/>
        <v>134</v>
      </c>
      <c r="D6663" t="str">
        <f>"35"</f>
        <v>35</v>
      </c>
      <c r="E6663" t="str">
        <f>"1-134-35"</f>
        <v>1-134-35</v>
      </c>
      <c r="F6663" t="s">
        <v>65</v>
      </c>
      <c r="G6663" t="s">
        <v>66</v>
      </c>
      <c r="H6663" t="s">
        <v>67</v>
      </c>
      <c r="S6663">
        <v>1</v>
      </c>
      <c r="T6663">
        <v>0</v>
      </c>
      <c r="U6663">
        <v>0</v>
      </c>
      <c r="V6663">
        <v>0</v>
      </c>
      <c r="W6663">
        <v>1</v>
      </c>
      <c r="X6663">
        <v>0</v>
      </c>
      <c r="Y6663">
        <v>1</v>
      </c>
      <c r="Z6663">
        <v>0</v>
      </c>
      <c r="AA6663">
        <v>0</v>
      </c>
      <c r="AB6663">
        <v>0</v>
      </c>
      <c r="AC6663">
        <v>0</v>
      </c>
      <c r="AD6663">
        <v>1</v>
      </c>
      <c r="AE6663">
        <v>1</v>
      </c>
      <c r="AF6663">
        <v>1</v>
      </c>
      <c r="AG6663">
        <v>1</v>
      </c>
      <c r="AH6663">
        <v>1</v>
      </c>
      <c r="AI6663">
        <v>1</v>
      </c>
      <c r="AJ6663">
        <v>1</v>
      </c>
      <c r="AK6663">
        <v>1</v>
      </c>
      <c r="AL6663">
        <v>1</v>
      </c>
      <c r="AM6663">
        <v>1</v>
      </c>
    </row>
    <row r="6664" spans="1:39" x14ac:dyDescent="0.2">
      <c r="A6664" t="str">
        <f>"6660"</f>
        <v>6660</v>
      </c>
      <c r="B6664" t="str">
        <f t="shared" si="370"/>
        <v>1</v>
      </c>
      <c r="C6664" t="str">
        <f t="shared" si="371"/>
        <v>134</v>
      </c>
      <c r="D6664" t="str">
        <f>"31"</f>
        <v>31</v>
      </c>
      <c r="E6664" t="str">
        <f>"1-134-31"</f>
        <v>1-134-31</v>
      </c>
      <c r="F6664" t="s">
        <v>65</v>
      </c>
      <c r="G6664" t="s">
        <v>66</v>
      </c>
      <c r="H6664" t="s">
        <v>67</v>
      </c>
      <c r="S6664">
        <v>1</v>
      </c>
      <c r="T6664">
        <v>0</v>
      </c>
      <c r="U6664">
        <v>0</v>
      </c>
      <c r="V6664">
        <v>0</v>
      </c>
      <c r="W6664">
        <v>1</v>
      </c>
      <c r="X6664">
        <v>0</v>
      </c>
      <c r="Y6664">
        <v>0</v>
      </c>
      <c r="Z6664">
        <v>1</v>
      </c>
      <c r="AA6664">
        <v>1</v>
      </c>
      <c r="AB6664">
        <v>0</v>
      </c>
      <c r="AC6664">
        <v>0</v>
      </c>
      <c r="AD6664">
        <v>1</v>
      </c>
      <c r="AE6664">
        <v>1</v>
      </c>
      <c r="AF6664">
        <v>1</v>
      </c>
      <c r="AG6664">
        <v>1</v>
      </c>
      <c r="AH6664">
        <v>1</v>
      </c>
      <c r="AI6664">
        <v>1</v>
      </c>
      <c r="AJ6664">
        <v>1</v>
      </c>
      <c r="AK6664">
        <v>1</v>
      </c>
      <c r="AL6664">
        <v>1</v>
      </c>
      <c r="AM6664">
        <v>1</v>
      </c>
    </row>
    <row r="6665" spans="1:39" x14ac:dyDescent="0.2">
      <c r="A6665" t="str">
        <f>"6661"</f>
        <v>6661</v>
      </c>
      <c r="B6665" t="str">
        <f t="shared" si="370"/>
        <v>1</v>
      </c>
      <c r="C6665" t="str">
        <f t="shared" si="371"/>
        <v>134</v>
      </c>
      <c r="D6665" t="str">
        <f>"16"</f>
        <v>16</v>
      </c>
      <c r="E6665" t="str">
        <f>"1-134-16"</f>
        <v>1-134-16</v>
      </c>
      <c r="F6665" t="s">
        <v>65</v>
      </c>
      <c r="G6665" t="s">
        <v>66</v>
      </c>
      <c r="H6665" t="s">
        <v>67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1</v>
      </c>
      <c r="Y6665">
        <v>0</v>
      </c>
      <c r="Z6665">
        <v>0</v>
      </c>
      <c r="AA6665">
        <v>0</v>
      </c>
      <c r="AB6665">
        <v>0</v>
      </c>
      <c r="AC6665">
        <v>1</v>
      </c>
      <c r="AD6665">
        <v>0</v>
      </c>
      <c r="AE6665">
        <v>0</v>
      </c>
      <c r="AF6665">
        <v>0</v>
      </c>
      <c r="AG6665">
        <v>0</v>
      </c>
      <c r="AH6665">
        <v>1</v>
      </c>
      <c r="AI6665">
        <v>1</v>
      </c>
      <c r="AJ6665">
        <v>0</v>
      </c>
      <c r="AK6665">
        <v>1</v>
      </c>
      <c r="AL6665">
        <v>1</v>
      </c>
      <c r="AM6665">
        <v>1</v>
      </c>
    </row>
    <row r="6666" spans="1:39" x14ac:dyDescent="0.2">
      <c r="A6666" t="str">
        <f>"6662"</f>
        <v>6662</v>
      </c>
      <c r="B6666" t="str">
        <f t="shared" si="370"/>
        <v>1</v>
      </c>
      <c r="C6666" t="str">
        <f t="shared" si="371"/>
        <v>134</v>
      </c>
      <c r="D6666" t="str">
        <f>"9"</f>
        <v>9</v>
      </c>
      <c r="E6666" t="str">
        <f>"1-134-9"</f>
        <v>1-134-9</v>
      </c>
      <c r="F6666" t="s">
        <v>65</v>
      </c>
      <c r="G6666" t="s">
        <v>66</v>
      </c>
      <c r="H6666" t="s">
        <v>67</v>
      </c>
      <c r="S6666">
        <v>1</v>
      </c>
      <c r="T6666">
        <v>0</v>
      </c>
      <c r="U6666">
        <v>0</v>
      </c>
      <c r="V6666">
        <v>0</v>
      </c>
      <c r="W6666">
        <v>0</v>
      </c>
      <c r="X6666">
        <v>1</v>
      </c>
      <c r="Y6666">
        <v>1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1</v>
      </c>
      <c r="AL6666">
        <v>1</v>
      </c>
      <c r="AM6666">
        <v>1</v>
      </c>
    </row>
    <row r="6667" spans="1:39" x14ac:dyDescent="0.2">
      <c r="A6667" t="str">
        <f>"6663"</f>
        <v>6663</v>
      </c>
      <c r="B6667" t="str">
        <f t="shared" si="370"/>
        <v>1</v>
      </c>
      <c r="C6667" t="str">
        <f t="shared" si="371"/>
        <v>134</v>
      </c>
      <c r="D6667" t="str">
        <f>"47"</f>
        <v>47</v>
      </c>
      <c r="E6667" t="str">
        <f>"1-134-47"</f>
        <v>1-134-47</v>
      </c>
      <c r="F6667" t="s">
        <v>65</v>
      </c>
      <c r="G6667" t="s">
        <v>66</v>
      </c>
      <c r="H6667" t="s">
        <v>67</v>
      </c>
      <c r="S6667">
        <v>0</v>
      </c>
      <c r="T6667">
        <v>1</v>
      </c>
      <c r="U6667">
        <v>0</v>
      </c>
      <c r="V6667">
        <v>0</v>
      </c>
      <c r="W6667">
        <v>1</v>
      </c>
      <c r="X6667">
        <v>0</v>
      </c>
      <c r="Y6667">
        <v>1</v>
      </c>
      <c r="Z6667">
        <v>0</v>
      </c>
      <c r="AA6667">
        <v>0</v>
      </c>
      <c r="AB6667">
        <v>1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</row>
    <row r="6668" spans="1:39" x14ac:dyDescent="0.2">
      <c r="A6668" t="str">
        <f>"6664"</f>
        <v>6664</v>
      </c>
      <c r="B6668" t="str">
        <f t="shared" si="370"/>
        <v>1</v>
      </c>
      <c r="C6668" t="str">
        <f t="shared" si="371"/>
        <v>134</v>
      </c>
      <c r="D6668" t="str">
        <f>"33"</f>
        <v>33</v>
      </c>
      <c r="E6668" t="str">
        <f>"1-134-33"</f>
        <v>1-134-33</v>
      </c>
      <c r="F6668" t="s">
        <v>65</v>
      </c>
      <c r="G6668" t="s">
        <v>66</v>
      </c>
      <c r="H6668" t="s">
        <v>67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1</v>
      </c>
      <c r="Y6668">
        <v>0</v>
      </c>
      <c r="Z6668">
        <v>1</v>
      </c>
      <c r="AA6668">
        <v>0</v>
      </c>
      <c r="AB6668">
        <v>0</v>
      </c>
      <c r="AC6668">
        <v>1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</row>
    <row r="6669" spans="1:39" x14ac:dyDescent="0.2">
      <c r="A6669" t="str">
        <f>"6665"</f>
        <v>6665</v>
      </c>
      <c r="B6669" t="str">
        <f t="shared" si="370"/>
        <v>1</v>
      </c>
      <c r="C6669" t="str">
        <f t="shared" si="371"/>
        <v>134</v>
      </c>
      <c r="D6669" t="str">
        <f>"18"</f>
        <v>18</v>
      </c>
      <c r="E6669" t="str">
        <f>"1-134-18"</f>
        <v>1-134-18</v>
      </c>
      <c r="F6669" t="s">
        <v>65</v>
      </c>
      <c r="G6669" t="s">
        <v>66</v>
      </c>
      <c r="H6669" t="s">
        <v>67</v>
      </c>
      <c r="S6669">
        <v>1</v>
      </c>
      <c r="T6669">
        <v>0</v>
      </c>
      <c r="U6669">
        <v>0</v>
      </c>
      <c r="V6669">
        <v>0</v>
      </c>
      <c r="W6669">
        <v>0</v>
      </c>
      <c r="X6669">
        <v>1</v>
      </c>
      <c r="Y6669">
        <v>1</v>
      </c>
      <c r="Z6669">
        <v>0</v>
      </c>
      <c r="AA6669">
        <v>0</v>
      </c>
      <c r="AB6669">
        <v>1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1</v>
      </c>
      <c r="AI6669">
        <v>1</v>
      </c>
      <c r="AJ6669">
        <v>0</v>
      </c>
      <c r="AK6669">
        <v>0</v>
      </c>
      <c r="AL6669">
        <v>0</v>
      </c>
      <c r="AM6669">
        <v>0</v>
      </c>
    </row>
    <row r="6670" spans="1:39" x14ac:dyDescent="0.2">
      <c r="A6670" t="str">
        <f>"6666"</f>
        <v>6666</v>
      </c>
      <c r="B6670" t="str">
        <f t="shared" si="370"/>
        <v>1</v>
      </c>
      <c r="C6670" t="str">
        <f t="shared" si="371"/>
        <v>134</v>
      </c>
      <c r="D6670" t="str">
        <f>"2"</f>
        <v>2</v>
      </c>
      <c r="E6670" t="str">
        <f>"1-134-2"</f>
        <v>1-134-2</v>
      </c>
      <c r="F6670" t="s">
        <v>65</v>
      </c>
      <c r="G6670" t="s">
        <v>66</v>
      </c>
      <c r="H6670" t="s">
        <v>67</v>
      </c>
      <c r="S6670">
        <v>0</v>
      </c>
      <c r="T6670">
        <v>1</v>
      </c>
      <c r="U6670">
        <v>0</v>
      </c>
      <c r="V6670">
        <v>0</v>
      </c>
      <c r="W6670">
        <v>1</v>
      </c>
      <c r="X6670">
        <v>0</v>
      </c>
      <c r="Y6670">
        <v>1</v>
      </c>
      <c r="Z6670">
        <v>0</v>
      </c>
      <c r="AA6670">
        <v>0</v>
      </c>
      <c r="AB6670">
        <v>1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</row>
    <row r="6671" spans="1:39" x14ac:dyDescent="0.2">
      <c r="A6671" t="str">
        <f>"6667"</f>
        <v>6667</v>
      </c>
      <c r="B6671" t="str">
        <f t="shared" si="370"/>
        <v>1</v>
      </c>
      <c r="C6671" t="str">
        <f t="shared" si="371"/>
        <v>134</v>
      </c>
      <c r="D6671" t="str">
        <f>"48"</f>
        <v>48</v>
      </c>
      <c r="E6671" t="str">
        <f>"1-134-48"</f>
        <v>1-134-48</v>
      </c>
      <c r="F6671" t="s">
        <v>65</v>
      </c>
      <c r="G6671" t="s">
        <v>66</v>
      </c>
      <c r="H6671" t="s">
        <v>67</v>
      </c>
      <c r="S6671">
        <v>1</v>
      </c>
      <c r="T6671">
        <v>0</v>
      </c>
      <c r="U6671">
        <v>0</v>
      </c>
      <c r="V6671">
        <v>0</v>
      </c>
      <c r="W6671">
        <v>1</v>
      </c>
      <c r="X6671">
        <v>0</v>
      </c>
      <c r="Y6671">
        <v>1</v>
      </c>
      <c r="Z6671">
        <v>0</v>
      </c>
      <c r="AA6671">
        <v>0</v>
      </c>
      <c r="AB6671">
        <v>1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</row>
    <row r="6672" spans="1:39" x14ac:dyDescent="0.2">
      <c r="A6672" t="str">
        <f>"6668"</f>
        <v>6668</v>
      </c>
      <c r="B6672" t="str">
        <f t="shared" si="370"/>
        <v>1</v>
      </c>
      <c r="C6672" t="str">
        <f t="shared" si="371"/>
        <v>134</v>
      </c>
      <c r="D6672" t="str">
        <f>"34"</f>
        <v>34</v>
      </c>
      <c r="E6672" t="str">
        <f>"1-134-34"</f>
        <v>1-134-34</v>
      </c>
      <c r="F6672" t="s">
        <v>65</v>
      </c>
      <c r="G6672" t="s">
        <v>66</v>
      </c>
      <c r="H6672" t="s">
        <v>67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1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1</v>
      </c>
      <c r="AJ6672">
        <v>0</v>
      </c>
      <c r="AK6672">
        <v>0</v>
      </c>
      <c r="AL6672">
        <v>1</v>
      </c>
      <c r="AM6672">
        <v>1</v>
      </c>
    </row>
    <row r="6673" spans="1:39" x14ac:dyDescent="0.2">
      <c r="A6673" t="str">
        <f>"6669"</f>
        <v>6669</v>
      </c>
      <c r="B6673" t="str">
        <f t="shared" si="370"/>
        <v>1</v>
      </c>
      <c r="C6673" t="str">
        <f t="shared" si="371"/>
        <v>134</v>
      </c>
      <c r="D6673" t="str">
        <f>"19"</f>
        <v>19</v>
      </c>
      <c r="E6673" t="str">
        <f>"1-134-19"</f>
        <v>1-134-19</v>
      </c>
      <c r="F6673" t="s">
        <v>65</v>
      </c>
      <c r="G6673" t="s">
        <v>66</v>
      </c>
      <c r="H6673" t="s">
        <v>67</v>
      </c>
      <c r="S6673">
        <v>0</v>
      </c>
      <c r="T6673">
        <v>1</v>
      </c>
      <c r="U6673">
        <v>0</v>
      </c>
      <c r="V6673">
        <v>0</v>
      </c>
      <c r="W6673">
        <v>0</v>
      </c>
      <c r="X6673">
        <v>1</v>
      </c>
      <c r="Y6673">
        <v>0</v>
      </c>
      <c r="Z6673">
        <v>1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</row>
    <row r="6674" spans="1:39" x14ac:dyDescent="0.2">
      <c r="A6674" t="str">
        <f>"6670"</f>
        <v>6670</v>
      </c>
      <c r="B6674" t="str">
        <f t="shared" si="370"/>
        <v>1</v>
      </c>
      <c r="C6674" t="str">
        <f t="shared" si="371"/>
        <v>134</v>
      </c>
      <c r="D6674" t="str">
        <f>"14"</f>
        <v>14</v>
      </c>
      <c r="E6674" t="str">
        <f>"1-134-14"</f>
        <v>1-134-14</v>
      </c>
      <c r="F6674" t="s">
        <v>65</v>
      </c>
      <c r="G6674" t="s">
        <v>66</v>
      </c>
      <c r="H6674" t="s">
        <v>67</v>
      </c>
      <c r="S6674">
        <v>0</v>
      </c>
      <c r="T6674">
        <v>1</v>
      </c>
      <c r="U6674">
        <v>0</v>
      </c>
      <c r="V6674">
        <v>0</v>
      </c>
      <c r="W6674">
        <v>1</v>
      </c>
      <c r="X6674">
        <v>0</v>
      </c>
      <c r="Y6674">
        <v>1</v>
      </c>
      <c r="Z6674">
        <v>0</v>
      </c>
      <c r="AA6674">
        <v>0</v>
      </c>
      <c r="AB6674">
        <v>1</v>
      </c>
      <c r="AC6674">
        <v>0</v>
      </c>
      <c r="AD6674">
        <v>1</v>
      </c>
      <c r="AE6674">
        <v>1</v>
      </c>
      <c r="AF6674">
        <v>1</v>
      </c>
      <c r="AG6674">
        <v>1</v>
      </c>
      <c r="AH6674">
        <v>1</v>
      </c>
      <c r="AI6674">
        <v>1</v>
      </c>
      <c r="AJ6674">
        <v>1</v>
      </c>
      <c r="AK6674">
        <v>1</v>
      </c>
      <c r="AL6674">
        <v>1</v>
      </c>
      <c r="AM6674">
        <v>1</v>
      </c>
    </row>
    <row r="6675" spans="1:39" x14ac:dyDescent="0.2">
      <c r="A6675" t="str">
        <f>"6671"</f>
        <v>6671</v>
      </c>
      <c r="B6675" t="str">
        <f t="shared" si="370"/>
        <v>1</v>
      </c>
      <c r="C6675" t="str">
        <f t="shared" si="371"/>
        <v>134</v>
      </c>
      <c r="D6675" t="str">
        <f>"39"</f>
        <v>39</v>
      </c>
      <c r="E6675" t="str">
        <f>"1-134-39"</f>
        <v>1-134-39</v>
      </c>
      <c r="F6675" t="s">
        <v>65</v>
      </c>
      <c r="G6675" t="s">
        <v>66</v>
      </c>
      <c r="H6675" t="s">
        <v>67</v>
      </c>
      <c r="S6675">
        <v>0</v>
      </c>
      <c r="T6675">
        <v>1</v>
      </c>
      <c r="U6675">
        <v>0</v>
      </c>
      <c r="V6675">
        <v>0</v>
      </c>
      <c r="W6675">
        <v>0</v>
      </c>
      <c r="X6675">
        <v>1</v>
      </c>
      <c r="Y6675">
        <v>0</v>
      </c>
      <c r="Z6675">
        <v>1</v>
      </c>
      <c r="AA6675">
        <v>0</v>
      </c>
      <c r="AB6675">
        <v>1</v>
      </c>
      <c r="AC6675">
        <v>0</v>
      </c>
      <c r="AD6675">
        <v>1</v>
      </c>
      <c r="AE6675">
        <v>1</v>
      </c>
      <c r="AF6675">
        <v>1</v>
      </c>
      <c r="AG6675">
        <v>1</v>
      </c>
      <c r="AH6675">
        <v>1</v>
      </c>
      <c r="AI6675">
        <v>1</v>
      </c>
      <c r="AJ6675">
        <v>1</v>
      </c>
      <c r="AK6675">
        <v>1</v>
      </c>
      <c r="AL6675">
        <v>1</v>
      </c>
      <c r="AM6675">
        <v>1</v>
      </c>
    </row>
    <row r="6676" spans="1:39" x14ac:dyDescent="0.2">
      <c r="A6676" t="str">
        <f>"6672"</f>
        <v>6672</v>
      </c>
      <c r="B6676" t="str">
        <f t="shared" si="370"/>
        <v>1</v>
      </c>
      <c r="C6676" t="str">
        <f t="shared" si="371"/>
        <v>134</v>
      </c>
      <c r="D6676" t="str">
        <f>"20"</f>
        <v>20</v>
      </c>
      <c r="E6676" t="str">
        <f>"1-134-20"</f>
        <v>1-134-20</v>
      </c>
      <c r="F6676" t="s">
        <v>65</v>
      </c>
      <c r="G6676" t="s">
        <v>66</v>
      </c>
      <c r="H6676" t="s">
        <v>67</v>
      </c>
      <c r="S6676">
        <v>1</v>
      </c>
      <c r="T6676">
        <v>0</v>
      </c>
      <c r="U6676">
        <v>0</v>
      </c>
      <c r="V6676">
        <v>0</v>
      </c>
      <c r="W6676">
        <v>1</v>
      </c>
      <c r="X6676">
        <v>0</v>
      </c>
      <c r="Y6676">
        <v>1</v>
      </c>
      <c r="Z6676">
        <v>0</v>
      </c>
      <c r="AA6676">
        <v>1</v>
      </c>
      <c r="AB6676">
        <v>0</v>
      </c>
      <c r="AC6676">
        <v>0</v>
      </c>
      <c r="AD6676">
        <v>1</v>
      </c>
      <c r="AE6676">
        <v>1</v>
      </c>
      <c r="AF6676">
        <v>1</v>
      </c>
      <c r="AG6676">
        <v>1</v>
      </c>
      <c r="AH6676">
        <v>1</v>
      </c>
      <c r="AI6676">
        <v>1</v>
      </c>
      <c r="AJ6676">
        <v>1</v>
      </c>
      <c r="AK6676">
        <v>1</v>
      </c>
      <c r="AL6676">
        <v>1</v>
      </c>
      <c r="AM6676">
        <v>1</v>
      </c>
    </row>
    <row r="6677" spans="1:39" x14ac:dyDescent="0.2">
      <c r="A6677" t="str">
        <f>"6673"</f>
        <v>6673</v>
      </c>
      <c r="B6677" t="str">
        <f t="shared" si="370"/>
        <v>1</v>
      </c>
      <c r="C6677" t="str">
        <f t="shared" si="371"/>
        <v>134</v>
      </c>
      <c r="D6677" t="str">
        <f>"5"</f>
        <v>5</v>
      </c>
      <c r="E6677" t="str">
        <f>"1-134-5"</f>
        <v>1-134-5</v>
      </c>
      <c r="F6677" t="s">
        <v>65</v>
      </c>
      <c r="G6677" t="s">
        <v>66</v>
      </c>
      <c r="H6677" t="s">
        <v>67</v>
      </c>
      <c r="S6677">
        <v>1</v>
      </c>
      <c r="T6677">
        <v>0</v>
      </c>
      <c r="U6677">
        <v>0</v>
      </c>
      <c r="V6677">
        <v>0</v>
      </c>
      <c r="W6677">
        <v>1</v>
      </c>
      <c r="X6677">
        <v>0</v>
      </c>
      <c r="Y6677">
        <v>0</v>
      </c>
      <c r="Z6677">
        <v>1</v>
      </c>
      <c r="AA6677">
        <v>0</v>
      </c>
      <c r="AB6677">
        <v>1</v>
      </c>
      <c r="AC6677">
        <v>0</v>
      </c>
      <c r="AD6677">
        <v>1</v>
      </c>
      <c r="AE6677">
        <v>1</v>
      </c>
      <c r="AF6677">
        <v>1</v>
      </c>
      <c r="AG6677">
        <v>1</v>
      </c>
      <c r="AH6677">
        <v>1</v>
      </c>
      <c r="AI6677">
        <v>1</v>
      </c>
      <c r="AJ6677">
        <v>1</v>
      </c>
      <c r="AK6677">
        <v>1</v>
      </c>
      <c r="AL6677">
        <v>1</v>
      </c>
      <c r="AM6677">
        <v>1</v>
      </c>
    </row>
    <row r="6678" spans="1:39" x14ac:dyDescent="0.2">
      <c r="A6678" t="str">
        <f>"6674"</f>
        <v>6674</v>
      </c>
      <c r="B6678" t="str">
        <f t="shared" si="370"/>
        <v>1</v>
      </c>
      <c r="C6678" t="str">
        <f t="shared" si="371"/>
        <v>134</v>
      </c>
      <c r="D6678" t="str">
        <f>"43"</f>
        <v>43</v>
      </c>
      <c r="E6678" t="str">
        <f>"1-134-43"</f>
        <v>1-134-43</v>
      </c>
      <c r="F6678" t="s">
        <v>65</v>
      </c>
      <c r="G6678" t="s">
        <v>66</v>
      </c>
      <c r="H6678" t="s">
        <v>67</v>
      </c>
      <c r="S6678">
        <v>1</v>
      </c>
      <c r="T6678">
        <v>0</v>
      </c>
      <c r="U6678">
        <v>0</v>
      </c>
      <c r="V6678">
        <v>0</v>
      </c>
      <c r="W6678">
        <v>1</v>
      </c>
      <c r="X6678">
        <v>0</v>
      </c>
      <c r="Y6678">
        <v>0</v>
      </c>
      <c r="Z6678">
        <v>1</v>
      </c>
      <c r="AA6678">
        <v>0</v>
      </c>
      <c r="AB6678">
        <v>1</v>
      </c>
      <c r="AC6678">
        <v>0</v>
      </c>
      <c r="AD6678">
        <v>1</v>
      </c>
      <c r="AE6678">
        <v>1</v>
      </c>
      <c r="AF6678">
        <v>1</v>
      </c>
      <c r="AG6678">
        <v>1</v>
      </c>
      <c r="AH6678">
        <v>1</v>
      </c>
      <c r="AI6678">
        <v>1</v>
      </c>
      <c r="AJ6678">
        <v>1</v>
      </c>
      <c r="AK6678">
        <v>1</v>
      </c>
      <c r="AL6678">
        <v>1</v>
      </c>
      <c r="AM6678">
        <v>1</v>
      </c>
    </row>
    <row r="6679" spans="1:39" x14ac:dyDescent="0.2">
      <c r="A6679" t="str">
        <f>"6675"</f>
        <v>6675</v>
      </c>
      <c r="B6679" t="str">
        <f t="shared" si="370"/>
        <v>1</v>
      </c>
      <c r="C6679" t="str">
        <f t="shared" si="371"/>
        <v>134</v>
      </c>
      <c r="D6679" t="str">
        <f>"21"</f>
        <v>21</v>
      </c>
      <c r="E6679" t="str">
        <f>"1-134-21"</f>
        <v>1-134-21</v>
      </c>
      <c r="F6679" t="s">
        <v>65</v>
      </c>
      <c r="G6679" t="s">
        <v>66</v>
      </c>
      <c r="H6679" t="s">
        <v>67</v>
      </c>
      <c r="S6679">
        <v>1</v>
      </c>
      <c r="T6679">
        <v>0</v>
      </c>
      <c r="U6679">
        <v>0</v>
      </c>
      <c r="V6679">
        <v>0</v>
      </c>
      <c r="W6679">
        <v>1</v>
      </c>
      <c r="X6679">
        <v>0</v>
      </c>
      <c r="Y6679">
        <v>1</v>
      </c>
      <c r="Z6679">
        <v>0</v>
      </c>
      <c r="AA6679">
        <v>1</v>
      </c>
      <c r="AB6679">
        <v>0</v>
      </c>
      <c r="AC6679">
        <v>0</v>
      </c>
      <c r="AD6679">
        <v>1</v>
      </c>
      <c r="AE6679">
        <v>1</v>
      </c>
      <c r="AF6679">
        <v>1</v>
      </c>
      <c r="AG6679">
        <v>1</v>
      </c>
      <c r="AH6679">
        <v>1</v>
      </c>
      <c r="AI6679">
        <v>1</v>
      </c>
      <c r="AJ6679">
        <v>1</v>
      </c>
      <c r="AK6679">
        <v>1</v>
      </c>
      <c r="AL6679">
        <v>1</v>
      </c>
      <c r="AM6679">
        <v>1</v>
      </c>
    </row>
    <row r="6680" spans="1:39" x14ac:dyDescent="0.2">
      <c r="A6680" t="str">
        <f>"6676"</f>
        <v>6676</v>
      </c>
      <c r="B6680" t="str">
        <f t="shared" si="370"/>
        <v>1</v>
      </c>
      <c r="C6680" t="str">
        <f t="shared" si="371"/>
        <v>134</v>
      </c>
      <c r="D6680" t="str">
        <f>"13"</f>
        <v>13</v>
      </c>
      <c r="E6680" t="str">
        <f>"1-134-13"</f>
        <v>1-134-13</v>
      </c>
      <c r="F6680" t="s">
        <v>65</v>
      </c>
      <c r="G6680" t="s">
        <v>66</v>
      </c>
      <c r="H6680" t="s">
        <v>67</v>
      </c>
      <c r="S6680">
        <v>0</v>
      </c>
      <c r="T6680">
        <v>1</v>
      </c>
      <c r="U6680">
        <v>0</v>
      </c>
      <c r="V6680">
        <v>0</v>
      </c>
      <c r="W6680">
        <v>1</v>
      </c>
      <c r="X6680">
        <v>0</v>
      </c>
      <c r="Y6680">
        <v>0</v>
      </c>
      <c r="Z6680">
        <v>1</v>
      </c>
      <c r="AA6680">
        <v>0</v>
      </c>
      <c r="AB6680">
        <v>0</v>
      </c>
      <c r="AC6680">
        <v>1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1</v>
      </c>
    </row>
    <row r="6681" spans="1:39" x14ac:dyDescent="0.2">
      <c r="A6681" t="str">
        <f>"6677"</f>
        <v>6677</v>
      </c>
      <c r="B6681" t="str">
        <f t="shared" si="370"/>
        <v>1</v>
      </c>
      <c r="C6681" t="str">
        <f t="shared" si="371"/>
        <v>134</v>
      </c>
      <c r="D6681" t="str">
        <f>"22"</f>
        <v>22</v>
      </c>
      <c r="E6681" t="str">
        <f>"1-134-22"</f>
        <v>1-134-22</v>
      </c>
      <c r="F6681" t="s">
        <v>65</v>
      </c>
      <c r="G6681" t="s">
        <v>66</v>
      </c>
      <c r="H6681" t="s">
        <v>67</v>
      </c>
      <c r="S6681">
        <v>1</v>
      </c>
      <c r="T6681">
        <v>0</v>
      </c>
      <c r="U6681">
        <v>0</v>
      </c>
      <c r="V6681">
        <v>0</v>
      </c>
      <c r="W6681">
        <v>1</v>
      </c>
      <c r="X6681">
        <v>0</v>
      </c>
      <c r="Y6681">
        <v>1</v>
      </c>
      <c r="Z6681">
        <v>0</v>
      </c>
      <c r="AA6681">
        <v>1</v>
      </c>
      <c r="AB6681">
        <v>0</v>
      </c>
      <c r="AC6681">
        <v>0</v>
      </c>
      <c r="AD6681">
        <v>1</v>
      </c>
      <c r="AE6681">
        <v>1</v>
      </c>
      <c r="AF6681">
        <v>1</v>
      </c>
      <c r="AG6681">
        <v>1</v>
      </c>
      <c r="AH6681">
        <v>1</v>
      </c>
      <c r="AI6681">
        <v>1</v>
      </c>
      <c r="AJ6681">
        <v>1</v>
      </c>
      <c r="AK6681">
        <v>1</v>
      </c>
      <c r="AL6681">
        <v>1</v>
      </c>
      <c r="AM6681">
        <v>1</v>
      </c>
    </row>
    <row r="6682" spans="1:39" x14ac:dyDescent="0.2">
      <c r="A6682" t="str">
        <f>"6678"</f>
        <v>6678</v>
      </c>
      <c r="B6682" t="str">
        <f t="shared" si="370"/>
        <v>1</v>
      </c>
      <c r="C6682" t="str">
        <f t="shared" si="371"/>
        <v>134</v>
      </c>
      <c r="D6682" t="str">
        <f>"7"</f>
        <v>7</v>
      </c>
      <c r="E6682" t="str">
        <f>"1-134-7"</f>
        <v>1-134-7</v>
      </c>
      <c r="F6682" t="s">
        <v>65</v>
      </c>
      <c r="G6682" t="s">
        <v>66</v>
      </c>
      <c r="H6682" t="s">
        <v>67</v>
      </c>
      <c r="S6682">
        <v>1</v>
      </c>
      <c r="T6682">
        <v>0</v>
      </c>
      <c r="U6682">
        <v>0</v>
      </c>
      <c r="V6682">
        <v>0</v>
      </c>
      <c r="W6682">
        <v>1</v>
      </c>
      <c r="X6682">
        <v>0</v>
      </c>
      <c r="Y6682">
        <v>1</v>
      </c>
      <c r="Z6682">
        <v>0</v>
      </c>
      <c r="AA6682">
        <v>0</v>
      </c>
      <c r="AB6682">
        <v>1</v>
      </c>
      <c r="AC6682">
        <v>0</v>
      </c>
      <c r="AD6682">
        <v>1</v>
      </c>
      <c r="AE6682">
        <v>1</v>
      </c>
      <c r="AF6682">
        <v>1</v>
      </c>
      <c r="AG6682">
        <v>1</v>
      </c>
      <c r="AH6682">
        <v>1</v>
      </c>
      <c r="AI6682">
        <v>1</v>
      </c>
      <c r="AJ6682">
        <v>1</v>
      </c>
      <c r="AK6682">
        <v>1</v>
      </c>
      <c r="AL6682">
        <v>1</v>
      </c>
      <c r="AM6682">
        <v>1</v>
      </c>
    </row>
    <row r="6683" spans="1:39" x14ac:dyDescent="0.2">
      <c r="A6683" t="str">
        <f>"6679"</f>
        <v>6679</v>
      </c>
      <c r="B6683" t="str">
        <f t="shared" si="370"/>
        <v>1</v>
      </c>
      <c r="C6683" t="str">
        <f t="shared" si="371"/>
        <v>134</v>
      </c>
      <c r="D6683" t="str">
        <f>"41"</f>
        <v>41</v>
      </c>
      <c r="E6683" t="str">
        <f>"1-134-41"</f>
        <v>1-134-41</v>
      </c>
      <c r="F6683" t="s">
        <v>65</v>
      </c>
      <c r="G6683" t="s">
        <v>66</v>
      </c>
      <c r="H6683" t="s">
        <v>67</v>
      </c>
      <c r="S6683">
        <v>1</v>
      </c>
      <c r="T6683">
        <v>0</v>
      </c>
      <c r="U6683">
        <v>0</v>
      </c>
      <c r="V6683">
        <v>0</v>
      </c>
      <c r="W6683">
        <v>1</v>
      </c>
      <c r="X6683">
        <v>0</v>
      </c>
      <c r="Y6683">
        <v>1</v>
      </c>
      <c r="Z6683">
        <v>0</v>
      </c>
      <c r="AA6683">
        <v>1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</row>
    <row r="6684" spans="1:39" x14ac:dyDescent="0.2">
      <c r="A6684" t="str">
        <f>"6680"</f>
        <v>6680</v>
      </c>
      <c r="B6684" t="str">
        <f t="shared" si="370"/>
        <v>1</v>
      </c>
      <c r="C6684" t="str">
        <f t="shared" si="371"/>
        <v>134</v>
      </c>
      <c r="D6684" t="str">
        <f>"23"</f>
        <v>23</v>
      </c>
      <c r="E6684" t="str">
        <f>"1-134-23"</f>
        <v>1-134-23</v>
      </c>
      <c r="F6684" t="s">
        <v>65</v>
      </c>
      <c r="G6684" t="s">
        <v>66</v>
      </c>
      <c r="H6684" t="s">
        <v>67</v>
      </c>
      <c r="S6684">
        <v>1</v>
      </c>
      <c r="T6684">
        <v>0</v>
      </c>
      <c r="U6684">
        <v>0</v>
      </c>
      <c r="V6684">
        <v>0</v>
      </c>
      <c r="W6684">
        <v>1</v>
      </c>
      <c r="X6684">
        <v>0</v>
      </c>
      <c r="Y6684">
        <v>1</v>
      </c>
      <c r="Z6684">
        <v>0</v>
      </c>
      <c r="AA6684">
        <v>1</v>
      </c>
      <c r="AB6684">
        <v>0</v>
      </c>
      <c r="AC6684">
        <v>0</v>
      </c>
      <c r="AD6684">
        <v>1</v>
      </c>
      <c r="AE6684">
        <v>1</v>
      </c>
      <c r="AF6684">
        <v>1</v>
      </c>
      <c r="AG6684">
        <v>1</v>
      </c>
      <c r="AH6684">
        <v>1</v>
      </c>
      <c r="AI6684">
        <v>1</v>
      </c>
      <c r="AJ6684">
        <v>1</v>
      </c>
      <c r="AK6684">
        <v>1</v>
      </c>
      <c r="AL6684">
        <v>1</v>
      </c>
      <c r="AM6684">
        <v>1</v>
      </c>
    </row>
    <row r="6685" spans="1:39" x14ac:dyDescent="0.2">
      <c r="A6685" t="str">
        <f>"6681"</f>
        <v>6681</v>
      </c>
      <c r="B6685" t="str">
        <f t="shared" si="370"/>
        <v>1</v>
      </c>
      <c r="C6685" t="str">
        <f t="shared" si="371"/>
        <v>134</v>
      </c>
      <c r="D6685" t="str">
        <f>"8"</f>
        <v>8</v>
      </c>
      <c r="E6685" t="str">
        <f>"1-134-8"</f>
        <v>1-134-8</v>
      </c>
      <c r="F6685" t="s">
        <v>65</v>
      </c>
      <c r="G6685" t="s">
        <v>66</v>
      </c>
      <c r="H6685" t="s">
        <v>67</v>
      </c>
      <c r="S6685">
        <v>1</v>
      </c>
      <c r="T6685">
        <v>0</v>
      </c>
      <c r="U6685">
        <v>0</v>
      </c>
      <c r="V6685">
        <v>0</v>
      </c>
      <c r="W6685">
        <v>1</v>
      </c>
      <c r="X6685">
        <v>0</v>
      </c>
      <c r="Y6685">
        <v>0</v>
      </c>
      <c r="Z6685">
        <v>1</v>
      </c>
      <c r="AA6685">
        <v>1</v>
      </c>
      <c r="AB6685">
        <v>0</v>
      </c>
      <c r="AC6685">
        <v>0</v>
      </c>
      <c r="AD6685">
        <v>1</v>
      </c>
      <c r="AE6685">
        <v>1</v>
      </c>
      <c r="AF6685">
        <v>1</v>
      </c>
      <c r="AG6685">
        <v>1</v>
      </c>
      <c r="AH6685">
        <v>1</v>
      </c>
      <c r="AI6685">
        <v>1</v>
      </c>
      <c r="AJ6685">
        <v>1</v>
      </c>
      <c r="AK6685">
        <v>1</v>
      </c>
      <c r="AL6685">
        <v>1</v>
      </c>
      <c r="AM6685">
        <v>1</v>
      </c>
    </row>
    <row r="6686" spans="1:39" x14ac:dyDescent="0.2">
      <c r="A6686" t="str">
        <f>"6682"</f>
        <v>6682</v>
      </c>
      <c r="B6686" t="str">
        <f t="shared" si="370"/>
        <v>1</v>
      </c>
      <c r="C6686" t="str">
        <f t="shared" si="371"/>
        <v>134</v>
      </c>
      <c r="D6686" t="str">
        <f>"24"</f>
        <v>24</v>
      </c>
      <c r="E6686" t="str">
        <f>"1-134-24"</f>
        <v>1-134-24</v>
      </c>
      <c r="F6686" t="s">
        <v>65</v>
      </c>
      <c r="G6686" t="s">
        <v>66</v>
      </c>
      <c r="H6686" t="s">
        <v>67</v>
      </c>
      <c r="S6686">
        <v>1</v>
      </c>
      <c r="T6686">
        <v>0</v>
      </c>
      <c r="U6686">
        <v>0</v>
      </c>
      <c r="V6686">
        <v>0</v>
      </c>
      <c r="W6686">
        <v>1</v>
      </c>
      <c r="X6686">
        <v>0</v>
      </c>
      <c r="Y6686">
        <v>0</v>
      </c>
      <c r="Z6686">
        <v>1</v>
      </c>
      <c r="AA6686">
        <v>0</v>
      </c>
      <c r="AB6686">
        <v>0</v>
      </c>
      <c r="AC6686">
        <v>1</v>
      </c>
      <c r="AD6686">
        <v>1</v>
      </c>
      <c r="AE6686">
        <v>1</v>
      </c>
      <c r="AF6686">
        <v>0</v>
      </c>
      <c r="AG6686">
        <v>1</v>
      </c>
      <c r="AH6686">
        <v>1</v>
      </c>
      <c r="AI6686">
        <v>1</v>
      </c>
      <c r="AJ6686">
        <v>1</v>
      </c>
      <c r="AK6686">
        <v>1</v>
      </c>
      <c r="AL6686">
        <v>1</v>
      </c>
      <c r="AM6686">
        <v>1</v>
      </c>
    </row>
    <row r="6687" spans="1:39" x14ac:dyDescent="0.2">
      <c r="A6687" t="str">
        <f>"6683"</f>
        <v>6683</v>
      </c>
      <c r="B6687" t="str">
        <f t="shared" si="370"/>
        <v>1</v>
      </c>
      <c r="C6687" t="str">
        <f t="shared" ref="C6687:C6704" si="372">"134"</f>
        <v>134</v>
      </c>
      <c r="D6687" t="str">
        <f>"4"</f>
        <v>4</v>
      </c>
      <c r="E6687" t="str">
        <f>"1-134-4"</f>
        <v>1-134-4</v>
      </c>
      <c r="F6687" t="s">
        <v>65</v>
      </c>
      <c r="G6687" t="s">
        <v>66</v>
      </c>
      <c r="H6687" t="s">
        <v>67</v>
      </c>
      <c r="S6687">
        <v>1</v>
      </c>
      <c r="T6687">
        <v>0</v>
      </c>
      <c r="U6687">
        <v>0</v>
      </c>
      <c r="V6687">
        <v>0</v>
      </c>
      <c r="W6687">
        <v>1</v>
      </c>
      <c r="X6687">
        <v>0</v>
      </c>
      <c r="Y6687">
        <v>1</v>
      </c>
      <c r="Z6687">
        <v>0</v>
      </c>
      <c r="AA6687">
        <v>1</v>
      </c>
      <c r="AB6687">
        <v>0</v>
      </c>
      <c r="AC6687">
        <v>0</v>
      </c>
      <c r="AD6687">
        <v>1</v>
      </c>
      <c r="AE6687">
        <v>1</v>
      </c>
      <c r="AF6687">
        <v>1</v>
      </c>
      <c r="AG6687">
        <v>1</v>
      </c>
      <c r="AH6687">
        <v>1</v>
      </c>
      <c r="AI6687">
        <v>1</v>
      </c>
      <c r="AJ6687">
        <v>1</v>
      </c>
      <c r="AK6687">
        <v>1</v>
      </c>
      <c r="AL6687">
        <v>1</v>
      </c>
      <c r="AM6687">
        <v>1</v>
      </c>
    </row>
    <row r="6688" spans="1:39" x14ac:dyDescent="0.2">
      <c r="A6688" t="str">
        <f>"6684"</f>
        <v>6684</v>
      </c>
      <c r="B6688" t="str">
        <f t="shared" si="370"/>
        <v>1</v>
      </c>
      <c r="C6688" t="str">
        <f t="shared" si="372"/>
        <v>134</v>
      </c>
      <c r="D6688" t="str">
        <f>"40"</f>
        <v>40</v>
      </c>
      <c r="E6688" t="str">
        <f>"1-134-40"</f>
        <v>1-134-40</v>
      </c>
      <c r="F6688" t="s">
        <v>65</v>
      </c>
      <c r="G6688" t="s">
        <v>66</v>
      </c>
      <c r="H6688" t="s">
        <v>67</v>
      </c>
      <c r="S6688">
        <v>1</v>
      </c>
      <c r="T6688">
        <v>0</v>
      </c>
      <c r="U6688">
        <v>0</v>
      </c>
      <c r="V6688">
        <v>0</v>
      </c>
      <c r="W6688">
        <v>1</v>
      </c>
      <c r="X6688">
        <v>0</v>
      </c>
      <c r="Y6688">
        <v>1</v>
      </c>
      <c r="Z6688">
        <v>0</v>
      </c>
      <c r="AA6688">
        <v>0</v>
      </c>
      <c r="AB6688">
        <v>0</v>
      </c>
      <c r="AC6688">
        <v>1</v>
      </c>
      <c r="AD6688">
        <v>1</v>
      </c>
      <c r="AE6688">
        <v>1</v>
      </c>
      <c r="AF6688">
        <v>1</v>
      </c>
      <c r="AG6688">
        <v>1</v>
      </c>
      <c r="AH6688">
        <v>1</v>
      </c>
      <c r="AI6688">
        <v>1</v>
      </c>
      <c r="AJ6688">
        <v>1</v>
      </c>
      <c r="AK6688">
        <v>1</v>
      </c>
      <c r="AL6688">
        <v>1</v>
      </c>
      <c r="AM6688">
        <v>1</v>
      </c>
    </row>
    <row r="6689" spans="1:39" x14ac:dyDescent="0.2">
      <c r="A6689" t="str">
        <f>"6685"</f>
        <v>6685</v>
      </c>
      <c r="B6689" t="str">
        <f t="shared" si="370"/>
        <v>1</v>
      </c>
      <c r="C6689" t="str">
        <f t="shared" si="372"/>
        <v>134</v>
      </c>
      <c r="D6689" t="str">
        <f>"27"</f>
        <v>27</v>
      </c>
      <c r="E6689" t="str">
        <f>"1-134-27"</f>
        <v>1-134-27</v>
      </c>
      <c r="F6689" t="s">
        <v>65</v>
      </c>
      <c r="G6689" t="s">
        <v>66</v>
      </c>
      <c r="H6689" t="s">
        <v>67</v>
      </c>
      <c r="S6689">
        <v>1</v>
      </c>
      <c r="T6689">
        <v>0</v>
      </c>
      <c r="U6689">
        <v>0</v>
      </c>
      <c r="V6689">
        <v>0</v>
      </c>
      <c r="W6689">
        <v>1</v>
      </c>
      <c r="X6689">
        <v>0</v>
      </c>
      <c r="Y6689">
        <v>1</v>
      </c>
      <c r="Z6689">
        <v>0</v>
      </c>
      <c r="AA6689">
        <v>1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</row>
    <row r="6690" spans="1:39" x14ac:dyDescent="0.2">
      <c r="A6690" t="str">
        <f>"6686"</f>
        <v>6686</v>
      </c>
      <c r="B6690" t="str">
        <f t="shared" si="370"/>
        <v>1</v>
      </c>
      <c r="C6690" t="str">
        <f t="shared" si="372"/>
        <v>134</v>
      </c>
      <c r="D6690" t="str">
        <f>"12"</f>
        <v>12</v>
      </c>
      <c r="E6690" t="str">
        <f>"1-134-12"</f>
        <v>1-134-12</v>
      </c>
      <c r="F6690" t="s">
        <v>65</v>
      </c>
      <c r="G6690" t="s">
        <v>66</v>
      </c>
      <c r="H6690" t="s">
        <v>67</v>
      </c>
      <c r="S6690">
        <v>1</v>
      </c>
      <c r="T6690">
        <v>0</v>
      </c>
      <c r="U6690">
        <v>0</v>
      </c>
      <c r="V6690">
        <v>0</v>
      </c>
      <c r="W6690">
        <v>1</v>
      </c>
      <c r="X6690">
        <v>0</v>
      </c>
      <c r="Y6690">
        <v>0</v>
      </c>
      <c r="Z6690">
        <v>1</v>
      </c>
      <c r="AA6690">
        <v>1</v>
      </c>
      <c r="AB6690">
        <v>0</v>
      </c>
      <c r="AC6690">
        <v>0</v>
      </c>
      <c r="AD6690">
        <v>1</v>
      </c>
      <c r="AE6690">
        <v>1</v>
      </c>
      <c r="AF6690">
        <v>1</v>
      </c>
      <c r="AG6690">
        <v>1</v>
      </c>
      <c r="AH6690">
        <v>1</v>
      </c>
      <c r="AI6690">
        <v>1</v>
      </c>
      <c r="AJ6690">
        <v>1</v>
      </c>
      <c r="AK6690">
        <v>1</v>
      </c>
      <c r="AL6690">
        <v>1</v>
      </c>
      <c r="AM6690">
        <v>1</v>
      </c>
    </row>
    <row r="6691" spans="1:39" x14ac:dyDescent="0.2">
      <c r="A6691" t="str">
        <f>"6687"</f>
        <v>6687</v>
      </c>
      <c r="B6691" t="str">
        <f t="shared" si="370"/>
        <v>1</v>
      </c>
      <c r="C6691" t="str">
        <f t="shared" si="372"/>
        <v>134</v>
      </c>
      <c r="D6691" t="str">
        <f>"42"</f>
        <v>42</v>
      </c>
      <c r="E6691" t="str">
        <f>"1-134-42"</f>
        <v>1-134-42</v>
      </c>
      <c r="F6691" t="s">
        <v>65</v>
      </c>
      <c r="G6691" t="s">
        <v>66</v>
      </c>
      <c r="H6691" t="s">
        <v>67</v>
      </c>
      <c r="S6691">
        <v>0</v>
      </c>
      <c r="T6691">
        <v>1</v>
      </c>
      <c r="U6691">
        <v>0</v>
      </c>
      <c r="V6691">
        <v>0</v>
      </c>
      <c r="W6691">
        <v>1</v>
      </c>
      <c r="X6691">
        <v>0</v>
      </c>
      <c r="Y6691">
        <v>0</v>
      </c>
      <c r="Z6691">
        <v>1</v>
      </c>
      <c r="AA6691">
        <v>0</v>
      </c>
      <c r="AB6691">
        <v>0</v>
      </c>
      <c r="AC6691">
        <v>1</v>
      </c>
      <c r="AD6691">
        <v>1</v>
      </c>
      <c r="AE6691">
        <v>1</v>
      </c>
      <c r="AF6691">
        <v>1</v>
      </c>
      <c r="AG6691">
        <v>1</v>
      </c>
      <c r="AH6691">
        <v>1</v>
      </c>
      <c r="AI6691">
        <v>1</v>
      </c>
      <c r="AJ6691">
        <v>1</v>
      </c>
      <c r="AK6691">
        <v>1</v>
      </c>
      <c r="AL6691">
        <v>1</v>
      </c>
      <c r="AM6691">
        <v>1</v>
      </c>
    </row>
    <row r="6692" spans="1:39" x14ac:dyDescent="0.2">
      <c r="A6692" t="str">
        <f>"6688"</f>
        <v>6688</v>
      </c>
      <c r="B6692" t="str">
        <f t="shared" si="370"/>
        <v>1</v>
      </c>
      <c r="C6692" t="str">
        <f t="shared" si="372"/>
        <v>134</v>
      </c>
      <c r="D6692" t="str">
        <f>"28"</f>
        <v>28</v>
      </c>
      <c r="E6692" t="str">
        <f>"1-134-28"</f>
        <v>1-134-28</v>
      </c>
      <c r="F6692" t="s">
        <v>65</v>
      </c>
      <c r="G6692" t="s">
        <v>66</v>
      </c>
      <c r="H6692" t="s">
        <v>67</v>
      </c>
      <c r="S6692">
        <v>1</v>
      </c>
      <c r="T6692">
        <v>0</v>
      </c>
      <c r="U6692">
        <v>0</v>
      </c>
      <c r="V6692">
        <v>0</v>
      </c>
      <c r="W6692">
        <v>1</v>
      </c>
      <c r="X6692">
        <v>0</v>
      </c>
      <c r="Y6692">
        <v>1</v>
      </c>
      <c r="Z6692">
        <v>0</v>
      </c>
      <c r="AA6692">
        <v>1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</row>
    <row r="6693" spans="1:39" x14ac:dyDescent="0.2">
      <c r="A6693" t="str">
        <f>"6689"</f>
        <v>6689</v>
      </c>
      <c r="B6693" t="str">
        <f t="shared" si="370"/>
        <v>1</v>
      </c>
      <c r="C6693" t="str">
        <f t="shared" si="372"/>
        <v>134</v>
      </c>
      <c r="D6693" t="str">
        <f>"6"</f>
        <v>6</v>
      </c>
      <c r="E6693" t="str">
        <f>"1-134-6"</f>
        <v>1-134-6</v>
      </c>
      <c r="F6693" t="s">
        <v>65</v>
      </c>
      <c r="G6693" t="s">
        <v>66</v>
      </c>
      <c r="H6693" t="s">
        <v>67</v>
      </c>
      <c r="S6693">
        <v>0</v>
      </c>
      <c r="T6693">
        <v>1</v>
      </c>
      <c r="U6693">
        <v>0</v>
      </c>
      <c r="V6693">
        <v>0</v>
      </c>
      <c r="W6693">
        <v>1</v>
      </c>
      <c r="X6693">
        <v>0</v>
      </c>
      <c r="Y6693">
        <v>1</v>
      </c>
      <c r="Z6693">
        <v>0</v>
      </c>
      <c r="AA6693">
        <v>0</v>
      </c>
      <c r="AB6693">
        <v>0</v>
      </c>
      <c r="AC6693">
        <v>1</v>
      </c>
      <c r="AD6693">
        <v>1</v>
      </c>
      <c r="AE6693">
        <v>1</v>
      </c>
      <c r="AF6693">
        <v>1</v>
      </c>
      <c r="AG6693">
        <v>1</v>
      </c>
      <c r="AH6693">
        <v>1</v>
      </c>
      <c r="AI6693">
        <v>1</v>
      </c>
      <c r="AJ6693">
        <v>1</v>
      </c>
      <c r="AK6693">
        <v>1</v>
      </c>
      <c r="AL6693">
        <v>1</v>
      </c>
      <c r="AM6693">
        <v>1</v>
      </c>
    </row>
    <row r="6694" spans="1:39" x14ac:dyDescent="0.2">
      <c r="A6694" t="str">
        <f>"6690"</f>
        <v>6690</v>
      </c>
      <c r="B6694" t="str">
        <f t="shared" si="370"/>
        <v>1</v>
      </c>
      <c r="C6694" t="str">
        <f t="shared" si="372"/>
        <v>134</v>
      </c>
      <c r="D6694" t="str">
        <f>"45"</f>
        <v>45</v>
      </c>
      <c r="E6694" t="str">
        <f>"1-134-45"</f>
        <v>1-134-45</v>
      </c>
      <c r="F6694" t="s">
        <v>65</v>
      </c>
      <c r="G6694" t="s">
        <v>66</v>
      </c>
      <c r="H6694" t="s">
        <v>67</v>
      </c>
      <c r="S6694">
        <v>0</v>
      </c>
      <c r="T6694">
        <v>1</v>
      </c>
      <c r="U6694">
        <v>0</v>
      </c>
      <c r="V6694">
        <v>0</v>
      </c>
      <c r="W6694">
        <v>0</v>
      </c>
      <c r="X6694">
        <v>1</v>
      </c>
      <c r="Y6694">
        <v>1</v>
      </c>
      <c r="Z6694">
        <v>0</v>
      </c>
      <c r="AA6694">
        <v>0</v>
      </c>
      <c r="AB6694">
        <v>0</v>
      </c>
      <c r="AC6694">
        <v>1</v>
      </c>
      <c r="AD6694">
        <v>1</v>
      </c>
      <c r="AE6694">
        <v>1</v>
      </c>
      <c r="AF6694">
        <v>1</v>
      </c>
      <c r="AG6694">
        <v>1</v>
      </c>
      <c r="AH6694">
        <v>1</v>
      </c>
      <c r="AI6694">
        <v>1</v>
      </c>
      <c r="AJ6694">
        <v>1</v>
      </c>
      <c r="AK6694">
        <v>1</v>
      </c>
      <c r="AL6694">
        <v>1</v>
      </c>
      <c r="AM6694">
        <v>1</v>
      </c>
    </row>
    <row r="6695" spans="1:39" x14ac:dyDescent="0.2">
      <c r="A6695" t="str">
        <f>"6691"</f>
        <v>6691</v>
      </c>
      <c r="B6695" t="str">
        <f t="shared" si="370"/>
        <v>1</v>
      </c>
      <c r="C6695" t="str">
        <f t="shared" si="372"/>
        <v>134</v>
      </c>
      <c r="D6695" t="str">
        <f>"29"</f>
        <v>29</v>
      </c>
      <c r="E6695" t="str">
        <f>"1-134-29"</f>
        <v>1-134-29</v>
      </c>
      <c r="F6695" t="s">
        <v>65</v>
      </c>
      <c r="G6695" t="s">
        <v>66</v>
      </c>
      <c r="H6695" t="s">
        <v>67</v>
      </c>
      <c r="S6695">
        <v>1</v>
      </c>
      <c r="T6695">
        <v>0</v>
      </c>
      <c r="U6695">
        <v>0</v>
      </c>
      <c r="V6695">
        <v>0</v>
      </c>
      <c r="W6695">
        <v>1</v>
      </c>
      <c r="X6695">
        <v>0</v>
      </c>
      <c r="Y6695">
        <v>1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1</v>
      </c>
      <c r="AH6695">
        <v>0</v>
      </c>
      <c r="AI6695">
        <v>0</v>
      </c>
      <c r="AJ6695">
        <v>0</v>
      </c>
      <c r="AK6695">
        <v>0</v>
      </c>
      <c r="AL6695">
        <v>1</v>
      </c>
      <c r="AM6695">
        <v>0</v>
      </c>
    </row>
    <row r="6696" spans="1:39" x14ac:dyDescent="0.2">
      <c r="A6696" t="str">
        <f>"6692"</f>
        <v>6692</v>
      </c>
      <c r="B6696" t="str">
        <f t="shared" si="370"/>
        <v>1</v>
      </c>
      <c r="C6696" t="str">
        <f t="shared" si="372"/>
        <v>134</v>
      </c>
      <c r="D6696" t="str">
        <f>"11"</f>
        <v>11</v>
      </c>
      <c r="E6696" t="str">
        <f>"1-134-11"</f>
        <v>1-134-11</v>
      </c>
      <c r="F6696" t="s">
        <v>65</v>
      </c>
      <c r="G6696" t="s">
        <v>66</v>
      </c>
      <c r="H6696" t="s">
        <v>67</v>
      </c>
      <c r="S6696">
        <v>0</v>
      </c>
      <c r="T6696">
        <v>1</v>
      </c>
      <c r="U6696">
        <v>0</v>
      </c>
      <c r="V6696">
        <v>0</v>
      </c>
      <c r="W6696">
        <v>1</v>
      </c>
      <c r="X6696">
        <v>0</v>
      </c>
      <c r="Y6696">
        <v>0</v>
      </c>
      <c r="Z6696">
        <v>1</v>
      </c>
      <c r="AA6696">
        <v>0</v>
      </c>
      <c r="AB6696">
        <v>0</v>
      </c>
      <c r="AC6696">
        <v>1</v>
      </c>
      <c r="AD6696">
        <v>1</v>
      </c>
      <c r="AE6696">
        <v>1</v>
      </c>
      <c r="AF6696">
        <v>0</v>
      </c>
      <c r="AG6696">
        <v>1</v>
      </c>
      <c r="AH6696">
        <v>1</v>
      </c>
      <c r="AI6696">
        <v>1</v>
      </c>
      <c r="AJ6696">
        <v>1</v>
      </c>
      <c r="AK6696">
        <v>1</v>
      </c>
      <c r="AL6696">
        <v>1</v>
      </c>
      <c r="AM6696">
        <v>1</v>
      </c>
    </row>
    <row r="6697" spans="1:39" x14ac:dyDescent="0.2">
      <c r="A6697" t="str">
        <f>"6693"</f>
        <v>6693</v>
      </c>
      <c r="B6697" t="str">
        <f t="shared" si="370"/>
        <v>1</v>
      </c>
      <c r="C6697" t="str">
        <f t="shared" si="372"/>
        <v>134</v>
      </c>
      <c r="D6697" t="str">
        <f>"30"</f>
        <v>30</v>
      </c>
      <c r="E6697" t="str">
        <f>"1-134-30"</f>
        <v>1-134-30</v>
      </c>
      <c r="F6697" t="s">
        <v>65</v>
      </c>
      <c r="G6697" t="s">
        <v>66</v>
      </c>
      <c r="H6697" t="s">
        <v>67</v>
      </c>
      <c r="S6697">
        <v>0</v>
      </c>
      <c r="T6697">
        <v>1</v>
      </c>
      <c r="U6697">
        <v>0</v>
      </c>
      <c r="V6697">
        <v>0</v>
      </c>
      <c r="W6697">
        <v>1</v>
      </c>
      <c r="X6697">
        <v>0</v>
      </c>
      <c r="Y6697">
        <v>1</v>
      </c>
      <c r="Z6697">
        <v>0</v>
      </c>
      <c r="AA6697">
        <v>1</v>
      </c>
      <c r="AB6697">
        <v>0</v>
      </c>
      <c r="AC6697">
        <v>0</v>
      </c>
      <c r="AD6697">
        <v>1</v>
      </c>
      <c r="AE6697">
        <v>1</v>
      </c>
      <c r="AF6697">
        <v>1</v>
      </c>
      <c r="AG6697">
        <v>1</v>
      </c>
      <c r="AH6697">
        <v>1</v>
      </c>
      <c r="AI6697">
        <v>1</v>
      </c>
      <c r="AJ6697">
        <v>1</v>
      </c>
      <c r="AK6697">
        <v>1</v>
      </c>
      <c r="AL6697">
        <v>1</v>
      </c>
      <c r="AM6697">
        <v>1</v>
      </c>
    </row>
    <row r="6698" spans="1:39" x14ac:dyDescent="0.2">
      <c r="A6698" t="str">
        <f>"6694"</f>
        <v>6694</v>
      </c>
      <c r="B6698" t="str">
        <f t="shared" si="370"/>
        <v>1</v>
      </c>
      <c r="C6698" t="str">
        <f t="shared" si="372"/>
        <v>134</v>
      </c>
      <c r="D6698" t="str">
        <f>"10"</f>
        <v>10</v>
      </c>
      <c r="E6698" t="str">
        <f>"1-134-10"</f>
        <v>1-134-10</v>
      </c>
      <c r="F6698" t="s">
        <v>65</v>
      </c>
      <c r="G6698" t="s">
        <v>66</v>
      </c>
      <c r="H6698" t="s">
        <v>67</v>
      </c>
      <c r="S6698">
        <v>1</v>
      </c>
      <c r="T6698">
        <v>0</v>
      </c>
      <c r="U6698">
        <v>0</v>
      </c>
      <c r="V6698">
        <v>0</v>
      </c>
      <c r="W6698">
        <v>1</v>
      </c>
      <c r="X6698">
        <v>0</v>
      </c>
      <c r="Y6698">
        <v>1</v>
      </c>
      <c r="Z6698">
        <v>0</v>
      </c>
      <c r="AA6698">
        <v>0</v>
      </c>
      <c r="AB6698">
        <v>0</v>
      </c>
      <c r="AC6698">
        <v>1</v>
      </c>
      <c r="AD6698">
        <v>1</v>
      </c>
      <c r="AE6698">
        <v>1</v>
      </c>
      <c r="AF6698">
        <v>1</v>
      </c>
      <c r="AG6698">
        <v>1</v>
      </c>
      <c r="AH6698">
        <v>1</v>
      </c>
      <c r="AI6698">
        <v>1</v>
      </c>
      <c r="AJ6698">
        <v>1</v>
      </c>
      <c r="AK6698">
        <v>1</v>
      </c>
      <c r="AL6698">
        <v>1</v>
      </c>
      <c r="AM6698">
        <v>1</v>
      </c>
    </row>
    <row r="6699" spans="1:39" x14ac:dyDescent="0.2">
      <c r="A6699" t="str">
        <f>"6695"</f>
        <v>6695</v>
      </c>
      <c r="B6699" t="str">
        <f t="shared" si="370"/>
        <v>1</v>
      </c>
      <c r="C6699" t="str">
        <f t="shared" si="372"/>
        <v>134</v>
      </c>
      <c r="D6699" t="str">
        <f>"44"</f>
        <v>44</v>
      </c>
      <c r="E6699" t="str">
        <f>"1-134-44"</f>
        <v>1-134-44</v>
      </c>
      <c r="F6699" t="s">
        <v>65</v>
      </c>
      <c r="G6699" t="s">
        <v>66</v>
      </c>
      <c r="H6699" t="s">
        <v>67</v>
      </c>
      <c r="S6699">
        <v>0</v>
      </c>
      <c r="T6699">
        <v>1</v>
      </c>
      <c r="U6699">
        <v>0</v>
      </c>
      <c r="V6699">
        <v>0</v>
      </c>
      <c r="W6699">
        <v>1</v>
      </c>
      <c r="X6699">
        <v>0</v>
      </c>
      <c r="Y6699">
        <v>0</v>
      </c>
      <c r="Z6699">
        <v>1</v>
      </c>
      <c r="AA6699">
        <v>0</v>
      </c>
      <c r="AB6699">
        <v>0</v>
      </c>
      <c r="AC6699">
        <v>1</v>
      </c>
      <c r="AD6699">
        <v>1</v>
      </c>
      <c r="AE6699">
        <v>1</v>
      </c>
      <c r="AF6699">
        <v>1</v>
      </c>
      <c r="AG6699">
        <v>1</v>
      </c>
      <c r="AH6699">
        <v>1</v>
      </c>
      <c r="AI6699">
        <v>1</v>
      </c>
      <c r="AJ6699">
        <v>1</v>
      </c>
      <c r="AK6699">
        <v>1</v>
      </c>
      <c r="AL6699">
        <v>1</v>
      </c>
      <c r="AM6699">
        <v>1</v>
      </c>
    </row>
    <row r="6700" spans="1:39" x14ac:dyDescent="0.2">
      <c r="A6700" t="str">
        <f>"6696"</f>
        <v>6696</v>
      </c>
      <c r="B6700" t="str">
        <f t="shared" si="370"/>
        <v>1</v>
      </c>
      <c r="C6700" t="str">
        <f t="shared" si="372"/>
        <v>134</v>
      </c>
      <c r="D6700" t="str">
        <f>"32"</f>
        <v>32</v>
      </c>
      <c r="E6700" t="str">
        <f>"1-134-32"</f>
        <v>1-134-32</v>
      </c>
      <c r="F6700" t="s">
        <v>65</v>
      </c>
      <c r="G6700" t="s">
        <v>66</v>
      </c>
      <c r="H6700" t="s">
        <v>67</v>
      </c>
      <c r="S6700">
        <v>1</v>
      </c>
      <c r="T6700">
        <v>0</v>
      </c>
      <c r="U6700">
        <v>0</v>
      </c>
      <c r="V6700">
        <v>0</v>
      </c>
      <c r="W6700">
        <v>1</v>
      </c>
      <c r="X6700">
        <v>0</v>
      </c>
      <c r="Y6700">
        <v>1</v>
      </c>
      <c r="Z6700">
        <v>0</v>
      </c>
      <c r="AA6700">
        <v>1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1</v>
      </c>
      <c r="AI6700">
        <v>1</v>
      </c>
      <c r="AJ6700">
        <v>1</v>
      </c>
      <c r="AK6700">
        <v>1</v>
      </c>
      <c r="AL6700">
        <v>0</v>
      </c>
      <c r="AM6700">
        <v>0</v>
      </c>
    </row>
    <row r="6701" spans="1:39" x14ac:dyDescent="0.2">
      <c r="A6701" t="str">
        <f>"6697"</f>
        <v>6697</v>
      </c>
      <c r="B6701" t="str">
        <f t="shared" si="370"/>
        <v>1</v>
      </c>
      <c r="C6701" t="str">
        <f t="shared" si="372"/>
        <v>134</v>
      </c>
      <c r="D6701" t="str">
        <f>"3"</f>
        <v>3</v>
      </c>
      <c r="E6701" t="str">
        <f>"1-134-3"</f>
        <v>1-134-3</v>
      </c>
      <c r="F6701" t="s">
        <v>65</v>
      </c>
      <c r="G6701" t="s">
        <v>66</v>
      </c>
      <c r="H6701" t="s">
        <v>67</v>
      </c>
      <c r="S6701">
        <v>1</v>
      </c>
      <c r="T6701">
        <v>0</v>
      </c>
      <c r="U6701">
        <v>0</v>
      </c>
      <c r="V6701">
        <v>0</v>
      </c>
      <c r="W6701">
        <v>0</v>
      </c>
      <c r="X6701">
        <v>1</v>
      </c>
      <c r="Y6701">
        <v>1</v>
      </c>
      <c r="Z6701">
        <v>0</v>
      </c>
      <c r="AA6701">
        <v>0</v>
      </c>
      <c r="AB6701">
        <v>0</v>
      </c>
      <c r="AC6701">
        <v>0</v>
      </c>
      <c r="AD6701">
        <v>1</v>
      </c>
      <c r="AE6701">
        <v>1</v>
      </c>
      <c r="AF6701">
        <v>1</v>
      </c>
      <c r="AG6701">
        <v>1</v>
      </c>
      <c r="AH6701">
        <v>1</v>
      </c>
      <c r="AI6701">
        <v>1</v>
      </c>
      <c r="AJ6701">
        <v>1</v>
      </c>
      <c r="AK6701">
        <v>1</v>
      </c>
      <c r="AL6701">
        <v>1</v>
      </c>
      <c r="AM6701">
        <v>1</v>
      </c>
    </row>
    <row r="6702" spans="1:39" x14ac:dyDescent="0.2">
      <c r="A6702" t="str">
        <f>"6698"</f>
        <v>6698</v>
      </c>
      <c r="B6702" t="str">
        <f t="shared" si="370"/>
        <v>1</v>
      </c>
      <c r="C6702" t="str">
        <f t="shared" si="372"/>
        <v>134</v>
      </c>
      <c r="D6702" t="str">
        <f>"46"</f>
        <v>46</v>
      </c>
      <c r="E6702" t="str">
        <f>"1-134-46"</f>
        <v>1-134-46</v>
      </c>
      <c r="F6702" t="s">
        <v>65</v>
      </c>
      <c r="G6702" t="s">
        <v>66</v>
      </c>
      <c r="H6702" t="s">
        <v>67</v>
      </c>
      <c r="S6702">
        <v>1</v>
      </c>
      <c r="T6702">
        <v>0</v>
      </c>
      <c r="U6702">
        <v>0</v>
      </c>
      <c r="V6702">
        <v>0</v>
      </c>
      <c r="W6702">
        <v>1</v>
      </c>
      <c r="X6702">
        <v>0</v>
      </c>
      <c r="Y6702">
        <v>0</v>
      </c>
      <c r="Z6702">
        <v>1</v>
      </c>
      <c r="AA6702">
        <v>0</v>
      </c>
      <c r="AB6702">
        <v>0</v>
      </c>
      <c r="AC6702">
        <v>1</v>
      </c>
      <c r="AD6702">
        <v>1</v>
      </c>
      <c r="AE6702">
        <v>1</v>
      </c>
      <c r="AF6702">
        <v>1</v>
      </c>
      <c r="AG6702">
        <v>1</v>
      </c>
      <c r="AH6702">
        <v>1</v>
      </c>
      <c r="AI6702">
        <v>1</v>
      </c>
      <c r="AJ6702">
        <v>1</v>
      </c>
      <c r="AK6702">
        <v>1</v>
      </c>
      <c r="AL6702">
        <v>1</v>
      </c>
      <c r="AM6702">
        <v>1</v>
      </c>
    </row>
    <row r="6703" spans="1:39" x14ac:dyDescent="0.2">
      <c r="A6703" t="str">
        <f>"6699"</f>
        <v>6699</v>
      </c>
      <c r="B6703" t="str">
        <f t="shared" si="370"/>
        <v>1</v>
      </c>
      <c r="C6703" t="str">
        <f t="shared" si="372"/>
        <v>134</v>
      </c>
      <c r="D6703" t="str">
        <f>"49"</f>
        <v>49</v>
      </c>
      <c r="E6703" t="str">
        <f>"1-134-49"</f>
        <v>1-134-49</v>
      </c>
      <c r="F6703" t="s">
        <v>65</v>
      </c>
      <c r="G6703" t="s">
        <v>66</v>
      </c>
      <c r="H6703" t="s">
        <v>67</v>
      </c>
      <c r="S6703">
        <v>1</v>
      </c>
      <c r="T6703">
        <v>0</v>
      </c>
      <c r="U6703">
        <v>0</v>
      </c>
      <c r="V6703">
        <v>0</v>
      </c>
      <c r="W6703">
        <v>1</v>
      </c>
      <c r="X6703">
        <v>0</v>
      </c>
      <c r="Y6703">
        <v>1</v>
      </c>
      <c r="Z6703">
        <v>0</v>
      </c>
      <c r="AA6703">
        <v>1</v>
      </c>
      <c r="AB6703">
        <v>0</v>
      </c>
      <c r="AC6703">
        <v>0</v>
      </c>
      <c r="AD6703">
        <v>1</v>
      </c>
      <c r="AE6703">
        <v>1</v>
      </c>
      <c r="AF6703">
        <v>1</v>
      </c>
      <c r="AG6703">
        <v>1</v>
      </c>
      <c r="AH6703">
        <v>1</v>
      </c>
      <c r="AI6703">
        <v>1</v>
      </c>
      <c r="AJ6703">
        <v>1</v>
      </c>
      <c r="AK6703">
        <v>1</v>
      </c>
      <c r="AL6703">
        <v>1</v>
      </c>
      <c r="AM6703">
        <v>1</v>
      </c>
    </row>
    <row r="6704" spans="1:39" x14ac:dyDescent="0.2">
      <c r="A6704" t="str">
        <f>"6700"</f>
        <v>6700</v>
      </c>
      <c r="B6704" t="str">
        <f t="shared" si="370"/>
        <v>1</v>
      </c>
      <c r="C6704" t="str">
        <f t="shared" si="372"/>
        <v>134</v>
      </c>
      <c r="D6704" t="str">
        <f>"50"</f>
        <v>50</v>
      </c>
      <c r="E6704" t="str">
        <f>"1-134-50"</f>
        <v>1-134-50</v>
      </c>
      <c r="F6704" t="s">
        <v>65</v>
      </c>
      <c r="G6704" t="s">
        <v>66</v>
      </c>
      <c r="H6704" t="s">
        <v>67</v>
      </c>
      <c r="S6704">
        <v>1</v>
      </c>
      <c r="T6704">
        <v>0</v>
      </c>
      <c r="U6704">
        <v>0</v>
      </c>
      <c r="V6704">
        <v>0</v>
      </c>
      <c r="W6704">
        <v>1</v>
      </c>
      <c r="X6704">
        <v>0</v>
      </c>
      <c r="Y6704">
        <v>0</v>
      </c>
      <c r="Z6704">
        <v>1</v>
      </c>
      <c r="AA6704">
        <v>1</v>
      </c>
      <c r="AB6704">
        <v>0</v>
      </c>
      <c r="AC6704">
        <v>0</v>
      </c>
      <c r="AD6704">
        <v>1</v>
      </c>
      <c r="AE6704">
        <v>1</v>
      </c>
      <c r="AF6704">
        <v>1</v>
      </c>
      <c r="AG6704">
        <v>1</v>
      </c>
      <c r="AH6704">
        <v>1</v>
      </c>
      <c r="AI6704">
        <v>1</v>
      </c>
      <c r="AJ6704">
        <v>1</v>
      </c>
      <c r="AK6704">
        <v>1</v>
      </c>
      <c r="AL6704">
        <v>1</v>
      </c>
      <c r="AM6704">
        <v>0</v>
      </c>
    </row>
    <row r="6705" spans="1:39" x14ac:dyDescent="0.2">
      <c r="A6705" t="str">
        <f>"6701"</f>
        <v>6701</v>
      </c>
      <c r="B6705" t="str">
        <f t="shared" si="370"/>
        <v>1</v>
      </c>
      <c r="C6705" t="str">
        <f t="shared" ref="C6705:C6736" si="373">"135"</f>
        <v>135</v>
      </c>
      <c r="D6705" t="str">
        <f>"34"</f>
        <v>34</v>
      </c>
      <c r="E6705" t="str">
        <f>"1-135-34"</f>
        <v>1-135-34</v>
      </c>
      <c r="F6705" t="s">
        <v>65</v>
      </c>
      <c r="G6705" t="s">
        <v>66</v>
      </c>
      <c r="H6705" t="s">
        <v>67</v>
      </c>
      <c r="S6705">
        <v>0</v>
      </c>
      <c r="T6705">
        <v>1</v>
      </c>
      <c r="U6705">
        <v>0</v>
      </c>
      <c r="V6705">
        <v>0</v>
      </c>
      <c r="W6705">
        <v>0</v>
      </c>
      <c r="X6705">
        <v>1</v>
      </c>
      <c r="Y6705">
        <v>1</v>
      </c>
      <c r="Z6705">
        <v>0</v>
      </c>
      <c r="AA6705">
        <v>0</v>
      </c>
      <c r="AB6705">
        <v>0</v>
      </c>
      <c r="AC6705">
        <v>1</v>
      </c>
      <c r="AD6705">
        <v>1</v>
      </c>
      <c r="AE6705">
        <v>1</v>
      </c>
      <c r="AF6705">
        <v>1</v>
      </c>
      <c r="AG6705">
        <v>1</v>
      </c>
      <c r="AH6705">
        <v>1</v>
      </c>
      <c r="AI6705">
        <v>1</v>
      </c>
      <c r="AJ6705">
        <v>1</v>
      </c>
      <c r="AK6705">
        <v>1</v>
      </c>
      <c r="AL6705">
        <v>1</v>
      </c>
      <c r="AM6705">
        <v>1</v>
      </c>
    </row>
    <row r="6706" spans="1:39" x14ac:dyDescent="0.2">
      <c r="A6706" t="str">
        <f>"6702"</f>
        <v>6702</v>
      </c>
      <c r="B6706" t="str">
        <f t="shared" si="370"/>
        <v>1</v>
      </c>
      <c r="C6706" t="str">
        <f t="shared" si="373"/>
        <v>135</v>
      </c>
      <c r="D6706" t="str">
        <f>"33"</f>
        <v>33</v>
      </c>
      <c r="E6706" t="str">
        <f>"1-135-33"</f>
        <v>1-135-33</v>
      </c>
      <c r="F6706" t="s">
        <v>65</v>
      </c>
      <c r="G6706" t="s">
        <v>66</v>
      </c>
      <c r="H6706" t="s">
        <v>67</v>
      </c>
      <c r="S6706">
        <v>0</v>
      </c>
      <c r="T6706">
        <v>1</v>
      </c>
      <c r="U6706">
        <v>0</v>
      </c>
      <c r="V6706">
        <v>0</v>
      </c>
      <c r="W6706">
        <v>1</v>
      </c>
      <c r="X6706">
        <v>0</v>
      </c>
      <c r="Y6706">
        <v>1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1</v>
      </c>
      <c r="AM6706">
        <v>0</v>
      </c>
    </row>
    <row r="6707" spans="1:39" x14ac:dyDescent="0.2">
      <c r="A6707" t="str">
        <f>"6703"</f>
        <v>6703</v>
      </c>
      <c r="B6707" t="str">
        <f t="shared" si="370"/>
        <v>1</v>
      </c>
      <c r="C6707" t="str">
        <f t="shared" si="373"/>
        <v>135</v>
      </c>
      <c r="D6707" t="str">
        <f>"21"</f>
        <v>21</v>
      </c>
      <c r="E6707" t="str">
        <f>"1-135-21"</f>
        <v>1-135-21</v>
      </c>
      <c r="F6707" t="s">
        <v>65</v>
      </c>
      <c r="G6707" t="s">
        <v>66</v>
      </c>
      <c r="H6707" t="s">
        <v>67</v>
      </c>
      <c r="S6707">
        <v>1</v>
      </c>
      <c r="T6707">
        <v>0</v>
      </c>
      <c r="U6707">
        <v>0</v>
      </c>
      <c r="V6707">
        <v>0</v>
      </c>
      <c r="W6707">
        <v>1</v>
      </c>
      <c r="X6707">
        <v>0</v>
      </c>
      <c r="Y6707">
        <v>0</v>
      </c>
      <c r="Z6707">
        <v>0</v>
      </c>
      <c r="AA6707">
        <v>1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</row>
    <row r="6708" spans="1:39" x14ac:dyDescent="0.2">
      <c r="A6708" t="str">
        <f>"6704"</f>
        <v>6704</v>
      </c>
      <c r="B6708" t="str">
        <f t="shared" si="370"/>
        <v>1</v>
      </c>
      <c r="C6708" t="str">
        <f t="shared" si="373"/>
        <v>135</v>
      </c>
      <c r="D6708" t="str">
        <f>"15"</f>
        <v>15</v>
      </c>
      <c r="E6708" t="str">
        <f>"1-135-15"</f>
        <v>1-135-15</v>
      </c>
      <c r="F6708" t="s">
        <v>65</v>
      </c>
      <c r="G6708" t="s">
        <v>66</v>
      </c>
      <c r="H6708" t="s">
        <v>67</v>
      </c>
      <c r="S6708">
        <v>0</v>
      </c>
      <c r="T6708">
        <v>1</v>
      </c>
      <c r="U6708">
        <v>0</v>
      </c>
      <c r="V6708">
        <v>0</v>
      </c>
      <c r="W6708">
        <v>1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1</v>
      </c>
      <c r="AE6708">
        <v>1</v>
      </c>
      <c r="AF6708">
        <v>1</v>
      </c>
      <c r="AG6708">
        <v>1</v>
      </c>
      <c r="AH6708">
        <v>1</v>
      </c>
      <c r="AI6708">
        <v>1</v>
      </c>
      <c r="AJ6708">
        <v>1</v>
      </c>
      <c r="AK6708">
        <v>1</v>
      </c>
      <c r="AL6708">
        <v>1</v>
      </c>
      <c r="AM6708">
        <v>1</v>
      </c>
    </row>
    <row r="6709" spans="1:39" x14ac:dyDescent="0.2">
      <c r="A6709" t="str">
        <f>"6705"</f>
        <v>6705</v>
      </c>
      <c r="B6709" t="str">
        <f t="shared" si="370"/>
        <v>1</v>
      </c>
      <c r="C6709" t="str">
        <f t="shared" si="373"/>
        <v>135</v>
      </c>
      <c r="D6709" t="str">
        <f>"2"</f>
        <v>2</v>
      </c>
      <c r="E6709" t="str">
        <f>"1-135-2"</f>
        <v>1-135-2</v>
      </c>
      <c r="F6709" t="s">
        <v>65</v>
      </c>
      <c r="G6709" t="s">
        <v>66</v>
      </c>
      <c r="H6709" t="s">
        <v>67</v>
      </c>
      <c r="S6709">
        <v>1</v>
      </c>
      <c r="T6709">
        <v>0</v>
      </c>
      <c r="U6709">
        <v>0</v>
      </c>
      <c r="V6709">
        <v>0</v>
      </c>
      <c r="W6709">
        <v>1</v>
      </c>
      <c r="X6709">
        <v>0</v>
      </c>
      <c r="Y6709">
        <v>1</v>
      </c>
      <c r="Z6709">
        <v>0</v>
      </c>
      <c r="AA6709">
        <v>0</v>
      </c>
      <c r="AB6709">
        <v>0</v>
      </c>
      <c r="AC6709">
        <v>1</v>
      </c>
      <c r="AD6709">
        <v>1</v>
      </c>
      <c r="AE6709">
        <v>0</v>
      </c>
      <c r="AF6709">
        <v>0</v>
      </c>
      <c r="AG6709">
        <v>0</v>
      </c>
      <c r="AH6709">
        <v>0</v>
      </c>
      <c r="AI6709">
        <v>1</v>
      </c>
      <c r="AJ6709">
        <v>1</v>
      </c>
      <c r="AK6709">
        <v>1</v>
      </c>
      <c r="AL6709">
        <v>1</v>
      </c>
      <c r="AM6709">
        <v>1</v>
      </c>
    </row>
    <row r="6710" spans="1:39" x14ac:dyDescent="0.2">
      <c r="A6710" t="str">
        <f>"6706"</f>
        <v>6706</v>
      </c>
      <c r="B6710" t="str">
        <f t="shared" si="370"/>
        <v>1</v>
      </c>
      <c r="C6710" t="str">
        <f t="shared" si="373"/>
        <v>135</v>
      </c>
      <c r="D6710" t="str">
        <f>"37"</f>
        <v>37</v>
      </c>
      <c r="E6710" t="str">
        <f>"1-135-37"</f>
        <v>1-135-37</v>
      </c>
      <c r="F6710" t="s">
        <v>65</v>
      </c>
      <c r="G6710" t="s">
        <v>66</v>
      </c>
      <c r="H6710" t="s">
        <v>67</v>
      </c>
      <c r="S6710">
        <v>1</v>
      </c>
      <c r="T6710">
        <v>0</v>
      </c>
      <c r="U6710">
        <v>0</v>
      </c>
      <c r="V6710">
        <v>0</v>
      </c>
      <c r="W6710">
        <v>1</v>
      </c>
      <c r="X6710">
        <v>0</v>
      </c>
      <c r="Y6710">
        <v>1</v>
      </c>
      <c r="Z6710">
        <v>0</v>
      </c>
      <c r="AA6710">
        <v>0</v>
      </c>
      <c r="AB6710">
        <v>0</v>
      </c>
      <c r="AC6710">
        <v>1</v>
      </c>
      <c r="AD6710">
        <v>1</v>
      </c>
      <c r="AE6710">
        <v>1</v>
      </c>
      <c r="AF6710">
        <v>1</v>
      </c>
      <c r="AG6710">
        <v>1</v>
      </c>
      <c r="AH6710">
        <v>1</v>
      </c>
      <c r="AI6710">
        <v>1</v>
      </c>
      <c r="AJ6710">
        <v>1</v>
      </c>
      <c r="AK6710">
        <v>1</v>
      </c>
      <c r="AL6710">
        <v>1</v>
      </c>
      <c r="AM6710">
        <v>1</v>
      </c>
    </row>
    <row r="6711" spans="1:39" x14ac:dyDescent="0.2">
      <c r="A6711" t="str">
        <f>"6707"</f>
        <v>6707</v>
      </c>
      <c r="B6711" t="str">
        <f t="shared" ref="B6711:B6774" si="374">"1"</f>
        <v>1</v>
      </c>
      <c r="C6711" t="str">
        <f t="shared" si="373"/>
        <v>135</v>
      </c>
      <c r="D6711" t="str">
        <f>"36"</f>
        <v>36</v>
      </c>
      <c r="E6711" t="str">
        <f>"1-135-36"</f>
        <v>1-135-36</v>
      </c>
      <c r="F6711" t="s">
        <v>65</v>
      </c>
      <c r="G6711" t="s">
        <v>66</v>
      </c>
      <c r="H6711" t="s">
        <v>67</v>
      </c>
      <c r="S6711">
        <v>1</v>
      </c>
      <c r="T6711">
        <v>0</v>
      </c>
      <c r="U6711">
        <v>0</v>
      </c>
      <c r="V6711">
        <v>0</v>
      </c>
      <c r="W6711">
        <v>1</v>
      </c>
      <c r="X6711">
        <v>0</v>
      </c>
      <c r="Y6711">
        <v>1</v>
      </c>
      <c r="Z6711">
        <v>0</v>
      </c>
      <c r="AA6711">
        <v>0</v>
      </c>
      <c r="AB6711">
        <v>0</v>
      </c>
      <c r="AC6711">
        <v>1</v>
      </c>
      <c r="AD6711">
        <v>1</v>
      </c>
      <c r="AE6711">
        <v>1</v>
      </c>
      <c r="AF6711">
        <v>1</v>
      </c>
      <c r="AG6711">
        <v>1</v>
      </c>
      <c r="AH6711">
        <v>1</v>
      </c>
      <c r="AI6711">
        <v>1</v>
      </c>
      <c r="AJ6711">
        <v>1</v>
      </c>
      <c r="AK6711">
        <v>1</v>
      </c>
      <c r="AL6711">
        <v>1</v>
      </c>
      <c r="AM6711">
        <v>1</v>
      </c>
    </row>
    <row r="6712" spans="1:39" x14ac:dyDescent="0.2">
      <c r="A6712" t="str">
        <f>"6708"</f>
        <v>6708</v>
      </c>
      <c r="B6712" t="str">
        <f t="shared" si="374"/>
        <v>1</v>
      </c>
      <c r="C6712" t="str">
        <f t="shared" si="373"/>
        <v>135</v>
      </c>
      <c r="D6712" t="str">
        <f>"25"</f>
        <v>25</v>
      </c>
      <c r="E6712" t="str">
        <f>"1-135-25"</f>
        <v>1-135-25</v>
      </c>
      <c r="F6712" t="s">
        <v>65</v>
      </c>
      <c r="G6712" t="s">
        <v>66</v>
      </c>
      <c r="H6712" t="s">
        <v>67</v>
      </c>
      <c r="S6712">
        <v>0</v>
      </c>
      <c r="T6712">
        <v>1</v>
      </c>
      <c r="U6712">
        <v>0</v>
      </c>
      <c r="V6712">
        <v>0</v>
      </c>
      <c r="W6712">
        <v>0</v>
      </c>
      <c r="X6712">
        <v>1</v>
      </c>
      <c r="Y6712">
        <v>1</v>
      </c>
      <c r="Z6712">
        <v>0</v>
      </c>
      <c r="AA6712">
        <v>0</v>
      </c>
      <c r="AB6712">
        <v>1</v>
      </c>
      <c r="AC6712">
        <v>0</v>
      </c>
      <c r="AD6712">
        <v>1</v>
      </c>
      <c r="AE6712">
        <v>1</v>
      </c>
      <c r="AF6712">
        <v>1</v>
      </c>
      <c r="AG6712">
        <v>1</v>
      </c>
      <c r="AH6712">
        <v>1</v>
      </c>
      <c r="AI6712">
        <v>1</v>
      </c>
      <c r="AJ6712">
        <v>1</v>
      </c>
      <c r="AK6712">
        <v>1</v>
      </c>
      <c r="AL6712">
        <v>1</v>
      </c>
      <c r="AM6712">
        <v>1</v>
      </c>
    </row>
    <row r="6713" spans="1:39" x14ac:dyDescent="0.2">
      <c r="A6713" t="str">
        <f>"6709"</f>
        <v>6709</v>
      </c>
      <c r="B6713" t="str">
        <f t="shared" si="374"/>
        <v>1</v>
      </c>
      <c r="C6713" t="str">
        <f t="shared" si="373"/>
        <v>135</v>
      </c>
      <c r="D6713" t="str">
        <f>"16"</f>
        <v>16</v>
      </c>
      <c r="E6713" t="str">
        <f>"1-135-16"</f>
        <v>1-135-16</v>
      </c>
      <c r="F6713" t="s">
        <v>65</v>
      </c>
      <c r="G6713" t="s">
        <v>66</v>
      </c>
      <c r="H6713" t="s">
        <v>67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1</v>
      </c>
      <c r="Y6713">
        <v>0</v>
      </c>
      <c r="Z6713">
        <v>0</v>
      </c>
      <c r="AA6713">
        <v>0</v>
      </c>
      <c r="AB6713">
        <v>1</v>
      </c>
      <c r="AC6713">
        <v>0</v>
      </c>
      <c r="AD6713">
        <v>0</v>
      </c>
      <c r="AE6713">
        <v>0</v>
      </c>
      <c r="AF6713">
        <v>0</v>
      </c>
      <c r="AG6713">
        <v>1</v>
      </c>
      <c r="AH6713">
        <v>0</v>
      </c>
      <c r="AI6713">
        <v>1</v>
      </c>
      <c r="AJ6713">
        <v>1</v>
      </c>
      <c r="AK6713">
        <v>1</v>
      </c>
      <c r="AL6713">
        <v>0</v>
      </c>
      <c r="AM6713">
        <v>0</v>
      </c>
    </row>
    <row r="6714" spans="1:39" x14ac:dyDescent="0.2">
      <c r="A6714" t="str">
        <f>"6710"</f>
        <v>6710</v>
      </c>
      <c r="B6714" t="str">
        <f t="shared" si="374"/>
        <v>1</v>
      </c>
      <c r="C6714" t="str">
        <f t="shared" si="373"/>
        <v>135</v>
      </c>
      <c r="D6714" t="str">
        <f>"42"</f>
        <v>42</v>
      </c>
      <c r="E6714" t="str">
        <f>"1-135-42"</f>
        <v>1-135-42</v>
      </c>
      <c r="F6714" t="s">
        <v>65</v>
      </c>
      <c r="G6714" t="s">
        <v>66</v>
      </c>
      <c r="H6714" t="s">
        <v>67</v>
      </c>
      <c r="S6714">
        <v>0</v>
      </c>
      <c r="T6714">
        <v>1</v>
      </c>
      <c r="U6714">
        <v>0</v>
      </c>
      <c r="V6714">
        <v>0</v>
      </c>
      <c r="W6714">
        <v>1</v>
      </c>
      <c r="X6714">
        <v>0</v>
      </c>
      <c r="Y6714">
        <v>1</v>
      </c>
      <c r="Z6714">
        <v>0</v>
      </c>
      <c r="AA6714">
        <v>0</v>
      </c>
      <c r="AB6714">
        <v>1</v>
      </c>
      <c r="AC6714">
        <v>0</v>
      </c>
      <c r="AD6714">
        <v>1</v>
      </c>
      <c r="AE6714">
        <v>1</v>
      </c>
      <c r="AF6714">
        <v>1</v>
      </c>
      <c r="AG6714">
        <v>1</v>
      </c>
      <c r="AH6714">
        <v>1</v>
      </c>
      <c r="AI6714">
        <v>1</v>
      </c>
      <c r="AJ6714">
        <v>1</v>
      </c>
      <c r="AK6714">
        <v>1</v>
      </c>
      <c r="AL6714">
        <v>1</v>
      </c>
      <c r="AM6714">
        <v>1</v>
      </c>
    </row>
    <row r="6715" spans="1:39" x14ac:dyDescent="0.2">
      <c r="A6715" t="str">
        <f>"6711"</f>
        <v>6711</v>
      </c>
      <c r="B6715" t="str">
        <f t="shared" si="374"/>
        <v>1</v>
      </c>
      <c r="C6715" t="str">
        <f t="shared" si="373"/>
        <v>135</v>
      </c>
      <c r="D6715" t="str">
        <f>"41"</f>
        <v>41</v>
      </c>
      <c r="E6715" t="str">
        <f>"1-135-41"</f>
        <v>1-135-41</v>
      </c>
      <c r="F6715" t="s">
        <v>65</v>
      </c>
      <c r="G6715" t="s">
        <v>66</v>
      </c>
      <c r="H6715" t="s">
        <v>67</v>
      </c>
      <c r="S6715">
        <v>1</v>
      </c>
      <c r="T6715">
        <v>0</v>
      </c>
      <c r="U6715">
        <v>0</v>
      </c>
      <c r="V6715">
        <v>0</v>
      </c>
      <c r="W6715">
        <v>1</v>
      </c>
      <c r="X6715">
        <v>0</v>
      </c>
      <c r="Y6715">
        <v>1</v>
      </c>
      <c r="Z6715">
        <v>0</v>
      </c>
      <c r="AA6715">
        <v>1</v>
      </c>
      <c r="AB6715">
        <v>0</v>
      </c>
      <c r="AC6715">
        <v>0</v>
      </c>
      <c r="AD6715">
        <v>1</v>
      </c>
      <c r="AE6715">
        <v>1</v>
      </c>
      <c r="AF6715">
        <v>1</v>
      </c>
      <c r="AG6715">
        <v>1</v>
      </c>
      <c r="AH6715">
        <v>1</v>
      </c>
      <c r="AI6715">
        <v>1</v>
      </c>
      <c r="AJ6715">
        <v>1</v>
      </c>
      <c r="AK6715">
        <v>1</v>
      </c>
      <c r="AL6715">
        <v>1</v>
      </c>
      <c r="AM6715">
        <v>1</v>
      </c>
    </row>
    <row r="6716" spans="1:39" x14ac:dyDescent="0.2">
      <c r="A6716" t="str">
        <f>"6712"</f>
        <v>6712</v>
      </c>
      <c r="B6716" t="str">
        <f t="shared" si="374"/>
        <v>1</v>
      </c>
      <c r="C6716" t="str">
        <f t="shared" si="373"/>
        <v>135</v>
      </c>
      <c r="D6716" t="str">
        <f>"31"</f>
        <v>31</v>
      </c>
      <c r="E6716" t="str">
        <f>"1-135-31"</f>
        <v>1-135-31</v>
      </c>
      <c r="F6716" t="s">
        <v>65</v>
      </c>
      <c r="G6716" t="s">
        <v>66</v>
      </c>
      <c r="H6716" t="s">
        <v>67</v>
      </c>
      <c r="S6716">
        <v>0</v>
      </c>
      <c r="T6716">
        <v>1</v>
      </c>
      <c r="U6716">
        <v>0</v>
      </c>
      <c r="V6716">
        <v>0</v>
      </c>
      <c r="W6716">
        <v>1</v>
      </c>
      <c r="X6716">
        <v>0</v>
      </c>
      <c r="Y6716">
        <v>1</v>
      </c>
      <c r="Z6716">
        <v>0</v>
      </c>
      <c r="AA6716">
        <v>1</v>
      </c>
      <c r="AB6716">
        <v>0</v>
      </c>
      <c r="AC6716">
        <v>0</v>
      </c>
      <c r="AD6716">
        <v>1</v>
      </c>
      <c r="AE6716">
        <v>1</v>
      </c>
      <c r="AF6716">
        <v>1</v>
      </c>
      <c r="AG6716">
        <v>1</v>
      </c>
      <c r="AH6716">
        <v>1</v>
      </c>
      <c r="AI6716">
        <v>1</v>
      </c>
      <c r="AJ6716">
        <v>1</v>
      </c>
      <c r="AK6716">
        <v>1</v>
      </c>
      <c r="AL6716">
        <v>1</v>
      </c>
      <c r="AM6716">
        <v>1</v>
      </c>
    </row>
    <row r="6717" spans="1:39" x14ac:dyDescent="0.2">
      <c r="A6717" t="str">
        <f>"6713"</f>
        <v>6713</v>
      </c>
      <c r="B6717" t="str">
        <f t="shared" si="374"/>
        <v>1</v>
      </c>
      <c r="C6717" t="str">
        <f t="shared" si="373"/>
        <v>135</v>
      </c>
      <c r="D6717" t="str">
        <f>"17"</f>
        <v>17</v>
      </c>
      <c r="E6717" t="str">
        <f>"1-135-17"</f>
        <v>1-135-17</v>
      </c>
      <c r="F6717" t="s">
        <v>65</v>
      </c>
      <c r="G6717" t="s">
        <v>66</v>
      </c>
      <c r="H6717" t="s">
        <v>67</v>
      </c>
      <c r="S6717">
        <v>1</v>
      </c>
      <c r="T6717">
        <v>0</v>
      </c>
      <c r="U6717">
        <v>0</v>
      </c>
      <c r="V6717">
        <v>0</v>
      </c>
      <c r="W6717">
        <v>1</v>
      </c>
      <c r="X6717">
        <v>0</v>
      </c>
      <c r="Y6717">
        <v>0</v>
      </c>
      <c r="Z6717">
        <v>1</v>
      </c>
      <c r="AA6717">
        <v>1</v>
      </c>
      <c r="AB6717">
        <v>0</v>
      </c>
      <c r="AC6717">
        <v>0</v>
      </c>
      <c r="AD6717">
        <v>1</v>
      </c>
      <c r="AE6717">
        <v>1</v>
      </c>
      <c r="AF6717">
        <v>1</v>
      </c>
      <c r="AG6717">
        <v>1</v>
      </c>
      <c r="AH6717">
        <v>1</v>
      </c>
      <c r="AI6717">
        <v>1</v>
      </c>
      <c r="AJ6717">
        <v>1</v>
      </c>
      <c r="AK6717">
        <v>1</v>
      </c>
      <c r="AL6717">
        <v>1</v>
      </c>
      <c r="AM6717">
        <v>1</v>
      </c>
    </row>
    <row r="6718" spans="1:39" x14ac:dyDescent="0.2">
      <c r="A6718" t="str">
        <f>"6714"</f>
        <v>6714</v>
      </c>
      <c r="B6718" t="str">
        <f t="shared" si="374"/>
        <v>1</v>
      </c>
      <c r="C6718" t="str">
        <f t="shared" si="373"/>
        <v>135</v>
      </c>
      <c r="D6718" t="str">
        <f>"1"</f>
        <v>1</v>
      </c>
      <c r="E6718" t="str">
        <f>"1-135-1"</f>
        <v>1-135-1</v>
      </c>
      <c r="F6718" t="s">
        <v>65</v>
      </c>
      <c r="G6718" t="s">
        <v>66</v>
      </c>
      <c r="H6718" t="s">
        <v>67</v>
      </c>
      <c r="S6718">
        <v>0</v>
      </c>
      <c r="T6718">
        <v>1</v>
      </c>
      <c r="U6718">
        <v>0</v>
      </c>
      <c r="V6718">
        <v>0</v>
      </c>
      <c r="W6718">
        <v>1</v>
      </c>
      <c r="X6718">
        <v>0</v>
      </c>
      <c r="Y6718">
        <v>1</v>
      </c>
      <c r="Z6718">
        <v>0</v>
      </c>
      <c r="AA6718">
        <v>0</v>
      </c>
      <c r="AB6718">
        <v>1</v>
      </c>
      <c r="AC6718">
        <v>0</v>
      </c>
      <c r="AD6718">
        <v>1</v>
      </c>
      <c r="AE6718">
        <v>1</v>
      </c>
      <c r="AF6718">
        <v>1</v>
      </c>
      <c r="AG6718">
        <v>1</v>
      </c>
      <c r="AH6718">
        <v>1</v>
      </c>
      <c r="AI6718">
        <v>1</v>
      </c>
      <c r="AJ6718">
        <v>1</v>
      </c>
      <c r="AK6718">
        <v>1</v>
      </c>
      <c r="AL6718">
        <v>1</v>
      </c>
      <c r="AM6718">
        <v>1</v>
      </c>
    </row>
    <row r="6719" spans="1:39" x14ac:dyDescent="0.2">
      <c r="A6719" t="str">
        <f>"6715"</f>
        <v>6715</v>
      </c>
      <c r="B6719" t="str">
        <f t="shared" si="374"/>
        <v>1</v>
      </c>
      <c r="C6719" t="str">
        <f t="shared" si="373"/>
        <v>135</v>
      </c>
      <c r="D6719" t="str">
        <f>"40"</f>
        <v>40</v>
      </c>
      <c r="E6719" t="str">
        <f>"1-135-40"</f>
        <v>1-135-40</v>
      </c>
      <c r="F6719" t="s">
        <v>65</v>
      </c>
      <c r="G6719" t="s">
        <v>66</v>
      </c>
      <c r="H6719" t="s">
        <v>67</v>
      </c>
      <c r="S6719">
        <v>1</v>
      </c>
      <c r="T6719">
        <v>0</v>
      </c>
      <c r="U6719">
        <v>0</v>
      </c>
      <c r="V6719">
        <v>0</v>
      </c>
      <c r="W6719">
        <v>1</v>
      </c>
      <c r="X6719">
        <v>0</v>
      </c>
      <c r="Y6719">
        <v>1</v>
      </c>
      <c r="Z6719">
        <v>0</v>
      </c>
      <c r="AA6719">
        <v>1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1</v>
      </c>
      <c r="AK6719">
        <v>0</v>
      </c>
      <c r="AL6719">
        <v>0</v>
      </c>
      <c r="AM6719">
        <v>0</v>
      </c>
    </row>
    <row r="6720" spans="1:39" x14ac:dyDescent="0.2">
      <c r="A6720" t="str">
        <f>"6716"</f>
        <v>6716</v>
      </c>
      <c r="B6720" t="str">
        <f t="shared" si="374"/>
        <v>1</v>
      </c>
      <c r="C6720" t="str">
        <f t="shared" si="373"/>
        <v>135</v>
      </c>
      <c r="D6720" t="str">
        <f>"39"</f>
        <v>39</v>
      </c>
      <c r="E6720" t="str">
        <f>"1-135-39"</f>
        <v>1-135-39</v>
      </c>
      <c r="F6720" t="s">
        <v>65</v>
      </c>
      <c r="G6720" t="s">
        <v>66</v>
      </c>
      <c r="H6720" t="s">
        <v>67</v>
      </c>
      <c r="S6720">
        <v>0</v>
      </c>
      <c r="T6720">
        <v>1</v>
      </c>
      <c r="U6720">
        <v>0</v>
      </c>
      <c r="V6720">
        <v>0</v>
      </c>
      <c r="W6720">
        <v>0</v>
      </c>
      <c r="X6720">
        <v>1</v>
      </c>
      <c r="Y6720">
        <v>0</v>
      </c>
      <c r="Z6720">
        <v>1</v>
      </c>
      <c r="AA6720">
        <v>1</v>
      </c>
      <c r="AB6720">
        <v>0</v>
      </c>
      <c r="AC6720">
        <v>0</v>
      </c>
      <c r="AD6720">
        <v>1</v>
      </c>
      <c r="AE6720">
        <v>1</v>
      </c>
      <c r="AF6720">
        <v>1</v>
      </c>
      <c r="AG6720">
        <v>1</v>
      </c>
      <c r="AH6720">
        <v>1</v>
      </c>
      <c r="AI6720">
        <v>1</v>
      </c>
      <c r="AJ6720">
        <v>1</v>
      </c>
      <c r="AK6720">
        <v>1</v>
      </c>
      <c r="AL6720">
        <v>1</v>
      </c>
      <c r="AM6720">
        <v>1</v>
      </c>
    </row>
    <row r="6721" spans="1:39" x14ac:dyDescent="0.2">
      <c r="A6721" t="str">
        <f>"6717"</f>
        <v>6717</v>
      </c>
      <c r="B6721" t="str">
        <f t="shared" si="374"/>
        <v>1</v>
      </c>
      <c r="C6721" t="str">
        <f t="shared" si="373"/>
        <v>135</v>
      </c>
      <c r="D6721" t="str">
        <f>"32"</f>
        <v>32</v>
      </c>
      <c r="E6721" t="str">
        <f>"1-135-32"</f>
        <v>1-135-32</v>
      </c>
      <c r="F6721" t="s">
        <v>65</v>
      </c>
      <c r="G6721" t="s">
        <v>66</v>
      </c>
      <c r="H6721" t="s">
        <v>67</v>
      </c>
      <c r="S6721">
        <v>1</v>
      </c>
      <c r="T6721">
        <v>0</v>
      </c>
      <c r="U6721">
        <v>0</v>
      </c>
      <c r="V6721">
        <v>0</v>
      </c>
      <c r="W6721">
        <v>1</v>
      </c>
      <c r="X6721">
        <v>0</v>
      </c>
      <c r="Y6721">
        <v>0</v>
      </c>
      <c r="Z6721">
        <v>1</v>
      </c>
      <c r="AA6721">
        <v>1</v>
      </c>
      <c r="AB6721">
        <v>0</v>
      </c>
      <c r="AC6721">
        <v>0</v>
      </c>
      <c r="AD6721">
        <v>1</v>
      </c>
      <c r="AE6721">
        <v>1</v>
      </c>
      <c r="AF6721">
        <v>1</v>
      </c>
      <c r="AG6721">
        <v>1</v>
      </c>
      <c r="AH6721">
        <v>1</v>
      </c>
      <c r="AI6721">
        <v>1</v>
      </c>
      <c r="AJ6721">
        <v>1</v>
      </c>
      <c r="AK6721">
        <v>1</v>
      </c>
      <c r="AL6721">
        <v>1</v>
      </c>
      <c r="AM6721">
        <v>1</v>
      </c>
    </row>
    <row r="6722" spans="1:39" x14ac:dyDescent="0.2">
      <c r="A6722" t="str">
        <f>"6718"</f>
        <v>6718</v>
      </c>
      <c r="B6722" t="str">
        <f t="shared" si="374"/>
        <v>1</v>
      </c>
      <c r="C6722" t="str">
        <f t="shared" si="373"/>
        <v>135</v>
      </c>
      <c r="D6722" t="str">
        <f>"18"</f>
        <v>18</v>
      </c>
      <c r="E6722" t="str">
        <f>"1-135-18"</f>
        <v>1-135-18</v>
      </c>
      <c r="F6722" t="s">
        <v>65</v>
      </c>
      <c r="G6722" t="s">
        <v>66</v>
      </c>
      <c r="H6722" t="s">
        <v>67</v>
      </c>
      <c r="S6722">
        <v>1</v>
      </c>
      <c r="T6722">
        <v>0</v>
      </c>
      <c r="U6722">
        <v>0</v>
      </c>
      <c r="V6722">
        <v>0</v>
      </c>
      <c r="W6722">
        <v>0</v>
      </c>
      <c r="X6722">
        <v>1</v>
      </c>
      <c r="Y6722">
        <v>1</v>
      </c>
      <c r="Z6722">
        <v>0</v>
      </c>
      <c r="AA6722">
        <v>0</v>
      </c>
      <c r="AB6722">
        <v>0</v>
      </c>
      <c r="AC6722">
        <v>1</v>
      </c>
      <c r="AD6722">
        <v>1</v>
      </c>
      <c r="AE6722">
        <v>1</v>
      </c>
      <c r="AF6722">
        <v>1</v>
      </c>
      <c r="AG6722">
        <v>1</v>
      </c>
      <c r="AH6722">
        <v>1</v>
      </c>
      <c r="AI6722">
        <v>1</v>
      </c>
      <c r="AJ6722">
        <v>1</v>
      </c>
      <c r="AK6722">
        <v>1</v>
      </c>
      <c r="AL6722">
        <v>1</v>
      </c>
      <c r="AM6722">
        <v>1</v>
      </c>
    </row>
    <row r="6723" spans="1:39" x14ac:dyDescent="0.2">
      <c r="A6723" t="str">
        <f>"6719"</f>
        <v>6719</v>
      </c>
      <c r="B6723" t="str">
        <f t="shared" si="374"/>
        <v>1</v>
      </c>
      <c r="C6723" t="str">
        <f t="shared" si="373"/>
        <v>135</v>
      </c>
      <c r="D6723" t="str">
        <f>"14"</f>
        <v>14</v>
      </c>
      <c r="E6723" t="str">
        <f>"1-135-14"</f>
        <v>1-135-14</v>
      </c>
      <c r="F6723" t="s">
        <v>65</v>
      </c>
      <c r="G6723" t="s">
        <v>66</v>
      </c>
      <c r="H6723" t="s">
        <v>67</v>
      </c>
      <c r="S6723">
        <v>1</v>
      </c>
      <c r="T6723">
        <v>0</v>
      </c>
      <c r="U6723">
        <v>0</v>
      </c>
      <c r="V6723">
        <v>0</v>
      </c>
      <c r="W6723">
        <v>1</v>
      </c>
      <c r="X6723">
        <v>0</v>
      </c>
      <c r="Y6723">
        <v>1</v>
      </c>
      <c r="Z6723">
        <v>0</v>
      </c>
      <c r="AA6723">
        <v>1</v>
      </c>
      <c r="AB6723">
        <v>0</v>
      </c>
      <c r="AC6723">
        <v>0</v>
      </c>
      <c r="AD6723">
        <v>1</v>
      </c>
      <c r="AE6723">
        <v>1</v>
      </c>
      <c r="AF6723">
        <v>1</v>
      </c>
      <c r="AG6723">
        <v>1</v>
      </c>
      <c r="AH6723">
        <v>1</v>
      </c>
      <c r="AI6723">
        <v>1</v>
      </c>
      <c r="AJ6723">
        <v>1</v>
      </c>
      <c r="AK6723">
        <v>1</v>
      </c>
      <c r="AL6723">
        <v>1</v>
      </c>
      <c r="AM6723">
        <v>1</v>
      </c>
    </row>
    <row r="6724" spans="1:39" x14ac:dyDescent="0.2">
      <c r="A6724" t="str">
        <f>"6720"</f>
        <v>6720</v>
      </c>
      <c r="B6724" t="str">
        <f t="shared" si="374"/>
        <v>1</v>
      </c>
      <c r="C6724" t="str">
        <f t="shared" si="373"/>
        <v>135</v>
      </c>
      <c r="D6724" t="str">
        <f>"38"</f>
        <v>38</v>
      </c>
      <c r="E6724" t="str">
        <f>"1-135-38"</f>
        <v>1-135-38</v>
      </c>
      <c r="F6724" t="s">
        <v>65</v>
      </c>
      <c r="G6724" t="s">
        <v>66</v>
      </c>
      <c r="H6724" t="s">
        <v>67</v>
      </c>
      <c r="S6724">
        <v>1</v>
      </c>
      <c r="T6724">
        <v>0</v>
      </c>
      <c r="U6724">
        <v>0</v>
      </c>
      <c r="V6724">
        <v>0</v>
      </c>
      <c r="W6724">
        <v>1</v>
      </c>
      <c r="X6724">
        <v>0</v>
      </c>
      <c r="Y6724">
        <v>1</v>
      </c>
      <c r="Z6724">
        <v>0</v>
      </c>
      <c r="AA6724">
        <v>1</v>
      </c>
      <c r="AB6724">
        <v>0</v>
      </c>
      <c r="AC6724">
        <v>0</v>
      </c>
      <c r="AD6724">
        <v>1</v>
      </c>
      <c r="AE6724">
        <v>1</v>
      </c>
      <c r="AF6724">
        <v>1</v>
      </c>
      <c r="AG6724">
        <v>1</v>
      </c>
      <c r="AH6724">
        <v>1</v>
      </c>
      <c r="AI6724">
        <v>1</v>
      </c>
      <c r="AJ6724">
        <v>1</v>
      </c>
      <c r="AK6724">
        <v>1</v>
      </c>
      <c r="AL6724">
        <v>1</v>
      </c>
      <c r="AM6724">
        <v>1</v>
      </c>
    </row>
    <row r="6725" spans="1:39" x14ac:dyDescent="0.2">
      <c r="A6725" t="str">
        <f>"6721"</f>
        <v>6721</v>
      </c>
      <c r="B6725" t="str">
        <f t="shared" si="374"/>
        <v>1</v>
      </c>
      <c r="C6725" t="str">
        <f t="shared" si="373"/>
        <v>135</v>
      </c>
      <c r="D6725" t="str">
        <f>"19"</f>
        <v>19</v>
      </c>
      <c r="E6725" t="str">
        <f>"1-135-19"</f>
        <v>1-135-19</v>
      </c>
      <c r="F6725" t="s">
        <v>65</v>
      </c>
      <c r="G6725" t="s">
        <v>66</v>
      </c>
      <c r="H6725" t="s">
        <v>67</v>
      </c>
      <c r="S6725">
        <v>1</v>
      </c>
      <c r="T6725">
        <v>0</v>
      </c>
      <c r="U6725">
        <v>0</v>
      </c>
      <c r="V6725">
        <v>0</v>
      </c>
      <c r="W6725">
        <v>1</v>
      </c>
      <c r="X6725">
        <v>0</v>
      </c>
      <c r="Y6725">
        <v>1</v>
      </c>
      <c r="Z6725">
        <v>0</v>
      </c>
      <c r="AA6725">
        <v>1</v>
      </c>
      <c r="AB6725">
        <v>0</v>
      </c>
      <c r="AC6725">
        <v>0</v>
      </c>
      <c r="AD6725">
        <v>1</v>
      </c>
      <c r="AE6725">
        <v>1</v>
      </c>
      <c r="AF6725">
        <v>1</v>
      </c>
      <c r="AG6725">
        <v>1</v>
      </c>
      <c r="AH6725">
        <v>1</v>
      </c>
      <c r="AI6725">
        <v>1</v>
      </c>
      <c r="AJ6725">
        <v>1</v>
      </c>
      <c r="AK6725">
        <v>1</v>
      </c>
      <c r="AL6725">
        <v>1</v>
      </c>
      <c r="AM6725">
        <v>1</v>
      </c>
    </row>
    <row r="6726" spans="1:39" x14ac:dyDescent="0.2">
      <c r="A6726" t="str">
        <f>"6722"</f>
        <v>6722</v>
      </c>
      <c r="B6726" t="str">
        <f t="shared" si="374"/>
        <v>1</v>
      </c>
      <c r="C6726" t="str">
        <f t="shared" si="373"/>
        <v>135</v>
      </c>
      <c r="D6726" t="str">
        <f>"8"</f>
        <v>8</v>
      </c>
      <c r="E6726" t="str">
        <f>"1-135-8"</f>
        <v>1-135-8</v>
      </c>
      <c r="F6726" t="s">
        <v>65</v>
      </c>
      <c r="G6726" t="s">
        <v>66</v>
      </c>
      <c r="H6726" t="s">
        <v>67</v>
      </c>
      <c r="S6726">
        <v>1</v>
      </c>
      <c r="T6726">
        <v>0</v>
      </c>
      <c r="U6726">
        <v>0</v>
      </c>
      <c r="V6726">
        <v>0</v>
      </c>
      <c r="W6726">
        <v>1</v>
      </c>
      <c r="X6726">
        <v>0</v>
      </c>
      <c r="Y6726">
        <v>0</v>
      </c>
      <c r="Z6726">
        <v>1</v>
      </c>
      <c r="AA6726">
        <v>0</v>
      </c>
      <c r="AB6726">
        <v>1</v>
      </c>
      <c r="AC6726">
        <v>0</v>
      </c>
      <c r="AD6726">
        <v>1</v>
      </c>
      <c r="AE6726">
        <v>1</v>
      </c>
      <c r="AF6726">
        <v>1</v>
      </c>
      <c r="AG6726">
        <v>1</v>
      </c>
      <c r="AH6726">
        <v>1</v>
      </c>
      <c r="AI6726">
        <v>1</v>
      </c>
      <c r="AJ6726">
        <v>1</v>
      </c>
      <c r="AK6726">
        <v>1</v>
      </c>
      <c r="AL6726">
        <v>1</v>
      </c>
      <c r="AM6726">
        <v>1</v>
      </c>
    </row>
    <row r="6727" spans="1:39" x14ac:dyDescent="0.2">
      <c r="A6727" t="str">
        <f>"6723"</f>
        <v>6723</v>
      </c>
      <c r="B6727" t="str">
        <f t="shared" si="374"/>
        <v>1</v>
      </c>
      <c r="C6727" t="str">
        <f t="shared" si="373"/>
        <v>135</v>
      </c>
      <c r="D6727" t="str">
        <f>"35"</f>
        <v>35</v>
      </c>
      <c r="E6727" t="str">
        <f>"1-135-35"</f>
        <v>1-135-35</v>
      </c>
      <c r="F6727" t="s">
        <v>65</v>
      </c>
      <c r="G6727" t="s">
        <v>66</v>
      </c>
      <c r="H6727" t="s">
        <v>67</v>
      </c>
      <c r="S6727">
        <v>1</v>
      </c>
      <c r="T6727">
        <v>0</v>
      </c>
      <c r="U6727">
        <v>0</v>
      </c>
      <c r="V6727">
        <v>0</v>
      </c>
      <c r="W6727">
        <v>1</v>
      </c>
      <c r="X6727">
        <v>0</v>
      </c>
      <c r="Y6727">
        <v>1</v>
      </c>
      <c r="Z6727">
        <v>0</v>
      </c>
      <c r="AA6727">
        <v>0</v>
      </c>
      <c r="AB6727">
        <v>0</v>
      </c>
      <c r="AC6727">
        <v>1</v>
      </c>
      <c r="AD6727">
        <v>1</v>
      </c>
      <c r="AE6727">
        <v>1</v>
      </c>
      <c r="AF6727">
        <v>1</v>
      </c>
      <c r="AG6727">
        <v>1</v>
      </c>
      <c r="AH6727">
        <v>1</v>
      </c>
      <c r="AI6727">
        <v>1</v>
      </c>
      <c r="AJ6727">
        <v>1</v>
      </c>
      <c r="AK6727">
        <v>1</v>
      </c>
      <c r="AL6727">
        <v>1</v>
      </c>
      <c r="AM6727">
        <v>1</v>
      </c>
    </row>
    <row r="6728" spans="1:39" x14ac:dyDescent="0.2">
      <c r="A6728" t="str">
        <f>"6724"</f>
        <v>6724</v>
      </c>
      <c r="B6728" t="str">
        <f t="shared" si="374"/>
        <v>1</v>
      </c>
      <c r="C6728" t="str">
        <f t="shared" si="373"/>
        <v>135</v>
      </c>
      <c r="D6728" t="str">
        <f>"20"</f>
        <v>20</v>
      </c>
      <c r="E6728" t="str">
        <f>"1-135-20"</f>
        <v>1-135-20</v>
      </c>
      <c r="F6728" t="s">
        <v>65</v>
      </c>
      <c r="G6728" t="s">
        <v>66</v>
      </c>
      <c r="H6728" t="s">
        <v>67</v>
      </c>
      <c r="S6728">
        <v>1</v>
      </c>
      <c r="T6728">
        <v>0</v>
      </c>
      <c r="U6728">
        <v>0</v>
      </c>
      <c r="V6728">
        <v>0</v>
      </c>
      <c r="W6728">
        <v>1</v>
      </c>
      <c r="X6728">
        <v>0</v>
      </c>
      <c r="Y6728">
        <v>1</v>
      </c>
      <c r="Z6728">
        <v>0</v>
      </c>
      <c r="AA6728">
        <v>1</v>
      </c>
      <c r="AB6728">
        <v>0</v>
      </c>
      <c r="AC6728">
        <v>0</v>
      </c>
      <c r="AD6728">
        <v>1</v>
      </c>
      <c r="AE6728">
        <v>1</v>
      </c>
      <c r="AF6728">
        <v>1</v>
      </c>
      <c r="AG6728">
        <v>1</v>
      </c>
      <c r="AH6728">
        <v>1</v>
      </c>
      <c r="AI6728">
        <v>1</v>
      </c>
      <c r="AJ6728">
        <v>1</v>
      </c>
      <c r="AK6728">
        <v>1</v>
      </c>
      <c r="AL6728">
        <v>1</v>
      </c>
      <c r="AM6728">
        <v>1</v>
      </c>
    </row>
    <row r="6729" spans="1:39" x14ac:dyDescent="0.2">
      <c r="A6729" t="str">
        <f>"6725"</f>
        <v>6725</v>
      </c>
      <c r="B6729" t="str">
        <f t="shared" si="374"/>
        <v>1</v>
      </c>
      <c r="C6729" t="str">
        <f t="shared" si="373"/>
        <v>135</v>
      </c>
      <c r="D6729" t="str">
        <f>"4"</f>
        <v>4</v>
      </c>
      <c r="E6729" t="str">
        <f>"1-135-4"</f>
        <v>1-135-4</v>
      </c>
      <c r="F6729" t="s">
        <v>65</v>
      </c>
      <c r="G6729" t="s">
        <v>66</v>
      </c>
      <c r="H6729" t="s">
        <v>67</v>
      </c>
      <c r="S6729">
        <v>1</v>
      </c>
      <c r="T6729">
        <v>0</v>
      </c>
      <c r="U6729">
        <v>0</v>
      </c>
      <c r="V6729">
        <v>0</v>
      </c>
      <c r="W6729">
        <v>1</v>
      </c>
      <c r="X6729">
        <v>0</v>
      </c>
      <c r="Y6729">
        <v>1</v>
      </c>
      <c r="Z6729">
        <v>0</v>
      </c>
      <c r="AA6729">
        <v>0</v>
      </c>
      <c r="AB6729">
        <v>0</v>
      </c>
      <c r="AC6729">
        <v>0</v>
      </c>
      <c r="AD6729">
        <v>1</v>
      </c>
      <c r="AE6729">
        <v>1</v>
      </c>
      <c r="AF6729">
        <v>1</v>
      </c>
      <c r="AG6729">
        <v>1</v>
      </c>
      <c r="AH6729">
        <v>1</v>
      </c>
      <c r="AI6729">
        <v>1</v>
      </c>
      <c r="AJ6729">
        <v>1</v>
      </c>
      <c r="AK6729">
        <v>1</v>
      </c>
      <c r="AL6729">
        <v>1</v>
      </c>
      <c r="AM6729">
        <v>1</v>
      </c>
    </row>
    <row r="6730" spans="1:39" x14ac:dyDescent="0.2">
      <c r="A6730" t="str">
        <f>"6726"</f>
        <v>6726</v>
      </c>
      <c r="B6730" t="str">
        <f t="shared" si="374"/>
        <v>1</v>
      </c>
      <c r="C6730" t="str">
        <f t="shared" si="373"/>
        <v>135</v>
      </c>
      <c r="D6730" t="str">
        <f>"43"</f>
        <v>43</v>
      </c>
      <c r="E6730" t="str">
        <f>"1-135-43"</f>
        <v>1-135-43</v>
      </c>
      <c r="F6730" t="s">
        <v>65</v>
      </c>
      <c r="G6730" t="s">
        <v>66</v>
      </c>
      <c r="H6730" t="s">
        <v>67</v>
      </c>
      <c r="S6730">
        <v>1</v>
      </c>
      <c r="T6730">
        <v>0</v>
      </c>
      <c r="U6730">
        <v>0</v>
      </c>
      <c r="V6730">
        <v>0</v>
      </c>
      <c r="W6730">
        <v>1</v>
      </c>
      <c r="X6730">
        <v>0</v>
      </c>
      <c r="Y6730">
        <v>0</v>
      </c>
      <c r="Z6730">
        <v>1</v>
      </c>
      <c r="AA6730">
        <v>0</v>
      </c>
      <c r="AB6730">
        <v>0</v>
      </c>
      <c r="AC6730">
        <v>1</v>
      </c>
      <c r="AD6730">
        <v>1</v>
      </c>
      <c r="AE6730">
        <v>1</v>
      </c>
      <c r="AF6730">
        <v>1</v>
      </c>
      <c r="AG6730">
        <v>1</v>
      </c>
      <c r="AH6730">
        <v>1</v>
      </c>
      <c r="AI6730">
        <v>1</v>
      </c>
      <c r="AJ6730">
        <v>1</v>
      </c>
      <c r="AK6730">
        <v>1</v>
      </c>
      <c r="AL6730">
        <v>1</v>
      </c>
      <c r="AM6730">
        <v>1</v>
      </c>
    </row>
    <row r="6731" spans="1:39" x14ac:dyDescent="0.2">
      <c r="A6731" t="str">
        <f>"6727"</f>
        <v>6727</v>
      </c>
      <c r="B6731" t="str">
        <f t="shared" si="374"/>
        <v>1</v>
      </c>
      <c r="C6731" t="str">
        <f t="shared" si="373"/>
        <v>135</v>
      </c>
      <c r="D6731" t="str">
        <f>"22"</f>
        <v>22</v>
      </c>
      <c r="E6731" t="str">
        <f>"1-135-22"</f>
        <v>1-135-22</v>
      </c>
      <c r="F6731" t="s">
        <v>65</v>
      </c>
      <c r="G6731" t="s">
        <v>66</v>
      </c>
      <c r="H6731" t="s">
        <v>67</v>
      </c>
      <c r="S6731">
        <v>1</v>
      </c>
      <c r="T6731">
        <v>0</v>
      </c>
      <c r="U6731">
        <v>0</v>
      </c>
      <c r="V6731">
        <v>0</v>
      </c>
      <c r="W6731">
        <v>1</v>
      </c>
      <c r="X6731">
        <v>0</v>
      </c>
      <c r="Y6731">
        <v>1</v>
      </c>
      <c r="Z6731">
        <v>0</v>
      </c>
      <c r="AA6731">
        <v>1</v>
      </c>
      <c r="AB6731">
        <v>0</v>
      </c>
      <c r="AC6731">
        <v>0</v>
      </c>
      <c r="AD6731">
        <v>1</v>
      </c>
      <c r="AE6731">
        <v>1</v>
      </c>
      <c r="AF6731">
        <v>1</v>
      </c>
      <c r="AG6731">
        <v>1</v>
      </c>
      <c r="AH6731">
        <v>1</v>
      </c>
      <c r="AI6731">
        <v>1</v>
      </c>
      <c r="AJ6731">
        <v>1</v>
      </c>
      <c r="AK6731">
        <v>1</v>
      </c>
      <c r="AL6731">
        <v>1</v>
      </c>
      <c r="AM6731">
        <v>1</v>
      </c>
    </row>
    <row r="6732" spans="1:39" x14ac:dyDescent="0.2">
      <c r="A6732" t="str">
        <f>"6728"</f>
        <v>6728</v>
      </c>
      <c r="B6732" t="str">
        <f t="shared" si="374"/>
        <v>1</v>
      </c>
      <c r="C6732" t="str">
        <f t="shared" si="373"/>
        <v>135</v>
      </c>
      <c r="D6732" t="str">
        <f>"5"</f>
        <v>5</v>
      </c>
      <c r="E6732" t="str">
        <f>"1-135-5"</f>
        <v>1-135-5</v>
      </c>
      <c r="F6732" t="s">
        <v>65</v>
      </c>
      <c r="G6732" t="s">
        <v>66</v>
      </c>
      <c r="H6732" t="s">
        <v>67</v>
      </c>
      <c r="S6732">
        <v>1</v>
      </c>
      <c r="T6732">
        <v>0</v>
      </c>
      <c r="U6732">
        <v>0</v>
      </c>
      <c r="V6732">
        <v>0</v>
      </c>
      <c r="W6732">
        <v>1</v>
      </c>
      <c r="X6732">
        <v>0</v>
      </c>
      <c r="Y6732">
        <v>1</v>
      </c>
      <c r="Z6732">
        <v>0</v>
      </c>
      <c r="AA6732">
        <v>0</v>
      </c>
      <c r="AB6732">
        <v>0</v>
      </c>
      <c r="AC6732">
        <v>1</v>
      </c>
      <c r="AD6732">
        <v>1</v>
      </c>
      <c r="AE6732">
        <v>1</v>
      </c>
      <c r="AF6732">
        <v>1</v>
      </c>
      <c r="AG6732">
        <v>1</v>
      </c>
      <c r="AH6732">
        <v>1</v>
      </c>
      <c r="AI6732">
        <v>1</v>
      </c>
      <c r="AJ6732">
        <v>1</v>
      </c>
      <c r="AK6732">
        <v>1</v>
      </c>
      <c r="AL6732">
        <v>1</v>
      </c>
      <c r="AM6732">
        <v>1</v>
      </c>
    </row>
    <row r="6733" spans="1:39" x14ac:dyDescent="0.2">
      <c r="A6733" t="str">
        <f>"6729"</f>
        <v>6729</v>
      </c>
      <c r="B6733" t="str">
        <f t="shared" si="374"/>
        <v>1</v>
      </c>
      <c r="C6733" t="str">
        <f t="shared" si="373"/>
        <v>135</v>
      </c>
      <c r="D6733" t="str">
        <f>"44"</f>
        <v>44</v>
      </c>
      <c r="E6733" t="str">
        <f>"1-135-44"</f>
        <v>1-135-44</v>
      </c>
      <c r="F6733" t="s">
        <v>65</v>
      </c>
      <c r="G6733" t="s">
        <v>66</v>
      </c>
      <c r="H6733" t="s">
        <v>67</v>
      </c>
      <c r="S6733">
        <v>1</v>
      </c>
      <c r="T6733">
        <v>0</v>
      </c>
      <c r="U6733">
        <v>0</v>
      </c>
      <c r="V6733">
        <v>0</v>
      </c>
      <c r="W6733">
        <v>1</v>
      </c>
      <c r="X6733">
        <v>0</v>
      </c>
      <c r="Y6733">
        <v>1</v>
      </c>
      <c r="Z6733">
        <v>0</v>
      </c>
      <c r="AA6733">
        <v>0</v>
      </c>
      <c r="AB6733">
        <v>0</v>
      </c>
      <c r="AC6733">
        <v>1</v>
      </c>
      <c r="AD6733">
        <v>1</v>
      </c>
      <c r="AE6733">
        <v>1</v>
      </c>
      <c r="AF6733">
        <v>1</v>
      </c>
      <c r="AG6733">
        <v>1</v>
      </c>
      <c r="AH6733">
        <v>1</v>
      </c>
      <c r="AI6733">
        <v>1</v>
      </c>
      <c r="AJ6733">
        <v>1</v>
      </c>
      <c r="AK6733">
        <v>1</v>
      </c>
      <c r="AL6733">
        <v>1</v>
      </c>
      <c r="AM6733">
        <v>1</v>
      </c>
    </row>
    <row r="6734" spans="1:39" x14ac:dyDescent="0.2">
      <c r="A6734" t="str">
        <f>"6730"</f>
        <v>6730</v>
      </c>
      <c r="B6734" t="str">
        <f t="shared" si="374"/>
        <v>1</v>
      </c>
      <c r="C6734" t="str">
        <f t="shared" si="373"/>
        <v>135</v>
      </c>
      <c r="D6734" t="str">
        <f>"23"</f>
        <v>23</v>
      </c>
      <c r="E6734" t="str">
        <f>"1-135-23"</f>
        <v>1-135-23</v>
      </c>
      <c r="F6734" t="s">
        <v>65</v>
      </c>
      <c r="G6734" t="s">
        <v>66</v>
      </c>
      <c r="H6734" t="s">
        <v>67</v>
      </c>
      <c r="S6734">
        <v>1</v>
      </c>
      <c r="T6734">
        <v>0</v>
      </c>
      <c r="U6734">
        <v>0</v>
      </c>
      <c r="V6734">
        <v>0</v>
      </c>
      <c r="W6734">
        <v>1</v>
      </c>
      <c r="X6734">
        <v>0</v>
      </c>
      <c r="Y6734">
        <v>1</v>
      </c>
      <c r="Z6734">
        <v>0</v>
      </c>
      <c r="AA6734">
        <v>1</v>
      </c>
      <c r="AB6734">
        <v>0</v>
      </c>
      <c r="AC6734">
        <v>0</v>
      </c>
      <c r="AD6734">
        <v>1</v>
      </c>
      <c r="AE6734">
        <v>1</v>
      </c>
      <c r="AF6734">
        <v>1</v>
      </c>
      <c r="AG6734">
        <v>1</v>
      </c>
      <c r="AH6734">
        <v>1</v>
      </c>
      <c r="AI6734">
        <v>0</v>
      </c>
      <c r="AJ6734">
        <v>1</v>
      </c>
      <c r="AK6734">
        <v>1</v>
      </c>
      <c r="AL6734">
        <v>1</v>
      </c>
      <c r="AM6734">
        <v>1</v>
      </c>
    </row>
    <row r="6735" spans="1:39" x14ac:dyDescent="0.2">
      <c r="A6735" t="str">
        <f>"6731"</f>
        <v>6731</v>
      </c>
      <c r="B6735" t="str">
        <f t="shared" si="374"/>
        <v>1</v>
      </c>
      <c r="C6735" t="str">
        <f t="shared" si="373"/>
        <v>135</v>
      </c>
      <c r="D6735" t="str">
        <f>"7"</f>
        <v>7</v>
      </c>
      <c r="E6735" t="str">
        <f>"1-135-7"</f>
        <v>1-135-7</v>
      </c>
      <c r="F6735" t="s">
        <v>65</v>
      </c>
      <c r="G6735" t="s">
        <v>66</v>
      </c>
      <c r="H6735" t="s">
        <v>67</v>
      </c>
      <c r="S6735">
        <v>0</v>
      </c>
      <c r="T6735">
        <v>1</v>
      </c>
      <c r="U6735">
        <v>0</v>
      </c>
      <c r="V6735">
        <v>0</v>
      </c>
      <c r="W6735">
        <v>1</v>
      </c>
      <c r="X6735">
        <v>0</v>
      </c>
      <c r="Y6735">
        <v>0</v>
      </c>
      <c r="Z6735">
        <v>1</v>
      </c>
      <c r="AA6735">
        <v>0</v>
      </c>
      <c r="AB6735">
        <v>0</v>
      </c>
      <c r="AC6735">
        <v>1</v>
      </c>
      <c r="AD6735">
        <v>0</v>
      </c>
      <c r="AE6735">
        <v>0</v>
      </c>
      <c r="AF6735">
        <v>0</v>
      </c>
      <c r="AG6735">
        <v>1</v>
      </c>
      <c r="AH6735">
        <v>1</v>
      </c>
      <c r="AI6735">
        <v>0</v>
      </c>
      <c r="AJ6735">
        <v>0</v>
      </c>
      <c r="AK6735">
        <v>0</v>
      </c>
      <c r="AL6735">
        <v>0</v>
      </c>
      <c r="AM6735">
        <v>0</v>
      </c>
    </row>
    <row r="6736" spans="1:39" x14ac:dyDescent="0.2">
      <c r="A6736" t="str">
        <f>"6732"</f>
        <v>6732</v>
      </c>
      <c r="B6736" t="str">
        <f t="shared" si="374"/>
        <v>1</v>
      </c>
      <c r="C6736" t="str">
        <f t="shared" si="373"/>
        <v>135</v>
      </c>
      <c r="D6736" t="str">
        <f>"46"</f>
        <v>46</v>
      </c>
      <c r="E6736" t="str">
        <f>"1-135-46"</f>
        <v>1-135-46</v>
      </c>
      <c r="F6736" t="s">
        <v>65</v>
      </c>
      <c r="G6736" t="s">
        <v>66</v>
      </c>
      <c r="H6736" t="s">
        <v>67</v>
      </c>
      <c r="S6736">
        <v>0</v>
      </c>
      <c r="T6736">
        <v>1</v>
      </c>
      <c r="U6736">
        <v>0</v>
      </c>
      <c r="V6736">
        <v>0</v>
      </c>
      <c r="W6736">
        <v>0</v>
      </c>
      <c r="X6736">
        <v>1</v>
      </c>
      <c r="Y6736">
        <v>0</v>
      </c>
      <c r="Z6736">
        <v>1</v>
      </c>
      <c r="AA6736">
        <v>0</v>
      </c>
      <c r="AB6736">
        <v>1</v>
      </c>
      <c r="AC6736">
        <v>0</v>
      </c>
      <c r="AD6736">
        <v>1</v>
      </c>
      <c r="AE6736">
        <v>1</v>
      </c>
      <c r="AF6736">
        <v>1</v>
      </c>
      <c r="AG6736">
        <v>1</v>
      </c>
      <c r="AH6736">
        <v>1</v>
      </c>
      <c r="AI6736">
        <v>1</v>
      </c>
      <c r="AJ6736">
        <v>1</v>
      </c>
      <c r="AK6736">
        <v>1</v>
      </c>
      <c r="AL6736">
        <v>1</v>
      </c>
      <c r="AM6736">
        <v>0</v>
      </c>
    </row>
    <row r="6737" spans="1:39" x14ac:dyDescent="0.2">
      <c r="A6737" t="str">
        <f>"6733"</f>
        <v>6733</v>
      </c>
      <c r="B6737" t="str">
        <f t="shared" si="374"/>
        <v>1</v>
      </c>
      <c r="C6737" t="str">
        <f t="shared" ref="C6737:C6754" si="375">"135"</f>
        <v>135</v>
      </c>
      <c r="D6737" t="str">
        <f>"24"</f>
        <v>24</v>
      </c>
      <c r="E6737" t="str">
        <f>"1-135-24"</f>
        <v>1-135-24</v>
      </c>
      <c r="F6737" t="s">
        <v>65</v>
      </c>
      <c r="G6737" t="s">
        <v>66</v>
      </c>
      <c r="H6737" t="s">
        <v>67</v>
      </c>
      <c r="S6737">
        <v>1</v>
      </c>
      <c r="T6737">
        <v>0</v>
      </c>
      <c r="U6737">
        <v>0</v>
      </c>
      <c r="V6737">
        <v>0</v>
      </c>
      <c r="W6737">
        <v>1</v>
      </c>
      <c r="X6737">
        <v>0</v>
      </c>
      <c r="Y6737">
        <v>1</v>
      </c>
      <c r="Z6737">
        <v>0</v>
      </c>
      <c r="AA6737">
        <v>1</v>
      </c>
      <c r="AB6737">
        <v>0</v>
      </c>
      <c r="AC6737">
        <v>0</v>
      </c>
      <c r="AD6737">
        <v>1</v>
      </c>
      <c r="AE6737">
        <v>1</v>
      </c>
      <c r="AF6737">
        <v>1</v>
      </c>
      <c r="AG6737">
        <v>1</v>
      </c>
      <c r="AH6737">
        <v>1</v>
      </c>
      <c r="AI6737">
        <v>0</v>
      </c>
      <c r="AJ6737">
        <v>1</v>
      </c>
      <c r="AK6737">
        <v>1</v>
      </c>
      <c r="AL6737">
        <v>1</v>
      </c>
      <c r="AM6737">
        <v>1</v>
      </c>
    </row>
    <row r="6738" spans="1:39" x14ac:dyDescent="0.2">
      <c r="A6738" t="str">
        <f>"6734"</f>
        <v>6734</v>
      </c>
      <c r="B6738" t="str">
        <f t="shared" si="374"/>
        <v>1</v>
      </c>
      <c r="C6738" t="str">
        <f t="shared" si="375"/>
        <v>135</v>
      </c>
      <c r="D6738" t="str">
        <f>"3"</f>
        <v>3</v>
      </c>
      <c r="E6738" t="str">
        <f>"1-135-3"</f>
        <v>1-135-3</v>
      </c>
      <c r="F6738" t="s">
        <v>65</v>
      </c>
      <c r="G6738" t="s">
        <v>66</v>
      </c>
      <c r="H6738" t="s">
        <v>67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1</v>
      </c>
      <c r="Y6738">
        <v>1</v>
      </c>
      <c r="Z6738">
        <v>0</v>
      </c>
      <c r="AA6738">
        <v>0</v>
      </c>
      <c r="AB6738">
        <v>0</v>
      </c>
      <c r="AC6738">
        <v>1</v>
      </c>
      <c r="AD6738">
        <v>1</v>
      </c>
      <c r="AE6738">
        <v>1</v>
      </c>
      <c r="AF6738">
        <v>1</v>
      </c>
      <c r="AG6738">
        <v>1</v>
      </c>
      <c r="AH6738">
        <v>1</v>
      </c>
      <c r="AI6738">
        <v>1</v>
      </c>
      <c r="AJ6738">
        <v>1</v>
      </c>
      <c r="AK6738">
        <v>1</v>
      </c>
      <c r="AL6738">
        <v>1</v>
      </c>
      <c r="AM6738">
        <v>1</v>
      </c>
    </row>
    <row r="6739" spans="1:39" x14ac:dyDescent="0.2">
      <c r="A6739" t="str">
        <f>"6735"</f>
        <v>6735</v>
      </c>
      <c r="B6739" t="str">
        <f t="shared" si="374"/>
        <v>1</v>
      </c>
      <c r="C6739" t="str">
        <f t="shared" si="375"/>
        <v>135</v>
      </c>
      <c r="D6739" t="str">
        <f>"45"</f>
        <v>45</v>
      </c>
      <c r="E6739" t="str">
        <f>"1-135-45"</f>
        <v>1-135-45</v>
      </c>
      <c r="F6739" t="s">
        <v>65</v>
      </c>
      <c r="G6739" t="s">
        <v>66</v>
      </c>
      <c r="H6739" t="s">
        <v>67</v>
      </c>
      <c r="S6739">
        <v>0</v>
      </c>
      <c r="T6739">
        <v>1</v>
      </c>
      <c r="U6739">
        <v>0</v>
      </c>
      <c r="V6739">
        <v>0</v>
      </c>
      <c r="W6739">
        <v>1</v>
      </c>
      <c r="X6739">
        <v>0</v>
      </c>
      <c r="Y6739">
        <v>0</v>
      </c>
      <c r="Z6739">
        <v>1</v>
      </c>
      <c r="AA6739">
        <v>0</v>
      </c>
      <c r="AB6739">
        <v>1</v>
      </c>
      <c r="AC6739">
        <v>0</v>
      </c>
      <c r="AD6739">
        <v>1</v>
      </c>
      <c r="AE6739">
        <v>1</v>
      </c>
      <c r="AF6739">
        <v>1</v>
      </c>
      <c r="AG6739">
        <v>1</v>
      </c>
      <c r="AH6739">
        <v>1</v>
      </c>
      <c r="AI6739">
        <v>1</v>
      </c>
      <c r="AJ6739">
        <v>1</v>
      </c>
      <c r="AK6739">
        <v>1</v>
      </c>
      <c r="AL6739">
        <v>1</v>
      </c>
      <c r="AM6739">
        <v>1</v>
      </c>
    </row>
    <row r="6740" spans="1:39" x14ac:dyDescent="0.2">
      <c r="A6740" t="str">
        <f>"6736"</f>
        <v>6736</v>
      </c>
      <c r="B6740" t="str">
        <f t="shared" si="374"/>
        <v>1</v>
      </c>
      <c r="C6740" t="str">
        <f t="shared" si="375"/>
        <v>135</v>
      </c>
      <c r="D6740" t="str">
        <f>"26"</f>
        <v>26</v>
      </c>
      <c r="E6740" t="str">
        <f>"1-135-26"</f>
        <v>1-135-26</v>
      </c>
      <c r="F6740" t="s">
        <v>65</v>
      </c>
      <c r="G6740" t="s">
        <v>66</v>
      </c>
      <c r="H6740" t="s">
        <v>67</v>
      </c>
      <c r="S6740">
        <v>1</v>
      </c>
      <c r="T6740">
        <v>0</v>
      </c>
      <c r="U6740">
        <v>0</v>
      </c>
      <c r="V6740">
        <v>0</v>
      </c>
      <c r="W6740">
        <v>1</v>
      </c>
      <c r="X6740">
        <v>0</v>
      </c>
      <c r="Y6740">
        <v>1</v>
      </c>
      <c r="Z6740">
        <v>0</v>
      </c>
      <c r="AA6740">
        <v>1</v>
      </c>
      <c r="AB6740">
        <v>0</v>
      </c>
      <c r="AC6740">
        <v>0</v>
      </c>
      <c r="AD6740">
        <v>1</v>
      </c>
      <c r="AE6740">
        <v>1</v>
      </c>
      <c r="AF6740">
        <v>1</v>
      </c>
      <c r="AG6740">
        <v>1</v>
      </c>
      <c r="AH6740">
        <v>1</v>
      </c>
      <c r="AI6740">
        <v>1</v>
      </c>
      <c r="AJ6740">
        <v>1</v>
      </c>
      <c r="AK6740">
        <v>1</v>
      </c>
      <c r="AL6740">
        <v>1</v>
      </c>
      <c r="AM6740">
        <v>1</v>
      </c>
    </row>
    <row r="6741" spans="1:39" x14ac:dyDescent="0.2">
      <c r="A6741" t="str">
        <f>"6737"</f>
        <v>6737</v>
      </c>
      <c r="B6741" t="str">
        <f t="shared" si="374"/>
        <v>1</v>
      </c>
      <c r="C6741" t="str">
        <f t="shared" si="375"/>
        <v>135</v>
      </c>
      <c r="D6741" t="str">
        <f>"11"</f>
        <v>11</v>
      </c>
      <c r="E6741" t="str">
        <f>"1-135-11"</f>
        <v>1-135-11</v>
      </c>
      <c r="F6741" t="s">
        <v>65</v>
      </c>
      <c r="G6741" t="s">
        <v>66</v>
      </c>
      <c r="H6741" t="s">
        <v>67</v>
      </c>
      <c r="S6741">
        <v>0</v>
      </c>
      <c r="T6741">
        <v>0</v>
      </c>
      <c r="U6741">
        <v>0</v>
      </c>
      <c r="V6741">
        <v>0</v>
      </c>
      <c r="W6741">
        <v>1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1</v>
      </c>
      <c r="AJ6741">
        <v>0</v>
      </c>
      <c r="AK6741">
        <v>0</v>
      </c>
      <c r="AL6741">
        <v>1</v>
      </c>
      <c r="AM6741">
        <v>0</v>
      </c>
    </row>
    <row r="6742" spans="1:39" x14ac:dyDescent="0.2">
      <c r="A6742" t="str">
        <f>"6738"</f>
        <v>6738</v>
      </c>
      <c r="B6742" t="str">
        <f t="shared" si="374"/>
        <v>1</v>
      </c>
      <c r="C6742" t="str">
        <f t="shared" si="375"/>
        <v>135</v>
      </c>
      <c r="D6742" t="str">
        <f>"48"</f>
        <v>48</v>
      </c>
      <c r="E6742" t="str">
        <f>"1-135-48"</f>
        <v>1-135-48</v>
      </c>
      <c r="F6742" t="s">
        <v>65</v>
      </c>
      <c r="G6742" t="s">
        <v>66</v>
      </c>
      <c r="H6742" t="s">
        <v>67</v>
      </c>
      <c r="S6742">
        <v>1</v>
      </c>
      <c r="T6742">
        <v>0</v>
      </c>
      <c r="U6742">
        <v>0</v>
      </c>
      <c r="V6742">
        <v>0</v>
      </c>
      <c r="W6742">
        <v>1</v>
      </c>
      <c r="X6742">
        <v>0</v>
      </c>
      <c r="Y6742">
        <v>1</v>
      </c>
      <c r="Z6742">
        <v>0</v>
      </c>
      <c r="AA6742">
        <v>0</v>
      </c>
      <c r="AB6742">
        <v>1</v>
      </c>
      <c r="AC6742">
        <v>0</v>
      </c>
      <c r="AD6742">
        <v>1</v>
      </c>
      <c r="AE6742">
        <v>1</v>
      </c>
      <c r="AF6742">
        <v>1</v>
      </c>
      <c r="AG6742">
        <v>1</v>
      </c>
      <c r="AH6742">
        <v>1</v>
      </c>
      <c r="AI6742">
        <v>1</v>
      </c>
      <c r="AJ6742">
        <v>1</v>
      </c>
      <c r="AK6742">
        <v>1</v>
      </c>
      <c r="AL6742">
        <v>1</v>
      </c>
      <c r="AM6742">
        <v>1</v>
      </c>
    </row>
    <row r="6743" spans="1:39" x14ac:dyDescent="0.2">
      <c r="A6743" t="str">
        <f>"6739"</f>
        <v>6739</v>
      </c>
      <c r="B6743" t="str">
        <f t="shared" si="374"/>
        <v>1</v>
      </c>
      <c r="C6743" t="str">
        <f t="shared" si="375"/>
        <v>135</v>
      </c>
      <c r="D6743" t="str">
        <f>"27"</f>
        <v>27</v>
      </c>
      <c r="E6743" t="str">
        <f>"1-135-27"</f>
        <v>1-135-27</v>
      </c>
      <c r="F6743" t="s">
        <v>65</v>
      </c>
      <c r="G6743" t="s">
        <v>66</v>
      </c>
      <c r="H6743" t="s">
        <v>67</v>
      </c>
      <c r="S6743">
        <v>0</v>
      </c>
      <c r="T6743">
        <v>1</v>
      </c>
      <c r="U6743">
        <v>0</v>
      </c>
      <c r="V6743">
        <v>0</v>
      </c>
      <c r="W6743">
        <v>1</v>
      </c>
      <c r="X6743">
        <v>0</v>
      </c>
      <c r="Y6743">
        <v>0</v>
      </c>
      <c r="Z6743">
        <v>1</v>
      </c>
      <c r="AA6743">
        <v>0</v>
      </c>
      <c r="AB6743">
        <v>0</v>
      </c>
      <c r="AC6743">
        <v>1</v>
      </c>
      <c r="AD6743">
        <v>1</v>
      </c>
      <c r="AE6743">
        <v>1</v>
      </c>
      <c r="AF6743">
        <v>1</v>
      </c>
      <c r="AG6743">
        <v>1</v>
      </c>
      <c r="AH6743">
        <v>1</v>
      </c>
      <c r="AI6743">
        <v>1</v>
      </c>
      <c r="AJ6743">
        <v>1</v>
      </c>
      <c r="AK6743">
        <v>1</v>
      </c>
      <c r="AL6743">
        <v>1</v>
      </c>
      <c r="AM6743">
        <v>1</v>
      </c>
    </row>
    <row r="6744" spans="1:39" x14ac:dyDescent="0.2">
      <c r="A6744" t="str">
        <f>"6740"</f>
        <v>6740</v>
      </c>
      <c r="B6744" t="str">
        <f t="shared" si="374"/>
        <v>1</v>
      </c>
      <c r="C6744" t="str">
        <f t="shared" si="375"/>
        <v>135</v>
      </c>
      <c r="D6744" t="str">
        <f>"13"</f>
        <v>13</v>
      </c>
      <c r="E6744" t="str">
        <f>"1-135-13"</f>
        <v>1-135-13</v>
      </c>
      <c r="F6744" t="s">
        <v>65</v>
      </c>
      <c r="G6744" t="s">
        <v>66</v>
      </c>
      <c r="H6744" t="s">
        <v>67</v>
      </c>
      <c r="S6744">
        <v>1</v>
      </c>
      <c r="T6744">
        <v>0</v>
      </c>
      <c r="U6744">
        <v>0</v>
      </c>
      <c r="V6744">
        <v>0</v>
      </c>
      <c r="W6744">
        <v>1</v>
      </c>
      <c r="X6744">
        <v>0</v>
      </c>
      <c r="Y6744">
        <v>1</v>
      </c>
      <c r="Z6744">
        <v>0</v>
      </c>
      <c r="AA6744">
        <v>0</v>
      </c>
      <c r="AB6744">
        <v>0</v>
      </c>
      <c r="AC6744">
        <v>1</v>
      </c>
      <c r="AD6744">
        <v>1</v>
      </c>
      <c r="AE6744">
        <v>1</v>
      </c>
      <c r="AF6744">
        <v>1</v>
      </c>
      <c r="AG6744">
        <v>1</v>
      </c>
      <c r="AH6744">
        <v>1</v>
      </c>
      <c r="AI6744">
        <v>1</v>
      </c>
      <c r="AJ6744">
        <v>1</v>
      </c>
      <c r="AK6744">
        <v>1</v>
      </c>
      <c r="AL6744">
        <v>1</v>
      </c>
      <c r="AM6744">
        <v>1</v>
      </c>
    </row>
    <row r="6745" spans="1:39" x14ac:dyDescent="0.2">
      <c r="A6745" t="str">
        <f>"6741"</f>
        <v>6741</v>
      </c>
      <c r="B6745" t="str">
        <f t="shared" si="374"/>
        <v>1</v>
      </c>
      <c r="C6745" t="str">
        <f t="shared" si="375"/>
        <v>135</v>
      </c>
      <c r="D6745" t="str">
        <f>"50"</f>
        <v>50</v>
      </c>
      <c r="E6745" t="str">
        <f>"1-135-50"</f>
        <v>1-135-50</v>
      </c>
      <c r="F6745" t="s">
        <v>65</v>
      </c>
      <c r="G6745" t="s">
        <v>66</v>
      </c>
      <c r="H6745" t="s">
        <v>67</v>
      </c>
      <c r="S6745">
        <v>1</v>
      </c>
      <c r="T6745">
        <v>0</v>
      </c>
      <c r="U6745">
        <v>0</v>
      </c>
      <c r="V6745">
        <v>0</v>
      </c>
      <c r="W6745">
        <v>1</v>
      </c>
      <c r="X6745">
        <v>0</v>
      </c>
      <c r="Y6745">
        <v>1</v>
      </c>
      <c r="Z6745">
        <v>0</v>
      </c>
      <c r="AA6745">
        <v>0</v>
      </c>
      <c r="AB6745">
        <v>0</v>
      </c>
      <c r="AC6745">
        <v>1</v>
      </c>
      <c r="AD6745">
        <v>0</v>
      </c>
      <c r="AE6745">
        <v>1</v>
      </c>
      <c r="AF6745">
        <v>0</v>
      </c>
      <c r="AG6745">
        <v>1</v>
      </c>
      <c r="AH6745">
        <v>0</v>
      </c>
      <c r="AI6745">
        <v>1</v>
      </c>
      <c r="AJ6745">
        <v>1</v>
      </c>
      <c r="AK6745">
        <v>0</v>
      </c>
      <c r="AL6745">
        <v>0</v>
      </c>
      <c r="AM6745">
        <v>0</v>
      </c>
    </row>
    <row r="6746" spans="1:39" x14ac:dyDescent="0.2">
      <c r="A6746" t="str">
        <f>"6742"</f>
        <v>6742</v>
      </c>
      <c r="B6746" t="str">
        <f t="shared" si="374"/>
        <v>1</v>
      </c>
      <c r="C6746" t="str">
        <f t="shared" si="375"/>
        <v>135</v>
      </c>
      <c r="D6746" t="str">
        <f>"28"</f>
        <v>28</v>
      </c>
      <c r="E6746" t="str">
        <f>"1-135-28"</f>
        <v>1-135-28</v>
      </c>
      <c r="F6746" t="s">
        <v>65</v>
      </c>
      <c r="G6746" t="s">
        <v>66</v>
      </c>
      <c r="H6746" t="s">
        <v>67</v>
      </c>
      <c r="S6746">
        <v>1</v>
      </c>
      <c r="T6746">
        <v>0</v>
      </c>
      <c r="U6746">
        <v>0</v>
      </c>
      <c r="V6746">
        <v>0</v>
      </c>
      <c r="W6746">
        <v>1</v>
      </c>
      <c r="X6746">
        <v>0</v>
      </c>
      <c r="Y6746">
        <v>1</v>
      </c>
      <c r="Z6746">
        <v>0</v>
      </c>
      <c r="AA6746">
        <v>0</v>
      </c>
      <c r="AB6746">
        <v>1</v>
      </c>
      <c r="AC6746">
        <v>0</v>
      </c>
      <c r="AD6746">
        <v>1</v>
      </c>
      <c r="AE6746">
        <v>1</v>
      </c>
      <c r="AF6746">
        <v>1</v>
      </c>
      <c r="AG6746">
        <v>1</v>
      </c>
      <c r="AH6746">
        <v>1</v>
      </c>
      <c r="AI6746">
        <v>1</v>
      </c>
      <c r="AJ6746">
        <v>1</v>
      </c>
      <c r="AK6746">
        <v>1</v>
      </c>
      <c r="AL6746">
        <v>1</v>
      </c>
      <c r="AM6746">
        <v>1</v>
      </c>
    </row>
    <row r="6747" spans="1:39" x14ac:dyDescent="0.2">
      <c r="A6747" t="str">
        <f>"6743"</f>
        <v>6743</v>
      </c>
      <c r="B6747" t="str">
        <f t="shared" si="374"/>
        <v>1</v>
      </c>
      <c r="C6747" t="str">
        <f t="shared" si="375"/>
        <v>135</v>
      </c>
      <c r="D6747" t="str">
        <f>"12"</f>
        <v>12</v>
      </c>
      <c r="E6747" t="str">
        <f>"1-135-12"</f>
        <v>1-135-12</v>
      </c>
      <c r="F6747" t="s">
        <v>65</v>
      </c>
      <c r="G6747" t="s">
        <v>66</v>
      </c>
      <c r="H6747" t="s">
        <v>67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1</v>
      </c>
      <c r="Y6747">
        <v>1</v>
      </c>
      <c r="Z6747">
        <v>0</v>
      </c>
      <c r="AA6747">
        <v>0</v>
      </c>
      <c r="AB6747">
        <v>1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1</v>
      </c>
      <c r="AM6747">
        <v>0</v>
      </c>
    </row>
    <row r="6748" spans="1:39" x14ac:dyDescent="0.2">
      <c r="A6748" t="str">
        <f>"6744"</f>
        <v>6744</v>
      </c>
      <c r="B6748" t="str">
        <f t="shared" si="374"/>
        <v>1</v>
      </c>
      <c r="C6748" t="str">
        <f t="shared" si="375"/>
        <v>135</v>
      </c>
      <c r="D6748" t="str">
        <f>"47"</f>
        <v>47</v>
      </c>
      <c r="E6748" t="str">
        <f>"1-135-47"</f>
        <v>1-135-47</v>
      </c>
      <c r="F6748" t="s">
        <v>65</v>
      </c>
      <c r="G6748" t="s">
        <v>66</v>
      </c>
      <c r="H6748" t="s">
        <v>67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1</v>
      </c>
      <c r="Y6748">
        <v>0</v>
      </c>
      <c r="Z6748">
        <v>1</v>
      </c>
      <c r="AA6748">
        <v>0</v>
      </c>
      <c r="AB6748">
        <v>1</v>
      </c>
      <c r="AC6748">
        <v>0</v>
      </c>
      <c r="AD6748">
        <v>1</v>
      </c>
      <c r="AE6748">
        <v>1</v>
      </c>
      <c r="AF6748">
        <v>1</v>
      </c>
      <c r="AG6748">
        <v>1</v>
      </c>
      <c r="AH6748">
        <v>1</v>
      </c>
      <c r="AI6748">
        <v>1</v>
      </c>
      <c r="AJ6748">
        <v>1</v>
      </c>
      <c r="AK6748">
        <v>1</v>
      </c>
      <c r="AL6748">
        <v>1</v>
      </c>
      <c r="AM6748">
        <v>1</v>
      </c>
    </row>
    <row r="6749" spans="1:39" x14ac:dyDescent="0.2">
      <c r="A6749" t="str">
        <f>"6745"</f>
        <v>6745</v>
      </c>
      <c r="B6749" t="str">
        <f t="shared" si="374"/>
        <v>1</v>
      </c>
      <c r="C6749" t="str">
        <f t="shared" si="375"/>
        <v>135</v>
      </c>
      <c r="D6749" t="str">
        <f>"29"</f>
        <v>29</v>
      </c>
      <c r="E6749" t="str">
        <f>"1-135-29"</f>
        <v>1-135-29</v>
      </c>
      <c r="F6749" t="s">
        <v>65</v>
      </c>
      <c r="G6749" t="s">
        <v>66</v>
      </c>
      <c r="H6749" t="s">
        <v>67</v>
      </c>
      <c r="S6749">
        <v>1</v>
      </c>
      <c r="T6749">
        <v>0</v>
      </c>
      <c r="U6749">
        <v>0</v>
      </c>
      <c r="V6749">
        <v>0</v>
      </c>
      <c r="W6749">
        <v>1</v>
      </c>
      <c r="X6749">
        <v>0</v>
      </c>
      <c r="Y6749">
        <v>1</v>
      </c>
      <c r="Z6749">
        <v>0</v>
      </c>
      <c r="AA6749">
        <v>1</v>
      </c>
      <c r="AB6749">
        <v>0</v>
      </c>
      <c r="AC6749">
        <v>0</v>
      </c>
      <c r="AD6749">
        <v>1</v>
      </c>
      <c r="AE6749">
        <v>1</v>
      </c>
      <c r="AF6749">
        <v>1</v>
      </c>
      <c r="AG6749">
        <v>1</v>
      </c>
      <c r="AH6749">
        <v>1</v>
      </c>
      <c r="AI6749">
        <v>1</v>
      </c>
      <c r="AJ6749">
        <v>1</v>
      </c>
      <c r="AK6749">
        <v>1</v>
      </c>
      <c r="AL6749">
        <v>1</v>
      </c>
      <c r="AM6749">
        <v>1</v>
      </c>
    </row>
    <row r="6750" spans="1:39" x14ac:dyDescent="0.2">
      <c r="A6750" t="str">
        <f>"6746"</f>
        <v>6746</v>
      </c>
      <c r="B6750" t="str">
        <f t="shared" si="374"/>
        <v>1</v>
      </c>
      <c r="C6750" t="str">
        <f t="shared" si="375"/>
        <v>135</v>
      </c>
      <c r="D6750" t="str">
        <f>"9"</f>
        <v>9</v>
      </c>
      <c r="E6750" t="str">
        <f>"1-135-9"</f>
        <v>1-135-9</v>
      </c>
      <c r="F6750" t="s">
        <v>65</v>
      </c>
      <c r="G6750" t="s">
        <v>66</v>
      </c>
      <c r="H6750" t="s">
        <v>67</v>
      </c>
      <c r="S6750">
        <v>0</v>
      </c>
      <c r="T6750">
        <v>1</v>
      </c>
      <c r="U6750">
        <v>0</v>
      </c>
      <c r="V6750">
        <v>0</v>
      </c>
      <c r="W6750">
        <v>0</v>
      </c>
      <c r="X6750">
        <v>1</v>
      </c>
      <c r="Y6750">
        <v>0</v>
      </c>
      <c r="Z6750">
        <v>1</v>
      </c>
      <c r="AA6750">
        <v>0</v>
      </c>
      <c r="AB6750">
        <v>0</v>
      </c>
      <c r="AC6750">
        <v>1</v>
      </c>
      <c r="AD6750">
        <v>1</v>
      </c>
      <c r="AE6750">
        <v>1</v>
      </c>
      <c r="AF6750">
        <v>1</v>
      </c>
      <c r="AG6750">
        <v>1</v>
      </c>
      <c r="AH6750">
        <v>0</v>
      </c>
      <c r="AI6750">
        <v>1</v>
      </c>
      <c r="AJ6750">
        <v>1</v>
      </c>
      <c r="AK6750">
        <v>1</v>
      </c>
      <c r="AL6750">
        <v>1</v>
      </c>
      <c r="AM6750">
        <v>1</v>
      </c>
    </row>
    <row r="6751" spans="1:39" x14ac:dyDescent="0.2">
      <c r="A6751" t="str">
        <f>"6747"</f>
        <v>6747</v>
      </c>
      <c r="B6751" t="str">
        <f t="shared" si="374"/>
        <v>1</v>
      </c>
      <c r="C6751" t="str">
        <f t="shared" si="375"/>
        <v>135</v>
      </c>
      <c r="D6751" t="str">
        <f>"49"</f>
        <v>49</v>
      </c>
      <c r="E6751" t="str">
        <f>"1-135-49"</f>
        <v>1-135-49</v>
      </c>
      <c r="F6751" t="s">
        <v>65</v>
      </c>
      <c r="G6751" t="s">
        <v>66</v>
      </c>
      <c r="H6751" t="s">
        <v>67</v>
      </c>
      <c r="S6751">
        <v>1</v>
      </c>
      <c r="T6751">
        <v>0</v>
      </c>
      <c r="U6751">
        <v>0</v>
      </c>
      <c r="V6751">
        <v>0</v>
      </c>
      <c r="W6751">
        <v>1</v>
      </c>
      <c r="X6751">
        <v>0</v>
      </c>
      <c r="Y6751">
        <v>0</v>
      </c>
      <c r="Z6751">
        <v>1</v>
      </c>
      <c r="AA6751">
        <v>1</v>
      </c>
      <c r="AB6751">
        <v>0</v>
      </c>
      <c r="AC6751">
        <v>0</v>
      </c>
      <c r="AD6751">
        <v>1</v>
      </c>
      <c r="AE6751">
        <v>1</v>
      </c>
      <c r="AF6751">
        <v>1</v>
      </c>
      <c r="AG6751">
        <v>1</v>
      </c>
      <c r="AH6751">
        <v>1</v>
      </c>
      <c r="AI6751">
        <v>1</v>
      </c>
      <c r="AJ6751">
        <v>1</v>
      </c>
      <c r="AK6751">
        <v>1</v>
      </c>
      <c r="AL6751">
        <v>1</v>
      </c>
      <c r="AM6751">
        <v>1</v>
      </c>
    </row>
    <row r="6752" spans="1:39" x14ac:dyDescent="0.2">
      <c r="A6752" t="str">
        <f>"6748"</f>
        <v>6748</v>
      </c>
      <c r="B6752" t="str">
        <f t="shared" si="374"/>
        <v>1</v>
      </c>
      <c r="C6752" t="str">
        <f t="shared" si="375"/>
        <v>135</v>
      </c>
      <c r="D6752" t="str">
        <f>"30"</f>
        <v>30</v>
      </c>
      <c r="E6752" t="str">
        <f>"1-135-30"</f>
        <v>1-135-30</v>
      </c>
      <c r="F6752" t="s">
        <v>65</v>
      </c>
      <c r="G6752" t="s">
        <v>66</v>
      </c>
      <c r="H6752" t="s">
        <v>67</v>
      </c>
      <c r="S6752">
        <v>1</v>
      </c>
      <c r="T6752">
        <v>0</v>
      </c>
      <c r="U6752">
        <v>0</v>
      </c>
      <c r="V6752">
        <v>0</v>
      </c>
      <c r="W6752">
        <v>1</v>
      </c>
      <c r="X6752">
        <v>0</v>
      </c>
      <c r="Y6752">
        <v>1</v>
      </c>
      <c r="Z6752">
        <v>0</v>
      </c>
      <c r="AA6752">
        <v>1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</row>
    <row r="6753" spans="1:39" x14ac:dyDescent="0.2">
      <c r="A6753" t="str">
        <f>"6749"</f>
        <v>6749</v>
      </c>
      <c r="B6753" t="str">
        <f t="shared" si="374"/>
        <v>1</v>
      </c>
      <c r="C6753" t="str">
        <f t="shared" si="375"/>
        <v>135</v>
      </c>
      <c r="D6753" t="str">
        <f>"6"</f>
        <v>6</v>
      </c>
      <c r="E6753" t="str">
        <f>"1-135-6"</f>
        <v>1-135-6</v>
      </c>
      <c r="F6753" t="s">
        <v>65</v>
      </c>
      <c r="G6753" t="s">
        <v>66</v>
      </c>
      <c r="H6753" t="s">
        <v>67</v>
      </c>
      <c r="S6753">
        <v>1</v>
      </c>
      <c r="T6753">
        <v>0</v>
      </c>
      <c r="U6753">
        <v>0</v>
      </c>
      <c r="V6753">
        <v>0</v>
      </c>
      <c r="W6753">
        <v>1</v>
      </c>
      <c r="X6753">
        <v>0</v>
      </c>
      <c r="Y6753">
        <v>1</v>
      </c>
      <c r="Z6753">
        <v>0</v>
      </c>
      <c r="AA6753">
        <v>0</v>
      </c>
      <c r="AB6753">
        <v>0</v>
      </c>
      <c r="AC6753">
        <v>1</v>
      </c>
      <c r="AD6753">
        <v>1</v>
      </c>
      <c r="AE6753">
        <v>1</v>
      </c>
      <c r="AF6753">
        <v>1</v>
      </c>
      <c r="AG6753">
        <v>1</v>
      </c>
      <c r="AH6753">
        <v>1</v>
      </c>
      <c r="AI6753">
        <v>1</v>
      </c>
      <c r="AJ6753">
        <v>1</v>
      </c>
      <c r="AK6753">
        <v>1</v>
      </c>
      <c r="AL6753">
        <v>1</v>
      </c>
      <c r="AM6753">
        <v>1</v>
      </c>
    </row>
    <row r="6754" spans="1:39" x14ac:dyDescent="0.2">
      <c r="A6754" t="str">
        <f>"6750"</f>
        <v>6750</v>
      </c>
      <c r="B6754" t="str">
        <f t="shared" si="374"/>
        <v>1</v>
      </c>
      <c r="C6754" t="str">
        <f t="shared" si="375"/>
        <v>135</v>
      </c>
      <c r="D6754" t="str">
        <f>"10"</f>
        <v>10</v>
      </c>
      <c r="E6754" t="str">
        <f>"1-135-10"</f>
        <v>1-135-10</v>
      </c>
      <c r="F6754" t="s">
        <v>65</v>
      </c>
      <c r="G6754" t="s">
        <v>66</v>
      </c>
      <c r="H6754" t="s">
        <v>67</v>
      </c>
      <c r="S6754">
        <v>1</v>
      </c>
      <c r="T6754">
        <v>0</v>
      </c>
      <c r="U6754">
        <v>0</v>
      </c>
      <c r="V6754">
        <v>0</v>
      </c>
      <c r="W6754">
        <v>1</v>
      </c>
      <c r="X6754">
        <v>0</v>
      </c>
      <c r="Y6754">
        <v>0</v>
      </c>
      <c r="Z6754">
        <v>1</v>
      </c>
      <c r="AA6754">
        <v>1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1</v>
      </c>
      <c r="AH6754">
        <v>0</v>
      </c>
      <c r="AI6754">
        <v>1</v>
      </c>
      <c r="AJ6754">
        <v>1</v>
      </c>
      <c r="AK6754">
        <v>1</v>
      </c>
      <c r="AL6754">
        <v>1</v>
      </c>
      <c r="AM6754">
        <v>0</v>
      </c>
    </row>
    <row r="6755" spans="1:39" x14ac:dyDescent="0.2">
      <c r="A6755" t="str">
        <f>"6751"</f>
        <v>6751</v>
      </c>
      <c r="B6755" t="str">
        <f t="shared" si="374"/>
        <v>1</v>
      </c>
      <c r="C6755" t="str">
        <f t="shared" ref="C6755:C6786" si="376">"136"</f>
        <v>136</v>
      </c>
      <c r="D6755" t="str">
        <f>"50"</f>
        <v>50</v>
      </c>
      <c r="E6755" t="str">
        <f>"1-136-50"</f>
        <v>1-136-50</v>
      </c>
      <c r="F6755" t="s">
        <v>65</v>
      </c>
      <c r="G6755" t="s">
        <v>66</v>
      </c>
      <c r="H6755" t="s">
        <v>67</v>
      </c>
      <c r="S6755">
        <v>0</v>
      </c>
      <c r="T6755">
        <v>1</v>
      </c>
      <c r="U6755">
        <v>0</v>
      </c>
      <c r="V6755">
        <v>0</v>
      </c>
      <c r="W6755">
        <v>1</v>
      </c>
      <c r="X6755">
        <v>0</v>
      </c>
      <c r="Y6755">
        <v>0</v>
      </c>
      <c r="Z6755">
        <v>1</v>
      </c>
      <c r="AA6755">
        <v>1</v>
      </c>
      <c r="AB6755">
        <v>0</v>
      </c>
      <c r="AC6755">
        <v>0</v>
      </c>
      <c r="AD6755">
        <v>1</v>
      </c>
      <c r="AE6755">
        <v>1</v>
      </c>
      <c r="AF6755">
        <v>1</v>
      </c>
      <c r="AG6755">
        <v>1</v>
      </c>
      <c r="AH6755">
        <v>1</v>
      </c>
      <c r="AI6755">
        <v>1</v>
      </c>
      <c r="AJ6755">
        <v>0</v>
      </c>
      <c r="AK6755">
        <v>1</v>
      </c>
      <c r="AL6755">
        <v>1</v>
      </c>
      <c r="AM6755">
        <v>1</v>
      </c>
    </row>
    <row r="6756" spans="1:39" x14ac:dyDescent="0.2">
      <c r="A6756" t="str">
        <f>"6752"</f>
        <v>6752</v>
      </c>
      <c r="B6756" t="str">
        <f t="shared" si="374"/>
        <v>1</v>
      </c>
      <c r="C6756" t="str">
        <f t="shared" si="376"/>
        <v>136</v>
      </c>
      <c r="D6756" t="str">
        <f>"34"</f>
        <v>34</v>
      </c>
      <c r="E6756" t="str">
        <f>"1-136-34"</f>
        <v>1-136-34</v>
      </c>
      <c r="F6756" t="s">
        <v>65</v>
      </c>
      <c r="G6756" t="s">
        <v>66</v>
      </c>
      <c r="H6756" t="s">
        <v>67</v>
      </c>
      <c r="S6756">
        <v>1</v>
      </c>
      <c r="T6756">
        <v>0</v>
      </c>
      <c r="U6756">
        <v>0</v>
      </c>
      <c r="V6756">
        <v>0</v>
      </c>
      <c r="W6756">
        <v>1</v>
      </c>
      <c r="X6756">
        <v>0</v>
      </c>
      <c r="Y6756">
        <v>1</v>
      </c>
      <c r="Z6756">
        <v>0</v>
      </c>
      <c r="AA6756">
        <v>1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</row>
    <row r="6757" spans="1:39" x14ac:dyDescent="0.2">
      <c r="A6757" t="str">
        <f>"6753"</f>
        <v>6753</v>
      </c>
      <c r="B6757" t="str">
        <f t="shared" si="374"/>
        <v>1</v>
      </c>
      <c r="C6757" t="str">
        <f t="shared" si="376"/>
        <v>136</v>
      </c>
      <c r="D6757" t="str">
        <f>"33"</f>
        <v>33</v>
      </c>
      <c r="E6757" t="str">
        <f>"1-136-33"</f>
        <v>1-136-33</v>
      </c>
      <c r="F6757" t="s">
        <v>65</v>
      </c>
      <c r="G6757" t="s">
        <v>66</v>
      </c>
      <c r="H6757" t="s">
        <v>67</v>
      </c>
      <c r="S6757">
        <v>1</v>
      </c>
      <c r="T6757">
        <v>0</v>
      </c>
      <c r="U6757">
        <v>0</v>
      </c>
      <c r="V6757">
        <v>0</v>
      </c>
      <c r="W6757">
        <v>1</v>
      </c>
      <c r="X6757">
        <v>0</v>
      </c>
      <c r="Y6757">
        <v>0</v>
      </c>
      <c r="Z6757">
        <v>1</v>
      </c>
      <c r="AA6757">
        <v>1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</row>
    <row r="6758" spans="1:39" x14ac:dyDescent="0.2">
      <c r="A6758" t="str">
        <f>"6754"</f>
        <v>6754</v>
      </c>
      <c r="B6758" t="str">
        <f t="shared" si="374"/>
        <v>1</v>
      </c>
      <c r="C6758" t="str">
        <f t="shared" si="376"/>
        <v>136</v>
      </c>
      <c r="D6758" t="str">
        <f>"19"</f>
        <v>19</v>
      </c>
      <c r="E6758" t="str">
        <f>"1-136-19"</f>
        <v>1-136-19</v>
      </c>
      <c r="F6758" t="s">
        <v>65</v>
      </c>
      <c r="G6758" t="s">
        <v>66</v>
      </c>
      <c r="H6758" t="s">
        <v>67</v>
      </c>
      <c r="S6758">
        <v>0</v>
      </c>
      <c r="T6758">
        <v>1</v>
      </c>
      <c r="U6758">
        <v>0</v>
      </c>
      <c r="V6758">
        <v>0</v>
      </c>
      <c r="W6758">
        <v>0</v>
      </c>
      <c r="X6758">
        <v>1</v>
      </c>
      <c r="Y6758">
        <v>0</v>
      </c>
      <c r="Z6758">
        <v>1</v>
      </c>
      <c r="AA6758">
        <v>0</v>
      </c>
      <c r="AB6758">
        <v>0</v>
      </c>
      <c r="AC6758">
        <v>1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1</v>
      </c>
      <c r="AJ6758">
        <v>1</v>
      </c>
      <c r="AK6758">
        <v>1</v>
      </c>
      <c r="AL6758">
        <v>0</v>
      </c>
      <c r="AM6758">
        <v>0</v>
      </c>
    </row>
    <row r="6759" spans="1:39" x14ac:dyDescent="0.2">
      <c r="A6759" t="str">
        <f>"6755"</f>
        <v>6755</v>
      </c>
      <c r="B6759" t="str">
        <f t="shared" si="374"/>
        <v>1</v>
      </c>
      <c r="C6759" t="str">
        <f t="shared" si="376"/>
        <v>136</v>
      </c>
      <c r="D6759" t="str">
        <f>"15"</f>
        <v>15</v>
      </c>
      <c r="E6759" t="str">
        <f>"1-136-15"</f>
        <v>1-136-15</v>
      </c>
      <c r="F6759" t="s">
        <v>65</v>
      </c>
      <c r="G6759" t="s">
        <v>66</v>
      </c>
      <c r="H6759" t="s">
        <v>67</v>
      </c>
      <c r="S6759">
        <v>1</v>
      </c>
      <c r="T6759">
        <v>0</v>
      </c>
      <c r="U6759">
        <v>0</v>
      </c>
      <c r="V6759">
        <v>0</v>
      </c>
      <c r="W6759">
        <v>1</v>
      </c>
      <c r="X6759">
        <v>0</v>
      </c>
      <c r="Y6759">
        <v>1</v>
      </c>
      <c r="Z6759">
        <v>0</v>
      </c>
      <c r="AA6759">
        <v>0</v>
      </c>
      <c r="AB6759">
        <v>0</v>
      </c>
      <c r="AC6759">
        <v>1</v>
      </c>
      <c r="AD6759">
        <v>1</v>
      </c>
      <c r="AE6759">
        <v>1</v>
      </c>
      <c r="AF6759">
        <v>1</v>
      </c>
      <c r="AG6759">
        <v>1</v>
      </c>
      <c r="AH6759">
        <v>1</v>
      </c>
      <c r="AI6759">
        <v>1</v>
      </c>
      <c r="AJ6759">
        <v>1</v>
      </c>
      <c r="AK6759">
        <v>1</v>
      </c>
      <c r="AL6759">
        <v>1</v>
      </c>
      <c r="AM6759">
        <v>1</v>
      </c>
    </row>
    <row r="6760" spans="1:39" x14ac:dyDescent="0.2">
      <c r="A6760" t="str">
        <f>"6756"</f>
        <v>6756</v>
      </c>
      <c r="B6760" t="str">
        <f t="shared" si="374"/>
        <v>1</v>
      </c>
      <c r="C6760" t="str">
        <f t="shared" si="376"/>
        <v>136</v>
      </c>
      <c r="D6760" t="str">
        <f>"6"</f>
        <v>6</v>
      </c>
      <c r="E6760" t="str">
        <f>"1-136-6"</f>
        <v>1-136-6</v>
      </c>
      <c r="F6760" t="s">
        <v>65</v>
      </c>
      <c r="G6760" t="s">
        <v>66</v>
      </c>
      <c r="H6760" t="s">
        <v>67</v>
      </c>
      <c r="S6760">
        <v>1</v>
      </c>
      <c r="T6760">
        <v>0</v>
      </c>
      <c r="U6760">
        <v>0</v>
      </c>
      <c r="V6760">
        <v>0</v>
      </c>
      <c r="W6760">
        <v>1</v>
      </c>
      <c r="X6760">
        <v>0</v>
      </c>
      <c r="Y6760">
        <v>0</v>
      </c>
      <c r="Z6760">
        <v>1</v>
      </c>
      <c r="AA6760">
        <v>0</v>
      </c>
      <c r="AB6760">
        <v>0</v>
      </c>
      <c r="AC6760">
        <v>1</v>
      </c>
      <c r="AD6760">
        <v>1</v>
      </c>
      <c r="AE6760">
        <v>1</v>
      </c>
      <c r="AF6760">
        <v>1</v>
      </c>
      <c r="AG6760">
        <v>1</v>
      </c>
      <c r="AH6760">
        <v>1</v>
      </c>
      <c r="AI6760">
        <v>1</v>
      </c>
      <c r="AJ6760">
        <v>1</v>
      </c>
      <c r="AK6760">
        <v>1</v>
      </c>
      <c r="AL6760">
        <v>1</v>
      </c>
      <c r="AM6760">
        <v>1</v>
      </c>
    </row>
    <row r="6761" spans="1:39" x14ac:dyDescent="0.2">
      <c r="A6761" t="str">
        <f>"6757"</f>
        <v>6757</v>
      </c>
      <c r="B6761" t="str">
        <f t="shared" si="374"/>
        <v>1</v>
      </c>
      <c r="C6761" t="str">
        <f t="shared" si="376"/>
        <v>136</v>
      </c>
      <c r="D6761" t="str">
        <f>"36"</f>
        <v>36</v>
      </c>
      <c r="E6761" t="str">
        <f>"1-136-36"</f>
        <v>1-136-36</v>
      </c>
      <c r="F6761" t="s">
        <v>65</v>
      </c>
      <c r="G6761" t="s">
        <v>66</v>
      </c>
      <c r="H6761" t="s">
        <v>67</v>
      </c>
      <c r="S6761">
        <v>0</v>
      </c>
      <c r="T6761">
        <v>1</v>
      </c>
      <c r="U6761">
        <v>0</v>
      </c>
      <c r="V6761">
        <v>0</v>
      </c>
      <c r="W6761">
        <v>1</v>
      </c>
      <c r="X6761">
        <v>0</v>
      </c>
      <c r="Y6761">
        <v>0</v>
      </c>
      <c r="Z6761">
        <v>1</v>
      </c>
      <c r="AA6761">
        <v>1</v>
      </c>
      <c r="AB6761">
        <v>0</v>
      </c>
      <c r="AC6761">
        <v>0</v>
      </c>
      <c r="AD6761">
        <v>1</v>
      </c>
      <c r="AE6761">
        <v>1</v>
      </c>
      <c r="AF6761">
        <v>1</v>
      </c>
      <c r="AG6761">
        <v>1</v>
      </c>
      <c r="AH6761">
        <v>1</v>
      </c>
      <c r="AI6761">
        <v>1</v>
      </c>
      <c r="AJ6761">
        <v>1</v>
      </c>
      <c r="AK6761">
        <v>1</v>
      </c>
      <c r="AL6761">
        <v>1</v>
      </c>
      <c r="AM6761">
        <v>1</v>
      </c>
    </row>
    <row r="6762" spans="1:39" x14ac:dyDescent="0.2">
      <c r="A6762" t="str">
        <f>"6758"</f>
        <v>6758</v>
      </c>
      <c r="B6762" t="str">
        <f t="shared" si="374"/>
        <v>1</v>
      </c>
      <c r="C6762" t="str">
        <f t="shared" si="376"/>
        <v>136</v>
      </c>
      <c r="D6762" t="str">
        <f>"35"</f>
        <v>35</v>
      </c>
      <c r="E6762" t="str">
        <f>"1-136-35"</f>
        <v>1-136-35</v>
      </c>
      <c r="F6762" t="s">
        <v>65</v>
      </c>
      <c r="G6762" t="s">
        <v>66</v>
      </c>
      <c r="H6762" t="s">
        <v>67</v>
      </c>
      <c r="S6762">
        <v>1</v>
      </c>
      <c r="T6762">
        <v>0</v>
      </c>
      <c r="U6762">
        <v>0</v>
      </c>
      <c r="V6762">
        <v>0</v>
      </c>
      <c r="W6762">
        <v>1</v>
      </c>
      <c r="X6762">
        <v>0</v>
      </c>
      <c r="Y6762">
        <v>1</v>
      </c>
      <c r="Z6762">
        <v>0</v>
      </c>
      <c r="AA6762">
        <v>0</v>
      </c>
      <c r="AB6762">
        <v>1</v>
      </c>
      <c r="AC6762">
        <v>0</v>
      </c>
      <c r="AD6762">
        <v>1</v>
      </c>
      <c r="AE6762">
        <v>1</v>
      </c>
      <c r="AF6762">
        <v>0</v>
      </c>
      <c r="AG6762">
        <v>1</v>
      </c>
      <c r="AH6762">
        <v>1</v>
      </c>
      <c r="AI6762">
        <v>1</v>
      </c>
      <c r="AJ6762">
        <v>1</v>
      </c>
      <c r="AK6762">
        <v>1</v>
      </c>
      <c r="AL6762">
        <v>1</v>
      </c>
      <c r="AM6762">
        <v>1</v>
      </c>
    </row>
    <row r="6763" spans="1:39" x14ac:dyDescent="0.2">
      <c r="A6763" t="str">
        <f>"6759"</f>
        <v>6759</v>
      </c>
      <c r="B6763" t="str">
        <f t="shared" si="374"/>
        <v>1</v>
      </c>
      <c r="C6763" t="str">
        <f t="shared" si="376"/>
        <v>136</v>
      </c>
      <c r="D6763" t="str">
        <f>"21"</f>
        <v>21</v>
      </c>
      <c r="E6763" t="str">
        <f>"1-136-21"</f>
        <v>1-136-21</v>
      </c>
      <c r="F6763" t="s">
        <v>65</v>
      </c>
      <c r="G6763" t="s">
        <v>66</v>
      </c>
      <c r="H6763" t="s">
        <v>67</v>
      </c>
      <c r="S6763">
        <v>1</v>
      </c>
      <c r="T6763">
        <v>0</v>
      </c>
      <c r="U6763">
        <v>0</v>
      </c>
      <c r="V6763">
        <v>0</v>
      </c>
      <c r="W6763">
        <v>1</v>
      </c>
      <c r="X6763">
        <v>0</v>
      </c>
      <c r="Y6763">
        <v>0</v>
      </c>
      <c r="Z6763">
        <v>1</v>
      </c>
      <c r="AA6763">
        <v>0</v>
      </c>
      <c r="AB6763">
        <v>1</v>
      </c>
      <c r="AC6763">
        <v>0</v>
      </c>
      <c r="AD6763">
        <v>1</v>
      </c>
      <c r="AE6763">
        <v>1</v>
      </c>
      <c r="AF6763">
        <v>1</v>
      </c>
      <c r="AG6763">
        <v>1</v>
      </c>
      <c r="AH6763">
        <v>1</v>
      </c>
      <c r="AI6763">
        <v>1</v>
      </c>
      <c r="AJ6763">
        <v>1</v>
      </c>
      <c r="AK6763">
        <v>1</v>
      </c>
      <c r="AL6763">
        <v>1</v>
      </c>
      <c r="AM6763">
        <v>1</v>
      </c>
    </row>
    <row r="6764" spans="1:39" x14ac:dyDescent="0.2">
      <c r="A6764" t="str">
        <f>"6760"</f>
        <v>6760</v>
      </c>
      <c r="B6764" t="str">
        <f t="shared" si="374"/>
        <v>1</v>
      </c>
      <c r="C6764" t="str">
        <f t="shared" si="376"/>
        <v>136</v>
      </c>
      <c r="D6764" t="str">
        <f>"16"</f>
        <v>16</v>
      </c>
      <c r="E6764" t="str">
        <f>"1-136-16"</f>
        <v>1-136-16</v>
      </c>
      <c r="F6764" t="s">
        <v>65</v>
      </c>
      <c r="G6764" t="s">
        <v>66</v>
      </c>
      <c r="H6764" t="s">
        <v>67</v>
      </c>
      <c r="S6764">
        <v>1</v>
      </c>
      <c r="T6764">
        <v>0</v>
      </c>
      <c r="U6764">
        <v>0</v>
      </c>
      <c r="V6764">
        <v>0</v>
      </c>
      <c r="W6764">
        <v>1</v>
      </c>
      <c r="X6764">
        <v>0</v>
      </c>
      <c r="Y6764">
        <v>1</v>
      </c>
      <c r="Z6764">
        <v>0</v>
      </c>
      <c r="AA6764">
        <v>0</v>
      </c>
      <c r="AB6764">
        <v>1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1</v>
      </c>
      <c r="AJ6764">
        <v>1</v>
      </c>
      <c r="AK6764">
        <v>1</v>
      </c>
      <c r="AL6764">
        <v>0</v>
      </c>
      <c r="AM6764">
        <v>0</v>
      </c>
    </row>
    <row r="6765" spans="1:39" x14ac:dyDescent="0.2">
      <c r="A6765" t="str">
        <f>"6761"</f>
        <v>6761</v>
      </c>
      <c r="B6765" t="str">
        <f t="shared" si="374"/>
        <v>1</v>
      </c>
      <c r="C6765" t="str">
        <f t="shared" si="376"/>
        <v>136</v>
      </c>
      <c r="D6765" t="str">
        <f>"1"</f>
        <v>1</v>
      </c>
      <c r="E6765" t="str">
        <f>"1-136-1"</f>
        <v>1-136-1</v>
      </c>
      <c r="F6765" t="s">
        <v>65</v>
      </c>
      <c r="G6765" t="s">
        <v>66</v>
      </c>
      <c r="H6765" t="s">
        <v>67</v>
      </c>
      <c r="S6765">
        <v>0</v>
      </c>
      <c r="T6765">
        <v>1</v>
      </c>
      <c r="U6765">
        <v>0</v>
      </c>
      <c r="V6765">
        <v>0</v>
      </c>
      <c r="W6765">
        <v>1</v>
      </c>
      <c r="X6765">
        <v>0</v>
      </c>
      <c r="Y6765">
        <v>0</v>
      </c>
      <c r="Z6765">
        <v>1</v>
      </c>
      <c r="AA6765">
        <v>0</v>
      </c>
      <c r="AB6765">
        <v>1</v>
      </c>
      <c r="AC6765">
        <v>0</v>
      </c>
      <c r="AD6765">
        <v>1</v>
      </c>
      <c r="AE6765">
        <v>1</v>
      </c>
      <c r="AF6765">
        <v>1</v>
      </c>
      <c r="AG6765">
        <v>1</v>
      </c>
      <c r="AH6765">
        <v>1</v>
      </c>
      <c r="AI6765">
        <v>1</v>
      </c>
      <c r="AJ6765">
        <v>1</v>
      </c>
      <c r="AK6765">
        <v>1</v>
      </c>
      <c r="AL6765">
        <v>1</v>
      </c>
      <c r="AM6765">
        <v>1</v>
      </c>
    </row>
    <row r="6766" spans="1:39" x14ac:dyDescent="0.2">
      <c r="A6766" t="str">
        <f>"6762"</f>
        <v>6762</v>
      </c>
      <c r="B6766" t="str">
        <f t="shared" si="374"/>
        <v>1</v>
      </c>
      <c r="C6766" t="str">
        <f t="shared" si="376"/>
        <v>136</v>
      </c>
      <c r="D6766" t="str">
        <f>"38"</f>
        <v>38</v>
      </c>
      <c r="E6766" t="str">
        <f>"1-136-38"</f>
        <v>1-136-38</v>
      </c>
      <c r="F6766" t="s">
        <v>65</v>
      </c>
      <c r="G6766" t="s">
        <v>66</v>
      </c>
      <c r="H6766" t="s">
        <v>67</v>
      </c>
      <c r="S6766">
        <v>1</v>
      </c>
      <c r="T6766">
        <v>0</v>
      </c>
      <c r="U6766">
        <v>0</v>
      </c>
      <c r="V6766">
        <v>0</v>
      </c>
      <c r="W6766">
        <v>1</v>
      </c>
      <c r="X6766">
        <v>0</v>
      </c>
      <c r="Y6766">
        <v>1</v>
      </c>
      <c r="Z6766">
        <v>0</v>
      </c>
      <c r="AA6766">
        <v>1</v>
      </c>
      <c r="AB6766">
        <v>0</v>
      </c>
      <c r="AC6766">
        <v>0</v>
      </c>
      <c r="AD6766">
        <v>1</v>
      </c>
      <c r="AE6766">
        <v>1</v>
      </c>
      <c r="AF6766">
        <v>1</v>
      </c>
      <c r="AG6766">
        <v>1</v>
      </c>
      <c r="AH6766">
        <v>1</v>
      </c>
      <c r="AI6766">
        <v>1</v>
      </c>
      <c r="AJ6766">
        <v>1</v>
      </c>
      <c r="AK6766">
        <v>1</v>
      </c>
      <c r="AL6766">
        <v>1</v>
      </c>
      <c r="AM6766">
        <v>1</v>
      </c>
    </row>
    <row r="6767" spans="1:39" x14ac:dyDescent="0.2">
      <c r="A6767" t="str">
        <f>"6763"</f>
        <v>6763</v>
      </c>
      <c r="B6767" t="str">
        <f t="shared" si="374"/>
        <v>1</v>
      </c>
      <c r="C6767" t="str">
        <f t="shared" si="376"/>
        <v>136</v>
      </c>
      <c r="D6767" t="str">
        <f>"37"</f>
        <v>37</v>
      </c>
      <c r="E6767" t="str">
        <f>"1-136-37"</f>
        <v>1-136-37</v>
      </c>
      <c r="F6767" t="s">
        <v>65</v>
      </c>
      <c r="G6767" t="s">
        <v>66</v>
      </c>
      <c r="H6767" t="s">
        <v>67</v>
      </c>
      <c r="S6767">
        <v>1</v>
      </c>
      <c r="T6767">
        <v>0</v>
      </c>
      <c r="U6767">
        <v>0</v>
      </c>
      <c r="V6767">
        <v>0</v>
      </c>
      <c r="W6767">
        <v>1</v>
      </c>
      <c r="X6767">
        <v>0</v>
      </c>
      <c r="Y6767">
        <v>1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1</v>
      </c>
      <c r="AH6767">
        <v>1</v>
      </c>
      <c r="AI6767">
        <v>1</v>
      </c>
      <c r="AJ6767">
        <v>1</v>
      </c>
      <c r="AK6767">
        <v>0</v>
      </c>
      <c r="AL6767">
        <v>0</v>
      </c>
      <c r="AM6767">
        <v>0</v>
      </c>
    </row>
    <row r="6768" spans="1:39" x14ac:dyDescent="0.2">
      <c r="A6768" t="str">
        <f>"6764"</f>
        <v>6764</v>
      </c>
      <c r="B6768" t="str">
        <f t="shared" si="374"/>
        <v>1</v>
      </c>
      <c r="C6768" t="str">
        <f t="shared" si="376"/>
        <v>136</v>
      </c>
      <c r="D6768" t="str">
        <f>"24"</f>
        <v>24</v>
      </c>
      <c r="E6768" t="str">
        <f>"1-136-24"</f>
        <v>1-136-24</v>
      </c>
      <c r="F6768" t="s">
        <v>65</v>
      </c>
      <c r="G6768" t="s">
        <v>66</v>
      </c>
      <c r="H6768" t="s">
        <v>67</v>
      </c>
      <c r="S6768">
        <v>1</v>
      </c>
      <c r="T6768">
        <v>0</v>
      </c>
      <c r="U6768">
        <v>0</v>
      </c>
      <c r="V6768">
        <v>0</v>
      </c>
      <c r="W6768">
        <v>1</v>
      </c>
      <c r="X6768">
        <v>0</v>
      </c>
      <c r="Y6768">
        <v>0</v>
      </c>
      <c r="Z6768">
        <v>1</v>
      </c>
      <c r="AA6768">
        <v>0</v>
      </c>
      <c r="AB6768">
        <v>0</v>
      </c>
      <c r="AC6768">
        <v>1</v>
      </c>
      <c r="AD6768">
        <v>1</v>
      </c>
      <c r="AE6768">
        <v>1</v>
      </c>
      <c r="AF6768">
        <v>1</v>
      </c>
      <c r="AG6768">
        <v>1</v>
      </c>
      <c r="AH6768">
        <v>1</v>
      </c>
      <c r="AI6768">
        <v>1</v>
      </c>
      <c r="AJ6768">
        <v>1</v>
      </c>
      <c r="AK6768">
        <v>1</v>
      </c>
      <c r="AL6768">
        <v>1</v>
      </c>
      <c r="AM6768">
        <v>1</v>
      </c>
    </row>
    <row r="6769" spans="1:39" x14ac:dyDescent="0.2">
      <c r="A6769" t="str">
        <f>"6765"</f>
        <v>6765</v>
      </c>
      <c r="B6769" t="str">
        <f t="shared" si="374"/>
        <v>1</v>
      </c>
      <c r="C6769" t="str">
        <f t="shared" si="376"/>
        <v>136</v>
      </c>
      <c r="D6769" t="str">
        <f>"17"</f>
        <v>17</v>
      </c>
      <c r="E6769" t="str">
        <f>"1-136-17"</f>
        <v>1-136-17</v>
      </c>
      <c r="F6769" t="s">
        <v>65</v>
      </c>
      <c r="G6769" t="s">
        <v>66</v>
      </c>
      <c r="H6769" t="s">
        <v>67</v>
      </c>
      <c r="S6769">
        <v>0</v>
      </c>
      <c r="T6769">
        <v>1</v>
      </c>
      <c r="U6769">
        <v>0</v>
      </c>
      <c r="V6769">
        <v>0</v>
      </c>
      <c r="W6769">
        <v>1</v>
      </c>
      <c r="X6769">
        <v>0</v>
      </c>
      <c r="Y6769">
        <v>1</v>
      </c>
      <c r="Z6769">
        <v>0</v>
      </c>
      <c r="AA6769">
        <v>0</v>
      </c>
      <c r="AB6769">
        <v>1</v>
      </c>
      <c r="AC6769">
        <v>0</v>
      </c>
      <c r="AD6769">
        <v>1</v>
      </c>
      <c r="AE6769">
        <v>1</v>
      </c>
      <c r="AF6769">
        <v>1</v>
      </c>
      <c r="AG6769">
        <v>1</v>
      </c>
      <c r="AH6769">
        <v>1</v>
      </c>
      <c r="AI6769">
        <v>1</v>
      </c>
      <c r="AJ6769">
        <v>1</v>
      </c>
      <c r="AK6769">
        <v>1</v>
      </c>
      <c r="AL6769">
        <v>1</v>
      </c>
      <c r="AM6769">
        <v>1</v>
      </c>
    </row>
    <row r="6770" spans="1:39" x14ac:dyDescent="0.2">
      <c r="A6770" t="str">
        <f>"6766"</f>
        <v>6766</v>
      </c>
      <c r="B6770" t="str">
        <f t="shared" si="374"/>
        <v>1</v>
      </c>
      <c r="C6770" t="str">
        <f t="shared" si="376"/>
        <v>136</v>
      </c>
      <c r="D6770" t="str">
        <f>"8"</f>
        <v>8</v>
      </c>
      <c r="E6770" t="str">
        <f>"1-136-8"</f>
        <v>1-136-8</v>
      </c>
      <c r="F6770" t="s">
        <v>65</v>
      </c>
      <c r="G6770" t="s">
        <v>66</v>
      </c>
      <c r="H6770" t="s">
        <v>67</v>
      </c>
      <c r="S6770">
        <v>0</v>
      </c>
      <c r="T6770">
        <v>1</v>
      </c>
      <c r="U6770">
        <v>0</v>
      </c>
      <c r="V6770">
        <v>0</v>
      </c>
      <c r="W6770">
        <v>0</v>
      </c>
      <c r="X6770">
        <v>1</v>
      </c>
      <c r="Y6770">
        <v>0</v>
      </c>
      <c r="Z6770">
        <v>1</v>
      </c>
      <c r="AA6770">
        <v>0</v>
      </c>
      <c r="AB6770">
        <v>0</v>
      </c>
      <c r="AC6770">
        <v>1</v>
      </c>
      <c r="AD6770">
        <v>0</v>
      </c>
      <c r="AE6770">
        <v>0</v>
      </c>
      <c r="AF6770">
        <v>0</v>
      </c>
      <c r="AG6770">
        <v>0</v>
      </c>
      <c r="AH6770">
        <v>1</v>
      </c>
      <c r="AI6770">
        <v>1</v>
      </c>
      <c r="AJ6770">
        <v>0</v>
      </c>
      <c r="AK6770">
        <v>0</v>
      </c>
      <c r="AL6770">
        <v>0</v>
      </c>
      <c r="AM6770">
        <v>0</v>
      </c>
    </row>
    <row r="6771" spans="1:39" x14ac:dyDescent="0.2">
      <c r="A6771" t="str">
        <f>"6767"</f>
        <v>6767</v>
      </c>
      <c r="B6771" t="str">
        <f t="shared" si="374"/>
        <v>1</v>
      </c>
      <c r="C6771" t="str">
        <f t="shared" si="376"/>
        <v>136</v>
      </c>
      <c r="D6771" t="str">
        <f>"40"</f>
        <v>40</v>
      </c>
      <c r="E6771" t="str">
        <f>"1-136-40"</f>
        <v>1-136-40</v>
      </c>
      <c r="F6771" t="s">
        <v>65</v>
      </c>
      <c r="G6771" t="s">
        <v>66</v>
      </c>
      <c r="H6771" t="s">
        <v>67</v>
      </c>
      <c r="S6771">
        <v>0</v>
      </c>
      <c r="T6771">
        <v>1</v>
      </c>
      <c r="U6771">
        <v>0</v>
      </c>
      <c r="V6771">
        <v>0</v>
      </c>
      <c r="W6771">
        <v>1</v>
      </c>
      <c r="X6771">
        <v>0</v>
      </c>
      <c r="Y6771">
        <v>0</v>
      </c>
      <c r="Z6771">
        <v>1</v>
      </c>
      <c r="AA6771">
        <v>0</v>
      </c>
      <c r="AB6771">
        <v>0</v>
      </c>
      <c r="AC6771">
        <v>1</v>
      </c>
      <c r="AD6771">
        <v>1</v>
      </c>
      <c r="AE6771">
        <v>1</v>
      </c>
      <c r="AF6771">
        <v>1</v>
      </c>
      <c r="AG6771">
        <v>1</v>
      </c>
      <c r="AH6771">
        <v>1</v>
      </c>
      <c r="AI6771">
        <v>1</v>
      </c>
      <c r="AJ6771">
        <v>1</v>
      </c>
      <c r="AK6771">
        <v>1</v>
      </c>
      <c r="AL6771">
        <v>1</v>
      </c>
      <c r="AM6771">
        <v>1</v>
      </c>
    </row>
    <row r="6772" spans="1:39" x14ac:dyDescent="0.2">
      <c r="A6772" t="str">
        <f>"6768"</f>
        <v>6768</v>
      </c>
      <c r="B6772" t="str">
        <f t="shared" si="374"/>
        <v>1</v>
      </c>
      <c r="C6772" t="str">
        <f t="shared" si="376"/>
        <v>136</v>
      </c>
      <c r="D6772" t="str">
        <f>"39"</f>
        <v>39</v>
      </c>
      <c r="E6772" t="str">
        <f>"1-136-39"</f>
        <v>1-136-39</v>
      </c>
      <c r="F6772" t="s">
        <v>65</v>
      </c>
      <c r="G6772" t="s">
        <v>66</v>
      </c>
      <c r="H6772" t="s">
        <v>67</v>
      </c>
      <c r="S6772">
        <v>1</v>
      </c>
      <c r="T6772">
        <v>0</v>
      </c>
      <c r="U6772">
        <v>0</v>
      </c>
      <c r="V6772">
        <v>0</v>
      </c>
      <c r="W6772">
        <v>1</v>
      </c>
      <c r="X6772">
        <v>0</v>
      </c>
      <c r="Y6772">
        <v>1</v>
      </c>
      <c r="Z6772">
        <v>0</v>
      </c>
      <c r="AA6772">
        <v>1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1</v>
      </c>
      <c r="AI6772">
        <v>0</v>
      </c>
      <c r="AJ6772">
        <v>1</v>
      </c>
      <c r="AK6772">
        <v>1</v>
      </c>
      <c r="AL6772">
        <v>1</v>
      </c>
      <c r="AM6772">
        <v>1</v>
      </c>
    </row>
    <row r="6773" spans="1:39" x14ac:dyDescent="0.2">
      <c r="A6773" t="str">
        <f>"6769"</f>
        <v>6769</v>
      </c>
      <c r="B6773" t="str">
        <f t="shared" si="374"/>
        <v>1</v>
      </c>
      <c r="C6773" t="str">
        <f t="shared" si="376"/>
        <v>136</v>
      </c>
      <c r="D6773" t="str">
        <f>"29"</f>
        <v>29</v>
      </c>
      <c r="E6773" t="str">
        <f>"1-136-29"</f>
        <v>1-136-29</v>
      </c>
      <c r="F6773" t="s">
        <v>65</v>
      </c>
      <c r="G6773" t="s">
        <v>66</v>
      </c>
      <c r="H6773" t="s">
        <v>67</v>
      </c>
      <c r="S6773">
        <v>1</v>
      </c>
      <c r="T6773">
        <v>0</v>
      </c>
      <c r="U6773">
        <v>0</v>
      </c>
      <c r="V6773">
        <v>0</v>
      </c>
      <c r="W6773">
        <v>1</v>
      </c>
      <c r="X6773">
        <v>0</v>
      </c>
      <c r="Y6773">
        <v>0</v>
      </c>
      <c r="Z6773">
        <v>1</v>
      </c>
      <c r="AA6773">
        <v>1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</row>
    <row r="6774" spans="1:39" x14ac:dyDescent="0.2">
      <c r="A6774" t="str">
        <f>"6770"</f>
        <v>6770</v>
      </c>
      <c r="B6774" t="str">
        <f t="shared" si="374"/>
        <v>1</v>
      </c>
      <c r="C6774" t="str">
        <f t="shared" si="376"/>
        <v>136</v>
      </c>
      <c r="D6774" t="str">
        <f>"18"</f>
        <v>18</v>
      </c>
      <c r="E6774" t="str">
        <f>"1-136-18"</f>
        <v>1-136-18</v>
      </c>
      <c r="F6774" t="s">
        <v>65</v>
      </c>
      <c r="G6774" t="s">
        <v>66</v>
      </c>
      <c r="H6774" t="s">
        <v>67</v>
      </c>
      <c r="S6774">
        <v>0</v>
      </c>
      <c r="T6774">
        <v>1</v>
      </c>
      <c r="U6774">
        <v>0</v>
      </c>
      <c r="V6774">
        <v>0</v>
      </c>
      <c r="W6774">
        <v>1</v>
      </c>
      <c r="X6774">
        <v>0</v>
      </c>
      <c r="Y6774">
        <v>0</v>
      </c>
      <c r="Z6774">
        <v>1</v>
      </c>
      <c r="AA6774">
        <v>0</v>
      </c>
      <c r="AB6774">
        <v>0</v>
      </c>
      <c r="AC6774">
        <v>1</v>
      </c>
      <c r="AD6774">
        <v>1</v>
      </c>
      <c r="AE6774">
        <v>1</v>
      </c>
      <c r="AF6774">
        <v>1</v>
      </c>
      <c r="AG6774">
        <v>1</v>
      </c>
      <c r="AH6774">
        <v>1</v>
      </c>
      <c r="AI6774">
        <v>1</v>
      </c>
      <c r="AJ6774">
        <v>1</v>
      </c>
      <c r="AK6774">
        <v>1</v>
      </c>
      <c r="AL6774">
        <v>1</v>
      </c>
      <c r="AM6774">
        <v>1</v>
      </c>
    </row>
    <row r="6775" spans="1:39" x14ac:dyDescent="0.2">
      <c r="A6775" t="str">
        <f>"6771"</f>
        <v>6771</v>
      </c>
      <c r="B6775" t="str">
        <f t="shared" ref="B6775:B6838" si="377">"1"</f>
        <v>1</v>
      </c>
      <c r="C6775" t="str">
        <f t="shared" si="376"/>
        <v>136</v>
      </c>
      <c r="D6775" t="str">
        <f>"4"</f>
        <v>4</v>
      </c>
      <c r="E6775" t="str">
        <f>"1-136-4"</f>
        <v>1-136-4</v>
      </c>
      <c r="F6775" t="s">
        <v>65</v>
      </c>
      <c r="G6775" t="s">
        <v>66</v>
      </c>
      <c r="H6775" t="s">
        <v>67</v>
      </c>
      <c r="S6775">
        <v>1</v>
      </c>
      <c r="T6775">
        <v>0</v>
      </c>
      <c r="U6775">
        <v>0</v>
      </c>
      <c r="V6775">
        <v>0</v>
      </c>
      <c r="W6775">
        <v>0</v>
      </c>
      <c r="X6775">
        <v>1</v>
      </c>
      <c r="Y6775">
        <v>1</v>
      </c>
      <c r="Z6775">
        <v>0</v>
      </c>
      <c r="AA6775">
        <v>1</v>
      </c>
      <c r="AB6775">
        <v>0</v>
      </c>
      <c r="AC6775">
        <v>0</v>
      </c>
      <c r="AD6775">
        <v>1</v>
      </c>
      <c r="AE6775">
        <v>1</v>
      </c>
      <c r="AF6775">
        <v>1</v>
      </c>
      <c r="AG6775">
        <v>1</v>
      </c>
      <c r="AH6775">
        <v>1</v>
      </c>
      <c r="AI6775">
        <v>1</v>
      </c>
      <c r="AJ6775">
        <v>1</v>
      </c>
      <c r="AK6775">
        <v>1</v>
      </c>
      <c r="AL6775">
        <v>1</v>
      </c>
      <c r="AM6775">
        <v>1</v>
      </c>
    </row>
    <row r="6776" spans="1:39" x14ac:dyDescent="0.2">
      <c r="A6776" t="str">
        <f>"6772"</f>
        <v>6772</v>
      </c>
      <c r="B6776" t="str">
        <f t="shared" si="377"/>
        <v>1</v>
      </c>
      <c r="C6776" t="str">
        <f t="shared" si="376"/>
        <v>136</v>
      </c>
      <c r="D6776" t="str">
        <f>"41"</f>
        <v>41</v>
      </c>
      <c r="E6776" t="str">
        <f>"1-136-41"</f>
        <v>1-136-41</v>
      </c>
      <c r="F6776" t="s">
        <v>65</v>
      </c>
      <c r="G6776" t="s">
        <v>66</v>
      </c>
      <c r="H6776" t="s">
        <v>67</v>
      </c>
      <c r="S6776">
        <v>1</v>
      </c>
      <c r="T6776">
        <v>0</v>
      </c>
      <c r="U6776">
        <v>0</v>
      </c>
      <c r="V6776">
        <v>0</v>
      </c>
      <c r="W6776">
        <v>1</v>
      </c>
      <c r="X6776">
        <v>0</v>
      </c>
      <c r="Y6776">
        <v>1</v>
      </c>
      <c r="Z6776">
        <v>0</v>
      </c>
      <c r="AA6776">
        <v>0</v>
      </c>
      <c r="AB6776">
        <v>0</v>
      </c>
      <c r="AC6776">
        <v>1</v>
      </c>
      <c r="AD6776">
        <v>1</v>
      </c>
      <c r="AE6776">
        <v>1</v>
      </c>
      <c r="AF6776">
        <v>1</v>
      </c>
      <c r="AG6776">
        <v>1</v>
      </c>
      <c r="AH6776">
        <v>1</v>
      </c>
      <c r="AI6776">
        <v>1</v>
      </c>
      <c r="AJ6776">
        <v>1</v>
      </c>
      <c r="AK6776">
        <v>1</v>
      </c>
      <c r="AL6776">
        <v>1</v>
      </c>
      <c r="AM6776">
        <v>1</v>
      </c>
    </row>
    <row r="6777" spans="1:39" x14ac:dyDescent="0.2">
      <c r="A6777" t="str">
        <f>"6773"</f>
        <v>6773</v>
      </c>
      <c r="B6777" t="str">
        <f t="shared" si="377"/>
        <v>1</v>
      </c>
      <c r="C6777" t="str">
        <f t="shared" si="376"/>
        <v>136</v>
      </c>
      <c r="D6777" t="str">
        <f>"20"</f>
        <v>20</v>
      </c>
      <c r="E6777" t="str">
        <f>"1-136-20"</f>
        <v>1-136-20</v>
      </c>
      <c r="F6777" t="s">
        <v>65</v>
      </c>
      <c r="G6777" t="s">
        <v>66</v>
      </c>
      <c r="H6777" t="s">
        <v>67</v>
      </c>
      <c r="S6777">
        <v>1</v>
      </c>
      <c r="T6777">
        <v>0</v>
      </c>
      <c r="U6777">
        <v>0</v>
      </c>
      <c r="V6777">
        <v>0</v>
      </c>
      <c r="W6777">
        <v>0</v>
      </c>
      <c r="X6777">
        <v>1</v>
      </c>
      <c r="Y6777">
        <v>1</v>
      </c>
      <c r="Z6777">
        <v>0</v>
      </c>
      <c r="AA6777">
        <v>0</v>
      </c>
      <c r="AB6777">
        <v>1</v>
      </c>
      <c r="AC6777">
        <v>0</v>
      </c>
      <c r="AD6777">
        <v>1</v>
      </c>
      <c r="AE6777">
        <v>0</v>
      </c>
      <c r="AF6777">
        <v>1</v>
      </c>
      <c r="AG6777">
        <v>1</v>
      </c>
      <c r="AH6777">
        <v>1</v>
      </c>
      <c r="AI6777">
        <v>1</v>
      </c>
      <c r="AJ6777">
        <v>1</v>
      </c>
      <c r="AK6777">
        <v>1</v>
      </c>
      <c r="AL6777">
        <v>1</v>
      </c>
      <c r="AM6777">
        <v>1</v>
      </c>
    </row>
    <row r="6778" spans="1:39" x14ac:dyDescent="0.2">
      <c r="A6778" t="str">
        <f>"6774"</f>
        <v>6774</v>
      </c>
      <c r="B6778" t="str">
        <f t="shared" si="377"/>
        <v>1</v>
      </c>
      <c r="C6778" t="str">
        <f t="shared" si="376"/>
        <v>136</v>
      </c>
      <c r="D6778" t="str">
        <f>"13"</f>
        <v>13</v>
      </c>
      <c r="E6778" t="str">
        <f>"1-136-13"</f>
        <v>1-136-13</v>
      </c>
      <c r="F6778" t="s">
        <v>65</v>
      </c>
      <c r="G6778" t="s">
        <v>66</v>
      </c>
      <c r="H6778" t="s">
        <v>67</v>
      </c>
      <c r="S6778">
        <v>1</v>
      </c>
      <c r="T6778">
        <v>0</v>
      </c>
      <c r="U6778">
        <v>0</v>
      </c>
      <c r="V6778">
        <v>0</v>
      </c>
      <c r="W6778">
        <v>1</v>
      </c>
      <c r="X6778">
        <v>0</v>
      </c>
      <c r="Y6778">
        <v>1</v>
      </c>
      <c r="Z6778">
        <v>0</v>
      </c>
      <c r="AA6778">
        <v>1</v>
      </c>
      <c r="AB6778">
        <v>0</v>
      </c>
      <c r="AC6778">
        <v>0</v>
      </c>
      <c r="AD6778">
        <v>1</v>
      </c>
      <c r="AE6778">
        <v>1</v>
      </c>
      <c r="AF6778">
        <v>1</v>
      </c>
      <c r="AG6778">
        <v>0</v>
      </c>
      <c r="AH6778">
        <v>1</v>
      </c>
      <c r="AI6778">
        <v>1</v>
      </c>
      <c r="AJ6778">
        <v>1</v>
      </c>
      <c r="AK6778">
        <v>1</v>
      </c>
      <c r="AL6778">
        <v>1</v>
      </c>
      <c r="AM6778">
        <v>1</v>
      </c>
    </row>
    <row r="6779" spans="1:39" x14ac:dyDescent="0.2">
      <c r="A6779" t="str">
        <f>"6775"</f>
        <v>6775</v>
      </c>
      <c r="B6779" t="str">
        <f t="shared" si="377"/>
        <v>1</v>
      </c>
      <c r="C6779" t="str">
        <f t="shared" si="376"/>
        <v>136</v>
      </c>
      <c r="D6779" t="str">
        <f>"42"</f>
        <v>42</v>
      </c>
      <c r="E6779" t="str">
        <f>"1-136-42"</f>
        <v>1-136-42</v>
      </c>
      <c r="F6779" t="s">
        <v>65</v>
      </c>
      <c r="G6779" t="s">
        <v>66</v>
      </c>
      <c r="H6779" t="s">
        <v>67</v>
      </c>
      <c r="S6779">
        <v>0</v>
      </c>
      <c r="T6779">
        <v>1</v>
      </c>
      <c r="U6779">
        <v>0</v>
      </c>
      <c r="V6779">
        <v>0</v>
      </c>
      <c r="W6779">
        <v>1</v>
      </c>
      <c r="X6779">
        <v>0</v>
      </c>
      <c r="Y6779">
        <v>0</v>
      </c>
      <c r="Z6779">
        <v>1</v>
      </c>
      <c r="AA6779">
        <v>0</v>
      </c>
      <c r="AB6779">
        <v>0</v>
      </c>
      <c r="AC6779">
        <v>1</v>
      </c>
      <c r="AD6779">
        <v>1</v>
      </c>
      <c r="AE6779">
        <v>1</v>
      </c>
      <c r="AF6779">
        <v>1</v>
      </c>
      <c r="AG6779">
        <v>1</v>
      </c>
      <c r="AH6779">
        <v>1</v>
      </c>
      <c r="AI6779">
        <v>1</v>
      </c>
      <c r="AJ6779">
        <v>1</v>
      </c>
      <c r="AK6779">
        <v>1</v>
      </c>
      <c r="AL6779">
        <v>1</v>
      </c>
      <c r="AM6779">
        <v>1</v>
      </c>
    </row>
    <row r="6780" spans="1:39" x14ac:dyDescent="0.2">
      <c r="A6780" t="str">
        <f>"6776"</f>
        <v>6776</v>
      </c>
      <c r="B6780" t="str">
        <f t="shared" si="377"/>
        <v>1</v>
      </c>
      <c r="C6780" t="str">
        <f t="shared" si="376"/>
        <v>136</v>
      </c>
      <c r="D6780" t="str">
        <f>"22"</f>
        <v>22</v>
      </c>
      <c r="E6780" t="str">
        <f>"1-136-22"</f>
        <v>1-136-22</v>
      </c>
      <c r="F6780" t="s">
        <v>65</v>
      </c>
      <c r="G6780" t="s">
        <v>66</v>
      </c>
      <c r="H6780" t="s">
        <v>67</v>
      </c>
      <c r="S6780">
        <v>1</v>
      </c>
      <c r="T6780">
        <v>0</v>
      </c>
      <c r="U6780">
        <v>0</v>
      </c>
      <c r="V6780">
        <v>0</v>
      </c>
      <c r="W6780">
        <v>1</v>
      </c>
      <c r="X6780">
        <v>0</v>
      </c>
      <c r="Y6780">
        <v>0</v>
      </c>
      <c r="Z6780">
        <v>1</v>
      </c>
      <c r="AA6780">
        <v>1</v>
      </c>
      <c r="AB6780">
        <v>0</v>
      </c>
      <c r="AC6780">
        <v>0</v>
      </c>
      <c r="AD6780">
        <v>1</v>
      </c>
      <c r="AE6780">
        <v>1</v>
      </c>
      <c r="AF6780">
        <v>1</v>
      </c>
      <c r="AG6780">
        <v>1</v>
      </c>
      <c r="AH6780">
        <v>1</v>
      </c>
      <c r="AI6780">
        <v>1</v>
      </c>
      <c r="AJ6780">
        <v>1</v>
      </c>
      <c r="AK6780">
        <v>1</v>
      </c>
      <c r="AL6780">
        <v>1</v>
      </c>
      <c r="AM6780">
        <v>1</v>
      </c>
    </row>
    <row r="6781" spans="1:39" x14ac:dyDescent="0.2">
      <c r="A6781" t="str">
        <f>"6777"</f>
        <v>6777</v>
      </c>
      <c r="B6781" t="str">
        <f t="shared" si="377"/>
        <v>1</v>
      </c>
      <c r="C6781" t="str">
        <f t="shared" si="376"/>
        <v>136</v>
      </c>
      <c r="D6781" t="str">
        <f>"7"</f>
        <v>7</v>
      </c>
      <c r="E6781" t="str">
        <f>"1-136-7"</f>
        <v>1-136-7</v>
      </c>
      <c r="F6781" t="s">
        <v>65</v>
      </c>
      <c r="G6781" t="s">
        <v>66</v>
      </c>
      <c r="H6781" t="s">
        <v>67</v>
      </c>
      <c r="S6781">
        <v>1</v>
      </c>
      <c r="T6781">
        <v>0</v>
      </c>
      <c r="U6781">
        <v>0</v>
      </c>
      <c r="V6781">
        <v>0</v>
      </c>
      <c r="W6781">
        <v>1</v>
      </c>
      <c r="X6781">
        <v>0</v>
      </c>
      <c r="Y6781">
        <v>1</v>
      </c>
      <c r="Z6781">
        <v>0</v>
      </c>
      <c r="AA6781">
        <v>1</v>
      </c>
      <c r="AB6781">
        <v>0</v>
      </c>
      <c r="AC6781">
        <v>0</v>
      </c>
      <c r="AD6781">
        <v>1</v>
      </c>
      <c r="AE6781">
        <v>1</v>
      </c>
      <c r="AF6781">
        <v>1</v>
      </c>
      <c r="AG6781">
        <v>1</v>
      </c>
      <c r="AH6781">
        <v>1</v>
      </c>
      <c r="AI6781">
        <v>1</v>
      </c>
      <c r="AJ6781">
        <v>1</v>
      </c>
      <c r="AK6781">
        <v>1</v>
      </c>
      <c r="AL6781">
        <v>1</v>
      </c>
      <c r="AM6781">
        <v>1</v>
      </c>
    </row>
    <row r="6782" spans="1:39" x14ac:dyDescent="0.2">
      <c r="A6782" t="str">
        <f>"6778"</f>
        <v>6778</v>
      </c>
      <c r="B6782" t="str">
        <f t="shared" si="377"/>
        <v>1</v>
      </c>
      <c r="C6782" t="str">
        <f t="shared" si="376"/>
        <v>136</v>
      </c>
      <c r="D6782" t="str">
        <f>"43"</f>
        <v>43</v>
      </c>
      <c r="E6782" t="str">
        <f>"1-136-43"</f>
        <v>1-136-43</v>
      </c>
      <c r="F6782" t="s">
        <v>65</v>
      </c>
      <c r="G6782" t="s">
        <v>66</v>
      </c>
      <c r="H6782" t="s">
        <v>67</v>
      </c>
      <c r="S6782">
        <v>1</v>
      </c>
      <c r="T6782">
        <v>0</v>
      </c>
      <c r="U6782">
        <v>0</v>
      </c>
      <c r="V6782">
        <v>0</v>
      </c>
      <c r="W6782">
        <v>1</v>
      </c>
      <c r="X6782">
        <v>0</v>
      </c>
      <c r="Y6782">
        <v>1</v>
      </c>
      <c r="Z6782">
        <v>0</v>
      </c>
      <c r="AA6782">
        <v>0</v>
      </c>
      <c r="AB6782">
        <v>1</v>
      </c>
      <c r="AC6782">
        <v>0</v>
      </c>
      <c r="AD6782">
        <v>1</v>
      </c>
      <c r="AE6782">
        <v>1</v>
      </c>
      <c r="AF6782">
        <v>1</v>
      </c>
      <c r="AG6782">
        <v>0</v>
      </c>
      <c r="AH6782">
        <v>0</v>
      </c>
      <c r="AI6782">
        <v>1</v>
      </c>
      <c r="AJ6782">
        <v>0</v>
      </c>
      <c r="AK6782">
        <v>0</v>
      </c>
      <c r="AL6782">
        <v>0</v>
      </c>
      <c r="AM6782">
        <v>0</v>
      </c>
    </row>
    <row r="6783" spans="1:39" x14ac:dyDescent="0.2">
      <c r="A6783" t="str">
        <f>"6779"</f>
        <v>6779</v>
      </c>
      <c r="B6783" t="str">
        <f t="shared" si="377"/>
        <v>1</v>
      </c>
      <c r="C6783" t="str">
        <f t="shared" si="376"/>
        <v>136</v>
      </c>
      <c r="D6783" t="str">
        <f>"23"</f>
        <v>23</v>
      </c>
      <c r="E6783" t="str">
        <f>"1-136-23"</f>
        <v>1-136-23</v>
      </c>
      <c r="F6783" t="s">
        <v>65</v>
      </c>
      <c r="G6783" t="s">
        <v>66</v>
      </c>
      <c r="H6783" t="s">
        <v>67</v>
      </c>
      <c r="S6783">
        <v>1</v>
      </c>
      <c r="T6783">
        <v>0</v>
      </c>
      <c r="U6783">
        <v>0</v>
      </c>
      <c r="V6783">
        <v>0</v>
      </c>
      <c r="W6783">
        <v>1</v>
      </c>
      <c r="X6783">
        <v>0</v>
      </c>
      <c r="Y6783">
        <v>1</v>
      </c>
      <c r="Z6783">
        <v>0</v>
      </c>
      <c r="AA6783">
        <v>0</v>
      </c>
      <c r="AB6783">
        <v>1</v>
      </c>
      <c r="AC6783">
        <v>0</v>
      </c>
      <c r="AD6783">
        <v>1</v>
      </c>
      <c r="AE6783">
        <v>1</v>
      </c>
      <c r="AF6783">
        <v>1</v>
      </c>
      <c r="AG6783">
        <v>1</v>
      </c>
      <c r="AH6783">
        <v>1</v>
      </c>
      <c r="AI6783">
        <v>1</v>
      </c>
      <c r="AJ6783">
        <v>1</v>
      </c>
      <c r="AK6783">
        <v>1</v>
      </c>
      <c r="AL6783">
        <v>1</v>
      </c>
      <c r="AM6783">
        <v>1</v>
      </c>
    </row>
    <row r="6784" spans="1:39" x14ac:dyDescent="0.2">
      <c r="A6784" t="str">
        <f>"6780"</f>
        <v>6780</v>
      </c>
      <c r="B6784" t="str">
        <f t="shared" si="377"/>
        <v>1</v>
      </c>
      <c r="C6784" t="str">
        <f t="shared" si="376"/>
        <v>136</v>
      </c>
      <c r="D6784" t="str">
        <f>"3"</f>
        <v>3</v>
      </c>
      <c r="E6784" t="str">
        <f>"1-136-3"</f>
        <v>1-136-3</v>
      </c>
      <c r="F6784" t="s">
        <v>65</v>
      </c>
      <c r="G6784" t="s">
        <v>66</v>
      </c>
      <c r="H6784" t="s">
        <v>67</v>
      </c>
      <c r="S6784">
        <v>1</v>
      </c>
      <c r="T6784">
        <v>0</v>
      </c>
      <c r="U6784">
        <v>0</v>
      </c>
      <c r="V6784">
        <v>0</v>
      </c>
      <c r="W6784">
        <v>1</v>
      </c>
      <c r="X6784">
        <v>0</v>
      </c>
      <c r="Y6784">
        <v>0</v>
      </c>
      <c r="Z6784">
        <v>1</v>
      </c>
      <c r="AA6784">
        <v>0</v>
      </c>
      <c r="AB6784">
        <v>0</v>
      </c>
      <c r="AC6784">
        <v>1</v>
      </c>
      <c r="AD6784">
        <v>1</v>
      </c>
      <c r="AE6784">
        <v>1</v>
      </c>
      <c r="AF6784">
        <v>1</v>
      </c>
      <c r="AG6784">
        <v>1</v>
      </c>
      <c r="AH6784">
        <v>1</v>
      </c>
      <c r="AI6784">
        <v>1</v>
      </c>
      <c r="AJ6784">
        <v>1</v>
      </c>
      <c r="AK6784">
        <v>1</v>
      </c>
      <c r="AL6784">
        <v>1</v>
      </c>
      <c r="AM6784">
        <v>1</v>
      </c>
    </row>
    <row r="6785" spans="1:39" x14ac:dyDescent="0.2">
      <c r="A6785" t="str">
        <f>"6781"</f>
        <v>6781</v>
      </c>
      <c r="B6785" t="str">
        <f t="shared" si="377"/>
        <v>1</v>
      </c>
      <c r="C6785" t="str">
        <f t="shared" si="376"/>
        <v>136</v>
      </c>
      <c r="D6785" t="str">
        <f>"44"</f>
        <v>44</v>
      </c>
      <c r="E6785" t="str">
        <f>"1-136-44"</f>
        <v>1-136-44</v>
      </c>
      <c r="F6785" t="s">
        <v>65</v>
      </c>
      <c r="G6785" t="s">
        <v>66</v>
      </c>
      <c r="H6785" t="s">
        <v>67</v>
      </c>
      <c r="S6785">
        <v>0</v>
      </c>
      <c r="T6785">
        <v>1</v>
      </c>
      <c r="U6785">
        <v>0</v>
      </c>
      <c r="V6785">
        <v>0</v>
      </c>
      <c r="W6785">
        <v>1</v>
      </c>
      <c r="X6785">
        <v>0</v>
      </c>
      <c r="Y6785">
        <v>1</v>
      </c>
      <c r="Z6785">
        <v>0</v>
      </c>
      <c r="AA6785">
        <v>1</v>
      </c>
      <c r="AB6785">
        <v>0</v>
      </c>
      <c r="AC6785">
        <v>0</v>
      </c>
      <c r="AD6785">
        <v>1</v>
      </c>
      <c r="AE6785">
        <v>1</v>
      </c>
      <c r="AF6785">
        <v>1</v>
      </c>
      <c r="AG6785">
        <v>1</v>
      </c>
      <c r="AH6785">
        <v>1</v>
      </c>
      <c r="AI6785">
        <v>1</v>
      </c>
      <c r="AJ6785">
        <v>0</v>
      </c>
      <c r="AK6785">
        <v>1</v>
      </c>
      <c r="AL6785">
        <v>1</v>
      </c>
      <c r="AM6785">
        <v>1</v>
      </c>
    </row>
    <row r="6786" spans="1:39" x14ac:dyDescent="0.2">
      <c r="A6786" t="str">
        <f>"6782"</f>
        <v>6782</v>
      </c>
      <c r="B6786" t="str">
        <f t="shared" si="377"/>
        <v>1</v>
      </c>
      <c r="C6786" t="str">
        <f t="shared" si="376"/>
        <v>136</v>
      </c>
      <c r="D6786" t="str">
        <f>"25"</f>
        <v>25</v>
      </c>
      <c r="E6786" t="str">
        <f>"1-136-25"</f>
        <v>1-136-25</v>
      </c>
      <c r="F6786" t="s">
        <v>65</v>
      </c>
      <c r="G6786" t="s">
        <v>66</v>
      </c>
      <c r="H6786" t="s">
        <v>67</v>
      </c>
      <c r="S6786">
        <v>0</v>
      </c>
      <c r="T6786">
        <v>0</v>
      </c>
      <c r="U6786">
        <v>0</v>
      </c>
      <c r="V6786">
        <v>0</v>
      </c>
      <c r="W6786">
        <v>1</v>
      </c>
      <c r="X6786">
        <v>0</v>
      </c>
      <c r="Y6786">
        <v>0</v>
      </c>
      <c r="Z6786">
        <v>0</v>
      </c>
      <c r="AA6786">
        <v>1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1</v>
      </c>
      <c r="AH6786">
        <v>1</v>
      </c>
      <c r="AI6786">
        <v>1</v>
      </c>
      <c r="AJ6786">
        <v>1</v>
      </c>
      <c r="AK6786">
        <v>1</v>
      </c>
      <c r="AL6786">
        <v>1</v>
      </c>
      <c r="AM6786">
        <v>0</v>
      </c>
    </row>
    <row r="6787" spans="1:39" x14ac:dyDescent="0.2">
      <c r="A6787" t="str">
        <f>"6783"</f>
        <v>6783</v>
      </c>
      <c r="B6787" t="str">
        <f t="shared" si="377"/>
        <v>1</v>
      </c>
      <c r="C6787" t="str">
        <f t="shared" ref="C6787:C6804" si="378">"136"</f>
        <v>136</v>
      </c>
      <c r="D6787" t="str">
        <f>"14"</f>
        <v>14</v>
      </c>
      <c r="E6787" t="str">
        <f>"1-136-14"</f>
        <v>1-136-14</v>
      </c>
      <c r="F6787" t="s">
        <v>65</v>
      </c>
      <c r="G6787" t="s">
        <v>66</v>
      </c>
      <c r="H6787" t="s">
        <v>67</v>
      </c>
      <c r="S6787">
        <v>1</v>
      </c>
      <c r="T6787">
        <v>0</v>
      </c>
      <c r="U6787">
        <v>0</v>
      </c>
      <c r="V6787">
        <v>0</v>
      </c>
      <c r="W6787">
        <v>1</v>
      </c>
      <c r="X6787">
        <v>0</v>
      </c>
      <c r="Y6787">
        <v>0</v>
      </c>
      <c r="Z6787">
        <v>1</v>
      </c>
      <c r="AA6787">
        <v>1</v>
      </c>
      <c r="AB6787">
        <v>0</v>
      </c>
      <c r="AC6787">
        <v>0</v>
      </c>
      <c r="AD6787">
        <v>1</v>
      </c>
      <c r="AE6787">
        <v>1</v>
      </c>
      <c r="AF6787">
        <v>1</v>
      </c>
      <c r="AG6787">
        <v>1</v>
      </c>
      <c r="AH6787">
        <v>1</v>
      </c>
      <c r="AI6787">
        <v>1</v>
      </c>
      <c r="AJ6787">
        <v>1</v>
      </c>
      <c r="AK6787">
        <v>1</v>
      </c>
      <c r="AL6787">
        <v>1</v>
      </c>
      <c r="AM6787">
        <v>1</v>
      </c>
    </row>
    <row r="6788" spans="1:39" x14ac:dyDescent="0.2">
      <c r="A6788" t="str">
        <f>"6784"</f>
        <v>6784</v>
      </c>
      <c r="B6788" t="str">
        <f t="shared" si="377"/>
        <v>1</v>
      </c>
      <c r="C6788" t="str">
        <f t="shared" si="378"/>
        <v>136</v>
      </c>
      <c r="D6788" t="str">
        <f>"45"</f>
        <v>45</v>
      </c>
      <c r="E6788" t="str">
        <f>"1-136-45"</f>
        <v>1-136-45</v>
      </c>
      <c r="F6788" t="s">
        <v>65</v>
      </c>
      <c r="G6788" t="s">
        <v>66</v>
      </c>
      <c r="H6788" t="s">
        <v>67</v>
      </c>
      <c r="S6788">
        <v>0</v>
      </c>
      <c r="T6788">
        <v>1</v>
      </c>
      <c r="U6788">
        <v>0</v>
      </c>
      <c r="V6788">
        <v>0</v>
      </c>
      <c r="W6788">
        <v>1</v>
      </c>
      <c r="X6788">
        <v>0</v>
      </c>
      <c r="Y6788">
        <v>1</v>
      </c>
      <c r="Z6788">
        <v>0</v>
      </c>
      <c r="AA6788">
        <v>1</v>
      </c>
      <c r="AB6788">
        <v>0</v>
      </c>
      <c r="AC6788">
        <v>0</v>
      </c>
      <c r="AD6788">
        <v>1</v>
      </c>
      <c r="AE6788">
        <v>1</v>
      </c>
      <c r="AF6788">
        <v>1</v>
      </c>
      <c r="AG6788">
        <v>1</v>
      </c>
      <c r="AH6788">
        <v>1</v>
      </c>
      <c r="AI6788">
        <v>1</v>
      </c>
      <c r="AJ6788">
        <v>1</v>
      </c>
      <c r="AK6788">
        <v>1</v>
      </c>
      <c r="AL6788">
        <v>1</v>
      </c>
      <c r="AM6788">
        <v>1</v>
      </c>
    </row>
    <row r="6789" spans="1:39" x14ac:dyDescent="0.2">
      <c r="A6789" t="str">
        <f>"6785"</f>
        <v>6785</v>
      </c>
      <c r="B6789" t="str">
        <f t="shared" si="377"/>
        <v>1</v>
      </c>
      <c r="C6789" t="str">
        <f t="shared" si="378"/>
        <v>136</v>
      </c>
      <c r="D6789" t="str">
        <f>"26"</f>
        <v>26</v>
      </c>
      <c r="E6789" t="str">
        <f>"1-136-26"</f>
        <v>1-136-26</v>
      </c>
      <c r="F6789" t="s">
        <v>65</v>
      </c>
      <c r="G6789" t="s">
        <v>66</v>
      </c>
      <c r="H6789" t="s">
        <v>67</v>
      </c>
      <c r="S6789">
        <v>0</v>
      </c>
      <c r="T6789">
        <v>1</v>
      </c>
      <c r="U6789">
        <v>0</v>
      </c>
      <c r="V6789">
        <v>0</v>
      </c>
      <c r="W6789">
        <v>1</v>
      </c>
      <c r="X6789">
        <v>0</v>
      </c>
      <c r="Y6789">
        <v>0</v>
      </c>
      <c r="Z6789">
        <v>1</v>
      </c>
      <c r="AA6789">
        <v>0</v>
      </c>
      <c r="AB6789">
        <v>1</v>
      </c>
      <c r="AC6789">
        <v>0</v>
      </c>
      <c r="AD6789">
        <v>1</v>
      </c>
      <c r="AE6789">
        <v>1</v>
      </c>
      <c r="AF6789">
        <v>1</v>
      </c>
      <c r="AG6789">
        <v>1</v>
      </c>
      <c r="AH6789">
        <v>1</v>
      </c>
      <c r="AI6789">
        <v>1</v>
      </c>
      <c r="AJ6789">
        <v>1</v>
      </c>
      <c r="AK6789">
        <v>1</v>
      </c>
      <c r="AL6789">
        <v>1</v>
      </c>
      <c r="AM6789">
        <v>1</v>
      </c>
    </row>
    <row r="6790" spans="1:39" x14ac:dyDescent="0.2">
      <c r="A6790" t="str">
        <f>"6786"</f>
        <v>6786</v>
      </c>
      <c r="B6790" t="str">
        <f t="shared" si="377"/>
        <v>1</v>
      </c>
      <c r="C6790" t="str">
        <f t="shared" si="378"/>
        <v>136</v>
      </c>
      <c r="D6790" t="str">
        <f>"2"</f>
        <v>2</v>
      </c>
      <c r="E6790" t="str">
        <f>"1-136-2"</f>
        <v>1-136-2</v>
      </c>
      <c r="F6790" t="s">
        <v>65</v>
      </c>
      <c r="G6790" t="s">
        <v>66</v>
      </c>
      <c r="H6790" t="s">
        <v>67</v>
      </c>
      <c r="S6790">
        <v>1</v>
      </c>
      <c r="T6790">
        <v>0</v>
      </c>
      <c r="U6790">
        <v>0</v>
      </c>
      <c r="V6790">
        <v>0</v>
      </c>
      <c r="W6790">
        <v>0</v>
      </c>
      <c r="X6790">
        <v>1</v>
      </c>
      <c r="Y6790">
        <v>0</v>
      </c>
      <c r="Z6790">
        <v>1</v>
      </c>
      <c r="AA6790">
        <v>0</v>
      </c>
      <c r="AB6790">
        <v>1</v>
      </c>
      <c r="AC6790">
        <v>0</v>
      </c>
      <c r="AD6790">
        <v>1</v>
      </c>
      <c r="AE6790">
        <v>1</v>
      </c>
      <c r="AF6790">
        <v>1</v>
      </c>
      <c r="AG6790">
        <v>1</v>
      </c>
      <c r="AH6790">
        <v>1</v>
      </c>
      <c r="AI6790">
        <v>1</v>
      </c>
      <c r="AJ6790">
        <v>1</v>
      </c>
      <c r="AK6790">
        <v>1</v>
      </c>
      <c r="AL6790">
        <v>1</v>
      </c>
      <c r="AM6790">
        <v>1</v>
      </c>
    </row>
    <row r="6791" spans="1:39" x14ac:dyDescent="0.2">
      <c r="A6791" t="str">
        <f>"6787"</f>
        <v>6787</v>
      </c>
      <c r="B6791" t="str">
        <f t="shared" si="377"/>
        <v>1</v>
      </c>
      <c r="C6791" t="str">
        <f t="shared" si="378"/>
        <v>136</v>
      </c>
      <c r="D6791" t="str">
        <f>"27"</f>
        <v>27</v>
      </c>
      <c r="E6791" t="str">
        <f>"1-136-27"</f>
        <v>1-136-27</v>
      </c>
      <c r="F6791" t="s">
        <v>65</v>
      </c>
      <c r="G6791" t="s">
        <v>66</v>
      </c>
      <c r="H6791" t="s">
        <v>67</v>
      </c>
      <c r="S6791">
        <v>0</v>
      </c>
      <c r="T6791">
        <v>1</v>
      </c>
      <c r="U6791">
        <v>0</v>
      </c>
      <c r="V6791">
        <v>0</v>
      </c>
      <c r="W6791">
        <v>1</v>
      </c>
      <c r="X6791">
        <v>0</v>
      </c>
      <c r="Y6791">
        <v>0</v>
      </c>
      <c r="Z6791">
        <v>1</v>
      </c>
      <c r="AA6791">
        <v>1</v>
      </c>
      <c r="AB6791">
        <v>0</v>
      </c>
      <c r="AC6791">
        <v>0</v>
      </c>
      <c r="AD6791">
        <v>1</v>
      </c>
      <c r="AE6791">
        <v>1</v>
      </c>
      <c r="AF6791">
        <v>1</v>
      </c>
      <c r="AG6791">
        <v>1</v>
      </c>
      <c r="AH6791">
        <v>1</v>
      </c>
      <c r="AI6791">
        <v>1</v>
      </c>
      <c r="AJ6791">
        <v>1</v>
      </c>
      <c r="AK6791">
        <v>1</v>
      </c>
      <c r="AL6791">
        <v>1</v>
      </c>
      <c r="AM6791">
        <v>1</v>
      </c>
    </row>
    <row r="6792" spans="1:39" x14ac:dyDescent="0.2">
      <c r="A6792" t="str">
        <f>"6788"</f>
        <v>6788</v>
      </c>
      <c r="B6792" t="str">
        <f t="shared" si="377"/>
        <v>1</v>
      </c>
      <c r="C6792" t="str">
        <f t="shared" si="378"/>
        <v>136</v>
      </c>
      <c r="D6792" t="str">
        <f>"11"</f>
        <v>11</v>
      </c>
      <c r="E6792" t="str">
        <f>"1-136-11"</f>
        <v>1-136-11</v>
      </c>
      <c r="F6792" t="s">
        <v>65</v>
      </c>
      <c r="G6792" t="s">
        <v>66</v>
      </c>
      <c r="H6792" t="s">
        <v>67</v>
      </c>
      <c r="S6792">
        <v>0</v>
      </c>
      <c r="T6792">
        <v>1</v>
      </c>
      <c r="U6792">
        <v>0</v>
      </c>
      <c r="V6792">
        <v>0</v>
      </c>
      <c r="W6792">
        <v>0</v>
      </c>
      <c r="X6792">
        <v>1</v>
      </c>
      <c r="Y6792">
        <v>0</v>
      </c>
      <c r="Z6792">
        <v>1</v>
      </c>
      <c r="AA6792">
        <v>0</v>
      </c>
      <c r="AB6792">
        <v>0</v>
      </c>
      <c r="AC6792">
        <v>1</v>
      </c>
      <c r="AD6792">
        <v>1</v>
      </c>
      <c r="AE6792">
        <v>1</v>
      </c>
      <c r="AF6792">
        <v>1</v>
      </c>
      <c r="AG6792">
        <v>0</v>
      </c>
      <c r="AH6792">
        <v>1</v>
      </c>
      <c r="AI6792">
        <v>1</v>
      </c>
      <c r="AJ6792">
        <v>1</v>
      </c>
      <c r="AK6792">
        <v>1</v>
      </c>
      <c r="AL6792">
        <v>1</v>
      </c>
      <c r="AM6792">
        <v>1</v>
      </c>
    </row>
    <row r="6793" spans="1:39" x14ac:dyDescent="0.2">
      <c r="A6793" t="str">
        <f>"6789"</f>
        <v>6789</v>
      </c>
      <c r="B6793" t="str">
        <f t="shared" si="377"/>
        <v>1</v>
      </c>
      <c r="C6793" t="str">
        <f t="shared" si="378"/>
        <v>136</v>
      </c>
      <c r="D6793" t="str">
        <f>"46"</f>
        <v>46</v>
      </c>
      <c r="E6793" t="str">
        <f>"1-136-46"</f>
        <v>1-136-46</v>
      </c>
      <c r="F6793" t="s">
        <v>65</v>
      </c>
      <c r="G6793" t="s">
        <v>66</v>
      </c>
      <c r="H6793" t="s">
        <v>67</v>
      </c>
      <c r="S6793">
        <v>1</v>
      </c>
      <c r="T6793">
        <v>0</v>
      </c>
      <c r="U6793">
        <v>0</v>
      </c>
      <c r="V6793">
        <v>0</v>
      </c>
      <c r="W6793">
        <v>1</v>
      </c>
      <c r="X6793">
        <v>0</v>
      </c>
      <c r="Y6793">
        <v>1</v>
      </c>
      <c r="Z6793">
        <v>0</v>
      </c>
      <c r="AA6793">
        <v>0</v>
      </c>
      <c r="AB6793">
        <v>1</v>
      </c>
      <c r="AC6793">
        <v>0</v>
      </c>
      <c r="AD6793">
        <v>1</v>
      </c>
      <c r="AE6793">
        <v>1</v>
      </c>
      <c r="AF6793">
        <v>1</v>
      </c>
      <c r="AG6793">
        <v>1</v>
      </c>
      <c r="AH6793">
        <v>1</v>
      </c>
      <c r="AI6793">
        <v>0</v>
      </c>
      <c r="AJ6793">
        <v>1</v>
      </c>
      <c r="AK6793">
        <v>1</v>
      </c>
      <c r="AL6793">
        <v>1</v>
      </c>
      <c r="AM6793">
        <v>0</v>
      </c>
    </row>
    <row r="6794" spans="1:39" x14ac:dyDescent="0.2">
      <c r="A6794" t="str">
        <f>"6790"</f>
        <v>6790</v>
      </c>
      <c r="B6794" t="str">
        <f t="shared" si="377"/>
        <v>1</v>
      </c>
      <c r="C6794" t="str">
        <f t="shared" si="378"/>
        <v>136</v>
      </c>
      <c r="D6794" t="str">
        <f>"28"</f>
        <v>28</v>
      </c>
      <c r="E6794" t="str">
        <f>"1-136-28"</f>
        <v>1-136-28</v>
      </c>
      <c r="F6794" t="s">
        <v>65</v>
      </c>
      <c r="G6794" t="s">
        <v>66</v>
      </c>
      <c r="H6794" t="s">
        <v>67</v>
      </c>
      <c r="S6794">
        <v>0</v>
      </c>
      <c r="T6794">
        <v>1</v>
      </c>
      <c r="U6794">
        <v>0</v>
      </c>
      <c r="V6794">
        <v>0</v>
      </c>
      <c r="W6794">
        <v>1</v>
      </c>
      <c r="X6794">
        <v>0</v>
      </c>
      <c r="Y6794">
        <v>1</v>
      </c>
      <c r="Z6794">
        <v>0</v>
      </c>
      <c r="AA6794">
        <v>0</v>
      </c>
      <c r="AB6794">
        <v>0</v>
      </c>
      <c r="AC6794">
        <v>1</v>
      </c>
      <c r="AD6794">
        <v>1</v>
      </c>
      <c r="AE6794">
        <v>1</v>
      </c>
      <c r="AF6794">
        <v>1</v>
      </c>
      <c r="AG6794">
        <v>1</v>
      </c>
      <c r="AH6794">
        <v>1</v>
      </c>
      <c r="AI6794">
        <v>1</v>
      </c>
      <c r="AJ6794">
        <v>1</v>
      </c>
      <c r="AK6794">
        <v>1</v>
      </c>
      <c r="AL6794">
        <v>1</v>
      </c>
      <c r="AM6794">
        <v>1</v>
      </c>
    </row>
    <row r="6795" spans="1:39" x14ac:dyDescent="0.2">
      <c r="A6795" t="str">
        <f>"6791"</f>
        <v>6791</v>
      </c>
      <c r="B6795" t="str">
        <f t="shared" si="377"/>
        <v>1</v>
      </c>
      <c r="C6795" t="str">
        <f t="shared" si="378"/>
        <v>136</v>
      </c>
      <c r="D6795" t="str">
        <f>"12"</f>
        <v>12</v>
      </c>
      <c r="E6795" t="str">
        <f>"1-136-12"</f>
        <v>1-136-12</v>
      </c>
      <c r="F6795" t="s">
        <v>65</v>
      </c>
      <c r="G6795" t="s">
        <v>66</v>
      </c>
      <c r="H6795" t="s">
        <v>67</v>
      </c>
      <c r="S6795">
        <v>1</v>
      </c>
      <c r="T6795">
        <v>0</v>
      </c>
      <c r="U6795">
        <v>0</v>
      </c>
      <c r="V6795">
        <v>0</v>
      </c>
      <c r="W6795">
        <v>1</v>
      </c>
      <c r="X6795">
        <v>0</v>
      </c>
      <c r="Y6795">
        <v>1</v>
      </c>
      <c r="Z6795">
        <v>0</v>
      </c>
      <c r="AA6795">
        <v>0</v>
      </c>
      <c r="AB6795">
        <v>0</v>
      </c>
      <c r="AC6795">
        <v>1</v>
      </c>
      <c r="AD6795">
        <v>1</v>
      </c>
      <c r="AE6795">
        <v>1</v>
      </c>
      <c r="AF6795">
        <v>1</v>
      </c>
      <c r="AG6795">
        <v>1</v>
      </c>
      <c r="AH6795">
        <v>1</v>
      </c>
      <c r="AI6795">
        <v>1</v>
      </c>
      <c r="AJ6795">
        <v>1</v>
      </c>
      <c r="AK6795">
        <v>1</v>
      </c>
      <c r="AL6795">
        <v>1</v>
      </c>
      <c r="AM6795">
        <v>1</v>
      </c>
    </row>
    <row r="6796" spans="1:39" x14ac:dyDescent="0.2">
      <c r="A6796" t="str">
        <f>"6792"</f>
        <v>6792</v>
      </c>
      <c r="B6796" t="str">
        <f t="shared" si="377"/>
        <v>1</v>
      </c>
      <c r="C6796" t="str">
        <f t="shared" si="378"/>
        <v>136</v>
      </c>
      <c r="D6796" t="str">
        <f>"30"</f>
        <v>30</v>
      </c>
      <c r="E6796" t="str">
        <f>"1-136-30"</f>
        <v>1-136-30</v>
      </c>
      <c r="F6796" t="s">
        <v>65</v>
      </c>
      <c r="G6796" t="s">
        <v>66</v>
      </c>
      <c r="H6796" t="s">
        <v>67</v>
      </c>
      <c r="S6796">
        <v>1</v>
      </c>
      <c r="T6796">
        <v>0</v>
      </c>
      <c r="U6796">
        <v>0</v>
      </c>
      <c r="V6796">
        <v>0</v>
      </c>
      <c r="W6796">
        <v>1</v>
      </c>
      <c r="X6796">
        <v>0</v>
      </c>
      <c r="Y6796">
        <v>0</v>
      </c>
      <c r="Z6796">
        <v>1</v>
      </c>
      <c r="AA6796">
        <v>1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</row>
    <row r="6797" spans="1:39" x14ac:dyDescent="0.2">
      <c r="A6797" t="str">
        <f>"6793"</f>
        <v>6793</v>
      </c>
      <c r="B6797" t="str">
        <f t="shared" si="377"/>
        <v>1</v>
      </c>
      <c r="C6797" t="str">
        <f t="shared" si="378"/>
        <v>136</v>
      </c>
      <c r="D6797" t="str">
        <f>"10"</f>
        <v>10</v>
      </c>
      <c r="E6797" t="str">
        <f>"1-136-10"</f>
        <v>1-136-10</v>
      </c>
      <c r="F6797" t="s">
        <v>65</v>
      </c>
      <c r="G6797" t="s">
        <v>66</v>
      </c>
      <c r="H6797" t="s">
        <v>67</v>
      </c>
      <c r="S6797">
        <v>1</v>
      </c>
      <c r="T6797">
        <v>0</v>
      </c>
      <c r="U6797">
        <v>0</v>
      </c>
      <c r="V6797">
        <v>0</v>
      </c>
      <c r="W6797">
        <v>1</v>
      </c>
      <c r="X6797">
        <v>0</v>
      </c>
      <c r="Y6797">
        <v>0</v>
      </c>
      <c r="Z6797">
        <v>1</v>
      </c>
      <c r="AA6797">
        <v>0</v>
      </c>
      <c r="AB6797">
        <v>0</v>
      </c>
      <c r="AC6797">
        <v>1</v>
      </c>
      <c r="AD6797">
        <v>1</v>
      </c>
      <c r="AE6797">
        <v>1</v>
      </c>
      <c r="AF6797">
        <v>1</v>
      </c>
      <c r="AG6797">
        <v>1</v>
      </c>
      <c r="AH6797">
        <v>1</v>
      </c>
      <c r="AI6797">
        <v>1</v>
      </c>
      <c r="AJ6797">
        <v>1</v>
      </c>
      <c r="AK6797">
        <v>1</v>
      </c>
      <c r="AL6797">
        <v>1</v>
      </c>
      <c r="AM6797">
        <v>1</v>
      </c>
    </row>
    <row r="6798" spans="1:39" x14ac:dyDescent="0.2">
      <c r="A6798" t="str">
        <f>"6794"</f>
        <v>6794</v>
      </c>
      <c r="B6798" t="str">
        <f t="shared" si="377"/>
        <v>1</v>
      </c>
      <c r="C6798" t="str">
        <f t="shared" si="378"/>
        <v>136</v>
      </c>
      <c r="D6798" t="str">
        <f>"47"</f>
        <v>47</v>
      </c>
      <c r="E6798" t="str">
        <f>"1-136-47"</f>
        <v>1-136-47</v>
      </c>
      <c r="F6798" t="s">
        <v>65</v>
      </c>
      <c r="G6798" t="s">
        <v>66</v>
      </c>
      <c r="H6798" t="s">
        <v>67</v>
      </c>
      <c r="S6798">
        <v>1</v>
      </c>
      <c r="T6798">
        <v>0</v>
      </c>
      <c r="U6798">
        <v>0</v>
      </c>
      <c r="V6798">
        <v>0</v>
      </c>
      <c r="W6798">
        <v>1</v>
      </c>
      <c r="X6798">
        <v>0</v>
      </c>
      <c r="Y6798">
        <v>0</v>
      </c>
      <c r="Z6798">
        <v>1</v>
      </c>
      <c r="AA6798">
        <v>0</v>
      </c>
      <c r="AB6798">
        <v>1</v>
      </c>
      <c r="AC6798">
        <v>0</v>
      </c>
      <c r="AD6798">
        <v>1</v>
      </c>
      <c r="AE6798">
        <v>1</v>
      </c>
      <c r="AF6798">
        <v>1</v>
      </c>
      <c r="AG6798">
        <v>1</v>
      </c>
      <c r="AH6798">
        <v>1</v>
      </c>
      <c r="AI6798">
        <v>1</v>
      </c>
      <c r="AJ6798">
        <v>1</v>
      </c>
      <c r="AK6798">
        <v>1</v>
      </c>
      <c r="AL6798">
        <v>1</v>
      </c>
      <c r="AM6798">
        <v>1</v>
      </c>
    </row>
    <row r="6799" spans="1:39" x14ac:dyDescent="0.2">
      <c r="A6799" t="str">
        <f>"6795"</f>
        <v>6795</v>
      </c>
      <c r="B6799" t="str">
        <f t="shared" si="377"/>
        <v>1</v>
      </c>
      <c r="C6799" t="str">
        <f t="shared" si="378"/>
        <v>136</v>
      </c>
      <c r="D6799" t="str">
        <f>"31"</f>
        <v>31</v>
      </c>
      <c r="E6799" t="str">
        <f>"1-136-31"</f>
        <v>1-136-31</v>
      </c>
      <c r="F6799" t="s">
        <v>65</v>
      </c>
      <c r="G6799" t="s">
        <v>66</v>
      </c>
      <c r="H6799" t="s">
        <v>67</v>
      </c>
      <c r="S6799">
        <v>1</v>
      </c>
      <c r="T6799">
        <v>0</v>
      </c>
      <c r="U6799">
        <v>0</v>
      </c>
      <c r="V6799">
        <v>0</v>
      </c>
      <c r="W6799">
        <v>1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1</v>
      </c>
      <c r="AH6799">
        <v>0</v>
      </c>
      <c r="AI6799">
        <v>1</v>
      </c>
      <c r="AJ6799">
        <v>1</v>
      </c>
      <c r="AK6799">
        <v>0</v>
      </c>
      <c r="AL6799">
        <v>1</v>
      </c>
      <c r="AM6799">
        <v>0</v>
      </c>
    </row>
    <row r="6800" spans="1:39" x14ac:dyDescent="0.2">
      <c r="A6800" t="str">
        <f>"6796"</f>
        <v>6796</v>
      </c>
      <c r="B6800" t="str">
        <f t="shared" si="377"/>
        <v>1</v>
      </c>
      <c r="C6800" t="str">
        <f t="shared" si="378"/>
        <v>136</v>
      </c>
      <c r="D6800" t="str">
        <f>"9"</f>
        <v>9</v>
      </c>
      <c r="E6800" t="str">
        <f>"1-136-9"</f>
        <v>1-136-9</v>
      </c>
      <c r="F6800" t="s">
        <v>65</v>
      </c>
      <c r="G6800" t="s">
        <v>66</v>
      </c>
      <c r="H6800" t="s">
        <v>67</v>
      </c>
      <c r="S6800">
        <v>1</v>
      </c>
      <c r="T6800">
        <v>0</v>
      </c>
      <c r="U6800">
        <v>0</v>
      </c>
      <c r="V6800">
        <v>0</v>
      </c>
      <c r="W6800">
        <v>1</v>
      </c>
      <c r="X6800">
        <v>0</v>
      </c>
      <c r="Y6800">
        <v>1</v>
      </c>
      <c r="Z6800">
        <v>0</v>
      </c>
      <c r="AA6800">
        <v>0</v>
      </c>
      <c r="AB6800">
        <v>0</v>
      </c>
      <c r="AC6800">
        <v>1</v>
      </c>
      <c r="AD6800">
        <v>1</v>
      </c>
      <c r="AE6800">
        <v>1</v>
      </c>
      <c r="AF6800">
        <v>1</v>
      </c>
      <c r="AG6800">
        <v>1</v>
      </c>
      <c r="AH6800">
        <v>1</v>
      </c>
      <c r="AI6800">
        <v>1</v>
      </c>
      <c r="AJ6800">
        <v>1</v>
      </c>
      <c r="AK6800">
        <v>1</v>
      </c>
      <c r="AL6800">
        <v>1</v>
      </c>
      <c r="AM6800">
        <v>1</v>
      </c>
    </row>
    <row r="6801" spans="1:39" x14ac:dyDescent="0.2">
      <c r="A6801" t="str">
        <f>"6797"</f>
        <v>6797</v>
      </c>
      <c r="B6801" t="str">
        <f t="shared" si="377"/>
        <v>1</v>
      </c>
      <c r="C6801" t="str">
        <f t="shared" si="378"/>
        <v>136</v>
      </c>
      <c r="D6801" t="str">
        <f>"48"</f>
        <v>48</v>
      </c>
      <c r="E6801" t="str">
        <f>"1-136-48"</f>
        <v>1-136-48</v>
      </c>
      <c r="F6801" t="s">
        <v>65</v>
      </c>
      <c r="G6801" t="s">
        <v>66</v>
      </c>
      <c r="H6801" t="s">
        <v>67</v>
      </c>
      <c r="S6801">
        <v>0</v>
      </c>
      <c r="T6801">
        <v>1</v>
      </c>
      <c r="U6801">
        <v>0</v>
      </c>
      <c r="V6801">
        <v>0</v>
      </c>
      <c r="W6801">
        <v>1</v>
      </c>
      <c r="X6801">
        <v>0</v>
      </c>
      <c r="Y6801">
        <v>1</v>
      </c>
      <c r="Z6801">
        <v>0</v>
      </c>
      <c r="AA6801">
        <v>0</v>
      </c>
      <c r="AB6801">
        <v>1</v>
      </c>
      <c r="AC6801">
        <v>0</v>
      </c>
      <c r="AD6801">
        <v>1</v>
      </c>
      <c r="AE6801">
        <v>1</v>
      </c>
      <c r="AF6801">
        <v>1</v>
      </c>
      <c r="AG6801">
        <v>1</v>
      </c>
      <c r="AH6801">
        <v>1</v>
      </c>
      <c r="AI6801">
        <v>1</v>
      </c>
      <c r="AJ6801">
        <v>1</v>
      </c>
      <c r="AK6801">
        <v>1</v>
      </c>
      <c r="AL6801">
        <v>1</v>
      </c>
      <c r="AM6801">
        <v>1</v>
      </c>
    </row>
    <row r="6802" spans="1:39" x14ac:dyDescent="0.2">
      <c r="A6802" t="str">
        <f>"6798"</f>
        <v>6798</v>
      </c>
      <c r="B6802" t="str">
        <f t="shared" si="377"/>
        <v>1</v>
      </c>
      <c r="C6802" t="str">
        <f t="shared" si="378"/>
        <v>136</v>
      </c>
      <c r="D6802" t="str">
        <f>"32"</f>
        <v>32</v>
      </c>
      <c r="E6802" t="str">
        <f>"1-136-32"</f>
        <v>1-136-32</v>
      </c>
      <c r="F6802" t="s">
        <v>65</v>
      </c>
      <c r="G6802" t="s">
        <v>66</v>
      </c>
      <c r="H6802" t="s">
        <v>67</v>
      </c>
      <c r="S6802">
        <v>1</v>
      </c>
      <c r="T6802">
        <v>0</v>
      </c>
      <c r="U6802">
        <v>0</v>
      </c>
      <c r="V6802">
        <v>0</v>
      </c>
      <c r="W6802">
        <v>0</v>
      </c>
      <c r="X6802">
        <v>1</v>
      </c>
      <c r="Y6802">
        <v>0</v>
      </c>
      <c r="Z6802">
        <v>1</v>
      </c>
      <c r="AA6802">
        <v>0</v>
      </c>
      <c r="AB6802">
        <v>1</v>
      </c>
      <c r="AC6802">
        <v>0</v>
      </c>
      <c r="AD6802">
        <v>1</v>
      </c>
      <c r="AE6802">
        <v>1</v>
      </c>
      <c r="AF6802">
        <v>1</v>
      </c>
      <c r="AG6802">
        <v>1</v>
      </c>
      <c r="AH6802">
        <v>1</v>
      </c>
      <c r="AI6802">
        <v>1</v>
      </c>
      <c r="AJ6802">
        <v>1</v>
      </c>
      <c r="AK6802">
        <v>1</v>
      </c>
      <c r="AL6802">
        <v>1</v>
      </c>
      <c r="AM6802">
        <v>1</v>
      </c>
    </row>
    <row r="6803" spans="1:39" x14ac:dyDescent="0.2">
      <c r="A6803" t="str">
        <f>"6799"</f>
        <v>6799</v>
      </c>
      <c r="B6803" t="str">
        <f t="shared" si="377"/>
        <v>1</v>
      </c>
      <c r="C6803" t="str">
        <f t="shared" si="378"/>
        <v>136</v>
      </c>
      <c r="D6803" t="str">
        <f>"5"</f>
        <v>5</v>
      </c>
      <c r="E6803" t="str">
        <f>"1-136-5"</f>
        <v>1-136-5</v>
      </c>
      <c r="F6803" t="s">
        <v>65</v>
      </c>
      <c r="G6803" t="s">
        <v>66</v>
      </c>
      <c r="H6803" t="s">
        <v>67</v>
      </c>
      <c r="S6803">
        <v>0</v>
      </c>
      <c r="T6803">
        <v>1</v>
      </c>
      <c r="U6803">
        <v>0</v>
      </c>
      <c r="V6803">
        <v>0</v>
      </c>
      <c r="W6803">
        <v>1</v>
      </c>
      <c r="X6803">
        <v>0</v>
      </c>
      <c r="Y6803">
        <v>1</v>
      </c>
      <c r="Z6803">
        <v>0</v>
      </c>
      <c r="AA6803">
        <v>0</v>
      </c>
      <c r="AB6803">
        <v>1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</row>
    <row r="6804" spans="1:39" x14ac:dyDescent="0.2">
      <c r="A6804" t="str">
        <f>"6800"</f>
        <v>6800</v>
      </c>
      <c r="B6804" t="str">
        <f t="shared" si="377"/>
        <v>1</v>
      </c>
      <c r="C6804" t="str">
        <f t="shared" si="378"/>
        <v>136</v>
      </c>
      <c r="D6804" t="str">
        <f>"49"</f>
        <v>49</v>
      </c>
      <c r="E6804" t="str">
        <f>"1-136-49"</f>
        <v>1-136-49</v>
      </c>
      <c r="F6804" t="s">
        <v>65</v>
      </c>
      <c r="G6804" t="s">
        <v>66</v>
      </c>
      <c r="H6804" t="s">
        <v>67</v>
      </c>
      <c r="S6804">
        <v>1</v>
      </c>
      <c r="T6804">
        <v>0</v>
      </c>
      <c r="U6804">
        <v>0</v>
      </c>
      <c r="V6804">
        <v>0</v>
      </c>
      <c r="W6804">
        <v>1</v>
      </c>
      <c r="X6804">
        <v>0</v>
      </c>
      <c r="Y6804">
        <v>1</v>
      </c>
      <c r="Z6804">
        <v>0</v>
      </c>
      <c r="AA6804">
        <v>1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</row>
    <row r="6805" spans="1:39" x14ac:dyDescent="0.2">
      <c r="A6805" t="str">
        <f>"6801"</f>
        <v>6801</v>
      </c>
      <c r="B6805" t="str">
        <f t="shared" si="377"/>
        <v>1</v>
      </c>
      <c r="C6805" t="str">
        <f t="shared" ref="C6805:C6836" si="379">"137"</f>
        <v>137</v>
      </c>
      <c r="D6805" t="str">
        <f>"34"</f>
        <v>34</v>
      </c>
      <c r="E6805" t="str">
        <f>"1-137-34"</f>
        <v>1-137-34</v>
      </c>
      <c r="F6805" t="s">
        <v>65</v>
      </c>
      <c r="G6805" t="s">
        <v>66</v>
      </c>
      <c r="H6805" t="s">
        <v>67</v>
      </c>
      <c r="S6805">
        <v>1</v>
      </c>
      <c r="T6805">
        <v>0</v>
      </c>
      <c r="U6805">
        <v>0</v>
      </c>
      <c r="V6805">
        <v>0</v>
      </c>
      <c r="W6805">
        <v>1</v>
      </c>
      <c r="X6805">
        <v>0</v>
      </c>
      <c r="Y6805">
        <v>1</v>
      </c>
      <c r="Z6805">
        <v>0</v>
      </c>
      <c r="AA6805">
        <v>1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1</v>
      </c>
      <c r="AI6805">
        <v>1</v>
      </c>
      <c r="AJ6805">
        <v>0</v>
      </c>
      <c r="AK6805">
        <v>0</v>
      </c>
      <c r="AL6805">
        <v>1</v>
      </c>
      <c r="AM6805">
        <v>0</v>
      </c>
    </row>
    <row r="6806" spans="1:39" x14ac:dyDescent="0.2">
      <c r="A6806" t="str">
        <f>"6802"</f>
        <v>6802</v>
      </c>
      <c r="B6806" t="str">
        <f t="shared" si="377"/>
        <v>1</v>
      </c>
      <c r="C6806" t="str">
        <f t="shared" si="379"/>
        <v>137</v>
      </c>
      <c r="D6806" t="str">
        <f>"33"</f>
        <v>33</v>
      </c>
      <c r="E6806" t="str">
        <f>"1-137-33"</f>
        <v>1-137-33</v>
      </c>
      <c r="F6806" t="s">
        <v>65</v>
      </c>
      <c r="G6806" t="s">
        <v>66</v>
      </c>
      <c r="H6806" t="s">
        <v>67</v>
      </c>
      <c r="S6806">
        <v>1</v>
      </c>
      <c r="T6806">
        <v>0</v>
      </c>
      <c r="U6806">
        <v>0</v>
      </c>
      <c r="V6806">
        <v>0</v>
      </c>
      <c r="W6806">
        <v>1</v>
      </c>
      <c r="X6806">
        <v>0</v>
      </c>
      <c r="Y6806">
        <v>1</v>
      </c>
      <c r="Z6806">
        <v>0</v>
      </c>
      <c r="AA6806">
        <v>1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1</v>
      </c>
      <c r="AI6806">
        <v>1</v>
      </c>
      <c r="AJ6806">
        <v>0</v>
      </c>
      <c r="AK6806">
        <v>0</v>
      </c>
      <c r="AL6806">
        <v>0</v>
      </c>
      <c r="AM6806">
        <v>0</v>
      </c>
    </row>
    <row r="6807" spans="1:39" x14ac:dyDescent="0.2">
      <c r="A6807" t="str">
        <f>"6803"</f>
        <v>6803</v>
      </c>
      <c r="B6807" t="str">
        <f t="shared" si="377"/>
        <v>1</v>
      </c>
      <c r="C6807" t="str">
        <f t="shared" si="379"/>
        <v>137</v>
      </c>
      <c r="D6807" t="str">
        <f>"22"</f>
        <v>22</v>
      </c>
      <c r="E6807" t="str">
        <f>"1-137-22"</f>
        <v>1-137-22</v>
      </c>
      <c r="F6807" t="s">
        <v>65</v>
      </c>
      <c r="G6807" t="s">
        <v>66</v>
      </c>
      <c r="H6807" t="s">
        <v>67</v>
      </c>
      <c r="S6807">
        <v>1</v>
      </c>
      <c r="T6807">
        <v>0</v>
      </c>
      <c r="U6807">
        <v>0</v>
      </c>
      <c r="V6807">
        <v>0</v>
      </c>
      <c r="W6807">
        <v>1</v>
      </c>
      <c r="X6807">
        <v>0</v>
      </c>
      <c r="Y6807">
        <v>1</v>
      </c>
      <c r="Z6807">
        <v>0</v>
      </c>
      <c r="AA6807">
        <v>1</v>
      </c>
      <c r="AB6807">
        <v>0</v>
      </c>
      <c r="AC6807">
        <v>0</v>
      </c>
      <c r="AD6807">
        <v>1</v>
      </c>
      <c r="AE6807">
        <v>1</v>
      </c>
      <c r="AF6807">
        <v>1</v>
      </c>
      <c r="AG6807">
        <v>1</v>
      </c>
      <c r="AH6807">
        <v>1</v>
      </c>
      <c r="AI6807">
        <v>1</v>
      </c>
      <c r="AJ6807">
        <v>1</v>
      </c>
      <c r="AK6807">
        <v>1</v>
      </c>
      <c r="AL6807">
        <v>1</v>
      </c>
      <c r="AM6807">
        <v>1</v>
      </c>
    </row>
    <row r="6808" spans="1:39" x14ac:dyDescent="0.2">
      <c r="A6808" t="str">
        <f>"6804"</f>
        <v>6804</v>
      </c>
      <c r="B6808" t="str">
        <f t="shared" si="377"/>
        <v>1</v>
      </c>
      <c r="C6808" t="str">
        <f t="shared" si="379"/>
        <v>137</v>
      </c>
      <c r="D6808" t="str">
        <f>"15"</f>
        <v>15</v>
      </c>
      <c r="E6808" t="str">
        <f>"1-137-15"</f>
        <v>1-137-15</v>
      </c>
      <c r="F6808" t="s">
        <v>65</v>
      </c>
      <c r="G6808" t="s">
        <v>66</v>
      </c>
      <c r="H6808" t="s">
        <v>67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1</v>
      </c>
      <c r="Y6808">
        <v>1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</row>
    <row r="6809" spans="1:39" x14ac:dyDescent="0.2">
      <c r="A6809" t="str">
        <f>"6805"</f>
        <v>6805</v>
      </c>
      <c r="B6809" t="str">
        <f t="shared" si="377"/>
        <v>1</v>
      </c>
      <c r="C6809" t="str">
        <f t="shared" si="379"/>
        <v>137</v>
      </c>
      <c r="D6809" t="str">
        <f>"8"</f>
        <v>8</v>
      </c>
      <c r="E6809" t="str">
        <f>"1-137-8"</f>
        <v>1-137-8</v>
      </c>
      <c r="F6809" t="s">
        <v>65</v>
      </c>
      <c r="G6809" t="s">
        <v>66</v>
      </c>
      <c r="H6809" t="s">
        <v>67</v>
      </c>
      <c r="S6809">
        <v>0</v>
      </c>
      <c r="T6809">
        <v>1</v>
      </c>
      <c r="U6809">
        <v>0</v>
      </c>
      <c r="V6809">
        <v>0</v>
      </c>
      <c r="W6809">
        <v>1</v>
      </c>
      <c r="X6809">
        <v>0</v>
      </c>
      <c r="Y6809">
        <v>0</v>
      </c>
      <c r="Z6809">
        <v>1</v>
      </c>
      <c r="AA6809">
        <v>1</v>
      </c>
      <c r="AB6809">
        <v>0</v>
      </c>
      <c r="AC6809">
        <v>0</v>
      </c>
      <c r="AD6809">
        <v>1</v>
      </c>
      <c r="AE6809">
        <v>1</v>
      </c>
      <c r="AF6809">
        <v>1</v>
      </c>
      <c r="AG6809">
        <v>1</v>
      </c>
      <c r="AH6809">
        <v>1</v>
      </c>
      <c r="AI6809">
        <v>1</v>
      </c>
      <c r="AJ6809">
        <v>1</v>
      </c>
      <c r="AK6809">
        <v>1</v>
      </c>
      <c r="AL6809">
        <v>1</v>
      </c>
      <c r="AM6809">
        <v>1</v>
      </c>
    </row>
    <row r="6810" spans="1:39" x14ac:dyDescent="0.2">
      <c r="A6810" t="str">
        <f>"6806"</f>
        <v>6806</v>
      </c>
      <c r="B6810" t="str">
        <f t="shared" si="377"/>
        <v>1</v>
      </c>
      <c r="C6810" t="str">
        <f t="shared" si="379"/>
        <v>137</v>
      </c>
      <c r="D6810" t="str">
        <f>"40"</f>
        <v>40</v>
      </c>
      <c r="E6810" t="str">
        <f>"1-137-40"</f>
        <v>1-137-40</v>
      </c>
      <c r="F6810" t="s">
        <v>65</v>
      </c>
      <c r="G6810" t="s">
        <v>66</v>
      </c>
      <c r="H6810" t="s">
        <v>67</v>
      </c>
      <c r="S6810">
        <v>0</v>
      </c>
      <c r="T6810">
        <v>1</v>
      </c>
      <c r="U6810">
        <v>0</v>
      </c>
      <c r="V6810">
        <v>0</v>
      </c>
      <c r="W6810">
        <v>0</v>
      </c>
      <c r="X6810">
        <v>1</v>
      </c>
      <c r="Y6810">
        <v>0</v>
      </c>
      <c r="Z6810">
        <v>1</v>
      </c>
      <c r="AA6810">
        <v>0</v>
      </c>
      <c r="AB6810">
        <v>0</v>
      </c>
      <c r="AC6810">
        <v>1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</row>
    <row r="6811" spans="1:39" x14ac:dyDescent="0.2">
      <c r="A6811" t="str">
        <f>"6807"</f>
        <v>6807</v>
      </c>
      <c r="B6811" t="str">
        <f t="shared" si="377"/>
        <v>1</v>
      </c>
      <c r="C6811" t="str">
        <f t="shared" si="379"/>
        <v>137</v>
      </c>
      <c r="D6811" t="str">
        <f>"39"</f>
        <v>39</v>
      </c>
      <c r="E6811" t="str">
        <f>"1-137-39"</f>
        <v>1-137-39</v>
      </c>
      <c r="F6811" t="s">
        <v>65</v>
      </c>
      <c r="G6811" t="s">
        <v>66</v>
      </c>
      <c r="H6811" t="s">
        <v>67</v>
      </c>
      <c r="S6811">
        <v>0</v>
      </c>
      <c r="T6811">
        <v>1</v>
      </c>
      <c r="U6811">
        <v>0</v>
      </c>
      <c r="V6811">
        <v>0</v>
      </c>
      <c r="W6811">
        <v>1</v>
      </c>
      <c r="X6811">
        <v>0</v>
      </c>
      <c r="Y6811">
        <v>1</v>
      </c>
      <c r="Z6811">
        <v>0</v>
      </c>
      <c r="AA6811">
        <v>0</v>
      </c>
      <c r="AB6811">
        <v>0</v>
      </c>
      <c r="AC6811">
        <v>1</v>
      </c>
      <c r="AD6811">
        <v>1</v>
      </c>
      <c r="AE6811">
        <v>1</v>
      </c>
      <c r="AF6811">
        <v>1</v>
      </c>
      <c r="AG6811">
        <v>1</v>
      </c>
      <c r="AH6811">
        <v>1</v>
      </c>
      <c r="AI6811">
        <v>1</v>
      </c>
      <c r="AJ6811">
        <v>1</v>
      </c>
      <c r="AK6811">
        <v>1</v>
      </c>
      <c r="AL6811">
        <v>1</v>
      </c>
      <c r="AM6811">
        <v>1</v>
      </c>
    </row>
    <row r="6812" spans="1:39" x14ac:dyDescent="0.2">
      <c r="A6812" t="str">
        <f>"6808"</f>
        <v>6808</v>
      </c>
      <c r="B6812" t="str">
        <f t="shared" si="377"/>
        <v>1</v>
      </c>
      <c r="C6812" t="str">
        <f t="shared" si="379"/>
        <v>137</v>
      </c>
      <c r="D6812" t="str">
        <f>"26"</f>
        <v>26</v>
      </c>
      <c r="E6812" t="str">
        <f>"1-137-26"</f>
        <v>1-137-26</v>
      </c>
      <c r="F6812" t="s">
        <v>65</v>
      </c>
      <c r="G6812" t="s">
        <v>66</v>
      </c>
      <c r="H6812" t="s">
        <v>67</v>
      </c>
      <c r="S6812">
        <v>1</v>
      </c>
      <c r="T6812">
        <v>0</v>
      </c>
      <c r="U6812">
        <v>0</v>
      </c>
      <c r="V6812">
        <v>0</v>
      </c>
      <c r="W6812">
        <v>1</v>
      </c>
      <c r="X6812">
        <v>0</v>
      </c>
      <c r="Y6812">
        <v>1</v>
      </c>
      <c r="Z6812">
        <v>0</v>
      </c>
      <c r="AA6812">
        <v>0</v>
      </c>
      <c r="AB6812">
        <v>1</v>
      </c>
      <c r="AC6812">
        <v>0</v>
      </c>
      <c r="AD6812">
        <v>1</v>
      </c>
      <c r="AE6812">
        <v>1</v>
      </c>
      <c r="AF6812">
        <v>1</v>
      </c>
      <c r="AG6812">
        <v>1</v>
      </c>
      <c r="AH6812">
        <v>1</v>
      </c>
      <c r="AI6812">
        <v>1</v>
      </c>
      <c r="AJ6812">
        <v>1</v>
      </c>
      <c r="AK6812">
        <v>1</v>
      </c>
      <c r="AL6812">
        <v>1</v>
      </c>
      <c r="AM6812">
        <v>1</v>
      </c>
    </row>
    <row r="6813" spans="1:39" x14ac:dyDescent="0.2">
      <c r="A6813" t="str">
        <f>"6809"</f>
        <v>6809</v>
      </c>
      <c r="B6813" t="str">
        <f t="shared" si="377"/>
        <v>1</v>
      </c>
      <c r="C6813" t="str">
        <f t="shared" si="379"/>
        <v>137</v>
      </c>
      <c r="D6813" t="str">
        <f>"2"</f>
        <v>2</v>
      </c>
      <c r="E6813" t="str">
        <f>"1-137-2"</f>
        <v>1-137-2</v>
      </c>
      <c r="F6813" t="s">
        <v>65</v>
      </c>
      <c r="G6813" t="s">
        <v>66</v>
      </c>
      <c r="H6813" t="s">
        <v>67</v>
      </c>
      <c r="S6813">
        <v>1</v>
      </c>
      <c r="T6813">
        <v>0</v>
      </c>
      <c r="U6813">
        <v>0</v>
      </c>
      <c r="V6813">
        <v>0</v>
      </c>
      <c r="W6813">
        <v>1</v>
      </c>
      <c r="X6813">
        <v>0</v>
      </c>
      <c r="Y6813">
        <v>0</v>
      </c>
      <c r="Z6813">
        <v>1</v>
      </c>
      <c r="AA6813">
        <v>0</v>
      </c>
      <c r="AB6813">
        <v>0</v>
      </c>
      <c r="AC6813">
        <v>1</v>
      </c>
      <c r="AD6813">
        <v>1</v>
      </c>
      <c r="AE6813">
        <v>1</v>
      </c>
      <c r="AF6813">
        <v>1</v>
      </c>
      <c r="AG6813">
        <v>1</v>
      </c>
      <c r="AH6813">
        <v>1</v>
      </c>
      <c r="AI6813">
        <v>1</v>
      </c>
      <c r="AJ6813">
        <v>1</v>
      </c>
      <c r="AK6813">
        <v>1</v>
      </c>
      <c r="AL6813">
        <v>1</v>
      </c>
      <c r="AM6813">
        <v>1</v>
      </c>
    </row>
    <row r="6814" spans="1:39" x14ac:dyDescent="0.2">
      <c r="A6814" t="str">
        <f>"6810"</f>
        <v>6810</v>
      </c>
      <c r="B6814" t="str">
        <f t="shared" si="377"/>
        <v>1</v>
      </c>
      <c r="C6814" t="str">
        <f t="shared" si="379"/>
        <v>137</v>
      </c>
      <c r="D6814" t="str">
        <f>"38"</f>
        <v>38</v>
      </c>
      <c r="E6814" t="str">
        <f>"1-137-38"</f>
        <v>1-137-38</v>
      </c>
      <c r="F6814" t="s">
        <v>65</v>
      </c>
      <c r="G6814" t="s">
        <v>66</v>
      </c>
      <c r="H6814" t="s">
        <v>67</v>
      </c>
      <c r="S6814">
        <v>0</v>
      </c>
      <c r="T6814">
        <v>1</v>
      </c>
      <c r="U6814">
        <v>0</v>
      </c>
      <c r="V6814">
        <v>0</v>
      </c>
      <c r="W6814">
        <v>1</v>
      </c>
      <c r="X6814">
        <v>0</v>
      </c>
      <c r="Y6814">
        <v>0</v>
      </c>
      <c r="Z6814">
        <v>1</v>
      </c>
      <c r="AA6814">
        <v>0</v>
      </c>
      <c r="AB6814">
        <v>0</v>
      </c>
      <c r="AC6814">
        <v>1</v>
      </c>
      <c r="AD6814">
        <v>1</v>
      </c>
      <c r="AE6814">
        <v>1</v>
      </c>
      <c r="AF6814">
        <v>1</v>
      </c>
      <c r="AG6814">
        <v>1</v>
      </c>
      <c r="AH6814">
        <v>1</v>
      </c>
      <c r="AI6814">
        <v>1</v>
      </c>
      <c r="AJ6814">
        <v>1</v>
      </c>
      <c r="AK6814">
        <v>1</v>
      </c>
      <c r="AL6814">
        <v>1</v>
      </c>
      <c r="AM6814">
        <v>1</v>
      </c>
    </row>
    <row r="6815" spans="1:39" x14ac:dyDescent="0.2">
      <c r="A6815" t="str">
        <f>"6811"</f>
        <v>6811</v>
      </c>
      <c r="B6815" t="str">
        <f t="shared" si="377"/>
        <v>1</v>
      </c>
      <c r="C6815" t="str">
        <f t="shared" si="379"/>
        <v>137</v>
      </c>
      <c r="D6815" t="str">
        <f>"37"</f>
        <v>37</v>
      </c>
      <c r="E6815" t="str">
        <f>"1-137-37"</f>
        <v>1-137-37</v>
      </c>
      <c r="F6815" t="s">
        <v>65</v>
      </c>
      <c r="G6815" t="s">
        <v>66</v>
      </c>
      <c r="H6815" t="s">
        <v>67</v>
      </c>
      <c r="S6815">
        <v>1</v>
      </c>
      <c r="T6815">
        <v>0</v>
      </c>
      <c r="U6815">
        <v>0</v>
      </c>
      <c r="V6815">
        <v>0</v>
      </c>
      <c r="W6815">
        <v>1</v>
      </c>
      <c r="X6815">
        <v>0</v>
      </c>
      <c r="Y6815">
        <v>1</v>
      </c>
      <c r="Z6815">
        <v>0</v>
      </c>
      <c r="AA6815">
        <v>0</v>
      </c>
      <c r="AB6815">
        <v>0</v>
      </c>
      <c r="AC6815">
        <v>1</v>
      </c>
      <c r="AD6815">
        <v>1</v>
      </c>
      <c r="AE6815">
        <v>1</v>
      </c>
      <c r="AF6815">
        <v>1</v>
      </c>
      <c r="AG6815">
        <v>1</v>
      </c>
      <c r="AH6815">
        <v>1</v>
      </c>
      <c r="AI6815">
        <v>1</v>
      </c>
      <c r="AJ6815">
        <v>1</v>
      </c>
      <c r="AK6815">
        <v>1</v>
      </c>
      <c r="AL6815">
        <v>1</v>
      </c>
      <c r="AM6815">
        <v>1</v>
      </c>
    </row>
    <row r="6816" spans="1:39" x14ac:dyDescent="0.2">
      <c r="A6816" t="str">
        <f>"6812"</f>
        <v>6812</v>
      </c>
      <c r="B6816" t="str">
        <f t="shared" si="377"/>
        <v>1</v>
      </c>
      <c r="C6816" t="str">
        <f t="shared" si="379"/>
        <v>137</v>
      </c>
      <c r="D6816" t="str">
        <f>"24"</f>
        <v>24</v>
      </c>
      <c r="E6816" t="str">
        <f>"1-137-24"</f>
        <v>1-137-24</v>
      </c>
      <c r="F6816" t="s">
        <v>65</v>
      </c>
      <c r="G6816" t="s">
        <v>66</v>
      </c>
      <c r="H6816" t="s">
        <v>67</v>
      </c>
      <c r="S6816">
        <v>1</v>
      </c>
      <c r="T6816">
        <v>0</v>
      </c>
      <c r="U6816">
        <v>0</v>
      </c>
      <c r="V6816">
        <v>0</v>
      </c>
      <c r="W6816">
        <v>1</v>
      </c>
      <c r="X6816">
        <v>0</v>
      </c>
      <c r="Y6816">
        <v>1</v>
      </c>
      <c r="Z6816">
        <v>0</v>
      </c>
      <c r="AA6816">
        <v>1</v>
      </c>
      <c r="AB6816">
        <v>0</v>
      </c>
      <c r="AC6816">
        <v>0</v>
      </c>
      <c r="AD6816">
        <v>1</v>
      </c>
      <c r="AE6816">
        <v>1</v>
      </c>
      <c r="AF6816">
        <v>1</v>
      </c>
      <c r="AG6816">
        <v>1</v>
      </c>
      <c r="AH6816">
        <v>1</v>
      </c>
      <c r="AI6816">
        <v>1</v>
      </c>
      <c r="AJ6816">
        <v>1</v>
      </c>
      <c r="AK6816">
        <v>1</v>
      </c>
      <c r="AL6816">
        <v>1</v>
      </c>
      <c r="AM6816">
        <v>1</v>
      </c>
    </row>
    <row r="6817" spans="1:39" x14ac:dyDescent="0.2">
      <c r="A6817" t="str">
        <f>"6813"</f>
        <v>6813</v>
      </c>
      <c r="B6817" t="str">
        <f t="shared" si="377"/>
        <v>1</v>
      </c>
      <c r="C6817" t="str">
        <f t="shared" si="379"/>
        <v>137</v>
      </c>
      <c r="D6817" t="str">
        <f>"17"</f>
        <v>17</v>
      </c>
      <c r="E6817" t="str">
        <f>"1-137-17"</f>
        <v>1-137-17</v>
      </c>
      <c r="F6817" t="s">
        <v>65</v>
      </c>
      <c r="G6817" t="s">
        <v>66</v>
      </c>
      <c r="H6817" t="s">
        <v>67</v>
      </c>
      <c r="S6817">
        <v>0</v>
      </c>
      <c r="T6817">
        <v>1</v>
      </c>
      <c r="U6817">
        <v>0</v>
      </c>
      <c r="V6817">
        <v>0</v>
      </c>
      <c r="W6817">
        <v>0</v>
      </c>
      <c r="X6817">
        <v>1</v>
      </c>
      <c r="Y6817">
        <v>0</v>
      </c>
      <c r="Z6817">
        <v>1</v>
      </c>
      <c r="AA6817">
        <v>0</v>
      </c>
      <c r="AB6817">
        <v>0</v>
      </c>
      <c r="AC6817">
        <v>1</v>
      </c>
      <c r="AD6817">
        <v>0</v>
      </c>
      <c r="AE6817">
        <v>0</v>
      </c>
      <c r="AF6817">
        <v>0</v>
      </c>
      <c r="AG6817">
        <v>0</v>
      </c>
      <c r="AH6817">
        <v>1</v>
      </c>
      <c r="AI6817">
        <v>1</v>
      </c>
      <c r="AJ6817">
        <v>1</v>
      </c>
      <c r="AK6817">
        <v>1</v>
      </c>
      <c r="AL6817">
        <v>1</v>
      </c>
      <c r="AM6817">
        <v>1</v>
      </c>
    </row>
    <row r="6818" spans="1:39" x14ac:dyDescent="0.2">
      <c r="A6818" t="str">
        <f>"6814"</f>
        <v>6814</v>
      </c>
      <c r="B6818" t="str">
        <f t="shared" si="377"/>
        <v>1</v>
      </c>
      <c r="C6818" t="str">
        <f t="shared" si="379"/>
        <v>137</v>
      </c>
      <c r="D6818" t="str">
        <f>"9"</f>
        <v>9</v>
      </c>
      <c r="E6818" t="str">
        <f>"1-137-9"</f>
        <v>1-137-9</v>
      </c>
      <c r="F6818" t="s">
        <v>65</v>
      </c>
      <c r="G6818" t="s">
        <v>66</v>
      </c>
      <c r="H6818" t="s">
        <v>67</v>
      </c>
      <c r="S6818">
        <v>1</v>
      </c>
      <c r="T6818">
        <v>0</v>
      </c>
      <c r="U6818">
        <v>0</v>
      </c>
      <c r="V6818">
        <v>0</v>
      </c>
      <c r="W6818">
        <v>1</v>
      </c>
      <c r="X6818">
        <v>0</v>
      </c>
      <c r="Y6818">
        <v>0</v>
      </c>
      <c r="Z6818">
        <v>1</v>
      </c>
      <c r="AA6818">
        <v>0</v>
      </c>
      <c r="AB6818">
        <v>0</v>
      </c>
      <c r="AC6818">
        <v>1</v>
      </c>
      <c r="AD6818">
        <v>1</v>
      </c>
      <c r="AE6818">
        <v>1</v>
      </c>
      <c r="AF6818">
        <v>1</v>
      </c>
      <c r="AG6818">
        <v>1</v>
      </c>
      <c r="AH6818">
        <v>1</v>
      </c>
      <c r="AI6818">
        <v>1</v>
      </c>
      <c r="AJ6818">
        <v>0</v>
      </c>
      <c r="AK6818">
        <v>0</v>
      </c>
      <c r="AL6818">
        <v>0</v>
      </c>
      <c r="AM6818">
        <v>1</v>
      </c>
    </row>
    <row r="6819" spans="1:39" x14ac:dyDescent="0.2">
      <c r="A6819" t="str">
        <f>"6815"</f>
        <v>6815</v>
      </c>
      <c r="B6819" t="str">
        <f t="shared" si="377"/>
        <v>1</v>
      </c>
      <c r="C6819" t="str">
        <f t="shared" si="379"/>
        <v>137</v>
      </c>
      <c r="D6819" t="str">
        <f>"36"</f>
        <v>36</v>
      </c>
      <c r="E6819" t="str">
        <f>"1-137-36"</f>
        <v>1-137-36</v>
      </c>
      <c r="F6819" t="s">
        <v>65</v>
      </c>
      <c r="G6819" t="s">
        <v>66</v>
      </c>
      <c r="H6819" t="s">
        <v>67</v>
      </c>
      <c r="S6819">
        <v>0</v>
      </c>
      <c r="T6819">
        <v>1</v>
      </c>
      <c r="U6819">
        <v>0</v>
      </c>
      <c r="V6819">
        <v>0</v>
      </c>
      <c r="W6819">
        <v>0</v>
      </c>
      <c r="X6819">
        <v>1</v>
      </c>
      <c r="Y6819">
        <v>0</v>
      </c>
      <c r="Z6819">
        <v>1</v>
      </c>
      <c r="AA6819">
        <v>0</v>
      </c>
      <c r="AB6819">
        <v>0</v>
      </c>
      <c r="AC6819">
        <v>1</v>
      </c>
      <c r="AD6819">
        <v>1</v>
      </c>
      <c r="AE6819">
        <v>1</v>
      </c>
      <c r="AF6819">
        <v>1</v>
      </c>
      <c r="AG6819">
        <v>1</v>
      </c>
      <c r="AH6819">
        <v>1</v>
      </c>
      <c r="AI6819">
        <v>1</v>
      </c>
      <c r="AJ6819">
        <v>1</v>
      </c>
      <c r="AK6819">
        <v>1</v>
      </c>
      <c r="AL6819">
        <v>1</v>
      </c>
      <c r="AM6819">
        <v>1</v>
      </c>
    </row>
    <row r="6820" spans="1:39" x14ac:dyDescent="0.2">
      <c r="A6820" t="str">
        <f>"6816"</f>
        <v>6816</v>
      </c>
      <c r="B6820" t="str">
        <f t="shared" si="377"/>
        <v>1</v>
      </c>
      <c r="C6820" t="str">
        <f t="shared" si="379"/>
        <v>137</v>
      </c>
      <c r="D6820" t="str">
        <f>"35"</f>
        <v>35</v>
      </c>
      <c r="E6820" t="str">
        <f>"1-137-35"</f>
        <v>1-137-35</v>
      </c>
      <c r="F6820" t="s">
        <v>65</v>
      </c>
      <c r="G6820" t="s">
        <v>66</v>
      </c>
      <c r="H6820" t="s">
        <v>67</v>
      </c>
      <c r="S6820">
        <v>1</v>
      </c>
      <c r="T6820">
        <v>0</v>
      </c>
      <c r="U6820">
        <v>0</v>
      </c>
      <c r="V6820">
        <v>0</v>
      </c>
      <c r="W6820">
        <v>1</v>
      </c>
      <c r="X6820">
        <v>0</v>
      </c>
      <c r="Y6820">
        <v>1</v>
      </c>
      <c r="Z6820">
        <v>0</v>
      </c>
      <c r="AA6820">
        <v>0</v>
      </c>
      <c r="AB6820">
        <v>1</v>
      </c>
      <c r="AC6820">
        <v>0</v>
      </c>
      <c r="AD6820">
        <v>1</v>
      </c>
      <c r="AE6820">
        <v>1</v>
      </c>
      <c r="AF6820">
        <v>1</v>
      </c>
      <c r="AG6820">
        <v>1</v>
      </c>
      <c r="AH6820">
        <v>1</v>
      </c>
      <c r="AI6820">
        <v>1</v>
      </c>
      <c r="AJ6820">
        <v>1</v>
      </c>
      <c r="AK6820">
        <v>1</v>
      </c>
      <c r="AL6820">
        <v>1</v>
      </c>
      <c r="AM6820">
        <v>1</v>
      </c>
    </row>
    <row r="6821" spans="1:39" x14ac:dyDescent="0.2">
      <c r="A6821" t="str">
        <f>"6817"</f>
        <v>6817</v>
      </c>
      <c r="B6821" t="str">
        <f t="shared" si="377"/>
        <v>1</v>
      </c>
      <c r="C6821" t="str">
        <f t="shared" si="379"/>
        <v>137</v>
      </c>
      <c r="D6821" t="str">
        <f>"20"</f>
        <v>20</v>
      </c>
      <c r="E6821" t="str">
        <f>"1-137-20"</f>
        <v>1-137-20</v>
      </c>
      <c r="F6821" t="s">
        <v>65</v>
      </c>
      <c r="G6821" t="s">
        <v>66</v>
      </c>
      <c r="H6821" t="s">
        <v>67</v>
      </c>
      <c r="S6821">
        <v>0</v>
      </c>
      <c r="T6821">
        <v>1</v>
      </c>
      <c r="U6821">
        <v>0</v>
      </c>
      <c r="V6821">
        <v>0</v>
      </c>
      <c r="W6821">
        <v>1</v>
      </c>
      <c r="X6821">
        <v>0</v>
      </c>
      <c r="Y6821">
        <v>0</v>
      </c>
      <c r="Z6821">
        <v>1</v>
      </c>
      <c r="AA6821">
        <v>1</v>
      </c>
      <c r="AB6821">
        <v>0</v>
      </c>
      <c r="AC6821">
        <v>0</v>
      </c>
      <c r="AD6821">
        <v>1</v>
      </c>
      <c r="AE6821">
        <v>1</v>
      </c>
      <c r="AF6821">
        <v>1</v>
      </c>
      <c r="AG6821">
        <v>1</v>
      </c>
      <c r="AH6821">
        <v>1</v>
      </c>
      <c r="AI6821">
        <v>1</v>
      </c>
      <c r="AJ6821">
        <v>1</v>
      </c>
      <c r="AK6821">
        <v>1</v>
      </c>
      <c r="AL6821">
        <v>1</v>
      </c>
      <c r="AM6821">
        <v>1</v>
      </c>
    </row>
    <row r="6822" spans="1:39" x14ac:dyDescent="0.2">
      <c r="A6822" t="str">
        <f>"6818"</f>
        <v>6818</v>
      </c>
      <c r="B6822" t="str">
        <f t="shared" si="377"/>
        <v>1</v>
      </c>
      <c r="C6822" t="str">
        <f t="shared" si="379"/>
        <v>137</v>
      </c>
      <c r="D6822" t="str">
        <f>"18"</f>
        <v>18</v>
      </c>
      <c r="E6822" t="str">
        <f>"1-137-18"</f>
        <v>1-137-18</v>
      </c>
      <c r="F6822" t="s">
        <v>65</v>
      </c>
      <c r="G6822" t="s">
        <v>66</v>
      </c>
      <c r="H6822" t="s">
        <v>67</v>
      </c>
      <c r="S6822">
        <v>0</v>
      </c>
      <c r="T6822">
        <v>1</v>
      </c>
      <c r="U6822">
        <v>0</v>
      </c>
      <c r="V6822">
        <v>0</v>
      </c>
      <c r="W6822">
        <v>0</v>
      </c>
      <c r="X6822">
        <v>1</v>
      </c>
      <c r="Y6822">
        <v>0</v>
      </c>
      <c r="Z6822">
        <v>1</v>
      </c>
      <c r="AA6822">
        <v>0</v>
      </c>
      <c r="AB6822">
        <v>0</v>
      </c>
      <c r="AC6822">
        <v>1</v>
      </c>
      <c r="AD6822">
        <v>1</v>
      </c>
      <c r="AE6822">
        <v>1</v>
      </c>
      <c r="AF6822">
        <v>1</v>
      </c>
      <c r="AG6822">
        <v>1</v>
      </c>
      <c r="AH6822">
        <v>1</v>
      </c>
      <c r="AI6822">
        <v>1</v>
      </c>
      <c r="AJ6822">
        <v>1</v>
      </c>
      <c r="AK6822">
        <v>1</v>
      </c>
      <c r="AL6822">
        <v>1</v>
      </c>
      <c r="AM6822">
        <v>1</v>
      </c>
    </row>
    <row r="6823" spans="1:39" x14ac:dyDescent="0.2">
      <c r="A6823" t="str">
        <f>"6819"</f>
        <v>6819</v>
      </c>
      <c r="B6823" t="str">
        <f t="shared" si="377"/>
        <v>1</v>
      </c>
      <c r="C6823" t="str">
        <f t="shared" si="379"/>
        <v>137</v>
      </c>
      <c r="D6823" t="str">
        <f>"1"</f>
        <v>1</v>
      </c>
      <c r="E6823" t="str">
        <f>"1-137-1"</f>
        <v>1-137-1</v>
      </c>
      <c r="F6823" t="s">
        <v>65</v>
      </c>
      <c r="G6823" t="s">
        <v>66</v>
      </c>
      <c r="H6823" t="s">
        <v>67</v>
      </c>
      <c r="S6823">
        <v>1</v>
      </c>
      <c r="T6823">
        <v>0</v>
      </c>
      <c r="U6823">
        <v>0</v>
      </c>
      <c r="V6823">
        <v>0</v>
      </c>
      <c r="W6823">
        <v>1</v>
      </c>
      <c r="X6823">
        <v>0</v>
      </c>
      <c r="Y6823">
        <v>0</v>
      </c>
      <c r="Z6823">
        <v>1</v>
      </c>
      <c r="AA6823">
        <v>0</v>
      </c>
      <c r="AB6823">
        <v>1</v>
      </c>
      <c r="AC6823">
        <v>0</v>
      </c>
      <c r="AD6823">
        <v>1</v>
      </c>
      <c r="AE6823">
        <v>1</v>
      </c>
      <c r="AF6823">
        <v>1</v>
      </c>
      <c r="AG6823">
        <v>1</v>
      </c>
      <c r="AH6823">
        <v>1</v>
      </c>
      <c r="AI6823">
        <v>1</v>
      </c>
      <c r="AJ6823">
        <v>1</v>
      </c>
      <c r="AK6823">
        <v>1</v>
      </c>
      <c r="AL6823">
        <v>1</v>
      </c>
      <c r="AM6823">
        <v>1</v>
      </c>
    </row>
    <row r="6824" spans="1:39" x14ac:dyDescent="0.2">
      <c r="A6824" t="str">
        <f>"6820"</f>
        <v>6820</v>
      </c>
      <c r="B6824" t="str">
        <f t="shared" si="377"/>
        <v>1</v>
      </c>
      <c r="C6824" t="str">
        <f t="shared" si="379"/>
        <v>137</v>
      </c>
      <c r="D6824" t="str">
        <f>"41"</f>
        <v>41</v>
      </c>
      <c r="E6824" t="str">
        <f>"1-137-41"</f>
        <v>1-137-41</v>
      </c>
      <c r="F6824" t="s">
        <v>65</v>
      </c>
      <c r="G6824" t="s">
        <v>66</v>
      </c>
      <c r="H6824" t="s">
        <v>67</v>
      </c>
      <c r="S6824">
        <v>1</v>
      </c>
      <c r="T6824">
        <v>0</v>
      </c>
      <c r="U6824">
        <v>0</v>
      </c>
      <c r="V6824">
        <v>0</v>
      </c>
      <c r="W6824">
        <v>1</v>
      </c>
      <c r="X6824">
        <v>0</v>
      </c>
      <c r="Y6824">
        <v>0</v>
      </c>
      <c r="Z6824">
        <v>1</v>
      </c>
      <c r="AA6824">
        <v>0</v>
      </c>
      <c r="AB6824">
        <v>0</v>
      </c>
      <c r="AC6824">
        <v>1</v>
      </c>
      <c r="AD6824">
        <v>0</v>
      </c>
      <c r="AE6824">
        <v>1</v>
      </c>
      <c r="AF6824">
        <v>1</v>
      </c>
      <c r="AG6824">
        <v>1</v>
      </c>
      <c r="AH6824">
        <v>1</v>
      </c>
      <c r="AI6824">
        <v>1</v>
      </c>
      <c r="AJ6824">
        <v>1</v>
      </c>
      <c r="AK6824">
        <v>0</v>
      </c>
      <c r="AL6824">
        <v>1</v>
      </c>
      <c r="AM6824">
        <v>1</v>
      </c>
    </row>
    <row r="6825" spans="1:39" x14ac:dyDescent="0.2">
      <c r="A6825" t="str">
        <f>"6821"</f>
        <v>6821</v>
      </c>
      <c r="B6825" t="str">
        <f t="shared" si="377"/>
        <v>1</v>
      </c>
      <c r="C6825" t="str">
        <f t="shared" si="379"/>
        <v>137</v>
      </c>
      <c r="D6825" t="str">
        <f>"19"</f>
        <v>19</v>
      </c>
      <c r="E6825" t="str">
        <f>"1-137-19"</f>
        <v>1-137-19</v>
      </c>
      <c r="F6825" t="s">
        <v>65</v>
      </c>
      <c r="G6825" t="s">
        <v>66</v>
      </c>
      <c r="H6825" t="s">
        <v>67</v>
      </c>
      <c r="S6825">
        <v>1</v>
      </c>
      <c r="T6825">
        <v>0</v>
      </c>
      <c r="U6825">
        <v>0</v>
      </c>
      <c r="V6825">
        <v>0</v>
      </c>
      <c r="W6825">
        <v>1</v>
      </c>
      <c r="X6825">
        <v>0</v>
      </c>
      <c r="Y6825">
        <v>1</v>
      </c>
      <c r="Z6825">
        <v>0</v>
      </c>
      <c r="AA6825">
        <v>1</v>
      </c>
      <c r="AB6825">
        <v>0</v>
      </c>
      <c r="AC6825">
        <v>0</v>
      </c>
      <c r="AD6825">
        <v>1</v>
      </c>
      <c r="AE6825">
        <v>1</v>
      </c>
      <c r="AF6825">
        <v>1</v>
      </c>
      <c r="AG6825">
        <v>1</v>
      </c>
      <c r="AH6825">
        <v>1</v>
      </c>
      <c r="AI6825">
        <v>1</v>
      </c>
      <c r="AJ6825">
        <v>1</v>
      </c>
      <c r="AK6825">
        <v>1</v>
      </c>
      <c r="AL6825">
        <v>1</v>
      </c>
      <c r="AM6825">
        <v>1</v>
      </c>
    </row>
    <row r="6826" spans="1:39" x14ac:dyDescent="0.2">
      <c r="A6826" t="str">
        <f>"6822"</f>
        <v>6822</v>
      </c>
      <c r="B6826" t="str">
        <f t="shared" si="377"/>
        <v>1</v>
      </c>
      <c r="C6826" t="str">
        <f t="shared" si="379"/>
        <v>137</v>
      </c>
      <c r="D6826" t="str">
        <f>"3"</f>
        <v>3</v>
      </c>
      <c r="E6826" t="str">
        <f>"1-137-3"</f>
        <v>1-137-3</v>
      </c>
      <c r="F6826" t="s">
        <v>65</v>
      </c>
      <c r="G6826" t="s">
        <v>66</v>
      </c>
      <c r="H6826" t="s">
        <v>67</v>
      </c>
      <c r="S6826">
        <v>1</v>
      </c>
      <c r="T6826">
        <v>0</v>
      </c>
      <c r="U6826">
        <v>0</v>
      </c>
      <c r="V6826">
        <v>0</v>
      </c>
      <c r="W6826">
        <v>1</v>
      </c>
      <c r="X6826">
        <v>0</v>
      </c>
      <c r="Y6826">
        <v>1</v>
      </c>
      <c r="Z6826">
        <v>0</v>
      </c>
      <c r="AA6826">
        <v>1</v>
      </c>
      <c r="AB6826">
        <v>0</v>
      </c>
      <c r="AC6826">
        <v>0</v>
      </c>
      <c r="AD6826">
        <v>1</v>
      </c>
      <c r="AE6826">
        <v>1</v>
      </c>
      <c r="AF6826">
        <v>1</v>
      </c>
      <c r="AG6826">
        <v>1</v>
      </c>
      <c r="AH6826">
        <v>1</v>
      </c>
      <c r="AI6826">
        <v>1</v>
      </c>
      <c r="AJ6826">
        <v>1</v>
      </c>
      <c r="AK6826">
        <v>1</v>
      </c>
      <c r="AL6826">
        <v>1</v>
      </c>
      <c r="AM6826">
        <v>1</v>
      </c>
    </row>
    <row r="6827" spans="1:39" x14ac:dyDescent="0.2">
      <c r="A6827" t="str">
        <f>"6823"</f>
        <v>6823</v>
      </c>
      <c r="B6827" t="str">
        <f t="shared" si="377"/>
        <v>1</v>
      </c>
      <c r="C6827" t="str">
        <f t="shared" si="379"/>
        <v>137</v>
      </c>
      <c r="D6827" t="str">
        <f>"42"</f>
        <v>42</v>
      </c>
      <c r="E6827" t="str">
        <f>"1-137-42"</f>
        <v>1-137-42</v>
      </c>
      <c r="F6827" t="s">
        <v>65</v>
      </c>
      <c r="G6827" t="s">
        <v>66</v>
      </c>
      <c r="H6827" t="s">
        <v>67</v>
      </c>
      <c r="S6827">
        <v>1</v>
      </c>
      <c r="T6827">
        <v>0</v>
      </c>
      <c r="U6827">
        <v>0</v>
      </c>
      <c r="V6827">
        <v>0</v>
      </c>
      <c r="W6827">
        <v>1</v>
      </c>
      <c r="X6827">
        <v>0</v>
      </c>
      <c r="Y6827">
        <v>0</v>
      </c>
      <c r="Z6827">
        <v>1</v>
      </c>
      <c r="AA6827">
        <v>0</v>
      </c>
      <c r="AB6827">
        <v>1</v>
      </c>
      <c r="AC6827">
        <v>0</v>
      </c>
      <c r="AD6827">
        <v>1</v>
      </c>
      <c r="AE6827">
        <v>1</v>
      </c>
      <c r="AF6827">
        <v>1</v>
      </c>
      <c r="AG6827">
        <v>1</v>
      </c>
      <c r="AH6827">
        <v>1</v>
      </c>
      <c r="AI6827">
        <v>1</v>
      </c>
      <c r="AJ6827">
        <v>1</v>
      </c>
      <c r="AK6827">
        <v>1</v>
      </c>
      <c r="AL6827">
        <v>1</v>
      </c>
      <c r="AM6827">
        <v>1</v>
      </c>
    </row>
    <row r="6828" spans="1:39" x14ac:dyDescent="0.2">
      <c r="A6828" t="str">
        <f>"6824"</f>
        <v>6824</v>
      </c>
      <c r="B6828" t="str">
        <f t="shared" si="377"/>
        <v>1</v>
      </c>
      <c r="C6828" t="str">
        <f t="shared" si="379"/>
        <v>137</v>
      </c>
      <c r="D6828" t="str">
        <f>"21"</f>
        <v>21</v>
      </c>
      <c r="E6828" t="str">
        <f>"1-137-21"</f>
        <v>1-137-21</v>
      </c>
      <c r="F6828" t="s">
        <v>65</v>
      </c>
      <c r="G6828" t="s">
        <v>66</v>
      </c>
      <c r="H6828" t="s">
        <v>67</v>
      </c>
      <c r="S6828">
        <v>1</v>
      </c>
      <c r="T6828">
        <v>0</v>
      </c>
      <c r="U6828">
        <v>0</v>
      </c>
      <c r="V6828">
        <v>0</v>
      </c>
      <c r="W6828">
        <v>1</v>
      </c>
      <c r="X6828">
        <v>0</v>
      </c>
      <c r="Y6828">
        <v>1</v>
      </c>
      <c r="Z6828">
        <v>0</v>
      </c>
      <c r="AA6828">
        <v>1</v>
      </c>
      <c r="AB6828">
        <v>0</v>
      </c>
      <c r="AC6828">
        <v>0</v>
      </c>
      <c r="AD6828">
        <v>0</v>
      </c>
      <c r="AE6828">
        <v>0</v>
      </c>
      <c r="AF6828">
        <v>1</v>
      </c>
      <c r="AG6828">
        <v>0</v>
      </c>
      <c r="AH6828">
        <v>0</v>
      </c>
      <c r="AI6828">
        <v>1</v>
      </c>
      <c r="AJ6828">
        <v>1</v>
      </c>
      <c r="AK6828">
        <v>0</v>
      </c>
      <c r="AL6828">
        <v>1</v>
      </c>
      <c r="AM6828">
        <v>1</v>
      </c>
    </row>
    <row r="6829" spans="1:39" x14ac:dyDescent="0.2">
      <c r="A6829" t="str">
        <f>"6825"</f>
        <v>6825</v>
      </c>
      <c r="B6829" t="str">
        <f t="shared" si="377"/>
        <v>1</v>
      </c>
      <c r="C6829" t="str">
        <f t="shared" si="379"/>
        <v>137</v>
      </c>
      <c r="D6829" t="str">
        <f>"5"</f>
        <v>5</v>
      </c>
      <c r="E6829" t="str">
        <f>"1-137-5"</f>
        <v>1-137-5</v>
      </c>
      <c r="F6829" t="s">
        <v>65</v>
      </c>
      <c r="G6829" t="s">
        <v>66</v>
      </c>
      <c r="H6829" t="s">
        <v>67</v>
      </c>
      <c r="S6829">
        <v>1</v>
      </c>
      <c r="T6829">
        <v>0</v>
      </c>
      <c r="U6829">
        <v>0</v>
      </c>
      <c r="V6829">
        <v>0</v>
      </c>
      <c r="W6829">
        <v>1</v>
      </c>
      <c r="X6829">
        <v>0</v>
      </c>
      <c r="Y6829">
        <v>1</v>
      </c>
      <c r="Z6829">
        <v>0</v>
      </c>
      <c r="AA6829">
        <v>1</v>
      </c>
      <c r="AB6829">
        <v>0</v>
      </c>
      <c r="AC6829">
        <v>0</v>
      </c>
      <c r="AD6829">
        <v>1</v>
      </c>
      <c r="AE6829">
        <v>1</v>
      </c>
      <c r="AF6829">
        <v>1</v>
      </c>
      <c r="AG6829">
        <v>1</v>
      </c>
      <c r="AH6829">
        <v>1</v>
      </c>
      <c r="AI6829">
        <v>1</v>
      </c>
      <c r="AJ6829">
        <v>1</v>
      </c>
      <c r="AK6829">
        <v>1</v>
      </c>
      <c r="AL6829">
        <v>1</v>
      </c>
      <c r="AM6829">
        <v>1</v>
      </c>
    </row>
    <row r="6830" spans="1:39" x14ac:dyDescent="0.2">
      <c r="A6830" t="str">
        <f>"6826"</f>
        <v>6826</v>
      </c>
      <c r="B6830" t="str">
        <f t="shared" si="377"/>
        <v>1</v>
      </c>
      <c r="C6830" t="str">
        <f t="shared" si="379"/>
        <v>137</v>
      </c>
      <c r="D6830" t="str">
        <f>"44"</f>
        <v>44</v>
      </c>
      <c r="E6830" t="str">
        <f>"1-137-44"</f>
        <v>1-137-44</v>
      </c>
      <c r="F6830" t="s">
        <v>65</v>
      </c>
      <c r="G6830" t="s">
        <v>66</v>
      </c>
      <c r="H6830" t="s">
        <v>67</v>
      </c>
      <c r="S6830">
        <v>1</v>
      </c>
      <c r="T6830">
        <v>0</v>
      </c>
      <c r="U6830">
        <v>0</v>
      </c>
      <c r="V6830">
        <v>0</v>
      </c>
      <c r="W6830">
        <v>1</v>
      </c>
      <c r="X6830">
        <v>0</v>
      </c>
      <c r="Y6830">
        <v>0</v>
      </c>
      <c r="Z6830">
        <v>1</v>
      </c>
      <c r="AA6830">
        <v>0</v>
      </c>
      <c r="AB6830">
        <v>1</v>
      </c>
      <c r="AC6830">
        <v>0</v>
      </c>
      <c r="AD6830">
        <v>1</v>
      </c>
      <c r="AE6830">
        <v>1</v>
      </c>
      <c r="AF6830">
        <v>1</v>
      </c>
      <c r="AG6830">
        <v>1</v>
      </c>
      <c r="AH6830">
        <v>1</v>
      </c>
      <c r="AI6830">
        <v>1</v>
      </c>
      <c r="AJ6830">
        <v>1</v>
      </c>
      <c r="AK6830">
        <v>1</v>
      </c>
      <c r="AL6830">
        <v>1</v>
      </c>
      <c r="AM6830">
        <v>1</v>
      </c>
    </row>
    <row r="6831" spans="1:39" x14ac:dyDescent="0.2">
      <c r="A6831" t="str">
        <f>"6827"</f>
        <v>6827</v>
      </c>
      <c r="B6831" t="str">
        <f t="shared" si="377"/>
        <v>1</v>
      </c>
      <c r="C6831" t="str">
        <f t="shared" si="379"/>
        <v>137</v>
      </c>
      <c r="D6831" t="str">
        <f>"23"</f>
        <v>23</v>
      </c>
      <c r="E6831" t="str">
        <f>"1-137-23"</f>
        <v>1-137-23</v>
      </c>
      <c r="F6831" t="s">
        <v>65</v>
      </c>
      <c r="G6831" t="s">
        <v>66</v>
      </c>
      <c r="H6831" t="s">
        <v>67</v>
      </c>
      <c r="S6831">
        <v>1</v>
      </c>
      <c r="T6831">
        <v>0</v>
      </c>
      <c r="U6831">
        <v>0</v>
      </c>
      <c r="V6831">
        <v>0</v>
      </c>
      <c r="W6831">
        <v>1</v>
      </c>
      <c r="X6831">
        <v>0</v>
      </c>
      <c r="Y6831">
        <v>1</v>
      </c>
      <c r="Z6831">
        <v>0</v>
      </c>
      <c r="AA6831">
        <v>1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1</v>
      </c>
      <c r="AM6831">
        <v>0</v>
      </c>
    </row>
    <row r="6832" spans="1:39" x14ac:dyDescent="0.2">
      <c r="A6832" t="str">
        <f>"6828"</f>
        <v>6828</v>
      </c>
      <c r="B6832" t="str">
        <f t="shared" si="377"/>
        <v>1</v>
      </c>
      <c r="C6832" t="str">
        <f t="shared" si="379"/>
        <v>137</v>
      </c>
      <c r="D6832" t="str">
        <f>"14"</f>
        <v>14</v>
      </c>
      <c r="E6832" t="str">
        <f>"1-137-14"</f>
        <v>1-137-14</v>
      </c>
      <c r="F6832" t="s">
        <v>65</v>
      </c>
      <c r="G6832" t="s">
        <v>66</v>
      </c>
      <c r="H6832" t="s">
        <v>67</v>
      </c>
      <c r="S6832">
        <v>1</v>
      </c>
      <c r="T6832">
        <v>0</v>
      </c>
      <c r="U6832">
        <v>0</v>
      </c>
      <c r="V6832">
        <v>0</v>
      </c>
      <c r="W6832">
        <v>1</v>
      </c>
      <c r="X6832">
        <v>0</v>
      </c>
      <c r="Y6832">
        <v>1</v>
      </c>
      <c r="Z6832">
        <v>0</v>
      </c>
      <c r="AA6832">
        <v>0</v>
      </c>
      <c r="AB6832">
        <v>1</v>
      </c>
      <c r="AC6832">
        <v>0</v>
      </c>
      <c r="AD6832">
        <v>1</v>
      </c>
      <c r="AE6832">
        <v>1</v>
      </c>
      <c r="AF6832">
        <v>1</v>
      </c>
      <c r="AG6832">
        <v>1</v>
      </c>
      <c r="AH6832">
        <v>1</v>
      </c>
      <c r="AI6832">
        <v>1</v>
      </c>
      <c r="AJ6832">
        <v>1</v>
      </c>
      <c r="AK6832">
        <v>1</v>
      </c>
      <c r="AL6832">
        <v>1</v>
      </c>
      <c r="AM6832">
        <v>1</v>
      </c>
    </row>
    <row r="6833" spans="1:39" x14ac:dyDescent="0.2">
      <c r="A6833" t="str">
        <f>"6829"</f>
        <v>6829</v>
      </c>
      <c r="B6833" t="str">
        <f t="shared" si="377"/>
        <v>1</v>
      </c>
      <c r="C6833" t="str">
        <f t="shared" si="379"/>
        <v>137</v>
      </c>
      <c r="D6833" t="str">
        <f>"43"</f>
        <v>43</v>
      </c>
      <c r="E6833" t="str">
        <f>"1-137-43"</f>
        <v>1-137-43</v>
      </c>
      <c r="F6833" t="s">
        <v>65</v>
      </c>
      <c r="G6833" t="s">
        <v>66</v>
      </c>
      <c r="H6833" t="s">
        <v>67</v>
      </c>
      <c r="S6833">
        <v>1</v>
      </c>
      <c r="T6833">
        <v>0</v>
      </c>
      <c r="U6833">
        <v>0</v>
      </c>
      <c r="V6833">
        <v>0</v>
      </c>
      <c r="W6833">
        <v>1</v>
      </c>
      <c r="X6833">
        <v>0</v>
      </c>
      <c r="Y6833">
        <v>0</v>
      </c>
      <c r="Z6833">
        <v>1</v>
      </c>
      <c r="AA6833">
        <v>0</v>
      </c>
      <c r="AB6833">
        <v>1</v>
      </c>
      <c r="AC6833">
        <v>0</v>
      </c>
      <c r="AD6833">
        <v>1</v>
      </c>
      <c r="AE6833">
        <v>1</v>
      </c>
      <c r="AF6833">
        <v>1</v>
      </c>
      <c r="AG6833">
        <v>1</v>
      </c>
      <c r="AH6833">
        <v>1</v>
      </c>
      <c r="AI6833">
        <v>1</v>
      </c>
      <c r="AJ6833">
        <v>1</v>
      </c>
      <c r="AK6833">
        <v>1</v>
      </c>
      <c r="AL6833">
        <v>1</v>
      </c>
      <c r="AM6833">
        <v>1</v>
      </c>
    </row>
    <row r="6834" spans="1:39" x14ac:dyDescent="0.2">
      <c r="A6834" t="str">
        <f>"6830"</f>
        <v>6830</v>
      </c>
      <c r="B6834" t="str">
        <f t="shared" si="377"/>
        <v>1</v>
      </c>
      <c r="C6834" t="str">
        <f t="shared" si="379"/>
        <v>137</v>
      </c>
      <c r="D6834" t="str">
        <f>"25"</f>
        <v>25</v>
      </c>
      <c r="E6834" t="str">
        <f>"1-137-25"</f>
        <v>1-137-25</v>
      </c>
      <c r="F6834" t="s">
        <v>65</v>
      </c>
      <c r="G6834" t="s">
        <v>66</v>
      </c>
      <c r="H6834" t="s">
        <v>67</v>
      </c>
      <c r="S6834">
        <v>0</v>
      </c>
      <c r="T6834">
        <v>1</v>
      </c>
      <c r="U6834">
        <v>0</v>
      </c>
      <c r="V6834">
        <v>0</v>
      </c>
      <c r="W6834">
        <v>1</v>
      </c>
      <c r="X6834">
        <v>0</v>
      </c>
      <c r="Y6834">
        <v>0</v>
      </c>
      <c r="Z6834">
        <v>1</v>
      </c>
      <c r="AA6834">
        <v>0</v>
      </c>
      <c r="AB6834">
        <v>1</v>
      </c>
      <c r="AC6834">
        <v>0</v>
      </c>
      <c r="AD6834">
        <v>1</v>
      </c>
      <c r="AE6834">
        <v>1</v>
      </c>
      <c r="AF6834">
        <v>1</v>
      </c>
      <c r="AG6834">
        <v>1</v>
      </c>
      <c r="AH6834">
        <v>1</v>
      </c>
      <c r="AI6834">
        <v>1</v>
      </c>
      <c r="AJ6834">
        <v>1</v>
      </c>
      <c r="AK6834">
        <v>1</v>
      </c>
      <c r="AL6834">
        <v>1</v>
      </c>
      <c r="AM6834">
        <v>1</v>
      </c>
    </row>
    <row r="6835" spans="1:39" x14ac:dyDescent="0.2">
      <c r="A6835" t="str">
        <f>"6831"</f>
        <v>6831</v>
      </c>
      <c r="B6835" t="str">
        <f t="shared" si="377"/>
        <v>1</v>
      </c>
      <c r="C6835" t="str">
        <f t="shared" si="379"/>
        <v>137</v>
      </c>
      <c r="D6835" t="str">
        <f>"11"</f>
        <v>11</v>
      </c>
      <c r="E6835" t="str">
        <f>"1-137-11"</f>
        <v>1-137-11</v>
      </c>
      <c r="F6835" t="s">
        <v>65</v>
      </c>
      <c r="G6835" t="s">
        <v>66</v>
      </c>
      <c r="H6835" t="s">
        <v>67</v>
      </c>
      <c r="S6835">
        <v>0</v>
      </c>
      <c r="T6835">
        <v>1</v>
      </c>
      <c r="U6835">
        <v>0</v>
      </c>
      <c r="V6835">
        <v>0</v>
      </c>
      <c r="W6835">
        <v>1</v>
      </c>
      <c r="X6835">
        <v>0</v>
      </c>
      <c r="Y6835">
        <v>0</v>
      </c>
      <c r="Z6835">
        <v>1</v>
      </c>
      <c r="AA6835">
        <v>0</v>
      </c>
      <c r="AB6835">
        <v>1</v>
      </c>
      <c r="AC6835">
        <v>0</v>
      </c>
      <c r="AD6835">
        <v>1</v>
      </c>
      <c r="AE6835">
        <v>1</v>
      </c>
      <c r="AF6835">
        <v>1</v>
      </c>
      <c r="AG6835">
        <v>1</v>
      </c>
      <c r="AH6835">
        <v>1</v>
      </c>
      <c r="AI6835">
        <v>1</v>
      </c>
      <c r="AJ6835">
        <v>1</v>
      </c>
      <c r="AK6835">
        <v>1</v>
      </c>
      <c r="AL6835">
        <v>1</v>
      </c>
      <c r="AM6835">
        <v>1</v>
      </c>
    </row>
    <row r="6836" spans="1:39" x14ac:dyDescent="0.2">
      <c r="A6836" t="str">
        <f>"6832"</f>
        <v>6832</v>
      </c>
      <c r="B6836" t="str">
        <f t="shared" si="377"/>
        <v>1</v>
      </c>
      <c r="C6836" t="str">
        <f t="shared" si="379"/>
        <v>137</v>
      </c>
      <c r="D6836" t="str">
        <f>"47"</f>
        <v>47</v>
      </c>
      <c r="E6836" t="str">
        <f>"1-137-47"</f>
        <v>1-137-47</v>
      </c>
      <c r="F6836" t="s">
        <v>65</v>
      </c>
      <c r="G6836" t="s">
        <v>66</v>
      </c>
      <c r="H6836" t="s">
        <v>67</v>
      </c>
      <c r="S6836">
        <v>0</v>
      </c>
      <c r="T6836">
        <v>1</v>
      </c>
      <c r="U6836">
        <v>0</v>
      </c>
      <c r="V6836">
        <v>0</v>
      </c>
      <c r="W6836">
        <v>1</v>
      </c>
      <c r="X6836">
        <v>0</v>
      </c>
      <c r="Y6836">
        <v>1</v>
      </c>
      <c r="Z6836">
        <v>0</v>
      </c>
      <c r="AA6836">
        <v>0</v>
      </c>
      <c r="AB6836">
        <v>1</v>
      </c>
      <c r="AC6836">
        <v>0</v>
      </c>
      <c r="AD6836">
        <v>1</v>
      </c>
      <c r="AE6836">
        <v>1</v>
      </c>
      <c r="AF6836">
        <v>1</v>
      </c>
      <c r="AG6836">
        <v>1</v>
      </c>
      <c r="AH6836">
        <v>1</v>
      </c>
      <c r="AI6836">
        <v>1</v>
      </c>
      <c r="AJ6836">
        <v>1</v>
      </c>
      <c r="AK6836">
        <v>1</v>
      </c>
      <c r="AL6836">
        <v>1</v>
      </c>
      <c r="AM6836">
        <v>1</v>
      </c>
    </row>
    <row r="6837" spans="1:39" x14ac:dyDescent="0.2">
      <c r="A6837" t="str">
        <f>"6833"</f>
        <v>6833</v>
      </c>
      <c r="B6837" t="str">
        <f t="shared" si="377"/>
        <v>1</v>
      </c>
      <c r="C6837" t="str">
        <f t="shared" ref="C6837:C6854" si="380">"137"</f>
        <v>137</v>
      </c>
      <c r="D6837" t="str">
        <f>"27"</f>
        <v>27</v>
      </c>
      <c r="E6837" t="str">
        <f>"1-137-27"</f>
        <v>1-137-27</v>
      </c>
      <c r="F6837" t="s">
        <v>65</v>
      </c>
      <c r="G6837" t="s">
        <v>66</v>
      </c>
      <c r="H6837" t="s">
        <v>67</v>
      </c>
      <c r="S6837">
        <v>1</v>
      </c>
      <c r="T6837">
        <v>0</v>
      </c>
      <c r="U6837">
        <v>0</v>
      </c>
      <c r="V6837">
        <v>0</v>
      </c>
      <c r="W6837">
        <v>1</v>
      </c>
      <c r="X6837">
        <v>0</v>
      </c>
      <c r="Y6837">
        <v>1</v>
      </c>
      <c r="Z6837">
        <v>0</v>
      </c>
      <c r="AA6837">
        <v>1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</row>
    <row r="6838" spans="1:39" x14ac:dyDescent="0.2">
      <c r="A6838" t="str">
        <f>"6834"</f>
        <v>6834</v>
      </c>
      <c r="B6838" t="str">
        <f t="shared" si="377"/>
        <v>1</v>
      </c>
      <c r="C6838" t="str">
        <f t="shared" si="380"/>
        <v>137</v>
      </c>
      <c r="D6838" t="str">
        <f>"10"</f>
        <v>10</v>
      </c>
      <c r="E6838" t="str">
        <f>"1-137-10"</f>
        <v>1-137-10</v>
      </c>
      <c r="F6838" t="s">
        <v>65</v>
      </c>
      <c r="G6838" t="s">
        <v>66</v>
      </c>
      <c r="H6838" t="s">
        <v>67</v>
      </c>
      <c r="S6838">
        <v>1</v>
      </c>
      <c r="T6838">
        <v>0</v>
      </c>
      <c r="U6838">
        <v>0</v>
      </c>
      <c r="V6838">
        <v>0</v>
      </c>
      <c r="W6838">
        <v>1</v>
      </c>
      <c r="X6838">
        <v>0</v>
      </c>
      <c r="Y6838">
        <v>1</v>
      </c>
      <c r="Z6838">
        <v>0</v>
      </c>
      <c r="AA6838">
        <v>0</v>
      </c>
      <c r="AB6838">
        <v>0</v>
      </c>
      <c r="AC6838">
        <v>1</v>
      </c>
      <c r="AD6838">
        <v>1</v>
      </c>
      <c r="AE6838">
        <v>1</v>
      </c>
      <c r="AF6838">
        <v>1</v>
      </c>
      <c r="AG6838">
        <v>1</v>
      </c>
      <c r="AH6838">
        <v>1</v>
      </c>
      <c r="AI6838">
        <v>1</v>
      </c>
      <c r="AJ6838">
        <v>1</v>
      </c>
      <c r="AK6838">
        <v>1</v>
      </c>
      <c r="AL6838">
        <v>1</v>
      </c>
      <c r="AM6838">
        <v>1</v>
      </c>
    </row>
    <row r="6839" spans="1:39" x14ac:dyDescent="0.2">
      <c r="A6839" t="str">
        <f>"6835"</f>
        <v>6835</v>
      </c>
      <c r="B6839" t="str">
        <f t="shared" ref="B6839:B6902" si="381">"1"</f>
        <v>1</v>
      </c>
      <c r="C6839" t="str">
        <f t="shared" si="380"/>
        <v>137</v>
      </c>
      <c r="D6839" t="str">
        <f>"28"</f>
        <v>28</v>
      </c>
      <c r="E6839" t="str">
        <f>"1-137-28"</f>
        <v>1-137-28</v>
      </c>
      <c r="F6839" t="s">
        <v>65</v>
      </c>
      <c r="G6839" t="s">
        <v>66</v>
      </c>
      <c r="H6839" t="s">
        <v>67</v>
      </c>
      <c r="S6839">
        <v>0</v>
      </c>
      <c r="T6839">
        <v>1</v>
      </c>
      <c r="U6839">
        <v>0</v>
      </c>
      <c r="V6839">
        <v>0</v>
      </c>
      <c r="W6839">
        <v>1</v>
      </c>
      <c r="X6839">
        <v>0</v>
      </c>
      <c r="Y6839">
        <v>1</v>
      </c>
      <c r="Z6839">
        <v>0</v>
      </c>
      <c r="AA6839">
        <v>0</v>
      </c>
      <c r="AB6839">
        <v>1</v>
      </c>
      <c r="AC6839">
        <v>0</v>
      </c>
      <c r="AD6839">
        <v>1</v>
      </c>
      <c r="AE6839">
        <v>1</v>
      </c>
      <c r="AF6839">
        <v>1</v>
      </c>
      <c r="AG6839">
        <v>1</v>
      </c>
      <c r="AH6839">
        <v>1</v>
      </c>
      <c r="AI6839">
        <v>1</v>
      </c>
      <c r="AJ6839">
        <v>1</v>
      </c>
      <c r="AK6839">
        <v>1</v>
      </c>
      <c r="AL6839">
        <v>1</v>
      </c>
      <c r="AM6839">
        <v>1</v>
      </c>
    </row>
    <row r="6840" spans="1:39" x14ac:dyDescent="0.2">
      <c r="A6840" t="str">
        <f>"6836"</f>
        <v>6836</v>
      </c>
      <c r="B6840" t="str">
        <f t="shared" si="381"/>
        <v>1</v>
      </c>
      <c r="C6840" t="str">
        <f t="shared" si="380"/>
        <v>137</v>
      </c>
      <c r="D6840" t="str">
        <f>"13"</f>
        <v>13</v>
      </c>
      <c r="E6840" t="str">
        <f>"1-137-13"</f>
        <v>1-137-13</v>
      </c>
      <c r="F6840" t="s">
        <v>65</v>
      </c>
      <c r="G6840" t="s">
        <v>66</v>
      </c>
      <c r="H6840" t="s">
        <v>67</v>
      </c>
      <c r="S6840">
        <v>1</v>
      </c>
      <c r="T6840">
        <v>0</v>
      </c>
      <c r="U6840">
        <v>0</v>
      </c>
      <c r="V6840">
        <v>0</v>
      </c>
      <c r="W6840">
        <v>1</v>
      </c>
      <c r="X6840">
        <v>0</v>
      </c>
      <c r="Y6840">
        <v>1</v>
      </c>
      <c r="Z6840">
        <v>0</v>
      </c>
      <c r="AA6840">
        <v>1</v>
      </c>
      <c r="AB6840">
        <v>0</v>
      </c>
      <c r="AC6840">
        <v>0</v>
      </c>
      <c r="AD6840">
        <v>1</v>
      </c>
      <c r="AE6840">
        <v>1</v>
      </c>
      <c r="AF6840">
        <v>1</v>
      </c>
      <c r="AG6840">
        <v>1</v>
      </c>
      <c r="AH6840">
        <v>1</v>
      </c>
      <c r="AI6840">
        <v>1</v>
      </c>
      <c r="AJ6840">
        <v>1</v>
      </c>
      <c r="AK6840">
        <v>1</v>
      </c>
      <c r="AL6840">
        <v>1</v>
      </c>
      <c r="AM6840">
        <v>1</v>
      </c>
    </row>
    <row r="6841" spans="1:39" x14ac:dyDescent="0.2">
      <c r="A6841" t="str">
        <f>"6837"</f>
        <v>6837</v>
      </c>
      <c r="B6841" t="str">
        <f t="shared" si="381"/>
        <v>1</v>
      </c>
      <c r="C6841" t="str">
        <f t="shared" si="380"/>
        <v>137</v>
      </c>
      <c r="D6841" t="str">
        <f>"29"</f>
        <v>29</v>
      </c>
      <c r="E6841" t="str">
        <f>"1-137-29"</f>
        <v>1-137-29</v>
      </c>
      <c r="F6841" t="s">
        <v>65</v>
      </c>
      <c r="G6841" t="s">
        <v>66</v>
      </c>
      <c r="H6841" t="s">
        <v>67</v>
      </c>
      <c r="S6841">
        <v>0</v>
      </c>
      <c r="T6841">
        <v>1</v>
      </c>
      <c r="U6841">
        <v>0</v>
      </c>
      <c r="V6841">
        <v>0</v>
      </c>
      <c r="W6841">
        <v>1</v>
      </c>
      <c r="X6841">
        <v>0</v>
      </c>
      <c r="Y6841">
        <v>1</v>
      </c>
      <c r="Z6841">
        <v>0</v>
      </c>
      <c r="AA6841">
        <v>0</v>
      </c>
      <c r="AB6841">
        <v>1</v>
      </c>
      <c r="AC6841">
        <v>0</v>
      </c>
      <c r="AD6841">
        <v>1</v>
      </c>
      <c r="AE6841">
        <v>1</v>
      </c>
      <c r="AF6841">
        <v>1</v>
      </c>
      <c r="AG6841">
        <v>1</v>
      </c>
      <c r="AH6841">
        <v>1</v>
      </c>
      <c r="AI6841">
        <v>1</v>
      </c>
      <c r="AJ6841">
        <v>0</v>
      </c>
      <c r="AK6841">
        <v>1</v>
      </c>
      <c r="AL6841">
        <v>1</v>
      </c>
      <c r="AM6841">
        <v>1</v>
      </c>
    </row>
    <row r="6842" spans="1:39" x14ac:dyDescent="0.2">
      <c r="A6842" t="str">
        <f>"6838"</f>
        <v>6838</v>
      </c>
      <c r="B6842" t="str">
        <f t="shared" si="381"/>
        <v>1</v>
      </c>
      <c r="C6842" t="str">
        <f t="shared" si="380"/>
        <v>137</v>
      </c>
      <c r="D6842" t="str">
        <f>"6"</f>
        <v>6</v>
      </c>
      <c r="E6842" t="str">
        <f>"1-137-6"</f>
        <v>1-137-6</v>
      </c>
      <c r="F6842" t="s">
        <v>65</v>
      </c>
      <c r="G6842" t="s">
        <v>66</v>
      </c>
      <c r="H6842" t="s">
        <v>67</v>
      </c>
      <c r="S6842">
        <v>1</v>
      </c>
      <c r="T6842">
        <v>0</v>
      </c>
      <c r="U6842">
        <v>0</v>
      </c>
      <c r="V6842">
        <v>0</v>
      </c>
      <c r="W6842">
        <v>1</v>
      </c>
      <c r="X6842">
        <v>0</v>
      </c>
      <c r="Y6842">
        <v>1</v>
      </c>
      <c r="Z6842">
        <v>0</v>
      </c>
      <c r="AA6842">
        <v>0</v>
      </c>
      <c r="AB6842">
        <v>0</v>
      </c>
      <c r="AC6842">
        <v>1</v>
      </c>
      <c r="AD6842">
        <v>1</v>
      </c>
      <c r="AE6842">
        <v>1</v>
      </c>
      <c r="AF6842">
        <v>1</v>
      </c>
      <c r="AG6842">
        <v>1</v>
      </c>
      <c r="AH6842">
        <v>1</v>
      </c>
      <c r="AI6842">
        <v>1</v>
      </c>
      <c r="AJ6842">
        <v>1</v>
      </c>
      <c r="AK6842">
        <v>1</v>
      </c>
      <c r="AL6842">
        <v>1</v>
      </c>
      <c r="AM6842">
        <v>1</v>
      </c>
    </row>
    <row r="6843" spans="1:39" x14ac:dyDescent="0.2">
      <c r="A6843" t="str">
        <f>"6839"</f>
        <v>6839</v>
      </c>
      <c r="B6843" t="str">
        <f t="shared" si="381"/>
        <v>1</v>
      </c>
      <c r="C6843" t="str">
        <f t="shared" si="380"/>
        <v>137</v>
      </c>
      <c r="D6843" t="str">
        <f>"50"</f>
        <v>50</v>
      </c>
      <c r="E6843" t="str">
        <f>"1-137-50"</f>
        <v>1-137-50</v>
      </c>
      <c r="F6843" t="s">
        <v>65</v>
      </c>
      <c r="G6843" t="s">
        <v>66</v>
      </c>
      <c r="H6843" t="s">
        <v>67</v>
      </c>
      <c r="S6843">
        <v>1</v>
      </c>
      <c r="T6843">
        <v>0</v>
      </c>
      <c r="U6843">
        <v>0</v>
      </c>
      <c r="V6843">
        <v>0</v>
      </c>
      <c r="W6843">
        <v>1</v>
      </c>
      <c r="X6843">
        <v>0</v>
      </c>
      <c r="Y6843">
        <v>1</v>
      </c>
      <c r="Z6843">
        <v>0</v>
      </c>
      <c r="AA6843">
        <v>1</v>
      </c>
      <c r="AB6843">
        <v>0</v>
      </c>
      <c r="AC6843">
        <v>0</v>
      </c>
      <c r="AD6843">
        <v>1</v>
      </c>
      <c r="AE6843">
        <v>1</v>
      </c>
      <c r="AF6843">
        <v>1</v>
      </c>
      <c r="AG6843">
        <v>1</v>
      </c>
      <c r="AH6843">
        <v>1</v>
      </c>
      <c r="AI6843">
        <v>1</v>
      </c>
      <c r="AJ6843">
        <v>1</v>
      </c>
      <c r="AK6843">
        <v>1</v>
      </c>
      <c r="AL6843">
        <v>1</v>
      </c>
      <c r="AM6843">
        <v>1</v>
      </c>
    </row>
    <row r="6844" spans="1:39" x14ac:dyDescent="0.2">
      <c r="A6844" t="str">
        <f>"6840"</f>
        <v>6840</v>
      </c>
      <c r="B6844" t="str">
        <f t="shared" si="381"/>
        <v>1</v>
      </c>
      <c r="C6844" t="str">
        <f t="shared" si="380"/>
        <v>137</v>
      </c>
      <c r="D6844" t="str">
        <f>"30"</f>
        <v>30</v>
      </c>
      <c r="E6844" t="str">
        <f>"1-137-30"</f>
        <v>1-137-30</v>
      </c>
      <c r="F6844" t="s">
        <v>65</v>
      </c>
      <c r="G6844" t="s">
        <v>66</v>
      </c>
      <c r="H6844" t="s">
        <v>67</v>
      </c>
      <c r="S6844">
        <v>1</v>
      </c>
      <c r="T6844">
        <v>0</v>
      </c>
      <c r="U6844">
        <v>0</v>
      </c>
      <c r="V6844">
        <v>0</v>
      </c>
      <c r="W6844">
        <v>1</v>
      </c>
      <c r="X6844">
        <v>0</v>
      </c>
      <c r="Y6844">
        <v>1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</row>
    <row r="6845" spans="1:39" x14ac:dyDescent="0.2">
      <c r="A6845" t="str">
        <f>"6841"</f>
        <v>6841</v>
      </c>
      <c r="B6845" t="str">
        <f t="shared" si="381"/>
        <v>1</v>
      </c>
      <c r="C6845" t="str">
        <f t="shared" si="380"/>
        <v>137</v>
      </c>
      <c r="D6845" t="str">
        <f>"7"</f>
        <v>7</v>
      </c>
      <c r="E6845" t="str">
        <f>"1-137-7"</f>
        <v>1-137-7</v>
      </c>
      <c r="F6845" t="s">
        <v>65</v>
      </c>
      <c r="G6845" t="s">
        <v>66</v>
      </c>
      <c r="H6845" t="s">
        <v>67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1</v>
      </c>
      <c r="Y6845">
        <v>0</v>
      </c>
      <c r="Z6845">
        <v>1</v>
      </c>
      <c r="AA6845">
        <v>0</v>
      </c>
      <c r="AB6845">
        <v>0</v>
      </c>
      <c r="AC6845">
        <v>1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</row>
    <row r="6846" spans="1:39" x14ac:dyDescent="0.2">
      <c r="A6846" t="str">
        <f>"6842"</f>
        <v>6842</v>
      </c>
      <c r="B6846" t="str">
        <f t="shared" si="381"/>
        <v>1</v>
      </c>
      <c r="C6846" t="str">
        <f t="shared" si="380"/>
        <v>137</v>
      </c>
      <c r="D6846" t="str">
        <f>"46"</f>
        <v>46</v>
      </c>
      <c r="E6846" t="str">
        <f>"1-137-46"</f>
        <v>1-137-46</v>
      </c>
      <c r="F6846" t="s">
        <v>65</v>
      </c>
      <c r="G6846" t="s">
        <v>66</v>
      </c>
      <c r="H6846" t="s">
        <v>67</v>
      </c>
      <c r="S6846">
        <v>1</v>
      </c>
      <c r="T6846">
        <v>0</v>
      </c>
      <c r="U6846">
        <v>0</v>
      </c>
      <c r="V6846">
        <v>0</v>
      </c>
      <c r="W6846">
        <v>1</v>
      </c>
      <c r="X6846">
        <v>0</v>
      </c>
      <c r="Y6846">
        <v>1</v>
      </c>
      <c r="Z6846">
        <v>0</v>
      </c>
      <c r="AA6846">
        <v>0</v>
      </c>
      <c r="AB6846">
        <v>1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</row>
    <row r="6847" spans="1:39" x14ac:dyDescent="0.2">
      <c r="A6847" t="str">
        <f>"6843"</f>
        <v>6843</v>
      </c>
      <c r="B6847" t="str">
        <f t="shared" si="381"/>
        <v>1</v>
      </c>
      <c r="C6847" t="str">
        <f t="shared" si="380"/>
        <v>137</v>
      </c>
      <c r="D6847" t="str">
        <f>"31"</f>
        <v>31</v>
      </c>
      <c r="E6847" t="str">
        <f>"1-137-31"</f>
        <v>1-137-31</v>
      </c>
      <c r="F6847" t="s">
        <v>65</v>
      </c>
      <c r="G6847" t="s">
        <v>66</v>
      </c>
      <c r="H6847" t="s">
        <v>67</v>
      </c>
      <c r="S6847">
        <v>1</v>
      </c>
      <c r="T6847">
        <v>0</v>
      </c>
      <c r="U6847">
        <v>0</v>
      </c>
      <c r="V6847">
        <v>0</v>
      </c>
      <c r="W6847">
        <v>1</v>
      </c>
      <c r="X6847">
        <v>0</v>
      </c>
      <c r="Y6847">
        <v>0</v>
      </c>
      <c r="Z6847">
        <v>1</v>
      </c>
      <c r="AA6847">
        <v>0</v>
      </c>
      <c r="AB6847">
        <v>1</v>
      </c>
      <c r="AC6847">
        <v>0</v>
      </c>
      <c r="AD6847">
        <v>1</v>
      </c>
      <c r="AE6847">
        <v>1</v>
      </c>
      <c r="AF6847">
        <v>1</v>
      </c>
      <c r="AG6847">
        <v>1</v>
      </c>
      <c r="AH6847">
        <v>1</v>
      </c>
      <c r="AI6847">
        <v>1</v>
      </c>
      <c r="AJ6847">
        <v>1</v>
      </c>
      <c r="AK6847">
        <v>1</v>
      </c>
      <c r="AL6847">
        <v>1</v>
      </c>
      <c r="AM6847">
        <v>1</v>
      </c>
    </row>
    <row r="6848" spans="1:39" x14ac:dyDescent="0.2">
      <c r="A6848" t="str">
        <f>"6844"</f>
        <v>6844</v>
      </c>
      <c r="B6848" t="str">
        <f t="shared" si="381"/>
        <v>1</v>
      </c>
      <c r="C6848" t="str">
        <f t="shared" si="380"/>
        <v>137</v>
      </c>
      <c r="D6848" t="str">
        <f>"12"</f>
        <v>12</v>
      </c>
      <c r="E6848" t="str">
        <f>"1-137-12"</f>
        <v>1-137-12</v>
      </c>
      <c r="F6848" t="s">
        <v>65</v>
      </c>
      <c r="G6848" t="s">
        <v>66</v>
      </c>
      <c r="H6848" t="s">
        <v>67</v>
      </c>
      <c r="S6848">
        <v>0</v>
      </c>
      <c r="T6848">
        <v>1</v>
      </c>
      <c r="U6848">
        <v>0</v>
      </c>
      <c r="V6848">
        <v>0</v>
      </c>
      <c r="W6848">
        <v>0</v>
      </c>
      <c r="X6848">
        <v>1</v>
      </c>
      <c r="Y6848">
        <v>0</v>
      </c>
      <c r="Z6848">
        <v>0</v>
      </c>
      <c r="AA6848">
        <v>0</v>
      </c>
      <c r="AB6848">
        <v>0</v>
      </c>
      <c r="AC6848">
        <v>1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</row>
    <row r="6849" spans="1:39" x14ac:dyDescent="0.2">
      <c r="A6849" t="str">
        <f>"6845"</f>
        <v>6845</v>
      </c>
      <c r="B6849" t="str">
        <f t="shared" si="381"/>
        <v>1</v>
      </c>
      <c r="C6849" t="str">
        <f t="shared" si="380"/>
        <v>137</v>
      </c>
      <c r="D6849" t="str">
        <f>"45"</f>
        <v>45</v>
      </c>
      <c r="E6849" t="str">
        <f>"1-137-45"</f>
        <v>1-137-45</v>
      </c>
      <c r="F6849" t="s">
        <v>65</v>
      </c>
      <c r="G6849" t="s">
        <v>66</v>
      </c>
      <c r="H6849" t="s">
        <v>67</v>
      </c>
      <c r="S6849">
        <v>1</v>
      </c>
      <c r="T6849">
        <v>0</v>
      </c>
      <c r="U6849">
        <v>0</v>
      </c>
      <c r="V6849">
        <v>0</v>
      </c>
      <c r="W6849">
        <v>1</v>
      </c>
      <c r="X6849">
        <v>0</v>
      </c>
      <c r="Y6849">
        <v>1</v>
      </c>
      <c r="Z6849">
        <v>0</v>
      </c>
      <c r="AA6849">
        <v>1</v>
      </c>
      <c r="AB6849">
        <v>0</v>
      </c>
      <c r="AC6849">
        <v>0</v>
      </c>
      <c r="AD6849">
        <v>1</v>
      </c>
      <c r="AE6849">
        <v>1</v>
      </c>
      <c r="AF6849">
        <v>1</v>
      </c>
      <c r="AG6849">
        <v>1</v>
      </c>
      <c r="AH6849">
        <v>1</v>
      </c>
      <c r="AI6849">
        <v>1</v>
      </c>
      <c r="AJ6849">
        <v>1</v>
      </c>
      <c r="AK6849">
        <v>1</v>
      </c>
      <c r="AL6849">
        <v>1</v>
      </c>
      <c r="AM6849">
        <v>1</v>
      </c>
    </row>
    <row r="6850" spans="1:39" x14ac:dyDescent="0.2">
      <c r="A6850" t="str">
        <f>"6846"</f>
        <v>6846</v>
      </c>
      <c r="B6850" t="str">
        <f t="shared" si="381"/>
        <v>1</v>
      </c>
      <c r="C6850" t="str">
        <f t="shared" si="380"/>
        <v>137</v>
      </c>
      <c r="D6850" t="str">
        <f>"32"</f>
        <v>32</v>
      </c>
      <c r="E6850" t="str">
        <f>"1-137-32"</f>
        <v>1-137-32</v>
      </c>
      <c r="F6850" t="s">
        <v>65</v>
      </c>
      <c r="G6850" t="s">
        <v>66</v>
      </c>
      <c r="H6850" t="s">
        <v>67</v>
      </c>
      <c r="S6850">
        <v>1</v>
      </c>
      <c r="T6850">
        <v>0</v>
      </c>
      <c r="U6850">
        <v>0</v>
      </c>
      <c r="V6850">
        <v>0</v>
      </c>
      <c r="W6850">
        <v>0</v>
      </c>
      <c r="X6850">
        <v>1</v>
      </c>
      <c r="Y6850">
        <v>1</v>
      </c>
      <c r="Z6850">
        <v>0</v>
      </c>
      <c r="AA6850">
        <v>0</v>
      </c>
      <c r="AB6850">
        <v>1</v>
      </c>
      <c r="AC6850">
        <v>0</v>
      </c>
      <c r="AD6850">
        <v>1</v>
      </c>
      <c r="AE6850">
        <v>1</v>
      </c>
      <c r="AF6850">
        <v>1</v>
      </c>
      <c r="AG6850">
        <v>1</v>
      </c>
      <c r="AH6850">
        <v>1</v>
      </c>
      <c r="AI6850">
        <v>1</v>
      </c>
      <c r="AJ6850">
        <v>1</v>
      </c>
      <c r="AK6850">
        <v>1</v>
      </c>
      <c r="AL6850">
        <v>1</v>
      </c>
      <c r="AM6850">
        <v>1</v>
      </c>
    </row>
    <row r="6851" spans="1:39" x14ac:dyDescent="0.2">
      <c r="A6851" t="str">
        <f>"6847"</f>
        <v>6847</v>
      </c>
      <c r="B6851" t="str">
        <f t="shared" si="381"/>
        <v>1</v>
      </c>
      <c r="C6851" t="str">
        <f t="shared" si="380"/>
        <v>137</v>
      </c>
      <c r="D6851" t="str">
        <f>"4"</f>
        <v>4</v>
      </c>
      <c r="E6851" t="str">
        <f>"1-137-4"</f>
        <v>1-137-4</v>
      </c>
      <c r="F6851" t="s">
        <v>65</v>
      </c>
      <c r="G6851" t="s">
        <v>66</v>
      </c>
      <c r="H6851" t="s">
        <v>67</v>
      </c>
      <c r="S6851">
        <v>1</v>
      </c>
      <c r="T6851">
        <v>0</v>
      </c>
      <c r="U6851">
        <v>0</v>
      </c>
      <c r="V6851">
        <v>0</v>
      </c>
      <c r="W6851">
        <v>1</v>
      </c>
      <c r="X6851">
        <v>0</v>
      </c>
      <c r="Y6851">
        <v>0</v>
      </c>
      <c r="Z6851">
        <v>1</v>
      </c>
      <c r="AA6851">
        <v>1</v>
      </c>
      <c r="AB6851">
        <v>0</v>
      </c>
      <c r="AC6851">
        <v>0</v>
      </c>
      <c r="AD6851">
        <v>1</v>
      </c>
      <c r="AE6851">
        <v>1</v>
      </c>
      <c r="AF6851">
        <v>1</v>
      </c>
      <c r="AG6851">
        <v>1</v>
      </c>
      <c r="AH6851">
        <v>1</v>
      </c>
      <c r="AI6851">
        <v>1</v>
      </c>
      <c r="AJ6851">
        <v>1</v>
      </c>
      <c r="AK6851">
        <v>1</v>
      </c>
      <c r="AL6851">
        <v>1</v>
      </c>
      <c r="AM6851">
        <v>1</v>
      </c>
    </row>
    <row r="6852" spans="1:39" x14ac:dyDescent="0.2">
      <c r="A6852" t="str">
        <f>"6848"</f>
        <v>6848</v>
      </c>
      <c r="B6852" t="str">
        <f t="shared" si="381"/>
        <v>1</v>
      </c>
      <c r="C6852" t="str">
        <f t="shared" si="380"/>
        <v>137</v>
      </c>
      <c r="D6852" t="str">
        <f>"16"</f>
        <v>16</v>
      </c>
      <c r="E6852" t="str">
        <f>"1-137-16"</f>
        <v>1-137-16</v>
      </c>
      <c r="F6852" t="s">
        <v>65</v>
      </c>
      <c r="G6852" t="s">
        <v>66</v>
      </c>
      <c r="H6852" t="s">
        <v>67</v>
      </c>
      <c r="S6852">
        <v>0</v>
      </c>
      <c r="T6852">
        <v>1</v>
      </c>
      <c r="U6852">
        <v>0</v>
      </c>
      <c r="V6852">
        <v>0</v>
      </c>
      <c r="W6852">
        <v>1</v>
      </c>
      <c r="X6852">
        <v>0</v>
      </c>
      <c r="Y6852">
        <v>1</v>
      </c>
      <c r="Z6852">
        <v>0</v>
      </c>
      <c r="AA6852">
        <v>1</v>
      </c>
      <c r="AB6852">
        <v>0</v>
      </c>
      <c r="AC6852">
        <v>0</v>
      </c>
      <c r="AD6852">
        <v>1</v>
      </c>
      <c r="AE6852">
        <v>1</v>
      </c>
      <c r="AF6852">
        <v>1</v>
      </c>
      <c r="AG6852">
        <v>1</v>
      </c>
      <c r="AH6852">
        <v>1</v>
      </c>
      <c r="AI6852">
        <v>1</v>
      </c>
      <c r="AJ6852">
        <v>1</v>
      </c>
      <c r="AK6852">
        <v>1</v>
      </c>
      <c r="AL6852">
        <v>1</v>
      </c>
      <c r="AM6852">
        <v>1</v>
      </c>
    </row>
    <row r="6853" spans="1:39" x14ac:dyDescent="0.2">
      <c r="A6853" t="str">
        <f>"6849"</f>
        <v>6849</v>
      </c>
      <c r="B6853" t="str">
        <f t="shared" si="381"/>
        <v>1</v>
      </c>
      <c r="C6853" t="str">
        <f t="shared" si="380"/>
        <v>137</v>
      </c>
      <c r="D6853" t="str">
        <f>"48"</f>
        <v>48</v>
      </c>
      <c r="E6853" t="str">
        <f>"1-137-48"</f>
        <v>1-137-48</v>
      </c>
      <c r="F6853" t="s">
        <v>65</v>
      </c>
      <c r="G6853" t="s">
        <v>66</v>
      </c>
      <c r="H6853" t="s">
        <v>67</v>
      </c>
      <c r="S6853">
        <v>1</v>
      </c>
      <c r="T6853">
        <v>0</v>
      </c>
      <c r="U6853">
        <v>0</v>
      </c>
      <c r="V6853">
        <v>0</v>
      </c>
      <c r="W6853">
        <v>1</v>
      </c>
      <c r="X6853">
        <v>0</v>
      </c>
      <c r="Y6853">
        <v>0</v>
      </c>
      <c r="Z6853">
        <v>1</v>
      </c>
      <c r="AA6853">
        <v>0</v>
      </c>
      <c r="AB6853">
        <v>1</v>
      </c>
      <c r="AC6853">
        <v>0</v>
      </c>
      <c r="AD6853">
        <v>1</v>
      </c>
      <c r="AE6853">
        <v>0</v>
      </c>
      <c r="AF6853">
        <v>1</v>
      </c>
      <c r="AG6853">
        <v>0</v>
      </c>
      <c r="AH6853">
        <v>1</v>
      </c>
      <c r="AI6853">
        <v>1</v>
      </c>
      <c r="AJ6853">
        <v>1</v>
      </c>
      <c r="AK6853">
        <v>1</v>
      </c>
      <c r="AL6853">
        <v>1</v>
      </c>
      <c r="AM6853">
        <v>0</v>
      </c>
    </row>
    <row r="6854" spans="1:39" x14ac:dyDescent="0.2">
      <c r="A6854" t="str">
        <f>"6850"</f>
        <v>6850</v>
      </c>
      <c r="B6854" t="str">
        <f t="shared" si="381"/>
        <v>1</v>
      </c>
      <c r="C6854" t="str">
        <f t="shared" si="380"/>
        <v>137</v>
      </c>
      <c r="D6854" t="str">
        <f>"49"</f>
        <v>49</v>
      </c>
      <c r="E6854" t="str">
        <f>"1-137-49"</f>
        <v>1-137-49</v>
      </c>
      <c r="F6854" t="s">
        <v>65</v>
      </c>
      <c r="G6854" t="s">
        <v>66</v>
      </c>
      <c r="H6854" t="s">
        <v>67</v>
      </c>
      <c r="S6854">
        <v>1</v>
      </c>
      <c r="T6854">
        <v>0</v>
      </c>
      <c r="U6854">
        <v>0</v>
      </c>
      <c r="V6854">
        <v>0</v>
      </c>
      <c r="W6854">
        <v>1</v>
      </c>
      <c r="X6854">
        <v>0</v>
      </c>
      <c r="Y6854">
        <v>1</v>
      </c>
      <c r="Z6854">
        <v>0</v>
      </c>
      <c r="AA6854">
        <v>1</v>
      </c>
      <c r="AB6854">
        <v>0</v>
      </c>
      <c r="AC6854">
        <v>0</v>
      </c>
      <c r="AD6854">
        <v>0</v>
      </c>
      <c r="AE6854">
        <v>0</v>
      </c>
      <c r="AF6854">
        <v>1</v>
      </c>
      <c r="AG6854">
        <v>0</v>
      </c>
      <c r="AH6854">
        <v>0</v>
      </c>
      <c r="AI6854">
        <v>1</v>
      </c>
      <c r="AJ6854">
        <v>0</v>
      </c>
      <c r="AK6854">
        <v>1</v>
      </c>
      <c r="AL6854">
        <v>1</v>
      </c>
      <c r="AM6854">
        <v>1</v>
      </c>
    </row>
    <row r="6855" spans="1:39" x14ac:dyDescent="0.2">
      <c r="A6855" t="str">
        <f>"6851"</f>
        <v>6851</v>
      </c>
      <c r="B6855" t="str">
        <f t="shared" si="381"/>
        <v>1</v>
      </c>
      <c r="C6855" t="str">
        <f t="shared" ref="C6855:C6886" si="382">"138"</f>
        <v>138</v>
      </c>
      <c r="D6855" t="str">
        <f>"45"</f>
        <v>45</v>
      </c>
      <c r="E6855" t="str">
        <f>"1-138-45"</f>
        <v>1-138-45</v>
      </c>
      <c r="F6855" t="s">
        <v>65</v>
      </c>
      <c r="G6855" t="s">
        <v>66</v>
      </c>
      <c r="H6855" t="s">
        <v>67</v>
      </c>
      <c r="S6855">
        <v>0</v>
      </c>
      <c r="T6855">
        <v>1</v>
      </c>
      <c r="U6855">
        <v>0</v>
      </c>
      <c r="V6855">
        <v>0</v>
      </c>
      <c r="W6855">
        <v>1</v>
      </c>
      <c r="X6855">
        <v>0</v>
      </c>
      <c r="Y6855">
        <v>0</v>
      </c>
      <c r="Z6855">
        <v>1</v>
      </c>
      <c r="AA6855">
        <v>0</v>
      </c>
      <c r="AB6855">
        <v>0</v>
      </c>
      <c r="AC6855">
        <v>1</v>
      </c>
      <c r="AD6855">
        <v>1</v>
      </c>
      <c r="AE6855">
        <v>1</v>
      </c>
      <c r="AF6855">
        <v>1</v>
      </c>
      <c r="AG6855">
        <v>1</v>
      </c>
      <c r="AH6855">
        <v>1</v>
      </c>
      <c r="AI6855">
        <v>1</v>
      </c>
      <c r="AJ6855">
        <v>1</v>
      </c>
      <c r="AK6855">
        <v>1</v>
      </c>
      <c r="AL6855">
        <v>1</v>
      </c>
      <c r="AM6855">
        <v>1</v>
      </c>
    </row>
    <row r="6856" spans="1:39" x14ac:dyDescent="0.2">
      <c r="A6856" t="str">
        <f>"6852"</f>
        <v>6852</v>
      </c>
      <c r="B6856" t="str">
        <f t="shared" si="381"/>
        <v>1</v>
      </c>
      <c r="C6856" t="str">
        <f t="shared" si="382"/>
        <v>138</v>
      </c>
      <c r="D6856" t="str">
        <f>"44"</f>
        <v>44</v>
      </c>
      <c r="E6856" t="str">
        <f>"1-138-44"</f>
        <v>1-138-44</v>
      </c>
      <c r="F6856" t="s">
        <v>65</v>
      </c>
      <c r="G6856" t="s">
        <v>66</v>
      </c>
      <c r="H6856" t="s">
        <v>67</v>
      </c>
      <c r="S6856">
        <v>1</v>
      </c>
      <c r="T6856">
        <v>0</v>
      </c>
      <c r="U6856">
        <v>0</v>
      </c>
      <c r="V6856">
        <v>0</v>
      </c>
      <c r="W6856">
        <v>1</v>
      </c>
      <c r="X6856">
        <v>0</v>
      </c>
      <c r="Y6856">
        <v>0</v>
      </c>
      <c r="Z6856">
        <v>1</v>
      </c>
      <c r="AA6856">
        <v>1</v>
      </c>
      <c r="AB6856">
        <v>0</v>
      </c>
      <c r="AC6856">
        <v>0</v>
      </c>
      <c r="AD6856">
        <v>1</v>
      </c>
      <c r="AE6856">
        <v>1</v>
      </c>
      <c r="AF6856">
        <v>1</v>
      </c>
      <c r="AG6856">
        <v>1</v>
      </c>
      <c r="AH6856">
        <v>1</v>
      </c>
      <c r="AI6856">
        <v>1</v>
      </c>
      <c r="AJ6856">
        <v>1</v>
      </c>
      <c r="AK6856">
        <v>1</v>
      </c>
      <c r="AL6856">
        <v>1</v>
      </c>
      <c r="AM6856">
        <v>1</v>
      </c>
    </row>
    <row r="6857" spans="1:39" x14ac:dyDescent="0.2">
      <c r="A6857" t="str">
        <f>"6853"</f>
        <v>6853</v>
      </c>
      <c r="B6857" t="str">
        <f t="shared" si="381"/>
        <v>1</v>
      </c>
      <c r="C6857" t="str">
        <f t="shared" si="382"/>
        <v>138</v>
      </c>
      <c r="D6857" t="str">
        <f>"35"</f>
        <v>35</v>
      </c>
      <c r="E6857" t="str">
        <f>"1-138-35"</f>
        <v>1-138-35</v>
      </c>
      <c r="F6857" t="s">
        <v>65</v>
      </c>
      <c r="G6857" t="s">
        <v>66</v>
      </c>
      <c r="H6857" t="s">
        <v>67</v>
      </c>
      <c r="S6857">
        <v>1</v>
      </c>
      <c r="T6857">
        <v>0</v>
      </c>
      <c r="U6857">
        <v>0</v>
      </c>
      <c r="V6857">
        <v>0</v>
      </c>
      <c r="W6857">
        <v>0</v>
      </c>
      <c r="X6857">
        <v>1</v>
      </c>
      <c r="Y6857">
        <v>1</v>
      </c>
      <c r="Z6857">
        <v>0</v>
      </c>
      <c r="AA6857">
        <v>0</v>
      </c>
      <c r="AB6857">
        <v>0</v>
      </c>
      <c r="AC6857">
        <v>1</v>
      </c>
      <c r="AD6857">
        <v>1</v>
      </c>
      <c r="AE6857">
        <v>1</v>
      </c>
      <c r="AF6857">
        <v>1</v>
      </c>
      <c r="AG6857">
        <v>1</v>
      </c>
      <c r="AH6857">
        <v>1</v>
      </c>
      <c r="AI6857">
        <v>1</v>
      </c>
      <c r="AJ6857">
        <v>1</v>
      </c>
      <c r="AK6857">
        <v>1</v>
      </c>
      <c r="AL6857">
        <v>1</v>
      </c>
      <c r="AM6857">
        <v>1</v>
      </c>
    </row>
    <row r="6858" spans="1:39" x14ac:dyDescent="0.2">
      <c r="A6858" t="str">
        <f>"6854"</f>
        <v>6854</v>
      </c>
      <c r="B6858" t="str">
        <f t="shared" si="381"/>
        <v>1</v>
      </c>
      <c r="C6858" t="str">
        <f t="shared" si="382"/>
        <v>138</v>
      </c>
      <c r="D6858" t="str">
        <f>"19"</f>
        <v>19</v>
      </c>
      <c r="E6858" t="str">
        <f>"1-138-19"</f>
        <v>1-138-19</v>
      </c>
      <c r="F6858" t="s">
        <v>65</v>
      </c>
      <c r="G6858" t="s">
        <v>66</v>
      </c>
      <c r="H6858" t="s">
        <v>67</v>
      </c>
      <c r="S6858">
        <v>0</v>
      </c>
      <c r="T6858">
        <v>1</v>
      </c>
      <c r="U6858">
        <v>0</v>
      </c>
      <c r="V6858">
        <v>0</v>
      </c>
      <c r="W6858">
        <v>1</v>
      </c>
      <c r="X6858">
        <v>0</v>
      </c>
      <c r="Y6858">
        <v>1</v>
      </c>
      <c r="Z6858">
        <v>0</v>
      </c>
      <c r="AA6858">
        <v>1</v>
      </c>
      <c r="AB6858">
        <v>0</v>
      </c>
      <c r="AC6858">
        <v>0</v>
      </c>
      <c r="AD6858">
        <v>1</v>
      </c>
      <c r="AE6858">
        <v>1</v>
      </c>
      <c r="AF6858">
        <v>1</v>
      </c>
      <c r="AG6858">
        <v>1</v>
      </c>
      <c r="AH6858">
        <v>1</v>
      </c>
      <c r="AI6858">
        <v>1</v>
      </c>
      <c r="AJ6858">
        <v>1</v>
      </c>
      <c r="AK6858">
        <v>1</v>
      </c>
      <c r="AL6858">
        <v>1</v>
      </c>
      <c r="AM6858">
        <v>0</v>
      </c>
    </row>
    <row r="6859" spans="1:39" x14ac:dyDescent="0.2">
      <c r="A6859" t="str">
        <f>"6855"</f>
        <v>6855</v>
      </c>
      <c r="B6859" t="str">
        <f t="shared" si="381"/>
        <v>1</v>
      </c>
      <c r="C6859" t="str">
        <f t="shared" si="382"/>
        <v>138</v>
      </c>
      <c r="D6859" t="str">
        <f>"18"</f>
        <v>18</v>
      </c>
      <c r="E6859" t="str">
        <f>"1-138-18"</f>
        <v>1-138-18</v>
      </c>
      <c r="F6859" t="s">
        <v>65</v>
      </c>
      <c r="G6859" t="s">
        <v>66</v>
      </c>
      <c r="H6859" t="s">
        <v>67</v>
      </c>
      <c r="S6859">
        <v>0</v>
      </c>
      <c r="T6859">
        <v>1</v>
      </c>
      <c r="U6859">
        <v>0</v>
      </c>
      <c r="V6859">
        <v>0</v>
      </c>
      <c r="W6859">
        <v>1</v>
      </c>
      <c r="X6859">
        <v>0</v>
      </c>
      <c r="Y6859">
        <v>1</v>
      </c>
      <c r="Z6859">
        <v>0</v>
      </c>
      <c r="AA6859">
        <v>1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1</v>
      </c>
      <c r="AH6859">
        <v>0</v>
      </c>
      <c r="AI6859">
        <v>1</v>
      </c>
      <c r="AJ6859">
        <v>0</v>
      </c>
      <c r="AK6859">
        <v>0</v>
      </c>
      <c r="AL6859">
        <v>0</v>
      </c>
      <c r="AM6859">
        <v>0</v>
      </c>
    </row>
    <row r="6860" spans="1:39" x14ac:dyDescent="0.2">
      <c r="A6860" t="str">
        <f>"6856"</f>
        <v>6856</v>
      </c>
      <c r="B6860" t="str">
        <f t="shared" si="381"/>
        <v>1</v>
      </c>
      <c r="C6860" t="str">
        <f t="shared" si="382"/>
        <v>138</v>
      </c>
      <c r="D6860" t="str">
        <f>"17"</f>
        <v>17</v>
      </c>
      <c r="E6860" t="str">
        <f>"1-138-17"</f>
        <v>1-138-17</v>
      </c>
      <c r="F6860" t="s">
        <v>65</v>
      </c>
      <c r="G6860" t="s">
        <v>66</v>
      </c>
      <c r="H6860" t="s">
        <v>67</v>
      </c>
      <c r="S6860">
        <v>0</v>
      </c>
      <c r="T6860">
        <v>1</v>
      </c>
      <c r="U6860">
        <v>0</v>
      </c>
      <c r="V6860">
        <v>0</v>
      </c>
      <c r="W6860">
        <v>1</v>
      </c>
      <c r="X6860">
        <v>0</v>
      </c>
      <c r="Y6860">
        <v>1</v>
      </c>
      <c r="Z6860">
        <v>0</v>
      </c>
      <c r="AA6860">
        <v>0</v>
      </c>
      <c r="AB6860">
        <v>1</v>
      </c>
      <c r="AC6860">
        <v>0</v>
      </c>
      <c r="AD6860">
        <v>1</v>
      </c>
      <c r="AE6860">
        <v>1</v>
      </c>
      <c r="AF6860">
        <v>1</v>
      </c>
      <c r="AG6860">
        <v>1</v>
      </c>
      <c r="AH6860">
        <v>1</v>
      </c>
      <c r="AI6860">
        <v>1</v>
      </c>
      <c r="AJ6860">
        <v>1</v>
      </c>
      <c r="AK6860">
        <v>1</v>
      </c>
      <c r="AL6860">
        <v>1</v>
      </c>
      <c r="AM6860">
        <v>1</v>
      </c>
    </row>
    <row r="6861" spans="1:39" x14ac:dyDescent="0.2">
      <c r="A6861" t="str">
        <f>"6857"</f>
        <v>6857</v>
      </c>
      <c r="B6861" t="str">
        <f t="shared" si="381"/>
        <v>1</v>
      </c>
      <c r="C6861" t="str">
        <f t="shared" si="382"/>
        <v>138</v>
      </c>
      <c r="D6861" t="str">
        <f>"15"</f>
        <v>15</v>
      </c>
      <c r="E6861" t="str">
        <f>"1-138-15"</f>
        <v>1-138-15</v>
      </c>
      <c r="F6861" t="s">
        <v>65</v>
      </c>
      <c r="G6861" t="s">
        <v>66</v>
      </c>
      <c r="H6861" t="s">
        <v>67</v>
      </c>
      <c r="S6861">
        <v>0</v>
      </c>
      <c r="T6861">
        <v>1</v>
      </c>
      <c r="U6861">
        <v>0</v>
      </c>
      <c r="V6861">
        <v>0</v>
      </c>
      <c r="W6861">
        <v>0</v>
      </c>
      <c r="X6861">
        <v>1</v>
      </c>
      <c r="Y6861">
        <v>1</v>
      </c>
      <c r="Z6861">
        <v>0</v>
      </c>
      <c r="AA6861">
        <v>0</v>
      </c>
      <c r="AB6861">
        <v>1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1</v>
      </c>
      <c r="AI6861">
        <v>1</v>
      </c>
      <c r="AJ6861">
        <v>1</v>
      </c>
      <c r="AK6861">
        <v>1</v>
      </c>
      <c r="AL6861">
        <v>1</v>
      </c>
      <c r="AM6861">
        <v>0</v>
      </c>
    </row>
    <row r="6862" spans="1:39" x14ac:dyDescent="0.2">
      <c r="A6862" t="str">
        <f>"6858"</f>
        <v>6858</v>
      </c>
      <c r="B6862" t="str">
        <f t="shared" si="381"/>
        <v>1</v>
      </c>
      <c r="C6862" t="str">
        <f t="shared" si="382"/>
        <v>138</v>
      </c>
      <c r="D6862" t="str">
        <f>"1"</f>
        <v>1</v>
      </c>
      <c r="E6862" t="str">
        <f>"1-138-1"</f>
        <v>1-138-1</v>
      </c>
      <c r="F6862" t="s">
        <v>65</v>
      </c>
      <c r="G6862" t="s">
        <v>66</v>
      </c>
      <c r="H6862" t="s">
        <v>67</v>
      </c>
      <c r="S6862">
        <v>0</v>
      </c>
      <c r="T6862">
        <v>1</v>
      </c>
      <c r="U6862">
        <v>0</v>
      </c>
      <c r="V6862">
        <v>0</v>
      </c>
      <c r="W6862">
        <v>0</v>
      </c>
      <c r="X6862">
        <v>1</v>
      </c>
      <c r="Y6862">
        <v>0</v>
      </c>
      <c r="Z6862">
        <v>1</v>
      </c>
      <c r="AA6862">
        <v>0</v>
      </c>
      <c r="AB6862">
        <v>0</v>
      </c>
      <c r="AC6862">
        <v>1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</row>
    <row r="6863" spans="1:39" x14ac:dyDescent="0.2">
      <c r="A6863" t="str">
        <f>"6859"</f>
        <v>6859</v>
      </c>
      <c r="B6863" t="str">
        <f t="shared" si="381"/>
        <v>1</v>
      </c>
      <c r="C6863" t="str">
        <f t="shared" si="382"/>
        <v>138</v>
      </c>
      <c r="D6863" t="str">
        <f>"34"</f>
        <v>34</v>
      </c>
      <c r="E6863" t="str">
        <f>"1-138-34"</f>
        <v>1-138-34</v>
      </c>
      <c r="F6863" t="s">
        <v>65</v>
      </c>
      <c r="G6863" t="s">
        <v>66</v>
      </c>
      <c r="H6863" t="s">
        <v>67</v>
      </c>
      <c r="S6863">
        <v>1</v>
      </c>
      <c r="T6863">
        <v>0</v>
      </c>
      <c r="U6863">
        <v>0</v>
      </c>
      <c r="V6863">
        <v>0</v>
      </c>
      <c r="W6863">
        <v>1</v>
      </c>
      <c r="X6863">
        <v>0</v>
      </c>
      <c r="Y6863">
        <v>1</v>
      </c>
      <c r="Z6863">
        <v>0</v>
      </c>
      <c r="AA6863">
        <v>1</v>
      </c>
      <c r="AB6863">
        <v>0</v>
      </c>
      <c r="AC6863">
        <v>0</v>
      </c>
      <c r="AD6863">
        <v>1</v>
      </c>
      <c r="AE6863">
        <v>1</v>
      </c>
      <c r="AF6863">
        <v>1</v>
      </c>
      <c r="AG6863">
        <v>1</v>
      </c>
      <c r="AH6863">
        <v>1</v>
      </c>
      <c r="AI6863">
        <v>1</v>
      </c>
      <c r="AJ6863">
        <v>1</v>
      </c>
      <c r="AK6863">
        <v>1</v>
      </c>
      <c r="AL6863">
        <v>1</v>
      </c>
      <c r="AM6863">
        <v>1</v>
      </c>
    </row>
    <row r="6864" spans="1:39" x14ac:dyDescent="0.2">
      <c r="A6864" t="str">
        <f>"6860"</f>
        <v>6860</v>
      </c>
      <c r="B6864" t="str">
        <f t="shared" si="381"/>
        <v>1</v>
      </c>
      <c r="C6864" t="str">
        <f t="shared" si="382"/>
        <v>138</v>
      </c>
      <c r="D6864" t="str">
        <f>"33"</f>
        <v>33</v>
      </c>
      <c r="E6864" t="str">
        <f>"1-138-33"</f>
        <v>1-138-33</v>
      </c>
      <c r="F6864" t="s">
        <v>65</v>
      </c>
      <c r="G6864" t="s">
        <v>66</v>
      </c>
      <c r="H6864" t="s">
        <v>67</v>
      </c>
      <c r="S6864">
        <v>1</v>
      </c>
      <c r="T6864">
        <v>0</v>
      </c>
      <c r="U6864">
        <v>0</v>
      </c>
      <c r="V6864">
        <v>0</v>
      </c>
      <c r="W6864">
        <v>1</v>
      </c>
      <c r="X6864">
        <v>0</v>
      </c>
      <c r="Y6864">
        <v>0</v>
      </c>
      <c r="Z6864">
        <v>1</v>
      </c>
      <c r="AA6864">
        <v>1</v>
      </c>
      <c r="AB6864">
        <v>0</v>
      </c>
      <c r="AC6864">
        <v>0</v>
      </c>
      <c r="AD6864">
        <v>1</v>
      </c>
      <c r="AE6864">
        <v>1</v>
      </c>
      <c r="AF6864">
        <v>1</v>
      </c>
      <c r="AG6864">
        <v>1</v>
      </c>
      <c r="AH6864">
        <v>1</v>
      </c>
      <c r="AI6864">
        <v>1</v>
      </c>
      <c r="AJ6864">
        <v>1</v>
      </c>
      <c r="AK6864">
        <v>1</v>
      </c>
      <c r="AL6864">
        <v>1</v>
      </c>
      <c r="AM6864">
        <v>1</v>
      </c>
    </row>
    <row r="6865" spans="1:39" x14ac:dyDescent="0.2">
      <c r="A6865" t="str">
        <f>"6861"</f>
        <v>6861</v>
      </c>
      <c r="B6865" t="str">
        <f t="shared" si="381"/>
        <v>1</v>
      </c>
      <c r="C6865" t="str">
        <f t="shared" si="382"/>
        <v>138</v>
      </c>
      <c r="D6865" t="str">
        <f>"23"</f>
        <v>23</v>
      </c>
      <c r="E6865" t="str">
        <f>"1-138-23"</f>
        <v>1-138-23</v>
      </c>
      <c r="F6865" t="s">
        <v>65</v>
      </c>
      <c r="G6865" t="s">
        <v>66</v>
      </c>
      <c r="H6865" t="s">
        <v>67</v>
      </c>
      <c r="S6865">
        <v>0</v>
      </c>
      <c r="T6865">
        <v>1</v>
      </c>
      <c r="U6865">
        <v>0</v>
      </c>
      <c r="V6865">
        <v>0</v>
      </c>
      <c r="W6865">
        <v>1</v>
      </c>
      <c r="X6865">
        <v>0</v>
      </c>
      <c r="Y6865">
        <v>1</v>
      </c>
      <c r="Z6865">
        <v>0</v>
      </c>
      <c r="AA6865">
        <v>0</v>
      </c>
      <c r="AB6865">
        <v>1</v>
      </c>
      <c r="AC6865">
        <v>0</v>
      </c>
      <c r="AD6865">
        <v>1</v>
      </c>
      <c r="AE6865">
        <v>1</v>
      </c>
      <c r="AF6865">
        <v>1</v>
      </c>
      <c r="AG6865">
        <v>1</v>
      </c>
      <c r="AH6865">
        <v>1</v>
      </c>
      <c r="AI6865">
        <v>1</v>
      </c>
      <c r="AJ6865">
        <v>1</v>
      </c>
      <c r="AK6865">
        <v>1</v>
      </c>
      <c r="AL6865">
        <v>1</v>
      </c>
      <c r="AM6865">
        <v>1</v>
      </c>
    </row>
    <row r="6866" spans="1:39" x14ac:dyDescent="0.2">
      <c r="A6866" t="str">
        <f>"6862"</f>
        <v>6862</v>
      </c>
      <c r="B6866" t="str">
        <f t="shared" si="381"/>
        <v>1</v>
      </c>
      <c r="C6866" t="str">
        <f t="shared" si="382"/>
        <v>138</v>
      </c>
      <c r="D6866" t="str">
        <f>"16"</f>
        <v>16</v>
      </c>
      <c r="E6866" t="str">
        <f>"1-138-16"</f>
        <v>1-138-16</v>
      </c>
      <c r="F6866" t="s">
        <v>65</v>
      </c>
      <c r="G6866" t="s">
        <v>66</v>
      </c>
      <c r="H6866" t="s">
        <v>67</v>
      </c>
      <c r="S6866">
        <v>1</v>
      </c>
      <c r="T6866">
        <v>0</v>
      </c>
      <c r="U6866">
        <v>0</v>
      </c>
      <c r="V6866">
        <v>0</v>
      </c>
      <c r="W6866">
        <v>1</v>
      </c>
      <c r="X6866">
        <v>0</v>
      </c>
      <c r="Y6866">
        <v>1</v>
      </c>
      <c r="Z6866">
        <v>0</v>
      </c>
      <c r="AA6866">
        <v>0</v>
      </c>
      <c r="AB6866">
        <v>1</v>
      </c>
      <c r="AC6866">
        <v>0</v>
      </c>
      <c r="AD6866">
        <v>1</v>
      </c>
      <c r="AE6866">
        <v>1</v>
      </c>
      <c r="AF6866">
        <v>1</v>
      </c>
      <c r="AG6866">
        <v>1</v>
      </c>
      <c r="AH6866">
        <v>1</v>
      </c>
      <c r="AI6866">
        <v>1</v>
      </c>
      <c r="AJ6866">
        <v>1</v>
      </c>
      <c r="AK6866">
        <v>1</v>
      </c>
      <c r="AL6866">
        <v>1</v>
      </c>
      <c r="AM6866">
        <v>1</v>
      </c>
    </row>
    <row r="6867" spans="1:39" x14ac:dyDescent="0.2">
      <c r="A6867" t="str">
        <f>"6863"</f>
        <v>6863</v>
      </c>
      <c r="B6867" t="str">
        <f t="shared" si="381"/>
        <v>1</v>
      </c>
      <c r="C6867" t="str">
        <f t="shared" si="382"/>
        <v>138</v>
      </c>
      <c r="D6867" t="str">
        <f>"4"</f>
        <v>4</v>
      </c>
      <c r="E6867" t="str">
        <f>"1-138-4"</f>
        <v>1-138-4</v>
      </c>
      <c r="F6867" t="s">
        <v>65</v>
      </c>
      <c r="G6867" t="s">
        <v>66</v>
      </c>
      <c r="H6867" t="s">
        <v>67</v>
      </c>
      <c r="S6867">
        <v>1</v>
      </c>
      <c r="T6867">
        <v>0</v>
      </c>
      <c r="U6867">
        <v>0</v>
      </c>
      <c r="V6867">
        <v>0</v>
      </c>
      <c r="W6867">
        <v>1</v>
      </c>
      <c r="X6867">
        <v>0</v>
      </c>
      <c r="Y6867">
        <v>1</v>
      </c>
      <c r="Z6867">
        <v>0</v>
      </c>
      <c r="AA6867">
        <v>1</v>
      </c>
      <c r="AB6867">
        <v>0</v>
      </c>
      <c r="AC6867">
        <v>0</v>
      </c>
      <c r="AD6867">
        <v>1</v>
      </c>
      <c r="AE6867">
        <v>1</v>
      </c>
      <c r="AF6867">
        <v>0</v>
      </c>
      <c r="AG6867">
        <v>0</v>
      </c>
      <c r="AH6867">
        <v>0</v>
      </c>
      <c r="AI6867">
        <v>0</v>
      </c>
      <c r="AJ6867">
        <v>1</v>
      </c>
      <c r="AK6867">
        <v>1</v>
      </c>
      <c r="AL6867">
        <v>1</v>
      </c>
      <c r="AM6867">
        <v>1</v>
      </c>
    </row>
    <row r="6868" spans="1:39" x14ac:dyDescent="0.2">
      <c r="A6868" t="str">
        <f>"6864"</f>
        <v>6864</v>
      </c>
      <c r="B6868" t="str">
        <f t="shared" si="381"/>
        <v>1</v>
      </c>
      <c r="C6868" t="str">
        <f t="shared" si="382"/>
        <v>138</v>
      </c>
      <c r="D6868" t="str">
        <f>"37"</f>
        <v>37</v>
      </c>
      <c r="E6868" t="str">
        <f>"1-138-37"</f>
        <v>1-138-37</v>
      </c>
      <c r="F6868" t="s">
        <v>65</v>
      </c>
      <c r="G6868" t="s">
        <v>66</v>
      </c>
      <c r="H6868" t="s">
        <v>67</v>
      </c>
      <c r="S6868">
        <v>1</v>
      </c>
      <c r="T6868">
        <v>0</v>
      </c>
      <c r="U6868">
        <v>0</v>
      </c>
      <c r="V6868">
        <v>0</v>
      </c>
      <c r="W6868">
        <v>1</v>
      </c>
      <c r="X6868">
        <v>0</v>
      </c>
      <c r="Y6868">
        <v>0</v>
      </c>
      <c r="Z6868">
        <v>1</v>
      </c>
      <c r="AA6868">
        <v>0</v>
      </c>
      <c r="AB6868">
        <v>0</v>
      </c>
      <c r="AC6868">
        <v>1</v>
      </c>
      <c r="AD6868">
        <v>1</v>
      </c>
      <c r="AE6868">
        <v>1</v>
      </c>
      <c r="AF6868">
        <v>1</v>
      </c>
      <c r="AG6868">
        <v>1</v>
      </c>
      <c r="AH6868">
        <v>1</v>
      </c>
      <c r="AI6868">
        <v>1</v>
      </c>
      <c r="AJ6868">
        <v>1</v>
      </c>
      <c r="AK6868">
        <v>1</v>
      </c>
      <c r="AL6868">
        <v>1</v>
      </c>
      <c r="AM6868">
        <v>1</v>
      </c>
    </row>
    <row r="6869" spans="1:39" x14ac:dyDescent="0.2">
      <c r="A6869" t="str">
        <f>"6865"</f>
        <v>6865</v>
      </c>
      <c r="B6869" t="str">
        <f t="shared" si="381"/>
        <v>1</v>
      </c>
      <c r="C6869" t="str">
        <f t="shared" si="382"/>
        <v>138</v>
      </c>
      <c r="D6869" t="str">
        <f>"20"</f>
        <v>20</v>
      </c>
      <c r="E6869" t="str">
        <f>"1-138-20"</f>
        <v>1-138-20</v>
      </c>
      <c r="F6869" t="s">
        <v>65</v>
      </c>
      <c r="G6869" t="s">
        <v>66</v>
      </c>
      <c r="H6869" t="s">
        <v>67</v>
      </c>
      <c r="S6869">
        <v>1</v>
      </c>
      <c r="T6869">
        <v>0</v>
      </c>
      <c r="U6869">
        <v>0</v>
      </c>
      <c r="V6869">
        <v>0</v>
      </c>
      <c r="W6869">
        <v>1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1</v>
      </c>
      <c r="AH6869">
        <v>1</v>
      </c>
      <c r="AI6869">
        <v>1</v>
      </c>
      <c r="AJ6869">
        <v>1</v>
      </c>
      <c r="AK6869">
        <v>0</v>
      </c>
      <c r="AL6869">
        <v>1</v>
      </c>
      <c r="AM6869">
        <v>0</v>
      </c>
    </row>
    <row r="6870" spans="1:39" x14ac:dyDescent="0.2">
      <c r="A6870" t="str">
        <f>"6866"</f>
        <v>6866</v>
      </c>
      <c r="B6870" t="str">
        <f t="shared" si="381"/>
        <v>1</v>
      </c>
      <c r="C6870" t="str">
        <f t="shared" si="382"/>
        <v>138</v>
      </c>
      <c r="D6870" t="str">
        <f>"6"</f>
        <v>6</v>
      </c>
      <c r="E6870" t="str">
        <f>"1-138-6"</f>
        <v>1-138-6</v>
      </c>
      <c r="F6870" t="s">
        <v>65</v>
      </c>
      <c r="G6870" t="s">
        <v>66</v>
      </c>
      <c r="H6870" t="s">
        <v>67</v>
      </c>
      <c r="S6870">
        <v>1</v>
      </c>
      <c r="T6870">
        <v>0</v>
      </c>
      <c r="U6870">
        <v>0</v>
      </c>
      <c r="V6870">
        <v>0</v>
      </c>
      <c r="W6870">
        <v>1</v>
      </c>
      <c r="X6870">
        <v>0</v>
      </c>
      <c r="Y6870">
        <v>0</v>
      </c>
      <c r="Z6870">
        <v>1</v>
      </c>
      <c r="AA6870">
        <v>0</v>
      </c>
      <c r="AB6870">
        <v>1</v>
      </c>
      <c r="AC6870">
        <v>0</v>
      </c>
      <c r="AD6870">
        <v>1</v>
      </c>
      <c r="AE6870">
        <v>1</v>
      </c>
      <c r="AF6870">
        <v>1</v>
      </c>
      <c r="AG6870">
        <v>1</v>
      </c>
      <c r="AH6870">
        <v>1</v>
      </c>
      <c r="AI6870">
        <v>1</v>
      </c>
      <c r="AJ6870">
        <v>1</v>
      </c>
      <c r="AK6870">
        <v>1</v>
      </c>
      <c r="AL6870">
        <v>1</v>
      </c>
      <c r="AM6870">
        <v>1</v>
      </c>
    </row>
    <row r="6871" spans="1:39" x14ac:dyDescent="0.2">
      <c r="A6871" t="str">
        <f>"6867"</f>
        <v>6867</v>
      </c>
      <c r="B6871" t="str">
        <f t="shared" si="381"/>
        <v>1</v>
      </c>
      <c r="C6871" t="str">
        <f t="shared" si="382"/>
        <v>138</v>
      </c>
      <c r="D6871" t="str">
        <f>"38"</f>
        <v>38</v>
      </c>
      <c r="E6871" t="str">
        <f>"1-138-38"</f>
        <v>1-138-38</v>
      </c>
      <c r="F6871" t="s">
        <v>65</v>
      </c>
      <c r="G6871" t="s">
        <v>66</v>
      </c>
      <c r="H6871" t="s">
        <v>67</v>
      </c>
      <c r="S6871">
        <v>1</v>
      </c>
      <c r="T6871">
        <v>0</v>
      </c>
      <c r="U6871">
        <v>0</v>
      </c>
      <c r="V6871">
        <v>0</v>
      </c>
      <c r="W6871">
        <v>0</v>
      </c>
      <c r="X6871">
        <v>1</v>
      </c>
      <c r="Y6871">
        <v>1</v>
      </c>
      <c r="Z6871">
        <v>0</v>
      </c>
      <c r="AA6871">
        <v>0</v>
      </c>
      <c r="AB6871">
        <v>1</v>
      </c>
      <c r="AC6871">
        <v>0</v>
      </c>
      <c r="AD6871">
        <v>1</v>
      </c>
      <c r="AE6871">
        <v>1</v>
      </c>
      <c r="AF6871">
        <v>1</v>
      </c>
      <c r="AG6871">
        <v>1</v>
      </c>
      <c r="AH6871">
        <v>1</v>
      </c>
      <c r="AI6871">
        <v>1</v>
      </c>
      <c r="AJ6871">
        <v>1</v>
      </c>
      <c r="AK6871">
        <v>1</v>
      </c>
      <c r="AL6871">
        <v>1</v>
      </c>
      <c r="AM6871">
        <v>1</v>
      </c>
    </row>
    <row r="6872" spans="1:39" x14ac:dyDescent="0.2">
      <c r="A6872" t="str">
        <f>"6868"</f>
        <v>6868</v>
      </c>
      <c r="B6872" t="str">
        <f t="shared" si="381"/>
        <v>1</v>
      </c>
      <c r="C6872" t="str">
        <f t="shared" si="382"/>
        <v>138</v>
      </c>
      <c r="D6872" t="str">
        <f>"21"</f>
        <v>21</v>
      </c>
      <c r="E6872" t="str">
        <f>"1-138-21"</f>
        <v>1-138-21</v>
      </c>
      <c r="F6872" t="s">
        <v>65</v>
      </c>
      <c r="G6872" t="s">
        <v>66</v>
      </c>
      <c r="H6872" t="s">
        <v>67</v>
      </c>
      <c r="S6872">
        <v>1</v>
      </c>
      <c r="T6872">
        <v>0</v>
      </c>
      <c r="U6872">
        <v>0</v>
      </c>
      <c r="V6872">
        <v>0</v>
      </c>
      <c r="W6872">
        <v>1</v>
      </c>
      <c r="X6872">
        <v>0</v>
      </c>
      <c r="Y6872">
        <v>0</v>
      </c>
      <c r="Z6872">
        <v>1</v>
      </c>
      <c r="AA6872">
        <v>1</v>
      </c>
      <c r="AB6872">
        <v>0</v>
      </c>
      <c r="AC6872">
        <v>0</v>
      </c>
      <c r="AD6872">
        <v>1</v>
      </c>
      <c r="AE6872">
        <v>1</v>
      </c>
      <c r="AF6872">
        <v>1</v>
      </c>
      <c r="AG6872">
        <v>0</v>
      </c>
      <c r="AH6872">
        <v>1</v>
      </c>
      <c r="AI6872">
        <v>1</v>
      </c>
      <c r="AJ6872">
        <v>1</v>
      </c>
      <c r="AK6872">
        <v>1</v>
      </c>
      <c r="AL6872">
        <v>1</v>
      </c>
      <c r="AM6872">
        <v>1</v>
      </c>
    </row>
    <row r="6873" spans="1:39" x14ac:dyDescent="0.2">
      <c r="A6873" t="str">
        <f>"6869"</f>
        <v>6869</v>
      </c>
      <c r="B6873" t="str">
        <f t="shared" si="381"/>
        <v>1</v>
      </c>
      <c r="C6873" t="str">
        <f t="shared" si="382"/>
        <v>138</v>
      </c>
      <c r="D6873" t="str">
        <f>"7"</f>
        <v>7</v>
      </c>
      <c r="E6873" t="str">
        <f>"1-138-7"</f>
        <v>1-138-7</v>
      </c>
      <c r="F6873" t="s">
        <v>65</v>
      </c>
      <c r="G6873" t="s">
        <v>66</v>
      </c>
      <c r="H6873" t="s">
        <v>67</v>
      </c>
      <c r="S6873">
        <v>0</v>
      </c>
      <c r="T6873">
        <v>1</v>
      </c>
      <c r="U6873">
        <v>0</v>
      </c>
      <c r="V6873">
        <v>0</v>
      </c>
      <c r="W6873">
        <v>1</v>
      </c>
      <c r="X6873">
        <v>0</v>
      </c>
      <c r="Y6873">
        <v>1</v>
      </c>
      <c r="Z6873">
        <v>0</v>
      </c>
      <c r="AA6873">
        <v>0</v>
      </c>
      <c r="AB6873">
        <v>1</v>
      </c>
      <c r="AC6873">
        <v>0</v>
      </c>
      <c r="AD6873">
        <v>1</v>
      </c>
      <c r="AE6873">
        <v>1</v>
      </c>
      <c r="AF6873">
        <v>1</v>
      </c>
      <c r="AG6873">
        <v>1</v>
      </c>
      <c r="AH6873">
        <v>1</v>
      </c>
      <c r="AI6873">
        <v>1</v>
      </c>
      <c r="AJ6873">
        <v>1</v>
      </c>
      <c r="AK6873">
        <v>1</v>
      </c>
      <c r="AL6873">
        <v>1</v>
      </c>
      <c r="AM6873">
        <v>1</v>
      </c>
    </row>
    <row r="6874" spans="1:39" x14ac:dyDescent="0.2">
      <c r="A6874" t="str">
        <f>"6870"</f>
        <v>6870</v>
      </c>
      <c r="B6874" t="str">
        <f t="shared" si="381"/>
        <v>1</v>
      </c>
      <c r="C6874" t="str">
        <f t="shared" si="382"/>
        <v>138</v>
      </c>
      <c r="D6874" t="str">
        <f>"41"</f>
        <v>41</v>
      </c>
      <c r="E6874" t="str">
        <f>"1-138-41"</f>
        <v>1-138-41</v>
      </c>
      <c r="F6874" t="s">
        <v>65</v>
      </c>
      <c r="G6874" t="s">
        <v>66</v>
      </c>
      <c r="H6874" t="s">
        <v>67</v>
      </c>
      <c r="S6874">
        <v>0</v>
      </c>
      <c r="T6874">
        <v>1</v>
      </c>
      <c r="U6874">
        <v>0</v>
      </c>
      <c r="V6874">
        <v>0</v>
      </c>
      <c r="W6874">
        <v>1</v>
      </c>
      <c r="X6874">
        <v>0</v>
      </c>
      <c r="Y6874">
        <v>1</v>
      </c>
      <c r="Z6874">
        <v>0</v>
      </c>
      <c r="AA6874">
        <v>0</v>
      </c>
      <c r="AB6874">
        <v>0</v>
      </c>
      <c r="AC6874">
        <v>0</v>
      </c>
      <c r="AD6874">
        <v>1</v>
      </c>
      <c r="AE6874">
        <v>1</v>
      </c>
      <c r="AF6874">
        <v>1</v>
      </c>
      <c r="AG6874">
        <v>1</v>
      </c>
      <c r="AH6874">
        <v>1</v>
      </c>
      <c r="AI6874">
        <v>1</v>
      </c>
      <c r="AJ6874">
        <v>1</v>
      </c>
      <c r="AK6874">
        <v>1</v>
      </c>
      <c r="AL6874">
        <v>1</v>
      </c>
      <c r="AM6874">
        <v>1</v>
      </c>
    </row>
    <row r="6875" spans="1:39" x14ac:dyDescent="0.2">
      <c r="A6875" t="str">
        <f>"6871"</f>
        <v>6871</v>
      </c>
      <c r="B6875" t="str">
        <f t="shared" si="381"/>
        <v>1</v>
      </c>
      <c r="C6875" t="str">
        <f t="shared" si="382"/>
        <v>138</v>
      </c>
      <c r="D6875" t="str">
        <f>"22"</f>
        <v>22</v>
      </c>
      <c r="E6875" t="str">
        <f>"1-138-22"</f>
        <v>1-138-22</v>
      </c>
      <c r="F6875" t="s">
        <v>65</v>
      </c>
      <c r="G6875" t="s">
        <v>66</v>
      </c>
      <c r="H6875" t="s">
        <v>67</v>
      </c>
      <c r="S6875">
        <v>1</v>
      </c>
      <c r="T6875">
        <v>0</v>
      </c>
      <c r="U6875">
        <v>0</v>
      </c>
      <c r="V6875">
        <v>0</v>
      </c>
      <c r="W6875">
        <v>1</v>
      </c>
      <c r="X6875">
        <v>0</v>
      </c>
      <c r="Y6875">
        <v>1</v>
      </c>
      <c r="Z6875">
        <v>0</v>
      </c>
      <c r="AA6875">
        <v>1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</row>
    <row r="6876" spans="1:39" x14ac:dyDescent="0.2">
      <c r="A6876" t="str">
        <f>"6872"</f>
        <v>6872</v>
      </c>
      <c r="B6876" t="str">
        <f t="shared" si="381"/>
        <v>1</v>
      </c>
      <c r="C6876" t="str">
        <f t="shared" si="382"/>
        <v>138</v>
      </c>
      <c r="D6876" t="str">
        <f>"3"</f>
        <v>3</v>
      </c>
      <c r="E6876" t="str">
        <f>"1-138-3"</f>
        <v>1-138-3</v>
      </c>
      <c r="F6876" t="s">
        <v>65</v>
      </c>
      <c r="G6876" t="s">
        <v>66</v>
      </c>
      <c r="H6876" t="s">
        <v>67</v>
      </c>
      <c r="S6876">
        <v>0</v>
      </c>
      <c r="T6876">
        <v>1</v>
      </c>
      <c r="U6876">
        <v>0</v>
      </c>
      <c r="V6876">
        <v>0</v>
      </c>
      <c r="W6876">
        <v>1</v>
      </c>
      <c r="X6876">
        <v>0</v>
      </c>
      <c r="Y6876">
        <v>1</v>
      </c>
      <c r="Z6876">
        <v>0</v>
      </c>
      <c r="AA6876">
        <v>0</v>
      </c>
      <c r="AB6876">
        <v>0</v>
      </c>
      <c r="AC6876">
        <v>1</v>
      </c>
      <c r="AD6876">
        <v>1</v>
      </c>
      <c r="AE6876">
        <v>1</v>
      </c>
      <c r="AF6876">
        <v>1</v>
      </c>
      <c r="AG6876">
        <v>1</v>
      </c>
      <c r="AH6876">
        <v>1</v>
      </c>
      <c r="AI6876">
        <v>1</v>
      </c>
      <c r="AJ6876">
        <v>1</v>
      </c>
      <c r="AK6876">
        <v>1</v>
      </c>
      <c r="AL6876">
        <v>0</v>
      </c>
      <c r="AM6876">
        <v>1</v>
      </c>
    </row>
    <row r="6877" spans="1:39" x14ac:dyDescent="0.2">
      <c r="A6877" t="str">
        <f>"6873"</f>
        <v>6873</v>
      </c>
      <c r="B6877" t="str">
        <f t="shared" si="381"/>
        <v>1</v>
      </c>
      <c r="C6877" t="str">
        <f t="shared" si="382"/>
        <v>138</v>
      </c>
      <c r="D6877" t="str">
        <f>"39"</f>
        <v>39</v>
      </c>
      <c r="E6877" t="str">
        <f>"1-138-39"</f>
        <v>1-138-39</v>
      </c>
      <c r="F6877" t="s">
        <v>65</v>
      </c>
      <c r="G6877" t="s">
        <v>66</v>
      </c>
      <c r="H6877" t="s">
        <v>67</v>
      </c>
      <c r="S6877">
        <v>1</v>
      </c>
      <c r="T6877">
        <v>0</v>
      </c>
      <c r="U6877">
        <v>0</v>
      </c>
      <c r="V6877">
        <v>0</v>
      </c>
      <c r="W6877">
        <v>0</v>
      </c>
      <c r="X6877">
        <v>1</v>
      </c>
      <c r="Y6877">
        <v>1</v>
      </c>
      <c r="Z6877">
        <v>0</v>
      </c>
      <c r="AA6877">
        <v>0</v>
      </c>
      <c r="AB6877">
        <v>0</v>
      </c>
      <c r="AC6877">
        <v>1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</row>
    <row r="6878" spans="1:39" x14ac:dyDescent="0.2">
      <c r="A6878" t="str">
        <f>"6874"</f>
        <v>6874</v>
      </c>
      <c r="B6878" t="str">
        <f t="shared" si="381"/>
        <v>1</v>
      </c>
      <c r="C6878" t="str">
        <f t="shared" si="382"/>
        <v>138</v>
      </c>
      <c r="D6878" t="str">
        <f>"24"</f>
        <v>24</v>
      </c>
      <c r="E6878" t="str">
        <f>"1-138-24"</f>
        <v>1-138-24</v>
      </c>
      <c r="F6878" t="s">
        <v>65</v>
      </c>
      <c r="G6878" t="s">
        <v>66</v>
      </c>
      <c r="H6878" t="s">
        <v>67</v>
      </c>
      <c r="S6878">
        <v>0</v>
      </c>
      <c r="T6878">
        <v>1</v>
      </c>
      <c r="U6878">
        <v>0</v>
      </c>
      <c r="V6878">
        <v>0</v>
      </c>
      <c r="W6878">
        <v>1</v>
      </c>
      <c r="X6878">
        <v>0</v>
      </c>
      <c r="Y6878">
        <v>0</v>
      </c>
      <c r="Z6878">
        <v>1</v>
      </c>
      <c r="AA6878">
        <v>0</v>
      </c>
      <c r="AB6878">
        <v>0</v>
      </c>
      <c r="AC6878">
        <v>1</v>
      </c>
      <c r="AD6878">
        <v>1</v>
      </c>
      <c r="AE6878">
        <v>1</v>
      </c>
      <c r="AF6878">
        <v>1</v>
      </c>
      <c r="AG6878">
        <v>1</v>
      </c>
      <c r="AH6878">
        <v>1</v>
      </c>
      <c r="AI6878">
        <v>1</v>
      </c>
      <c r="AJ6878">
        <v>1</v>
      </c>
      <c r="AK6878">
        <v>1</v>
      </c>
      <c r="AL6878">
        <v>1</v>
      </c>
      <c r="AM6878">
        <v>1</v>
      </c>
    </row>
    <row r="6879" spans="1:39" x14ac:dyDescent="0.2">
      <c r="A6879" t="str">
        <f>"6875"</f>
        <v>6875</v>
      </c>
      <c r="B6879" t="str">
        <f t="shared" si="381"/>
        <v>1</v>
      </c>
      <c r="C6879" t="str">
        <f t="shared" si="382"/>
        <v>138</v>
      </c>
      <c r="D6879" t="str">
        <f>"2"</f>
        <v>2</v>
      </c>
      <c r="E6879" t="str">
        <f>"1-138-2"</f>
        <v>1-138-2</v>
      </c>
      <c r="F6879" t="s">
        <v>65</v>
      </c>
      <c r="G6879" t="s">
        <v>66</v>
      </c>
      <c r="H6879" t="s">
        <v>67</v>
      </c>
      <c r="S6879">
        <v>1</v>
      </c>
      <c r="T6879">
        <v>0</v>
      </c>
      <c r="U6879">
        <v>0</v>
      </c>
      <c r="V6879">
        <v>0</v>
      </c>
      <c r="W6879">
        <v>1</v>
      </c>
      <c r="X6879">
        <v>0</v>
      </c>
      <c r="Y6879">
        <v>1</v>
      </c>
      <c r="Z6879">
        <v>0</v>
      </c>
      <c r="AA6879">
        <v>1</v>
      </c>
      <c r="AB6879">
        <v>0</v>
      </c>
      <c r="AC6879">
        <v>0</v>
      </c>
      <c r="AD6879">
        <v>1</v>
      </c>
      <c r="AE6879">
        <v>1</v>
      </c>
      <c r="AF6879">
        <v>1</v>
      </c>
      <c r="AG6879">
        <v>1</v>
      </c>
      <c r="AH6879">
        <v>1</v>
      </c>
      <c r="AI6879">
        <v>1</v>
      </c>
      <c r="AJ6879">
        <v>1</v>
      </c>
      <c r="AK6879">
        <v>1</v>
      </c>
      <c r="AL6879">
        <v>1</v>
      </c>
      <c r="AM6879">
        <v>1</v>
      </c>
    </row>
    <row r="6880" spans="1:39" x14ac:dyDescent="0.2">
      <c r="A6880" t="str">
        <f>"6876"</f>
        <v>6876</v>
      </c>
      <c r="B6880" t="str">
        <f t="shared" si="381"/>
        <v>1</v>
      </c>
      <c r="C6880" t="str">
        <f t="shared" si="382"/>
        <v>138</v>
      </c>
      <c r="D6880" t="str">
        <f>"40"</f>
        <v>40</v>
      </c>
      <c r="E6880" t="str">
        <f>"1-138-40"</f>
        <v>1-138-40</v>
      </c>
      <c r="F6880" t="s">
        <v>65</v>
      </c>
      <c r="G6880" t="s">
        <v>66</v>
      </c>
      <c r="H6880" t="s">
        <v>67</v>
      </c>
      <c r="S6880">
        <v>0</v>
      </c>
      <c r="T6880">
        <v>1</v>
      </c>
      <c r="U6880">
        <v>0</v>
      </c>
      <c r="V6880">
        <v>0</v>
      </c>
      <c r="W6880">
        <v>1</v>
      </c>
      <c r="X6880">
        <v>0</v>
      </c>
      <c r="Y6880">
        <v>1</v>
      </c>
      <c r="Z6880">
        <v>0</v>
      </c>
      <c r="AA6880">
        <v>1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</row>
    <row r="6881" spans="1:39" x14ac:dyDescent="0.2">
      <c r="A6881" t="str">
        <f>"6877"</f>
        <v>6877</v>
      </c>
      <c r="B6881" t="str">
        <f t="shared" si="381"/>
        <v>1</v>
      </c>
      <c r="C6881" t="str">
        <f t="shared" si="382"/>
        <v>138</v>
      </c>
      <c r="D6881" t="str">
        <f>"25"</f>
        <v>25</v>
      </c>
      <c r="E6881" t="str">
        <f>"1-138-25"</f>
        <v>1-138-25</v>
      </c>
      <c r="F6881" t="s">
        <v>65</v>
      </c>
      <c r="G6881" t="s">
        <v>66</v>
      </c>
      <c r="H6881" t="s">
        <v>67</v>
      </c>
      <c r="S6881">
        <v>1</v>
      </c>
      <c r="T6881">
        <v>0</v>
      </c>
      <c r="U6881">
        <v>0</v>
      </c>
      <c r="V6881">
        <v>0</v>
      </c>
      <c r="W6881">
        <v>1</v>
      </c>
      <c r="X6881">
        <v>0</v>
      </c>
      <c r="Y6881">
        <v>1</v>
      </c>
      <c r="Z6881">
        <v>0</v>
      </c>
      <c r="AA6881">
        <v>1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1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</row>
    <row r="6882" spans="1:39" x14ac:dyDescent="0.2">
      <c r="A6882" t="str">
        <f>"6878"</f>
        <v>6878</v>
      </c>
      <c r="B6882" t="str">
        <f t="shared" si="381"/>
        <v>1</v>
      </c>
      <c r="C6882" t="str">
        <f t="shared" si="382"/>
        <v>138</v>
      </c>
      <c r="D6882" t="str">
        <f>"12"</f>
        <v>12</v>
      </c>
      <c r="E6882" t="str">
        <f>"1-138-12"</f>
        <v>1-138-12</v>
      </c>
      <c r="F6882" t="s">
        <v>65</v>
      </c>
      <c r="G6882" t="s">
        <v>66</v>
      </c>
      <c r="H6882" t="s">
        <v>67</v>
      </c>
      <c r="S6882">
        <v>1</v>
      </c>
      <c r="T6882">
        <v>0</v>
      </c>
      <c r="U6882">
        <v>0</v>
      </c>
      <c r="V6882">
        <v>0</v>
      </c>
      <c r="W6882">
        <v>1</v>
      </c>
      <c r="X6882">
        <v>0</v>
      </c>
      <c r="Y6882">
        <v>1</v>
      </c>
      <c r="Z6882">
        <v>0</v>
      </c>
      <c r="AA6882">
        <v>1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</row>
    <row r="6883" spans="1:39" x14ac:dyDescent="0.2">
      <c r="A6883" t="str">
        <f>"6879"</f>
        <v>6879</v>
      </c>
      <c r="B6883" t="str">
        <f t="shared" si="381"/>
        <v>1</v>
      </c>
      <c r="C6883" t="str">
        <f t="shared" si="382"/>
        <v>138</v>
      </c>
      <c r="D6883" t="str">
        <f>"42"</f>
        <v>42</v>
      </c>
      <c r="E6883" t="str">
        <f>"1-138-42"</f>
        <v>1-138-42</v>
      </c>
      <c r="F6883" t="s">
        <v>65</v>
      </c>
      <c r="G6883" t="s">
        <v>66</v>
      </c>
      <c r="H6883" t="s">
        <v>67</v>
      </c>
      <c r="S6883">
        <v>0</v>
      </c>
      <c r="T6883">
        <v>1</v>
      </c>
      <c r="U6883">
        <v>0</v>
      </c>
      <c r="V6883">
        <v>0</v>
      </c>
      <c r="W6883">
        <v>1</v>
      </c>
      <c r="X6883">
        <v>0</v>
      </c>
      <c r="Y6883">
        <v>1</v>
      </c>
      <c r="Z6883">
        <v>0</v>
      </c>
      <c r="AA6883">
        <v>0</v>
      </c>
      <c r="AB6883">
        <v>0</v>
      </c>
      <c r="AC6883">
        <v>0</v>
      </c>
      <c r="AD6883">
        <v>1</v>
      </c>
      <c r="AE6883">
        <v>1</v>
      </c>
      <c r="AF6883">
        <v>1</v>
      </c>
      <c r="AG6883">
        <v>1</v>
      </c>
      <c r="AH6883">
        <v>1</v>
      </c>
      <c r="AI6883">
        <v>1</v>
      </c>
      <c r="AJ6883">
        <v>1</v>
      </c>
      <c r="AK6883">
        <v>1</v>
      </c>
      <c r="AL6883">
        <v>1</v>
      </c>
      <c r="AM6883">
        <v>1</v>
      </c>
    </row>
    <row r="6884" spans="1:39" x14ac:dyDescent="0.2">
      <c r="A6884" t="str">
        <f>"6880"</f>
        <v>6880</v>
      </c>
      <c r="B6884" t="str">
        <f t="shared" si="381"/>
        <v>1</v>
      </c>
      <c r="C6884" t="str">
        <f t="shared" si="382"/>
        <v>138</v>
      </c>
      <c r="D6884" t="str">
        <f>"26"</f>
        <v>26</v>
      </c>
      <c r="E6884" t="str">
        <f>"1-138-26"</f>
        <v>1-138-26</v>
      </c>
      <c r="F6884" t="s">
        <v>65</v>
      </c>
      <c r="G6884" t="s">
        <v>66</v>
      </c>
      <c r="H6884" t="s">
        <v>67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1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</row>
    <row r="6885" spans="1:39" x14ac:dyDescent="0.2">
      <c r="A6885" t="str">
        <f>"6881"</f>
        <v>6881</v>
      </c>
      <c r="B6885" t="str">
        <f t="shared" si="381"/>
        <v>1</v>
      </c>
      <c r="C6885" t="str">
        <f t="shared" si="382"/>
        <v>138</v>
      </c>
      <c r="D6885" t="str">
        <f>"11"</f>
        <v>11</v>
      </c>
      <c r="E6885" t="str">
        <f>"1-138-11"</f>
        <v>1-138-11</v>
      </c>
      <c r="F6885" t="s">
        <v>65</v>
      </c>
      <c r="G6885" t="s">
        <v>66</v>
      </c>
      <c r="H6885" t="s">
        <v>67</v>
      </c>
      <c r="S6885">
        <v>0</v>
      </c>
      <c r="T6885">
        <v>1</v>
      </c>
      <c r="U6885">
        <v>0</v>
      </c>
      <c r="V6885">
        <v>0</v>
      </c>
      <c r="W6885">
        <v>1</v>
      </c>
      <c r="X6885">
        <v>0</v>
      </c>
      <c r="Y6885">
        <v>1</v>
      </c>
      <c r="Z6885">
        <v>0</v>
      </c>
      <c r="AA6885">
        <v>1</v>
      </c>
      <c r="AB6885">
        <v>0</v>
      </c>
      <c r="AC6885">
        <v>0</v>
      </c>
      <c r="AD6885">
        <v>1</v>
      </c>
      <c r="AE6885">
        <v>1</v>
      </c>
      <c r="AF6885">
        <v>1</v>
      </c>
      <c r="AG6885">
        <v>1</v>
      </c>
      <c r="AH6885">
        <v>1</v>
      </c>
      <c r="AI6885">
        <v>1</v>
      </c>
      <c r="AJ6885">
        <v>1</v>
      </c>
      <c r="AK6885">
        <v>1</v>
      </c>
      <c r="AL6885">
        <v>1</v>
      </c>
      <c r="AM6885">
        <v>1</v>
      </c>
    </row>
    <row r="6886" spans="1:39" x14ac:dyDescent="0.2">
      <c r="A6886" t="str">
        <f>"6882"</f>
        <v>6882</v>
      </c>
      <c r="B6886" t="str">
        <f t="shared" si="381"/>
        <v>1</v>
      </c>
      <c r="C6886" t="str">
        <f t="shared" si="382"/>
        <v>138</v>
      </c>
      <c r="D6886" t="str">
        <f>"43"</f>
        <v>43</v>
      </c>
      <c r="E6886" t="str">
        <f>"1-138-43"</f>
        <v>1-138-43</v>
      </c>
      <c r="F6886" t="s">
        <v>65</v>
      </c>
      <c r="G6886" t="s">
        <v>66</v>
      </c>
      <c r="H6886" t="s">
        <v>67</v>
      </c>
      <c r="S6886">
        <v>1</v>
      </c>
      <c r="T6886">
        <v>0</v>
      </c>
      <c r="U6886">
        <v>0</v>
      </c>
      <c r="V6886">
        <v>0</v>
      </c>
      <c r="W6886">
        <v>1</v>
      </c>
      <c r="X6886">
        <v>0</v>
      </c>
      <c r="Y6886">
        <v>1</v>
      </c>
      <c r="Z6886">
        <v>0</v>
      </c>
      <c r="AA6886">
        <v>0</v>
      </c>
      <c r="AB6886">
        <v>1</v>
      </c>
      <c r="AC6886">
        <v>0</v>
      </c>
      <c r="AD6886">
        <v>1</v>
      </c>
      <c r="AE6886">
        <v>1</v>
      </c>
      <c r="AF6886">
        <v>1</v>
      </c>
      <c r="AG6886">
        <v>1</v>
      </c>
      <c r="AH6886">
        <v>1</v>
      </c>
      <c r="AI6886">
        <v>1</v>
      </c>
      <c r="AJ6886">
        <v>1</v>
      </c>
      <c r="AK6886">
        <v>1</v>
      </c>
      <c r="AL6886">
        <v>1</v>
      </c>
      <c r="AM6886">
        <v>1</v>
      </c>
    </row>
    <row r="6887" spans="1:39" x14ac:dyDescent="0.2">
      <c r="A6887" t="str">
        <f>"6883"</f>
        <v>6883</v>
      </c>
      <c r="B6887" t="str">
        <f t="shared" si="381"/>
        <v>1</v>
      </c>
      <c r="C6887" t="str">
        <f t="shared" ref="C6887:C6904" si="383">"138"</f>
        <v>138</v>
      </c>
      <c r="D6887" t="str">
        <f>"27"</f>
        <v>27</v>
      </c>
      <c r="E6887" t="str">
        <f>"1-138-27"</f>
        <v>1-138-27</v>
      </c>
      <c r="F6887" t="s">
        <v>65</v>
      </c>
      <c r="G6887" t="s">
        <v>66</v>
      </c>
      <c r="H6887" t="s">
        <v>67</v>
      </c>
      <c r="S6887">
        <v>0</v>
      </c>
      <c r="T6887">
        <v>1</v>
      </c>
      <c r="U6887">
        <v>0</v>
      </c>
      <c r="V6887">
        <v>0</v>
      </c>
      <c r="W6887">
        <v>0</v>
      </c>
      <c r="X6887">
        <v>1</v>
      </c>
      <c r="Y6887">
        <v>0</v>
      </c>
      <c r="Z6887">
        <v>1</v>
      </c>
      <c r="AA6887">
        <v>0</v>
      </c>
      <c r="AB6887">
        <v>1</v>
      </c>
      <c r="AC6887">
        <v>0</v>
      </c>
      <c r="AD6887">
        <v>1</v>
      </c>
      <c r="AE6887">
        <v>1</v>
      </c>
      <c r="AF6887">
        <v>1</v>
      </c>
      <c r="AG6887">
        <v>1</v>
      </c>
      <c r="AH6887">
        <v>1</v>
      </c>
      <c r="AI6887">
        <v>1</v>
      </c>
      <c r="AJ6887">
        <v>1</v>
      </c>
      <c r="AK6887">
        <v>1</v>
      </c>
      <c r="AL6887">
        <v>1</v>
      </c>
      <c r="AM6887">
        <v>1</v>
      </c>
    </row>
    <row r="6888" spans="1:39" x14ac:dyDescent="0.2">
      <c r="A6888" t="str">
        <f>"6884"</f>
        <v>6884</v>
      </c>
      <c r="B6888" t="str">
        <f t="shared" si="381"/>
        <v>1</v>
      </c>
      <c r="C6888" t="str">
        <f t="shared" si="383"/>
        <v>138</v>
      </c>
      <c r="D6888" t="str">
        <f>"14"</f>
        <v>14</v>
      </c>
      <c r="E6888" t="str">
        <f>"1-138-14"</f>
        <v>1-138-14</v>
      </c>
      <c r="F6888" t="s">
        <v>65</v>
      </c>
      <c r="G6888" t="s">
        <v>66</v>
      </c>
      <c r="H6888" t="s">
        <v>67</v>
      </c>
      <c r="S6888">
        <v>0</v>
      </c>
      <c r="T6888">
        <v>1</v>
      </c>
      <c r="U6888">
        <v>0</v>
      </c>
      <c r="V6888">
        <v>0</v>
      </c>
      <c r="W6888">
        <v>1</v>
      </c>
      <c r="X6888">
        <v>0</v>
      </c>
      <c r="Y6888">
        <v>1</v>
      </c>
      <c r="Z6888">
        <v>0</v>
      </c>
      <c r="AA6888">
        <v>1</v>
      </c>
      <c r="AB6888">
        <v>0</v>
      </c>
      <c r="AC6888">
        <v>0</v>
      </c>
      <c r="AD6888">
        <v>1</v>
      </c>
      <c r="AE6888">
        <v>1</v>
      </c>
      <c r="AF6888">
        <v>1</v>
      </c>
      <c r="AG6888">
        <v>1</v>
      </c>
      <c r="AH6888">
        <v>1</v>
      </c>
      <c r="AI6888">
        <v>1</v>
      </c>
      <c r="AJ6888">
        <v>1</v>
      </c>
      <c r="AK6888">
        <v>1</v>
      </c>
      <c r="AL6888">
        <v>1</v>
      </c>
      <c r="AM6888">
        <v>1</v>
      </c>
    </row>
    <row r="6889" spans="1:39" x14ac:dyDescent="0.2">
      <c r="A6889" t="str">
        <f>"6885"</f>
        <v>6885</v>
      </c>
      <c r="B6889" t="str">
        <f t="shared" si="381"/>
        <v>1</v>
      </c>
      <c r="C6889" t="str">
        <f t="shared" si="383"/>
        <v>138</v>
      </c>
      <c r="D6889" t="str">
        <f>"47"</f>
        <v>47</v>
      </c>
      <c r="E6889" t="str">
        <f>"1-138-47"</f>
        <v>1-138-47</v>
      </c>
      <c r="F6889" t="s">
        <v>65</v>
      </c>
      <c r="G6889" t="s">
        <v>66</v>
      </c>
      <c r="H6889" t="s">
        <v>67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1</v>
      </c>
      <c r="Y6889">
        <v>1</v>
      </c>
      <c r="Z6889">
        <v>0</v>
      </c>
      <c r="AA6889">
        <v>1</v>
      </c>
      <c r="AB6889">
        <v>0</v>
      </c>
      <c r="AC6889">
        <v>0</v>
      </c>
      <c r="AD6889">
        <v>1</v>
      </c>
      <c r="AE6889">
        <v>1</v>
      </c>
      <c r="AF6889">
        <v>1</v>
      </c>
      <c r="AG6889">
        <v>1</v>
      </c>
      <c r="AH6889">
        <v>1</v>
      </c>
      <c r="AI6889">
        <v>1</v>
      </c>
      <c r="AJ6889">
        <v>1</v>
      </c>
      <c r="AK6889">
        <v>1</v>
      </c>
      <c r="AL6889">
        <v>1</v>
      </c>
      <c r="AM6889">
        <v>1</v>
      </c>
    </row>
    <row r="6890" spans="1:39" x14ac:dyDescent="0.2">
      <c r="A6890" t="str">
        <f>"6886"</f>
        <v>6886</v>
      </c>
      <c r="B6890" t="str">
        <f t="shared" si="381"/>
        <v>1</v>
      </c>
      <c r="C6890" t="str">
        <f t="shared" si="383"/>
        <v>138</v>
      </c>
      <c r="D6890" t="str">
        <f>"28"</f>
        <v>28</v>
      </c>
      <c r="E6890" t="str">
        <f>"1-138-28"</f>
        <v>1-138-28</v>
      </c>
      <c r="F6890" t="s">
        <v>65</v>
      </c>
      <c r="G6890" t="s">
        <v>66</v>
      </c>
      <c r="H6890" t="s">
        <v>67</v>
      </c>
      <c r="S6890">
        <v>0</v>
      </c>
      <c r="T6890">
        <v>1</v>
      </c>
      <c r="U6890">
        <v>0</v>
      </c>
      <c r="V6890">
        <v>0</v>
      </c>
      <c r="W6890">
        <v>0</v>
      </c>
      <c r="X6890">
        <v>1</v>
      </c>
      <c r="Y6890">
        <v>1</v>
      </c>
      <c r="Z6890">
        <v>0</v>
      </c>
      <c r="AA6890">
        <v>0</v>
      </c>
      <c r="AB6890">
        <v>0</v>
      </c>
      <c r="AC6890">
        <v>1</v>
      </c>
      <c r="AD6890">
        <v>1</v>
      </c>
      <c r="AE6890">
        <v>1</v>
      </c>
      <c r="AF6890">
        <v>1</v>
      </c>
      <c r="AG6890">
        <v>1</v>
      </c>
      <c r="AH6890">
        <v>1</v>
      </c>
      <c r="AI6890">
        <v>1</v>
      </c>
      <c r="AJ6890">
        <v>1</v>
      </c>
      <c r="AK6890">
        <v>1</v>
      </c>
      <c r="AL6890">
        <v>1</v>
      </c>
      <c r="AM6890">
        <v>1</v>
      </c>
    </row>
    <row r="6891" spans="1:39" x14ac:dyDescent="0.2">
      <c r="A6891" t="str">
        <f>"6887"</f>
        <v>6887</v>
      </c>
      <c r="B6891" t="str">
        <f t="shared" si="381"/>
        <v>1</v>
      </c>
      <c r="C6891" t="str">
        <f t="shared" si="383"/>
        <v>138</v>
      </c>
      <c r="D6891" t="str">
        <f>"5"</f>
        <v>5</v>
      </c>
      <c r="E6891" t="str">
        <f>"1-138-5"</f>
        <v>1-138-5</v>
      </c>
      <c r="F6891" t="s">
        <v>65</v>
      </c>
      <c r="G6891" t="s">
        <v>66</v>
      </c>
      <c r="H6891" t="s">
        <v>67</v>
      </c>
      <c r="S6891">
        <v>1</v>
      </c>
      <c r="T6891">
        <v>0</v>
      </c>
      <c r="U6891">
        <v>0</v>
      </c>
      <c r="V6891">
        <v>0</v>
      </c>
      <c r="W6891">
        <v>1</v>
      </c>
      <c r="X6891">
        <v>0</v>
      </c>
      <c r="Y6891">
        <v>1</v>
      </c>
      <c r="Z6891">
        <v>0</v>
      </c>
      <c r="AA6891">
        <v>1</v>
      </c>
      <c r="AB6891">
        <v>0</v>
      </c>
      <c r="AC6891">
        <v>0</v>
      </c>
      <c r="AD6891">
        <v>1</v>
      </c>
      <c r="AE6891">
        <v>1</v>
      </c>
      <c r="AF6891">
        <v>1</v>
      </c>
      <c r="AG6891">
        <v>1</v>
      </c>
      <c r="AH6891">
        <v>1</v>
      </c>
      <c r="AI6891">
        <v>1</v>
      </c>
      <c r="AJ6891">
        <v>1</v>
      </c>
      <c r="AK6891">
        <v>1</v>
      </c>
      <c r="AL6891">
        <v>1</v>
      </c>
      <c r="AM6891">
        <v>1</v>
      </c>
    </row>
    <row r="6892" spans="1:39" x14ac:dyDescent="0.2">
      <c r="A6892" t="str">
        <f>"6888"</f>
        <v>6888</v>
      </c>
      <c r="B6892" t="str">
        <f t="shared" si="381"/>
        <v>1</v>
      </c>
      <c r="C6892" t="str">
        <f t="shared" si="383"/>
        <v>138</v>
      </c>
      <c r="D6892" t="str">
        <f>"46"</f>
        <v>46</v>
      </c>
      <c r="E6892" t="str">
        <f>"1-138-46"</f>
        <v>1-138-46</v>
      </c>
      <c r="F6892" t="s">
        <v>65</v>
      </c>
      <c r="G6892" t="s">
        <v>66</v>
      </c>
      <c r="H6892" t="s">
        <v>67</v>
      </c>
      <c r="S6892">
        <v>1</v>
      </c>
      <c r="T6892">
        <v>0</v>
      </c>
      <c r="U6892">
        <v>0</v>
      </c>
      <c r="V6892">
        <v>0</v>
      </c>
      <c r="W6892">
        <v>0</v>
      </c>
      <c r="X6892">
        <v>1</v>
      </c>
      <c r="Y6892">
        <v>0</v>
      </c>
      <c r="Z6892">
        <v>1</v>
      </c>
      <c r="AA6892">
        <v>0</v>
      </c>
      <c r="AB6892">
        <v>0</v>
      </c>
      <c r="AC6892">
        <v>1</v>
      </c>
      <c r="AD6892">
        <v>1</v>
      </c>
      <c r="AE6892">
        <v>1</v>
      </c>
      <c r="AF6892">
        <v>1</v>
      </c>
      <c r="AG6892">
        <v>1</v>
      </c>
      <c r="AH6892">
        <v>1</v>
      </c>
      <c r="AI6892">
        <v>1</v>
      </c>
      <c r="AJ6892">
        <v>1</v>
      </c>
      <c r="AK6892">
        <v>1</v>
      </c>
      <c r="AL6892">
        <v>1</v>
      </c>
      <c r="AM6892">
        <v>1</v>
      </c>
    </row>
    <row r="6893" spans="1:39" x14ac:dyDescent="0.2">
      <c r="A6893" t="str">
        <f>"6889"</f>
        <v>6889</v>
      </c>
      <c r="B6893" t="str">
        <f t="shared" si="381"/>
        <v>1</v>
      </c>
      <c r="C6893" t="str">
        <f t="shared" si="383"/>
        <v>138</v>
      </c>
      <c r="D6893" t="str">
        <f>"29"</f>
        <v>29</v>
      </c>
      <c r="E6893" t="str">
        <f>"1-138-29"</f>
        <v>1-138-29</v>
      </c>
      <c r="F6893" t="s">
        <v>65</v>
      </c>
      <c r="G6893" t="s">
        <v>66</v>
      </c>
      <c r="H6893" t="s">
        <v>67</v>
      </c>
      <c r="S6893">
        <v>0</v>
      </c>
      <c r="T6893">
        <v>1</v>
      </c>
      <c r="U6893">
        <v>0</v>
      </c>
      <c r="V6893">
        <v>0</v>
      </c>
      <c r="W6893">
        <v>0</v>
      </c>
      <c r="X6893">
        <v>1</v>
      </c>
      <c r="Y6893">
        <v>0</v>
      </c>
      <c r="Z6893">
        <v>1</v>
      </c>
      <c r="AA6893">
        <v>0</v>
      </c>
      <c r="AB6893">
        <v>0</v>
      </c>
      <c r="AC6893">
        <v>1</v>
      </c>
      <c r="AD6893">
        <v>1</v>
      </c>
      <c r="AE6893">
        <v>1</v>
      </c>
      <c r="AF6893">
        <v>1</v>
      </c>
      <c r="AG6893">
        <v>1</v>
      </c>
      <c r="AH6893">
        <v>1</v>
      </c>
      <c r="AI6893">
        <v>1</v>
      </c>
      <c r="AJ6893">
        <v>1</v>
      </c>
      <c r="AK6893">
        <v>1</v>
      </c>
      <c r="AL6893">
        <v>1</v>
      </c>
      <c r="AM6893">
        <v>1</v>
      </c>
    </row>
    <row r="6894" spans="1:39" x14ac:dyDescent="0.2">
      <c r="A6894" t="str">
        <f>"6890"</f>
        <v>6890</v>
      </c>
      <c r="B6894" t="str">
        <f t="shared" si="381"/>
        <v>1</v>
      </c>
      <c r="C6894" t="str">
        <f t="shared" si="383"/>
        <v>138</v>
      </c>
      <c r="D6894" t="str">
        <f>"10"</f>
        <v>10</v>
      </c>
      <c r="E6894" t="str">
        <f>"1-138-10"</f>
        <v>1-138-10</v>
      </c>
      <c r="F6894" t="s">
        <v>65</v>
      </c>
      <c r="G6894" t="s">
        <v>66</v>
      </c>
      <c r="H6894" t="s">
        <v>67</v>
      </c>
      <c r="S6894">
        <v>1</v>
      </c>
      <c r="T6894">
        <v>0</v>
      </c>
      <c r="U6894">
        <v>0</v>
      </c>
      <c r="V6894">
        <v>0</v>
      </c>
      <c r="W6894">
        <v>1</v>
      </c>
      <c r="X6894">
        <v>0</v>
      </c>
      <c r="Y6894">
        <v>0</v>
      </c>
      <c r="Z6894">
        <v>1</v>
      </c>
      <c r="AA6894">
        <v>1</v>
      </c>
      <c r="AB6894">
        <v>0</v>
      </c>
      <c r="AC6894">
        <v>0</v>
      </c>
      <c r="AD6894">
        <v>1</v>
      </c>
      <c r="AE6894">
        <v>1</v>
      </c>
      <c r="AF6894">
        <v>1</v>
      </c>
      <c r="AG6894">
        <v>1</v>
      </c>
      <c r="AH6894">
        <v>1</v>
      </c>
      <c r="AI6894">
        <v>1</v>
      </c>
      <c r="AJ6894">
        <v>1</v>
      </c>
      <c r="AK6894">
        <v>1</v>
      </c>
      <c r="AL6894">
        <v>1</v>
      </c>
      <c r="AM6894">
        <v>1</v>
      </c>
    </row>
    <row r="6895" spans="1:39" x14ac:dyDescent="0.2">
      <c r="A6895" t="str">
        <f>"6891"</f>
        <v>6891</v>
      </c>
      <c r="B6895" t="str">
        <f t="shared" si="381"/>
        <v>1</v>
      </c>
      <c r="C6895" t="str">
        <f t="shared" si="383"/>
        <v>138</v>
      </c>
      <c r="D6895" t="str">
        <f>"49"</f>
        <v>49</v>
      </c>
      <c r="E6895" t="str">
        <f>"1-138-49"</f>
        <v>1-138-49</v>
      </c>
      <c r="F6895" t="s">
        <v>65</v>
      </c>
      <c r="G6895" t="s">
        <v>66</v>
      </c>
      <c r="H6895" t="s">
        <v>67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1</v>
      </c>
      <c r="Y6895">
        <v>0</v>
      </c>
      <c r="Z6895">
        <v>1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</row>
    <row r="6896" spans="1:39" x14ac:dyDescent="0.2">
      <c r="A6896" t="str">
        <f>"6892"</f>
        <v>6892</v>
      </c>
      <c r="B6896" t="str">
        <f t="shared" si="381"/>
        <v>1</v>
      </c>
      <c r="C6896" t="str">
        <f t="shared" si="383"/>
        <v>138</v>
      </c>
      <c r="D6896" t="str">
        <f>"30"</f>
        <v>30</v>
      </c>
      <c r="E6896" t="str">
        <f>"1-138-30"</f>
        <v>1-138-30</v>
      </c>
      <c r="F6896" t="s">
        <v>65</v>
      </c>
      <c r="G6896" t="s">
        <v>66</v>
      </c>
      <c r="H6896" t="s">
        <v>67</v>
      </c>
      <c r="S6896">
        <v>1</v>
      </c>
      <c r="T6896">
        <v>0</v>
      </c>
      <c r="U6896">
        <v>0</v>
      </c>
      <c r="V6896">
        <v>0</v>
      </c>
      <c r="W6896">
        <v>1</v>
      </c>
      <c r="X6896">
        <v>0</v>
      </c>
      <c r="Y6896">
        <v>1</v>
      </c>
      <c r="Z6896">
        <v>0</v>
      </c>
      <c r="AA6896">
        <v>0</v>
      </c>
      <c r="AB6896">
        <v>1</v>
      </c>
      <c r="AC6896">
        <v>0</v>
      </c>
      <c r="AD6896">
        <v>1</v>
      </c>
      <c r="AE6896">
        <v>1</v>
      </c>
      <c r="AF6896">
        <v>1</v>
      </c>
      <c r="AG6896">
        <v>1</v>
      </c>
      <c r="AH6896">
        <v>1</v>
      </c>
      <c r="AI6896">
        <v>1</v>
      </c>
      <c r="AJ6896">
        <v>1</v>
      </c>
      <c r="AK6896">
        <v>1</v>
      </c>
      <c r="AL6896">
        <v>1</v>
      </c>
      <c r="AM6896">
        <v>1</v>
      </c>
    </row>
    <row r="6897" spans="1:39" x14ac:dyDescent="0.2">
      <c r="A6897" t="str">
        <f>"6893"</f>
        <v>6893</v>
      </c>
      <c r="B6897" t="str">
        <f t="shared" si="381"/>
        <v>1</v>
      </c>
      <c r="C6897" t="str">
        <f t="shared" si="383"/>
        <v>138</v>
      </c>
      <c r="D6897" t="str">
        <f>"13"</f>
        <v>13</v>
      </c>
      <c r="E6897" t="str">
        <f>"1-138-13"</f>
        <v>1-138-13</v>
      </c>
      <c r="F6897" t="s">
        <v>65</v>
      </c>
      <c r="G6897" t="s">
        <v>66</v>
      </c>
      <c r="H6897" t="s">
        <v>67</v>
      </c>
      <c r="S6897">
        <v>0</v>
      </c>
      <c r="T6897">
        <v>1</v>
      </c>
      <c r="U6897">
        <v>0</v>
      </c>
      <c r="V6897">
        <v>0</v>
      </c>
      <c r="W6897">
        <v>0</v>
      </c>
      <c r="X6897">
        <v>1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1</v>
      </c>
      <c r="AJ6897">
        <v>0</v>
      </c>
      <c r="AK6897">
        <v>0</v>
      </c>
      <c r="AL6897">
        <v>0</v>
      </c>
      <c r="AM6897">
        <v>0</v>
      </c>
    </row>
    <row r="6898" spans="1:39" x14ac:dyDescent="0.2">
      <c r="A6898" t="str">
        <f>"6894"</f>
        <v>6894</v>
      </c>
      <c r="B6898" t="str">
        <f t="shared" si="381"/>
        <v>1</v>
      </c>
      <c r="C6898" t="str">
        <f t="shared" si="383"/>
        <v>138</v>
      </c>
      <c r="D6898" t="str">
        <f>"48"</f>
        <v>48</v>
      </c>
      <c r="E6898" t="str">
        <f>"1-138-48"</f>
        <v>1-138-48</v>
      </c>
      <c r="F6898" t="s">
        <v>65</v>
      </c>
      <c r="G6898" t="s">
        <v>66</v>
      </c>
      <c r="H6898" t="s">
        <v>67</v>
      </c>
      <c r="S6898">
        <v>0</v>
      </c>
      <c r="T6898">
        <v>1</v>
      </c>
      <c r="U6898">
        <v>0</v>
      </c>
      <c r="V6898">
        <v>0</v>
      </c>
      <c r="W6898">
        <v>1</v>
      </c>
      <c r="X6898">
        <v>0</v>
      </c>
      <c r="Y6898">
        <v>0</v>
      </c>
      <c r="Z6898">
        <v>1</v>
      </c>
      <c r="AA6898">
        <v>0</v>
      </c>
      <c r="AB6898">
        <v>0</v>
      </c>
      <c r="AC6898">
        <v>1</v>
      </c>
      <c r="AD6898">
        <v>1</v>
      </c>
      <c r="AE6898">
        <v>1</v>
      </c>
      <c r="AF6898">
        <v>1</v>
      </c>
      <c r="AG6898">
        <v>1</v>
      </c>
      <c r="AH6898">
        <v>1</v>
      </c>
      <c r="AI6898">
        <v>1</v>
      </c>
      <c r="AJ6898">
        <v>1</v>
      </c>
      <c r="AK6898">
        <v>1</v>
      </c>
      <c r="AL6898">
        <v>1</v>
      </c>
      <c r="AM6898">
        <v>1</v>
      </c>
    </row>
    <row r="6899" spans="1:39" x14ac:dyDescent="0.2">
      <c r="A6899" t="str">
        <f>"6895"</f>
        <v>6895</v>
      </c>
      <c r="B6899" t="str">
        <f t="shared" si="381"/>
        <v>1</v>
      </c>
      <c r="C6899" t="str">
        <f t="shared" si="383"/>
        <v>138</v>
      </c>
      <c r="D6899" t="str">
        <f>"31"</f>
        <v>31</v>
      </c>
      <c r="E6899" t="str">
        <f>"1-138-31"</f>
        <v>1-138-31</v>
      </c>
      <c r="F6899" t="s">
        <v>65</v>
      </c>
      <c r="G6899" t="s">
        <v>66</v>
      </c>
      <c r="H6899" t="s">
        <v>67</v>
      </c>
      <c r="S6899">
        <v>1</v>
      </c>
      <c r="T6899">
        <v>0</v>
      </c>
      <c r="U6899">
        <v>0</v>
      </c>
      <c r="V6899">
        <v>0</v>
      </c>
      <c r="W6899">
        <v>1</v>
      </c>
      <c r="X6899">
        <v>0</v>
      </c>
      <c r="Y6899">
        <v>1</v>
      </c>
      <c r="Z6899">
        <v>0</v>
      </c>
      <c r="AA6899">
        <v>0</v>
      </c>
      <c r="AB6899">
        <v>1</v>
      </c>
      <c r="AC6899">
        <v>0</v>
      </c>
      <c r="AD6899">
        <v>1</v>
      </c>
      <c r="AE6899">
        <v>1</v>
      </c>
      <c r="AF6899">
        <v>1</v>
      </c>
      <c r="AG6899">
        <v>1</v>
      </c>
      <c r="AH6899">
        <v>1</v>
      </c>
      <c r="AI6899">
        <v>1</v>
      </c>
      <c r="AJ6899">
        <v>1</v>
      </c>
      <c r="AK6899">
        <v>1</v>
      </c>
      <c r="AL6899">
        <v>1</v>
      </c>
      <c r="AM6899">
        <v>1</v>
      </c>
    </row>
    <row r="6900" spans="1:39" x14ac:dyDescent="0.2">
      <c r="A6900" t="str">
        <f>"6896"</f>
        <v>6896</v>
      </c>
      <c r="B6900" t="str">
        <f t="shared" si="381"/>
        <v>1</v>
      </c>
      <c r="C6900" t="str">
        <f t="shared" si="383"/>
        <v>138</v>
      </c>
      <c r="D6900" t="str">
        <f>"9"</f>
        <v>9</v>
      </c>
      <c r="E6900" t="str">
        <f>"1-138-9"</f>
        <v>1-138-9</v>
      </c>
      <c r="F6900" t="s">
        <v>65</v>
      </c>
      <c r="G6900" t="s">
        <v>66</v>
      </c>
      <c r="H6900" t="s">
        <v>67</v>
      </c>
      <c r="S6900">
        <v>1</v>
      </c>
      <c r="T6900">
        <v>0</v>
      </c>
      <c r="U6900">
        <v>0</v>
      </c>
      <c r="V6900">
        <v>0</v>
      </c>
      <c r="W6900">
        <v>1</v>
      </c>
      <c r="X6900">
        <v>0</v>
      </c>
      <c r="Y6900">
        <v>1</v>
      </c>
      <c r="Z6900">
        <v>0</v>
      </c>
      <c r="AA6900">
        <v>0</v>
      </c>
      <c r="AB6900">
        <v>1</v>
      </c>
      <c r="AC6900">
        <v>0</v>
      </c>
      <c r="AD6900">
        <v>1</v>
      </c>
      <c r="AE6900">
        <v>1</v>
      </c>
      <c r="AF6900">
        <v>1</v>
      </c>
      <c r="AG6900">
        <v>1</v>
      </c>
      <c r="AH6900">
        <v>1</v>
      </c>
      <c r="AI6900">
        <v>1</v>
      </c>
      <c r="AJ6900">
        <v>1</v>
      </c>
      <c r="AK6900">
        <v>1</v>
      </c>
      <c r="AL6900">
        <v>1</v>
      </c>
      <c r="AM6900">
        <v>1</v>
      </c>
    </row>
    <row r="6901" spans="1:39" x14ac:dyDescent="0.2">
      <c r="A6901" t="str">
        <f>"6897"</f>
        <v>6897</v>
      </c>
      <c r="B6901" t="str">
        <f t="shared" si="381"/>
        <v>1</v>
      </c>
      <c r="C6901" t="str">
        <f t="shared" si="383"/>
        <v>138</v>
      </c>
      <c r="D6901" t="str">
        <f>"50"</f>
        <v>50</v>
      </c>
      <c r="E6901" t="str">
        <f>"1-138-50"</f>
        <v>1-138-50</v>
      </c>
      <c r="F6901" t="s">
        <v>65</v>
      </c>
      <c r="G6901" t="s">
        <v>66</v>
      </c>
      <c r="H6901" t="s">
        <v>67</v>
      </c>
      <c r="S6901">
        <v>0</v>
      </c>
      <c r="T6901">
        <v>1</v>
      </c>
      <c r="U6901">
        <v>0</v>
      </c>
      <c r="V6901">
        <v>0</v>
      </c>
      <c r="W6901">
        <v>0</v>
      </c>
      <c r="X6901">
        <v>1</v>
      </c>
      <c r="Y6901">
        <v>1</v>
      </c>
      <c r="Z6901">
        <v>0</v>
      </c>
      <c r="AA6901">
        <v>0</v>
      </c>
      <c r="AB6901">
        <v>0</v>
      </c>
      <c r="AC6901">
        <v>1</v>
      </c>
      <c r="AD6901">
        <v>1</v>
      </c>
      <c r="AE6901">
        <v>1</v>
      </c>
      <c r="AF6901">
        <v>1</v>
      </c>
      <c r="AG6901">
        <v>1</v>
      </c>
      <c r="AH6901">
        <v>1</v>
      </c>
      <c r="AI6901">
        <v>1</v>
      </c>
      <c r="AJ6901">
        <v>1</v>
      </c>
      <c r="AK6901">
        <v>1</v>
      </c>
      <c r="AL6901">
        <v>1</v>
      </c>
      <c r="AM6901">
        <v>1</v>
      </c>
    </row>
    <row r="6902" spans="1:39" x14ac:dyDescent="0.2">
      <c r="A6902" t="str">
        <f>"6898"</f>
        <v>6898</v>
      </c>
      <c r="B6902" t="str">
        <f t="shared" si="381"/>
        <v>1</v>
      </c>
      <c r="C6902" t="str">
        <f t="shared" si="383"/>
        <v>138</v>
      </c>
      <c r="D6902" t="str">
        <f>"32"</f>
        <v>32</v>
      </c>
      <c r="E6902" t="str">
        <f>"1-138-32"</f>
        <v>1-138-32</v>
      </c>
      <c r="F6902" t="s">
        <v>65</v>
      </c>
      <c r="G6902" t="s">
        <v>66</v>
      </c>
      <c r="H6902" t="s">
        <v>67</v>
      </c>
      <c r="S6902">
        <v>1</v>
      </c>
      <c r="T6902">
        <v>0</v>
      </c>
      <c r="U6902">
        <v>0</v>
      </c>
      <c r="V6902">
        <v>0</v>
      </c>
      <c r="W6902">
        <v>1</v>
      </c>
      <c r="X6902">
        <v>0</v>
      </c>
      <c r="Y6902">
        <v>0</v>
      </c>
      <c r="Z6902">
        <v>1</v>
      </c>
      <c r="AA6902">
        <v>1</v>
      </c>
      <c r="AB6902">
        <v>0</v>
      </c>
      <c r="AC6902">
        <v>0</v>
      </c>
      <c r="AD6902">
        <v>1</v>
      </c>
      <c r="AE6902">
        <v>1</v>
      </c>
      <c r="AF6902">
        <v>1</v>
      </c>
      <c r="AG6902">
        <v>1</v>
      </c>
      <c r="AH6902">
        <v>1</v>
      </c>
      <c r="AI6902">
        <v>1</v>
      </c>
      <c r="AJ6902">
        <v>1</v>
      </c>
      <c r="AK6902">
        <v>1</v>
      </c>
      <c r="AL6902">
        <v>1</v>
      </c>
      <c r="AM6902">
        <v>1</v>
      </c>
    </row>
    <row r="6903" spans="1:39" x14ac:dyDescent="0.2">
      <c r="A6903" t="str">
        <f>"6899"</f>
        <v>6899</v>
      </c>
      <c r="B6903" t="str">
        <f t="shared" ref="B6903:B6966" si="384">"1"</f>
        <v>1</v>
      </c>
      <c r="C6903" t="str">
        <f t="shared" si="383"/>
        <v>138</v>
      </c>
      <c r="D6903" t="str">
        <f>"8"</f>
        <v>8</v>
      </c>
      <c r="E6903" t="str">
        <f>"1-138-8"</f>
        <v>1-138-8</v>
      </c>
      <c r="F6903" t="s">
        <v>65</v>
      </c>
      <c r="G6903" t="s">
        <v>66</v>
      </c>
      <c r="H6903" t="s">
        <v>67</v>
      </c>
      <c r="S6903">
        <v>1</v>
      </c>
      <c r="T6903">
        <v>0</v>
      </c>
      <c r="U6903">
        <v>0</v>
      </c>
      <c r="V6903">
        <v>0</v>
      </c>
      <c r="W6903">
        <v>1</v>
      </c>
      <c r="X6903">
        <v>0</v>
      </c>
      <c r="Y6903">
        <v>0</v>
      </c>
      <c r="Z6903">
        <v>1</v>
      </c>
      <c r="AA6903">
        <v>1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</row>
    <row r="6904" spans="1:39" x14ac:dyDescent="0.2">
      <c r="A6904" t="str">
        <f>"6900"</f>
        <v>6900</v>
      </c>
      <c r="B6904" t="str">
        <f t="shared" si="384"/>
        <v>1</v>
      </c>
      <c r="C6904" t="str">
        <f t="shared" si="383"/>
        <v>138</v>
      </c>
      <c r="D6904" t="str">
        <f>"36"</f>
        <v>36</v>
      </c>
      <c r="E6904" t="str">
        <f>"1-138-36"</f>
        <v>1-138-36</v>
      </c>
      <c r="F6904" t="s">
        <v>65</v>
      </c>
      <c r="G6904" t="s">
        <v>66</v>
      </c>
      <c r="H6904" t="s">
        <v>67</v>
      </c>
      <c r="S6904">
        <v>1</v>
      </c>
      <c r="T6904">
        <v>0</v>
      </c>
      <c r="U6904">
        <v>0</v>
      </c>
      <c r="V6904">
        <v>0</v>
      </c>
      <c r="W6904">
        <v>1</v>
      </c>
      <c r="X6904">
        <v>0</v>
      </c>
      <c r="Y6904">
        <v>0</v>
      </c>
      <c r="Z6904">
        <v>1</v>
      </c>
      <c r="AA6904">
        <v>1</v>
      </c>
      <c r="AB6904">
        <v>0</v>
      </c>
      <c r="AC6904">
        <v>0</v>
      </c>
      <c r="AD6904">
        <v>1</v>
      </c>
      <c r="AE6904">
        <v>1</v>
      </c>
      <c r="AF6904">
        <v>1</v>
      </c>
      <c r="AG6904">
        <v>1</v>
      </c>
      <c r="AH6904">
        <v>1</v>
      </c>
      <c r="AI6904">
        <v>1</v>
      </c>
      <c r="AJ6904">
        <v>1</v>
      </c>
      <c r="AK6904">
        <v>1</v>
      </c>
      <c r="AL6904">
        <v>1</v>
      </c>
      <c r="AM6904">
        <v>1</v>
      </c>
    </row>
    <row r="6905" spans="1:39" x14ac:dyDescent="0.2">
      <c r="A6905" t="str">
        <f>"6901"</f>
        <v>6901</v>
      </c>
      <c r="B6905" t="str">
        <f t="shared" si="384"/>
        <v>1</v>
      </c>
      <c r="C6905" t="str">
        <f t="shared" ref="C6905:C6936" si="385">"139"</f>
        <v>139</v>
      </c>
      <c r="D6905" t="str">
        <f>"49"</f>
        <v>49</v>
      </c>
      <c r="E6905" t="str">
        <f>"1-139-49"</f>
        <v>1-139-49</v>
      </c>
      <c r="F6905" t="s">
        <v>65</v>
      </c>
      <c r="G6905" t="s">
        <v>66</v>
      </c>
      <c r="H6905" t="s">
        <v>67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1</v>
      </c>
      <c r="Y6905">
        <v>0</v>
      </c>
      <c r="Z6905">
        <v>1</v>
      </c>
      <c r="AA6905">
        <v>1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</row>
    <row r="6906" spans="1:39" x14ac:dyDescent="0.2">
      <c r="A6906" t="str">
        <f>"6902"</f>
        <v>6902</v>
      </c>
      <c r="B6906" t="str">
        <f t="shared" si="384"/>
        <v>1</v>
      </c>
      <c r="C6906" t="str">
        <f t="shared" si="385"/>
        <v>139</v>
      </c>
      <c r="D6906" t="str">
        <f>"36"</f>
        <v>36</v>
      </c>
      <c r="E6906" t="str">
        <f>"1-139-36"</f>
        <v>1-139-36</v>
      </c>
      <c r="F6906" t="s">
        <v>65</v>
      </c>
      <c r="G6906" t="s">
        <v>66</v>
      </c>
      <c r="H6906" t="s">
        <v>67</v>
      </c>
      <c r="S6906">
        <v>1</v>
      </c>
      <c r="T6906">
        <v>0</v>
      </c>
      <c r="U6906">
        <v>0</v>
      </c>
      <c r="V6906">
        <v>0</v>
      </c>
      <c r="W6906">
        <v>1</v>
      </c>
      <c r="X6906">
        <v>0</v>
      </c>
      <c r="Y6906">
        <v>0</v>
      </c>
      <c r="Z6906">
        <v>1</v>
      </c>
      <c r="AA6906">
        <v>0</v>
      </c>
      <c r="AB6906">
        <v>1</v>
      </c>
      <c r="AC6906">
        <v>0</v>
      </c>
      <c r="AD6906">
        <v>1</v>
      </c>
      <c r="AE6906">
        <v>1</v>
      </c>
      <c r="AF6906">
        <v>1</v>
      </c>
      <c r="AG6906">
        <v>1</v>
      </c>
      <c r="AH6906">
        <v>1</v>
      </c>
      <c r="AI6906">
        <v>1</v>
      </c>
      <c r="AJ6906">
        <v>1</v>
      </c>
      <c r="AK6906">
        <v>1</v>
      </c>
      <c r="AL6906">
        <v>1</v>
      </c>
      <c r="AM6906">
        <v>1</v>
      </c>
    </row>
    <row r="6907" spans="1:39" x14ac:dyDescent="0.2">
      <c r="A6907" t="str">
        <f>"6903"</f>
        <v>6903</v>
      </c>
      <c r="B6907" t="str">
        <f t="shared" si="384"/>
        <v>1</v>
      </c>
      <c r="C6907" t="str">
        <f t="shared" si="385"/>
        <v>139</v>
      </c>
      <c r="D6907" t="str">
        <f>"35"</f>
        <v>35</v>
      </c>
      <c r="E6907" t="str">
        <f>"1-139-35"</f>
        <v>1-139-35</v>
      </c>
      <c r="F6907" t="s">
        <v>65</v>
      </c>
      <c r="G6907" t="s">
        <v>66</v>
      </c>
      <c r="H6907" t="s">
        <v>67</v>
      </c>
      <c r="S6907">
        <v>0</v>
      </c>
      <c r="T6907">
        <v>1</v>
      </c>
      <c r="U6907">
        <v>0</v>
      </c>
      <c r="V6907">
        <v>0</v>
      </c>
      <c r="W6907">
        <v>1</v>
      </c>
      <c r="X6907">
        <v>0</v>
      </c>
      <c r="Y6907">
        <v>1</v>
      </c>
      <c r="Z6907">
        <v>0</v>
      </c>
      <c r="AA6907">
        <v>1</v>
      </c>
      <c r="AB6907">
        <v>0</v>
      </c>
      <c r="AC6907">
        <v>0</v>
      </c>
      <c r="AD6907">
        <v>1</v>
      </c>
      <c r="AE6907">
        <v>1</v>
      </c>
      <c r="AF6907">
        <v>1</v>
      </c>
      <c r="AG6907">
        <v>1</v>
      </c>
      <c r="AH6907">
        <v>1</v>
      </c>
      <c r="AI6907">
        <v>1</v>
      </c>
      <c r="AJ6907">
        <v>1</v>
      </c>
      <c r="AK6907">
        <v>1</v>
      </c>
      <c r="AL6907">
        <v>1</v>
      </c>
      <c r="AM6907">
        <v>1</v>
      </c>
    </row>
    <row r="6908" spans="1:39" x14ac:dyDescent="0.2">
      <c r="A6908" t="str">
        <f>"6904"</f>
        <v>6904</v>
      </c>
      <c r="B6908" t="str">
        <f t="shared" si="384"/>
        <v>1</v>
      </c>
      <c r="C6908" t="str">
        <f t="shared" si="385"/>
        <v>139</v>
      </c>
      <c r="D6908" t="str">
        <f>"21"</f>
        <v>21</v>
      </c>
      <c r="E6908" t="str">
        <f>"1-139-21"</f>
        <v>1-139-21</v>
      </c>
      <c r="F6908" t="s">
        <v>65</v>
      </c>
      <c r="G6908" t="s">
        <v>66</v>
      </c>
      <c r="H6908" t="s">
        <v>67</v>
      </c>
      <c r="S6908">
        <v>1</v>
      </c>
      <c r="T6908">
        <v>0</v>
      </c>
      <c r="U6908">
        <v>0</v>
      </c>
      <c r="V6908">
        <v>0</v>
      </c>
      <c r="W6908">
        <v>1</v>
      </c>
      <c r="X6908">
        <v>0</v>
      </c>
      <c r="Y6908">
        <v>1</v>
      </c>
      <c r="Z6908">
        <v>0</v>
      </c>
      <c r="AA6908">
        <v>1</v>
      </c>
      <c r="AB6908">
        <v>0</v>
      </c>
      <c r="AC6908">
        <v>0</v>
      </c>
      <c r="AD6908">
        <v>1</v>
      </c>
      <c r="AE6908">
        <v>1</v>
      </c>
      <c r="AF6908">
        <v>1</v>
      </c>
      <c r="AG6908">
        <v>1</v>
      </c>
      <c r="AH6908">
        <v>1</v>
      </c>
      <c r="AI6908">
        <v>1</v>
      </c>
      <c r="AJ6908">
        <v>1</v>
      </c>
      <c r="AK6908">
        <v>1</v>
      </c>
      <c r="AL6908">
        <v>1</v>
      </c>
      <c r="AM6908">
        <v>1</v>
      </c>
    </row>
    <row r="6909" spans="1:39" x14ac:dyDescent="0.2">
      <c r="A6909" t="str">
        <f>"6905"</f>
        <v>6905</v>
      </c>
      <c r="B6909" t="str">
        <f t="shared" si="384"/>
        <v>1</v>
      </c>
      <c r="C6909" t="str">
        <f t="shared" si="385"/>
        <v>139</v>
      </c>
      <c r="D6909" t="str">
        <f>"20"</f>
        <v>20</v>
      </c>
      <c r="E6909" t="str">
        <f>"1-139-20"</f>
        <v>1-139-20</v>
      </c>
      <c r="F6909" t="s">
        <v>65</v>
      </c>
      <c r="G6909" t="s">
        <v>66</v>
      </c>
      <c r="H6909" t="s">
        <v>67</v>
      </c>
      <c r="S6909">
        <v>1</v>
      </c>
      <c r="T6909">
        <v>0</v>
      </c>
      <c r="U6909">
        <v>0</v>
      </c>
      <c r="V6909">
        <v>0</v>
      </c>
      <c r="W6909">
        <v>1</v>
      </c>
      <c r="X6909">
        <v>0</v>
      </c>
      <c r="Y6909">
        <v>1</v>
      </c>
      <c r="Z6909">
        <v>0</v>
      </c>
      <c r="AA6909">
        <v>1</v>
      </c>
      <c r="AB6909">
        <v>0</v>
      </c>
      <c r="AC6909">
        <v>0</v>
      </c>
      <c r="AD6909">
        <v>1</v>
      </c>
      <c r="AE6909">
        <v>1</v>
      </c>
      <c r="AF6909">
        <v>1</v>
      </c>
      <c r="AG6909">
        <v>1</v>
      </c>
      <c r="AH6909">
        <v>1</v>
      </c>
      <c r="AI6909">
        <v>1</v>
      </c>
      <c r="AJ6909">
        <v>1</v>
      </c>
      <c r="AK6909">
        <v>1</v>
      </c>
      <c r="AL6909">
        <v>1</v>
      </c>
      <c r="AM6909">
        <v>1</v>
      </c>
    </row>
    <row r="6910" spans="1:39" x14ac:dyDescent="0.2">
      <c r="A6910" t="str">
        <f>"6906"</f>
        <v>6906</v>
      </c>
      <c r="B6910" t="str">
        <f t="shared" si="384"/>
        <v>1</v>
      </c>
      <c r="C6910" t="str">
        <f t="shared" si="385"/>
        <v>139</v>
      </c>
      <c r="D6910" t="str">
        <f>"17"</f>
        <v>17</v>
      </c>
      <c r="E6910" t="str">
        <f>"1-139-17"</f>
        <v>1-139-17</v>
      </c>
      <c r="F6910" t="s">
        <v>65</v>
      </c>
      <c r="G6910" t="s">
        <v>66</v>
      </c>
      <c r="H6910" t="s">
        <v>67</v>
      </c>
      <c r="S6910">
        <v>1</v>
      </c>
      <c r="T6910">
        <v>0</v>
      </c>
      <c r="U6910">
        <v>0</v>
      </c>
      <c r="V6910">
        <v>0</v>
      </c>
      <c r="W6910">
        <v>1</v>
      </c>
      <c r="X6910">
        <v>0</v>
      </c>
      <c r="Y6910">
        <v>1</v>
      </c>
      <c r="Z6910">
        <v>0</v>
      </c>
      <c r="AA6910">
        <v>1</v>
      </c>
      <c r="AB6910">
        <v>0</v>
      </c>
      <c r="AC6910">
        <v>0</v>
      </c>
      <c r="AD6910">
        <v>1</v>
      </c>
      <c r="AE6910">
        <v>1</v>
      </c>
      <c r="AF6910">
        <v>1</v>
      </c>
      <c r="AG6910">
        <v>1</v>
      </c>
      <c r="AH6910">
        <v>1</v>
      </c>
      <c r="AI6910">
        <v>1</v>
      </c>
      <c r="AJ6910">
        <v>1</v>
      </c>
      <c r="AK6910">
        <v>1</v>
      </c>
      <c r="AL6910">
        <v>1</v>
      </c>
      <c r="AM6910">
        <v>1</v>
      </c>
    </row>
    <row r="6911" spans="1:39" x14ac:dyDescent="0.2">
      <c r="A6911" t="str">
        <f>"6907"</f>
        <v>6907</v>
      </c>
      <c r="B6911" t="str">
        <f t="shared" si="384"/>
        <v>1</v>
      </c>
      <c r="C6911" t="str">
        <f t="shared" si="385"/>
        <v>139</v>
      </c>
      <c r="D6911" t="str">
        <f>"15"</f>
        <v>15</v>
      </c>
      <c r="E6911" t="str">
        <f>"1-139-15"</f>
        <v>1-139-15</v>
      </c>
      <c r="F6911" t="s">
        <v>65</v>
      </c>
      <c r="G6911" t="s">
        <v>66</v>
      </c>
      <c r="H6911" t="s">
        <v>67</v>
      </c>
      <c r="S6911">
        <v>1</v>
      </c>
      <c r="T6911">
        <v>0</v>
      </c>
      <c r="U6911">
        <v>0</v>
      </c>
      <c r="V6911">
        <v>0</v>
      </c>
      <c r="W6911">
        <v>1</v>
      </c>
      <c r="X6911">
        <v>0</v>
      </c>
      <c r="Y6911">
        <v>1</v>
      </c>
      <c r="Z6911">
        <v>0</v>
      </c>
      <c r="AA6911">
        <v>1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1</v>
      </c>
      <c r="AH6911">
        <v>0</v>
      </c>
      <c r="AI6911">
        <v>1</v>
      </c>
      <c r="AJ6911">
        <v>1</v>
      </c>
      <c r="AK6911">
        <v>0</v>
      </c>
      <c r="AL6911">
        <v>1</v>
      </c>
      <c r="AM6911">
        <v>0</v>
      </c>
    </row>
    <row r="6912" spans="1:39" x14ac:dyDescent="0.2">
      <c r="A6912" t="str">
        <f>"6908"</f>
        <v>6908</v>
      </c>
      <c r="B6912" t="str">
        <f t="shared" si="384"/>
        <v>1</v>
      </c>
      <c r="C6912" t="str">
        <f t="shared" si="385"/>
        <v>139</v>
      </c>
      <c r="D6912" t="str">
        <f>"1"</f>
        <v>1</v>
      </c>
      <c r="E6912" t="str">
        <f>"1-139-1"</f>
        <v>1-139-1</v>
      </c>
      <c r="F6912" t="s">
        <v>65</v>
      </c>
      <c r="G6912" t="s">
        <v>66</v>
      </c>
      <c r="H6912" t="s">
        <v>67</v>
      </c>
      <c r="S6912">
        <v>1</v>
      </c>
      <c r="T6912">
        <v>0</v>
      </c>
      <c r="U6912">
        <v>0</v>
      </c>
      <c r="V6912">
        <v>0</v>
      </c>
      <c r="W6912">
        <v>1</v>
      </c>
      <c r="X6912">
        <v>0</v>
      </c>
      <c r="Y6912">
        <v>1</v>
      </c>
      <c r="Z6912">
        <v>0</v>
      </c>
      <c r="AA6912">
        <v>1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1</v>
      </c>
      <c r="AH6912">
        <v>0</v>
      </c>
      <c r="AI6912">
        <v>1</v>
      </c>
      <c r="AJ6912">
        <v>0</v>
      </c>
      <c r="AK6912">
        <v>0</v>
      </c>
      <c r="AL6912">
        <v>0</v>
      </c>
      <c r="AM6912">
        <v>0</v>
      </c>
    </row>
    <row r="6913" spans="1:39" x14ac:dyDescent="0.2">
      <c r="A6913" t="str">
        <f>"6909"</f>
        <v>6909</v>
      </c>
      <c r="B6913" t="str">
        <f t="shared" si="384"/>
        <v>1</v>
      </c>
      <c r="C6913" t="str">
        <f t="shared" si="385"/>
        <v>139</v>
      </c>
      <c r="D6913" t="str">
        <f>"34"</f>
        <v>34</v>
      </c>
      <c r="E6913" t="str">
        <f>"1-139-34"</f>
        <v>1-139-34</v>
      </c>
      <c r="F6913" t="s">
        <v>65</v>
      </c>
      <c r="G6913" t="s">
        <v>66</v>
      </c>
      <c r="H6913" t="s">
        <v>67</v>
      </c>
      <c r="S6913">
        <v>1</v>
      </c>
      <c r="T6913">
        <v>0</v>
      </c>
      <c r="U6913">
        <v>0</v>
      </c>
      <c r="V6913">
        <v>0</v>
      </c>
      <c r="W6913">
        <v>1</v>
      </c>
      <c r="X6913">
        <v>0</v>
      </c>
      <c r="Y6913">
        <v>1</v>
      </c>
      <c r="Z6913">
        <v>0</v>
      </c>
      <c r="AA6913">
        <v>1</v>
      </c>
      <c r="AB6913">
        <v>0</v>
      </c>
      <c r="AC6913">
        <v>0</v>
      </c>
      <c r="AD6913">
        <v>1</v>
      </c>
      <c r="AE6913">
        <v>1</v>
      </c>
      <c r="AF6913">
        <v>1</v>
      </c>
      <c r="AG6913">
        <v>1</v>
      </c>
      <c r="AH6913">
        <v>1</v>
      </c>
      <c r="AI6913">
        <v>1</v>
      </c>
      <c r="AJ6913">
        <v>1</v>
      </c>
      <c r="AK6913">
        <v>1</v>
      </c>
      <c r="AL6913">
        <v>0</v>
      </c>
      <c r="AM6913">
        <v>1</v>
      </c>
    </row>
    <row r="6914" spans="1:39" x14ac:dyDescent="0.2">
      <c r="A6914" t="str">
        <f>"6910"</f>
        <v>6910</v>
      </c>
      <c r="B6914" t="str">
        <f t="shared" si="384"/>
        <v>1</v>
      </c>
      <c r="C6914" t="str">
        <f t="shared" si="385"/>
        <v>139</v>
      </c>
      <c r="D6914" t="str">
        <f>"33"</f>
        <v>33</v>
      </c>
      <c r="E6914" t="str">
        <f>"1-139-33"</f>
        <v>1-139-33</v>
      </c>
      <c r="F6914" t="s">
        <v>65</v>
      </c>
      <c r="G6914" t="s">
        <v>66</v>
      </c>
      <c r="H6914" t="s">
        <v>67</v>
      </c>
      <c r="S6914">
        <v>1</v>
      </c>
      <c r="T6914">
        <v>0</v>
      </c>
      <c r="U6914">
        <v>0</v>
      </c>
      <c r="V6914">
        <v>0</v>
      </c>
      <c r="W6914">
        <v>1</v>
      </c>
      <c r="X6914">
        <v>0</v>
      </c>
      <c r="Y6914">
        <v>1</v>
      </c>
      <c r="Z6914">
        <v>0</v>
      </c>
      <c r="AA6914">
        <v>1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</row>
    <row r="6915" spans="1:39" x14ac:dyDescent="0.2">
      <c r="A6915" t="str">
        <f>"6911"</f>
        <v>6911</v>
      </c>
      <c r="B6915" t="str">
        <f t="shared" si="384"/>
        <v>1</v>
      </c>
      <c r="C6915" t="str">
        <f t="shared" si="385"/>
        <v>139</v>
      </c>
      <c r="D6915" t="str">
        <f>"25"</f>
        <v>25</v>
      </c>
      <c r="E6915" t="str">
        <f>"1-139-25"</f>
        <v>1-139-25</v>
      </c>
      <c r="F6915" t="s">
        <v>65</v>
      </c>
      <c r="G6915" t="s">
        <v>66</v>
      </c>
      <c r="H6915" t="s">
        <v>67</v>
      </c>
      <c r="S6915">
        <v>1</v>
      </c>
      <c r="T6915">
        <v>0</v>
      </c>
      <c r="U6915">
        <v>0</v>
      </c>
      <c r="V6915">
        <v>0</v>
      </c>
      <c r="W6915">
        <v>1</v>
      </c>
      <c r="X6915">
        <v>0</v>
      </c>
      <c r="Y6915">
        <v>1</v>
      </c>
      <c r="Z6915">
        <v>0</v>
      </c>
      <c r="AA6915">
        <v>0</v>
      </c>
      <c r="AB6915">
        <v>1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</row>
    <row r="6916" spans="1:39" x14ac:dyDescent="0.2">
      <c r="A6916" t="str">
        <f>"6912"</f>
        <v>6912</v>
      </c>
      <c r="B6916" t="str">
        <f t="shared" si="384"/>
        <v>1</v>
      </c>
      <c r="C6916" t="str">
        <f t="shared" si="385"/>
        <v>139</v>
      </c>
      <c r="D6916" t="str">
        <f>"16"</f>
        <v>16</v>
      </c>
      <c r="E6916" t="str">
        <f>"1-139-16"</f>
        <v>1-139-16</v>
      </c>
      <c r="F6916" t="s">
        <v>65</v>
      </c>
      <c r="G6916" t="s">
        <v>66</v>
      </c>
      <c r="H6916" t="s">
        <v>67</v>
      </c>
      <c r="S6916">
        <v>1</v>
      </c>
      <c r="T6916">
        <v>0</v>
      </c>
      <c r="U6916">
        <v>0</v>
      </c>
      <c r="V6916">
        <v>0</v>
      </c>
      <c r="W6916">
        <v>1</v>
      </c>
      <c r="X6916">
        <v>0</v>
      </c>
      <c r="Y6916">
        <v>1</v>
      </c>
      <c r="Z6916">
        <v>0</v>
      </c>
      <c r="AA6916">
        <v>1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1</v>
      </c>
      <c r="AM6916">
        <v>0</v>
      </c>
    </row>
    <row r="6917" spans="1:39" x14ac:dyDescent="0.2">
      <c r="A6917" t="str">
        <f>"6913"</f>
        <v>6913</v>
      </c>
      <c r="B6917" t="str">
        <f t="shared" si="384"/>
        <v>1</v>
      </c>
      <c r="C6917" t="str">
        <f t="shared" si="385"/>
        <v>139</v>
      </c>
      <c r="D6917" t="str">
        <f>"4"</f>
        <v>4</v>
      </c>
      <c r="E6917" t="str">
        <f>"1-139-4"</f>
        <v>1-139-4</v>
      </c>
      <c r="F6917" t="s">
        <v>65</v>
      </c>
      <c r="G6917" t="s">
        <v>66</v>
      </c>
      <c r="H6917" t="s">
        <v>67</v>
      </c>
      <c r="S6917">
        <v>1</v>
      </c>
      <c r="T6917">
        <v>0</v>
      </c>
      <c r="U6917">
        <v>0</v>
      </c>
      <c r="V6917">
        <v>0</v>
      </c>
      <c r="W6917">
        <v>1</v>
      </c>
      <c r="X6917">
        <v>0</v>
      </c>
      <c r="Y6917">
        <v>1</v>
      </c>
      <c r="Z6917">
        <v>0</v>
      </c>
      <c r="AA6917">
        <v>0</v>
      </c>
      <c r="AB6917">
        <v>0</v>
      </c>
      <c r="AC6917">
        <v>1</v>
      </c>
      <c r="AD6917">
        <v>1</v>
      </c>
      <c r="AE6917">
        <v>1</v>
      </c>
      <c r="AF6917">
        <v>1</v>
      </c>
      <c r="AG6917">
        <v>1</v>
      </c>
      <c r="AH6917">
        <v>1</v>
      </c>
      <c r="AI6917">
        <v>1</v>
      </c>
      <c r="AJ6917">
        <v>1</v>
      </c>
      <c r="AK6917">
        <v>1</v>
      </c>
      <c r="AL6917">
        <v>1</v>
      </c>
      <c r="AM6917">
        <v>1</v>
      </c>
    </row>
    <row r="6918" spans="1:39" x14ac:dyDescent="0.2">
      <c r="A6918" t="str">
        <f>"6914"</f>
        <v>6914</v>
      </c>
      <c r="B6918" t="str">
        <f t="shared" si="384"/>
        <v>1</v>
      </c>
      <c r="C6918" t="str">
        <f t="shared" si="385"/>
        <v>139</v>
      </c>
      <c r="D6918" t="str">
        <f>"37"</f>
        <v>37</v>
      </c>
      <c r="E6918" t="str">
        <f>"1-139-37"</f>
        <v>1-139-37</v>
      </c>
      <c r="F6918" t="s">
        <v>65</v>
      </c>
      <c r="G6918" t="s">
        <v>66</v>
      </c>
      <c r="H6918" t="s">
        <v>67</v>
      </c>
      <c r="S6918">
        <v>1</v>
      </c>
      <c r="T6918">
        <v>0</v>
      </c>
      <c r="U6918">
        <v>0</v>
      </c>
      <c r="V6918">
        <v>0</v>
      </c>
      <c r="W6918">
        <v>1</v>
      </c>
      <c r="X6918">
        <v>0</v>
      </c>
      <c r="Y6918">
        <v>1</v>
      </c>
      <c r="Z6918">
        <v>0</v>
      </c>
      <c r="AA6918">
        <v>0</v>
      </c>
      <c r="AB6918">
        <v>1</v>
      </c>
      <c r="AC6918">
        <v>0</v>
      </c>
      <c r="AD6918">
        <v>1</v>
      </c>
      <c r="AE6918">
        <v>1</v>
      </c>
      <c r="AF6918">
        <v>1</v>
      </c>
      <c r="AG6918">
        <v>1</v>
      </c>
      <c r="AH6918">
        <v>1</v>
      </c>
      <c r="AI6918">
        <v>1</v>
      </c>
      <c r="AJ6918">
        <v>1</v>
      </c>
      <c r="AK6918">
        <v>1</v>
      </c>
      <c r="AL6918">
        <v>1</v>
      </c>
      <c r="AM6918">
        <v>1</v>
      </c>
    </row>
    <row r="6919" spans="1:39" x14ac:dyDescent="0.2">
      <c r="A6919" t="str">
        <f>"6915"</f>
        <v>6915</v>
      </c>
      <c r="B6919" t="str">
        <f t="shared" si="384"/>
        <v>1</v>
      </c>
      <c r="C6919" t="str">
        <f t="shared" si="385"/>
        <v>139</v>
      </c>
      <c r="D6919" t="str">
        <f>"18"</f>
        <v>18</v>
      </c>
      <c r="E6919" t="str">
        <f>"1-139-18"</f>
        <v>1-139-18</v>
      </c>
      <c r="F6919" t="s">
        <v>65</v>
      </c>
      <c r="G6919" t="s">
        <v>66</v>
      </c>
      <c r="H6919" t="s">
        <v>67</v>
      </c>
      <c r="S6919">
        <v>0</v>
      </c>
      <c r="T6919">
        <v>0</v>
      </c>
      <c r="U6919">
        <v>0</v>
      </c>
      <c r="V6919">
        <v>0</v>
      </c>
      <c r="W6919">
        <v>1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</row>
    <row r="6920" spans="1:39" x14ac:dyDescent="0.2">
      <c r="A6920" t="str">
        <f>"6916"</f>
        <v>6916</v>
      </c>
      <c r="B6920" t="str">
        <f t="shared" si="384"/>
        <v>1</v>
      </c>
      <c r="C6920" t="str">
        <f t="shared" si="385"/>
        <v>139</v>
      </c>
      <c r="D6920" t="str">
        <f>"12"</f>
        <v>12</v>
      </c>
      <c r="E6920" t="str">
        <f>"1-139-12"</f>
        <v>1-139-12</v>
      </c>
      <c r="F6920" t="s">
        <v>65</v>
      </c>
      <c r="G6920" t="s">
        <v>66</v>
      </c>
      <c r="H6920" t="s">
        <v>67</v>
      </c>
      <c r="S6920">
        <v>0</v>
      </c>
      <c r="T6920">
        <v>1</v>
      </c>
      <c r="U6920">
        <v>0</v>
      </c>
      <c r="V6920">
        <v>0</v>
      </c>
      <c r="W6920">
        <v>0</v>
      </c>
      <c r="X6920">
        <v>1</v>
      </c>
      <c r="Y6920">
        <v>1</v>
      </c>
      <c r="Z6920">
        <v>0</v>
      </c>
      <c r="AA6920">
        <v>0</v>
      </c>
      <c r="AB6920">
        <v>1</v>
      </c>
      <c r="AC6920">
        <v>0</v>
      </c>
      <c r="AD6920">
        <v>0</v>
      </c>
      <c r="AE6920">
        <v>0</v>
      </c>
      <c r="AF6920">
        <v>0</v>
      </c>
      <c r="AG6920">
        <v>1</v>
      </c>
      <c r="AH6920">
        <v>0</v>
      </c>
      <c r="AI6920">
        <v>0</v>
      </c>
      <c r="AJ6920">
        <v>0</v>
      </c>
      <c r="AK6920">
        <v>0</v>
      </c>
      <c r="AL6920">
        <v>1</v>
      </c>
      <c r="AM6920">
        <v>0</v>
      </c>
    </row>
    <row r="6921" spans="1:39" x14ac:dyDescent="0.2">
      <c r="A6921" t="str">
        <f>"6917"</f>
        <v>6917</v>
      </c>
      <c r="B6921" t="str">
        <f t="shared" si="384"/>
        <v>1</v>
      </c>
      <c r="C6921" t="str">
        <f t="shared" si="385"/>
        <v>139</v>
      </c>
      <c r="D6921" t="str">
        <f>"38"</f>
        <v>38</v>
      </c>
      <c r="E6921" t="str">
        <f>"1-139-38"</f>
        <v>1-139-38</v>
      </c>
      <c r="F6921" t="s">
        <v>65</v>
      </c>
      <c r="G6921" t="s">
        <v>66</v>
      </c>
      <c r="H6921" t="s">
        <v>67</v>
      </c>
      <c r="S6921">
        <v>0</v>
      </c>
      <c r="T6921">
        <v>1</v>
      </c>
      <c r="U6921">
        <v>0</v>
      </c>
      <c r="V6921">
        <v>0</v>
      </c>
      <c r="W6921">
        <v>1</v>
      </c>
      <c r="X6921">
        <v>0</v>
      </c>
      <c r="Y6921">
        <v>0</v>
      </c>
      <c r="Z6921">
        <v>1</v>
      </c>
      <c r="AA6921">
        <v>0</v>
      </c>
      <c r="AB6921">
        <v>1</v>
      </c>
      <c r="AC6921">
        <v>0</v>
      </c>
      <c r="AD6921">
        <v>1</v>
      </c>
      <c r="AE6921">
        <v>1</v>
      </c>
      <c r="AF6921">
        <v>1</v>
      </c>
      <c r="AG6921">
        <v>1</v>
      </c>
      <c r="AH6921">
        <v>1</v>
      </c>
      <c r="AI6921">
        <v>1</v>
      </c>
      <c r="AJ6921">
        <v>1</v>
      </c>
      <c r="AK6921">
        <v>1</v>
      </c>
      <c r="AL6921">
        <v>1</v>
      </c>
      <c r="AM6921">
        <v>1</v>
      </c>
    </row>
    <row r="6922" spans="1:39" x14ac:dyDescent="0.2">
      <c r="A6922" t="str">
        <f>"6918"</f>
        <v>6918</v>
      </c>
      <c r="B6922" t="str">
        <f t="shared" si="384"/>
        <v>1</v>
      </c>
      <c r="C6922" t="str">
        <f t="shared" si="385"/>
        <v>139</v>
      </c>
      <c r="D6922" t="str">
        <f>"19"</f>
        <v>19</v>
      </c>
      <c r="E6922" t="str">
        <f>"1-139-19"</f>
        <v>1-139-19</v>
      </c>
      <c r="F6922" t="s">
        <v>65</v>
      </c>
      <c r="G6922" t="s">
        <v>66</v>
      </c>
      <c r="H6922" t="s">
        <v>67</v>
      </c>
      <c r="S6922">
        <v>1</v>
      </c>
      <c r="T6922">
        <v>0</v>
      </c>
      <c r="U6922">
        <v>0</v>
      </c>
      <c r="V6922">
        <v>0</v>
      </c>
      <c r="W6922">
        <v>1</v>
      </c>
      <c r="X6922">
        <v>0</v>
      </c>
      <c r="Y6922">
        <v>1</v>
      </c>
      <c r="Z6922">
        <v>0</v>
      </c>
      <c r="AA6922">
        <v>1</v>
      </c>
      <c r="AB6922">
        <v>0</v>
      </c>
      <c r="AC6922">
        <v>0</v>
      </c>
      <c r="AD6922">
        <v>1</v>
      </c>
      <c r="AE6922">
        <v>1</v>
      </c>
      <c r="AF6922">
        <v>1</v>
      </c>
      <c r="AG6922">
        <v>1</v>
      </c>
      <c r="AH6922">
        <v>1</v>
      </c>
      <c r="AI6922">
        <v>1</v>
      </c>
      <c r="AJ6922">
        <v>1</v>
      </c>
      <c r="AK6922">
        <v>1</v>
      </c>
      <c r="AL6922">
        <v>1</v>
      </c>
      <c r="AM6922">
        <v>1</v>
      </c>
    </row>
    <row r="6923" spans="1:39" x14ac:dyDescent="0.2">
      <c r="A6923" t="str">
        <f>"6919"</f>
        <v>6919</v>
      </c>
      <c r="B6923" t="str">
        <f t="shared" si="384"/>
        <v>1</v>
      </c>
      <c r="C6923" t="str">
        <f t="shared" si="385"/>
        <v>139</v>
      </c>
      <c r="D6923" t="str">
        <f>"9"</f>
        <v>9</v>
      </c>
      <c r="E6923" t="str">
        <f>"1-139-9"</f>
        <v>1-139-9</v>
      </c>
      <c r="F6923" t="s">
        <v>65</v>
      </c>
      <c r="G6923" t="s">
        <v>66</v>
      </c>
      <c r="H6923" t="s">
        <v>67</v>
      </c>
      <c r="S6923">
        <v>1</v>
      </c>
      <c r="T6923">
        <v>0</v>
      </c>
      <c r="U6923">
        <v>0</v>
      </c>
      <c r="V6923">
        <v>0</v>
      </c>
      <c r="W6923">
        <v>1</v>
      </c>
      <c r="X6923">
        <v>0</v>
      </c>
      <c r="Y6923">
        <v>1</v>
      </c>
      <c r="Z6923">
        <v>0</v>
      </c>
      <c r="AA6923">
        <v>1</v>
      </c>
      <c r="AB6923">
        <v>0</v>
      </c>
      <c r="AC6923">
        <v>0</v>
      </c>
      <c r="AD6923">
        <v>1</v>
      </c>
      <c r="AE6923">
        <v>1</v>
      </c>
      <c r="AF6923">
        <v>1</v>
      </c>
      <c r="AG6923">
        <v>1</v>
      </c>
      <c r="AH6923">
        <v>1</v>
      </c>
      <c r="AI6923">
        <v>1</v>
      </c>
      <c r="AJ6923">
        <v>1</v>
      </c>
      <c r="AK6923">
        <v>1</v>
      </c>
      <c r="AL6923">
        <v>1</v>
      </c>
      <c r="AM6923">
        <v>1</v>
      </c>
    </row>
    <row r="6924" spans="1:39" x14ac:dyDescent="0.2">
      <c r="A6924" t="str">
        <f>"6920"</f>
        <v>6920</v>
      </c>
      <c r="B6924" t="str">
        <f t="shared" si="384"/>
        <v>1</v>
      </c>
      <c r="C6924" t="str">
        <f t="shared" si="385"/>
        <v>139</v>
      </c>
      <c r="D6924" t="str">
        <f>"39"</f>
        <v>39</v>
      </c>
      <c r="E6924" t="str">
        <f>"1-139-39"</f>
        <v>1-139-39</v>
      </c>
      <c r="F6924" t="s">
        <v>65</v>
      </c>
      <c r="G6924" t="s">
        <v>66</v>
      </c>
      <c r="H6924" t="s">
        <v>67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1</v>
      </c>
      <c r="Y6924">
        <v>0</v>
      </c>
      <c r="Z6924">
        <v>1</v>
      </c>
      <c r="AA6924">
        <v>0</v>
      </c>
      <c r="AB6924">
        <v>0</v>
      </c>
      <c r="AC6924">
        <v>1</v>
      </c>
      <c r="AD6924">
        <v>1</v>
      </c>
      <c r="AE6924">
        <v>1</v>
      </c>
      <c r="AF6924">
        <v>1</v>
      </c>
      <c r="AG6924">
        <v>1</v>
      </c>
      <c r="AH6924">
        <v>1</v>
      </c>
      <c r="AI6924">
        <v>1</v>
      </c>
      <c r="AJ6924">
        <v>1</v>
      </c>
      <c r="AK6924">
        <v>1</v>
      </c>
      <c r="AL6924">
        <v>1</v>
      </c>
      <c r="AM6924">
        <v>1</v>
      </c>
    </row>
    <row r="6925" spans="1:39" x14ac:dyDescent="0.2">
      <c r="A6925" t="str">
        <f>"6921"</f>
        <v>6921</v>
      </c>
      <c r="B6925" t="str">
        <f t="shared" si="384"/>
        <v>1</v>
      </c>
      <c r="C6925" t="str">
        <f t="shared" si="385"/>
        <v>139</v>
      </c>
      <c r="D6925" t="str">
        <f>"22"</f>
        <v>22</v>
      </c>
      <c r="E6925" t="str">
        <f>"1-139-22"</f>
        <v>1-139-22</v>
      </c>
      <c r="F6925" t="s">
        <v>65</v>
      </c>
      <c r="G6925" t="s">
        <v>66</v>
      </c>
      <c r="H6925" t="s">
        <v>67</v>
      </c>
      <c r="S6925">
        <v>0</v>
      </c>
      <c r="T6925">
        <v>1</v>
      </c>
      <c r="U6925">
        <v>0</v>
      </c>
      <c r="V6925">
        <v>0</v>
      </c>
      <c r="W6925">
        <v>1</v>
      </c>
      <c r="X6925">
        <v>0</v>
      </c>
      <c r="Y6925">
        <v>0</v>
      </c>
      <c r="Z6925">
        <v>1</v>
      </c>
      <c r="AA6925">
        <v>0</v>
      </c>
      <c r="AB6925">
        <v>0</v>
      </c>
      <c r="AC6925">
        <v>1</v>
      </c>
      <c r="AD6925">
        <v>1</v>
      </c>
      <c r="AE6925">
        <v>1</v>
      </c>
      <c r="AF6925">
        <v>1</v>
      </c>
      <c r="AG6925">
        <v>1</v>
      </c>
      <c r="AH6925">
        <v>1</v>
      </c>
      <c r="AI6925">
        <v>1</v>
      </c>
      <c r="AJ6925">
        <v>1</v>
      </c>
      <c r="AK6925">
        <v>1</v>
      </c>
      <c r="AL6925">
        <v>1</v>
      </c>
      <c r="AM6925">
        <v>1</v>
      </c>
    </row>
    <row r="6926" spans="1:39" x14ac:dyDescent="0.2">
      <c r="A6926" t="str">
        <f>"6922"</f>
        <v>6922</v>
      </c>
      <c r="B6926" t="str">
        <f t="shared" si="384"/>
        <v>1</v>
      </c>
      <c r="C6926" t="str">
        <f t="shared" si="385"/>
        <v>139</v>
      </c>
      <c r="D6926" t="str">
        <f>"6"</f>
        <v>6</v>
      </c>
      <c r="E6926" t="str">
        <f>"1-139-6"</f>
        <v>1-139-6</v>
      </c>
      <c r="F6926" t="s">
        <v>65</v>
      </c>
      <c r="G6926" t="s">
        <v>66</v>
      </c>
      <c r="H6926" t="s">
        <v>67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1</v>
      </c>
      <c r="Y6926">
        <v>0</v>
      </c>
      <c r="Z6926">
        <v>1</v>
      </c>
      <c r="AA6926">
        <v>0</v>
      </c>
      <c r="AB6926">
        <v>1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</row>
    <row r="6927" spans="1:39" x14ac:dyDescent="0.2">
      <c r="A6927" t="str">
        <f>"6923"</f>
        <v>6923</v>
      </c>
      <c r="B6927" t="str">
        <f t="shared" si="384"/>
        <v>1</v>
      </c>
      <c r="C6927" t="str">
        <f t="shared" si="385"/>
        <v>139</v>
      </c>
      <c r="D6927" t="str">
        <f>"40"</f>
        <v>40</v>
      </c>
      <c r="E6927" t="str">
        <f>"1-139-40"</f>
        <v>1-139-40</v>
      </c>
      <c r="F6927" t="s">
        <v>65</v>
      </c>
      <c r="G6927" t="s">
        <v>66</v>
      </c>
      <c r="H6927" t="s">
        <v>67</v>
      </c>
      <c r="S6927">
        <v>1</v>
      </c>
      <c r="T6927">
        <v>0</v>
      </c>
      <c r="U6927">
        <v>0</v>
      </c>
      <c r="V6927">
        <v>0</v>
      </c>
      <c r="W6927">
        <v>1</v>
      </c>
      <c r="X6927">
        <v>0</v>
      </c>
      <c r="Y6927">
        <v>1</v>
      </c>
      <c r="Z6927">
        <v>0</v>
      </c>
      <c r="AA6927">
        <v>0</v>
      </c>
      <c r="AB6927">
        <v>0</v>
      </c>
      <c r="AC6927">
        <v>1</v>
      </c>
      <c r="AD6927">
        <v>1</v>
      </c>
      <c r="AE6927">
        <v>1</v>
      </c>
      <c r="AF6927">
        <v>1</v>
      </c>
      <c r="AG6927">
        <v>1</v>
      </c>
      <c r="AH6927">
        <v>1</v>
      </c>
      <c r="AI6927">
        <v>1</v>
      </c>
      <c r="AJ6927">
        <v>1</v>
      </c>
      <c r="AK6927">
        <v>1</v>
      </c>
      <c r="AL6927">
        <v>1</v>
      </c>
      <c r="AM6927">
        <v>1</v>
      </c>
    </row>
    <row r="6928" spans="1:39" x14ac:dyDescent="0.2">
      <c r="A6928" t="str">
        <f>"6924"</f>
        <v>6924</v>
      </c>
      <c r="B6928" t="str">
        <f t="shared" si="384"/>
        <v>1</v>
      </c>
      <c r="C6928" t="str">
        <f t="shared" si="385"/>
        <v>139</v>
      </c>
      <c r="D6928" t="str">
        <f>"23"</f>
        <v>23</v>
      </c>
      <c r="E6928" t="str">
        <f>"1-139-23"</f>
        <v>1-139-23</v>
      </c>
      <c r="F6928" t="s">
        <v>65</v>
      </c>
      <c r="G6928" t="s">
        <v>66</v>
      </c>
      <c r="H6928" t="s">
        <v>67</v>
      </c>
      <c r="S6928">
        <v>1</v>
      </c>
      <c r="T6928">
        <v>0</v>
      </c>
      <c r="U6928">
        <v>0</v>
      </c>
      <c r="V6928">
        <v>0</v>
      </c>
      <c r="W6928">
        <v>1</v>
      </c>
      <c r="X6928">
        <v>0</v>
      </c>
      <c r="Y6928">
        <v>1</v>
      </c>
      <c r="Z6928">
        <v>0</v>
      </c>
      <c r="AA6928">
        <v>0</v>
      </c>
      <c r="AB6928">
        <v>1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1</v>
      </c>
      <c r="AM6928">
        <v>0</v>
      </c>
    </row>
    <row r="6929" spans="1:39" x14ac:dyDescent="0.2">
      <c r="A6929" t="str">
        <f>"6925"</f>
        <v>6925</v>
      </c>
      <c r="B6929" t="str">
        <f t="shared" si="384"/>
        <v>1</v>
      </c>
      <c r="C6929" t="str">
        <f t="shared" si="385"/>
        <v>139</v>
      </c>
      <c r="D6929" t="str">
        <f>"10"</f>
        <v>10</v>
      </c>
      <c r="E6929" t="str">
        <f>"1-139-10"</f>
        <v>1-139-10</v>
      </c>
      <c r="F6929" t="s">
        <v>65</v>
      </c>
      <c r="G6929" t="s">
        <v>66</v>
      </c>
      <c r="H6929" t="s">
        <v>67</v>
      </c>
      <c r="S6929">
        <v>1</v>
      </c>
      <c r="T6929">
        <v>0</v>
      </c>
      <c r="U6929">
        <v>0</v>
      </c>
      <c r="V6929">
        <v>0</v>
      </c>
      <c r="W6929">
        <v>1</v>
      </c>
      <c r="X6929">
        <v>0</v>
      </c>
      <c r="Y6929">
        <v>0</v>
      </c>
      <c r="Z6929">
        <v>1</v>
      </c>
      <c r="AA6929">
        <v>0</v>
      </c>
      <c r="AB6929">
        <v>0</v>
      </c>
      <c r="AC6929">
        <v>1</v>
      </c>
      <c r="AD6929">
        <v>1</v>
      </c>
      <c r="AE6929">
        <v>1</v>
      </c>
      <c r="AF6929">
        <v>1</v>
      </c>
      <c r="AG6929">
        <v>1</v>
      </c>
      <c r="AH6929">
        <v>1</v>
      </c>
      <c r="AI6929">
        <v>1</v>
      </c>
      <c r="AJ6929">
        <v>1</v>
      </c>
      <c r="AK6929">
        <v>1</v>
      </c>
      <c r="AL6929">
        <v>1</v>
      </c>
      <c r="AM6929">
        <v>1</v>
      </c>
    </row>
    <row r="6930" spans="1:39" x14ac:dyDescent="0.2">
      <c r="A6930" t="str">
        <f>"6926"</f>
        <v>6926</v>
      </c>
      <c r="B6930" t="str">
        <f t="shared" si="384"/>
        <v>1</v>
      </c>
      <c r="C6930" t="str">
        <f t="shared" si="385"/>
        <v>139</v>
      </c>
      <c r="D6930" t="str">
        <f>"41"</f>
        <v>41</v>
      </c>
      <c r="E6930" t="str">
        <f>"1-139-41"</f>
        <v>1-139-41</v>
      </c>
      <c r="F6930" t="s">
        <v>65</v>
      </c>
      <c r="G6930" t="s">
        <v>66</v>
      </c>
      <c r="H6930" t="s">
        <v>67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1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1</v>
      </c>
      <c r="AH6930">
        <v>1</v>
      </c>
      <c r="AI6930">
        <v>1</v>
      </c>
      <c r="AJ6930">
        <v>1</v>
      </c>
      <c r="AK6930">
        <v>0</v>
      </c>
      <c r="AL6930">
        <v>1</v>
      </c>
      <c r="AM6930">
        <v>0</v>
      </c>
    </row>
    <row r="6931" spans="1:39" x14ac:dyDescent="0.2">
      <c r="A6931" t="str">
        <f>"6927"</f>
        <v>6927</v>
      </c>
      <c r="B6931" t="str">
        <f t="shared" si="384"/>
        <v>1</v>
      </c>
      <c r="C6931" t="str">
        <f t="shared" si="385"/>
        <v>139</v>
      </c>
      <c r="D6931" t="str">
        <f>"24"</f>
        <v>24</v>
      </c>
      <c r="E6931" t="str">
        <f>"1-139-24"</f>
        <v>1-139-24</v>
      </c>
      <c r="F6931" t="s">
        <v>65</v>
      </c>
      <c r="G6931" t="s">
        <v>66</v>
      </c>
      <c r="H6931" t="s">
        <v>67</v>
      </c>
      <c r="S6931">
        <v>1</v>
      </c>
      <c r="T6931">
        <v>0</v>
      </c>
      <c r="U6931">
        <v>0</v>
      </c>
      <c r="V6931">
        <v>0</v>
      </c>
      <c r="W6931">
        <v>1</v>
      </c>
      <c r="X6931">
        <v>0</v>
      </c>
      <c r="Y6931">
        <v>1</v>
      </c>
      <c r="Z6931">
        <v>0</v>
      </c>
      <c r="AA6931">
        <v>0</v>
      </c>
      <c r="AB6931">
        <v>1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</row>
    <row r="6932" spans="1:39" x14ac:dyDescent="0.2">
      <c r="A6932" t="str">
        <f>"6928"</f>
        <v>6928</v>
      </c>
      <c r="B6932" t="str">
        <f t="shared" si="384"/>
        <v>1</v>
      </c>
      <c r="C6932" t="str">
        <f t="shared" si="385"/>
        <v>139</v>
      </c>
      <c r="D6932" t="str">
        <f>"5"</f>
        <v>5</v>
      </c>
      <c r="E6932" t="str">
        <f>"1-139-5"</f>
        <v>1-139-5</v>
      </c>
      <c r="F6932" t="s">
        <v>65</v>
      </c>
      <c r="G6932" t="s">
        <v>66</v>
      </c>
      <c r="H6932" t="s">
        <v>67</v>
      </c>
      <c r="S6932">
        <v>0</v>
      </c>
      <c r="T6932">
        <v>1</v>
      </c>
      <c r="U6932">
        <v>0</v>
      </c>
      <c r="V6932">
        <v>0</v>
      </c>
      <c r="W6932">
        <v>1</v>
      </c>
      <c r="X6932">
        <v>0</v>
      </c>
      <c r="Y6932">
        <v>1</v>
      </c>
      <c r="Z6932">
        <v>0</v>
      </c>
      <c r="AA6932">
        <v>1</v>
      </c>
      <c r="AB6932">
        <v>0</v>
      </c>
      <c r="AC6932">
        <v>0</v>
      </c>
      <c r="AD6932">
        <v>1</v>
      </c>
      <c r="AE6932">
        <v>1</v>
      </c>
      <c r="AF6932">
        <v>1</v>
      </c>
      <c r="AG6932">
        <v>1</v>
      </c>
      <c r="AH6932">
        <v>1</v>
      </c>
      <c r="AI6932">
        <v>1</v>
      </c>
      <c r="AJ6932">
        <v>1</v>
      </c>
      <c r="AK6932">
        <v>1</v>
      </c>
      <c r="AL6932">
        <v>1</v>
      </c>
      <c r="AM6932">
        <v>1</v>
      </c>
    </row>
    <row r="6933" spans="1:39" x14ac:dyDescent="0.2">
      <c r="A6933" t="str">
        <f>"6929"</f>
        <v>6929</v>
      </c>
      <c r="B6933" t="str">
        <f t="shared" si="384"/>
        <v>1</v>
      </c>
      <c r="C6933" t="str">
        <f t="shared" si="385"/>
        <v>139</v>
      </c>
      <c r="D6933" t="str">
        <f>"42"</f>
        <v>42</v>
      </c>
      <c r="E6933" t="str">
        <f>"1-139-42"</f>
        <v>1-139-42</v>
      </c>
      <c r="F6933" t="s">
        <v>65</v>
      </c>
      <c r="G6933" t="s">
        <v>66</v>
      </c>
      <c r="H6933" t="s">
        <v>67</v>
      </c>
      <c r="S6933">
        <v>1</v>
      </c>
      <c r="T6933">
        <v>0</v>
      </c>
      <c r="U6933">
        <v>0</v>
      </c>
      <c r="V6933">
        <v>0</v>
      </c>
      <c r="W6933">
        <v>1</v>
      </c>
      <c r="X6933">
        <v>0</v>
      </c>
      <c r="Y6933">
        <v>1</v>
      </c>
      <c r="Z6933">
        <v>0</v>
      </c>
      <c r="AA6933">
        <v>1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1</v>
      </c>
      <c r="AH6933">
        <v>0</v>
      </c>
      <c r="AI6933">
        <v>1</v>
      </c>
      <c r="AJ6933">
        <v>0</v>
      </c>
      <c r="AK6933">
        <v>0</v>
      </c>
      <c r="AL6933">
        <v>0</v>
      </c>
      <c r="AM6933">
        <v>0</v>
      </c>
    </row>
    <row r="6934" spans="1:39" x14ac:dyDescent="0.2">
      <c r="A6934" t="str">
        <f>"6930"</f>
        <v>6930</v>
      </c>
      <c r="B6934" t="str">
        <f t="shared" si="384"/>
        <v>1</v>
      </c>
      <c r="C6934" t="str">
        <f t="shared" si="385"/>
        <v>139</v>
      </c>
      <c r="D6934" t="str">
        <f>"26"</f>
        <v>26</v>
      </c>
      <c r="E6934" t="str">
        <f>"1-139-26"</f>
        <v>1-139-26</v>
      </c>
      <c r="F6934" t="s">
        <v>65</v>
      </c>
      <c r="G6934" t="s">
        <v>66</v>
      </c>
      <c r="H6934" t="s">
        <v>67</v>
      </c>
      <c r="S6934">
        <v>1</v>
      </c>
      <c r="T6934">
        <v>0</v>
      </c>
      <c r="U6934">
        <v>0</v>
      </c>
      <c r="V6934">
        <v>0</v>
      </c>
      <c r="W6934">
        <v>1</v>
      </c>
      <c r="X6934">
        <v>0</v>
      </c>
      <c r="Y6934">
        <v>1</v>
      </c>
      <c r="Z6934">
        <v>0</v>
      </c>
      <c r="AA6934">
        <v>1</v>
      </c>
      <c r="AB6934">
        <v>0</v>
      </c>
      <c r="AC6934">
        <v>0</v>
      </c>
      <c r="AD6934">
        <v>1</v>
      </c>
      <c r="AE6934">
        <v>1</v>
      </c>
      <c r="AF6934">
        <v>1</v>
      </c>
      <c r="AG6934">
        <v>1</v>
      </c>
      <c r="AH6934">
        <v>1</v>
      </c>
      <c r="AI6934">
        <v>1</v>
      </c>
      <c r="AJ6934">
        <v>1</v>
      </c>
      <c r="AK6934">
        <v>1</v>
      </c>
      <c r="AL6934">
        <v>1</v>
      </c>
      <c r="AM6934">
        <v>1</v>
      </c>
    </row>
    <row r="6935" spans="1:39" x14ac:dyDescent="0.2">
      <c r="A6935" t="str">
        <f>"6931"</f>
        <v>6931</v>
      </c>
      <c r="B6935" t="str">
        <f t="shared" si="384"/>
        <v>1</v>
      </c>
      <c r="C6935" t="str">
        <f t="shared" si="385"/>
        <v>139</v>
      </c>
      <c r="D6935" t="str">
        <f>"14"</f>
        <v>14</v>
      </c>
      <c r="E6935" t="str">
        <f>"1-139-14"</f>
        <v>1-139-14</v>
      </c>
      <c r="F6935" t="s">
        <v>65</v>
      </c>
      <c r="G6935" t="s">
        <v>66</v>
      </c>
      <c r="H6935" t="s">
        <v>67</v>
      </c>
      <c r="S6935">
        <v>1</v>
      </c>
      <c r="T6935">
        <v>0</v>
      </c>
      <c r="U6935">
        <v>0</v>
      </c>
      <c r="V6935">
        <v>0</v>
      </c>
      <c r="W6935">
        <v>1</v>
      </c>
      <c r="X6935">
        <v>0</v>
      </c>
      <c r="Y6935">
        <v>1</v>
      </c>
      <c r="Z6935">
        <v>0</v>
      </c>
      <c r="AA6935">
        <v>1</v>
      </c>
      <c r="AB6935">
        <v>0</v>
      </c>
      <c r="AC6935">
        <v>0</v>
      </c>
      <c r="AD6935">
        <v>1</v>
      </c>
      <c r="AE6935">
        <v>1</v>
      </c>
      <c r="AF6935">
        <v>1</v>
      </c>
      <c r="AG6935">
        <v>1</v>
      </c>
      <c r="AH6935">
        <v>1</v>
      </c>
      <c r="AI6935">
        <v>1</v>
      </c>
      <c r="AJ6935">
        <v>1</v>
      </c>
      <c r="AK6935">
        <v>1</v>
      </c>
      <c r="AL6935">
        <v>1</v>
      </c>
      <c r="AM6935">
        <v>1</v>
      </c>
    </row>
    <row r="6936" spans="1:39" x14ac:dyDescent="0.2">
      <c r="A6936" t="str">
        <f>"6932"</f>
        <v>6932</v>
      </c>
      <c r="B6936" t="str">
        <f t="shared" si="384"/>
        <v>1</v>
      </c>
      <c r="C6936" t="str">
        <f t="shared" si="385"/>
        <v>139</v>
      </c>
      <c r="D6936" t="str">
        <f>"43"</f>
        <v>43</v>
      </c>
      <c r="E6936" t="str">
        <f>"1-139-43"</f>
        <v>1-139-43</v>
      </c>
      <c r="F6936" t="s">
        <v>65</v>
      </c>
      <c r="G6936" t="s">
        <v>66</v>
      </c>
      <c r="H6936" t="s">
        <v>67</v>
      </c>
      <c r="S6936">
        <v>1</v>
      </c>
      <c r="T6936">
        <v>0</v>
      </c>
      <c r="U6936">
        <v>0</v>
      </c>
      <c r="V6936">
        <v>0</v>
      </c>
      <c r="W6936">
        <v>1</v>
      </c>
      <c r="X6936">
        <v>0</v>
      </c>
      <c r="Y6936">
        <v>1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1</v>
      </c>
      <c r="AI6936">
        <v>1</v>
      </c>
      <c r="AJ6936">
        <v>1</v>
      </c>
      <c r="AK6936">
        <v>0</v>
      </c>
      <c r="AL6936">
        <v>0</v>
      </c>
      <c r="AM6936">
        <v>0</v>
      </c>
    </row>
    <row r="6937" spans="1:39" x14ac:dyDescent="0.2">
      <c r="A6937" t="str">
        <f>"6933"</f>
        <v>6933</v>
      </c>
      <c r="B6937" t="str">
        <f t="shared" si="384"/>
        <v>1</v>
      </c>
      <c r="C6937" t="str">
        <f t="shared" ref="C6937:C6954" si="386">"139"</f>
        <v>139</v>
      </c>
      <c r="D6937" t="str">
        <f>"27"</f>
        <v>27</v>
      </c>
      <c r="E6937" t="str">
        <f>"1-139-27"</f>
        <v>1-139-27</v>
      </c>
      <c r="F6937" t="s">
        <v>65</v>
      </c>
      <c r="G6937" t="s">
        <v>66</v>
      </c>
      <c r="H6937" t="s">
        <v>67</v>
      </c>
      <c r="S6937">
        <v>1</v>
      </c>
      <c r="T6937">
        <v>0</v>
      </c>
      <c r="U6937">
        <v>0</v>
      </c>
      <c r="V6937">
        <v>0</v>
      </c>
      <c r="W6937">
        <v>1</v>
      </c>
      <c r="X6937">
        <v>0</v>
      </c>
      <c r="Y6937">
        <v>1</v>
      </c>
      <c r="Z6937">
        <v>0</v>
      </c>
      <c r="AA6937">
        <v>1</v>
      </c>
      <c r="AB6937">
        <v>0</v>
      </c>
      <c r="AC6937">
        <v>0</v>
      </c>
      <c r="AD6937">
        <v>1</v>
      </c>
      <c r="AE6937">
        <v>1</v>
      </c>
      <c r="AF6937">
        <v>1</v>
      </c>
      <c r="AG6937">
        <v>1</v>
      </c>
      <c r="AH6937">
        <v>1</v>
      </c>
      <c r="AI6937">
        <v>1</v>
      </c>
      <c r="AJ6937">
        <v>1</v>
      </c>
      <c r="AK6937">
        <v>1</v>
      </c>
      <c r="AL6937">
        <v>1</v>
      </c>
      <c r="AM6937">
        <v>1</v>
      </c>
    </row>
    <row r="6938" spans="1:39" x14ac:dyDescent="0.2">
      <c r="A6938" t="str">
        <f>"6934"</f>
        <v>6934</v>
      </c>
      <c r="B6938" t="str">
        <f t="shared" si="384"/>
        <v>1</v>
      </c>
      <c r="C6938" t="str">
        <f t="shared" si="386"/>
        <v>139</v>
      </c>
      <c r="D6938" t="str">
        <f>"2"</f>
        <v>2</v>
      </c>
      <c r="E6938" t="str">
        <f>"1-139-2"</f>
        <v>1-139-2</v>
      </c>
      <c r="F6938" t="s">
        <v>65</v>
      </c>
      <c r="G6938" t="s">
        <v>66</v>
      </c>
      <c r="H6938" t="s">
        <v>67</v>
      </c>
      <c r="S6938">
        <v>1</v>
      </c>
      <c r="T6938">
        <v>0</v>
      </c>
      <c r="U6938">
        <v>0</v>
      </c>
      <c r="V6938">
        <v>0</v>
      </c>
      <c r="W6938">
        <v>1</v>
      </c>
      <c r="X6938">
        <v>0</v>
      </c>
      <c r="Y6938">
        <v>1</v>
      </c>
      <c r="Z6938">
        <v>0</v>
      </c>
      <c r="AA6938">
        <v>0</v>
      </c>
      <c r="AB6938">
        <v>0</v>
      </c>
      <c r="AC6938">
        <v>1</v>
      </c>
      <c r="AD6938">
        <v>1</v>
      </c>
      <c r="AE6938">
        <v>1</v>
      </c>
      <c r="AF6938">
        <v>1</v>
      </c>
      <c r="AG6938">
        <v>1</v>
      </c>
      <c r="AH6938">
        <v>1</v>
      </c>
      <c r="AI6938">
        <v>1</v>
      </c>
      <c r="AJ6938">
        <v>1</v>
      </c>
      <c r="AK6938">
        <v>1</v>
      </c>
      <c r="AL6938">
        <v>1</v>
      </c>
      <c r="AM6938">
        <v>1</v>
      </c>
    </row>
    <row r="6939" spans="1:39" x14ac:dyDescent="0.2">
      <c r="A6939" t="str">
        <f>"6935"</f>
        <v>6935</v>
      </c>
      <c r="B6939" t="str">
        <f t="shared" si="384"/>
        <v>1</v>
      </c>
      <c r="C6939" t="str">
        <f t="shared" si="386"/>
        <v>139</v>
      </c>
      <c r="D6939" t="str">
        <f>"44"</f>
        <v>44</v>
      </c>
      <c r="E6939" t="str">
        <f>"1-139-44"</f>
        <v>1-139-44</v>
      </c>
      <c r="F6939" t="s">
        <v>65</v>
      </c>
      <c r="G6939" t="s">
        <v>66</v>
      </c>
      <c r="H6939" t="s">
        <v>67</v>
      </c>
      <c r="S6939">
        <v>1</v>
      </c>
      <c r="T6939">
        <v>0</v>
      </c>
      <c r="U6939">
        <v>0</v>
      </c>
      <c r="V6939">
        <v>0</v>
      </c>
      <c r="W6939">
        <v>1</v>
      </c>
      <c r="X6939">
        <v>0</v>
      </c>
      <c r="Y6939">
        <v>1</v>
      </c>
      <c r="Z6939">
        <v>0</v>
      </c>
      <c r="AA6939">
        <v>1</v>
      </c>
      <c r="AB6939">
        <v>0</v>
      </c>
      <c r="AC6939">
        <v>0</v>
      </c>
      <c r="AD6939">
        <v>1</v>
      </c>
      <c r="AE6939">
        <v>1</v>
      </c>
      <c r="AF6939">
        <v>1</v>
      </c>
      <c r="AG6939">
        <v>1</v>
      </c>
      <c r="AH6939">
        <v>1</v>
      </c>
      <c r="AI6939">
        <v>1</v>
      </c>
      <c r="AJ6939">
        <v>1</v>
      </c>
      <c r="AK6939">
        <v>1</v>
      </c>
      <c r="AL6939">
        <v>1</v>
      </c>
      <c r="AM6939">
        <v>1</v>
      </c>
    </row>
    <row r="6940" spans="1:39" x14ac:dyDescent="0.2">
      <c r="A6940" t="str">
        <f>"6936"</f>
        <v>6936</v>
      </c>
      <c r="B6940" t="str">
        <f t="shared" si="384"/>
        <v>1</v>
      </c>
      <c r="C6940" t="str">
        <f t="shared" si="386"/>
        <v>139</v>
      </c>
      <c r="D6940" t="str">
        <f>"28"</f>
        <v>28</v>
      </c>
      <c r="E6940" t="str">
        <f>"1-139-28"</f>
        <v>1-139-28</v>
      </c>
      <c r="F6940" t="s">
        <v>65</v>
      </c>
      <c r="G6940" t="s">
        <v>66</v>
      </c>
      <c r="H6940" t="s">
        <v>67</v>
      </c>
      <c r="S6940">
        <v>1</v>
      </c>
      <c r="T6940">
        <v>0</v>
      </c>
      <c r="U6940">
        <v>0</v>
      </c>
      <c r="V6940">
        <v>0</v>
      </c>
      <c r="W6940">
        <v>1</v>
      </c>
      <c r="X6940">
        <v>0</v>
      </c>
      <c r="Y6940">
        <v>1</v>
      </c>
      <c r="Z6940">
        <v>0</v>
      </c>
      <c r="AA6940">
        <v>0</v>
      </c>
      <c r="AB6940">
        <v>1</v>
      </c>
      <c r="AC6940">
        <v>0</v>
      </c>
      <c r="AD6940">
        <v>1</v>
      </c>
      <c r="AE6940">
        <v>1</v>
      </c>
      <c r="AF6940">
        <v>1</v>
      </c>
      <c r="AG6940">
        <v>1</v>
      </c>
      <c r="AH6940">
        <v>1</v>
      </c>
      <c r="AI6940">
        <v>1</v>
      </c>
      <c r="AJ6940">
        <v>1</v>
      </c>
      <c r="AK6940">
        <v>1</v>
      </c>
      <c r="AL6940">
        <v>1</v>
      </c>
      <c r="AM6940">
        <v>1</v>
      </c>
    </row>
    <row r="6941" spans="1:39" x14ac:dyDescent="0.2">
      <c r="A6941" t="str">
        <f>"6937"</f>
        <v>6937</v>
      </c>
      <c r="B6941" t="str">
        <f t="shared" si="384"/>
        <v>1</v>
      </c>
      <c r="C6941" t="str">
        <f t="shared" si="386"/>
        <v>139</v>
      </c>
      <c r="D6941" t="str">
        <f>"7"</f>
        <v>7</v>
      </c>
      <c r="E6941" t="str">
        <f>"1-139-7"</f>
        <v>1-139-7</v>
      </c>
      <c r="F6941" t="s">
        <v>65</v>
      </c>
      <c r="G6941" t="s">
        <v>66</v>
      </c>
      <c r="H6941" t="s">
        <v>67</v>
      </c>
      <c r="S6941">
        <v>0</v>
      </c>
      <c r="T6941">
        <v>1</v>
      </c>
      <c r="U6941">
        <v>0</v>
      </c>
      <c r="V6941">
        <v>0</v>
      </c>
      <c r="W6941">
        <v>0</v>
      </c>
      <c r="X6941">
        <v>1</v>
      </c>
      <c r="Y6941">
        <v>0</v>
      </c>
      <c r="Z6941">
        <v>1</v>
      </c>
      <c r="AA6941">
        <v>0</v>
      </c>
      <c r="AB6941">
        <v>0</v>
      </c>
      <c r="AC6941">
        <v>1</v>
      </c>
      <c r="AD6941">
        <v>1</v>
      </c>
      <c r="AE6941">
        <v>1</v>
      </c>
      <c r="AF6941">
        <v>1</v>
      </c>
      <c r="AG6941">
        <v>0</v>
      </c>
      <c r="AH6941">
        <v>1</v>
      </c>
      <c r="AI6941">
        <v>1</v>
      </c>
      <c r="AJ6941">
        <v>1</v>
      </c>
      <c r="AK6941">
        <v>1</v>
      </c>
      <c r="AL6941">
        <v>1</v>
      </c>
      <c r="AM6941">
        <v>1</v>
      </c>
    </row>
    <row r="6942" spans="1:39" x14ac:dyDescent="0.2">
      <c r="A6942" t="str">
        <f>"6938"</f>
        <v>6938</v>
      </c>
      <c r="B6942" t="str">
        <f t="shared" si="384"/>
        <v>1</v>
      </c>
      <c r="C6942" t="str">
        <f t="shared" si="386"/>
        <v>139</v>
      </c>
      <c r="D6942" t="str">
        <f>"48"</f>
        <v>48</v>
      </c>
      <c r="E6942" t="str">
        <f>"1-139-48"</f>
        <v>1-139-48</v>
      </c>
      <c r="F6942" t="s">
        <v>65</v>
      </c>
      <c r="G6942" t="s">
        <v>66</v>
      </c>
      <c r="H6942" t="s">
        <v>67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1</v>
      </c>
      <c r="Y6942">
        <v>0</v>
      </c>
      <c r="Z6942">
        <v>0</v>
      </c>
      <c r="AA6942">
        <v>0</v>
      </c>
      <c r="AB6942">
        <v>1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1</v>
      </c>
      <c r="AJ6942">
        <v>1</v>
      </c>
      <c r="AK6942">
        <v>1</v>
      </c>
      <c r="AL6942">
        <v>1</v>
      </c>
      <c r="AM6942">
        <v>0</v>
      </c>
    </row>
    <row r="6943" spans="1:39" x14ac:dyDescent="0.2">
      <c r="A6943" t="str">
        <f>"6939"</f>
        <v>6939</v>
      </c>
      <c r="B6943" t="str">
        <f t="shared" si="384"/>
        <v>1</v>
      </c>
      <c r="C6943" t="str">
        <f t="shared" si="386"/>
        <v>139</v>
      </c>
      <c r="D6943" t="str">
        <f>"29"</f>
        <v>29</v>
      </c>
      <c r="E6943" t="str">
        <f>"1-139-29"</f>
        <v>1-139-29</v>
      </c>
      <c r="F6943" t="s">
        <v>65</v>
      </c>
      <c r="G6943" t="s">
        <v>66</v>
      </c>
      <c r="H6943" t="s">
        <v>67</v>
      </c>
      <c r="S6943">
        <v>1</v>
      </c>
      <c r="T6943">
        <v>0</v>
      </c>
      <c r="U6943">
        <v>0</v>
      </c>
      <c r="V6943">
        <v>0</v>
      </c>
      <c r="W6943">
        <v>1</v>
      </c>
      <c r="X6943">
        <v>0</v>
      </c>
      <c r="Y6943">
        <v>1</v>
      </c>
      <c r="Z6943">
        <v>0</v>
      </c>
      <c r="AA6943">
        <v>0</v>
      </c>
      <c r="AB6943">
        <v>1</v>
      </c>
      <c r="AC6943">
        <v>0</v>
      </c>
      <c r="AD6943">
        <v>1</v>
      </c>
      <c r="AE6943">
        <v>1</v>
      </c>
      <c r="AF6943">
        <v>1</v>
      </c>
      <c r="AG6943">
        <v>1</v>
      </c>
      <c r="AH6943">
        <v>1</v>
      </c>
      <c r="AI6943">
        <v>1</v>
      </c>
      <c r="AJ6943">
        <v>1</v>
      </c>
      <c r="AK6943">
        <v>1</v>
      </c>
      <c r="AL6943">
        <v>1</v>
      </c>
      <c r="AM6943">
        <v>1</v>
      </c>
    </row>
    <row r="6944" spans="1:39" x14ac:dyDescent="0.2">
      <c r="A6944" t="str">
        <f>"6940"</f>
        <v>6940</v>
      </c>
      <c r="B6944" t="str">
        <f t="shared" si="384"/>
        <v>1</v>
      </c>
      <c r="C6944" t="str">
        <f t="shared" si="386"/>
        <v>139</v>
      </c>
      <c r="D6944" t="str">
        <f>"13"</f>
        <v>13</v>
      </c>
      <c r="E6944" t="str">
        <f>"1-139-13"</f>
        <v>1-139-13</v>
      </c>
      <c r="F6944" t="s">
        <v>65</v>
      </c>
      <c r="G6944" t="s">
        <v>66</v>
      </c>
      <c r="H6944" t="s">
        <v>67</v>
      </c>
      <c r="S6944">
        <v>1</v>
      </c>
      <c r="T6944">
        <v>0</v>
      </c>
      <c r="U6944">
        <v>0</v>
      </c>
      <c r="V6944">
        <v>0</v>
      </c>
      <c r="W6944">
        <v>1</v>
      </c>
      <c r="X6944">
        <v>0</v>
      </c>
      <c r="Y6944">
        <v>1</v>
      </c>
      <c r="Z6944">
        <v>0</v>
      </c>
      <c r="AA6944">
        <v>1</v>
      </c>
      <c r="AB6944">
        <v>0</v>
      </c>
      <c r="AC6944">
        <v>0</v>
      </c>
      <c r="AD6944">
        <v>1</v>
      </c>
      <c r="AE6944">
        <v>1</v>
      </c>
      <c r="AF6944">
        <v>1</v>
      </c>
      <c r="AG6944">
        <v>1</v>
      </c>
      <c r="AH6944">
        <v>1</v>
      </c>
      <c r="AI6944">
        <v>1</v>
      </c>
      <c r="AJ6944">
        <v>1</v>
      </c>
      <c r="AK6944">
        <v>1</v>
      </c>
      <c r="AL6944">
        <v>1</v>
      </c>
      <c r="AM6944">
        <v>1</v>
      </c>
    </row>
    <row r="6945" spans="1:39" x14ac:dyDescent="0.2">
      <c r="A6945" t="str">
        <f>"6941"</f>
        <v>6941</v>
      </c>
      <c r="B6945" t="str">
        <f t="shared" si="384"/>
        <v>1</v>
      </c>
      <c r="C6945" t="str">
        <f t="shared" si="386"/>
        <v>139</v>
      </c>
      <c r="D6945" t="str">
        <f>"46"</f>
        <v>46</v>
      </c>
      <c r="E6945" t="str">
        <f>"1-139-46"</f>
        <v>1-139-46</v>
      </c>
      <c r="F6945" t="s">
        <v>65</v>
      </c>
      <c r="G6945" t="s">
        <v>66</v>
      </c>
      <c r="H6945" t="s">
        <v>67</v>
      </c>
      <c r="S6945">
        <v>1</v>
      </c>
      <c r="T6945">
        <v>0</v>
      </c>
      <c r="U6945">
        <v>0</v>
      </c>
      <c r="V6945">
        <v>0</v>
      </c>
      <c r="W6945">
        <v>1</v>
      </c>
      <c r="X6945">
        <v>0</v>
      </c>
      <c r="Y6945">
        <v>0</v>
      </c>
      <c r="Z6945">
        <v>1</v>
      </c>
      <c r="AA6945">
        <v>0</v>
      </c>
      <c r="AB6945">
        <v>0</v>
      </c>
      <c r="AC6945">
        <v>1</v>
      </c>
      <c r="AD6945">
        <v>1</v>
      </c>
      <c r="AE6945">
        <v>1</v>
      </c>
      <c r="AF6945">
        <v>1</v>
      </c>
      <c r="AG6945">
        <v>1</v>
      </c>
      <c r="AH6945">
        <v>1</v>
      </c>
      <c r="AI6945">
        <v>1</v>
      </c>
      <c r="AJ6945">
        <v>1</v>
      </c>
      <c r="AK6945">
        <v>1</v>
      </c>
      <c r="AL6945">
        <v>1</v>
      </c>
      <c r="AM6945">
        <v>1</v>
      </c>
    </row>
    <row r="6946" spans="1:39" x14ac:dyDescent="0.2">
      <c r="A6946" t="str">
        <f>"6942"</f>
        <v>6942</v>
      </c>
      <c r="B6946" t="str">
        <f t="shared" si="384"/>
        <v>1</v>
      </c>
      <c r="C6946" t="str">
        <f t="shared" si="386"/>
        <v>139</v>
      </c>
      <c r="D6946" t="str">
        <f>"30"</f>
        <v>30</v>
      </c>
      <c r="E6946" t="str">
        <f>"1-139-30"</f>
        <v>1-139-30</v>
      </c>
      <c r="F6946" t="s">
        <v>65</v>
      </c>
      <c r="G6946" t="s">
        <v>66</v>
      </c>
      <c r="H6946" t="s">
        <v>67</v>
      </c>
      <c r="S6946">
        <v>1</v>
      </c>
      <c r="T6946">
        <v>0</v>
      </c>
      <c r="U6946">
        <v>0</v>
      </c>
      <c r="V6946">
        <v>0</v>
      </c>
      <c r="W6946">
        <v>1</v>
      </c>
      <c r="X6946">
        <v>0</v>
      </c>
      <c r="Y6946">
        <v>0</v>
      </c>
      <c r="Z6946">
        <v>1</v>
      </c>
      <c r="AA6946">
        <v>0</v>
      </c>
      <c r="AB6946">
        <v>1</v>
      </c>
      <c r="AC6946">
        <v>0</v>
      </c>
      <c r="AD6946">
        <v>0</v>
      </c>
      <c r="AE6946">
        <v>0</v>
      </c>
      <c r="AF6946">
        <v>0</v>
      </c>
      <c r="AG6946">
        <v>1</v>
      </c>
      <c r="AH6946">
        <v>1</v>
      </c>
      <c r="AI6946">
        <v>0</v>
      </c>
      <c r="AJ6946">
        <v>1</v>
      </c>
      <c r="AK6946">
        <v>0</v>
      </c>
      <c r="AL6946">
        <v>1</v>
      </c>
      <c r="AM6946">
        <v>0</v>
      </c>
    </row>
    <row r="6947" spans="1:39" x14ac:dyDescent="0.2">
      <c r="A6947" t="str">
        <f>"6943"</f>
        <v>6943</v>
      </c>
      <c r="B6947" t="str">
        <f t="shared" si="384"/>
        <v>1</v>
      </c>
      <c r="C6947" t="str">
        <f t="shared" si="386"/>
        <v>139</v>
      </c>
      <c r="D6947" t="str">
        <f>"3"</f>
        <v>3</v>
      </c>
      <c r="E6947" t="str">
        <f>"1-139-3"</f>
        <v>1-139-3</v>
      </c>
      <c r="F6947" t="s">
        <v>65</v>
      </c>
      <c r="G6947" t="s">
        <v>66</v>
      </c>
      <c r="H6947" t="s">
        <v>67</v>
      </c>
      <c r="S6947">
        <v>1</v>
      </c>
      <c r="T6947">
        <v>0</v>
      </c>
      <c r="U6947">
        <v>0</v>
      </c>
      <c r="V6947">
        <v>0</v>
      </c>
      <c r="W6947">
        <v>1</v>
      </c>
      <c r="X6947">
        <v>0</v>
      </c>
      <c r="Y6947">
        <v>1</v>
      </c>
      <c r="Z6947">
        <v>0</v>
      </c>
      <c r="AA6947">
        <v>0</v>
      </c>
      <c r="AB6947">
        <v>0</v>
      </c>
      <c r="AC6947">
        <v>1</v>
      </c>
      <c r="AD6947">
        <v>1</v>
      </c>
      <c r="AE6947">
        <v>1</v>
      </c>
      <c r="AF6947">
        <v>1</v>
      </c>
      <c r="AG6947">
        <v>1</v>
      </c>
      <c r="AH6947">
        <v>1</v>
      </c>
      <c r="AI6947">
        <v>1</v>
      </c>
      <c r="AJ6947">
        <v>1</v>
      </c>
      <c r="AK6947">
        <v>1</v>
      </c>
      <c r="AL6947">
        <v>1</v>
      </c>
      <c r="AM6947">
        <v>1</v>
      </c>
    </row>
    <row r="6948" spans="1:39" x14ac:dyDescent="0.2">
      <c r="A6948" t="str">
        <f>"6944"</f>
        <v>6944</v>
      </c>
      <c r="B6948" t="str">
        <f t="shared" si="384"/>
        <v>1</v>
      </c>
      <c r="C6948" t="str">
        <f t="shared" si="386"/>
        <v>139</v>
      </c>
      <c r="D6948" t="str">
        <f>"31"</f>
        <v>31</v>
      </c>
      <c r="E6948" t="str">
        <f>"1-139-31"</f>
        <v>1-139-31</v>
      </c>
      <c r="F6948" t="s">
        <v>65</v>
      </c>
      <c r="G6948" t="s">
        <v>66</v>
      </c>
      <c r="H6948" t="s">
        <v>67</v>
      </c>
      <c r="S6948">
        <v>1</v>
      </c>
      <c r="T6948">
        <v>0</v>
      </c>
      <c r="U6948">
        <v>0</v>
      </c>
      <c r="V6948">
        <v>0</v>
      </c>
      <c r="W6948">
        <v>1</v>
      </c>
      <c r="X6948">
        <v>0</v>
      </c>
      <c r="Y6948">
        <v>0</v>
      </c>
      <c r="Z6948">
        <v>1</v>
      </c>
      <c r="AA6948">
        <v>1</v>
      </c>
      <c r="AB6948">
        <v>0</v>
      </c>
      <c r="AC6948">
        <v>0</v>
      </c>
      <c r="AD6948">
        <v>1</v>
      </c>
      <c r="AE6948">
        <v>1</v>
      </c>
      <c r="AF6948">
        <v>1</v>
      </c>
      <c r="AG6948">
        <v>1</v>
      </c>
      <c r="AH6948">
        <v>0</v>
      </c>
      <c r="AI6948">
        <v>1</v>
      </c>
      <c r="AJ6948">
        <v>1</v>
      </c>
      <c r="AK6948">
        <v>1</v>
      </c>
      <c r="AL6948">
        <v>1</v>
      </c>
      <c r="AM6948">
        <v>1</v>
      </c>
    </row>
    <row r="6949" spans="1:39" x14ac:dyDescent="0.2">
      <c r="A6949" t="str">
        <f>"6945"</f>
        <v>6945</v>
      </c>
      <c r="B6949" t="str">
        <f t="shared" si="384"/>
        <v>1</v>
      </c>
      <c r="C6949" t="str">
        <f t="shared" si="386"/>
        <v>139</v>
      </c>
      <c r="D6949" t="str">
        <f>"11"</f>
        <v>11</v>
      </c>
      <c r="E6949" t="str">
        <f>"1-139-11"</f>
        <v>1-139-11</v>
      </c>
      <c r="F6949" t="s">
        <v>65</v>
      </c>
      <c r="G6949" t="s">
        <v>66</v>
      </c>
      <c r="H6949" t="s">
        <v>67</v>
      </c>
      <c r="S6949">
        <v>1</v>
      </c>
      <c r="T6949">
        <v>0</v>
      </c>
      <c r="U6949">
        <v>0</v>
      </c>
      <c r="V6949">
        <v>0</v>
      </c>
      <c r="W6949">
        <v>1</v>
      </c>
      <c r="X6949">
        <v>0</v>
      </c>
      <c r="Y6949">
        <v>1</v>
      </c>
      <c r="Z6949">
        <v>0</v>
      </c>
      <c r="AA6949">
        <v>1</v>
      </c>
      <c r="AB6949">
        <v>0</v>
      </c>
      <c r="AC6949">
        <v>0</v>
      </c>
      <c r="AD6949">
        <v>1</v>
      </c>
      <c r="AE6949">
        <v>1</v>
      </c>
      <c r="AF6949">
        <v>1</v>
      </c>
      <c r="AG6949">
        <v>1</v>
      </c>
      <c r="AH6949">
        <v>1</v>
      </c>
      <c r="AI6949">
        <v>1</v>
      </c>
      <c r="AJ6949">
        <v>1</v>
      </c>
      <c r="AK6949">
        <v>1</v>
      </c>
      <c r="AL6949">
        <v>1</v>
      </c>
      <c r="AM6949">
        <v>1</v>
      </c>
    </row>
    <row r="6950" spans="1:39" x14ac:dyDescent="0.2">
      <c r="A6950" t="str">
        <f>"6946"</f>
        <v>6946</v>
      </c>
      <c r="B6950" t="str">
        <f t="shared" si="384"/>
        <v>1</v>
      </c>
      <c r="C6950" t="str">
        <f t="shared" si="386"/>
        <v>139</v>
      </c>
      <c r="D6950" t="str">
        <f>"47"</f>
        <v>47</v>
      </c>
      <c r="E6950" t="str">
        <f>"1-139-47"</f>
        <v>1-139-47</v>
      </c>
      <c r="F6950" t="s">
        <v>65</v>
      </c>
      <c r="G6950" t="s">
        <v>66</v>
      </c>
      <c r="H6950" t="s">
        <v>67</v>
      </c>
      <c r="S6950">
        <v>1</v>
      </c>
      <c r="T6950">
        <v>0</v>
      </c>
      <c r="U6950">
        <v>0</v>
      </c>
      <c r="V6950">
        <v>0</v>
      </c>
      <c r="W6950">
        <v>1</v>
      </c>
      <c r="X6950">
        <v>0</v>
      </c>
      <c r="Y6950">
        <v>1</v>
      </c>
      <c r="Z6950">
        <v>0</v>
      </c>
      <c r="AA6950">
        <v>0</v>
      </c>
      <c r="AB6950">
        <v>1</v>
      </c>
      <c r="AC6950">
        <v>0</v>
      </c>
      <c r="AD6950">
        <v>1</v>
      </c>
      <c r="AE6950">
        <v>1</v>
      </c>
      <c r="AF6950">
        <v>1</v>
      </c>
      <c r="AG6950">
        <v>1</v>
      </c>
      <c r="AH6950">
        <v>1</v>
      </c>
      <c r="AI6950">
        <v>1</v>
      </c>
      <c r="AJ6950">
        <v>1</v>
      </c>
      <c r="AK6950">
        <v>1</v>
      </c>
      <c r="AL6950">
        <v>1</v>
      </c>
      <c r="AM6950">
        <v>1</v>
      </c>
    </row>
    <row r="6951" spans="1:39" x14ac:dyDescent="0.2">
      <c r="A6951" t="str">
        <f>"6947"</f>
        <v>6947</v>
      </c>
      <c r="B6951" t="str">
        <f t="shared" si="384"/>
        <v>1</v>
      </c>
      <c r="C6951" t="str">
        <f t="shared" si="386"/>
        <v>139</v>
      </c>
      <c r="D6951" t="str">
        <f>"32"</f>
        <v>32</v>
      </c>
      <c r="E6951" t="str">
        <f>"1-139-32"</f>
        <v>1-139-32</v>
      </c>
      <c r="F6951" t="s">
        <v>65</v>
      </c>
      <c r="G6951" t="s">
        <v>66</v>
      </c>
      <c r="H6951" t="s">
        <v>67</v>
      </c>
      <c r="S6951">
        <v>1</v>
      </c>
      <c r="T6951">
        <v>0</v>
      </c>
      <c r="U6951">
        <v>0</v>
      </c>
      <c r="V6951">
        <v>0</v>
      </c>
      <c r="W6951">
        <v>1</v>
      </c>
      <c r="X6951">
        <v>0</v>
      </c>
      <c r="Y6951">
        <v>1</v>
      </c>
      <c r="Z6951">
        <v>0</v>
      </c>
      <c r="AA6951">
        <v>1</v>
      </c>
      <c r="AB6951">
        <v>0</v>
      </c>
      <c r="AC6951">
        <v>0</v>
      </c>
      <c r="AD6951">
        <v>1</v>
      </c>
      <c r="AE6951">
        <v>1</v>
      </c>
      <c r="AF6951">
        <v>1</v>
      </c>
      <c r="AG6951">
        <v>1</v>
      </c>
      <c r="AH6951">
        <v>1</v>
      </c>
      <c r="AI6951">
        <v>1</v>
      </c>
      <c r="AJ6951">
        <v>1</v>
      </c>
      <c r="AK6951">
        <v>1</v>
      </c>
      <c r="AL6951">
        <v>1</v>
      </c>
      <c r="AM6951">
        <v>1</v>
      </c>
    </row>
    <row r="6952" spans="1:39" x14ac:dyDescent="0.2">
      <c r="A6952" t="str">
        <f>"6948"</f>
        <v>6948</v>
      </c>
      <c r="B6952" t="str">
        <f t="shared" si="384"/>
        <v>1</v>
      </c>
      <c r="C6952" t="str">
        <f t="shared" si="386"/>
        <v>139</v>
      </c>
      <c r="D6952" t="str">
        <f>"8"</f>
        <v>8</v>
      </c>
      <c r="E6952" t="str">
        <f>"1-139-8"</f>
        <v>1-139-8</v>
      </c>
      <c r="F6952" t="s">
        <v>65</v>
      </c>
      <c r="G6952" t="s">
        <v>66</v>
      </c>
      <c r="H6952" t="s">
        <v>67</v>
      </c>
      <c r="S6952">
        <v>1</v>
      </c>
      <c r="T6952">
        <v>0</v>
      </c>
      <c r="U6952">
        <v>0</v>
      </c>
      <c r="V6952">
        <v>0</v>
      </c>
      <c r="W6952">
        <v>1</v>
      </c>
      <c r="X6952">
        <v>0</v>
      </c>
      <c r="Y6952">
        <v>0</v>
      </c>
      <c r="Z6952">
        <v>1</v>
      </c>
      <c r="AA6952">
        <v>0</v>
      </c>
      <c r="AB6952">
        <v>0</v>
      </c>
      <c r="AC6952">
        <v>1</v>
      </c>
      <c r="AD6952">
        <v>1</v>
      </c>
      <c r="AE6952">
        <v>1</v>
      </c>
      <c r="AF6952">
        <v>1</v>
      </c>
      <c r="AG6952">
        <v>1</v>
      </c>
      <c r="AH6952">
        <v>1</v>
      </c>
      <c r="AI6952">
        <v>1</v>
      </c>
      <c r="AJ6952">
        <v>1</v>
      </c>
      <c r="AK6952">
        <v>1</v>
      </c>
      <c r="AL6952">
        <v>1</v>
      </c>
      <c r="AM6952">
        <v>1</v>
      </c>
    </row>
    <row r="6953" spans="1:39" x14ac:dyDescent="0.2">
      <c r="A6953" t="str">
        <f>"6949"</f>
        <v>6949</v>
      </c>
      <c r="B6953" t="str">
        <f t="shared" si="384"/>
        <v>1</v>
      </c>
      <c r="C6953" t="str">
        <f t="shared" si="386"/>
        <v>139</v>
      </c>
      <c r="D6953" t="str">
        <f>"45"</f>
        <v>45</v>
      </c>
      <c r="E6953" t="str">
        <f>"1-139-45"</f>
        <v>1-139-45</v>
      </c>
      <c r="F6953" t="s">
        <v>65</v>
      </c>
      <c r="G6953" t="s">
        <v>66</v>
      </c>
      <c r="H6953" t="s">
        <v>67</v>
      </c>
      <c r="S6953">
        <v>1</v>
      </c>
      <c r="T6953">
        <v>0</v>
      </c>
      <c r="U6953">
        <v>0</v>
      </c>
      <c r="V6953">
        <v>0</v>
      </c>
      <c r="W6953">
        <v>1</v>
      </c>
      <c r="X6953">
        <v>0</v>
      </c>
      <c r="Y6953">
        <v>0</v>
      </c>
      <c r="Z6953">
        <v>1</v>
      </c>
      <c r="AA6953">
        <v>0</v>
      </c>
      <c r="AB6953">
        <v>0</v>
      </c>
      <c r="AC6953">
        <v>1</v>
      </c>
      <c r="AD6953">
        <v>1</v>
      </c>
      <c r="AE6953">
        <v>1</v>
      </c>
      <c r="AF6953">
        <v>1</v>
      </c>
      <c r="AG6953">
        <v>1</v>
      </c>
      <c r="AH6953">
        <v>1</v>
      </c>
      <c r="AI6953">
        <v>1</v>
      </c>
      <c r="AJ6953">
        <v>1</v>
      </c>
      <c r="AK6953">
        <v>1</v>
      </c>
      <c r="AL6953">
        <v>1</v>
      </c>
      <c r="AM6953">
        <v>1</v>
      </c>
    </row>
    <row r="6954" spans="1:39" x14ac:dyDescent="0.2">
      <c r="A6954" t="str">
        <f>"6950"</f>
        <v>6950</v>
      </c>
      <c r="B6954" t="str">
        <f t="shared" si="384"/>
        <v>1</v>
      </c>
      <c r="C6954" t="str">
        <f t="shared" si="386"/>
        <v>139</v>
      </c>
      <c r="D6954" t="str">
        <f>"50"</f>
        <v>50</v>
      </c>
      <c r="E6954" t="str">
        <f>"1-139-50"</f>
        <v>1-139-50</v>
      </c>
      <c r="F6954" t="s">
        <v>65</v>
      </c>
      <c r="G6954" t="s">
        <v>66</v>
      </c>
      <c r="H6954" t="s">
        <v>67</v>
      </c>
      <c r="S6954">
        <v>1</v>
      </c>
      <c r="T6954">
        <v>0</v>
      </c>
      <c r="U6954">
        <v>0</v>
      </c>
      <c r="V6954">
        <v>0</v>
      </c>
      <c r="W6954">
        <v>1</v>
      </c>
      <c r="X6954">
        <v>0</v>
      </c>
      <c r="Y6954">
        <v>1</v>
      </c>
      <c r="Z6954">
        <v>0</v>
      </c>
      <c r="AA6954">
        <v>1</v>
      </c>
      <c r="AB6954">
        <v>0</v>
      </c>
      <c r="AC6954">
        <v>0</v>
      </c>
      <c r="AD6954">
        <v>1</v>
      </c>
      <c r="AE6954">
        <v>1</v>
      </c>
      <c r="AF6954">
        <v>1</v>
      </c>
      <c r="AG6954">
        <v>1</v>
      </c>
      <c r="AH6954">
        <v>1</v>
      </c>
      <c r="AI6954">
        <v>1</v>
      </c>
      <c r="AJ6954">
        <v>1</v>
      </c>
      <c r="AK6954">
        <v>1</v>
      </c>
      <c r="AL6954">
        <v>1</v>
      </c>
      <c r="AM6954">
        <v>1</v>
      </c>
    </row>
    <row r="6955" spans="1:39" x14ac:dyDescent="0.2">
      <c r="A6955" t="str">
        <f>"6951"</f>
        <v>6951</v>
      </c>
      <c r="B6955" t="str">
        <f t="shared" si="384"/>
        <v>1</v>
      </c>
      <c r="C6955" t="str">
        <f t="shared" ref="C6955:C6986" si="387">"140"</f>
        <v>140</v>
      </c>
      <c r="D6955" t="str">
        <f>"38"</f>
        <v>38</v>
      </c>
      <c r="E6955" t="str">
        <f>"1-140-38"</f>
        <v>1-140-38</v>
      </c>
      <c r="F6955" t="s">
        <v>65</v>
      </c>
      <c r="G6955" t="s">
        <v>66</v>
      </c>
      <c r="H6955" t="s">
        <v>67</v>
      </c>
      <c r="S6955">
        <v>0</v>
      </c>
      <c r="T6955">
        <v>1</v>
      </c>
      <c r="U6955">
        <v>0</v>
      </c>
      <c r="V6955">
        <v>0</v>
      </c>
      <c r="W6955">
        <v>1</v>
      </c>
      <c r="X6955">
        <v>0</v>
      </c>
      <c r="Y6955">
        <v>0</v>
      </c>
      <c r="Z6955">
        <v>0</v>
      </c>
      <c r="AA6955">
        <v>1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1</v>
      </c>
      <c r="AH6955">
        <v>1</v>
      </c>
      <c r="AI6955">
        <v>1</v>
      </c>
      <c r="AJ6955">
        <v>1</v>
      </c>
      <c r="AK6955">
        <v>1</v>
      </c>
      <c r="AL6955">
        <v>1</v>
      </c>
      <c r="AM6955">
        <v>0</v>
      </c>
    </row>
    <row r="6956" spans="1:39" x14ac:dyDescent="0.2">
      <c r="A6956" t="str">
        <f>"6952"</f>
        <v>6952</v>
      </c>
      <c r="B6956" t="str">
        <f t="shared" si="384"/>
        <v>1</v>
      </c>
      <c r="C6956" t="str">
        <f t="shared" si="387"/>
        <v>140</v>
      </c>
      <c r="D6956" t="str">
        <f>"37"</f>
        <v>37</v>
      </c>
      <c r="E6956" t="str">
        <f>"1-140-37"</f>
        <v>1-140-37</v>
      </c>
      <c r="F6956" t="s">
        <v>65</v>
      </c>
      <c r="G6956" t="s">
        <v>66</v>
      </c>
      <c r="H6956" t="s">
        <v>67</v>
      </c>
      <c r="S6956">
        <v>1</v>
      </c>
      <c r="T6956">
        <v>0</v>
      </c>
      <c r="U6956">
        <v>0</v>
      </c>
      <c r="V6956">
        <v>0</v>
      </c>
      <c r="W6956">
        <v>1</v>
      </c>
      <c r="X6956">
        <v>0</v>
      </c>
      <c r="Y6956">
        <v>1</v>
      </c>
      <c r="Z6956">
        <v>0</v>
      </c>
      <c r="AA6956">
        <v>0</v>
      </c>
      <c r="AB6956">
        <v>0</v>
      </c>
      <c r="AC6956">
        <v>1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1</v>
      </c>
      <c r="AJ6956">
        <v>0</v>
      </c>
      <c r="AK6956">
        <v>0</v>
      </c>
      <c r="AL6956">
        <v>1</v>
      </c>
      <c r="AM6956">
        <v>0</v>
      </c>
    </row>
    <row r="6957" spans="1:39" x14ac:dyDescent="0.2">
      <c r="A6957" t="str">
        <f>"6953"</f>
        <v>6953</v>
      </c>
      <c r="B6957" t="str">
        <f t="shared" si="384"/>
        <v>1</v>
      </c>
      <c r="C6957" t="str">
        <f t="shared" si="387"/>
        <v>140</v>
      </c>
      <c r="D6957" t="str">
        <f>"24"</f>
        <v>24</v>
      </c>
      <c r="E6957" t="str">
        <f>"1-140-24"</f>
        <v>1-140-24</v>
      </c>
      <c r="F6957" t="s">
        <v>65</v>
      </c>
      <c r="G6957" t="s">
        <v>66</v>
      </c>
      <c r="H6957" t="s">
        <v>67</v>
      </c>
      <c r="S6957">
        <v>1</v>
      </c>
      <c r="T6957">
        <v>0</v>
      </c>
      <c r="U6957">
        <v>0</v>
      </c>
      <c r="V6957">
        <v>0</v>
      </c>
      <c r="W6957">
        <v>1</v>
      </c>
      <c r="X6957">
        <v>0</v>
      </c>
      <c r="Y6957">
        <v>0</v>
      </c>
      <c r="Z6957">
        <v>1</v>
      </c>
      <c r="AA6957">
        <v>0</v>
      </c>
      <c r="AB6957">
        <v>1</v>
      </c>
      <c r="AC6957">
        <v>0</v>
      </c>
      <c r="AD6957">
        <v>1</v>
      </c>
      <c r="AE6957">
        <v>1</v>
      </c>
      <c r="AF6957">
        <v>1</v>
      </c>
      <c r="AG6957">
        <v>1</v>
      </c>
      <c r="AH6957">
        <v>1</v>
      </c>
      <c r="AI6957">
        <v>1</v>
      </c>
      <c r="AJ6957">
        <v>1</v>
      </c>
      <c r="AK6957">
        <v>1</v>
      </c>
      <c r="AL6957">
        <v>1</v>
      </c>
      <c r="AM6957">
        <v>1</v>
      </c>
    </row>
    <row r="6958" spans="1:39" x14ac:dyDescent="0.2">
      <c r="A6958" t="str">
        <f>"6954"</f>
        <v>6954</v>
      </c>
      <c r="B6958" t="str">
        <f t="shared" si="384"/>
        <v>1</v>
      </c>
      <c r="C6958" t="str">
        <f t="shared" si="387"/>
        <v>140</v>
      </c>
      <c r="D6958" t="str">
        <f>"15"</f>
        <v>15</v>
      </c>
      <c r="E6958" t="str">
        <f>"1-140-15"</f>
        <v>1-140-15</v>
      </c>
      <c r="F6958" t="s">
        <v>65</v>
      </c>
      <c r="G6958" t="s">
        <v>66</v>
      </c>
      <c r="H6958" t="s">
        <v>67</v>
      </c>
      <c r="S6958">
        <v>0</v>
      </c>
      <c r="T6958">
        <v>0</v>
      </c>
      <c r="U6958">
        <v>0</v>
      </c>
      <c r="V6958">
        <v>0</v>
      </c>
      <c r="W6958">
        <v>1</v>
      </c>
      <c r="X6958">
        <v>0</v>
      </c>
      <c r="Y6958">
        <v>0</v>
      </c>
      <c r="Z6958">
        <v>1</v>
      </c>
      <c r="AA6958">
        <v>0</v>
      </c>
      <c r="AB6958">
        <v>1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1</v>
      </c>
      <c r="AK6958">
        <v>0</v>
      </c>
      <c r="AL6958">
        <v>1</v>
      </c>
      <c r="AM6958">
        <v>0</v>
      </c>
    </row>
    <row r="6959" spans="1:39" x14ac:dyDescent="0.2">
      <c r="A6959" t="str">
        <f>"6955"</f>
        <v>6955</v>
      </c>
      <c r="B6959" t="str">
        <f t="shared" si="384"/>
        <v>1</v>
      </c>
      <c r="C6959" t="str">
        <f t="shared" si="387"/>
        <v>140</v>
      </c>
      <c r="D6959" t="str">
        <f>"2"</f>
        <v>2</v>
      </c>
      <c r="E6959" t="str">
        <f>"1-140-2"</f>
        <v>1-140-2</v>
      </c>
      <c r="F6959" t="s">
        <v>65</v>
      </c>
      <c r="G6959" t="s">
        <v>66</v>
      </c>
      <c r="H6959" t="s">
        <v>67</v>
      </c>
      <c r="S6959">
        <v>1</v>
      </c>
      <c r="T6959">
        <v>0</v>
      </c>
      <c r="U6959">
        <v>0</v>
      </c>
      <c r="V6959">
        <v>0</v>
      </c>
      <c r="W6959">
        <v>1</v>
      </c>
      <c r="X6959">
        <v>0</v>
      </c>
      <c r="Y6959">
        <v>1</v>
      </c>
      <c r="Z6959">
        <v>0</v>
      </c>
      <c r="AA6959">
        <v>1</v>
      </c>
      <c r="AB6959">
        <v>0</v>
      </c>
      <c r="AC6959">
        <v>0</v>
      </c>
      <c r="AD6959">
        <v>1</v>
      </c>
      <c r="AE6959">
        <v>1</v>
      </c>
      <c r="AF6959">
        <v>1</v>
      </c>
      <c r="AG6959">
        <v>1</v>
      </c>
      <c r="AH6959">
        <v>1</v>
      </c>
      <c r="AI6959">
        <v>1</v>
      </c>
      <c r="AJ6959">
        <v>1</v>
      </c>
      <c r="AK6959">
        <v>1</v>
      </c>
      <c r="AL6959">
        <v>1</v>
      </c>
      <c r="AM6959">
        <v>1</v>
      </c>
    </row>
    <row r="6960" spans="1:39" x14ac:dyDescent="0.2">
      <c r="A6960" t="str">
        <f>"6956"</f>
        <v>6956</v>
      </c>
      <c r="B6960" t="str">
        <f t="shared" si="384"/>
        <v>1</v>
      </c>
      <c r="C6960" t="str">
        <f t="shared" si="387"/>
        <v>140</v>
      </c>
      <c r="D6960" t="str">
        <f>"34"</f>
        <v>34</v>
      </c>
      <c r="E6960" t="str">
        <f>"1-140-34"</f>
        <v>1-140-34</v>
      </c>
      <c r="F6960" t="s">
        <v>65</v>
      </c>
      <c r="G6960" t="s">
        <v>66</v>
      </c>
      <c r="H6960" t="s">
        <v>67</v>
      </c>
      <c r="S6960">
        <v>1</v>
      </c>
      <c r="T6960">
        <v>0</v>
      </c>
      <c r="U6960">
        <v>0</v>
      </c>
      <c r="V6960">
        <v>0</v>
      </c>
      <c r="W6960">
        <v>0</v>
      </c>
      <c r="X6960">
        <v>1</v>
      </c>
      <c r="Y6960">
        <v>0</v>
      </c>
      <c r="Z6960">
        <v>0</v>
      </c>
      <c r="AA6960">
        <v>0</v>
      </c>
      <c r="AB6960">
        <v>1</v>
      </c>
      <c r="AC6960">
        <v>0</v>
      </c>
      <c r="AD6960">
        <v>0</v>
      </c>
      <c r="AE6960">
        <v>1</v>
      </c>
      <c r="AF6960">
        <v>1</v>
      </c>
      <c r="AG6960">
        <v>1</v>
      </c>
      <c r="AH6960">
        <v>1</v>
      </c>
      <c r="AI6960">
        <v>1</v>
      </c>
      <c r="AJ6960">
        <v>1</v>
      </c>
      <c r="AK6960">
        <v>1</v>
      </c>
      <c r="AL6960">
        <v>1</v>
      </c>
      <c r="AM6960">
        <v>1</v>
      </c>
    </row>
    <row r="6961" spans="1:39" x14ac:dyDescent="0.2">
      <c r="A6961" t="str">
        <f>"6957"</f>
        <v>6957</v>
      </c>
      <c r="B6961" t="str">
        <f t="shared" si="384"/>
        <v>1</v>
      </c>
      <c r="C6961" t="str">
        <f t="shared" si="387"/>
        <v>140</v>
      </c>
      <c r="D6961" t="str">
        <f>"33"</f>
        <v>33</v>
      </c>
      <c r="E6961" t="str">
        <f>"1-140-33"</f>
        <v>1-140-33</v>
      </c>
      <c r="F6961" t="s">
        <v>65</v>
      </c>
      <c r="G6961" t="s">
        <v>66</v>
      </c>
      <c r="H6961" t="s">
        <v>67</v>
      </c>
      <c r="S6961">
        <v>0</v>
      </c>
      <c r="T6961">
        <v>1</v>
      </c>
      <c r="U6961">
        <v>0</v>
      </c>
      <c r="V6961">
        <v>0</v>
      </c>
      <c r="W6961">
        <v>1</v>
      </c>
      <c r="X6961">
        <v>0</v>
      </c>
      <c r="Y6961">
        <v>0</v>
      </c>
      <c r="Z6961">
        <v>1</v>
      </c>
      <c r="AA6961">
        <v>0</v>
      </c>
      <c r="AB6961">
        <v>1</v>
      </c>
      <c r="AC6961">
        <v>0</v>
      </c>
      <c r="AD6961">
        <v>1</v>
      </c>
      <c r="AE6961">
        <v>1</v>
      </c>
      <c r="AF6961">
        <v>1</v>
      </c>
      <c r="AG6961">
        <v>1</v>
      </c>
      <c r="AH6961">
        <v>1</v>
      </c>
      <c r="AI6961">
        <v>1</v>
      </c>
      <c r="AJ6961">
        <v>1</v>
      </c>
      <c r="AK6961">
        <v>1</v>
      </c>
      <c r="AL6961">
        <v>1</v>
      </c>
      <c r="AM6961">
        <v>1</v>
      </c>
    </row>
    <row r="6962" spans="1:39" x14ac:dyDescent="0.2">
      <c r="A6962" t="str">
        <f>"6958"</f>
        <v>6958</v>
      </c>
      <c r="B6962" t="str">
        <f t="shared" si="384"/>
        <v>1</v>
      </c>
      <c r="C6962" t="str">
        <f t="shared" si="387"/>
        <v>140</v>
      </c>
      <c r="D6962" t="str">
        <f>"20"</f>
        <v>20</v>
      </c>
      <c r="E6962" t="str">
        <f>"1-140-20"</f>
        <v>1-140-20</v>
      </c>
      <c r="F6962" t="s">
        <v>65</v>
      </c>
      <c r="G6962" t="s">
        <v>66</v>
      </c>
      <c r="H6962" t="s">
        <v>67</v>
      </c>
      <c r="S6962">
        <v>1</v>
      </c>
      <c r="T6962">
        <v>0</v>
      </c>
      <c r="U6962">
        <v>0</v>
      </c>
      <c r="V6962">
        <v>0</v>
      </c>
      <c r="W6962">
        <v>1</v>
      </c>
      <c r="X6962">
        <v>0</v>
      </c>
      <c r="Y6962">
        <v>1</v>
      </c>
      <c r="Z6962">
        <v>0</v>
      </c>
      <c r="AA6962">
        <v>1</v>
      </c>
      <c r="AB6962">
        <v>0</v>
      </c>
      <c r="AC6962">
        <v>0</v>
      </c>
      <c r="AD6962">
        <v>1</v>
      </c>
      <c r="AE6962">
        <v>1</v>
      </c>
      <c r="AF6962">
        <v>1</v>
      </c>
      <c r="AG6962">
        <v>1</v>
      </c>
      <c r="AH6962">
        <v>1</v>
      </c>
      <c r="AI6962">
        <v>1</v>
      </c>
      <c r="AJ6962">
        <v>1</v>
      </c>
      <c r="AK6962">
        <v>1</v>
      </c>
      <c r="AL6962">
        <v>1</v>
      </c>
      <c r="AM6962">
        <v>1</v>
      </c>
    </row>
    <row r="6963" spans="1:39" x14ac:dyDescent="0.2">
      <c r="A6963" t="str">
        <f>"6959"</f>
        <v>6959</v>
      </c>
      <c r="B6963" t="str">
        <f t="shared" si="384"/>
        <v>1</v>
      </c>
      <c r="C6963" t="str">
        <f t="shared" si="387"/>
        <v>140</v>
      </c>
      <c r="D6963" t="str">
        <f>"16"</f>
        <v>16</v>
      </c>
      <c r="E6963" t="str">
        <f>"1-140-16"</f>
        <v>1-140-16</v>
      </c>
      <c r="F6963" t="s">
        <v>65</v>
      </c>
      <c r="G6963" t="s">
        <v>66</v>
      </c>
      <c r="H6963" t="s">
        <v>67</v>
      </c>
      <c r="S6963">
        <v>0</v>
      </c>
      <c r="T6963">
        <v>1</v>
      </c>
      <c r="U6963">
        <v>0</v>
      </c>
      <c r="V6963">
        <v>0</v>
      </c>
      <c r="W6963">
        <v>1</v>
      </c>
      <c r="X6963">
        <v>0</v>
      </c>
      <c r="Y6963">
        <v>1</v>
      </c>
      <c r="Z6963">
        <v>0</v>
      </c>
      <c r="AA6963">
        <v>0</v>
      </c>
      <c r="AB6963">
        <v>1</v>
      </c>
      <c r="AC6963">
        <v>0</v>
      </c>
      <c r="AD6963">
        <v>1</v>
      </c>
      <c r="AE6963">
        <v>1</v>
      </c>
      <c r="AF6963">
        <v>1</v>
      </c>
      <c r="AG6963">
        <v>1</v>
      </c>
      <c r="AH6963">
        <v>1</v>
      </c>
      <c r="AI6963">
        <v>1</v>
      </c>
      <c r="AJ6963">
        <v>1</v>
      </c>
      <c r="AK6963">
        <v>1</v>
      </c>
      <c r="AL6963">
        <v>1</v>
      </c>
      <c r="AM6963">
        <v>1</v>
      </c>
    </row>
    <row r="6964" spans="1:39" x14ac:dyDescent="0.2">
      <c r="A6964" t="str">
        <f>"6960"</f>
        <v>6960</v>
      </c>
      <c r="B6964" t="str">
        <f t="shared" si="384"/>
        <v>1</v>
      </c>
      <c r="C6964" t="str">
        <f t="shared" si="387"/>
        <v>140</v>
      </c>
      <c r="D6964" t="str">
        <f>"3"</f>
        <v>3</v>
      </c>
      <c r="E6964" t="str">
        <f>"1-140-3"</f>
        <v>1-140-3</v>
      </c>
      <c r="F6964" t="s">
        <v>65</v>
      </c>
      <c r="G6964" t="s">
        <v>66</v>
      </c>
      <c r="H6964" t="s">
        <v>67</v>
      </c>
      <c r="S6964">
        <v>1</v>
      </c>
      <c r="T6964">
        <v>0</v>
      </c>
      <c r="U6964">
        <v>0</v>
      </c>
      <c r="V6964">
        <v>0</v>
      </c>
      <c r="W6964">
        <v>1</v>
      </c>
      <c r="X6964">
        <v>0</v>
      </c>
      <c r="Y6964">
        <v>1</v>
      </c>
      <c r="Z6964">
        <v>0</v>
      </c>
      <c r="AA6964">
        <v>0</v>
      </c>
      <c r="AB6964">
        <v>0</v>
      </c>
      <c r="AC6964">
        <v>1</v>
      </c>
      <c r="AD6964">
        <v>1</v>
      </c>
      <c r="AE6964">
        <v>1</v>
      </c>
      <c r="AF6964">
        <v>1</v>
      </c>
      <c r="AG6964">
        <v>1</v>
      </c>
      <c r="AH6964">
        <v>1</v>
      </c>
      <c r="AI6964">
        <v>1</v>
      </c>
      <c r="AJ6964">
        <v>1</v>
      </c>
      <c r="AK6964">
        <v>1</v>
      </c>
      <c r="AL6964">
        <v>1</v>
      </c>
      <c r="AM6964">
        <v>1</v>
      </c>
    </row>
    <row r="6965" spans="1:39" x14ac:dyDescent="0.2">
      <c r="A6965" t="str">
        <f>"6961"</f>
        <v>6961</v>
      </c>
      <c r="B6965" t="str">
        <f t="shared" si="384"/>
        <v>1</v>
      </c>
      <c r="C6965" t="str">
        <f t="shared" si="387"/>
        <v>140</v>
      </c>
      <c r="D6965" t="str">
        <f>"36"</f>
        <v>36</v>
      </c>
      <c r="E6965" t="str">
        <f>"1-140-36"</f>
        <v>1-140-36</v>
      </c>
      <c r="F6965" t="s">
        <v>65</v>
      </c>
      <c r="G6965" t="s">
        <v>66</v>
      </c>
      <c r="H6965" t="s">
        <v>67</v>
      </c>
      <c r="S6965">
        <v>0</v>
      </c>
      <c r="T6965">
        <v>1</v>
      </c>
      <c r="U6965">
        <v>0</v>
      </c>
      <c r="V6965">
        <v>0</v>
      </c>
      <c r="W6965">
        <v>0</v>
      </c>
      <c r="X6965">
        <v>1</v>
      </c>
      <c r="Y6965">
        <v>1</v>
      </c>
      <c r="Z6965">
        <v>0</v>
      </c>
      <c r="AA6965">
        <v>0</v>
      </c>
      <c r="AB6965">
        <v>1</v>
      </c>
      <c r="AC6965">
        <v>0</v>
      </c>
      <c r="AD6965">
        <v>1</v>
      </c>
      <c r="AE6965">
        <v>1</v>
      </c>
      <c r="AF6965">
        <v>1</v>
      </c>
      <c r="AG6965">
        <v>1</v>
      </c>
      <c r="AH6965">
        <v>1</v>
      </c>
      <c r="AI6965">
        <v>1</v>
      </c>
      <c r="AJ6965">
        <v>1</v>
      </c>
      <c r="AK6965">
        <v>1</v>
      </c>
      <c r="AL6965">
        <v>1</v>
      </c>
      <c r="AM6965">
        <v>1</v>
      </c>
    </row>
    <row r="6966" spans="1:39" x14ac:dyDescent="0.2">
      <c r="A6966" t="str">
        <f>"6962"</f>
        <v>6962</v>
      </c>
      <c r="B6966" t="str">
        <f t="shared" si="384"/>
        <v>1</v>
      </c>
      <c r="C6966" t="str">
        <f t="shared" si="387"/>
        <v>140</v>
      </c>
      <c r="D6966" t="str">
        <f>"35"</f>
        <v>35</v>
      </c>
      <c r="E6966" t="str">
        <f>"1-140-35"</f>
        <v>1-140-35</v>
      </c>
      <c r="F6966" t="s">
        <v>65</v>
      </c>
      <c r="G6966" t="s">
        <v>66</v>
      </c>
      <c r="H6966" t="s">
        <v>67</v>
      </c>
      <c r="S6966">
        <v>1</v>
      </c>
      <c r="T6966">
        <v>0</v>
      </c>
      <c r="U6966">
        <v>0</v>
      </c>
      <c r="V6966">
        <v>0</v>
      </c>
      <c r="W6966">
        <v>1</v>
      </c>
      <c r="X6966">
        <v>0</v>
      </c>
      <c r="Y6966">
        <v>1</v>
      </c>
      <c r="Z6966">
        <v>0</v>
      </c>
      <c r="AA6966">
        <v>0</v>
      </c>
      <c r="AB6966">
        <v>1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1</v>
      </c>
      <c r="AM6966">
        <v>0</v>
      </c>
    </row>
    <row r="6967" spans="1:39" x14ac:dyDescent="0.2">
      <c r="A6967" t="str">
        <f>"6963"</f>
        <v>6963</v>
      </c>
      <c r="B6967" t="str">
        <f t="shared" ref="B6967:B7030" si="388">"1"</f>
        <v>1</v>
      </c>
      <c r="C6967" t="str">
        <f t="shared" si="387"/>
        <v>140</v>
      </c>
      <c r="D6967" t="str">
        <f>"21"</f>
        <v>21</v>
      </c>
      <c r="E6967" t="str">
        <f>"1-140-21"</f>
        <v>1-140-21</v>
      </c>
      <c r="F6967" t="s">
        <v>65</v>
      </c>
      <c r="G6967" t="s">
        <v>66</v>
      </c>
      <c r="H6967" t="s">
        <v>67</v>
      </c>
      <c r="S6967">
        <v>0</v>
      </c>
      <c r="T6967">
        <v>1</v>
      </c>
      <c r="U6967">
        <v>0</v>
      </c>
      <c r="V6967">
        <v>0</v>
      </c>
      <c r="W6967">
        <v>1</v>
      </c>
      <c r="X6967">
        <v>0</v>
      </c>
      <c r="Y6967">
        <v>0</v>
      </c>
      <c r="Z6967">
        <v>1</v>
      </c>
      <c r="AA6967">
        <v>0</v>
      </c>
      <c r="AB6967">
        <v>0</v>
      </c>
      <c r="AC6967">
        <v>1</v>
      </c>
      <c r="AD6967">
        <v>1</v>
      </c>
      <c r="AE6967">
        <v>1</v>
      </c>
      <c r="AF6967">
        <v>1</v>
      </c>
      <c r="AG6967">
        <v>1</v>
      </c>
      <c r="AH6967">
        <v>1</v>
      </c>
      <c r="AI6967">
        <v>1</v>
      </c>
      <c r="AJ6967">
        <v>1</v>
      </c>
      <c r="AK6967">
        <v>1</v>
      </c>
      <c r="AL6967">
        <v>1</v>
      </c>
      <c r="AM6967">
        <v>1</v>
      </c>
    </row>
    <row r="6968" spans="1:39" x14ac:dyDescent="0.2">
      <c r="A6968" t="str">
        <f>"6964"</f>
        <v>6964</v>
      </c>
      <c r="B6968" t="str">
        <f t="shared" si="388"/>
        <v>1</v>
      </c>
      <c r="C6968" t="str">
        <f t="shared" si="387"/>
        <v>140</v>
      </c>
      <c r="D6968" t="str">
        <f>"17"</f>
        <v>17</v>
      </c>
      <c r="E6968" t="str">
        <f>"1-140-17"</f>
        <v>1-140-17</v>
      </c>
      <c r="F6968" t="s">
        <v>65</v>
      </c>
      <c r="G6968" t="s">
        <v>66</v>
      </c>
      <c r="H6968" t="s">
        <v>67</v>
      </c>
      <c r="S6968">
        <v>0</v>
      </c>
      <c r="T6968">
        <v>1</v>
      </c>
      <c r="U6968">
        <v>0</v>
      </c>
      <c r="V6968">
        <v>0</v>
      </c>
      <c r="W6968">
        <v>1</v>
      </c>
      <c r="X6968">
        <v>0</v>
      </c>
      <c r="Y6968">
        <v>1</v>
      </c>
      <c r="Z6968">
        <v>0</v>
      </c>
      <c r="AA6968">
        <v>0</v>
      </c>
      <c r="AB6968">
        <v>1</v>
      </c>
      <c r="AC6968">
        <v>0</v>
      </c>
      <c r="AD6968">
        <v>1</v>
      </c>
      <c r="AE6968">
        <v>1</v>
      </c>
      <c r="AF6968">
        <v>1</v>
      </c>
      <c r="AG6968">
        <v>1</v>
      </c>
      <c r="AH6968">
        <v>1</v>
      </c>
      <c r="AI6968">
        <v>1</v>
      </c>
      <c r="AJ6968">
        <v>1</v>
      </c>
      <c r="AK6968">
        <v>1</v>
      </c>
      <c r="AL6968">
        <v>1</v>
      </c>
      <c r="AM6968">
        <v>1</v>
      </c>
    </row>
    <row r="6969" spans="1:39" x14ac:dyDescent="0.2">
      <c r="A6969" t="str">
        <f>"6965"</f>
        <v>6965</v>
      </c>
      <c r="B6969" t="str">
        <f t="shared" si="388"/>
        <v>1</v>
      </c>
      <c r="C6969" t="str">
        <f t="shared" si="387"/>
        <v>140</v>
      </c>
      <c r="D6969" t="str">
        <f>"9"</f>
        <v>9</v>
      </c>
      <c r="E6969" t="str">
        <f>"1-140-9"</f>
        <v>1-140-9</v>
      </c>
      <c r="F6969" t="s">
        <v>65</v>
      </c>
      <c r="G6969" t="s">
        <v>66</v>
      </c>
      <c r="H6969" t="s">
        <v>67</v>
      </c>
      <c r="S6969">
        <v>0</v>
      </c>
      <c r="T6969">
        <v>1</v>
      </c>
      <c r="U6969">
        <v>0</v>
      </c>
      <c r="V6969">
        <v>0</v>
      </c>
      <c r="W6969">
        <v>1</v>
      </c>
      <c r="X6969">
        <v>0</v>
      </c>
      <c r="Y6969">
        <v>1</v>
      </c>
      <c r="Z6969">
        <v>0</v>
      </c>
      <c r="AA6969">
        <v>0</v>
      </c>
      <c r="AB6969">
        <v>1</v>
      </c>
      <c r="AC6969">
        <v>0</v>
      </c>
      <c r="AD6969">
        <v>1</v>
      </c>
      <c r="AE6969">
        <v>1</v>
      </c>
      <c r="AF6969">
        <v>1</v>
      </c>
      <c r="AG6969">
        <v>1</v>
      </c>
      <c r="AH6969">
        <v>1</v>
      </c>
      <c r="AI6969">
        <v>1</v>
      </c>
      <c r="AJ6969">
        <v>1</v>
      </c>
      <c r="AK6969">
        <v>1</v>
      </c>
      <c r="AL6969">
        <v>1</v>
      </c>
      <c r="AM6969">
        <v>1</v>
      </c>
    </row>
    <row r="6970" spans="1:39" x14ac:dyDescent="0.2">
      <c r="A6970" t="str">
        <f>"6966"</f>
        <v>6966</v>
      </c>
      <c r="B6970" t="str">
        <f t="shared" si="388"/>
        <v>1</v>
      </c>
      <c r="C6970" t="str">
        <f t="shared" si="387"/>
        <v>140</v>
      </c>
      <c r="D6970" t="str">
        <f>"40"</f>
        <v>40</v>
      </c>
      <c r="E6970" t="str">
        <f>"1-140-40"</f>
        <v>1-140-40</v>
      </c>
      <c r="F6970" t="s">
        <v>65</v>
      </c>
      <c r="G6970" t="s">
        <v>66</v>
      </c>
      <c r="H6970" t="s">
        <v>67</v>
      </c>
      <c r="S6970">
        <v>1</v>
      </c>
      <c r="T6970">
        <v>0</v>
      </c>
      <c r="U6970">
        <v>0</v>
      </c>
      <c r="V6970">
        <v>0</v>
      </c>
      <c r="W6970">
        <v>1</v>
      </c>
      <c r="X6970">
        <v>0</v>
      </c>
      <c r="Y6970">
        <v>0</v>
      </c>
      <c r="Z6970">
        <v>1</v>
      </c>
      <c r="AA6970">
        <v>0</v>
      </c>
      <c r="AB6970">
        <v>1</v>
      </c>
      <c r="AC6970">
        <v>0</v>
      </c>
      <c r="AD6970">
        <v>1</v>
      </c>
      <c r="AE6970">
        <v>1</v>
      </c>
      <c r="AF6970">
        <v>1</v>
      </c>
      <c r="AG6970">
        <v>1</v>
      </c>
      <c r="AH6970">
        <v>1</v>
      </c>
      <c r="AI6970">
        <v>1</v>
      </c>
      <c r="AJ6970">
        <v>1</v>
      </c>
      <c r="AK6970">
        <v>0</v>
      </c>
      <c r="AL6970">
        <v>1</v>
      </c>
      <c r="AM6970">
        <v>1</v>
      </c>
    </row>
    <row r="6971" spans="1:39" x14ac:dyDescent="0.2">
      <c r="A6971" t="str">
        <f>"6967"</f>
        <v>6967</v>
      </c>
      <c r="B6971" t="str">
        <f t="shared" si="388"/>
        <v>1</v>
      </c>
      <c r="C6971" t="str">
        <f t="shared" si="387"/>
        <v>140</v>
      </c>
      <c r="D6971" t="str">
        <f>"39"</f>
        <v>39</v>
      </c>
      <c r="E6971" t="str">
        <f>"1-140-39"</f>
        <v>1-140-39</v>
      </c>
      <c r="F6971" t="s">
        <v>65</v>
      </c>
      <c r="G6971" t="s">
        <v>66</v>
      </c>
      <c r="H6971" t="s">
        <v>67</v>
      </c>
      <c r="S6971">
        <v>1</v>
      </c>
      <c r="T6971">
        <v>0</v>
      </c>
      <c r="U6971">
        <v>0</v>
      </c>
      <c r="V6971">
        <v>0</v>
      </c>
      <c r="W6971">
        <v>1</v>
      </c>
      <c r="X6971">
        <v>0</v>
      </c>
      <c r="Y6971">
        <v>0</v>
      </c>
      <c r="Z6971">
        <v>1</v>
      </c>
      <c r="AA6971">
        <v>0</v>
      </c>
      <c r="AB6971">
        <v>1</v>
      </c>
      <c r="AC6971">
        <v>0</v>
      </c>
      <c r="AD6971">
        <v>1</v>
      </c>
      <c r="AE6971">
        <v>1</v>
      </c>
      <c r="AF6971">
        <v>1</v>
      </c>
      <c r="AG6971">
        <v>1</v>
      </c>
      <c r="AH6971">
        <v>1</v>
      </c>
      <c r="AI6971">
        <v>1</v>
      </c>
      <c r="AJ6971">
        <v>1</v>
      </c>
      <c r="AK6971">
        <v>1</v>
      </c>
      <c r="AL6971">
        <v>1</v>
      </c>
      <c r="AM6971">
        <v>1</v>
      </c>
    </row>
    <row r="6972" spans="1:39" x14ac:dyDescent="0.2">
      <c r="A6972" t="str">
        <f>"6968"</f>
        <v>6968</v>
      </c>
      <c r="B6972" t="str">
        <f t="shared" si="388"/>
        <v>1</v>
      </c>
      <c r="C6972" t="str">
        <f t="shared" si="387"/>
        <v>140</v>
      </c>
      <c r="D6972" t="str">
        <f>"28"</f>
        <v>28</v>
      </c>
      <c r="E6972" t="str">
        <f>"1-140-28"</f>
        <v>1-140-28</v>
      </c>
      <c r="F6972" t="s">
        <v>65</v>
      </c>
      <c r="G6972" t="s">
        <v>66</v>
      </c>
      <c r="H6972" t="s">
        <v>67</v>
      </c>
      <c r="S6972">
        <v>0</v>
      </c>
      <c r="T6972">
        <v>1</v>
      </c>
      <c r="U6972">
        <v>0</v>
      </c>
      <c r="V6972">
        <v>0</v>
      </c>
      <c r="W6972">
        <v>1</v>
      </c>
      <c r="X6972">
        <v>0</v>
      </c>
      <c r="Y6972">
        <v>0</v>
      </c>
      <c r="Z6972">
        <v>1</v>
      </c>
      <c r="AA6972">
        <v>0</v>
      </c>
      <c r="AB6972">
        <v>0</v>
      </c>
      <c r="AC6972">
        <v>1</v>
      </c>
      <c r="AD6972">
        <v>1</v>
      </c>
      <c r="AE6972">
        <v>1</v>
      </c>
      <c r="AF6972">
        <v>1</v>
      </c>
      <c r="AG6972">
        <v>1</v>
      </c>
      <c r="AH6972">
        <v>1</v>
      </c>
      <c r="AI6972">
        <v>1</v>
      </c>
      <c r="AJ6972">
        <v>1</v>
      </c>
      <c r="AK6972">
        <v>1</v>
      </c>
      <c r="AL6972">
        <v>1</v>
      </c>
      <c r="AM6972">
        <v>1</v>
      </c>
    </row>
    <row r="6973" spans="1:39" x14ac:dyDescent="0.2">
      <c r="A6973" t="str">
        <f>"6969"</f>
        <v>6969</v>
      </c>
      <c r="B6973" t="str">
        <f t="shared" si="388"/>
        <v>1</v>
      </c>
      <c r="C6973" t="str">
        <f t="shared" si="387"/>
        <v>140</v>
      </c>
      <c r="D6973" t="str">
        <f>"18"</f>
        <v>18</v>
      </c>
      <c r="E6973" t="str">
        <f>"1-140-18"</f>
        <v>1-140-18</v>
      </c>
      <c r="F6973" t="s">
        <v>65</v>
      </c>
      <c r="G6973" t="s">
        <v>66</v>
      </c>
      <c r="H6973" t="s">
        <v>67</v>
      </c>
      <c r="S6973">
        <v>1</v>
      </c>
      <c r="T6973">
        <v>0</v>
      </c>
      <c r="U6973">
        <v>0</v>
      </c>
      <c r="V6973">
        <v>0</v>
      </c>
      <c r="W6973">
        <v>0</v>
      </c>
      <c r="X6973">
        <v>1</v>
      </c>
      <c r="Y6973">
        <v>1</v>
      </c>
      <c r="Z6973">
        <v>0</v>
      </c>
      <c r="AA6973">
        <v>0</v>
      </c>
      <c r="AB6973">
        <v>1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</row>
    <row r="6974" spans="1:39" x14ac:dyDescent="0.2">
      <c r="A6974" t="str">
        <f>"6970"</f>
        <v>6970</v>
      </c>
      <c r="B6974" t="str">
        <f t="shared" si="388"/>
        <v>1</v>
      </c>
      <c r="C6974" t="str">
        <f t="shared" si="387"/>
        <v>140</v>
      </c>
      <c r="D6974" t="str">
        <f>"1"</f>
        <v>1</v>
      </c>
      <c r="E6974" t="str">
        <f>"1-140-1"</f>
        <v>1-140-1</v>
      </c>
      <c r="F6974" t="s">
        <v>65</v>
      </c>
      <c r="G6974" t="s">
        <v>66</v>
      </c>
      <c r="H6974" t="s">
        <v>67</v>
      </c>
      <c r="S6974">
        <v>1</v>
      </c>
      <c r="T6974">
        <v>0</v>
      </c>
      <c r="U6974">
        <v>0</v>
      </c>
      <c r="V6974">
        <v>0</v>
      </c>
      <c r="W6974">
        <v>1</v>
      </c>
      <c r="X6974">
        <v>0</v>
      </c>
      <c r="Y6974">
        <v>1</v>
      </c>
      <c r="Z6974">
        <v>0</v>
      </c>
      <c r="AA6974">
        <v>0</v>
      </c>
      <c r="AB6974">
        <v>0</v>
      </c>
      <c r="AC6974">
        <v>1</v>
      </c>
      <c r="AD6974">
        <v>1</v>
      </c>
      <c r="AE6974">
        <v>1</v>
      </c>
      <c r="AF6974">
        <v>1</v>
      </c>
      <c r="AG6974">
        <v>1</v>
      </c>
      <c r="AH6974">
        <v>1</v>
      </c>
      <c r="AI6974">
        <v>1</v>
      </c>
      <c r="AJ6974">
        <v>1</v>
      </c>
      <c r="AK6974">
        <v>1</v>
      </c>
      <c r="AL6974">
        <v>1</v>
      </c>
      <c r="AM6974">
        <v>1</v>
      </c>
    </row>
    <row r="6975" spans="1:39" x14ac:dyDescent="0.2">
      <c r="A6975" t="str">
        <f>"6971"</f>
        <v>6971</v>
      </c>
      <c r="B6975" t="str">
        <f t="shared" si="388"/>
        <v>1</v>
      </c>
      <c r="C6975" t="str">
        <f t="shared" si="387"/>
        <v>140</v>
      </c>
      <c r="D6975" t="str">
        <f>"41"</f>
        <v>41</v>
      </c>
      <c r="E6975" t="str">
        <f>"1-140-41"</f>
        <v>1-140-41</v>
      </c>
      <c r="F6975" t="s">
        <v>65</v>
      </c>
      <c r="G6975" t="s">
        <v>66</v>
      </c>
      <c r="H6975" t="s">
        <v>67</v>
      </c>
      <c r="S6975">
        <v>1</v>
      </c>
      <c r="T6975">
        <v>0</v>
      </c>
      <c r="U6975">
        <v>0</v>
      </c>
      <c r="V6975">
        <v>0</v>
      </c>
      <c r="W6975">
        <v>1</v>
      </c>
      <c r="X6975">
        <v>0</v>
      </c>
      <c r="Y6975">
        <v>0</v>
      </c>
      <c r="Z6975">
        <v>1</v>
      </c>
      <c r="AA6975">
        <v>0</v>
      </c>
      <c r="AB6975">
        <v>1</v>
      </c>
      <c r="AC6975">
        <v>0</v>
      </c>
      <c r="AD6975">
        <v>1</v>
      </c>
      <c r="AE6975">
        <v>1</v>
      </c>
      <c r="AF6975">
        <v>1</v>
      </c>
      <c r="AG6975">
        <v>1</v>
      </c>
      <c r="AH6975">
        <v>1</v>
      </c>
      <c r="AI6975">
        <v>1</v>
      </c>
      <c r="AJ6975">
        <v>1</v>
      </c>
      <c r="AK6975">
        <v>1</v>
      </c>
      <c r="AL6975">
        <v>1</v>
      </c>
      <c r="AM6975">
        <v>1</v>
      </c>
    </row>
    <row r="6976" spans="1:39" x14ac:dyDescent="0.2">
      <c r="A6976" t="str">
        <f>"6972"</f>
        <v>6972</v>
      </c>
      <c r="B6976" t="str">
        <f t="shared" si="388"/>
        <v>1</v>
      </c>
      <c r="C6976" t="str">
        <f t="shared" si="387"/>
        <v>140</v>
      </c>
      <c r="D6976" t="str">
        <f>"19"</f>
        <v>19</v>
      </c>
      <c r="E6976" t="str">
        <f>"1-140-19"</f>
        <v>1-140-19</v>
      </c>
      <c r="F6976" t="s">
        <v>65</v>
      </c>
      <c r="G6976" t="s">
        <v>66</v>
      </c>
      <c r="H6976" t="s">
        <v>67</v>
      </c>
      <c r="S6976">
        <v>1</v>
      </c>
      <c r="T6976">
        <v>0</v>
      </c>
      <c r="U6976">
        <v>0</v>
      </c>
      <c r="V6976">
        <v>0</v>
      </c>
      <c r="W6976">
        <v>1</v>
      </c>
      <c r="X6976">
        <v>0</v>
      </c>
      <c r="Y6976">
        <v>1</v>
      </c>
      <c r="Z6976">
        <v>0</v>
      </c>
      <c r="AA6976">
        <v>0</v>
      </c>
      <c r="AB6976">
        <v>1</v>
      </c>
      <c r="AC6976">
        <v>0</v>
      </c>
      <c r="AD6976">
        <v>1</v>
      </c>
      <c r="AE6976">
        <v>1</v>
      </c>
      <c r="AF6976">
        <v>1</v>
      </c>
      <c r="AG6976">
        <v>1</v>
      </c>
      <c r="AH6976">
        <v>1</v>
      </c>
      <c r="AI6976">
        <v>1</v>
      </c>
      <c r="AJ6976">
        <v>1</v>
      </c>
      <c r="AK6976">
        <v>1</v>
      </c>
      <c r="AL6976">
        <v>1</v>
      </c>
      <c r="AM6976">
        <v>1</v>
      </c>
    </row>
    <row r="6977" spans="1:39" x14ac:dyDescent="0.2">
      <c r="A6977" t="str">
        <f>"6973"</f>
        <v>6973</v>
      </c>
      <c r="B6977" t="str">
        <f t="shared" si="388"/>
        <v>1</v>
      </c>
      <c r="C6977" t="str">
        <f t="shared" si="387"/>
        <v>140</v>
      </c>
      <c r="D6977" t="str">
        <f>"11"</f>
        <v>11</v>
      </c>
      <c r="E6977" t="str">
        <f>"1-140-11"</f>
        <v>1-140-11</v>
      </c>
      <c r="F6977" t="s">
        <v>65</v>
      </c>
      <c r="G6977" t="s">
        <v>66</v>
      </c>
      <c r="H6977" t="s">
        <v>67</v>
      </c>
      <c r="S6977">
        <v>1</v>
      </c>
      <c r="T6977">
        <v>0</v>
      </c>
      <c r="U6977">
        <v>0</v>
      </c>
      <c r="V6977">
        <v>0</v>
      </c>
      <c r="W6977">
        <v>1</v>
      </c>
      <c r="X6977">
        <v>0</v>
      </c>
      <c r="Y6977">
        <v>0</v>
      </c>
      <c r="Z6977">
        <v>1</v>
      </c>
      <c r="AA6977">
        <v>0</v>
      </c>
      <c r="AB6977">
        <v>1</v>
      </c>
      <c r="AC6977">
        <v>0</v>
      </c>
      <c r="AD6977">
        <v>1</v>
      </c>
      <c r="AE6977">
        <v>1</v>
      </c>
      <c r="AF6977">
        <v>1</v>
      </c>
      <c r="AG6977">
        <v>1</v>
      </c>
      <c r="AH6977">
        <v>1</v>
      </c>
      <c r="AI6977">
        <v>1</v>
      </c>
      <c r="AJ6977">
        <v>1</v>
      </c>
      <c r="AK6977">
        <v>1</v>
      </c>
      <c r="AL6977">
        <v>1</v>
      </c>
      <c r="AM6977">
        <v>1</v>
      </c>
    </row>
    <row r="6978" spans="1:39" x14ac:dyDescent="0.2">
      <c r="A6978" t="str">
        <f>"6974"</f>
        <v>6974</v>
      </c>
      <c r="B6978" t="str">
        <f t="shared" si="388"/>
        <v>1</v>
      </c>
      <c r="C6978" t="str">
        <f t="shared" si="387"/>
        <v>140</v>
      </c>
      <c r="D6978" t="str">
        <f>"48"</f>
        <v>48</v>
      </c>
      <c r="E6978" t="str">
        <f>"1-140-48"</f>
        <v>1-140-48</v>
      </c>
      <c r="F6978" t="s">
        <v>65</v>
      </c>
      <c r="G6978" t="s">
        <v>66</v>
      </c>
      <c r="H6978" t="s">
        <v>67</v>
      </c>
      <c r="S6978">
        <v>0</v>
      </c>
      <c r="T6978">
        <v>1</v>
      </c>
      <c r="U6978">
        <v>0</v>
      </c>
      <c r="V6978">
        <v>0</v>
      </c>
      <c r="W6978">
        <v>1</v>
      </c>
      <c r="X6978">
        <v>0</v>
      </c>
      <c r="Y6978">
        <v>1</v>
      </c>
      <c r="Z6978">
        <v>0</v>
      </c>
      <c r="AA6978">
        <v>1</v>
      </c>
      <c r="AB6978">
        <v>0</v>
      </c>
      <c r="AC6978">
        <v>0</v>
      </c>
      <c r="AD6978">
        <v>1</v>
      </c>
      <c r="AE6978">
        <v>1</v>
      </c>
      <c r="AF6978">
        <v>1</v>
      </c>
      <c r="AG6978">
        <v>1</v>
      </c>
      <c r="AH6978">
        <v>1</v>
      </c>
      <c r="AI6978">
        <v>1</v>
      </c>
      <c r="AJ6978">
        <v>1</v>
      </c>
      <c r="AK6978">
        <v>1</v>
      </c>
      <c r="AL6978">
        <v>1</v>
      </c>
      <c r="AM6978">
        <v>1</v>
      </c>
    </row>
    <row r="6979" spans="1:39" x14ac:dyDescent="0.2">
      <c r="A6979" t="str">
        <f>"6975"</f>
        <v>6975</v>
      </c>
      <c r="B6979" t="str">
        <f t="shared" si="388"/>
        <v>1</v>
      </c>
      <c r="C6979" t="str">
        <f t="shared" si="387"/>
        <v>140</v>
      </c>
      <c r="D6979" t="str">
        <f>"22"</f>
        <v>22</v>
      </c>
      <c r="E6979" t="str">
        <f>"1-140-22"</f>
        <v>1-140-22</v>
      </c>
      <c r="F6979" t="s">
        <v>65</v>
      </c>
      <c r="G6979" t="s">
        <v>66</v>
      </c>
      <c r="H6979" t="s">
        <v>67</v>
      </c>
      <c r="S6979">
        <v>0</v>
      </c>
      <c r="T6979">
        <v>1</v>
      </c>
      <c r="U6979">
        <v>0</v>
      </c>
      <c r="V6979">
        <v>0</v>
      </c>
      <c r="W6979">
        <v>0</v>
      </c>
      <c r="X6979">
        <v>1</v>
      </c>
      <c r="Y6979">
        <v>1</v>
      </c>
      <c r="Z6979">
        <v>0</v>
      </c>
      <c r="AA6979">
        <v>0</v>
      </c>
      <c r="AB6979">
        <v>0</v>
      </c>
      <c r="AC6979">
        <v>1</v>
      </c>
      <c r="AD6979">
        <v>0</v>
      </c>
      <c r="AE6979">
        <v>1</v>
      </c>
      <c r="AF6979">
        <v>1</v>
      </c>
      <c r="AG6979">
        <v>0</v>
      </c>
      <c r="AH6979">
        <v>1</v>
      </c>
      <c r="AI6979">
        <v>1</v>
      </c>
      <c r="AJ6979">
        <v>1</v>
      </c>
      <c r="AK6979">
        <v>1</v>
      </c>
      <c r="AL6979">
        <v>1</v>
      </c>
      <c r="AM6979">
        <v>1</v>
      </c>
    </row>
    <row r="6980" spans="1:39" x14ac:dyDescent="0.2">
      <c r="A6980" t="str">
        <f>"6976"</f>
        <v>6976</v>
      </c>
      <c r="B6980" t="str">
        <f t="shared" si="388"/>
        <v>1</v>
      </c>
      <c r="C6980" t="str">
        <f t="shared" si="387"/>
        <v>140</v>
      </c>
      <c r="D6980" t="str">
        <f>"10"</f>
        <v>10</v>
      </c>
      <c r="E6980" t="str">
        <f>"1-140-10"</f>
        <v>1-140-10</v>
      </c>
      <c r="F6980" t="s">
        <v>65</v>
      </c>
      <c r="G6980" t="s">
        <v>66</v>
      </c>
      <c r="H6980" t="s">
        <v>67</v>
      </c>
      <c r="S6980">
        <v>0</v>
      </c>
      <c r="T6980">
        <v>0</v>
      </c>
      <c r="U6980">
        <v>0</v>
      </c>
      <c r="V6980">
        <v>0</v>
      </c>
      <c r="W6980">
        <v>1</v>
      </c>
      <c r="X6980">
        <v>0</v>
      </c>
      <c r="Y6980">
        <v>1</v>
      </c>
      <c r="Z6980">
        <v>0</v>
      </c>
      <c r="AA6980">
        <v>0</v>
      </c>
      <c r="AB6980">
        <v>0</v>
      </c>
      <c r="AC6980">
        <v>0</v>
      </c>
      <c r="AD6980">
        <v>1</v>
      </c>
      <c r="AE6980">
        <v>1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</row>
    <row r="6981" spans="1:39" x14ac:dyDescent="0.2">
      <c r="A6981" t="str">
        <f>"6977"</f>
        <v>6977</v>
      </c>
      <c r="B6981" t="str">
        <f t="shared" si="388"/>
        <v>1</v>
      </c>
      <c r="C6981" t="str">
        <f t="shared" si="387"/>
        <v>140</v>
      </c>
      <c r="D6981" t="str">
        <f>"43"</f>
        <v>43</v>
      </c>
      <c r="E6981" t="str">
        <f>"1-140-43"</f>
        <v>1-140-43</v>
      </c>
      <c r="F6981" t="s">
        <v>65</v>
      </c>
      <c r="G6981" t="s">
        <v>66</v>
      </c>
      <c r="H6981" t="s">
        <v>67</v>
      </c>
      <c r="S6981">
        <v>1</v>
      </c>
      <c r="T6981">
        <v>0</v>
      </c>
      <c r="U6981">
        <v>0</v>
      </c>
      <c r="V6981">
        <v>0</v>
      </c>
      <c r="W6981">
        <v>1</v>
      </c>
      <c r="X6981">
        <v>0</v>
      </c>
      <c r="Y6981">
        <v>0</v>
      </c>
      <c r="Z6981">
        <v>1</v>
      </c>
      <c r="AA6981">
        <v>1</v>
      </c>
      <c r="AB6981">
        <v>0</v>
      </c>
      <c r="AC6981">
        <v>0</v>
      </c>
      <c r="AD6981">
        <v>1</v>
      </c>
      <c r="AE6981">
        <v>1</v>
      </c>
      <c r="AF6981">
        <v>1</v>
      </c>
      <c r="AG6981">
        <v>1</v>
      </c>
      <c r="AH6981">
        <v>1</v>
      </c>
      <c r="AI6981">
        <v>1</v>
      </c>
      <c r="AJ6981">
        <v>1</v>
      </c>
      <c r="AK6981">
        <v>1</v>
      </c>
      <c r="AL6981">
        <v>1</v>
      </c>
      <c r="AM6981">
        <v>1</v>
      </c>
    </row>
    <row r="6982" spans="1:39" x14ac:dyDescent="0.2">
      <c r="A6982" t="str">
        <f>"6978"</f>
        <v>6978</v>
      </c>
      <c r="B6982" t="str">
        <f t="shared" si="388"/>
        <v>1</v>
      </c>
      <c r="C6982" t="str">
        <f t="shared" si="387"/>
        <v>140</v>
      </c>
      <c r="D6982" t="str">
        <f>"23"</f>
        <v>23</v>
      </c>
      <c r="E6982" t="str">
        <f>"1-140-23"</f>
        <v>1-140-23</v>
      </c>
      <c r="F6982" t="s">
        <v>65</v>
      </c>
      <c r="G6982" t="s">
        <v>66</v>
      </c>
      <c r="H6982" t="s">
        <v>67</v>
      </c>
      <c r="S6982">
        <v>1</v>
      </c>
      <c r="T6982">
        <v>0</v>
      </c>
      <c r="U6982">
        <v>0</v>
      </c>
      <c r="V6982">
        <v>0</v>
      </c>
      <c r="W6982">
        <v>1</v>
      </c>
      <c r="X6982">
        <v>0</v>
      </c>
      <c r="Y6982">
        <v>1</v>
      </c>
      <c r="Z6982">
        <v>0</v>
      </c>
      <c r="AA6982">
        <v>1</v>
      </c>
      <c r="AB6982">
        <v>0</v>
      </c>
      <c r="AC6982">
        <v>0</v>
      </c>
      <c r="AD6982">
        <v>1</v>
      </c>
      <c r="AE6982">
        <v>1</v>
      </c>
      <c r="AF6982">
        <v>1</v>
      </c>
      <c r="AG6982">
        <v>1</v>
      </c>
      <c r="AH6982">
        <v>1</v>
      </c>
      <c r="AI6982">
        <v>1</v>
      </c>
      <c r="AJ6982">
        <v>1</v>
      </c>
      <c r="AK6982">
        <v>1</v>
      </c>
      <c r="AL6982">
        <v>1</v>
      </c>
      <c r="AM6982">
        <v>1</v>
      </c>
    </row>
    <row r="6983" spans="1:39" x14ac:dyDescent="0.2">
      <c r="A6983" t="str">
        <f>"6979"</f>
        <v>6979</v>
      </c>
      <c r="B6983" t="str">
        <f t="shared" si="388"/>
        <v>1</v>
      </c>
      <c r="C6983" t="str">
        <f t="shared" si="387"/>
        <v>140</v>
      </c>
      <c r="D6983" t="str">
        <f>"7"</f>
        <v>7</v>
      </c>
      <c r="E6983" t="str">
        <f>"1-140-7"</f>
        <v>1-140-7</v>
      </c>
      <c r="F6983" t="s">
        <v>65</v>
      </c>
      <c r="G6983" t="s">
        <v>66</v>
      </c>
      <c r="H6983" t="s">
        <v>67</v>
      </c>
      <c r="S6983">
        <v>0</v>
      </c>
      <c r="T6983">
        <v>1</v>
      </c>
      <c r="U6983">
        <v>0</v>
      </c>
      <c r="V6983">
        <v>0</v>
      </c>
      <c r="W6983">
        <v>0</v>
      </c>
      <c r="X6983">
        <v>1</v>
      </c>
      <c r="Y6983">
        <v>0</v>
      </c>
      <c r="Z6983">
        <v>1</v>
      </c>
      <c r="AA6983">
        <v>0</v>
      </c>
      <c r="AB6983">
        <v>0</v>
      </c>
      <c r="AC6983">
        <v>1</v>
      </c>
      <c r="AD6983">
        <v>1</v>
      </c>
      <c r="AE6983">
        <v>1</v>
      </c>
      <c r="AF6983">
        <v>1</v>
      </c>
      <c r="AG6983">
        <v>1</v>
      </c>
      <c r="AH6983">
        <v>1</v>
      </c>
      <c r="AI6983">
        <v>1</v>
      </c>
      <c r="AJ6983">
        <v>1</v>
      </c>
      <c r="AK6983">
        <v>1</v>
      </c>
      <c r="AL6983">
        <v>1</v>
      </c>
      <c r="AM6983">
        <v>1</v>
      </c>
    </row>
    <row r="6984" spans="1:39" x14ac:dyDescent="0.2">
      <c r="A6984" t="str">
        <f>"6980"</f>
        <v>6980</v>
      </c>
      <c r="B6984" t="str">
        <f t="shared" si="388"/>
        <v>1</v>
      </c>
      <c r="C6984" t="str">
        <f t="shared" si="387"/>
        <v>140</v>
      </c>
      <c r="D6984" t="str">
        <f>"47"</f>
        <v>47</v>
      </c>
      <c r="E6984" t="str">
        <f>"1-140-47"</f>
        <v>1-140-47</v>
      </c>
      <c r="F6984" t="s">
        <v>65</v>
      </c>
      <c r="G6984" t="s">
        <v>66</v>
      </c>
      <c r="H6984" t="s">
        <v>67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1</v>
      </c>
      <c r="Y6984">
        <v>1</v>
      </c>
      <c r="Z6984">
        <v>0</v>
      </c>
      <c r="AA6984">
        <v>1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</row>
    <row r="6985" spans="1:39" x14ac:dyDescent="0.2">
      <c r="A6985" t="str">
        <f>"6981"</f>
        <v>6981</v>
      </c>
      <c r="B6985" t="str">
        <f t="shared" si="388"/>
        <v>1</v>
      </c>
      <c r="C6985" t="str">
        <f t="shared" si="387"/>
        <v>140</v>
      </c>
      <c r="D6985" t="str">
        <f>"25"</f>
        <v>25</v>
      </c>
      <c r="E6985" t="str">
        <f>"1-140-25"</f>
        <v>1-140-25</v>
      </c>
      <c r="F6985" t="s">
        <v>65</v>
      </c>
      <c r="G6985" t="s">
        <v>66</v>
      </c>
      <c r="H6985" t="s">
        <v>67</v>
      </c>
      <c r="S6985">
        <v>1</v>
      </c>
      <c r="T6985">
        <v>0</v>
      </c>
      <c r="U6985">
        <v>0</v>
      </c>
      <c r="V6985">
        <v>0</v>
      </c>
      <c r="W6985">
        <v>1</v>
      </c>
      <c r="X6985">
        <v>0</v>
      </c>
      <c r="Y6985">
        <v>1</v>
      </c>
      <c r="Z6985">
        <v>0</v>
      </c>
      <c r="AA6985">
        <v>0</v>
      </c>
      <c r="AB6985">
        <v>0</v>
      </c>
      <c r="AC6985">
        <v>1</v>
      </c>
      <c r="AD6985">
        <v>1</v>
      </c>
      <c r="AE6985">
        <v>1</v>
      </c>
      <c r="AF6985">
        <v>1</v>
      </c>
      <c r="AG6985">
        <v>1</v>
      </c>
      <c r="AH6985">
        <v>1</v>
      </c>
      <c r="AI6985">
        <v>1</v>
      </c>
      <c r="AJ6985">
        <v>1</v>
      </c>
      <c r="AK6985">
        <v>1</v>
      </c>
      <c r="AL6985">
        <v>1</v>
      </c>
      <c r="AM6985">
        <v>0</v>
      </c>
    </row>
    <row r="6986" spans="1:39" x14ac:dyDescent="0.2">
      <c r="A6986" t="str">
        <f>"6982"</f>
        <v>6982</v>
      </c>
      <c r="B6986" t="str">
        <f t="shared" si="388"/>
        <v>1</v>
      </c>
      <c r="C6986" t="str">
        <f t="shared" si="387"/>
        <v>140</v>
      </c>
      <c r="D6986" t="str">
        <f>"13"</f>
        <v>13</v>
      </c>
      <c r="E6986" t="str">
        <f>"1-140-13"</f>
        <v>1-140-13</v>
      </c>
      <c r="F6986" t="s">
        <v>65</v>
      </c>
      <c r="G6986" t="s">
        <v>66</v>
      </c>
      <c r="H6986" t="s">
        <v>67</v>
      </c>
      <c r="S6986">
        <v>1</v>
      </c>
      <c r="T6986">
        <v>0</v>
      </c>
      <c r="U6986">
        <v>0</v>
      </c>
      <c r="V6986">
        <v>0</v>
      </c>
      <c r="W6986">
        <v>1</v>
      </c>
      <c r="X6986">
        <v>0</v>
      </c>
      <c r="Y6986">
        <v>1</v>
      </c>
      <c r="Z6986">
        <v>0</v>
      </c>
      <c r="AA6986">
        <v>0</v>
      </c>
      <c r="AB6986">
        <v>1</v>
      </c>
      <c r="AC6986">
        <v>0</v>
      </c>
      <c r="AD6986">
        <v>1</v>
      </c>
      <c r="AE6986">
        <v>1</v>
      </c>
      <c r="AF6986">
        <v>1</v>
      </c>
      <c r="AG6986">
        <v>1</v>
      </c>
      <c r="AH6986">
        <v>1</v>
      </c>
      <c r="AI6986">
        <v>1</v>
      </c>
      <c r="AJ6986">
        <v>1</v>
      </c>
      <c r="AK6986">
        <v>1</v>
      </c>
      <c r="AL6986">
        <v>1</v>
      </c>
      <c r="AM6986">
        <v>1</v>
      </c>
    </row>
    <row r="6987" spans="1:39" x14ac:dyDescent="0.2">
      <c r="A6987" t="str">
        <f>"6983"</f>
        <v>6983</v>
      </c>
      <c r="B6987" t="str">
        <f t="shared" si="388"/>
        <v>1</v>
      </c>
      <c r="C6987" t="str">
        <f t="shared" ref="C6987:C7004" si="389">"140"</f>
        <v>140</v>
      </c>
      <c r="D6987" t="str">
        <f>"26"</f>
        <v>26</v>
      </c>
      <c r="E6987" t="str">
        <f>"1-140-26"</f>
        <v>1-140-26</v>
      </c>
      <c r="F6987" t="s">
        <v>65</v>
      </c>
      <c r="G6987" t="s">
        <v>66</v>
      </c>
      <c r="H6987" t="s">
        <v>67</v>
      </c>
      <c r="S6987">
        <v>1</v>
      </c>
      <c r="T6987">
        <v>0</v>
      </c>
      <c r="U6987">
        <v>0</v>
      </c>
      <c r="V6987">
        <v>0</v>
      </c>
      <c r="W6987">
        <v>1</v>
      </c>
      <c r="X6987">
        <v>0</v>
      </c>
      <c r="Y6987">
        <v>1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1</v>
      </c>
      <c r="AH6987">
        <v>1</v>
      </c>
      <c r="AI6987">
        <v>1</v>
      </c>
      <c r="AJ6987">
        <v>1</v>
      </c>
      <c r="AK6987">
        <v>0</v>
      </c>
      <c r="AL6987">
        <v>1</v>
      </c>
      <c r="AM6987">
        <v>1</v>
      </c>
    </row>
    <row r="6988" spans="1:39" x14ac:dyDescent="0.2">
      <c r="A6988" t="str">
        <f>"6984"</f>
        <v>6984</v>
      </c>
      <c r="B6988" t="str">
        <f t="shared" si="388"/>
        <v>1</v>
      </c>
      <c r="C6988" t="str">
        <f t="shared" si="389"/>
        <v>140</v>
      </c>
      <c r="D6988" t="str">
        <f>"8"</f>
        <v>8</v>
      </c>
      <c r="E6988" t="str">
        <f>"1-140-8"</f>
        <v>1-140-8</v>
      </c>
      <c r="F6988" t="s">
        <v>65</v>
      </c>
      <c r="G6988" t="s">
        <v>66</v>
      </c>
      <c r="H6988" t="s">
        <v>67</v>
      </c>
      <c r="S6988">
        <v>1</v>
      </c>
      <c r="T6988">
        <v>0</v>
      </c>
      <c r="U6988">
        <v>0</v>
      </c>
      <c r="V6988">
        <v>0</v>
      </c>
      <c r="W6988">
        <v>1</v>
      </c>
      <c r="X6988">
        <v>0</v>
      </c>
      <c r="Y6988">
        <v>0</v>
      </c>
      <c r="Z6988">
        <v>1</v>
      </c>
      <c r="AA6988">
        <v>0</v>
      </c>
      <c r="AB6988">
        <v>1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</row>
    <row r="6989" spans="1:39" x14ac:dyDescent="0.2">
      <c r="A6989" t="str">
        <f>"6985"</f>
        <v>6985</v>
      </c>
      <c r="B6989" t="str">
        <f t="shared" si="388"/>
        <v>1</v>
      </c>
      <c r="C6989" t="str">
        <f t="shared" si="389"/>
        <v>140</v>
      </c>
      <c r="D6989" t="str">
        <f>"42"</f>
        <v>42</v>
      </c>
      <c r="E6989" t="str">
        <f>"1-140-42"</f>
        <v>1-140-42</v>
      </c>
      <c r="F6989" t="s">
        <v>65</v>
      </c>
      <c r="G6989" t="s">
        <v>66</v>
      </c>
      <c r="H6989" t="s">
        <v>67</v>
      </c>
      <c r="S6989">
        <v>1</v>
      </c>
      <c r="T6989">
        <v>0</v>
      </c>
      <c r="U6989">
        <v>0</v>
      </c>
      <c r="V6989">
        <v>0</v>
      </c>
      <c r="W6989">
        <v>1</v>
      </c>
      <c r="X6989">
        <v>0</v>
      </c>
      <c r="Y6989">
        <v>1</v>
      </c>
      <c r="Z6989">
        <v>0</v>
      </c>
      <c r="AA6989">
        <v>0</v>
      </c>
      <c r="AB6989">
        <v>1</v>
      </c>
      <c r="AC6989">
        <v>0</v>
      </c>
      <c r="AD6989">
        <v>1</v>
      </c>
      <c r="AE6989">
        <v>1</v>
      </c>
      <c r="AF6989">
        <v>1</v>
      </c>
      <c r="AG6989">
        <v>1</v>
      </c>
      <c r="AH6989">
        <v>1</v>
      </c>
      <c r="AI6989">
        <v>1</v>
      </c>
      <c r="AJ6989">
        <v>1</v>
      </c>
      <c r="AK6989">
        <v>1</v>
      </c>
      <c r="AL6989">
        <v>1</v>
      </c>
      <c r="AM6989">
        <v>1</v>
      </c>
    </row>
    <row r="6990" spans="1:39" x14ac:dyDescent="0.2">
      <c r="A6990" t="str">
        <f>"6986"</f>
        <v>6986</v>
      </c>
      <c r="B6990" t="str">
        <f t="shared" si="388"/>
        <v>1</v>
      </c>
      <c r="C6990" t="str">
        <f t="shared" si="389"/>
        <v>140</v>
      </c>
      <c r="D6990" t="str">
        <f>"27"</f>
        <v>27</v>
      </c>
      <c r="E6990" t="str">
        <f>"1-140-27"</f>
        <v>1-140-27</v>
      </c>
      <c r="F6990" t="s">
        <v>65</v>
      </c>
      <c r="G6990" t="s">
        <v>66</v>
      </c>
      <c r="H6990" t="s">
        <v>67</v>
      </c>
      <c r="S6990">
        <v>1</v>
      </c>
      <c r="T6990">
        <v>0</v>
      </c>
      <c r="U6990">
        <v>0</v>
      </c>
      <c r="V6990">
        <v>0</v>
      </c>
      <c r="W6990">
        <v>1</v>
      </c>
      <c r="X6990">
        <v>0</v>
      </c>
      <c r="Y6990">
        <v>1</v>
      </c>
      <c r="Z6990">
        <v>0</v>
      </c>
      <c r="AA6990">
        <v>0</v>
      </c>
      <c r="AB6990">
        <v>0</v>
      </c>
      <c r="AC6990">
        <v>1</v>
      </c>
      <c r="AD6990">
        <v>1</v>
      </c>
      <c r="AE6990">
        <v>1</v>
      </c>
      <c r="AF6990">
        <v>1</v>
      </c>
      <c r="AG6990">
        <v>1</v>
      </c>
      <c r="AH6990">
        <v>1</v>
      </c>
      <c r="AI6990">
        <v>1</v>
      </c>
      <c r="AJ6990">
        <v>1</v>
      </c>
      <c r="AK6990">
        <v>1</v>
      </c>
      <c r="AL6990">
        <v>1</v>
      </c>
      <c r="AM6990">
        <v>1</v>
      </c>
    </row>
    <row r="6991" spans="1:39" x14ac:dyDescent="0.2">
      <c r="A6991" t="str">
        <f>"6987"</f>
        <v>6987</v>
      </c>
      <c r="B6991" t="str">
        <f t="shared" si="388"/>
        <v>1</v>
      </c>
      <c r="C6991" t="str">
        <f t="shared" si="389"/>
        <v>140</v>
      </c>
      <c r="D6991" t="str">
        <f>"12"</f>
        <v>12</v>
      </c>
      <c r="E6991" t="str">
        <f>"1-140-12"</f>
        <v>1-140-12</v>
      </c>
      <c r="F6991" t="s">
        <v>65</v>
      </c>
      <c r="G6991" t="s">
        <v>66</v>
      </c>
      <c r="H6991" t="s">
        <v>67</v>
      </c>
      <c r="S6991">
        <v>1</v>
      </c>
      <c r="T6991">
        <v>0</v>
      </c>
      <c r="U6991">
        <v>0</v>
      </c>
      <c r="V6991">
        <v>0</v>
      </c>
      <c r="W6991">
        <v>1</v>
      </c>
      <c r="X6991">
        <v>0</v>
      </c>
      <c r="Y6991">
        <v>0</v>
      </c>
      <c r="Z6991">
        <v>1</v>
      </c>
      <c r="AA6991">
        <v>0</v>
      </c>
      <c r="AB6991">
        <v>1</v>
      </c>
      <c r="AC6991">
        <v>0</v>
      </c>
      <c r="AD6991">
        <v>1</v>
      </c>
      <c r="AE6991">
        <v>1</v>
      </c>
      <c r="AF6991">
        <v>1</v>
      </c>
      <c r="AG6991">
        <v>1</v>
      </c>
      <c r="AH6991">
        <v>1</v>
      </c>
      <c r="AI6991">
        <v>1</v>
      </c>
      <c r="AJ6991">
        <v>1</v>
      </c>
      <c r="AK6991">
        <v>1</v>
      </c>
      <c r="AL6991">
        <v>1</v>
      </c>
      <c r="AM6991">
        <v>1</v>
      </c>
    </row>
    <row r="6992" spans="1:39" x14ac:dyDescent="0.2">
      <c r="A6992" t="str">
        <f>"6988"</f>
        <v>6988</v>
      </c>
      <c r="B6992" t="str">
        <f t="shared" si="388"/>
        <v>1</v>
      </c>
      <c r="C6992" t="str">
        <f t="shared" si="389"/>
        <v>140</v>
      </c>
      <c r="D6992" t="str">
        <f>"44"</f>
        <v>44</v>
      </c>
      <c r="E6992" t="str">
        <f>"1-140-44"</f>
        <v>1-140-44</v>
      </c>
      <c r="F6992" t="s">
        <v>65</v>
      </c>
      <c r="G6992" t="s">
        <v>66</v>
      </c>
      <c r="H6992" t="s">
        <v>67</v>
      </c>
      <c r="S6992">
        <v>1</v>
      </c>
      <c r="T6992">
        <v>0</v>
      </c>
      <c r="U6992">
        <v>0</v>
      </c>
      <c r="V6992">
        <v>0</v>
      </c>
      <c r="W6992">
        <v>1</v>
      </c>
      <c r="X6992">
        <v>0</v>
      </c>
      <c r="Y6992">
        <v>0</v>
      </c>
      <c r="Z6992">
        <v>1</v>
      </c>
      <c r="AA6992">
        <v>1</v>
      </c>
      <c r="AB6992">
        <v>0</v>
      </c>
      <c r="AC6992">
        <v>0</v>
      </c>
      <c r="AD6992">
        <v>1</v>
      </c>
      <c r="AE6992">
        <v>1</v>
      </c>
      <c r="AF6992">
        <v>1</v>
      </c>
      <c r="AG6992">
        <v>1</v>
      </c>
      <c r="AH6992">
        <v>1</v>
      </c>
      <c r="AI6992">
        <v>1</v>
      </c>
      <c r="AJ6992">
        <v>1</v>
      </c>
      <c r="AK6992">
        <v>1</v>
      </c>
      <c r="AL6992">
        <v>1</v>
      </c>
      <c r="AM6992">
        <v>1</v>
      </c>
    </row>
    <row r="6993" spans="1:39" x14ac:dyDescent="0.2">
      <c r="A6993" t="str">
        <f>"6989"</f>
        <v>6989</v>
      </c>
      <c r="B6993" t="str">
        <f t="shared" si="388"/>
        <v>1</v>
      </c>
      <c r="C6993" t="str">
        <f t="shared" si="389"/>
        <v>140</v>
      </c>
      <c r="D6993" t="str">
        <f>"29"</f>
        <v>29</v>
      </c>
      <c r="E6993" t="str">
        <f>"1-140-29"</f>
        <v>1-140-29</v>
      </c>
      <c r="F6993" t="s">
        <v>65</v>
      </c>
      <c r="G6993" t="s">
        <v>66</v>
      </c>
      <c r="H6993" t="s">
        <v>67</v>
      </c>
      <c r="S6993">
        <v>1</v>
      </c>
      <c r="T6993">
        <v>0</v>
      </c>
      <c r="U6993">
        <v>0</v>
      </c>
      <c r="V6993">
        <v>0</v>
      </c>
      <c r="W6993">
        <v>0</v>
      </c>
      <c r="X6993">
        <v>1</v>
      </c>
      <c r="Y6993">
        <v>1</v>
      </c>
      <c r="Z6993">
        <v>0</v>
      </c>
      <c r="AA6993">
        <v>1</v>
      </c>
      <c r="AB6993">
        <v>0</v>
      </c>
      <c r="AC6993">
        <v>0</v>
      </c>
      <c r="AD6993">
        <v>1</v>
      </c>
      <c r="AE6993">
        <v>1</v>
      </c>
      <c r="AF6993">
        <v>1</v>
      </c>
      <c r="AG6993">
        <v>1</v>
      </c>
      <c r="AH6993">
        <v>1</v>
      </c>
      <c r="AI6993">
        <v>1</v>
      </c>
      <c r="AJ6993">
        <v>1</v>
      </c>
      <c r="AK6993">
        <v>1</v>
      </c>
      <c r="AL6993">
        <v>1</v>
      </c>
      <c r="AM6993">
        <v>1</v>
      </c>
    </row>
    <row r="6994" spans="1:39" x14ac:dyDescent="0.2">
      <c r="A6994" t="str">
        <f>"6990"</f>
        <v>6990</v>
      </c>
      <c r="B6994" t="str">
        <f t="shared" si="388"/>
        <v>1</v>
      </c>
      <c r="C6994" t="str">
        <f t="shared" si="389"/>
        <v>140</v>
      </c>
      <c r="D6994" t="str">
        <f>"4"</f>
        <v>4</v>
      </c>
      <c r="E6994" t="str">
        <f>"1-140-4"</f>
        <v>1-140-4</v>
      </c>
      <c r="F6994" t="s">
        <v>65</v>
      </c>
      <c r="G6994" t="s">
        <v>66</v>
      </c>
      <c r="H6994" t="s">
        <v>67</v>
      </c>
      <c r="S6994">
        <v>0</v>
      </c>
      <c r="T6994">
        <v>0</v>
      </c>
      <c r="U6994">
        <v>0</v>
      </c>
      <c r="V6994">
        <v>0</v>
      </c>
      <c r="W6994">
        <v>1</v>
      </c>
      <c r="X6994">
        <v>0</v>
      </c>
      <c r="Y6994">
        <v>0</v>
      </c>
      <c r="Z6994">
        <v>1</v>
      </c>
      <c r="AA6994">
        <v>1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</row>
    <row r="6995" spans="1:39" x14ac:dyDescent="0.2">
      <c r="A6995" t="str">
        <f>"6991"</f>
        <v>6991</v>
      </c>
      <c r="B6995" t="str">
        <f t="shared" si="388"/>
        <v>1</v>
      </c>
      <c r="C6995" t="str">
        <f t="shared" si="389"/>
        <v>140</v>
      </c>
      <c r="D6995" t="str">
        <f>"45"</f>
        <v>45</v>
      </c>
      <c r="E6995" t="str">
        <f>"1-140-45"</f>
        <v>1-140-45</v>
      </c>
      <c r="F6995" t="s">
        <v>65</v>
      </c>
      <c r="G6995" t="s">
        <v>66</v>
      </c>
      <c r="H6995" t="s">
        <v>67</v>
      </c>
      <c r="S6995">
        <v>0</v>
      </c>
      <c r="T6995">
        <v>1</v>
      </c>
      <c r="U6995">
        <v>0</v>
      </c>
      <c r="V6995">
        <v>0</v>
      </c>
      <c r="W6995">
        <v>1</v>
      </c>
      <c r="X6995">
        <v>0</v>
      </c>
      <c r="Y6995">
        <v>1</v>
      </c>
      <c r="Z6995">
        <v>0</v>
      </c>
      <c r="AA6995">
        <v>0</v>
      </c>
      <c r="AB6995">
        <v>0</v>
      </c>
      <c r="AC6995">
        <v>1</v>
      </c>
      <c r="AD6995">
        <v>1</v>
      </c>
      <c r="AE6995">
        <v>0</v>
      </c>
      <c r="AF6995">
        <v>1</v>
      </c>
      <c r="AG6995">
        <v>1</v>
      </c>
      <c r="AH6995">
        <v>1</v>
      </c>
      <c r="AI6995">
        <v>1</v>
      </c>
      <c r="AJ6995">
        <v>1</v>
      </c>
      <c r="AK6995">
        <v>1</v>
      </c>
      <c r="AL6995">
        <v>1</v>
      </c>
      <c r="AM6995">
        <v>1</v>
      </c>
    </row>
    <row r="6996" spans="1:39" x14ac:dyDescent="0.2">
      <c r="A6996" t="str">
        <f>"6992"</f>
        <v>6992</v>
      </c>
      <c r="B6996" t="str">
        <f t="shared" si="388"/>
        <v>1</v>
      </c>
      <c r="C6996" t="str">
        <f t="shared" si="389"/>
        <v>140</v>
      </c>
      <c r="D6996" t="str">
        <f>"30"</f>
        <v>30</v>
      </c>
      <c r="E6996" t="str">
        <f>"1-140-30"</f>
        <v>1-140-30</v>
      </c>
      <c r="F6996" t="s">
        <v>65</v>
      </c>
      <c r="G6996" t="s">
        <v>66</v>
      </c>
      <c r="H6996" t="s">
        <v>67</v>
      </c>
      <c r="S6996">
        <v>1</v>
      </c>
      <c r="T6996">
        <v>0</v>
      </c>
      <c r="U6996">
        <v>0</v>
      </c>
      <c r="V6996">
        <v>0</v>
      </c>
      <c r="W6996">
        <v>0</v>
      </c>
      <c r="X6996">
        <v>1</v>
      </c>
      <c r="Y6996">
        <v>1</v>
      </c>
      <c r="Z6996">
        <v>0</v>
      </c>
      <c r="AA6996">
        <v>1</v>
      </c>
      <c r="AB6996">
        <v>0</v>
      </c>
      <c r="AC6996">
        <v>0</v>
      </c>
      <c r="AD6996">
        <v>1</v>
      </c>
      <c r="AE6996">
        <v>1</v>
      </c>
      <c r="AF6996">
        <v>1</v>
      </c>
      <c r="AG6996">
        <v>1</v>
      </c>
      <c r="AH6996">
        <v>1</v>
      </c>
      <c r="AI6996">
        <v>1</v>
      </c>
      <c r="AJ6996">
        <v>1</v>
      </c>
      <c r="AK6996">
        <v>1</v>
      </c>
      <c r="AL6996">
        <v>1</v>
      </c>
      <c r="AM6996">
        <v>1</v>
      </c>
    </row>
    <row r="6997" spans="1:39" x14ac:dyDescent="0.2">
      <c r="A6997" t="str">
        <f>"6993"</f>
        <v>6993</v>
      </c>
      <c r="B6997" t="str">
        <f t="shared" si="388"/>
        <v>1</v>
      </c>
      <c r="C6997" t="str">
        <f t="shared" si="389"/>
        <v>140</v>
      </c>
      <c r="D6997" t="str">
        <f>"5"</f>
        <v>5</v>
      </c>
      <c r="E6997" t="str">
        <f>"1-140-5"</f>
        <v>1-140-5</v>
      </c>
      <c r="F6997" t="s">
        <v>65</v>
      </c>
      <c r="G6997" t="s">
        <v>66</v>
      </c>
      <c r="H6997" t="s">
        <v>67</v>
      </c>
      <c r="S6997">
        <v>0</v>
      </c>
      <c r="T6997">
        <v>1</v>
      </c>
      <c r="U6997">
        <v>0</v>
      </c>
      <c r="V6997">
        <v>0</v>
      </c>
      <c r="W6997">
        <v>0</v>
      </c>
      <c r="X6997">
        <v>1</v>
      </c>
      <c r="Y6997">
        <v>0</v>
      </c>
      <c r="Z6997">
        <v>1</v>
      </c>
      <c r="AA6997">
        <v>0</v>
      </c>
      <c r="AB6997">
        <v>0</v>
      </c>
      <c r="AC6997">
        <v>1</v>
      </c>
      <c r="AD6997">
        <v>1</v>
      </c>
      <c r="AE6997">
        <v>1</v>
      </c>
      <c r="AF6997">
        <v>1</v>
      </c>
      <c r="AG6997">
        <v>1</v>
      </c>
      <c r="AH6997">
        <v>1</v>
      </c>
      <c r="AI6997">
        <v>1</v>
      </c>
      <c r="AJ6997">
        <v>1</v>
      </c>
      <c r="AK6997">
        <v>1</v>
      </c>
      <c r="AL6997">
        <v>1</v>
      </c>
      <c r="AM6997">
        <v>1</v>
      </c>
    </row>
    <row r="6998" spans="1:39" x14ac:dyDescent="0.2">
      <c r="A6998" t="str">
        <f>"6994"</f>
        <v>6994</v>
      </c>
      <c r="B6998" t="str">
        <f t="shared" si="388"/>
        <v>1</v>
      </c>
      <c r="C6998" t="str">
        <f t="shared" si="389"/>
        <v>140</v>
      </c>
      <c r="D6998" t="str">
        <f>"46"</f>
        <v>46</v>
      </c>
      <c r="E6998" t="str">
        <f>"1-140-46"</f>
        <v>1-140-46</v>
      </c>
      <c r="F6998" t="s">
        <v>65</v>
      </c>
      <c r="G6998" t="s">
        <v>66</v>
      </c>
      <c r="H6998" t="s">
        <v>67</v>
      </c>
      <c r="S6998">
        <v>0</v>
      </c>
      <c r="T6998">
        <v>1</v>
      </c>
      <c r="U6998">
        <v>0</v>
      </c>
      <c r="V6998">
        <v>0</v>
      </c>
      <c r="W6998">
        <v>1</v>
      </c>
      <c r="X6998">
        <v>0</v>
      </c>
      <c r="Y6998">
        <v>1</v>
      </c>
      <c r="Z6998">
        <v>0</v>
      </c>
      <c r="AA6998">
        <v>0</v>
      </c>
      <c r="AB6998">
        <v>1</v>
      </c>
      <c r="AC6998">
        <v>0</v>
      </c>
      <c r="AD6998">
        <v>1</v>
      </c>
      <c r="AE6998">
        <v>1</v>
      </c>
      <c r="AF6998">
        <v>1</v>
      </c>
      <c r="AG6998">
        <v>1</v>
      </c>
      <c r="AH6998">
        <v>1</v>
      </c>
      <c r="AI6998">
        <v>1</v>
      </c>
      <c r="AJ6998">
        <v>1</v>
      </c>
      <c r="AK6998">
        <v>1</v>
      </c>
      <c r="AL6998">
        <v>1</v>
      </c>
      <c r="AM6998">
        <v>1</v>
      </c>
    </row>
    <row r="6999" spans="1:39" x14ac:dyDescent="0.2">
      <c r="A6999" t="str">
        <f>"6995"</f>
        <v>6995</v>
      </c>
      <c r="B6999" t="str">
        <f t="shared" si="388"/>
        <v>1</v>
      </c>
      <c r="C6999" t="str">
        <f t="shared" si="389"/>
        <v>140</v>
      </c>
      <c r="D6999" t="str">
        <f>"31"</f>
        <v>31</v>
      </c>
      <c r="E6999" t="str">
        <f>"1-140-31"</f>
        <v>1-140-31</v>
      </c>
      <c r="F6999" t="s">
        <v>65</v>
      </c>
      <c r="G6999" t="s">
        <v>66</v>
      </c>
      <c r="H6999" t="s">
        <v>67</v>
      </c>
      <c r="S6999">
        <v>1</v>
      </c>
      <c r="T6999">
        <v>0</v>
      </c>
      <c r="U6999">
        <v>0</v>
      </c>
      <c r="V6999">
        <v>0</v>
      </c>
      <c r="W6999">
        <v>1</v>
      </c>
      <c r="X6999">
        <v>0</v>
      </c>
      <c r="Y6999">
        <v>1</v>
      </c>
      <c r="Z6999">
        <v>0</v>
      </c>
      <c r="AA6999">
        <v>1</v>
      </c>
      <c r="AB6999">
        <v>0</v>
      </c>
      <c r="AC6999">
        <v>0</v>
      </c>
      <c r="AD6999">
        <v>1</v>
      </c>
      <c r="AE6999">
        <v>1</v>
      </c>
      <c r="AF6999">
        <v>1</v>
      </c>
      <c r="AG6999">
        <v>1</v>
      </c>
      <c r="AH6999">
        <v>1</v>
      </c>
      <c r="AI6999">
        <v>1</v>
      </c>
      <c r="AJ6999">
        <v>1</v>
      </c>
      <c r="AK6999">
        <v>1</v>
      </c>
      <c r="AL6999">
        <v>1</v>
      </c>
      <c r="AM6999">
        <v>1</v>
      </c>
    </row>
    <row r="7000" spans="1:39" x14ac:dyDescent="0.2">
      <c r="A7000" t="str">
        <f>"6996"</f>
        <v>6996</v>
      </c>
      <c r="B7000" t="str">
        <f t="shared" si="388"/>
        <v>1</v>
      </c>
      <c r="C7000" t="str">
        <f t="shared" si="389"/>
        <v>140</v>
      </c>
      <c r="D7000" t="str">
        <f>"6"</f>
        <v>6</v>
      </c>
      <c r="E7000" t="str">
        <f>"1-140-6"</f>
        <v>1-140-6</v>
      </c>
      <c r="F7000" t="s">
        <v>65</v>
      </c>
      <c r="G7000" t="s">
        <v>66</v>
      </c>
      <c r="H7000" t="s">
        <v>67</v>
      </c>
      <c r="S7000">
        <v>0</v>
      </c>
      <c r="T7000">
        <v>1</v>
      </c>
      <c r="U7000">
        <v>0</v>
      </c>
      <c r="V7000">
        <v>0</v>
      </c>
      <c r="W7000">
        <v>0</v>
      </c>
      <c r="X7000">
        <v>1</v>
      </c>
      <c r="Y7000">
        <v>0</v>
      </c>
      <c r="Z7000">
        <v>1</v>
      </c>
      <c r="AA7000">
        <v>0</v>
      </c>
      <c r="AB7000">
        <v>0</v>
      </c>
      <c r="AC7000">
        <v>1</v>
      </c>
      <c r="AD7000">
        <v>1</v>
      </c>
      <c r="AE7000">
        <v>1</v>
      </c>
      <c r="AF7000">
        <v>1</v>
      </c>
      <c r="AG7000">
        <v>1</v>
      </c>
      <c r="AH7000">
        <v>1</v>
      </c>
      <c r="AI7000">
        <v>1</v>
      </c>
      <c r="AJ7000">
        <v>1</v>
      </c>
      <c r="AK7000">
        <v>1</v>
      </c>
      <c r="AL7000">
        <v>1</v>
      </c>
      <c r="AM7000">
        <v>1</v>
      </c>
    </row>
    <row r="7001" spans="1:39" x14ac:dyDescent="0.2">
      <c r="A7001" t="str">
        <f>"6997"</f>
        <v>6997</v>
      </c>
      <c r="B7001" t="str">
        <f t="shared" si="388"/>
        <v>1</v>
      </c>
      <c r="C7001" t="str">
        <f t="shared" si="389"/>
        <v>140</v>
      </c>
      <c r="D7001" t="str">
        <f>"49"</f>
        <v>49</v>
      </c>
      <c r="E7001" t="str">
        <f>"1-140-49"</f>
        <v>1-140-49</v>
      </c>
      <c r="F7001" t="s">
        <v>65</v>
      </c>
      <c r="G7001" t="s">
        <v>66</v>
      </c>
      <c r="H7001" t="s">
        <v>67</v>
      </c>
      <c r="S7001">
        <v>1</v>
      </c>
      <c r="T7001">
        <v>0</v>
      </c>
      <c r="U7001">
        <v>0</v>
      </c>
      <c r="V7001">
        <v>0</v>
      </c>
      <c r="W7001">
        <v>1</v>
      </c>
      <c r="X7001">
        <v>0</v>
      </c>
      <c r="Y7001">
        <v>0</v>
      </c>
      <c r="Z7001">
        <v>1</v>
      </c>
      <c r="AA7001">
        <v>1</v>
      </c>
      <c r="AB7001">
        <v>0</v>
      </c>
      <c r="AC7001">
        <v>0</v>
      </c>
      <c r="AD7001">
        <v>1</v>
      </c>
      <c r="AE7001">
        <v>1</v>
      </c>
      <c r="AF7001">
        <v>1</v>
      </c>
      <c r="AG7001">
        <v>1</v>
      </c>
      <c r="AH7001">
        <v>1</v>
      </c>
      <c r="AI7001">
        <v>1</v>
      </c>
      <c r="AJ7001">
        <v>1</v>
      </c>
      <c r="AK7001">
        <v>1</v>
      </c>
      <c r="AL7001">
        <v>1</v>
      </c>
      <c r="AM7001">
        <v>1</v>
      </c>
    </row>
    <row r="7002" spans="1:39" x14ac:dyDescent="0.2">
      <c r="A7002" t="str">
        <f>"6998"</f>
        <v>6998</v>
      </c>
      <c r="B7002" t="str">
        <f t="shared" si="388"/>
        <v>1</v>
      </c>
      <c r="C7002" t="str">
        <f t="shared" si="389"/>
        <v>140</v>
      </c>
      <c r="D7002" t="str">
        <f>"32"</f>
        <v>32</v>
      </c>
      <c r="E7002" t="str">
        <f>"1-140-32"</f>
        <v>1-140-32</v>
      </c>
      <c r="F7002" t="s">
        <v>65</v>
      </c>
      <c r="G7002" t="s">
        <v>66</v>
      </c>
      <c r="H7002" t="s">
        <v>67</v>
      </c>
      <c r="S7002">
        <v>1</v>
      </c>
      <c r="T7002">
        <v>0</v>
      </c>
      <c r="U7002">
        <v>0</v>
      </c>
      <c r="V7002">
        <v>0</v>
      </c>
      <c r="W7002">
        <v>1</v>
      </c>
      <c r="X7002">
        <v>0</v>
      </c>
      <c r="Y7002">
        <v>0</v>
      </c>
      <c r="Z7002">
        <v>1</v>
      </c>
      <c r="AA7002">
        <v>1</v>
      </c>
      <c r="AB7002">
        <v>0</v>
      </c>
      <c r="AC7002">
        <v>0</v>
      </c>
      <c r="AD7002">
        <v>1</v>
      </c>
      <c r="AE7002">
        <v>1</v>
      </c>
      <c r="AF7002">
        <v>1</v>
      </c>
      <c r="AG7002">
        <v>1</v>
      </c>
      <c r="AH7002">
        <v>1</v>
      </c>
      <c r="AI7002">
        <v>1</v>
      </c>
      <c r="AJ7002">
        <v>1</v>
      </c>
      <c r="AK7002">
        <v>1</v>
      </c>
      <c r="AL7002">
        <v>1</v>
      </c>
      <c r="AM7002">
        <v>1</v>
      </c>
    </row>
    <row r="7003" spans="1:39" x14ac:dyDescent="0.2">
      <c r="A7003" t="str">
        <f>"6999"</f>
        <v>6999</v>
      </c>
      <c r="B7003" t="str">
        <f t="shared" si="388"/>
        <v>1</v>
      </c>
      <c r="C7003" t="str">
        <f t="shared" si="389"/>
        <v>140</v>
      </c>
      <c r="D7003" t="str">
        <f>"14"</f>
        <v>14</v>
      </c>
      <c r="E7003" t="str">
        <f>"1-140-14"</f>
        <v>1-140-14</v>
      </c>
      <c r="F7003" t="s">
        <v>65</v>
      </c>
      <c r="G7003" t="s">
        <v>66</v>
      </c>
      <c r="H7003" t="s">
        <v>67</v>
      </c>
      <c r="S7003">
        <v>0</v>
      </c>
      <c r="T7003">
        <v>1</v>
      </c>
      <c r="U7003">
        <v>0</v>
      </c>
      <c r="V7003">
        <v>0</v>
      </c>
      <c r="W7003">
        <v>0</v>
      </c>
      <c r="X7003">
        <v>1</v>
      </c>
      <c r="Y7003">
        <v>0</v>
      </c>
      <c r="Z7003">
        <v>1</v>
      </c>
      <c r="AA7003">
        <v>0</v>
      </c>
      <c r="AB7003">
        <v>1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1</v>
      </c>
      <c r="AM7003">
        <v>0</v>
      </c>
    </row>
    <row r="7004" spans="1:39" x14ac:dyDescent="0.2">
      <c r="A7004" t="str">
        <f>"7000"</f>
        <v>7000</v>
      </c>
      <c r="B7004" t="str">
        <f t="shared" si="388"/>
        <v>1</v>
      </c>
      <c r="C7004" t="str">
        <f t="shared" si="389"/>
        <v>140</v>
      </c>
      <c r="D7004" t="str">
        <f>"50"</f>
        <v>50</v>
      </c>
      <c r="E7004" t="str">
        <f>"1-140-50"</f>
        <v>1-140-50</v>
      </c>
      <c r="F7004" t="s">
        <v>65</v>
      </c>
      <c r="G7004" t="s">
        <v>66</v>
      </c>
      <c r="H7004" t="s">
        <v>67</v>
      </c>
      <c r="S7004">
        <v>1</v>
      </c>
      <c r="T7004">
        <v>0</v>
      </c>
      <c r="U7004">
        <v>0</v>
      </c>
      <c r="V7004">
        <v>0</v>
      </c>
      <c r="W7004">
        <v>1</v>
      </c>
      <c r="X7004">
        <v>0</v>
      </c>
      <c r="Y7004">
        <v>1</v>
      </c>
      <c r="Z7004">
        <v>0</v>
      </c>
      <c r="AA7004">
        <v>0</v>
      </c>
      <c r="AB7004">
        <v>1</v>
      </c>
      <c r="AC7004">
        <v>0</v>
      </c>
      <c r="AD7004">
        <v>1</v>
      </c>
      <c r="AE7004">
        <v>1</v>
      </c>
      <c r="AF7004">
        <v>1</v>
      </c>
      <c r="AG7004">
        <v>1</v>
      </c>
      <c r="AH7004">
        <v>1</v>
      </c>
      <c r="AI7004">
        <v>1</v>
      </c>
      <c r="AJ7004">
        <v>1</v>
      </c>
      <c r="AK7004">
        <v>1</v>
      </c>
      <c r="AL7004">
        <v>1</v>
      </c>
      <c r="AM7004">
        <v>1</v>
      </c>
    </row>
    <row r="7005" spans="1:39" x14ac:dyDescent="0.2">
      <c r="A7005" t="str">
        <f>"7001"</f>
        <v>7001</v>
      </c>
      <c r="B7005" t="str">
        <f t="shared" si="388"/>
        <v>1</v>
      </c>
      <c r="C7005" t="str">
        <f t="shared" ref="C7005:C7036" si="390">"141"</f>
        <v>141</v>
      </c>
      <c r="D7005" t="str">
        <f>"33"</f>
        <v>33</v>
      </c>
      <c r="E7005" t="str">
        <f>"1-141-33"</f>
        <v>1-141-33</v>
      </c>
      <c r="F7005" t="s">
        <v>65</v>
      </c>
      <c r="G7005" t="s">
        <v>66</v>
      </c>
      <c r="H7005" t="s">
        <v>67</v>
      </c>
      <c r="S7005">
        <v>0</v>
      </c>
      <c r="T7005">
        <v>1</v>
      </c>
      <c r="U7005">
        <v>0</v>
      </c>
      <c r="V7005">
        <v>0</v>
      </c>
      <c r="W7005">
        <v>0</v>
      </c>
      <c r="X7005">
        <v>1</v>
      </c>
      <c r="Y7005">
        <v>0</v>
      </c>
      <c r="Z7005">
        <v>1</v>
      </c>
      <c r="AA7005">
        <v>0</v>
      </c>
      <c r="AB7005">
        <v>1</v>
      </c>
      <c r="AC7005">
        <v>0</v>
      </c>
      <c r="AD7005">
        <v>1</v>
      </c>
      <c r="AE7005">
        <v>1</v>
      </c>
      <c r="AF7005">
        <v>1</v>
      </c>
      <c r="AG7005">
        <v>1</v>
      </c>
      <c r="AH7005">
        <v>1</v>
      </c>
      <c r="AI7005">
        <v>1</v>
      </c>
      <c r="AJ7005">
        <v>1</v>
      </c>
      <c r="AK7005">
        <v>1</v>
      </c>
      <c r="AL7005">
        <v>1</v>
      </c>
      <c r="AM7005">
        <v>1</v>
      </c>
    </row>
    <row r="7006" spans="1:39" x14ac:dyDescent="0.2">
      <c r="A7006" t="str">
        <f>"7002"</f>
        <v>7002</v>
      </c>
      <c r="B7006" t="str">
        <f t="shared" si="388"/>
        <v>1</v>
      </c>
      <c r="C7006" t="str">
        <f t="shared" si="390"/>
        <v>141</v>
      </c>
      <c r="D7006" t="str">
        <f>"32"</f>
        <v>32</v>
      </c>
      <c r="E7006" t="str">
        <f>"1-141-32"</f>
        <v>1-141-32</v>
      </c>
      <c r="F7006" t="s">
        <v>65</v>
      </c>
      <c r="G7006" t="s">
        <v>66</v>
      </c>
      <c r="H7006" t="s">
        <v>67</v>
      </c>
      <c r="S7006">
        <v>1</v>
      </c>
      <c r="T7006">
        <v>0</v>
      </c>
      <c r="U7006">
        <v>0</v>
      </c>
      <c r="V7006">
        <v>0</v>
      </c>
      <c r="W7006">
        <v>1</v>
      </c>
      <c r="X7006">
        <v>0</v>
      </c>
      <c r="Y7006">
        <v>1</v>
      </c>
      <c r="Z7006">
        <v>0</v>
      </c>
      <c r="AA7006">
        <v>1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1</v>
      </c>
      <c r="AH7006">
        <v>1</v>
      </c>
      <c r="AI7006">
        <v>0</v>
      </c>
      <c r="AJ7006">
        <v>0</v>
      </c>
      <c r="AK7006">
        <v>0</v>
      </c>
      <c r="AL7006">
        <v>0</v>
      </c>
      <c r="AM7006">
        <v>0</v>
      </c>
    </row>
    <row r="7007" spans="1:39" x14ac:dyDescent="0.2">
      <c r="A7007" t="str">
        <f>"7003"</f>
        <v>7003</v>
      </c>
      <c r="B7007" t="str">
        <f t="shared" si="388"/>
        <v>1</v>
      </c>
      <c r="C7007" t="str">
        <f t="shared" si="390"/>
        <v>141</v>
      </c>
      <c r="D7007" t="str">
        <f>"19"</f>
        <v>19</v>
      </c>
      <c r="E7007" t="str">
        <f>"1-141-19"</f>
        <v>1-141-19</v>
      </c>
      <c r="F7007" t="s">
        <v>65</v>
      </c>
      <c r="G7007" t="s">
        <v>66</v>
      </c>
      <c r="H7007" t="s">
        <v>67</v>
      </c>
      <c r="S7007">
        <v>1</v>
      </c>
      <c r="T7007">
        <v>0</v>
      </c>
      <c r="U7007">
        <v>0</v>
      </c>
      <c r="V7007">
        <v>0</v>
      </c>
      <c r="W7007">
        <v>1</v>
      </c>
      <c r="X7007">
        <v>0</v>
      </c>
      <c r="Y7007">
        <v>1</v>
      </c>
      <c r="Z7007">
        <v>0</v>
      </c>
      <c r="AA7007">
        <v>0</v>
      </c>
      <c r="AB7007">
        <v>0</v>
      </c>
      <c r="AC7007">
        <v>1</v>
      </c>
      <c r="AD7007">
        <v>1</v>
      </c>
      <c r="AE7007">
        <v>1</v>
      </c>
      <c r="AF7007">
        <v>1</v>
      </c>
      <c r="AG7007">
        <v>1</v>
      </c>
      <c r="AH7007">
        <v>1</v>
      </c>
      <c r="AI7007">
        <v>1</v>
      </c>
      <c r="AJ7007">
        <v>1</v>
      </c>
      <c r="AK7007">
        <v>1</v>
      </c>
      <c r="AL7007">
        <v>1</v>
      </c>
      <c r="AM7007">
        <v>1</v>
      </c>
    </row>
    <row r="7008" spans="1:39" x14ac:dyDescent="0.2">
      <c r="A7008" t="str">
        <f>"7004"</f>
        <v>7004</v>
      </c>
      <c r="B7008" t="str">
        <f t="shared" si="388"/>
        <v>1</v>
      </c>
      <c r="C7008" t="str">
        <f t="shared" si="390"/>
        <v>141</v>
      </c>
      <c r="D7008" t="str">
        <f>"15"</f>
        <v>15</v>
      </c>
      <c r="E7008" t="str">
        <f>"1-141-15"</f>
        <v>1-141-15</v>
      </c>
      <c r="F7008" t="s">
        <v>65</v>
      </c>
      <c r="G7008" t="s">
        <v>66</v>
      </c>
      <c r="H7008" t="s">
        <v>67</v>
      </c>
      <c r="S7008">
        <v>1</v>
      </c>
      <c r="T7008">
        <v>0</v>
      </c>
      <c r="U7008">
        <v>0</v>
      </c>
      <c r="V7008">
        <v>0</v>
      </c>
      <c r="W7008">
        <v>1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1</v>
      </c>
      <c r="AH7008">
        <v>1</v>
      </c>
      <c r="AI7008">
        <v>0</v>
      </c>
      <c r="AJ7008">
        <v>0</v>
      </c>
      <c r="AK7008">
        <v>0</v>
      </c>
      <c r="AL7008">
        <v>1</v>
      </c>
      <c r="AM7008">
        <v>0</v>
      </c>
    </row>
    <row r="7009" spans="1:39" x14ac:dyDescent="0.2">
      <c r="A7009" t="str">
        <f>"7005"</f>
        <v>7005</v>
      </c>
      <c r="B7009" t="str">
        <f t="shared" si="388"/>
        <v>1</v>
      </c>
      <c r="C7009" t="str">
        <f t="shared" si="390"/>
        <v>141</v>
      </c>
      <c r="D7009" t="str">
        <f>"1"</f>
        <v>1</v>
      </c>
      <c r="E7009" t="str">
        <f>"1-141-1"</f>
        <v>1-141-1</v>
      </c>
      <c r="F7009" t="s">
        <v>65</v>
      </c>
      <c r="G7009" t="s">
        <v>66</v>
      </c>
      <c r="H7009" t="s">
        <v>67</v>
      </c>
      <c r="S7009">
        <v>1</v>
      </c>
      <c r="T7009">
        <v>0</v>
      </c>
      <c r="U7009">
        <v>0</v>
      </c>
      <c r="V7009">
        <v>0</v>
      </c>
      <c r="W7009">
        <v>1</v>
      </c>
      <c r="X7009">
        <v>0</v>
      </c>
      <c r="Y7009">
        <v>1</v>
      </c>
      <c r="Z7009">
        <v>0</v>
      </c>
      <c r="AA7009">
        <v>1</v>
      </c>
      <c r="AB7009">
        <v>0</v>
      </c>
      <c r="AC7009">
        <v>0</v>
      </c>
      <c r="AD7009">
        <v>1</v>
      </c>
      <c r="AE7009">
        <v>1</v>
      </c>
      <c r="AF7009">
        <v>1</v>
      </c>
      <c r="AG7009">
        <v>1</v>
      </c>
      <c r="AH7009">
        <v>1</v>
      </c>
      <c r="AI7009">
        <v>1</v>
      </c>
      <c r="AJ7009">
        <v>1</v>
      </c>
      <c r="AK7009">
        <v>1</v>
      </c>
      <c r="AL7009">
        <v>1</v>
      </c>
      <c r="AM7009">
        <v>1</v>
      </c>
    </row>
    <row r="7010" spans="1:39" x14ac:dyDescent="0.2">
      <c r="A7010" t="str">
        <f>"7006"</f>
        <v>7006</v>
      </c>
      <c r="B7010" t="str">
        <f t="shared" si="388"/>
        <v>1</v>
      </c>
      <c r="C7010" t="str">
        <f t="shared" si="390"/>
        <v>141</v>
      </c>
      <c r="D7010" t="str">
        <f>"39"</f>
        <v>39</v>
      </c>
      <c r="E7010" t="str">
        <f>"1-141-39"</f>
        <v>1-141-39</v>
      </c>
      <c r="F7010" t="s">
        <v>65</v>
      </c>
      <c r="G7010" t="s">
        <v>66</v>
      </c>
      <c r="H7010" t="s">
        <v>67</v>
      </c>
      <c r="S7010">
        <v>0</v>
      </c>
      <c r="T7010">
        <v>1</v>
      </c>
      <c r="U7010">
        <v>0</v>
      </c>
      <c r="V7010">
        <v>0</v>
      </c>
      <c r="W7010">
        <v>1</v>
      </c>
      <c r="X7010">
        <v>0</v>
      </c>
      <c r="Y7010">
        <v>1</v>
      </c>
      <c r="Z7010">
        <v>0</v>
      </c>
      <c r="AA7010">
        <v>0</v>
      </c>
      <c r="AB7010">
        <v>0</v>
      </c>
      <c r="AC7010">
        <v>1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</row>
    <row r="7011" spans="1:39" x14ac:dyDescent="0.2">
      <c r="A7011" t="str">
        <f>"7007"</f>
        <v>7007</v>
      </c>
      <c r="B7011" t="str">
        <f t="shared" si="388"/>
        <v>1</v>
      </c>
      <c r="C7011" t="str">
        <f t="shared" si="390"/>
        <v>141</v>
      </c>
      <c r="D7011" t="str">
        <f>"38"</f>
        <v>38</v>
      </c>
      <c r="E7011" t="str">
        <f>"1-141-38"</f>
        <v>1-141-38</v>
      </c>
      <c r="F7011" t="s">
        <v>65</v>
      </c>
      <c r="G7011" t="s">
        <v>66</v>
      </c>
      <c r="H7011" t="s">
        <v>67</v>
      </c>
      <c r="S7011">
        <v>1</v>
      </c>
      <c r="T7011">
        <v>0</v>
      </c>
      <c r="U7011">
        <v>0</v>
      </c>
      <c r="V7011">
        <v>0</v>
      </c>
      <c r="W7011">
        <v>1</v>
      </c>
      <c r="X7011">
        <v>0</v>
      </c>
      <c r="Y7011">
        <v>0</v>
      </c>
      <c r="Z7011">
        <v>1</v>
      </c>
      <c r="AA7011">
        <v>1</v>
      </c>
      <c r="AB7011">
        <v>0</v>
      </c>
      <c r="AC7011">
        <v>0</v>
      </c>
      <c r="AD7011">
        <v>1</v>
      </c>
      <c r="AE7011">
        <v>1</v>
      </c>
      <c r="AF7011">
        <v>1</v>
      </c>
      <c r="AG7011">
        <v>1</v>
      </c>
      <c r="AH7011">
        <v>1</v>
      </c>
      <c r="AI7011">
        <v>1</v>
      </c>
      <c r="AJ7011">
        <v>1</v>
      </c>
      <c r="AK7011">
        <v>1</v>
      </c>
      <c r="AL7011">
        <v>1</v>
      </c>
      <c r="AM7011">
        <v>1</v>
      </c>
    </row>
    <row r="7012" spans="1:39" x14ac:dyDescent="0.2">
      <c r="A7012" t="str">
        <f>"7008"</f>
        <v>7008</v>
      </c>
      <c r="B7012" t="str">
        <f t="shared" si="388"/>
        <v>1</v>
      </c>
      <c r="C7012" t="str">
        <f t="shared" si="390"/>
        <v>141</v>
      </c>
      <c r="D7012" t="str">
        <f>"28"</f>
        <v>28</v>
      </c>
      <c r="E7012" t="str">
        <f>"1-141-28"</f>
        <v>1-141-28</v>
      </c>
      <c r="F7012" t="s">
        <v>65</v>
      </c>
      <c r="G7012" t="s">
        <v>66</v>
      </c>
      <c r="H7012" t="s">
        <v>67</v>
      </c>
      <c r="S7012">
        <v>1</v>
      </c>
      <c r="T7012">
        <v>0</v>
      </c>
      <c r="U7012">
        <v>0</v>
      </c>
      <c r="V7012">
        <v>0</v>
      </c>
      <c r="W7012">
        <v>1</v>
      </c>
      <c r="X7012">
        <v>0</v>
      </c>
      <c r="Y7012">
        <v>0</v>
      </c>
      <c r="Z7012">
        <v>1</v>
      </c>
      <c r="AA7012">
        <v>0</v>
      </c>
      <c r="AB7012">
        <v>1</v>
      </c>
      <c r="AC7012">
        <v>0</v>
      </c>
      <c r="AD7012">
        <v>1</v>
      </c>
      <c r="AE7012">
        <v>1</v>
      </c>
      <c r="AF7012">
        <v>1</v>
      </c>
      <c r="AG7012">
        <v>1</v>
      </c>
      <c r="AH7012">
        <v>1</v>
      </c>
      <c r="AI7012">
        <v>1</v>
      </c>
      <c r="AJ7012">
        <v>1</v>
      </c>
      <c r="AK7012">
        <v>1</v>
      </c>
      <c r="AL7012">
        <v>1</v>
      </c>
      <c r="AM7012">
        <v>1</v>
      </c>
    </row>
    <row r="7013" spans="1:39" x14ac:dyDescent="0.2">
      <c r="A7013" t="str">
        <f>"7009"</f>
        <v>7009</v>
      </c>
      <c r="B7013" t="str">
        <f t="shared" si="388"/>
        <v>1</v>
      </c>
      <c r="C7013" t="str">
        <f t="shared" si="390"/>
        <v>141</v>
      </c>
      <c r="D7013" t="str">
        <f>"16"</f>
        <v>16</v>
      </c>
      <c r="E7013" t="str">
        <f>"1-141-16"</f>
        <v>1-141-16</v>
      </c>
      <c r="F7013" t="s">
        <v>65</v>
      </c>
      <c r="G7013" t="s">
        <v>66</v>
      </c>
      <c r="H7013" t="s">
        <v>67</v>
      </c>
      <c r="S7013">
        <v>1</v>
      </c>
      <c r="T7013">
        <v>0</v>
      </c>
      <c r="U7013">
        <v>0</v>
      </c>
      <c r="V7013">
        <v>0</v>
      </c>
      <c r="W7013">
        <v>1</v>
      </c>
      <c r="X7013">
        <v>0</v>
      </c>
      <c r="Y7013">
        <v>1</v>
      </c>
      <c r="Z7013">
        <v>0</v>
      </c>
      <c r="AA7013">
        <v>1</v>
      </c>
      <c r="AB7013">
        <v>0</v>
      </c>
      <c r="AC7013">
        <v>0</v>
      </c>
      <c r="AD7013">
        <v>1</v>
      </c>
      <c r="AE7013">
        <v>1</v>
      </c>
      <c r="AF7013">
        <v>1</v>
      </c>
      <c r="AG7013">
        <v>1</v>
      </c>
      <c r="AH7013">
        <v>1</v>
      </c>
      <c r="AI7013">
        <v>1</v>
      </c>
      <c r="AJ7013">
        <v>1</v>
      </c>
      <c r="AK7013">
        <v>1</v>
      </c>
      <c r="AL7013">
        <v>1</v>
      </c>
      <c r="AM7013">
        <v>1</v>
      </c>
    </row>
    <row r="7014" spans="1:39" x14ac:dyDescent="0.2">
      <c r="A7014" t="str">
        <f>"7010"</f>
        <v>7010</v>
      </c>
      <c r="B7014" t="str">
        <f t="shared" si="388"/>
        <v>1</v>
      </c>
      <c r="C7014" t="str">
        <f t="shared" si="390"/>
        <v>141</v>
      </c>
      <c r="D7014" t="str">
        <f>"8"</f>
        <v>8</v>
      </c>
      <c r="E7014" t="str">
        <f>"1-141-8"</f>
        <v>1-141-8</v>
      </c>
      <c r="F7014" t="s">
        <v>65</v>
      </c>
      <c r="G7014" t="s">
        <v>66</v>
      </c>
      <c r="H7014" t="s">
        <v>67</v>
      </c>
      <c r="S7014">
        <v>1</v>
      </c>
      <c r="T7014">
        <v>0</v>
      </c>
      <c r="U7014">
        <v>0</v>
      </c>
      <c r="V7014">
        <v>0</v>
      </c>
      <c r="W7014">
        <v>1</v>
      </c>
      <c r="X7014">
        <v>0</v>
      </c>
      <c r="Y7014">
        <v>1</v>
      </c>
      <c r="Z7014">
        <v>0</v>
      </c>
      <c r="AA7014">
        <v>1</v>
      </c>
      <c r="AB7014">
        <v>0</v>
      </c>
      <c r="AC7014">
        <v>0</v>
      </c>
      <c r="AD7014">
        <v>0</v>
      </c>
      <c r="AE7014">
        <v>1</v>
      </c>
      <c r="AF7014">
        <v>1</v>
      </c>
      <c r="AG7014">
        <v>0</v>
      </c>
      <c r="AH7014">
        <v>1</v>
      </c>
      <c r="AI7014">
        <v>1</v>
      </c>
      <c r="AJ7014">
        <v>1</v>
      </c>
      <c r="AK7014">
        <v>1</v>
      </c>
      <c r="AL7014">
        <v>1</v>
      </c>
      <c r="AM7014">
        <v>1</v>
      </c>
    </row>
    <row r="7015" spans="1:39" x14ac:dyDescent="0.2">
      <c r="A7015" t="str">
        <f>"7011"</f>
        <v>7011</v>
      </c>
      <c r="B7015" t="str">
        <f t="shared" si="388"/>
        <v>1</v>
      </c>
      <c r="C7015" t="str">
        <f t="shared" si="390"/>
        <v>141</v>
      </c>
      <c r="D7015" t="str">
        <f>"37"</f>
        <v>37</v>
      </c>
      <c r="E7015" t="str">
        <f>"1-141-37"</f>
        <v>1-141-37</v>
      </c>
      <c r="F7015" t="s">
        <v>65</v>
      </c>
      <c r="G7015" t="s">
        <v>66</v>
      </c>
      <c r="H7015" t="s">
        <v>67</v>
      </c>
      <c r="S7015">
        <v>1</v>
      </c>
      <c r="T7015">
        <v>0</v>
      </c>
      <c r="U7015">
        <v>0</v>
      </c>
      <c r="V7015">
        <v>0</v>
      </c>
      <c r="W7015">
        <v>1</v>
      </c>
      <c r="X7015">
        <v>0</v>
      </c>
      <c r="Y7015">
        <v>0</v>
      </c>
      <c r="Z7015">
        <v>1</v>
      </c>
      <c r="AA7015">
        <v>0</v>
      </c>
      <c r="AB7015">
        <v>1</v>
      </c>
      <c r="AC7015">
        <v>0</v>
      </c>
      <c r="AD7015">
        <v>1</v>
      </c>
      <c r="AE7015">
        <v>1</v>
      </c>
      <c r="AF7015">
        <v>1</v>
      </c>
      <c r="AG7015">
        <v>1</v>
      </c>
      <c r="AH7015">
        <v>1</v>
      </c>
      <c r="AI7015">
        <v>1</v>
      </c>
      <c r="AJ7015">
        <v>1</v>
      </c>
      <c r="AK7015">
        <v>1</v>
      </c>
      <c r="AL7015">
        <v>1</v>
      </c>
      <c r="AM7015">
        <v>1</v>
      </c>
    </row>
    <row r="7016" spans="1:39" x14ac:dyDescent="0.2">
      <c r="A7016" t="str">
        <f>"7012"</f>
        <v>7012</v>
      </c>
      <c r="B7016" t="str">
        <f t="shared" si="388"/>
        <v>1</v>
      </c>
      <c r="C7016" t="str">
        <f t="shared" si="390"/>
        <v>141</v>
      </c>
      <c r="D7016" t="str">
        <f>"17"</f>
        <v>17</v>
      </c>
      <c r="E7016" t="str">
        <f>"1-141-17"</f>
        <v>1-141-17</v>
      </c>
      <c r="F7016" t="s">
        <v>65</v>
      </c>
      <c r="G7016" t="s">
        <v>66</v>
      </c>
      <c r="H7016" t="s">
        <v>67</v>
      </c>
      <c r="S7016">
        <v>1</v>
      </c>
      <c r="T7016">
        <v>0</v>
      </c>
      <c r="U7016">
        <v>0</v>
      </c>
      <c r="V7016">
        <v>0</v>
      </c>
      <c r="W7016">
        <v>1</v>
      </c>
      <c r="X7016">
        <v>0</v>
      </c>
      <c r="Y7016">
        <v>1</v>
      </c>
      <c r="Z7016">
        <v>0</v>
      </c>
      <c r="AA7016">
        <v>1</v>
      </c>
      <c r="AB7016">
        <v>0</v>
      </c>
      <c r="AC7016">
        <v>0</v>
      </c>
      <c r="AD7016">
        <v>1</v>
      </c>
      <c r="AE7016">
        <v>1</v>
      </c>
      <c r="AF7016">
        <v>1</v>
      </c>
      <c r="AG7016">
        <v>1</v>
      </c>
      <c r="AH7016">
        <v>1</v>
      </c>
      <c r="AI7016">
        <v>1</v>
      </c>
      <c r="AJ7016">
        <v>1</v>
      </c>
      <c r="AK7016">
        <v>1</v>
      </c>
      <c r="AL7016">
        <v>1</v>
      </c>
      <c r="AM7016">
        <v>1</v>
      </c>
    </row>
    <row r="7017" spans="1:39" x14ac:dyDescent="0.2">
      <c r="A7017" t="str">
        <f>"7013"</f>
        <v>7013</v>
      </c>
      <c r="B7017" t="str">
        <f t="shared" si="388"/>
        <v>1</v>
      </c>
      <c r="C7017" t="str">
        <f t="shared" si="390"/>
        <v>141</v>
      </c>
      <c r="D7017" t="str">
        <f>"5"</f>
        <v>5</v>
      </c>
      <c r="E7017" t="str">
        <f>"1-141-5"</f>
        <v>1-141-5</v>
      </c>
      <c r="F7017" t="s">
        <v>65</v>
      </c>
      <c r="G7017" t="s">
        <v>66</v>
      </c>
      <c r="H7017" t="s">
        <v>67</v>
      </c>
      <c r="S7017">
        <v>0</v>
      </c>
      <c r="T7017">
        <v>1</v>
      </c>
      <c r="U7017">
        <v>0</v>
      </c>
      <c r="V7017">
        <v>0</v>
      </c>
      <c r="W7017">
        <v>0</v>
      </c>
      <c r="X7017">
        <v>1</v>
      </c>
      <c r="Y7017">
        <v>0</v>
      </c>
      <c r="Z7017">
        <v>1</v>
      </c>
      <c r="AA7017">
        <v>0</v>
      </c>
      <c r="AB7017">
        <v>0</v>
      </c>
      <c r="AC7017">
        <v>1</v>
      </c>
      <c r="AD7017">
        <v>1</v>
      </c>
      <c r="AE7017">
        <v>1</v>
      </c>
      <c r="AF7017">
        <v>1</v>
      </c>
      <c r="AG7017">
        <v>1</v>
      </c>
      <c r="AH7017">
        <v>1</v>
      </c>
      <c r="AI7017">
        <v>1</v>
      </c>
      <c r="AJ7017">
        <v>1</v>
      </c>
      <c r="AK7017">
        <v>1</v>
      </c>
      <c r="AL7017">
        <v>1</v>
      </c>
      <c r="AM7017">
        <v>1</v>
      </c>
    </row>
    <row r="7018" spans="1:39" x14ac:dyDescent="0.2">
      <c r="A7018" t="str">
        <f>"7014"</f>
        <v>7014</v>
      </c>
      <c r="B7018" t="str">
        <f t="shared" si="388"/>
        <v>1</v>
      </c>
      <c r="C7018" t="str">
        <f t="shared" si="390"/>
        <v>141</v>
      </c>
      <c r="D7018" t="str">
        <f>"36"</f>
        <v>36</v>
      </c>
      <c r="E7018" t="str">
        <f>"1-141-36"</f>
        <v>1-141-36</v>
      </c>
      <c r="F7018" t="s">
        <v>65</v>
      </c>
      <c r="G7018" t="s">
        <v>66</v>
      </c>
      <c r="H7018" t="s">
        <v>67</v>
      </c>
      <c r="S7018">
        <v>1</v>
      </c>
      <c r="T7018">
        <v>0</v>
      </c>
      <c r="U7018">
        <v>0</v>
      </c>
      <c r="V7018">
        <v>0</v>
      </c>
      <c r="W7018">
        <v>1</v>
      </c>
      <c r="X7018">
        <v>0</v>
      </c>
      <c r="Y7018">
        <v>0</v>
      </c>
      <c r="Z7018">
        <v>1</v>
      </c>
      <c r="AA7018">
        <v>0</v>
      </c>
      <c r="AB7018">
        <v>1</v>
      </c>
      <c r="AC7018">
        <v>0</v>
      </c>
      <c r="AD7018">
        <v>1</v>
      </c>
      <c r="AE7018">
        <v>1</v>
      </c>
      <c r="AF7018">
        <v>1</v>
      </c>
      <c r="AG7018">
        <v>1</v>
      </c>
      <c r="AH7018">
        <v>1</v>
      </c>
      <c r="AI7018">
        <v>1</v>
      </c>
      <c r="AJ7018">
        <v>1</v>
      </c>
      <c r="AK7018">
        <v>1</v>
      </c>
      <c r="AL7018">
        <v>1</v>
      </c>
      <c r="AM7018">
        <v>1</v>
      </c>
    </row>
    <row r="7019" spans="1:39" x14ac:dyDescent="0.2">
      <c r="A7019" t="str">
        <f>"7015"</f>
        <v>7015</v>
      </c>
      <c r="B7019" t="str">
        <f t="shared" si="388"/>
        <v>1</v>
      </c>
      <c r="C7019" t="str">
        <f t="shared" si="390"/>
        <v>141</v>
      </c>
      <c r="D7019" t="str">
        <f>"35"</f>
        <v>35</v>
      </c>
      <c r="E7019" t="str">
        <f>"1-141-35"</f>
        <v>1-141-35</v>
      </c>
      <c r="F7019" t="s">
        <v>65</v>
      </c>
      <c r="G7019" t="s">
        <v>66</v>
      </c>
      <c r="H7019" t="s">
        <v>67</v>
      </c>
      <c r="S7019">
        <v>1</v>
      </c>
      <c r="T7019">
        <v>0</v>
      </c>
      <c r="U7019">
        <v>0</v>
      </c>
      <c r="V7019">
        <v>0</v>
      </c>
      <c r="W7019">
        <v>1</v>
      </c>
      <c r="X7019">
        <v>0</v>
      </c>
      <c r="Y7019">
        <v>1</v>
      </c>
      <c r="Z7019">
        <v>0</v>
      </c>
      <c r="AA7019">
        <v>1</v>
      </c>
      <c r="AB7019">
        <v>0</v>
      </c>
      <c r="AC7019">
        <v>0</v>
      </c>
      <c r="AD7019">
        <v>1</v>
      </c>
      <c r="AE7019">
        <v>1</v>
      </c>
      <c r="AF7019">
        <v>1</v>
      </c>
      <c r="AG7019">
        <v>1</v>
      </c>
      <c r="AH7019">
        <v>1</v>
      </c>
      <c r="AI7019">
        <v>1</v>
      </c>
      <c r="AJ7019">
        <v>1</v>
      </c>
      <c r="AK7019">
        <v>1</v>
      </c>
      <c r="AL7019">
        <v>1</v>
      </c>
      <c r="AM7019">
        <v>1</v>
      </c>
    </row>
    <row r="7020" spans="1:39" x14ac:dyDescent="0.2">
      <c r="A7020" t="str">
        <f>"7016"</f>
        <v>7016</v>
      </c>
      <c r="B7020" t="str">
        <f t="shared" si="388"/>
        <v>1</v>
      </c>
      <c r="C7020" t="str">
        <f t="shared" si="390"/>
        <v>141</v>
      </c>
      <c r="D7020" t="str">
        <f>"27"</f>
        <v>27</v>
      </c>
      <c r="E7020" t="str">
        <f>"1-141-27"</f>
        <v>1-141-27</v>
      </c>
      <c r="F7020" t="s">
        <v>65</v>
      </c>
      <c r="G7020" t="s">
        <v>66</v>
      </c>
      <c r="H7020" t="s">
        <v>67</v>
      </c>
      <c r="S7020">
        <v>0</v>
      </c>
      <c r="T7020">
        <v>1</v>
      </c>
      <c r="U7020">
        <v>0</v>
      </c>
      <c r="V7020">
        <v>0</v>
      </c>
      <c r="W7020">
        <v>1</v>
      </c>
      <c r="X7020">
        <v>0</v>
      </c>
      <c r="Y7020">
        <v>1</v>
      </c>
      <c r="Z7020">
        <v>0</v>
      </c>
      <c r="AA7020">
        <v>0</v>
      </c>
      <c r="AB7020">
        <v>1</v>
      </c>
      <c r="AC7020">
        <v>0</v>
      </c>
      <c r="AD7020">
        <v>1</v>
      </c>
      <c r="AE7020">
        <v>1</v>
      </c>
      <c r="AF7020">
        <v>1</v>
      </c>
      <c r="AG7020">
        <v>1</v>
      </c>
      <c r="AH7020">
        <v>1</v>
      </c>
      <c r="AI7020">
        <v>1</v>
      </c>
      <c r="AJ7020">
        <v>1</v>
      </c>
      <c r="AK7020">
        <v>1</v>
      </c>
      <c r="AL7020">
        <v>1</v>
      </c>
      <c r="AM7020">
        <v>1</v>
      </c>
    </row>
    <row r="7021" spans="1:39" x14ac:dyDescent="0.2">
      <c r="A7021" t="str">
        <f>"7017"</f>
        <v>7017</v>
      </c>
      <c r="B7021" t="str">
        <f t="shared" si="388"/>
        <v>1</v>
      </c>
      <c r="C7021" t="str">
        <f t="shared" si="390"/>
        <v>141</v>
      </c>
      <c r="D7021" t="str">
        <f>"18"</f>
        <v>18</v>
      </c>
      <c r="E7021" t="str">
        <f>"1-141-18"</f>
        <v>1-141-18</v>
      </c>
      <c r="F7021" t="s">
        <v>65</v>
      </c>
      <c r="G7021" t="s">
        <v>66</v>
      </c>
      <c r="H7021" t="s">
        <v>67</v>
      </c>
      <c r="S7021">
        <v>1</v>
      </c>
      <c r="T7021">
        <v>0</v>
      </c>
      <c r="U7021">
        <v>0</v>
      </c>
      <c r="V7021">
        <v>0</v>
      </c>
      <c r="W7021">
        <v>1</v>
      </c>
      <c r="X7021">
        <v>0</v>
      </c>
      <c r="Y7021">
        <v>1</v>
      </c>
      <c r="Z7021">
        <v>0</v>
      </c>
      <c r="AA7021">
        <v>1</v>
      </c>
      <c r="AB7021">
        <v>0</v>
      </c>
      <c r="AC7021">
        <v>0</v>
      </c>
      <c r="AD7021">
        <v>1</v>
      </c>
      <c r="AE7021">
        <v>1</v>
      </c>
      <c r="AF7021">
        <v>1</v>
      </c>
      <c r="AG7021">
        <v>1</v>
      </c>
      <c r="AH7021">
        <v>1</v>
      </c>
      <c r="AI7021">
        <v>1</v>
      </c>
      <c r="AJ7021">
        <v>1</v>
      </c>
      <c r="AK7021">
        <v>1</v>
      </c>
      <c r="AL7021">
        <v>1</v>
      </c>
      <c r="AM7021">
        <v>1</v>
      </c>
    </row>
    <row r="7022" spans="1:39" x14ac:dyDescent="0.2">
      <c r="A7022" t="str">
        <f>"7018"</f>
        <v>7018</v>
      </c>
      <c r="B7022" t="str">
        <f t="shared" si="388"/>
        <v>1</v>
      </c>
      <c r="C7022" t="str">
        <f t="shared" si="390"/>
        <v>141</v>
      </c>
      <c r="D7022" t="str">
        <f>"9"</f>
        <v>9</v>
      </c>
      <c r="E7022" t="str">
        <f>"1-141-9"</f>
        <v>1-141-9</v>
      </c>
      <c r="F7022" t="s">
        <v>65</v>
      </c>
      <c r="G7022" t="s">
        <v>66</v>
      </c>
      <c r="H7022" t="s">
        <v>67</v>
      </c>
      <c r="S7022">
        <v>0</v>
      </c>
      <c r="T7022">
        <v>1</v>
      </c>
      <c r="U7022">
        <v>0</v>
      </c>
      <c r="V7022">
        <v>0</v>
      </c>
      <c r="W7022">
        <v>1</v>
      </c>
      <c r="X7022">
        <v>0</v>
      </c>
      <c r="Y7022">
        <v>1</v>
      </c>
      <c r="Z7022">
        <v>0</v>
      </c>
      <c r="AA7022">
        <v>0</v>
      </c>
      <c r="AB7022">
        <v>1</v>
      </c>
      <c r="AC7022">
        <v>0</v>
      </c>
      <c r="AD7022">
        <v>1</v>
      </c>
      <c r="AE7022">
        <v>1</v>
      </c>
      <c r="AF7022">
        <v>1</v>
      </c>
      <c r="AG7022">
        <v>1</v>
      </c>
      <c r="AH7022">
        <v>1</v>
      </c>
      <c r="AI7022">
        <v>1</v>
      </c>
      <c r="AJ7022">
        <v>1</v>
      </c>
      <c r="AK7022">
        <v>1</v>
      </c>
      <c r="AL7022">
        <v>1</v>
      </c>
      <c r="AM7022">
        <v>1</v>
      </c>
    </row>
    <row r="7023" spans="1:39" x14ac:dyDescent="0.2">
      <c r="A7023" t="str">
        <f>"7019"</f>
        <v>7019</v>
      </c>
      <c r="B7023" t="str">
        <f t="shared" si="388"/>
        <v>1</v>
      </c>
      <c r="C7023" t="str">
        <f t="shared" si="390"/>
        <v>141</v>
      </c>
      <c r="D7023" t="str">
        <f>"47"</f>
        <v>47</v>
      </c>
      <c r="E7023" t="str">
        <f>"1-141-47"</f>
        <v>1-141-47</v>
      </c>
      <c r="F7023" t="s">
        <v>65</v>
      </c>
      <c r="G7023" t="s">
        <v>66</v>
      </c>
      <c r="H7023" t="s">
        <v>67</v>
      </c>
      <c r="S7023">
        <v>1</v>
      </c>
      <c r="T7023">
        <v>0</v>
      </c>
      <c r="U7023">
        <v>0</v>
      </c>
      <c r="V7023">
        <v>0</v>
      </c>
      <c r="W7023">
        <v>0</v>
      </c>
      <c r="X7023">
        <v>1</v>
      </c>
      <c r="Y7023">
        <v>1</v>
      </c>
      <c r="Z7023">
        <v>0</v>
      </c>
      <c r="AA7023">
        <v>0</v>
      </c>
      <c r="AB7023">
        <v>0</v>
      </c>
      <c r="AC7023">
        <v>1</v>
      </c>
      <c r="AD7023">
        <v>0</v>
      </c>
      <c r="AE7023">
        <v>0</v>
      </c>
      <c r="AF7023">
        <v>0</v>
      </c>
      <c r="AG7023">
        <v>0</v>
      </c>
      <c r="AH7023">
        <v>1</v>
      </c>
      <c r="AI7023">
        <v>0</v>
      </c>
      <c r="AJ7023">
        <v>0</v>
      </c>
      <c r="AK7023">
        <v>0</v>
      </c>
      <c r="AL7023">
        <v>0</v>
      </c>
      <c r="AM7023">
        <v>0</v>
      </c>
    </row>
    <row r="7024" spans="1:39" x14ac:dyDescent="0.2">
      <c r="A7024" t="str">
        <f>"7020"</f>
        <v>7020</v>
      </c>
      <c r="B7024" t="str">
        <f t="shared" si="388"/>
        <v>1</v>
      </c>
      <c r="C7024" t="str">
        <f t="shared" si="390"/>
        <v>141</v>
      </c>
      <c r="D7024" t="str">
        <f>"46"</f>
        <v>46</v>
      </c>
      <c r="E7024" t="str">
        <f>"1-141-46"</f>
        <v>1-141-46</v>
      </c>
      <c r="F7024" t="s">
        <v>65</v>
      </c>
      <c r="G7024" t="s">
        <v>66</v>
      </c>
      <c r="H7024" t="s">
        <v>67</v>
      </c>
      <c r="S7024">
        <v>0</v>
      </c>
      <c r="T7024">
        <v>1</v>
      </c>
      <c r="U7024">
        <v>0</v>
      </c>
      <c r="V7024">
        <v>0</v>
      </c>
      <c r="W7024">
        <v>1</v>
      </c>
      <c r="X7024">
        <v>0</v>
      </c>
      <c r="Y7024">
        <v>0</v>
      </c>
      <c r="Z7024">
        <v>1</v>
      </c>
      <c r="AA7024">
        <v>0</v>
      </c>
      <c r="AB7024">
        <v>0</v>
      </c>
      <c r="AC7024">
        <v>1</v>
      </c>
      <c r="AD7024">
        <v>1</v>
      </c>
      <c r="AE7024">
        <v>1</v>
      </c>
      <c r="AF7024">
        <v>1</v>
      </c>
      <c r="AG7024">
        <v>1</v>
      </c>
      <c r="AH7024">
        <v>1</v>
      </c>
      <c r="AI7024">
        <v>1</v>
      </c>
      <c r="AJ7024">
        <v>1</v>
      </c>
      <c r="AK7024">
        <v>1</v>
      </c>
      <c r="AL7024">
        <v>1</v>
      </c>
      <c r="AM7024">
        <v>1</v>
      </c>
    </row>
    <row r="7025" spans="1:39" x14ac:dyDescent="0.2">
      <c r="A7025" t="str">
        <f>"7021"</f>
        <v>7021</v>
      </c>
      <c r="B7025" t="str">
        <f t="shared" si="388"/>
        <v>1</v>
      </c>
      <c r="C7025" t="str">
        <f t="shared" si="390"/>
        <v>141</v>
      </c>
      <c r="D7025" t="str">
        <f>"34"</f>
        <v>34</v>
      </c>
      <c r="E7025" t="str">
        <f>"1-141-34"</f>
        <v>1-141-34</v>
      </c>
      <c r="F7025" t="s">
        <v>65</v>
      </c>
      <c r="G7025" t="s">
        <v>66</v>
      </c>
      <c r="H7025" t="s">
        <v>67</v>
      </c>
      <c r="S7025">
        <v>1</v>
      </c>
      <c r="T7025">
        <v>0</v>
      </c>
      <c r="U7025">
        <v>0</v>
      </c>
      <c r="V7025">
        <v>0</v>
      </c>
      <c r="W7025">
        <v>1</v>
      </c>
      <c r="X7025">
        <v>0</v>
      </c>
      <c r="Y7025">
        <v>1</v>
      </c>
      <c r="Z7025">
        <v>0</v>
      </c>
      <c r="AA7025">
        <v>1</v>
      </c>
      <c r="AB7025">
        <v>0</v>
      </c>
      <c r="AC7025">
        <v>0</v>
      </c>
      <c r="AD7025">
        <v>1</v>
      </c>
      <c r="AE7025">
        <v>1</v>
      </c>
      <c r="AF7025">
        <v>1</v>
      </c>
      <c r="AG7025">
        <v>1</v>
      </c>
      <c r="AH7025">
        <v>1</v>
      </c>
      <c r="AI7025">
        <v>1</v>
      </c>
      <c r="AJ7025">
        <v>1</v>
      </c>
      <c r="AK7025">
        <v>1</v>
      </c>
      <c r="AL7025">
        <v>1</v>
      </c>
      <c r="AM7025">
        <v>1</v>
      </c>
    </row>
    <row r="7026" spans="1:39" x14ac:dyDescent="0.2">
      <c r="A7026" t="str">
        <f>"7022"</f>
        <v>7022</v>
      </c>
      <c r="B7026" t="str">
        <f t="shared" si="388"/>
        <v>1</v>
      </c>
      <c r="C7026" t="str">
        <f t="shared" si="390"/>
        <v>141</v>
      </c>
      <c r="D7026" t="str">
        <f>"20"</f>
        <v>20</v>
      </c>
      <c r="E7026" t="str">
        <f>"1-141-20"</f>
        <v>1-141-20</v>
      </c>
      <c r="F7026" t="s">
        <v>65</v>
      </c>
      <c r="G7026" t="s">
        <v>66</v>
      </c>
      <c r="H7026" t="s">
        <v>67</v>
      </c>
      <c r="S7026">
        <v>0</v>
      </c>
      <c r="T7026">
        <v>1</v>
      </c>
      <c r="U7026">
        <v>0</v>
      </c>
      <c r="V7026">
        <v>0</v>
      </c>
      <c r="W7026">
        <v>0</v>
      </c>
      <c r="X7026">
        <v>1</v>
      </c>
      <c r="Y7026">
        <v>0</v>
      </c>
      <c r="Z7026">
        <v>1</v>
      </c>
      <c r="AA7026">
        <v>0</v>
      </c>
      <c r="AB7026">
        <v>0</v>
      </c>
      <c r="AC7026">
        <v>1</v>
      </c>
      <c r="AD7026">
        <v>1</v>
      </c>
      <c r="AE7026">
        <v>1</v>
      </c>
      <c r="AF7026">
        <v>1</v>
      </c>
      <c r="AG7026">
        <v>1</v>
      </c>
      <c r="AH7026">
        <v>1</v>
      </c>
      <c r="AI7026">
        <v>1</v>
      </c>
      <c r="AJ7026">
        <v>1</v>
      </c>
      <c r="AK7026">
        <v>1</v>
      </c>
      <c r="AL7026">
        <v>1</v>
      </c>
      <c r="AM7026">
        <v>1</v>
      </c>
    </row>
    <row r="7027" spans="1:39" x14ac:dyDescent="0.2">
      <c r="A7027" t="str">
        <f>"7023"</f>
        <v>7023</v>
      </c>
      <c r="B7027" t="str">
        <f t="shared" si="388"/>
        <v>1</v>
      </c>
      <c r="C7027" t="str">
        <f t="shared" si="390"/>
        <v>141</v>
      </c>
      <c r="D7027" t="str">
        <f>"13"</f>
        <v>13</v>
      </c>
      <c r="E7027" t="str">
        <f>"1-141-13"</f>
        <v>1-141-13</v>
      </c>
      <c r="F7027" t="s">
        <v>65</v>
      </c>
      <c r="G7027" t="s">
        <v>66</v>
      </c>
      <c r="H7027" t="s">
        <v>67</v>
      </c>
      <c r="S7027">
        <v>1</v>
      </c>
      <c r="T7027">
        <v>0</v>
      </c>
      <c r="U7027">
        <v>0</v>
      </c>
      <c r="V7027">
        <v>0</v>
      </c>
      <c r="W7027">
        <v>1</v>
      </c>
      <c r="X7027">
        <v>0</v>
      </c>
      <c r="Y7027">
        <v>1</v>
      </c>
      <c r="Z7027">
        <v>0</v>
      </c>
      <c r="AA7027">
        <v>1</v>
      </c>
      <c r="AB7027">
        <v>0</v>
      </c>
      <c r="AC7027">
        <v>0</v>
      </c>
      <c r="AD7027">
        <v>1</v>
      </c>
      <c r="AE7027">
        <v>1</v>
      </c>
      <c r="AF7027">
        <v>1</v>
      </c>
      <c r="AG7027">
        <v>1</v>
      </c>
      <c r="AH7027">
        <v>1</v>
      </c>
      <c r="AI7027">
        <v>1</v>
      </c>
      <c r="AJ7027">
        <v>1</v>
      </c>
      <c r="AK7027">
        <v>1</v>
      </c>
      <c r="AL7027">
        <v>1</v>
      </c>
      <c r="AM7027">
        <v>1</v>
      </c>
    </row>
    <row r="7028" spans="1:39" x14ac:dyDescent="0.2">
      <c r="A7028" t="str">
        <f>"7024"</f>
        <v>7024</v>
      </c>
      <c r="B7028" t="str">
        <f t="shared" si="388"/>
        <v>1</v>
      </c>
      <c r="C7028" t="str">
        <f t="shared" si="390"/>
        <v>141</v>
      </c>
      <c r="D7028" t="str">
        <f>"42"</f>
        <v>42</v>
      </c>
      <c r="E7028" t="str">
        <f>"1-141-42"</f>
        <v>1-141-42</v>
      </c>
      <c r="F7028" t="s">
        <v>65</v>
      </c>
      <c r="G7028" t="s">
        <v>66</v>
      </c>
      <c r="H7028" t="s">
        <v>67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1</v>
      </c>
      <c r="Y7028">
        <v>0</v>
      </c>
      <c r="Z7028">
        <v>0</v>
      </c>
      <c r="AA7028">
        <v>0</v>
      </c>
      <c r="AB7028">
        <v>1</v>
      </c>
      <c r="AC7028">
        <v>0</v>
      </c>
      <c r="AD7028">
        <v>0</v>
      </c>
      <c r="AE7028">
        <v>0</v>
      </c>
      <c r="AF7028">
        <v>0</v>
      </c>
      <c r="AG7028">
        <v>1</v>
      </c>
      <c r="AH7028">
        <v>1</v>
      </c>
      <c r="AI7028">
        <v>1</v>
      </c>
      <c r="AJ7028">
        <v>0</v>
      </c>
      <c r="AK7028">
        <v>0</v>
      </c>
      <c r="AL7028">
        <v>1</v>
      </c>
      <c r="AM7028">
        <v>0</v>
      </c>
    </row>
    <row r="7029" spans="1:39" x14ac:dyDescent="0.2">
      <c r="A7029" t="str">
        <f>"7025"</f>
        <v>7025</v>
      </c>
      <c r="B7029" t="str">
        <f t="shared" si="388"/>
        <v>1</v>
      </c>
      <c r="C7029" t="str">
        <f t="shared" si="390"/>
        <v>141</v>
      </c>
      <c r="D7029" t="str">
        <f>"21"</f>
        <v>21</v>
      </c>
      <c r="E7029" t="str">
        <f>"1-141-21"</f>
        <v>1-141-21</v>
      </c>
      <c r="F7029" t="s">
        <v>65</v>
      </c>
      <c r="G7029" t="s">
        <v>66</v>
      </c>
      <c r="H7029" t="s">
        <v>67</v>
      </c>
      <c r="S7029">
        <v>0</v>
      </c>
      <c r="T7029">
        <v>1</v>
      </c>
      <c r="U7029">
        <v>0</v>
      </c>
      <c r="V7029">
        <v>0</v>
      </c>
      <c r="W7029">
        <v>1</v>
      </c>
      <c r="X7029">
        <v>0</v>
      </c>
      <c r="Y7029">
        <v>0</v>
      </c>
      <c r="Z7029">
        <v>1</v>
      </c>
      <c r="AA7029">
        <v>0</v>
      </c>
      <c r="AB7029">
        <v>1</v>
      </c>
      <c r="AC7029">
        <v>0</v>
      </c>
      <c r="AD7029">
        <v>1</v>
      </c>
      <c r="AE7029">
        <v>1</v>
      </c>
      <c r="AF7029">
        <v>1</v>
      </c>
      <c r="AG7029">
        <v>1</v>
      </c>
      <c r="AH7029">
        <v>1</v>
      </c>
      <c r="AI7029">
        <v>1</v>
      </c>
      <c r="AJ7029">
        <v>1</v>
      </c>
      <c r="AK7029">
        <v>1</v>
      </c>
      <c r="AL7029">
        <v>1</v>
      </c>
      <c r="AM7029">
        <v>1</v>
      </c>
    </row>
    <row r="7030" spans="1:39" x14ac:dyDescent="0.2">
      <c r="A7030" t="str">
        <f>"7026"</f>
        <v>7026</v>
      </c>
      <c r="B7030" t="str">
        <f t="shared" si="388"/>
        <v>1</v>
      </c>
      <c r="C7030" t="str">
        <f t="shared" si="390"/>
        <v>141</v>
      </c>
      <c r="D7030" t="str">
        <f>"12"</f>
        <v>12</v>
      </c>
      <c r="E7030" t="str">
        <f>"1-141-12"</f>
        <v>1-141-12</v>
      </c>
      <c r="F7030" t="s">
        <v>65</v>
      </c>
      <c r="G7030" t="s">
        <v>66</v>
      </c>
      <c r="H7030" t="s">
        <v>67</v>
      </c>
      <c r="S7030">
        <v>1</v>
      </c>
      <c r="T7030">
        <v>0</v>
      </c>
      <c r="U7030">
        <v>0</v>
      </c>
      <c r="V7030">
        <v>0</v>
      </c>
      <c r="W7030">
        <v>1</v>
      </c>
      <c r="X7030">
        <v>0</v>
      </c>
      <c r="Y7030">
        <v>0</v>
      </c>
      <c r="Z7030">
        <v>1</v>
      </c>
      <c r="AA7030">
        <v>0</v>
      </c>
      <c r="AB7030">
        <v>0</v>
      </c>
      <c r="AC7030">
        <v>1</v>
      </c>
      <c r="AD7030">
        <v>1</v>
      </c>
      <c r="AE7030">
        <v>1</v>
      </c>
      <c r="AF7030">
        <v>1</v>
      </c>
      <c r="AG7030">
        <v>1</v>
      </c>
      <c r="AH7030">
        <v>1</v>
      </c>
      <c r="AI7030">
        <v>1</v>
      </c>
      <c r="AJ7030">
        <v>1</v>
      </c>
      <c r="AK7030">
        <v>1</v>
      </c>
      <c r="AL7030">
        <v>1</v>
      </c>
      <c r="AM7030">
        <v>1</v>
      </c>
    </row>
    <row r="7031" spans="1:39" x14ac:dyDescent="0.2">
      <c r="A7031" t="str">
        <f>"7027"</f>
        <v>7027</v>
      </c>
      <c r="B7031" t="str">
        <f t="shared" ref="B7031:B7094" si="391">"1"</f>
        <v>1</v>
      </c>
      <c r="C7031" t="str">
        <f t="shared" si="390"/>
        <v>141</v>
      </c>
      <c r="D7031" t="str">
        <f>"40"</f>
        <v>40</v>
      </c>
      <c r="E7031" t="str">
        <f>"1-141-40"</f>
        <v>1-141-40</v>
      </c>
      <c r="F7031" t="s">
        <v>65</v>
      </c>
      <c r="G7031" t="s">
        <v>66</v>
      </c>
      <c r="H7031" t="s">
        <v>67</v>
      </c>
      <c r="S7031">
        <v>0</v>
      </c>
      <c r="T7031">
        <v>1</v>
      </c>
      <c r="U7031">
        <v>0</v>
      </c>
      <c r="V7031">
        <v>0</v>
      </c>
      <c r="W7031">
        <v>1</v>
      </c>
      <c r="X7031">
        <v>0</v>
      </c>
      <c r="Y7031">
        <v>1</v>
      </c>
      <c r="Z7031">
        <v>0</v>
      </c>
      <c r="AA7031">
        <v>0</v>
      </c>
      <c r="AB7031">
        <v>0</v>
      </c>
      <c r="AC7031">
        <v>1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</row>
    <row r="7032" spans="1:39" x14ac:dyDescent="0.2">
      <c r="A7032" t="str">
        <f>"7028"</f>
        <v>7028</v>
      </c>
      <c r="B7032" t="str">
        <f t="shared" si="391"/>
        <v>1</v>
      </c>
      <c r="C7032" t="str">
        <f t="shared" si="390"/>
        <v>141</v>
      </c>
      <c r="D7032" t="str">
        <f>"22"</f>
        <v>22</v>
      </c>
      <c r="E7032" t="str">
        <f>"1-141-22"</f>
        <v>1-141-22</v>
      </c>
      <c r="F7032" t="s">
        <v>65</v>
      </c>
      <c r="G7032" t="s">
        <v>66</v>
      </c>
      <c r="H7032" t="s">
        <v>67</v>
      </c>
      <c r="S7032">
        <v>1</v>
      </c>
      <c r="T7032">
        <v>0</v>
      </c>
      <c r="U7032">
        <v>0</v>
      </c>
      <c r="V7032">
        <v>0</v>
      </c>
      <c r="W7032">
        <v>1</v>
      </c>
      <c r="X7032">
        <v>0</v>
      </c>
      <c r="Y7032">
        <v>1</v>
      </c>
      <c r="Z7032">
        <v>0</v>
      </c>
      <c r="AA7032">
        <v>1</v>
      </c>
      <c r="AB7032">
        <v>0</v>
      </c>
      <c r="AC7032">
        <v>0</v>
      </c>
      <c r="AD7032">
        <v>1</v>
      </c>
      <c r="AE7032">
        <v>1</v>
      </c>
      <c r="AF7032">
        <v>1</v>
      </c>
      <c r="AG7032">
        <v>1</v>
      </c>
      <c r="AH7032">
        <v>1</v>
      </c>
      <c r="AI7032">
        <v>1</v>
      </c>
      <c r="AJ7032">
        <v>1</v>
      </c>
      <c r="AK7032">
        <v>1</v>
      </c>
      <c r="AL7032">
        <v>1</v>
      </c>
      <c r="AM7032">
        <v>1</v>
      </c>
    </row>
    <row r="7033" spans="1:39" x14ac:dyDescent="0.2">
      <c r="A7033" t="str">
        <f>"7029"</f>
        <v>7029</v>
      </c>
      <c r="B7033" t="str">
        <f t="shared" si="391"/>
        <v>1</v>
      </c>
      <c r="C7033" t="str">
        <f t="shared" si="390"/>
        <v>141</v>
      </c>
      <c r="D7033" t="str">
        <f>"6"</f>
        <v>6</v>
      </c>
      <c r="E7033" t="str">
        <f>"1-141-6"</f>
        <v>1-141-6</v>
      </c>
      <c r="F7033" t="s">
        <v>65</v>
      </c>
      <c r="G7033" t="s">
        <v>66</v>
      </c>
      <c r="H7033" t="s">
        <v>67</v>
      </c>
      <c r="S7033">
        <v>1</v>
      </c>
      <c r="T7033">
        <v>0</v>
      </c>
      <c r="U7033">
        <v>0</v>
      </c>
      <c r="V7033">
        <v>0</v>
      </c>
      <c r="W7033">
        <v>1</v>
      </c>
      <c r="X7033">
        <v>0</v>
      </c>
      <c r="Y7033">
        <v>1</v>
      </c>
      <c r="Z7033">
        <v>0</v>
      </c>
      <c r="AA7033">
        <v>0</v>
      </c>
      <c r="AB7033">
        <v>0</v>
      </c>
      <c r="AC7033">
        <v>1</v>
      </c>
      <c r="AD7033">
        <v>0</v>
      </c>
      <c r="AE7033">
        <v>1</v>
      </c>
      <c r="AF7033">
        <v>0</v>
      </c>
      <c r="AG7033">
        <v>1</v>
      </c>
      <c r="AH7033">
        <v>1</v>
      </c>
      <c r="AI7033">
        <v>0</v>
      </c>
      <c r="AJ7033">
        <v>1</v>
      </c>
      <c r="AK7033">
        <v>1</v>
      </c>
      <c r="AL7033">
        <v>1</v>
      </c>
      <c r="AM7033">
        <v>1</v>
      </c>
    </row>
    <row r="7034" spans="1:39" x14ac:dyDescent="0.2">
      <c r="A7034" t="str">
        <f>"7030"</f>
        <v>7030</v>
      </c>
      <c r="B7034" t="str">
        <f t="shared" si="391"/>
        <v>1</v>
      </c>
      <c r="C7034" t="str">
        <f t="shared" si="390"/>
        <v>141</v>
      </c>
      <c r="D7034" t="str">
        <f>"43"</f>
        <v>43</v>
      </c>
      <c r="E7034" t="str">
        <f>"1-141-43"</f>
        <v>1-141-43</v>
      </c>
      <c r="F7034" t="s">
        <v>65</v>
      </c>
      <c r="G7034" t="s">
        <v>66</v>
      </c>
      <c r="H7034" t="s">
        <v>67</v>
      </c>
      <c r="S7034">
        <v>1</v>
      </c>
      <c r="T7034">
        <v>0</v>
      </c>
      <c r="U7034">
        <v>0</v>
      </c>
      <c r="V7034">
        <v>0</v>
      </c>
      <c r="W7034">
        <v>1</v>
      </c>
      <c r="X7034">
        <v>0</v>
      </c>
      <c r="Y7034">
        <v>0</v>
      </c>
      <c r="Z7034">
        <v>1</v>
      </c>
      <c r="AA7034">
        <v>0</v>
      </c>
      <c r="AB7034">
        <v>1</v>
      </c>
      <c r="AC7034">
        <v>0</v>
      </c>
      <c r="AD7034">
        <v>1</v>
      </c>
      <c r="AE7034">
        <v>1</v>
      </c>
      <c r="AF7034">
        <v>1</v>
      </c>
      <c r="AG7034">
        <v>1</v>
      </c>
      <c r="AH7034">
        <v>1</v>
      </c>
      <c r="AI7034">
        <v>1</v>
      </c>
      <c r="AJ7034">
        <v>1</v>
      </c>
      <c r="AK7034">
        <v>1</v>
      </c>
      <c r="AL7034">
        <v>1</v>
      </c>
      <c r="AM7034">
        <v>1</v>
      </c>
    </row>
    <row r="7035" spans="1:39" x14ac:dyDescent="0.2">
      <c r="A7035" t="str">
        <f>"7031"</f>
        <v>7031</v>
      </c>
      <c r="B7035" t="str">
        <f t="shared" si="391"/>
        <v>1</v>
      </c>
      <c r="C7035" t="str">
        <f t="shared" si="390"/>
        <v>141</v>
      </c>
      <c r="D7035" t="str">
        <f>"23"</f>
        <v>23</v>
      </c>
      <c r="E7035" t="str">
        <f>"1-141-23"</f>
        <v>1-141-23</v>
      </c>
      <c r="F7035" t="s">
        <v>65</v>
      </c>
      <c r="G7035" t="s">
        <v>66</v>
      </c>
      <c r="H7035" t="s">
        <v>67</v>
      </c>
      <c r="S7035">
        <v>1</v>
      </c>
      <c r="T7035">
        <v>0</v>
      </c>
      <c r="U7035">
        <v>0</v>
      </c>
      <c r="V7035">
        <v>0</v>
      </c>
      <c r="W7035">
        <v>1</v>
      </c>
      <c r="X7035">
        <v>0</v>
      </c>
      <c r="Y7035">
        <v>1</v>
      </c>
      <c r="Z7035">
        <v>0</v>
      </c>
      <c r="AA7035">
        <v>0</v>
      </c>
      <c r="AB7035">
        <v>0</v>
      </c>
      <c r="AC7035">
        <v>1</v>
      </c>
      <c r="AD7035">
        <v>1</v>
      </c>
      <c r="AE7035">
        <v>1</v>
      </c>
      <c r="AF7035">
        <v>1</v>
      </c>
      <c r="AG7035">
        <v>1</v>
      </c>
      <c r="AH7035">
        <v>1</v>
      </c>
      <c r="AI7035">
        <v>1</v>
      </c>
      <c r="AJ7035">
        <v>1</v>
      </c>
      <c r="AK7035">
        <v>1</v>
      </c>
      <c r="AL7035">
        <v>1</v>
      </c>
      <c r="AM7035">
        <v>1</v>
      </c>
    </row>
    <row r="7036" spans="1:39" x14ac:dyDescent="0.2">
      <c r="A7036" t="str">
        <f>"7032"</f>
        <v>7032</v>
      </c>
      <c r="B7036" t="str">
        <f t="shared" si="391"/>
        <v>1</v>
      </c>
      <c r="C7036" t="str">
        <f t="shared" si="390"/>
        <v>141</v>
      </c>
      <c r="D7036" t="str">
        <f>"7"</f>
        <v>7</v>
      </c>
      <c r="E7036" t="str">
        <f>"1-141-7"</f>
        <v>1-141-7</v>
      </c>
      <c r="F7036" t="s">
        <v>65</v>
      </c>
      <c r="G7036" t="s">
        <v>66</v>
      </c>
      <c r="H7036" t="s">
        <v>67</v>
      </c>
      <c r="S7036">
        <v>1</v>
      </c>
      <c r="T7036">
        <v>0</v>
      </c>
      <c r="U7036">
        <v>0</v>
      </c>
      <c r="V7036">
        <v>0</v>
      </c>
      <c r="W7036">
        <v>1</v>
      </c>
      <c r="X7036">
        <v>0</v>
      </c>
      <c r="Y7036">
        <v>1</v>
      </c>
      <c r="Z7036">
        <v>0</v>
      </c>
      <c r="AA7036">
        <v>1</v>
      </c>
      <c r="AB7036">
        <v>0</v>
      </c>
      <c r="AC7036">
        <v>0</v>
      </c>
      <c r="AD7036">
        <v>1</v>
      </c>
      <c r="AE7036">
        <v>1</v>
      </c>
      <c r="AF7036">
        <v>1</v>
      </c>
      <c r="AG7036">
        <v>1</v>
      </c>
      <c r="AH7036">
        <v>1</v>
      </c>
      <c r="AI7036">
        <v>1</v>
      </c>
      <c r="AJ7036">
        <v>1</v>
      </c>
      <c r="AK7036">
        <v>1</v>
      </c>
      <c r="AL7036">
        <v>1</v>
      </c>
      <c r="AM7036">
        <v>1</v>
      </c>
    </row>
    <row r="7037" spans="1:39" x14ac:dyDescent="0.2">
      <c r="A7037" t="str">
        <f>"7033"</f>
        <v>7033</v>
      </c>
      <c r="B7037" t="str">
        <f t="shared" si="391"/>
        <v>1</v>
      </c>
      <c r="C7037" t="str">
        <f t="shared" ref="C7037:C7054" si="392">"141"</f>
        <v>141</v>
      </c>
      <c r="D7037" t="str">
        <f>"50"</f>
        <v>50</v>
      </c>
      <c r="E7037" t="str">
        <f>"1-141-50"</f>
        <v>1-141-50</v>
      </c>
      <c r="F7037" t="s">
        <v>65</v>
      </c>
      <c r="G7037" t="s">
        <v>66</v>
      </c>
      <c r="H7037" t="s">
        <v>67</v>
      </c>
      <c r="S7037">
        <v>1</v>
      </c>
      <c r="T7037">
        <v>0</v>
      </c>
      <c r="U7037">
        <v>0</v>
      </c>
      <c r="V7037">
        <v>0</v>
      </c>
      <c r="W7037">
        <v>1</v>
      </c>
      <c r="X7037">
        <v>0</v>
      </c>
      <c r="Y7037">
        <v>1</v>
      </c>
      <c r="Z7037">
        <v>0</v>
      </c>
      <c r="AA7037">
        <v>0</v>
      </c>
      <c r="AB7037">
        <v>0</v>
      </c>
      <c r="AC7037">
        <v>1</v>
      </c>
      <c r="AD7037">
        <v>1</v>
      </c>
      <c r="AE7037">
        <v>1</v>
      </c>
      <c r="AF7037">
        <v>1</v>
      </c>
      <c r="AG7037">
        <v>1</v>
      </c>
      <c r="AH7037">
        <v>1</v>
      </c>
      <c r="AI7037">
        <v>1</v>
      </c>
      <c r="AJ7037">
        <v>1</v>
      </c>
      <c r="AK7037">
        <v>1</v>
      </c>
      <c r="AL7037">
        <v>1</v>
      </c>
      <c r="AM7037">
        <v>1</v>
      </c>
    </row>
    <row r="7038" spans="1:39" x14ac:dyDescent="0.2">
      <c r="A7038" t="str">
        <f>"7034"</f>
        <v>7034</v>
      </c>
      <c r="B7038" t="str">
        <f t="shared" si="391"/>
        <v>1</v>
      </c>
      <c r="C7038" t="str">
        <f t="shared" si="392"/>
        <v>141</v>
      </c>
      <c r="D7038" t="str">
        <f>"24"</f>
        <v>24</v>
      </c>
      <c r="E7038" t="str">
        <f>"1-141-24"</f>
        <v>1-141-24</v>
      </c>
      <c r="F7038" t="s">
        <v>65</v>
      </c>
      <c r="G7038" t="s">
        <v>66</v>
      </c>
      <c r="H7038" t="s">
        <v>67</v>
      </c>
      <c r="S7038">
        <v>0</v>
      </c>
      <c r="T7038">
        <v>1</v>
      </c>
      <c r="U7038">
        <v>0</v>
      </c>
      <c r="V7038">
        <v>0</v>
      </c>
      <c r="W7038">
        <v>0</v>
      </c>
      <c r="X7038">
        <v>1</v>
      </c>
      <c r="Y7038">
        <v>0</v>
      </c>
      <c r="Z7038">
        <v>0</v>
      </c>
      <c r="AA7038">
        <v>0</v>
      </c>
      <c r="AB7038">
        <v>0</v>
      </c>
      <c r="AC7038">
        <v>1</v>
      </c>
      <c r="AD7038">
        <v>1</v>
      </c>
      <c r="AE7038">
        <v>1</v>
      </c>
      <c r="AF7038">
        <v>1</v>
      </c>
      <c r="AG7038">
        <v>1</v>
      </c>
      <c r="AH7038">
        <v>1</v>
      </c>
      <c r="AI7038">
        <v>1</v>
      </c>
      <c r="AJ7038">
        <v>1</v>
      </c>
      <c r="AK7038">
        <v>1</v>
      </c>
      <c r="AL7038">
        <v>1</v>
      </c>
      <c r="AM7038">
        <v>1</v>
      </c>
    </row>
    <row r="7039" spans="1:39" x14ac:dyDescent="0.2">
      <c r="A7039" t="str">
        <f>"7035"</f>
        <v>7035</v>
      </c>
      <c r="B7039" t="str">
        <f t="shared" si="391"/>
        <v>1</v>
      </c>
      <c r="C7039" t="str">
        <f t="shared" si="392"/>
        <v>141</v>
      </c>
      <c r="D7039" t="str">
        <f>"3"</f>
        <v>3</v>
      </c>
      <c r="E7039" t="str">
        <f>"1-141-3"</f>
        <v>1-141-3</v>
      </c>
      <c r="F7039" t="s">
        <v>65</v>
      </c>
      <c r="G7039" t="s">
        <v>66</v>
      </c>
      <c r="H7039" t="s">
        <v>67</v>
      </c>
      <c r="S7039">
        <v>1</v>
      </c>
      <c r="T7039">
        <v>0</v>
      </c>
      <c r="U7039">
        <v>0</v>
      </c>
      <c r="V7039">
        <v>0</v>
      </c>
      <c r="W7039">
        <v>1</v>
      </c>
      <c r="X7039">
        <v>0</v>
      </c>
      <c r="Y7039">
        <v>1</v>
      </c>
      <c r="Z7039">
        <v>0</v>
      </c>
      <c r="AA7039">
        <v>1</v>
      </c>
      <c r="AB7039">
        <v>0</v>
      </c>
      <c r="AC7039">
        <v>0</v>
      </c>
      <c r="AD7039">
        <v>1</v>
      </c>
      <c r="AE7039">
        <v>1</v>
      </c>
      <c r="AF7039">
        <v>1</v>
      </c>
      <c r="AG7039">
        <v>1</v>
      </c>
      <c r="AH7039">
        <v>1</v>
      </c>
      <c r="AI7039">
        <v>1</v>
      </c>
      <c r="AJ7039">
        <v>1</v>
      </c>
      <c r="AK7039">
        <v>1</v>
      </c>
      <c r="AL7039">
        <v>1</v>
      </c>
      <c r="AM7039">
        <v>1</v>
      </c>
    </row>
    <row r="7040" spans="1:39" x14ac:dyDescent="0.2">
      <c r="A7040" t="str">
        <f>"7036"</f>
        <v>7036</v>
      </c>
      <c r="B7040" t="str">
        <f t="shared" si="391"/>
        <v>1</v>
      </c>
      <c r="C7040" t="str">
        <f t="shared" si="392"/>
        <v>141</v>
      </c>
      <c r="D7040" t="str">
        <f>"41"</f>
        <v>41</v>
      </c>
      <c r="E7040" t="str">
        <f>"1-141-41"</f>
        <v>1-141-41</v>
      </c>
      <c r="F7040" t="s">
        <v>65</v>
      </c>
      <c r="G7040" t="s">
        <v>66</v>
      </c>
      <c r="H7040" t="s">
        <v>67</v>
      </c>
      <c r="S7040">
        <v>1</v>
      </c>
      <c r="T7040">
        <v>0</v>
      </c>
      <c r="U7040">
        <v>0</v>
      </c>
      <c r="V7040">
        <v>0</v>
      </c>
      <c r="W7040">
        <v>1</v>
      </c>
      <c r="X7040">
        <v>0</v>
      </c>
      <c r="Y7040">
        <v>1</v>
      </c>
      <c r="Z7040">
        <v>0</v>
      </c>
      <c r="AA7040">
        <v>1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1</v>
      </c>
      <c r="AH7040">
        <v>1</v>
      </c>
      <c r="AI7040">
        <v>1</v>
      </c>
      <c r="AJ7040">
        <v>1</v>
      </c>
      <c r="AK7040">
        <v>1</v>
      </c>
      <c r="AL7040">
        <v>1</v>
      </c>
      <c r="AM7040">
        <v>1</v>
      </c>
    </row>
    <row r="7041" spans="1:39" x14ac:dyDescent="0.2">
      <c r="A7041" t="str">
        <f>"7037"</f>
        <v>7037</v>
      </c>
      <c r="B7041" t="str">
        <f t="shared" si="391"/>
        <v>1</v>
      </c>
      <c r="C7041" t="str">
        <f t="shared" si="392"/>
        <v>141</v>
      </c>
      <c r="D7041" t="str">
        <f>"25"</f>
        <v>25</v>
      </c>
      <c r="E7041" t="str">
        <f>"1-141-25"</f>
        <v>1-141-25</v>
      </c>
      <c r="F7041" t="s">
        <v>65</v>
      </c>
      <c r="G7041" t="s">
        <v>66</v>
      </c>
      <c r="H7041" t="s">
        <v>67</v>
      </c>
      <c r="S7041">
        <v>0</v>
      </c>
      <c r="T7041">
        <v>1</v>
      </c>
      <c r="U7041">
        <v>0</v>
      </c>
      <c r="V7041">
        <v>0</v>
      </c>
      <c r="W7041">
        <v>0</v>
      </c>
      <c r="X7041">
        <v>1</v>
      </c>
      <c r="Y7041">
        <v>1</v>
      </c>
      <c r="Z7041">
        <v>0</v>
      </c>
      <c r="AA7041">
        <v>0</v>
      </c>
      <c r="AB7041">
        <v>0</v>
      </c>
      <c r="AC7041">
        <v>1</v>
      </c>
      <c r="AD7041">
        <v>1</v>
      </c>
      <c r="AE7041">
        <v>1</v>
      </c>
      <c r="AF7041">
        <v>1</v>
      </c>
      <c r="AG7041">
        <v>1</v>
      </c>
      <c r="AH7041">
        <v>1</v>
      </c>
      <c r="AI7041">
        <v>1</v>
      </c>
      <c r="AJ7041">
        <v>1</v>
      </c>
      <c r="AK7041">
        <v>1</v>
      </c>
      <c r="AL7041">
        <v>1</v>
      </c>
      <c r="AM7041">
        <v>1</v>
      </c>
    </row>
    <row r="7042" spans="1:39" x14ac:dyDescent="0.2">
      <c r="A7042" t="str">
        <f>"7038"</f>
        <v>7038</v>
      </c>
      <c r="B7042" t="str">
        <f t="shared" si="391"/>
        <v>1</v>
      </c>
      <c r="C7042" t="str">
        <f t="shared" si="392"/>
        <v>141</v>
      </c>
      <c r="D7042" t="str">
        <f>"2"</f>
        <v>2</v>
      </c>
      <c r="E7042" t="str">
        <f>"1-141-2"</f>
        <v>1-141-2</v>
      </c>
      <c r="F7042" t="s">
        <v>65</v>
      </c>
      <c r="G7042" t="s">
        <v>66</v>
      </c>
      <c r="H7042" t="s">
        <v>67</v>
      </c>
      <c r="S7042">
        <v>1</v>
      </c>
      <c r="T7042">
        <v>0</v>
      </c>
      <c r="U7042">
        <v>0</v>
      </c>
      <c r="V7042">
        <v>0</v>
      </c>
      <c r="W7042">
        <v>1</v>
      </c>
      <c r="X7042">
        <v>0</v>
      </c>
      <c r="Y7042">
        <v>1</v>
      </c>
      <c r="Z7042">
        <v>0</v>
      </c>
      <c r="AA7042">
        <v>0</v>
      </c>
      <c r="AB7042">
        <v>1</v>
      </c>
      <c r="AC7042">
        <v>0</v>
      </c>
      <c r="AD7042">
        <v>1</v>
      </c>
      <c r="AE7042">
        <v>1</v>
      </c>
      <c r="AF7042">
        <v>1</v>
      </c>
      <c r="AG7042">
        <v>1</v>
      </c>
      <c r="AH7042">
        <v>1</v>
      </c>
      <c r="AI7042">
        <v>1</v>
      </c>
      <c r="AJ7042">
        <v>1</v>
      </c>
      <c r="AK7042">
        <v>1</v>
      </c>
      <c r="AL7042">
        <v>1</v>
      </c>
      <c r="AM7042">
        <v>1</v>
      </c>
    </row>
    <row r="7043" spans="1:39" x14ac:dyDescent="0.2">
      <c r="A7043" t="str">
        <f>"7039"</f>
        <v>7039</v>
      </c>
      <c r="B7043" t="str">
        <f t="shared" si="391"/>
        <v>1</v>
      </c>
      <c r="C7043" t="str">
        <f t="shared" si="392"/>
        <v>141</v>
      </c>
      <c r="D7043" t="str">
        <f>"44"</f>
        <v>44</v>
      </c>
      <c r="E7043" t="str">
        <f>"1-141-44"</f>
        <v>1-141-44</v>
      </c>
      <c r="F7043" t="s">
        <v>65</v>
      </c>
      <c r="G7043" t="s">
        <v>66</v>
      </c>
      <c r="H7043" t="s">
        <v>67</v>
      </c>
      <c r="S7043">
        <v>1</v>
      </c>
      <c r="T7043">
        <v>0</v>
      </c>
      <c r="U7043">
        <v>0</v>
      </c>
      <c r="V7043">
        <v>0</v>
      </c>
      <c r="W7043">
        <v>1</v>
      </c>
      <c r="X7043">
        <v>0</v>
      </c>
      <c r="Y7043">
        <v>0</v>
      </c>
      <c r="Z7043">
        <v>1</v>
      </c>
      <c r="AA7043">
        <v>0</v>
      </c>
      <c r="AB7043">
        <v>1</v>
      </c>
      <c r="AC7043">
        <v>0</v>
      </c>
      <c r="AD7043">
        <v>1</v>
      </c>
      <c r="AE7043">
        <v>1</v>
      </c>
      <c r="AF7043">
        <v>1</v>
      </c>
      <c r="AG7043">
        <v>1</v>
      </c>
      <c r="AH7043">
        <v>1</v>
      </c>
      <c r="AI7043">
        <v>1</v>
      </c>
      <c r="AJ7043">
        <v>1</v>
      </c>
      <c r="AK7043">
        <v>1</v>
      </c>
      <c r="AL7043">
        <v>1</v>
      </c>
      <c r="AM7043">
        <v>1</v>
      </c>
    </row>
    <row r="7044" spans="1:39" x14ac:dyDescent="0.2">
      <c r="A7044" t="str">
        <f>"7040"</f>
        <v>7040</v>
      </c>
      <c r="B7044" t="str">
        <f t="shared" si="391"/>
        <v>1</v>
      </c>
      <c r="C7044" t="str">
        <f t="shared" si="392"/>
        <v>141</v>
      </c>
      <c r="D7044" t="str">
        <f>"26"</f>
        <v>26</v>
      </c>
      <c r="E7044" t="str">
        <f>"1-141-26"</f>
        <v>1-141-26</v>
      </c>
      <c r="F7044" t="s">
        <v>65</v>
      </c>
      <c r="G7044" t="s">
        <v>66</v>
      </c>
      <c r="H7044" t="s">
        <v>67</v>
      </c>
      <c r="S7044">
        <v>0</v>
      </c>
      <c r="T7044">
        <v>1</v>
      </c>
      <c r="U7044">
        <v>0</v>
      </c>
      <c r="V7044">
        <v>0</v>
      </c>
      <c r="W7044">
        <v>1</v>
      </c>
      <c r="X7044">
        <v>0</v>
      </c>
      <c r="Y7044">
        <v>0</v>
      </c>
      <c r="Z7044">
        <v>0</v>
      </c>
      <c r="AA7044">
        <v>1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1</v>
      </c>
      <c r="AH7044">
        <v>0</v>
      </c>
      <c r="AI7044">
        <v>0</v>
      </c>
      <c r="AJ7044">
        <v>1</v>
      </c>
      <c r="AK7044">
        <v>0</v>
      </c>
      <c r="AL7044">
        <v>0</v>
      </c>
      <c r="AM7044">
        <v>1</v>
      </c>
    </row>
    <row r="7045" spans="1:39" x14ac:dyDescent="0.2">
      <c r="A7045" t="str">
        <f>"7041"</f>
        <v>7041</v>
      </c>
      <c r="B7045" t="str">
        <f t="shared" si="391"/>
        <v>1</v>
      </c>
      <c r="C7045" t="str">
        <f t="shared" si="392"/>
        <v>141</v>
      </c>
      <c r="D7045" t="str">
        <f>"4"</f>
        <v>4</v>
      </c>
      <c r="E7045" t="str">
        <f>"1-141-4"</f>
        <v>1-141-4</v>
      </c>
      <c r="F7045" t="s">
        <v>65</v>
      </c>
      <c r="G7045" t="s">
        <v>66</v>
      </c>
      <c r="H7045" t="s">
        <v>67</v>
      </c>
      <c r="S7045">
        <v>0</v>
      </c>
      <c r="T7045">
        <v>1</v>
      </c>
      <c r="U7045">
        <v>0</v>
      </c>
      <c r="V7045">
        <v>0</v>
      </c>
      <c r="W7045">
        <v>0</v>
      </c>
      <c r="X7045">
        <v>1</v>
      </c>
      <c r="Y7045">
        <v>0</v>
      </c>
      <c r="Z7045">
        <v>1</v>
      </c>
      <c r="AA7045">
        <v>0</v>
      </c>
      <c r="AB7045">
        <v>0</v>
      </c>
      <c r="AC7045">
        <v>1</v>
      </c>
      <c r="AD7045">
        <v>1</v>
      </c>
      <c r="AE7045">
        <v>1</v>
      </c>
      <c r="AF7045">
        <v>1</v>
      </c>
      <c r="AG7045">
        <v>1</v>
      </c>
      <c r="AH7045">
        <v>1</v>
      </c>
      <c r="AI7045">
        <v>0</v>
      </c>
      <c r="AJ7045">
        <v>1</v>
      </c>
      <c r="AK7045">
        <v>1</v>
      </c>
      <c r="AL7045">
        <v>1</v>
      </c>
      <c r="AM7045">
        <v>1</v>
      </c>
    </row>
    <row r="7046" spans="1:39" x14ac:dyDescent="0.2">
      <c r="A7046" t="str">
        <f>"7042"</f>
        <v>7042</v>
      </c>
      <c r="B7046" t="str">
        <f t="shared" si="391"/>
        <v>1</v>
      </c>
      <c r="C7046" t="str">
        <f t="shared" si="392"/>
        <v>141</v>
      </c>
      <c r="D7046" t="str">
        <f>"29"</f>
        <v>29</v>
      </c>
      <c r="E7046" t="str">
        <f>"1-141-29"</f>
        <v>1-141-29</v>
      </c>
      <c r="F7046" t="s">
        <v>65</v>
      </c>
      <c r="G7046" t="s">
        <v>66</v>
      </c>
      <c r="H7046" t="s">
        <v>67</v>
      </c>
      <c r="S7046">
        <v>1</v>
      </c>
      <c r="T7046">
        <v>0</v>
      </c>
      <c r="U7046">
        <v>0</v>
      </c>
      <c r="V7046">
        <v>0</v>
      </c>
      <c r="W7046">
        <v>1</v>
      </c>
      <c r="X7046">
        <v>0</v>
      </c>
      <c r="Y7046">
        <v>0</v>
      </c>
      <c r="Z7046">
        <v>1</v>
      </c>
      <c r="AA7046">
        <v>0</v>
      </c>
      <c r="AB7046">
        <v>1</v>
      </c>
      <c r="AC7046">
        <v>0</v>
      </c>
      <c r="AD7046">
        <v>1</v>
      </c>
      <c r="AE7046">
        <v>1</v>
      </c>
      <c r="AF7046">
        <v>1</v>
      </c>
      <c r="AG7046">
        <v>1</v>
      </c>
      <c r="AH7046">
        <v>1</v>
      </c>
      <c r="AI7046">
        <v>1</v>
      </c>
      <c r="AJ7046">
        <v>1</v>
      </c>
      <c r="AK7046">
        <v>1</v>
      </c>
      <c r="AL7046">
        <v>1</v>
      </c>
      <c r="AM7046">
        <v>1</v>
      </c>
    </row>
    <row r="7047" spans="1:39" x14ac:dyDescent="0.2">
      <c r="A7047" t="str">
        <f>"7043"</f>
        <v>7043</v>
      </c>
      <c r="B7047" t="str">
        <f t="shared" si="391"/>
        <v>1</v>
      </c>
      <c r="C7047" t="str">
        <f t="shared" si="392"/>
        <v>141</v>
      </c>
      <c r="D7047" t="str">
        <f>"11"</f>
        <v>11</v>
      </c>
      <c r="E7047" t="str">
        <f>"1-141-11"</f>
        <v>1-141-11</v>
      </c>
      <c r="F7047" t="s">
        <v>65</v>
      </c>
      <c r="G7047" t="s">
        <v>66</v>
      </c>
      <c r="H7047" t="s">
        <v>67</v>
      </c>
      <c r="S7047">
        <v>1</v>
      </c>
      <c r="T7047">
        <v>0</v>
      </c>
      <c r="U7047">
        <v>0</v>
      </c>
      <c r="V7047">
        <v>0</v>
      </c>
      <c r="W7047">
        <v>1</v>
      </c>
      <c r="X7047">
        <v>0</v>
      </c>
      <c r="Y7047">
        <v>0</v>
      </c>
      <c r="Z7047">
        <v>1</v>
      </c>
      <c r="AA7047">
        <v>0</v>
      </c>
      <c r="AB7047">
        <v>0</v>
      </c>
      <c r="AC7047">
        <v>1</v>
      </c>
      <c r="AD7047">
        <v>1</v>
      </c>
      <c r="AE7047">
        <v>1</v>
      </c>
      <c r="AF7047">
        <v>1</v>
      </c>
      <c r="AG7047">
        <v>1</v>
      </c>
      <c r="AH7047">
        <v>1</v>
      </c>
      <c r="AI7047">
        <v>1</v>
      </c>
      <c r="AJ7047">
        <v>1</v>
      </c>
      <c r="AK7047">
        <v>1</v>
      </c>
      <c r="AL7047">
        <v>1</v>
      </c>
      <c r="AM7047">
        <v>1</v>
      </c>
    </row>
    <row r="7048" spans="1:39" x14ac:dyDescent="0.2">
      <c r="A7048" t="str">
        <f>"7044"</f>
        <v>7044</v>
      </c>
      <c r="B7048" t="str">
        <f t="shared" si="391"/>
        <v>1</v>
      </c>
      <c r="C7048" t="str">
        <f t="shared" si="392"/>
        <v>141</v>
      </c>
      <c r="D7048" t="str">
        <f>"49"</f>
        <v>49</v>
      </c>
      <c r="E7048" t="str">
        <f>"1-141-49"</f>
        <v>1-141-49</v>
      </c>
      <c r="F7048" t="s">
        <v>65</v>
      </c>
      <c r="G7048" t="s">
        <v>66</v>
      </c>
      <c r="H7048" t="s">
        <v>67</v>
      </c>
      <c r="S7048">
        <v>0</v>
      </c>
      <c r="T7048">
        <v>1</v>
      </c>
      <c r="U7048">
        <v>0</v>
      </c>
      <c r="V7048">
        <v>0</v>
      </c>
      <c r="W7048">
        <v>1</v>
      </c>
      <c r="X7048">
        <v>0</v>
      </c>
      <c r="Y7048">
        <v>0</v>
      </c>
      <c r="Z7048">
        <v>1</v>
      </c>
      <c r="AA7048">
        <v>0</v>
      </c>
      <c r="AB7048">
        <v>1</v>
      </c>
      <c r="AC7048">
        <v>0</v>
      </c>
      <c r="AD7048">
        <v>1</v>
      </c>
      <c r="AE7048">
        <v>1</v>
      </c>
      <c r="AF7048">
        <v>1</v>
      </c>
      <c r="AG7048">
        <v>1</v>
      </c>
      <c r="AH7048">
        <v>1</v>
      </c>
      <c r="AI7048">
        <v>1</v>
      </c>
      <c r="AJ7048">
        <v>1</v>
      </c>
      <c r="AK7048">
        <v>1</v>
      </c>
      <c r="AL7048">
        <v>1</v>
      </c>
      <c r="AM7048">
        <v>0</v>
      </c>
    </row>
    <row r="7049" spans="1:39" x14ac:dyDescent="0.2">
      <c r="A7049" t="str">
        <f>"7045"</f>
        <v>7045</v>
      </c>
      <c r="B7049" t="str">
        <f t="shared" si="391"/>
        <v>1</v>
      </c>
      <c r="C7049" t="str">
        <f t="shared" si="392"/>
        <v>141</v>
      </c>
      <c r="D7049" t="str">
        <f>"30"</f>
        <v>30</v>
      </c>
      <c r="E7049" t="str">
        <f>"1-141-30"</f>
        <v>1-141-30</v>
      </c>
      <c r="F7049" t="s">
        <v>65</v>
      </c>
      <c r="G7049" t="s">
        <v>66</v>
      </c>
      <c r="H7049" t="s">
        <v>67</v>
      </c>
      <c r="S7049">
        <v>1</v>
      </c>
      <c r="T7049">
        <v>0</v>
      </c>
      <c r="U7049">
        <v>0</v>
      </c>
      <c r="V7049">
        <v>0</v>
      </c>
      <c r="W7049">
        <v>1</v>
      </c>
      <c r="X7049">
        <v>0</v>
      </c>
      <c r="Y7049">
        <v>0</v>
      </c>
      <c r="Z7049">
        <v>1</v>
      </c>
      <c r="AA7049">
        <v>0</v>
      </c>
      <c r="AB7049">
        <v>1</v>
      </c>
      <c r="AC7049">
        <v>0</v>
      </c>
      <c r="AD7049">
        <v>1</v>
      </c>
      <c r="AE7049">
        <v>1</v>
      </c>
      <c r="AF7049">
        <v>1</v>
      </c>
      <c r="AG7049">
        <v>1</v>
      </c>
      <c r="AH7049">
        <v>1</v>
      </c>
      <c r="AI7049">
        <v>1</v>
      </c>
      <c r="AJ7049">
        <v>1</v>
      </c>
      <c r="AK7049">
        <v>1</v>
      </c>
      <c r="AL7049">
        <v>1</v>
      </c>
      <c r="AM7049">
        <v>1</v>
      </c>
    </row>
    <row r="7050" spans="1:39" x14ac:dyDescent="0.2">
      <c r="A7050" t="str">
        <f>"7046"</f>
        <v>7046</v>
      </c>
      <c r="B7050" t="str">
        <f t="shared" si="391"/>
        <v>1</v>
      </c>
      <c r="C7050" t="str">
        <f t="shared" si="392"/>
        <v>141</v>
      </c>
      <c r="D7050" t="str">
        <f>"10"</f>
        <v>10</v>
      </c>
      <c r="E7050" t="str">
        <f>"1-141-10"</f>
        <v>1-141-10</v>
      </c>
      <c r="F7050" t="s">
        <v>65</v>
      </c>
      <c r="G7050" t="s">
        <v>66</v>
      </c>
      <c r="H7050" t="s">
        <v>67</v>
      </c>
      <c r="S7050">
        <v>1</v>
      </c>
      <c r="T7050">
        <v>0</v>
      </c>
      <c r="U7050">
        <v>0</v>
      </c>
      <c r="V7050">
        <v>0</v>
      </c>
      <c r="W7050">
        <v>1</v>
      </c>
      <c r="X7050">
        <v>0</v>
      </c>
      <c r="Y7050">
        <v>1</v>
      </c>
      <c r="Z7050">
        <v>0</v>
      </c>
      <c r="AA7050">
        <v>0</v>
      </c>
      <c r="AB7050">
        <v>1</v>
      </c>
      <c r="AC7050">
        <v>0</v>
      </c>
      <c r="AD7050">
        <v>1</v>
      </c>
      <c r="AE7050">
        <v>1</v>
      </c>
      <c r="AF7050">
        <v>1</v>
      </c>
      <c r="AG7050">
        <v>1</v>
      </c>
      <c r="AH7050">
        <v>1</v>
      </c>
      <c r="AI7050">
        <v>1</v>
      </c>
      <c r="AJ7050">
        <v>1</v>
      </c>
      <c r="AK7050">
        <v>1</v>
      </c>
      <c r="AL7050">
        <v>1</v>
      </c>
      <c r="AM7050">
        <v>1</v>
      </c>
    </row>
    <row r="7051" spans="1:39" x14ac:dyDescent="0.2">
      <c r="A7051" t="str">
        <f>"7047"</f>
        <v>7047</v>
      </c>
      <c r="B7051" t="str">
        <f t="shared" si="391"/>
        <v>1</v>
      </c>
      <c r="C7051" t="str">
        <f t="shared" si="392"/>
        <v>141</v>
      </c>
      <c r="D7051" t="str">
        <f>"48"</f>
        <v>48</v>
      </c>
      <c r="E7051" t="str">
        <f>"1-141-48"</f>
        <v>1-141-48</v>
      </c>
      <c r="F7051" t="s">
        <v>65</v>
      </c>
      <c r="G7051" t="s">
        <v>66</v>
      </c>
      <c r="H7051" t="s">
        <v>67</v>
      </c>
      <c r="S7051">
        <v>0</v>
      </c>
      <c r="T7051">
        <v>1</v>
      </c>
      <c r="U7051">
        <v>0</v>
      </c>
      <c r="V7051">
        <v>0</v>
      </c>
      <c r="W7051">
        <v>1</v>
      </c>
      <c r="X7051">
        <v>0</v>
      </c>
      <c r="Y7051">
        <v>0</v>
      </c>
      <c r="Z7051">
        <v>1</v>
      </c>
      <c r="AA7051">
        <v>0</v>
      </c>
      <c r="AB7051">
        <v>0</v>
      </c>
      <c r="AC7051">
        <v>1</v>
      </c>
      <c r="AD7051">
        <v>1</v>
      </c>
      <c r="AE7051">
        <v>1</v>
      </c>
      <c r="AF7051">
        <v>1</v>
      </c>
      <c r="AG7051">
        <v>1</v>
      </c>
      <c r="AH7051">
        <v>1</v>
      </c>
      <c r="AI7051">
        <v>1</v>
      </c>
      <c r="AJ7051">
        <v>1</v>
      </c>
      <c r="AK7051">
        <v>1</v>
      </c>
      <c r="AL7051">
        <v>1</v>
      </c>
      <c r="AM7051">
        <v>1</v>
      </c>
    </row>
    <row r="7052" spans="1:39" x14ac:dyDescent="0.2">
      <c r="A7052" t="str">
        <f>"7048"</f>
        <v>7048</v>
      </c>
      <c r="B7052" t="str">
        <f t="shared" si="391"/>
        <v>1</v>
      </c>
      <c r="C7052" t="str">
        <f t="shared" si="392"/>
        <v>141</v>
      </c>
      <c r="D7052" t="str">
        <f>"31"</f>
        <v>31</v>
      </c>
      <c r="E7052" t="str">
        <f>"1-141-31"</f>
        <v>1-141-31</v>
      </c>
      <c r="F7052" t="s">
        <v>65</v>
      </c>
      <c r="G7052" t="s">
        <v>66</v>
      </c>
      <c r="H7052" t="s">
        <v>67</v>
      </c>
      <c r="S7052">
        <v>0</v>
      </c>
      <c r="T7052">
        <v>1</v>
      </c>
      <c r="U7052">
        <v>0</v>
      </c>
      <c r="V7052">
        <v>0</v>
      </c>
      <c r="W7052">
        <v>1</v>
      </c>
      <c r="X7052">
        <v>0</v>
      </c>
      <c r="Y7052">
        <v>1</v>
      </c>
      <c r="Z7052">
        <v>0</v>
      </c>
      <c r="AA7052">
        <v>1</v>
      </c>
      <c r="AB7052">
        <v>0</v>
      </c>
      <c r="AC7052">
        <v>0</v>
      </c>
      <c r="AD7052">
        <v>1</v>
      </c>
      <c r="AE7052">
        <v>1</v>
      </c>
      <c r="AF7052">
        <v>1</v>
      </c>
      <c r="AG7052">
        <v>1</v>
      </c>
      <c r="AH7052">
        <v>1</v>
      </c>
      <c r="AI7052">
        <v>1</v>
      </c>
      <c r="AJ7052">
        <v>1</v>
      </c>
      <c r="AK7052">
        <v>1</v>
      </c>
      <c r="AL7052">
        <v>1</v>
      </c>
      <c r="AM7052">
        <v>1</v>
      </c>
    </row>
    <row r="7053" spans="1:39" x14ac:dyDescent="0.2">
      <c r="A7053" t="str">
        <f>"7049"</f>
        <v>7049</v>
      </c>
      <c r="B7053" t="str">
        <f t="shared" si="391"/>
        <v>1</v>
      </c>
      <c r="C7053" t="str">
        <f t="shared" si="392"/>
        <v>141</v>
      </c>
      <c r="D7053" t="str">
        <f>"14"</f>
        <v>14</v>
      </c>
      <c r="E7053" t="str">
        <f>"1-141-14"</f>
        <v>1-141-14</v>
      </c>
      <c r="F7053" t="s">
        <v>65</v>
      </c>
      <c r="G7053" t="s">
        <v>66</v>
      </c>
      <c r="H7053" t="s">
        <v>67</v>
      </c>
      <c r="S7053">
        <v>1</v>
      </c>
      <c r="T7053">
        <v>0</v>
      </c>
      <c r="U7053">
        <v>0</v>
      </c>
      <c r="V7053">
        <v>0</v>
      </c>
      <c r="W7053">
        <v>1</v>
      </c>
      <c r="X7053">
        <v>0</v>
      </c>
      <c r="Y7053">
        <v>0</v>
      </c>
      <c r="Z7053">
        <v>1</v>
      </c>
      <c r="AA7053">
        <v>1</v>
      </c>
      <c r="AB7053">
        <v>0</v>
      </c>
      <c r="AC7053">
        <v>0</v>
      </c>
      <c r="AD7053">
        <v>1</v>
      </c>
      <c r="AE7053">
        <v>1</v>
      </c>
      <c r="AF7053">
        <v>1</v>
      </c>
      <c r="AG7053">
        <v>1</v>
      </c>
      <c r="AH7053">
        <v>1</v>
      </c>
      <c r="AI7053">
        <v>1</v>
      </c>
      <c r="AJ7053">
        <v>1</v>
      </c>
      <c r="AK7053">
        <v>1</v>
      </c>
      <c r="AL7053">
        <v>1</v>
      </c>
      <c r="AM7053">
        <v>1</v>
      </c>
    </row>
    <row r="7054" spans="1:39" x14ac:dyDescent="0.2">
      <c r="A7054" t="str">
        <f>"7050"</f>
        <v>7050</v>
      </c>
      <c r="B7054" t="str">
        <f t="shared" si="391"/>
        <v>1</v>
      </c>
      <c r="C7054" t="str">
        <f t="shared" si="392"/>
        <v>141</v>
      </c>
      <c r="D7054" t="str">
        <f>"45"</f>
        <v>45</v>
      </c>
      <c r="E7054" t="str">
        <f>"1-141-45"</f>
        <v>1-141-45</v>
      </c>
      <c r="F7054" t="s">
        <v>65</v>
      </c>
      <c r="G7054" t="s">
        <v>66</v>
      </c>
      <c r="H7054" t="s">
        <v>67</v>
      </c>
      <c r="S7054">
        <v>0</v>
      </c>
      <c r="T7054">
        <v>1</v>
      </c>
      <c r="U7054">
        <v>0</v>
      </c>
      <c r="V7054">
        <v>0</v>
      </c>
      <c r="W7054">
        <v>0</v>
      </c>
      <c r="X7054">
        <v>1</v>
      </c>
      <c r="Y7054">
        <v>0</v>
      </c>
      <c r="Z7054">
        <v>1</v>
      </c>
      <c r="AA7054">
        <v>0</v>
      </c>
      <c r="AB7054">
        <v>1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</row>
    <row r="7055" spans="1:39" x14ac:dyDescent="0.2">
      <c r="A7055" t="str">
        <f>"7051"</f>
        <v>7051</v>
      </c>
      <c r="B7055" t="str">
        <f t="shared" si="391"/>
        <v>1</v>
      </c>
      <c r="C7055" t="str">
        <f t="shared" ref="C7055:C7086" si="393">"142"</f>
        <v>142</v>
      </c>
      <c r="D7055" t="str">
        <f>"50"</f>
        <v>50</v>
      </c>
      <c r="E7055" t="str">
        <f>"1-142-50"</f>
        <v>1-142-50</v>
      </c>
      <c r="F7055" t="s">
        <v>65</v>
      </c>
      <c r="G7055" t="s">
        <v>66</v>
      </c>
      <c r="H7055" t="s">
        <v>67</v>
      </c>
      <c r="S7055">
        <v>1</v>
      </c>
      <c r="T7055">
        <v>0</v>
      </c>
      <c r="U7055">
        <v>0</v>
      </c>
      <c r="V7055">
        <v>0</v>
      </c>
      <c r="W7055">
        <v>1</v>
      </c>
      <c r="X7055">
        <v>0</v>
      </c>
      <c r="Y7055">
        <v>0</v>
      </c>
      <c r="Z7055">
        <v>1</v>
      </c>
      <c r="AA7055">
        <v>0</v>
      </c>
      <c r="AB7055">
        <v>0</v>
      </c>
      <c r="AC7055">
        <v>1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</row>
    <row r="7056" spans="1:39" x14ac:dyDescent="0.2">
      <c r="A7056" t="str">
        <f>"7052"</f>
        <v>7052</v>
      </c>
      <c r="B7056" t="str">
        <f t="shared" si="391"/>
        <v>1</v>
      </c>
      <c r="C7056" t="str">
        <f t="shared" si="393"/>
        <v>142</v>
      </c>
      <c r="D7056" t="str">
        <f>"40"</f>
        <v>40</v>
      </c>
      <c r="E7056" t="str">
        <f>"1-142-40"</f>
        <v>1-142-40</v>
      </c>
      <c r="F7056" t="s">
        <v>65</v>
      </c>
      <c r="G7056" t="s">
        <v>66</v>
      </c>
      <c r="H7056" t="s">
        <v>67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1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</row>
    <row r="7057" spans="1:39" x14ac:dyDescent="0.2">
      <c r="A7057" t="str">
        <f>"7053"</f>
        <v>7053</v>
      </c>
      <c r="B7057" t="str">
        <f t="shared" si="391"/>
        <v>1</v>
      </c>
      <c r="C7057" t="str">
        <f t="shared" si="393"/>
        <v>142</v>
      </c>
      <c r="D7057" t="str">
        <f>"39"</f>
        <v>39</v>
      </c>
      <c r="E7057" t="str">
        <f>"1-142-39"</f>
        <v>1-142-39</v>
      </c>
      <c r="F7057" t="s">
        <v>65</v>
      </c>
      <c r="G7057" t="s">
        <v>66</v>
      </c>
      <c r="H7057" t="s">
        <v>67</v>
      </c>
      <c r="S7057">
        <v>0</v>
      </c>
      <c r="T7057">
        <v>1</v>
      </c>
      <c r="U7057">
        <v>0</v>
      </c>
      <c r="V7057">
        <v>0</v>
      </c>
      <c r="W7057">
        <v>0</v>
      </c>
      <c r="X7057">
        <v>1</v>
      </c>
      <c r="Y7057">
        <v>1</v>
      </c>
      <c r="Z7057">
        <v>0</v>
      </c>
      <c r="AA7057">
        <v>0</v>
      </c>
      <c r="AB7057">
        <v>1</v>
      </c>
      <c r="AC7057">
        <v>0</v>
      </c>
      <c r="AD7057">
        <v>1</v>
      </c>
      <c r="AE7057">
        <v>1</v>
      </c>
      <c r="AF7057">
        <v>1</v>
      </c>
      <c r="AG7057">
        <v>1</v>
      </c>
      <c r="AH7057">
        <v>1</v>
      </c>
      <c r="AI7057">
        <v>1</v>
      </c>
      <c r="AJ7057">
        <v>1</v>
      </c>
      <c r="AK7057">
        <v>1</v>
      </c>
      <c r="AL7057">
        <v>1</v>
      </c>
      <c r="AM7057">
        <v>1</v>
      </c>
    </row>
    <row r="7058" spans="1:39" x14ac:dyDescent="0.2">
      <c r="A7058" t="str">
        <f>"7054"</f>
        <v>7054</v>
      </c>
      <c r="B7058" t="str">
        <f t="shared" si="391"/>
        <v>1</v>
      </c>
      <c r="C7058" t="str">
        <f t="shared" si="393"/>
        <v>142</v>
      </c>
      <c r="D7058" t="str">
        <f>"34"</f>
        <v>34</v>
      </c>
      <c r="E7058" t="str">
        <f>"1-142-34"</f>
        <v>1-142-34</v>
      </c>
      <c r="F7058" t="s">
        <v>65</v>
      </c>
      <c r="G7058" t="s">
        <v>66</v>
      </c>
      <c r="H7058" t="s">
        <v>67</v>
      </c>
      <c r="S7058">
        <v>1</v>
      </c>
      <c r="T7058">
        <v>0</v>
      </c>
      <c r="U7058">
        <v>0</v>
      </c>
      <c r="V7058">
        <v>0</v>
      </c>
      <c r="W7058">
        <v>1</v>
      </c>
      <c r="X7058">
        <v>0</v>
      </c>
      <c r="Y7058">
        <v>0</v>
      </c>
      <c r="Z7058">
        <v>1</v>
      </c>
      <c r="AA7058">
        <v>0</v>
      </c>
      <c r="AB7058">
        <v>0</v>
      </c>
      <c r="AC7058">
        <v>1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</row>
    <row r="7059" spans="1:39" x14ac:dyDescent="0.2">
      <c r="A7059" t="str">
        <f>"7055"</f>
        <v>7055</v>
      </c>
      <c r="B7059" t="str">
        <f t="shared" si="391"/>
        <v>1</v>
      </c>
      <c r="C7059" t="str">
        <f t="shared" si="393"/>
        <v>142</v>
      </c>
      <c r="D7059" t="str">
        <f>"33"</f>
        <v>33</v>
      </c>
      <c r="E7059" t="str">
        <f>"1-142-33"</f>
        <v>1-142-33</v>
      </c>
      <c r="F7059" t="s">
        <v>65</v>
      </c>
      <c r="G7059" t="s">
        <v>66</v>
      </c>
      <c r="H7059" t="s">
        <v>67</v>
      </c>
      <c r="S7059">
        <v>1</v>
      </c>
      <c r="T7059">
        <v>0</v>
      </c>
      <c r="U7059">
        <v>0</v>
      </c>
      <c r="V7059">
        <v>0</v>
      </c>
      <c r="W7059">
        <v>1</v>
      </c>
      <c r="X7059">
        <v>0</v>
      </c>
      <c r="Y7059">
        <v>1</v>
      </c>
      <c r="Z7059">
        <v>0</v>
      </c>
      <c r="AA7059">
        <v>0</v>
      </c>
      <c r="AB7059">
        <v>1</v>
      </c>
      <c r="AC7059">
        <v>0</v>
      </c>
      <c r="AD7059">
        <v>1</v>
      </c>
      <c r="AE7059">
        <v>0</v>
      </c>
      <c r="AF7059">
        <v>1</v>
      </c>
      <c r="AG7059">
        <v>0</v>
      </c>
      <c r="AH7059">
        <v>1</v>
      </c>
      <c r="AI7059">
        <v>1</v>
      </c>
      <c r="AJ7059">
        <v>1</v>
      </c>
      <c r="AK7059">
        <v>1</v>
      </c>
      <c r="AL7059">
        <v>1</v>
      </c>
      <c r="AM7059">
        <v>1</v>
      </c>
    </row>
    <row r="7060" spans="1:39" x14ac:dyDescent="0.2">
      <c r="A7060" t="str">
        <f>"7056"</f>
        <v>7056</v>
      </c>
      <c r="B7060" t="str">
        <f t="shared" si="391"/>
        <v>1</v>
      </c>
      <c r="C7060" t="str">
        <f t="shared" si="393"/>
        <v>142</v>
      </c>
      <c r="D7060" t="str">
        <f>"19"</f>
        <v>19</v>
      </c>
      <c r="E7060" t="str">
        <f>"1-142-19"</f>
        <v>1-142-19</v>
      </c>
      <c r="F7060" t="s">
        <v>65</v>
      </c>
      <c r="G7060" t="s">
        <v>66</v>
      </c>
      <c r="H7060" t="s">
        <v>67</v>
      </c>
      <c r="S7060">
        <v>0</v>
      </c>
      <c r="T7060">
        <v>1</v>
      </c>
      <c r="U7060">
        <v>0</v>
      </c>
      <c r="V7060">
        <v>0</v>
      </c>
      <c r="W7060">
        <v>0</v>
      </c>
      <c r="X7060">
        <v>1</v>
      </c>
      <c r="Y7060">
        <v>1</v>
      </c>
      <c r="Z7060">
        <v>0</v>
      </c>
      <c r="AA7060">
        <v>0</v>
      </c>
      <c r="AB7060">
        <v>0</v>
      </c>
      <c r="AC7060">
        <v>1</v>
      </c>
      <c r="AD7060">
        <v>1</v>
      </c>
      <c r="AE7060">
        <v>1</v>
      </c>
      <c r="AF7060">
        <v>1</v>
      </c>
      <c r="AG7060">
        <v>0</v>
      </c>
      <c r="AH7060">
        <v>1</v>
      </c>
      <c r="AI7060">
        <v>1</v>
      </c>
      <c r="AJ7060">
        <v>1</v>
      </c>
      <c r="AK7060">
        <v>1</v>
      </c>
      <c r="AL7060">
        <v>1</v>
      </c>
      <c r="AM7060">
        <v>1</v>
      </c>
    </row>
    <row r="7061" spans="1:39" x14ac:dyDescent="0.2">
      <c r="A7061" t="str">
        <f>"7057"</f>
        <v>7057</v>
      </c>
      <c r="B7061" t="str">
        <f t="shared" si="391"/>
        <v>1</v>
      </c>
      <c r="C7061" t="str">
        <f t="shared" si="393"/>
        <v>142</v>
      </c>
      <c r="D7061" t="str">
        <f>"18"</f>
        <v>18</v>
      </c>
      <c r="E7061" t="str">
        <f>"1-142-18"</f>
        <v>1-142-18</v>
      </c>
      <c r="F7061" t="s">
        <v>65</v>
      </c>
      <c r="G7061" t="s">
        <v>66</v>
      </c>
      <c r="H7061" t="s">
        <v>67</v>
      </c>
      <c r="S7061">
        <v>0</v>
      </c>
      <c r="T7061">
        <v>1</v>
      </c>
      <c r="U7061">
        <v>0</v>
      </c>
      <c r="V7061">
        <v>0</v>
      </c>
      <c r="W7061">
        <v>0</v>
      </c>
      <c r="X7061">
        <v>1</v>
      </c>
      <c r="Y7061">
        <v>0</v>
      </c>
      <c r="Z7061">
        <v>0</v>
      </c>
      <c r="AA7061">
        <v>0</v>
      </c>
      <c r="AB7061">
        <v>0</v>
      </c>
      <c r="AC7061">
        <v>1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</row>
    <row r="7062" spans="1:39" x14ac:dyDescent="0.2">
      <c r="A7062" t="str">
        <f>"7058"</f>
        <v>7058</v>
      </c>
      <c r="B7062" t="str">
        <f t="shared" si="391"/>
        <v>1</v>
      </c>
      <c r="C7062" t="str">
        <f t="shared" si="393"/>
        <v>142</v>
      </c>
      <c r="D7062" t="str">
        <f>"17"</f>
        <v>17</v>
      </c>
      <c r="E7062" t="str">
        <f>"1-142-17"</f>
        <v>1-142-17</v>
      </c>
      <c r="F7062" t="s">
        <v>65</v>
      </c>
      <c r="G7062" t="s">
        <v>66</v>
      </c>
      <c r="H7062" t="s">
        <v>67</v>
      </c>
      <c r="S7062">
        <v>0</v>
      </c>
      <c r="T7062">
        <v>1</v>
      </c>
      <c r="U7062">
        <v>0</v>
      </c>
      <c r="V7062">
        <v>0</v>
      </c>
      <c r="W7062">
        <v>1</v>
      </c>
      <c r="X7062">
        <v>0</v>
      </c>
      <c r="Y7062">
        <v>1</v>
      </c>
      <c r="Z7062">
        <v>0</v>
      </c>
      <c r="AA7062">
        <v>0</v>
      </c>
      <c r="AB7062">
        <v>0</v>
      </c>
      <c r="AC7062">
        <v>1</v>
      </c>
      <c r="AD7062">
        <v>1</v>
      </c>
      <c r="AE7062">
        <v>1</v>
      </c>
      <c r="AF7062">
        <v>1</v>
      </c>
      <c r="AG7062">
        <v>1</v>
      </c>
      <c r="AH7062">
        <v>1</v>
      </c>
      <c r="AI7062">
        <v>1</v>
      </c>
      <c r="AJ7062">
        <v>1</v>
      </c>
      <c r="AK7062">
        <v>1</v>
      </c>
      <c r="AL7062">
        <v>1</v>
      </c>
      <c r="AM7062">
        <v>1</v>
      </c>
    </row>
    <row r="7063" spans="1:39" x14ac:dyDescent="0.2">
      <c r="A7063" t="str">
        <f>"7059"</f>
        <v>7059</v>
      </c>
      <c r="B7063" t="str">
        <f t="shared" si="391"/>
        <v>1</v>
      </c>
      <c r="C7063" t="str">
        <f t="shared" si="393"/>
        <v>142</v>
      </c>
      <c r="D7063" t="str">
        <f>"15"</f>
        <v>15</v>
      </c>
      <c r="E7063" t="str">
        <f>"1-142-15"</f>
        <v>1-142-15</v>
      </c>
      <c r="F7063" t="s">
        <v>65</v>
      </c>
      <c r="G7063" t="s">
        <v>66</v>
      </c>
      <c r="H7063" t="s">
        <v>67</v>
      </c>
      <c r="S7063">
        <v>1</v>
      </c>
      <c r="T7063">
        <v>0</v>
      </c>
      <c r="U7063">
        <v>0</v>
      </c>
      <c r="V7063">
        <v>0</v>
      </c>
      <c r="W7063">
        <v>1</v>
      </c>
      <c r="X7063">
        <v>0</v>
      </c>
      <c r="Y7063">
        <v>0</v>
      </c>
      <c r="Z7063">
        <v>1</v>
      </c>
      <c r="AA7063">
        <v>0</v>
      </c>
      <c r="AB7063">
        <v>1</v>
      </c>
      <c r="AC7063">
        <v>0</v>
      </c>
      <c r="AD7063">
        <v>1</v>
      </c>
      <c r="AE7063">
        <v>1</v>
      </c>
      <c r="AF7063">
        <v>1</v>
      </c>
      <c r="AG7063">
        <v>1</v>
      </c>
      <c r="AH7063">
        <v>1</v>
      </c>
      <c r="AI7063">
        <v>1</v>
      </c>
      <c r="AJ7063">
        <v>1</v>
      </c>
      <c r="AK7063">
        <v>1</v>
      </c>
      <c r="AL7063">
        <v>1</v>
      </c>
      <c r="AM7063">
        <v>1</v>
      </c>
    </row>
    <row r="7064" spans="1:39" x14ac:dyDescent="0.2">
      <c r="A7064" t="str">
        <f>"7060"</f>
        <v>7060</v>
      </c>
      <c r="B7064" t="str">
        <f t="shared" si="391"/>
        <v>1</v>
      </c>
      <c r="C7064" t="str">
        <f t="shared" si="393"/>
        <v>142</v>
      </c>
      <c r="D7064" t="str">
        <f>"1"</f>
        <v>1</v>
      </c>
      <c r="E7064" t="str">
        <f>"1-142-1"</f>
        <v>1-142-1</v>
      </c>
      <c r="F7064" t="s">
        <v>65</v>
      </c>
      <c r="G7064" t="s">
        <v>66</v>
      </c>
      <c r="H7064" t="s">
        <v>67</v>
      </c>
      <c r="S7064">
        <v>0</v>
      </c>
      <c r="T7064">
        <v>1</v>
      </c>
      <c r="U7064">
        <v>0</v>
      </c>
      <c r="V7064">
        <v>0</v>
      </c>
      <c r="W7064">
        <v>0</v>
      </c>
      <c r="X7064">
        <v>1</v>
      </c>
      <c r="Y7064">
        <v>0</v>
      </c>
      <c r="Z7064">
        <v>1</v>
      </c>
      <c r="AA7064">
        <v>0</v>
      </c>
      <c r="AB7064">
        <v>0</v>
      </c>
      <c r="AC7064">
        <v>1</v>
      </c>
      <c r="AD7064">
        <v>1</v>
      </c>
      <c r="AE7064">
        <v>1</v>
      </c>
      <c r="AF7064">
        <v>1</v>
      </c>
      <c r="AG7064">
        <v>1</v>
      </c>
      <c r="AH7064">
        <v>1</v>
      </c>
      <c r="AI7064">
        <v>1</v>
      </c>
      <c r="AJ7064">
        <v>1</v>
      </c>
      <c r="AK7064">
        <v>1</v>
      </c>
      <c r="AL7064">
        <v>1</v>
      </c>
      <c r="AM7064">
        <v>1</v>
      </c>
    </row>
    <row r="7065" spans="1:39" x14ac:dyDescent="0.2">
      <c r="A7065" t="str">
        <f>"7061"</f>
        <v>7061</v>
      </c>
      <c r="B7065" t="str">
        <f t="shared" si="391"/>
        <v>1</v>
      </c>
      <c r="C7065" t="str">
        <f t="shared" si="393"/>
        <v>142</v>
      </c>
      <c r="D7065" t="str">
        <f>"36"</f>
        <v>36</v>
      </c>
      <c r="E7065" t="str">
        <f>"1-142-36"</f>
        <v>1-142-36</v>
      </c>
      <c r="F7065" t="s">
        <v>65</v>
      </c>
      <c r="G7065" t="s">
        <v>66</v>
      </c>
      <c r="H7065" t="s">
        <v>67</v>
      </c>
      <c r="S7065">
        <v>0</v>
      </c>
      <c r="T7065">
        <v>1</v>
      </c>
      <c r="U7065">
        <v>0</v>
      </c>
      <c r="V7065">
        <v>0</v>
      </c>
      <c r="W7065">
        <v>0</v>
      </c>
      <c r="X7065">
        <v>1</v>
      </c>
      <c r="Y7065">
        <v>0</v>
      </c>
      <c r="Z7065">
        <v>1</v>
      </c>
      <c r="AA7065">
        <v>0</v>
      </c>
      <c r="AB7065">
        <v>0</v>
      </c>
      <c r="AC7065">
        <v>1</v>
      </c>
      <c r="AD7065">
        <v>1</v>
      </c>
      <c r="AE7065">
        <v>1</v>
      </c>
      <c r="AF7065">
        <v>1</v>
      </c>
      <c r="AG7065">
        <v>1</v>
      </c>
      <c r="AH7065">
        <v>1</v>
      </c>
      <c r="AI7065">
        <v>1</v>
      </c>
      <c r="AJ7065">
        <v>1</v>
      </c>
      <c r="AK7065">
        <v>1</v>
      </c>
      <c r="AL7065">
        <v>1</v>
      </c>
      <c r="AM7065">
        <v>1</v>
      </c>
    </row>
    <row r="7066" spans="1:39" x14ac:dyDescent="0.2">
      <c r="A7066" t="str">
        <f>"7062"</f>
        <v>7062</v>
      </c>
      <c r="B7066" t="str">
        <f t="shared" si="391"/>
        <v>1</v>
      </c>
      <c r="C7066" t="str">
        <f t="shared" si="393"/>
        <v>142</v>
      </c>
      <c r="D7066" t="str">
        <f>"35"</f>
        <v>35</v>
      </c>
      <c r="E7066" t="str">
        <f>"1-142-35"</f>
        <v>1-142-35</v>
      </c>
      <c r="F7066" t="s">
        <v>65</v>
      </c>
      <c r="G7066" t="s">
        <v>66</v>
      </c>
      <c r="H7066" t="s">
        <v>67</v>
      </c>
      <c r="S7066">
        <v>1</v>
      </c>
      <c r="T7066">
        <v>0</v>
      </c>
      <c r="U7066">
        <v>0</v>
      </c>
      <c r="V7066">
        <v>0</v>
      </c>
      <c r="W7066">
        <v>1</v>
      </c>
      <c r="X7066">
        <v>0</v>
      </c>
      <c r="Y7066">
        <v>1</v>
      </c>
      <c r="Z7066">
        <v>0</v>
      </c>
      <c r="AA7066">
        <v>1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1</v>
      </c>
      <c r="AH7066">
        <v>0</v>
      </c>
      <c r="AI7066">
        <v>0</v>
      </c>
      <c r="AJ7066">
        <v>0</v>
      </c>
      <c r="AK7066">
        <v>0</v>
      </c>
      <c r="AL7066">
        <v>1</v>
      </c>
      <c r="AM7066">
        <v>0</v>
      </c>
    </row>
    <row r="7067" spans="1:39" x14ac:dyDescent="0.2">
      <c r="A7067" t="str">
        <f>"7063"</f>
        <v>7063</v>
      </c>
      <c r="B7067" t="str">
        <f t="shared" si="391"/>
        <v>1</v>
      </c>
      <c r="C7067" t="str">
        <f t="shared" si="393"/>
        <v>142</v>
      </c>
      <c r="D7067" t="str">
        <f>"24"</f>
        <v>24</v>
      </c>
      <c r="E7067" t="str">
        <f>"1-142-24"</f>
        <v>1-142-24</v>
      </c>
      <c r="F7067" t="s">
        <v>65</v>
      </c>
      <c r="G7067" t="s">
        <v>66</v>
      </c>
      <c r="H7067" t="s">
        <v>67</v>
      </c>
      <c r="S7067">
        <v>1</v>
      </c>
      <c r="T7067">
        <v>0</v>
      </c>
      <c r="U7067">
        <v>0</v>
      </c>
      <c r="V7067">
        <v>0</v>
      </c>
      <c r="W7067">
        <v>1</v>
      </c>
      <c r="X7067">
        <v>0</v>
      </c>
      <c r="Y7067">
        <v>1</v>
      </c>
      <c r="Z7067">
        <v>0</v>
      </c>
      <c r="AA7067">
        <v>0</v>
      </c>
      <c r="AB7067">
        <v>1</v>
      </c>
      <c r="AC7067">
        <v>0</v>
      </c>
      <c r="AD7067">
        <v>1</v>
      </c>
      <c r="AE7067">
        <v>1</v>
      </c>
      <c r="AF7067">
        <v>1</v>
      </c>
      <c r="AG7067">
        <v>1</v>
      </c>
      <c r="AH7067">
        <v>1</v>
      </c>
      <c r="AI7067">
        <v>1</v>
      </c>
      <c r="AJ7067">
        <v>1</v>
      </c>
      <c r="AK7067">
        <v>1</v>
      </c>
      <c r="AL7067">
        <v>1</v>
      </c>
      <c r="AM7067">
        <v>1</v>
      </c>
    </row>
    <row r="7068" spans="1:39" x14ac:dyDescent="0.2">
      <c r="A7068" t="str">
        <f>"7064"</f>
        <v>7064</v>
      </c>
      <c r="B7068" t="str">
        <f t="shared" si="391"/>
        <v>1</v>
      </c>
      <c r="C7068" t="str">
        <f t="shared" si="393"/>
        <v>142</v>
      </c>
      <c r="D7068" t="str">
        <f>"16"</f>
        <v>16</v>
      </c>
      <c r="E7068" t="str">
        <f>"1-142-16"</f>
        <v>1-142-16</v>
      </c>
      <c r="F7068" t="s">
        <v>65</v>
      </c>
      <c r="G7068" t="s">
        <v>66</v>
      </c>
      <c r="H7068" t="s">
        <v>67</v>
      </c>
      <c r="S7068">
        <v>1</v>
      </c>
      <c r="T7068">
        <v>0</v>
      </c>
      <c r="U7068">
        <v>0</v>
      </c>
      <c r="V7068">
        <v>0</v>
      </c>
      <c r="W7068">
        <v>1</v>
      </c>
      <c r="X7068">
        <v>0</v>
      </c>
      <c r="Y7068">
        <v>1</v>
      </c>
      <c r="Z7068">
        <v>0</v>
      </c>
      <c r="AA7068">
        <v>0</v>
      </c>
      <c r="AB7068">
        <v>0</v>
      </c>
      <c r="AC7068">
        <v>0</v>
      </c>
      <c r="AD7068">
        <v>1</v>
      </c>
      <c r="AE7068">
        <v>1</v>
      </c>
      <c r="AF7068">
        <v>1</v>
      </c>
      <c r="AG7068">
        <v>1</v>
      </c>
      <c r="AH7068">
        <v>1</v>
      </c>
      <c r="AI7068">
        <v>1</v>
      </c>
      <c r="AJ7068">
        <v>1</v>
      </c>
      <c r="AK7068">
        <v>1</v>
      </c>
      <c r="AL7068">
        <v>1</v>
      </c>
      <c r="AM7068">
        <v>1</v>
      </c>
    </row>
    <row r="7069" spans="1:39" x14ac:dyDescent="0.2">
      <c r="A7069" t="str">
        <f>"7065"</f>
        <v>7065</v>
      </c>
      <c r="B7069" t="str">
        <f t="shared" si="391"/>
        <v>1</v>
      </c>
      <c r="C7069" t="str">
        <f t="shared" si="393"/>
        <v>142</v>
      </c>
      <c r="D7069" t="str">
        <f>"4"</f>
        <v>4</v>
      </c>
      <c r="E7069" t="str">
        <f>"1-142-4"</f>
        <v>1-142-4</v>
      </c>
      <c r="F7069" t="s">
        <v>65</v>
      </c>
      <c r="G7069" t="s">
        <v>66</v>
      </c>
      <c r="H7069" t="s">
        <v>67</v>
      </c>
      <c r="S7069">
        <v>1</v>
      </c>
      <c r="T7069">
        <v>0</v>
      </c>
      <c r="U7069">
        <v>0</v>
      </c>
      <c r="V7069">
        <v>0</v>
      </c>
      <c r="W7069">
        <v>1</v>
      </c>
      <c r="X7069">
        <v>0</v>
      </c>
      <c r="Y7069">
        <v>0</v>
      </c>
      <c r="Z7069">
        <v>1</v>
      </c>
      <c r="AA7069">
        <v>0</v>
      </c>
      <c r="AB7069">
        <v>1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</row>
    <row r="7070" spans="1:39" x14ac:dyDescent="0.2">
      <c r="A7070" t="str">
        <f>"7066"</f>
        <v>7066</v>
      </c>
      <c r="B7070" t="str">
        <f t="shared" si="391"/>
        <v>1</v>
      </c>
      <c r="C7070" t="str">
        <f t="shared" si="393"/>
        <v>142</v>
      </c>
      <c r="D7070" t="str">
        <f>"38"</f>
        <v>38</v>
      </c>
      <c r="E7070" t="str">
        <f>"1-142-38"</f>
        <v>1-142-38</v>
      </c>
      <c r="F7070" t="s">
        <v>65</v>
      </c>
      <c r="G7070" t="s">
        <v>66</v>
      </c>
      <c r="H7070" t="s">
        <v>67</v>
      </c>
      <c r="S7070">
        <v>1</v>
      </c>
      <c r="T7070">
        <v>0</v>
      </c>
      <c r="U7070">
        <v>0</v>
      </c>
      <c r="V7070">
        <v>0</v>
      </c>
      <c r="W7070">
        <v>1</v>
      </c>
      <c r="X7070">
        <v>0</v>
      </c>
      <c r="Y7070">
        <v>1</v>
      </c>
      <c r="Z7070">
        <v>0</v>
      </c>
      <c r="AA7070">
        <v>1</v>
      </c>
      <c r="AB7070">
        <v>0</v>
      </c>
      <c r="AC7070">
        <v>0</v>
      </c>
      <c r="AD7070">
        <v>1</v>
      </c>
      <c r="AE7070">
        <v>1</v>
      </c>
      <c r="AF7070">
        <v>1</v>
      </c>
      <c r="AG7070">
        <v>1</v>
      </c>
      <c r="AH7070">
        <v>1</v>
      </c>
      <c r="AI7070">
        <v>1</v>
      </c>
      <c r="AJ7070">
        <v>1</v>
      </c>
      <c r="AK7070">
        <v>1</v>
      </c>
      <c r="AL7070">
        <v>1</v>
      </c>
      <c r="AM7070">
        <v>1</v>
      </c>
    </row>
    <row r="7071" spans="1:39" x14ac:dyDescent="0.2">
      <c r="A7071" t="str">
        <f>"7067"</f>
        <v>7067</v>
      </c>
      <c r="B7071" t="str">
        <f t="shared" si="391"/>
        <v>1</v>
      </c>
      <c r="C7071" t="str">
        <f t="shared" si="393"/>
        <v>142</v>
      </c>
      <c r="D7071" t="str">
        <f>"3"</f>
        <v>3</v>
      </c>
      <c r="E7071" t="str">
        <f>"1-142-3"</f>
        <v>1-142-3</v>
      </c>
      <c r="F7071" t="s">
        <v>65</v>
      </c>
      <c r="G7071" t="s">
        <v>66</v>
      </c>
      <c r="H7071" t="s">
        <v>67</v>
      </c>
      <c r="S7071">
        <v>1</v>
      </c>
      <c r="T7071">
        <v>0</v>
      </c>
      <c r="U7071">
        <v>0</v>
      </c>
      <c r="V7071">
        <v>0</v>
      </c>
      <c r="W7071">
        <v>1</v>
      </c>
      <c r="X7071">
        <v>0</v>
      </c>
      <c r="Y7071">
        <v>1</v>
      </c>
      <c r="Z7071">
        <v>0</v>
      </c>
      <c r="AA7071">
        <v>1</v>
      </c>
      <c r="AB7071">
        <v>0</v>
      </c>
      <c r="AC7071">
        <v>0</v>
      </c>
      <c r="AD7071">
        <v>1</v>
      </c>
      <c r="AE7071">
        <v>1</v>
      </c>
      <c r="AF7071">
        <v>1</v>
      </c>
      <c r="AG7071">
        <v>1</v>
      </c>
      <c r="AH7071">
        <v>1</v>
      </c>
      <c r="AI7071">
        <v>1</v>
      </c>
      <c r="AJ7071">
        <v>1</v>
      </c>
      <c r="AK7071">
        <v>1</v>
      </c>
      <c r="AL7071">
        <v>1</v>
      </c>
      <c r="AM7071">
        <v>1</v>
      </c>
    </row>
    <row r="7072" spans="1:39" x14ac:dyDescent="0.2">
      <c r="A7072" t="str">
        <f>"7068"</f>
        <v>7068</v>
      </c>
      <c r="B7072" t="str">
        <f t="shared" si="391"/>
        <v>1</v>
      </c>
      <c r="C7072" t="str">
        <f t="shared" si="393"/>
        <v>142</v>
      </c>
      <c r="D7072" t="str">
        <f>"37"</f>
        <v>37</v>
      </c>
      <c r="E7072" t="str">
        <f>"1-142-37"</f>
        <v>1-142-37</v>
      </c>
      <c r="F7072" t="s">
        <v>65</v>
      </c>
      <c r="G7072" t="s">
        <v>66</v>
      </c>
      <c r="H7072" t="s">
        <v>67</v>
      </c>
      <c r="S7072">
        <v>1</v>
      </c>
      <c r="T7072">
        <v>0</v>
      </c>
      <c r="U7072">
        <v>0</v>
      </c>
      <c r="V7072">
        <v>0</v>
      </c>
      <c r="W7072">
        <v>1</v>
      </c>
      <c r="X7072">
        <v>0</v>
      </c>
      <c r="Y7072">
        <v>1</v>
      </c>
      <c r="Z7072">
        <v>0</v>
      </c>
      <c r="AA7072">
        <v>1</v>
      </c>
      <c r="AB7072">
        <v>0</v>
      </c>
      <c r="AC7072">
        <v>0</v>
      </c>
      <c r="AD7072">
        <v>1</v>
      </c>
      <c r="AE7072">
        <v>1</v>
      </c>
      <c r="AF7072">
        <v>1</v>
      </c>
      <c r="AG7072">
        <v>1</v>
      </c>
      <c r="AH7072">
        <v>1</v>
      </c>
      <c r="AI7072">
        <v>1</v>
      </c>
      <c r="AJ7072">
        <v>1</v>
      </c>
      <c r="AK7072">
        <v>1</v>
      </c>
      <c r="AL7072">
        <v>1</v>
      </c>
      <c r="AM7072">
        <v>1</v>
      </c>
    </row>
    <row r="7073" spans="1:39" x14ac:dyDescent="0.2">
      <c r="A7073" t="str">
        <f>"7069"</f>
        <v>7069</v>
      </c>
      <c r="B7073" t="str">
        <f t="shared" si="391"/>
        <v>1</v>
      </c>
      <c r="C7073" t="str">
        <f t="shared" si="393"/>
        <v>142</v>
      </c>
      <c r="D7073" t="str">
        <f>"21"</f>
        <v>21</v>
      </c>
      <c r="E7073" t="str">
        <f>"1-142-21"</f>
        <v>1-142-21</v>
      </c>
      <c r="F7073" t="s">
        <v>65</v>
      </c>
      <c r="G7073" t="s">
        <v>66</v>
      </c>
      <c r="H7073" t="s">
        <v>67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1</v>
      </c>
      <c r="Y7073">
        <v>0</v>
      </c>
      <c r="Z7073">
        <v>1</v>
      </c>
      <c r="AA7073">
        <v>1</v>
      </c>
      <c r="AB7073">
        <v>0</v>
      </c>
      <c r="AC7073">
        <v>0</v>
      </c>
      <c r="AD7073">
        <v>1</v>
      </c>
      <c r="AE7073">
        <v>1</v>
      </c>
      <c r="AF7073">
        <v>1</v>
      </c>
      <c r="AG7073">
        <v>1</v>
      </c>
      <c r="AH7073">
        <v>1</v>
      </c>
      <c r="AI7073">
        <v>1</v>
      </c>
      <c r="AJ7073">
        <v>1</v>
      </c>
      <c r="AK7073">
        <v>1</v>
      </c>
      <c r="AL7073">
        <v>1</v>
      </c>
      <c r="AM7073">
        <v>1</v>
      </c>
    </row>
    <row r="7074" spans="1:39" x14ac:dyDescent="0.2">
      <c r="A7074" t="str">
        <f>"7070"</f>
        <v>7070</v>
      </c>
      <c r="B7074" t="str">
        <f t="shared" si="391"/>
        <v>1</v>
      </c>
      <c r="C7074" t="str">
        <f t="shared" si="393"/>
        <v>142</v>
      </c>
      <c r="D7074" t="str">
        <f>"10"</f>
        <v>10</v>
      </c>
      <c r="E7074" t="str">
        <f>"1-142-10"</f>
        <v>1-142-10</v>
      </c>
      <c r="F7074" t="s">
        <v>65</v>
      </c>
      <c r="G7074" t="s">
        <v>66</v>
      </c>
      <c r="H7074" t="s">
        <v>67</v>
      </c>
      <c r="S7074">
        <v>0</v>
      </c>
      <c r="T7074">
        <v>1</v>
      </c>
      <c r="U7074">
        <v>0</v>
      </c>
      <c r="V7074">
        <v>0</v>
      </c>
      <c r="W7074">
        <v>0</v>
      </c>
      <c r="X7074">
        <v>1</v>
      </c>
      <c r="Y7074">
        <v>0</v>
      </c>
      <c r="Z7074">
        <v>1</v>
      </c>
      <c r="AA7074">
        <v>0</v>
      </c>
      <c r="AB7074">
        <v>0</v>
      </c>
      <c r="AC7074">
        <v>1</v>
      </c>
      <c r="AD7074">
        <v>1</v>
      </c>
      <c r="AE7074">
        <v>1</v>
      </c>
      <c r="AF7074">
        <v>1</v>
      </c>
      <c r="AG7074">
        <v>1</v>
      </c>
      <c r="AH7074">
        <v>1</v>
      </c>
      <c r="AI7074">
        <v>1</v>
      </c>
      <c r="AJ7074">
        <v>1</v>
      </c>
      <c r="AK7074">
        <v>1</v>
      </c>
      <c r="AL7074">
        <v>1</v>
      </c>
      <c r="AM7074">
        <v>1</v>
      </c>
    </row>
    <row r="7075" spans="1:39" x14ac:dyDescent="0.2">
      <c r="A7075" t="str">
        <f>"7071"</f>
        <v>7071</v>
      </c>
      <c r="B7075" t="str">
        <f t="shared" si="391"/>
        <v>1</v>
      </c>
      <c r="C7075" t="str">
        <f t="shared" si="393"/>
        <v>142</v>
      </c>
      <c r="D7075" t="str">
        <f>"41"</f>
        <v>41</v>
      </c>
      <c r="E7075" t="str">
        <f>"1-142-41"</f>
        <v>1-142-41</v>
      </c>
      <c r="F7075" t="s">
        <v>65</v>
      </c>
      <c r="G7075" t="s">
        <v>66</v>
      </c>
      <c r="H7075" t="s">
        <v>67</v>
      </c>
      <c r="S7075">
        <v>0</v>
      </c>
      <c r="T7075">
        <v>1</v>
      </c>
      <c r="U7075">
        <v>0</v>
      </c>
      <c r="V7075">
        <v>0</v>
      </c>
      <c r="W7075">
        <v>1</v>
      </c>
      <c r="X7075">
        <v>0</v>
      </c>
      <c r="Y7075">
        <v>0</v>
      </c>
      <c r="Z7075">
        <v>1</v>
      </c>
      <c r="AA7075">
        <v>0</v>
      </c>
      <c r="AB7075">
        <v>0</v>
      </c>
      <c r="AC7075">
        <v>1</v>
      </c>
      <c r="AD7075">
        <v>1</v>
      </c>
      <c r="AE7075">
        <v>1</v>
      </c>
      <c r="AF7075">
        <v>1</v>
      </c>
      <c r="AG7075">
        <v>1</v>
      </c>
      <c r="AH7075">
        <v>1</v>
      </c>
      <c r="AI7075">
        <v>1</v>
      </c>
      <c r="AJ7075">
        <v>1</v>
      </c>
      <c r="AK7075">
        <v>1</v>
      </c>
      <c r="AL7075">
        <v>1</v>
      </c>
      <c r="AM7075">
        <v>1</v>
      </c>
    </row>
    <row r="7076" spans="1:39" x14ac:dyDescent="0.2">
      <c r="A7076" t="str">
        <f>"7072"</f>
        <v>7072</v>
      </c>
      <c r="B7076" t="str">
        <f t="shared" si="391"/>
        <v>1</v>
      </c>
      <c r="C7076" t="str">
        <f t="shared" si="393"/>
        <v>142</v>
      </c>
      <c r="D7076" t="str">
        <f>"22"</f>
        <v>22</v>
      </c>
      <c r="E7076" t="str">
        <f>"1-142-22"</f>
        <v>1-142-22</v>
      </c>
      <c r="F7076" t="s">
        <v>65</v>
      </c>
      <c r="G7076" t="s">
        <v>66</v>
      </c>
      <c r="H7076" t="s">
        <v>67</v>
      </c>
      <c r="S7076">
        <v>1</v>
      </c>
      <c r="T7076">
        <v>0</v>
      </c>
      <c r="U7076">
        <v>0</v>
      </c>
      <c r="V7076">
        <v>0</v>
      </c>
      <c r="W7076">
        <v>0</v>
      </c>
      <c r="X7076">
        <v>1</v>
      </c>
      <c r="Y7076">
        <v>1</v>
      </c>
      <c r="Z7076">
        <v>0</v>
      </c>
      <c r="AA7076">
        <v>0</v>
      </c>
      <c r="AB7076">
        <v>1</v>
      </c>
      <c r="AC7076">
        <v>0</v>
      </c>
      <c r="AD7076">
        <v>0</v>
      </c>
      <c r="AE7076">
        <v>1</v>
      </c>
      <c r="AF7076">
        <v>1</v>
      </c>
      <c r="AG7076">
        <v>1</v>
      </c>
      <c r="AH7076">
        <v>0</v>
      </c>
      <c r="AI7076">
        <v>0</v>
      </c>
      <c r="AJ7076">
        <v>1</v>
      </c>
      <c r="AK7076">
        <v>0</v>
      </c>
      <c r="AL7076">
        <v>1</v>
      </c>
      <c r="AM7076">
        <v>0</v>
      </c>
    </row>
    <row r="7077" spans="1:39" x14ac:dyDescent="0.2">
      <c r="A7077" t="str">
        <f>"7073"</f>
        <v>7073</v>
      </c>
      <c r="B7077" t="str">
        <f t="shared" si="391"/>
        <v>1</v>
      </c>
      <c r="C7077" t="str">
        <f t="shared" si="393"/>
        <v>142</v>
      </c>
      <c r="D7077" t="str">
        <f>"12"</f>
        <v>12</v>
      </c>
      <c r="E7077" t="str">
        <f>"1-142-12"</f>
        <v>1-142-12</v>
      </c>
      <c r="F7077" t="s">
        <v>65</v>
      </c>
      <c r="G7077" t="s">
        <v>66</v>
      </c>
      <c r="H7077" t="s">
        <v>67</v>
      </c>
      <c r="S7077">
        <v>1</v>
      </c>
      <c r="T7077">
        <v>0</v>
      </c>
      <c r="U7077">
        <v>0</v>
      </c>
      <c r="V7077">
        <v>0</v>
      </c>
      <c r="W7077">
        <v>1</v>
      </c>
      <c r="X7077">
        <v>0</v>
      </c>
      <c r="Y7077">
        <v>1</v>
      </c>
      <c r="Z7077">
        <v>0</v>
      </c>
      <c r="AA7077">
        <v>0</v>
      </c>
      <c r="AB7077">
        <v>1</v>
      </c>
      <c r="AC7077">
        <v>0</v>
      </c>
      <c r="AD7077">
        <v>1</v>
      </c>
      <c r="AE7077">
        <v>1</v>
      </c>
      <c r="AF7077">
        <v>1</v>
      </c>
      <c r="AG7077">
        <v>1</v>
      </c>
      <c r="AH7077">
        <v>1</v>
      </c>
      <c r="AI7077">
        <v>1</v>
      </c>
      <c r="AJ7077">
        <v>1</v>
      </c>
      <c r="AK7077">
        <v>1</v>
      </c>
      <c r="AL7077">
        <v>1</v>
      </c>
      <c r="AM7077">
        <v>1</v>
      </c>
    </row>
    <row r="7078" spans="1:39" x14ac:dyDescent="0.2">
      <c r="A7078" t="str">
        <f>"7074"</f>
        <v>7074</v>
      </c>
      <c r="B7078" t="str">
        <f t="shared" si="391"/>
        <v>1</v>
      </c>
      <c r="C7078" t="str">
        <f t="shared" si="393"/>
        <v>142</v>
      </c>
      <c r="D7078" t="str">
        <f>"42"</f>
        <v>42</v>
      </c>
      <c r="E7078" t="str">
        <f>"1-142-42"</f>
        <v>1-142-42</v>
      </c>
      <c r="F7078" t="s">
        <v>65</v>
      </c>
      <c r="G7078" t="s">
        <v>66</v>
      </c>
      <c r="H7078" t="s">
        <v>67</v>
      </c>
      <c r="S7078">
        <v>0</v>
      </c>
      <c r="T7078">
        <v>1</v>
      </c>
      <c r="U7078">
        <v>0</v>
      </c>
      <c r="V7078">
        <v>0</v>
      </c>
      <c r="W7078">
        <v>1</v>
      </c>
      <c r="X7078">
        <v>0</v>
      </c>
      <c r="Y7078">
        <v>1</v>
      </c>
      <c r="Z7078">
        <v>0</v>
      </c>
      <c r="AA7078">
        <v>0</v>
      </c>
      <c r="AB7078">
        <v>1</v>
      </c>
      <c r="AC7078">
        <v>0</v>
      </c>
      <c r="AD7078">
        <v>1</v>
      </c>
      <c r="AE7078">
        <v>1</v>
      </c>
      <c r="AF7078">
        <v>1</v>
      </c>
      <c r="AG7078">
        <v>1</v>
      </c>
      <c r="AH7078">
        <v>1</v>
      </c>
      <c r="AI7078">
        <v>1</v>
      </c>
      <c r="AJ7078">
        <v>1</v>
      </c>
      <c r="AK7078">
        <v>1</v>
      </c>
      <c r="AL7078">
        <v>1</v>
      </c>
      <c r="AM7078">
        <v>1</v>
      </c>
    </row>
    <row r="7079" spans="1:39" x14ac:dyDescent="0.2">
      <c r="A7079" t="str">
        <f>"7075"</f>
        <v>7075</v>
      </c>
      <c r="B7079" t="str">
        <f t="shared" si="391"/>
        <v>1</v>
      </c>
      <c r="C7079" t="str">
        <f t="shared" si="393"/>
        <v>142</v>
      </c>
      <c r="D7079" t="str">
        <f>"23"</f>
        <v>23</v>
      </c>
      <c r="E7079" t="str">
        <f>"1-142-23"</f>
        <v>1-142-23</v>
      </c>
      <c r="F7079" t="s">
        <v>65</v>
      </c>
      <c r="G7079" t="s">
        <v>66</v>
      </c>
      <c r="H7079" t="s">
        <v>67</v>
      </c>
      <c r="S7079">
        <v>1</v>
      </c>
      <c r="T7079">
        <v>0</v>
      </c>
      <c r="U7079">
        <v>0</v>
      </c>
      <c r="V7079">
        <v>0</v>
      </c>
      <c r="W7079">
        <v>0</v>
      </c>
      <c r="X7079">
        <v>1</v>
      </c>
      <c r="Y7079">
        <v>1</v>
      </c>
      <c r="Z7079">
        <v>0</v>
      </c>
      <c r="AA7079">
        <v>0</v>
      </c>
      <c r="AB7079">
        <v>1</v>
      </c>
      <c r="AC7079">
        <v>0</v>
      </c>
      <c r="AD7079">
        <v>1</v>
      </c>
      <c r="AE7079">
        <v>1</v>
      </c>
      <c r="AF7079">
        <v>1</v>
      </c>
      <c r="AG7079">
        <v>1</v>
      </c>
      <c r="AH7079">
        <v>1</v>
      </c>
      <c r="AI7079">
        <v>1</v>
      </c>
      <c r="AJ7079">
        <v>1</v>
      </c>
      <c r="AK7079">
        <v>1</v>
      </c>
      <c r="AL7079">
        <v>1</v>
      </c>
      <c r="AM7079">
        <v>1</v>
      </c>
    </row>
    <row r="7080" spans="1:39" x14ac:dyDescent="0.2">
      <c r="A7080" t="str">
        <f>"7076"</f>
        <v>7076</v>
      </c>
      <c r="B7080" t="str">
        <f t="shared" si="391"/>
        <v>1</v>
      </c>
      <c r="C7080" t="str">
        <f t="shared" si="393"/>
        <v>142</v>
      </c>
      <c r="D7080" t="str">
        <f>"5"</f>
        <v>5</v>
      </c>
      <c r="E7080" t="str">
        <f>"1-142-5"</f>
        <v>1-142-5</v>
      </c>
      <c r="F7080" t="s">
        <v>65</v>
      </c>
      <c r="G7080" t="s">
        <v>66</v>
      </c>
      <c r="H7080" t="s">
        <v>67</v>
      </c>
      <c r="S7080">
        <v>1</v>
      </c>
      <c r="T7080">
        <v>0</v>
      </c>
      <c r="U7080">
        <v>0</v>
      </c>
      <c r="V7080">
        <v>0</v>
      </c>
      <c r="W7080">
        <v>1</v>
      </c>
      <c r="X7080">
        <v>0</v>
      </c>
      <c r="Y7080">
        <v>1</v>
      </c>
      <c r="Z7080">
        <v>0</v>
      </c>
      <c r="AA7080">
        <v>1</v>
      </c>
      <c r="AB7080">
        <v>0</v>
      </c>
      <c r="AC7080">
        <v>0</v>
      </c>
      <c r="AD7080">
        <v>1</v>
      </c>
      <c r="AE7080">
        <v>1</v>
      </c>
      <c r="AF7080">
        <v>1</v>
      </c>
      <c r="AG7080">
        <v>1</v>
      </c>
      <c r="AH7080">
        <v>1</v>
      </c>
      <c r="AI7080">
        <v>1</v>
      </c>
      <c r="AJ7080">
        <v>1</v>
      </c>
      <c r="AK7080">
        <v>1</v>
      </c>
      <c r="AL7080">
        <v>1</v>
      </c>
      <c r="AM7080">
        <v>1</v>
      </c>
    </row>
    <row r="7081" spans="1:39" x14ac:dyDescent="0.2">
      <c r="A7081" t="str">
        <f>"7077"</f>
        <v>7077</v>
      </c>
      <c r="B7081" t="str">
        <f t="shared" si="391"/>
        <v>1</v>
      </c>
      <c r="C7081" t="str">
        <f t="shared" si="393"/>
        <v>142</v>
      </c>
      <c r="D7081" t="str">
        <f>"43"</f>
        <v>43</v>
      </c>
      <c r="E7081" t="str">
        <f>"1-142-43"</f>
        <v>1-142-43</v>
      </c>
      <c r="F7081" t="s">
        <v>65</v>
      </c>
      <c r="G7081" t="s">
        <v>66</v>
      </c>
      <c r="H7081" t="s">
        <v>67</v>
      </c>
      <c r="S7081">
        <v>1</v>
      </c>
      <c r="T7081">
        <v>0</v>
      </c>
      <c r="U7081">
        <v>0</v>
      </c>
      <c r="V7081">
        <v>0</v>
      </c>
      <c r="W7081">
        <v>1</v>
      </c>
      <c r="X7081">
        <v>0</v>
      </c>
      <c r="Y7081">
        <v>1</v>
      </c>
      <c r="Z7081">
        <v>0</v>
      </c>
      <c r="AA7081">
        <v>0</v>
      </c>
      <c r="AB7081">
        <v>1</v>
      </c>
      <c r="AC7081">
        <v>0</v>
      </c>
      <c r="AD7081">
        <v>1</v>
      </c>
      <c r="AE7081">
        <v>1</v>
      </c>
      <c r="AF7081">
        <v>1</v>
      </c>
      <c r="AG7081">
        <v>1</v>
      </c>
      <c r="AH7081">
        <v>1</v>
      </c>
      <c r="AI7081">
        <v>1</v>
      </c>
      <c r="AJ7081">
        <v>1</v>
      </c>
      <c r="AK7081">
        <v>1</v>
      </c>
      <c r="AL7081">
        <v>1</v>
      </c>
      <c r="AM7081">
        <v>1</v>
      </c>
    </row>
    <row r="7082" spans="1:39" x14ac:dyDescent="0.2">
      <c r="A7082" t="str">
        <f>"7078"</f>
        <v>7078</v>
      </c>
      <c r="B7082" t="str">
        <f t="shared" si="391"/>
        <v>1</v>
      </c>
      <c r="C7082" t="str">
        <f t="shared" si="393"/>
        <v>142</v>
      </c>
      <c r="D7082" t="str">
        <f>"25"</f>
        <v>25</v>
      </c>
      <c r="E7082" t="str">
        <f>"1-142-25"</f>
        <v>1-142-25</v>
      </c>
      <c r="F7082" t="s">
        <v>65</v>
      </c>
      <c r="G7082" t="s">
        <v>66</v>
      </c>
      <c r="H7082" t="s">
        <v>67</v>
      </c>
      <c r="S7082">
        <v>1</v>
      </c>
      <c r="T7082">
        <v>0</v>
      </c>
      <c r="U7082">
        <v>0</v>
      </c>
      <c r="V7082">
        <v>0</v>
      </c>
      <c r="W7082">
        <v>1</v>
      </c>
      <c r="X7082">
        <v>0</v>
      </c>
      <c r="Y7082">
        <v>0</v>
      </c>
      <c r="Z7082">
        <v>1</v>
      </c>
      <c r="AA7082">
        <v>0</v>
      </c>
      <c r="AB7082">
        <v>1</v>
      </c>
      <c r="AC7082">
        <v>0</v>
      </c>
      <c r="AD7082">
        <v>1</v>
      </c>
      <c r="AE7082">
        <v>1</v>
      </c>
      <c r="AF7082">
        <v>1</v>
      </c>
      <c r="AG7082">
        <v>1</v>
      </c>
      <c r="AH7082">
        <v>1</v>
      </c>
      <c r="AI7082">
        <v>1</v>
      </c>
      <c r="AJ7082">
        <v>1</v>
      </c>
      <c r="AK7082">
        <v>1</v>
      </c>
      <c r="AL7082">
        <v>1</v>
      </c>
      <c r="AM7082">
        <v>1</v>
      </c>
    </row>
    <row r="7083" spans="1:39" x14ac:dyDescent="0.2">
      <c r="A7083" t="str">
        <f>"7079"</f>
        <v>7079</v>
      </c>
      <c r="B7083" t="str">
        <f t="shared" si="391"/>
        <v>1</v>
      </c>
      <c r="C7083" t="str">
        <f t="shared" si="393"/>
        <v>142</v>
      </c>
      <c r="D7083" t="str">
        <f>"8"</f>
        <v>8</v>
      </c>
      <c r="E7083" t="str">
        <f>"1-142-8"</f>
        <v>1-142-8</v>
      </c>
      <c r="F7083" t="s">
        <v>65</v>
      </c>
      <c r="G7083" t="s">
        <v>66</v>
      </c>
      <c r="H7083" t="s">
        <v>67</v>
      </c>
      <c r="S7083">
        <v>1</v>
      </c>
      <c r="T7083">
        <v>0</v>
      </c>
      <c r="U7083">
        <v>0</v>
      </c>
      <c r="V7083">
        <v>0</v>
      </c>
      <c r="W7083">
        <v>1</v>
      </c>
      <c r="X7083">
        <v>0</v>
      </c>
      <c r="Y7083">
        <v>1</v>
      </c>
      <c r="Z7083">
        <v>0</v>
      </c>
      <c r="AA7083">
        <v>0</v>
      </c>
      <c r="AB7083">
        <v>0</v>
      </c>
      <c r="AC7083">
        <v>1</v>
      </c>
      <c r="AD7083">
        <v>0</v>
      </c>
      <c r="AE7083">
        <v>0</v>
      </c>
      <c r="AF7083">
        <v>0</v>
      </c>
      <c r="AG7083">
        <v>1</v>
      </c>
      <c r="AH7083">
        <v>1</v>
      </c>
      <c r="AI7083">
        <v>1</v>
      </c>
      <c r="AJ7083">
        <v>1</v>
      </c>
      <c r="AK7083">
        <v>1</v>
      </c>
      <c r="AL7083">
        <v>1</v>
      </c>
      <c r="AM7083">
        <v>1</v>
      </c>
    </row>
    <row r="7084" spans="1:39" x14ac:dyDescent="0.2">
      <c r="A7084" t="str">
        <f>"7080"</f>
        <v>7080</v>
      </c>
      <c r="B7084" t="str">
        <f t="shared" si="391"/>
        <v>1</v>
      </c>
      <c r="C7084" t="str">
        <f t="shared" si="393"/>
        <v>142</v>
      </c>
      <c r="D7084" t="str">
        <f>"45"</f>
        <v>45</v>
      </c>
      <c r="E7084" t="str">
        <f>"1-142-45"</f>
        <v>1-142-45</v>
      </c>
      <c r="F7084" t="s">
        <v>65</v>
      </c>
      <c r="G7084" t="s">
        <v>66</v>
      </c>
      <c r="H7084" t="s">
        <v>67</v>
      </c>
      <c r="S7084">
        <v>1</v>
      </c>
      <c r="T7084">
        <v>0</v>
      </c>
      <c r="U7084">
        <v>0</v>
      </c>
      <c r="V7084">
        <v>0</v>
      </c>
      <c r="W7084">
        <v>1</v>
      </c>
      <c r="X7084">
        <v>0</v>
      </c>
      <c r="Y7084">
        <v>1</v>
      </c>
      <c r="Z7084">
        <v>0</v>
      </c>
      <c r="AA7084">
        <v>1</v>
      </c>
      <c r="AB7084">
        <v>0</v>
      </c>
      <c r="AC7084">
        <v>0</v>
      </c>
      <c r="AD7084">
        <v>1</v>
      </c>
      <c r="AE7084">
        <v>1</v>
      </c>
      <c r="AF7084">
        <v>1</v>
      </c>
      <c r="AG7084">
        <v>1</v>
      </c>
      <c r="AH7084">
        <v>1</v>
      </c>
      <c r="AI7084">
        <v>1</v>
      </c>
      <c r="AJ7084">
        <v>1</v>
      </c>
      <c r="AK7084">
        <v>1</v>
      </c>
      <c r="AL7084">
        <v>1</v>
      </c>
      <c r="AM7084">
        <v>1</v>
      </c>
    </row>
    <row r="7085" spans="1:39" x14ac:dyDescent="0.2">
      <c r="A7085" t="str">
        <f>"7081"</f>
        <v>7081</v>
      </c>
      <c r="B7085" t="str">
        <f t="shared" si="391"/>
        <v>1</v>
      </c>
      <c r="C7085" t="str">
        <f t="shared" si="393"/>
        <v>142</v>
      </c>
      <c r="D7085" t="str">
        <f>"9"</f>
        <v>9</v>
      </c>
      <c r="E7085" t="str">
        <f>"1-142-9"</f>
        <v>1-142-9</v>
      </c>
      <c r="F7085" t="s">
        <v>65</v>
      </c>
      <c r="G7085" t="s">
        <v>66</v>
      </c>
      <c r="H7085" t="s">
        <v>67</v>
      </c>
      <c r="S7085">
        <v>1</v>
      </c>
      <c r="T7085">
        <v>0</v>
      </c>
      <c r="U7085">
        <v>0</v>
      </c>
      <c r="V7085">
        <v>0</v>
      </c>
      <c r="W7085">
        <v>1</v>
      </c>
      <c r="X7085">
        <v>0</v>
      </c>
      <c r="Y7085">
        <v>0</v>
      </c>
      <c r="Z7085">
        <v>1</v>
      </c>
      <c r="AA7085">
        <v>1</v>
      </c>
      <c r="AB7085">
        <v>0</v>
      </c>
      <c r="AC7085">
        <v>0</v>
      </c>
      <c r="AD7085">
        <v>1</v>
      </c>
      <c r="AE7085">
        <v>1</v>
      </c>
      <c r="AF7085">
        <v>1</v>
      </c>
      <c r="AG7085">
        <v>1</v>
      </c>
      <c r="AH7085">
        <v>1</v>
      </c>
      <c r="AI7085">
        <v>1</v>
      </c>
      <c r="AJ7085">
        <v>1</v>
      </c>
      <c r="AK7085">
        <v>1</v>
      </c>
      <c r="AL7085">
        <v>1</v>
      </c>
      <c r="AM7085">
        <v>1</v>
      </c>
    </row>
    <row r="7086" spans="1:39" x14ac:dyDescent="0.2">
      <c r="A7086" t="str">
        <f>"7082"</f>
        <v>7082</v>
      </c>
      <c r="B7086" t="str">
        <f t="shared" si="391"/>
        <v>1</v>
      </c>
      <c r="C7086" t="str">
        <f t="shared" si="393"/>
        <v>142</v>
      </c>
      <c r="D7086" t="str">
        <f>"44"</f>
        <v>44</v>
      </c>
      <c r="E7086" t="str">
        <f>"1-142-44"</f>
        <v>1-142-44</v>
      </c>
      <c r="F7086" t="s">
        <v>65</v>
      </c>
      <c r="G7086" t="s">
        <v>66</v>
      </c>
      <c r="H7086" t="s">
        <v>67</v>
      </c>
      <c r="S7086">
        <v>1</v>
      </c>
      <c r="T7086">
        <v>0</v>
      </c>
      <c r="U7086">
        <v>0</v>
      </c>
      <c r="V7086">
        <v>0</v>
      </c>
      <c r="W7086">
        <v>1</v>
      </c>
      <c r="X7086">
        <v>0</v>
      </c>
      <c r="Y7086">
        <v>1</v>
      </c>
      <c r="Z7086">
        <v>0</v>
      </c>
      <c r="AA7086">
        <v>1</v>
      </c>
      <c r="AB7086">
        <v>0</v>
      </c>
      <c r="AC7086">
        <v>0</v>
      </c>
      <c r="AD7086">
        <v>1</v>
      </c>
      <c r="AE7086">
        <v>1</v>
      </c>
      <c r="AF7086">
        <v>1</v>
      </c>
      <c r="AG7086">
        <v>1</v>
      </c>
      <c r="AH7086">
        <v>1</v>
      </c>
      <c r="AI7086">
        <v>1</v>
      </c>
      <c r="AJ7086">
        <v>1</v>
      </c>
      <c r="AK7086">
        <v>1</v>
      </c>
      <c r="AL7086">
        <v>1</v>
      </c>
      <c r="AM7086">
        <v>1</v>
      </c>
    </row>
    <row r="7087" spans="1:39" x14ac:dyDescent="0.2">
      <c r="A7087" t="str">
        <f>"7083"</f>
        <v>7083</v>
      </c>
      <c r="B7087" t="str">
        <f t="shared" si="391"/>
        <v>1</v>
      </c>
      <c r="C7087" t="str">
        <f t="shared" ref="C7087:C7104" si="394">"142"</f>
        <v>142</v>
      </c>
      <c r="D7087" t="str">
        <f>"27"</f>
        <v>27</v>
      </c>
      <c r="E7087" t="str">
        <f>"1-142-27"</f>
        <v>1-142-27</v>
      </c>
      <c r="F7087" t="s">
        <v>65</v>
      </c>
      <c r="G7087" t="s">
        <v>66</v>
      </c>
      <c r="H7087" t="s">
        <v>67</v>
      </c>
      <c r="S7087">
        <v>1</v>
      </c>
      <c r="T7087">
        <v>0</v>
      </c>
      <c r="U7087">
        <v>0</v>
      </c>
      <c r="V7087">
        <v>0</v>
      </c>
      <c r="W7087">
        <v>0</v>
      </c>
      <c r="X7087">
        <v>1</v>
      </c>
      <c r="Y7087">
        <v>1</v>
      </c>
      <c r="Z7087">
        <v>0</v>
      </c>
      <c r="AA7087">
        <v>0</v>
      </c>
      <c r="AB7087">
        <v>1</v>
      </c>
      <c r="AC7087">
        <v>0</v>
      </c>
      <c r="AD7087">
        <v>1</v>
      </c>
      <c r="AE7087">
        <v>1</v>
      </c>
      <c r="AF7087">
        <v>1</v>
      </c>
      <c r="AG7087">
        <v>1</v>
      </c>
      <c r="AH7087">
        <v>1</v>
      </c>
      <c r="AI7087">
        <v>1</v>
      </c>
      <c r="AJ7087">
        <v>1</v>
      </c>
      <c r="AK7087">
        <v>1</v>
      </c>
      <c r="AL7087">
        <v>1</v>
      </c>
      <c r="AM7087">
        <v>1</v>
      </c>
    </row>
    <row r="7088" spans="1:39" x14ac:dyDescent="0.2">
      <c r="A7088" t="str">
        <f>"7084"</f>
        <v>7084</v>
      </c>
      <c r="B7088" t="str">
        <f t="shared" si="391"/>
        <v>1</v>
      </c>
      <c r="C7088" t="str">
        <f t="shared" si="394"/>
        <v>142</v>
      </c>
      <c r="D7088" t="str">
        <f>"11"</f>
        <v>11</v>
      </c>
      <c r="E7088" t="str">
        <f>"1-142-11"</f>
        <v>1-142-11</v>
      </c>
      <c r="F7088" t="s">
        <v>65</v>
      </c>
      <c r="G7088" t="s">
        <v>66</v>
      </c>
      <c r="H7088" t="s">
        <v>67</v>
      </c>
      <c r="S7088">
        <v>1</v>
      </c>
      <c r="T7088">
        <v>0</v>
      </c>
      <c r="U7088">
        <v>0</v>
      </c>
      <c r="V7088">
        <v>0</v>
      </c>
      <c r="W7088">
        <v>1</v>
      </c>
      <c r="X7088">
        <v>0</v>
      </c>
      <c r="Y7088">
        <v>0</v>
      </c>
      <c r="Z7088">
        <v>1</v>
      </c>
      <c r="AA7088">
        <v>0</v>
      </c>
      <c r="AB7088">
        <v>0</v>
      </c>
      <c r="AC7088">
        <v>1</v>
      </c>
      <c r="AD7088">
        <v>1</v>
      </c>
      <c r="AE7088">
        <v>0</v>
      </c>
      <c r="AF7088">
        <v>0</v>
      </c>
      <c r="AG7088">
        <v>0</v>
      </c>
      <c r="AH7088">
        <v>0</v>
      </c>
      <c r="AI7088">
        <v>1</v>
      </c>
      <c r="AJ7088">
        <v>0</v>
      </c>
      <c r="AK7088">
        <v>0</v>
      </c>
      <c r="AL7088">
        <v>0</v>
      </c>
      <c r="AM7088">
        <v>0</v>
      </c>
    </row>
    <row r="7089" spans="1:39" x14ac:dyDescent="0.2">
      <c r="A7089" t="str">
        <f>"7085"</f>
        <v>7085</v>
      </c>
      <c r="B7089" t="str">
        <f t="shared" si="391"/>
        <v>1</v>
      </c>
      <c r="C7089" t="str">
        <f t="shared" si="394"/>
        <v>142</v>
      </c>
      <c r="D7089" t="str">
        <f>"48"</f>
        <v>48</v>
      </c>
      <c r="E7089" t="str">
        <f>"1-142-48"</f>
        <v>1-142-48</v>
      </c>
      <c r="F7089" t="s">
        <v>65</v>
      </c>
      <c r="G7089" t="s">
        <v>66</v>
      </c>
      <c r="H7089" t="s">
        <v>67</v>
      </c>
      <c r="S7089">
        <v>0</v>
      </c>
      <c r="T7089">
        <v>1</v>
      </c>
      <c r="U7089">
        <v>0</v>
      </c>
      <c r="V7089">
        <v>0</v>
      </c>
      <c r="W7089">
        <v>1</v>
      </c>
      <c r="X7089">
        <v>0</v>
      </c>
      <c r="Y7089">
        <v>0</v>
      </c>
      <c r="Z7089">
        <v>1</v>
      </c>
      <c r="AA7089">
        <v>0</v>
      </c>
      <c r="AB7089">
        <v>1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</row>
    <row r="7090" spans="1:39" x14ac:dyDescent="0.2">
      <c r="A7090" t="str">
        <f>"7086"</f>
        <v>7086</v>
      </c>
      <c r="B7090" t="str">
        <f t="shared" si="391"/>
        <v>1</v>
      </c>
      <c r="C7090" t="str">
        <f t="shared" si="394"/>
        <v>142</v>
      </c>
      <c r="D7090" t="str">
        <f>"28"</f>
        <v>28</v>
      </c>
      <c r="E7090" t="str">
        <f>"1-142-28"</f>
        <v>1-142-28</v>
      </c>
      <c r="F7090" t="s">
        <v>65</v>
      </c>
      <c r="G7090" t="s">
        <v>66</v>
      </c>
      <c r="H7090" t="s">
        <v>67</v>
      </c>
      <c r="S7090">
        <v>0</v>
      </c>
      <c r="T7090">
        <v>1</v>
      </c>
      <c r="U7090">
        <v>0</v>
      </c>
      <c r="V7090">
        <v>0</v>
      </c>
      <c r="W7090">
        <v>0</v>
      </c>
      <c r="X7090">
        <v>1</v>
      </c>
      <c r="Y7090">
        <v>0</v>
      </c>
      <c r="Z7090">
        <v>1</v>
      </c>
      <c r="AA7090">
        <v>0</v>
      </c>
      <c r="AB7090">
        <v>0</v>
      </c>
      <c r="AC7090">
        <v>1</v>
      </c>
      <c r="AD7090">
        <v>1</v>
      </c>
      <c r="AE7090">
        <v>1</v>
      </c>
      <c r="AF7090">
        <v>1</v>
      </c>
      <c r="AG7090">
        <v>1</v>
      </c>
      <c r="AH7090">
        <v>1</v>
      </c>
      <c r="AI7090">
        <v>1</v>
      </c>
      <c r="AJ7090">
        <v>1</v>
      </c>
      <c r="AK7090">
        <v>1</v>
      </c>
      <c r="AL7090">
        <v>1</v>
      </c>
      <c r="AM7090">
        <v>1</v>
      </c>
    </row>
    <row r="7091" spans="1:39" x14ac:dyDescent="0.2">
      <c r="A7091" t="str">
        <f>"7087"</f>
        <v>7087</v>
      </c>
      <c r="B7091" t="str">
        <f t="shared" si="391"/>
        <v>1</v>
      </c>
      <c r="C7091" t="str">
        <f t="shared" si="394"/>
        <v>142</v>
      </c>
      <c r="D7091" t="str">
        <f>"14"</f>
        <v>14</v>
      </c>
      <c r="E7091" t="str">
        <f>"1-142-14"</f>
        <v>1-142-14</v>
      </c>
      <c r="F7091" t="s">
        <v>65</v>
      </c>
      <c r="G7091" t="s">
        <v>66</v>
      </c>
      <c r="H7091" t="s">
        <v>67</v>
      </c>
      <c r="S7091">
        <v>0</v>
      </c>
      <c r="T7091">
        <v>1</v>
      </c>
      <c r="U7091">
        <v>0</v>
      </c>
      <c r="V7091">
        <v>0</v>
      </c>
      <c r="W7091">
        <v>1</v>
      </c>
      <c r="X7091">
        <v>0</v>
      </c>
      <c r="Y7091">
        <v>1</v>
      </c>
      <c r="Z7091">
        <v>0</v>
      </c>
      <c r="AA7091">
        <v>1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1</v>
      </c>
      <c r="AK7091">
        <v>0</v>
      </c>
      <c r="AL7091">
        <v>1</v>
      </c>
      <c r="AM7091">
        <v>0</v>
      </c>
    </row>
    <row r="7092" spans="1:39" x14ac:dyDescent="0.2">
      <c r="A7092" t="str">
        <f>"7088"</f>
        <v>7088</v>
      </c>
      <c r="B7092" t="str">
        <f t="shared" si="391"/>
        <v>1</v>
      </c>
      <c r="C7092" t="str">
        <f t="shared" si="394"/>
        <v>142</v>
      </c>
      <c r="D7092" t="str">
        <f>"49"</f>
        <v>49</v>
      </c>
      <c r="E7092" t="str">
        <f>"1-142-49"</f>
        <v>1-142-49</v>
      </c>
      <c r="F7092" t="s">
        <v>65</v>
      </c>
      <c r="G7092" t="s">
        <v>66</v>
      </c>
      <c r="H7092" t="s">
        <v>67</v>
      </c>
      <c r="S7092">
        <v>1</v>
      </c>
      <c r="T7092">
        <v>0</v>
      </c>
      <c r="U7092">
        <v>0</v>
      </c>
      <c r="V7092">
        <v>0</v>
      </c>
      <c r="W7092">
        <v>0</v>
      </c>
      <c r="X7092">
        <v>1</v>
      </c>
      <c r="Y7092">
        <v>1</v>
      </c>
      <c r="Z7092">
        <v>0</v>
      </c>
      <c r="AA7092">
        <v>0</v>
      </c>
      <c r="AB7092">
        <v>1</v>
      </c>
      <c r="AC7092">
        <v>0</v>
      </c>
      <c r="AD7092">
        <v>0</v>
      </c>
      <c r="AE7092">
        <v>0</v>
      </c>
      <c r="AF7092">
        <v>0</v>
      </c>
      <c r="AG7092">
        <v>1</v>
      </c>
      <c r="AH7092">
        <v>1</v>
      </c>
      <c r="AI7092">
        <v>1</v>
      </c>
      <c r="AJ7092">
        <v>1</v>
      </c>
      <c r="AK7092">
        <v>1</v>
      </c>
      <c r="AL7092">
        <v>1</v>
      </c>
      <c r="AM7092">
        <v>0</v>
      </c>
    </row>
    <row r="7093" spans="1:39" x14ac:dyDescent="0.2">
      <c r="A7093" t="str">
        <f>"7089"</f>
        <v>7089</v>
      </c>
      <c r="B7093" t="str">
        <f t="shared" si="391"/>
        <v>1</v>
      </c>
      <c r="C7093" t="str">
        <f t="shared" si="394"/>
        <v>142</v>
      </c>
      <c r="D7093" t="str">
        <f>"29"</f>
        <v>29</v>
      </c>
      <c r="E7093" t="str">
        <f>"1-142-29"</f>
        <v>1-142-29</v>
      </c>
      <c r="F7093" t="s">
        <v>65</v>
      </c>
      <c r="G7093" t="s">
        <v>66</v>
      </c>
      <c r="H7093" t="s">
        <v>67</v>
      </c>
      <c r="S7093">
        <v>1</v>
      </c>
      <c r="T7093">
        <v>0</v>
      </c>
      <c r="U7093">
        <v>0</v>
      </c>
      <c r="V7093">
        <v>0</v>
      </c>
      <c r="W7093">
        <v>0</v>
      </c>
      <c r="X7093">
        <v>1</v>
      </c>
      <c r="Y7093">
        <v>0</v>
      </c>
      <c r="Z7093">
        <v>1</v>
      </c>
      <c r="AA7093">
        <v>0</v>
      </c>
      <c r="AB7093">
        <v>0</v>
      </c>
      <c r="AC7093">
        <v>1</v>
      </c>
      <c r="AD7093">
        <v>0</v>
      </c>
      <c r="AE7093">
        <v>1</v>
      </c>
      <c r="AF7093">
        <v>1</v>
      </c>
      <c r="AG7093">
        <v>1</v>
      </c>
      <c r="AH7093">
        <v>1</v>
      </c>
      <c r="AI7093">
        <v>1</v>
      </c>
      <c r="AJ7093">
        <v>1</v>
      </c>
      <c r="AK7093">
        <v>1</v>
      </c>
      <c r="AL7093">
        <v>1</v>
      </c>
      <c r="AM7093">
        <v>1</v>
      </c>
    </row>
    <row r="7094" spans="1:39" x14ac:dyDescent="0.2">
      <c r="A7094" t="str">
        <f>"7090"</f>
        <v>7090</v>
      </c>
      <c r="B7094" t="str">
        <f t="shared" si="391"/>
        <v>1</v>
      </c>
      <c r="C7094" t="str">
        <f t="shared" si="394"/>
        <v>142</v>
      </c>
      <c r="D7094" t="str">
        <f>"6"</f>
        <v>6</v>
      </c>
      <c r="E7094" t="str">
        <f>"1-142-6"</f>
        <v>1-142-6</v>
      </c>
      <c r="F7094" t="s">
        <v>65</v>
      </c>
      <c r="G7094" t="s">
        <v>66</v>
      </c>
      <c r="H7094" t="s">
        <v>67</v>
      </c>
      <c r="S7094">
        <v>1</v>
      </c>
      <c r="T7094">
        <v>0</v>
      </c>
      <c r="U7094">
        <v>0</v>
      </c>
      <c r="V7094">
        <v>0</v>
      </c>
      <c r="W7094">
        <v>1</v>
      </c>
      <c r="X7094">
        <v>0</v>
      </c>
      <c r="Y7094">
        <v>1</v>
      </c>
      <c r="Z7094">
        <v>0</v>
      </c>
      <c r="AA7094">
        <v>1</v>
      </c>
      <c r="AB7094">
        <v>0</v>
      </c>
      <c r="AC7094">
        <v>0</v>
      </c>
      <c r="AD7094">
        <v>1</v>
      </c>
      <c r="AE7094">
        <v>1</v>
      </c>
      <c r="AF7094">
        <v>1</v>
      </c>
      <c r="AG7094">
        <v>1</v>
      </c>
      <c r="AH7094">
        <v>1</v>
      </c>
      <c r="AI7094">
        <v>1</v>
      </c>
      <c r="AJ7094">
        <v>1</v>
      </c>
      <c r="AK7094">
        <v>1</v>
      </c>
      <c r="AL7094">
        <v>1</v>
      </c>
      <c r="AM7094">
        <v>0</v>
      </c>
    </row>
    <row r="7095" spans="1:39" x14ac:dyDescent="0.2">
      <c r="A7095" t="str">
        <f>"7091"</f>
        <v>7091</v>
      </c>
      <c r="B7095" t="str">
        <f t="shared" ref="B7095:B7158" si="395">"1"</f>
        <v>1</v>
      </c>
      <c r="C7095" t="str">
        <f t="shared" si="394"/>
        <v>142</v>
      </c>
      <c r="D7095" t="str">
        <f>"47"</f>
        <v>47</v>
      </c>
      <c r="E7095" t="str">
        <f>"1-142-47"</f>
        <v>1-142-47</v>
      </c>
      <c r="F7095" t="s">
        <v>65</v>
      </c>
      <c r="G7095" t="s">
        <v>66</v>
      </c>
      <c r="H7095" t="s">
        <v>67</v>
      </c>
      <c r="S7095">
        <v>1</v>
      </c>
      <c r="T7095">
        <v>0</v>
      </c>
      <c r="U7095">
        <v>0</v>
      </c>
      <c r="V7095">
        <v>0</v>
      </c>
      <c r="W7095">
        <v>1</v>
      </c>
      <c r="X7095">
        <v>0</v>
      </c>
      <c r="Y7095">
        <v>1</v>
      </c>
      <c r="Z7095">
        <v>0</v>
      </c>
      <c r="AA7095">
        <v>0</v>
      </c>
      <c r="AB7095">
        <v>1</v>
      </c>
      <c r="AC7095">
        <v>0</v>
      </c>
      <c r="AD7095">
        <v>0</v>
      </c>
      <c r="AE7095">
        <v>0</v>
      </c>
      <c r="AF7095">
        <v>0</v>
      </c>
      <c r="AG7095">
        <v>1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</row>
    <row r="7096" spans="1:39" x14ac:dyDescent="0.2">
      <c r="A7096" t="str">
        <f>"7092"</f>
        <v>7092</v>
      </c>
      <c r="B7096" t="str">
        <f t="shared" si="395"/>
        <v>1</v>
      </c>
      <c r="C7096" t="str">
        <f t="shared" si="394"/>
        <v>142</v>
      </c>
      <c r="D7096" t="str">
        <f>"30"</f>
        <v>30</v>
      </c>
      <c r="E7096" t="str">
        <f>"1-142-30"</f>
        <v>1-142-30</v>
      </c>
      <c r="F7096" t="s">
        <v>65</v>
      </c>
      <c r="G7096" t="s">
        <v>66</v>
      </c>
      <c r="H7096" t="s">
        <v>67</v>
      </c>
      <c r="S7096">
        <v>0</v>
      </c>
      <c r="T7096">
        <v>1</v>
      </c>
      <c r="U7096">
        <v>0</v>
      </c>
      <c r="V7096">
        <v>0</v>
      </c>
      <c r="W7096">
        <v>1</v>
      </c>
      <c r="X7096">
        <v>0</v>
      </c>
      <c r="Y7096">
        <v>0</v>
      </c>
      <c r="Z7096">
        <v>1</v>
      </c>
      <c r="AA7096">
        <v>0</v>
      </c>
      <c r="AB7096">
        <v>0</v>
      </c>
      <c r="AC7096">
        <v>1</v>
      </c>
      <c r="AD7096">
        <v>1</v>
      </c>
      <c r="AE7096">
        <v>1</v>
      </c>
      <c r="AF7096">
        <v>1</v>
      </c>
      <c r="AG7096">
        <v>1</v>
      </c>
      <c r="AH7096">
        <v>1</v>
      </c>
      <c r="AI7096">
        <v>1</v>
      </c>
      <c r="AJ7096">
        <v>1</v>
      </c>
      <c r="AK7096">
        <v>1</v>
      </c>
      <c r="AL7096">
        <v>1</v>
      </c>
      <c r="AM7096">
        <v>1</v>
      </c>
    </row>
    <row r="7097" spans="1:39" x14ac:dyDescent="0.2">
      <c r="A7097" t="str">
        <f>"7093"</f>
        <v>7093</v>
      </c>
      <c r="B7097" t="str">
        <f t="shared" si="395"/>
        <v>1</v>
      </c>
      <c r="C7097" t="str">
        <f t="shared" si="394"/>
        <v>142</v>
      </c>
      <c r="D7097" t="str">
        <f>"2"</f>
        <v>2</v>
      </c>
      <c r="E7097" t="str">
        <f>"1-142-2"</f>
        <v>1-142-2</v>
      </c>
      <c r="F7097" t="s">
        <v>65</v>
      </c>
      <c r="G7097" t="s">
        <v>66</v>
      </c>
      <c r="H7097" t="s">
        <v>67</v>
      </c>
      <c r="S7097">
        <v>0</v>
      </c>
      <c r="T7097">
        <v>1</v>
      </c>
      <c r="U7097">
        <v>0</v>
      </c>
      <c r="V7097">
        <v>0</v>
      </c>
      <c r="W7097">
        <v>0</v>
      </c>
      <c r="X7097">
        <v>1</v>
      </c>
      <c r="Y7097">
        <v>0</v>
      </c>
      <c r="Z7097">
        <v>1</v>
      </c>
      <c r="AA7097">
        <v>0</v>
      </c>
      <c r="AB7097">
        <v>1</v>
      </c>
      <c r="AC7097">
        <v>0</v>
      </c>
      <c r="AD7097">
        <v>1</v>
      </c>
      <c r="AE7097">
        <v>1</v>
      </c>
      <c r="AF7097">
        <v>1</v>
      </c>
      <c r="AG7097">
        <v>1</v>
      </c>
      <c r="AH7097">
        <v>1</v>
      </c>
      <c r="AI7097">
        <v>1</v>
      </c>
      <c r="AJ7097">
        <v>1</v>
      </c>
      <c r="AK7097">
        <v>1</v>
      </c>
      <c r="AL7097">
        <v>1</v>
      </c>
      <c r="AM7097">
        <v>1</v>
      </c>
    </row>
    <row r="7098" spans="1:39" x14ac:dyDescent="0.2">
      <c r="A7098" t="str">
        <f>"7094"</f>
        <v>7094</v>
      </c>
      <c r="B7098" t="str">
        <f t="shared" si="395"/>
        <v>1</v>
      </c>
      <c r="C7098" t="str">
        <f t="shared" si="394"/>
        <v>142</v>
      </c>
      <c r="D7098" t="str">
        <f>"31"</f>
        <v>31</v>
      </c>
      <c r="E7098" t="str">
        <f>"1-142-31"</f>
        <v>1-142-31</v>
      </c>
      <c r="F7098" t="s">
        <v>65</v>
      </c>
      <c r="G7098" t="s">
        <v>66</v>
      </c>
      <c r="H7098" t="s">
        <v>67</v>
      </c>
      <c r="S7098">
        <v>0</v>
      </c>
      <c r="T7098">
        <v>1</v>
      </c>
      <c r="U7098">
        <v>0</v>
      </c>
      <c r="V7098">
        <v>0</v>
      </c>
      <c r="W7098">
        <v>1</v>
      </c>
      <c r="X7098">
        <v>0</v>
      </c>
      <c r="Y7098">
        <v>1</v>
      </c>
      <c r="Z7098">
        <v>0</v>
      </c>
      <c r="AA7098">
        <v>1</v>
      </c>
      <c r="AB7098">
        <v>0</v>
      </c>
      <c r="AC7098">
        <v>0</v>
      </c>
      <c r="AD7098">
        <v>1</v>
      </c>
      <c r="AE7098">
        <v>0</v>
      </c>
      <c r="AF7098">
        <v>1</v>
      </c>
      <c r="AG7098">
        <v>1</v>
      </c>
      <c r="AH7098">
        <v>1</v>
      </c>
      <c r="AI7098">
        <v>1</v>
      </c>
      <c r="AJ7098">
        <v>1</v>
      </c>
      <c r="AK7098">
        <v>1</v>
      </c>
      <c r="AL7098">
        <v>1</v>
      </c>
      <c r="AM7098">
        <v>1</v>
      </c>
    </row>
    <row r="7099" spans="1:39" x14ac:dyDescent="0.2">
      <c r="A7099" t="str">
        <f>"7095"</f>
        <v>7095</v>
      </c>
      <c r="B7099" t="str">
        <f t="shared" si="395"/>
        <v>1</v>
      </c>
      <c r="C7099" t="str">
        <f t="shared" si="394"/>
        <v>142</v>
      </c>
      <c r="D7099" t="str">
        <f>"7"</f>
        <v>7</v>
      </c>
      <c r="E7099" t="str">
        <f>"1-142-7"</f>
        <v>1-142-7</v>
      </c>
      <c r="F7099" t="s">
        <v>65</v>
      </c>
      <c r="G7099" t="s">
        <v>66</v>
      </c>
      <c r="H7099" t="s">
        <v>67</v>
      </c>
      <c r="S7099">
        <v>1</v>
      </c>
      <c r="T7099">
        <v>0</v>
      </c>
      <c r="U7099">
        <v>0</v>
      </c>
      <c r="V7099">
        <v>0</v>
      </c>
      <c r="W7099">
        <v>1</v>
      </c>
      <c r="X7099">
        <v>0</v>
      </c>
      <c r="Y7099">
        <v>1</v>
      </c>
      <c r="Z7099">
        <v>0</v>
      </c>
      <c r="AA7099">
        <v>0</v>
      </c>
      <c r="AB7099">
        <v>1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</row>
    <row r="7100" spans="1:39" x14ac:dyDescent="0.2">
      <c r="A7100" t="str">
        <f>"7096"</f>
        <v>7096</v>
      </c>
      <c r="B7100" t="str">
        <f t="shared" si="395"/>
        <v>1</v>
      </c>
      <c r="C7100" t="str">
        <f t="shared" si="394"/>
        <v>142</v>
      </c>
      <c r="D7100" t="str">
        <f>"46"</f>
        <v>46</v>
      </c>
      <c r="E7100" t="str">
        <f>"1-142-46"</f>
        <v>1-142-46</v>
      </c>
      <c r="F7100" t="s">
        <v>65</v>
      </c>
      <c r="G7100" t="s">
        <v>66</v>
      </c>
      <c r="H7100" t="s">
        <v>67</v>
      </c>
      <c r="S7100">
        <v>1</v>
      </c>
      <c r="T7100">
        <v>0</v>
      </c>
      <c r="U7100">
        <v>0</v>
      </c>
      <c r="V7100">
        <v>0</v>
      </c>
      <c r="W7100">
        <v>1</v>
      </c>
      <c r="X7100">
        <v>0</v>
      </c>
      <c r="Y7100">
        <v>1</v>
      </c>
      <c r="Z7100">
        <v>0</v>
      </c>
      <c r="AA7100">
        <v>0</v>
      </c>
      <c r="AB7100">
        <v>0</v>
      </c>
      <c r="AC7100">
        <v>1</v>
      </c>
      <c r="AD7100">
        <v>1</v>
      </c>
      <c r="AE7100">
        <v>1</v>
      </c>
      <c r="AF7100">
        <v>1</v>
      </c>
      <c r="AG7100">
        <v>1</v>
      </c>
      <c r="AH7100">
        <v>1</v>
      </c>
      <c r="AI7100">
        <v>1</v>
      </c>
      <c r="AJ7100">
        <v>1</v>
      </c>
      <c r="AK7100">
        <v>1</v>
      </c>
      <c r="AL7100">
        <v>1</v>
      </c>
      <c r="AM7100">
        <v>1</v>
      </c>
    </row>
    <row r="7101" spans="1:39" x14ac:dyDescent="0.2">
      <c r="A7101" t="str">
        <f>"7097"</f>
        <v>7097</v>
      </c>
      <c r="B7101" t="str">
        <f t="shared" si="395"/>
        <v>1</v>
      </c>
      <c r="C7101" t="str">
        <f t="shared" si="394"/>
        <v>142</v>
      </c>
      <c r="D7101" t="str">
        <f>"32"</f>
        <v>32</v>
      </c>
      <c r="E7101" t="str">
        <f>"1-142-32"</f>
        <v>1-142-32</v>
      </c>
      <c r="F7101" t="s">
        <v>65</v>
      </c>
      <c r="G7101" t="s">
        <v>66</v>
      </c>
      <c r="H7101" t="s">
        <v>67</v>
      </c>
      <c r="S7101">
        <v>1</v>
      </c>
      <c r="T7101">
        <v>0</v>
      </c>
      <c r="U7101">
        <v>0</v>
      </c>
      <c r="V7101">
        <v>0</v>
      </c>
      <c r="W7101">
        <v>1</v>
      </c>
      <c r="X7101">
        <v>0</v>
      </c>
      <c r="Y7101">
        <v>0</v>
      </c>
      <c r="Z7101">
        <v>1</v>
      </c>
      <c r="AA7101">
        <v>0</v>
      </c>
      <c r="AB7101">
        <v>0</v>
      </c>
      <c r="AC7101">
        <v>1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</row>
    <row r="7102" spans="1:39" x14ac:dyDescent="0.2">
      <c r="A7102" t="str">
        <f>"7098"</f>
        <v>7098</v>
      </c>
      <c r="B7102" t="str">
        <f t="shared" si="395"/>
        <v>1</v>
      </c>
      <c r="C7102" t="str">
        <f t="shared" si="394"/>
        <v>142</v>
      </c>
      <c r="D7102" t="str">
        <f>"13"</f>
        <v>13</v>
      </c>
      <c r="E7102" t="str">
        <f>"1-142-13"</f>
        <v>1-142-13</v>
      </c>
      <c r="F7102" t="s">
        <v>65</v>
      </c>
      <c r="G7102" t="s">
        <v>66</v>
      </c>
      <c r="H7102" t="s">
        <v>67</v>
      </c>
      <c r="S7102">
        <v>1</v>
      </c>
      <c r="T7102">
        <v>0</v>
      </c>
      <c r="U7102">
        <v>0</v>
      </c>
      <c r="V7102">
        <v>0</v>
      </c>
      <c r="W7102">
        <v>1</v>
      </c>
      <c r="X7102">
        <v>0</v>
      </c>
      <c r="Y7102">
        <v>0</v>
      </c>
      <c r="Z7102">
        <v>1</v>
      </c>
      <c r="AA7102">
        <v>0</v>
      </c>
      <c r="AB7102">
        <v>1</v>
      </c>
      <c r="AC7102">
        <v>0</v>
      </c>
      <c r="AD7102">
        <v>1</v>
      </c>
      <c r="AE7102">
        <v>1</v>
      </c>
      <c r="AF7102">
        <v>1</v>
      </c>
      <c r="AG7102">
        <v>1</v>
      </c>
      <c r="AH7102">
        <v>1</v>
      </c>
      <c r="AI7102">
        <v>1</v>
      </c>
      <c r="AJ7102">
        <v>1</v>
      </c>
      <c r="AK7102">
        <v>1</v>
      </c>
      <c r="AL7102">
        <v>1</v>
      </c>
      <c r="AM7102">
        <v>1</v>
      </c>
    </row>
    <row r="7103" spans="1:39" x14ac:dyDescent="0.2">
      <c r="A7103" t="str">
        <f>"7099"</f>
        <v>7099</v>
      </c>
      <c r="B7103" t="str">
        <f t="shared" si="395"/>
        <v>1</v>
      </c>
      <c r="C7103" t="str">
        <f t="shared" si="394"/>
        <v>142</v>
      </c>
      <c r="D7103" t="str">
        <f>"20"</f>
        <v>20</v>
      </c>
      <c r="E7103" t="str">
        <f>"1-142-20"</f>
        <v>1-142-20</v>
      </c>
      <c r="F7103" t="s">
        <v>65</v>
      </c>
      <c r="G7103" t="s">
        <v>66</v>
      </c>
      <c r="H7103" t="s">
        <v>67</v>
      </c>
      <c r="S7103">
        <v>1</v>
      </c>
      <c r="T7103">
        <v>0</v>
      </c>
      <c r="U7103">
        <v>0</v>
      </c>
      <c r="V7103">
        <v>0</v>
      </c>
      <c r="W7103">
        <v>1</v>
      </c>
      <c r="X7103">
        <v>0</v>
      </c>
      <c r="Y7103">
        <v>1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</row>
    <row r="7104" spans="1:39" x14ac:dyDescent="0.2">
      <c r="A7104" t="str">
        <f>"7100"</f>
        <v>7100</v>
      </c>
      <c r="B7104" t="str">
        <f t="shared" si="395"/>
        <v>1</v>
      </c>
      <c r="C7104" t="str">
        <f t="shared" si="394"/>
        <v>142</v>
      </c>
      <c r="D7104" t="str">
        <f>"26"</f>
        <v>26</v>
      </c>
      <c r="E7104" t="str">
        <f>"1-142-26"</f>
        <v>1-142-26</v>
      </c>
      <c r="F7104" t="s">
        <v>65</v>
      </c>
      <c r="G7104" t="s">
        <v>66</v>
      </c>
      <c r="H7104" t="s">
        <v>67</v>
      </c>
      <c r="S7104">
        <v>0</v>
      </c>
      <c r="T7104">
        <v>1</v>
      </c>
      <c r="U7104">
        <v>0</v>
      </c>
      <c r="V7104">
        <v>0</v>
      </c>
      <c r="W7104">
        <v>1</v>
      </c>
      <c r="X7104">
        <v>0</v>
      </c>
      <c r="Y7104">
        <v>1</v>
      </c>
      <c r="Z7104">
        <v>0</v>
      </c>
      <c r="AA7104">
        <v>1</v>
      </c>
      <c r="AB7104">
        <v>0</v>
      </c>
      <c r="AC7104">
        <v>0</v>
      </c>
      <c r="AD7104">
        <v>1</v>
      </c>
      <c r="AE7104">
        <v>1</v>
      </c>
      <c r="AF7104">
        <v>1</v>
      </c>
      <c r="AG7104">
        <v>1</v>
      </c>
      <c r="AH7104">
        <v>1</v>
      </c>
      <c r="AI7104">
        <v>1</v>
      </c>
      <c r="AJ7104">
        <v>1</v>
      </c>
      <c r="AK7104">
        <v>1</v>
      </c>
      <c r="AL7104">
        <v>1</v>
      </c>
      <c r="AM7104">
        <v>1</v>
      </c>
    </row>
    <row r="7105" spans="1:39" x14ac:dyDescent="0.2">
      <c r="A7105" t="str">
        <f>"7101"</f>
        <v>7101</v>
      </c>
      <c r="B7105" t="str">
        <f t="shared" si="395"/>
        <v>1</v>
      </c>
      <c r="C7105" t="str">
        <f t="shared" ref="C7105:C7136" si="396">"143"</f>
        <v>143</v>
      </c>
      <c r="D7105" t="str">
        <f>"50"</f>
        <v>50</v>
      </c>
      <c r="E7105" t="str">
        <f>"1-143-50"</f>
        <v>1-143-50</v>
      </c>
      <c r="F7105" t="s">
        <v>65</v>
      </c>
      <c r="G7105" t="s">
        <v>66</v>
      </c>
      <c r="H7105" t="s">
        <v>67</v>
      </c>
      <c r="S7105">
        <v>1</v>
      </c>
      <c r="T7105">
        <v>0</v>
      </c>
      <c r="U7105">
        <v>0</v>
      </c>
      <c r="V7105">
        <v>0</v>
      </c>
      <c r="W7105">
        <v>1</v>
      </c>
      <c r="X7105">
        <v>0</v>
      </c>
      <c r="Y7105">
        <v>0</v>
      </c>
      <c r="Z7105">
        <v>1</v>
      </c>
      <c r="AA7105">
        <v>0</v>
      </c>
      <c r="AB7105">
        <v>1</v>
      </c>
      <c r="AC7105">
        <v>0</v>
      </c>
      <c r="AD7105">
        <v>1</v>
      </c>
      <c r="AE7105">
        <v>1</v>
      </c>
      <c r="AF7105">
        <v>1</v>
      </c>
      <c r="AG7105">
        <v>1</v>
      </c>
      <c r="AH7105">
        <v>1</v>
      </c>
      <c r="AI7105">
        <v>1</v>
      </c>
      <c r="AJ7105">
        <v>1</v>
      </c>
      <c r="AK7105">
        <v>1</v>
      </c>
      <c r="AL7105">
        <v>1</v>
      </c>
      <c r="AM7105">
        <v>1</v>
      </c>
    </row>
    <row r="7106" spans="1:39" x14ac:dyDescent="0.2">
      <c r="A7106" t="str">
        <f>"7102"</f>
        <v>7102</v>
      </c>
      <c r="B7106" t="str">
        <f t="shared" si="395"/>
        <v>1</v>
      </c>
      <c r="C7106" t="str">
        <f t="shared" si="396"/>
        <v>143</v>
      </c>
      <c r="D7106" t="str">
        <f>"34"</f>
        <v>34</v>
      </c>
      <c r="E7106" t="str">
        <f>"1-143-34"</f>
        <v>1-143-34</v>
      </c>
      <c r="F7106" t="s">
        <v>65</v>
      </c>
      <c r="G7106" t="s">
        <v>66</v>
      </c>
      <c r="H7106" t="s">
        <v>67</v>
      </c>
      <c r="S7106">
        <v>1</v>
      </c>
      <c r="T7106">
        <v>0</v>
      </c>
      <c r="U7106">
        <v>0</v>
      </c>
      <c r="V7106">
        <v>0</v>
      </c>
      <c r="W7106">
        <v>1</v>
      </c>
      <c r="X7106">
        <v>0</v>
      </c>
      <c r="Y7106">
        <v>0</v>
      </c>
      <c r="Z7106">
        <v>1</v>
      </c>
      <c r="AA7106">
        <v>1</v>
      </c>
      <c r="AB7106">
        <v>0</v>
      </c>
      <c r="AC7106">
        <v>0</v>
      </c>
      <c r="AD7106">
        <v>1</v>
      </c>
      <c r="AE7106">
        <v>1</v>
      </c>
      <c r="AF7106">
        <v>1</v>
      </c>
      <c r="AG7106">
        <v>1</v>
      </c>
      <c r="AH7106">
        <v>1</v>
      </c>
      <c r="AI7106">
        <v>1</v>
      </c>
      <c r="AJ7106">
        <v>1</v>
      </c>
      <c r="AK7106">
        <v>1</v>
      </c>
      <c r="AL7106">
        <v>1</v>
      </c>
      <c r="AM7106">
        <v>1</v>
      </c>
    </row>
    <row r="7107" spans="1:39" x14ac:dyDescent="0.2">
      <c r="A7107" t="str">
        <f>"7103"</f>
        <v>7103</v>
      </c>
      <c r="B7107" t="str">
        <f t="shared" si="395"/>
        <v>1</v>
      </c>
      <c r="C7107" t="str">
        <f t="shared" si="396"/>
        <v>143</v>
      </c>
      <c r="D7107" t="str">
        <f>"33"</f>
        <v>33</v>
      </c>
      <c r="E7107" t="str">
        <f>"1-143-33"</f>
        <v>1-143-33</v>
      </c>
      <c r="F7107" t="s">
        <v>65</v>
      </c>
      <c r="G7107" t="s">
        <v>66</v>
      </c>
      <c r="H7107" t="s">
        <v>67</v>
      </c>
      <c r="S7107">
        <v>1</v>
      </c>
      <c r="T7107">
        <v>0</v>
      </c>
      <c r="U7107">
        <v>0</v>
      </c>
      <c r="V7107">
        <v>0</v>
      </c>
      <c r="W7107">
        <v>0</v>
      </c>
      <c r="X7107">
        <v>1</v>
      </c>
      <c r="Y7107">
        <v>0</v>
      </c>
      <c r="Z7107">
        <v>1</v>
      </c>
      <c r="AA7107">
        <v>0</v>
      </c>
      <c r="AB7107">
        <v>1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1</v>
      </c>
      <c r="AI7107">
        <v>0</v>
      </c>
      <c r="AJ7107">
        <v>0</v>
      </c>
      <c r="AK7107">
        <v>0</v>
      </c>
      <c r="AL7107">
        <v>1</v>
      </c>
      <c r="AM7107">
        <v>0</v>
      </c>
    </row>
    <row r="7108" spans="1:39" x14ac:dyDescent="0.2">
      <c r="A7108" t="str">
        <f>"7104"</f>
        <v>7104</v>
      </c>
      <c r="B7108" t="str">
        <f t="shared" si="395"/>
        <v>1</v>
      </c>
      <c r="C7108" t="str">
        <f t="shared" si="396"/>
        <v>143</v>
      </c>
      <c r="D7108" t="str">
        <f>"19"</f>
        <v>19</v>
      </c>
      <c r="E7108" t="str">
        <f>"1-143-19"</f>
        <v>1-143-19</v>
      </c>
      <c r="F7108" t="s">
        <v>65</v>
      </c>
      <c r="G7108" t="s">
        <v>66</v>
      </c>
      <c r="H7108" t="s">
        <v>67</v>
      </c>
      <c r="S7108">
        <v>0</v>
      </c>
      <c r="T7108">
        <v>1</v>
      </c>
      <c r="U7108">
        <v>0</v>
      </c>
      <c r="V7108">
        <v>0</v>
      </c>
      <c r="W7108">
        <v>0</v>
      </c>
      <c r="X7108">
        <v>1</v>
      </c>
      <c r="Y7108">
        <v>0</v>
      </c>
      <c r="Z7108">
        <v>1</v>
      </c>
      <c r="AA7108">
        <v>0</v>
      </c>
      <c r="AB7108">
        <v>0</v>
      </c>
      <c r="AC7108">
        <v>1</v>
      </c>
      <c r="AD7108">
        <v>1</v>
      </c>
      <c r="AE7108">
        <v>1</v>
      </c>
      <c r="AF7108">
        <v>1</v>
      </c>
      <c r="AG7108">
        <v>1</v>
      </c>
      <c r="AH7108">
        <v>1</v>
      </c>
      <c r="AI7108">
        <v>1</v>
      </c>
      <c r="AJ7108">
        <v>1</v>
      </c>
      <c r="AK7108">
        <v>1</v>
      </c>
      <c r="AL7108">
        <v>1</v>
      </c>
      <c r="AM7108">
        <v>1</v>
      </c>
    </row>
    <row r="7109" spans="1:39" x14ac:dyDescent="0.2">
      <c r="A7109" t="str">
        <f>"7105"</f>
        <v>7105</v>
      </c>
      <c r="B7109" t="str">
        <f t="shared" si="395"/>
        <v>1</v>
      </c>
      <c r="C7109" t="str">
        <f t="shared" si="396"/>
        <v>143</v>
      </c>
      <c r="D7109" t="str">
        <f>"15"</f>
        <v>15</v>
      </c>
      <c r="E7109" t="str">
        <f>"1-143-15"</f>
        <v>1-143-15</v>
      </c>
      <c r="F7109" t="s">
        <v>65</v>
      </c>
      <c r="G7109" t="s">
        <v>66</v>
      </c>
      <c r="H7109" t="s">
        <v>67</v>
      </c>
      <c r="S7109">
        <v>1</v>
      </c>
      <c r="T7109">
        <v>0</v>
      </c>
      <c r="U7109">
        <v>0</v>
      </c>
      <c r="V7109">
        <v>0</v>
      </c>
      <c r="W7109">
        <v>1</v>
      </c>
      <c r="X7109">
        <v>0</v>
      </c>
      <c r="Y7109">
        <v>1</v>
      </c>
      <c r="Z7109">
        <v>0</v>
      </c>
      <c r="AA7109">
        <v>1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1</v>
      </c>
      <c r="AH7109">
        <v>1</v>
      </c>
      <c r="AI7109">
        <v>1</v>
      </c>
      <c r="AJ7109">
        <v>1</v>
      </c>
      <c r="AK7109">
        <v>1</v>
      </c>
      <c r="AL7109">
        <v>1</v>
      </c>
      <c r="AM7109">
        <v>1</v>
      </c>
    </row>
    <row r="7110" spans="1:39" x14ac:dyDescent="0.2">
      <c r="A7110" t="str">
        <f>"7106"</f>
        <v>7106</v>
      </c>
      <c r="B7110" t="str">
        <f t="shared" si="395"/>
        <v>1</v>
      </c>
      <c r="C7110" t="str">
        <f t="shared" si="396"/>
        <v>143</v>
      </c>
      <c r="D7110" t="str">
        <f>"4"</f>
        <v>4</v>
      </c>
      <c r="E7110" t="str">
        <f>"1-143-4"</f>
        <v>1-143-4</v>
      </c>
      <c r="F7110" t="s">
        <v>65</v>
      </c>
      <c r="G7110" t="s">
        <v>66</v>
      </c>
      <c r="H7110" t="s">
        <v>67</v>
      </c>
      <c r="S7110">
        <v>0</v>
      </c>
      <c r="T7110">
        <v>0</v>
      </c>
      <c r="U7110">
        <v>0</v>
      </c>
      <c r="V7110">
        <v>0</v>
      </c>
      <c r="W7110">
        <v>1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1</v>
      </c>
      <c r="AE7110">
        <v>1</v>
      </c>
      <c r="AF7110">
        <v>1</v>
      </c>
      <c r="AG7110">
        <v>1</v>
      </c>
      <c r="AH7110">
        <v>1</v>
      </c>
      <c r="AI7110">
        <v>1</v>
      </c>
      <c r="AJ7110">
        <v>1</v>
      </c>
      <c r="AK7110">
        <v>1</v>
      </c>
      <c r="AL7110">
        <v>1</v>
      </c>
      <c r="AM7110">
        <v>1</v>
      </c>
    </row>
    <row r="7111" spans="1:39" x14ac:dyDescent="0.2">
      <c r="A7111" t="str">
        <f>"7107"</f>
        <v>7107</v>
      </c>
      <c r="B7111" t="str">
        <f t="shared" si="395"/>
        <v>1</v>
      </c>
      <c r="C7111" t="str">
        <f t="shared" si="396"/>
        <v>143</v>
      </c>
      <c r="D7111" t="str">
        <f>"36"</f>
        <v>36</v>
      </c>
      <c r="E7111" t="str">
        <f>"1-143-36"</f>
        <v>1-143-36</v>
      </c>
      <c r="F7111" t="s">
        <v>65</v>
      </c>
      <c r="G7111" t="s">
        <v>66</v>
      </c>
      <c r="H7111" t="s">
        <v>67</v>
      </c>
      <c r="S7111">
        <v>1</v>
      </c>
      <c r="T7111">
        <v>0</v>
      </c>
      <c r="U7111">
        <v>0</v>
      </c>
      <c r="V7111">
        <v>0</v>
      </c>
      <c r="W7111">
        <v>1</v>
      </c>
      <c r="X7111">
        <v>0</v>
      </c>
      <c r="Y7111">
        <v>1</v>
      </c>
      <c r="Z7111">
        <v>0</v>
      </c>
      <c r="AA7111">
        <v>0</v>
      </c>
      <c r="AB7111">
        <v>0</v>
      </c>
      <c r="AC7111">
        <v>1</v>
      </c>
      <c r="AD7111">
        <v>1</v>
      </c>
      <c r="AE7111">
        <v>1</v>
      </c>
      <c r="AF7111">
        <v>1</v>
      </c>
      <c r="AG7111">
        <v>1</v>
      </c>
      <c r="AH7111">
        <v>0</v>
      </c>
      <c r="AI7111">
        <v>1</v>
      </c>
      <c r="AJ7111">
        <v>1</v>
      </c>
      <c r="AK7111">
        <v>1</v>
      </c>
      <c r="AL7111">
        <v>1</v>
      </c>
      <c r="AM7111">
        <v>1</v>
      </c>
    </row>
    <row r="7112" spans="1:39" x14ac:dyDescent="0.2">
      <c r="A7112" t="str">
        <f>"7108"</f>
        <v>7108</v>
      </c>
      <c r="B7112" t="str">
        <f t="shared" si="395"/>
        <v>1</v>
      </c>
      <c r="C7112" t="str">
        <f t="shared" si="396"/>
        <v>143</v>
      </c>
      <c r="D7112" t="str">
        <f>"35"</f>
        <v>35</v>
      </c>
      <c r="E7112" t="str">
        <f>"1-143-35"</f>
        <v>1-143-35</v>
      </c>
      <c r="F7112" t="s">
        <v>65</v>
      </c>
      <c r="G7112" t="s">
        <v>66</v>
      </c>
      <c r="H7112" t="s">
        <v>67</v>
      </c>
      <c r="S7112">
        <v>1</v>
      </c>
      <c r="T7112">
        <v>0</v>
      </c>
      <c r="U7112">
        <v>0</v>
      </c>
      <c r="V7112">
        <v>0</v>
      </c>
      <c r="W7112">
        <v>1</v>
      </c>
      <c r="X7112">
        <v>0</v>
      </c>
      <c r="Y7112">
        <v>1</v>
      </c>
      <c r="Z7112">
        <v>0</v>
      </c>
      <c r="AA7112">
        <v>0</v>
      </c>
      <c r="AB7112">
        <v>0</v>
      </c>
      <c r="AC7112">
        <v>1</v>
      </c>
      <c r="AD7112">
        <v>1</v>
      </c>
      <c r="AE7112">
        <v>1</v>
      </c>
      <c r="AF7112">
        <v>1</v>
      </c>
      <c r="AG7112">
        <v>1</v>
      </c>
      <c r="AH7112">
        <v>0</v>
      </c>
      <c r="AI7112">
        <v>1</v>
      </c>
      <c r="AJ7112">
        <v>1</v>
      </c>
      <c r="AK7112">
        <v>1</v>
      </c>
      <c r="AL7112">
        <v>1</v>
      </c>
      <c r="AM7112">
        <v>1</v>
      </c>
    </row>
    <row r="7113" spans="1:39" x14ac:dyDescent="0.2">
      <c r="A7113" t="str">
        <f>"7109"</f>
        <v>7109</v>
      </c>
      <c r="B7113" t="str">
        <f t="shared" si="395"/>
        <v>1</v>
      </c>
      <c r="C7113" t="str">
        <f t="shared" si="396"/>
        <v>143</v>
      </c>
      <c r="D7113" t="str">
        <f>"20"</f>
        <v>20</v>
      </c>
      <c r="E7113" t="str">
        <f>"1-143-20"</f>
        <v>1-143-20</v>
      </c>
      <c r="F7113" t="s">
        <v>65</v>
      </c>
      <c r="G7113" t="s">
        <v>66</v>
      </c>
      <c r="H7113" t="s">
        <v>67</v>
      </c>
      <c r="S7113">
        <v>0</v>
      </c>
      <c r="T7113">
        <v>1</v>
      </c>
      <c r="U7113">
        <v>0</v>
      </c>
      <c r="V7113">
        <v>0</v>
      </c>
      <c r="W7113">
        <v>1</v>
      </c>
      <c r="X7113">
        <v>0</v>
      </c>
      <c r="Y7113">
        <v>0</v>
      </c>
      <c r="Z7113">
        <v>1</v>
      </c>
      <c r="AA7113">
        <v>0</v>
      </c>
      <c r="AB7113">
        <v>0</v>
      </c>
      <c r="AC7113">
        <v>1</v>
      </c>
      <c r="AD7113">
        <v>1</v>
      </c>
      <c r="AE7113">
        <v>1</v>
      </c>
      <c r="AF7113">
        <v>1</v>
      </c>
      <c r="AG7113">
        <v>1</v>
      </c>
      <c r="AH7113">
        <v>1</v>
      </c>
      <c r="AI7113">
        <v>1</v>
      </c>
      <c r="AJ7113">
        <v>1</v>
      </c>
      <c r="AK7113">
        <v>1</v>
      </c>
      <c r="AL7113">
        <v>1</v>
      </c>
      <c r="AM7113">
        <v>1</v>
      </c>
    </row>
    <row r="7114" spans="1:39" x14ac:dyDescent="0.2">
      <c r="A7114" t="str">
        <f>"7110"</f>
        <v>7110</v>
      </c>
      <c r="B7114" t="str">
        <f t="shared" si="395"/>
        <v>1</v>
      </c>
      <c r="C7114" t="str">
        <f t="shared" si="396"/>
        <v>143</v>
      </c>
      <c r="D7114" t="str">
        <f>"16"</f>
        <v>16</v>
      </c>
      <c r="E7114" t="str">
        <f>"1-143-16"</f>
        <v>1-143-16</v>
      </c>
      <c r="F7114" t="s">
        <v>65</v>
      </c>
      <c r="G7114" t="s">
        <v>66</v>
      </c>
      <c r="H7114" t="s">
        <v>67</v>
      </c>
      <c r="S7114">
        <v>1</v>
      </c>
      <c r="T7114">
        <v>0</v>
      </c>
      <c r="U7114">
        <v>0</v>
      </c>
      <c r="V7114">
        <v>0</v>
      </c>
      <c r="W7114">
        <v>1</v>
      </c>
      <c r="X7114">
        <v>0</v>
      </c>
      <c r="Y7114">
        <v>1</v>
      </c>
      <c r="Z7114">
        <v>0</v>
      </c>
      <c r="AA7114">
        <v>0</v>
      </c>
      <c r="AB7114">
        <v>0</v>
      </c>
      <c r="AC7114">
        <v>1</v>
      </c>
      <c r="AD7114">
        <v>1</v>
      </c>
      <c r="AE7114">
        <v>1</v>
      </c>
      <c r="AF7114">
        <v>1</v>
      </c>
      <c r="AG7114">
        <v>1</v>
      </c>
      <c r="AH7114">
        <v>1</v>
      </c>
      <c r="AI7114">
        <v>1</v>
      </c>
      <c r="AJ7114">
        <v>1</v>
      </c>
      <c r="AK7114">
        <v>1</v>
      </c>
      <c r="AL7114">
        <v>1</v>
      </c>
      <c r="AM7114">
        <v>1</v>
      </c>
    </row>
    <row r="7115" spans="1:39" x14ac:dyDescent="0.2">
      <c r="A7115" t="str">
        <f>"7111"</f>
        <v>7111</v>
      </c>
      <c r="B7115" t="str">
        <f t="shared" si="395"/>
        <v>1</v>
      </c>
      <c r="C7115" t="str">
        <f t="shared" si="396"/>
        <v>143</v>
      </c>
      <c r="D7115" t="str">
        <f>"1"</f>
        <v>1</v>
      </c>
      <c r="E7115" t="str">
        <f>"1-143-1"</f>
        <v>1-143-1</v>
      </c>
      <c r="F7115" t="s">
        <v>65</v>
      </c>
      <c r="G7115" t="s">
        <v>66</v>
      </c>
      <c r="H7115" t="s">
        <v>67</v>
      </c>
      <c r="S7115">
        <v>1</v>
      </c>
      <c r="T7115">
        <v>0</v>
      </c>
      <c r="U7115">
        <v>0</v>
      </c>
      <c r="V7115">
        <v>0</v>
      </c>
      <c r="W7115">
        <v>1</v>
      </c>
      <c r="X7115">
        <v>0</v>
      </c>
      <c r="Y7115">
        <v>1</v>
      </c>
      <c r="Z7115">
        <v>0</v>
      </c>
      <c r="AA7115">
        <v>0</v>
      </c>
      <c r="AB7115">
        <v>1</v>
      </c>
      <c r="AC7115">
        <v>0</v>
      </c>
      <c r="AD7115">
        <v>1</v>
      </c>
      <c r="AE7115">
        <v>1</v>
      </c>
      <c r="AF7115">
        <v>1</v>
      </c>
      <c r="AG7115">
        <v>1</v>
      </c>
      <c r="AH7115">
        <v>1</v>
      </c>
      <c r="AI7115">
        <v>1</v>
      </c>
      <c r="AJ7115">
        <v>1</v>
      </c>
      <c r="AK7115">
        <v>1</v>
      </c>
      <c r="AL7115">
        <v>1</v>
      </c>
      <c r="AM7115">
        <v>1</v>
      </c>
    </row>
    <row r="7116" spans="1:39" x14ac:dyDescent="0.2">
      <c r="A7116" t="str">
        <f>"7112"</f>
        <v>7112</v>
      </c>
      <c r="B7116" t="str">
        <f t="shared" si="395"/>
        <v>1</v>
      </c>
      <c r="C7116" t="str">
        <f t="shared" si="396"/>
        <v>143</v>
      </c>
      <c r="D7116" t="str">
        <f>"40"</f>
        <v>40</v>
      </c>
      <c r="E7116" t="str">
        <f>"1-143-40"</f>
        <v>1-143-40</v>
      </c>
      <c r="F7116" t="s">
        <v>65</v>
      </c>
      <c r="G7116" t="s">
        <v>66</v>
      </c>
      <c r="H7116" t="s">
        <v>67</v>
      </c>
      <c r="S7116">
        <v>1</v>
      </c>
      <c r="T7116">
        <v>0</v>
      </c>
      <c r="U7116">
        <v>0</v>
      </c>
      <c r="V7116">
        <v>0</v>
      </c>
      <c r="W7116">
        <v>1</v>
      </c>
      <c r="X7116">
        <v>0</v>
      </c>
      <c r="Y7116">
        <v>1</v>
      </c>
      <c r="Z7116">
        <v>0</v>
      </c>
      <c r="AA7116">
        <v>0</v>
      </c>
      <c r="AB7116">
        <v>0</v>
      </c>
      <c r="AC7116">
        <v>1</v>
      </c>
      <c r="AD7116">
        <v>1</v>
      </c>
      <c r="AE7116">
        <v>1</v>
      </c>
      <c r="AF7116">
        <v>1</v>
      </c>
      <c r="AG7116">
        <v>1</v>
      </c>
      <c r="AH7116">
        <v>0</v>
      </c>
      <c r="AI7116">
        <v>0</v>
      </c>
      <c r="AJ7116">
        <v>1</v>
      </c>
      <c r="AK7116">
        <v>1</v>
      </c>
      <c r="AL7116">
        <v>1</v>
      </c>
      <c r="AM7116">
        <v>1</v>
      </c>
    </row>
    <row r="7117" spans="1:39" x14ac:dyDescent="0.2">
      <c r="A7117" t="str">
        <f>"7113"</f>
        <v>7113</v>
      </c>
      <c r="B7117" t="str">
        <f t="shared" si="395"/>
        <v>1</v>
      </c>
      <c r="C7117" t="str">
        <f t="shared" si="396"/>
        <v>143</v>
      </c>
      <c r="D7117" t="str">
        <f>"39"</f>
        <v>39</v>
      </c>
      <c r="E7117" t="str">
        <f>"1-143-39"</f>
        <v>1-143-39</v>
      </c>
      <c r="F7117" t="s">
        <v>65</v>
      </c>
      <c r="G7117" t="s">
        <v>66</v>
      </c>
      <c r="H7117" t="s">
        <v>67</v>
      </c>
      <c r="S7117">
        <v>1</v>
      </c>
      <c r="T7117">
        <v>0</v>
      </c>
      <c r="U7117">
        <v>0</v>
      </c>
      <c r="V7117">
        <v>0</v>
      </c>
      <c r="W7117">
        <v>1</v>
      </c>
      <c r="X7117">
        <v>0</v>
      </c>
      <c r="Y7117">
        <v>0</v>
      </c>
      <c r="Z7117">
        <v>1</v>
      </c>
      <c r="AA7117">
        <v>1</v>
      </c>
      <c r="AB7117">
        <v>0</v>
      </c>
      <c r="AC7117">
        <v>0</v>
      </c>
      <c r="AD7117">
        <v>1</v>
      </c>
      <c r="AE7117">
        <v>1</v>
      </c>
      <c r="AF7117">
        <v>1</v>
      </c>
      <c r="AG7117">
        <v>1</v>
      </c>
      <c r="AH7117">
        <v>1</v>
      </c>
      <c r="AI7117">
        <v>1</v>
      </c>
      <c r="AJ7117">
        <v>1</v>
      </c>
      <c r="AK7117">
        <v>1</v>
      </c>
      <c r="AL7117">
        <v>1</v>
      </c>
      <c r="AM7117">
        <v>1</v>
      </c>
    </row>
    <row r="7118" spans="1:39" x14ac:dyDescent="0.2">
      <c r="A7118" t="str">
        <f>"7114"</f>
        <v>7114</v>
      </c>
      <c r="B7118" t="str">
        <f t="shared" si="395"/>
        <v>1</v>
      </c>
      <c r="C7118" t="str">
        <f t="shared" si="396"/>
        <v>143</v>
      </c>
      <c r="D7118" t="str">
        <f>"31"</f>
        <v>31</v>
      </c>
      <c r="E7118" t="str">
        <f>"1-143-31"</f>
        <v>1-143-31</v>
      </c>
      <c r="F7118" t="s">
        <v>65</v>
      </c>
      <c r="G7118" t="s">
        <v>66</v>
      </c>
      <c r="H7118" t="s">
        <v>67</v>
      </c>
      <c r="S7118">
        <v>1</v>
      </c>
      <c r="T7118">
        <v>0</v>
      </c>
      <c r="U7118">
        <v>0</v>
      </c>
      <c r="V7118">
        <v>0</v>
      </c>
      <c r="W7118">
        <v>1</v>
      </c>
      <c r="X7118">
        <v>0</v>
      </c>
      <c r="Y7118">
        <v>1</v>
      </c>
      <c r="Z7118">
        <v>0</v>
      </c>
      <c r="AA7118">
        <v>1</v>
      </c>
      <c r="AB7118">
        <v>0</v>
      </c>
      <c r="AC7118">
        <v>0</v>
      </c>
      <c r="AD7118">
        <v>1</v>
      </c>
      <c r="AE7118">
        <v>1</v>
      </c>
      <c r="AF7118">
        <v>1</v>
      </c>
      <c r="AG7118">
        <v>1</v>
      </c>
      <c r="AH7118">
        <v>1</v>
      </c>
      <c r="AI7118">
        <v>1</v>
      </c>
      <c r="AJ7118">
        <v>1</v>
      </c>
      <c r="AK7118">
        <v>1</v>
      </c>
      <c r="AL7118">
        <v>1</v>
      </c>
      <c r="AM7118">
        <v>1</v>
      </c>
    </row>
    <row r="7119" spans="1:39" x14ac:dyDescent="0.2">
      <c r="A7119" t="str">
        <f>"7115"</f>
        <v>7115</v>
      </c>
      <c r="B7119" t="str">
        <f t="shared" si="395"/>
        <v>1</v>
      </c>
      <c r="C7119" t="str">
        <f t="shared" si="396"/>
        <v>143</v>
      </c>
      <c r="D7119" t="str">
        <f>"17"</f>
        <v>17</v>
      </c>
      <c r="E7119" t="str">
        <f>"1-143-17"</f>
        <v>1-143-17</v>
      </c>
      <c r="F7119" t="s">
        <v>65</v>
      </c>
      <c r="G7119" t="s">
        <v>66</v>
      </c>
      <c r="H7119" t="s">
        <v>67</v>
      </c>
      <c r="S7119">
        <v>0</v>
      </c>
      <c r="T7119">
        <v>0</v>
      </c>
      <c r="U7119">
        <v>0</v>
      </c>
      <c r="V7119">
        <v>0</v>
      </c>
      <c r="W7119">
        <v>1</v>
      </c>
      <c r="X7119">
        <v>0</v>
      </c>
      <c r="Y7119">
        <v>1</v>
      </c>
      <c r="Z7119">
        <v>0</v>
      </c>
      <c r="AA7119">
        <v>1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</row>
    <row r="7120" spans="1:39" x14ac:dyDescent="0.2">
      <c r="A7120" t="str">
        <f>"7116"</f>
        <v>7116</v>
      </c>
      <c r="B7120" t="str">
        <f t="shared" si="395"/>
        <v>1</v>
      </c>
      <c r="C7120" t="str">
        <f t="shared" si="396"/>
        <v>143</v>
      </c>
      <c r="D7120" t="str">
        <f>"7"</f>
        <v>7</v>
      </c>
      <c r="E7120" t="str">
        <f>"1-143-7"</f>
        <v>1-143-7</v>
      </c>
      <c r="F7120" t="s">
        <v>65</v>
      </c>
      <c r="G7120" t="s">
        <v>66</v>
      </c>
      <c r="H7120" t="s">
        <v>67</v>
      </c>
      <c r="S7120">
        <v>1</v>
      </c>
      <c r="T7120">
        <v>0</v>
      </c>
      <c r="U7120">
        <v>0</v>
      </c>
      <c r="V7120">
        <v>0</v>
      </c>
      <c r="W7120">
        <v>1</v>
      </c>
      <c r="X7120">
        <v>0</v>
      </c>
      <c r="Y7120">
        <v>1</v>
      </c>
      <c r="Z7120">
        <v>0</v>
      </c>
      <c r="AA7120">
        <v>1</v>
      </c>
      <c r="AB7120">
        <v>0</v>
      </c>
      <c r="AC7120">
        <v>0</v>
      </c>
      <c r="AD7120">
        <v>1</v>
      </c>
      <c r="AE7120">
        <v>1</v>
      </c>
      <c r="AF7120">
        <v>1</v>
      </c>
      <c r="AG7120">
        <v>1</v>
      </c>
      <c r="AH7120">
        <v>1</v>
      </c>
      <c r="AI7120">
        <v>1</v>
      </c>
      <c r="AJ7120">
        <v>1</v>
      </c>
      <c r="AK7120">
        <v>1</v>
      </c>
      <c r="AL7120">
        <v>1</v>
      </c>
      <c r="AM7120">
        <v>1</v>
      </c>
    </row>
    <row r="7121" spans="1:39" x14ac:dyDescent="0.2">
      <c r="A7121" t="str">
        <f>"7117"</f>
        <v>7117</v>
      </c>
      <c r="B7121" t="str">
        <f t="shared" si="395"/>
        <v>1</v>
      </c>
      <c r="C7121" t="str">
        <f t="shared" si="396"/>
        <v>143</v>
      </c>
      <c r="D7121" t="str">
        <f>"38"</f>
        <v>38</v>
      </c>
      <c r="E7121" t="str">
        <f>"1-143-38"</f>
        <v>1-143-38</v>
      </c>
      <c r="F7121" t="s">
        <v>65</v>
      </c>
      <c r="G7121" t="s">
        <v>66</v>
      </c>
      <c r="H7121" t="s">
        <v>67</v>
      </c>
      <c r="S7121">
        <v>1</v>
      </c>
      <c r="T7121">
        <v>0</v>
      </c>
      <c r="U7121">
        <v>0</v>
      </c>
      <c r="V7121">
        <v>0</v>
      </c>
      <c r="W7121">
        <v>1</v>
      </c>
      <c r="X7121">
        <v>0</v>
      </c>
      <c r="Y7121">
        <v>1</v>
      </c>
      <c r="Z7121">
        <v>0</v>
      </c>
      <c r="AA7121">
        <v>1</v>
      </c>
      <c r="AB7121">
        <v>0</v>
      </c>
      <c r="AC7121">
        <v>0</v>
      </c>
      <c r="AD7121">
        <v>1</v>
      </c>
      <c r="AE7121">
        <v>1</v>
      </c>
      <c r="AF7121">
        <v>1</v>
      </c>
      <c r="AG7121">
        <v>1</v>
      </c>
      <c r="AH7121">
        <v>0</v>
      </c>
      <c r="AI7121">
        <v>0</v>
      </c>
      <c r="AJ7121">
        <v>1</v>
      </c>
      <c r="AK7121">
        <v>1</v>
      </c>
      <c r="AL7121">
        <v>1</v>
      </c>
      <c r="AM7121">
        <v>1</v>
      </c>
    </row>
    <row r="7122" spans="1:39" x14ac:dyDescent="0.2">
      <c r="A7122" t="str">
        <f>"7118"</f>
        <v>7118</v>
      </c>
      <c r="B7122" t="str">
        <f t="shared" si="395"/>
        <v>1</v>
      </c>
      <c r="C7122" t="str">
        <f t="shared" si="396"/>
        <v>143</v>
      </c>
      <c r="D7122" t="str">
        <f>"37"</f>
        <v>37</v>
      </c>
      <c r="E7122" t="str">
        <f>"1-143-37"</f>
        <v>1-143-37</v>
      </c>
      <c r="F7122" t="s">
        <v>65</v>
      </c>
      <c r="G7122" t="s">
        <v>66</v>
      </c>
      <c r="H7122" t="s">
        <v>67</v>
      </c>
      <c r="S7122">
        <v>1</v>
      </c>
      <c r="T7122">
        <v>0</v>
      </c>
      <c r="U7122">
        <v>0</v>
      </c>
      <c r="V7122">
        <v>0</v>
      </c>
      <c r="W7122">
        <v>1</v>
      </c>
      <c r="X7122">
        <v>0</v>
      </c>
      <c r="Y7122">
        <v>1</v>
      </c>
      <c r="Z7122">
        <v>0</v>
      </c>
      <c r="AA7122">
        <v>1</v>
      </c>
      <c r="AB7122">
        <v>0</v>
      </c>
      <c r="AC7122">
        <v>0</v>
      </c>
      <c r="AD7122">
        <v>1</v>
      </c>
      <c r="AE7122">
        <v>1</v>
      </c>
      <c r="AF7122">
        <v>1</v>
      </c>
      <c r="AG7122">
        <v>1</v>
      </c>
      <c r="AH7122">
        <v>0</v>
      </c>
      <c r="AI7122">
        <v>0</v>
      </c>
      <c r="AJ7122">
        <v>1</v>
      </c>
      <c r="AK7122">
        <v>1</v>
      </c>
      <c r="AL7122">
        <v>1</v>
      </c>
      <c r="AM7122">
        <v>1</v>
      </c>
    </row>
    <row r="7123" spans="1:39" x14ac:dyDescent="0.2">
      <c r="A7123" t="str">
        <f>"7119"</f>
        <v>7119</v>
      </c>
      <c r="B7123" t="str">
        <f t="shared" si="395"/>
        <v>1</v>
      </c>
      <c r="C7123" t="str">
        <f t="shared" si="396"/>
        <v>143</v>
      </c>
      <c r="D7123" t="str">
        <f>"24"</f>
        <v>24</v>
      </c>
      <c r="E7123" t="str">
        <f>"1-143-24"</f>
        <v>1-143-24</v>
      </c>
      <c r="F7123" t="s">
        <v>65</v>
      </c>
      <c r="G7123" t="s">
        <v>66</v>
      </c>
      <c r="H7123" t="s">
        <v>67</v>
      </c>
      <c r="S7123">
        <v>0</v>
      </c>
      <c r="T7123">
        <v>0</v>
      </c>
      <c r="U7123">
        <v>0</v>
      </c>
      <c r="V7123">
        <v>0</v>
      </c>
      <c r="W7123">
        <v>1</v>
      </c>
      <c r="X7123">
        <v>0</v>
      </c>
      <c r="Y7123">
        <v>1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</row>
    <row r="7124" spans="1:39" x14ac:dyDescent="0.2">
      <c r="A7124" t="str">
        <f>"7120"</f>
        <v>7120</v>
      </c>
      <c r="B7124" t="str">
        <f t="shared" si="395"/>
        <v>1</v>
      </c>
      <c r="C7124" t="str">
        <f t="shared" si="396"/>
        <v>143</v>
      </c>
      <c r="D7124" t="str">
        <f>"18"</f>
        <v>18</v>
      </c>
      <c r="E7124" t="str">
        <f>"1-143-18"</f>
        <v>1-143-18</v>
      </c>
      <c r="F7124" t="s">
        <v>65</v>
      </c>
      <c r="G7124" t="s">
        <v>66</v>
      </c>
      <c r="H7124" t="s">
        <v>67</v>
      </c>
      <c r="S7124">
        <v>1</v>
      </c>
      <c r="T7124">
        <v>0</v>
      </c>
      <c r="U7124">
        <v>0</v>
      </c>
      <c r="V7124">
        <v>0</v>
      </c>
      <c r="W7124">
        <v>1</v>
      </c>
      <c r="X7124">
        <v>0</v>
      </c>
      <c r="Y7124">
        <v>0</v>
      </c>
      <c r="Z7124">
        <v>1</v>
      </c>
      <c r="AA7124">
        <v>0</v>
      </c>
      <c r="AB7124">
        <v>1</v>
      </c>
      <c r="AC7124">
        <v>0</v>
      </c>
      <c r="AD7124">
        <v>1</v>
      </c>
      <c r="AE7124">
        <v>1</v>
      </c>
      <c r="AF7124">
        <v>1</v>
      </c>
      <c r="AG7124">
        <v>1</v>
      </c>
      <c r="AH7124">
        <v>1</v>
      </c>
      <c r="AI7124">
        <v>1</v>
      </c>
      <c r="AJ7124">
        <v>1</v>
      </c>
      <c r="AK7124">
        <v>1</v>
      </c>
      <c r="AL7124">
        <v>1</v>
      </c>
      <c r="AM7124">
        <v>1</v>
      </c>
    </row>
    <row r="7125" spans="1:39" x14ac:dyDescent="0.2">
      <c r="A7125" t="str">
        <f>"7121"</f>
        <v>7121</v>
      </c>
      <c r="B7125" t="str">
        <f t="shared" si="395"/>
        <v>1</v>
      </c>
      <c r="C7125" t="str">
        <f t="shared" si="396"/>
        <v>143</v>
      </c>
      <c r="D7125" t="str">
        <f>"14"</f>
        <v>14</v>
      </c>
      <c r="E7125" t="str">
        <f>"1-143-14"</f>
        <v>1-143-14</v>
      </c>
      <c r="F7125" t="s">
        <v>65</v>
      </c>
      <c r="G7125" t="s">
        <v>66</v>
      </c>
      <c r="H7125" t="s">
        <v>67</v>
      </c>
      <c r="S7125">
        <v>1</v>
      </c>
      <c r="T7125">
        <v>0</v>
      </c>
      <c r="U7125">
        <v>0</v>
      </c>
      <c r="V7125">
        <v>0</v>
      </c>
      <c r="W7125">
        <v>1</v>
      </c>
      <c r="X7125">
        <v>0</v>
      </c>
      <c r="Y7125">
        <v>1</v>
      </c>
      <c r="Z7125">
        <v>0</v>
      </c>
      <c r="AA7125">
        <v>1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1</v>
      </c>
      <c r="AH7125">
        <v>1</v>
      </c>
      <c r="AI7125">
        <v>1</v>
      </c>
      <c r="AJ7125">
        <v>1</v>
      </c>
      <c r="AK7125">
        <v>1</v>
      </c>
      <c r="AL7125">
        <v>1</v>
      </c>
      <c r="AM7125">
        <v>1</v>
      </c>
    </row>
    <row r="7126" spans="1:39" x14ac:dyDescent="0.2">
      <c r="A7126" t="str">
        <f>"7122"</f>
        <v>7122</v>
      </c>
      <c r="B7126" t="str">
        <f t="shared" si="395"/>
        <v>1</v>
      </c>
      <c r="C7126" t="str">
        <f t="shared" si="396"/>
        <v>143</v>
      </c>
      <c r="D7126" t="str">
        <f>"41"</f>
        <v>41</v>
      </c>
      <c r="E7126" t="str">
        <f>"1-143-41"</f>
        <v>1-143-41</v>
      </c>
      <c r="F7126" t="s">
        <v>65</v>
      </c>
      <c r="G7126" t="s">
        <v>66</v>
      </c>
      <c r="H7126" t="s">
        <v>67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1</v>
      </c>
      <c r="Y7126">
        <v>0</v>
      </c>
      <c r="Z7126">
        <v>0</v>
      </c>
      <c r="AA7126">
        <v>0</v>
      </c>
      <c r="AB7126">
        <v>1</v>
      </c>
      <c r="AC7126">
        <v>0</v>
      </c>
      <c r="AD7126">
        <v>0</v>
      </c>
      <c r="AE7126">
        <v>1</v>
      </c>
      <c r="AF7126">
        <v>0</v>
      </c>
      <c r="AG7126">
        <v>1</v>
      </c>
      <c r="AH7126">
        <v>1</v>
      </c>
      <c r="AI7126">
        <v>1</v>
      </c>
      <c r="AJ7126">
        <v>1</v>
      </c>
      <c r="AK7126">
        <v>1</v>
      </c>
      <c r="AL7126">
        <v>1</v>
      </c>
      <c r="AM7126">
        <v>0</v>
      </c>
    </row>
    <row r="7127" spans="1:39" x14ac:dyDescent="0.2">
      <c r="A7127" t="str">
        <f>"7123"</f>
        <v>7123</v>
      </c>
      <c r="B7127" t="str">
        <f t="shared" si="395"/>
        <v>1</v>
      </c>
      <c r="C7127" t="str">
        <f t="shared" si="396"/>
        <v>143</v>
      </c>
      <c r="D7127" t="str">
        <f>"21"</f>
        <v>21</v>
      </c>
      <c r="E7127" t="str">
        <f>"1-143-21"</f>
        <v>1-143-21</v>
      </c>
      <c r="F7127" t="s">
        <v>65</v>
      </c>
      <c r="G7127" t="s">
        <v>66</v>
      </c>
      <c r="H7127" t="s">
        <v>67</v>
      </c>
      <c r="S7127">
        <v>0</v>
      </c>
      <c r="T7127">
        <v>1</v>
      </c>
      <c r="U7127">
        <v>0</v>
      </c>
      <c r="V7127">
        <v>0</v>
      </c>
      <c r="W7127">
        <v>1</v>
      </c>
      <c r="X7127">
        <v>0</v>
      </c>
      <c r="Y7127">
        <v>1</v>
      </c>
      <c r="Z7127">
        <v>0</v>
      </c>
      <c r="AA7127">
        <v>1</v>
      </c>
      <c r="AB7127">
        <v>0</v>
      </c>
      <c r="AC7127">
        <v>0</v>
      </c>
      <c r="AD7127">
        <v>1</v>
      </c>
      <c r="AE7127">
        <v>1</v>
      </c>
      <c r="AF7127">
        <v>1</v>
      </c>
      <c r="AG7127">
        <v>1</v>
      </c>
      <c r="AH7127">
        <v>1</v>
      </c>
      <c r="AI7127">
        <v>1</v>
      </c>
      <c r="AJ7127">
        <v>1</v>
      </c>
      <c r="AK7127">
        <v>1</v>
      </c>
      <c r="AL7127">
        <v>1</v>
      </c>
      <c r="AM7127">
        <v>1</v>
      </c>
    </row>
    <row r="7128" spans="1:39" x14ac:dyDescent="0.2">
      <c r="A7128" t="str">
        <f>"7124"</f>
        <v>7124</v>
      </c>
      <c r="B7128" t="str">
        <f t="shared" si="395"/>
        <v>1</v>
      </c>
      <c r="C7128" t="str">
        <f t="shared" si="396"/>
        <v>143</v>
      </c>
      <c r="D7128" t="str">
        <f>"11"</f>
        <v>11</v>
      </c>
      <c r="E7128" t="str">
        <f>"1-143-11"</f>
        <v>1-143-11</v>
      </c>
      <c r="F7128" t="s">
        <v>65</v>
      </c>
      <c r="G7128" t="s">
        <v>66</v>
      </c>
      <c r="H7128" t="s">
        <v>67</v>
      </c>
      <c r="S7128">
        <v>1</v>
      </c>
      <c r="T7128">
        <v>0</v>
      </c>
      <c r="U7128">
        <v>0</v>
      </c>
      <c r="V7128">
        <v>0</v>
      </c>
      <c r="W7128">
        <v>1</v>
      </c>
      <c r="X7128">
        <v>0</v>
      </c>
      <c r="Y7128">
        <v>1</v>
      </c>
      <c r="Z7128">
        <v>0</v>
      </c>
      <c r="AA7128">
        <v>1</v>
      </c>
      <c r="AB7128">
        <v>0</v>
      </c>
      <c r="AC7128">
        <v>0</v>
      </c>
      <c r="AD7128">
        <v>1</v>
      </c>
      <c r="AE7128">
        <v>1</v>
      </c>
      <c r="AF7128">
        <v>1</v>
      </c>
      <c r="AG7128">
        <v>1</v>
      </c>
      <c r="AH7128">
        <v>1</v>
      </c>
      <c r="AI7128">
        <v>1</v>
      </c>
      <c r="AJ7128">
        <v>1</v>
      </c>
      <c r="AK7128">
        <v>1</v>
      </c>
      <c r="AL7128">
        <v>1</v>
      </c>
      <c r="AM7128">
        <v>1</v>
      </c>
    </row>
    <row r="7129" spans="1:39" x14ac:dyDescent="0.2">
      <c r="A7129" t="str">
        <f>"7125"</f>
        <v>7125</v>
      </c>
      <c r="B7129" t="str">
        <f t="shared" si="395"/>
        <v>1</v>
      </c>
      <c r="C7129" t="str">
        <f t="shared" si="396"/>
        <v>143</v>
      </c>
      <c r="D7129" t="str">
        <f>"44"</f>
        <v>44</v>
      </c>
      <c r="E7129" t="str">
        <f>"1-143-44"</f>
        <v>1-143-44</v>
      </c>
      <c r="F7129" t="s">
        <v>65</v>
      </c>
      <c r="G7129" t="s">
        <v>66</v>
      </c>
      <c r="H7129" t="s">
        <v>67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1</v>
      </c>
      <c r="Y7129">
        <v>0</v>
      </c>
      <c r="Z7129">
        <v>0</v>
      </c>
      <c r="AA7129">
        <v>0</v>
      </c>
      <c r="AB7129">
        <v>1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1</v>
      </c>
      <c r="AI7129">
        <v>0</v>
      </c>
      <c r="AJ7129">
        <v>0</v>
      </c>
      <c r="AK7129">
        <v>0</v>
      </c>
      <c r="AL7129">
        <v>1</v>
      </c>
      <c r="AM7129">
        <v>0</v>
      </c>
    </row>
    <row r="7130" spans="1:39" x14ac:dyDescent="0.2">
      <c r="A7130" t="str">
        <f>"7126"</f>
        <v>7126</v>
      </c>
      <c r="B7130" t="str">
        <f t="shared" si="395"/>
        <v>1</v>
      </c>
      <c r="C7130" t="str">
        <f t="shared" si="396"/>
        <v>143</v>
      </c>
      <c r="D7130" t="str">
        <f>"22"</f>
        <v>22</v>
      </c>
      <c r="E7130" t="str">
        <f>"1-143-22"</f>
        <v>1-143-22</v>
      </c>
      <c r="F7130" t="s">
        <v>65</v>
      </c>
      <c r="G7130" t="s">
        <v>66</v>
      </c>
      <c r="H7130" t="s">
        <v>67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1</v>
      </c>
      <c r="Y7130">
        <v>0</v>
      </c>
      <c r="Z7130">
        <v>0</v>
      </c>
      <c r="AA7130">
        <v>0</v>
      </c>
      <c r="AB7130">
        <v>0</v>
      </c>
      <c r="AC7130">
        <v>1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</row>
    <row r="7131" spans="1:39" x14ac:dyDescent="0.2">
      <c r="A7131" t="str">
        <f>"7127"</f>
        <v>7127</v>
      </c>
      <c r="B7131" t="str">
        <f t="shared" si="395"/>
        <v>1</v>
      </c>
      <c r="C7131" t="str">
        <f t="shared" si="396"/>
        <v>143</v>
      </c>
      <c r="D7131" t="str">
        <f>"8"</f>
        <v>8</v>
      </c>
      <c r="E7131" t="str">
        <f>"1-143-8"</f>
        <v>1-143-8</v>
      </c>
      <c r="F7131" t="s">
        <v>65</v>
      </c>
      <c r="G7131" t="s">
        <v>66</v>
      </c>
      <c r="H7131" t="s">
        <v>67</v>
      </c>
      <c r="S7131">
        <v>0</v>
      </c>
      <c r="T7131">
        <v>1</v>
      </c>
      <c r="U7131">
        <v>0</v>
      </c>
      <c r="V7131">
        <v>0</v>
      </c>
      <c r="W7131">
        <v>1</v>
      </c>
      <c r="X7131">
        <v>0</v>
      </c>
      <c r="Y7131">
        <v>0</v>
      </c>
      <c r="Z7131">
        <v>1</v>
      </c>
      <c r="AA7131">
        <v>1</v>
      </c>
      <c r="AB7131">
        <v>0</v>
      </c>
      <c r="AC7131">
        <v>0</v>
      </c>
      <c r="AD7131">
        <v>1</v>
      </c>
      <c r="AE7131">
        <v>1</v>
      </c>
      <c r="AF7131">
        <v>1</v>
      </c>
      <c r="AG7131">
        <v>1</v>
      </c>
      <c r="AH7131">
        <v>1</v>
      </c>
      <c r="AI7131">
        <v>1</v>
      </c>
      <c r="AJ7131">
        <v>1</v>
      </c>
      <c r="AK7131">
        <v>1</v>
      </c>
      <c r="AL7131">
        <v>1</v>
      </c>
      <c r="AM7131">
        <v>1</v>
      </c>
    </row>
    <row r="7132" spans="1:39" x14ac:dyDescent="0.2">
      <c r="A7132" t="str">
        <f>"7128"</f>
        <v>7128</v>
      </c>
      <c r="B7132" t="str">
        <f t="shared" si="395"/>
        <v>1</v>
      </c>
      <c r="C7132" t="str">
        <f t="shared" si="396"/>
        <v>143</v>
      </c>
      <c r="D7132" t="str">
        <f>"42"</f>
        <v>42</v>
      </c>
      <c r="E7132" t="str">
        <f>"1-143-42"</f>
        <v>1-143-42</v>
      </c>
      <c r="F7132" t="s">
        <v>65</v>
      </c>
      <c r="G7132" t="s">
        <v>66</v>
      </c>
      <c r="H7132" t="s">
        <v>67</v>
      </c>
      <c r="S7132">
        <v>1</v>
      </c>
      <c r="T7132">
        <v>0</v>
      </c>
      <c r="U7132">
        <v>0</v>
      </c>
      <c r="V7132">
        <v>0</v>
      </c>
      <c r="W7132">
        <v>1</v>
      </c>
      <c r="X7132">
        <v>0</v>
      </c>
      <c r="Y7132">
        <v>0</v>
      </c>
      <c r="Z7132">
        <v>1</v>
      </c>
      <c r="AA7132">
        <v>0</v>
      </c>
      <c r="AB7132">
        <v>0</v>
      </c>
      <c r="AC7132">
        <v>1</v>
      </c>
      <c r="AD7132">
        <v>1</v>
      </c>
      <c r="AE7132">
        <v>1</v>
      </c>
      <c r="AF7132">
        <v>1</v>
      </c>
      <c r="AG7132">
        <v>1</v>
      </c>
      <c r="AH7132">
        <v>1</v>
      </c>
      <c r="AI7132">
        <v>1</v>
      </c>
      <c r="AJ7132">
        <v>1</v>
      </c>
      <c r="AK7132">
        <v>1</v>
      </c>
      <c r="AL7132">
        <v>1</v>
      </c>
      <c r="AM7132">
        <v>1</v>
      </c>
    </row>
    <row r="7133" spans="1:39" x14ac:dyDescent="0.2">
      <c r="A7133" t="str">
        <f>"7129"</f>
        <v>7129</v>
      </c>
      <c r="B7133" t="str">
        <f t="shared" si="395"/>
        <v>1</v>
      </c>
      <c r="C7133" t="str">
        <f t="shared" si="396"/>
        <v>143</v>
      </c>
      <c r="D7133" t="str">
        <f>"23"</f>
        <v>23</v>
      </c>
      <c r="E7133" t="str">
        <f>"1-143-23"</f>
        <v>1-143-23</v>
      </c>
      <c r="F7133" t="s">
        <v>65</v>
      </c>
      <c r="G7133" t="s">
        <v>66</v>
      </c>
      <c r="H7133" t="s">
        <v>67</v>
      </c>
      <c r="S7133">
        <v>0</v>
      </c>
      <c r="T7133">
        <v>1</v>
      </c>
      <c r="U7133">
        <v>0</v>
      </c>
      <c r="V7133">
        <v>0</v>
      </c>
      <c r="W7133">
        <v>1</v>
      </c>
      <c r="X7133">
        <v>0</v>
      </c>
      <c r="Y7133">
        <v>1</v>
      </c>
      <c r="Z7133">
        <v>0</v>
      </c>
      <c r="AA7133">
        <v>1</v>
      </c>
      <c r="AB7133">
        <v>0</v>
      </c>
      <c r="AC7133">
        <v>0</v>
      </c>
      <c r="AD7133">
        <v>1</v>
      </c>
      <c r="AE7133">
        <v>1</v>
      </c>
      <c r="AF7133">
        <v>1</v>
      </c>
      <c r="AG7133">
        <v>1</v>
      </c>
      <c r="AH7133">
        <v>1</v>
      </c>
      <c r="AI7133">
        <v>1</v>
      </c>
      <c r="AJ7133">
        <v>1</v>
      </c>
      <c r="AK7133">
        <v>1</v>
      </c>
      <c r="AL7133">
        <v>1</v>
      </c>
      <c r="AM7133">
        <v>1</v>
      </c>
    </row>
    <row r="7134" spans="1:39" x14ac:dyDescent="0.2">
      <c r="A7134" t="str">
        <f>"7130"</f>
        <v>7130</v>
      </c>
      <c r="B7134" t="str">
        <f t="shared" si="395"/>
        <v>1</v>
      </c>
      <c r="C7134" t="str">
        <f t="shared" si="396"/>
        <v>143</v>
      </c>
      <c r="D7134" t="str">
        <f>"43"</f>
        <v>43</v>
      </c>
      <c r="E7134" t="str">
        <f>"1-143-43"</f>
        <v>1-143-43</v>
      </c>
      <c r="F7134" t="s">
        <v>65</v>
      </c>
      <c r="G7134" t="s">
        <v>66</v>
      </c>
      <c r="H7134" t="s">
        <v>67</v>
      </c>
      <c r="S7134">
        <v>0</v>
      </c>
      <c r="T7134">
        <v>1</v>
      </c>
      <c r="U7134">
        <v>0</v>
      </c>
      <c r="V7134">
        <v>0</v>
      </c>
      <c r="W7134">
        <v>1</v>
      </c>
      <c r="X7134">
        <v>0</v>
      </c>
      <c r="Y7134">
        <v>0</v>
      </c>
      <c r="Z7134">
        <v>1</v>
      </c>
      <c r="AA7134">
        <v>0</v>
      </c>
      <c r="AB7134">
        <v>0</v>
      </c>
      <c r="AC7134">
        <v>1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</row>
    <row r="7135" spans="1:39" x14ac:dyDescent="0.2">
      <c r="A7135" t="str">
        <f>"7131"</f>
        <v>7131</v>
      </c>
      <c r="B7135" t="str">
        <f t="shared" si="395"/>
        <v>1</v>
      </c>
      <c r="C7135" t="str">
        <f t="shared" si="396"/>
        <v>143</v>
      </c>
      <c r="D7135" t="str">
        <f>"25"</f>
        <v>25</v>
      </c>
      <c r="E7135" t="str">
        <f>"1-143-25"</f>
        <v>1-143-25</v>
      </c>
      <c r="F7135" t="s">
        <v>65</v>
      </c>
      <c r="G7135" t="s">
        <v>66</v>
      </c>
      <c r="H7135" t="s">
        <v>67</v>
      </c>
      <c r="S7135">
        <v>1</v>
      </c>
      <c r="T7135">
        <v>0</v>
      </c>
      <c r="U7135">
        <v>0</v>
      </c>
      <c r="V7135">
        <v>0</v>
      </c>
      <c r="W7135">
        <v>1</v>
      </c>
      <c r="X7135">
        <v>0</v>
      </c>
      <c r="Y7135">
        <v>0</v>
      </c>
      <c r="Z7135">
        <v>1</v>
      </c>
      <c r="AA7135">
        <v>1</v>
      </c>
      <c r="AB7135">
        <v>0</v>
      </c>
      <c r="AC7135">
        <v>0</v>
      </c>
      <c r="AD7135">
        <v>1</v>
      </c>
      <c r="AE7135">
        <v>1</v>
      </c>
      <c r="AF7135">
        <v>1</v>
      </c>
      <c r="AG7135">
        <v>1</v>
      </c>
      <c r="AH7135">
        <v>1</v>
      </c>
      <c r="AI7135">
        <v>1</v>
      </c>
      <c r="AJ7135">
        <v>1</v>
      </c>
      <c r="AK7135">
        <v>1</v>
      </c>
      <c r="AL7135">
        <v>1</v>
      </c>
      <c r="AM7135">
        <v>1</v>
      </c>
    </row>
    <row r="7136" spans="1:39" x14ac:dyDescent="0.2">
      <c r="A7136" t="str">
        <f>"7132"</f>
        <v>7132</v>
      </c>
      <c r="B7136" t="str">
        <f t="shared" si="395"/>
        <v>1</v>
      </c>
      <c r="C7136" t="str">
        <f t="shared" si="396"/>
        <v>143</v>
      </c>
      <c r="D7136" t="str">
        <f>"6"</f>
        <v>6</v>
      </c>
      <c r="E7136" t="str">
        <f>"1-143-6"</f>
        <v>1-143-6</v>
      </c>
      <c r="F7136" t="s">
        <v>65</v>
      </c>
      <c r="G7136" t="s">
        <v>66</v>
      </c>
      <c r="H7136" t="s">
        <v>67</v>
      </c>
      <c r="S7136">
        <v>1</v>
      </c>
      <c r="T7136">
        <v>0</v>
      </c>
      <c r="U7136">
        <v>0</v>
      </c>
      <c r="V7136">
        <v>0</v>
      </c>
      <c r="W7136">
        <v>1</v>
      </c>
      <c r="X7136">
        <v>0</v>
      </c>
      <c r="Y7136">
        <v>1</v>
      </c>
      <c r="Z7136">
        <v>0</v>
      </c>
      <c r="AA7136">
        <v>1</v>
      </c>
      <c r="AB7136">
        <v>0</v>
      </c>
      <c r="AC7136">
        <v>0</v>
      </c>
      <c r="AD7136">
        <v>1</v>
      </c>
      <c r="AE7136">
        <v>1</v>
      </c>
      <c r="AF7136">
        <v>1</v>
      </c>
      <c r="AG7136">
        <v>1</v>
      </c>
      <c r="AH7136">
        <v>1</v>
      </c>
      <c r="AI7136">
        <v>1</v>
      </c>
      <c r="AJ7136">
        <v>1</v>
      </c>
      <c r="AK7136">
        <v>1</v>
      </c>
      <c r="AL7136">
        <v>1</v>
      </c>
      <c r="AM7136">
        <v>1</v>
      </c>
    </row>
    <row r="7137" spans="1:39" x14ac:dyDescent="0.2">
      <c r="A7137" t="str">
        <f>"7133"</f>
        <v>7133</v>
      </c>
      <c r="B7137" t="str">
        <f t="shared" si="395"/>
        <v>1</v>
      </c>
      <c r="C7137" t="str">
        <f t="shared" ref="C7137:C7154" si="397">"143"</f>
        <v>143</v>
      </c>
      <c r="D7137" t="str">
        <f>"45"</f>
        <v>45</v>
      </c>
      <c r="E7137" t="str">
        <f>"1-143-45"</f>
        <v>1-143-45</v>
      </c>
      <c r="F7137" t="s">
        <v>65</v>
      </c>
      <c r="G7137" t="s">
        <v>66</v>
      </c>
      <c r="H7137" t="s">
        <v>67</v>
      </c>
      <c r="S7137">
        <v>0</v>
      </c>
      <c r="T7137">
        <v>1</v>
      </c>
      <c r="U7137">
        <v>0</v>
      </c>
      <c r="V7137">
        <v>0</v>
      </c>
      <c r="W7137">
        <v>1</v>
      </c>
      <c r="X7137">
        <v>0</v>
      </c>
      <c r="Y7137">
        <v>0</v>
      </c>
      <c r="Z7137">
        <v>1</v>
      </c>
      <c r="AA7137">
        <v>0</v>
      </c>
      <c r="AB7137">
        <v>1</v>
      </c>
      <c r="AC7137">
        <v>0</v>
      </c>
      <c r="AD7137">
        <v>1</v>
      </c>
      <c r="AE7137">
        <v>1</v>
      </c>
      <c r="AF7137">
        <v>1</v>
      </c>
      <c r="AG7137">
        <v>1</v>
      </c>
      <c r="AH7137">
        <v>1</v>
      </c>
      <c r="AI7137">
        <v>1</v>
      </c>
      <c r="AJ7137">
        <v>1</v>
      </c>
      <c r="AK7137">
        <v>1</v>
      </c>
      <c r="AL7137">
        <v>1</v>
      </c>
      <c r="AM7137">
        <v>1</v>
      </c>
    </row>
    <row r="7138" spans="1:39" x14ac:dyDescent="0.2">
      <c r="A7138" t="str">
        <f>"7134"</f>
        <v>7134</v>
      </c>
      <c r="B7138" t="str">
        <f t="shared" si="395"/>
        <v>1</v>
      </c>
      <c r="C7138" t="str">
        <f t="shared" si="397"/>
        <v>143</v>
      </c>
      <c r="D7138" t="str">
        <f>"26"</f>
        <v>26</v>
      </c>
      <c r="E7138" t="str">
        <f>"1-143-26"</f>
        <v>1-143-26</v>
      </c>
      <c r="F7138" t="s">
        <v>65</v>
      </c>
      <c r="G7138" t="s">
        <v>66</v>
      </c>
      <c r="H7138" t="s">
        <v>67</v>
      </c>
      <c r="S7138">
        <v>1</v>
      </c>
      <c r="T7138">
        <v>0</v>
      </c>
      <c r="U7138">
        <v>0</v>
      </c>
      <c r="V7138">
        <v>0</v>
      </c>
      <c r="W7138">
        <v>1</v>
      </c>
      <c r="X7138">
        <v>0</v>
      </c>
      <c r="Y7138">
        <v>1</v>
      </c>
      <c r="Z7138">
        <v>0</v>
      </c>
      <c r="AA7138">
        <v>0</v>
      </c>
      <c r="AB7138">
        <v>1</v>
      </c>
      <c r="AC7138">
        <v>0</v>
      </c>
      <c r="AD7138">
        <v>1</v>
      </c>
      <c r="AE7138">
        <v>1</v>
      </c>
      <c r="AF7138">
        <v>1</v>
      </c>
      <c r="AG7138">
        <v>1</v>
      </c>
      <c r="AH7138">
        <v>1</v>
      </c>
      <c r="AI7138">
        <v>1</v>
      </c>
      <c r="AJ7138">
        <v>1</v>
      </c>
      <c r="AK7138">
        <v>1</v>
      </c>
      <c r="AL7138">
        <v>1</v>
      </c>
      <c r="AM7138">
        <v>1</v>
      </c>
    </row>
    <row r="7139" spans="1:39" x14ac:dyDescent="0.2">
      <c r="A7139" t="str">
        <f>"7135"</f>
        <v>7135</v>
      </c>
      <c r="B7139" t="str">
        <f t="shared" si="395"/>
        <v>1</v>
      </c>
      <c r="C7139" t="str">
        <f t="shared" si="397"/>
        <v>143</v>
      </c>
      <c r="D7139" t="str">
        <f>"2"</f>
        <v>2</v>
      </c>
      <c r="E7139" t="str">
        <f>"1-143-2"</f>
        <v>1-143-2</v>
      </c>
      <c r="F7139" t="s">
        <v>65</v>
      </c>
      <c r="G7139" t="s">
        <v>66</v>
      </c>
      <c r="H7139" t="s">
        <v>67</v>
      </c>
      <c r="S7139">
        <v>0</v>
      </c>
      <c r="T7139">
        <v>1</v>
      </c>
      <c r="U7139">
        <v>0</v>
      </c>
      <c r="V7139">
        <v>0</v>
      </c>
      <c r="W7139">
        <v>0</v>
      </c>
      <c r="X7139">
        <v>1</v>
      </c>
      <c r="Y7139">
        <v>1</v>
      </c>
      <c r="Z7139">
        <v>0</v>
      </c>
      <c r="AA7139">
        <v>1</v>
      </c>
      <c r="AB7139">
        <v>0</v>
      </c>
      <c r="AC7139">
        <v>0</v>
      </c>
      <c r="AD7139">
        <v>1</v>
      </c>
      <c r="AE7139">
        <v>1</v>
      </c>
      <c r="AF7139">
        <v>1</v>
      </c>
      <c r="AG7139">
        <v>1</v>
      </c>
      <c r="AH7139">
        <v>1</v>
      </c>
      <c r="AI7139">
        <v>1</v>
      </c>
      <c r="AJ7139">
        <v>1</v>
      </c>
      <c r="AK7139">
        <v>1</v>
      </c>
      <c r="AL7139">
        <v>1</v>
      </c>
      <c r="AM7139">
        <v>1</v>
      </c>
    </row>
    <row r="7140" spans="1:39" x14ac:dyDescent="0.2">
      <c r="A7140" t="str">
        <f>"7136"</f>
        <v>7136</v>
      </c>
      <c r="B7140" t="str">
        <f t="shared" si="395"/>
        <v>1</v>
      </c>
      <c r="C7140" t="str">
        <f t="shared" si="397"/>
        <v>143</v>
      </c>
      <c r="D7140" t="str">
        <f>"47"</f>
        <v>47</v>
      </c>
      <c r="E7140" t="str">
        <f>"1-143-47"</f>
        <v>1-143-47</v>
      </c>
      <c r="F7140" t="s">
        <v>65</v>
      </c>
      <c r="G7140" t="s">
        <v>66</v>
      </c>
      <c r="H7140" t="s">
        <v>67</v>
      </c>
      <c r="S7140">
        <v>0</v>
      </c>
      <c r="T7140">
        <v>1</v>
      </c>
      <c r="U7140">
        <v>0</v>
      </c>
      <c r="V7140">
        <v>0</v>
      </c>
      <c r="W7140">
        <v>0</v>
      </c>
      <c r="X7140">
        <v>1</v>
      </c>
      <c r="Y7140">
        <v>0</v>
      </c>
      <c r="Z7140">
        <v>1</v>
      </c>
      <c r="AA7140">
        <v>0</v>
      </c>
      <c r="AB7140">
        <v>0</v>
      </c>
      <c r="AC7140">
        <v>1</v>
      </c>
      <c r="AD7140">
        <v>1</v>
      </c>
      <c r="AE7140">
        <v>1</v>
      </c>
      <c r="AF7140">
        <v>1</v>
      </c>
      <c r="AG7140">
        <v>1</v>
      </c>
      <c r="AH7140">
        <v>1</v>
      </c>
      <c r="AI7140">
        <v>1</v>
      </c>
      <c r="AJ7140">
        <v>1</v>
      </c>
      <c r="AK7140">
        <v>1</v>
      </c>
      <c r="AL7140">
        <v>1</v>
      </c>
      <c r="AM7140">
        <v>1</v>
      </c>
    </row>
    <row r="7141" spans="1:39" x14ac:dyDescent="0.2">
      <c r="A7141" t="str">
        <f>"7137"</f>
        <v>7137</v>
      </c>
      <c r="B7141" t="str">
        <f t="shared" si="395"/>
        <v>1</v>
      </c>
      <c r="C7141" t="str">
        <f t="shared" si="397"/>
        <v>143</v>
      </c>
      <c r="D7141" t="str">
        <f>"27"</f>
        <v>27</v>
      </c>
      <c r="E7141" t="str">
        <f>"1-143-27"</f>
        <v>1-143-27</v>
      </c>
      <c r="F7141" t="s">
        <v>65</v>
      </c>
      <c r="G7141" t="s">
        <v>66</v>
      </c>
      <c r="H7141" t="s">
        <v>67</v>
      </c>
      <c r="S7141">
        <v>1</v>
      </c>
      <c r="T7141">
        <v>0</v>
      </c>
      <c r="U7141">
        <v>0</v>
      </c>
      <c r="V7141">
        <v>0</v>
      </c>
      <c r="W7141">
        <v>1</v>
      </c>
      <c r="X7141">
        <v>0</v>
      </c>
      <c r="Y7141">
        <v>1</v>
      </c>
      <c r="Z7141">
        <v>0</v>
      </c>
      <c r="AA7141">
        <v>1</v>
      </c>
      <c r="AB7141">
        <v>0</v>
      </c>
      <c r="AC7141">
        <v>0</v>
      </c>
      <c r="AD7141">
        <v>1</v>
      </c>
      <c r="AE7141">
        <v>1</v>
      </c>
      <c r="AF7141">
        <v>1</v>
      </c>
      <c r="AG7141">
        <v>1</v>
      </c>
      <c r="AH7141">
        <v>1</v>
      </c>
      <c r="AI7141">
        <v>1</v>
      </c>
      <c r="AJ7141">
        <v>1</v>
      </c>
      <c r="AK7141">
        <v>1</v>
      </c>
      <c r="AL7141">
        <v>1</v>
      </c>
      <c r="AM7141">
        <v>1</v>
      </c>
    </row>
    <row r="7142" spans="1:39" x14ac:dyDescent="0.2">
      <c r="A7142" t="str">
        <f>"7138"</f>
        <v>7138</v>
      </c>
      <c r="B7142" t="str">
        <f t="shared" si="395"/>
        <v>1</v>
      </c>
      <c r="C7142" t="str">
        <f t="shared" si="397"/>
        <v>143</v>
      </c>
      <c r="D7142" t="str">
        <f>"5"</f>
        <v>5</v>
      </c>
      <c r="E7142" t="str">
        <f>"1-143-5"</f>
        <v>1-143-5</v>
      </c>
      <c r="F7142" t="s">
        <v>65</v>
      </c>
      <c r="G7142" t="s">
        <v>66</v>
      </c>
      <c r="H7142" t="s">
        <v>67</v>
      </c>
      <c r="S7142">
        <v>1</v>
      </c>
      <c r="T7142">
        <v>0</v>
      </c>
      <c r="U7142">
        <v>0</v>
      </c>
      <c r="V7142">
        <v>0</v>
      </c>
      <c r="W7142">
        <v>1</v>
      </c>
      <c r="X7142">
        <v>0</v>
      </c>
      <c r="Y7142">
        <v>1</v>
      </c>
      <c r="Z7142">
        <v>0</v>
      </c>
      <c r="AA7142">
        <v>1</v>
      </c>
      <c r="AB7142">
        <v>0</v>
      </c>
      <c r="AC7142">
        <v>0</v>
      </c>
      <c r="AD7142">
        <v>1</v>
      </c>
      <c r="AE7142">
        <v>1</v>
      </c>
      <c r="AF7142">
        <v>0</v>
      </c>
      <c r="AG7142">
        <v>1</v>
      </c>
      <c r="AH7142">
        <v>1</v>
      </c>
      <c r="AI7142">
        <v>1</v>
      </c>
      <c r="AJ7142">
        <v>1</v>
      </c>
      <c r="AK7142">
        <v>1</v>
      </c>
      <c r="AL7142">
        <v>1</v>
      </c>
      <c r="AM7142">
        <v>0</v>
      </c>
    </row>
    <row r="7143" spans="1:39" x14ac:dyDescent="0.2">
      <c r="A7143" t="str">
        <f>"7139"</f>
        <v>7139</v>
      </c>
      <c r="B7143" t="str">
        <f t="shared" si="395"/>
        <v>1</v>
      </c>
      <c r="C7143" t="str">
        <f t="shared" si="397"/>
        <v>143</v>
      </c>
      <c r="D7143" t="str">
        <f>"46"</f>
        <v>46</v>
      </c>
      <c r="E7143" t="str">
        <f>"1-143-46"</f>
        <v>1-143-46</v>
      </c>
      <c r="F7143" t="s">
        <v>65</v>
      </c>
      <c r="G7143" t="s">
        <v>66</v>
      </c>
      <c r="H7143" t="s">
        <v>67</v>
      </c>
      <c r="S7143">
        <v>1</v>
      </c>
      <c r="T7143">
        <v>0</v>
      </c>
      <c r="U7143">
        <v>0</v>
      </c>
      <c r="V7143">
        <v>0</v>
      </c>
      <c r="W7143">
        <v>1</v>
      </c>
      <c r="X7143">
        <v>0</v>
      </c>
      <c r="Y7143">
        <v>1</v>
      </c>
      <c r="Z7143">
        <v>0</v>
      </c>
      <c r="AA7143">
        <v>1</v>
      </c>
      <c r="AB7143">
        <v>0</v>
      </c>
      <c r="AC7143">
        <v>0</v>
      </c>
      <c r="AD7143">
        <v>1</v>
      </c>
      <c r="AE7143">
        <v>1</v>
      </c>
      <c r="AF7143">
        <v>1</v>
      </c>
      <c r="AG7143">
        <v>1</v>
      </c>
      <c r="AH7143">
        <v>1</v>
      </c>
      <c r="AI7143">
        <v>1</v>
      </c>
      <c r="AJ7143">
        <v>1</v>
      </c>
      <c r="AK7143">
        <v>1</v>
      </c>
      <c r="AL7143">
        <v>0</v>
      </c>
      <c r="AM7143">
        <v>1</v>
      </c>
    </row>
    <row r="7144" spans="1:39" x14ac:dyDescent="0.2">
      <c r="A7144" t="str">
        <f>"7140"</f>
        <v>7140</v>
      </c>
      <c r="B7144" t="str">
        <f t="shared" si="395"/>
        <v>1</v>
      </c>
      <c r="C7144" t="str">
        <f t="shared" si="397"/>
        <v>143</v>
      </c>
      <c r="D7144" t="str">
        <f>"28"</f>
        <v>28</v>
      </c>
      <c r="E7144" t="str">
        <f>"1-143-28"</f>
        <v>1-143-28</v>
      </c>
      <c r="F7144" t="s">
        <v>65</v>
      </c>
      <c r="G7144" t="s">
        <v>66</v>
      </c>
      <c r="H7144" t="s">
        <v>67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1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</row>
    <row r="7145" spans="1:39" x14ac:dyDescent="0.2">
      <c r="A7145" t="str">
        <f>"7141"</f>
        <v>7141</v>
      </c>
      <c r="B7145" t="str">
        <f t="shared" si="395"/>
        <v>1</v>
      </c>
      <c r="C7145" t="str">
        <f t="shared" si="397"/>
        <v>143</v>
      </c>
      <c r="D7145" t="str">
        <f>"9"</f>
        <v>9</v>
      </c>
      <c r="E7145" t="str">
        <f>"1-143-9"</f>
        <v>1-143-9</v>
      </c>
      <c r="F7145" t="s">
        <v>65</v>
      </c>
      <c r="G7145" t="s">
        <v>66</v>
      </c>
      <c r="H7145" t="s">
        <v>67</v>
      </c>
      <c r="S7145">
        <v>0</v>
      </c>
      <c r="T7145">
        <v>1</v>
      </c>
      <c r="U7145">
        <v>0</v>
      </c>
      <c r="V7145">
        <v>0</v>
      </c>
      <c r="W7145">
        <v>1</v>
      </c>
      <c r="X7145">
        <v>0</v>
      </c>
      <c r="Y7145">
        <v>0</v>
      </c>
      <c r="Z7145">
        <v>1</v>
      </c>
      <c r="AA7145">
        <v>0</v>
      </c>
      <c r="AB7145">
        <v>1</v>
      </c>
      <c r="AC7145">
        <v>0</v>
      </c>
      <c r="AD7145">
        <v>1</v>
      </c>
      <c r="AE7145">
        <v>1</v>
      </c>
      <c r="AF7145">
        <v>1</v>
      </c>
      <c r="AG7145">
        <v>1</v>
      </c>
      <c r="AH7145">
        <v>1</v>
      </c>
      <c r="AI7145">
        <v>1</v>
      </c>
      <c r="AJ7145">
        <v>1</v>
      </c>
      <c r="AK7145">
        <v>1</v>
      </c>
      <c r="AL7145">
        <v>1</v>
      </c>
      <c r="AM7145">
        <v>1</v>
      </c>
    </row>
    <row r="7146" spans="1:39" x14ac:dyDescent="0.2">
      <c r="A7146" t="str">
        <f>"7142"</f>
        <v>7142</v>
      </c>
      <c r="B7146" t="str">
        <f t="shared" si="395"/>
        <v>1</v>
      </c>
      <c r="C7146" t="str">
        <f t="shared" si="397"/>
        <v>143</v>
      </c>
      <c r="D7146" t="str">
        <f>"29"</f>
        <v>29</v>
      </c>
      <c r="E7146" t="str">
        <f>"1-143-29"</f>
        <v>1-143-29</v>
      </c>
      <c r="F7146" t="s">
        <v>65</v>
      </c>
      <c r="G7146" t="s">
        <v>66</v>
      </c>
      <c r="H7146" t="s">
        <v>67</v>
      </c>
      <c r="S7146">
        <v>1</v>
      </c>
      <c r="T7146">
        <v>0</v>
      </c>
      <c r="U7146">
        <v>0</v>
      </c>
      <c r="V7146">
        <v>0</v>
      </c>
      <c r="W7146">
        <v>1</v>
      </c>
      <c r="X7146">
        <v>0</v>
      </c>
      <c r="Y7146">
        <v>0</v>
      </c>
      <c r="Z7146">
        <v>1</v>
      </c>
      <c r="AA7146">
        <v>0</v>
      </c>
      <c r="AB7146">
        <v>0</v>
      </c>
      <c r="AC7146">
        <v>1</v>
      </c>
      <c r="AD7146">
        <v>1</v>
      </c>
      <c r="AE7146">
        <v>1</v>
      </c>
      <c r="AF7146">
        <v>1</v>
      </c>
      <c r="AG7146">
        <v>1</v>
      </c>
      <c r="AH7146">
        <v>1</v>
      </c>
      <c r="AI7146">
        <v>1</v>
      </c>
      <c r="AJ7146">
        <v>1</v>
      </c>
      <c r="AK7146">
        <v>1</v>
      </c>
      <c r="AL7146">
        <v>1</v>
      </c>
      <c r="AM7146">
        <v>1</v>
      </c>
    </row>
    <row r="7147" spans="1:39" x14ac:dyDescent="0.2">
      <c r="A7147" t="str">
        <f>"7143"</f>
        <v>7143</v>
      </c>
      <c r="B7147" t="str">
        <f t="shared" si="395"/>
        <v>1</v>
      </c>
      <c r="C7147" t="str">
        <f t="shared" si="397"/>
        <v>143</v>
      </c>
      <c r="D7147" t="str">
        <f>"13"</f>
        <v>13</v>
      </c>
      <c r="E7147" t="str">
        <f>"1-143-13"</f>
        <v>1-143-13</v>
      </c>
      <c r="F7147" t="s">
        <v>65</v>
      </c>
      <c r="G7147" t="s">
        <v>66</v>
      </c>
      <c r="H7147" t="s">
        <v>67</v>
      </c>
      <c r="S7147">
        <v>1</v>
      </c>
      <c r="T7147">
        <v>0</v>
      </c>
      <c r="U7147">
        <v>0</v>
      </c>
      <c r="V7147">
        <v>0</v>
      </c>
      <c r="W7147">
        <v>1</v>
      </c>
      <c r="X7147">
        <v>0</v>
      </c>
      <c r="Y7147">
        <v>1</v>
      </c>
      <c r="Z7147">
        <v>0</v>
      </c>
      <c r="AA7147">
        <v>1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1</v>
      </c>
      <c r="AH7147">
        <v>1</v>
      </c>
      <c r="AI7147">
        <v>1</v>
      </c>
      <c r="AJ7147">
        <v>1</v>
      </c>
      <c r="AK7147">
        <v>1</v>
      </c>
      <c r="AL7147">
        <v>1</v>
      </c>
      <c r="AM7147">
        <v>1</v>
      </c>
    </row>
    <row r="7148" spans="1:39" x14ac:dyDescent="0.2">
      <c r="A7148" t="str">
        <f>"7144"</f>
        <v>7144</v>
      </c>
      <c r="B7148" t="str">
        <f t="shared" si="395"/>
        <v>1</v>
      </c>
      <c r="C7148" t="str">
        <f t="shared" si="397"/>
        <v>143</v>
      </c>
      <c r="D7148" t="str">
        <f>"30"</f>
        <v>30</v>
      </c>
      <c r="E7148" t="str">
        <f>"1-143-30"</f>
        <v>1-143-30</v>
      </c>
      <c r="F7148" t="s">
        <v>65</v>
      </c>
      <c r="G7148" t="s">
        <v>66</v>
      </c>
      <c r="H7148" t="s">
        <v>67</v>
      </c>
      <c r="S7148">
        <v>0</v>
      </c>
      <c r="T7148">
        <v>1</v>
      </c>
      <c r="U7148">
        <v>0</v>
      </c>
      <c r="V7148">
        <v>0</v>
      </c>
      <c r="W7148">
        <v>1</v>
      </c>
      <c r="X7148">
        <v>0</v>
      </c>
      <c r="Y7148">
        <v>0</v>
      </c>
      <c r="Z7148">
        <v>1</v>
      </c>
      <c r="AA7148">
        <v>1</v>
      </c>
      <c r="AB7148">
        <v>0</v>
      </c>
      <c r="AC7148">
        <v>0</v>
      </c>
      <c r="AD7148">
        <v>1</v>
      </c>
      <c r="AE7148">
        <v>1</v>
      </c>
      <c r="AF7148">
        <v>1</v>
      </c>
      <c r="AG7148">
        <v>1</v>
      </c>
      <c r="AH7148">
        <v>1</v>
      </c>
      <c r="AI7148">
        <v>1</v>
      </c>
      <c r="AJ7148">
        <v>1</v>
      </c>
      <c r="AK7148">
        <v>1</v>
      </c>
      <c r="AL7148">
        <v>1</v>
      </c>
      <c r="AM7148">
        <v>1</v>
      </c>
    </row>
    <row r="7149" spans="1:39" x14ac:dyDescent="0.2">
      <c r="A7149" t="str">
        <f>"7145"</f>
        <v>7145</v>
      </c>
      <c r="B7149" t="str">
        <f t="shared" si="395"/>
        <v>1</v>
      </c>
      <c r="C7149" t="str">
        <f t="shared" si="397"/>
        <v>143</v>
      </c>
      <c r="D7149" t="str">
        <f>"12"</f>
        <v>12</v>
      </c>
      <c r="E7149" t="str">
        <f>"1-143-12"</f>
        <v>1-143-12</v>
      </c>
      <c r="F7149" t="s">
        <v>65</v>
      </c>
      <c r="G7149" t="s">
        <v>66</v>
      </c>
      <c r="H7149" t="s">
        <v>67</v>
      </c>
      <c r="S7149">
        <v>1</v>
      </c>
      <c r="T7149">
        <v>0</v>
      </c>
      <c r="U7149">
        <v>0</v>
      </c>
      <c r="V7149">
        <v>0</v>
      </c>
      <c r="W7149">
        <v>1</v>
      </c>
      <c r="X7149">
        <v>0</v>
      </c>
      <c r="Y7149">
        <v>1</v>
      </c>
      <c r="Z7149">
        <v>0</v>
      </c>
      <c r="AA7149">
        <v>1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1</v>
      </c>
      <c r="AH7149">
        <v>0</v>
      </c>
      <c r="AI7149">
        <v>1</v>
      </c>
      <c r="AJ7149">
        <v>1</v>
      </c>
      <c r="AK7149">
        <v>1</v>
      </c>
      <c r="AL7149">
        <v>1</v>
      </c>
      <c r="AM7149">
        <v>1</v>
      </c>
    </row>
    <row r="7150" spans="1:39" x14ac:dyDescent="0.2">
      <c r="A7150" t="str">
        <f>"7146"</f>
        <v>7146</v>
      </c>
      <c r="B7150" t="str">
        <f t="shared" si="395"/>
        <v>1</v>
      </c>
      <c r="C7150" t="str">
        <f t="shared" si="397"/>
        <v>143</v>
      </c>
      <c r="D7150" t="str">
        <f>"49"</f>
        <v>49</v>
      </c>
      <c r="E7150" t="str">
        <f>"1-143-49"</f>
        <v>1-143-49</v>
      </c>
      <c r="F7150" t="s">
        <v>65</v>
      </c>
      <c r="G7150" t="s">
        <v>66</v>
      </c>
      <c r="H7150" t="s">
        <v>67</v>
      </c>
      <c r="S7150">
        <v>1</v>
      </c>
      <c r="T7150">
        <v>0</v>
      </c>
      <c r="U7150">
        <v>0</v>
      </c>
      <c r="V7150">
        <v>0</v>
      </c>
      <c r="W7150">
        <v>1</v>
      </c>
      <c r="X7150">
        <v>0</v>
      </c>
      <c r="Y7150">
        <v>1</v>
      </c>
      <c r="Z7150">
        <v>0</v>
      </c>
      <c r="AA7150">
        <v>0</v>
      </c>
      <c r="AB7150">
        <v>1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1</v>
      </c>
      <c r="AI7150">
        <v>1</v>
      </c>
      <c r="AJ7150">
        <v>0</v>
      </c>
      <c r="AK7150">
        <v>0</v>
      </c>
      <c r="AL7150">
        <v>0</v>
      </c>
      <c r="AM7150">
        <v>0</v>
      </c>
    </row>
    <row r="7151" spans="1:39" x14ac:dyDescent="0.2">
      <c r="A7151" t="str">
        <f>"7147"</f>
        <v>7147</v>
      </c>
      <c r="B7151" t="str">
        <f t="shared" si="395"/>
        <v>1</v>
      </c>
      <c r="C7151" t="str">
        <f t="shared" si="397"/>
        <v>143</v>
      </c>
      <c r="D7151" t="str">
        <f>"32"</f>
        <v>32</v>
      </c>
      <c r="E7151" t="str">
        <f>"1-143-32"</f>
        <v>1-143-32</v>
      </c>
      <c r="F7151" t="s">
        <v>65</v>
      </c>
      <c r="G7151" t="s">
        <v>66</v>
      </c>
      <c r="H7151" t="s">
        <v>67</v>
      </c>
      <c r="S7151">
        <v>1</v>
      </c>
      <c r="T7151">
        <v>0</v>
      </c>
      <c r="U7151">
        <v>0</v>
      </c>
      <c r="V7151">
        <v>0</v>
      </c>
      <c r="W7151">
        <v>1</v>
      </c>
      <c r="X7151">
        <v>0</v>
      </c>
      <c r="Y7151">
        <v>1</v>
      </c>
      <c r="Z7151">
        <v>0</v>
      </c>
      <c r="AA7151">
        <v>1</v>
      </c>
      <c r="AB7151">
        <v>0</v>
      </c>
      <c r="AC7151">
        <v>0</v>
      </c>
      <c r="AD7151">
        <v>1</v>
      </c>
      <c r="AE7151">
        <v>1</v>
      </c>
      <c r="AF7151">
        <v>1</v>
      </c>
      <c r="AG7151">
        <v>1</v>
      </c>
      <c r="AH7151">
        <v>1</v>
      </c>
      <c r="AI7151">
        <v>1</v>
      </c>
      <c r="AJ7151">
        <v>1</v>
      </c>
      <c r="AK7151">
        <v>1</v>
      </c>
      <c r="AL7151">
        <v>1</v>
      </c>
      <c r="AM7151">
        <v>1</v>
      </c>
    </row>
    <row r="7152" spans="1:39" x14ac:dyDescent="0.2">
      <c r="A7152" t="str">
        <f>"7148"</f>
        <v>7148</v>
      </c>
      <c r="B7152" t="str">
        <f t="shared" si="395"/>
        <v>1</v>
      </c>
      <c r="C7152" t="str">
        <f t="shared" si="397"/>
        <v>143</v>
      </c>
      <c r="D7152" t="str">
        <f>"3"</f>
        <v>3</v>
      </c>
      <c r="E7152" t="str">
        <f>"1-143-3"</f>
        <v>1-143-3</v>
      </c>
      <c r="F7152" t="s">
        <v>65</v>
      </c>
      <c r="G7152" t="s">
        <v>66</v>
      </c>
      <c r="H7152" t="s">
        <v>67</v>
      </c>
      <c r="S7152">
        <v>1</v>
      </c>
      <c r="T7152">
        <v>0</v>
      </c>
      <c r="U7152">
        <v>0</v>
      </c>
      <c r="V7152">
        <v>0</v>
      </c>
      <c r="W7152">
        <v>1</v>
      </c>
      <c r="X7152">
        <v>0</v>
      </c>
      <c r="Y7152">
        <v>1</v>
      </c>
      <c r="Z7152">
        <v>0</v>
      </c>
      <c r="AA7152">
        <v>0</v>
      </c>
      <c r="AB7152">
        <v>1</v>
      </c>
      <c r="AC7152">
        <v>0</v>
      </c>
      <c r="AD7152">
        <v>1</v>
      </c>
      <c r="AE7152">
        <v>1</v>
      </c>
      <c r="AF7152">
        <v>1</v>
      </c>
      <c r="AG7152">
        <v>1</v>
      </c>
      <c r="AH7152">
        <v>1</v>
      </c>
      <c r="AI7152">
        <v>1</v>
      </c>
      <c r="AJ7152">
        <v>1</v>
      </c>
      <c r="AK7152">
        <v>1</v>
      </c>
      <c r="AL7152">
        <v>1</v>
      </c>
      <c r="AM7152">
        <v>1</v>
      </c>
    </row>
    <row r="7153" spans="1:39" x14ac:dyDescent="0.2">
      <c r="A7153" t="str">
        <f>"7149"</f>
        <v>7149</v>
      </c>
      <c r="B7153" t="str">
        <f t="shared" si="395"/>
        <v>1</v>
      </c>
      <c r="C7153" t="str">
        <f t="shared" si="397"/>
        <v>143</v>
      </c>
      <c r="D7153" t="str">
        <f>"10"</f>
        <v>10</v>
      </c>
      <c r="E7153" t="str">
        <f>"1-143-10"</f>
        <v>1-143-10</v>
      </c>
      <c r="F7153" t="s">
        <v>65</v>
      </c>
      <c r="G7153" t="s">
        <v>66</v>
      </c>
      <c r="H7153" t="s">
        <v>67</v>
      </c>
      <c r="S7153">
        <v>0</v>
      </c>
      <c r="T7153">
        <v>1</v>
      </c>
      <c r="U7153">
        <v>0</v>
      </c>
      <c r="V7153">
        <v>0</v>
      </c>
      <c r="W7153">
        <v>1</v>
      </c>
      <c r="X7153">
        <v>0</v>
      </c>
      <c r="Y7153">
        <v>0</v>
      </c>
      <c r="Z7153">
        <v>1</v>
      </c>
      <c r="AA7153">
        <v>0</v>
      </c>
      <c r="AB7153">
        <v>0</v>
      </c>
      <c r="AC7153">
        <v>1</v>
      </c>
      <c r="AD7153">
        <v>1</v>
      </c>
      <c r="AE7153">
        <v>1</v>
      </c>
      <c r="AF7153">
        <v>1</v>
      </c>
      <c r="AG7153">
        <v>1</v>
      </c>
      <c r="AH7153">
        <v>1</v>
      </c>
      <c r="AI7153">
        <v>1</v>
      </c>
      <c r="AJ7153">
        <v>1</v>
      </c>
      <c r="AK7153">
        <v>1</v>
      </c>
      <c r="AL7153">
        <v>1</v>
      </c>
      <c r="AM7153">
        <v>1</v>
      </c>
    </row>
    <row r="7154" spans="1:39" x14ac:dyDescent="0.2">
      <c r="A7154" t="str">
        <f>"7150"</f>
        <v>7150</v>
      </c>
      <c r="B7154" t="str">
        <f t="shared" si="395"/>
        <v>1</v>
      </c>
      <c r="C7154" t="str">
        <f t="shared" si="397"/>
        <v>143</v>
      </c>
      <c r="D7154" t="str">
        <f>"48"</f>
        <v>48</v>
      </c>
      <c r="E7154" t="str">
        <f>"1-143-48"</f>
        <v>1-143-48</v>
      </c>
      <c r="F7154" t="s">
        <v>65</v>
      </c>
      <c r="G7154" t="s">
        <v>66</v>
      </c>
      <c r="H7154" t="s">
        <v>67</v>
      </c>
      <c r="S7154">
        <v>1</v>
      </c>
      <c r="T7154">
        <v>0</v>
      </c>
      <c r="U7154">
        <v>0</v>
      </c>
      <c r="V7154">
        <v>0</v>
      </c>
      <c r="W7154">
        <v>1</v>
      </c>
      <c r="X7154">
        <v>0</v>
      </c>
      <c r="Y7154">
        <v>1</v>
      </c>
      <c r="Z7154">
        <v>0</v>
      </c>
      <c r="AA7154">
        <v>0</v>
      </c>
      <c r="AB7154">
        <v>0</v>
      </c>
      <c r="AC7154">
        <v>1</v>
      </c>
      <c r="AD7154">
        <v>1</v>
      </c>
      <c r="AE7154">
        <v>1</v>
      </c>
      <c r="AF7154">
        <v>0</v>
      </c>
      <c r="AG7154">
        <v>1</v>
      </c>
      <c r="AH7154">
        <v>1</v>
      </c>
      <c r="AI7154">
        <v>1</v>
      </c>
      <c r="AJ7154">
        <v>1</v>
      </c>
      <c r="AK7154">
        <v>1</v>
      </c>
      <c r="AL7154">
        <v>1</v>
      </c>
      <c r="AM7154">
        <v>1</v>
      </c>
    </row>
    <row r="7155" spans="1:39" x14ac:dyDescent="0.2">
      <c r="A7155" t="str">
        <f>"7151"</f>
        <v>7151</v>
      </c>
      <c r="B7155" t="str">
        <f t="shared" si="395"/>
        <v>1</v>
      </c>
      <c r="C7155" t="str">
        <f t="shared" ref="C7155:C7186" si="398">"144"</f>
        <v>144</v>
      </c>
      <c r="D7155" t="str">
        <f>"40"</f>
        <v>40</v>
      </c>
      <c r="E7155" t="str">
        <f>"1-144-40"</f>
        <v>1-144-40</v>
      </c>
      <c r="F7155" t="s">
        <v>65</v>
      </c>
      <c r="G7155" t="s">
        <v>66</v>
      </c>
      <c r="H7155" t="s">
        <v>67</v>
      </c>
      <c r="S7155">
        <v>1</v>
      </c>
      <c r="T7155">
        <v>0</v>
      </c>
      <c r="U7155">
        <v>0</v>
      </c>
      <c r="V7155">
        <v>0</v>
      </c>
      <c r="W7155">
        <v>1</v>
      </c>
      <c r="X7155">
        <v>0</v>
      </c>
      <c r="Y7155">
        <v>1</v>
      </c>
      <c r="Z7155">
        <v>0</v>
      </c>
      <c r="AA7155">
        <v>1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1</v>
      </c>
      <c r="AH7155">
        <v>1</v>
      </c>
      <c r="AI7155">
        <v>1</v>
      </c>
      <c r="AJ7155">
        <v>1</v>
      </c>
      <c r="AK7155">
        <v>1</v>
      </c>
      <c r="AL7155">
        <v>1</v>
      </c>
      <c r="AM7155">
        <v>1</v>
      </c>
    </row>
    <row r="7156" spans="1:39" x14ac:dyDescent="0.2">
      <c r="A7156" t="str">
        <f>"7152"</f>
        <v>7152</v>
      </c>
      <c r="B7156" t="str">
        <f t="shared" si="395"/>
        <v>1</v>
      </c>
      <c r="C7156" t="str">
        <f t="shared" si="398"/>
        <v>144</v>
      </c>
      <c r="D7156" t="str">
        <f>"39"</f>
        <v>39</v>
      </c>
      <c r="E7156" t="str">
        <f>"1-144-39"</f>
        <v>1-144-39</v>
      </c>
      <c r="F7156" t="s">
        <v>65</v>
      </c>
      <c r="G7156" t="s">
        <v>66</v>
      </c>
      <c r="H7156" t="s">
        <v>67</v>
      </c>
      <c r="S7156">
        <v>1</v>
      </c>
      <c r="T7156">
        <v>0</v>
      </c>
      <c r="U7156">
        <v>0</v>
      </c>
      <c r="V7156">
        <v>0</v>
      </c>
      <c r="W7156">
        <v>1</v>
      </c>
      <c r="X7156">
        <v>0</v>
      </c>
      <c r="Y7156">
        <v>1</v>
      </c>
      <c r="Z7156">
        <v>0</v>
      </c>
      <c r="AA7156">
        <v>1</v>
      </c>
      <c r="AB7156">
        <v>0</v>
      </c>
      <c r="AC7156">
        <v>0</v>
      </c>
      <c r="AD7156">
        <v>1</v>
      </c>
      <c r="AE7156">
        <v>1</v>
      </c>
      <c r="AF7156">
        <v>1</v>
      </c>
      <c r="AG7156">
        <v>1</v>
      </c>
      <c r="AH7156">
        <v>1</v>
      </c>
      <c r="AI7156">
        <v>1</v>
      </c>
      <c r="AJ7156">
        <v>1</v>
      </c>
      <c r="AK7156">
        <v>1</v>
      </c>
      <c r="AL7156">
        <v>1</v>
      </c>
      <c r="AM7156">
        <v>1</v>
      </c>
    </row>
    <row r="7157" spans="1:39" x14ac:dyDescent="0.2">
      <c r="A7157" t="str">
        <f>"7153"</f>
        <v>7153</v>
      </c>
      <c r="B7157" t="str">
        <f t="shared" si="395"/>
        <v>1</v>
      </c>
      <c r="C7157" t="str">
        <f t="shared" si="398"/>
        <v>144</v>
      </c>
      <c r="D7157" t="str">
        <f>"34"</f>
        <v>34</v>
      </c>
      <c r="E7157" t="str">
        <f>"1-144-34"</f>
        <v>1-144-34</v>
      </c>
      <c r="F7157" t="s">
        <v>65</v>
      </c>
      <c r="G7157" t="s">
        <v>66</v>
      </c>
      <c r="H7157" t="s">
        <v>67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1</v>
      </c>
      <c r="Y7157">
        <v>1</v>
      </c>
      <c r="Z7157">
        <v>0</v>
      </c>
      <c r="AA7157">
        <v>0</v>
      </c>
      <c r="AB7157">
        <v>1</v>
      </c>
      <c r="AC7157">
        <v>0</v>
      </c>
      <c r="AD7157">
        <v>1</v>
      </c>
      <c r="AE7157">
        <v>1</v>
      </c>
      <c r="AF7157">
        <v>1</v>
      </c>
      <c r="AG7157">
        <v>1</v>
      </c>
      <c r="AH7157">
        <v>1</v>
      </c>
      <c r="AI7157">
        <v>1</v>
      </c>
      <c r="AJ7157">
        <v>1</v>
      </c>
      <c r="AK7157">
        <v>1</v>
      </c>
      <c r="AL7157">
        <v>1</v>
      </c>
      <c r="AM7157">
        <v>1</v>
      </c>
    </row>
    <row r="7158" spans="1:39" x14ac:dyDescent="0.2">
      <c r="A7158" t="str">
        <f>"7154"</f>
        <v>7154</v>
      </c>
      <c r="B7158" t="str">
        <f t="shared" si="395"/>
        <v>1</v>
      </c>
      <c r="C7158" t="str">
        <f t="shared" si="398"/>
        <v>144</v>
      </c>
      <c r="D7158" t="str">
        <f>"33"</f>
        <v>33</v>
      </c>
      <c r="E7158" t="str">
        <f>"1-144-33"</f>
        <v>1-144-33</v>
      </c>
      <c r="F7158" t="s">
        <v>65</v>
      </c>
      <c r="G7158" t="s">
        <v>66</v>
      </c>
      <c r="H7158" t="s">
        <v>67</v>
      </c>
      <c r="S7158">
        <v>1</v>
      </c>
      <c r="T7158">
        <v>0</v>
      </c>
      <c r="U7158">
        <v>0</v>
      </c>
      <c r="V7158">
        <v>0</v>
      </c>
      <c r="W7158">
        <v>1</v>
      </c>
      <c r="X7158">
        <v>0</v>
      </c>
      <c r="Y7158">
        <v>1</v>
      </c>
      <c r="Z7158">
        <v>0</v>
      </c>
      <c r="AA7158">
        <v>0</v>
      </c>
      <c r="AB7158">
        <v>1</v>
      </c>
      <c r="AC7158">
        <v>0</v>
      </c>
      <c r="AD7158">
        <v>1</v>
      </c>
      <c r="AE7158">
        <v>1</v>
      </c>
      <c r="AF7158">
        <v>1</v>
      </c>
      <c r="AG7158">
        <v>1</v>
      </c>
      <c r="AH7158">
        <v>1</v>
      </c>
      <c r="AI7158">
        <v>1</v>
      </c>
      <c r="AJ7158">
        <v>1</v>
      </c>
      <c r="AK7158">
        <v>1</v>
      </c>
      <c r="AL7158">
        <v>1</v>
      </c>
      <c r="AM7158">
        <v>1</v>
      </c>
    </row>
    <row r="7159" spans="1:39" x14ac:dyDescent="0.2">
      <c r="A7159" t="str">
        <f>"7155"</f>
        <v>7155</v>
      </c>
      <c r="B7159" t="str">
        <f t="shared" ref="B7159:B7222" si="399">"1"</f>
        <v>1</v>
      </c>
      <c r="C7159" t="str">
        <f t="shared" si="398"/>
        <v>144</v>
      </c>
      <c r="D7159" t="str">
        <f>"19"</f>
        <v>19</v>
      </c>
      <c r="E7159" t="str">
        <f>"1-144-19"</f>
        <v>1-144-19</v>
      </c>
      <c r="F7159" t="s">
        <v>65</v>
      </c>
      <c r="G7159" t="s">
        <v>66</v>
      </c>
      <c r="H7159" t="s">
        <v>67</v>
      </c>
      <c r="S7159">
        <v>1</v>
      </c>
      <c r="T7159">
        <v>0</v>
      </c>
      <c r="U7159">
        <v>0</v>
      </c>
      <c r="V7159">
        <v>0</v>
      </c>
      <c r="W7159">
        <v>1</v>
      </c>
      <c r="X7159">
        <v>0</v>
      </c>
      <c r="Y7159">
        <v>1</v>
      </c>
      <c r="Z7159">
        <v>0</v>
      </c>
      <c r="AA7159">
        <v>0</v>
      </c>
      <c r="AB7159">
        <v>1</v>
      </c>
      <c r="AC7159">
        <v>0</v>
      </c>
      <c r="AD7159">
        <v>0</v>
      </c>
      <c r="AE7159">
        <v>0</v>
      </c>
      <c r="AF7159">
        <v>0</v>
      </c>
      <c r="AG7159">
        <v>1</v>
      </c>
      <c r="AH7159">
        <v>0</v>
      </c>
      <c r="AI7159">
        <v>1</v>
      </c>
      <c r="AJ7159">
        <v>0</v>
      </c>
      <c r="AK7159">
        <v>0</v>
      </c>
      <c r="AL7159">
        <v>1</v>
      </c>
      <c r="AM7159">
        <v>0</v>
      </c>
    </row>
    <row r="7160" spans="1:39" x14ac:dyDescent="0.2">
      <c r="A7160" t="str">
        <f>"7156"</f>
        <v>7156</v>
      </c>
      <c r="B7160" t="str">
        <f t="shared" si="399"/>
        <v>1</v>
      </c>
      <c r="C7160" t="str">
        <f t="shared" si="398"/>
        <v>144</v>
      </c>
      <c r="D7160" t="str">
        <f>"18"</f>
        <v>18</v>
      </c>
      <c r="E7160" t="str">
        <f>"1-144-18"</f>
        <v>1-144-18</v>
      </c>
      <c r="F7160" t="s">
        <v>65</v>
      </c>
      <c r="G7160" t="s">
        <v>66</v>
      </c>
      <c r="H7160" t="s">
        <v>67</v>
      </c>
      <c r="S7160">
        <v>1</v>
      </c>
      <c r="T7160">
        <v>0</v>
      </c>
      <c r="U7160">
        <v>0</v>
      </c>
      <c r="V7160">
        <v>0</v>
      </c>
      <c r="W7160">
        <v>1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1</v>
      </c>
      <c r="AM7160">
        <v>0</v>
      </c>
    </row>
    <row r="7161" spans="1:39" x14ac:dyDescent="0.2">
      <c r="A7161" t="str">
        <f>"7157"</f>
        <v>7157</v>
      </c>
      <c r="B7161" t="str">
        <f t="shared" si="399"/>
        <v>1</v>
      </c>
      <c r="C7161" t="str">
        <f t="shared" si="398"/>
        <v>144</v>
      </c>
      <c r="D7161" t="str">
        <f>"17"</f>
        <v>17</v>
      </c>
      <c r="E7161" t="str">
        <f>"1-144-17"</f>
        <v>1-144-17</v>
      </c>
      <c r="F7161" t="s">
        <v>65</v>
      </c>
      <c r="G7161" t="s">
        <v>66</v>
      </c>
      <c r="H7161" t="s">
        <v>67</v>
      </c>
      <c r="S7161">
        <v>1</v>
      </c>
      <c r="T7161">
        <v>0</v>
      </c>
      <c r="U7161">
        <v>0</v>
      </c>
      <c r="V7161">
        <v>0</v>
      </c>
      <c r="W7161">
        <v>1</v>
      </c>
      <c r="X7161">
        <v>0</v>
      </c>
      <c r="Y7161">
        <v>1</v>
      </c>
      <c r="Z7161">
        <v>0</v>
      </c>
      <c r="AA7161">
        <v>0</v>
      </c>
      <c r="AB7161">
        <v>0</v>
      </c>
      <c r="AC7161">
        <v>1</v>
      </c>
      <c r="AD7161">
        <v>1</v>
      </c>
      <c r="AE7161">
        <v>1</v>
      </c>
      <c r="AF7161">
        <v>1</v>
      </c>
      <c r="AG7161">
        <v>1</v>
      </c>
      <c r="AH7161">
        <v>1</v>
      </c>
      <c r="AI7161">
        <v>1</v>
      </c>
      <c r="AJ7161">
        <v>1</v>
      </c>
      <c r="AK7161">
        <v>1</v>
      </c>
      <c r="AL7161">
        <v>1</v>
      </c>
      <c r="AM7161">
        <v>1</v>
      </c>
    </row>
    <row r="7162" spans="1:39" x14ac:dyDescent="0.2">
      <c r="A7162" t="str">
        <f>"7158"</f>
        <v>7158</v>
      </c>
      <c r="B7162" t="str">
        <f t="shared" si="399"/>
        <v>1</v>
      </c>
      <c r="C7162" t="str">
        <f t="shared" si="398"/>
        <v>144</v>
      </c>
      <c r="D7162" t="str">
        <f>"15"</f>
        <v>15</v>
      </c>
      <c r="E7162" t="str">
        <f>"1-144-15"</f>
        <v>1-144-15</v>
      </c>
      <c r="F7162" t="s">
        <v>65</v>
      </c>
      <c r="G7162" t="s">
        <v>66</v>
      </c>
      <c r="H7162" t="s">
        <v>67</v>
      </c>
      <c r="S7162">
        <v>1</v>
      </c>
      <c r="T7162">
        <v>0</v>
      </c>
      <c r="U7162">
        <v>0</v>
      </c>
      <c r="V7162">
        <v>0</v>
      </c>
      <c r="W7162">
        <v>1</v>
      </c>
      <c r="X7162">
        <v>0</v>
      </c>
      <c r="Y7162">
        <v>1</v>
      </c>
      <c r="Z7162">
        <v>0</v>
      </c>
      <c r="AA7162">
        <v>1</v>
      </c>
      <c r="AB7162">
        <v>0</v>
      </c>
      <c r="AC7162">
        <v>0</v>
      </c>
      <c r="AD7162">
        <v>1</v>
      </c>
      <c r="AE7162">
        <v>1</v>
      </c>
      <c r="AF7162">
        <v>1</v>
      </c>
      <c r="AG7162">
        <v>1</v>
      </c>
      <c r="AH7162">
        <v>1</v>
      </c>
      <c r="AI7162">
        <v>1</v>
      </c>
      <c r="AJ7162">
        <v>1</v>
      </c>
      <c r="AK7162">
        <v>1</v>
      </c>
      <c r="AL7162">
        <v>1</v>
      </c>
      <c r="AM7162">
        <v>1</v>
      </c>
    </row>
    <row r="7163" spans="1:39" x14ac:dyDescent="0.2">
      <c r="A7163" t="str">
        <f>"7159"</f>
        <v>7159</v>
      </c>
      <c r="B7163" t="str">
        <f t="shared" si="399"/>
        <v>1</v>
      </c>
      <c r="C7163" t="str">
        <f t="shared" si="398"/>
        <v>144</v>
      </c>
      <c r="D7163" t="str">
        <f>"1"</f>
        <v>1</v>
      </c>
      <c r="E7163" t="str">
        <f>"1-144-1"</f>
        <v>1-144-1</v>
      </c>
      <c r="F7163" t="s">
        <v>65</v>
      </c>
      <c r="G7163" t="s">
        <v>66</v>
      </c>
      <c r="H7163" t="s">
        <v>67</v>
      </c>
      <c r="S7163">
        <v>1</v>
      </c>
      <c r="T7163">
        <v>0</v>
      </c>
      <c r="U7163">
        <v>0</v>
      </c>
      <c r="V7163">
        <v>0</v>
      </c>
      <c r="W7163">
        <v>1</v>
      </c>
      <c r="X7163">
        <v>0</v>
      </c>
      <c r="Y7163">
        <v>0</v>
      </c>
      <c r="Z7163">
        <v>1</v>
      </c>
      <c r="AA7163">
        <v>0</v>
      </c>
      <c r="AB7163">
        <v>1</v>
      </c>
      <c r="AC7163">
        <v>0</v>
      </c>
      <c r="AD7163">
        <v>1</v>
      </c>
      <c r="AE7163">
        <v>1</v>
      </c>
      <c r="AF7163">
        <v>1</v>
      </c>
      <c r="AG7163">
        <v>1</v>
      </c>
      <c r="AH7163">
        <v>1</v>
      </c>
      <c r="AI7163">
        <v>1</v>
      </c>
      <c r="AJ7163">
        <v>1</v>
      </c>
      <c r="AK7163">
        <v>1</v>
      </c>
      <c r="AL7163">
        <v>1</v>
      </c>
      <c r="AM7163">
        <v>1</v>
      </c>
    </row>
    <row r="7164" spans="1:39" x14ac:dyDescent="0.2">
      <c r="A7164" t="str">
        <f>"7160"</f>
        <v>7160</v>
      </c>
      <c r="B7164" t="str">
        <f t="shared" si="399"/>
        <v>1</v>
      </c>
      <c r="C7164" t="str">
        <f t="shared" si="398"/>
        <v>144</v>
      </c>
      <c r="D7164" t="str">
        <f>"36"</f>
        <v>36</v>
      </c>
      <c r="E7164" t="str">
        <f>"1-144-36"</f>
        <v>1-144-36</v>
      </c>
      <c r="F7164" t="s">
        <v>65</v>
      </c>
      <c r="G7164" t="s">
        <v>66</v>
      </c>
      <c r="H7164" t="s">
        <v>67</v>
      </c>
      <c r="S7164">
        <v>1</v>
      </c>
      <c r="T7164">
        <v>0</v>
      </c>
      <c r="U7164">
        <v>0</v>
      </c>
      <c r="V7164">
        <v>0</v>
      </c>
      <c r="W7164">
        <v>1</v>
      </c>
      <c r="X7164">
        <v>0</v>
      </c>
      <c r="Y7164">
        <v>1</v>
      </c>
      <c r="Z7164">
        <v>0</v>
      </c>
      <c r="AA7164">
        <v>1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1</v>
      </c>
      <c r="AJ7164">
        <v>0</v>
      </c>
      <c r="AK7164">
        <v>0</v>
      </c>
      <c r="AL7164">
        <v>1</v>
      </c>
      <c r="AM7164">
        <v>0</v>
      </c>
    </row>
    <row r="7165" spans="1:39" x14ac:dyDescent="0.2">
      <c r="A7165" t="str">
        <f>"7161"</f>
        <v>7161</v>
      </c>
      <c r="B7165" t="str">
        <f t="shared" si="399"/>
        <v>1</v>
      </c>
      <c r="C7165" t="str">
        <f t="shared" si="398"/>
        <v>144</v>
      </c>
      <c r="D7165" t="str">
        <f>"35"</f>
        <v>35</v>
      </c>
      <c r="E7165" t="str">
        <f>"1-144-35"</f>
        <v>1-144-35</v>
      </c>
      <c r="F7165" t="s">
        <v>65</v>
      </c>
      <c r="G7165" t="s">
        <v>66</v>
      </c>
      <c r="H7165" t="s">
        <v>67</v>
      </c>
      <c r="S7165">
        <v>0</v>
      </c>
      <c r="T7165">
        <v>1</v>
      </c>
      <c r="U7165">
        <v>0</v>
      </c>
      <c r="V7165">
        <v>0</v>
      </c>
      <c r="W7165">
        <v>1</v>
      </c>
      <c r="X7165">
        <v>0</v>
      </c>
      <c r="Y7165">
        <v>0</v>
      </c>
      <c r="Z7165">
        <v>1</v>
      </c>
      <c r="AA7165">
        <v>0</v>
      </c>
      <c r="AB7165">
        <v>0</v>
      </c>
      <c r="AC7165">
        <v>1</v>
      </c>
      <c r="AD7165">
        <v>1</v>
      </c>
      <c r="AE7165">
        <v>1</v>
      </c>
      <c r="AF7165">
        <v>1</v>
      </c>
      <c r="AG7165">
        <v>1</v>
      </c>
      <c r="AH7165">
        <v>1</v>
      </c>
      <c r="AI7165">
        <v>1</v>
      </c>
      <c r="AJ7165">
        <v>1</v>
      </c>
      <c r="AK7165">
        <v>1</v>
      </c>
      <c r="AL7165">
        <v>1</v>
      </c>
      <c r="AM7165">
        <v>1</v>
      </c>
    </row>
    <row r="7166" spans="1:39" x14ac:dyDescent="0.2">
      <c r="A7166" t="str">
        <f>"7162"</f>
        <v>7162</v>
      </c>
      <c r="B7166" t="str">
        <f t="shared" si="399"/>
        <v>1</v>
      </c>
      <c r="C7166" t="str">
        <f t="shared" si="398"/>
        <v>144</v>
      </c>
      <c r="D7166" t="str">
        <f>"29"</f>
        <v>29</v>
      </c>
      <c r="E7166" t="str">
        <f>"1-144-29"</f>
        <v>1-144-29</v>
      </c>
      <c r="F7166" t="s">
        <v>65</v>
      </c>
      <c r="G7166" t="s">
        <v>66</v>
      </c>
      <c r="H7166" t="s">
        <v>67</v>
      </c>
      <c r="S7166">
        <v>1</v>
      </c>
      <c r="T7166">
        <v>0</v>
      </c>
      <c r="U7166">
        <v>0</v>
      </c>
      <c r="V7166">
        <v>0</v>
      </c>
      <c r="W7166">
        <v>1</v>
      </c>
      <c r="X7166">
        <v>0</v>
      </c>
      <c r="Y7166">
        <v>1</v>
      </c>
      <c r="Z7166">
        <v>0</v>
      </c>
      <c r="AA7166">
        <v>1</v>
      </c>
      <c r="AB7166">
        <v>0</v>
      </c>
      <c r="AC7166">
        <v>0</v>
      </c>
      <c r="AD7166">
        <v>1</v>
      </c>
      <c r="AE7166">
        <v>1</v>
      </c>
      <c r="AF7166">
        <v>1</v>
      </c>
      <c r="AG7166">
        <v>1</v>
      </c>
      <c r="AH7166">
        <v>1</v>
      </c>
      <c r="AI7166">
        <v>1</v>
      </c>
      <c r="AJ7166">
        <v>1</v>
      </c>
      <c r="AK7166">
        <v>1</v>
      </c>
      <c r="AL7166">
        <v>1</v>
      </c>
      <c r="AM7166">
        <v>1</v>
      </c>
    </row>
    <row r="7167" spans="1:39" x14ac:dyDescent="0.2">
      <c r="A7167" t="str">
        <f>"7163"</f>
        <v>7163</v>
      </c>
      <c r="B7167" t="str">
        <f t="shared" si="399"/>
        <v>1</v>
      </c>
      <c r="C7167" t="str">
        <f t="shared" si="398"/>
        <v>144</v>
      </c>
      <c r="D7167" t="str">
        <f>"16"</f>
        <v>16</v>
      </c>
      <c r="E7167" t="str">
        <f>"1-144-16"</f>
        <v>1-144-16</v>
      </c>
      <c r="F7167" t="s">
        <v>65</v>
      </c>
      <c r="G7167" t="s">
        <v>66</v>
      </c>
      <c r="H7167" t="s">
        <v>67</v>
      </c>
      <c r="S7167">
        <v>1</v>
      </c>
      <c r="T7167">
        <v>0</v>
      </c>
      <c r="U7167">
        <v>0</v>
      </c>
      <c r="V7167">
        <v>0</v>
      </c>
      <c r="W7167">
        <v>1</v>
      </c>
      <c r="X7167">
        <v>0</v>
      </c>
      <c r="Y7167">
        <v>1</v>
      </c>
      <c r="Z7167">
        <v>0</v>
      </c>
      <c r="AA7167">
        <v>0</v>
      </c>
      <c r="AB7167">
        <v>1</v>
      </c>
      <c r="AC7167">
        <v>0</v>
      </c>
      <c r="AD7167">
        <v>1</v>
      </c>
      <c r="AE7167">
        <v>1</v>
      </c>
      <c r="AF7167">
        <v>1</v>
      </c>
      <c r="AG7167">
        <v>1</v>
      </c>
      <c r="AH7167">
        <v>1</v>
      </c>
      <c r="AI7167">
        <v>1</v>
      </c>
      <c r="AJ7167">
        <v>1</v>
      </c>
      <c r="AK7167">
        <v>1</v>
      </c>
      <c r="AL7167">
        <v>1</v>
      </c>
      <c r="AM7167">
        <v>1</v>
      </c>
    </row>
    <row r="7168" spans="1:39" x14ac:dyDescent="0.2">
      <c r="A7168" t="str">
        <f>"7164"</f>
        <v>7164</v>
      </c>
      <c r="B7168" t="str">
        <f t="shared" si="399"/>
        <v>1</v>
      </c>
      <c r="C7168" t="str">
        <f t="shared" si="398"/>
        <v>144</v>
      </c>
      <c r="D7168" t="str">
        <f>"38"</f>
        <v>38</v>
      </c>
      <c r="E7168" t="str">
        <f>"1-144-38"</f>
        <v>1-144-38</v>
      </c>
      <c r="F7168" t="s">
        <v>65</v>
      </c>
      <c r="G7168" t="s">
        <v>66</v>
      </c>
      <c r="H7168" t="s">
        <v>67</v>
      </c>
      <c r="S7168">
        <v>1</v>
      </c>
      <c r="T7168">
        <v>0</v>
      </c>
      <c r="U7168">
        <v>0</v>
      </c>
      <c r="V7168">
        <v>0</v>
      </c>
      <c r="W7168">
        <v>1</v>
      </c>
      <c r="X7168">
        <v>0</v>
      </c>
      <c r="Y7168">
        <v>1</v>
      </c>
      <c r="Z7168">
        <v>0</v>
      </c>
      <c r="AA7168">
        <v>0</v>
      </c>
      <c r="AB7168">
        <v>1</v>
      </c>
      <c r="AC7168">
        <v>0</v>
      </c>
      <c r="AD7168">
        <v>1</v>
      </c>
      <c r="AE7168">
        <v>1</v>
      </c>
      <c r="AF7168">
        <v>1</v>
      </c>
      <c r="AG7168">
        <v>1</v>
      </c>
      <c r="AH7168">
        <v>1</v>
      </c>
      <c r="AI7168">
        <v>1</v>
      </c>
      <c r="AJ7168">
        <v>1</v>
      </c>
      <c r="AK7168">
        <v>1</v>
      </c>
      <c r="AL7168">
        <v>1</v>
      </c>
      <c r="AM7168">
        <v>1</v>
      </c>
    </row>
    <row r="7169" spans="1:39" x14ac:dyDescent="0.2">
      <c r="A7169" t="str">
        <f>"7165"</f>
        <v>7165</v>
      </c>
      <c r="B7169" t="str">
        <f t="shared" si="399"/>
        <v>1</v>
      </c>
      <c r="C7169" t="str">
        <f t="shared" si="398"/>
        <v>144</v>
      </c>
      <c r="D7169" t="str">
        <f>"20"</f>
        <v>20</v>
      </c>
      <c r="E7169" t="str">
        <f>"1-144-20"</f>
        <v>1-144-20</v>
      </c>
      <c r="F7169" t="s">
        <v>65</v>
      </c>
      <c r="G7169" t="s">
        <v>66</v>
      </c>
      <c r="H7169" t="s">
        <v>67</v>
      </c>
      <c r="S7169">
        <v>1</v>
      </c>
      <c r="T7169">
        <v>0</v>
      </c>
      <c r="U7169">
        <v>0</v>
      </c>
      <c r="V7169">
        <v>0</v>
      </c>
      <c r="W7169">
        <v>1</v>
      </c>
      <c r="X7169">
        <v>0</v>
      </c>
      <c r="Y7169">
        <v>1</v>
      </c>
      <c r="Z7169">
        <v>0</v>
      </c>
      <c r="AA7169">
        <v>1</v>
      </c>
      <c r="AB7169">
        <v>0</v>
      </c>
      <c r="AC7169">
        <v>0</v>
      </c>
      <c r="AD7169">
        <v>1</v>
      </c>
      <c r="AE7169">
        <v>1</v>
      </c>
      <c r="AF7169">
        <v>1</v>
      </c>
      <c r="AG7169">
        <v>1</v>
      </c>
      <c r="AH7169">
        <v>1</v>
      </c>
      <c r="AI7169">
        <v>1</v>
      </c>
      <c r="AJ7169">
        <v>1</v>
      </c>
      <c r="AK7169">
        <v>1</v>
      </c>
      <c r="AL7169">
        <v>1</v>
      </c>
      <c r="AM7169">
        <v>1</v>
      </c>
    </row>
    <row r="7170" spans="1:39" x14ac:dyDescent="0.2">
      <c r="A7170" t="str">
        <f>"7166"</f>
        <v>7166</v>
      </c>
      <c r="B7170" t="str">
        <f t="shared" si="399"/>
        <v>1</v>
      </c>
      <c r="C7170" t="str">
        <f t="shared" si="398"/>
        <v>144</v>
      </c>
      <c r="D7170" t="str">
        <f>"37"</f>
        <v>37</v>
      </c>
      <c r="E7170" t="str">
        <f>"1-144-37"</f>
        <v>1-144-37</v>
      </c>
      <c r="F7170" t="s">
        <v>65</v>
      </c>
      <c r="G7170" t="s">
        <v>66</v>
      </c>
      <c r="H7170" t="s">
        <v>67</v>
      </c>
      <c r="S7170">
        <v>1</v>
      </c>
      <c r="T7170">
        <v>0</v>
      </c>
      <c r="U7170">
        <v>0</v>
      </c>
      <c r="V7170">
        <v>0</v>
      </c>
      <c r="W7170">
        <v>1</v>
      </c>
      <c r="X7170">
        <v>0</v>
      </c>
      <c r="Y7170">
        <v>1</v>
      </c>
      <c r="Z7170">
        <v>0</v>
      </c>
      <c r="AA7170">
        <v>1</v>
      </c>
      <c r="AB7170">
        <v>0</v>
      </c>
      <c r="AC7170">
        <v>0</v>
      </c>
      <c r="AD7170">
        <v>1</v>
      </c>
      <c r="AE7170">
        <v>1</v>
      </c>
      <c r="AF7170">
        <v>1</v>
      </c>
      <c r="AG7170">
        <v>1</v>
      </c>
      <c r="AH7170">
        <v>1</v>
      </c>
      <c r="AI7170">
        <v>1</v>
      </c>
      <c r="AJ7170">
        <v>1</v>
      </c>
      <c r="AK7170">
        <v>1</v>
      </c>
      <c r="AL7170">
        <v>1</v>
      </c>
      <c r="AM7170">
        <v>1</v>
      </c>
    </row>
    <row r="7171" spans="1:39" x14ac:dyDescent="0.2">
      <c r="A7171" t="str">
        <f>"7167"</f>
        <v>7167</v>
      </c>
      <c r="B7171" t="str">
        <f t="shared" si="399"/>
        <v>1</v>
      </c>
      <c r="C7171" t="str">
        <f t="shared" si="398"/>
        <v>144</v>
      </c>
      <c r="D7171" t="str">
        <f>"21"</f>
        <v>21</v>
      </c>
      <c r="E7171" t="str">
        <f>"1-144-21"</f>
        <v>1-144-21</v>
      </c>
      <c r="F7171" t="s">
        <v>65</v>
      </c>
      <c r="G7171" t="s">
        <v>66</v>
      </c>
      <c r="H7171" t="s">
        <v>67</v>
      </c>
      <c r="S7171">
        <v>1</v>
      </c>
      <c r="T7171">
        <v>0</v>
      </c>
      <c r="U7171">
        <v>0</v>
      </c>
      <c r="V7171">
        <v>0</v>
      </c>
      <c r="W7171">
        <v>1</v>
      </c>
      <c r="X7171">
        <v>0</v>
      </c>
      <c r="Y7171">
        <v>1</v>
      </c>
      <c r="Z7171">
        <v>0</v>
      </c>
      <c r="AA7171">
        <v>1</v>
      </c>
      <c r="AB7171">
        <v>0</v>
      </c>
      <c r="AC7171">
        <v>0</v>
      </c>
      <c r="AD7171">
        <v>1</v>
      </c>
      <c r="AE7171">
        <v>1</v>
      </c>
      <c r="AF7171">
        <v>1</v>
      </c>
      <c r="AG7171">
        <v>1</v>
      </c>
      <c r="AH7171">
        <v>1</v>
      </c>
      <c r="AI7171">
        <v>1</v>
      </c>
      <c r="AJ7171">
        <v>1</v>
      </c>
      <c r="AK7171">
        <v>1</v>
      </c>
      <c r="AL7171">
        <v>1</v>
      </c>
      <c r="AM7171">
        <v>1</v>
      </c>
    </row>
    <row r="7172" spans="1:39" x14ac:dyDescent="0.2">
      <c r="A7172" t="str">
        <f>"7168"</f>
        <v>7168</v>
      </c>
      <c r="B7172" t="str">
        <f t="shared" si="399"/>
        <v>1</v>
      </c>
      <c r="C7172" t="str">
        <f t="shared" si="398"/>
        <v>144</v>
      </c>
      <c r="D7172" t="str">
        <f>"13"</f>
        <v>13</v>
      </c>
      <c r="E7172" t="str">
        <f>"1-144-13"</f>
        <v>1-144-13</v>
      </c>
      <c r="F7172" t="s">
        <v>65</v>
      </c>
      <c r="G7172" t="s">
        <v>66</v>
      </c>
      <c r="H7172" t="s">
        <v>67</v>
      </c>
      <c r="S7172">
        <v>1</v>
      </c>
      <c r="T7172">
        <v>0</v>
      </c>
      <c r="U7172">
        <v>0</v>
      </c>
      <c r="V7172">
        <v>0</v>
      </c>
      <c r="W7172">
        <v>1</v>
      </c>
      <c r="X7172">
        <v>0</v>
      </c>
      <c r="Y7172">
        <v>1</v>
      </c>
      <c r="Z7172">
        <v>0</v>
      </c>
      <c r="AA7172">
        <v>1</v>
      </c>
      <c r="AB7172">
        <v>0</v>
      </c>
      <c r="AC7172">
        <v>0</v>
      </c>
      <c r="AD7172">
        <v>1</v>
      </c>
      <c r="AE7172">
        <v>1</v>
      </c>
      <c r="AF7172">
        <v>1</v>
      </c>
      <c r="AG7172">
        <v>1</v>
      </c>
      <c r="AH7172">
        <v>1</v>
      </c>
      <c r="AI7172">
        <v>1</v>
      </c>
      <c r="AJ7172">
        <v>1</v>
      </c>
      <c r="AK7172">
        <v>1</v>
      </c>
      <c r="AL7172">
        <v>1</v>
      </c>
      <c r="AM7172">
        <v>1</v>
      </c>
    </row>
    <row r="7173" spans="1:39" x14ac:dyDescent="0.2">
      <c r="A7173" t="str">
        <f>"7169"</f>
        <v>7169</v>
      </c>
      <c r="B7173" t="str">
        <f t="shared" si="399"/>
        <v>1</v>
      </c>
      <c r="C7173" t="str">
        <f t="shared" si="398"/>
        <v>144</v>
      </c>
      <c r="D7173" t="str">
        <f>"42"</f>
        <v>42</v>
      </c>
      <c r="E7173" t="str">
        <f>"1-144-42"</f>
        <v>1-144-42</v>
      </c>
      <c r="F7173" t="s">
        <v>65</v>
      </c>
      <c r="G7173" t="s">
        <v>66</v>
      </c>
      <c r="H7173" t="s">
        <v>67</v>
      </c>
      <c r="S7173">
        <v>0</v>
      </c>
      <c r="T7173">
        <v>1</v>
      </c>
      <c r="U7173">
        <v>0</v>
      </c>
      <c r="V7173">
        <v>0</v>
      </c>
      <c r="W7173">
        <v>0</v>
      </c>
      <c r="X7173">
        <v>1</v>
      </c>
      <c r="Y7173">
        <v>0</v>
      </c>
      <c r="Z7173">
        <v>1</v>
      </c>
      <c r="AA7173">
        <v>0</v>
      </c>
      <c r="AB7173">
        <v>0</v>
      </c>
      <c r="AC7173">
        <v>1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1</v>
      </c>
    </row>
    <row r="7174" spans="1:39" x14ac:dyDescent="0.2">
      <c r="A7174" t="str">
        <f>"7170"</f>
        <v>7170</v>
      </c>
      <c r="B7174" t="str">
        <f t="shared" si="399"/>
        <v>1</v>
      </c>
      <c r="C7174" t="str">
        <f t="shared" si="398"/>
        <v>144</v>
      </c>
      <c r="D7174" t="str">
        <f>"22"</f>
        <v>22</v>
      </c>
      <c r="E7174" t="str">
        <f>"1-144-22"</f>
        <v>1-144-22</v>
      </c>
      <c r="F7174" t="s">
        <v>65</v>
      </c>
      <c r="G7174" t="s">
        <v>66</v>
      </c>
      <c r="H7174" t="s">
        <v>67</v>
      </c>
      <c r="S7174">
        <v>1</v>
      </c>
      <c r="T7174">
        <v>0</v>
      </c>
      <c r="U7174">
        <v>0</v>
      </c>
      <c r="V7174">
        <v>0</v>
      </c>
      <c r="W7174">
        <v>1</v>
      </c>
      <c r="X7174">
        <v>0</v>
      </c>
      <c r="Y7174">
        <v>1</v>
      </c>
      <c r="Z7174">
        <v>0</v>
      </c>
      <c r="AA7174">
        <v>1</v>
      </c>
      <c r="AB7174">
        <v>0</v>
      </c>
      <c r="AC7174">
        <v>0</v>
      </c>
      <c r="AD7174">
        <v>1</v>
      </c>
      <c r="AE7174">
        <v>1</v>
      </c>
      <c r="AF7174">
        <v>1</v>
      </c>
      <c r="AG7174">
        <v>1</v>
      </c>
      <c r="AH7174">
        <v>1</v>
      </c>
      <c r="AI7174">
        <v>1</v>
      </c>
      <c r="AJ7174">
        <v>1</v>
      </c>
      <c r="AK7174">
        <v>1</v>
      </c>
      <c r="AL7174">
        <v>1</v>
      </c>
      <c r="AM7174">
        <v>1</v>
      </c>
    </row>
    <row r="7175" spans="1:39" x14ac:dyDescent="0.2">
      <c r="A7175" t="str">
        <f>"7171"</f>
        <v>7171</v>
      </c>
      <c r="B7175" t="str">
        <f t="shared" si="399"/>
        <v>1</v>
      </c>
      <c r="C7175" t="str">
        <f t="shared" si="398"/>
        <v>144</v>
      </c>
      <c r="D7175" t="str">
        <f>"8"</f>
        <v>8</v>
      </c>
      <c r="E7175" t="str">
        <f>"1-144-8"</f>
        <v>1-144-8</v>
      </c>
      <c r="F7175" t="s">
        <v>65</v>
      </c>
      <c r="G7175" t="s">
        <v>66</v>
      </c>
      <c r="H7175" t="s">
        <v>67</v>
      </c>
      <c r="S7175">
        <v>1</v>
      </c>
      <c r="T7175">
        <v>0</v>
      </c>
      <c r="U7175">
        <v>0</v>
      </c>
      <c r="V7175">
        <v>0</v>
      </c>
      <c r="W7175">
        <v>1</v>
      </c>
      <c r="X7175">
        <v>0</v>
      </c>
      <c r="Y7175">
        <v>0</v>
      </c>
      <c r="Z7175">
        <v>1</v>
      </c>
      <c r="AA7175">
        <v>1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1</v>
      </c>
      <c r="AH7175">
        <v>0</v>
      </c>
      <c r="AI7175">
        <v>1</v>
      </c>
      <c r="AJ7175">
        <v>0</v>
      </c>
      <c r="AK7175">
        <v>0</v>
      </c>
      <c r="AL7175">
        <v>1</v>
      </c>
      <c r="AM7175">
        <v>1</v>
      </c>
    </row>
    <row r="7176" spans="1:39" x14ac:dyDescent="0.2">
      <c r="A7176" t="str">
        <f>"7172"</f>
        <v>7172</v>
      </c>
      <c r="B7176" t="str">
        <f t="shared" si="399"/>
        <v>1</v>
      </c>
      <c r="C7176" t="str">
        <f t="shared" si="398"/>
        <v>144</v>
      </c>
      <c r="D7176" t="str">
        <f>"41"</f>
        <v>41</v>
      </c>
      <c r="E7176" t="str">
        <f>"1-144-41"</f>
        <v>1-144-41</v>
      </c>
      <c r="F7176" t="s">
        <v>65</v>
      </c>
      <c r="G7176" t="s">
        <v>66</v>
      </c>
      <c r="H7176" t="s">
        <v>67</v>
      </c>
      <c r="S7176">
        <v>1</v>
      </c>
      <c r="T7176">
        <v>0</v>
      </c>
      <c r="U7176">
        <v>0</v>
      </c>
      <c r="V7176">
        <v>0</v>
      </c>
      <c r="W7176">
        <v>1</v>
      </c>
      <c r="X7176">
        <v>0</v>
      </c>
      <c r="Y7176">
        <v>0</v>
      </c>
      <c r="Z7176">
        <v>1</v>
      </c>
      <c r="AA7176">
        <v>1</v>
      </c>
      <c r="AB7176">
        <v>0</v>
      </c>
      <c r="AC7176">
        <v>0</v>
      </c>
      <c r="AD7176">
        <v>1</v>
      </c>
      <c r="AE7176">
        <v>1</v>
      </c>
      <c r="AF7176">
        <v>1</v>
      </c>
      <c r="AG7176">
        <v>1</v>
      </c>
      <c r="AH7176">
        <v>1</v>
      </c>
      <c r="AI7176">
        <v>1</v>
      </c>
      <c r="AJ7176">
        <v>1</v>
      </c>
      <c r="AK7176">
        <v>1</v>
      </c>
      <c r="AL7176">
        <v>1</v>
      </c>
      <c r="AM7176">
        <v>1</v>
      </c>
    </row>
    <row r="7177" spans="1:39" x14ac:dyDescent="0.2">
      <c r="A7177" t="str">
        <f>"7173"</f>
        <v>7173</v>
      </c>
      <c r="B7177" t="str">
        <f t="shared" si="399"/>
        <v>1</v>
      </c>
      <c r="C7177" t="str">
        <f t="shared" si="398"/>
        <v>144</v>
      </c>
      <c r="D7177" t="str">
        <f>"23"</f>
        <v>23</v>
      </c>
      <c r="E7177" t="str">
        <f>"1-144-23"</f>
        <v>1-144-23</v>
      </c>
      <c r="F7177" t="s">
        <v>65</v>
      </c>
      <c r="G7177" t="s">
        <v>66</v>
      </c>
      <c r="H7177" t="s">
        <v>67</v>
      </c>
      <c r="S7177">
        <v>1</v>
      </c>
      <c r="T7177">
        <v>0</v>
      </c>
      <c r="U7177">
        <v>0</v>
      </c>
      <c r="V7177">
        <v>0</v>
      </c>
      <c r="W7177">
        <v>1</v>
      </c>
      <c r="X7177">
        <v>0</v>
      </c>
      <c r="Y7177">
        <v>1</v>
      </c>
      <c r="Z7177">
        <v>0</v>
      </c>
      <c r="AA7177">
        <v>1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</row>
    <row r="7178" spans="1:39" x14ac:dyDescent="0.2">
      <c r="A7178" t="str">
        <f>"7174"</f>
        <v>7174</v>
      </c>
      <c r="B7178" t="str">
        <f t="shared" si="399"/>
        <v>1</v>
      </c>
      <c r="C7178" t="str">
        <f t="shared" si="398"/>
        <v>144</v>
      </c>
      <c r="D7178" t="str">
        <f>"6"</f>
        <v>6</v>
      </c>
      <c r="E7178" t="str">
        <f>"1-144-6"</f>
        <v>1-144-6</v>
      </c>
      <c r="F7178" t="s">
        <v>65</v>
      </c>
      <c r="G7178" t="s">
        <v>66</v>
      </c>
      <c r="H7178" t="s">
        <v>67</v>
      </c>
      <c r="S7178">
        <v>1</v>
      </c>
      <c r="T7178">
        <v>0</v>
      </c>
      <c r="U7178">
        <v>0</v>
      </c>
      <c r="V7178">
        <v>0</v>
      </c>
      <c r="W7178">
        <v>1</v>
      </c>
      <c r="X7178">
        <v>0</v>
      </c>
      <c r="Y7178">
        <v>1</v>
      </c>
      <c r="Z7178">
        <v>0</v>
      </c>
      <c r="AA7178">
        <v>1</v>
      </c>
      <c r="AB7178">
        <v>0</v>
      </c>
      <c r="AC7178">
        <v>0</v>
      </c>
      <c r="AD7178">
        <v>1</v>
      </c>
      <c r="AE7178">
        <v>1</v>
      </c>
      <c r="AF7178">
        <v>1</v>
      </c>
      <c r="AG7178">
        <v>1</v>
      </c>
      <c r="AH7178">
        <v>1</v>
      </c>
      <c r="AI7178">
        <v>1</v>
      </c>
      <c r="AJ7178">
        <v>1</v>
      </c>
      <c r="AK7178">
        <v>1</v>
      </c>
      <c r="AL7178">
        <v>1</v>
      </c>
      <c r="AM7178">
        <v>1</v>
      </c>
    </row>
    <row r="7179" spans="1:39" x14ac:dyDescent="0.2">
      <c r="A7179" t="str">
        <f>"7175"</f>
        <v>7175</v>
      </c>
      <c r="B7179" t="str">
        <f t="shared" si="399"/>
        <v>1</v>
      </c>
      <c r="C7179" t="str">
        <f t="shared" si="398"/>
        <v>144</v>
      </c>
      <c r="D7179" t="str">
        <f>"50"</f>
        <v>50</v>
      </c>
      <c r="E7179" t="str">
        <f>"1-144-50"</f>
        <v>1-144-50</v>
      </c>
      <c r="F7179" t="s">
        <v>65</v>
      </c>
      <c r="G7179" t="s">
        <v>66</v>
      </c>
      <c r="H7179" t="s">
        <v>67</v>
      </c>
      <c r="S7179">
        <v>0</v>
      </c>
      <c r="T7179">
        <v>0</v>
      </c>
      <c r="U7179">
        <v>0</v>
      </c>
      <c r="V7179">
        <v>0</v>
      </c>
      <c r="W7179">
        <v>1</v>
      </c>
      <c r="X7179">
        <v>0</v>
      </c>
      <c r="Y7179">
        <v>0</v>
      </c>
      <c r="Z7179">
        <v>1</v>
      </c>
      <c r="AA7179">
        <v>1</v>
      </c>
      <c r="AB7179">
        <v>0</v>
      </c>
      <c r="AC7179">
        <v>0</v>
      </c>
      <c r="AD7179">
        <v>1</v>
      </c>
      <c r="AE7179">
        <v>1</v>
      </c>
      <c r="AF7179">
        <v>1</v>
      </c>
      <c r="AG7179">
        <v>1</v>
      </c>
      <c r="AH7179">
        <v>1</v>
      </c>
      <c r="AI7179">
        <v>0</v>
      </c>
      <c r="AJ7179">
        <v>0</v>
      </c>
      <c r="AK7179">
        <v>0</v>
      </c>
      <c r="AL7179">
        <v>1</v>
      </c>
      <c r="AM7179">
        <v>0</v>
      </c>
    </row>
    <row r="7180" spans="1:39" x14ac:dyDescent="0.2">
      <c r="A7180" t="str">
        <f>"7176"</f>
        <v>7176</v>
      </c>
      <c r="B7180" t="str">
        <f t="shared" si="399"/>
        <v>1</v>
      </c>
      <c r="C7180" t="str">
        <f t="shared" si="398"/>
        <v>144</v>
      </c>
      <c r="D7180" t="str">
        <f>"24"</f>
        <v>24</v>
      </c>
      <c r="E7180" t="str">
        <f>"1-144-24"</f>
        <v>1-144-24</v>
      </c>
      <c r="F7180" t="s">
        <v>65</v>
      </c>
      <c r="G7180" t="s">
        <v>66</v>
      </c>
      <c r="H7180" t="s">
        <v>67</v>
      </c>
      <c r="S7180">
        <v>1</v>
      </c>
      <c r="T7180">
        <v>0</v>
      </c>
      <c r="U7180">
        <v>0</v>
      </c>
      <c r="V7180">
        <v>0</v>
      </c>
      <c r="W7180">
        <v>1</v>
      </c>
      <c r="X7180">
        <v>0</v>
      </c>
      <c r="Y7180">
        <v>1</v>
      </c>
      <c r="Z7180">
        <v>0</v>
      </c>
      <c r="AA7180">
        <v>1</v>
      </c>
      <c r="AB7180">
        <v>0</v>
      </c>
      <c r="AC7180">
        <v>0</v>
      </c>
      <c r="AD7180">
        <v>1</v>
      </c>
      <c r="AE7180">
        <v>1</v>
      </c>
      <c r="AF7180">
        <v>1</v>
      </c>
      <c r="AG7180">
        <v>1</v>
      </c>
      <c r="AH7180">
        <v>1</v>
      </c>
      <c r="AI7180">
        <v>1</v>
      </c>
      <c r="AJ7180">
        <v>1</v>
      </c>
      <c r="AK7180">
        <v>1</v>
      </c>
      <c r="AL7180">
        <v>1</v>
      </c>
      <c r="AM7180">
        <v>1</v>
      </c>
    </row>
    <row r="7181" spans="1:39" x14ac:dyDescent="0.2">
      <c r="A7181" t="str">
        <f>"7177"</f>
        <v>7177</v>
      </c>
      <c r="B7181" t="str">
        <f t="shared" si="399"/>
        <v>1</v>
      </c>
      <c r="C7181" t="str">
        <f t="shared" si="398"/>
        <v>144</v>
      </c>
      <c r="D7181" t="str">
        <f>"47"</f>
        <v>47</v>
      </c>
      <c r="E7181" t="str">
        <f>"1-144-47"</f>
        <v>1-144-47</v>
      </c>
      <c r="F7181" t="s">
        <v>65</v>
      </c>
      <c r="G7181" t="s">
        <v>66</v>
      </c>
      <c r="H7181" t="s">
        <v>67</v>
      </c>
      <c r="S7181">
        <v>0</v>
      </c>
      <c r="T7181">
        <v>1</v>
      </c>
      <c r="U7181">
        <v>0</v>
      </c>
      <c r="V7181">
        <v>0</v>
      </c>
      <c r="W7181">
        <v>0</v>
      </c>
      <c r="X7181">
        <v>1</v>
      </c>
      <c r="Y7181">
        <v>0</v>
      </c>
      <c r="Z7181">
        <v>1</v>
      </c>
      <c r="AA7181">
        <v>0</v>
      </c>
      <c r="AB7181">
        <v>0</v>
      </c>
      <c r="AC7181">
        <v>1</v>
      </c>
      <c r="AD7181">
        <v>1</v>
      </c>
      <c r="AE7181">
        <v>1</v>
      </c>
      <c r="AF7181">
        <v>1</v>
      </c>
      <c r="AG7181">
        <v>1</v>
      </c>
      <c r="AH7181">
        <v>0</v>
      </c>
      <c r="AI7181">
        <v>1</v>
      </c>
      <c r="AJ7181">
        <v>1</v>
      </c>
      <c r="AK7181">
        <v>1</v>
      </c>
      <c r="AL7181">
        <v>1</v>
      </c>
      <c r="AM7181">
        <v>1</v>
      </c>
    </row>
    <row r="7182" spans="1:39" x14ac:dyDescent="0.2">
      <c r="A7182" t="str">
        <f>"7178"</f>
        <v>7178</v>
      </c>
      <c r="B7182" t="str">
        <f t="shared" si="399"/>
        <v>1</v>
      </c>
      <c r="C7182" t="str">
        <f t="shared" si="398"/>
        <v>144</v>
      </c>
      <c r="D7182" t="str">
        <f>"25"</f>
        <v>25</v>
      </c>
      <c r="E7182" t="str">
        <f>"1-144-25"</f>
        <v>1-144-25</v>
      </c>
      <c r="F7182" t="s">
        <v>65</v>
      </c>
      <c r="G7182" t="s">
        <v>66</v>
      </c>
      <c r="H7182" t="s">
        <v>67</v>
      </c>
      <c r="S7182">
        <v>1</v>
      </c>
      <c r="T7182">
        <v>0</v>
      </c>
      <c r="U7182">
        <v>0</v>
      </c>
      <c r="V7182">
        <v>0</v>
      </c>
      <c r="W7182">
        <v>1</v>
      </c>
      <c r="X7182">
        <v>0</v>
      </c>
      <c r="Y7182">
        <v>1</v>
      </c>
      <c r="Z7182">
        <v>0</v>
      </c>
      <c r="AA7182">
        <v>1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</row>
    <row r="7183" spans="1:39" x14ac:dyDescent="0.2">
      <c r="A7183" t="str">
        <f>"7179"</f>
        <v>7179</v>
      </c>
      <c r="B7183" t="str">
        <f t="shared" si="399"/>
        <v>1</v>
      </c>
      <c r="C7183" t="str">
        <f t="shared" si="398"/>
        <v>144</v>
      </c>
      <c r="D7183" t="str">
        <f>"7"</f>
        <v>7</v>
      </c>
      <c r="E7183" t="str">
        <f>"1-144-7"</f>
        <v>1-144-7</v>
      </c>
      <c r="F7183" t="s">
        <v>65</v>
      </c>
      <c r="G7183" t="s">
        <v>66</v>
      </c>
      <c r="H7183" t="s">
        <v>67</v>
      </c>
      <c r="S7183">
        <v>0</v>
      </c>
      <c r="T7183">
        <v>1</v>
      </c>
      <c r="U7183">
        <v>0</v>
      </c>
      <c r="V7183">
        <v>0</v>
      </c>
      <c r="W7183">
        <v>0</v>
      </c>
      <c r="X7183">
        <v>1</v>
      </c>
      <c r="Y7183">
        <v>1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1</v>
      </c>
      <c r="AH7183">
        <v>0</v>
      </c>
      <c r="AI7183">
        <v>1</v>
      </c>
      <c r="AJ7183">
        <v>0</v>
      </c>
      <c r="AK7183">
        <v>0</v>
      </c>
      <c r="AL7183">
        <v>1</v>
      </c>
      <c r="AM7183">
        <v>0</v>
      </c>
    </row>
    <row r="7184" spans="1:39" x14ac:dyDescent="0.2">
      <c r="A7184" t="str">
        <f>"7180"</f>
        <v>7180</v>
      </c>
      <c r="B7184" t="str">
        <f t="shared" si="399"/>
        <v>1</v>
      </c>
      <c r="C7184" t="str">
        <f t="shared" si="398"/>
        <v>144</v>
      </c>
      <c r="D7184" t="str">
        <f>"43"</f>
        <v>43</v>
      </c>
      <c r="E7184" t="str">
        <f>"1-144-43"</f>
        <v>1-144-43</v>
      </c>
      <c r="F7184" t="s">
        <v>65</v>
      </c>
      <c r="G7184" t="s">
        <v>66</v>
      </c>
      <c r="H7184" t="s">
        <v>67</v>
      </c>
      <c r="S7184">
        <v>1</v>
      </c>
      <c r="T7184">
        <v>0</v>
      </c>
      <c r="U7184">
        <v>0</v>
      </c>
      <c r="V7184">
        <v>0</v>
      </c>
      <c r="W7184">
        <v>1</v>
      </c>
      <c r="X7184">
        <v>0</v>
      </c>
      <c r="Y7184">
        <v>1</v>
      </c>
      <c r="Z7184">
        <v>0</v>
      </c>
      <c r="AA7184">
        <v>1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1</v>
      </c>
      <c r="AH7184">
        <v>1</v>
      </c>
      <c r="AI7184">
        <v>1</v>
      </c>
      <c r="AJ7184">
        <v>1</v>
      </c>
      <c r="AK7184">
        <v>1</v>
      </c>
      <c r="AL7184">
        <v>1</v>
      </c>
      <c r="AM7184">
        <v>1</v>
      </c>
    </row>
    <row r="7185" spans="1:39" x14ac:dyDescent="0.2">
      <c r="A7185" t="str">
        <f>"7181"</f>
        <v>7181</v>
      </c>
      <c r="B7185" t="str">
        <f t="shared" si="399"/>
        <v>1</v>
      </c>
      <c r="C7185" t="str">
        <f t="shared" si="398"/>
        <v>144</v>
      </c>
      <c r="D7185" t="str">
        <f>"26"</f>
        <v>26</v>
      </c>
      <c r="E7185" t="str">
        <f>"1-144-26"</f>
        <v>1-144-26</v>
      </c>
      <c r="F7185" t="s">
        <v>65</v>
      </c>
      <c r="G7185" t="s">
        <v>66</v>
      </c>
      <c r="H7185" t="s">
        <v>67</v>
      </c>
      <c r="S7185">
        <v>1</v>
      </c>
      <c r="T7185">
        <v>0</v>
      </c>
      <c r="U7185">
        <v>0</v>
      </c>
      <c r="V7185">
        <v>0</v>
      </c>
      <c r="W7185">
        <v>1</v>
      </c>
      <c r="X7185">
        <v>0</v>
      </c>
      <c r="Y7185">
        <v>1</v>
      </c>
      <c r="Z7185">
        <v>0</v>
      </c>
      <c r="AA7185">
        <v>0</v>
      </c>
      <c r="AB7185">
        <v>1</v>
      </c>
      <c r="AC7185">
        <v>0</v>
      </c>
      <c r="AD7185">
        <v>1</v>
      </c>
      <c r="AE7185">
        <v>1</v>
      </c>
      <c r="AF7185">
        <v>1</v>
      </c>
      <c r="AG7185">
        <v>1</v>
      </c>
      <c r="AH7185">
        <v>1</v>
      </c>
      <c r="AI7185">
        <v>1</v>
      </c>
      <c r="AJ7185">
        <v>1</v>
      </c>
      <c r="AK7185">
        <v>1</v>
      </c>
      <c r="AL7185">
        <v>1</v>
      </c>
      <c r="AM7185">
        <v>1</v>
      </c>
    </row>
    <row r="7186" spans="1:39" x14ac:dyDescent="0.2">
      <c r="A7186" t="str">
        <f>"7182"</f>
        <v>7182</v>
      </c>
      <c r="B7186" t="str">
        <f t="shared" si="399"/>
        <v>1</v>
      </c>
      <c r="C7186" t="str">
        <f t="shared" si="398"/>
        <v>144</v>
      </c>
      <c r="D7186" t="str">
        <f>"11"</f>
        <v>11</v>
      </c>
      <c r="E7186" t="str">
        <f>"1-144-11"</f>
        <v>1-144-11</v>
      </c>
      <c r="F7186" t="s">
        <v>65</v>
      </c>
      <c r="G7186" t="s">
        <v>66</v>
      </c>
      <c r="H7186" t="s">
        <v>67</v>
      </c>
      <c r="S7186">
        <v>0</v>
      </c>
      <c r="T7186">
        <v>1</v>
      </c>
      <c r="U7186">
        <v>0</v>
      </c>
      <c r="V7186">
        <v>0</v>
      </c>
      <c r="W7186">
        <v>1</v>
      </c>
      <c r="X7186">
        <v>0</v>
      </c>
      <c r="Y7186">
        <v>1</v>
      </c>
      <c r="Z7186">
        <v>0</v>
      </c>
      <c r="AA7186">
        <v>1</v>
      </c>
      <c r="AB7186">
        <v>0</v>
      </c>
      <c r="AC7186">
        <v>0</v>
      </c>
      <c r="AD7186">
        <v>1</v>
      </c>
      <c r="AE7186">
        <v>1</v>
      </c>
      <c r="AF7186">
        <v>1</v>
      </c>
      <c r="AG7186">
        <v>1</v>
      </c>
      <c r="AH7186">
        <v>1</v>
      </c>
      <c r="AI7186">
        <v>1</v>
      </c>
      <c r="AJ7186">
        <v>1</v>
      </c>
      <c r="AK7186">
        <v>1</v>
      </c>
      <c r="AL7186">
        <v>1</v>
      </c>
      <c r="AM7186">
        <v>1</v>
      </c>
    </row>
    <row r="7187" spans="1:39" x14ac:dyDescent="0.2">
      <c r="A7187" t="str">
        <f>"7183"</f>
        <v>7183</v>
      </c>
      <c r="B7187" t="str">
        <f t="shared" si="399"/>
        <v>1</v>
      </c>
      <c r="C7187" t="str">
        <f t="shared" ref="C7187:C7204" si="400">"144"</f>
        <v>144</v>
      </c>
      <c r="D7187" t="str">
        <f>"49"</f>
        <v>49</v>
      </c>
      <c r="E7187" t="str">
        <f>"1-144-49"</f>
        <v>1-144-49</v>
      </c>
      <c r="F7187" t="s">
        <v>65</v>
      </c>
      <c r="G7187" t="s">
        <v>66</v>
      </c>
      <c r="H7187" t="s">
        <v>67</v>
      </c>
      <c r="S7187">
        <v>0</v>
      </c>
      <c r="T7187">
        <v>1</v>
      </c>
      <c r="U7187">
        <v>0</v>
      </c>
      <c r="V7187">
        <v>0</v>
      </c>
      <c r="W7187">
        <v>0</v>
      </c>
      <c r="X7187">
        <v>1</v>
      </c>
      <c r="Y7187">
        <v>1</v>
      </c>
      <c r="Z7187">
        <v>0</v>
      </c>
      <c r="AA7187">
        <v>1</v>
      </c>
      <c r="AB7187">
        <v>0</v>
      </c>
      <c r="AC7187">
        <v>0</v>
      </c>
      <c r="AD7187">
        <v>1</v>
      </c>
      <c r="AE7187">
        <v>0</v>
      </c>
      <c r="AF7187">
        <v>0</v>
      </c>
      <c r="AG7187">
        <v>1</v>
      </c>
      <c r="AH7187">
        <v>0</v>
      </c>
      <c r="AI7187">
        <v>1</v>
      </c>
      <c r="AJ7187">
        <v>1</v>
      </c>
      <c r="AK7187">
        <v>1</v>
      </c>
      <c r="AL7187">
        <v>1</v>
      </c>
      <c r="AM7187">
        <v>1</v>
      </c>
    </row>
    <row r="7188" spans="1:39" x14ac:dyDescent="0.2">
      <c r="A7188" t="str">
        <f>"7184"</f>
        <v>7184</v>
      </c>
      <c r="B7188" t="str">
        <f t="shared" si="399"/>
        <v>1</v>
      </c>
      <c r="C7188" t="str">
        <f t="shared" si="400"/>
        <v>144</v>
      </c>
      <c r="D7188" t="str">
        <f>"27"</f>
        <v>27</v>
      </c>
      <c r="E7188" t="str">
        <f>"1-144-27"</f>
        <v>1-144-27</v>
      </c>
      <c r="F7188" t="s">
        <v>65</v>
      </c>
      <c r="G7188" t="s">
        <v>66</v>
      </c>
      <c r="H7188" t="s">
        <v>67</v>
      </c>
      <c r="S7188">
        <v>1</v>
      </c>
      <c r="T7188">
        <v>0</v>
      </c>
      <c r="U7188">
        <v>0</v>
      </c>
      <c r="V7188">
        <v>0</v>
      </c>
      <c r="W7188">
        <v>1</v>
      </c>
      <c r="X7188">
        <v>0</v>
      </c>
      <c r="Y7188">
        <v>1</v>
      </c>
      <c r="Z7188">
        <v>0</v>
      </c>
      <c r="AA7188">
        <v>0</v>
      </c>
      <c r="AB7188">
        <v>1</v>
      </c>
      <c r="AC7188">
        <v>0</v>
      </c>
      <c r="AD7188">
        <v>1</v>
      </c>
      <c r="AE7188">
        <v>1</v>
      </c>
      <c r="AF7188">
        <v>1</v>
      </c>
      <c r="AG7188">
        <v>1</v>
      </c>
      <c r="AH7188">
        <v>1</v>
      </c>
      <c r="AI7188">
        <v>1</v>
      </c>
      <c r="AJ7188">
        <v>1</v>
      </c>
      <c r="AK7188">
        <v>1</v>
      </c>
      <c r="AL7188">
        <v>1</v>
      </c>
      <c r="AM7188">
        <v>1</v>
      </c>
    </row>
    <row r="7189" spans="1:39" x14ac:dyDescent="0.2">
      <c r="A7189" t="str">
        <f>"7185"</f>
        <v>7185</v>
      </c>
      <c r="B7189" t="str">
        <f t="shared" si="399"/>
        <v>1</v>
      </c>
      <c r="C7189" t="str">
        <f t="shared" si="400"/>
        <v>144</v>
      </c>
      <c r="D7189" t="str">
        <f>"12"</f>
        <v>12</v>
      </c>
      <c r="E7189" t="str">
        <f>"1-144-12"</f>
        <v>1-144-12</v>
      </c>
      <c r="F7189" t="s">
        <v>65</v>
      </c>
      <c r="G7189" t="s">
        <v>66</v>
      </c>
      <c r="H7189" t="s">
        <v>67</v>
      </c>
      <c r="S7189">
        <v>1</v>
      </c>
      <c r="T7189">
        <v>0</v>
      </c>
      <c r="U7189">
        <v>0</v>
      </c>
      <c r="V7189">
        <v>0</v>
      </c>
      <c r="W7189">
        <v>1</v>
      </c>
      <c r="X7189">
        <v>0</v>
      </c>
      <c r="Y7189">
        <v>1</v>
      </c>
      <c r="Z7189">
        <v>0</v>
      </c>
      <c r="AA7189">
        <v>1</v>
      </c>
      <c r="AB7189">
        <v>0</v>
      </c>
      <c r="AC7189">
        <v>0</v>
      </c>
      <c r="AD7189">
        <v>1</v>
      </c>
      <c r="AE7189">
        <v>1</v>
      </c>
      <c r="AF7189">
        <v>1</v>
      </c>
      <c r="AG7189">
        <v>1</v>
      </c>
      <c r="AH7189">
        <v>1</v>
      </c>
      <c r="AI7189">
        <v>1</v>
      </c>
      <c r="AJ7189">
        <v>1</v>
      </c>
      <c r="AK7189">
        <v>1</v>
      </c>
      <c r="AL7189">
        <v>1</v>
      </c>
      <c r="AM7189">
        <v>1</v>
      </c>
    </row>
    <row r="7190" spans="1:39" x14ac:dyDescent="0.2">
      <c r="A7190" t="str">
        <f>"7186"</f>
        <v>7186</v>
      </c>
      <c r="B7190" t="str">
        <f t="shared" si="399"/>
        <v>1</v>
      </c>
      <c r="C7190" t="str">
        <f t="shared" si="400"/>
        <v>144</v>
      </c>
      <c r="D7190" t="str">
        <f>"48"</f>
        <v>48</v>
      </c>
      <c r="E7190" t="str">
        <f>"1-144-48"</f>
        <v>1-144-48</v>
      </c>
      <c r="F7190" t="s">
        <v>65</v>
      </c>
      <c r="G7190" t="s">
        <v>66</v>
      </c>
      <c r="H7190" t="s">
        <v>67</v>
      </c>
      <c r="S7190">
        <v>0</v>
      </c>
      <c r="T7190">
        <v>1</v>
      </c>
      <c r="U7190">
        <v>0</v>
      </c>
      <c r="V7190">
        <v>0</v>
      </c>
      <c r="W7190">
        <v>1</v>
      </c>
      <c r="X7190">
        <v>0</v>
      </c>
      <c r="Y7190">
        <v>1</v>
      </c>
      <c r="Z7190">
        <v>0</v>
      </c>
      <c r="AA7190">
        <v>0</v>
      </c>
      <c r="AB7190">
        <v>1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1</v>
      </c>
      <c r="AM7190">
        <v>0</v>
      </c>
    </row>
    <row r="7191" spans="1:39" x14ac:dyDescent="0.2">
      <c r="A7191" t="str">
        <f>"7187"</f>
        <v>7187</v>
      </c>
      <c r="B7191" t="str">
        <f t="shared" si="399"/>
        <v>1</v>
      </c>
      <c r="C7191" t="str">
        <f t="shared" si="400"/>
        <v>144</v>
      </c>
      <c r="D7191" t="str">
        <f>"28"</f>
        <v>28</v>
      </c>
      <c r="E7191" t="str">
        <f>"1-144-28"</f>
        <v>1-144-28</v>
      </c>
      <c r="F7191" t="s">
        <v>65</v>
      </c>
      <c r="G7191" t="s">
        <v>66</v>
      </c>
      <c r="H7191" t="s">
        <v>67</v>
      </c>
      <c r="S7191">
        <v>1</v>
      </c>
      <c r="T7191">
        <v>0</v>
      </c>
      <c r="U7191">
        <v>0</v>
      </c>
      <c r="V7191">
        <v>0</v>
      </c>
      <c r="W7191">
        <v>1</v>
      </c>
      <c r="X7191">
        <v>0</v>
      </c>
      <c r="Y7191">
        <v>1</v>
      </c>
      <c r="Z7191">
        <v>0</v>
      </c>
      <c r="AA7191">
        <v>0</v>
      </c>
      <c r="AB7191">
        <v>1</v>
      </c>
      <c r="AC7191">
        <v>0</v>
      </c>
      <c r="AD7191">
        <v>1</v>
      </c>
      <c r="AE7191">
        <v>1</v>
      </c>
      <c r="AF7191">
        <v>1</v>
      </c>
      <c r="AG7191">
        <v>1</v>
      </c>
      <c r="AH7191">
        <v>1</v>
      </c>
      <c r="AI7191">
        <v>1</v>
      </c>
      <c r="AJ7191">
        <v>1</v>
      </c>
      <c r="AK7191">
        <v>1</v>
      </c>
      <c r="AL7191">
        <v>1</v>
      </c>
      <c r="AM7191">
        <v>1</v>
      </c>
    </row>
    <row r="7192" spans="1:39" x14ac:dyDescent="0.2">
      <c r="A7192" t="str">
        <f>"7188"</f>
        <v>7188</v>
      </c>
      <c r="B7192" t="str">
        <f t="shared" si="399"/>
        <v>1</v>
      </c>
      <c r="C7192" t="str">
        <f t="shared" si="400"/>
        <v>144</v>
      </c>
      <c r="D7192" t="str">
        <f>"9"</f>
        <v>9</v>
      </c>
      <c r="E7192" t="str">
        <f>"1-144-9"</f>
        <v>1-144-9</v>
      </c>
      <c r="F7192" t="s">
        <v>65</v>
      </c>
      <c r="G7192" t="s">
        <v>66</v>
      </c>
      <c r="H7192" t="s">
        <v>67</v>
      </c>
      <c r="S7192">
        <v>0</v>
      </c>
      <c r="T7192">
        <v>1</v>
      </c>
      <c r="U7192">
        <v>0</v>
      </c>
      <c r="V7192">
        <v>0</v>
      </c>
      <c r="W7192">
        <v>0</v>
      </c>
      <c r="X7192">
        <v>1</v>
      </c>
      <c r="Y7192">
        <v>0</v>
      </c>
      <c r="Z7192">
        <v>1</v>
      </c>
      <c r="AA7192">
        <v>0</v>
      </c>
      <c r="AB7192">
        <v>0</v>
      </c>
      <c r="AC7192">
        <v>1</v>
      </c>
      <c r="AD7192">
        <v>1</v>
      </c>
      <c r="AE7192">
        <v>0</v>
      </c>
      <c r="AF7192">
        <v>0</v>
      </c>
      <c r="AG7192">
        <v>0</v>
      </c>
      <c r="AH7192">
        <v>0</v>
      </c>
      <c r="AI7192">
        <v>1</v>
      </c>
      <c r="AJ7192">
        <v>0</v>
      </c>
      <c r="AK7192">
        <v>0</v>
      </c>
      <c r="AL7192">
        <v>0</v>
      </c>
      <c r="AM7192">
        <v>1</v>
      </c>
    </row>
    <row r="7193" spans="1:39" x14ac:dyDescent="0.2">
      <c r="A7193" t="str">
        <f>"7189"</f>
        <v>7189</v>
      </c>
      <c r="B7193" t="str">
        <f t="shared" si="399"/>
        <v>1</v>
      </c>
      <c r="C7193" t="str">
        <f t="shared" si="400"/>
        <v>144</v>
      </c>
      <c r="D7193" t="str">
        <f>"44"</f>
        <v>44</v>
      </c>
      <c r="E7193" t="str">
        <f>"1-144-44"</f>
        <v>1-144-44</v>
      </c>
      <c r="F7193" t="s">
        <v>65</v>
      </c>
      <c r="G7193" t="s">
        <v>66</v>
      </c>
      <c r="H7193" t="s">
        <v>67</v>
      </c>
      <c r="S7193">
        <v>0</v>
      </c>
      <c r="T7193">
        <v>1</v>
      </c>
      <c r="U7193">
        <v>0</v>
      </c>
      <c r="V7193">
        <v>0</v>
      </c>
      <c r="W7193">
        <v>0</v>
      </c>
      <c r="X7193">
        <v>1</v>
      </c>
      <c r="Y7193">
        <v>1</v>
      </c>
      <c r="Z7193">
        <v>0</v>
      </c>
      <c r="AA7193">
        <v>1</v>
      </c>
      <c r="AB7193">
        <v>0</v>
      </c>
      <c r="AC7193">
        <v>0</v>
      </c>
      <c r="AD7193">
        <v>1</v>
      </c>
      <c r="AE7193">
        <v>0</v>
      </c>
      <c r="AF7193">
        <v>0</v>
      </c>
      <c r="AG7193">
        <v>1</v>
      </c>
      <c r="AH7193">
        <v>0</v>
      </c>
      <c r="AI7193">
        <v>1</v>
      </c>
      <c r="AJ7193">
        <v>1</v>
      </c>
      <c r="AK7193">
        <v>1</v>
      </c>
      <c r="AL7193">
        <v>1</v>
      </c>
      <c r="AM7193">
        <v>1</v>
      </c>
    </row>
    <row r="7194" spans="1:39" x14ac:dyDescent="0.2">
      <c r="A7194" t="str">
        <f>"7190"</f>
        <v>7190</v>
      </c>
      <c r="B7194" t="str">
        <f t="shared" si="399"/>
        <v>1</v>
      </c>
      <c r="C7194" t="str">
        <f t="shared" si="400"/>
        <v>144</v>
      </c>
      <c r="D7194" t="str">
        <f>"30"</f>
        <v>30</v>
      </c>
      <c r="E7194" t="str">
        <f>"1-144-30"</f>
        <v>1-144-30</v>
      </c>
      <c r="F7194" t="s">
        <v>65</v>
      </c>
      <c r="G7194" t="s">
        <v>66</v>
      </c>
      <c r="H7194" t="s">
        <v>67</v>
      </c>
      <c r="S7194">
        <v>1</v>
      </c>
      <c r="T7194">
        <v>0</v>
      </c>
      <c r="U7194">
        <v>0</v>
      </c>
      <c r="V7194">
        <v>0</v>
      </c>
      <c r="W7194">
        <v>1</v>
      </c>
      <c r="X7194">
        <v>0</v>
      </c>
      <c r="Y7194">
        <v>0</v>
      </c>
      <c r="Z7194">
        <v>1</v>
      </c>
      <c r="AA7194">
        <v>0</v>
      </c>
      <c r="AB7194">
        <v>0</v>
      </c>
      <c r="AC7194">
        <v>1</v>
      </c>
      <c r="AD7194">
        <v>1</v>
      </c>
      <c r="AE7194">
        <v>1</v>
      </c>
      <c r="AF7194">
        <v>1</v>
      </c>
      <c r="AG7194">
        <v>1</v>
      </c>
      <c r="AH7194">
        <v>1</v>
      </c>
      <c r="AI7194">
        <v>1</v>
      </c>
      <c r="AJ7194">
        <v>1</v>
      </c>
      <c r="AK7194">
        <v>1</v>
      </c>
      <c r="AL7194">
        <v>1</v>
      </c>
      <c r="AM7194">
        <v>1</v>
      </c>
    </row>
    <row r="7195" spans="1:39" x14ac:dyDescent="0.2">
      <c r="A7195" t="str">
        <f>"7191"</f>
        <v>7191</v>
      </c>
      <c r="B7195" t="str">
        <f t="shared" si="399"/>
        <v>1</v>
      </c>
      <c r="C7195" t="str">
        <f t="shared" si="400"/>
        <v>144</v>
      </c>
      <c r="D7195" t="str">
        <f>"10"</f>
        <v>10</v>
      </c>
      <c r="E7195" t="str">
        <f>"1-144-10"</f>
        <v>1-144-10</v>
      </c>
      <c r="F7195" t="s">
        <v>65</v>
      </c>
      <c r="G7195" t="s">
        <v>66</v>
      </c>
      <c r="H7195" t="s">
        <v>67</v>
      </c>
      <c r="S7195">
        <v>0</v>
      </c>
      <c r="T7195">
        <v>1</v>
      </c>
      <c r="U7195">
        <v>0</v>
      </c>
      <c r="V7195">
        <v>0</v>
      </c>
      <c r="W7195">
        <v>0</v>
      </c>
      <c r="X7195">
        <v>1</v>
      </c>
      <c r="Y7195">
        <v>0</v>
      </c>
      <c r="Z7195">
        <v>1</v>
      </c>
      <c r="AA7195">
        <v>0</v>
      </c>
      <c r="AB7195">
        <v>0</v>
      </c>
      <c r="AC7195">
        <v>1</v>
      </c>
      <c r="AD7195">
        <v>1</v>
      </c>
      <c r="AE7195">
        <v>0</v>
      </c>
      <c r="AF7195">
        <v>0</v>
      </c>
      <c r="AG7195">
        <v>1</v>
      </c>
      <c r="AH7195">
        <v>0</v>
      </c>
      <c r="AI7195">
        <v>1</v>
      </c>
      <c r="AJ7195">
        <v>1</v>
      </c>
      <c r="AK7195">
        <v>1</v>
      </c>
      <c r="AL7195">
        <v>0</v>
      </c>
      <c r="AM7195">
        <v>1</v>
      </c>
    </row>
    <row r="7196" spans="1:39" x14ac:dyDescent="0.2">
      <c r="A7196" t="str">
        <f>"7192"</f>
        <v>7192</v>
      </c>
      <c r="B7196" t="str">
        <f t="shared" si="399"/>
        <v>1</v>
      </c>
      <c r="C7196" t="str">
        <f t="shared" si="400"/>
        <v>144</v>
      </c>
      <c r="D7196" t="str">
        <f>"46"</f>
        <v>46</v>
      </c>
      <c r="E7196" t="str">
        <f>"1-144-46"</f>
        <v>1-144-46</v>
      </c>
      <c r="F7196" t="s">
        <v>65</v>
      </c>
      <c r="G7196" t="s">
        <v>66</v>
      </c>
      <c r="H7196" t="s">
        <v>67</v>
      </c>
      <c r="S7196">
        <v>0</v>
      </c>
      <c r="T7196">
        <v>1</v>
      </c>
      <c r="U7196">
        <v>0</v>
      </c>
      <c r="V7196">
        <v>0</v>
      </c>
      <c r="W7196">
        <v>0</v>
      </c>
      <c r="X7196">
        <v>1</v>
      </c>
      <c r="Y7196">
        <v>0</v>
      </c>
      <c r="Z7196">
        <v>1</v>
      </c>
      <c r="AA7196">
        <v>0</v>
      </c>
      <c r="AB7196">
        <v>0</v>
      </c>
      <c r="AC7196">
        <v>1</v>
      </c>
      <c r="AD7196">
        <v>1</v>
      </c>
      <c r="AE7196">
        <v>1</v>
      </c>
      <c r="AF7196">
        <v>1</v>
      </c>
      <c r="AG7196">
        <v>1</v>
      </c>
      <c r="AH7196">
        <v>0</v>
      </c>
      <c r="AI7196">
        <v>1</v>
      </c>
      <c r="AJ7196">
        <v>1</v>
      </c>
      <c r="AK7196">
        <v>1</v>
      </c>
      <c r="AL7196">
        <v>1</v>
      </c>
      <c r="AM7196">
        <v>1</v>
      </c>
    </row>
    <row r="7197" spans="1:39" x14ac:dyDescent="0.2">
      <c r="A7197" t="str">
        <f>"7193"</f>
        <v>7193</v>
      </c>
      <c r="B7197" t="str">
        <f t="shared" si="399"/>
        <v>1</v>
      </c>
      <c r="C7197" t="str">
        <f t="shared" si="400"/>
        <v>144</v>
      </c>
      <c r="D7197" t="str">
        <f>"31"</f>
        <v>31</v>
      </c>
      <c r="E7197" t="str">
        <f>"1-144-31"</f>
        <v>1-144-31</v>
      </c>
      <c r="F7197" t="s">
        <v>65</v>
      </c>
      <c r="G7197" t="s">
        <v>66</v>
      </c>
      <c r="H7197" t="s">
        <v>67</v>
      </c>
      <c r="S7197">
        <v>1</v>
      </c>
      <c r="T7197">
        <v>0</v>
      </c>
      <c r="U7197">
        <v>0</v>
      </c>
      <c r="V7197">
        <v>0</v>
      </c>
      <c r="W7197">
        <v>1</v>
      </c>
      <c r="X7197">
        <v>0</v>
      </c>
      <c r="Y7197">
        <v>1</v>
      </c>
      <c r="Z7197">
        <v>0</v>
      </c>
      <c r="AA7197">
        <v>0</v>
      </c>
      <c r="AB7197">
        <v>1</v>
      </c>
      <c r="AC7197">
        <v>0</v>
      </c>
      <c r="AD7197">
        <v>1</v>
      </c>
      <c r="AE7197">
        <v>1</v>
      </c>
      <c r="AF7197">
        <v>1</v>
      </c>
      <c r="AG7197">
        <v>1</v>
      </c>
      <c r="AH7197">
        <v>1</v>
      </c>
      <c r="AI7197">
        <v>1</v>
      </c>
      <c r="AJ7197">
        <v>1</v>
      </c>
      <c r="AK7197">
        <v>1</v>
      </c>
      <c r="AL7197">
        <v>1</v>
      </c>
      <c r="AM7197">
        <v>1</v>
      </c>
    </row>
    <row r="7198" spans="1:39" x14ac:dyDescent="0.2">
      <c r="A7198" t="str">
        <f>"7194"</f>
        <v>7194</v>
      </c>
      <c r="B7198" t="str">
        <f t="shared" si="399"/>
        <v>1</v>
      </c>
      <c r="C7198" t="str">
        <f t="shared" si="400"/>
        <v>144</v>
      </c>
      <c r="D7198" t="str">
        <f>"14"</f>
        <v>14</v>
      </c>
      <c r="E7198" t="str">
        <f>"1-144-14"</f>
        <v>1-144-14</v>
      </c>
      <c r="F7198" t="s">
        <v>65</v>
      </c>
      <c r="G7198" t="s">
        <v>66</v>
      </c>
      <c r="H7198" t="s">
        <v>67</v>
      </c>
      <c r="S7198">
        <v>1</v>
      </c>
      <c r="T7198">
        <v>0</v>
      </c>
      <c r="U7198">
        <v>0</v>
      </c>
      <c r="V7198">
        <v>0</v>
      </c>
      <c r="W7198">
        <v>1</v>
      </c>
      <c r="X7198">
        <v>0</v>
      </c>
      <c r="Y7198">
        <v>0</v>
      </c>
      <c r="Z7198">
        <v>1</v>
      </c>
      <c r="AA7198">
        <v>1</v>
      </c>
      <c r="AB7198">
        <v>0</v>
      </c>
      <c r="AC7198">
        <v>0</v>
      </c>
      <c r="AD7198">
        <v>1</v>
      </c>
      <c r="AE7198">
        <v>1</v>
      </c>
      <c r="AF7198">
        <v>1</v>
      </c>
      <c r="AG7198">
        <v>1</v>
      </c>
      <c r="AH7198">
        <v>1</v>
      </c>
      <c r="AI7198">
        <v>1</v>
      </c>
      <c r="AJ7198">
        <v>1</v>
      </c>
      <c r="AK7198">
        <v>1</v>
      </c>
      <c r="AL7198">
        <v>1</v>
      </c>
      <c r="AM7198">
        <v>1</v>
      </c>
    </row>
    <row r="7199" spans="1:39" x14ac:dyDescent="0.2">
      <c r="A7199" t="str">
        <f>"7195"</f>
        <v>7195</v>
      </c>
      <c r="B7199" t="str">
        <f t="shared" si="399"/>
        <v>1</v>
      </c>
      <c r="C7199" t="str">
        <f t="shared" si="400"/>
        <v>144</v>
      </c>
      <c r="D7199" t="str">
        <f>"45"</f>
        <v>45</v>
      </c>
      <c r="E7199" t="str">
        <f>"1-144-45"</f>
        <v>1-144-45</v>
      </c>
      <c r="F7199" t="s">
        <v>65</v>
      </c>
      <c r="G7199" t="s">
        <v>66</v>
      </c>
      <c r="H7199" t="s">
        <v>67</v>
      </c>
      <c r="S7199">
        <v>0</v>
      </c>
      <c r="T7199">
        <v>1</v>
      </c>
      <c r="U7199">
        <v>0</v>
      </c>
      <c r="V7199">
        <v>0</v>
      </c>
      <c r="W7199">
        <v>1</v>
      </c>
      <c r="X7199">
        <v>0</v>
      </c>
      <c r="Y7199">
        <v>1</v>
      </c>
      <c r="Z7199">
        <v>0</v>
      </c>
      <c r="AA7199">
        <v>0</v>
      </c>
      <c r="AB7199">
        <v>1</v>
      </c>
      <c r="AC7199">
        <v>0</v>
      </c>
      <c r="AD7199">
        <v>1</v>
      </c>
      <c r="AE7199">
        <v>1</v>
      </c>
      <c r="AF7199">
        <v>1</v>
      </c>
      <c r="AG7199">
        <v>1</v>
      </c>
      <c r="AH7199">
        <v>1</v>
      </c>
      <c r="AI7199">
        <v>0</v>
      </c>
      <c r="AJ7199">
        <v>0</v>
      </c>
      <c r="AK7199">
        <v>0</v>
      </c>
      <c r="AL7199">
        <v>1</v>
      </c>
      <c r="AM7199">
        <v>0</v>
      </c>
    </row>
    <row r="7200" spans="1:39" x14ac:dyDescent="0.2">
      <c r="A7200" t="str">
        <f>"7196"</f>
        <v>7196</v>
      </c>
      <c r="B7200" t="str">
        <f t="shared" si="399"/>
        <v>1</v>
      </c>
      <c r="C7200" t="str">
        <f t="shared" si="400"/>
        <v>144</v>
      </c>
      <c r="D7200" t="str">
        <f>"32"</f>
        <v>32</v>
      </c>
      <c r="E7200" t="str">
        <f>"1-144-32"</f>
        <v>1-144-32</v>
      </c>
      <c r="F7200" t="s">
        <v>65</v>
      </c>
      <c r="G7200" t="s">
        <v>66</v>
      </c>
      <c r="H7200" t="s">
        <v>67</v>
      </c>
      <c r="S7200">
        <v>1</v>
      </c>
      <c r="T7200">
        <v>0</v>
      </c>
      <c r="U7200">
        <v>0</v>
      </c>
      <c r="V7200">
        <v>0</v>
      </c>
      <c r="W7200">
        <v>1</v>
      </c>
      <c r="X7200">
        <v>0</v>
      </c>
      <c r="Y7200">
        <v>1</v>
      </c>
      <c r="Z7200">
        <v>0</v>
      </c>
      <c r="AA7200">
        <v>1</v>
      </c>
      <c r="AB7200">
        <v>0</v>
      </c>
      <c r="AC7200">
        <v>0</v>
      </c>
      <c r="AD7200">
        <v>1</v>
      </c>
      <c r="AE7200">
        <v>1</v>
      </c>
      <c r="AF7200">
        <v>1</v>
      </c>
      <c r="AG7200">
        <v>1</v>
      </c>
      <c r="AH7200">
        <v>1</v>
      </c>
      <c r="AI7200">
        <v>1</v>
      </c>
      <c r="AJ7200">
        <v>1</v>
      </c>
      <c r="AK7200">
        <v>1</v>
      </c>
      <c r="AL7200">
        <v>1</v>
      </c>
      <c r="AM7200">
        <v>1</v>
      </c>
    </row>
    <row r="7201" spans="1:39" x14ac:dyDescent="0.2">
      <c r="A7201" t="str">
        <f>"7197"</f>
        <v>7197</v>
      </c>
      <c r="B7201" t="str">
        <f t="shared" si="399"/>
        <v>1</v>
      </c>
      <c r="C7201" t="str">
        <f t="shared" si="400"/>
        <v>144</v>
      </c>
      <c r="D7201" t="str">
        <f>"3"</f>
        <v>3</v>
      </c>
      <c r="E7201" t="str">
        <f>"1-144-3"</f>
        <v>1-144-3</v>
      </c>
      <c r="F7201" t="s">
        <v>65</v>
      </c>
      <c r="G7201" t="s">
        <v>66</v>
      </c>
      <c r="H7201" t="s">
        <v>67</v>
      </c>
      <c r="S7201">
        <v>0</v>
      </c>
      <c r="T7201">
        <v>1</v>
      </c>
      <c r="U7201">
        <v>0</v>
      </c>
      <c r="V7201">
        <v>0</v>
      </c>
      <c r="W7201">
        <v>0</v>
      </c>
      <c r="X7201">
        <v>1</v>
      </c>
      <c r="Y7201">
        <v>0</v>
      </c>
      <c r="Z7201">
        <v>1</v>
      </c>
      <c r="AA7201">
        <v>0</v>
      </c>
      <c r="AB7201">
        <v>1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</row>
    <row r="7202" spans="1:39" x14ac:dyDescent="0.2">
      <c r="A7202" t="str">
        <f>"7198"</f>
        <v>7198</v>
      </c>
      <c r="B7202" t="str">
        <f t="shared" si="399"/>
        <v>1</v>
      </c>
      <c r="C7202" t="str">
        <f t="shared" si="400"/>
        <v>144</v>
      </c>
      <c r="D7202" t="str">
        <f>"2"</f>
        <v>2</v>
      </c>
      <c r="E7202" t="str">
        <f>"1-144-2"</f>
        <v>1-144-2</v>
      </c>
      <c r="F7202" t="s">
        <v>65</v>
      </c>
      <c r="G7202" t="s">
        <v>66</v>
      </c>
      <c r="H7202" t="s">
        <v>67</v>
      </c>
      <c r="S7202">
        <v>0</v>
      </c>
      <c r="T7202">
        <v>0</v>
      </c>
      <c r="U7202">
        <v>0</v>
      </c>
      <c r="V7202">
        <v>0</v>
      </c>
      <c r="W7202">
        <v>1</v>
      </c>
      <c r="X7202">
        <v>0</v>
      </c>
      <c r="Y7202">
        <v>0</v>
      </c>
      <c r="Z7202">
        <v>1</v>
      </c>
      <c r="AA7202">
        <v>0</v>
      </c>
      <c r="AB7202">
        <v>0</v>
      </c>
      <c r="AC7202">
        <v>1</v>
      </c>
      <c r="AD7202">
        <v>1</v>
      </c>
      <c r="AE7202">
        <v>1</v>
      </c>
      <c r="AF7202">
        <v>1</v>
      </c>
      <c r="AG7202">
        <v>1</v>
      </c>
      <c r="AH7202">
        <v>1</v>
      </c>
      <c r="AI7202">
        <v>1</v>
      </c>
      <c r="AJ7202">
        <v>1</v>
      </c>
      <c r="AK7202">
        <v>1</v>
      </c>
      <c r="AL7202">
        <v>1</v>
      </c>
      <c r="AM7202">
        <v>1</v>
      </c>
    </row>
    <row r="7203" spans="1:39" x14ac:dyDescent="0.2">
      <c r="A7203" t="str">
        <f>"7199"</f>
        <v>7199</v>
      </c>
      <c r="B7203" t="str">
        <f t="shared" si="399"/>
        <v>1</v>
      </c>
      <c r="C7203" t="str">
        <f t="shared" si="400"/>
        <v>144</v>
      </c>
      <c r="D7203" t="str">
        <f>"5"</f>
        <v>5</v>
      </c>
      <c r="E7203" t="str">
        <f>"1-144-5"</f>
        <v>1-144-5</v>
      </c>
      <c r="F7203" t="s">
        <v>65</v>
      </c>
      <c r="G7203" t="s">
        <v>66</v>
      </c>
      <c r="H7203" t="s">
        <v>67</v>
      </c>
      <c r="S7203">
        <v>0</v>
      </c>
      <c r="T7203">
        <v>1</v>
      </c>
      <c r="U7203">
        <v>0</v>
      </c>
      <c r="V7203">
        <v>0</v>
      </c>
      <c r="W7203">
        <v>0</v>
      </c>
      <c r="X7203">
        <v>1</v>
      </c>
      <c r="Y7203">
        <v>0</v>
      </c>
      <c r="Z7203">
        <v>1</v>
      </c>
      <c r="AA7203">
        <v>0</v>
      </c>
      <c r="AB7203">
        <v>1</v>
      </c>
      <c r="AC7203">
        <v>0</v>
      </c>
      <c r="AD7203">
        <v>1</v>
      </c>
      <c r="AE7203">
        <v>1</v>
      </c>
      <c r="AF7203">
        <v>1</v>
      </c>
      <c r="AG7203">
        <v>1</v>
      </c>
      <c r="AH7203">
        <v>1</v>
      </c>
      <c r="AI7203">
        <v>1</v>
      </c>
      <c r="AJ7203">
        <v>1</v>
      </c>
      <c r="AK7203">
        <v>1</v>
      </c>
      <c r="AL7203">
        <v>1</v>
      </c>
      <c r="AM7203">
        <v>1</v>
      </c>
    </row>
    <row r="7204" spans="1:39" x14ac:dyDescent="0.2">
      <c r="A7204" t="str">
        <f>"7200"</f>
        <v>7200</v>
      </c>
      <c r="B7204" t="str">
        <f t="shared" si="399"/>
        <v>1</v>
      </c>
      <c r="C7204" t="str">
        <f t="shared" si="400"/>
        <v>144</v>
      </c>
      <c r="D7204" t="str">
        <f>"4"</f>
        <v>4</v>
      </c>
      <c r="E7204" t="str">
        <f>"1-144-4"</f>
        <v>1-144-4</v>
      </c>
      <c r="F7204" t="s">
        <v>65</v>
      </c>
      <c r="G7204" t="s">
        <v>66</v>
      </c>
      <c r="H7204" t="s">
        <v>67</v>
      </c>
      <c r="S7204">
        <v>0</v>
      </c>
      <c r="T7204">
        <v>1</v>
      </c>
      <c r="U7204">
        <v>0</v>
      </c>
      <c r="V7204">
        <v>0</v>
      </c>
      <c r="W7204">
        <v>0</v>
      </c>
      <c r="X7204">
        <v>1</v>
      </c>
      <c r="Y7204">
        <v>0</v>
      </c>
      <c r="Z7204">
        <v>1</v>
      </c>
      <c r="AA7204">
        <v>0</v>
      </c>
      <c r="AB7204">
        <v>1</v>
      </c>
      <c r="AC7204">
        <v>0</v>
      </c>
      <c r="AD7204">
        <v>1</v>
      </c>
      <c r="AE7204">
        <v>1</v>
      </c>
      <c r="AF7204">
        <v>1</v>
      </c>
      <c r="AG7204">
        <v>1</v>
      </c>
      <c r="AH7204">
        <v>1</v>
      </c>
      <c r="AI7204">
        <v>1</v>
      </c>
      <c r="AJ7204">
        <v>1</v>
      </c>
      <c r="AK7204">
        <v>1</v>
      </c>
      <c r="AL7204">
        <v>1</v>
      </c>
      <c r="AM7204">
        <v>1</v>
      </c>
    </row>
    <row r="7205" spans="1:39" x14ac:dyDescent="0.2">
      <c r="A7205" t="str">
        <f>"7201"</f>
        <v>7201</v>
      </c>
      <c r="B7205" t="str">
        <f t="shared" si="399"/>
        <v>1</v>
      </c>
      <c r="C7205" t="str">
        <f t="shared" ref="C7205:C7236" si="401">"145"</f>
        <v>145</v>
      </c>
      <c r="D7205" t="str">
        <f>"38"</f>
        <v>38</v>
      </c>
      <c r="E7205" t="str">
        <f>"1-145-38"</f>
        <v>1-145-38</v>
      </c>
      <c r="F7205" t="s">
        <v>65</v>
      </c>
      <c r="G7205" t="s">
        <v>66</v>
      </c>
      <c r="H7205" t="s">
        <v>67</v>
      </c>
      <c r="S7205">
        <v>1</v>
      </c>
      <c r="T7205">
        <v>0</v>
      </c>
      <c r="U7205">
        <v>0</v>
      </c>
      <c r="V7205">
        <v>0</v>
      </c>
      <c r="W7205">
        <v>1</v>
      </c>
      <c r="X7205">
        <v>0</v>
      </c>
      <c r="Y7205">
        <v>1</v>
      </c>
      <c r="Z7205">
        <v>0</v>
      </c>
      <c r="AA7205">
        <v>0</v>
      </c>
      <c r="AB7205">
        <v>0</v>
      </c>
      <c r="AC7205">
        <v>1</v>
      </c>
      <c r="AD7205">
        <v>1</v>
      </c>
      <c r="AE7205">
        <v>1</v>
      </c>
      <c r="AF7205">
        <v>1</v>
      </c>
      <c r="AG7205">
        <v>1</v>
      </c>
      <c r="AH7205">
        <v>1</v>
      </c>
      <c r="AI7205">
        <v>1</v>
      </c>
      <c r="AJ7205">
        <v>1</v>
      </c>
      <c r="AK7205">
        <v>1</v>
      </c>
      <c r="AL7205">
        <v>1</v>
      </c>
      <c r="AM7205">
        <v>1</v>
      </c>
    </row>
    <row r="7206" spans="1:39" x14ac:dyDescent="0.2">
      <c r="A7206" t="str">
        <f>"7202"</f>
        <v>7202</v>
      </c>
      <c r="B7206" t="str">
        <f t="shared" si="399"/>
        <v>1</v>
      </c>
      <c r="C7206" t="str">
        <f t="shared" si="401"/>
        <v>145</v>
      </c>
      <c r="D7206" t="str">
        <f>"37"</f>
        <v>37</v>
      </c>
      <c r="E7206" t="str">
        <f>"1-145-37"</f>
        <v>1-145-37</v>
      </c>
      <c r="F7206" t="s">
        <v>65</v>
      </c>
      <c r="G7206" t="s">
        <v>66</v>
      </c>
      <c r="H7206" t="s">
        <v>67</v>
      </c>
      <c r="S7206">
        <v>0</v>
      </c>
      <c r="T7206">
        <v>1</v>
      </c>
      <c r="U7206">
        <v>0</v>
      </c>
      <c r="V7206">
        <v>0</v>
      </c>
      <c r="W7206">
        <v>0</v>
      </c>
      <c r="X7206">
        <v>1</v>
      </c>
      <c r="Y7206">
        <v>1</v>
      </c>
      <c r="Z7206">
        <v>0</v>
      </c>
      <c r="AA7206">
        <v>0</v>
      </c>
      <c r="AB7206">
        <v>1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</row>
    <row r="7207" spans="1:39" x14ac:dyDescent="0.2">
      <c r="A7207" t="str">
        <f>"7203"</f>
        <v>7203</v>
      </c>
      <c r="B7207" t="str">
        <f t="shared" si="399"/>
        <v>1</v>
      </c>
      <c r="C7207" t="str">
        <f t="shared" si="401"/>
        <v>145</v>
      </c>
      <c r="D7207" t="str">
        <f>"25"</f>
        <v>25</v>
      </c>
      <c r="E7207" t="str">
        <f>"1-145-25"</f>
        <v>1-145-25</v>
      </c>
      <c r="F7207" t="s">
        <v>65</v>
      </c>
      <c r="G7207" t="s">
        <v>66</v>
      </c>
      <c r="H7207" t="s">
        <v>67</v>
      </c>
      <c r="S7207">
        <v>1</v>
      </c>
      <c r="T7207">
        <v>0</v>
      </c>
      <c r="U7207">
        <v>0</v>
      </c>
      <c r="V7207">
        <v>0</v>
      </c>
      <c r="W7207">
        <v>1</v>
      </c>
      <c r="X7207">
        <v>0</v>
      </c>
      <c r="Y7207">
        <v>1</v>
      </c>
      <c r="Z7207">
        <v>0</v>
      </c>
      <c r="AA7207">
        <v>0</v>
      </c>
      <c r="AB7207">
        <v>1</v>
      </c>
      <c r="AC7207">
        <v>0</v>
      </c>
      <c r="AD7207">
        <v>1</v>
      </c>
      <c r="AE7207">
        <v>1</v>
      </c>
      <c r="AF7207">
        <v>1</v>
      </c>
      <c r="AG7207">
        <v>1</v>
      </c>
      <c r="AH7207">
        <v>1</v>
      </c>
      <c r="AI7207">
        <v>1</v>
      </c>
      <c r="AJ7207">
        <v>1</v>
      </c>
      <c r="AK7207">
        <v>1</v>
      </c>
      <c r="AL7207">
        <v>1</v>
      </c>
      <c r="AM7207">
        <v>1</v>
      </c>
    </row>
    <row r="7208" spans="1:39" x14ac:dyDescent="0.2">
      <c r="A7208" t="str">
        <f>"7204"</f>
        <v>7204</v>
      </c>
      <c r="B7208" t="str">
        <f t="shared" si="399"/>
        <v>1</v>
      </c>
      <c r="C7208" t="str">
        <f t="shared" si="401"/>
        <v>145</v>
      </c>
      <c r="D7208" t="str">
        <f>"15"</f>
        <v>15</v>
      </c>
      <c r="E7208" t="str">
        <f>"1-145-15"</f>
        <v>1-145-15</v>
      </c>
      <c r="F7208" t="s">
        <v>65</v>
      </c>
      <c r="G7208" t="s">
        <v>66</v>
      </c>
      <c r="H7208" t="s">
        <v>67</v>
      </c>
      <c r="S7208">
        <v>1</v>
      </c>
      <c r="T7208">
        <v>0</v>
      </c>
      <c r="U7208">
        <v>0</v>
      </c>
      <c r="V7208">
        <v>0</v>
      </c>
      <c r="W7208">
        <v>1</v>
      </c>
      <c r="X7208">
        <v>0</v>
      </c>
      <c r="Y7208">
        <v>0</v>
      </c>
      <c r="Z7208">
        <v>1</v>
      </c>
      <c r="AA7208">
        <v>1</v>
      </c>
      <c r="AB7208">
        <v>0</v>
      </c>
      <c r="AC7208">
        <v>0</v>
      </c>
      <c r="AD7208">
        <v>1</v>
      </c>
      <c r="AE7208">
        <v>1</v>
      </c>
      <c r="AF7208">
        <v>1</v>
      </c>
      <c r="AG7208">
        <v>1</v>
      </c>
      <c r="AH7208">
        <v>1</v>
      </c>
      <c r="AI7208">
        <v>1</v>
      </c>
      <c r="AJ7208">
        <v>1</v>
      </c>
      <c r="AK7208">
        <v>1</v>
      </c>
      <c r="AL7208">
        <v>1</v>
      </c>
      <c r="AM7208">
        <v>1</v>
      </c>
    </row>
    <row r="7209" spans="1:39" x14ac:dyDescent="0.2">
      <c r="A7209" t="str">
        <f>"7205"</f>
        <v>7205</v>
      </c>
      <c r="B7209" t="str">
        <f t="shared" si="399"/>
        <v>1</v>
      </c>
      <c r="C7209" t="str">
        <f t="shared" si="401"/>
        <v>145</v>
      </c>
      <c r="D7209" t="str">
        <f>"1"</f>
        <v>1</v>
      </c>
      <c r="E7209" t="str">
        <f>"1-145-1"</f>
        <v>1-145-1</v>
      </c>
      <c r="F7209" t="s">
        <v>65</v>
      </c>
      <c r="G7209" t="s">
        <v>66</v>
      </c>
      <c r="H7209" t="s">
        <v>67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1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</row>
    <row r="7210" spans="1:39" x14ac:dyDescent="0.2">
      <c r="A7210" t="str">
        <f>"7206"</f>
        <v>7206</v>
      </c>
      <c r="B7210" t="str">
        <f t="shared" si="399"/>
        <v>1</v>
      </c>
      <c r="C7210" t="str">
        <f t="shared" si="401"/>
        <v>145</v>
      </c>
      <c r="D7210" t="str">
        <f>"34"</f>
        <v>34</v>
      </c>
      <c r="E7210" t="str">
        <f>"1-145-34"</f>
        <v>1-145-34</v>
      </c>
      <c r="F7210" t="s">
        <v>65</v>
      </c>
      <c r="G7210" t="s">
        <v>66</v>
      </c>
      <c r="H7210" t="s">
        <v>67</v>
      </c>
      <c r="S7210">
        <v>0</v>
      </c>
      <c r="T7210">
        <v>1</v>
      </c>
      <c r="U7210">
        <v>0</v>
      </c>
      <c r="V7210">
        <v>0</v>
      </c>
      <c r="W7210">
        <v>1</v>
      </c>
      <c r="X7210">
        <v>0</v>
      </c>
      <c r="Y7210">
        <v>0</v>
      </c>
      <c r="Z7210">
        <v>1</v>
      </c>
      <c r="AA7210">
        <v>0</v>
      </c>
      <c r="AB7210">
        <v>1</v>
      </c>
      <c r="AC7210">
        <v>0</v>
      </c>
      <c r="AD7210">
        <v>1</v>
      </c>
      <c r="AE7210">
        <v>1</v>
      </c>
      <c r="AF7210">
        <v>1</v>
      </c>
      <c r="AG7210">
        <v>1</v>
      </c>
      <c r="AH7210">
        <v>1</v>
      </c>
      <c r="AI7210">
        <v>1</v>
      </c>
      <c r="AJ7210">
        <v>1</v>
      </c>
      <c r="AK7210">
        <v>1</v>
      </c>
      <c r="AL7210">
        <v>1</v>
      </c>
      <c r="AM7210">
        <v>1</v>
      </c>
    </row>
    <row r="7211" spans="1:39" x14ac:dyDescent="0.2">
      <c r="A7211" t="str">
        <f>"7207"</f>
        <v>7207</v>
      </c>
      <c r="B7211" t="str">
        <f t="shared" si="399"/>
        <v>1</v>
      </c>
      <c r="C7211" t="str">
        <f t="shared" si="401"/>
        <v>145</v>
      </c>
      <c r="D7211" t="str">
        <f>"33"</f>
        <v>33</v>
      </c>
      <c r="E7211" t="str">
        <f>"1-145-33"</f>
        <v>1-145-33</v>
      </c>
      <c r="F7211" t="s">
        <v>65</v>
      </c>
      <c r="G7211" t="s">
        <v>66</v>
      </c>
      <c r="H7211" t="s">
        <v>67</v>
      </c>
      <c r="S7211">
        <v>0</v>
      </c>
      <c r="T7211">
        <v>1</v>
      </c>
      <c r="U7211">
        <v>0</v>
      </c>
      <c r="V7211">
        <v>0</v>
      </c>
      <c r="W7211">
        <v>1</v>
      </c>
      <c r="X7211">
        <v>0</v>
      </c>
      <c r="Y7211">
        <v>1</v>
      </c>
      <c r="Z7211">
        <v>0</v>
      </c>
      <c r="AA7211">
        <v>1</v>
      </c>
      <c r="AB7211">
        <v>0</v>
      </c>
      <c r="AC7211">
        <v>0</v>
      </c>
      <c r="AD7211">
        <v>1</v>
      </c>
      <c r="AE7211">
        <v>1</v>
      </c>
      <c r="AF7211">
        <v>1</v>
      </c>
      <c r="AG7211">
        <v>1</v>
      </c>
      <c r="AH7211">
        <v>1</v>
      </c>
      <c r="AI7211">
        <v>1</v>
      </c>
      <c r="AJ7211">
        <v>1</v>
      </c>
      <c r="AK7211">
        <v>1</v>
      </c>
      <c r="AL7211">
        <v>1</v>
      </c>
      <c r="AM7211">
        <v>1</v>
      </c>
    </row>
    <row r="7212" spans="1:39" x14ac:dyDescent="0.2">
      <c r="A7212" t="str">
        <f>"7208"</f>
        <v>7208</v>
      </c>
      <c r="B7212" t="str">
        <f t="shared" si="399"/>
        <v>1</v>
      </c>
      <c r="C7212" t="str">
        <f t="shared" si="401"/>
        <v>145</v>
      </c>
      <c r="D7212" t="str">
        <f>"23"</f>
        <v>23</v>
      </c>
      <c r="E7212" t="str">
        <f>"1-145-23"</f>
        <v>1-145-23</v>
      </c>
      <c r="F7212" t="s">
        <v>65</v>
      </c>
      <c r="G7212" t="s">
        <v>66</v>
      </c>
      <c r="H7212" t="s">
        <v>67</v>
      </c>
      <c r="S7212">
        <v>0</v>
      </c>
      <c r="T7212">
        <v>1</v>
      </c>
      <c r="U7212">
        <v>0</v>
      </c>
      <c r="V7212">
        <v>0</v>
      </c>
      <c r="W7212">
        <v>1</v>
      </c>
      <c r="X7212">
        <v>0</v>
      </c>
      <c r="Y7212">
        <v>1</v>
      </c>
      <c r="Z7212">
        <v>0</v>
      </c>
      <c r="AA7212">
        <v>0</v>
      </c>
      <c r="AB7212">
        <v>1</v>
      </c>
      <c r="AC7212">
        <v>0</v>
      </c>
      <c r="AD7212">
        <v>0</v>
      </c>
      <c r="AE7212">
        <v>1</v>
      </c>
      <c r="AF7212">
        <v>1</v>
      </c>
      <c r="AG7212">
        <v>1</v>
      </c>
      <c r="AH7212">
        <v>1</v>
      </c>
      <c r="AI7212">
        <v>1</v>
      </c>
      <c r="AJ7212">
        <v>1</v>
      </c>
      <c r="AK7212">
        <v>1</v>
      </c>
      <c r="AL7212">
        <v>1</v>
      </c>
      <c r="AM7212">
        <v>1</v>
      </c>
    </row>
    <row r="7213" spans="1:39" x14ac:dyDescent="0.2">
      <c r="A7213" t="str">
        <f>"7209"</f>
        <v>7209</v>
      </c>
      <c r="B7213" t="str">
        <f t="shared" si="399"/>
        <v>1</v>
      </c>
      <c r="C7213" t="str">
        <f t="shared" si="401"/>
        <v>145</v>
      </c>
      <c r="D7213" t="str">
        <f>"16"</f>
        <v>16</v>
      </c>
      <c r="E7213" t="str">
        <f>"1-145-16"</f>
        <v>1-145-16</v>
      </c>
      <c r="F7213" t="s">
        <v>65</v>
      </c>
      <c r="G7213" t="s">
        <v>66</v>
      </c>
      <c r="H7213" t="s">
        <v>67</v>
      </c>
      <c r="S7213">
        <v>0</v>
      </c>
      <c r="T7213">
        <v>1</v>
      </c>
      <c r="U7213">
        <v>0</v>
      </c>
      <c r="V7213">
        <v>0</v>
      </c>
      <c r="W7213">
        <v>1</v>
      </c>
      <c r="X7213">
        <v>0</v>
      </c>
      <c r="Y7213">
        <v>1</v>
      </c>
      <c r="Z7213">
        <v>0</v>
      </c>
      <c r="AA7213">
        <v>0</v>
      </c>
      <c r="AB7213">
        <v>1</v>
      </c>
      <c r="AC7213">
        <v>0</v>
      </c>
      <c r="AD7213">
        <v>1</v>
      </c>
      <c r="AE7213">
        <v>1</v>
      </c>
      <c r="AF7213">
        <v>1</v>
      </c>
      <c r="AG7213">
        <v>1</v>
      </c>
      <c r="AH7213">
        <v>1</v>
      </c>
      <c r="AI7213">
        <v>1</v>
      </c>
      <c r="AJ7213">
        <v>1</v>
      </c>
      <c r="AK7213">
        <v>1</v>
      </c>
      <c r="AL7213">
        <v>1</v>
      </c>
      <c r="AM7213">
        <v>1</v>
      </c>
    </row>
    <row r="7214" spans="1:39" x14ac:dyDescent="0.2">
      <c r="A7214" t="str">
        <f>"7210"</f>
        <v>7210</v>
      </c>
      <c r="B7214" t="str">
        <f t="shared" si="399"/>
        <v>1</v>
      </c>
      <c r="C7214" t="str">
        <f t="shared" si="401"/>
        <v>145</v>
      </c>
      <c r="D7214" t="str">
        <f>"4"</f>
        <v>4</v>
      </c>
      <c r="E7214" t="str">
        <f>"1-145-4"</f>
        <v>1-145-4</v>
      </c>
      <c r="F7214" t="s">
        <v>65</v>
      </c>
      <c r="G7214" t="s">
        <v>66</v>
      </c>
      <c r="H7214" t="s">
        <v>67</v>
      </c>
      <c r="S7214">
        <v>1</v>
      </c>
      <c r="T7214">
        <v>0</v>
      </c>
      <c r="U7214">
        <v>0</v>
      </c>
      <c r="V7214">
        <v>0</v>
      </c>
      <c r="W7214">
        <v>1</v>
      </c>
      <c r="X7214">
        <v>0</v>
      </c>
      <c r="Y7214">
        <v>0</v>
      </c>
      <c r="Z7214">
        <v>1</v>
      </c>
      <c r="AA7214">
        <v>0</v>
      </c>
      <c r="AB7214">
        <v>1</v>
      </c>
      <c r="AC7214">
        <v>0</v>
      </c>
      <c r="AD7214">
        <v>1</v>
      </c>
      <c r="AE7214">
        <v>1</v>
      </c>
      <c r="AF7214">
        <v>1</v>
      </c>
      <c r="AG7214">
        <v>1</v>
      </c>
      <c r="AH7214">
        <v>1</v>
      </c>
      <c r="AI7214">
        <v>1</v>
      </c>
      <c r="AJ7214">
        <v>1</v>
      </c>
      <c r="AK7214">
        <v>1</v>
      </c>
      <c r="AL7214">
        <v>1</v>
      </c>
      <c r="AM7214">
        <v>1</v>
      </c>
    </row>
    <row r="7215" spans="1:39" x14ac:dyDescent="0.2">
      <c r="A7215" t="str">
        <f>"7211"</f>
        <v>7211</v>
      </c>
      <c r="B7215" t="str">
        <f t="shared" si="399"/>
        <v>1</v>
      </c>
      <c r="C7215" t="str">
        <f t="shared" si="401"/>
        <v>145</v>
      </c>
      <c r="D7215" t="str">
        <f>"40"</f>
        <v>40</v>
      </c>
      <c r="E7215" t="str">
        <f>"1-145-40"</f>
        <v>1-145-40</v>
      </c>
      <c r="F7215" t="s">
        <v>65</v>
      </c>
      <c r="G7215" t="s">
        <v>66</v>
      </c>
      <c r="H7215" t="s">
        <v>67</v>
      </c>
      <c r="S7215">
        <v>0</v>
      </c>
      <c r="T7215">
        <v>1</v>
      </c>
      <c r="U7215">
        <v>0</v>
      </c>
      <c r="V7215">
        <v>0</v>
      </c>
      <c r="W7215">
        <v>0</v>
      </c>
      <c r="X7215">
        <v>1</v>
      </c>
      <c r="Y7215">
        <v>0</v>
      </c>
      <c r="Z7215">
        <v>1</v>
      </c>
      <c r="AA7215">
        <v>0</v>
      </c>
      <c r="AB7215">
        <v>1</v>
      </c>
      <c r="AC7215">
        <v>0</v>
      </c>
      <c r="AD7215">
        <v>1</v>
      </c>
      <c r="AE7215">
        <v>1</v>
      </c>
      <c r="AF7215">
        <v>1</v>
      </c>
      <c r="AG7215">
        <v>1</v>
      </c>
      <c r="AH7215">
        <v>1</v>
      </c>
      <c r="AI7215">
        <v>1</v>
      </c>
      <c r="AJ7215">
        <v>1</v>
      </c>
      <c r="AK7215">
        <v>1</v>
      </c>
      <c r="AL7215">
        <v>1</v>
      </c>
      <c r="AM7215">
        <v>1</v>
      </c>
    </row>
    <row r="7216" spans="1:39" x14ac:dyDescent="0.2">
      <c r="A7216" t="str">
        <f>"7212"</f>
        <v>7212</v>
      </c>
      <c r="B7216" t="str">
        <f t="shared" si="399"/>
        <v>1</v>
      </c>
      <c r="C7216" t="str">
        <f t="shared" si="401"/>
        <v>145</v>
      </c>
      <c r="D7216" t="str">
        <f>"39"</f>
        <v>39</v>
      </c>
      <c r="E7216" t="str">
        <f>"1-145-39"</f>
        <v>1-145-39</v>
      </c>
      <c r="F7216" t="s">
        <v>65</v>
      </c>
      <c r="G7216" t="s">
        <v>66</v>
      </c>
      <c r="H7216" t="s">
        <v>67</v>
      </c>
      <c r="S7216">
        <v>1</v>
      </c>
      <c r="T7216">
        <v>0</v>
      </c>
      <c r="U7216">
        <v>0</v>
      </c>
      <c r="V7216">
        <v>0</v>
      </c>
      <c r="W7216">
        <v>1</v>
      </c>
      <c r="X7216">
        <v>0</v>
      </c>
      <c r="Y7216">
        <v>1</v>
      </c>
      <c r="Z7216">
        <v>0</v>
      </c>
      <c r="AA7216">
        <v>0</v>
      </c>
      <c r="AB7216">
        <v>1</v>
      </c>
      <c r="AC7216">
        <v>0</v>
      </c>
      <c r="AD7216">
        <v>1</v>
      </c>
      <c r="AE7216">
        <v>1</v>
      </c>
      <c r="AF7216">
        <v>1</v>
      </c>
      <c r="AG7216">
        <v>1</v>
      </c>
      <c r="AH7216">
        <v>1</v>
      </c>
      <c r="AI7216">
        <v>1</v>
      </c>
      <c r="AJ7216">
        <v>1</v>
      </c>
      <c r="AK7216">
        <v>1</v>
      </c>
      <c r="AL7216">
        <v>1</v>
      </c>
      <c r="AM7216">
        <v>1</v>
      </c>
    </row>
    <row r="7217" spans="1:39" x14ac:dyDescent="0.2">
      <c r="A7217" t="str">
        <f>"7213"</f>
        <v>7213</v>
      </c>
      <c r="B7217" t="str">
        <f t="shared" si="399"/>
        <v>1</v>
      </c>
      <c r="C7217" t="str">
        <f t="shared" si="401"/>
        <v>145</v>
      </c>
      <c r="D7217" t="str">
        <f>"24"</f>
        <v>24</v>
      </c>
      <c r="E7217" t="str">
        <f>"1-145-24"</f>
        <v>1-145-24</v>
      </c>
      <c r="F7217" t="s">
        <v>65</v>
      </c>
      <c r="G7217" t="s">
        <v>66</v>
      </c>
      <c r="H7217" t="s">
        <v>67</v>
      </c>
      <c r="S7217">
        <v>1</v>
      </c>
      <c r="T7217">
        <v>0</v>
      </c>
      <c r="U7217">
        <v>0</v>
      </c>
      <c r="V7217">
        <v>0</v>
      </c>
      <c r="W7217">
        <v>0</v>
      </c>
      <c r="X7217">
        <v>1</v>
      </c>
      <c r="Y7217">
        <v>0</v>
      </c>
      <c r="Z7217">
        <v>1</v>
      </c>
      <c r="AA7217">
        <v>0</v>
      </c>
      <c r="AB7217">
        <v>0</v>
      </c>
      <c r="AC7217">
        <v>1</v>
      </c>
      <c r="AD7217">
        <v>1</v>
      </c>
      <c r="AE7217">
        <v>1</v>
      </c>
      <c r="AF7217">
        <v>1</v>
      </c>
      <c r="AG7217">
        <v>1</v>
      </c>
      <c r="AH7217">
        <v>1</v>
      </c>
      <c r="AI7217">
        <v>1</v>
      </c>
      <c r="AJ7217">
        <v>1</v>
      </c>
      <c r="AK7217">
        <v>1</v>
      </c>
      <c r="AL7217">
        <v>1</v>
      </c>
      <c r="AM7217">
        <v>1</v>
      </c>
    </row>
    <row r="7218" spans="1:39" x14ac:dyDescent="0.2">
      <c r="A7218" t="str">
        <f>"7214"</f>
        <v>7214</v>
      </c>
      <c r="B7218" t="str">
        <f t="shared" si="399"/>
        <v>1</v>
      </c>
      <c r="C7218" t="str">
        <f t="shared" si="401"/>
        <v>145</v>
      </c>
      <c r="D7218" t="str">
        <f>"17"</f>
        <v>17</v>
      </c>
      <c r="E7218" t="str">
        <f>"1-145-17"</f>
        <v>1-145-17</v>
      </c>
      <c r="F7218" t="s">
        <v>65</v>
      </c>
      <c r="G7218" t="s">
        <v>66</v>
      </c>
      <c r="H7218" t="s">
        <v>67</v>
      </c>
      <c r="S7218">
        <v>1</v>
      </c>
      <c r="T7218">
        <v>0</v>
      </c>
      <c r="U7218">
        <v>0</v>
      </c>
      <c r="V7218">
        <v>0</v>
      </c>
      <c r="W7218">
        <v>1</v>
      </c>
      <c r="X7218">
        <v>0</v>
      </c>
      <c r="Y7218">
        <v>1</v>
      </c>
      <c r="Z7218">
        <v>0</v>
      </c>
      <c r="AA7218">
        <v>1</v>
      </c>
      <c r="AB7218">
        <v>0</v>
      </c>
      <c r="AC7218">
        <v>0</v>
      </c>
      <c r="AD7218">
        <v>1</v>
      </c>
      <c r="AE7218">
        <v>1</v>
      </c>
      <c r="AF7218">
        <v>1</v>
      </c>
      <c r="AG7218">
        <v>1</v>
      </c>
      <c r="AH7218">
        <v>0</v>
      </c>
      <c r="AI7218">
        <v>1</v>
      </c>
      <c r="AJ7218">
        <v>1</v>
      </c>
      <c r="AK7218">
        <v>1</v>
      </c>
      <c r="AL7218">
        <v>1</v>
      </c>
      <c r="AM7218">
        <v>1</v>
      </c>
    </row>
    <row r="7219" spans="1:39" x14ac:dyDescent="0.2">
      <c r="A7219" t="str">
        <f>"7215"</f>
        <v>7215</v>
      </c>
      <c r="B7219" t="str">
        <f t="shared" si="399"/>
        <v>1</v>
      </c>
      <c r="C7219" t="str">
        <f t="shared" si="401"/>
        <v>145</v>
      </c>
      <c r="D7219" t="str">
        <f>"14"</f>
        <v>14</v>
      </c>
      <c r="E7219" t="str">
        <f>"1-145-14"</f>
        <v>1-145-14</v>
      </c>
      <c r="F7219" t="s">
        <v>65</v>
      </c>
      <c r="G7219" t="s">
        <v>66</v>
      </c>
      <c r="H7219" t="s">
        <v>67</v>
      </c>
      <c r="S7219">
        <v>1</v>
      </c>
      <c r="T7219">
        <v>0</v>
      </c>
      <c r="U7219">
        <v>0</v>
      </c>
      <c r="V7219">
        <v>0</v>
      </c>
      <c r="W7219">
        <v>1</v>
      </c>
      <c r="X7219">
        <v>0</v>
      </c>
      <c r="Y7219">
        <v>1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1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</row>
    <row r="7220" spans="1:39" x14ac:dyDescent="0.2">
      <c r="A7220" t="str">
        <f>"7216"</f>
        <v>7216</v>
      </c>
      <c r="B7220" t="str">
        <f t="shared" si="399"/>
        <v>1</v>
      </c>
      <c r="C7220" t="str">
        <f t="shared" si="401"/>
        <v>145</v>
      </c>
      <c r="D7220" t="str">
        <f>"36"</f>
        <v>36</v>
      </c>
      <c r="E7220" t="str">
        <f>"1-145-36"</f>
        <v>1-145-36</v>
      </c>
      <c r="F7220" t="s">
        <v>65</v>
      </c>
      <c r="G7220" t="s">
        <v>66</v>
      </c>
      <c r="H7220" t="s">
        <v>67</v>
      </c>
      <c r="S7220">
        <v>1</v>
      </c>
      <c r="T7220">
        <v>0</v>
      </c>
      <c r="U7220">
        <v>0</v>
      </c>
      <c r="V7220">
        <v>0</v>
      </c>
      <c r="W7220">
        <v>1</v>
      </c>
      <c r="X7220">
        <v>0</v>
      </c>
      <c r="Y7220">
        <v>0</v>
      </c>
      <c r="Z7220">
        <v>1</v>
      </c>
      <c r="AA7220">
        <v>1</v>
      </c>
      <c r="AB7220">
        <v>0</v>
      </c>
      <c r="AC7220">
        <v>0</v>
      </c>
      <c r="AD7220">
        <v>1</v>
      </c>
      <c r="AE7220">
        <v>1</v>
      </c>
      <c r="AF7220">
        <v>1</v>
      </c>
      <c r="AG7220">
        <v>1</v>
      </c>
      <c r="AH7220">
        <v>1</v>
      </c>
      <c r="AI7220">
        <v>1</v>
      </c>
      <c r="AJ7220">
        <v>1</v>
      </c>
      <c r="AK7220">
        <v>1</v>
      </c>
      <c r="AL7220">
        <v>1</v>
      </c>
      <c r="AM7220">
        <v>1</v>
      </c>
    </row>
    <row r="7221" spans="1:39" x14ac:dyDescent="0.2">
      <c r="A7221" t="str">
        <f>"7217"</f>
        <v>7217</v>
      </c>
      <c r="B7221" t="str">
        <f t="shared" si="399"/>
        <v>1</v>
      </c>
      <c r="C7221" t="str">
        <f t="shared" si="401"/>
        <v>145</v>
      </c>
      <c r="D7221" t="str">
        <f>"35"</f>
        <v>35</v>
      </c>
      <c r="E7221" t="str">
        <f>"1-145-35"</f>
        <v>1-145-35</v>
      </c>
      <c r="F7221" t="s">
        <v>65</v>
      </c>
      <c r="G7221" t="s">
        <v>66</v>
      </c>
      <c r="H7221" t="s">
        <v>67</v>
      </c>
      <c r="S7221">
        <v>1</v>
      </c>
      <c r="T7221">
        <v>0</v>
      </c>
      <c r="U7221">
        <v>0</v>
      </c>
      <c r="V7221">
        <v>0</v>
      </c>
      <c r="W7221">
        <v>1</v>
      </c>
      <c r="X7221">
        <v>0</v>
      </c>
      <c r="Y7221">
        <v>1</v>
      </c>
      <c r="Z7221">
        <v>0</v>
      </c>
      <c r="AA7221">
        <v>0</v>
      </c>
      <c r="AB7221">
        <v>0</v>
      </c>
      <c r="AC7221">
        <v>1</v>
      </c>
      <c r="AD7221">
        <v>1</v>
      </c>
      <c r="AE7221">
        <v>1</v>
      </c>
      <c r="AF7221">
        <v>1</v>
      </c>
      <c r="AG7221">
        <v>1</v>
      </c>
      <c r="AH7221">
        <v>1</v>
      </c>
      <c r="AI7221">
        <v>1</v>
      </c>
      <c r="AJ7221">
        <v>1</v>
      </c>
      <c r="AK7221">
        <v>1</v>
      </c>
      <c r="AL7221">
        <v>1</v>
      </c>
      <c r="AM7221">
        <v>1</v>
      </c>
    </row>
    <row r="7222" spans="1:39" x14ac:dyDescent="0.2">
      <c r="A7222" t="str">
        <f>"7218"</f>
        <v>7218</v>
      </c>
      <c r="B7222" t="str">
        <f t="shared" si="399"/>
        <v>1</v>
      </c>
      <c r="C7222" t="str">
        <f t="shared" si="401"/>
        <v>145</v>
      </c>
      <c r="D7222" t="str">
        <f>"26"</f>
        <v>26</v>
      </c>
      <c r="E7222" t="str">
        <f>"1-145-26"</f>
        <v>1-145-26</v>
      </c>
      <c r="F7222" t="s">
        <v>65</v>
      </c>
      <c r="G7222" t="s">
        <v>66</v>
      </c>
      <c r="H7222" t="s">
        <v>67</v>
      </c>
      <c r="S7222">
        <v>0</v>
      </c>
      <c r="T7222">
        <v>1</v>
      </c>
      <c r="U7222">
        <v>0</v>
      </c>
      <c r="V7222">
        <v>0</v>
      </c>
      <c r="W7222">
        <v>0</v>
      </c>
      <c r="X7222">
        <v>1</v>
      </c>
      <c r="Y7222">
        <v>1</v>
      </c>
      <c r="Z7222">
        <v>0</v>
      </c>
      <c r="AA7222">
        <v>0</v>
      </c>
      <c r="AB7222">
        <v>0</v>
      </c>
      <c r="AC7222">
        <v>1</v>
      </c>
      <c r="AD7222">
        <v>1</v>
      </c>
      <c r="AE7222">
        <v>1</v>
      </c>
      <c r="AF7222">
        <v>1</v>
      </c>
      <c r="AG7222">
        <v>1</v>
      </c>
      <c r="AH7222">
        <v>1</v>
      </c>
      <c r="AI7222">
        <v>1</v>
      </c>
      <c r="AJ7222">
        <v>1</v>
      </c>
      <c r="AK7222">
        <v>1</v>
      </c>
      <c r="AL7222">
        <v>1</v>
      </c>
      <c r="AM7222">
        <v>1</v>
      </c>
    </row>
    <row r="7223" spans="1:39" x14ac:dyDescent="0.2">
      <c r="A7223" t="str">
        <f>"7219"</f>
        <v>7219</v>
      </c>
      <c r="B7223" t="str">
        <f t="shared" ref="B7223:B7286" si="402">"1"</f>
        <v>1</v>
      </c>
      <c r="C7223" t="str">
        <f t="shared" si="401"/>
        <v>145</v>
      </c>
      <c r="D7223" t="str">
        <f>"18"</f>
        <v>18</v>
      </c>
      <c r="E7223" t="str">
        <f>"1-145-18"</f>
        <v>1-145-18</v>
      </c>
      <c r="F7223" t="s">
        <v>65</v>
      </c>
      <c r="G7223" t="s">
        <v>66</v>
      </c>
      <c r="H7223" t="s">
        <v>67</v>
      </c>
      <c r="S7223">
        <v>1</v>
      </c>
      <c r="T7223">
        <v>0</v>
      </c>
      <c r="U7223">
        <v>0</v>
      </c>
      <c r="V7223">
        <v>0</v>
      </c>
      <c r="W7223">
        <v>0</v>
      </c>
      <c r="X7223">
        <v>1</v>
      </c>
      <c r="Y7223">
        <v>1</v>
      </c>
      <c r="Z7223">
        <v>0</v>
      </c>
      <c r="AA7223">
        <v>0</v>
      </c>
      <c r="AB7223">
        <v>1</v>
      </c>
      <c r="AC7223">
        <v>0</v>
      </c>
      <c r="AD7223">
        <v>1</v>
      </c>
      <c r="AE7223">
        <v>1</v>
      </c>
      <c r="AF7223">
        <v>1</v>
      </c>
      <c r="AG7223">
        <v>1</v>
      </c>
      <c r="AH7223">
        <v>1</v>
      </c>
      <c r="AI7223">
        <v>1</v>
      </c>
      <c r="AJ7223">
        <v>1</v>
      </c>
      <c r="AK7223">
        <v>1</v>
      </c>
      <c r="AL7223">
        <v>1</v>
      </c>
      <c r="AM7223">
        <v>1</v>
      </c>
    </row>
    <row r="7224" spans="1:39" x14ac:dyDescent="0.2">
      <c r="A7224" t="str">
        <f>"7220"</f>
        <v>7220</v>
      </c>
      <c r="B7224" t="str">
        <f t="shared" si="402"/>
        <v>1</v>
      </c>
      <c r="C7224" t="str">
        <f t="shared" si="401"/>
        <v>145</v>
      </c>
      <c r="D7224" t="str">
        <f>"3"</f>
        <v>3</v>
      </c>
      <c r="E7224" t="str">
        <f>"1-145-3"</f>
        <v>1-145-3</v>
      </c>
      <c r="F7224" t="s">
        <v>65</v>
      </c>
      <c r="G7224" t="s">
        <v>66</v>
      </c>
      <c r="H7224" t="s">
        <v>67</v>
      </c>
      <c r="S7224">
        <v>0</v>
      </c>
      <c r="T7224">
        <v>1</v>
      </c>
      <c r="U7224">
        <v>0</v>
      </c>
      <c r="V7224">
        <v>0</v>
      </c>
      <c r="W7224">
        <v>1</v>
      </c>
      <c r="X7224">
        <v>0</v>
      </c>
      <c r="Y7224">
        <v>0</v>
      </c>
      <c r="Z7224">
        <v>1</v>
      </c>
      <c r="AA7224">
        <v>1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</row>
    <row r="7225" spans="1:39" x14ac:dyDescent="0.2">
      <c r="A7225" t="str">
        <f>"7221"</f>
        <v>7221</v>
      </c>
      <c r="B7225" t="str">
        <f t="shared" si="402"/>
        <v>1</v>
      </c>
      <c r="C7225" t="str">
        <f t="shared" si="401"/>
        <v>145</v>
      </c>
      <c r="D7225" t="str">
        <f>"41"</f>
        <v>41</v>
      </c>
      <c r="E7225" t="str">
        <f>"1-145-41"</f>
        <v>1-145-41</v>
      </c>
      <c r="F7225" t="s">
        <v>65</v>
      </c>
      <c r="G7225" t="s">
        <v>66</v>
      </c>
      <c r="H7225" t="s">
        <v>67</v>
      </c>
      <c r="S7225">
        <v>1</v>
      </c>
      <c r="T7225">
        <v>0</v>
      </c>
      <c r="U7225">
        <v>0</v>
      </c>
      <c r="V7225">
        <v>0</v>
      </c>
      <c r="W7225">
        <v>1</v>
      </c>
      <c r="X7225">
        <v>0</v>
      </c>
      <c r="Y7225">
        <v>1</v>
      </c>
      <c r="Z7225">
        <v>0</v>
      </c>
      <c r="AA7225">
        <v>1</v>
      </c>
      <c r="AB7225">
        <v>0</v>
      </c>
      <c r="AC7225">
        <v>0</v>
      </c>
      <c r="AD7225">
        <v>1</v>
      </c>
      <c r="AE7225">
        <v>1</v>
      </c>
      <c r="AF7225">
        <v>1</v>
      </c>
      <c r="AG7225">
        <v>1</v>
      </c>
      <c r="AH7225">
        <v>1</v>
      </c>
      <c r="AI7225">
        <v>1</v>
      </c>
      <c r="AJ7225">
        <v>1</v>
      </c>
      <c r="AK7225">
        <v>1</v>
      </c>
      <c r="AL7225">
        <v>1</v>
      </c>
      <c r="AM7225">
        <v>1</v>
      </c>
    </row>
    <row r="7226" spans="1:39" x14ac:dyDescent="0.2">
      <c r="A7226" t="str">
        <f>"7222"</f>
        <v>7222</v>
      </c>
      <c r="B7226" t="str">
        <f t="shared" si="402"/>
        <v>1</v>
      </c>
      <c r="C7226" t="str">
        <f t="shared" si="401"/>
        <v>145</v>
      </c>
      <c r="D7226" t="str">
        <f>"19"</f>
        <v>19</v>
      </c>
      <c r="E7226" t="str">
        <f>"1-145-19"</f>
        <v>1-145-19</v>
      </c>
      <c r="F7226" t="s">
        <v>65</v>
      </c>
      <c r="G7226" t="s">
        <v>66</v>
      </c>
      <c r="H7226" t="s">
        <v>67</v>
      </c>
      <c r="S7226">
        <v>1</v>
      </c>
      <c r="T7226">
        <v>0</v>
      </c>
      <c r="U7226">
        <v>0</v>
      </c>
      <c r="V7226">
        <v>0</v>
      </c>
      <c r="W7226">
        <v>1</v>
      </c>
      <c r="X7226">
        <v>0</v>
      </c>
      <c r="Y7226">
        <v>1</v>
      </c>
      <c r="Z7226">
        <v>0</v>
      </c>
      <c r="AA7226">
        <v>0</v>
      </c>
      <c r="AB7226">
        <v>1</v>
      </c>
      <c r="AC7226">
        <v>0</v>
      </c>
      <c r="AD7226">
        <v>1</v>
      </c>
      <c r="AE7226">
        <v>1</v>
      </c>
      <c r="AF7226">
        <v>1</v>
      </c>
      <c r="AG7226">
        <v>1</v>
      </c>
      <c r="AH7226">
        <v>1</v>
      </c>
      <c r="AI7226">
        <v>1</v>
      </c>
      <c r="AJ7226">
        <v>1</v>
      </c>
      <c r="AK7226">
        <v>1</v>
      </c>
      <c r="AL7226">
        <v>1</v>
      </c>
      <c r="AM7226">
        <v>1</v>
      </c>
    </row>
    <row r="7227" spans="1:39" x14ac:dyDescent="0.2">
      <c r="A7227" t="str">
        <f>"7223"</f>
        <v>7223</v>
      </c>
      <c r="B7227" t="str">
        <f t="shared" si="402"/>
        <v>1</v>
      </c>
      <c r="C7227" t="str">
        <f t="shared" si="401"/>
        <v>145</v>
      </c>
      <c r="D7227" t="str">
        <f>"13"</f>
        <v>13</v>
      </c>
      <c r="E7227" t="str">
        <f>"1-145-13"</f>
        <v>1-145-13</v>
      </c>
      <c r="F7227" t="s">
        <v>65</v>
      </c>
      <c r="G7227" t="s">
        <v>66</v>
      </c>
      <c r="H7227" t="s">
        <v>67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1</v>
      </c>
      <c r="Y7227">
        <v>1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1</v>
      </c>
      <c r="AF7227">
        <v>1</v>
      </c>
      <c r="AG7227">
        <v>1</v>
      </c>
      <c r="AH7227">
        <v>1</v>
      </c>
      <c r="AI7227">
        <v>1</v>
      </c>
      <c r="AJ7227">
        <v>1</v>
      </c>
      <c r="AK7227">
        <v>1</v>
      </c>
      <c r="AL7227">
        <v>1</v>
      </c>
      <c r="AM7227">
        <v>1</v>
      </c>
    </row>
    <row r="7228" spans="1:39" x14ac:dyDescent="0.2">
      <c r="A7228" t="str">
        <f>"7224"</f>
        <v>7224</v>
      </c>
      <c r="B7228" t="str">
        <f t="shared" si="402"/>
        <v>1</v>
      </c>
      <c r="C7228" t="str">
        <f t="shared" si="401"/>
        <v>145</v>
      </c>
      <c r="D7228" t="str">
        <f>"42"</f>
        <v>42</v>
      </c>
      <c r="E7228" t="str">
        <f>"1-145-42"</f>
        <v>1-145-42</v>
      </c>
      <c r="F7228" t="s">
        <v>65</v>
      </c>
      <c r="G7228" t="s">
        <v>66</v>
      </c>
      <c r="H7228" t="s">
        <v>67</v>
      </c>
      <c r="S7228">
        <v>1</v>
      </c>
      <c r="T7228">
        <v>0</v>
      </c>
      <c r="U7228">
        <v>0</v>
      </c>
      <c r="V7228">
        <v>0</v>
      </c>
      <c r="W7228">
        <v>1</v>
      </c>
      <c r="X7228">
        <v>0</v>
      </c>
      <c r="Y7228">
        <v>1</v>
      </c>
      <c r="Z7228">
        <v>0</v>
      </c>
      <c r="AA7228">
        <v>1</v>
      </c>
      <c r="AB7228">
        <v>0</v>
      </c>
      <c r="AC7228">
        <v>0</v>
      </c>
      <c r="AD7228">
        <v>1</v>
      </c>
      <c r="AE7228">
        <v>1</v>
      </c>
      <c r="AF7228">
        <v>1</v>
      </c>
      <c r="AG7228">
        <v>1</v>
      </c>
      <c r="AH7228">
        <v>1</v>
      </c>
      <c r="AI7228">
        <v>1</v>
      </c>
      <c r="AJ7228">
        <v>1</v>
      </c>
      <c r="AK7228">
        <v>1</v>
      </c>
      <c r="AL7228">
        <v>1</v>
      </c>
      <c r="AM7228">
        <v>1</v>
      </c>
    </row>
    <row r="7229" spans="1:39" x14ac:dyDescent="0.2">
      <c r="A7229" t="str">
        <f>"7225"</f>
        <v>7225</v>
      </c>
      <c r="B7229" t="str">
        <f t="shared" si="402"/>
        <v>1</v>
      </c>
      <c r="C7229" t="str">
        <f t="shared" si="401"/>
        <v>145</v>
      </c>
      <c r="D7229" t="str">
        <f>"20"</f>
        <v>20</v>
      </c>
      <c r="E7229" t="str">
        <f>"1-145-20"</f>
        <v>1-145-20</v>
      </c>
      <c r="F7229" t="s">
        <v>65</v>
      </c>
      <c r="G7229" t="s">
        <v>66</v>
      </c>
      <c r="H7229" t="s">
        <v>67</v>
      </c>
      <c r="S7229">
        <v>0</v>
      </c>
      <c r="T7229">
        <v>1</v>
      </c>
      <c r="U7229">
        <v>0</v>
      </c>
      <c r="V7229">
        <v>0</v>
      </c>
      <c r="W7229">
        <v>0</v>
      </c>
      <c r="X7229">
        <v>1</v>
      </c>
      <c r="Y7229">
        <v>0</v>
      </c>
      <c r="Z7229">
        <v>1</v>
      </c>
      <c r="AA7229">
        <v>0</v>
      </c>
      <c r="AB7229">
        <v>1</v>
      </c>
      <c r="AC7229">
        <v>0</v>
      </c>
      <c r="AD7229">
        <v>1</v>
      </c>
      <c r="AE7229">
        <v>1</v>
      </c>
      <c r="AF7229">
        <v>1</v>
      </c>
      <c r="AG7229">
        <v>1</v>
      </c>
      <c r="AH7229">
        <v>1</v>
      </c>
      <c r="AI7229">
        <v>1</v>
      </c>
      <c r="AJ7229">
        <v>1</v>
      </c>
      <c r="AK7229">
        <v>1</v>
      </c>
      <c r="AL7229">
        <v>1</v>
      </c>
      <c r="AM7229">
        <v>1</v>
      </c>
    </row>
    <row r="7230" spans="1:39" x14ac:dyDescent="0.2">
      <c r="A7230" t="str">
        <f>"7226"</f>
        <v>7226</v>
      </c>
      <c r="B7230" t="str">
        <f t="shared" si="402"/>
        <v>1</v>
      </c>
      <c r="C7230" t="str">
        <f t="shared" si="401"/>
        <v>145</v>
      </c>
      <c r="D7230" t="str">
        <f>"5"</f>
        <v>5</v>
      </c>
      <c r="E7230" t="str">
        <f>"1-145-5"</f>
        <v>1-145-5</v>
      </c>
      <c r="F7230" t="s">
        <v>65</v>
      </c>
      <c r="G7230" t="s">
        <v>66</v>
      </c>
      <c r="H7230" t="s">
        <v>67</v>
      </c>
      <c r="S7230">
        <v>1</v>
      </c>
      <c r="T7230">
        <v>0</v>
      </c>
      <c r="U7230">
        <v>0</v>
      </c>
      <c r="V7230">
        <v>0</v>
      </c>
      <c r="W7230">
        <v>1</v>
      </c>
      <c r="X7230">
        <v>0</v>
      </c>
      <c r="Y7230">
        <v>1</v>
      </c>
      <c r="Z7230">
        <v>0</v>
      </c>
      <c r="AA7230">
        <v>0</v>
      </c>
      <c r="AB7230">
        <v>1</v>
      </c>
      <c r="AC7230">
        <v>0</v>
      </c>
      <c r="AD7230">
        <v>1</v>
      </c>
      <c r="AE7230">
        <v>1</v>
      </c>
      <c r="AF7230">
        <v>1</v>
      </c>
      <c r="AG7230">
        <v>1</v>
      </c>
      <c r="AH7230">
        <v>1</v>
      </c>
      <c r="AI7230">
        <v>1</v>
      </c>
      <c r="AJ7230">
        <v>1</v>
      </c>
      <c r="AK7230">
        <v>1</v>
      </c>
      <c r="AL7230">
        <v>1</v>
      </c>
      <c r="AM7230">
        <v>1</v>
      </c>
    </row>
    <row r="7231" spans="1:39" x14ac:dyDescent="0.2">
      <c r="A7231" t="str">
        <f>"7227"</f>
        <v>7227</v>
      </c>
      <c r="B7231" t="str">
        <f t="shared" si="402"/>
        <v>1</v>
      </c>
      <c r="C7231" t="str">
        <f t="shared" si="401"/>
        <v>145</v>
      </c>
      <c r="D7231" t="str">
        <f>"43"</f>
        <v>43</v>
      </c>
      <c r="E7231" t="str">
        <f>"1-145-43"</f>
        <v>1-145-43</v>
      </c>
      <c r="F7231" t="s">
        <v>65</v>
      </c>
      <c r="G7231" t="s">
        <v>66</v>
      </c>
      <c r="H7231" t="s">
        <v>67</v>
      </c>
      <c r="S7231">
        <v>1</v>
      </c>
      <c r="T7231">
        <v>0</v>
      </c>
      <c r="U7231">
        <v>0</v>
      </c>
      <c r="V7231">
        <v>0</v>
      </c>
      <c r="W7231">
        <v>1</v>
      </c>
      <c r="X7231">
        <v>0</v>
      </c>
      <c r="Y7231">
        <v>1</v>
      </c>
      <c r="Z7231">
        <v>0</v>
      </c>
      <c r="AA7231">
        <v>0</v>
      </c>
      <c r="AB7231">
        <v>1</v>
      </c>
      <c r="AC7231">
        <v>0</v>
      </c>
      <c r="AD7231">
        <v>1</v>
      </c>
      <c r="AE7231">
        <v>1</v>
      </c>
      <c r="AF7231">
        <v>1</v>
      </c>
      <c r="AG7231">
        <v>1</v>
      </c>
      <c r="AH7231">
        <v>1</v>
      </c>
      <c r="AI7231">
        <v>1</v>
      </c>
      <c r="AJ7231">
        <v>1</v>
      </c>
      <c r="AK7231">
        <v>1</v>
      </c>
      <c r="AL7231">
        <v>1</v>
      </c>
      <c r="AM7231">
        <v>1</v>
      </c>
    </row>
    <row r="7232" spans="1:39" x14ac:dyDescent="0.2">
      <c r="A7232" t="str">
        <f>"7228"</f>
        <v>7228</v>
      </c>
      <c r="B7232" t="str">
        <f t="shared" si="402"/>
        <v>1</v>
      </c>
      <c r="C7232" t="str">
        <f t="shared" si="401"/>
        <v>145</v>
      </c>
      <c r="D7232" t="str">
        <f>"21"</f>
        <v>21</v>
      </c>
      <c r="E7232" t="str">
        <f>"1-145-21"</f>
        <v>1-145-21</v>
      </c>
      <c r="F7232" t="s">
        <v>65</v>
      </c>
      <c r="G7232" t="s">
        <v>66</v>
      </c>
      <c r="H7232" t="s">
        <v>67</v>
      </c>
      <c r="S7232">
        <v>1</v>
      </c>
      <c r="T7232">
        <v>0</v>
      </c>
      <c r="U7232">
        <v>0</v>
      </c>
      <c r="V7232">
        <v>0</v>
      </c>
      <c r="W7232">
        <v>1</v>
      </c>
      <c r="X7232">
        <v>0</v>
      </c>
      <c r="Y7232">
        <v>0</v>
      </c>
      <c r="Z7232">
        <v>1</v>
      </c>
      <c r="AA7232">
        <v>1</v>
      </c>
      <c r="AB7232">
        <v>0</v>
      </c>
      <c r="AC7232">
        <v>0</v>
      </c>
      <c r="AD7232">
        <v>1</v>
      </c>
      <c r="AE7232">
        <v>1</v>
      </c>
      <c r="AF7232">
        <v>1</v>
      </c>
      <c r="AG7232">
        <v>1</v>
      </c>
      <c r="AH7232">
        <v>1</v>
      </c>
      <c r="AI7232">
        <v>1</v>
      </c>
      <c r="AJ7232">
        <v>1</v>
      </c>
      <c r="AK7232">
        <v>1</v>
      </c>
      <c r="AL7232">
        <v>1</v>
      </c>
      <c r="AM7232">
        <v>1</v>
      </c>
    </row>
    <row r="7233" spans="1:39" x14ac:dyDescent="0.2">
      <c r="A7233" t="str">
        <f>"7229"</f>
        <v>7229</v>
      </c>
      <c r="B7233" t="str">
        <f t="shared" si="402"/>
        <v>1</v>
      </c>
      <c r="C7233" t="str">
        <f t="shared" si="401"/>
        <v>145</v>
      </c>
      <c r="D7233" t="str">
        <f>"7"</f>
        <v>7</v>
      </c>
      <c r="E7233" t="str">
        <f>"1-145-7"</f>
        <v>1-145-7</v>
      </c>
      <c r="F7233" t="s">
        <v>65</v>
      </c>
      <c r="G7233" t="s">
        <v>66</v>
      </c>
      <c r="H7233" t="s">
        <v>67</v>
      </c>
      <c r="S7233">
        <v>1</v>
      </c>
      <c r="T7233">
        <v>0</v>
      </c>
      <c r="U7233">
        <v>0</v>
      </c>
      <c r="V7233">
        <v>0</v>
      </c>
      <c r="W7233">
        <v>1</v>
      </c>
      <c r="X7233">
        <v>0</v>
      </c>
      <c r="Y7233">
        <v>1</v>
      </c>
      <c r="Z7233">
        <v>0</v>
      </c>
      <c r="AA7233">
        <v>1</v>
      </c>
      <c r="AB7233">
        <v>0</v>
      </c>
      <c r="AC7233">
        <v>0</v>
      </c>
      <c r="AD7233">
        <v>1</v>
      </c>
      <c r="AE7233">
        <v>1</v>
      </c>
      <c r="AF7233">
        <v>1</v>
      </c>
      <c r="AG7233">
        <v>1</v>
      </c>
      <c r="AH7233">
        <v>1</v>
      </c>
      <c r="AI7233">
        <v>1</v>
      </c>
      <c r="AJ7233">
        <v>1</v>
      </c>
      <c r="AK7233">
        <v>1</v>
      </c>
      <c r="AL7233">
        <v>1</v>
      </c>
      <c r="AM7233">
        <v>1</v>
      </c>
    </row>
    <row r="7234" spans="1:39" x14ac:dyDescent="0.2">
      <c r="A7234" t="str">
        <f>"7230"</f>
        <v>7230</v>
      </c>
      <c r="B7234" t="str">
        <f t="shared" si="402"/>
        <v>1</v>
      </c>
      <c r="C7234" t="str">
        <f t="shared" si="401"/>
        <v>145</v>
      </c>
      <c r="D7234" t="str">
        <f>"44"</f>
        <v>44</v>
      </c>
      <c r="E7234" t="str">
        <f>"1-145-44"</f>
        <v>1-145-44</v>
      </c>
      <c r="F7234" t="s">
        <v>65</v>
      </c>
      <c r="G7234" t="s">
        <v>66</v>
      </c>
      <c r="H7234" t="s">
        <v>67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1</v>
      </c>
      <c r="Y7234">
        <v>0</v>
      </c>
      <c r="Z7234">
        <v>1</v>
      </c>
      <c r="AA7234">
        <v>0</v>
      </c>
      <c r="AB7234">
        <v>1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</row>
    <row r="7235" spans="1:39" x14ac:dyDescent="0.2">
      <c r="A7235" t="str">
        <f>"7231"</f>
        <v>7231</v>
      </c>
      <c r="B7235" t="str">
        <f t="shared" si="402"/>
        <v>1</v>
      </c>
      <c r="C7235" t="str">
        <f t="shared" si="401"/>
        <v>145</v>
      </c>
      <c r="D7235" t="str">
        <f>"9"</f>
        <v>9</v>
      </c>
      <c r="E7235" t="str">
        <f>"1-145-9"</f>
        <v>1-145-9</v>
      </c>
      <c r="F7235" t="s">
        <v>65</v>
      </c>
      <c r="G7235" t="s">
        <v>66</v>
      </c>
      <c r="H7235" t="s">
        <v>67</v>
      </c>
      <c r="S7235">
        <v>1</v>
      </c>
      <c r="T7235">
        <v>0</v>
      </c>
      <c r="U7235">
        <v>0</v>
      </c>
      <c r="V7235">
        <v>0</v>
      </c>
      <c r="W7235">
        <v>1</v>
      </c>
      <c r="X7235">
        <v>0</v>
      </c>
      <c r="Y7235">
        <v>1</v>
      </c>
      <c r="Z7235">
        <v>0</v>
      </c>
      <c r="AA7235">
        <v>0</v>
      </c>
      <c r="AB7235">
        <v>1</v>
      </c>
      <c r="AC7235">
        <v>0</v>
      </c>
      <c r="AD7235">
        <v>1</v>
      </c>
      <c r="AE7235">
        <v>1</v>
      </c>
      <c r="AF7235">
        <v>1</v>
      </c>
      <c r="AG7235">
        <v>1</v>
      </c>
      <c r="AH7235">
        <v>1</v>
      </c>
      <c r="AI7235">
        <v>1</v>
      </c>
      <c r="AJ7235">
        <v>1</v>
      </c>
      <c r="AK7235">
        <v>1</v>
      </c>
      <c r="AL7235">
        <v>1</v>
      </c>
      <c r="AM7235">
        <v>1</v>
      </c>
    </row>
    <row r="7236" spans="1:39" x14ac:dyDescent="0.2">
      <c r="A7236" t="str">
        <f>"7232"</f>
        <v>7232</v>
      </c>
      <c r="B7236" t="str">
        <f t="shared" si="402"/>
        <v>1</v>
      </c>
      <c r="C7236" t="str">
        <f t="shared" si="401"/>
        <v>145</v>
      </c>
      <c r="D7236" t="str">
        <f>"46"</f>
        <v>46</v>
      </c>
      <c r="E7236" t="str">
        <f>"1-145-46"</f>
        <v>1-145-46</v>
      </c>
      <c r="F7236" t="s">
        <v>65</v>
      </c>
      <c r="G7236" t="s">
        <v>66</v>
      </c>
      <c r="H7236" t="s">
        <v>67</v>
      </c>
      <c r="S7236">
        <v>1</v>
      </c>
      <c r="T7236">
        <v>0</v>
      </c>
      <c r="U7236">
        <v>0</v>
      </c>
      <c r="V7236">
        <v>0</v>
      </c>
      <c r="W7236">
        <v>1</v>
      </c>
      <c r="X7236">
        <v>0</v>
      </c>
      <c r="Y7236">
        <v>1</v>
      </c>
      <c r="Z7236">
        <v>0</v>
      </c>
      <c r="AA7236">
        <v>0</v>
      </c>
      <c r="AB7236">
        <v>1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</row>
    <row r="7237" spans="1:39" x14ac:dyDescent="0.2">
      <c r="A7237" t="str">
        <f>"7233"</f>
        <v>7233</v>
      </c>
      <c r="B7237" t="str">
        <f t="shared" si="402"/>
        <v>1</v>
      </c>
      <c r="C7237" t="str">
        <f t="shared" ref="C7237:C7254" si="403">"145"</f>
        <v>145</v>
      </c>
      <c r="D7237" t="str">
        <f>"27"</f>
        <v>27</v>
      </c>
      <c r="E7237" t="str">
        <f>"1-145-27"</f>
        <v>1-145-27</v>
      </c>
      <c r="F7237" t="s">
        <v>65</v>
      </c>
      <c r="G7237" t="s">
        <v>66</v>
      </c>
      <c r="H7237" t="s">
        <v>67</v>
      </c>
      <c r="S7237">
        <v>0</v>
      </c>
      <c r="T7237">
        <v>1</v>
      </c>
      <c r="U7237">
        <v>0</v>
      </c>
      <c r="V7237">
        <v>0</v>
      </c>
      <c r="W7237">
        <v>1</v>
      </c>
      <c r="X7237">
        <v>0</v>
      </c>
      <c r="Y7237">
        <v>0</v>
      </c>
      <c r="Z7237">
        <v>1</v>
      </c>
      <c r="AA7237">
        <v>1</v>
      </c>
      <c r="AB7237">
        <v>0</v>
      </c>
      <c r="AC7237">
        <v>0</v>
      </c>
      <c r="AD7237">
        <v>1</v>
      </c>
      <c r="AE7237">
        <v>1</v>
      </c>
      <c r="AF7237">
        <v>1</v>
      </c>
      <c r="AG7237">
        <v>1</v>
      </c>
      <c r="AH7237">
        <v>1</v>
      </c>
      <c r="AI7237">
        <v>1</v>
      </c>
      <c r="AJ7237">
        <v>1</v>
      </c>
      <c r="AK7237">
        <v>1</v>
      </c>
      <c r="AL7237">
        <v>1</v>
      </c>
      <c r="AM7237">
        <v>1</v>
      </c>
    </row>
    <row r="7238" spans="1:39" x14ac:dyDescent="0.2">
      <c r="A7238" t="str">
        <f>"7234"</f>
        <v>7234</v>
      </c>
      <c r="B7238" t="str">
        <f t="shared" si="402"/>
        <v>1</v>
      </c>
      <c r="C7238" t="str">
        <f t="shared" si="403"/>
        <v>145</v>
      </c>
      <c r="D7238" t="str">
        <f>"11"</f>
        <v>11</v>
      </c>
      <c r="E7238" t="str">
        <f>"1-145-11"</f>
        <v>1-145-11</v>
      </c>
      <c r="F7238" t="s">
        <v>65</v>
      </c>
      <c r="G7238" t="s">
        <v>66</v>
      </c>
      <c r="H7238" t="s">
        <v>67</v>
      </c>
      <c r="S7238">
        <v>1</v>
      </c>
      <c r="T7238">
        <v>0</v>
      </c>
      <c r="U7238">
        <v>0</v>
      </c>
      <c r="V7238">
        <v>0</v>
      </c>
      <c r="W7238">
        <v>1</v>
      </c>
      <c r="X7238">
        <v>0</v>
      </c>
      <c r="Y7238">
        <v>1</v>
      </c>
      <c r="Z7238">
        <v>0</v>
      </c>
      <c r="AA7238">
        <v>0</v>
      </c>
      <c r="AB7238">
        <v>0</v>
      </c>
      <c r="AC7238">
        <v>1</v>
      </c>
      <c r="AD7238">
        <v>1</v>
      </c>
      <c r="AE7238">
        <v>1</v>
      </c>
      <c r="AF7238">
        <v>1</v>
      </c>
      <c r="AG7238">
        <v>1</v>
      </c>
      <c r="AH7238">
        <v>1</v>
      </c>
      <c r="AI7238">
        <v>1</v>
      </c>
      <c r="AJ7238">
        <v>1</v>
      </c>
      <c r="AK7238">
        <v>1</v>
      </c>
      <c r="AL7238">
        <v>1</v>
      </c>
      <c r="AM7238">
        <v>1</v>
      </c>
    </row>
    <row r="7239" spans="1:39" x14ac:dyDescent="0.2">
      <c r="A7239" t="str">
        <f>"7235"</f>
        <v>7235</v>
      </c>
      <c r="B7239" t="str">
        <f t="shared" si="402"/>
        <v>1</v>
      </c>
      <c r="C7239" t="str">
        <f t="shared" si="403"/>
        <v>145</v>
      </c>
      <c r="D7239" t="str">
        <f>"49"</f>
        <v>49</v>
      </c>
      <c r="E7239" t="str">
        <f>"1-145-49"</f>
        <v>1-145-49</v>
      </c>
      <c r="F7239" t="s">
        <v>65</v>
      </c>
      <c r="G7239" t="s">
        <v>66</v>
      </c>
      <c r="H7239" t="s">
        <v>67</v>
      </c>
      <c r="S7239">
        <v>1</v>
      </c>
      <c r="T7239">
        <v>0</v>
      </c>
      <c r="U7239">
        <v>0</v>
      </c>
      <c r="V7239">
        <v>0</v>
      </c>
      <c r="W7239">
        <v>1</v>
      </c>
      <c r="X7239">
        <v>0</v>
      </c>
      <c r="Y7239">
        <v>1</v>
      </c>
      <c r="Z7239">
        <v>0</v>
      </c>
      <c r="AA7239">
        <v>1</v>
      </c>
      <c r="AB7239">
        <v>0</v>
      </c>
      <c r="AC7239">
        <v>0</v>
      </c>
      <c r="AD7239">
        <v>1</v>
      </c>
      <c r="AE7239">
        <v>1</v>
      </c>
      <c r="AF7239">
        <v>1</v>
      </c>
      <c r="AG7239">
        <v>1</v>
      </c>
      <c r="AH7239">
        <v>1</v>
      </c>
      <c r="AI7239">
        <v>1</v>
      </c>
      <c r="AJ7239">
        <v>1</v>
      </c>
      <c r="AK7239">
        <v>1</v>
      </c>
      <c r="AL7239">
        <v>1</v>
      </c>
      <c r="AM7239">
        <v>1</v>
      </c>
    </row>
    <row r="7240" spans="1:39" x14ac:dyDescent="0.2">
      <c r="A7240" t="str">
        <f>"7236"</f>
        <v>7236</v>
      </c>
      <c r="B7240" t="str">
        <f t="shared" si="402"/>
        <v>1</v>
      </c>
      <c r="C7240" t="str">
        <f t="shared" si="403"/>
        <v>145</v>
      </c>
      <c r="D7240" t="str">
        <f>"28"</f>
        <v>28</v>
      </c>
      <c r="E7240" t="str">
        <f>"1-145-28"</f>
        <v>1-145-28</v>
      </c>
      <c r="F7240" t="s">
        <v>65</v>
      </c>
      <c r="G7240" t="s">
        <v>66</v>
      </c>
      <c r="H7240" t="s">
        <v>67</v>
      </c>
      <c r="S7240">
        <v>0</v>
      </c>
      <c r="T7240">
        <v>1</v>
      </c>
      <c r="U7240">
        <v>0</v>
      </c>
      <c r="V7240">
        <v>0</v>
      </c>
      <c r="W7240">
        <v>0</v>
      </c>
      <c r="X7240">
        <v>1</v>
      </c>
      <c r="Y7240">
        <v>0</v>
      </c>
      <c r="Z7240">
        <v>1</v>
      </c>
      <c r="AA7240">
        <v>0</v>
      </c>
      <c r="AB7240">
        <v>0</v>
      </c>
      <c r="AC7240">
        <v>1</v>
      </c>
      <c r="AD7240">
        <v>1</v>
      </c>
      <c r="AE7240">
        <v>1</v>
      </c>
      <c r="AF7240">
        <v>1</v>
      </c>
      <c r="AG7240">
        <v>1</v>
      </c>
      <c r="AH7240">
        <v>1</v>
      </c>
      <c r="AI7240">
        <v>1</v>
      </c>
      <c r="AJ7240">
        <v>1</v>
      </c>
      <c r="AK7240">
        <v>1</v>
      </c>
      <c r="AL7240">
        <v>1</v>
      </c>
      <c r="AM7240">
        <v>1</v>
      </c>
    </row>
    <row r="7241" spans="1:39" x14ac:dyDescent="0.2">
      <c r="A7241" t="str">
        <f>"7237"</f>
        <v>7237</v>
      </c>
      <c r="B7241" t="str">
        <f t="shared" si="402"/>
        <v>1</v>
      </c>
      <c r="C7241" t="str">
        <f t="shared" si="403"/>
        <v>145</v>
      </c>
      <c r="D7241" t="str">
        <f>"45"</f>
        <v>45</v>
      </c>
      <c r="E7241" t="str">
        <f>"1-145-45"</f>
        <v>1-145-45</v>
      </c>
      <c r="F7241" t="s">
        <v>65</v>
      </c>
      <c r="G7241" t="s">
        <v>66</v>
      </c>
      <c r="H7241" t="s">
        <v>67</v>
      </c>
      <c r="S7241">
        <v>0</v>
      </c>
      <c r="T7241">
        <v>1</v>
      </c>
      <c r="U7241">
        <v>0</v>
      </c>
      <c r="V7241">
        <v>0</v>
      </c>
      <c r="W7241">
        <v>1</v>
      </c>
      <c r="X7241">
        <v>0</v>
      </c>
      <c r="Y7241">
        <v>1</v>
      </c>
      <c r="Z7241">
        <v>0</v>
      </c>
      <c r="AA7241">
        <v>1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1</v>
      </c>
      <c r="AH7241">
        <v>1</v>
      </c>
      <c r="AI7241">
        <v>1</v>
      </c>
      <c r="AJ7241">
        <v>1</v>
      </c>
      <c r="AK7241">
        <v>1</v>
      </c>
      <c r="AL7241">
        <v>1</v>
      </c>
      <c r="AM7241">
        <v>1</v>
      </c>
    </row>
    <row r="7242" spans="1:39" x14ac:dyDescent="0.2">
      <c r="A7242" t="str">
        <f>"7238"</f>
        <v>7238</v>
      </c>
      <c r="B7242" t="str">
        <f t="shared" si="402"/>
        <v>1</v>
      </c>
      <c r="C7242" t="str">
        <f t="shared" si="403"/>
        <v>145</v>
      </c>
      <c r="D7242" t="str">
        <f>"29"</f>
        <v>29</v>
      </c>
      <c r="E7242" t="str">
        <f>"1-145-29"</f>
        <v>1-145-29</v>
      </c>
      <c r="F7242" t="s">
        <v>65</v>
      </c>
      <c r="G7242" t="s">
        <v>66</v>
      </c>
      <c r="H7242" t="s">
        <v>67</v>
      </c>
      <c r="S7242">
        <v>1</v>
      </c>
      <c r="T7242">
        <v>0</v>
      </c>
      <c r="U7242">
        <v>0</v>
      </c>
      <c r="V7242">
        <v>0</v>
      </c>
      <c r="W7242">
        <v>0</v>
      </c>
      <c r="X7242">
        <v>1</v>
      </c>
      <c r="Y7242">
        <v>1</v>
      </c>
      <c r="Z7242">
        <v>0</v>
      </c>
      <c r="AA7242">
        <v>0</v>
      </c>
      <c r="AB7242">
        <v>1</v>
      </c>
      <c r="AC7242">
        <v>0</v>
      </c>
      <c r="AD7242">
        <v>1</v>
      </c>
      <c r="AE7242">
        <v>1</v>
      </c>
      <c r="AF7242">
        <v>1</v>
      </c>
      <c r="AG7242">
        <v>1</v>
      </c>
      <c r="AH7242">
        <v>1</v>
      </c>
      <c r="AI7242">
        <v>1</v>
      </c>
      <c r="AJ7242">
        <v>1</v>
      </c>
      <c r="AK7242">
        <v>1</v>
      </c>
      <c r="AL7242">
        <v>1</v>
      </c>
      <c r="AM7242">
        <v>1</v>
      </c>
    </row>
    <row r="7243" spans="1:39" x14ac:dyDescent="0.2">
      <c r="A7243" t="str">
        <f>"7239"</f>
        <v>7239</v>
      </c>
      <c r="B7243" t="str">
        <f t="shared" si="402"/>
        <v>1</v>
      </c>
      <c r="C7243" t="str">
        <f t="shared" si="403"/>
        <v>145</v>
      </c>
      <c r="D7243" t="str">
        <f>"8"</f>
        <v>8</v>
      </c>
      <c r="E7243" t="str">
        <f>"1-145-8"</f>
        <v>1-145-8</v>
      </c>
      <c r="F7243" t="s">
        <v>65</v>
      </c>
      <c r="G7243" t="s">
        <v>66</v>
      </c>
      <c r="H7243" t="s">
        <v>67</v>
      </c>
      <c r="S7243">
        <v>1</v>
      </c>
      <c r="T7243">
        <v>0</v>
      </c>
      <c r="U7243">
        <v>0</v>
      </c>
      <c r="V7243">
        <v>0</v>
      </c>
      <c r="W7243">
        <v>1</v>
      </c>
      <c r="X7243">
        <v>0</v>
      </c>
      <c r="Y7243">
        <v>1</v>
      </c>
      <c r="Z7243">
        <v>0</v>
      </c>
      <c r="AA7243">
        <v>0</v>
      </c>
      <c r="AB7243">
        <v>1</v>
      </c>
      <c r="AC7243">
        <v>0</v>
      </c>
      <c r="AD7243">
        <v>1</v>
      </c>
      <c r="AE7243">
        <v>1</v>
      </c>
      <c r="AF7243">
        <v>1</v>
      </c>
      <c r="AG7243">
        <v>1</v>
      </c>
      <c r="AH7243">
        <v>1</v>
      </c>
      <c r="AI7243">
        <v>1</v>
      </c>
      <c r="AJ7243">
        <v>1</v>
      </c>
      <c r="AK7243">
        <v>1</v>
      </c>
      <c r="AL7243">
        <v>1</v>
      </c>
      <c r="AM7243">
        <v>1</v>
      </c>
    </row>
    <row r="7244" spans="1:39" x14ac:dyDescent="0.2">
      <c r="A7244" t="str">
        <f>"7240"</f>
        <v>7240</v>
      </c>
      <c r="B7244" t="str">
        <f t="shared" si="402"/>
        <v>1</v>
      </c>
      <c r="C7244" t="str">
        <f t="shared" si="403"/>
        <v>145</v>
      </c>
      <c r="D7244" t="str">
        <f>"47"</f>
        <v>47</v>
      </c>
      <c r="E7244" t="str">
        <f>"1-145-47"</f>
        <v>1-145-47</v>
      </c>
      <c r="F7244" t="s">
        <v>65</v>
      </c>
      <c r="G7244" t="s">
        <v>66</v>
      </c>
      <c r="H7244" t="s">
        <v>67</v>
      </c>
      <c r="S7244">
        <v>1</v>
      </c>
      <c r="T7244">
        <v>0</v>
      </c>
      <c r="U7244">
        <v>0</v>
      </c>
      <c r="V7244">
        <v>0</v>
      </c>
      <c r="W7244">
        <v>1</v>
      </c>
      <c r="X7244">
        <v>0</v>
      </c>
      <c r="Y7244">
        <v>1</v>
      </c>
      <c r="Z7244">
        <v>0</v>
      </c>
      <c r="AA7244">
        <v>1</v>
      </c>
      <c r="AB7244">
        <v>0</v>
      </c>
      <c r="AC7244">
        <v>0</v>
      </c>
      <c r="AD7244">
        <v>1</v>
      </c>
      <c r="AE7244">
        <v>1</v>
      </c>
      <c r="AF7244">
        <v>1</v>
      </c>
      <c r="AG7244">
        <v>1</v>
      </c>
      <c r="AH7244">
        <v>1</v>
      </c>
      <c r="AI7244">
        <v>1</v>
      </c>
      <c r="AJ7244">
        <v>1</v>
      </c>
      <c r="AK7244">
        <v>1</v>
      </c>
      <c r="AL7244">
        <v>1</v>
      </c>
      <c r="AM7244">
        <v>1</v>
      </c>
    </row>
    <row r="7245" spans="1:39" x14ac:dyDescent="0.2">
      <c r="A7245" t="str">
        <f>"7241"</f>
        <v>7241</v>
      </c>
      <c r="B7245" t="str">
        <f t="shared" si="402"/>
        <v>1</v>
      </c>
      <c r="C7245" t="str">
        <f t="shared" si="403"/>
        <v>145</v>
      </c>
      <c r="D7245" t="str">
        <f>"30"</f>
        <v>30</v>
      </c>
      <c r="E7245" t="str">
        <f>"1-145-30"</f>
        <v>1-145-30</v>
      </c>
      <c r="F7245" t="s">
        <v>65</v>
      </c>
      <c r="G7245" t="s">
        <v>66</v>
      </c>
      <c r="H7245" t="s">
        <v>67</v>
      </c>
      <c r="S7245">
        <v>0</v>
      </c>
      <c r="T7245">
        <v>1</v>
      </c>
      <c r="U7245">
        <v>0</v>
      </c>
      <c r="V7245">
        <v>0</v>
      </c>
      <c r="W7245">
        <v>1</v>
      </c>
      <c r="X7245">
        <v>0</v>
      </c>
      <c r="Y7245">
        <v>1</v>
      </c>
      <c r="Z7245">
        <v>0</v>
      </c>
      <c r="AA7245">
        <v>1</v>
      </c>
      <c r="AB7245">
        <v>0</v>
      </c>
      <c r="AC7245">
        <v>0</v>
      </c>
      <c r="AD7245">
        <v>1</v>
      </c>
      <c r="AE7245">
        <v>1</v>
      </c>
      <c r="AF7245">
        <v>1</v>
      </c>
      <c r="AG7245">
        <v>1</v>
      </c>
      <c r="AH7245">
        <v>1</v>
      </c>
      <c r="AI7245">
        <v>1</v>
      </c>
      <c r="AJ7245">
        <v>1</v>
      </c>
      <c r="AK7245">
        <v>1</v>
      </c>
      <c r="AL7245">
        <v>1</v>
      </c>
      <c r="AM7245">
        <v>1</v>
      </c>
    </row>
    <row r="7246" spans="1:39" x14ac:dyDescent="0.2">
      <c r="A7246" t="str">
        <f>"7242"</f>
        <v>7242</v>
      </c>
      <c r="B7246" t="str">
        <f t="shared" si="402"/>
        <v>1</v>
      </c>
      <c r="C7246" t="str">
        <f t="shared" si="403"/>
        <v>145</v>
      </c>
      <c r="D7246" t="str">
        <f>"12"</f>
        <v>12</v>
      </c>
      <c r="E7246" t="str">
        <f>"1-145-12"</f>
        <v>1-145-12</v>
      </c>
      <c r="F7246" t="s">
        <v>65</v>
      </c>
      <c r="G7246" t="s">
        <v>66</v>
      </c>
      <c r="H7246" t="s">
        <v>67</v>
      </c>
      <c r="S7246">
        <v>1</v>
      </c>
      <c r="T7246">
        <v>0</v>
      </c>
      <c r="U7246">
        <v>0</v>
      </c>
      <c r="V7246">
        <v>0</v>
      </c>
      <c r="W7246">
        <v>1</v>
      </c>
      <c r="X7246">
        <v>0</v>
      </c>
      <c r="Y7246">
        <v>0</v>
      </c>
      <c r="Z7246">
        <v>1</v>
      </c>
      <c r="AA7246">
        <v>1</v>
      </c>
      <c r="AB7246">
        <v>0</v>
      </c>
      <c r="AC7246">
        <v>0</v>
      </c>
      <c r="AD7246">
        <v>1</v>
      </c>
      <c r="AE7246">
        <v>1</v>
      </c>
      <c r="AF7246">
        <v>1</v>
      </c>
      <c r="AG7246">
        <v>1</v>
      </c>
      <c r="AH7246">
        <v>1</v>
      </c>
      <c r="AI7246">
        <v>1</v>
      </c>
      <c r="AJ7246">
        <v>1</v>
      </c>
      <c r="AK7246">
        <v>1</v>
      </c>
      <c r="AL7246">
        <v>1</v>
      </c>
      <c r="AM7246">
        <v>1</v>
      </c>
    </row>
    <row r="7247" spans="1:39" x14ac:dyDescent="0.2">
      <c r="A7247" t="str">
        <f>"7243"</f>
        <v>7243</v>
      </c>
      <c r="B7247" t="str">
        <f t="shared" si="402"/>
        <v>1</v>
      </c>
      <c r="C7247" t="str">
        <f t="shared" si="403"/>
        <v>145</v>
      </c>
      <c r="D7247" t="str">
        <f>"48"</f>
        <v>48</v>
      </c>
      <c r="E7247" t="str">
        <f>"1-145-48"</f>
        <v>1-145-48</v>
      </c>
      <c r="F7247" t="s">
        <v>65</v>
      </c>
      <c r="G7247" t="s">
        <v>66</v>
      </c>
      <c r="H7247" t="s">
        <v>67</v>
      </c>
      <c r="S7247">
        <v>0</v>
      </c>
      <c r="T7247">
        <v>1</v>
      </c>
      <c r="U7247">
        <v>0</v>
      </c>
      <c r="V7247">
        <v>0</v>
      </c>
      <c r="W7247">
        <v>1</v>
      </c>
      <c r="X7247">
        <v>0</v>
      </c>
      <c r="Y7247">
        <v>1</v>
      </c>
      <c r="Z7247">
        <v>0</v>
      </c>
      <c r="AA7247">
        <v>0</v>
      </c>
      <c r="AB7247">
        <v>1</v>
      </c>
      <c r="AC7247">
        <v>0</v>
      </c>
      <c r="AD7247">
        <v>1</v>
      </c>
      <c r="AE7247">
        <v>1</v>
      </c>
      <c r="AF7247">
        <v>1</v>
      </c>
      <c r="AG7247">
        <v>1</v>
      </c>
      <c r="AH7247">
        <v>1</v>
      </c>
      <c r="AI7247">
        <v>1</v>
      </c>
      <c r="AJ7247">
        <v>1</v>
      </c>
      <c r="AK7247">
        <v>1</v>
      </c>
      <c r="AL7247">
        <v>1</v>
      </c>
      <c r="AM7247">
        <v>1</v>
      </c>
    </row>
    <row r="7248" spans="1:39" x14ac:dyDescent="0.2">
      <c r="A7248" t="str">
        <f>"7244"</f>
        <v>7244</v>
      </c>
      <c r="B7248" t="str">
        <f t="shared" si="402"/>
        <v>1</v>
      </c>
      <c r="C7248" t="str">
        <f t="shared" si="403"/>
        <v>145</v>
      </c>
      <c r="D7248" t="str">
        <f>"31"</f>
        <v>31</v>
      </c>
      <c r="E7248" t="str">
        <f>"1-145-31"</f>
        <v>1-145-31</v>
      </c>
      <c r="F7248" t="s">
        <v>65</v>
      </c>
      <c r="G7248" t="s">
        <v>66</v>
      </c>
      <c r="H7248" t="s">
        <v>67</v>
      </c>
      <c r="S7248">
        <v>0</v>
      </c>
      <c r="T7248">
        <v>1</v>
      </c>
      <c r="U7248">
        <v>0</v>
      </c>
      <c r="V7248">
        <v>0</v>
      </c>
      <c r="W7248">
        <v>1</v>
      </c>
      <c r="X7248">
        <v>0</v>
      </c>
      <c r="Y7248">
        <v>1</v>
      </c>
      <c r="Z7248">
        <v>0</v>
      </c>
      <c r="AA7248">
        <v>0</v>
      </c>
      <c r="AB7248">
        <v>1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</row>
    <row r="7249" spans="1:39" x14ac:dyDescent="0.2">
      <c r="A7249" t="str">
        <f>"7245"</f>
        <v>7245</v>
      </c>
      <c r="B7249" t="str">
        <f t="shared" si="402"/>
        <v>1</v>
      </c>
      <c r="C7249" t="str">
        <f t="shared" si="403"/>
        <v>145</v>
      </c>
      <c r="D7249" t="str">
        <f>"6"</f>
        <v>6</v>
      </c>
      <c r="E7249" t="str">
        <f>"1-145-6"</f>
        <v>1-145-6</v>
      </c>
      <c r="F7249" t="s">
        <v>65</v>
      </c>
      <c r="G7249" t="s">
        <v>66</v>
      </c>
      <c r="H7249" t="s">
        <v>67</v>
      </c>
      <c r="S7249">
        <v>1</v>
      </c>
      <c r="T7249">
        <v>0</v>
      </c>
      <c r="U7249">
        <v>0</v>
      </c>
      <c r="V7249">
        <v>0</v>
      </c>
      <c r="W7249">
        <v>1</v>
      </c>
      <c r="X7249">
        <v>0</v>
      </c>
      <c r="Y7249">
        <v>1</v>
      </c>
      <c r="Z7249">
        <v>0</v>
      </c>
      <c r="AA7249">
        <v>0</v>
      </c>
      <c r="AB7249">
        <v>1</v>
      </c>
      <c r="AC7249">
        <v>0</v>
      </c>
      <c r="AD7249">
        <v>1</v>
      </c>
      <c r="AE7249">
        <v>1</v>
      </c>
      <c r="AF7249">
        <v>1</v>
      </c>
      <c r="AG7249">
        <v>1</v>
      </c>
      <c r="AH7249">
        <v>1</v>
      </c>
      <c r="AI7249">
        <v>1</v>
      </c>
      <c r="AJ7249">
        <v>1</v>
      </c>
      <c r="AK7249">
        <v>1</v>
      </c>
      <c r="AL7249">
        <v>1</v>
      </c>
      <c r="AM7249">
        <v>1</v>
      </c>
    </row>
    <row r="7250" spans="1:39" x14ac:dyDescent="0.2">
      <c r="A7250" t="str">
        <f>"7246"</f>
        <v>7246</v>
      </c>
      <c r="B7250" t="str">
        <f t="shared" si="402"/>
        <v>1</v>
      </c>
      <c r="C7250" t="str">
        <f t="shared" si="403"/>
        <v>145</v>
      </c>
      <c r="D7250" t="str">
        <f>"50"</f>
        <v>50</v>
      </c>
      <c r="E7250" t="str">
        <f>"1-145-50"</f>
        <v>1-145-50</v>
      </c>
      <c r="F7250" t="s">
        <v>65</v>
      </c>
      <c r="G7250" t="s">
        <v>66</v>
      </c>
      <c r="H7250" t="s">
        <v>67</v>
      </c>
      <c r="S7250">
        <v>0</v>
      </c>
      <c r="T7250">
        <v>1</v>
      </c>
      <c r="U7250">
        <v>0</v>
      </c>
      <c r="V7250">
        <v>0</v>
      </c>
      <c r="W7250">
        <v>1</v>
      </c>
      <c r="X7250">
        <v>0</v>
      </c>
      <c r="Y7250">
        <v>1</v>
      </c>
      <c r="Z7250">
        <v>0</v>
      </c>
      <c r="AA7250">
        <v>1</v>
      </c>
      <c r="AB7250">
        <v>0</v>
      </c>
      <c r="AC7250">
        <v>0</v>
      </c>
      <c r="AD7250">
        <v>1</v>
      </c>
      <c r="AE7250">
        <v>1</v>
      </c>
      <c r="AF7250">
        <v>1</v>
      </c>
      <c r="AG7250">
        <v>1</v>
      </c>
      <c r="AH7250">
        <v>1</v>
      </c>
      <c r="AI7250">
        <v>1</v>
      </c>
      <c r="AJ7250">
        <v>1</v>
      </c>
      <c r="AK7250">
        <v>1</v>
      </c>
      <c r="AL7250">
        <v>1</v>
      </c>
      <c r="AM7250">
        <v>1</v>
      </c>
    </row>
    <row r="7251" spans="1:39" x14ac:dyDescent="0.2">
      <c r="A7251" t="str">
        <f>"7247"</f>
        <v>7247</v>
      </c>
      <c r="B7251" t="str">
        <f t="shared" si="402"/>
        <v>1</v>
      </c>
      <c r="C7251" t="str">
        <f t="shared" si="403"/>
        <v>145</v>
      </c>
      <c r="D7251" t="str">
        <f>"32"</f>
        <v>32</v>
      </c>
      <c r="E7251" t="str">
        <f>"1-145-32"</f>
        <v>1-145-32</v>
      </c>
      <c r="F7251" t="s">
        <v>65</v>
      </c>
      <c r="G7251" t="s">
        <v>66</v>
      </c>
      <c r="H7251" t="s">
        <v>67</v>
      </c>
      <c r="S7251">
        <v>1</v>
      </c>
      <c r="T7251">
        <v>0</v>
      </c>
      <c r="U7251">
        <v>0</v>
      </c>
      <c r="V7251">
        <v>0</v>
      </c>
      <c r="W7251">
        <v>1</v>
      </c>
      <c r="X7251">
        <v>0</v>
      </c>
      <c r="Y7251">
        <v>1</v>
      </c>
      <c r="Z7251">
        <v>0</v>
      </c>
      <c r="AA7251">
        <v>0</v>
      </c>
      <c r="AB7251">
        <v>0</v>
      </c>
      <c r="AC7251">
        <v>1</v>
      </c>
      <c r="AD7251">
        <v>1</v>
      </c>
      <c r="AE7251">
        <v>1</v>
      </c>
      <c r="AF7251">
        <v>1</v>
      </c>
      <c r="AG7251">
        <v>1</v>
      </c>
      <c r="AH7251">
        <v>1</v>
      </c>
      <c r="AI7251">
        <v>1</v>
      </c>
      <c r="AJ7251">
        <v>1</v>
      </c>
      <c r="AK7251">
        <v>1</v>
      </c>
      <c r="AL7251">
        <v>1</v>
      </c>
      <c r="AM7251">
        <v>1</v>
      </c>
    </row>
    <row r="7252" spans="1:39" x14ac:dyDescent="0.2">
      <c r="A7252" t="str">
        <f>"7248"</f>
        <v>7248</v>
      </c>
      <c r="B7252" t="str">
        <f t="shared" si="402"/>
        <v>1</v>
      </c>
      <c r="C7252" t="str">
        <f t="shared" si="403"/>
        <v>145</v>
      </c>
      <c r="D7252" t="str">
        <f>"2"</f>
        <v>2</v>
      </c>
      <c r="E7252" t="str">
        <f>"1-145-2"</f>
        <v>1-145-2</v>
      </c>
      <c r="F7252" t="s">
        <v>65</v>
      </c>
      <c r="G7252" t="s">
        <v>66</v>
      </c>
      <c r="H7252" t="s">
        <v>67</v>
      </c>
      <c r="S7252">
        <v>1</v>
      </c>
      <c r="T7252">
        <v>0</v>
      </c>
      <c r="U7252">
        <v>0</v>
      </c>
      <c r="V7252">
        <v>0</v>
      </c>
      <c r="W7252">
        <v>1</v>
      </c>
      <c r="X7252">
        <v>0</v>
      </c>
      <c r="Y7252">
        <v>1</v>
      </c>
      <c r="Z7252">
        <v>0</v>
      </c>
      <c r="AA7252">
        <v>0</v>
      </c>
      <c r="AB7252">
        <v>0</v>
      </c>
      <c r="AC7252">
        <v>1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1</v>
      </c>
      <c r="AJ7252">
        <v>1</v>
      </c>
      <c r="AK7252">
        <v>0</v>
      </c>
      <c r="AL7252">
        <v>1</v>
      </c>
      <c r="AM7252">
        <v>1</v>
      </c>
    </row>
    <row r="7253" spans="1:39" x14ac:dyDescent="0.2">
      <c r="A7253" t="str">
        <f>"7249"</f>
        <v>7249</v>
      </c>
      <c r="B7253" t="str">
        <f t="shared" si="402"/>
        <v>1</v>
      </c>
      <c r="C7253" t="str">
        <f t="shared" si="403"/>
        <v>145</v>
      </c>
      <c r="D7253" t="str">
        <f>"10"</f>
        <v>10</v>
      </c>
      <c r="E7253" t="str">
        <f>"1-145-10"</f>
        <v>1-145-10</v>
      </c>
      <c r="F7253" t="s">
        <v>65</v>
      </c>
      <c r="G7253" t="s">
        <v>66</v>
      </c>
      <c r="H7253" t="s">
        <v>67</v>
      </c>
      <c r="S7253">
        <v>1</v>
      </c>
      <c r="T7253">
        <v>0</v>
      </c>
      <c r="U7253">
        <v>0</v>
      </c>
      <c r="V7253">
        <v>0</v>
      </c>
      <c r="W7253">
        <v>1</v>
      </c>
      <c r="X7253">
        <v>0</v>
      </c>
      <c r="Y7253">
        <v>1</v>
      </c>
      <c r="Z7253">
        <v>0</v>
      </c>
      <c r="AA7253">
        <v>0</v>
      </c>
      <c r="AB7253">
        <v>0</v>
      </c>
      <c r="AC7253">
        <v>1</v>
      </c>
      <c r="AD7253">
        <v>0</v>
      </c>
      <c r="AE7253">
        <v>0</v>
      </c>
      <c r="AF7253">
        <v>0</v>
      </c>
      <c r="AG7253">
        <v>0</v>
      </c>
      <c r="AH7253">
        <v>1</v>
      </c>
      <c r="AI7253">
        <v>0</v>
      </c>
      <c r="AJ7253">
        <v>0</v>
      </c>
      <c r="AK7253">
        <v>0</v>
      </c>
      <c r="AL7253">
        <v>0</v>
      </c>
      <c r="AM7253">
        <v>0</v>
      </c>
    </row>
    <row r="7254" spans="1:39" x14ac:dyDescent="0.2">
      <c r="A7254" t="str">
        <f>"7250"</f>
        <v>7250</v>
      </c>
      <c r="B7254" t="str">
        <f t="shared" si="402"/>
        <v>1</v>
      </c>
      <c r="C7254" t="str">
        <f t="shared" si="403"/>
        <v>145</v>
      </c>
      <c r="D7254" t="str">
        <f>"22"</f>
        <v>22</v>
      </c>
      <c r="E7254" t="str">
        <f>"1-145-22"</f>
        <v>1-145-22</v>
      </c>
      <c r="F7254" t="s">
        <v>65</v>
      </c>
      <c r="G7254" t="s">
        <v>66</v>
      </c>
      <c r="H7254" t="s">
        <v>67</v>
      </c>
      <c r="S7254">
        <v>0</v>
      </c>
      <c r="T7254">
        <v>1</v>
      </c>
      <c r="U7254">
        <v>0</v>
      </c>
      <c r="V7254">
        <v>0</v>
      </c>
      <c r="W7254">
        <v>1</v>
      </c>
      <c r="X7254">
        <v>0</v>
      </c>
      <c r="Y7254">
        <v>0</v>
      </c>
      <c r="Z7254">
        <v>1</v>
      </c>
      <c r="AA7254">
        <v>0</v>
      </c>
      <c r="AB7254">
        <v>0</v>
      </c>
      <c r="AC7254">
        <v>1</v>
      </c>
      <c r="AD7254">
        <v>1</v>
      </c>
      <c r="AE7254">
        <v>1</v>
      </c>
      <c r="AF7254">
        <v>1</v>
      </c>
      <c r="AG7254">
        <v>1</v>
      </c>
      <c r="AH7254">
        <v>1</v>
      </c>
      <c r="AI7254">
        <v>1</v>
      </c>
      <c r="AJ7254">
        <v>1</v>
      </c>
      <c r="AK7254">
        <v>1</v>
      </c>
      <c r="AL7254">
        <v>1</v>
      </c>
      <c r="AM7254">
        <v>1</v>
      </c>
    </row>
    <row r="7255" spans="1:39" x14ac:dyDescent="0.2">
      <c r="A7255" t="str">
        <f>"7251"</f>
        <v>7251</v>
      </c>
      <c r="B7255" t="str">
        <f t="shared" si="402"/>
        <v>1</v>
      </c>
      <c r="C7255" t="str">
        <f t="shared" ref="C7255:C7286" si="404">"146"</f>
        <v>146</v>
      </c>
      <c r="D7255" t="str">
        <f>"34"</f>
        <v>34</v>
      </c>
      <c r="E7255" t="str">
        <f>"1-146-34"</f>
        <v>1-146-34</v>
      </c>
      <c r="F7255" t="s">
        <v>65</v>
      </c>
      <c r="G7255" t="s">
        <v>66</v>
      </c>
      <c r="H7255" t="s">
        <v>67</v>
      </c>
      <c r="S7255">
        <v>0</v>
      </c>
      <c r="T7255">
        <v>1</v>
      </c>
      <c r="U7255">
        <v>0</v>
      </c>
      <c r="V7255">
        <v>0</v>
      </c>
      <c r="W7255">
        <v>1</v>
      </c>
      <c r="X7255">
        <v>0</v>
      </c>
      <c r="Y7255">
        <v>1</v>
      </c>
      <c r="Z7255">
        <v>0</v>
      </c>
      <c r="AA7255">
        <v>0</v>
      </c>
      <c r="AB7255">
        <v>0</v>
      </c>
      <c r="AC7255">
        <v>0</v>
      </c>
      <c r="AD7255">
        <v>1</v>
      </c>
      <c r="AE7255">
        <v>1</v>
      </c>
      <c r="AF7255">
        <v>1</v>
      </c>
      <c r="AG7255">
        <v>1</v>
      </c>
      <c r="AH7255">
        <v>1</v>
      </c>
      <c r="AI7255">
        <v>1</v>
      </c>
      <c r="AJ7255">
        <v>1</v>
      </c>
      <c r="AK7255">
        <v>1</v>
      </c>
      <c r="AL7255">
        <v>1</v>
      </c>
      <c r="AM7255">
        <v>1</v>
      </c>
    </row>
    <row r="7256" spans="1:39" x14ac:dyDescent="0.2">
      <c r="A7256" t="str">
        <f>"7252"</f>
        <v>7252</v>
      </c>
      <c r="B7256" t="str">
        <f t="shared" si="402"/>
        <v>1</v>
      </c>
      <c r="C7256" t="str">
        <f t="shared" si="404"/>
        <v>146</v>
      </c>
      <c r="D7256" t="str">
        <f>"33"</f>
        <v>33</v>
      </c>
      <c r="E7256" t="str">
        <f>"1-146-33"</f>
        <v>1-146-33</v>
      </c>
      <c r="F7256" t="s">
        <v>65</v>
      </c>
      <c r="G7256" t="s">
        <v>66</v>
      </c>
      <c r="H7256" t="s">
        <v>67</v>
      </c>
      <c r="S7256">
        <v>0</v>
      </c>
      <c r="T7256">
        <v>1</v>
      </c>
      <c r="U7256">
        <v>0</v>
      </c>
      <c r="V7256">
        <v>0</v>
      </c>
      <c r="W7256">
        <v>1</v>
      </c>
      <c r="X7256">
        <v>0</v>
      </c>
      <c r="Y7256">
        <v>1</v>
      </c>
      <c r="Z7256">
        <v>0</v>
      </c>
      <c r="AA7256">
        <v>0</v>
      </c>
      <c r="AB7256">
        <v>0</v>
      </c>
      <c r="AC7256">
        <v>0</v>
      </c>
      <c r="AD7256">
        <v>1</v>
      </c>
      <c r="AE7256">
        <v>1</v>
      </c>
      <c r="AF7256">
        <v>1</v>
      </c>
      <c r="AG7256">
        <v>1</v>
      </c>
      <c r="AH7256">
        <v>1</v>
      </c>
      <c r="AI7256">
        <v>1</v>
      </c>
      <c r="AJ7256">
        <v>1</v>
      </c>
      <c r="AK7256">
        <v>1</v>
      </c>
      <c r="AL7256">
        <v>1</v>
      </c>
      <c r="AM7256">
        <v>1</v>
      </c>
    </row>
    <row r="7257" spans="1:39" x14ac:dyDescent="0.2">
      <c r="A7257" t="str">
        <f>"7253"</f>
        <v>7253</v>
      </c>
      <c r="B7257" t="str">
        <f t="shared" si="402"/>
        <v>1</v>
      </c>
      <c r="C7257" t="str">
        <f t="shared" si="404"/>
        <v>146</v>
      </c>
      <c r="D7257" t="str">
        <f>"22"</f>
        <v>22</v>
      </c>
      <c r="E7257" t="str">
        <f>"1-146-22"</f>
        <v>1-146-22</v>
      </c>
      <c r="F7257" t="s">
        <v>65</v>
      </c>
      <c r="G7257" t="s">
        <v>66</v>
      </c>
      <c r="H7257" t="s">
        <v>67</v>
      </c>
      <c r="S7257">
        <v>1</v>
      </c>
      <c r="T7257">
        <v>0</v>
      </c>
      <c r="U7257">
        <v>0</v>
      </c>
      <c r="V7257">
        <v>0</v>
      </c>
      <c r="W7257">
        <v>1</v>
      </c>
      <c r="X7257">
        <v>0</v>
      </c>
      <c r="Y7257">
        <v>1</v>
      </c>
      <c r="Z7257">
        <v>0</v>
      </c>
      <c r="AA7257">
        <v>1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1</v>
      </c>
      <c r="AH7257">
        <v>1</v>
      </c>
      <c r="AI7257">
        <v>1</v>
      </c>
      <c r="AJ7257">
        <v>1</v>
      </c>
      <c r="AK7257">
        <v>1</v>
      </c>
      <c r="AL7257">
        <v>1</v>
      </c>
      <c r="AM7257">
        <v>0</v>
      </c>
    </row>
    <row r="7258" spans="1:39" x14ac:dyDescent="0.2">
      <c r="A7258" t="str">
        <f>"7254"</f>
        <v>7254</v>
      </c>
      <c r="B7258" t="str">
        <f t="shared" si="402"/>
        <v>1</v>
      </c>
      <c r="C7258" t="str">
        <f t="shared" si="404"/>
        <v>146</v>
      </c>
      <c r="D7258" t="str">
        <f>"15"</f>
        <v>15</v>
      </c>
      <c r="E7258" t="str">
        <f>"1-146-15"</f>
        <v>1-146-15</v>
      </c>
      <c r="F7258" t="s">
        <v>65</v>
      </c>
      <c r="G7258" t="s">
        <v>66</v>
      </c>
      <c r="H7258" t="s">
        <v>67</v>
      </c>
      <c r="S7258">
        <v>1</v>
      </c>
      <c r="T7258">
        <v>0</v>
      </c>
      <c r="U7258">
        <v>0</v>
      </c>
      <c r="V7258">
        <v>0</v>
      </c>
      <c r="W7258">
        <v>1</v>
      </c>
      <c r="X7258">
        <v>0</v>
      </c>
      <c r="Y7258">
        <v>0</v>
      </c>
      <c r="Z7258">
        <v>1</v>
      </c>
      <c r="AA7258">
        <v>0</v>
      </c>
      <c r="AB7258">
        <v>0</v>
      </c>
      <c r="AC7258">
        <v>1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1</v>
      </c>
      <c r="AJ7258">
        <v>0</v>
      </c>
      <c r="AK7258">
        <v>0</v>
      </c>
      <c r="AL7258">
        <v>0</v>
      </c>
      <c r="AM7258">
        <v>0</v>
      </c>
    </row>
    <row r="7259" spans="1:39" x14ac:dyDescent="0.2">
      <c r="A7259" t="str">
        <f>"7255"</f>
        <v>7255</v>
      </c>
      <c r="B7259" t="str">
        <f t="shared" si="402"/>
        <v>1</v>
      </c>
      <c r="C7259" t="str">
        <f t="shared" si="404"/>
        <v>146</v>
      </c>
      <c r="D7259" t="str">
        <f>"1"</f>
        <v>1</v>
      </c>
      <c r="E7259" t="str">
        <f>"1-146-1"</f>
        <v>1-146-1</v>
      </c>
      <c r="F7259" t="s">
        <v>65</v>
      </c>
      <c r="G7259" t="s">
        <v>66</v>
      </c>
      <c r="H7259" t="s">
        <v>67</v>
      </c>
      <c r="S7259">
        <v>0</v>
      </c>
      <c r="T7259">
        <v>1</v>
      </c>
      <c r="U7259">
        <v>0</v>
      </c>
      <c r="V7259">
        <v>0</v>
      </c>
      <c r="W7259">
        <v>0</v>
      </c>
      <c r="X7259">
        <v>1</v>
      </c>
      <c r="Y7259">
        <v>0</v>
      </c>
      <c r="Z7259">
        <v>1</v>
      </c>
      <c r="AA7259">
        <v>0</v>
      </c>
      <c r="AB7259">
        <v>0</v>
      </c>
      <c r="AC7259">
        <v>1</v>
      </c>
      <c r="AD7259">
        <v>1</v>
      </c>
      <c r="AE7259">
        <v>1</v>
      </c>
      <c r="AF7259">
        <v>1</v>
      </c>
      <c r="AG7259">
        <v>1</v>
      </c>
      <c r="AH7259">
        <v>1</v>
      </c>
      <c r="AI7259">
        <v>1</v>
      </c>
      <c r="AJ7259">
        <v>1</v>
      </c>
      <c r="AK7259">
        <v>1</v>
      </c>
      <c r="AL7259">
        <v>1</v>
      </c>
      <c r="AM7259">
        <v>1</v>
      </c>
    </row>
    <row r="7260" spans="1:39" x14ac:dyDescent="0.2">
      <c r="A7260" t="str">
        <f>"7256"</f>
        <v>7256</v>
      </c>
      <c r="B7260" t="str">
        <f t="shared" si="402"/>
        <v>1</v>
      </c>
      <c r="C7260" t="str">
        <f t="shared" si="404"/>
        <v>146</v>
      </c>
      <c r="D7260" t="str">
        <f>"36"</f>
        <v>36</v>
      </c>
      <c r="E7260" t="str">
        <f>"1-146-36"</f>
        <v>1-146-36</v>
      </c>
      <c r="F7260" t="s">
        <v>65</v>
      </c>
      <c r="G7260" t="s">
        <v>66</v>
      </c>
      <c r="H7260" t="s">
        <v>67</v>
      </c>
      <c r="S7260">
        <v>0</v>
      </c>
      <c r="T7260">
        <v>1</v>
      </c>
      <c r="U7260">
        <v>0</v>
      </c>
      <c r="V7260">
        <v>0</v>
      </c>
      <c r="W7260">
        <v>1</v>
      </c>
      <c r="X7260">
        <v>0</v>
      </c>
      <c r="Y7260">
        <v>0</v>
      </c>
      <c r="Z7260">
        <v>1</v>
      </c>
      <c r="AA7260">
        <v>0</v>
      </c>
      <c r="AB7260">
        <v>0</v>
      </c>
      <c r="AC7260">
        <v>1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</row>
    <row r="7261" spans="1:39" x14ac:dyDescent="0.2">
      <c r="A7261" t="str">
        <f>"7257"</f>
        <v>7257</v>
      </c>
      <c r="B7261" t="str">
        <f t="shared" si="402"/>
        <v>1</v>
      </c>
      <c r="C7261" t="str">
        <f t="shared" si="404"/>
        <v>146</v>
      </c>
      <c r="D7261" t="str">
        <f>"35"</f>
        <v>35</v>
      </c>
      <c r="E7261" t="str">
        <f>"1-146-35"</f>
        <v>1-146-35</v>
      </c>
      <c r="F7261" t="s">
        <v>65</v>
      </c>
      <c r="G7261" t="s">
        <v>66</v>
      </c>
      <c r="H7261" t="s">
        <v>67</v>
      </c>
      <c r="S7261">
        <v>0</v>
      </c>
      <c r="T7261">
        <v>1</v>
      </c>
      <c r="U7261">
        <v>0</v>
      </c>
      <c r="V7261">
        <v>0</v>
      </c>
      <c r="W7261">
        <v>0</v>
      </c>
      <c r="X7261">
        <v>0</v>
      </c>
      <c r="Y7261">
        <v>1</v>
      </c>
      <c r="Z7261">
        <v>0</v>
      </c>
      <c r="AA7261">
        <v>0</v>
      </c>
      <c r="AB7261">
        <v>1</v>
      </c>
      <c r="AC7261">
        <v>0</v>
      </c>
      <c r="AD7261">
        <v>1</v>
      </c>
      <c r="AE7261">
        <v>1</v>
      </c>
      <c r="AF7261">
        <v>1</v>
      </c>
      <c r="AG7261">
        <v>1</v>
      </c>
      <c r="AH7261">
        <v>1</v>
      </c>
      <c r="AI7261">
        <v>1</v>
      </c>
      <c r="AJ7261">
        <v>1</v>
      </c>
      <c r="AK7261">
        <v>1</v>
      </c>
      <c r="AL7261">
        <v>1</v>
      </c>
      <c r="AM7261">
        <v>1</v>
      </c>
    </row>
    <row r="7262" spans="1:39" x14ac:dyDescent="0.2">
      <c r="A7262" t="str">
        <f>"7258"</f>
        <v>7258</v>
      </c>
      <c r="B7262" t="str">
        <f t="shared" si="402"/>
        <v>1</v>
      </c>
      <c r="C7262" t="str">
        <f t="shared" si="404"/>
        <v>146</v>
      </c>
      <c r="D7262" t="str">
        <f>"27"</f>
        <v>27</v>
      </c>
      <c r="E7262" t="str">
        <f>"1-146-27"</f>
        <v>1-146-27</v>
      </c>
      <c r="F7262" t="s">
        <v>65</v>
      </c>
      <c r="G7262" t="s">
        <v>66</v>
      </c>
      <c r="H7262" t="s">
        <v>67</v>
      </c>
      <c r="S7262">
        <v>1</v>
      </c>
      <c r="T7262">
        <v>0</v>
      </c>
      <c r="U7262">
        <v>0</v>
      </c>
      <c r="V7262">
        <v>0</v>
      </c>
      <c r="W7262">
        <v>1</v>
      </c>
      <c r="X7262">
        <v>0</v>
      </c>
      <c r="Y7262">
        <v>1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1</v>
      </c>
      <c r="AM7262">
        <v>0</v>
      </c>
    </row>
    <row r="7263" spans="1:39" x14ac:dyDescent="0.2">
      <c r="A7263" t="str">
        <f>"7259"</f>
        <v>7259</v>
      </c>
      <c r="B7263" t="str">
        <f t="shared" si="402"/>
        <v>1</v>
      </c>
      <c r="C7263" t="str">
        <f t="shared" si="404"/>
        <v>146</v>
      </c>
      <c r="D7263" t="str">
        <f>"16"</f>
        <v>16</v>
      </c>
      <c r="E7263" t="str">
        <f>"1-146-16"</f>
        <v>1-146-16</v>
      </c>
      <c r="F7263" t="s">
        <v>65</v>
      </c>
      <c r="G7263" t="s">
        <v>66</v>
      </c>
      <c r="H7263" t="s">
        <v>67</v>
      </c>
      <c r="S7263">
        <v>1</v>
      </c>
      <c r="T7263">
        <v>0</v>
      </c>
      <c r="U7263">
        <v>0</v>
      </c>
      <c r="V7263">
        <v>0</v>
      </c>
      <c r="W7263">
        <v>0</v>
      </c>
      <c r="X7263">
        <v>1</v>
      </c>
      <c r="Y7263">
        <v>1</v>
      </c>
      <c r="Z7263">
        <v>0</v>
      </c>
      <c r="AA7263">
        <v>0</v>
      </c>
      <c r="AB7263">
        <v>0</v>
      </c>
      <c r="AC7263">
        <v>0</v>
      </c>
      <c r="AD7263">
        <v>1</v>
      </c>
      <c r="AE7263">
        <v>1</v>
      </c>
      <c r="AF7263">
        <v>1</v>
      </c>
      <c r="AG7263">
        <v>1</v>
      </c>
      <c r="AH7263">
        <v>1</v>
      </c>
      <c r="AI7263">
        <v>1</v>
      </c>
      <c r="AJ7263">
        <v>1</v>
      </c>
      <c r="AK7263">
        <v>1</v>
      </c>
      <c r="AL7263">
        <v>1</v>
      </c>
      <c r="AM7263">
        <v>1</v>
      </c>
    </row>
    <row r="7264" spans="1:39" x14ac:dyDescent="0.2">
      <c r="A7264" t="str">
        <f>"7260"</f>
        <v>7260</v>
      </c>
      <c r="B7264" t="str">
        <f t="shared" si="402"/>
        <v>1</v>
      </c>
      <c r="C7264" t="str">
        <f t="shared" si="404"/>
        <v>146</v>
      </c>
      <c r="D7264" t="str">
        <f>"38"</f>
        <v>38</v>
      </c>
      <c r="E7264" t="str">
        <f>"1-146-38"</f>
        <v>1-146-38</v>
      </c>
      <c r="F7264" t="s">
        <v>65</v>
      </c>
      <c r="G7264" t="s">
        <v>66</v>
      </c>
      <c r="H7264" t="s">
        <v>67</v>
      </c>
      <c r="S7264">
        <v>0</v>
      </c>
      <c r="T7264">
        <v>1</v>
      </c>
      <c r="U7264">
        <v>0</v>
      </c>
      <c r="V7264">
        <v>0</v>
      </c>
      <c r="W7264">
        <v>1</v>
      </c>
      <c r="X7264">
        <v>0</v>
      </c>
      <c r="Y7264">
        <v>1</v>
      </c>
      <c r="Z7264">
        <v>0</v>
      </c>
      <c r="AA7264">
        <v>0</v>
      </c>
      <c r="AB7264">
        <v>0</v>
      </c>
      <c r="AC7264">
        <v>1</v>
      </c>
      <c r="AD7264">
        <v>1</v>
      </c>
      <c r="AE7264">
        <v>1</v>
      </c>
      <c r="AF7264">
        <v>1</v>
      </c>
      <c r="AG7264">
        <v>1</v>
      </c>
      <c r="AH7264">
        <v>1</v>
      </c>
      <c r="AI7264">
        <v>1</v>
      </c>
      <c r="AJ7264">
        <v>1</v>
      </c>
      <c r="AK7264">
        <v>1</v>
      </c>
      <c r="AL7264">
        <v>1</v>
      </c>
      <c r="AM7264">
        <v>1</v>
      </c>
    </row>
    <row r="7265" spans="1:39" x14ac:dyDescent="0.2">
      <c r="A7265" t="str">
        <f>"7261"</f>
        <v>7261</v>
      </c>
      <c r="B7265" t="str">
        <f t="shared" si="402"/>
        <v>1</v>
      </c>
      <c r="C7265" t="str">
        <f t="shared" si="404"/>
        <v>146</v>
      </c>
      <c r="D7265" t="str">
        <f>"37"</f>
        <v>37</v>
      </c>
      <c r="E7265" t="str">
        <f>"1-146-37"</f>
        <v>1-146-37</v>
      </c>
      <c r="F7265" t="s">
        <v>65</v>
      </c>
      <c r="G7265" t="s">
        <v>66</v>
      </c>
      <c r="H7265" t="s">
        <v>67</v>
      </c>
      <c r="S7265">
        <v>1</v>
      </c>
      <c r="T7265">
        <v>0</v>
      </c>
      <c r="U7265">
        <v>0</v>
      </c>
      <c r="V7265">
        <v>0</v>
      </c>
      <c r="W7265">
        <v>1</v>
      </c>
      <c r="X7265">
        <v>0</v>
      </c>
      <c r="Y7265">
        <v>1</v>
      </c>
      <c r="Z7265">
        <v>0</v>
      </c>
      <c r="AA7265">
        <v>1</v>
      </c>
      <c r="AB7265">
        <v>0</v>
      </c>
      <c r="AC7265">
        <v>0</v>
      </c>
      <c r="AD7265">
        <v>1</v>
      </c>
      <c r="AE7265">
        <v>1</v>
      </c>
      <c r="AF7265">
        <v>1</v>
      </c>
      <c r="AG7265">
        <v>1</v>
      </c>
      <c r="AH7265">
        <v>1</v>
      </c>
      <c r="AI7265">
        <v>1</v>
      </c>
      <c r="AJ7265">
        <v>1</v>
      </c>
      <c r="AK7265">
        <v>1</v>
      </c>
      <c r="AL7265">
        <v>1</v>
      </c>
      <c r="AM7265">
        <v>1</v>
      </c>
    </row>
    <row r="7266" spans="1:39" x14ac:dyDescent="0.2">
      <c r="A7266" t="str">
        <f>"7262"</f>
        <v>7262</v>
      </c>
      <c r="B7266" t="str">
        <f t="shared" si="402"/>
        <v>1</v>
      </c>
      <c r="C7266" t="str">
        <f t="shared" si="404"/>
        <v>146</v>
      </c>
      <c r="D7266" t="str">
        <f>"17"</f>
        <v>17</v>
      </c>
      <c r="E7266" t="str">
        <f>"1-146-17"</f>
        <v>1-146-17</v>
      </c>
      <c r="F7266" t="s">
        <v>65</v>
      </c>
      <c r="G7266" t="s">
        <v>66</v>
      </c>
      <c r="H7266" t="s">
        <v>67</v>
      </c>
      <c r="S7266">
        <v>0</v>
      </c>
      <c r="T7266">
        <v>1</v>
      </c>
      <c r="U7266">
        <v>0</v>
      </c>
      <c r="V7266">
        <v>0</v>
      </c>
      <c r="W7266">
        <v>0</v>
      </c>
      <c r="X7266">
        <v>1</v>
      </c>
      <c r="Y7266">
        <v>0</v>
      </c>
      <c r="Z7266">
        <v>1</v>
      </c>
      <c r="AA7266">
        <v>0</v>
      </c>
      <c r="AB7266">
        <v>1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1</v>
      </c>
      <c r="AI7266">
        <v>0</v>
      </c>
      <c r="AJ7266">
        <v>0</v>
      </c>
      <c r="AK7266">
        <v>0</v>
      </c>
      <c r="AL7266">
        <v>0</v>
      </c>
      <c r="AM7266">
        <v>0</v>
      </c>
    </row>
    <row r="7267" spans="1:39" x14ac:dyDescent="0.2">
      <c r="A7267" t="str">
        <f>"7263"</f>
        <v>7263</v>
      </c>
      <c r="B7267" t="str">
        <f t="shared" si="402"/>
        <v>1</v>
      </c>
      <c r="C7267" t="str">
        <f t="shared" si="404"/>
        <v>146</v>
      </c>
      <c r="D7267" t="str">
        <f>"12"</f>
        <v>12</v>
      </c>
      <c r="E7267" t="str">
        <f>"1-146-12"</f>
        <v>1-146-12</v>
      </c>
      <c r="F7267" t="s">
        <v>65</v>
      </c>
      <c r="G7267" t="s">
        <v>66</v>
      </c>
      <c r="H7267" t="s">
        <v>67</v>
      </c>
      <c r="S7267">
        <v>1</v>
      </c>
      <c r="T7267">
        <v>0</v>
      </c>
      <c r="U7267">
        <v>0</v>
      </c>
      <c r="V7267">
        <v>0</v>
      </c>
      <c r="W7267">
        <v>1</v>
      </c>
      <c r="X7267">
        <v>0</v>
      </c>
      <c r="Y7267">
        <v>1</v>
      </c>
      <c r="Z7267">
        <v>0</v>
      </c>
      <c r="AA7267">
        <v>0</v>
      </c>
      <c r="AB7267">
        <v>0</v>
      </c>
      <c r="AC7267">
        <v>1</v>
      </c>
      <c r="AD7267">
        <v>1</v>
      </c>
      <c r="AE7267">
        <v>1</v>
      </c>
      <c r="AF7267">
        <v>1</v>
      </c>
      <c r="AG7267">
        <v>1</v>
      </c>
      <c r="AH7267">
        <v>1</v>
      </c>
      <c r="AI7267">
        <v>1</v>
      </c>
      <c r="AJ7267">
        <v>1</v>
      </c>
      <c r="AK7267">
        <v>1</v>
      </c>
      <c r="AL7267">
        <v>1</v>
      </c>
      <c r="AM7267">
        <v>1</v>
      </c>
    </row>
    <row r="7268" spans="1:39" x14ac:dyDescent="0.2">
      <c r="A7268" t="str">
        <f>"7264"</f>
        <v>7264</v>
      </c>
      <c r="B7268" t="str">
        <f t="shared" si="402"/>
        <v>1</v>
      </c>
      <c r="C7268" t="str">
        <f t="shared" si="404"/>
        <v>146</v>
      </c>
      <c r="D7268" t="str">
        <f>"40"</f>
        <v>40</v>
      </c>
      <c r="E7268" t="str">
        <f>"1-146-40"</f>
        <v>1-146-40</v>
      </c>
      <c r="F7268" t="s">
        <v>65</v>
      </c>
      <c r="G7268" t="s">
        <v>66</v>
      </c>
      <c r="H7268" t="s">
        <v>67</v>
      </c>
      <c r="S7268">
        <v>1</v>
      </c>
      <c r="T7268">
        <v>0</v>
      </c>
      <c r="U7268">
        <v>0</v>
      </c>
      <c r="V7268">
        <v>0</v>
      </c>
      <c r="W7268">
        <v>1</v>
      </c>
      <c r="X7268">
        <v>0</v>
      </c>
      <c r="Y7268">
        <v>1</v>
      </c>
      <c r="Z7268">
        <v>0</v>
      </c>
      <c r="AA7268">
        <v>1</v>
      </c>
      <c r="AB7268">
        <v>0</v>
      </c>
      <c r="AC7268">
        <v>0</v>
      </c>
      <c r="AD7268">
        <v>1</v>
      </c>
      <c r="AE7268">
        <v>1</v>
      </c>
      <c r="AF7268">
        <v>1</v>
      </c>
      <c r="AG7268">
        <v>1</v>
      </c>
      <c r="AH7268">
        <v>1</v>
      </c>
      <c r="AI7268">
        <v>1</v>
      </c>
      <c r="AJ7268">
        <v>1</v>
      </c>
      <c r="AK7268">
        <v>1</v>
      </c>
      <c r="AL7268">
        <v>1</v>
      </c>
      <c r="AM7268">
        <v>1</v>
      </c>
    </row>
    <row r="7269" spans="1:39" x14ac:dyDescent="0.2">
      <c r="A7269" t="str">
        <f>"7265"</f>
        <v>7265</v>
      </c>
      <c r="B7269" t="str">
        <f t="shared" si="402"/>
        <v>1</v>
      </c>
      <c r="C7269" t="str">
        <f t="shared" si="404"/>
        <v>146</v>
      </c>
      <c r="D7269" t="str">
        <f>"32"</f>
        <v>32</v>
      </c>
      <c r="E7269" t="str">
        <f>"1-146-32"</f>
        <v>1-146-32</v>
      </c>
      <c r="F7269" t="s">
        <v>65</v>
      </c>
      <c r="G7269" t="s">
        <v>66</v>
      </c>
      <c r="H7269" t="s">
        <v>67</v>
      </c>
      <c r="S7269">
        <v>0</v>
      </c>
      <c r="T7269">
        <v>1</v>
      </c>
      <c r="U7269">
        <v>0</v>
      </c>
      <c r="V7269">
        <v>0</v>
      </c>
      <c r="W7269">
        <v>1</v>
      </c>
      <c r="X7269">
        <v>0</v>
      </c>
      <c r="Y7269">
        <v>1</v>
      </c>
      <c r="Z7269">
        <v>0</v>
      </c>
      <c r="AA7269">
        <v>0</v>
      </c>
      <c r="AB7269">
        <v>0</v>
      </c>
      <c r="AC7269">
        <v>1</v>
      </c>
      <c r="AD7269">
        <v>1</v>
      </c>
      <c r="AE7269">
        <v>1</v>
      </c>
      <c r="AF7269">
        <v>1</v>
      </c>
      <c r="AG7269">
        <v>1</v>
      </c>
      <c r="AH7269">
        <v>1</v>
      </c>
      <c r="AI7269">
        <v>1</v>
      </c>
      <c r="AJ7269">
        <v>1</v>
      </c>
      <c r="AK7269">
        <v>1</v>
      </c>
      <c r="AL7269">
        <v>1</v>
      </c>
      <c r="AM7269">
        <v>1</v>
      </c>
    </row>
    <row r="7270" spans="1:39" x14ac:dyDescent="0.2">
      <c r="A7270" t="str">
        <f>"7266"</f>
        <v>7266</v>
      </c>
      <c r="B7270" t="str">
        <f t="shared" si="402"/>
        <v>1</v>
      </c>
      <c r="C7270" t="str">
        <f t="shared" si="404"/>
        <v>146</v>
      </c>
      <c r="D7270" t="str">
        <f>"18"</f>
        <v>18</v>
      </c>
      <c r="E7270" t="str">
        <f>"1-146-18"</f>
        <v>1-146-18</v>
      </c>
      <c r="F7270" t="s">
        <v>65</v>
      </c>
      <c r="G7270" t="s">
        <v>66</v>
      </c>
      <c r="H7270" t="s">
        <v>67</v>
      </c>
      <c r="S7270">
        <v>0</v>
      </c>
      <c r="T7270">
        <v>1</v>
      </c>
      <c r="U7270">
        <v>0</v>
      </c>
      <c r="V7270">
        <v>0</v>
      </c>
      <c r="W7270">
        <v>1</v>
      </c>
      <c r="X7270">
        <v>0</v>
      </c>
      <c r="Y7270">
        <v>0</v>
      </c>
      <c r="Z7270">
        <v>1</v>
      </c>
      <c r="AA7270">
        <v>0</v>
      </c>
      <c r="AB7270">
        <v>0</v>
      </c>
      <c r="AC7270">
        <v>1</v>
      </c>
      <c r="AD7270">
        <v>1</v>
      </c>
      <c r="AE7270">
        <v>1</v>
      </c>
      <c r="AF7270">
        <v>1</v>
      </c>
      <c r="AG7270">
        <v>1</v>
      </c>
      <c r="AH7270">
        <v>1</v>
      </c>
      <c r="AI7270">
        <v>1</v>
      </c>
      <c r="AJ7270">
        <v>1</v>
      </c>
      <c r="AK7270">
        <v>1</v>
      </c>
      <c r="AL7270">
        <v>1</v>
      </c>
      <c r="AM7270">
        <v>1</v>
      </c>
    </row>
    <row r="7271" spans="1:39" x14ac:dyDescent="0.2">
      <c r="A7271" t="str">
        <f>"7267"</f>
        <v>7267</v>
      </c>
      <c r="B7271" t="str">
        <f t="shared" si="402"/>
        <v>1</v>
      </c>
      <c r="C7271" t="str">
        <f t="shared" si="404"/>
        <v>146</v>
      </c>
      <c r="D7271" t="str">
        <f>"7"</f>
        <v>7</v>
      </c>
      <c r="E7271" t="str">
        <f>"1-146-7"</f>
        <v>1-146-7</v>
      </c>
      <c r="F7271" t="s">
        <v>65</v>
      </c>
      <c r="G7271" t="s">
        <v>66</v>
      </c>
      <c r="H7271" t="s">
        <v>67</v>
      </c>
      <c r="S7271">
        <v>1</v>
      </c>
      <c r="T7271">
        <v>0</v>
      </c>
      <c r="U7271">
        <v>0</v>
      </c>
      <c r="V7271">
        <v>0</v>
      </c>
      <c r="W7271">
        <v>1</v>
      </c>
      <c r="X7271">
        <v>0</v>
      </c>
      <c r="Y7271">
        <v>1</v>
      </c>
      <c r="Z7271">
        <v>0</v>
      </c>
      <c r="AA7271">
        <v>1</v>
      </c>
      <c r="AB7271">
        <v>0</v>
      </c>
      <c r="AC7271">
        <v>0</v>
      </c>
      <c r="AD7271">
        <v>1</v>
      </c>
      <c r="AE7271">
        <v>1</v>
      </c>
      <c r="AF7271">
        <v>1</v>
      </c>
      <c r="AG7271">
        <v>1</v>
      </c>
      <c r="AH7271">
        <v>1</v>
      </c>
      <c r="AI7271">
        <v>1</v>
      </c>
      <c r="AJ7271">
        <v>1</v>
      </c>
      <c r="AK7271">
        <v>1</v>
      </c>
      <c r="AL7271">
        <v>1</v>
      </c>
      <c r="AM7271">
        <v>1</v>
      </c>
    </row>
    <row r="7272" spans="1:39" x14ac:dyDescent="0.2">
      <c r="A7272" t="str">
        <f>"7268"</f>
        <v>7268</v>
      </c>
      <c r="B7272" t="str">
        <f t="shared" si="402"/>
        <v>1</v>
      </c>
      <c r="C7272" t="str">
        <f t="shared" si="404"/>
        <v>146</v>
      </c>
      <c r="D7272" t="str">
        <f>"39"</f>
        <v>39</v>
      </c>
      <c r="E7272" t="str">
        <f>"1-146-39"</f>
        <v>1-146-39</v>
      </c>
      <c r="F7272" t="s">
        <v>65</v>
      </c>
      <c r="G7272" t="s">
        <v>66</v>
      </c>
      <c r="H7272" t="s">
        <v>67</v>
      </c>
      <c r="S7272">
        <v>1</v>
      </c>
      <c r="T7272">
        <v>0</v>
      </c>
      <c r="U7272">
        <v>0</v>
      </c>
      <c r="V7272">
        <v>0</v>
      </c>
      <c r="W7272">
        <v>1</v>
      </c>
      <c r="X7272">
        <v>0</v>
      </c>
      <c r="Y7272">
        <v>1</v>
      </c>
      <c r="Z7272">
        <v>0</v>
      </c>
      <c r="AA7272">
        <v>1</v>
      </c>
      <c r="AB7272">
        <v>0</v>
      </c>
      <c r="AC7272">
        <v>0</v>
      </c>
      <c r="AD7272">
        <v>1</v>
      </c>
      <c r="AE7272">
        <v>1</v>
      </c>
      <c r="AF7272">
        <v>1</v>
      </c>
      <c r="AG7272">
        <v>1</v>
      </c>
      <c r="AH7272">
        <v>1</v>
      </c>
      <c r="AI7272">
        <v>1</v>
      </c>
      <c r="AJ7272">
        <v>1</v>
      </c>
      <c r="AK7272">
        <v>1</v>
      </c>
      <c r="AL7272">
        <v>1</v>
      </c>
      <c r="AM7272">
        <v>1</v>
      </c>
    </row>
    <row r="7273" spans="1:39" x14ac:dyDescent="0.2">
      <c r="A7273" t="str">
        <f>"7269"</f>
        <v>7269</v>
      </c>
      <c r="B7273" t="str">
        <f t="shared" si="402"/>
        <v>1</v>
      </c>
      <c r="C7273" t="str">
        <f t="shared" si="404"/>
        <v>146</v>
      </c>
      <c r="D7273" t="str">
        <f>"19"</f>
        <v>19</v>
      </c>
      <c r="E7273" t="str">
        <f>"1-146-19"</f>
        <v>1-146-19</v>
      </c>
      <c r="F7273" t="s">
        <v>65</v>
      </c>
      <c r="G7273" t="s">
        <v>66</v>
      </c>
      <c r="H7273" t="s">
        <v>67</v>
      </c>
      <c r="S7273">
        <v>0</v>
      </c>
      <c r="T7273">
        <v>1</v>
      </c>
      <c r="U7273">
        <v>0</v>
      </c>
      <c r="V7273">
        <v>0</v>
      </c>
      <c r="W7273">
        <v>1</v>
      </c>
      <c r="X7273">
        <v>0</v>
      </c>
      <c r="Y7273">
        <v>1</v>
      </c>
      <c r="Z7273">
        <v>0</v>
      </c>
      <c r="AA7273">
        <v>0</v>
      </c>
      <c r="AB7273">
        <v>0</v>
      </c>
      <c r="AC7273">
        <v>1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</row>
    <row r="7274" spans="1:39" x14ac:dyDescent="0.2">
      <c r="A7274" t="str">
        <f>"7270"</f>
        <v>7270</v>
      </c>
      <c r="B7274" t="str">
        <f t="shared" si="402"/>
        <v>1</v>
      </c>
      <c r="C7274" t="str">
        <f t="shared" si="404"/>
        <v>146</v>
      </c>
      <c r="D7274" t="str">
        <f>"6"</f>
        <v>6</v>
      </c>
      <c r="E7274" t="str">
        <f>"1-146-6"</f>
        <v>1-146-6</v>
      </c>
      <c r="F7274" t="s">
        <v>65</v>
      </c>
      <c r="G7274" t="s">
        <v>66</v>
      </c>
      <c r="H7274" t="s">
        <v>67</v>
      </c>
      <c r="S7274">
        <v>1</v>
      </c>
      <c r="T7274">
        <v>0</v>
      </c>
      <c r="U7274">
        <v>0</v>
      </c>
      <c r="V7274">
        <v>0</v>
      </c>
      <c r="W7274">
        <v>1</v>
      </c>
      <c r="X7274">
        <v>0</v>
      </c>
      <c r="Y7274">
        <v>0</v>
      </c>
      <c r="Z7274">
        <v>1</v>
      </c>
      <c r="AA7274">
        <v>1</v>
      </c>
      <c r="AB7274">
        <v>0</v>
      </c>
      <c r="AC7274">
        <v>0</v>
      </c>
      <c r="AD7274">
        <v>1</v>
      </c>
      <c r="AE7274">
        <v>1</v>
      </c>
      <c r="AF7274">
        <v>1</v>
      </c>
      <c r="AG7274">
        <v>1</v>
      </c>
      <c r="AH7274">
        <v>0</v>
      </c>
      <c r="AI7274">
        <v>1</v>
      </c>
      <c r="AJ7274">
        <v>1</v>
      </c>
      <c r="AK7274">
        <v>1</v>
      </c>
      <c r="AL7274">
        <v>1</v>
      </c>
      <c r="AM7274">
        <v>1</v>
      </c>
    </row>
    <row r="7275" spans="1:39" x14ac:dyDescent="0.2">
      <c r="A7275" t="str">
        <f>"7271"</f>
        <v>7271</v>
      </c>
      <c r="B7275" t="str">
        <f t="shared" si="402"/>
        <v>1</v>
      </c>
      <c r="C7275" t="str">
        <f t="shared" si="404"/>
        <v>146</v>
      </c>
      <c r="D7275" t="str">
        <f>"45"</f>
        <v>45</v>
      </c>
      <c r="E7275" t="str">
        <f>"1-146-45"</f>
        <v>1-146-45</v>
      </c>
      <c r="F7275" t="s">
        <v>65</v>
      </c>
      <c r="G7275" t="s">
        <v>66</v>
      </c>
      <c r="H7275" t="s">
        <v>67</v>
      </c>
      <c r="S7275">
        <v>1</v>
      </c>
      <c r="T7275">
        <v>0</v>
      </c>
      <c r="U7275">
        <v>0</v>
      </c>
      <c r="V7275">
        <v>0</v>
      </c>
      <c r="W7275">
        <v>1</v>
      </c>
      <c r="X7275">
        <v>0</v>
      </c>
      <c r="Y7275">
        <v>1</v>
      </c>
      <c r="Z7275">
        <v>0</v>
      </c>
      <c r="AA7275">
        <v>0</v>
      </c>
      <c r="AB7275">
        <v>1</v>
      </c>
      <c r="AC7275">
        <v>0</v>
      </c>
      <c r="AD7275">
        <v>1</v>
      </c>
      <c r="AE7275">
        <v>1</v>
      </c>
      <c r="AF7275">
        <v>1</v>
      </c>
      <c r="AG7275">
        <v>1</v>
      </c>
      <c r="AH7275">
        <v>1</v>
      </c>
      <c r="AI7275">
        <v>1</v>
      </c>
      <c r="AJ7275">
        <v>1</v>
      </c>
      <c r="AK7275">
        <v>1</v>
      </c>
      <c r="AL7275">
        <v>1</v>
      </c>
      <c r="AM7275">
        <v>1</v>
      </c>
    </row>
    <row r="7276" spans="1:39" x14ac:dyDescent="0.2">
      <c r="A7276" t="str">
        <f>"7272"</f>
        <v>7272</v>
      </c>
      <c r="B7276" t="str">
        <f t="shared" si="402"/>
        <v>1</v>
      </c>
      <c r="C7276" t="str">
        <f t="shared" si="404"/>
        <v>146</v>
      </c>
      <c r="D7276" t="str">
        <f>"20"</f>
        <v>20</v>
      </c>
      <c r="E7276" t="str">
        <f>"1-146-20"</f>
        <v>1-146-20</v>
      </c>
      <c r="F7276" t="s">
        <v>65</v>
      </c>
      <c r="G7276" t="s">
        <v>66</v>
      </c>
      <c r="H7276" t="s">
        <v>67</v>
      </c>
      <c r="S7276">
        <v>0</v>
      </c>
      <c r="T7276">
        <v>1</v>
      </c>
      <c r="U7276">
        <v>0</v>
      </c>
      <c r="V7276">
        <v>0</v>
      </c>
      <c r="W7276">
        <v>1</v>
      </c>
      <c r="X7276">
        <v>0</v>
      </c>
      <c r="Y7276">
        <v>1</v>
      </c>
      <c r="Z7276">
        <v>0</v>
      </c>
      <c r="AA7276">
        <v>0</v>
      </c>
      <c r="AB7276">
        <v>0</v>
      </c>
      <c r="AC7276">
        <v>1</v>
      </c>
      <c r="AD7276">
        <v>1</v>
      </c>
      <c r="AE7276">
        <v>1</v>
      </c>
      <c r="AF7276">
        <v>1</v>
      </c>
      <c r="AG7276">
        <v>1</v>
      </c>
      <c r="AH7276">
        <v>1</v>
      </c>
      <c r="AI7276">
        <v>1</v>
      </c>
      <c r="AJ7276">
        <v>1</v>
      </c>
      <c r="AK7276">
        <v>1</v>
      </c>
      <c r="AL7276">
        <v>1</v>
      </c>
      <c r="AM7276">
        <v>1</v>
      </c>
    </row>
    <row r="7277" spans="1:39" x14ac:dyDescent="0.2">
      <c r="A7277" t="str">
        <f>"7273"</f>
        <v>7273</v>
      </c>
      <c r="B7277" t="str">
        <f t="shared" si="402"/>
        <v>1</v>
      </c>
      <c r="C7277" t="str">
        <f t="shared" si="404"/>
        <v>146</v>
      </c>
      <c r="D7277" t="str">
        <f>"14"</f>
        <v>14</v>
      </c>
      <c r="E7277" t="str">
        <f>"1-146-14"</f>
        <v>1-146-14</v>
      </c>
      <c r="F7277" t="s">
        <v>65</v>
      </c>
      <c r="G7277" t="s">
        <v>66</v>
      </c>
      <c r="H7277" t="s">
        <v>67</v>
      </c>
      <c r="S7277">
        <v>1</v>
      </c>
      <c r="T7277">
        <v>0</v>
      </c>
      <c r="U7277">
        <v>0</v>
      </c>
      <c r="V7277">
        <v>0</v>
      </c>
      <c r="W7277">
        <v>0</v>
      </c>
      <c r="X7277">
        <v>1</v>
      </c>
      <c r="Y7277">
        <v>0</v>
      </c>
      <c r="Z7277">
        <v>1</v>
      </c>
      <c r="AA7277">
        <v>1</v>
      </c>
      <c r="AB7277">
        <v>0</v>
      </c>
      <c r="AC7277">
        <v>0</v>
      </c>
      <c r="AD7277">
        <v>1</v>
      </c>
      <c r="AE7277">
        <v>1</v>
      </c>
      <c r="AF7277">
        <v>1</v>
      </c>
      <c r="AG7277">
        <v>1</v>
      </c>
      <c r="AH7277">
        <v>1</v>
      </c>
      <c r="AI7277">
        <v>1</v>
      </c>
      <c r="AJ7277">
        <v>1</v>
      </c>
      <c r="AK7277">
        <v>1</v>
      </c>
      <c r="AL7277">
        <v>1</v>
      </c>
      <c r="AM7277">
        <v>1</v>
      </c>
    </row>
    <row r="7278" spans="1:39" x14ac:dyDescent="0.2">
      <c r="A7278" t="str">
        <f>"7274"</f>
        <v>7274</v>
      </c>
      <c r="B7278" t="str">
        <f t="shared" si="402"/>
        <v>1</v>
      </c>
      <c r="C7278" t="str">
        <f t="shared" si="404"/>
        <v>146</v>
      </c>
      <c r="D7278" t="str">
        <f>"43"</f>
        <v>43</v>
      </c>
      <c r="E7278" t="str">
        <f>"1-146-43"</f>
        <v>1-146-43</v>
      </c>
      <c r="F7278" t="s">
        <v>65</v>
      </c>
      <c r="G7278" t="s">
        <v>66</v>
      </c>
      <c r="H7278" t="s">
        <v>67</v>
      </c>
      <c r="S7278">
        <v>1</v>
      </c>
      <c r="T7278">
        <v>0</v>
      </c>
      <c r="U7278">
        <v>0</v>
      </c>
      <c r="V7278">
        <v>0</v>
      </c>
      <c r="W7278">
        <v>1</v>
      </c>
      <c r="X7278">
        <v>0</v>
      </c>
      <c r="Y7278">
        <v>0</v>
      </c>
      <c r="Z7278">
        <v>1</v>
      </c>
      <c r="AA7278">
        <v>1</v>
      </c>
      <c r="AB7278">
        <v>0</v>
      </c>
      <c r="AC7278">
        <v>0</v>
      </c>
      <c r="AD7278">
        <v>1</v>
      </c>
      <c r="AE7278">
        <v>1</v>
      </c>
      <c r="AF7278">
        <v>1</v>
      </c>
      <c r="AG7278">
        <v>1</v>
      </c>
      <c r="AH7278">
        <v>1</v>
      </c>
      <c r="AI7278">
        <v>1</v>
      </c>
      <c r="AJ7278">
        <v>1</v>
      </c>
      <c r="AK7278">
        <v>1</v>
      </c>
      <c r="AL7278">
        <v>1</v>
      </c>
      <c r="AM7278">
        <v>1</v>
      </c>
    </row>
    <row r="7279" spans="1:39" x14ac:dyDescent="0.2">
      <c r="A7279" t="str">
        <f>"7275"</f>
        <v>7275</v>
      </c>
      <c r="B7279" t="str">
        <f t="shared" si="402"/>
        <v>1</v>
      </c>
      <c r="C7279" t="str">
        <f t="shared" si="404"/>
        <v>146</v>
      </c>
      <c r="D7279" t="str">
        <f>"21"</f>
        <v>21</v>
      </c>
      <c r="E7279" t="str">
        <f>"1-146-21"</f>
        <v>1-146-21</v>
      </c>
      <c r="F7279" t="s">
        <v>65</v>
      </c>
      <c r="G7279" t="s">
        <v>66</v>
      </c>
      <c r="H7279" t="s">
        <v>67</v>
      </c>
      <c r="S7279">
        <v>0</v>
      </c>
      <c r="T7279">
        <v>1</v>
      </c>
      <c r="U7279">
        <v>0</v>
      </c>
      <c r="V7279">
        <v>0</v>
      </c>
      <c r="W7279">
        <v>1</v>
      </c>
      <c r="X7279">
        <v>0</v>
      </c>
      <c r="Y7279">
        <v>1</v>
      </c>
      <c r="Z7279">
        <v>0</v>
      </c>
      <c r="AA7279">
        <v>0</v>
      </c>
      <c r="AB7279">
        <v>0</v>
      </c>
      <c r="AC7279">
        <v>1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</row>
    <row r="7280" spans="1:39" x14ac:dyDescent="0.2">
      <c r="A7280" t="str">
        <f>"7276"</f>
        <v>7276</v>
      </c>
      <c r="B7280" t="str">
        <f t="shared" si="402"/>
        <v>1</v>
      </c>
      <c r="C7280" t="str">
        <f t="shared" si="404"/>
        <v>146</v>
      </c>
      <c r="D7280" t="str">
        <f>"11"</f>
        <v>11</v>
      </c>
      <c r="E7280" t="str">
        <f>"1-146-11"</f>
        <v>1-146-11</v>
      </c>
      <c r="F7280" t="s">
        <v>65</v>
      </c>
      <c r="G7280" t="s">
        <v>66</v>
      </c>
      <c r="H7280" t="s">
        <v>67</v>
      </c>
      <c r="S7280">
        <v>1</v>
      </c>
      <c r="T7280">
        <v>0</v>
      </c>
      <c r="U7280">
        <v>0</v>
      </c>
      <c r="V7280">
        <v>0</v>
      </c>
      <c r="W7280">
        <v>1</v>
      </c>
      <c r="X7280">
        <v>0</v>
      </c>
      <c r="Y7280">
        <v>1</v>
      </c>
      <c r="Z7280">
        <v>0</v>
      </c>
      <c r="AA7280">
        <v>0</v>
      </c>
      <c r="AB7280">
        <v>0</v>
      </c>
      <c r="AC7280">
        <v>1</v>
      </c>
      <c r="AD7280">
        <v>1</v>
      </c>
      <c r="AE7280">
        <v>1</v>
      </c>
      <c r="AF7280">
        <v>1</v>
      </c>
      <c r="AG7280">
        <v>1</v>
      </c>
      <c r="AH7280">
        <v>1</v>
      </c>
      <c r="AI7280">
        <v>1</v>
      </c>
      <c r="AJ7280">
        <v>1</v>
      </c>
      <c r="AK7280">
        <v>1</v>
      </c>
      <c r="AL7280">
        <v>1</v>
      </c>
      <c r="AM7280">
        <v>1</v>
      </c>
    </row>
    <row r="7281" spans="1:39" x14ac:dyDescent="0.2">
      <c r="A7281" t="str">
        <f>"7277"</f>
        <v>7277</v>
      </c>
      <c r="B7281" t="str">
        <f t="shared" si="402"/>
        <v>1</v>
      </c>
      <c r="C7281" t="str">
        <f t="shared" si="404"/>
        <v>146</v>
      </c>
      <c r="D7281" t="str">
        <f>"42"</f>
        <v>42</v>
      </c>
      <c r="E7281" t="str">
        <f>"1-146-42"</f>
        <v>1-146-42</v>
      </c>
      <c r="F7281" t="s">
        <v>65</v>
      </c>
      <c r="G7281" t="s">
        <v>66</v>
      </c>
      <c r="H7281" t="s">
        <v>67</v>
      </c>
      <c r="S7281">
        <v>1</v>
      </c>
      <c r="T7281">
        <v>0</v>
      </c>
      <c r="U7281">
        <v>0</v>
      </c>
      <c r="V7281">
        <v>0</v>
      </c>
      <c r="W7281">
        <v>1</v>
      </c>
      <c r="X7281">
        <v>0</v>
      </c>
      <c r="Y7281">
        <v>1</v>
      </c>
      <c r="Z7281">
        <v>0</v>
      </c>
      <c r="AA7281">
        <v>1</v>
      </c>
      <c r="AB7281">
        <v>0</v>
      </c>
      <c r="AC7281">
        <v>0</v>
      </c>
      <c r="AD7281">
        <v>1</v>
      </c>
      <c r="AE7281">
        <v>1</v>
      </c>
      <c r="AF7281">
        <v>1</v>
      </c>
      <c r="AG7281">
        <v>1</v>
      </c>
      <c r="AH7281">
        <v>1</v>
      </c>
      <c r="AI7281">
        <v>1</v>
      </c>
      <c r="AJ7281">
        <v>1</v>
      </c>
      <c r="AK7281">
        <v>1</v>
      </c>
      <c r="AL7281">
        <v>1</v>
      </c>
      <c r="AM7281">
        <v>1</v>
      </c>
    </row>
    <row r="7282" spans="1:39" x14ac:dyDescent="0.2">
      <c r="A7282" t="str">
        <f>"7278"</f>
        <v>7278</v>
      </c>
      <c r="B7282" t="str">
        <f t="shared" si="402"/>
        <v>1</v>
      </c>
      <c r="C7282" t="str">
        <f t="shared" si="404"/>
        <v>146</v>
      </c>
      <c r="D7282" t="str">
        <f>"23"</f>
        <v>23</v>
      </c>
      <c r="E7282" t="str">
        <f>"1-146-23"</f>
        <v>1-146-23</v>
      </c>
      <c r="F7282" t="s">
        <v>65</v>
      </c>
      <c r="G7282" t="s">
        <v>66</v>
      </c>
      <c r="H7282" t="s">
        <v>67</v>
      </c>
      <c r="S7282">
        <v>1</v>
      </c>
      <c r="T7282">
        <v>0</v>
      </c>
      <c r="U7282">
        <v>0</v>
      </c>
      <c r="V7282">
        <v>0</v>
      </c>
      <c r="W7282">
        <v>1</v>
      </c>
      <c r="X7282">
        <v>0</v>
      </c>
      <c r="Y7282">
        <v>0</v>
      </c>
      <c r="Z7282">
        <v>1</v>
      </c>
      <c r="AA7282">
        <v>1</v>
      </c>
      <c r="AB7282">
        <v>0</v>
      </c>
      <c r="AC7282">
        <v>0</v>
      </c>
      <c r="AD7282">
        <v>1</v>
      </c>
      <c r="AE7282">
        <v>1</v>
      </c>
      <c r="AF7282">
        <v>1</v>
      </c>
      <c r="AG7282">
        <v>0</v>
      </c>
      <c r="AH7282">
        <v>1</v>
      </c>
      <c r="AI7282">
        <v>1</v>
      </c>
      <c r="AJ7282">
        <v>1</v>
      </c>
      <c r="AK7282">
        <v>1</v>
      </c>
      <c r="AL7282">
        <v>1</v>
      </c>
      <c r="AM7282">
        <v>1</v>
      </c>
    </row>
    <row r="7283" spans="1:39" x14ac:dyDescent="0.2">
      <c r="A7283" t="str">
        <f>"7279"</f>
        <v>7279</v>
      </c>
      <c r="B7283" t="str">
        <f t="shared" si="402"/>
        <v>1</v>
      </c>
      <c r="C7283" t="str">
        <f t="shared" si="404"/>
        <v>146</v>
      </c>
      <c r="D7283" t="str">
        <f>"8"</f>
        <v>8</v>
      </c>
      <c r="E7283" t="str">
        <f>"1-146-8"</f>
        <v>1-146-8</v>
      </c>
      <c r="F7283" t="s">
        <v>65</v>
      </c>
      <c r="G7283" t="s">
        <v>66</v>
      </c>
      <c r="H7283" t="s">
        <v>67</v>
      </c>
      <c r="S7283">
        <v>1</v>
      </c>
      <c r="T7283">
        <v>0</v>
      </c>
      <c r="U7283">
        <v>0</v>
      </c>
      <c r="V7283">
        <v>0</v>
      </c>
      <c r="W7283">
        <v>1</v>
      </c>
      <c r="X7283">
        <v>0</v>
      </c>
      <c r="Y7283">
        <v>1</v>
      </c>
      <c r="Z7283">
        <v>0</v>
      </c>
      <c r="AA7283">
        <v>0</v>
      </c>
      <c r="AB7283">
        <v>0</v>
      </c>
      <c r="AC7283">
        <v>0</v>
      </c>
      <c r="AD7283">
        <v>1</v>
      </c>
      <c r="AE7283">
        <v>1</v>
      </c>
      <c r="AF7283">
        <v>1</v>
      </c>
      <c r="AG7283">
        <v>1</v>
      </c>
      <c r="AH7283">
        <v>1</v>
      </c>
      <c r="AI7283">
        <v>1</v>
      </c>
      <c r="AJ7283">
        <v>1</v>
      </c>
      <c r="AK7283">
        <v>1</v>
      </c>
      <c r="AL7283">
        <v>1</v>
      </c>
      <c r="AM7283">
        <v>1</v>
      </c>
    </row>
    <row r="7284" spans="1:39" x14ac:dyDescent="0.2">
      <c r="A7284" t="str">
        <f>"7280"</f>
        <v>7280</v>
      </c>
      <c r="B7284" t="str">
        <f t="shared" si="402"/>
        <v>1</v>
      </c>
      <c r="C7284" t="str">
        <f t="shared" si="404"/>
        <v>146</v>
      </c>
      <c r="D7284" t="str">
        <f>"44"</f>
        <v>44</v>
      </c>
      <c r="E7284" t="str">
        <f>"1-146-44"</f>
        <v>1-146-44</v>
      </c>
      <c r="F7284" t="s">
        <v>65</v>
      </c>
      <c r="G7284" t="s">
        <v>66</v>
      </c>
      <c r="H7284" t="s">
        <v>67</v>
      </c>
      <c r="S7284">
        <v>1</v>
      </c>
      <c r="T7284">
        <v>0</v>
      </c>
      <c r="U7284">
        <v>0</v>
      </c>
      <c r="V7284">
        <v>0</v>
      </c>
      <c r="W7284">
        <v>1</v>
      </c>
      <c r="X7284">
        <v>0</v>
      </c>
      <c r="Y7284">
        <v>1</v>
      </c>
      <c r="Z7284">
        <v>0</v>
      </c>
      <c r="AA7284">
        <v>0</v>
      </c>
      <c r="AB7284">
        <v>1</v>
      </c>
      <c r="AC7284">
        <v>0</v>
      </c>
      <c r="AD7284">
        <v>1</v>
      </c>
      <c r="AE7284">
        <v>1</v>
      </c>
      <c r="AF7284">
        <v>1</v>
      </c>
      <c r="AG7284">
        <v>1</v>
      </c>
      <c r="AH7284">
        <v>1</v>
      </c>
      <c r="AI7284">
        <v>1</v>
      </c>
      <c r="AJ7284">
        <v>1</v>
      </c>
      <c r="AK7284">
        <v>1</v>
      </c>
      <c r="AL7284">
        <v>1</v>
      </c>
      <c r="AM7284">
        <v>1</v>
      </c>
    </row>
    <row r="7285" spans="1:39" x14ac:dyDescent="0.2">
      <c r="A7285" t="str">
        <f>"7281"</f>
        <v>7281</v>
      </c>
      <c r="B7285" t="str">
        <f t="shared" si="402"/>
        <v>1</v>
      </c>
      <c r="C7285" t="str">
        <f t="shared" si="404"/>
        <v>146</v>
      </c>
      <c r="D7285" t="str">
        <f>"24"</f>
        <v>24</v>
      </c>
      <c r="E7285" t="str">
        <f>"1-146-24"</f>
        <v>1-146-24</v>
      </c>
      <c r="F7285" t="s">
        <v>65</v>
      </c>
      <c r="G7285" t="s">
        <v>66</v>
      </c>
      <c r="H7285" t="s">
        <v>67</v>
      </c>
      <c r="S7285">
        <v>1</v>
      </c>
      <c r="T7285">
        <v>0</v>
      </c>
      <c r="U7285">
        <v>0</v>
      </c>
      <c r="V7285">
        <v>0</v>
      </c>
      <c r="W7285">
        <v>1</v>
      </c>
      <c r="X7285">
        <v>0</v>
      </c>
      <c r="Y7285">
        <v>0</v>
      </c>
      <c r="Z7285">
        <v>1</v>
      </c>
      <c r="AA7285">
        <v>1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</row>
    <row r="7286" spans="1:39" x14ac:dyDescent="0.2">
      <c r="A7286" t="str">
        <f>"7282"</f>
        <v>7282</v>
      </c>
      <c r="B7286" t="str">
        <f t="shared" si="402"/>
        <v>1</v>
      </c>
      <c r="C7286" t="str">
        <f t="shared" si="404"/>
        <v>146</v>
      </c>
      <c r="D7286" t="str">
        <f>"5"</f>
        <v>5</v>
      </c>
      <c r="E7286" t="str">
        <f>"1-146-5"</f>
        <v>1-146-5</v>
      </c>
      <c r="F7286" t="s">
        <v>65</v>
      </c>
      <c r="G7286" t="s">
        <v>66</v>
      </c>
      <c r="H7286" t="s">
        <v>67</v>
      </c>
      <c r="S7286">
        <v>1</v>
      </c>
      <c r="T7286">
        <v>0</v>
      </c>
      <c r="U7286">
        <v>0</v>
      </c>
      <c r="V7286">
        <v>0</v>
      </c>
      <c r="W7286">
        <v>1</v>
      </c>
      <c r="X7286">
        <v>0</v>
      </c>
      <c r="Y7286">
        <v>0</v>
      </c>
      <c r="Z7286">
        <v>1</v>
      </c>
      <c r="AA7286">
        <v>1</v>
      </c>
      <c r="AB7286">
        <v>0</v>
      </c>
      <c r="AC7286">
        <v>0</v>
      </c>
      <c r="AD7286">
        <v>1</v>
      </c>
      <c r="AE7286">
        <v>1</v>
      </c>
      <c r="AF7286">
        <v>1</v>
      </c>
      <c r="AG7286">
        <v>1</v>
      </c>
      <c r="AH7286">
        <v>0</v>
      </c>
      <c r="AI7286">
        <v>1</v>
      </c>
      <c r="AJ7286">
        <v>1</v>
      </c>
      <c r="AK7286">
        <v>1</v>
      </c>
      <c r="AL7286">
        <v>1</v>
      </c>
      <c r="AM7286">
        <v>1</v>
      </c>
    </row>
    <row r="7287" spans="1:39" x14ac:dyDescent="0.2">
      <c r="A7287" t="str">
        <f>"7283"</f>
        <v>7283</v>
      </c>
      <c r="B7287" t="str">
        <f t="shared" ref="B7287:B7350" si="405">"1"</f>
        <v>1</v>
      </c>
      <c r="C7287" t="str">
        <f t="shared" ref="C7287:C7304" si="406">"146"</f>
        <v>146</v>
      </c>
      <c r="D7287" t="str">
        <f>"50"</f>
        <v>50</v>
      </c>
      <c r="E7287" t="str">
        <f>"1-146-50"</f>
        <v>1-146-50</v>
      </c>
      <c r="F7287" t="s">
        <v>65</v>
      </c>
      <c r="G7287" t="s">
        <v>66</v>
      </c>
      <c r="H7287" t="s">
        <v>67</v>
      </c>
      <c r="S7287">
        <v>1</v>
      </c>
      <c r="T7287">
        <v>0</v>
      </c>
      <c r="U7287">
        <v>0</v>
      </c>
      <c r="V7287">
        <v>0</v>
      </c>
      <c r="W7287">
        <v>1</v>
      </c>
      <c r="X7287">
        <v>0</v>
      </c>
      <c r="Y7287">
        <v>1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1</v>
      </c>
      <c r="AM7287">
        <v>0</v>
      </c>
    </row>
    <row r="7288" spans="1:39" x14ac:dyDescent="0.2">
      <c r="A7288" t="str">
        <f>"7284"</f>
        <v>7284</v>
      </c>
      <c r="B7288" t="str">
        <f t="shared" si="405"/>
        <v>1</v>
      </c>
      <c r="C7288" t="str">
        <f t="shared" si="406"/>
        <v>146</v>
      </c>
      <c r="D7288" t="str">
        <f>"26"</f>
        <v>26</v>
      </c>
      <c r="E7288" t="str">
        <f>"1-146-26"</f>
        <v>1-146-26</v>
      </c>
      <c r="F7288" t="s">
        <v>65</v>
      </c>
      <c r="G7288" t="s">
        <v>66</v>
      </c>
      <c r="H7288" t="s">
        <v>67</v>
      </c>
      <c r="S7288">
        <v>0</v>
      </c>
      <c r="T7288">
        <v>1</v>
      </c>
      <c r="U7288">
        <v>0</v>
      </c>
      <c r="V7288">
        <v>0</v>
      </c>
      <c r="W7288">
        <v>1</v>
      </c>
      <c r="X7288">
        <v>0</v>
      </c>
      <c r="Y7288">
        <v>1</v>
      </c>
      <c r="Z7288">
        <v>0</v>
      </c>
      <c r="AA7288">
        <v>0</v>
      </c>
      <c r="AB7288">
        <v>0</v>
      </c>
      <c r="AC7288">
        <v>1</v>
      </c>
      <c r="AD7288">
        <v>0</v>
      </c>
      <c r="AE7288">
        <v>0</v>
      </c>
      <c r="AF7288">
        <v>0</v>
      </c>
      <c r="AG7288">
        <v>0</v>
      </c>
      <c r="AH7288">
        <v>1</v>
      </c>
      <c r="AI7288">
        <v>1</v>
      </c>
      <c r="AJ7288">
        <v>1</v>
      </c>
      <c r="AK7288">
        <v>1</v>
      </c>
      <c r="AL7288">
        <v>1</v>
      </c>
      <c r="AM7288">
        <v>0</v>
      </c>
    </row>
    <row r="7289" spans="1:39" x14ac:dyDescent="0.2">
      <c r="A7289" t="str">
        <f>"7285"</f>
        <v>7285</v>
      </c>
      <c r="B7289" t="str">
        <f t="shared" si="405"/>
        <v>1</v>
      </c>
      <c r="C7289" t="str">
        <f t="shared" si="406"/>
        <v>146</v>
      </c>
      <c r="D7289" t="str">
        <f>"13"</f>
        <v>13</v>
      </c>
      <c r="E7289" t="str">
        <f>"1-146-13"</f>
        <v>1-146-13</v>
      </c>
      <c r="F7289" t="s">
        <v>65</v>
      </c>
      <c r="G7289" t="s">
        <v>66</v>
      </c>
      <c r="H7289" t="s">
        <v>67</v>
      </c>
      <c r="S7289">
        <v>0</v>
      </c>
      <c r="T7289">
        <v>1</v>
      </c>
      <c r="U7289">
        <v>0</v>
      </c>
      <c r="V7289">
        <v>0</v>
      </c>
      <c r="W7289">
        <v>0</v>
      </c>
      <c r="X7289">
        <v>1</v>
      </c>
      <c r="Y7289">
        <v>0</v>
      </c>
      <c r="Z7289">
        <v>1</v>
      </c>
      <c r="AA7289">
        <v>0</v>
      </c>
      <c r="AB7289">
        <v>0</v>
      </c>
      <c r="AC7289">
        <v>1</v>
      </c>
      <c r="AD7289">
        <v>1</v>
      </c>
      <c r="AE7289">
        <v>1</v>
      </c>
      <c r="AF7289">
        <v>1</v>
      </c>
      <c r="AG7289">
        <v>1</v>
      </c>
      <c r="AH7289">
        <v>1</v>
      </c>
      <c r="AI7289">
        <v>1</v>
      </c>
      <c r="AJ7289">
        <v>1</v>
      </c>
      <c r="AK7289">
        <v>1</v>
      </c>
      <c r="AL7289">
        <v>1</v>
      </c>
      <c r="AM7289">
        <v>1</v>
      </c>
    </row>
    <row r="7290" spans="1:39" x14ac:dyDescent="0.2">
      <c r="A7290" t="str">
        <f>"7286"</f>
        <v>7286</v>
      </c>
      <c r="B7290" t="str">
        <f t="shared" si="405"/>
        <v>1</v>
      </c>
      <c r="C7290" t="str">
        <f t="shared" si="406"/>
        <v>146</v>
      </c>
      <c r="D7290" t="str">
        <f>"47"</f>
        <v>47</v>
      </c>
      <c r="E7290" t="str">
        <f>"1-146-47"</f>
        <v>1-146-47</v>
      </c>
      <c r="F7290" t="s">
        <v>65</v>
      </c>
      <c r="G7290" t="s">
        <v>66</v>
      </c>
      <c r="H7290" t="s">
        <v>67</v>
      </c>
      <c r="S7290">
        <v>0</v>
      </c>
      <c r="T7290">
        <v>1</v>
      </c>
      <c r="U7290">
        <v>0</v>
      </c>
      <c r="V7290">
        <v>0</v>
      </c>
      <c r="W7290">
        <v>0</v>
      </c>
      <c r="X7290">
        <v>1</v>
      </c>
      <c r="Y7290">
        <v>1</v>
      </c>
      <c r="Z7290">
        <v>0</v>
      </c>
      <c r="AA7290">
        <v>0</v>
      </c>
      <c r="AB7290">
        <v>1</v>
      </c>
      <c r="AC7290">
        <v>0</v>
      </c>
      <c r="AD7290">
        <v>1</v>
      </c>
      <c r="AE7290">
        <v>1</v>
      </c>
      <c r="AF7290">
        <v>1</v>
      </c>
      <c r="AG7290">
        <v>1</v>
      </c>
      <c r="AH7290">
        <v>1</v>
      </c>
      <c r="AI7290">
        <v>1</v>
      </c>
      <c r="AJ7290">
        <v>1</v>
      </c>
      <c r="AK7290">
        <v>1</v>
      </c>
      <c r="AL7290">
        <v>1</v>
      </c>
      <c r="AM7290">
        <v>1</v>
      </c>
    </row>
    <row r="7291" spans="1:39" x14ac:dyDescent="0.2">
      <c r="A7291" t="str">
        <f>"7287"</f>
        <v>7287</v>
      </c>
      <c r="B7291" t="str">
        <f t="shared" si="405"/>
        <v>1</v>
      </c>
      <c r="C7291" t="str">
        <f t="shared" si="406"/>
        <v>146</v>
      </c>
      <c r="D7291" t="str">
        <f>"28"</f>
        <v>28</v>
      </c>
      <c r="E7291" t="str">
        <f>"1-146-28"</f>
        <v>1-146-28</v>
      </c>
      <c r="F7291" t="s">
        <v>65</v>
      </c>
      <c r="G7291" t="s">
        <v>66</v>
      </c>
      <c r="H7291" t="s">
        <v>67</v>
      </c>
      <c r="S7291">
        <v>1</v>
      </c>
      <c r="T7291">
        <v>0</v>
      </c>
      <c r="U7291">
        <v>0</v>
      </c>
      <c r="V7291">
        <v>0</v>
      </c>
      <c r="W7291">
        <v>0</v>
      </c>
      <c r="X7291">
        <v>1</v>
      </c>
      <c r="Y7291">
        <v>0</v>
      </c>
      <c r="Z7291">
        <v>1</v>
      </c>
      <c r="AA7291">
        <v>0</v>
      </c>
      <c r="AB7291">
        <v>0</v>
      </c>
      <c r="AC7291">
        <v>1</v>
      </c>
      <c r="AD7291">
        <v>1</v>
      </c>
      <c r="AE7291">
        <v>1</v>
      </c>
      <c r="AF7291">
        <v>1</v>
      </c>
      <c r="AG7291">
        <v>1</v>
      </c>
      <c r="AH7291">
        <v>1</v>
      </c>
      <c r="AI7291">
        <v>1</v>
      </c>
      <c r="AJ7291">
        <v>1</v>
      </c>
      <c r="AK7291">
        <v>1</v>
      </c>
      <c r="AL7291">
        <v>1</v>
      </c>
      <c r="AM7291">
        <v>1</v>
      </c>
    </row>
    <row r="7292" spans="1:39" x14ac:dyDescent="0.2">
      <c r="A7292" t="str">
        <f>"7288"</f>
        <v>7288</v>
      </c>
      <c r="B7292" t="str">
        <f t="shared" si="405"/>
        <v>1</v>
      </c>
      <c r="C7292" t="str">
        <f t="shared" si="406"/>
        <v>146</v>
      </c>
      <c r="D7292" t="str">
        <f>"10"</f>
        <v>10</v>
      </c>
      <c r="E7292" t="str">
        <f>"1-146-10"</f>
        <v>1-146-10</v>
      </c>
      <c r="F7292" t="s">
        <v>65</v>
      </c>
      <c r="G7292" t="s">
        <v>66</v>
      </c>
      <c r="H7292" t="s">
        <v>67</v>
      </c>
      <c r="S7292">
        <v>1</v>
      </c>
      <c r="T7292">
        <v>0</v>
      </c>
      <c r="U7292">
        <v>0</v>
      </c>
      <c r="V7292">
        <v>0</v>
      </c>
      <c r="W7292">
        <v>1</v>
      </c>
      <c r="X7292">
        <v>0</v>
      </c>
      <c r="Y7292">
        <v>0</v>
      </c>
      <c r="Z7292">
        <v>1</v>
      </c>
      <c r="AA7292">
        <v>0</v>
      </c>
      <c r="AB7292">
        <v>1</v>
      </c>
      <c r="AC7292">
        <v>0</v>
      </c>
      <c r="AD7292">
        <v>1</v>
      </c>
      <c r="AE7292">
        <v>1</v>
      </c>
      <c r="AF7292">
        <v>1</v>
      </c>
      <c r="AG7292">
        <v>1</v>
      </c>
      <c r="AH7292">
        <v>1</v>
      </c>
      <c r="AI7292">
        <v>1</v>
      </c>
      <c r="AJ7292">
        <v>1</v>
      </c>
      <c r="AK7292">
        <v>1</v>
      </c>
      <c r="AL7292">
        <v>1</v>
      </c>
      <c r="AM7292">
        <v>1</v>
      </c>
    </row>
    <row r="7293" spans="1:39" x14ac:dyDescent="0.2">
      <c r="A7293" t="str">
        <f>"7289"</f>
        <v>7289</v>
      </c>
      <c r="B7293" t="str">
        <f t="shared" si="405"/>
        <v>1</v>
      </c>
      <c r="C7293" t="str">
        <f t="shared" si="406"/>
        <v>146</v>
      </c>
      <c r="D7293" t="str">
        <f>"46"</f>
        <v>46</v>
      </c>
      <c r="E7293" t="str">
        <f>"1-146-46"</f>
        <v>1-146-46</v>
      </c>
      <c r="F7293" t="s">
        <v>65</v>
      </c>
      <c r="G7293" t="s">
        <v>66</v>
      </c>
      <c r="H7293" t="s">
        <v>67</v>
      </c>
      <c r="S7293">
        <v>1</v>
      </c>
      <c r="T7293">
        <v>0</v>
      </c>
      <c r="U7293">
        <v>0</v>
      </c>
      <c r="V7293">
        <v>0</v>
      </c>
      <c r="W7293">
        <v>1</v>
      </c>
      <c r="X7293">
        <v>0</v>
      </c>
      <c r="Y7293">
        <v>0</v>
      </c>
      <c r="Z7293">
        <v>1</v>
      </c>
      <c r="AA7293">
        <v>0</v>
      </c>
      <c r="AB7293">
        <v>0</v>
      </c>
      <c r="AC7293">
        <v>1</v>
      </c>
      <c r="AD7293">
        <v>1</v>
      </c>
      <c r="AE7293">
        <v>1</v>
      </c>
      <c r="AF7293">
        <v>1</v>
      </c>
      <c r="AG7293">
        <v>1</v>
      </c>
      <c r="AH7293">
        <v>1</v>
      </c>
      <c r="AI7293">
        <v>1</v>
      </c>
      <c r="AJ7293">
        <v>1</v>
      </c>
      <c r="AK7293">
        <v>1</v>
      </c>
      <c r="AL7293">
        <v>1</v>
      </c>
      <c r="AM7293">
        <v>1</v>
      </c>
    </row>
    <row r="7294" spans="1:39" x14ac:dyDescent="0.2">
      <c r="A7294" t="str">
        <f>"7290"</f>
        <v>7290</v>
      </c>
      <c r="B7294" t="str">
        <f t="shared" si="405"/>
        <v>1</v>
      </c>
      <c r="C7294" t="str">
        <f t="shared" si="406"/>
        <v>146</v>
      </c>
      <c r="D7294" t="str">
        <f>"29"</f>
        <v>29</v>
      </c>
      <c r="E7294" t="str">
        <f>"1-146-29"</f>
        <v>1-146-29</v>
      </c>
      <c r="F7294" t="s">
        <v>65</v>
      </c>
      <c r="G7294" t="s">
        <v>66</v>
      </c>
      <c r="H7294" t="s">
        <v>67</v>
      </c>
      <c r="S7294">
        <v>1</v>
      </c>
      <c r="T7294">
        <v>0</v>
      </c>
      <c r="U7294">
        <v>0</v>
      </c>
      <c r="V7294">
        <v>0</v>
      </c>
      <c r="W7294">
        <v>1</v>
      </c>
      <c r="X7294">
        <v>0</v>
      </c>
      <c r="Y7294">
        <v>0</v>
      </c>
      <c r="Z7294">
        <v>0</v>
      </c>
      <c r="AA7294">
        <v>1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1</v>
      </c>
      <c r="AM7294">
        <v>0</v>
      </c>
    </row>
    <row r="7295" spans="1:39" x14ac:dyDescent="0.2">
      <c r="A7295" t="str">
        <f>"7291"</f>
        <v>7291</v>
      </c>
      <c r="B7295" t="str">
        <f t="shared" si="405"/>
        <v>1</v>
      </c>
      <c r="C7295" t="str">
        <f t="shared" si="406"/>
        <v>146</v>
      </c>
      <c r="D7295" t="str">
        <f>"4"</f>
        <v>4</v>
      </c>
      <c r="E7295" t="str">
        <f>"1-146-4"</f>
        <v>1-146-4</v>
      </c>
      <c r="F7295" t="s">
        <v>65</v>
      </c>
      <c r="G7295" t="s">
        <v>66</v>
      </c>
      <c r="H7295" t="s">
        <v>67</v>
      </c>
      <c r="S7295">
        <v>1</v>
      </c>
      <c r="T7295">
        <v>0</v>
      </c>
      <c r="U7295">
        <v>0</v>
      </c>
      <c r="V7295">
        <v>0</v>
      </c>
      <c r="W7295">
        <v>1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</row>
    <row r="7296" spans="1:39" x14ac:dyDescent="0.2">
      <c r="A7296" t="str">
        <f>"7292"</f>
        <v>7292</v>
      </c>
      <c r="B7296" t="str">
        <f t="shared" si="405"/>
        <v>1</v>
      </c>
      <c r="C7296" t="str">
        <f t="shared" si="406"/>
        <v>146</v>
      </c>
      <c r="D7296" t="str">
        <f>"48"</f>
        <v>48</v>
      </c>
      <c r="E7296" t="str">
        <f>"1-146-48"</f>
        <v>1-146-48</v>
      </c>
      <c r="F7296" t="s">
        <v>65</v>
      </c>
      <c r="G7296" t="s">
        <v>66</v>
      </c>
      <c r="H7296" t="s">
        <v>67</v>
      </c>
      <c r="S7296">
        <v>1</v>
      </c>
      <c r="T7296">
        <v>0</v>
      </c>
      <c r="U7296">
        <v>0</v>
      </c>
      <c r="V7296">
        <v>0</v>
      </c>
      <c r="W7296">
        <v>1</v>
      </c>
      <c r="X7296">
        <v>0</v>
      </c>
      <c r="Y7296">
        <v>1</v>
      </c>
      <c r="Z7296">
        <v>0</v>
      </c>
      <c r="AA7296">
        <v>1</v>
      </c>
      <c r="AB7296">
        <v>0</v>
      </c>
      <c r="AC7296">
        <v>0</v>
      </c>
      <c r="AD7296">
        <v>1</v>
      </c>
      <c r="AE7296">
        <v>0</v>
      </c>
      <c r="AF7296">
        <v>1</v>
      </c>
      <c r="AG7296">
        <v>1</v>
      </c>
      <c r="AH7296">
        <v>1</v>
      </c>
      <c r="AI7296">
        <v>1</v>
      </c>
      <c r="AJ7296">
        <v>1</v>
      </c>
      <c r="AK7296">
        <v>1</v>
      </c>
      <c r="AL7296">
        <v>1</v>
      </c>
      <c r="AM7296">
        <v>0</v>
      </c>
    </row>
    <row r="7297" spans="1:39" x14ac:dyDescent="0.2">
      <c r="A7297" t="str">
        <f>"7293"</f>
        <v>7293</v>
      </c>
      <c r="B7297" t="str">
        <f t="shared" si="405"/>
        <v>1</v>
      </c>
      <c r="C7297" t="str">
        <f t="shared" si="406"/>
        <v>146</v>
      </c>
      <c r="D7297" t="str">
        <f>"30"</f>
        <v>30</v>
      </c>
      <c r="E7297" t="str">
        <f>"1-146-30"</f>
        <v>1-146-30</v>
      </c>
      <c r="F7297" t="s">
        <v>65</v>
      </c>
      <c r="G7297" t="s">
        <v>66</v>
      </c>
      <c r="H7297" t="s">
        <v>67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1</v>
      </c>
      <c r="Y7297">
        <v>0</v>
      </c>
      <c r="Z7297">
        <v>1</v>
      </c>
      <c r="AA7297">
        <v>0</v>
      </c>
      <c r="AB7297">
        <v>1</v>
      </c>
      <c r="AC7297">
        <v>0</v>
      </c>
      <c r="AD7297">
        <v>0</v>
      </c>
      <c r="AE7297">
        <v>0</v>
      </c>
      <c r="AF7297">
        <v>0</v>
      </c>
      <c r="AG7297">
        <v>1</v>
      </c>
      <c r="AH7297">
        <v>1</v>
      </c>
      <c r="AI7297">
        <v>1</v>
      </c>
      <c r="AJ7297">
        <v>1</v>
      </c>
      <c r="AK7297">
        <v>1</v>
      </c>
      <c r="AL7297">
        <v>1</v>
      </c>
      <c r="AM7297">
        <v>1</v>
      </c>
    </row>
    <row r="7298" spans="1:39" x14ac:dyDescent="0.2">
      <c r="A7298" t="str">
        <f>"7294"</f>
        <v>7294</v>
      </c>
      <c r="B7298" t="str">
        <f t="shared" si="405"/>
        <v>1</v>
      </c>
      <c r="C7298" t="str">
        <f t="shared" si="406"/>
        <v>146</v>
      </c>
      <c r="D7298" t="str">
        <f>"2"</f>
        <v>2</v>
      </c>
      <c r="E7298" t="str">
        <f>"1-146-2"</f>
        <v>1-146-2</v>
      </c>
      <c r="F7298" t="s">
        <v>65</v>
      </c>
      <c r="G7298" t="s">
        <v>66</v>
      </c>
      <c r="H7298" t="s">
        <v>67</v>
      </c>
      <c r="S7298">
        <v>0</v>
      </c>
      <c r="T7298">
        <v>1</v>
      </c>
      <c r="U7298">
        <v>0</v>
      </c>
      <c r="V7298">
        <v>0</v>
      </c>
      <c r="W7298">
        <v>1</v>
      </c>
      <c r="X7298">
        <v>0</v>
      </c>
      <c r="Y7298">
        <v>0</v>
      </c>
      <c r="Z7298">
        <v>1</v>
      </c>
      <c r="AA7298">
        <v>0</v>
      </c>
      <c r="AB7298">
        <v>0</v>
      </c>
      <c r="AC7298">
        <v>1</v>
      </c>
      <c r="AD7298">
        <v>1</v>
      </c>
      <c r="AE7298">
        <v>1</v>
      </c>
      <c r="AF7298">
        <v>1</v>
      </c>
      <c r="AG7298">
        <v>1</v>
      </c>
      <c r="AH7298">
        <v>1</v>
      </c>
      <c r="AI7298">
        <v>1</v>
      </c>
      <c r="AJ7298">
        <v>1</v>
      </c>
      <c r="AK7298">
        <v>1</v>
      </c>
      <c r="AL7298">
        <v>1</v>
      </c>
      <c r="AM7298">
        <v>1</v>
      </c>
    </row>
    <row r="7299" spans="1:39" x14ac:dyDescent="0.2">
      <c r="A7299" t="str">
        <f>"7295"</f>
        <v>7295</v>
      </c>
      <c r="B7299" t="str">
        <f t="shared" si="405"/>
        <v>1</v>
      </c>
      <c r="C7299" t="str">
        <f t="shared" si="406"/>
        <v>146</v>
      </c>
      <c r="D7299" t="str">
        <f>"49"</f>
        <v>49</v>
      </c>
      <c r="E7299" t="str">
        <f>"1-146-49"</f>
        <v>1-146-49</v>
      </c>
      <c r="F7299" t="s">
        <v>65</v>
      </c>
      <c r="G7299" t="s">
        <v>66</v>
      </c>
      <c r="H7299" t="s">
        <v>67</v>
      </c>
      <c r="S7299">
        <v>1</v>
      </c>
      <c r="T7299">
        <v>0</v>
      </c>
      <c r="U7299">
        <v>0</v>
      </c>
      <c r="V7299">
        <v>0</v>
      </c>
      <c r="W7299">
        <v>1</v>
      </c>
      <c r="X7299">
        <v>0</v>
      </c>
      <c r="Y7299">
        <v>1</v>
      </c>
      <c r="Z7299">
        <v>0</v>
      </c>
      <c r="AA7299">
        <v>1</v>
      </c>
      <c r="AB7299">
        <v>0</v>
      </c>
      <c r="AC7299">
        <v>0</v>
      </c>
      <c r="AD7299">
        <v>1</v>
      </c>
      <c r="AE7299">
        <v>0</v>
      </c>
      <c r="AF7299">
        <v>1</v>
      </c>
      <c r="AG7299">
        <v>1</v>
      </c>
      <c r="AH7299">
        <v>1</v>
      </c>
      <c r="AI7299">
        <v>1</v>
      </c>
      <c r="AJ7299">
        <v>1</v>
      </c>
      <c r="AK7299">
        <v>1</v>
      </c>
      <c r="AL7299">
        <v>1</v>
      </c>
      <c r="AM7299">
        <v>0</v>
      </c>
    </row>
    <row r="7300" spans="1:39" x14ac:dyDescent="0.2">
      <c r="A7300" t="str">
        <f>"7296"</f>
        <v>7296</v>
      </c>
      <c r="B7300" t="str">
        <f t="shared" si="405"/>
        <v>1</v>
      </c>
      <c r="C7300" t="str">
        <f t="shared" si="406"/>
        <v>146</v>
      </c>
      <c r="D7300" t="str">
        <f>"31"</f>
        <v>31</v>
      </c>
      <c r="E7300" t="str">
        <f>"1-146-31"</f>
        <v>1-146-31</v>
      </c>
      <c r="F7300" t="s">
        <v>65</v>
      </c>
      <c r="G7300" t="s">
        <v>66</v>
      </c>
      <c r="H7300" t="s">
        <v>67</v>
      </c>
      <c r="S7300">
        <v>1</v>
      </c>
      <c r="T7300">
        <v>0</v>
      </c>
      <c r="U7300">
        <v>0</v>
      </c>
      <c r="V7300">
        <v>0</v>
      </c>
      <c r="W7300">
        <v>1</v>
      </c>
      <c r="X7300">
        <v>0</v>
      </c>
      <c r="Y7300">
        <v>1</v>
      </c>
      <c r="Z7300">
        <v>0</v>
      </c>
      <c r="AA7300">
        <v>0</v>
      </c>
      <c r="AB7300">
        <v>0</v>
      </c>
      <c r="AC7300">
        <v>0</v>
      </c>
      <c r="AD7300">
        <v>1</v>
      </c>
      <c r="AE7300">
        <v>1</v>
      </c>
      <c r="AF7300">
        <v>1</v>
      </c>
      <c r="AG7300">
        <v>1</v>
      </c>
      <c r="AH7300">
        <v>1</v>
      </c>
      <c r="AI7300">
        <v>1</v>
      </c>
      <c r="AJ7300">
        <v>1</v>
      </c>
      <c r="AK7300">
        <v>1</v>
      </c>
      <c r="AL7300">
        <v>1</v>
      </c>
      <c r="AM7300">
        <v>1</v>
      </c>
    </row>
    <row r="7301" spans="1:39" x14ac:dyDescent="0.2">
      <c r="A7301" t="str">
        <f>"7297"</f>
        <v>7297</v>
      </c>
      <c r="B7301" t="str">
        <f t="shared" si="405"/>
        <v>1</v>
      </c>
      <c r="C7301" t="str">
        <f t="shared" si="406"/>
        <v>146</v>
      </c>
      <c r="D7301" t="str">
        <f>"9"</f>
        <v>9</v>
      </c>
      <c r="E7301" t="str">
        <f>"1-146-9"</f>
        <v>1-146-9</v>
      </c>
      <c r="F7301" t="s">
        <v>65</v>
      </c>
      <c r="G7301" t="s">
        <v>66</v>
      </c>
      <c r="H7301" t="s">
        <v>67</v>
      </c>
      <c r="S7301">
        <v>1</v>
      </c>
      <c r="T7301">
        <v>0</v>
      </c>
      <c r="U7301">
        <v>0</v>
      </c>
      <c r="V7301">
        <v>0</v>
      </c>
      <c r="W7301">
        <v>1</v>
      </c>
      <c r="X7301">
        <v>0</v>
      </c>
      <c r="Y7301">
        <v>0</v>
      </c>
      <c r="Z7301">
        <v>1</v>
      </c>
      <c r="AA7301">
        <v>0</v>
      </c>
      <c r="AB7301">
        <v>1</v>
      </c>
      <c r="AC7301">
        <v>0</v>
      </c>
      <c r="AD7301">
        <v>1</v>
      </c>
      <c r="AE7301">
        <v>1</v>
      </c>
      <c r="AF7301">
        <v>1</v>
      </c>
      <c r="AG7301">
        <v>1</v>
      </c>
      <c r="AH7301">
        <v>1</v>
      </c>
      <c r="AI7301">
        <v>1</v>
      </c>
      <c r="AJ7301">
        <v>1</v>
      </c>
      <c r="AK7301">
        <v>1</v>
      </c>
      <c r="AL7301">
        <v>1</v>
      </c>
      <c r="AM7301">
        <v>1</v>
      </c>
    </row>
    <row r="7302" spans="1:39" x14ac:dyDescent="0.2">
      <c r="A7302" t="str">
        <f>"7298"</f>
        <v>7298</v>
      </c>
      <c r="B7302" t="str">
        <f t="shared" si="405"/>
        <v>1</v>
      </c>
      <c r="C7302" t="str">
        <f t="shared" si="406"/>
        <v>146</v>
      </c>
      <c r="D7302" t="str">
        <f>"3"</f>
        <v>3</v>
      </c>
      <c r="E7302" t="str">
        <f>"1-146-3"</f>
        <v>1-146-3</v>
      </c>
      <c r="F7302" t="s">
        <v>65</v>
      </c>
      <c r="G7302" t="s">
        <v>66</v>
      </c>
      <c r="H7302" t="s">
        <v>67</v>
      </c>
      <c r="S7302">
        <v>1</v>
      </c>
      <c r="T7302">
        <v>0</v>
      </c>
      <c r="U7302">
        <v>0</v>
      </c>
      <c r="V7302">
        <v>0</v>
      </c>
      <c r="W7302">
        <v>1</v>
      </c>
      <c r="X7302">
        <v>0</v>
      </c>
      <c r="Y7302">
        <v>1</v>
      </c>
      <c r="Z7302">
        <v>0</v>
      </c>
      <c r="AA7302">
        <v>1</v>
      </c>
      <c r="AB7302">
        <v>0</v>
      </c>
      <c r="AC7302">
        <v>0</v>
      </c>
      <c r="AD7302">
        <v>1</v>
      </c>
      <c r="AE7302">
        <v>1</v>
      </c>
      <c r="AF7302">
        <v>1</v>
      </c>
      <c r="AG7302">
        <v>0</v>
      </c>
      <c r="AH7302">
        <v>1</v>
      </c>
      <c r="AI7302">
        <v>0</v>
      </c>
      <c r="AJ7302">
        <v>0</v>
      </c>
      <c r="AK7302">
        <v>1</v>
      </c>
      <c r="AL7302">
        <v>1</v>
      </c>
      <c r="AM7302">
        <v>1</v>
      </c>
    </row>
    <row r="7303" spans="1:39" x14ac:dyDescent="0.2">
      <c r="A7303" t="str">
        <f>"7299"</f>
        <v>7299</v>
      </c>
      <c r="B7303" t="str">
        <f t="shared" si="405"/>
        <v>1</v>
      </c>
      <c r="C7303" t="str">
        <f t="shared" si="406"/>
        <v>146</v>
      </c>
      <c r="D7303" t="str">
        <f>"25"</f>
        <v>25</v>
      </c>
      <c r="E7303" t="str">
        <f>"1-146-25"</f>
        <v>1-146-25</v>
      </c>
      <c r="F7303" t="s">
        <v>65</v>
      </c>
      <c r="G7303" t="s">
        <v>66</v>
      </c>
      <c r="H7303" t="s">
        <v>67</v>
      </c>
      <c r="S7303">
        <v>1</v>
      </c>
      <c r="T7303">
        <v>0</v>
      </c>
      <c r="U7303">
        <v>0</v>
      </c>
      <c r="V7303">
        <v>0</v>
      </c>
      <c r="W7303">
        <v>1</v>
      </c>
      <c r="X7303">
        <v>0</v>
      </c>
      <c r="Y7303">
        <v>0</v>
      </c>
      <c r="Z7303">
        <v>1</v>
      </c>
      <c r="AA7303">
        <v>1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</row>
    <row r="7304" spans="1:39" x14ac:dyDescent="0.2">
      <c r="A7304" t="str">
        <f>"7300"</f>
        <v>7300</v>
      </c>
      <c r="B7304" t="str">
        <f t="shared" si="405"/>
        <v>1</v>
      </c>
      <c r="C7304" t="str">
        <f t="shared" si="406"/>
        <v>146</v>
      </c>
      <c r="D7304" t="str">
        <f>"41"</f>
        <v>41</v>
      </c>
      <c r="E7304" t="str">
        <f>"1-146-41"</f>
        <v>1-146-41</v>
      </c>
      <c r="F7304" t="s">
        <v>65</v>
      </c>
      <c r="G7304" t="s">
        <v>66</v>
      </c>
      <c r="H7304" t="s">
        <v>67</v>
      </c>
      <c r="S7304">
        <v>1</v>
      </c>
      <c r="T7304">
        <v>0</v>
      </c>
      <c r="U7304">
        <v>0</v>
      </c>
      <c r="V7304">
        <v>0</v>
      </c>
      <c r="W7304">
        <v>1</v>
      </c>
      <c r="X7304">
        <v>0</v>
      </c>
      <c r="Y7304">
        <v>0</v>
      </c>
      <c r="Z7304">
        <v>1</v>
      </c>
      <c r="AA7304">
        <v>0</v>
      </c>
      <c r="AB7304">
        <v>0</v>
      </c>
      <c r="AC7304">
        <v>1</v>
      </c>
      <c r="AD7304">
        <v>1</v>
      </c>
      <c r="AE7304">
        <v>1</v>
      </c>
      <c r="AF7304">
        <v>1</v>
      </c>
      <c r="AG7304">
        <v>1</v>
      </c>
      <c r="AH7304">
        <v>1</v>
      </c>
      <c r="AI7304">
        <v>1</v>
      </c>
      <c r="AJ7304">
        <v>1</v>
      </c>
      <c r="AK7304">
        <v>1</v>
      </c>
      <c r="AL7304">
        <v>1</v>
      </c>
      <c r="AM7304">
        <v>1</v>
      </c>
    </row>
    <row r="7305" spans="1:39" x14ac:dyDescent="0.2">
      <c r="A7305" t="str">
        <f>"7301"</f>
        <v>7301</v>
      </c>
      <c r="B7305" t="str">
        <f t="shared" si="405"/>
        <v>1</v>
      </c>
      <c r="C7305" t="str">
        <f t="shared" ref="C7305:C7336" si="407">"147"</f>
        <v>147</v>
      </c>
      <c r="D7305" t="str">
        <f>"40"</f>
        <v>40</v>
      </c>
      <c r="E7305" t="str">
        <f>"1-147-40"</f>
        <v>1-147-40</v>
      </c>
      <c r="F7305" t="s">
        <v>65</v>
      </c>
      <c r="G7305" t="s">
        <v>66</v>
      </c>
      <c r="H7305" t="s">
        <v>67</v>
      </c>
      <c r="S7305">
        <v>1</v>
      </c>
      <c r="T7305">
        <v>0</v>
      </c>
      <c r="U7305">
        <v>0</v>
      </c>
      <c r="V7305">
        <v>0</v>
      </c>
      <c r="W7305">
        <v>1</v>
      </c>
      <c r="X7305">
        <v>0</v>
      </c>
      <c r="Y7305">
        <v>1</v>
      </c>
      <c r="Z7305">
        <v>0</v>
      </c>
      <c r="AA7305">
        <v>1</v>
      </c>
      <c r="AB7305">
        <v>0</v>
      </c>
      <c r="AC7305">
        <v>0</v>
      </c>
      <c r="AD7305">
        <v>1</v>
      </c>
      <c r="AE7305">
        <v>1</v>
      </c>
      <c r="AF7305">
        <v>1</v>
      </c>
      <c r="AG7305">
        <v>1</v>
      </c>
      <c r="AH7305">
        <v>0</v>
      </c>
      <c r="AI7305">
        <v>0</v>
      </c>
      <c r="AJ7305">
        <v>1</v>
      </c>
      <c r="AK7305">
        <v>1</v>
      </c>
      <c r="AL7305">
        <v>1</v>
      </c>
      <c r="AM7305">
        <v>0</v>
      </c>
    </row>
    <row r="7306" spans="1:39" x14ac:dyDescent="0.2">
      <c r="A7306" t="str">
        <f>"7302"</f>
        <v>7302</v>
      </c>
      <c r="B7306" t="str">
        <f t="shared" si="405"/>
        <v>1</v>
      </c>
      <c r="C7306" t="str">
        <f t="shared" si="407"/>
        <v>147</v>
      </c>
      <c r="D7306" t="str">
        <f>"39"</f>
        <v>39</v>
      </c>
      <c r="E7306" t="str">
        <f>"1-147-39"</f>
        <v>1-147-39</v>
      </c>
      <c r="F7306" t="s">
        <v>65</v>
      </c>
      <c r="G7306" t="s">
        <v>66</v>
      </c>
      <c r="H7306" t="s">
        <v>67</v>
      </c>
      <c r="S7306">
        <v>1</v>
      </c>
      <c r="T7306">
        <v>0</v>
      </c>
      <c r="U7306">
        <v>0</v>
      </c>
      <c r="V7306">
        <v>0</v>
      </c>
      <c r="W7306">
        <v>1</v>
      </c>
      <c r="X7306">
        <v>0</v>
      </c>
      <c r="Y7306">
        <v>1</v>
      </c>
      <c r="Z7306">
        <v>0</v>
      </c>
      <c r="AA7306">
        <v>1</v>
      </c>
      <c r="AB7306">
        <v>0</v>
      </c>
      <c r="AC7306">
        <v>0</v>
      </c>
      <c r="AD7306">
        <v>1</v>
      </c>
      <c r="AE7306">
        <v>1</v>
      </c>
      <c r="AF7306">
        <v>1</v>
      </c>
      <c r="AG7306">
        <v>1</v>
      </c>
      <c r="AH7306">
        <v>0</v>
      </c>
      <c r="AI7306">
        <v>0</v>
      </c>
      <c r="AJ7306">
        <v>1</v>
      </c>
      <c r="AK7306">
        <v>1</v>
      </c>
      <c r="AL7306">
        <v>1</v>
      </c>
      <c r="AM7306">
        <v>0</v>
      </c>
    </row>
    <row r="7307" spans="1:39" x14ac:dyDescent="0.2">
      <c r="A7307" t="str">
        <f>"7303"</f>
        <v>7303</v>
      </c>
      <c r="B7307" t="str">
        <f t="shared" si="405"/>
        <v>1</v>
      </c>
      <c r="C7307" t="str">
        <f t="shared" si="407"/>
        <v>147</v>
      </c>
      <c r="D7307" t="str">
        <f>"24"</f>
        <v>24</v>
      </c>
      <c r="E7307" t="str">
        <f>"1-147-24"</f>
        <v>1-147-24</v>
      </c>
      <c r="F7307" t="s">
        <v>65</v>
      </c>
      <c r="G7307" t="s">
        <v>66</v>
      </c>
      <c r="H7307" t="s">
        <v>67</v>
      </c>
      <c r="S7307">
        <v>1</v>
      </c>
      <c r="T7307">
        <v>0</v>
      </c>
      <c r="U7307">
        <v>0</v>
      </c>
      <c r="V7307">
        <v>0</v>
      </c>
      <c r="W7307">
        <v>1</v>
      </c>
      <c r="X7307">
        <v>0</v>
      </c>
      <c r="Y7307">
        <v>1</v>
      </c>
      <c r="Z7307">
        <v>0</v>
      </c>
      <c r="AA7307">
        <v>0</v>
      </c>
      <c r="AB7307">
        <v>1</v>
      </c>
      <c r="AC7307">
        <v>0</v>
      </c>
      <c r="AD7307">
        <v>1</v>
      </c>
      <c r="AE7307">
        <v>1</v>
      </c>
      <c r="AF7307">
        <v>1</v>
      </c>
      <c r="AG7307">
        <v>1</v>
      </c>
      <c r="AH7307">
        <v>1</v>
      </c>
      <c r="AI7307">
        <v>1</v>
      </c>
      <c r="AJ7307">
        <v>1</v>
      </c>
      <c r="AK7307">
        <v>1</v>
      </c>
      <c r="AL7307">
        <v>1</v>
      </c>
      <c r="AM7307">
        <v>1</v>
      </c>
    </row>
    <row r="7308" spans="1:39" x14ac:dyDescent="0.2">
      <c r="A7308" t="str">
        <f>"7304"</f>
        <v>7304</v>
      </c>
      <c r="B7308" t="str">
        <f t="shared" si="405"/>
        <v>1</v>
      </c>
      <c r="C7308" t="str">
        <f t="shared" si="407"/>
        <v>147</v>
      </c>
      <c r="D7308" t="str">
        <f>"15"</f>
        <v>15</v>
      </c>
      <c r="E7308" t="str">
        <f>"1-147-15"</f>
        <v>1-147-15</v>
      </c>
      <c r="F7308" t="s">
        <v>65</v>
      </c>
      <c r="G7308" t="s">
        <v>66</v>
      </c>
      <c r="H7308" t="s">
        <v>67</v>
      </c>
      <c r="S7308">
        <v>0</v>
      </c>
      <c r="T7308">
        <v>1</v>
      </c>
      <c r="U7308">
        <v>0</v>
      </c>
      <c r="V7308">
        <v>0</v>
      </c>
      <c r="W7308">
        <v>0</v>
      </c>
      <c r="X7308">
        <v>1</v>
      </c>
      <c r="Y7308">
        <v>1</v>
      </c>
      <c r="Z7308">
        <v>0</v>
      </c>
      <c r="AA7308">
        <v>1</v>
      </c>
      <c r="AB7308">
        <v>0</v>
      </c>
      <c r="AC7308">
        <v>0</v>
      </c>
      <c r="AD7308">
        <v>1</v>
      </c>
      <c r="AE7308">
        <v>1</v>
      </c>
      <c r="AF7308">
        <v>1</v>
      </c>
      <c r="AG7308">
        <v>1</v>
      </c>
      <c r="AH7308">
        <v>1</v>
      </c>
      <c r="AI7308">
        <v>1</v>
      </c>
      <c r="AJ7308">
        <v>1</v>
      </c>
      <c r="AK7308">
        <v>1</v>
      </c>
      <c r="AL7308">
        <v>1</v>
      </c>
      <c r="AM7308">
        <v>1</v>
      </c>
    </row>
    <row r="7309" spans="1:39" x14ac:dyDescent="0.2">
      <c r="A7309" t="str">
        <f>"7305"</f>
        <v>7305</v>
      </c>
      <c r="B7309" t="str">
        <f t="shared" si="405"/>
        <v>1</v>
      </c>
      <c r="C7309" t="str">
        <f t="shared" si="407"/>
        <v>147</v>
      </c>
      <c r="D7309" t="str">
        <f>"1"</f>
        <v>1</v>
      </c>
      <c r="E7309" t="str">
        <f>"1-147-1"</f>
        <v>1-147-1</v>
      </c>
      <c r="F7309" t="s">
        <v>65</v>
      </c>
      <c r="G7309" t="s">
        <v>66</v>
      </c>
      <c r="H7309" t="s">
        <v>67</v>
      </c>
      <c r="S7309">
        <v>1</v>
      </c>
      <c r="T7309">
        <v>0</v>
      </c>
      <c r="U7309">
        <v>0</v>
      </c>
      <c r="V7309">
        <v>0</v>
      </c>
      <c r="W7309">
        <v>1</v>
      </c>
      <c r="X7309">
        <v>0</v>
      </c>
      <c r="Y7309">
        <v>0</v>
      </c>
      <c r="Z7309">
        <v>1</v>
      </c>
      <c r="AA7309">
        <v>1</v>
      </c>
      <c r="AB7309">
        <v>0</v>
      </c>
      <c r="AC7309">
        <v>0</v>
      </c>
      <c r="AD7309">
        <v>1</v>
      </c>
      <c r="AE7309">
        <v>1</v>
      </c>
      <c r="AF7309">
        <v>1</v>
      </c>
      <c r="AG7309">
        <v>1</v>
      </c>
      <c r="AH7309">
        <v>1</v>
      </c>
      <c r="AI7309">
        <v>1</v>
      </c>
      <c r="AJ7309">
        <v>1</v>
      </c>
      <c r="AK7309">
        <v>1</v>
      </c>
      <c r="AL7309">
        <v>1</v>
      </c>
      <c r="AM7309">
        <v>1</v>
      </c>
    </row>
    <row r="7310" spans="1:39" x14ac:dyDescent="0.2">
      <c r="A7310" t="str">
        <f>"7306"</f>
        <v>7306</v>
      </c>
      <c r="B7310" t="str">
        <f t="shared" si="405"/>
        <v>1</v>
      </c>
      <c r="C7310" t="str">
        <f t="shared" si="407"/>
        <v>147</v>
      </c>
      <c r="D7310" t="str">
        <f>"36"</f>
        <v>36</v>
      </c>
      <c r="E7310" t="str">
        <f>"1-147-36"</f>
        <v>1-147-36</v>
      </c>
      <c r="F7310" t="s">
        <v>65</v>
      </c>
      <c r="G7310" t="s">
        <v>66</v>
      </c>
      <c r="H7310" t="s">
        <v>67</v>
      </c>
      <c r="S7310">
        <v>1</v>
      </c>
      <c r="T7310">
        <v>0</v>
      </c>
      <c r="U7310">
        <v>0</v>
      </c>
      <c r="V7310">
        <v>0</v>
      </c>
      <c r="W7310">
        <v>1</v>
      </c>
      <c r="X7310">
        <v>0</v>
      </c>
      <c r="Y7310">
        <v>1</v>
      </c>
      <c r="Z7310">
        <v>0</v>
      </c>
      <c r="AA7310">
        <v>0</v>
      </c>
      <c r="AB7310">
        <v>0</v>
      </c>
      <c r="AC7310">
        <v>0</v>
      </c>
      <c r="AD7310">
        <v>1</v>
      </c>
      <c r="AE7310">
        <v>1</v>
      </c>
      <c r="AF7310">
        <v>1</v>
      </c>
      <c r="AG7310">
        <v>1</v>
      </c>
      <c r="AH7310">
        <v>0</v>
      </c>
      <c r="AI7310">
        <v>1</v>
      </c>
      <c r="AJ7310">
        <v>1</v>
      </c>
      <c r="AK7310">
        <v>0</v>
      </c>
      <c r="AL7310">
        <v>1</v>
      </c>
      <c r="AM7310">
        <v>1</v>
      </c>
    </row>
    <row r="7311" spans="1:39" x14ac:dyDescent="0.2">
      <c r="A7311" t="str">
        <f>"7307"</f>
        <v>7307</v>
      </c>
      <c r="B7311" t="str">
        <f t="shared" si="405"/>
        <v>1</v>
      </c>
      <c r="C7311" t="str">
        <f t="shared" si="407"/>
        <v>147</v>
      </c>
      <c r="D7311" t="str">
        <f>"35"</f>
        <v>35</v>
      </c>
      <c r="E7311" t="str">
        <f>"1-147-35"</f>
        <v>1-147-35</v>
      </c>
      <c r="F7311" t="s">
        <v>65</v>
      </c>
      <c r="G7311" t="s">
        <v>66</v>
      </c>
      <c r="H7311" t="s">
        <v>67</v>
      </c>
      <c r="S7311">
        <v>0</v>
      </c>
      <c r="T7311">
        <v>1</v>
      </c>
      <c r="U7311">
        <v>0</v>
      </c>
      <c r="V7311">
        <v>0</v>
      </c>
      <c r="W7311">
        <v>0</v>
      </c>
      <c r="X7311">
        <v>1</v>
      </c>
      <c r="Y7311">
        <v>0</v>
      </c>
      <c r="Z7311">
        <v>1</v>
      </c>
      <c r="AA7311">
        <v>0</v>
      </c>
      <c r="AB7311">
        <v>0</v>
      </c>
      <c r="AC7311">
        <v>1</v>
      </c>
      <c r="AD7311">
        <v>1</v>
      </c>
      <c r="AE7311">
        <v>1</v>
      </c>
      <c r="AF7311">
        <v>1</v>
      </c>
      <c r="AG7311">
        <v>1</v>
      </c>
      <c r="AH7311">
        <v>1</v>
      </c>
      <c r="AI7311">
        <v>1</v>
      </c>
      <c r="AJ7311">
        <v>1</v>
      </c>
      <c r="AK7311">
        <v>1</v>
      </c>
      <c r="AL7311">
        <v>1</v>
      </c>
      <c r="AM7311">
        <v>1</v>
      </c>
    </row>
    <row r="7312" spans="1:39" x14ac:dyDescent="0.2">
      <c r="A7312" t="str">
        <f>"7308"</f>
        <v>7308</v>
      </c>
      <c r="B7312" t="str">
        <f t="shared" si="405"/>
        <v>1</v>
      </c>
      <c r="C7312" t="str">
        <f t="shared" si="407"/>
        <v>147</v>
      </c>
      <c r="D7312" t="str">
        <f>"23"</f>
        <v>23</v>
      </c>
      <c r="E7312" t="str">
        <f>"1-147-23"</f>
        <v>1-147-23</v>
      </c>
      <c r="F7312" t="s">
        <v>65</v>
      </c>
      <c r="G7312" t="s">
        <v>66</v>
      </c>
      <c r="H7312" t="s">
        <v>67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1</v>
      </c>
      <c r="Y7312">
        <v>0</v>
      </c>
      <c r="Z7312">
        <v>0</v>
      </c>
      <c r="AA7312">
        <v>0</v>
      </c>
      <c r="AB7312">
        <v>0</v>
      </c>
      <c r="AC7312">
        <v>1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</row>
    <row r="7313" spans="1:39" x14ac:dyDescent="0.2">
      <c r="A7313" t="str">
        <f>"7309"</f>
        <v>7309</v>
      </c>
      <c r="B7313" t="str">
        <f t="shared" si="405"/>
        <v>1</v>
      </c>
      <c r="C7313" t="str">
        <f t="shared" si="407"/>
        <v>147</v>
      </c>
      <c r="D7313" t="str">
        <f>"16"</f>
        <v>16</v>
      </c>
      <c r="E7313" t="str">
        <f>"1-147-16"</f>
        <v>1-147-16</v>
      </c>
      <c r="F7313" t="s">
        <v>65</v>
      </c>
      <c r="G7313" t="s">
        <v>66</v>
      </c>
      <c r="H7313" t="s">
        <v>67</v>
      </c>
      <c r="S7313">
        <v>0</v>
      </c>
      <c r="T7313">
        <v>1</v>
      </c>
      <c r="U7313">
        <v>0</v>
      </c>
      <c r="V7313">
        <v>0</v>
      </c>
      <c r="W7313">
        <v>0</v>
      </c>
      <c r="X7313">
        <v>1</v>
      </c>
      <c r="Y7313">
        <v>1</v>
      </c>
      <c r="Z7313">
        <v>0</v>
      </c>
      <c r="AA7313">
        <v>0</v>
      </c>
      <c r="AB7313">
        <v>0</v>
      </c>
      <c r="AC7313">
        <v>1</v>
      </c>
      <c r="AD7313">
        <v>1</v>
      </c>
      <c r="AE7313">
        <v>1</v>
      </c>
      <c r="AF7313">
        <v>1</v>
      </c>
      <c r="AG7313">
        <v>1</v>
      </c>
      <c r="AH7313">
        <v>1</v>
      </c>
      <c r="AI7313">
        <v>1</v>
      </c>
      <c r="AJ7313">
        <v>1</v>
      </c>
      <c r="AK7313">
        <v>1</v>
      </c>
      <c r="AL7313">
        <v>1</v>
      </c>
      <c r="AM7313">
        <v>1</v>
      </c>
    </row>
    <row r="7314" spans="1:39" x14ac:dyDescent="0.2">
      <c r="A7314" t="str">
        <f>"7310"</f>
        <v>7310</v>
      </c>
      <c r="B7314" t="str">
        <f t="shared" si="405"/>
        <v>1</v>
      </c>
      <c r="C7314" t="str">
        <f t="shared" si="407"/>
        <v>147</v>
      </c>
      <c r="D7314" t="str">
        <f>"7"</f>
        <v>7</v>
      </c>
      <c r="E7314" t="str">
        <f>"1-147-7"</f>
        <v>1-147-7</v>
      </c>
      <c r="F7314" t="s">
        <v>65</v>
      </c>
      <c r="G7314" t="s">
        <v>66</v>
      </c>
      <c r="H7314" t="s">
        <v>67</v>
      </c>
      <c r="S7314">
        <v>1</v>
      </c>
      <c r="T7314">
        <v>0</v>
      </c>
      <c r="U7314">
        <v>0</v>
      </c>
      <c r="V7314">
        <v>0</v>
      </c>
      <c r="W7314">
        <v>1</v>
      </c>
      <c r="X7314">
        <v>0</v>
      </c>
      <c r="Y7314">
        <v>1</v>
      </c>
      <c r="Z7314">
        <v>0</v>
      </c>
      <c r="AA7314">
        <v>0</v>
      </c>
      <c r="AB7314">
        <v>0</v>
      </c>
      <c r="AC7314">
        <v>1</v>
      </c>
      <c r="AD7314">
        <v>1</v>
      </c>
      <c r="AE7314">
        <v>1</v>
      </c>
      <c r="AF7314">
        <v>1</v>
      </c>
      <c r="AG7314">
        <v>1</v>
      </c>
      <c r="AH7314">
        <v>1</v>
      </c>
      <c r="AI7314">
        <v>1</v>
      </c>
      <c r="AJ7314">
        <v>1</v>
      </c>
      <c r="AK7314">
        <v>1</v>
      </c>
      <c r="AL7314">
        <v>1</v>
      </c>
      <c r="AM7314">
        <v>1</v>
      </c>
    </row>
    <row r="7315" spans="1:39" x14ac:dyDescent="0.2">
      <c r="A7315" t="str">
        <f>"7311"</f>
        <v>7311</v>
      </c>
      <c r="B7315" t="str">
        <f t="shared" si="405"/>
        <v>1</v>
      </c>
      <c r="C7315" t="str">
        <f t="shared" si="407"/>
        <v>147</v>
      </c>
      <c r="D7315" t="str">
        <f>"34"</f>
        <v>34</v>
      </c>
      <c r="E7315" t="str">
        <f>"1-147-34"</f>
        <v>1-147-34</v>
      </c>
      <c r="F7315" t="s">
        <v>65</v>
      </c>
      <c r="G7315" t="s">
        <v>66</v>
      </c>
      <c r="H7315" t="s">
        <v>67</v>
      </c>
      <c r="S7315">
        <v>1</v>
      </c>
      <c r="T7315">
        <v>0</v>
      </c>
      <c r="U7315">
        <v>0</v>
      </c>
      <c r="V7315">
        <v>0</v>
      </c>
      <c r="W7315">
        <v>1</v>
      </c>
      <c r="X7315">
        <v>0</v>
      </c>
      <c r="Y7315">
        <v>1</v>
      </c>
      <c r="Z7315">
        <v>0</v>
      </c>
      <c r="AA7315">
        <v>0</v>
      </c>
      <c r="AB7315">
        <v>0</v>
      </c>
      <c r="AC7315">
        <v>0</v>
      </c>
      <c r="AD7315">
        <v>1</v>
      </c>
      <c r="AE7315">
        <v>1</v>
      </c>
      <c r="AF7315">
        <v>1</v>
      </c>
      <c r="AG7315">
        <v>1</v>
      </c>
      <c r="AH7315">
        <v>1</v>
      </c>
      <c r="AI7315">
        <v>1</v>
      </c>
      <c r="AJ7315">
        <v>1</v>
      </c>
      <c r="AK7315">
        <v>1</v>
      </c>
      <c r="AL7315">
        <v>1</v>
      </c>
      <c r="AM7315">
        <v>1</v>
      </c>
    </row>
    <row r="7316" spans="1:39" x14ac:dyDescent="0.2">
      <c r="A7316" t="str">
        <f>"7312"</f>
        <v>7312</v>
      </c>
      <c r="B7316" t="str">
        <f t="shared" si="405"/>
        <v>1</v>
      </c>
      <c r="C7316" t="str">
        <f t="shared" si="407"/>
        <v>147</v>
      </c>
      <c r="D7316" t="str">
        <f>"33"</f>
        <v>33</v>
      </c>
      <c r="E7316" t="str">
        <f>"1-147-33"</f>
        <v>1-147-33</v>
      </c>
      <c r="F7316" t="s">
        <v>65</v>
      </c>
      <c r="G7316" t="s">
        <v>66</v>
      </c>
      <c r="H7316" t="s">
        <v>67</v>
      </c>
      <c r="S7316">
        <v>1</v>
      </c>
      <c r="T7316">
        <v>0</v>
      </c>
      <c r="U7316">
        <v>0</v>
      </c>
      <c r="V7316">
        <v>0</v>
      </c>
      <c r="W7316">
        <v>1</v>
      </c>
      <c r="X7316">
        <v>0</v>
      </c>
      <c r="Y7316">
        <v>1</v>
      </c>
      <c r="Z7316">
        <v>0</v>
      </c>
      <c r="AA7316">
        <v>1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1</v>
      </c>
      <c r="AM7316">
        <v>0</v>
      </c>
    </row>
    <row r="7317" spans="1:39" x14ac:dyDescent="0.2">
      <c r="A7317" t="str">
        <f>"7313"</f>
        <v>7313</v>
      </c>
      <c r="B7317" t="str">
        <f t="shared" si="405"/>
        <v>1</v>
      </c>
      <c r="C7317" t="str">
        <f t="shared" si="407"/>
        <v>147</v>
      </c>
      <c r="D7317" t="str">
        <f>"19"</f>
        <v>19</v>
      </c>
      <c r="E7317" t="str">
        <f>"1-147-19"</f>
        <v>1-147-19</v>
      </c>
      <c r="F7317" t="s">
        <v>65</v>
      </c>
      <c r="G7317" t="s">
        <v>66</v>
      </c>
      <c r="H7317" t="s">
        <v>67</v>
      </c>
      <c r="S7317">
        <v>1</v>
      </c>
      <c r="T7317">
        <v>0</v>
      </c>
      <c r="U7317">
        <v>0</v>
      </c>
      <c r="V7317">
        <v>0</v>
      </c>
      <c r="W7317">
        <v>1</v>
      </c>
      <c r="X7317">
        <v>0</v>
      </c>
      <c r="Y7317">
        <v>1</v>
      </c>
      <c r="Z7317">
        <v>0</v>
      </c>
      <c r="AA7317">
        <v>1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1</v>
      </c>
      <c r="AJ7317">
        <v>0</v>
      </c>
      <c r="AK7317">
        <v>0</v>
      </c>
      <c r="AL7317">
        <v>0</v>
      </c>
      <c r="AM7317">
        <v>1</v>
      </c>
    </row>
    <row r="7318" spans="1:39" x14ac:dyDescent="0.2">
      <c r="A7318" t="str">
        <f>"7314"</f>
        <v>7314</v>
      </c>
      <c r="B7318" t="str">
        <f t="shared" si="405"/>
        <v>1</v>
      </c>
      <c r="C7318" t="str">
        <f t="shared" si="407"/>
        <v>147</v>
      </c>
      <c r="D7318" t="str">
        <f>"17"</f>
        <v>17</v>
      </c>
      <c r="E7318" t="str">
        <f>"1-147-17"</f>
        <v>1-147-17</v>
      </c>
      <c r="F7318" t="s">
        <v>65</v>
      </c>
      <c r="G7318" t="s">
        <v>66</v>
      </c>
      <c r="H7318" t="s">
        <v>67</v>
      </c>
      <c r="S7318">
        <v>1</v>
      </c>
      <c r="T7318">
        <v>0</v>
      </c>
      <c r="U7318">
        <v>0</v>
      </c>
      <c r="V7318">
        <v>0</v>
      </c>
      <c r="W7318">
        <v>1</v>
      </c>
      <c r="X7318">
        <v>0</v>
      </c>
      <c r="Y7318">
        <v>1</v>
      </c>
      <c r="Z7318">
        <v>0</v>
      </c>
      <c r="AA7318">
        <v>1</v>
      </c>
      <c r="AB7318">
        <v>0</v>
      </c>
      <c r="AC7318">
        <v>0</v>
      </c>
      <c r="AD7318">
        <v>1</v>
      </c>
      <c r="AE7318">
        <v>1</v>
      </c>
      <c r="AF7318">
        <v>1</v>
      </c>
      <c r="AG7318">
        <v>1</v>
      </c>
      <c r="AH7318">
        <v>1</v>
      </c>
      <c r="AI7318">
        <v>1</v>
      </c>
      <c r="AJ7318">
        <v>1</v>
      </c>
      <c r="AK7318">
        <v>1</v>
      </c>
      <c r="AL7318">
        <v>1</v>
      </c>
      <c r="AM7318">
        <v>1</v>
      </c>
    </row>
    <row r="7319" spans="1:39" x14ac:dyDescent="0.2">
      <c r="A7319" t="str">
        <f>"7315"</f>
        <v>7315</v>
      </c>
      <c r="B7319" t="str">
        <f t="shared" si="405"/>
        <v>1</v>
      </c>
      <c r="C7319" t="str">
        <f t="shared" si="407"/>
        <v>147</v>
      </c>
      <c r="D7319" t="str">
        <f>"9"</f>
        <v>9</v>
      </c>
      <c r="E7319" t="str">
        <f>"1-147-9"</f>
        <v>1-147-9</v>
      </c>
      <c r="F7319" t="s">
        <v>65</v>
      </c>
      <c r="G7319" t="s">
        <v>66</v>
      </c>
      <c r="H7319" t="s">
        <v>67</v>
      </c>
      <c r="S7319">
        <v>0</v>
      </c>
      <c r="T7319">
        <v>1</v>
      </c>
      <c r="U7319">
        <v>0</v>
      </c>
      <c r="V7319">
        <v>0</v>
      </c>
      <c r="W7319">
        <v>1</v>
      </c>
      <c r="X7319">
        <v>0</v>
      </c>
      <c r="Y7319">
        <v>0</v>
      </c>
      <c r="Z7319">
        <v>1</v>
      </c>
      <c r="AA7319">
        <v>0</v>
      </c>
      <c r="AB7319">
        <v>0</v>
      </c>
      <c r="AC7319">
        <v>1</v>
      </c>
      <c r="AD7319">
        <v>1</v>
      </c>
      <c r="AE7319">
        <v>1</v>
      </c>
      <c r="AF7319">
        <v>1</v>
      </c>
      <c r="AG7319">
        <v>1</v>
      </c>
      <c r="AH7319">
        <v>1</v>
      </c>
      <c r="AI7319">
        <v>1</v>
      </c>
      <c r="AJ7319">
        <v>1</v>
      </c>
      <c r="AK7319">
        <v>1</v>
      </c>
      <c r="AL7319">
        <v>1</v>
      </c>
      <c r="AM7319">
        <v>1</v>
      </c>
    </row>
    <row r="7320" spans="1:39" x14ac:dyDescent="0.2">
      <c r="A7320" t="str">
        <f>"7316"</f>
        <v>7316</v>
      </c>
      <c r="B7320" t="str">
        <f t="shared" si="405"/>
        <v>1</v>
      </c>
      <c r="C7320" t="str">
        <f t="shared" si="407"/>
        <v>147</v>
      </c>
      <c r="D7320" t="str">
        <f>"38"</f>
        <v>38</v>
      </c>
      <c r="E7320" t="str">
        <f>"1-147-38"</f>
        <v>1-147-38</v>
      </c>
      <c r="F7320" t="s">
        <v>65</v>
      </c>
      <c r="G7320" t="s">
        <v>66</v>
      </c>
      <c r="H7320" t="s">
        <v>67</v>
      </c>
      <c r="S7320">
        <v>1</v>
      </c>
      <c r="T7320">
        <v>0</v>
      </c>
      <c r="U7320">
        <v>0</v>
      </c>
      <c r="V7320">
        <v>0</v>
      </c>
      <c r="W7320">
        <v>1</v>
      </c>
      <c r="X7320">
        <v>0</v>
      </c>
      <c r="Y7320">
        <v>1</v>
      </c>
      <c r="Z7320">
        <v>0</v>
      </c>
      <c r="AA7320">
        <v>1</v>
      </c>
      <c r="AB7320">
        <v>0</v>
      </c>
      <c r="AC7320">
        <v>0</v>
      </c>
      <c r="AD7320">
        <v>1</v>
      </c>
      <c r="AE7320">
        <v>1</v>
      </c>
      <c r="AF7320">
        <v>1</v>
      </c>
      <c r="AG7320">
        <v>1</v>
      </c>
      <c r="AH7320">
        <v>1</v>
      </c>
      <c r="AI7320">
        <v>1</v>
      </c>
      <c r="AJ7320">
        <v>1</v>
      </c>
      <c r="AK7320">
        <v>1</v>
      </c>
      <c r="AL7320">
        <v>1</v>
      </c>
      <c r="AM7320">
        <v>1</v>
      </c>
    </row>
    <row r="7321" spans="1:39" x14ac:dyDescent="0.2">
      <c r="A7321" t="str">
        <f>"7317"</f>
        <v>7317</v>
      </c>
      <c r="B7321" t="str">
        <f t="shared" si="405"/>
        <v>1</v>
      </c>
      <c r="C7321" t="str">
        <f t="shared" si="407"/>
        <v>147</v>
      </c>
      <c r="D7321" t="str">
        <f>"37"</f>
        <v>37</v>
      </c>
      <c r="E7321" t="str">
        <f>"1-147-37"</f>
        <v>1-147-37</v>
      </c>
      <c r="F7321" t="s">
        <v>65</v>
      </c>
      <c r="G7321" t="s">
        <v>66</v>
      </c>
      <c r="H7321" t="s">
        <v>67</v>
      </c>
      <c r="S7321">
        <v>1</v>
      </c>
      <c r="T7321">
        <v>0</v>
      </c>
      <c r="U7321">
        <v>0</v>
      </c>
      <c r="V7321">
        <v>0</v>
      </c>
      <c r="W7321">
        <v>1</v>
      </c>
      <c r="X7321">
        <v>0</v>
      </c>
      <c r="Y7321">
        <v>0</v>
      </c>
      <c r="Z7321">
        <v>1</v>
      </c>
      <c r="AA7321">
        <v>1</v>
      </c>
      <c r="AB7321">
        <v>0</v>
      </c>
      <c r="AC7321">
        <v>0</v>
      </c>
      <c r="AD7321">
        <v>1</v>
      </c>
      <c r="AE7321">
        <v>1</v>
      </c>
      <c r="AF7321">
        <v>1</v>
      </c>
      <c r="AG7321">
        <v>1</v>
      </c>
      <c r="AH7321">
        <v>1</v>
      </c>
      <c r="AI7321">
        <v>1</v>
      </c>
      <c r="AJ7321">
        <v>1</v>
      </c>
      <c r="AK7321">
        <v>1</v>
      </c>
      <c r="AL7321">
        <v>1</v>
      </c>
      <c r="AM7321">
        <v>1</v>
      </c>
    </row>
    <row r="7322" spans="1:39" x14ac:dyDescent="0.2">
      <c r="A7322" t="str">
        <f>"7318"</f>
        <v>7318</v>
      </c>
      <c r="B7322" t="str">
        <f t="shared" si="405"/>
        <v>1</v>
      </c>
      <c r="C7322" t="str">
        <f t="shared" si="407"/>
        <v>147</v>
      </c>
      <c r="D7322" t="str">
        <f>"25"</f>
        <v>25</v>
      </c>
      <c r="E7322" t="str">
        <f>"1-147-25"</f>
        <v>1-147-25</v>
      </c>
      <c r="F7322" t="s">
        <v>65</v>
      </c>
      <c r="G7322" t="s">
        <v>66</v>
      </c>
      <c r="H7322" t="s">
        <v>67</v>
      </c>
      <c r="S7322">
        <v>1</v>
      </c>
      <c r="T7322">
        <v>0</v>
      </c>
      <c r="U7322">
        <v>0</v>
      </c>
      <c r="V7322">
        <v>0</v>
      </c>
      <c r="W7322">
        <v>1</v>
      </c>
      <c r="X7322">
        <v>0</v>
      </c>
      <c r="Y7322">
        <v>0</v>
      </c>
      <c r="Z7322">
        <v>1</v>
      </c>
      <c r="AA7322">
        <v>0</v>
      </c>
      <c r="AB7322">
        <v>0</v>
      </c>
      <c r="AC7322">
        <v>1</v>
      </c>
      <c r="AD7322">
        <v>1</v>
      </c>
      <c r="AE7322">
        <v>1</v>
      </c>
      <c r="AF7322">
        <v>1</v>
      </c>
      <c r="AG7322">
        <v>1</v>
      </c>
      <c r="AH7322">
        <v>1</v>
      </c>
      <c r="AI7322">
        <v>1</v>
      </c>
      <c r="AJ7322">
        <v>1</v>
      </c>
      <c r="AK7322">
        <v>1</v>
      </c>
      <c r="AL7322">
        <v>1</v>
      </c>
      <c r="AM7322">
        <v>1</v>
      </c>
    </row>
    <row r="7323" spans="1:39" x14ac:dyDescent="0.2">
      <c r="A7323" t="str">
        <f>"7319"</f>
        <v>7319</v>
      </c>
      <c r="B7323" t="str">
        <f t="shared" si="405"/>
        <v>1</v>
      </c>
      <c r="C7323" t="str">
        <f t="shared" si="407"/>
        <v>147</v>
      </c>
      <c r="D7323" t="str">
        <f>"18"</f>
        <v>18</v>
      </c>
      <c r="E7323" t="str">
        <f>"1-147-18"</f>
        <v>1-147-18</v>
      </c>
      <c r="F7323" t="s">
        <v>65</v>
      </c>
      <c r="G7323" t="s">
        <v>66</v>
      </c>
      <c r="H7323" t="s">
        <v>67</v>
      </c>
      <c r="S7323">
        <v>1</v>
      </c>
      <c r="T7323">
        <v>0</v>
      </c>
      <c r="U7323">
        <v>0</v>
      </c>
      <c r="V7323">
        <v>0</v>
      </c>
      <c r="W7323">
        <v>1</v>
      </c>
      <c r="X7323">
        <v>0</v>
      </c>
      <c r="Y7323">
        <v>1</v>
      </c>
      <c r="Z7323">
        <v>0</v>
      </c>
      <c r="AA7323">
        <v>0</v>
      </c>
      <c r="AB7323">
        <v>0</v>
      </c>
      <c r="AC7323">
        <v>1</v>
      </c>
      <c r="AD7323">
        <v>1</v>
      </c>
      <c r="AE7323">
        <v>1</v>
      </c>
      <c r="AF7323">
        <v>1</v>
      </c>
      <c r="AG7323">
        <v>1</v>
      </c>
      <c r="AH7323">
        <v>1</v>
      </c>
      <c r="AI7323">
        <v>1</v>
      </c>
      <c r="AJ7323">
        <v>1</v>
      </c>
      <c r="AK7323">
        <v>1</v>
      </c>
      <c r="AL7323">
        <v>1</v>
      </c>
      <c r="AM7323">
        <v>1</v>
      </c>
    </row>
    <row r="7324" spans="1:39" x14ac:dyDescent="0.2">
      <c r="A7324" t="str">
        <f>"7320"</f>
        <v>7320</v>
      </c>
      <c r="B7324" t="str">
        <f t="shared" si="405"/>
        <v>1</v>
      </c>
      <c r="C7324" t="str">
        <f t="shared" si="407"/>
        <v>147</v>
      </c>
      <c r="D7324" t="str">
        <f>"3"</f>
        <v>3</v>
      </c>
      <c r="E7324" t="str">
        <f>"1-147-3"</f>
        <v>1-147-3</v>
      </c>
      <c r="F7324" t="s">
        <v>65</v>
      </c>
      <c r="G7324" t="s">
        <v>66</v>
      </c>
      <c r="H7324" t="s">
        <v>67</v>
      </c>
      <c r="S7324">
        <v>1</v>
      </c>
      <c r="T7324">
        <v>0</v>
      </c>
      <c r="U7324">
        <v>0</v>
      </c>
      <c r="V7324">
        <v>0</v>
      </c>
      <c r="W7324">
        <v>1</v>
      </c>
      <c r="X7324">
        <v>0</v>
      </c>
      <c r="Y7324">
        <v>1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1</v>
      </c>
      <c r="AH7324">
        <v>1</v>
      </c>
      <c r="AI7324">
        <v>1</v>
      </c>
      <c r="AJ7324">
        <v>1</v>
      </c>
      <c r="AK7324">
        <v>1</v>
      </c>
      <c r="AL7324">
        <v>1</v>
      </c>
      <c r="AM7324">
        <v>1</v>
      </c>
    </row>
    <row r="7325" spans="1:39" x14ac:dyDescent="0.2">
      <c r="A7325" t="str">
        <f>"7321"</f>
        <v>7321</v>
      </c>
      <c r="B7325" t="str">
        <f t="shared" si="405"/>
        <v>1</v>
      </c>
      <c r="C7325" t="str">
        <f t="shared" si="407"/>
        <v>147</v>
      </c>
      <c r="D7325" t="str">
        <f>"41"</f>
        <v>41</v>
      </c>
      <c r="E7325" t="str">
        <f>"1-147-41"</f>
        <v>1-147-41</v>
      </c>
      <c r="F7325" t="s">
        <v>65</v>
      </c>
      <c r="G7325" t="s">
        <v>66</v>
      </c>
      <c r="H7325" t="s">
        <v>67</v>
      </c>
      <c r="S7325">
        <v>0</v>
      </c>
      <c r="T7325">
        <v>1</v>
      </c>
      <c r="U7325">
        <v>0</v>
      </c>
      <c r="V7325">
        <v>0</v>
      </c>
      <c r="W7325">
        <v>1</v>
      </c>
      <c r="X7325">
        <v>0</v>
      </c>
      <c r="Y7325">
        <v>0</v>
      </c>
      <c r="Z7325">
        <v>1</v>
      </c>
      <c r="AA7325">
        <v>0</v>
      </c>
      <c r="AB7325">
        <v>0</v>
      </c>
      <c r="AC7325">
        <v>1</v>
      </c>
      <c r="AD7325">
        <v>1</v>
      </c>
      <c r="AE7325">
        <v>1</v>
      </c>
      <c r="AF7325">
        <v>1</v>
      </c>
      <c r="AG7325">
        <v>1</v>
      </c>
      <c r="AH7325">
        <v>1</v>
      </c>
      <c r="AI7325">
        <v>1</v>
      </c>
      <c r="AJ7325">
        <v>1</v>
      </c>
      <c r="AK7325">
        <v>1</v>
      </c>
      <c r="AL7325">
        <v>1</v>
      </c>
      <c r="AM7325">
        <v>1</v>
      </c>
    </row>
    <row r="7326" spans="1:39" x14ac:dyDescent="0.2">
      <c r="A7326" t="str">
        <f>"7322"</f>
        <v>7322</v>
      </c>
      <c r="B7326" t="str">
        <f t="shared" si="405"/>
        <v>1</v>
      </c>
      <c r="C7326" t="str">
        <f t="shared" si="407"/>
        <v>147</v>
      </c>
      <c r="D7326" t="str">
        <f>"20"</f>
        <v>20</v>
      </c>
      <c r="E7326" t="str">
        <f>"1-147-20"</f>
        <v>1-147-20</v>
      </c>
      <c r="F7326" t="s">
        <v>65</v>
      </c>
      <c r="G7326" t="s">
        <v>66</v>
      </c>
      <c r="H7326" t="s">
        <v>67</v>
      </c>
      <c r="S7326">
        <v>0</v>
      </c>
      <c r="T7326">
        <v>1</v>
      </c>
      <c r="U7326">
        <v>0</v>
      </c>
      <c r="V7326">
        <v>0</v>
      </c>
      <c r="W7326">
        <v>0</v>
      </c>
      <c r="X7326">
        <v>1</v>
      </c>
      <c r="Y7326">
        <v>0</v>
      </c>
      <c r="Z7326">
        <v>1</v>
      </c>
      <c r="AA7326">
        <v>0</v>
      </c>
      <c r="AB7326">
        <v>0</v>
      </c>
      <c r="AC7326">
        <v>1</v>
      </c>
      <c r="AD7326">
        <v>0</v>
      </c>
      <c r="AE7326">
        <v>0</v>
      </c>
      <c r="AF7326">
        <v>0</v>
      </c>
      <c r="AG7326">
        <v>0</v>
      </c>
      <c r="AH7326">
        <v>1</v>
      </c>
      <c r="AI7326">
        <v>1</v>
      </c>
      <c r="AJ7326">
        <v>1</v>
      </c>
      <c r="AK7326">
        <v>0</v>
      </c>
      <c r="AL7326">
        <v>1</v>
      </c>
      <c r="AM7326">
        <v>0</v>
      </c>
    </row>
    <row r="7327" spans="1:39" x14ac:dyDescent="0.2">
      <c r="A7327" t="str">
        <f>"7323"</f>
        <v>7323</v>
      </c>
      <c r="B7327" t="str">
        <f t="shared" si="405"/>
        <v>1</v>
      </c>
      <c r="C7327" t="str">
        <f t="shared" si="407"/>
        <v>147</v>
      </c>
      <c r="D7327" t="str">
        <f>"12"</f>
        <v>12</v>
      </c>
      <c r="E7327" t="str">
        <f>"1-147-12"</f>
        <v>1-147-12</v>
      </c>
      <c r="F7327" t="s">
        <v>65</v>
      </c>
      <c r="G7327" t="s">
        <v>66</v>
      </c>
      <c r="H7327" t="s">
        <v>67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1</v>
      </c>
      <c r="Y7327">
        <v>0</v>
      </c>
      <c r="Z7327">
        <v>1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</row>
    <row r="7328" spans="1:39" x14ac:dyDescent="0.2">
      <c r="A7328" t="str">
        <f>"7324"</f>
        <v>7324</v>
      </c>
      <c r="B7328" t="str">
        <f t="shared" si="405"/>
        <v>1</v>
      </c>
      <c r="C7328" t="str">
        <f t="shared" si="407"/>
        <v>147</v>
      </c>
      <c r="D7328" t="str">
        <f>"44"</f>
        <v>44</v>
      </c>
      <c r="E7328" t="str">
        <f>"1-147-44"</f>
        <v>1-147-44</v>
      </c>
      <c r="F7328" t="s">
        <v>65</v>
      </c>
      <c r="G7328" t="s">
        <v>66</v>
      </c>
      <c r="H7328" t="s">
        <v>67</v>
      </c>
      <c r="S7328">
        <v>1</v>
      </c>
      <c r="T7328">
        <v>0</v>
      </c>
      <c r="U7328">
        <v>0</v>
      </c>
      <c r="V7328">
        <v>0</v>
      </c>
      <c r="W7328">
        <v>0</v>
      </c>
      <c r="X7328">
        <v>1</v>
      </c>
      <c r="Y7328">
        <v>0</v>
      </c>
      <c r="Z7328">
        <v>1</v>
      </c>
      <c r="AA7328">
        <v>0</v>
      </c>
      <c r="AB7328">
        <v>1</v>
      </c>
      <c r="AC7328">
        <v>0</v>
      </c>
      <c r="AD7328">
        <v>0</v>
      </c>
      <c r="AE7328">
        <v>0</v>
      </c>
      <c r="AF7328">
        <v>0</v>
      </c>
      <c r="AG7328">
        <v>1</v>
      </c>
      <c r="AH7328">
        <v>0</v>
      </c>
      <c r="AI7328">
        <v>0</v>
      </c>
      <c r="AJ7328">
        <v>0</v>
      </c>
      <c r="AK7328">
        <v>0</v>
      </c>
      <c r="AL7328">
        <v>1</v>
      </c>
      <c r="AM7328">
        <v>0</v>
      </c>
    </row>
    <row r="7329" spans="1:39" x14ac:dyDescent="0.2">
      <c r="A7329" t="str">
        <f>"7325"</f>
        <v>7325</v>
      </c>
      <c r="B7329" t="str">
        <f t="shared" si="405"/>
        <v>1</v>
      </c>
      <c r="C7329" t="str">
        <f t="shared" si="407"/>
        <v>147</v>
      </c>
      <c r="D7329" t="str">
        <f>"21"</f>
        <v>21</v>
      </c>
      <c r="E7329" t="str">
        <f>"1-147-21"</f>
        <v>1-147-21</v>
      </c>
      <c r="F7329" t="s">
        <v>65</v>
      </c>
      <c r="G7329" t="s">
        <v>66</v>
      </c>
      <c r="H7329" t="s">
        <v>67</v>
      </c>
      <c r="S7329">
        <v>0</v>
      </c>
      <c r="T7329">
        <v>1</v>
      </c>
      <c r="U7329">
        <v>0</v>
      </c>
      <c r="V7329">
        <v>0</v>
      </c>
      <c r="W7329">
        <v>0</v>
      </c>
      <c r="X7329">
        <v>1</v>
      </c>
      <c r="Y7329">
        <v>0</v>
      </c>
      <c r="Z7329">
        <v>1</v>
      </c>
      <c r="AA7329">
        <v>0</v>
      </c>
      <c r="AB7329">
        <v>0</v>
      </c>
      <c r="AC7329">
        <v>1</v>
      </c>
      <c r="AD7329">
        <v>1</v>
      </c>
      <c r="AE7329">
        <v>1</v>
      </c>
      <c r="AF7329">
        <v>1</v>
      </c>
      <c r="AG7329">
        <v>1</v>
      </c>
      <c r="AH7329">
        <v>1</v>
      </c>
      <c r="AI7329">
        <v>1</v>
      </c>
      <c r="AJ7329">
        <v>1</v>
      </c>
      <c r="AK7329">
        <v>1</v>
      </c>
      <c r="AL7329">
        <v>1</v>
      </c>
      <c r="AM7329">
        <v>1</v>
      </c>
    </row>
    <row r="7330" spans="1:39" x14ac:dyDescent="0.2">
      <c r="A7330" t="str">
        <f>"7326"</f>
        <v>7326</v>
      </c>
      <c r="B7330" t="str">
        <f t="shared" si="405"/>
        <v>1</v>
      </c>
      <c r="C7330" t="str">
        <f t="shared" si="407"/>
        <v>147</v>
      </c>
      <c r="D7330" t="str">
        <f>"2"</f>
        <v>2</v>
      </c>
      <c r="E7330" t="str">
        <f>"1-147-2"</f>
        <v>1-147-2</v>
      </c>
      <c r="F7330" t="s">
        <v>65</v>
      </c>
      <c r="G7330" t="s">
        <v>66</v>
      </c>
      <c r="H7330" t="s">
        <v>67</v>
      </c>
      <c r="S7330">
        <v>1</v>
      </c>
      <c r="T7330">
        <v>0</v>
      </c>
      <c r="U7330">
        <v>0</v>
      </c>
      <c r="V7330">
        <v>0</v>
      </c>
      <c r="W7330">
        <v>1</v>
      </c>
      <c r="X7330">
        <v>0</v>
      </c>
      <c r="Y7330">
        <v>1</v>
      </c>
      <c r="Z7330">
        <v>0</v>
      </c>
      <c r="AA7330">
        <v>0</v>
      </c>
      <c r="AB7330">
        <v>1</v>
      </c>
      <c r="AC7330">
        <v>0</v>
      </c>
      <c r="AD7330">
        <v>1</v>
      </c>
      <c r="AE7330">
        <v>1</v>
      </c>
      <c r="AF7330">
        <v>0</v>
      </c>
      <c r="AG7330">
        <v>1</v>
      </c>
      <c r="AH7330">
        <v>1</v>
      </c>
      <c r="AI7330">
        <v>0</v>
      </c>
      <c r="AJ7330">
        <v>1</v>
      </c>
      <c r="AK7330">
        <v>1</v>
      </c>
      <c r="AL7330">
        <v>1</v>
      </c>
      <c r="AM7330">
        <v>1</v>
      </c>
    </row>
    <row r="7331" spans="1:39" x14ac:dyDescent="0.2">
      <c r="A7331" t="str">
        <f>"7327"</f>
        <v>7327</v>
      </c>
      <c r="B7331" t="str">
        <f t="shared" si="405"/>
        <v>1</v>
      </c>
      <c r="C7331" t="str">
        <f t="shared" si="407"/>
        <v>147</v>
      </c>
      <c r="D7331" t="str">
        <f>"42"</f>
        <v>42</v>
      </c>
      <c r="E7331" t="str">
        <f>"1-147-42"</f>
        <v>1-147-42</v>
      </c>
      <c r="F7331" t="s">
        <v>65</v>
      </c>
      <c r="G7331" t="s">
        <v>66</v>
      </c>
      <c r="H7331" t="s">
        <v>67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1</v>
      </c>
      <c r="Y7331">
        <v>0</v>
      </c>
      <c r="Z7331">
        <v>0</v>
      </c>
      <c r="AA7331">
        <v>0</v>
      </c>
      <c r="AB7331">
        <v>0</v>
      </c>
      <c r="AC7331">
        <v>1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1</v>
      </c>
      <c r="AJ7331">
        <v>1</v>
      </c>
      <c r="AK7331">
        <v>0</v>
      </c>
      <c r="AL7331">
        <v>0</v>
      </c>
      <c r="AM7331">
        <v>0</v>
      </c>
    </row>
    <row r="7332" spans="1:39" x14ac:dyDescent="0.2">
      <c r="A7332" t="str">
        <f>"7328"</f>
        <v>7328</v>
      </c>
      <c r="B7332" t="str">
        <f t="shared" si="405"/>
        <v>1</v>
      </c>
      <c r="C7332" t="str">
        <f t="shared" si="407"/>
        <v>147</v>
      </c>
      <c r="D7332" t="str">
        <f>"22"</f>
        <v>22</v>
      </c>
      <c r="E7332" t="str">
        <f>"1-147-22"</f>
        <v>1-147-22</v>
      </c>
      <c r="F7332" t="s">
        <v>65</v>
      </c>
      <c r="G7332" t="s">
        <v>66</v>
      </c>
      <c r="H7332" t="s">
        <v>67</v>
      </c>
      <c r="S7332">
        <v>0</v>
      </c>
      <c r="T7332">
        <v>1</v>
      </c>
      <c r="U7332">
        <v>0</v>
      </c>
      <c r="V7332">
        <v>0</v>
      </c>
      <c r="W7332">
        <v>1</v>
      </c>
      <c r="X7332">
        <v>0</v>
      </c>
      <c r="Y7332">
        <v>0</v>
      </c>
      <c r="Z7332">
        <v>1</v>
      </c>
      <c r="AA7332">
        <v>0</v>
      </c>
      <c r="AB7332">
        <v>0</v>
      </c>
      <c r="AC7332">
        <v>0</v>
      </c>
      <c r="AD7332">
        <v>0</v>
      </c>
      <c r="AE7332">
        <v>1</v>
      </c>
      <c r="AF7332">
        <v>0</v>
      </c>
      <c r="AG7332">
        <v>1</v>
      </c>
      <c r="AH7332">
        <v>1</v>
      </c>
      <c r="AI7332">
        <v>1</v>
      </c>
      <c r="AJ7332">
        <v>1</v>
      </c>
      <c r="AK7332">
        <v>1</v>
      </c>
      <c r="AL7332">
        <v>1</v>
      </c>
      <c r="AM7332">
        <v>0</v>
      </c>
    </row>
    <row r="7333" spans="1:39" x14ac:dyDescent="0.2">
      <c r="A7333" t="str">
        <f>"7329"</f>
        <v>7329</v>
      </c>
      <c r="B7333" t="str">
        <f t="shared" si="405"/>
        <v>1</v>
      </c>
      <c r="C7333" t="str">
        <f t="shared" si="407"/>
        <v>147</v>
      </c>
      <c r="D7333" t="str">
        <f>"11"</f>
        <v>11</v>
      </c>
      <c r="E7333" t="str">
        <f>"1-147-11"</f>
        <v>1-147-11</v>
      </c>
      <c r="F7333" t="s">
        <v>65</v>
      </c>
      <c r="G7333" t="s">
        <v>66</v>
      </c>
      <c r="H7333" t="s">
        <v>67</v>
      </c>
      <c r="S7333">
        <v>1</v>
      </c>
      <c r="T7333">
        <v>0</v>
      </c>
      <c r="U7333">
        <v>0</v>
      </c>
      <c r="V7333">
        <v>0</v>
      </c>
      <c r="W7333">
        <v>1</v>
      </c>
      <c r="X7333">
        <v>0</v>
      </c>
      <c r="Y7333">
        <v>1</v>
      </c>
      <c r="Z7333">
        <v>0</v>
      </c>
      <c r="AA7333">
        <v>1</v>
      </c>
      <c r="AB7333">
        <v>0</v>
      </c>
      <c r="AC7333">
        <v>0</v>
      </c>
      <c r="AD7333">
        <v>0</v>
      </c>
      <c r="AE7333">
        <v>1</v>
      </c>
      <c r="AF7333">
        <v>0</v>
      </c>
      <c r="AG7333">
        <v>1</v>
      </c>
      <c r="AH7333">
        <v>1</v>
      </c>
      <c r="AI7333">
        <v>0</v>
      </c>
      <c r="AJ7333">
        <v>0</v>
      </c>
      <c r="AK7333">
        <v>0</v>
      </c>
      <c r="AL7333">
        <v>0</v>
      </c>
      <c r="AM7333">
        <v>0</v>
      </c>
    </row>
    <row r="7334" spans="1:39" x14ac:dyDescent="0.2">
      <c r="A7334" t="str">
        <f>"7330"</f>
        <v>7330</v>
      </c>
      <c r="B7334" t="str">
        <f t="shared" si="405"/>
        <v>1</v>
      </c>
      <c r="C7334" t="str">
        <f t="shared" si="407"/>
        <v>147</v>
      </c>
      <c r="D7334" t="str">
        <f>"50"</f>
        <v>50</v>
      </c>
      <c r="E7334" t="str">
        <f>"1-147-50"</f>
        <v>1-147-50</v>
      </c>
      <c r="F7334" t="s">
        <v>65</v>
      </c>
      <c r="G7334" t="s">
        <v>66</v>
      </c>
      <c r="H7334" t="s">
        <v>67</v>
      </c>
      <c r="S7334">
        <v>1</v>
      </c>
      <c r="T7334">
        <v>0</v>
      </c>
      <c r="U7334">
        <v>0</v>
      </c>
      <c r="V7334">
        <v>0</v>
      </c>
      <c r="W7334">
        <v>1</v>
      </c>
      <c r="X7334">
        <v>0</v>
      </c>
      <c r="Y7334">
        <v>1</v>
      </c>
      <c r="Z7334">
        <v>0</v>
      </c>
      <c r="AA7334">
        <v>0</v>
      </c>
      <c r="AB7334">
        <v>0</v>
      </c>
      <c r="AC7334">
        <v>1</v>
      </c>
      <c r="AD7334">
        <v>1</v>
      </c>
      <c r="AE7334">
        <v>1</v>
      </c>
      <c r="AF7334">
        <v>1</v>
      </c>
      <c r="AG7334">
        <v>1</v>
      </c>
      <c r="AH7334">
        <v>1</v>
      </c>
      <c r="AI7334">
        <v>1</v>
      </c>
      <c r="AJ7334">
        <v>1</v>
      </c>
      <c r="AK7334">
        <v>1</v>
      </c>
      <c r="AL7334">
        <v>1</v>
      </c>
      <c r="AM7334">
        <v>1</v>
      </c>
    </row>
    <row r="7335" spans="1:39" x14ac:dyDescent="0.2">
      <c r="A7335" t="str">
        <f>"7331"</f>
        <v>7331</v>
      </c>
      <c r="B7335" t="str">
        <f t="shared" si="405"/>
        <v>1</v>
      </c>
      <c r="C7335" t="str">
        <f t="shared" si="407"/>
        <v>147</v>
      </c>
      <c r="D7335" t="str">
        <f>"26"</f>
        <v>26</v>
      </c>
      <c r="E7335" t="str">
        <f>"1-147-26"</f>
        <v>1-147-26</v>
      </c>
      <c r="F7335" t="s">
        <v>65</v>
      </c>
      <c r="G7335" t="s">
        <v>66</v>
      </c>
      <c r="H7335" t="s">
        <v>67</v>
      </c>
      <c r="S7335">
        <v>1</v>
      </c>
      <c r="T7335">
        <v>0</v>
      </c>
      <c r="U7335">
        <v>0</v>
      </c>
      <c r="V7335">
        <v>0</v>
      </c>
      <c r="W7335">
        <v>0</v>
      </c>
      <c r="X7335">
        <v>1</v>
      </c>
      <c r="Y7335">
        <v>1</v>
      </c>
      <c r="Z7335">
        <v>0</v>
      </c>
      <c r="AA7335">
        <v>0</v>
      </c>
      <c r="AB7335">
        <v>1</v>
      </c>
      <c r="AC7335">
        <v>0</v>
      </c>
      <c r="AD7335">
        <v>1</v>
      </c>
      <c r="AE7335">
        <v>1</v>
      </c>
      <c r="AF7335">
        <v>1</v>
      </c>
      <c r="AG7335">
        <v>1</v>
      </c>
      <c r="AH7335">
        <v>1</v>
      </c>
      <c r="AI7335">
        <v>1</v>
      </c>
      <c r="AJ7335">
        <v>1</v>
      </c>
      <c r="AK7335">
        <v>1</v>
      </c>
      <c r="AL7335">
        <v>1</v>
      </c>
      <c r="AM7335">
        <v>1</v>
      </c>
    </row>
    <row r="7336" spans="1:39" x14ac:dyDescent="0.2">
      <c r="A7336" t="str">
        <f>"7332"</f>
        <v>7332</v>
      </c>
      <c r="B7336" t="str">
        <f t="shared" si="405"/>
        <v>1</v>
      </c>
      <c r="C7336" t="str">
        <f t="shared" si="407"/>
        <v>147</v>
      </c>
      <c r="D7336" t="str">
        <f>"6"</f>
        <v>6</v>
      </c>
      <c r="E7336" t="str">
        <f>"1-147-6"</f>
        <v>1-147-6</v>
      </c>
      <c r="F7336" t="s">
        <v>65</v>
      </c>
      <c r="G7336" t="s">
        <v>66</v>
      </c>
      <c r="H7336" t="s">
        <v>67</v>
      </c>
      <c r="S7336">
        <v>1</v>
      </c>
      <c r="T7336">
        <v>0</v>
      </c>
      <c r="U7336">
        <v>0</v>
      </c>
      <c r="V7336">
        <v>0</v>
      </c>
      <c r="W7336">
        <v>0</v>
      </c>
      <c r="X7336">
        <v>1</v>
      </c>
      <c r="Y7336">
        <v>0</v>
      </c>
      <c r="Z7336">
        <v>0</v>
      </c>
      <c r="AA7336">
        <v>0</v>
      </c>
      <c r="AB7336">
        <v>1</v>
      </c>
      <c r="AC7336">
        <v>0</v>
      </c>
      <c r="AD7336">
        <v>1</v>
      </c>
      <c r="AE7336">
        <v>1</v>
      </c>
      <c r="AF7336">
        <v>1</v>
      </c>
      <c r="AG7336">
        <v>1</v>
      </c>
      <c r="AH7336">
        <v>1</v>
      </c>
      <c r="AI7336">
        <v>1</v>
      </c>
      <c r="AJ7336">
        <v>1</v>
      </c>
      <c r="AK7336">
        <v>1</v>
      </c>
      <c r="AL7336">
        <v>1</v>
      </c>
      <c r="AM7336">
        <v>1</v>
      </c>
    </row>
    <row r="7337" spans="1:39" x14ac:dyDescent="0.2">
      <c r="A7337" t="str">
        <f>"7333"</f>
        <v>7333</v>
      </c>
      <c r="B7337" t="str">
        <f t="shared" si="405"/>
        <v>1</v>
      </c>
      <c r="C7337" t="str">
        <f t="shared" ref="C7337:C7354" si="408">"147"</f>
        <v>147</v>
      </c>
      <c r="D7337" t="str">
        <f>"49"</f>
        <v>49</v>
      </c>
      <c r="E7337" t="str">
        <f>"1-147-49"</f>
        <v>1-147-49</v>
      </c>
      <c r="F7337" t="s">
        <v>65</v>
      </c>
      <c r="G7337" t="s">
        <v>66</v>
      </c>
      <c r="H7337" t="s">
        <v>67</v>
      </c>
      <c r="S7337">
        <v>1</v>
      </c>
      <c r="T7337">
        <v>0</v>
      </c>
      <c r="U7337">
        <v>0</v>
      </c>
      <c r="V7337">
        <v>0</v>
      </c>
      <c r="W7337">
        <v>1</v>
      </c>
      <c r="X7337">
        <v>0</v>
      </c>
      <c r="Y7337">
        <v>1</v>
      </c>
      <c r="Z7337">
        <v>0</v>
      </c>
      <c r="AA7337">
        <v>1</v>
      </c>
      <c r="AB7337">
        <v>0</v>
      </c>
      <c r="AC7337">
        <v>0</v>
      </c>
      <c r="AD7337">
        <v>1</v>
      </c>
      <c r="AE7337">
        <v>1</v>
      </c>
      <c r="AF7337">
        <v>1</v>
      </c>
      <c r="AG7337">
        <v>1</v>
      </c>
      <c r="AH7337">
        <v>1</v>
      </c>
      <c r="AI7337">
        <v>1</v>
      </c>
      <c r="AJ7337">
        <v>1</v>
      </c>
      <c r="AK7337">
        <v>1</v>
      </c>
      <c r="AL7337">
        <v>1</v>
      </c>
      <c r="AM7337">
        <v>1</v>
      </c>
    </row>
    <row r="7338" spans="1:39" x14ac:dyDescent="0.2">
      <c r="A7338" t="str">
        <f>"7334"</f>
        <v>7334</v>
      </c>
      <c r="B7338" t="str">
        <f t="shared" si="405"/>
        <v>1</v>
      </c>
      <c r="C7338" t="str">
        <f t="shared" si="408"/>
        <v>147</v>
      </c>
      <c r="D7338" t="str">
        <f>"27"</f>
        <v>27</v>
      </c>
      <c r="E7338" t="str">
        <f>"1-147-27"</f>
        <v>1-147-27</v>
      </c>
      <c r="F7338" t="s">
        <v>65</v>
      </c>
      <c r="G7338" t="s">
        <v>66</v>
      </c>
      <c r="H7338" t="s">
        <v>67</v>
      </c>
      <c r="S7338">
        <v>1</v>
      </c>
      <c r="T7338">
        <v>0</v>
      </c>
      <c r="U7338">
        <v>0</v>
      </c>
      <c r="V7338">
        <v>0</v>
      </c>
      <c r="W7338">
        <v>0</v>
      </c>
      <c r="X7338">
        <v>1</v>
      </c>
      <c r="Y7338">
        <v>1</v>
      </c>
      <c r="Z7338">
        <v>0</v>
      </c>
      <c r="AA7338">
        <v>0</v>
      </c>
      <c r="AB7338">
        <v>1</v>
      </c>
      <c r="AC7338">
        <v>0</v>
      </c>
      <c r="AD7338">
        <v>1</v>
      </c>
      <c r="AE7338">
        <v>1</v>
      </c>
      <c r="AF7338">
        <v>1</v>
      </c>
      <c r="AG7338">
        <v>1</v>
      </c>
      <c r="AH7338">
        <v>1</v>
      </c>
      <c r="AI7338">
        <v>1</v>
      </c>
      <c r="AJ7338">
        <v>1</v>
      </c>
      <c r="AK7338">
        <v>1</v>
      </c>
      <c r="AL7338">
        <v>1</v>
      </c>
      <c r="AM7338">
        <v>1</v>
      </c>
    </row>
    <row r="7339" spans="1:39" x14ac:dyDescent="0.2">
      <c r="A7339" t="str">
        <f>"7335"</f>
        <v>7335</v>
      </c>
      <c r="B7339" t="str">
        <f t="shared" si="405"/>
        <v>1</v>
      </c>
      <c r="C7339" t="str">
        <f t="shared" si="408"/>
        <v>147</v>
      </c>
      <c r="D7339" t="str">
        <f>"13"</f>
        <v>13</v>
      </c>
      <c r="E7339" t="str">
        <f>"1-147-13"</f>
        <v>1-147-13</v>
      </c>
      <c r="F7339" t="s">
        <v>65</v>
      </c>
      <c r="G7339" t="s">
        <v>66</v>
      </c>
      <c r="H7339" t="s">
        <v>67</v>
      </c>
      <c r="S7339">
        <v>0</v>
      </c>
      <c r="T7339">
        <v>1</v>
      </c>
      <c r="U7339">
        <v>0</v>
      </c>
      <c r="V7339">
        <v>0</v>
      </c>
      <c r="W7339">
        <v>1</v>
      </c>
      <c r="X7339">
        <v>0</v>
      </c>
      <c r="Y7339">
        <v>1</v>
      </c>
      <c r="Z7339">
        <v>0</v>
      </c>
      <c r="AA7339">
        <v>1</v>
      </c>
      <c r="AB7339">
        <v>0</v>
      </c>
      <c r="AC7339">
        <v>0</v>
      </c>
      <c r="AD7339">
        <v>1</v>
      </c>
      <c r="AE7339">
        <v>1</v>
      </c>
      <c r="AF7339">
        <v>1</v>
      </c>
      <c r="AG7339">
        <v>1</v>
      </c>
      <c r="AH7339">
        <v>1</v>
      </c>
      <c r="AI7339">
        <v>1</v>
      </c>
      <c r="AJ7339">
        <v>1</v>
      </c>
      <c r="AK7339">
        <v>1</v>
      </c>
      <c r="AL7339">
        <v>1</v>
      </c>
      <c r="AM7339">
        <v>1</v>
      </c>
    </row>
    <row r="7340" spans="1:39" x14ac:dyDescent="0.2">
      <c r="A7340" t="str">
        <f>"7336"</f>
        <v>7336</v>
      </c>
      <c r="B7340" t="str">
        <f t="shared" si="405"/>
        <v>1</v>
      </c>
      <c r="C7340" t="str">
        <f t="shared" si="408"/>
        <v>147</v>
      </c>
      <c r="D7340" t="str">
        <f>"45"</f>
        <v>45</v>
      </c>
      <c r="E7340" t="str">
        <f>"1-147-45"</f>
        <v>1-147-45</v>
      </c>
      <c r="F7340" t="s">
        <v>65</v>
      </c>
      <c r="G7340" t="s">
        <v>66</v>
      </c>
      <c r="H7340" t="s">
        <v>67</v>
      </c>
      <c r="S7340">
        <v>0</v>
      </c>
      <c r="T7340">
        <v>1</v>
      </c>
      <c r="U7340">
        <v>0</v>
      </c>
      <c r="V7340">
        <v>0</v>
      </c>
      <c r="W7340">
        <v>0</v>
      </c>
      <c r="X7340">
        <v>1</v>
      </c>
      <c r="Y7340">
        <v>1</v>
      </c>
      <c r="Z7340">
        <v>0</v>
      </c>
      <c r="AA7340">
        <v>0</v>
      </c>
      <c r="AB7340">
        <v>0</v>
      </c>
      <c r="AC7340">
        <v>1</v>
      </c>
      <c r="AD7340">
        <v>1</v>
      </c>
      <c r="AE7340">
        <v>1</v>
      </c>
      <c r="AF7340">
        <v>1</v>
      </c>
      <c r="AG7340">
        <v>1</v>
      </c>
      <c r="AH7340">
        <v>1</v>
      </c>
      <c r="AI7340">
        <v>1</v>
      </c>
      <c r="AJ7340">
        <v>1</v>
      </c>
      <c r="AK7340">
        <v>1</v>
      </c>
      <c r="AL7340">
        <v>1</v>
      </c>
      <c r="AM7340">
        <v>1</v>
      </c>
    </row>
    <row r="7341" spans="1:39" x14ac:dyDescent="0.2">
      <c r="A7341" t="str">
        <f>"7337"</f>
        <v>7337</v>
      </c>
      <c r="B7341" t="str">
        <f t="shared" si="405"/>
        <v>1</v>
      </c>
      <c r="C7341" t="str">
        <f t="shared" si="408"/>
        <v>147</v>
      </c>
      <c r="D7341" t="str">
        <f>"28"</f>
        <v>28</v>
      </c>
      <c r="E7341" t="str">
        <f>"1-147-28"</f>
        <v>1-147-28</v>
      </c>
      <c r="F7341" t="s">
        <v>65</v>
      </c>
      <c r="G7341" t="s">
        <v>66</v>
      </c>
      <c r="H7341" t="s">
        <v>67</v>
      </c>
      <c r="S7341">
        <v>1</v>
      </c>
      <c r="T7341">
        <v>0</v>
      </c>
      <c r="U7341">
        <v>0</v>
      </c>
      <c r="V7341">
        <v>0</v>
      </c>
      <c r="W7341">
        <v>1</v>
      </c>
      <c r="X7341">
        <v>0</v>
      </c>
      <c r="Y7341">
        <v>1</v>
      </c>
      <c r="Z7341">
        <v>0</v>
      </c>
      <c r="AA7341">
        <v>1</v>
      </c>
      <c r="AB7341">
        <v>0</v>
      </c>
      <c r="AC7341">
        <v>0</v>
      </c>
      <c r="AD7341">
        <v>1</v>
      </c>
      <c r="AE7341">
        <v>1</v>
      </c>
      <c r="AF7341">
        <v>1</v>
      </c>
      <c r="AG7341">
        <v>1</v>
      </c>
      <c r="AH7341">
        <v>1</v>
      </c>
      <c r="AI7341">
        <v>1</v>
      </c>
      <c r="AJ7341">
        <v>1</v>
      </c>
      <c r="AK7341">
        <v>1</v>
      </c>
      <c r="AL7341">
        <v>1</v>
      </c>
      <c r="AM7341">
        <v>1</v>
      </c>
    </row>
    <row r="7342" spans="1:39" x14ac:dyDescent="0.2">
      <c r="A7342" t="str">
        <f>"7338"</f>
        <v>7338</v>
      </c>
      <c r="B7342" t="str">
        <f t="shared" si="405"/>
        <v>1</v>
      </c>
      <c r="C7342" t="str">
        <f t="shared" si="408"/>
        <v>147</v>
      </c>
      <c r="D7342" t="str">
        <f>"8"</f>
        <v>8</v>
      </c>
      <c r="E7342" t="str">
        <f>"1-147-8"</f>
        <v>1-147-8</v>
      </c>
      <c r="F7342" t="s">
        <v>65</v>
      </c>
      <c r="G7342" t="s">
        <v>66</v>
      </c>
      <c r="H7342" t="s">
        <v>67</v>
      </c>
      <c r="S7342">
        <v>1</v>
      </c>
      <c r="T7342">
        <v>0</v>
      </c>
      <c r="U7342">
        <v>0</v>
      </c>
      <c r="V7342">
        <v>0</v>
      </c>
      <c r="W7342">
        <v>1</v>
      </c>
      <c r="X7342">
        <v>0</v>
      </c>
      <c r="Y7342">
        <v>1</v>
      </c>
      <c r="Z7342">
        <v>0</v>
      </c>
      <c r="AA7342">
        <v>1</v>
      </c>
      <c r="AB7342">
        <v>0</v>
      </c>
      <c r="AC7342">
        <v>0</v>
      </c>
      <c r="AD7342">
        <v>1</v>
      </c>
      <c r="AE7342">
        <v>1</v>
      </c>
      <c r="AF7342">
        <v>1</v>
      </c>
      <c r="AG7342">
        <v>1</v>
      </c>
      <c r="AH7342">
        <v>1</v>
      </c>
      <c r="AI7342">
        <v>1</v>
      </c>
      <c r="AJ7342">
        <v>1</v>
      </c>
      <c r="AK7342">
        <v>1</v>
      </c>
      <c r="AL7342">
        <v>1</v>
      </c>
      <c r="AM7342">
        <v>1</v>
      </c>
    </row>
    <row r="7343" spans="1:39" x14ac:dyDescent="0.2">
      <c r="A7343" t="str">
        <f>"7339"</f>
        <v>7339</v>
      </c>
      <c r="B7343" t="str">
        <f t="shared" si="405"/>
        <v>1</v>
      </c>
      <c r="C7343" t="str">
        <f t="shared" si="408"/>
        <v>147</v>
      </c>
      <c r="D7343" t="str">
        <f>"43"</f>
        <v>43</v>
      </c>
      <c r="E7343" t="str">
        <f>"1-147-43"</f>
        <v>1-147-43</v>
      </c>
      <c r="F7343" t="s">
        <v>65</v>
      </c>
      <c r="G7343" t="s">
        <v>66</v>
      </c>
      <c r="H7343" t="s">
        <v>67</v>
      </c>
      <c r="S7343">
        <v>1</v>
      </c>
      <c r="T7343">
        <v>0</v>
      </c>
      <c r="U7343">
        <v>0</v>
      </c>
      <c r="V7343">
        <v>0</v>
      </c>
      <c r="W7343">
        <v>1</v>
      </c>
      <c r="X7343">
        <v>0</v>
      </c>
      <c r="Y7343">
        <v>1</v>
      </c>
      <c r="Z7343">
        <v>0</v>
      </c>
      <c r="AA7343">
        <v>0</v>
      </c>
      <c r="AB7343">
        <v>1</v>
      </c>
      <c r="AC7343">
        <v>0</v>
      </c>
      <c r="AD7343">
        <v>1</v>
      </c>
      <c r="AE7343">
        <v>1</v>
      </c>
      <c r="AF7343">
        <v>1</v>
      </c>
      <c r="AG7343">
        <v>1</v>
      </c>
      <c r="AH7343">
        <v>1</v>
      </c>
      <c r="AI7343">
        <v>1</v>
      </c>
      <c r="AJ7343">
        <v>1</v>
      </c>
      <c r="AK7343">
        <v>1</v>
      </c>
      <c r="AL7343">
        <v>1</v>
      </c>
      <c r="AM7343">
        <v>1</v>
      </c>
    </row>
    <row r="7344" spans="1:39" x14ac:dyDescent="0.2">
      <c r="A7344" t="str">
        <f>"7340"</f>
        <v>7340</v>
      </c>
      <c r="B7344" t="str">
        <f t="shared" si="405"/>
        <v>1</v>
      </c>
      <c r="C7344" t="str">
        <f t="shared" si="408"/>
        <v>147</v>
      </c>
      <c r="D7344" t="str">
        <f>"29"</f>
        <v>29</v>
      </c>
      <c r="E7344" t="str">
        <f>"1-147-29"</f>
        <v>1-147-29</v>
      </c>
      <c r="F7344" t="s">
        <v>65</v>
      </c>
      <c r="G7344" t="s">
        <v>66</v>
      </c>
      <c r="H7344" t="s">
        <v>67</v>
      </c>
      <c r="S7344">
        <v>1</v>
      </c>
      <c r="T7344">
        <v>0</v>
      </c>
      <c r="U7344">
        <v>0</v>
      </c>
      <c r="V7344">
        <v>0</v>
      </c>
      <c r="W7344">
        <v>1</v>
      </c>
      <c r="X7344">
        <v>0</v>
      </c>
      <c r="Y7344">
        <v>0</v>
      </c>
      <c r="Z7344">
        <v>0</v>
      </c>
      <c r="AA7344">
        <v>1</v>
      </c>
      <c r="AB7344">
        <v>0</v>
      </c>
      <c r="AC7344">
        <v>0</v>
      </c>
      <c r="AD7344">
        <v>1</v>
      </c>
      <c r="AE7344">
        <v>1</v>
      </c>
      <c r="AF7344">
        <v>1</v>
      </c>
      <c r="AG7344">
        <v>0</v>
      </c>
      <c r="AH7344">
        <v>1</v>
      </c>
      <c r="AI7344">
        <v>1</v>
      </c>
      <c r="AJ7344">
        <v>1</v>
      </c>
      <c r="AK7344">
        <v>1</v>
      </c>
      <c r="AL7344">
        <v>1</v>
      </c>
      <c r="AM7344">
        <v>1</v>
      </c>
    </row>
    <row r="7345" spans="1:39" x14ac:dyDescent="0.2">
      <c r="A7345" t="str">
        <f>"7341"</f>
        <v>7341</v>
      </c>
      <c r="B7345" t="str">
        <f t="shared" si="405"/>
        <v>1</v>
      </c>
      <c r="C7345" t="str">
        <f t="shared" si="408"/>
        <v>147</v>
      </c>
      <c r="D7345" t="str">
        <f>"10"</f>
        <v>10</v>
      </c>
      <c r="E7345" t="str">
        <f>"1-147-10"</f>
        <v>1-147-10</v>
      </c>
      <c r="F7345" t="s">
        <v>65</v>
      </c>
      <c r="G7345" t="s">
        <v>66</v>
      </c>
      <c r="H7345" t="s">
        <v>67</v>
      </c>
      <c r="S7345">
        <v>1</v>
      </c>
      <c r="T7345">
        <v>0</v>
      </c>
      <c r="U7345">
        <v>0</v>
      </c>
      <c r="V7345">
        <v>0</v>
      </c>
      <c r="W7345">
        <v>1</v>
      </c>
      <c r="X7345">
        <v>0</v>
      </c>
      <c r="Y7345">
        <v>1</v>
      </c>
      <c r="Z7345">
        <v>0</v>
      </c>
      <c r="AA7345">
        <v>1</v>
      </c>
      <c r="AB7345">
        <v>0</v>
      </c>
      <c r="AC7345">
        <v>0</v>
      </c>
      <c r="AD7345">
        <v>1</v>
      </c>
      <c r="AE7345">
        <v>1</v>
      </c>
      <c r="AF7345">
        <v>1</v>
      </c>
      <c r="AG7345">
        <v>1</v>
      </c>
      <c r="AH7345">
        <v>1</v>
      </c>
      <c r="AI7345">
        <v>1</v>
      </c>
      <c r="AJ7345">
        <v>1</v>
      </c>
      <c r="AK7345">
        <v>1</v>
      </c>
      <c r="AL7345">
        <v>1</v>
      </c>
      <c r="AM7345">
        <v>1</v>
      </c>
    </row>
    <row r="7346" spans="1:39" x14ac:dyDescent="0.2">
      <c r="A7346" t="str">
        <f>"7342"</f>
        <v>7342</v>
      </c>
      <c r="B7346" t="str">
        <f t="shared" si="405"/>
        <v>1</v>
      </c>
      <c r="C7346" t="str">
        <f t="shared" si="408"/>
        <v>147</v>
      </c>
      <c r="D7346" t="str">
        <f>"48"</f>
        <v>48</v>
      </c>
      <c r="E7346" t="str">
        <f>"1-147-48"</f>
        <v>1-147-48</v>
      </c>
      <c r="F7346" t="s">
        <v>65</v>
      </c>
      <c r="G7346" t="s">
        <v>66</v>
      </c>
      <c r="H7346" t="s">
        <v>67</v>
      </c>
      <c r="S7346">
        <v>0</v>
      </c>
      <c r="T7346">
        <v>1</v>
      </c>
      <c r="U7346">
        <v>0</v>
      </c>
      <c r="V7346">
        <v>0</v>
      </c>
      <c r="W7346">
        <v>0</v>
      </c>
      <c r="X7346">
        <v>1</v>
      </c>
      <c r="Y7346">
        <v>0</v>
      </c>
      <c r="Z7346">
        <v>1</v>
      </c>
      <c r="AA7346">
        <v>0</v>
      </c>
      <c r="AB7346">
        <v>1</v>
      </c>
      <c r="AC7346">
        <v>0</v>
      </c>
      <c r="AD7346">
        <v>1</v>
      </c>
      <c r="AE7346">
        <v>1</v>
      </c>
      <c r="AF7346">
        <v>1</v>
      </c>
      <c r="AG7346">
        <v>1</v>
      </c>
      <c r="AH7346">
        <v>1</v>
      </c>
      <c r="AI7346">
        <v>1</v>
      </c>
      <c r="AJ7346">
        <v>1</v>
      </c>
      <c r="AK7346">
        <v>1</v>
      </c>
      <c r="AL7346">
        <v>1</v>
      </c>
      <c r="AM7346">
        <v>1</v>
      </c>
    </row>
    <row r="7347" spans="1:39" x14ac:dyDescent="0.2">
      <c r="A7347" t="str">
        <f>"7343"</f>
        <v>7343</v>
      </c>
      <c r="B7347" t="str">
        <f t="shared" si="405"/>
        <v>1</v>
      </c>
      <c r="C7347" t="str">
        <f t="shared" si="408"/>
        <v>147</v>
      </c>
      <c r="D7347" t="str">
        <f>"30"</f>
        <v>30</v>
      </c>
      <c r="E7347" t="str">
        <f>"1-147-30"</f>
        <v>1-147-30</v>
      </c>
      <c r="F7347" t="s">
        <v>65</v>
      </c>
      <c r="G7347" t="s">
        <v>66</v>
      </c>
      <c r="H7347" t="s">
        <v>67</v>
      </c>
      <c r="S7347">
        <v>1</v>
      </c>
      <c r="T7347">
        <v>0</v>
      </c>
      <c r="U7347">
        <v>0</v>
      </c>
      <c r="V7347">
        <v>0</v>
      </c>
      <c r="W7347">
        <v>1</v>
      </c>
      <c r="X7347">
        <v>0</v>
      </c>
      <c r="Y7347">
        <v>1</v>
      </c>
      <c r="Z7347">
        <v>0</v>
      </c>
      <c r="AA7347">
        <v>1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1</v>
      </c>
      <c r="AM7347">
        <v>0</v>
      </c>
    </row>
    <row r="7348" spans="1:39" x14ac:dyDescent="0.2">
      <c r="A7348" t="str">
        <f>"7344"</f>
        <v>7344</v>
      </c>
      <c r="B7348" t="str">
        <f t="shared" si="405"/>
        <v>1</v>
      </c>
      <c r="C7348" t="str">
        <f t="shared" si="408"/>
        <v>147</v>
      </c>
      <c r="D7348" t="str">
        <f>"14"</f>
        <v>14</v>
      </c>
      <c r="E7348" t="str">
        <f>"1-147-14"</f>
        <v>1-147-14</v>
      </c>
      <c r="F7348" t="s">
        <v>65</v>
      </c>
      <c r="G7348" t="s">
        <v>66</v>
      </c>
      <c r="H7348" t="s">
        <v>67</v>
      </c>
      <c r="S7348">
        <v>1</v>
      </c>
      <c r="T7348">
        <v>0</v>
      </c>
      <c r="U7348">
        <v>0</v>
      </c>
      <c r="V7348">
        <v>0</v>
      </c>
      <c r="W7348">
        <v>1</v>
      </c>
      <c r="X7348">
        <v>0</v>
      </c>
      <c r="Y7348">
        <v>0</v>
      </c>
      <c r="Z7348">
        <v>1</v>
      </c>
      <c r="AA7348">
        <v>0</v>
      </c>
      <c r="AB7348">
        <v>1</v>
      </c>
      <c r="AC7348">
        <v>0</v>
      </c>
      <c r="AD7348">
        <v>1</v>
      </c>
      <c r="AE7348">
        <v>1</v>
      </c>
      <c r="AF7348">
        <v>1</v>
      </c>
      <c r="AG7348">
        <v>1</v>
      </c>
      <c r="AH7348">
        <v>1</v>
      </c>
      <c r="AI7348">
        <v>1</v>
      </c>
      <c r="AJ7348">
        <v>1</v>
      </c>
      <c r="AK7348">
        <v>1</v>
      </c>
      <c r="AL7348">
        <v>1</v>
      </c>
      <c r="AM7348">
        <v>1</v>
      </c>
    </row>
    <row r="7349" spans="1:39" x14ac:dyDescent="0.2">
      <c r="A7349" t="str">
        <f>"7345"</f>
        <v>7345</v>
      </c>
      <c r="B7349" t="str">
        <f t="shared" si="405"/>
        <v>1</v>
      </c>
      <c r="C7349" t="str">
        <f t="shared" si="408"/>
        <v>147</v>
      </c>
      <c r="D7349" t="str">
        <f>"47"</f>
        <v>47</v>
      </c>
      <c r="E7349" t="str">
        <f>"1-147-47"</f>
        <v>1-147-47</v>
      </c>
      <c r="F7349" t="s">
        <v>65</v>
      </c>
      <c r="G7349" t="s">
        <v>66</v>
      </c>
      <c r="H7349" t="s">
        <v>67</v>
      </c>
      <c r="S7349">
        <v>0</v>
      </c>
      <c r="T7349">
        <v>1</v>
      </c>
      <c r="U7349">
        <v>0</v>
      </c>
      <c r="V7349">
        <v>0</v>
      </c>
      <c r="W7349">
        <v>1</v>
      </c>
      <c r="X7349">
        <v>0</v>
      </c>
      <c r="Y7349">
        <v>1</v>
      </c>
      <c r="Z7349">
        <v>0</v>
      </c>
      <c r="AA7349">
        <v>1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</row>
    <row r="7350" spans="1:39" x14ac:dyDescent="0.2">
      <c r="A7350" t="str">
        <f>"7346"</f>
        <v>7346</v>
      </c>
      <c r="B7350" t="str">
        <f t="shared" si="405"/>
        <v>1</v>
      </c>
      <c r="C7350" t="str">
        <f t="shared" si="408"/>
        <v>147</v>
      </c>
      <c r="D7350" t="str">
        <f>"31"</f>
        <v>31</v>
      </c>
      <c r="E7350" t="str">
        <f>"1-147-31"</f>
        <v>1-147-31</v>
      </c>
      <c r="F7350" t="s">
        <v>65</v>
      </c>
      <c r="G7350" t="s">
        <v>66</v>
      </c>
      <c r="H7350" t="s">
        <v>67</v>
      </c>
      <c r="S7350">
        <v>1</v>
      </c>
      <c r="T7350">
        <v>0</v>
      </c>
      <c r="U7350">
        <v>0</v>
      </c>
      <c r="V7350">
        <v>0</v>
      </c>
      <c r="W7350">
        <v>0</v>
      </c>
      <c r="X7350">
        <v>1</v>
      </c>
      <c r="Y7350">
        <v>0</v>
      </c>
      <c r="Z7350">
        <v>1</v>
      </c>
      <c r="AA7350">
        <v>1</v>
      </c>
      <c r="AB7350">
        <v>0</v>
      </c>
      <c r="AC7350">
        <v>0</v>
      </c>
      <c r="AD7350">
        <v>1</v>
      </c>
      <c r="AE7350">
        <v>1</v>
      </c>
      <c r="AF7350">
        <v>1</v>
      </c>
      <c r="AG7350">
        <v>1</v>
      </c>
      <c r="AH7350">
        <v>1</v>
      </c>
      <c r="AI7350">
        <v>1</v>
      </c>
      <c r="AJ7350">
        <v>1</v>
      </c>
      <c r="AK7350">
        <v>1</v>
      </c>
      <c r="AL7350">
        <v>1</v>
      </c>
      <c r="AM7350">
        <v>1</v>
      </c>
    </row>
    <row r="7351" spans="1:39" x14ac:dyDescent="0.2">
      <c r="A7351" t="str">
        <f>"7347"</f>
        <v>7347</v>
      </c>
      <c r="B7351" t="str">
        <f t="shared" ref="B7351:B7414" si="409">"1"</f>
        <v>1</v>
      </c>
      <c r="C7351" t="str">
        <f t="shared" si="408"/>
        <v>147</v>
      </c>
      <c r="D7351" t="str">
        <f>"5"</f>
        <v>5</v>
      </c>
      <c r="E7351" t="str">
        <f>"1-147-5"</f>
        <v>1-147-5</v>
      </c>
      <c r="F7351" t="s">
        <v>65</v>
      </c>
      <c r="G7351" t="s">
        <v>66</v>
      </c>
      <c r="H7351" t="s">
        <v>67</v>
      </c>
      <c r="S7351">
        <v>1</v>
      </c>
      <c r="T7351">
        <v>0</v>
      </c>
      <c r="U7351">
        <v>0</v>
      </c>
      <c r="V7351">
        <v>0</v>
      </c>
      <c r="W7351">
        <v>1</v>
      </c>
      <c r="X7351">
        <v>0</v>
      </c>
      <c r="Y7351">
        <v>0</v>
      </c>
      <c r="Z7351">
        <v>0</v>
      </c>
      <c r="AA7351">
        <v>1</v>
      </c>
      <c r="AB7351">
        <v>0</v>
      </c>
      <c r="AC7351">
        <v>0</v>
      </c>
      <c r="AD7351">
        <v>1</v>
      </c>
      <c r="AE7351">
        <v>0</v>
      </c>
      <c r="AF7351">
        <v>0</v>
      </c>
      <c r="AG7351">
        <v>1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</row>
    <row r="7352" spans="1:39" x14ac:dyDescent="0.2">
      <c r="A7352" t="str">
        <f>"7348"</f>
        <v>7348</v>
      </c>
      <c r="B7352" t="str">
        <f t="shared" si="409"/>
        <v>1</v>
      </c>
      <c r="C7352" t="str">
        <f t="shared" si="408"/>
        <v>147</v>
      </c>
      <c r="D7352" t="str">
        <f>"46"</f>
        <v>46</v>
      </c>
      <c r="E7352" t="str">
        <f>"1-147-46"</f>
        <v>1-147-46</v>
      </c>
      <c r="F7352" t="s">
        <v>65</v>
      </c>
      <c r="G7352" t="s">
        <v>66</v>
      </c>
      <c r="H7352" t="s">
        <v>67</v>
      </c>
      <c r="S7352">
        <v>0</v>
      </c>
      <c r="T7352">
        <v>1</v>
      </c>
      <c r="U7352">
        <v>0</v>
      </c>
      <c r="V7352">
        <v>0</v>
      </c>
      <c r="W7352">
        <v>1</v>
      </c>
      <c r="X7352">
        <v>0</v>
      </c>
      <c r="Y7352">
        <v>1</v>
      </c>
      <c r="Z7352">
        <v>0</v>
      </c>
      <c r="AA7352">
        <v>1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</row>
    <row r="7353" spans="1:39" x14ac:dyDescent="0.2">
      <c r="A7353" t="str">
        <f>"7349"</f>
        <v>7349</v>
      </c>
      <c r="B7353" t="str">
        <f t="shared" si="409"/>
        <v>1</v>
      </c>
      <c r="C7353" t="str">
        <f t="shared" si="408"/>
        <v>147</v>
      </c>
      <c r="D7353" t="str">
        <f>"32"</f>
        <v>32</v>
      </c>
      <c r="E7353" t="str">
        <f>"1-147-32"</f>
        <v>1-147-32</v>
      </c>
      <c r="F7353" t="s">
        <v>65</v>
      </c>
      <c r="G7353" t="s">
        <v>66</v>
      </c>
      <c r="H7353" t="s">
        <v>67</v>
      </c>
      <c r="S7353">
        <v>1</v>
      </c>
      <c r="T7353">
        <v>0</v>
      </c>
      <c r="U7353">
        <v>0</v>
      </c>
      <c r="V7353">
        <v>0</v>
      </c>
      <c r="W7353">
        <v>1</v>
      </c>
      <c r="X7353">
        <v>0</v>
      </c>
      <c r="Y7353">
        <v>1</v>
      </c>
      <c r="Z7353">
        <v>0</v>
      </c>
      <c r="AA7353">
        <v>1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</row>
    <row r="7354" spans="1:39" x14ac:dyDescent="0.2">
      <c r="A7354" t="str">
        <f>"7350"</f>
        <v>7350</v>
      </c>
      <c r="B7354" t="str">
        <f t="shared" si="409"/>
        <v>1</v>
      </c>
      <c r="C7354" t="str">
        <f t="shared" si="408"/>
        <v>147</v>
      </c>
      <c r="D7354" t="str">
        <f>"4"</f>
        <v>4</v>
      </c>
      <c r="E7354" t="str">
        <f>"1-147-4"</f>
        <v>1-147-4</v>
      </c>
      <c r="F7354" t="s">
        <v>65</v>
      </c>
      <c r="G7354" t="s">
        <v>66</v>
      </c>
      <c r="H7354" t="s">
        <v>67</v>
      </c>
      <c r="S7354">
        <v>1</v>
      </c>
      <c r="T7354">
        <v>0</v>
      </c>
      <c r="U7354">
        <v>0</v>
      </c>
      <c r="V7354">
        <v>0</v>
      </c>
      <c r="W7354">
        <v>1</v>
      </c>
      <c r="X7354">
        <v>0</v>
      </c>
      <c r="Y7354">
        <v>1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1</v>
      </c>
      <c r="AH7354">
        <v>1</v>
      </c>
      <c r="AI7354">
        <v>1</v>
      </c>
      <c r="AJ7354">
        <v>1</v>
      </c>
      <c r="AK7354">
        <v>1</v>
      </c>
      <c r="AL7354">
        <v>1</v>
      </c>
      <c r="AM7354">
        <v>1</v>
      </c>
    </row>
    <row r="7355" spans="1:39" x14ac:dyDescent="0.2">
      <c r="A7355" t="str">
        <f>"7351"</f>
        <v>7351</v>
      </c>
      <c r="B7355" t="str">
        <f t="shared" si="409"/>
        <v>1</v>
      </c>
      <c r="C7355" t="str">
        <f t="shared" ref="C7355:C7386" si="410">"148"</f>
        <v>148</v>
      </c>
      <c r="D7355" t="str">
        <f>"36"</f>
        <v>36</v>
      </c>
      <c r="E7355" t="str">
        <f>"1-148-36"</f>
        <v>1-148-36</v>
      </c>
      <c r="F7355" t="s">
        <v>65</v>
      </c>
      <c r="G7355" t="s">
        <v>66</v>
      </c>
      <c r="H7355" t="s">
        <v>67</v>
      </c>
      <c r="S7355">
        <v>0</v>
      </c>
      <c r="T7355">
        <v>1</v>
      </c>
      <c r="U7355">
        <v>0</v>
      </c>
      <c r="V7355">
        <v>0</v>
      </c>
      <c r="W7355">
        <v>0</v>
      </c>
      <c r="X7355">
        <v>1</v>
      </c>
      <c r="Y7355">
        <v>0</v>
      </c>
      <c r="Z7355">
        <v>1</v>
      </c>
      <c r="AA7355">
        <v>0</v>
      </c>
      <c r="AB7355">
        <v>0</v>
      </c>
      <c r="AC7355">
        <v>1</v>
      </c>
      <c r="AD7355">
        <v>0</v>
      </c>
      <c r="AE7355">
        <v>0</v>
      </c>
      <c r="AF7355">
        <v>0</v>
      </c>
      <c r="AG7355">
        <v>1</v>
      </c>
      <c r="AH7355">
        <v>1</v>
      </c>
      <c r="AI7355">
        <v>0</v>
      </c>
      <c r="AJ7355">
        <v>1</v>
      </c>
      <c r="AK7355">
        <v>1</v>
      </c>
      <c r="AL7355">
        <v>1</v>
      </c>
      <c r="AM7355">
        <v>1</v>
      </c>
    </row>
    <row r="7356" spans="1:39" x14ac:dyDescent="0.2">
      <c r="A7356" t="str">
        <f>"7352"</f>
        <v>7352</v>
      </c>
      <c r="B7356" t="str">
        <f t="shared" si="409"/>
        <v>1</v>
      </c>
      <c r="C7356" t="str">
        <f t="shared" si="410"/>
        <v>148</v>
      </c>
      <c r="D7356" t="str">
        <f>"35"</f>
        <v>35</v>
      </c>
      <c r="E7356" t="str">
        <f>"1-148-35"</f>
        <v>1-148-35</v>
      </c>
      <c r="F7356" t="s">
        <v>65</v>
      </c>
      <c r="G7356" t="s">
        <v>66</v>
      </c>
      <c r="H7356" t="s">
        <v>67</v>
      </c>
      <c r="S7356">
        <v>1</v>
      </c>
      <c r="T7356">
        <v>0</v>
      </c>
      <c r="U7356">
        <v>0</v>
      </c>
      <c r="V7356">
        <v>0</v>
      </c>
      <c r="W7356">
        <v>1</v>
      </c>
      <c r="X7356">
        <v>0</v>
      </c>
      <c r="Y7356">
        <v>1</v>
      </c>
      <c r="Z7356">
        <v>0</v>
      </c>
      <c r="AA7356">
        <v>1</v>
      </c>
      <c r="AB7356">
        <v>0</v>
      </c>
      <c r="AC7356">
        <v>0</v>
      </c>
      <c r="AD7356">
        <v>1</v>
      </c>
      <c r="AE7356">
        <v>1</v>
      </c>
      <c r="AF7356">
        <v>1</v>
      </c>
      <c r="AG7356">
        <v>1</v>
      </c>
      <c r="AH7356">
        <v>1</v>
      </c>
      <c r="AI7356">
        <v>1</v>
      </c>
      <c r="AJ7356">
        <v>1</v>
      </c>
      <c r="AK7356">
        <v>1</v>
      </c>
      <c r="AL7356">
        <v>1</v>
      </c>
      <c r="AM7356">
        <v>1</v>
      </c>
    </row>
    <row r="7357" spans="1:39" x14ac:dyDescent="0.2">
      <c r="A7357" t="str">
        <f>"7353"</f>
        <v>7353</v>
      </c>
      <c r="B7357" t="str">
        <f t="shared" si="409"/>
        <v>1</v>
      </c>
      <c r="C7357" t="str">
        <f t="shared" si="410"/>
        <v>148</v>
      </c>
      <c r="D7357" t="str">
        <f>"15"</f>
        <v>15</v>
      </c>
      <c r="E7357" t="str">
        <f>"1-148-15"</f>
        <v>1-148-15</v>
      </c>
      <c r="F7357" t="s">
        <v>65</v>
      </c>
      <c r="G7357" t="s">
        <v>66</v>
      </c>
      <c r="H7357" t="s">
        <v>67</v>
      </c>
      <c r="S7357">
        <v>1</v>
      </c>
      <c r="T7357">
        <v>0</v>
      </c>
      <c r="U7357">
        <v>0</v>
      </c>
      <c r="V7357">
        <v>0</v>
      </c>
      <c r="W7357">
        <v>1</v>
      </c>
      <c r="X7357">
        <v>0</v>
      </c>
      <c r="Y7357">
        <v>1</v>
      </c>
      <c r="Z7357">
        <v>0</v>
      </c>
      <c r="AA7357">
        <v>0</v>
      </c>
      <c r="AB7357">
        <v>1</v>
      </c>
      <c r="AC7357">
        <v>0</v>
      </c>
      <c r="AD7357">
        <v>1</v>
      </c>
      <c r="AE7357">
        <v>1</v>
      </c>
      <c r="AF7357">
        <v>1</v>
      </c>
      <c r="AG7357">
        <v>1</v>
      </c>
      <c r="AH7357">
        <v>1</v>
      </c>
      <c r="AI7357">
        <v>1</v>
      </c>
      <c r="AJ7357">
        <v>1</v>
      </c>
      <c r="AK7357">
        <v>1</v>
      </c>
      <c r="AL7357">
        <v>1</v>
      </c>
      <c r="AM7357">
        <v>1</v>
      </c>
    </row>
    <row r="7358" spans="1:39" x14ac:dyDescent="0.2">
      <c r="A7358" t="str">
        <f>"7354"</f>
        <v>7354</v>
      </c>
      <c r="B7358" t="str">
        <f t="shared" si="409"/>
        <v>1</v>
      </c>
      <c r="C7358" t="str">
        <f t="shared" si="410"/>
        <v>148</v>
      </c>
      <c r="D7358" t="str">
        <f>"1"</f>
        <v>1</v>
      </c>
      <c r="E7358" t="str">
        <f>"1-148-1"</f>
        <v>1-148-1</v>
      </c>
      <c r="F7358" t="s">
        <v>65</v>
      </c>
      <c r="G7358" t="s">
        <v>66</v>
      </c>
      <c r="H7358" t="s">
        <v>67</v>
      </c>
      <c r="S7358">
        <v>0</v>
      </c>
      <c r="T7358">
        <v>1</v>
      </c>
      <c r="U7358">
        <v>0</v>
      </c>
      <c r="V7358">
        <v>0</v>
      </c>
      <c r="W7358">
        <v>1</v>
      </c>
      <c r="X7358">
        <v>0</v>
      </c>
      <c r="Y7358">
        <v>0</v>
      </c>
      <c r="Z7358">
        <v>1</v>
      </c>
      <c r="AA7358">
        <v>0</v>
      </c>
      <c r="AB7358">
        <v>0</v>
      </c>
      <c r="AC7358">
        <v>1</v>
      </c>
      <c r="AD7358">
        <v>0</v>
      </c>
      <c r="AE7358">
        <v>0</v>
      </c>
      <c r="AF7358">
        <v>0</v>
      </c>
      <c r="AG7358">
        <v>0</v>
      </c>
      <c r="AH7358">
        <v>1</v>
      </c>
      <c r="AI7358">
        <v>1</v>
      </c>
      <c r="AJ7358">
        <v>1</v>
      </c>
      <c r="AK7358">
        <v>0</v>
      </c>
      <c r="AL7358">
        <v>1</v>
      </c>
      <c r="AM7358">
        <v>0</v>
      </c>
    </row>
    <row r="7359" spans="1:39" x14ac:dyDescent="0.2">
      <c r="A7359" t="str">
        <f>"7355"</f>
        <v>7355</v>
      </c>
      <c r="B7359" t="str">
        <f t="shared" si="409"/>
        <v>1</v>
      </c>
      <c r="C7359" t="str">
        <f t="shared" si="410"/>
        <v>148</v>
      </c>
      <c r="D7359" t="str">
        <f>"38"</f>
        <v>38</v>
      </c>
      <c r="E7359" t="str">
        <f>"1-148-38"</f>
        <v>1-148-38</v>
      </c>
      <c r="F7359" t="s">
        <v>65</v>
      </c>
      <c r="G7359" t="s">
        <v>66</v>
      </c>
      <c r="H7359" t="s">
        <v>67</v>
      </c>
      <c r="S7359">
        <v>1</v>
      </c>
      <c r="T7359">
        <v>0</v>
      </c>
      <c r="U7359">
        <v>0</v>
      </c>
      <c r="V7359">
        <v>0</v>
      </c>
      <c r="W7359">
        <v>1</v>
      </c>
      <c r="X7359">
        <v>0</v>
      </c>
      <c r="Y7359">
        <v>1</v>
      </c>
      <c r="Z7359">
        <v>0</v>
      </c>
      <c r="AA7359">
        <v>0</v>
      </c>
      <c r="AB7359">
        <v>1</v>
      </c>
      <c r="AC7359">
        <v>0</v>
      </c>
      <c r="AD7359">
        <v>1</v>
      </c>
      <c r="AE7359">
        <v>1</v>
      </c>
      <c r="AF7359">
        <v>1</v>
      </c>
      <c r="AG7359">
        <v>1</v>
      </c>
      <c r="AH7359">
        <v>1</v>
      </c>
      <c r="AI7359">
        <v>1</v>
      </c>
      <c r="AJ7359">
        <v>1</v>
      </c>
      <c r="AK7359">
        <v>1</v>
      </c>
      <c r="AL7359">
        <v>1</v>
      </c>
      <c r="AM7359">
        <v>1</v>
      </c>
    </row>
    <row r="7360" spans="1:39" x14ac:dyDescent="0.2">
      <c r="A7360" t="str">
        <f>"7356"</f>
        <v>7356</v>
      </c>
      <c r="B7360" t="str">
        <f t="shared" si="409"/>
        <v>1</v>
      </c>
      <c r="C7360" t="str">
        <f t="shared" si="410"/>
        <v>148</v>
      </c>
      <c r="D7360" t="str">
        <f>"37"</f>
        <v>37</v>
      </c>
      <c r="E7360" t="str">
        <f>"1-148-37"</f>
        <v>1-148-37</v>
      </c>
      <c r="F7360" t="s">
        <v>65</v>
      </c>
      <c r="G7360" t="s">
        <v>66</v>
      </c>
      <c r="H7360" t="s">
        <v>67</v>
      </c>
      <c r="S7360">
        <v>1</v>
      </c>
      <c r="T7360">
        <v>0</v>
      </c>
      <c r="U7360">
        <v>0</v>
      </c>
      <c r="V7360">
        <v>0</v>
      </c>
      <c r="W7360">
        <v>1</v>
      </c>
      <c r="X7360">
        <v>0</v>
      </c>
      <c r="Y7360">
        <v>1</v>
      </c>
      <c r="Z7360">
        <v>0</v>
      </c>
      <c r="AA7360">
        <v>1</v>
      </c>
      <c r="AB7360">
        <v>0</v>
      </c>
      <c r="AC7360">
        <v>0</v>
      </c>
      <c r="AD7360">
        <v>1</v>
      </c>
      <c r="AE7360">
        <v>1</v>
      </c>
      <c r="AF7360">
        <v>1</v>
      </c>
      <c r="AG7360">
        <v>1</v>
      </c>
      <c r="AH7360">
        <v>1</v>
      </c>
      <c r="AI7360">
        <v>1</v>
      </c>
      <c r="AJ7360">
        <v>1</v>
      </c>
      <c r="AK7360">
        <v>1</v>
      </c>
      <c r="AL7360">
        <v>1</v>
      </c>
      <c r="AM7360">
        <v>1</v>
      </c>
    </row>
    <row r="7361" spans="1:39" x14ac:dyDescent="0.2">
      <c r="A7361" t="str">
        <f>"7357"</f>
        <v>7357</v>
      </c>
      <c r="B7361" t="str">
        <f t="shared" si="409"/>
        <v>1</v>
      </c>
      <c r="C7361" t="str">
        <f t="shared" si="410"/>
        <v>148</v>
      </c>
      <c r="D7361" t="str">
        <f>"16"</f>
        <v>16</v>
      </c>
      <c r="E7361" t="str">
        <f>"1-148-16"</f>
        <v>1-148-16</v>
      </c>
      <c r="F7361" t="s">
        <v>65</v>
      </c>
      <c r="G7361" t="s">
        <v>66</v>
      </c>
      <c r="H7361" t="s">
        <v>67</v>
      </c>
      <c r="S7361">
        <v>1</v>
      </c>
      <c r="T7361">
        <v>0</v>
      </c>
      <c r="U7361">
        <v>0</v>
      </c>
      <c r="V7361">
        <v>0</v>
      </c>
      <c r="W7361">
        <v>1</v>
      </c>
      <c r="X7361">
        <v>0</v>
      </c>
      <c r="Y7361">
        <v>1</v>
      </c>
      <c r="Z7361">
        <v>0</v>
      </c>
      <c r="AA7361">
        <v>1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</row>
    <row r="7362" spans="1:39" x14ac:dyDescent="0.2">
      <c r="A7362" t="str">
        <f>"7358"</f>
        <v>7358</v>
      </c>
      <c r="B7362" t="str">
        <f t="shared" si="409"/>
        <v>1</v>
      </c>
      <c r="C7362" t="str">
        <f t="shared" si="410"/>
        <v>148</v>
      </c>
      <c r="D7362" t="str">
        <f>"3"</f>
        <v>3</v>
      </c>
      <c r="E7362" t="str">
        <f>"1-148-3"</f>
        <v>1-148-3</v>
      </c>
      <c r="F7362" t="s">
        <v>65</v>
      </c>
      <c r="G7362" t="s">
        <v>66</v>
      </c>
      <c r="H7362" t="s">
        <v>67</v>
      </c>
      <c r="S7362">
        <v>0</v>
      </c>
      <c r="T7362">
        <v>1</v>
      </c>
      <c r="U7362">
        <v>0</v>
      </c>
      <c r="V7362">
        <v>0</v>
      </c>
      <c r="W7362">
        <v>1</v>
      </c>
      <c r="X7362">
        <v>0</v>
      </c>
      <c r="Y7362">
        <v>0</v>
      </c>
      <c r="Z7362">
        <v>1</v>
      </c>
      <c r="AA7362">
        <v>0</v>
      </c>
      <c r="AB7362">
        <v>0</v>
      </c>
      <c r="AC7362">
        <v>0</v>
      </c>
      <c r="AD7362">
        <v>0</v>
      </c>
      <c r="AE7362">
        <v>1</v>
      </c>
      <c r="AF7362">
        <v>0</v>
      </c>
      <c r="AG7362">
        <v>1</v>
      </c>
      <c r="AH7362">
        <v>1</v>
      </c>
      <c r="AI7362">
        <v>1</v>
      </c>
      <c r="AJ7362">
        <v>1</v>
      </c>
      <c r="AK7362">
        <v>1</v>
      </c>
      <c r="AL7362">
        <v>1</v>
      </c>
      <c r="AM7362">
        <v>0</v>
      </c>
    </row>
    <row r="7363" spans="1:39" x14ac:dyDescent="0.2">
      <c r="A7363" t="str">
        <f>"7359"</f>
        <v>7359</v>
      </c>
      <c r="B7363" t="str">
        <f t="shared" si="409"/>
        <v>1</v>
      </c>
      <c r="C7363" t="str">
        <f t="shared" si="410"/>
        <v>148</v>
      </c>
      <c r="D7363" t="str">
        <f>"34"</f>
        <v>34</v>
      </c>
      <c r="E7363" t="str">
        <f>"1-148-34"</f>
        <v>1-148-34</v>
      </c>
      <c r="F7363" t="s">
        <v>65</v>
      </c>
      <c r="G7363" t="s">
        <v>66</v>
      </c>
      <c r="H7363" t="s">
        <v>67</v>
      </c>
      <c r="S7363">
        <v>1</v>
      </c>
      <c r="T7363">
        <v>0</v>
      </c>
      <c r="U7363">
        <v>0</v>
      </c>
      <c r="V7363">
        <v>0</v>
      </c>
      <c r="W7363">
        <v>0</v>
      </c>
      <c r="X7363">
        <v>1</v>
      </c>
      <c r="Y7363">
        <v>1</v>
      </c>
      <c r="Z7363">
        <v>0</v>
      </c>
      <c r="AA7363">
        <v>0</v>
      </c>
      <c r="AB7363">
        <v>1</v>
      </c>
      <c r="AC7363">
        <v>0</v>
      </c>
      <c r="AD7363">
        <v>1</v>
      </c>
      <c r="AE7363">
        <v>1</v>
      </c>
      <c r="AF7363">
        <v>1</v>
      </c>
      <c r="AG7363">
        <v>1</v>
      </c>
      <c r="AH7363">
        <v>1</v>
      </c>
      <c r="AI7363">
        <v>1</v>
      </c>
      <c r="AJ7363">
        <v>1</v>
      </c>
      <c r="AK7363">
        <v>1</v>
      </c>
      <c r="AL7363">
        <v>1</v>
      </c>
      <c r="AM7363">
        <v>1</v>
      </c>
    </row>
    <row r="7364" spans="1:39" x14ac:dyDescent="0.2">
      <c r="A7364" t="str">
        <f>"7360"</f>
        <v>7360</v>
      </c>
      <c r="B7364" t="str">
        <f t="shared" si="409"/>
        <v>1</v>
      </c>
      <c r="C7364" t="str">
        <f t="shared" si="410"/>
        <v>148</v>
      </c>
      <c r="D7364" t="str">
        <f>"33"</f>
        <v>33</v>
      </c>
      <c r="E7364" t="str">
        <f>"1-148-33"</f>
        <v>1-148-33</v>
      </c>
      <c r="F7364" t="s">
        <v>65</v>
      </c>
      <c r="G7364" t="s">
        <v>66</v>
      </c>
      <c r="H7364" t="s">
        <v>67</v>
      </c>
      <c r="S7364">
        <v>1</v>
      </c>
      <c r="T7364">
        <v>0</v>
      </c>
      <c r="U7364">
        <v>0</v>
      </c>
      <c r="V7364">
        <v>0</v>
      </c>
      <c r="W7364">
        <v>1</v>
      </c>
      <c r="X7364">
        <v>0</v>
      </c>
      <c r="Y7364">
        <v>1</v>
      </c>
      <c r="Z7364">
        <v>0</v>
      </c>
      <c r="AA7364">
        <v>1</v>
      </c>
      <c r="AB7364">
        <v>0</v>
      </c>
      <c r="AC7364">
        <v>0</v>
      </c>
      <c r="AD7364">
        <v>1</v>
      </c>
      <c r="AE7364">
        <v>1</v>
      </c>
      <c r="AF7364">
        <v>1</v>
      </c>
      <c r="AG7364">
        <v>1</v>
      </c>
      <c r="AH7364">
        <v>1</v>
      </c>
      <c r="AI7364">
        <v>1</v>
      </c>
      <c r="AJ7364">
        <v>1</v>
      </c>
      <c r="AK7364">
        <v>1</v>
      </c>
      <c r="AL7364">
        <v>1</v>
      </c>
      <c r="AM7364">
        <v>1</v>
      </c>
    </row>
    <row r="7365" spans="1:39" x14ac:dyDescent="0.2">
      <c r="A7365" t="str">
        <f>"7361"</f>
        <v>7361</v>
      </c>
      <c r="B7365" t="str">
        <f t="shared" si="409"/>
        <v>1</v>
      </c>
      <c r="C7365" t="str">
        <f t="shared" si="410"/>
        <v>148</v>
      </c>
      <c r="D7365" t="str">
        <f>"22"</f>
        <v>22</v>
      </c>
      <c r="E7365" t="str">
        <f>"1-148-22"</f>
        <v>1-148-22</v>
      </c>
      <c r="F7365" t="s">
        <v>65</v>
      </c>
      <c r="G7365" t="s">
        <v>66</v>
      </c>
      <c r="H7365" t="s">
        <v>67</v>
      </c>
      <c r="S7365">
        <v>1</v>
      </c>
      <c r="T7365">
        <v>0</v>
      </c>
      <c r="U7365">
        <v>0</v>
      </c>
      <c r="V7365">
        <v>0</v>
      </c>
      <c r="W7365">
        <v>1</v>
      </c>
      <c r="X7365">
        <v>0</v>
      </c>
      <c r="Y7365">
        <v>1</v>
      </c>
      <c r="Z7365">
        <v>0</v>
      </c>
      <c r="AA7365">
        <v>1</v>
      </c>
      <c r="AB7365">
        <v>0</v>
      </c>
      <c r="AC7365">
        <v>0</v>
      </c>
      <c r="AD7365">
        <v>1</v>
      </c>
      <c r="AE7365">
        <v>1</v>
      </c>
      <c r="AF7365">
        <v>1</v>
      </c>
      <c r="AG7365">
        <v>1</v>
      </c>
      <c r="AH7365">
        <v>1</v>
      </c>
      <c r="AI7365">
        <v>1</v>
      </c>
      <c r="AJ7365">
        <v>1</v>
      </c>
      <c r="AK7365">
        <v>1</v>
      </c>
      <c r="AL7365">
        <v>1</v>
      </c>
      <c r="AM7365">
        <v>1</v>
      </c>
    </row>
    <row r="7366" spans="1:39" x14ac:dyDescent="0.2">
      <c r="A7366" t="str">
        <f>"7362"</f>
        <v>7362</v>
      </c>
      <c r="B7366" t="str">
        <f t="shared" si="409"/>
        <v>1</v>
      </c>
      <c r="C7366" t="str">
        <f t="shared" si="410"/>
        <v>148</v>
      </c>
      <c r="D7366" t="str">
        <f>"17"</f>
        <v>17</v>
      </c>
      <c r="E7366" t="str">
        <f>"1-148-17"</f>
        <v>1-148-17</v>
      </c>
      <c r="F7366" t="s">
        <v>65</v>
      </c>
      <c r="G7366" t="s">
        <v>66</v>
      </c>
      <c r="H7366" t="s">
        <v>67</v>
      </c>
      <c r="S7366">
        <v>1</v>
      </c>
      <c r="T7366">
        <v>0</v>
      </c>
      <c r="U7366">
        <v>0</v>
      </c>
      <c r="V7366">
        <v>0</v>
      </c>
      <c r="W7366">
        <v>0</v>
      </c>
      <c r="X7366">
        <v>1</v>
      </c>
      <c r="Y7366">
        <v>0</v>
      </c>
      <c r="Z7366">
        <v>1</v>
      </c>
      <c r="AA7366">
        <v>0</v>
      </c>
      <c r="AB7366">
        <v>1</v>
      </c>
      <c r="AC7366">
        <v>0</v>
      </c>
      <c r="AD7366">
        <v>0</v>
      </c>
      <c r="AE7366">
        <v>0</v>
      </c>
      <c r="AF7366">
        <v>0</v>
      </c>
      <c r="AG7366">
        <v>1</v>
      </c>
      <c r="AH7366">
        <v>0</v>
      </c>
      <c r="AI7366">
        <v>0</v>
      </c>
      <c r="AJ7366">
        <v>0</v>
      </c>
      <c r="AK7366">
        <v>0</v>
      </c>
      <c r="AL7366">
        <v>1</v>
      </c>
      <c r="AM7366">
        <v>0</v>
      </c>
    </row>
    <row r="7367" spans="1:39" x14ac:dyDescent="0.2">
      <c r="A7367" t="str">
        <f>"7363"</f>
        <v>7363</v>
      </c>
      <c r="B7367" t="str">
        <f t="shared" si="409"/>
        <v>1</v>
      </c>
      <c r="C7367" t="str">
        <f t="shared" si="410"/>
        <v>148</v>
      </c>
      <c r="D7367" t="str">
        <f>"12"</f>
        <v>12</v>
      </c>
      <c r="E7367" t="str">
        <f>"1-148-12"</f>
        <v>1-148-12</v>
      </c>
      <c r="F7367" t="s">
        <v>65</v>
      </c>
      <c r="G7367" t="s">
        <v>66</v>
      </c>
      <c r="H7367" t="s">
        <v>67</v>
      </c>
      <c r="S7367">
        <v>0</v>
      </c>
      <c r="T7367">
        <v>1</v>
      </c>
      <c r="U7367">
        <v>0</v>
      </c>
      <c r="V7367">
        <v>0</v>
      </c>
      <c r="W7367">
        <v>1</v>
      </c>
      <c r="X7367">
        <v>0</v>
      </c>
      <c r="Y7367">
        <v>1</v>
      </c>
      <c r="Z7367">
        <v>0</v>
      </c>
      <c r="AA7367">
        <v>0</v>
      </c>
      <c r="AB7367">
        <v>1</v>
      </c>
      <c r="AC7367">
        <v>0</v>
      </c>
      <c r="AD7367">
        <v>0</v>
      </c>
      <c r="AE7367">
        <v>0</v>
      </c>
      <c r="AF7367">
        <v>0</v>
      </c>
      <c r="AG7367">
        <v>1</v>
      </c>
      <c r="AH7367">
        <v>0</v>
      </c>
      <c r="AI7367">
        <v>0</v>
      </c>
      <c r="AJ7367">
        <v>1</v>
      </c>
      <c r="AK7367">
        <v>0</v>
      </c>
      <c r="AL7367">
        <v>0</v>
      </c>
      <c r="AM7367">
        <v>1</v>
      </c>
    </row>
    <row r="7368" spans="1:39" x14ac:dyDescent="0.2">
      <c r="A7368" t="str">
        <f>"7364"</f>
        <v>7364</v>
      </c>
      <c r="B7368" t="str">
        <f t="shared" si="409"/>
        <v>1</v>
      </c>
      <c r="C7368" t="str">
        <f t="shared" si="410"/>
        <v>148</v>
      </c>
      <c r="D7368" t="str">
        <f>"40"</f>
        <v>40</v>
      </c>
      <c r="E7368" t="str">
        <f>"1-148-40"</f>
        <v>1-148-40</v>
      </c>
      <c r="F7368" t="s">
        <v>65</v>
      </c>
      <c r="G7368" t="s">
        <v>66</v>
      </c>
      <c r="H7368" t="s">
        <v>67</v>
      </c>
      <c r="S7368">
        <v>1</v>
      </c>
      <c r="T7368">
        <v>0</v>
      </c>
      <c r="U7368">
        <v>0</v>
      </c>
      <c r="V7368">
        <v>0</v>
      </c>
      <c r="W7368">
        <v>1</v>
      </c>
      <c r="X7368">
        <v>0</v>
      </c>
      <c r="Y7368">
        <v>0</v>
      </c>
      <c r="Z7368">
        <v>1</v>
      </c>
      <c r="AA7368">
        <v>0</v>
      </c>
      <c r="AB7368">
        <v>1</v>
      </c>
      <c r="AC7368">
        <v>0</v>
      </c>
      <c r="AD7368">
        <v>0</v>
      </c>
      <c r="AE7368">
        <v>0</v>
      </c>
      <c r="AF7368">
        <v>0</v>
      </c>
      <c r="AG7368">
        <v>1</v>
      </c>
      <c r="AH7368">
        <v>0</v>
      </c>
      <c r="AI7368">
        <v>0</v>
      </c>
      <c r="AJ7368">
        <v>0</v>
      </c>
      <c r="AK7368">
        <v>1</v>
      </c>
      <c r="AL7368">
        <v>1</v>
      </c>
      <c r="AM7368">
        <v>0</v>
      </c>
    </row>
    <row r="7369" spans="1:39" x14ac:dyDescent="0.2">
      <c r="A7369" t="str">
        <f>"7365"</f>
        <v>7365</v>
      </c>
      <c r="B7369" t="str">
        <f t="shared" si="409"/>
        <v>1</v>
      </c>
      <c r="C7369" t="str">
        <f t="shared" si="410"/>
        <v>148</v>
      </c>
      <c r="D7369" t="str">
        <f>"39"</f>
        <v>39</v>
      </c>
      <c r="E7369" t="str">
        <f>"1-148-39"</f>
        <v>1-148-39</v>
      </c>
      <c r="F7369" t="s">
        <v>65</v>
      </c>
      <c r="G7369" t="s">
        <v>66</v>
      </c>
      <c r="H7369" t="s">
        <v>67</v>
      </c>
      <c r="S7369">
        <v>1</v>
      </c>
      <c r="T7369">
        <v>0</v>
      </c>
      <c r="U7369">
        <v>0</v>
      </c>
      <c r="V7369">
        <v>0</v>
      </c>
      <c r="W7369">
        <v>1</v>
      </c>
      <c r="X7369">
        <v>0</v>
      </c>
      <c r="Y7369">
        <v>1</v>
      </c>
      <c r="Z7369">
        <v>0</v>
      </c>
      <c r="AA7369">
        <v>1</v>
      </c>
      <c r="AB7369">
        <v>0</v>
      </c>
      <c r="AC7369">
        <v>0</v>
      </c>
      <c r="AD7369">
        <v>1</v>
      </c>
      <c r="AE7369">
        <v>1</v>
      </c>
      <c r="AF7369">
        <v>1</v>
      </c>
      <c r="AG7369">
        <v>1</v>
      </c>
      <c r="AH7369">
        <v>1</v>
      </c>
      <c r="AI7369">
        <v>1</v>
      </c>
      <c r="AJ7369">
        <v>1</v>
      </c>
      <c r="AK7369">
        <v>1</v>
      </c>
      <c r="AL7369">
        <v>1</v>
      </c>
      <c r="AM7369">
        <v>1</v>
      </c>
    </row>
    <row r="7370" spans="1:39" x14ac:dyDescent="0.2">
      <c r="A7370" t="str">
        <f>"7366"</f>
        <v>7366</v>
      </c>
      <c r="B7370" t="str">
        <f t="shared" si="409"/>
        <v>1</v>
      </c>
      <c r="C7370" t="str">
        <f t="shared" si="410"/>
        <v>148</v>
      </c>
      <c r="D7370" t="str">
        <f>"31"</f>
        <v>31</v>
      </c>
      <c r="E7370" t="str">
        <f>"1-148-31"</f>
        <v>1-148-31</v>
      </c>
      <c r="F7370" t="s">
        <v>65</v>
      </c>
      <c r="G7370" t="s">
        <v>66</v>
      </c>
      <c r="H7370" t="s">
        <v>67</v>
      </c>
      <c r="S7370">
        <v>1</v>
      </c>
      <c r="T7370">
        <v>0</v>
      </c>
      <c r="U7370">
        <v>0</v>
      </c>
      <c r="V7370">
        <v>0</v>
      </c>
      <c r="W7370">
        <v>1</v>
      </c>
      <c r="X7370">
        <v>0</v>
      </c>
      <c r="Y7370">
        <v>1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1</v>
      </c>
      <c r="AI7370">
        <v>0</v>
      </c>
      <c r="AJ7370">
        <v>1</v>
      </c>
      <c r="AK7370">
        <v>1</v>
      </c>
      <c r="AL7370">
        <v>1</v>
      </c>
      <c r="AM7370">
        <v>0</v>
      </c>
    </row>
    <row r="7371" spans="1:39" x14ac:dyDescent="0.2">
      <c r="A7371" t="str">
        <f>"7367"</f>
        <v>7367</v>
      </c>
      <c r="B7371" t="str">
        <f t="shared" si="409"/>
        <v>1</v>
      </c>
      <c r="C7371" t="str">
        <f t="shared" si="410"/>
        <v>148</v>
      </c>
      <c r="D7371" t="str">
        <f>"18"</f>
        <v>18</v>
      </c>
      <c r="E7371" t="str">
        <f>"1-148-18"</f>
        <v>1-148-18</v>
      </c>
      <c r="F7371" t="s">
        <v>65</v>
      </c>
      <c r="G7371" t="s">
        <v>66</v>
      </c>
      <c r="H7371" t="s">
        <v>67</v>
      </c>
      <c r="S7371">
        <v>0</v>
      </c>
      <c r="T7371">
        <v>1</v>
      </c>
      <c r="U7371">
        <v>0</v>
      </c>
      <c r="V7371">
        <v>0</v>
      </c>
      <c r="W7371">
        <v>1</v>
      </c>
      <c r="X7371">
        <v>0</v>
      </c>
      <c r="Y7371">
        <v>1</v>
      </c>
      <c r="Z7371">
        <v>0</v>
      </c>
      <c r="AA7371">
        <v>0</v>
      </c>
      <c r="AB7371">
        <v>0</v>
      </c>
      <c r="AC7371">
        <v>1</v>
      </c>
      <c r="AD7371">
        <v>1</v>
      </c>
      <c r="AE7371">
        <v>1</v>
      </c>
      <c r="AF7371">
        <v>1</v>
      </c>
      <c r="AG7371">
        <v>1</v>
      </c>
      <c r="AH7371">
        <v>1</v>
      </c>
      <c r="AI7371">
        <v>1</v>
      </c>
      <c r="AJ7371">
        <v>1</v>
      </c>
      <c r="AK7371">
        <v>1</v>
      </c>
      <c r="AL7371">
        <v>1</v>
      </c>
      <c r="AM7371">
        <v>1</v>
      </c>
    </row>
    <row r="7372" spans="1:39" x14ac:dyDescent="0.2">
      <c r="A7372" t="str">
        <f>"7368"</f>
        <v>7368</v>
      </c>
      <c r="B7372" t="str">
        <f t="shared" si="409"/>
        <v>1</v>
      </c>
      <c r="C7372" t="str">
        <f t="shared" si="410"/>
        <v>148</v>
      </c>
      <c r="D7372" t="str">
        <f>"8"</f>
        <v>8</v>
      </c>
      <c r="E7372" t="str">
        <f>"1-148-8"</f>
        <v>1-148-8</v>
      </c>
      <c r="F7372" t="s">
        <v>65</v>
      </c>
      <c r="G7372" t="s">
        <v>66</v>
      </c>
      <c r="H7372" t="s">
        <v>67</v>
      </c>
      <c r="S7372">
        <v>1</v>
      </c>
      <c r="T7372">
        <v>0</v>
      </c>
      <c r="U7372">
        <v>0</v>
      </c>
      <c r="V7372">
        <v>0</v>
      </c>
      <c r="W7372">
        <v>1</v>
      </c>
      <c r="X7372">
        <v>0</v>
      </c>
      <c r="Y7372">
        <v>1</v>
      </c>
      <c r="Z7372">
        <v>0</v>
      </c>
      <c r="AA7372">
        <v>0</v>
      </c>
      <c r="AB7372">
        <v>1</v>
      </c>
      <c r="AC7372">
        <v>0</v>
      </c>
      <c r="AD7372">
        <v>1</v>
      </c>
      <c r="AE7372">
        <v>1</v>
      </c>
      <c r="AF7372">
        <v>0</v>
      </c>
      <c r="AG7372">
        <v>1</v>
      </c>
      <c r="AH7372">
        <v>1</v>
      </c>
      <c r="AI7372">
        <v>1</v>
      </c>
      <c r="AJ7372">
        <v>1</v>
      </c>
      <c r="AK7372">
        <v>1</v>
      </c>
      <c r="AL7372">
        <v>1</v>
      </c>
      <c r="AM7372">
        <v>1</v>
      </c>
    </row>
    <row r="7373" spans="1:39" x14ac:dyDescent="0.2">
      <c r="A7373" t="str">
        <f>"7369"</f>
        <v>7369</v>
      </c>
      <c r="B7373" t="str">
        <f t="shared" si="409"/>
        <v>1</v>
      </c>
      <c r="C7373" t="str">
        <f t="shared" si="410"/>
        <v>148</v>
      </c>
      <c r="D7373" t="str">
        <f>"41"</f>
        <v>41</v>
      </c>
      <c r="E7373" t="str">
        <f>"1-148-41"</f>
        <v>1-148-41</v>
      </c>
      <c r="F7373" t="s">
        <v>65</v>
      </c>
      <c r="G7373" t="s">
        <v>66</v>
      </c>
      <c r="H7373" t="s">
        <v>67</v>
      </c>
      <c r="S7373">
        <v>1</v>
      </c>
      <c r="T7373">
        <v>0</v>
      </c>
      <c r="U7373">
        <v>0</v>
      </c>
      <c r="V7373">
        <v>0</v>
      </c>
      <c r="W7373">
        <v>1</v>
      </c>
      <c r="X7373">
        <v>0</v>
      </c>
      <c r="Y7373">
        <v>1</v>
      </c>
      <c r="Z7373">
        <v>0</v>
      </c>
      <c r="AA7373">
        <v>1</v>
      </c>
      <c r="AB7373">
        <v>0</v>
      </c>
      <c r="AC7373">
        <v>0</v>
      </c>
      <c r="AD7373">
        <v>1</v>
      </c>
      <c r="AE7373">
        <v>1</v>
      </c>
      <c r="AF7373">
        <v>1</v>
      </c>
      <c r="AG7373">
        <v>1</v>
      </c>
      <c r="AH7373">
        <v>1</v>
      </c>
      <c r="AI7373">
        <v>1</v>
      </c>
      <c r="AJ7373">
        <v>1</v>
      </c>
      <c r="AK7373">
        <v>1</v>
      </c>
      <c r="AL7373">
        <v>1</v>
      </c>
      <c r="AM7373">
        <v>1</v>
      </c>
    </row>
    <row r="7374" spans="1:39" x14ac:dyDescent="0.2">
      <c r="A7374" t="str">
        <f>"7370"</f>
        <v>7370</v>
      </c>
      <c r="B7374" t="str">
        <f t="shared" si="409"/>
        <v>1</v>
      </c>
      <c r="C7374" t="str">
        <f t="shared" si="410"/>
        <v>148</v>
      </c>
      <c r="D7374" t="str">
        <f>"19"</f>
        <v>19</v>
      </c>
      <c r="E7374" t="str">
        <f>"1-148-19"</f>
        <v>1-148-19</v>
      </c>
      <c r="F7374" t="s">
        <v>65</v>
      </c>
      <c r="G7374" t="s">
        <v>66</v>
      </c>
      <c r="H7374" t="s">
        <v>67</v>
      </c>
      <c r="S7374">
        <v>1</v>
      </c>
      <c r="T7374">
        <v>0</v>
      </c>
      <c r="U7374">
        <v>0</v>
      </c>
      <c r="V7374">
        <v>0</v>
      </c>
      <c r="W7374">
        <v>1</v>
      </c>
      <c r="X7374">
        <v>0</v>
      </c>
      <c r="Y7374">
        <v>0</v>
      </c>
      <c r="Z7374">
        <v>1</v>
      </c>
      <c r="AA7374">
        <v>0</v>
      </c>
      <c r="AB7374">
        <v>0</v>
      </c>
      <c r="AC7374">
        <v>1</v>
      </c>
      <c r="AD7374">
        <v>1</v>
      </c>
      <c r="AE7374">
        <v>1</v>
      </c>
      <c r="AF7374">
        <v>1</v>
      </c>
      <c r="AG7374">
        <v>1</v>
      </c>
      <c r="AH7374">
        <v>1</v>
      </c>
      <c r="AI7374">
        <v>1</v>
      </c>
      <c r="AJ7374">
        <v>1</v>
      </c>
      <c r="AK7374">
        <v>1</v>
      </c>
      <c r="AL7374">
        <v>1</v>
      </c>
      <c r="AM7374">
        <v>0</v>
      </c>
    </row>
    <row r="7375" spans="1:39" x14ac:dyDescent="0.2">
      <c r="A7375" t="str">
        <f>"7371"</f>
        <v>7371</v>
      </c>
      <c r="B7375" t="str">
        <f t="shared" si="409"/>
        <v>1</v>
      </c>
      <c r="C7375" t="str">
        <f t="shared" si="410"/>
        <v>148</v>
      </c>
      <c r="D7375" t="str">
        <f>"4"</f>
        <v>4</v>
      </c>
      <c r="E7375" t="str">
        <f>"1-148-4"</f>
        <v>1-148-4</v>
      </c>
      <c r="F7375" t="s">
        <v>65</v>
      </c>
      <c r="G7375" t="s">
        <v>66</v>
      </c>
      <c r="H7375" t="s">
        <v>67</v>
      </c>
      <c r="S7375">
        <v>1</v>
      </c>
      <c r="T7375">
        <v>0</v>
      </c>
      <c r="U7375">
        <v>0</v>
      </c>
      <c r="V7375">
        <v>0</v>
      </c>
      <c r="W7375">
        <v>1</v>
      </c>
      <c r="X7375">
        <v>0</v>
      </c>
      <c r="Y7375">
        <v>1</v>
      </c>
      <c r="Z7375">
        <v>0</v>
      </c>
      <c r="AA7375">
        <v>0</v>
      </c>
      <c r="AB7375">
        <v>1</v>
      </c>
      <c r="AC7375">
        <v>0</v>
      </c>
      <c r="AD7375">
        <v>1</v>
      </c>
      <c r="AE7375">
        <v>1</v>
      </c>
      <c r="AF7375">
        <v>1</v>
      </c>
      <c r="AG7375">
        <v>1</v>
      </c>
      <c r="AH7375">
        <v>1</v>
      </c>
      <c r="AI7375">
        <v>1</v>
      </c>
      <c r="AJ7375">
        <v>1</v>
      </c>
      <c r="AK7375">
        <v>1</v>
      </c>
      <c r="AL7375">
        <v>1</v>
      </c>
      <c r="AM7375">
        <v>1</v>
      </c>
    </row>
    <row r="7376" spans="1:39" x14ac:dyDescent="0.2">
      <c r="A7376" t="str">
        <f>"7372"</f>
        <v>7372</v>
      </c>
      <c r="B7376" t="str">
        <f t="shared" si="409"/>
        <v>1</v>
      </c>
      <c r="C7376" t="str">
        <f t="shared" si="410"/>
        <v>148</v>
      </c>
      <c r="D7376" t="str">
        <f>"42"</f>
        <v>42</v>
      </c>
      <c r="E7376" t="str">
        <f>"1-148-42"</f>
        <v>1-148-42</v>
      </c>
      <c r="F7376" t="s">
        <v>65</v>
      </c>
      <c r="G7376" t="s">
        <v>66</v>
      </c>
      <c r="H7376" t="s">
        <v>67</v>
      </c>
      <c r="S7376">
        <v>0</v>
      </c>
      <c r="T7376">
        <v>1</v>
      </c>
      <c r="U7376">
        <v>0</v>
      </c>
      <c r="V7376">
        <v>0</v>
      </c>
      <c r="W7376">
        <v>1</v>
      </c>
      <c r="X7376">
        <v>0</v>
      </c>
      <c r="Y7376">
        <v>0</v>
      </c>
      <c r="Z7376">
        <v>1</v>
      </c>
      <c r="AA7376">
        <v>0</v>
      </c>
      <c r="AB7376">
        <v>0</v>
      </c>
      <c r="AC7376">
        <v>1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1</v>
      </c>
      <c r="AM7376">
        <v>0</v>
      </c>
    </row>
    <row r="7377" spans="1:39" x14ac:dyDescent="0.2">
      <c r="A7377" t="str">
        <f>"7373"</f>
        <v>7373</v>
      </c>
      <c r="B7377" t="str">
        <f t="shared" si="409"/>
        <v>1</v>
      </c>
      <c r="C7377" t="str">
        <f t="shared" si="410"/>
        <v>148</v>
      </c>
      <c r="D7377" t="str">
        <f>"20"</f>
        <v>20</v>
      </c>
      <c r="E7377" t="str">
        <f>"1-148-20"</f>
        <v>1-148-20</v>
      </c>
      <c r="F7377" t="s">
        <v>65</v>
      </c>
      <c r="G7377" t="s">
        <v>66</v>
      </c>
      <c r="H7377" t="s">
        <v>67</v>
      </c>
      <c r="S7377">
        <v>1</v>
      </c>
      <c r="T7377">
        <v>0</v>
      </c>
      <c r="U7377">
        <v>0</v>
      </c>
      <c r="V7377">
        <v>0</v>
      </c>
      <c r="W7377">
        <v>1</v>
      </c>
      <c r="X7377">
        <v>0</v>
      </c>
      <c r="Y7377">
        <v>1</v>
      </c>
      <c r="Z7377">
        <v>0</v>
      </c>
      <c r="AA7377">
        <v>1</v>
      </c>
      <c r="AB7377">
        <v>0</v>
      </c>
      <c r="AC7377">
        <v>0</v>
      </c>
      <c r="AD7377">
        <v>1</v>
      </c>
      <c r="AE7377">
        <v>1</v>
      </c>
      <c r="AF7377">
        <v>1</v>
      </c>
      <c r="AG7377">
        <v>1</v>
      </c>
      <c r="AH7377">
        <v>1</v>
      </c>
      <c r="AI7377">
        <v>1</v>
      </c>
      <c r="AJ7377">
        <v>1</v>
      </c>
      <c r="AK7377">
        <v>1</v>
      </c>
      <c r="AL7377">
        <v>1</v>
      </c>
      <c r="AM7377">
        <v>1</v>
      </c>
    </row>
    <row r="7378" spans="1:39" x14ac:dyDescent="0.2">
      <c r="A7378" t="str">
        <f>"7374"</f>
        <v>7374</v>
      </c>
      <c r="B7378" t="str">
        <f t="shared" si="409"/>
        <v>1</v>
      </c>
      <c r="C7378" t="str">
        <f t="shared" si="410"/>
        <v>148</v>
      </c>
      <c r="D7378" t="str">
        <f>"11"</f>
        <v>11</v>
      </c>
      <c r="E7378" t="str">
        <f>"1-148-11"</f>
        <v>1-148-11</v>
      </c>
      <c r="F7378" t="s">
        <v>65</v>
      </c>
      <c r="G7378" t="s">
        <v>66</v>
      </c>
      <c r="H7378" t="s">
        <v>67</v>
      </c>
      <c r="S7378">
        <v>1</v>
      </c>
      <c r="T7378">
        <v>0</v>
      </c>
      <c r="U7378">
        <v>0</v>
      </c>
      <c r="V7378">
        <v>0</v>
      </c>
      <c r="W7378">
        <v>1</v>
      </c>
      <c r="X7378">
        <v>0</v>
      </c>
      <c r="Y7378">
        <v>0</v>
      </c>
      <c r="Z7378">
        <v>1</v>
      </c>
      <c r="AA7378">
        <v>0</v>
      </c>
      <c r="AB7378">
        <v>1</v>
      </c>
      <c r="AC7378">
        <v>0</v>
      </c>
      <c r="AD7378">
        <v>1</v>
      </c>
      <c r="AE7378">
        <v>1</v>
      </c>
      <c r="AF7378">
        <v>1</v>
      </c>
      <c r="AG7378">
        <v>1</v>
      </c>
      <c r="AH7378">
        <v>1</v>
      </c>
      <c r="AI7378">
        <v>1</v>
      </c>
      <c r="AJ7378">
        <v>1</v>
      </c>
      <c r="AK7378">
        <v>1</v>
      </c>
      <c r="AL7378">
        <v>1</v>
      </c>
      <c r="AM7378">
        <v>1</v>
      </c>
    </row>
    <row r="7379" spans="1:39" x14ac:dyDescent="0.2">
      <c r="A7379" t="str">
        <f>"7375"</f>
        <v>7375</v>
      </c>
      <c r="B7379" t="str">
        <f t="shared" si="409"/>
        <v>1</v>
      </c>
      <c r="C7379" t="str">
        <f t="shared" si="410"/>
        <v>148</v>
      </c>
      <c r="D7379" t="str">
        <f>"43"</f>
        <v>43</v>
      </c>
      <c r="E7379" t="str">
        <f>"1-148-43"</f>
        <v>1-148-43</v>
      </c>
      <c r="F7379" t="s">
        <v>65</v>
      </c>
      <c r="G7379" t="s">
        <v>66</v>
      </c>
      <c r="H7379" t="s">
        <v>67</v>
      </c>
      <c r="S7379">
        <v>1</v>
      </c>
      <c r="T7379">
        <v>0</v>
      </c>
      <c r="U7379">
        <v>0</v>
      </c>
      <c r="V7379">
        <v>0</v>
      </c>
      <c r="W7379">
        <v>1</v>
      </c>
      <c r="X7379">
        <v>0</v>
      </c>
      <c r="Y7379">
        <v>0</v>
      </c>
      <c r="Z7379">
        <v>1</v>
      </c>
      <c r="AA7379">
        <v>0</v>
      </c>
      <c r="AB7379">
        <v>0</v>
      </c>
      <c r="AC7379">
        <v>1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1</v>
      </c>
      <c r="AK7379">
        <v>0</v>
      </c>
      <c r="AL7379">
        <v>1</v>
      </c>
      <c r="AM7379">
        <v>0</v>
      </c>
    </row>
    <row r="7380" spans="1:39" x14ac:dyDescent="0.2">
      <c r="A7380" t="str">
        <f>"7376"</f>
        <v>7376</v>
      </c>
      <c r="B7380" t="str">
        <f t="shared" si="409"/>
        <v>1</v>
      </c>
      <c r="C7380" t="str">
        <f t="shared" si="410"/>
        <v>148</v>
      </c>
      <c r="D7380" t="str">
        <f>"21"</f>
        <v>21</v>
      </c>
      <c r="E7380" t="str">
        <f>"1-148-21"</f>
        <v>1-148-21</v>
      </c>
      <c r="F7380" t="s">
        <v>65</v>
      </c>
      <c r="G7380" t="s">
        <v>66</v>
      </c>
      <c r="H7380" t="s">
        <v>67</v>
      </c>
      <c r="S7380">
        <v>1</v>
      </c>
      <c r="T7380">
        <v>0</v>
      </c>
      <c r="U7380">
        <v>0</v>
      </c>
      <c r="V7380">
        <v>0</v>
      </c>
      <c r="W7380">
        <v>1</v>
      </c>
      <c r="X7380">
        <v>0</v>
      </c>
      <c r="Y7380">
        <v>1</v>
      </c>
      <c r="Z7380">
        <v>0</v>
      </c>
      <c r="AA7380">
        <v>1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</row>
    <row r="7381" spans="1:39" x14ac:dyDescent="0.2">
      <c r="A7381" t="str">
        <f>"7377"</f>
        <v>7377</v>
      </c>
      <c r="B7381" t="str">
        <f t="shared" si="409"/>
        <v>1</v>
      </c>
      <c r="C7381" t="str">
        <f t="shared" si="410"/>
        <v>148</v>
      </c>
      <c r="D7381" t="str">
        <f>"2"</f>
        <v>2</v>
      </c>
      <c r="E7381" t="str">
        <f>"1-148-2"</f>
        <v>1-148-2</v>
      </c>
      <c r="F7381" t="s">
        <v>65</v>
      </c>
      <c r="G7381" t="s">
        <v>66</v>
      </c>
      <c r="H7381" t="s">
        <v>67</v>
      </c>
      <c r="S7381">
        <v>0</v>
      </c>
      <c r="T7381">
        <v>0</v>
      </c>
      <c r="U7381">
        <v>0</v>
      </c>
      <c r="V7381">
        <v>0</v>
      </c>
      <c r="W7381">
        <v>1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1</v>
      </c>
      <c r="AH7381">
        <v>0</v>
      </c>
      <c r="AI7381">
        <v>1</v>
      </c>
      <c r="AJ7381">
        <v>1</v>
      </c>
      <c r="AK7381">
        <v>1</v>
      </c>
      <c r="AL7381">
        <v>1</v>
      </c>
      <c r="AM7381">
        <v>0</v>
      </c>
    </row>
    <row r="7382" spans="1:39" x14ac:dyDescent="0.2">
      <c r="A7382" t="str">
        <f>"7378"</f>
        <v>7378</v>
      </c>
      <c r="B7382" t="str">
        <f t="shared" si="409"/>
        <v>1</v>
      </c>
      <c r="C7382" t="str">
        <f t="shared" si="410"/>
        <v>148</v>
      </c>
      <c r="D7382" t="str">
        <f>"46"</f>
        <v>46</v>
      </c>
      <c r="E7382" t="str">
        <f>"1-148-46"</f>
        <v>1-148-46</v>
      </c>
      <c r="F7382" t="s">
        <v>65</v>
      </c>
      <c r="G7382" t="s">
        <v>66</v>
      </c>
      <c r="H7382" t="s">
        <v>67</v>
      </c>
      <c r="S7382">
        <v>0</v>
      </c>
      <c r="T7382">
        <v>1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</row>
    <row r="7383" spans="1:39" x14ac:dyDescent="0.2">
      <c r="A7383" t="str">
        <f>"7379"</f>
        <v>7379</v>
      </c>
      <c r="B7383" t="str">
        <f t="shared" si="409"/>
        <v>1</v>
      </c>
      <c r="C7383" t="str">
        <f t="shared" si="410"/>
        <v>148</v>
      </c>
      <c r="D7383" t="str">
        <f>"24"</f>
        <v>24</v>
      </c>
      <c r="E7383" t="str">
        <f>"1-148-24"</f>
        <v>1-148-24</v>
      </c>
      <c r="F7383" t="s">
        <v>65</v>
      </c>
      <c r="G7383" t="s">
        <v>66</v>
      </c>
      <c r="H7383" t="s">
        <v>67</v>
      </c>
      <c r="S7383">
        <v>1</v>
      </c>
      <c r="T7383">
        <v>0</v>
      </c>
      <c r="U7383">
        <v>0</v>
      </c>
      <c r="V7383">
        <v>0</v>
      </c>
      <c r="W7383">
        <v>1</v>
      </c>
      <c r="X7383">
        <v>0</v>
      </c>
      <c r="Y7383">
        <v>1</v>
      </c>
      <c r="Z7383">
        <v>0</v>
      </c>
      <c r="AA7383">
        <v>0</v>
      </c>
      <c r="AB7383">
        <v>0</v>
      </c>
      <c r="AC7383">
        <v>1</v>
      </c>
      <c r="AD7383">
        <v>1</v>
      </c>
      <c r="AE7383">
        <v>1</v>
      </c>
      <c r="AF7383">
        <v>1</v>
      </c>
      <c r="AG7383">
        <v>1</v>
      </c>
      <c r="AH7383">
        <v>1</v>
      </c>
      <c r="AI7383">
        <v>1</v>
      </c>
      <c r="AJ7383">
        <v>1</v>
      </c>
      <c r="AK7383">
        <v>1</v>
      </c>
      <c r="AL7383">
        <v>1</v>
      </c>
      <c r="AM7383">
        <v>1</v>
      </c>
    </row>
    <row r="7384" spans="1:39" x14ac:dyDescent="0.2">
      <c r="A7384" t="str">
        <f>"7380"</f>
        <v>7380</v>
      </c>
      <c r="B7384" t="str">
        <f t="shared" si="409"/>
        <v>1</v>
      </c>
      <c r="C7384" t="str">
        <f t="shared" si="410"/>
        <v>148</v>
      </c>
      <c r="D7384" t="str">
        <f>"6"</f>
        <v>6</v>
      </c>
      <c r="E7384" t="str">
        <f>"1-148-6"</f>
        <v>1-148-6</v>
      </c>
      <c r="F7384" t="s">
        <v>65</v>
      </c>
      <c r="G7384" t="s">
        <v>66</v>
      </c>
      <c r="H7384" t="s">
        <v>67</v>
      </c>
      <c r="S7384">
        <v>1</v>
      </c>
      <c r="T7384">
        <v>0</v>
      </c>
      <c r="U7384">
        <v>0</v>
      </c>
      <c r="V7384">
        <v>0</v>
      </c>
      <c r="W7384">
        <v>1</v>
      </c>
      <c r="X7384">
        <v>0</v>
      </c>
      <c r="Y7384">
        <v>0</v>
      </c>
      <c r="Z7384">
        <v>1</v>
      </c>
      <c r="AA7384">
        <v>0</v>
      </c>
      <c r="AB7384">
        <v>0</v>
      </c>
      <c r="AC7384">
        <v>1</v>
      </c>
      <c r="AD7384">
        <v>1</v>
      </c>
      <c r="AE7384">
        <v>1</v>
      </c>
      <c r="AF7384">
        <v>1</v>
      </c>
      <c r="AG7384">
        <v>1</v>
      </c>
      <c r="AH7384">
        <v>1</v>
      </c>
      <c r="AI7384">
        <v>1</v>
      </c>
      <c r="AJ7384">
        <v>1</v>
      </c>
      <c r="AK7384">
        <v>1</v>
      </c>
      <c r="AL7384">
        <v>1</v>
      </c>
      <c r="AM7384">
        <v>1</v>
      </c>
    </row>
    <row r="7385" spans="1:39" x14ac:dyDescent="0.2">
      <c r="A7385" t="str">
        <f>"7381"</f>
        <v>7381</v>
      </c>
      <c r="B7385" t="str">
        <f t="shared" si="409"/>
        <v>1</v>
      </c>
      <c r="C7385" t="str">
        <f t="shared" si="410"/>
        <v>148</v>
      </c>
      <c r="D7385" t="str">
        <f>"44"</f>
        <v>44</v>
      </c>
      <c r="E7385" t="str">
        <f>"1-148-44"</f>
        <v>1-148-44</v>
      </c>
      <c r="F7385" t="s">
        <v>65</v>
      </c>
      <c r="G7385" t="s">
        <v>66</v>
      </c>
      <c r="H7385" t="s">
        <v>67</v>
      </c>
      <c r="S7385">
        <v>0</v>
      </c>
      <c r="T7385">
        <v>1</v>
      </c>
      <c r="U7385">
        <v>0</v>
      </c>
      <c r="V7385">
        <v>0</v>
      </c>
      <c r="W7385">
        <v>1</v>
      </c>
      <c r="X7385">
        <v>0</v>
      </c>
      <c r="Y7385">
        <v>1</v>
      </c>
      <c r="Z7385">
        <v>0</v>
      </c>
      <c r="AA7385">
        <v>0</v>
      </c>
      <c r="AB7385">
        <v>0</v>
      </c>
      <c r="AC7385">
        <v>1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</row>
    <row r="7386" spans="1:39" x14ac:dyDescent="0.2">
      <c r="A7386" t="str">
        <f>"7382"</f>
        <v>7382</v>
      </c>
      <c r="B7386" t="str">
        <f t="shared" si="409"/>
        <v>1</v>
      </c>
      <c r="C7386" t="str">
        <f t="shared" si="410"/>
        <v>148</v>
      </c>
      <c r="D7386" t="str">
        <f>"25"</f>
        <v>25</v>
      </c>
      <c r="E7386" t="str">
        <f>"1-148-25"</f>
        <v>1-148-25</v>
      </c>
      <c r="F7386" t="s">
        <v>65</v>
      </c>
      <c r="G7386" t="s">
        <v>66</v>
      </c>
      <c r="H7386" t="s">
        <v>67</v>
      </c>
      <c r="S7386">
        <v>1</v>
      </c>
      <c r="T7386">
        <v>0</v>
      </c>
      <c r="U7386">
        <v>0</v>
      </c>
      <c r="V7386">
        <v>0</v>
      </c>
      <c r="W7386">
        <v>1</v>
      </c>
      <c r="X7386">
        <v>0</v>
      </c>
      <c r="Y7386">
        <v>1</v>
      </c>
      <c r="Z7386">
        <v>0</v>
      </c>
      <c r="AA7386">
        <v>0</v>
      </c>
      <c r="AB7386">
        <v>0</v>
      </c>
      <c r="AC7386">
        <v>0</v>
      </c>
      <c r="AD7386">
        <v>1</v>
      </c>
      <c r="AE7386">
        <v>1</v>
      </c>
      <c r="AF7386">
        <v>1</v>
      </c>
      <c r="AG7386">
        <v>1</v>
      </c>
      <c r="AH7386">
        <v>1</v>
      </c>
      <c r="AI7386">
        <v>1</v>
      </c>
      <c r="AJ7386">
        <v>1</v>
      </c>
      <c r="AK7386">
        <v>1</v>
      </c>
      <c r="AL7386">
        <v>1</v>
      </c>
      <c r="AM7386">
        <v>1</v>
      </c>
    </row>
    <row r="7387" spans="1:39" x14ac:dyDescent="0.2">
      <c r="A7387" t="str">
        <f>"7383"</f>
        <v>7383</v>
      </c>
      <c r="B7387" t="str">
        <f t="shared" si="409"/>
        <v>1</v>
      </c>
      <c r="C7387" t="str">
        <f t="shared" ref="C7387:C7404" si="411">"148"</f>
        <v>148</v>
      </c>
      <c r="D7387" t="str">
        <f>"14"</f>
        <v>14</v>
      </c>
      <c r="E7387" t="str">
        <f>"1-148-14"</f>
        <v>1-148-14</v>
      </c>
      <c r="F7387" t="s">
        <v>65</v>
      </c>
      <c r="G7387" t="s">
        <v>66</v>
      </c>
      <c r="H7387" t="s">
        <v>67</v>
      </c>
      <c r="S7387">
        <v>1</v>
      </c>
      <c r="T7387">
        <v>0</v>
      </c>
      <c r="U7387">
        <v>0</v>
      </c>
      <c r="V7387">
        <v>0</v>
      </c>
      <c r="W7387">
        <v>1</v>
      </c>
      <c r="X7387">
        <v>0</v>
      </c>
      <c r="Y7387">
        <v>0</v>
      </c>
      <c r="Z7387">
        <v>1</v>
      </c>
      <c r="AA7387">
        <v>1</v>
      </c>
      <c r="AB7387">
        <v>0</v>
      </c>
      <c r="AC7387">
        <v>0</v>
      </c>
      <c r="AD7387">
        <v>1</v>
      </c>
      <c r="AE7387">
        <v>1</v>
      </c>
      <c r="AF7387">
        <v>1</v>
      </c>
      <c r="AG7387">
        <v>1</v>
      </c>
      <c r="AH7387">
        <v>1</v>
      </c>
      <c r="AI7387">
        <v>1</v>
      </c>
      <c r="AJ7387">
        <v>1</v>
      </c>
      <c r="AK7387">
        <v>1</v>
      </c>
      <c r="AL7387">
        <v>1</v>
      </c>
      <c r="AM7387">
        <v>1</v>
      </c>
    </row>
    <row r="7388" spans="1:39" x14ac:dyDescent="0.2">
      <c r="A7388" t="str">
        <f>"7384"</f>
        <v>7384</v>
      </c>
      <c r="B7388" t="str">
        <f t="shared" si="409"/>
        <v>1</v>
      </c>
      <c r="C7388" t="str">
        <f t="shared" si="411"/>
        <v>148</v>
      </c>
      <c r="D7388" t="str">
        <f>"47"</f>
        <v>47</v>
      </c>
      <c r="E7388" t="str">
        <f>"1-148-47"</f>
        <v>1-148-47</v>
      </c>
      <c r="F7388" t="s">
        <v>65</v>
      </c>
      <c r="G7388" t="s">
        <v>66</v>
      </c>
      <c r="H7388" t="s">
        <v>67</v>
      </c>
      <c r="S7388">
        <v>1</v>
      </c>
      <c r="T7388">
        <v>0</v>
      </c>
      <c r="U7388">
        <v>0</v>
      </c>
      <c r="V7388">
        <v>0</v>
      </c>
      <c r="W7388">
        <v>1</v>
      </c>
      <c r="X7388">
        <v>0</v>
      </c>
      <c r="Y7388">
        <v>0</v>
      </c>
      <c r="Z7388">
        <v>0</v>
      </c>
      <c r="AA7388">
        <v>1</v>
      </c>
      <c r="AB7388">
        <v>0</v>
      </c>
      <c r="AC7388">
        <v>0</v>
      </c>
      <c r="AD7388">
        <v>1</v>
      </c>
      <c r="AE7388">
        <v>1</v>
      </c>
      <c r="AF7388">
        <v>1</v>
      </c>
      <c r="AG7388">
        <v>1</v>
      </c>
      <c r="AH7388">
        <v>1</v>
      </c>
      <c r="AI7388">
        <v>1</v>
      </c>
      <c r="AJ7388">
        <v>1</v>
      </c>
      <c r="AK7388">
        <v>1</v>
      </c>
      <c r="AL7388">
        <v>1</v>
      </c>
      <c r="AM7388">
        <v>1</v>
      </c>
    </row>
    <row r="7389" spans="1:39" x14ac:dyDescent="0.2">
      <c r="A7389" t="str">
        <f>"7385"</f>
        <v>7385</v>
      </c>
      <c r="B7389" t="str">
        <f t="shared" si="409"/>
        <v>1</v>
      </c>
      <c r="C7389" t="str">
        <f t="shared" si="411"/>
        <v>148</v>
      </c>
      <c r="D7389" t="str">
        <f>"26"</f>
        <v>26</v>
      </c>
      <c r="E7389" t="str">
        <f>"1-148-26"</f>
        <v>1-148-26</v>
      </c>
      <c r="F7389" t="s">
        <v>65</v>
      </c>
      <c r="G7389" t="s">
        <v>66</v>
      </c>
      <c r="H7389" t="s">
        <v>67</v>
      </c>
      <c r="S7389">
        <v>1</v>
      </c>
      <c r="T7389">
        <v>0</v>
      </c>
      <c r="U7389">
        <v>0</v>
      </c>
      <c r="V7389">
        <v>0</v>
      </c>
      <c r="W7389">
        <v>0</v>
      </c>
      <c r="X7389">
        <v>1</v>
      </c>
      <c r="Y7389">
        <v>1</v>
      </c>
      <c r="Z7389">
        <v>0</v>
      </c>
      <c r="AA7389">
        <v>1</v>
      </c>
      <c r="AB7389">
        <v>0</v>
      </c>
      <c r="AC7389">
        <v>0</v>
      </c>
      <c r="AD7389">
        <v>1</v>
      </c>
      <c r="AE7389">
        <v>1</v>
      </c>
      <c r="AF7389">
        <v>1</v>
      </c>
      <c r="AG7389">
        <v>1</v>
      </c>
      <c r="AH7389">
        <v>1</v>
      </c>
      <c r="AI7389">
        <v>1</v>
      </c>
      <c r="AJ7389">
        <v>1</v>
      </c>
      <c r="AK7389">
        <v>1</v>
      </c>
      <c r="AL7389">
        <v>1</v>
      </c>
      <c r="AM7389">
        <v>1</v>
      </c>
    </row>
    <row r="7390" spans="1:39" x14ac:dyDescent="0.2">
      <c r="A7390" t="str">
        <f>"7386"</f>
        <v>7386</v>
      </c>
      <c r="B7390" t="str">
        <f t="shared" si="409"/>
        <v>1</v>
      </c>
      <c r="C7390" t="str">
        <f t="shared" si="411"/>
        <v>148</v>
      </c>
      <c r="D7390" t="str">
        <f>"13"</f>
        <v>13</v>
      </c>
      <c r="E7390" t="str">
        <f>"1-148-13"</f>
        <v>1-148-13</v>
      </c>
      <c r="F7390" t="s">
        <v>65</v>
      </c>
      <c r="G7390" t="s">
        <v>66</v>
      </c>
      <c r="H7390" t="s">
        <v>67</v>
      </c>
      <c r="S7390">
        <v>1</v>
      </c>
      <c r="T7390">
        <v>0</v>
      </c>
      <c r="U7390">
        <v>0</v>
      </c>
      <c r="V7390">
        <v>0</v>
      </c>
      <c r="W7390">
        <v>1</v>
      </c>
      <c r="X7390">
        <v>0</v>
      </c>
      <c r="Y7390">
        <v>1</v>
      </c>
      <c r="Z7390">
        <v>0</v>
      </c>
      <c r="AA7390">
        <v>0</v>
      </c>
      <c r="AB7390">
        <v>1</v>
      </c>
      <c r="AC7390">
        <v>0</v>
      </c>
      <c r="AD7390">
        <v>1</v>
      </c>
      <c r="AE7390">
        <v>1</v>
      </c>
      <c r="AF7390">
        <v>1</v>
      </c>
      <c r="AG7390">
        <v>1</v>
      </c>
      <c r="AH7390">
        <v>1</v>
      </c>
      <c r="AI7390">
        <v>1</v>
      </c>
      <c r="AJ7390">
        <v>1</v>
      </c>
      <c r="AK7390">
        <v>1</v>
      </c>
      <c r="AL7390">
        <v>1</v>
      </c>
      <c r="AM7390">
        <v>1</v>
      </c>
    </row>
    <row r="7391" spans="1:39" x14ac:dyDescent="0.2">
      <c r="A7391" t="str">
        <f>"7387"</f>
        <v>7387</v>
      </c>
      <c r="B7391" t="str">
        <f t="shared" si="409"/>
        <v>1</v>
      </c>
      <c r="C7391" t="str">
        <f t="shared" si="411"/>
        <v>148</v>
      </c>
      <c r="D7391" t="str">
        <f>"45"</f>
        <v>45</v>
      </c>
      <c r="E7391" t="str">
        <f>"1-148-45"</f>
        <v>1-148-45</v>
      </c>
      <c r="F7391" t="s">
        <v>65</v>
      </c>
      <c r="G7391" t="s">
        <v>66</v>
      </c>
      <c r="H7391" t="s">
        <v>67</v>
      </c>
      <c r="S7391">
        <v>1</v>
      </c>
      <c r="T7391">
        <v>0</v>
      </c>
      <c r="U7391">
        <v>0</v>
      </c>
      <c r="V7391">
        <v>0</v>
      </c>
      <c r="W7391">
        <v>1</v>
      </c>
      <c r="X7391">
        <v>0</v>
      </c>
      <c r="Y7391">
        <v>1</v>
      </c>
      <c r="Z7391">
        <v>0</v>
      </c>
      <c r="AA7391">
        <v>1</v>
      </c>
      <c r="AB7391">
        <v>0</v>
      </c>
      <c r="AC7391">
        <v>0</v>
      </c>
      <c r="AD7391">
        <v>1</v>
      </c>
      <c r="AE7391">
        <v>1</v>
      </c>
      <c r="AF7391">
        <v>1</v>
      </c>
      <c r="AG7391">
        <v>1</v>
      </c>
      <c r="AH7391">
        <v>1</v>
      </c>
      <c r="AI7391">
        <v>1</v>
      </c>
      <c r="AJ7391">
        <v>1</v>
      </c>
      <c r="AK7391">
        <v>1</v>
      </c>
      <c r="AL7391">
        <v>1</v>
      </c>
      <c r="AM7391">
        <v>1</v>
      </c>
    </row>
    <row r="7392" spans="1:39" x14ac:dyDescent="0.2">
      <c r="A7392" t="str">
        <f>"7388"</f>
        <v>7388</v>
      </c>
      <c r="B7392" t="str">
        <f t="shared" si="409"/>
        <v>1</v>
      </c>
      <c r="C7392" t="str">
        <f t="shared" si="411"/>
        <v>148</v>
      </c>
      <c r="D7392" t="str">
        <f>"27"</f>
        <v>27</v>
      </c>
      <c r="E7392" t="str">
        <f>"1-148-27"</f>
        <v>1-148-27</v>
      </c>
      <c r="F7392" t="s">
        <v>65</v>
      </c>
      <c r="G7392" t="s">
        <v>66</v>
      </c>
      <c r="H7392" t="s">
        <v>67</v>
      </c>
      <c r="S7392">
        <v>1</v>
      </c>
      <c r="T7392">
        <v>0</v>
      </c>
      <c r="U7392">
        <v>0</v>
      </c>
      <c r="V7392">
        <v>0</v>
      </c>
      <c r="W7392">
        <v>1</v>
      </c>
      <c r="X7392">
        <v>0</v>
      </c>
      <c r="Y7392">
        <v>1</v>
      </c>
      <c r="Z7392">
        <v>0</v>
      </c>
      <c r="AA7392">
        <v>1</v>
      </c>
      <c r="AB7392">
        <v>0</v>
      </c>
      <c r="AC7392">
        <v>0</v>
      </c>
      <c r="AD7392">
        <v>1</v>
      </c>
      <c r="AE7392">
        <v>1</v>
      </c>
      <c r="AF7392">
        <v>1</v>
      </c>
      <c r="AG7392">
        <v>1</v>
      </c>
      <c r="AH7392">
        <v>1</v>
      </c>
      <c r="AI7392">
        <v>1</v>
      </c>
      <c r="AJ7392">
        <v>1</v>
      </c>
      <c r="AK7392">
        <v>1</v>
      </c>
      <c r="AL7392">
        <v>1</v>
      </c>
      <c r="AM7392">
        <v>1</v>
      </c>
    </row>
    <row r="7393" spans="1:39" x14ac:dyDescent="0.2">
      <c r="A7393" t="str">
        <f>"7389"</f>
        <v>7389</v>
      </c>
      <c r="B7393" t="str">
        <f t="shared" si="409"/>
        <v>1</v>
      </c>
      <c r="C7393" t="str">
        <f t="shared" si="411"/>
        <v>148</v>
      </c>
      <c r="D7393" t="str">
        <f>"10"</f>
        <v>10</v>
      </c>
      <c r="E7393" t="str">
        <f>"1-148-10"</f>
        <v>1-148-10</v>
      </c>
      <c r="F7393" t="s">
        <v>65</v>
      </c>
      <c r="G7393" t="s">
        <v>66</v>
      </c>
      <c r="H7393" t="s">
        <v>67</v>
      </c>
      <c r="S7393">
        <v>0</v>
      </c>
      <c r="T7393">
        <v>1</v>
      </c>
      <c r="U7393">
        <v>0</v>
      </c>
      <c r="V7393">
        <v>0</v>
      </c>
      <c r="W7393">
        <v>0</v>
      </c>
      <c r="X7393">
        <v>1</v>
      </c>
      <c r="Y7393">
        <v>1</v>
      </c>
      <c r="Z7393">
        <v>0</v>
      </c>
      <c r="AA7393">
        <v>0</v>
      </c>
      <c r="AB7393">
        <v>1</v>
      </c>
      <c r="AC7393">
        <v>0</v>
      </c>
      <c r="AD7393">
        <v>0</v>
      </c>
      <c r="AE7393">
        <v>0</v>
      </c>
      <c r="AF7393">
        <v>1</v>
      </c>
      <c r="AG7393">
        <v>1</v>
      </c>
      <c r="AH7393">
        <v>1</v>
      </c>
      <c r="AI7393">
        <v>1</v>
      </c>
      <c r="AJ7393">
        <v>1</v>
      </c>
      <c r="AK7393">
        <v>1</v>
      </c>
      <c r="AL7393">
        <v>1</v>
      </c>
      <c r="AM7393">
        <v>1</v>
      </c>
    </row>
    <row r="7394" spans="1:39" x14ac:dyDescent="0.2">
      <c r="A7394" t="str">
        <f>"7390"</f>
        <v>7390</v>
      </c>
      <c r="B7394" t="str">
        <f t="shared" si="409"/>
        <v>1</v>
      </c>
      <c r="C7394" t="str">
        <f t="shared" si="411"/>
        <v>148</v>
      </c>
      <c r="D7394" t="str">
        <f>"50"</f>
        <v>50</v>
      </c>
      <c r="E7394" t="str">
        <f>"1-148-50"</f>
        <v>1-148-50</v>
      </c>
      <c r="F7394" t="s">
        <v>65</v>
      </c>
      <c r="G7394" t="s">
        <v>66</v>
      </c>
      <c r="H7394" t="s">
        <v>67</v>
      </c>
      <c r="S7394">
        <v>1</v>
      </c>
      <c r="T7394">
        <v>0</v>
      </c>
      <c r="U7394">
        <v>0</v>
      </c>
      <c r="V7394">
        <v>0</v>
      </c>
      <c r="W7394">
        <v>1</v>
      </c>
      <c r="X7394">
        <v>0</v>
      </c>
      <c r="Y7394">
        <v>1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</row>
    <row r="7395" spans="1:39" x14ac:dyDescent="0.2">
      <c r="A7395" t="str">
        <f>"7391"</f>
        <v>7391</v>
      </c>
      <c r="B7395" t="str">
        <f t="shared" si="409"/>
        <v>1</v>
      </c>
      <c r="C7395" t="str">
        <f t="shared" si="411"/>
        <v>148</v>
      </c>
      <c r="D7395" t="str">
        <f>"29"</f>
        <v>29</v>
      </c>
      <c r="E7395" t="str">
        <f>"1-148-29"</f>
        <v>1-148-29</v>
      </c>
      <c r="F7395" t="s">
        <v>65</v>
      </c>
      <c r="G7395" t="s">
        <v>66</v>
      </c>
      <c r="H7395" t="s">
        <v>67</v>
      </c>
      <c r="S7395">
        <v>1</v>
      </c>
      <c r="T7395">
        <v>0</v>
      </c>
      <c r="U7395">
        <v>0</v>
      </c>
      <c r="V7395">
        <v>0</v>
      </c>
      <c r="W7395">
        <v>1</v>
      </c>
      <c r="X7395">
        <v>0</v>
      </c>
      <c r="Y7395">
        <v>1</v>
      </c>
      <c r="Z7395">
        <v>0</v>
      </c>
      <c r="AA7395">
        <v>1</v>
      </c>
      <c r="AB7395">
        <v>0</v>
      </c>
      <c r="AC7395">
        <v>0</v>
      </c>
      <c r="AD7395">
        <v>1</v>
      </c>
      <c r="AE7395">
        <v>1</v>
      </c>
      <c r="AF7395">
        <v>1</v>
      </c>
      <c r="AG7395">
        <v>1</v>
      </c>
      <c r="AH7395">
        <v>1</v>
      </c>
      <c r="AI7395">
        <v>1</v>
      </c>
      <c r="AJ7395">
        <v>1</v>
      </c>
      <c r="AK7395">
        <v>1</v>
      </c>
      <c r="AL7395">
        <v>1</v>
      </c>
      <c r="AM7395">
        <v>1</v>
      </c>
    </row>
    <row r="7396" spans="1:39" x14ac:dyDescent="0.2">
      <c r="A7396" t="str">
        <f>"7392"</f>
        <v>7392</v>
      </c>
      <c r="B7396" t="str">
        <f t="shared" si="409"/>
        <v>1</v>
      </c>
      <c r="C7396" t="str">
        <f t="shared" si="411"/>
        <v>148</v>
      </c>
      <c r="D7396" t="str">
        <f>"5"</f>
        <v>5</v>
      </c>
      <c r="E7396" t="str">
        <f>"1-148-5"</f>
        <v>1-148-5</v>
      </c>
      <c r="F7396" t="s">
        <v>65</v>
      </c>
      <c r="G7396" t="s">
        <v>66</v>
      </c>
      <c r="H7396" t="s">
        <v>67</v>
      </c>
      <c r="S7396">
        <v>0</v>
      </c>
      <c r="T7396">
        <v>1</v>
      </c>
      <c r="U7396">
        <v>0</v>
      </c>
      <c r="V7396">
        <v>0</v>
      </c>
      <c r="W7396">
        <v>1</v>
      </c>
      <c r="X7396">
        <v>0</v>
      </c>
      <c r="Y7396">
        <v>1</v>
      </c>
      <c r="Z7396">
        <v>0</v>
      </c>
      <c r="AA7396">
        <v>1</v>
      </c>
      <c r="AB7396">
        <v>0</v>
      </c>
      <c r="AC7396">
        <v>0</v>
      </c>
      <c r="AD7396">
        <v>1</v>
      </c>
      <c r="AE7396">
        <v>1</v>
      </c>
      <c r="AF7396">
        <v>1</v>
      </c>
      <c r="AG7396">
        <v>1</v>
      </c>
      <c r="AH7396">
        <v>1</v>
      </c>
      <c r="AI7396">
        <v>1</v>
      </c>
      <c r="AJ7396">
        <v>1</v>
      </c>
      <c r="AK7396">
        <v>1</v>
      </c>
      <c r="AL7396">
        <v>1</v>
      </c>
      <c r="AM7396">
        <v>1</v>
      </c>
    </row>
    <row r="7397" spans="1:39" x14ac:dyDescent="0.2">
      <c r="A7397" t="str">
        <f>"7393"</f>
        <v>7393</v>
      </c>
      <c r="B7397" t="str">
        <f t="shared" si="409"/>
        <v>1</v>
      </c>
      <c r="C7397" t="str">
        <f t="shared" si="411"/>
        <v>148</v>
      </c>
      <c r="D7397" t="str">
        <f>"48"</f>
        <v>48</v>
      </c>
      <c r="E7397" t="str">
        <f>"1-148-48"</f>
        <v>1-148-48</v>
      </c>
      <c r="F7397" t="s">
        <v>65</v>
      </c>
      <c r="G7397" t="s">
        <v>66</v>
      </c>
      <c r="H7397" t="s">
        <v>67</v>
      </c>
      <c r="S7397">
        <v>0</v>
      </c>
      <c r="T7397">
        <v>1</v>
      </c>
      <c r="U7397">
        <v>0</v>
      </c>
      <c r="V7397">
        <v>0</v>
      </c>
      <c r="W7397">
        <v>0</v>
      </c>
      <c r="X7397">
        <v>1</v>
      </c>
      <c r="Y7397">
        <v>0</v>
      </c>
      <c r="Z7397">
        <v>0</v>
      </c>
      <c r="AA7397">
        <v>0</v>
      </c>
      <c r="AB7397">
        <v>0</v>
      </c>
      <c r="AC7397">
        <v>1</v>
      </c>
      <c r="AD7397">
        <v>0</v>
      </c>
      <c r="AE7397">
        <v>0</v>
      </c>
      <c r="AF7397">
        <v>0</v>
      </c>
      <c r="AG7397">
        <v>1</v>
      </c>
      <c r="AH7397">
        <v>1</v>
      </c>
      <c r="AI7397">
        <v>0</v>
      </c>
      <c r="AJ7397">
        <v>1</v>
      </c>
      <c r="AK7397">
        <v>1</v>
      </c>
      <c r="AL7397">
        <v>1</v>
      </c>
      <c r="AM7397">
        <v>1</v>
      </c>
    </row>
    <row r="7398" spans="1:39" x14ac:dyDescent="0.2">
      <c r="A7398" t="str">
        <f>"7394"</f>
        <v>7394</v>
      </c>
      <c r="B7398" t="str">
        <f t="shared" si="409"/>
        <v>1</v>
      </c>
      <c r="C7398" t="str">
        <f t="shared" si="411"/>
        <v>148</v>
      </c>
      <c r="D7398" t="str">
        <f>"30"</f>
        <v>30</v>
      </c>
      <c r="E7398" t="str">
        <f>"1-148-30"</f>
        <v>1-148-30</v>
      </c>
      <c r="F7398" t="s">
        <v>65</v>
      </c>
      <c r="G7398" t="s">
        <v>66</v>
      </c>
      <c r="H7398" t="s">
        <v>67</v>
      </c>
      <c r="S7398">
        <v>0</v>
      </c>
      <c r="T7398">
        <v>1</v>
      </c>
      <c r="U7398">
        <v>0</v>
      </c>
      <c r="V7398">
        <v>0</v>
      </c>
      <c r="W7398">
        <v>0</v>
      </c>
      <c r="X7398">
        <v>1</v>
      </c>
      <c r="Y7398">
        <v>1</v>
      </c>
      <c r="Z7398">
        <v>0</v>
      </c>
      <c r="AA7398">
        <v>0</v>
      </c>
      <c r="AB7398">
        <v>1</v>
      </c>
      <c r="AC7398">
        <v>0</v>
      </c>
      <c r="AD7398">
        <v>1</v>
      </c>
      <c r="AE7398">
        <v>1</v>
      </c>
      <c r="AF7398">
        <v>1</v>
      </c>
      <c r="AG7398">
        <v>1</v>
      </c>
      <c r="AH7398">
        <v>1</v>
      </c>
      <c r="AI7398">
        <v>1</v>
      </c>
      <c r="AJ7398">
        <v>1</v>
      </c>
      <c r="AK7398">
        <v>1</v>
      </c>
      <c r="AL7398">
        <v>1</v>
      </c>
      <c r="AM7398">
        <v>1</v>
      </c>
    </row>
    <row r="7399" spans="1:39" x14ac:dyDescent="0.2">
      <c r="A7399" t="str">
        <f>"7395"</f>
        <v>7395</v>
      </c>
      <c r="B7399" t="str">
        <f t="shared" si="409"/>
        <v>1</v>
      </c>
      <c r="C7399" t="str">
        <f t="shared" si="411"/>
        <v>148</v>
      </c>
      <c r="D7399" t="str">
        <f>"9"</f>
        <v>9</v>
      </c>
      <c r="E7399" t="str">
        <f>"1-148-9"</f>
        <v>1-148-9</v>
      </c>
      <c r="F7399" t="s">
        <v>65</v>
      </c>
      <c r="G7399" t="s">
        <v>66</v>
      </c>
      <c r="H7399" t="s">
        <v>67</v>
      </c>
      <c r="S7399">
        <v>0</v>
      </c>
      <c r="T7399">
        <v>1</v>
      </c>
      <c r="U7399">
        <v>0</v>
      </c>
      <c r="V7399">
        <v>0</v>
      </c>
      <c r="W7399">
        <v>1</v>
      </c>
      <c r="X7399">
        <v>0</v>
      </c>
      <c r="Y7399">
        <v>1</v>
      </c>
      <c r="Z7399">
        <v>0</v>
      </c>
      <c r="AA7399">
        <v>1</v>
      </c>
      <c r="AB7399">
        <v>0</v>
      </c>
      <c r="AC7399">
        <v>0</v>
      </c>
      <c r="AD7399">
        <v>1</v>
      </c>
      <c r="AE7399">
        <v>1</v>
      </c>
      <c r="AF7399">
        <v>1</v>
      </c>
      <c r="AG7399">
        <v>1</v>
      </c>
      <c r="AH7399">
        <v>1</v>
      </c>
      <c r="AI7399">
        <v>1</v>
      </c>
      <c r="AJ7399">
        <v>1</v>
      </c>
      <c r="AK7399">
        <v>1</v>
      </c>
      <c r="AL7399">
        <v>1</v>
      </c>
      <c r="AM7399">
        <v>1</v>
      </c>
    </row>
    <row r="7400" spans="1:39" x14ac:dyDescent="0.2">
      <c r="A7400" t="str">
        <f>"7396"</f>
        <v>7396</v>
      </c>
      <c r="B7400" t="str">
        <f t="shared" si="409"/>
        <v>1</v>
      </c>
      <c r="C7400" t="str">
        <f t="shared" si="411"/>
        <v>148</v>
      </c>
      <c r="D7400" t="str">
        <f>"49"</f>
        <v>49</v>
      </c>
      <c r="E7400" t="str">
        <f>"1-148-49"</f>
        <v>1-148-49</v>
      </c>
      <c r="F7400" t="s">
        <v>65</v>
      </c>
      <c r="G7400" t="s">
        <v>66</v>
      </c>
      <c r="H7400" t="s">
        <v>67</v>
      </c>
      <c r="S7400">
        <v>1</v>
      </c>
      <c r="T7400">
        <v>0</v>
      </c>
      <c r="U7400">
        <v>0</v>
      </c>
      <c r="V7400">
        <v>0</v>
      </c>
      <c r="W7400">
        <v>0</v>
      </c>
      <c r="X7400">
        <v>1</v>
      </c>
      <c r="Y7400">
        <v>0</v>
      </c>
      <c r="Z7400">
        <v>1</v>
      </c>
      <c r="AA7400">
        <v>0</v>
      </c>
      <c r="AB7400">
        <v>1</v>
      </c>
      <c r="AC7400">
        <v>0</v>
      </c>
      <c r="AD7400">
        <v>1</v>
      </c>
      <c r="AE7400">
        <v>1</v>
      </c>
      <c r="AF7400">
        <v>1</v>
      </c>
      <c r="AG7400">
        <v>1</v>
      </c>
      <c r="AH7400">
        <v>1</v>
      </c>
      <c r="AI7400">
        <v>1</v>
      </c>
      <c r="AJ7400">
        <v>1</v>
      </c>
      <c r="AK7400">
        <v>1</v>
      </c>
      <c r="AL7400">
        <v>1</v>
      </c>
      <c r="AM7400">
        <v>1</v>
      </c>
    </row>
    <row r="7401" spans="1:39" x14ac:dyDescent="0.2">
      <c r="A7401" t="str">
        <f>"7397"</f>
        <v>7397</v>
      </c>
      <c r="B7401" t="str">
        <f t="shared" si="409"/>
        <v>1</v>
      </c>
      <c r="C7401" t="str">
        <f t="shared" si="411"/>
        <v>148</v>
      </c>
      <c r="D7401" t="str">
        <f>"32"</f>
        <v>32</v>
      </c>
      <c r="E7401" t="str">
        <f>"1-148-32"</f>
        <v>1-148-32</v>
      </c>
      <c r="F7401" t="s">
        <v>65</v>
      </c>
      <c r="G7401" t="s">
        <v>66</v>
      </c>
      <c r="H7401" t="s">
        <v>67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1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1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</row>
    <row r="7402" spans="1:39" x14ac:dyDescent="0.2">
      <c r="A7402" t="str">
        <f>"7398"</f>
        <v>7398</v>
      </c>
      <c r="B7402" t="str">
        <f t="shared" si="409"/>
        <v>1</v>
      </c>
      <c r="C7402" t="str">
        <f t="shared" si="411"/>
        <v>148</v>
      </c>
      <c r="D7402" t="str">
        <f>"7"</f>
        <v>7</v>
      </c>
      <c r="E7402" t="str">
        <f>"1-148-7"</f>
        <v>1-148-7</v>
      </c>
      <c r="F7402" t="s">
        <v>65</v>
      </c>
      <c r="G7402" t="s">
        <v>66</v>
      </c>
      <c r="H7402" t="s">
        <v>67</v>
      </c>
      <c r="S7402">
        <v>1</v>
      </c>
      <c r="T7402">
        <v>0</v>
      </c>
      <c r="U7402">
        <v>0</v>
      </c>
      <c r="V7402">
        <v>0</v>
      </c>
      <c r="W7402">
        <v>1</v>
      </c>
      <c r="X7402">
        <v>0</v>
      </c>
      <c r="Y7402">
        <v>0</v>
      </c>
      <c r="Z7402">
        <v>0</v>
      </c>
      <c r="AA7402">
        <v>1</v>
      </c>
      <c r="AB7402">
        <v>0</v>
      </c>
      <c r="AC7402">
        <v>0</v>
      </c>
      <c r="AD7402">
        <v>1</v>
      </c>
      <c r="AE7402">
        <v>1</v>
      </c>
      <c r="AF7402">
        <v>1</v>
      </c>
      <c r="AG7402">
        <v>1</v>
      </c>
      <c r="AH7402">
        <v>0</v>
      </c>
      <c r="AI7402">
        <v>1</v>
      </c>
      <c r="AJ7402">
        <v>1</v>
      </c>
      <c r="AK7402">
        <v>1</v>
      </c>
      <c r="AL7402">
        <v>1</v>
      </c>
      <c r="AM7402">
        <v>1</v>
      </c>
    </row>
    <row r="7403" spans="1:39" x14ac:dyDescent="0.2">
      <c r="A7403" t="str">
        <f>"7399"</f>
        <v>7399</v>
      </c>
      <c r="B7403" t="str">
        <f t="shared" si="409"/>
        <v>1</v>
      </c>
      <c r="C7403" t="str">
        <f t="shared" si="411"/>
        <v>148</v>
      </c>
      <c r="D7403" t="str">
        <f>"23"</f>
        <v>23</v>
      </c>
      <c r="E7403" t="str">
        <f>"1-148-23"</f>
        <v>1-148-23</v>
      </c>
      <c r="F7403" t="s">
        <v>65</v>
      </c>
      <c r="G7403" t="s">
        <v>66</v>
      </c>
      <c r="H7403" t="s">
        <v>67</v>
      </c>
      <c r="S7403">
        <v>1</v>
      </c>
      <c r="T7403">
        <v>0</v>
      </c>
      <c r="U7403">
        <v>0</v>
      </c>
      <c r="V7403">
        <v>0</v>
      </c>
      <c r="W7403">
        <v>1</v>
      </c>
      <c r="X7403">
        <v>0</v>
      </c>
      <c r="Y7403">
        <v>1</v>
      </c>
      <c r="Z7403">
        <v>0</v>
      </c>
      <c r="AA7403">
        <v>0</v>
      </c>
      <c r="AB7403">
        <v>1</v>
      </c>
      <c r="AC7403">
        <v>0</v>
      </c>
      <c r="AD7403">
        <v>1</v>
      </c>
      <c r="AE7403">
        <v>1</v>
      </c>
      <c r="AF7403">
        <v>1</v>
      </c>
      <c r="AG7403">
        <v>1</v>
      </c>
      <c r="AH7403">
        <v>1</v>
      </c>
      <c r="AI7403">
        <v>1</v>
      </c>
      <c r="AJ7403">
        <v>1</v>
      </c>
      <c r="AK7403">
        <v>1</v>
      </c>
      <c r="AL7403">
        <v>1</v>
      </c>
      <c r="AM7403">
        <v>1</v>
      </c>
    </row>
    <row r="7404" spans="1:39" x14ac:dyDescent="0.2">
      <c r="A7404" t="str">
        <f>"7400"</f>
        <v>7400</v>
      </c>
      <c r="B7404" t="str">
        <f t="shared" si="409"/>
        <v>1</v>
      </c>
      <c r="C7404" t="str">
        <f t="shared" si="411"/>
        <v>148</v>
      </c>
      <c r="D7404" t="str">
        <f>"28"</f>
        <v>28</v>
      </c>
      <c r="E7404" t="str">
        <f>"1-148-28"</f>
        <v>1-148-28</v>
      </c>
      <c r="F7404" t="s">
        <v>65</v>
      </c>
      <c r="G7404" t="s">
        <v>66</v>
      </c>
      <c r="H7404" t="s">
        <v>67</v>
      </c>
      <c r="S7404">
        <v>1</v>
      </c>
      <c r="T7404">
        <v>0</v>
      </c>
      <c r="U7404">
        <v>0</v>
      </c>
      <c r="V7404">
        <v>0</v>
      </c>
      <c r="W7404">
        <v>1</v>
      </c>
      <c r="X7404">
        <v>0</v>
      </c>
      <c r="Y7404">
        <v>1</v>
      </c>
      <c r="Z7404">
        <v>0</v>
      </c>
      <c r="AA7404">
        <v>1</v>
      </c>
      <c r="AB7404">
        <v>0</v>
      </c>
      <c r="AC7404">
        <v>0</v>
      </c>
      <c r="AD7404">
        <v>1</v>
      </c>
      <c r="AE7404">
        <v>1</v>
      </c>
      <c r="AF7404">
        <v>1</v>
      </c>
      <c r="AG7404">
        <v>1</v>
      </c>
      <c r="AH7404">
        <v>1</v>
      </c>
      <c r="AI7404">
        <v>1</v>
      </c>
      <c r="AJ7404">
        <v>1</v>
      </c>
      <c r="AK7404">
        <v>1</v>
      </c>
      <c r="AL7404">
        <v>1</v>
      </c>
      <c r="AM7404">
        <v>1</v>
      </c>
    </row>
    <row r="7405" spans="1:39" x14ac:dyDescent="0.2">
      <c r="A7405" t="str">
        <f>"7401"</f>
        <v>7401</v>
      </c>
      <c r="B7405" t="str">
        <f t="shared" si="409"/>
        <v>1</v>
      </c>
      <c r="C7405" t="str">
        <f t="shared" ref="C7405:C7436" si="412">"149"</f>
        <v>149</v>
      </c>
      <c r="D7405" t="str">
        <f>"38"</f>
        <v>38</v>
      </c>
      <c r="E7405" t="str">
        <f>"1-149-38"</f>
        <v>1-149-38</v>
      </c>
      <c r="F7405" t="s">
        <v>65</v>
      </c>
      <c r="G7405" t="s">
        <v>66</v>
      </c>
      <c r="H7405" t="s">
        <v>67</v>
      </c>
      <c r="S7405">
        <v>1</v>
      </c>
      <c r="T7405">
        <v>0</v>
      </c>
      <c r="U7405">
        <v>0</v>
      </c>
      <c r="V7405">
        <v>0</v>
      </c>
      <c r="W7405">
        <v>1</v>
      </c>
      <c r="X7405">
        <v>0</v>
      </c>
      <c r="Y7405">
        <v>0</v>
      </c>
      <c r="Z7405">
        <v>1</v>
      </c>
      <c r="AA7405">
        <v>0</v>
      </c>
      <c r="AB7405">
        <v>0</v>
      </c>
      <c r="AC7405">
        <v>1</v>
      </c>
      <c r="AD7405">
        <v>1</v>
      </c>
      <c r="AE7405">
        <v>1</v>
      </c>
      <c r="AF7405">
        <v>1</v>
      </c>
      <c r="AG7405">
        <v>1</v>
      </c>
      <c r="AH7405">
        <v>1</v>
      </c>
      <c r="AI7405">
        <v>1</v>
      </c>
      <c r="AJ7405">
        <v>1</v>
      </c>
      <c r="AK7405">
        <v>1</v>
      </c>
      <c r="AL7405">
        <v>1</v>
      </c>
      <c r="AM7405">
        <v>1</v>
      </c>
    </row>
    <row r="7406" spans="1:39" x14ac:dyDescent="0.2">
      <c r="A7406" t="str">
        <f>"7402"</f>
        <v>7402</v>
      </c>
      <c r="B7406" t="str">
        <f t="shared" si="409"/>
        <v>1</v>
      </c>
      <c r="C7406" t="str">
        <f t="shared" si="412"/>
        <v>149</v>
      </c>
      <c r="D7406" t="str">
        <f>"37"</f>
        <v>37</v>
      </c>
      <c r="E7406" t="str">
        <f>"1-149-37"</f>
        <v>1-149-37</v>
      </c>
      <c r="F7406" t="s">
        <v>65</v>
      </c>
      <c r="G7406" t="s">
        <v>66</v>
      </c>
      <c r="H7406" t="s">
        <v>67</v>
      </c>
      <c r="S7406">
        <v>1</v>
      </c>
      <c r="T7406">
        <v>0</v>
      </c>
      <c r="U7406">
        <v>0</v>
      </c>
      <c r="V7406">
        <v>0</v>
      </c>
      <c r="W7406">
        <v>1</v>
      </c>
      <c r="X7406">
        <v>0</v>
      </c>
      <c r="Y7406">
        <v>1</v>
      </c>
      <c r="Z7406">
        <v>0</v>
      </c>
      <c r="AA7406">
        <v>1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1</v>
      </c>
      <c r="AJ7406">
        <v>1</v>
      </c>
      <c r="AK7406">
        <v>1</v>
      </c>
      <c r="AL7406">
        <v>1</v>
      </c>
      <c r="AM7406">
        <v>0</v>
      </c>
    </row>
    <row r="7407" spans="1:39" x14ac:dyDescent="0.2">
      <c r="A7407" t="str">
        <f>"7403"</f>
        <v>7403</v>
      </c>
      <c r="B7407" t="str">
        <f t="shared" si="409"/>
        <v>1</v>
      </c>
      <c r="C7407" t="str">
        <f t="shared" si="412"/>
        <v>149</v>
      </c>
      <c r="D7407" t="str">
        <f>"24"</f>
        <v>24</v>
      </c>
      <c r="E7407" t="str">
        <f>"1-149-24"</f>
        <v>1-149-24</v>
      </c>
      <c r="F7407" t="s">
        <v>65</v>
      </c>
      <c r="G7407" t="s">
        <v>66</v>
      </c>
      <c r="H7407" t="s">
        <v>67</v>
      </c>
      <c r="S7407">
        <v>1</v>
      </c>
      <c r="T7407">
        <v>0</v>
      </c>
      <c r="U7407">
        <v>0</v>
      </c>
      <c r="V7407">
        <v>0</v>
      </c>
      <c r="W7407">
        <v>1</v>
      </c>
      <c r="X7407">
        <v>0</v>
      </c>
      <c r="Y7407">
        <v>1</v>
      </c>
      <c r="Z7407">
        <v>0</v>
      </c>
      <c r="AA7407">
        <v>1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</row>
    <row r="7408" spans="1:39" x14ac:dyDescent="0.2">
      <c r="A7408" t="str">
        <f>"7404"</f>
        <v>7404</v>
      </c>
      <c r="B7408" t="str">
        <f t="shared" si="409"/>
        <v>1</v>
      </c>
      <c r="C7408" t="str">
        <f t="shared" si="412"/>
        <v>149</v>
      </c>
      <c r="D7408" t="str">
        <f>"15"</f>
        <v>15</v>
      </c>
      <c r="E7408" t="str">
        <f>"1-149-15"</f>
        <v>1-149-15</v>
      </c>
      <c r="F7408" t="s">
        <v>65</v>
      </c>
      <c r="G7408" t="s">
        <v>66</v>
      </c>
      <c r="H7408" t="s">
        <v>67</v>
      </c>
      <c r="S7408">
        <v>1</v>
      </c>
      <c r="T7408">
        <v>0</v>
      </c>
      <c r="U7408">
        <v>0</v>
      </c>
      <c r="V7408">
        <v>0</v>
      </c>
      <c r="W7408">
        <v>1</v>
      </c>
      <c r="X7408">
        <v>0</v>
      </c>
      <c r="Y7408">
        <v>0</v>
      </c>
      <c r="Z7408">
        <v>1</v>
      </c>
      <c r="AA7408">
        <v>1</v>
      </c>
      <c r="AB7408">
        <v>0</v>
      </c>
      <c r="AC7408">
        <v>0</v>
      </c>
      <c r="AD7408">
        <v>1</v>
      </c>
      <c r="AE7408">
        <v>1</v>
      </c>
      <c r="AF7408">
        <v>1</v>
      </c>
      <c r="AG7408">
        <v>1</v>
      </c>
      <c r="AH7408">
        <v>1</v>
      </c>
      <c r="AI7408">
        <v>1</v>
      </c>
      <c r="AJ7408">
        <v>1</v>
      </c>
      <c r="AK7408">
        <v>1</v>
      </c>
      <c r="AL7408">
        <v>1</v>
      </c>
      <c r="AM7408">
        <v>1</v>
      </c>
    </row>
    <row r="7409" spans="1:39" x14ac:dyDescent="0.2">
      <c r="A7409" t="str">
        <f>"7405"</f>
        <v>7405</v>
      </c>
      <c r="B7409" t="str">
        <f t="shared" si="409"/>
        <v>1</v>
      </c>
      <c r="C7409" t="str">
        <f t="shared" si="412"/>
        <v>149</v>
      </c>
      <c r="D7409" t="str">
        <f>"1"</f>
        <v>1</v>
      </c>
      <c r="E7409" t="str">
        <f>"1-149-1"</f>
        <v>1-149-1</v>
      </c>
      <c r="F7409" t="s">
        <v>65</v>
      </c>
      <c r="G7409" t="s">
        <v>66</v>
      </c>
      <c r="H7409" t="s">
        <v>67</v>
      </c>
      <c r="S7409">
        <v>0</v>
      </c>
      <c r="T7409">
        <v>1</v>
      </c>
      <c r="U7409">
        <v>0</v>
      </c>
      <c r="V7409">
        <v>0</v>
      </c>
      <c r="W7409">
        <v>1</v>
      </c>
      <c r="X7409">
        <v>0</v>
      </c>
      <c r="Y7409">
        <v>1</v>
      </c>
      <c r="Z7409">
        <v>0</v>
      </c>
      <c r="AA7409">
        <v>0</v>
      </c>
      <c r="AB7409">
        <v>1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1</v>
      </c>
    </row>
    <row r="7410" spans="1:39" x14ac:dyDescent="0.2">
      <c r="A7410" t="str">
        <f>"7406"</f>
        <v>7406</v>
      </c>
      <c r="B7410" t="str">
        <f t="shared" si="409"/>
        <v>1</v>
      </c>
      <c r="C7410" t="str">
        <f t="shared" si="412"/>
        <v>149</v>
      </c>
      <c r="D7410" t="str">
        <f>"36"</f>
        <v>36</v>
      </c>
      <c r="E7410" t="str">
        <f>"1-149-36"</f>
        <v>1-149-36</v>
      </c>
      <c r="F7410" t="s">
        <v>65</v>
      </c>
      <c r="G7410" t="s">
        <v>66</v>
      </c>
      <c r="H7410" t="s">
        <v>67</v>
      </c>
      <c r="S7410">
        <v>1</v>
      </c>
      <c r="T7410">
        <v>0</v>
      </c>
      <c r="U7410">
        <v>0</v>
      </c>
      <c r="V7410">
        <v>0</v>
      </c>
      <c r="W7410">
        <v>0</v>
      </c>
      <c r="X7410">
        <v>1</v>
      </c>
      <c r="Y7410">
        <v>0</v>
      </c>
      <c r="Z7410">
        <v>1</v>
      </c>
      <c r="AA7410">
        <v>1</v>
      </c>
      <c r="AB7410">
        <v>0</v>
      </c>
      <c r="AC7410">
        <v>0</v>
      </c>
      <c r="AD7410">
        <v>1</v>
      </c>
      <c r="AE7410">
        <v>1</v>
      </c>
      <c r="AF7410">
        <v>1</v>
      </c>
      <c r="AG7410">
        <v>1</v>
      </c>
      <c r="AH7410">
        <v>1</v>
      </c>
      <c r="AI7410">
        <v>1</v>
      </c>
      <c r="AJ7410">
        <v>1</v>
      </c>
      <c r="AK7410">
        <v>1</v>
      </c>
      <c r="AL7410">
        <v>1</v>
      </c>
      <c r="AM7410">
        <v>1</v>
      </c>
    </row>
    <row r="7411" spans="1:39" x14ac:dyDescent="0.2">
      <c r="A7411" t="str">
        <f>"7407"</f>
        <v>7407</v>
      </c>
      <c r="B7411" t="str">
        <f t="shared" si="409"/>
        <v>1</v>
      </c>
      <c r="C7411" t="str">
        <f t="shared" si="412"/>
        <v>149</v>
      </c>
      <c r="D7411" t="str">
        <f>"35"</f>
        <v>35</v>
      </c>
      <c r="E7411" t="str">
        <f>"1-149-35"</f>
        <v>1-149-35</v>
      </c>
      <c r="F7411" t="s">
        <v>65</v>
      </c>
      <c r="G7411" t="s">
        <v>66</v>
      </c>
      <c r="H7411" t="s">
        <v>67</v>
      </c>
      <c r="S7411">
        <v>1</v>
      </c>
      <c r="T7411">
        <v>0</v>
      </c>
      <c r="U7411">
        <v>0</v>
      </c>
      <c r="V7411">
        <v>0</v>
      </c>
      <c r="W7411">
        <v>1</v>
      </c>
      <c r="X7411">
        <v>0</v>
      </c>
      <c r="Y7411">
        <v>1</v>
      </c>
      <c r="Z7411">
        <v>0</v>
      </c>
      <c r="AA7411">
        <v>1</v>
      </c>
      <c r="AB7411">
        <v>0</v>
      </c>
      <c r="AC7411">
        <v>0</v>
      </c>
      <c r="AD7411">
        <v>1</v>
      </c>
      <c r="AE7411">
        <v>1</v>
      </c>
      <c r="AF7411">
        <v>0</v>
      </c>
      <c r="AG7411">
        <v>1</v>
      </c>
      <c r="AH7411">
        <v>1</v>
      </c>
      <c r="AI7411">
        <v>1</v>
      </c>
      <c r="AJ7411">
        <v>1</v>
      </c>
      <c r="AK7411">
        <v>0</v>
      </c>
      <c r="AL7411">
        <v>1</v>
      </c>
      <c r="AM7411">
        <v>0</v>
      </c>
    </row>
    <row r="7412" spans="1:39" x14ac:dyDescent="0.2">
      <c r="A7412" t="str">
        <f>"7408"</f>
        <v>7408</v>
      </c>
      <c r="B7412" t="str">
        <f t="shared" si="409"/>
        <v>1</v>
      </c>
      <c r="C7412" t="str">
        <f t="shared" si="412"/>
        <v>149</v>
      </c>
      <c r="D7412" t="str">
        <f>"22"</f>
        <v>22</v>
      </c>
      <c r="E7412" t="str">
        <f>"1-149-22"</f>
        <v>1-149-22</v>
      </c>
      <c r="F7412" t="s">
        <v>65</v>
      </c>
      <c r="G7412" t="s">
        <v>66</v>
      </c>
      <c r="H7412" t="s">
        <v>67</v>
      </c>
      <c r="S7412">
        <v>1</v>
      </c>
      <c r="T7412">
        <v>0</v>
      </c>
      <c r="U7412">
        <v>0</v>
      </c>
      <c r="V7412">
        <v>0</v>
      </c>
      <c r="W7412">
        <v>1</v>
      </c>
      <c r="X7412">
        <v>0</v>
      </c>
      <c r="Y7412">
        <v>0</v>
      </c>
      <c r="Z7412">
        <v>1</v>
      </c>
      <c r="AA7412">
        <v>0</v>
      </c>
      <c r="AB7412">
        <v>0</v>
      </c>
      <c r="AC7412">
        <v>1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</row>
    <row r="7413" spans="1:39" x14ac:dyDescent="0.2">
      <c r="A7413" t="str">
        <f>"7409"</f>
        <v>7409</v>
      </c>
      <c r="B7413" t="str">
        <f t="shared" si="409"/>
        <v>1</v>
      </c>
      <c r="C7413" t="str">
        <f t="shared" si="412"/>
        <v>149</v>
      </c>
      <c r="D7413" t="str">
        <f>"16"</f>
        <v>16</v>
      </c>
      <c r="E7413" t="str">
        <f>"1-149-16"</f>
        <v>1-149-16</v>
      </c>
      <c r="F7413" t="s">
        <v>65</v>
      </c>
      <c r="G7413" t="s">
        <v>66</v>
      </c>
      <c r="H7413" t="s">
        <v>67</v>
      </c>
      <c r="S7413">
        <v>0</v>
      </c>
      <c r="T7413">
        <v>1</v>
      </c>
      <c r="U7413">
        <v>0</v>
      </c>
      <c r="V7413">
        <v>0</v>
      </c>
      <c r="W7413">
        <v>1</v>
      </c>
      <c r="X7413">
        <v>0</v>
      </c>
      <c r="Y7413">
        <v>0</v>
      </c>
      <c r="Z7413">
        <v>1</v>
      </c>
      <c r="AA7413">
        <v>0</v>
      </c>
      <c r="AB7413">
        <v>0</v>
      </c>
      <c r="AC7413">
        <v>1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</row>
    <row r="7414" spans="1:39" x14ac:dyDescent="0.2">
      <c r="A7414" t="str">
        <f>"7410"</f>
        <v>7410</v>
      </c>
      <c r="B7414" t="str">
        <f t="shared" si="409"/>
        <v>1</v>
      </c>
      <c r="C7414" t="str">
        <f t="shared" si="412"/>
        <v>149</v>
      </c>
      <c r="D7414" t="str">
        <f>"12"</f>
        <v>12</v>
      </c>
      <c r="E7414" t="str">
        <f>"1-149-12"</f>
        <v>1-149-12</v>
      </c>
      <c r="F7414" t="s">
        <v>65</v>
      </c>
      <c r="G7414" t="s">
        <v>66</v>
      </c>
      <c r="H7414" t="s">
        <v>67</v>
      </c>
      <c r="S7414">
        <v>1</v>
      </c>
      <c r="T7414">
        <v>0</v>
      </c>
      <c r="U7414">
        <v>0</v>
      </c>
      <c r="V7414">
        <v>0</v>
      </c>
      <c r="W7414">
        <v>1</v>
      </c>
      <c r="X7414">
        <v>0</v>
      </c>
      <c r="Y7414">
        <v>0</v>
      </c>
      <c r="Z7414">
        <v>0</v>
      </c>
      <c r="AA7414">
        <v>1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</row>
    <row r="7415" spans="1:39" x14ac:dyDescent="0.2">
      <c r="A7415" t="str">
        <f>"7411"</f>
        <v>7411</v>
      </c>
      <c r="B7415" t="str">
        <f t="shared" ref="B7415:B7478" si="413">"1"</f>
        <v>1</v>
      </c>
      <c r="C7415" t="str">
        <f t="shared" si="412"/>
        <v>149</v>
      </c>
      <c r="D7415" t="str">
        <f>"34"</f>
        <v>34</v>
      </c>
      <c r="E7415" t="str">
        <f>"1-149-34"</f>
        <v>1-149-34</v>
      </c>
      <c r="F7415" t="s">
        <v>65</v>
      </c>
      <c r="G7415" t="s">
        <v>66</v>
      </c>
      <c r="H7415" t="s">
        <v>67</v>
      </c>
      <c r="S7415">
        <v>0</v>
      </c>
      <c r="T7415">
        <v>1</v>
      </c>
      <c r="U7415">
        <v>0</v>
      </c>
      <c r="V7415">
        <v>0</v>
      </c>
      <c r="W7415">
        <v>1</v>
      </c>
      <c r="X7415">
        <v>0</v>
      </c>
      <c r="Y7415">
        <v>1</v>
      </c>
      <c r="Z7415">
        <v>0</v>
      </c>
      <c r="AA7415">
        <v>0</v>
      </c>
      <c r="AB7415">
        <v>1</v>
      </c>
      <c r="AC7415">
        <v>0</v>
      </c>
      <c r="AD7415">
        <v>1</v>
      </c>
      <c r="AE7415">
        <v>1</v>
      </c>
      <c r="AF7415">
        <v>1</v>
      </c>
      <c r="AG7415">
        <v>1</v>
      </c>
      <c r="AH7415">
        <v>1</v>
      </c>
      <c r="AI7415">
        <v>1</v>
      </c>
      <c r="AJ7415">
        <v>1</v>
      </c>
      <c r="AK7415">
        <v>1</v>
      </c>
      <c r="AL7415">
        <v>1</v>
      </c>
      <c r="AM7415">
        <v>1</v>
      </c>
    </row>
    <row r="7416" spans="1:39" x14ac:dyDescent="0.2">
      <c r="A7416" t="str">
        <f>"7412"</f>
        <v>7412</v>
      </c>
      <c r="B7416" t="str">
        <f t="shared" si="413"/>
        <v>1</v>
      </c>
      <c r="C7416" t="str">
        <f t="shared" si="412"/>
        <v>149</v>
      </c>
      <c r="D7416" t="str">
        <f>"33"</f>
        <v>33</v>
      </c>
      <c r="E7416" t="str">
        <f>"1-149-33"</f>
        <v>1-149-33</v>
      </c>
      <c r="F7416" t="s">
        <v>65</v>
      </c>
      <c r="G7416" t="s">
        <v>66</v>
      </c>
      <c r="H7416" t="s">
        <v>67</v>
      </c>
      <c r="S7416">
        <v>1</v>
      </c>
      <c r="T7416">
        <v>0</v>
      </c>
      <c r="U7416">
        <v>0</v>
      </c>
      <c r="V7416">
        <v>0</v>
      </c>
      <c r="W7416">
        <v>1</v>
      </c>
      <c r="X7416">
        <v>0</v>
      </c>
      <c r="Y7416">
        <v>1</v>
      </c>
      <c r="Z7416">
        <v>0</v>
      </c>
      <c r="AA7416">
        <v>1</v>
      </c>
      <c r="AB7416">
        <v>0</v>
      </c>
      <c r="AC7416">
        <v>0</v>
      </c>
      <c r="AD7416">
        <v>1</v>
      </c>
      <c r="AE7416">
        <v>1</v>
      </c>
      <c r="AF7416">
        <v>1</v>
      </c>
      <c r="AG7416">
        <v>1</v>
      </c>
      <c r="AH7416">
        <v>1</v>
      </c>
      <c r="AI7416">
        <v>1</v>
      </c>
      <c r="AJ7416">
        <v>1</v>
      </c>
      <c r="AK7416">
        <v>1</v>
      </c>
      <c r="AL7416">
        <v>1</v>
      </c>
      <c r="AM7416">
        <v>1</v>
      </c>
    </row>
    <row r="7417" spans="1:39" x14ac:dyDescent="0.2">
      <c r="A7417" t="str">
        <f>"7413"</f>
        <v>7413</v>
      </c>
      <c r="B7417" t="str">
        <f t="shared" si="413"/>
        <v>1</v>
      </c>
      <c r="C7417" t="str">
        <f t="shared" si="412"/>
        <v>149</v>
      </c>
      <c r="D7417" t="str">
        <f>"23"</f>
        <v>23</v>
      </c>
      <c r="E7417" t="str">
        <f>"1-149-23"</f>
        <v>1-149-23</v>
      </c>
      <c r="F7417" t="s">
        <v>65</v>
      </c>
      <c r="G7417" t="s">
        <v>66</v>
      </c>
      <c r="H7417" t="s">
        <v>67</v>
      </c>
      <c r="S7417">
        <v>1</v>
      </c>
      <c r="T7417">
        <v>0</v>
      </c>
      <c r="U7417">
        <v>0</v>
      </c>
      <c r="V7417">
        <v>0</v>
      </c>
      <c r="W7417">
        <v>1</v>
      </c>
      <c r="X7417">
        <v>0</v>
      </c>
      <c r="Y7417">
        <v>0</v>
      </c>
      <c r="Z7417">
        <v>1</v>
      </c>
      <c r="AA7417">
        <v>0</v>
      </c>
      <c r="AB7417">
        <v>0</v>
      </c>
      <c r="AC7417">
        <v>1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</row>
    <row r="7418" spans="1:39" x14ac:dyDescent="0.2">
      <c r="A7418" t="str">
        <f>"7414"</f>
        <v>7414</v>
      </c>
      <c r="B7418" t="str">
        <f t="shared" si="413"/>
        <v>1</v>
      </c>
      <c r="C7418" t="str">
        <f t="shared" si="412"/>
        <v>149</v>
      </c>
      <c r="D7418" t="str">
        <f>"17"</f>
        <v>17</v>
      </c>
      <c r="E7418" t="str">
        <f>"1-149-17"</f>
        <v>1-149-17</v>
      </c>
      <c r="F7418" t="s">
        <v>65</v>
      </c>
      <c r="G7418" t="s">
        <v>66</v>
      </c>
      <c r="H7418" t="s">
        <v>67</v>
      </c>
      <c r="S7418">
        <v>1</v>
      </c>
      <c r="T7418">
        <v>0</v>
      </c>
      <c r="U7418">
        <v>0</v>
      </c>
      <c r="V7418">
        <v>0</v>
      </c>
      <c r="W7418">
        <v>1</v>
      </c>
      <c r="X7418">
        <v>0</v>
      </c>
      <c r="Y7418">
        <v>1</v>
      </c>
      <c r="Z7418">
        <v>0</v>
      </c>
      <c r="AA7418">
        <v>1</v>
      </c>
      <c r="AB7418">
        <v>0</v>
      </c>
      <c r="AC7418">
        <v>0</v>
      </c>
      <c r="AD7418">
        <v>1</v>
      </c>
      <c r="AE7418">
        <v>1</v>
      </c>
      <c r="AF7418">
        <v>1</v>
      </c>
      <c r="AG7418">
        <v>1</v>
      </c>
      <c r="AH7418">
        <v>1</v>
      </c>
      <c r="AI7418">
        <v>1</v>
      </c>
      <c r="AJ7418">
        <v>1</v>
      </c>
      <c r="AK7418">
        <v>1</v>
      </c>
      <c r="AL7418">
        <v>1</v>
      </c>
      <c r="AM7418">
        <v>0</v>
      </c>
    </row>
    <row r="7419" spans="1:39" x14ac:dyDescent="0.2">
      <c r="A7419" t="str">
        <f>"7415"</f>
        <v>7415</v>
      </c>
      <c r="B7419" t="str">
        <f t="shared" si="413"/>
        <v>1</v>
      </c>
      <c r="C7419" t="str">
        <f t="shared" si="412"/>
        <v>149</v>
      </c>
      <c r="D7419" t="str">
        <f>"8"</f>
        <v>8</v>
      </c>
      <c r="E7419" t="str">
        <f>"1-149-8"</f>
        <v>1-149-8</v>
      </c>
      <c r="F7419" t="s">
        <v>65</v>
      </c>
      <c r="G7419" t="s">
        <v>66</v>
      </c>
      <c r="H7419" t="s">
        <v>67</v>
      </c>
      <c r="S7419">
        <v>1</v>
      </c>
      <c r="T7419">
        <v>0</v>
      </c>
      <c r="U7419">
        <v>0</v>
      </c>
      <c r="V7419">
        <v>0</v>
      </c>
      <c r="W7419">
        <v>1</v>
      </c>
      <c r="X7419">
        <v>0</v>
      </c>
      <c r="Y7419">
        <v>1</v>
      </c>
      <c r="Z7419">
        <v>0</v>
      </c>
      <c r="AA7419">
        <v>1</v>
      </c>
      <c r="AB7419">
        <v>0</v>
      </c>
      <c r="AC7419">
        <v>0</v>
      </c>
      <c r="AD7419">
        <v>1</v>
      </c>
      <c r="AE7419">
        <v>1</v>
      </c>
      <c r="AF7419">
        <v>1</v>
      </c>
      <c r="AG7419">
        <v>1</v>
      </c>
      <c r="AH7419">
        <v>1</v>
      </c>
      <c r="AI7419">
        <v>1</v>
      </c>
      <c r="AJ7419">
        <v>1</v>
      </c>
      <c r="AK7419">
        <v>1</v>
      </c>
      <c r="AL7419">
        <v>1</v>
      </c>
      <c r="AM7419">
        <v>1</v>
      </c>
    </row>
    <row r="7420" spans="1:39" x14ac:dyDescent="0.2">
      <c r="A7420" t="str">
        <f>"7416"</f>
        <v>7416</v>
      </c>
      <c r="B7420" t="str">
        <f t="shared" si="413"/>
        <v>1</v>
      </c>
      <c r="C7420" t="str">
        <f t="shared" si="412"/>
        <v>149</v>
      </c>
      <c r="D7420" t="str">
        <f>"40"</f>
        <v>40</v>
      </c>
      <c r="E7420" t="str">
        <f>"1-149-40"</f>
        <v>1-149-40</v>
      </c>
      <c r="F7420" t="s">
        <v>65</v>
      </c>
      <c r="G7420" t="s">
        <v>66</v>
      </c>
      <c r="H7420" t="s">
        <v>67</v>
      </c>
      <c r="S7420">
        <v>1</v>
      </c>
      <c r="T7420">
        <v>0</v>
      </c>
      <c r="U7420">
        <v>0</v>
      </c>
      <c r="V7420">
        <v>0</v>
      </c>
      <c r="W7420">
        <v>1</v>
      </c>
      <c r="X7420">
        <v>0</v>
      </c>
      <c r="Y7420">
        <v>1</v>
      </c>
      <c r="Z7420">
        <v>0</v>
      </c>
      <c r="AA7420">
        <v>1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1</v>
      </c>
      <c r="AJ7420">
        <v>1</v>
      </c>
      <c r="AK7420">
        <v>1</v>
      </c>
      <c r="AL7420">
        <v>1</v>
      </c>
      <c r="AM7420">
        <v>0</v>
      </c>
    </row>
    <row r="7421" spans="1:39" x14ac:dyDescent="0.2">
      <c r="A7421" t="str">
        <f>"7417"</f>
        <v>7417</v>
      </c>
      <c r="B7421" t="str">
        <f t="shared" si="413"/>
        <v>1</v>
      </c>
      <c r="C7421" t="str">
        <f t="shared" si="412"/>
        <v>149</v>
      </c>
      <c r="D7421" t="str">
        <f>"39"</f>
        <v>39</v>
      </c>
      <c r="E7421" t="str">
        <f>"1-149-39"</f>
        <v>1-149-39</v>
      </c>
      <c r="F7421" t="s">
        <v>65</v>
      </c>
      <c r="G7421" t="s">
        <v>66</v>
      </c>
      <c r="H7421" t="s">
        <v>67</v>
      </c>
      <c r="S7421">
        <v>1</v>
      </c>
      <c r="T7421">
        <v>0</v>
      </c>
      <c r="U7421">
        <v>0</v>
      </c>
      <c r="V7421">
        <v>0</v>
      </c>
      <c r="W7421">
        <v>1</v>
      </c>
      <c r="X7421">
        <v>0</v>
      </c>
      <c r="Y7421">
        <v>1</v>
      </c>
      <c r="Z7421">
        <v>0</v>
      </c>
      <c r="AA7421">
        <v>1</v>
      </c>
      <c r="AB7421">
        <v>0</v>
      </c>
      <c r="AC7421">
        <v>0</v>
      </c>
      <c r="AD7421">
        <v>1</v>
      </c>
      <c r="AE7421">
        <v>1</v>
      </c>
      <c r="AF7421">
        <v>1</v>
      </c>
      <c r="AG7421">
        <v>1</v>
      </c>
      <c r="AH7421">
        <v>1</v>
      </c>
      <c r="AI7421">
        <v>1</v>
      </c>
      <c r="AJ7421">
        <v>1</v>
      </c>
      <c r="AK7421">
        <v>1</v>
      </c>
      <c r="AL7421">
        <v>1</v>
      </c>
      <c r="AM7421">
        <v>1</v>
      </c>
    </row>
    <row r="7422" spans="1:39" x14ac:dyDescent="0.2">
      <c r="A7422" t="str">
        <f>"7418"</f>
        <v>7418</v>
      </c>
      <c r="B7422" t="str">
        <f t="shared" si="413"/>
        <v>1</v>
      </c>
      <c r="C7422" t="str">
        <f t="shared" si="412"/>
        <v>149</v>
      </c>
      <c r="D7422" t="str">
        <f>"18"</f>
        <v>18</v>
      </c>
      <c r="E7422" t="str">
        <f>"1-149-18"</f>
        <v>1-149-18</v>
      </c>
      <c r="F7422" t="s">
        <v>65</v>
      </c>
      <c r="G7422" t="s">
        <v>66</v>
      </c>
      <c r="H7422" t="s">
        <v>67</v>
      </c>
      <c r="S7422">
        <v>1</v>
      </c>
      <c r="T7422">
        <v>0</v>
      </c>
      <c r="U7422">
        <v>0</v>
      </c>
      <c r="V7422">
        <v>0</v>
      </c>
      <c r="W7422">
        <v>1</v>
      </c>
      <c r="X7422">
        <v>0</v>
      </c>
      <c r="Y7422">
        <v>0</v>
      </c>
      <c r="Z7422">
        <v>1</v>
      </c>
      <c r="AA7422">
        <v>1</v>
      </c>
      <c r="AB7422">
        <v>0</v>
      </c>
      <c r="AC7422">
        <v>0</v>
      </c>
      <c r="AD7422">
        <v>1</v>
      </c>
      <c r="AE7422">
        <v>1</v>
      </c>
      <c r="AF7422">
        <v>1</v>
      </c>
      <c r="AG7422">
        <v>0</v>
      </c>
      <c r="AH7422">
        <v>1</v>
      </c>
      <c r="AI7422">
        <v>1</v>
      </c>
      <c r="AJ7422">
        <v>1</v>
      </c>
      <c r="AK7422">
        <v>1</v>
      </c>
      <c r="AL7422">
        <v>1</v>
      </c>
      <c r="AM7422">
        <v>1</v>
      </c>
    </row>
    <row r="7423" spans="1:39" x14ac:dyDescent="0.2">
      <c r="A7423" t="str">
        <f>"7419"</f>
        <v>7419</v>
      </c>
      <c r="B7423" t="str">
        <f t="shared" si="413"/>
        <v>1</v>
      </c>
      <c r="C7423" t="str">
        <f t="shared" si="412"/>
        <v>149</v>
      </c>
      <c r="D7423" t="str">
        <f>"7"</f>
        <v>7</v>
      </c>
      <c r="E7423" t="str">
        <f>"1-149-7"</f>
        <v>1-149-7</v>
      </c>
      <c r="F7423" t="s">
        <v>65</v>
      </c>
      <c r="G7423" t="s">
        <v>66</v>
      </c>
      <c r="H7423" t="s">
        <v>67</v>
      </c>
      <c r="S7423">
        <v>1</v>
      </c>
      <c r="T7423">
        <v>0</v>
      </c>
      <c r="U7423">
        <v>0</v>
      </c>
      <c r="V7423">
        <v>0</v>
      </c>
      <c r="W7423">
        <v>1</v>
      </c>
      <c r="X7423">
        <v>0</v>
      </c>
      <c r="Y7423">
        <v>1</v>
      </c>
      <c r="Z7423">
        <v>0</v>
      </c>
      <c r="AA7423">
        <v>1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</row>
    <row r="7424" spans="1:39" x14ac:dyDescent="0.2">
      <c r="A7424" t="str">
        <f>"7420"</f>
        <v>7420</v>
      </c>
      <c r="B7424" t="str">
        <f t="shared" si="413"/>
        <v>1</v>
      </c>
      <c r="C7424" t="str">
        <f t="shared" si="412"/>
        <v>149</v>
      </c>
      <c r="D7424" t="str">
        <f>"41"</f>
        <v>41</v>
      </c>
      <c r="E7424" t="str">
        <f>"1-149-41"</f>
        <v>1-149-41</v>
      </c>
      <c r="F7424" t="s">
        <v>65</v>
      </c>
      <c r="G7424" t="s">
        <v>66</v>
      </c>
      <c r="H7424" t="s">
        <v>67</v>
      </c>
      <c r="S7424">
        <v>1</v>
      </c>
      <c r="T7424">
        <v>0</v>
      </c>
      <c r="U7424">
        <v>0</v>
      </c>
      <c r="V7424">
        <v>0</v>
      </c>
      <c r="W7424">
        <v>1</v>
      </c>
      <c r="X7424">
        <v>0</v>
      </c>
      <c r="Y7424">
        <v>1</v>
      </c>
      <c r="Z7424">
        <v>0</v>
      </c>
      <c r="AA7424">
        <v>1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1</v>
      </c>
      <c r="AH7424">
        <v>1</v>
      </c>
      <c r="AI7424">
        <v>1</v>
      </c>
      <c r="AJ7424">
        <v>1</v>
      </c>
      <c r="AK7424">
        <v>1</v>
      </c>
      <c r="AL7424">
        <v>1</v>
      </c>
      <c r="AM7424">
        <v>1</v>
      </c>
    </row>
    <row r="7425" spans="1:39" x14ac:dyDescent="0.2">
      <c r="A7425" t="str">
        <f>"7421"</f>
        <v>7421</v>
      </c>
      <c r="B7425" t="str">
        <f t="shared" si="413"/>
        <v>1</v>
      </c>
      <c r="C7425" t="str">
        <f t="shared" si="412"/>
        <v>149</v>
      </c>
      <c r="D7425" t="str">
        <f>"19"</f>
        <v>19</v>
      </c>
      <c r="E7425" t="str">
        <f>"1-149-19"</f>
        <v>1-149-19</v>
      </c>
      <c r="F7425" t="s">
        <v>65</v>
      </c>
      <c r="G7425" t="s">
        <v>66</v>
      </c>
      <c r="H7425" t="s">
        <v>67</v>
      </c>
      <c r="S7425">
        <v>1</v>
      </c>
      <c r="T7425">
        <v>0</v>
      </c>
      <c r="U7425">
        <v>0</v>
      </c>
      <c r="V7425">
        <v>0</v>
      </c>
      <c r="W7425">
        <v>1</v>
      </c>
      <c r="X7425">
        <v>0</v>
      </c>
      <c r="Y7425">
        <v>1</v>
      </c>
      <c r="Z7425">
        <v>0</v>
      </c>
      <c r="AA7425">
        <v>1</v>
      </c>
      <c r="AB7425">
        <v>0</v>
      </c>
      <c r="AC7425">
        <v>0</v>
      </c>
      <c r="AD7425">
        <v>1</v>
      </c>
      <c r="AE7425">
        <v>1</v>
      </c>
      <c r="AF7425">
        <v>1</v>
      </c>
      <c r="AG7425">
        <v>0</v>
      </c>
      <c r="AH7425">
        <v>1</v>
      </c>
      <c r="AI7425">
        <v>1</v>
      </c>
      <c r="AJ7425">
        <v>1</v>
      </c>
      <c r="AK7425">
        <v>1</v>
      </c>
      <c r="AL7425">
        <v>1</v>
      </c>
      <c r="AM7425">
        <v>1</v>
      </c>
    </row>
    <row r="7426" spans="1:39" x14ac:dyDescent="0.2">
      <c r="A7426" t="str">
        <f>"7422"</f>
        <v>7422</v>
      </c>
      <c r="B7426" t="str">
        <f t="shared" si="413"/>
        <v>1</v>
      </c>
      <c r="C7426" t="str">
        <f t="shared" si="412"/>
        <v>149</v>
      </c>
      <c r="D7426" t="str">
        <f>"2"</f>
        <v>2</v>
      </c>
      <c r="E7426" t="str">
        <f>"1-149-2"</f>
        <v>1-149-2</v>
      </c>
      <c r="F7426" t="s">
        <v>65</v>
      </c>
      <c r="G7426" t="s">
        <v>66</v>
      </c>
      <c r="H7426" t="s">
        <v>67</v>
      </c>
      <c r="S7426">
        <v>1</v>
      </c>
      <c r="T7426">
        <v>0</v>
      </c>
      <c r="U7426">
        <v>0</v>
      </c>
      <c r="V7426">
        <v>0</v>
      </c>
      <c r="W7426">
        <v>1</v>
      </c>
      <c r="X7426">
        <v>0</v>
      </c>
      <c r="Y7426">
        <v>1</v>
      </c>
      <c r="Z7426">
        <v>0</v>
      </c>
      <c r="AA7426">
        <v>0</v>
      </c>
      <c r="AB7426">
        <v>0</v>
      </c>
      <c r="AC7426">
        <v>1</v>
      </c>
      <c r="AD7426">
        <v>0</v>
      </c>
      <c r="AE7426">
        <v>0</v>
      </c>
      <c r="AF7426">
        <v>0</v>
      </c>
      <c r="AG7426">
        <v>1</v>
      </c>
      <c r="AH7426">
        <v>0</v>
      </c>
      <c r="AI7426">
        <v>1</v>
      </c>
      <c r="AJ7426">
        <v>0</v>
      </c>
      <c r="AK7426">
        <v>0</v>
      </c>
      <c r="AL7426">
        <v>1</v>
      </c>
      <c r="AM7426">
        <v>1</v>
      </c>
    </row>
    <row r="7427" spans="1:39" x14ac:dyDescent="0.2">
      <c r="A7427" t="str">
        <f>"7423"</f>
        <v>7423</v>
      </c>
      <c r="B7427" t="str">
        <f t="shared" si="413"/>
        <v>1</v>
      </c>
      <c r="C7427" t="str">
        <f t="shared" si="412"/>
        <v>149</v>
      </c>
      <c r="D7427" t="str">
        <f>"42"</f>
        <v>42</v>
      </c>
      <c r="E7427" t="str">
        <f>"1-149-42"</f>
        <v>1-149-42</v>
      </c>
      <c r="F7427" t="s">
        <v>65</v>
      </c>
      <c r="G7427" t="s">
        <v>66</v>
      </c>
      <c r="H7427" t="s">
        <v>67</v>
      </c>
      <c r="S7427">
        <v>0</v>
      </c>
      <c r="T7427">
        <v>1</v>
      </c>
      <c r="U7427">
        <v>0</v>
      </c>
      <c r="V7427">
        <v>0</v>
      </c>
      <c r="W7427">
        <v>1</v>
      </c>
      <c r="X7427">
        <v>0</v>
      </c>
      <c r="Y7427">
        <v>1</v>
      </c>
      <c r="Z7427">
        <v>0</v>
      </c>
      <c r="AA7427">
        <v>0</v>
      </c>
      <c r="AB7427">
        <v>1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</row>
    <row r="7428" spans="1:39" x14ac:dyDescent="0.2">
      <c r="A7428" t="str">
        <f>"7424"</f>
        <v>7424</v>
      </c>
      <c r="B7428" t="str">
        <f t="shared" si="413"/>
        <v>1</v>
      </c>
      <c r="C7428" t="str">
        <f t="shared" si="412"/>
        <v>149</v>
      </c>
      <c r="D7428" t="str">
        <f>"20"</f>
        <v>20</v>
      </c>
      <c r="E7428" t="str">
        <f>"1-149-20"</f>
        <v>1-149-20</v>
      </c>
      <c r="F7428" t="s">
        <v>65</v>
      </c>
      <c r="G7428" t="s">
        <v>66</v>
      </c>
      <c r="H7428" t="s">
        <v>67</v>
      </c>
      <c r="S7428">
        <v>1</v>
      </c>
      <c r="T7428">
        <v>0</v>
      </c>
      <c r="U7428">
        <v>0</v>
      </c>
      <c r="V7428">
        <v>0</v>
      </c>
      <c r="W7428">
        <v>1</v>
      </c>
      <c r="X7428">
        <v>0</v>
      </c>
      <c r="Y7428">
        <v>1</v>
      </c>
      <c r="Z7428">
        <v>0</v>
      </c>
      <c r="AA7428">
        <v>1</v>
      </c>
      <c r="AB7428">
        <v>0</v>
      </c>
      <c r="AC7428">
        <v>0</v>
      </c>
      <c r="AD7428">
        <v>1</v>
      </c>
      <c r="AE7428">
        <v>1</v>
      </c>
      <c r="AF7428">
        <v>1</v>
      </c>
      <c r="AG7428">
        <v>1</v>
      </c>
      <c r="AH7428">
        <v>1</v>
      </c>
      <c r="AI7428">
        <v>1</v>
      </c>
      <c r="AJ7428">
        <v>1</v>
      </c>
      <c r="AK7428">
        <v>1</v>
      </c>
      <c r="AL7428">
        <v>1</v>
      </c>
      <c r="AM7428">
        <v>1</v>
      </c>
    </row>
    <row r="7429" spans="1:39" x14ac:dyDescent="0.2">
      <c r="A7429" t="str">
        <f>"7425"</f>
        <v>7425</v>
      </c>
      <c r="B7429" t="str">
        <f t="shared" si="413"/>
        <v>1</v>
      </c>
      <c r="C7429" t="str">
        <f t="shared" si="412"/>
        <v>149</v>
      </c>
      <c r="D7429" t="str">
        <f>"11"</f>
        <v>11</v>
      </c>
      <c r="E7429" t="str">
        <f>"1-149-11"</f>
        <v>1-149-11</v>
      </c>
      <c r="F7429" t="s">
        <v>65</v>
      </c>
      <c r="G7429" t="s">
        <v>66</v>
      </c>
      <c r="H7429" t="s">
        <v>67</v>
      </c>
      <c r="S7429">
        <v>1</v>
      </c>
      <c r="T7429">
        <v>0</v>
      </c>
      <c r="U7429">
        <v>0</v>
      </c>
      <c r="V7429">
        <v>0</v>
      </c>
      <c r="W7429">
        <v>1</v>
      </c>
      <c r="X7429">
        <v>0</v>
      </c>
      <c r="Y7429">
        <v>1</v>
      </c>
      <c r="Z7429">
        <v>0</v>
      </c>
      <c r="AA7429">
        <v>1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1</v>
      </c>
      <c r="AH7429">
        <v>1</v>
      </c>
      <c r="AI7429">
        <v>1</v>
      </c>
      <c r="AJ7429">
        <v>1</v>
      </c>
      <c r="AK7429">
        <v>1</v>
      </c>
      <c r="AL7429">
        <v>1</v>
      </c>
      <c r="AM7429">
        <v>1</v>
      </c>
    </row>
    <row r="7430" spans="1:39" x14ac:dyDescent="0.2">
      <c r="A7430" t="str">
        <f>"7426"</f>
        <v>7426</v>
      </c>
      <c r="B7430" t="str">
        <f t="shared" si="413"/>
        <v>1</v>
      </c>
      <c r="C7430" t="str">
        <f t="shared" si="412"/>
        <v>149</v>
      </c>
      <c r="D7430" t="str">
        <f>"43"</f>
        <v>43</v>
      </c>
      <c r="E7430" t="str">
        <f>"1-149-43"</f>
        <v>1-149-43</v>
      </c>
      <c r="F7430" t="s">
        <v>65</v>
      </c>
      <c r="G7430" t="s">
        <v>66</v>
      </c>
      <c r="H7430" t="s">
        <v>67</v>
      </c>
      <c r="S7430">
        <v>1</v>
      </c>
      <c r="T7430">
        <v>0</v>
      </c>
      <c r="U7430">
        <v>0</v>
      </c>
      <c r="V7430">
        <v>0</v>
      </c>
      <c r="W7430">
        <v>1</v>
      </c>
      <c r="X7430">
        <v>0</v>
      </c>
      <c r="Y7430">
        <v>1</v>
      </c>
      <c r="Z7430">
        <v>0</v>
      </c>
      <c r="AA7430">
        <v>0</v>
      </c>
      <c r="AB7430">
        <v>1</v>
      </c>
      <c r="AC7430">
        <v>0</v>
      </c>
      <c r="AD7430">
        <v>1</v>
      </c>
      <c r="AE7430">
        <v>1</v>
      </c>
      <c r="AF7430">
        <v>1</v>
      </c>
      <c r="AG7430">
        <v>1</v>
      </c>
      <c r="AH7430">
        <v>1</v>
      </c>
      <c r="AI7430">
        <v>1</v>
      </c>
      <c r="AJ7430">
        <v>1</v>
      </c>
      <c r="AK7430">
        <v>1</v>
      </c>
      <c r="AL7430">
        <v>1</v>
      </c>
      <c r="AM7430">
        <v>1</v>
      </c>
    </row>
    <row r="7431" spans="1:39" x14ac:dyDescent="0.2">
      <c r="A7431" t="str">
        <f>"7427"</f>
        <v>7427</v>
      </c>
      <c r="B7431" t="str">
        <f t="shared" si="413"/>
        <v>1</v>
      </c>
      <c r="C7431" t="str">
        <f t="shared" si="412"/>
        <v>149</v>
      </c>
      <c r="D7431" t="str">
        <f>"21"</f>
        <v>21</v>
      </c>
      <c r="E7431" t="str">
        <f>"1-149-21"</f>
        <v>1-149-21</v>
      </c>
      <c r="F7431" t="s">
        <v>65</v>
      </c>
      <c r="G7431" t="s">
        <v>66</v>
      </c>
      <c r="H7431" t="s">
        <v>67</v>
      </c>
      <c r="S7431">
        <v>0</v>
      </c>
      <c r="T7431">
        <v>1</v>
      </c>
      <c r="U7431">
        <v>0</v>
      </c>
      <c r="V7431">
        <v>0</v>
      </c>
      <c r="W7431">
        <v>1</v>
      </c>
      <c r="X7431">
        <v>0</v>
      </c>
      <c r="Y7431">
        <v>0</v>
      </c>
      <c r="Z7431">
        <v>1</v>
      </c>
      <c r="AA7431">
        <v>0</v>
      </c>
      <c r="AB7431">
        <v>0</v>
      </c>
      <c r="AC7431">
        <v>1</v>
      </c>
      <c r="AD7431">
        <v>1</v>
      </c>
      <c r="AE7431">
        <v>1</v>
      </c>
      <c r="AF7431">
        <v>1</v>
      </c>
      <c r="AG7431">
        <v>1</v>
      </c>
      <c r="AH7431">
        <v>1</v>
      </c>
      <c r="AI7431">
        <v>1</v>
      </c>
      <c r="AJ7431">
        <v>1</v>
      </c>
      <c r="AK7431">
        <v>1</v>
      </c>
      <c r="AL7431">
        <v>1</v>
      </c>
      <c r="AM7431">
        <v>1</v>
      </c>
    </row>
    <row r="7432" spans="1:39" x14ac:dyDescent="0.2">
      <c r="A7432" t="str">
        <f>"7428"</f>
        <v>7428</v>
      </c>
      <c r="B7432" t="str">
        <f t="shared" si="413"/>
        <v>1</v>
      </c>
      <c r="C7432" t="str">
        <f t="shared" si="412"/>
        <v>149</v>
      </c>
      <c r="D7432" t="str">
        <f>"9"</f>
        <v>9</v>
      </c>
      <c r="E7432" t="str">
        <f>"1-149-9"</f>
        <v>1-149-9</v>
      </c>
      <c r="F7432" t="s">
        <v>65</v>
      </c>
      <c r="G7432" t="s">
        <v>66</v>
      </c>
      <c r="H7432" t="s">
        <v>67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1</v>
      </c>
      <c r="Y7432">
        <v>0</v>
      </c>
      <c r="Z7432">
        <v>1</v>
      </c>
      <c r="AA7432">
        <v>0</v>
      </c>
      <c r="AB7432">
        <v>1</v>
      </c>
      <c r="AC7432">
        <v>0</v>
      </c>
      <c r="AD7432">
        <v>1</v>
      </c>
      <c r="AE7432">
        <v>1</v>
      </c>
      <c r="AF7432">
        <v>1</v>
      </c>
      <c r="AG7432">
        <v>1</v>
      </c>
      <c r="AH7432">
        <v>1</v>
      </c>
      <c r="AI7432">
        <v>1</v>
      </c>
      <c r="AJ7432">
        <v>1</v>
      </c>
      <c r="AK7432">
        <v>1</v>
      </c>
      <c r="AL7432">
        <v>1</v>
      </c>
      <c r="AM7432">
        <v>1</v>
      </c>
    </row>
    <row r="7433" spans="1:39" x14ac:dyDescent="0.2">
      <c r="A7433" t="str">
        <f>"7429"</f>
        <v>7429</v>
      </c>
      <c r="B7433" t="str">
        <f t="shared" si="413"/>
        <v>1</v>
      </c>
      <c r="C7433" t="str">
        <f t="shared" si="412"/>
        <v>149</v>
      </c>
      <c r="D7433" t="str">
        <f>"44"</f>
        <v>44</v>
      </c>
      <c r="E7433" t="str">
        <f>"1-149-44"</f>
        <v>1-149-44</v>
      </c>
      <c r="F7433" t="s">
        <v>65</v>
      </c>
      <c r="G7433" t="s">
        <v>66</v>
      </c>
      <c r="H7433" t="s">
        <v>67</v>
      </c>
      <c r="S7433">
        <v>1</v>
      </c>
      <c r="T7433">
        <v>0</v>
      </c>
      <c r="U7433">
        <v>0</v>
      </c>
      <c r="V7433">
        <v>0</v>
      </c>
      <c r="W7433">
        <v>1</v>
      </c>
      <c r="X7433">
        <v>0</v>
      </c>
      <c r="Y7433">
        <v>1</v>
      </c>
      <c r="Z7433">
        <v>0</v>
      </c>
      <c r="AA7433">
        <v>0</v>
      </c>
      <c r="AB7433">
        <v>1</v>
      </c>
      <c r="AC7433">
        <v>0</v>
      </c>
      <c r="AD7433">
        <v>1</v>
      </c>
      <c r="AE7433">
        <v>1</v>
      </c>
      <c r="AF7433">
        <v>1</v>
      </c>
      <c r="AG7433">
        <v>1</v>
      </c>
      <c r="AH7433">
        <v>1</v>
      </c>
      <c r="AI7433">
        <v>1</v>
      </c>
      <c r="AJ7433">
        <v>1</v>
      </c>
      <c r="AK7433">
        <v>1</v>
      </c>
      <c r="AL7433">
        <v>1</v>
      </c>
      <c r="AM7433">
        <v>1</v>
      </c>
    </row>
    <row r="7434" spans="1:39" x14ac:dyDescent="0.2">
      <c r="A7434" t="str">
        <f>"7430"</f>
        <v>7430</v>
      </c>
      <c r="B7434" t="str">
        <f t="shared" si="413"/>
        <v>1</v>
      </c>
      <c r="C7434" t="str">
        <f t="shared" si="412"/>
        <v>149</v>
      </c>
      <c r="D7434" t="str">
        <f>"25"</f>
        <v>25</v>
      </c>
      <c r="E7434" t="str">
        <f>"1-149-25"</f>
        <v>1-149-25</v>
      </c>
      <c r="F7434" t="s">
        <v>65</v>
      </c>
      <c r="G7434" t="s">
        <v>66</v>
      </c>
      <c r="H7434" t="s">
        <v>67</v>
      </c>
      <c r="S7434">
        <v>1</v>
      </c>
      <c r="T7434">
        <v>0</v>
      </c>
      <c r="U7434">
        <v>0</v>
      </c>
      <c r="V7434">
        <v>0</v>
      </c>
      <c r="W7434">
        <v>1</v>
      </c>
      <c r="X7434">
        <v>0</v>
      </c>
      <c r="Y7434">
        <v>1</v>
      </c>
      <c r="Z7434">
        <v>0</v>
      </c>
      <c r="AA7434">
        <v>1</v>
      </c>
      <c r="AB7434">
        <v>0</v>
      </c>
      <c r="AC7434">
        <v>0</v>
      </c>
      <c r="AD7434">
        <v>1</v>
      </c>
      <c r="AE7434">
        <v>1</v>
      </c>
      <c r="AF7434">
        <v>1</v>
      </c>
      <c r="AG7434">
        <v>1</v>
      </c>
      <c r="AH7434">
        <v>1</v>
      </c>
      <c r="AI7434">
        <v>1</v>
      </c>
      <c r="AJ7434">
        <v>1</v>
      </c>
      <c r="AK7434">
        <v>1</v>
      </c>
      <c r="AL7434">
        <v>1</v>
      </c>
      <c r="AM7434">
        <v>1</v>
      </c>
    </row>
    <row r="7435" spans="1:39" x14ac:dyDescent="0.2">
      <c r="A7435" t="str">
        <f>"7431"</f>
        <v>7431</v>
      </c>
      <c r="B7435" t="str">
        <f t="shared" si="413"/>
        <v>1</v>
      </c>
      <c r="C7435" t="str">
        <f t="shared" si="412"/>
        <v>149</v>
      </c>
      <c r="D7435" t="str">
        <f>"10"</f>
        <v>10</v>
      </c>
      <c r="E7435" t="str">
        <f>"1-149-10"</f>
        <v>1-149-10</v>
      </c>
      <c r="F7435" t="s">
        <v>65</v>
      </c>
      <c r="G7435" t="s">
        <v>66</v>
      </c>
      <c r="H7435" t="s">
        <v>67</v>
      </c>
      <c r="S7435">
        <v>1</v>
      </c>
      <c r="T7435">
        <v>0</v>
      </c>
      <c r="U7435">
        <v>0</v>
      </c>
      <c r="V7435">
        <v>0</v>
      </c>
      <c r="W7435">
        <v>1</v>
      </c>
      <c r="X7435">
        <v>0</v>
      </c>
      <c r="Y7435">
        <v>0</v>
      </c>
      <c r="Z7435">
        <v>1</v>
      </c>
      <c r="AA7435">
        <v>1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1</v>
      </c>
      <c r="AH7435">
        <v>0</v>
      </c>
      <c r="AI7435">
        <v>0</v>
      </c>
      <c r="AJ7435">
        <v>0</v>
      </c>
      <c r="AK7435">
        <v>1</v>
      </c>
      <c r="AL7435">
        <v>0</v>
      </c>
      <c r="AM7435">
        <v>0</v>
      </c>
    </row>
    <row r="7436" spans="1:39" x14ac:dyDescent="0.2">
      <c r="A7436" t="str">
        <f>"7432"</f>
        <v>7432</v>
      </c>
      <c r="B7436" t="str">
        <f t="shared" si="413"/>
        <v>1</v>
      </c>
      <c r="C7436" t="str">
        <f t="shared" si="412"/>
        <v>149</v>
      </c>
      <c r="D7436" t="str">
        <f>"45"</f>
        <v>45</v>
      </c>
      <c r="E7436" t="str">
        <f>"1-149-45"</f>
        <v>1-149-45</v>
      </c>
      <c r="F7436" t="s">
        <v>65</v>
      </c>
      <c r="G7436" t="s">
        <v>66</v>
      </c>
      <c r="H7436" t="s">
        <v>67</v>
      </c>
      <c r="S7436">
        <v>0</v>
      </c>
      <c r="T7436">
        <v>1</v>
      </c>
      <c r="U7436">
        <v>0</v>
      </c>
      <c r="V7436">
        <v>0</v>
      </c>
      <c r="W7436">
        <v>1</v>
      </c>
      <c r="X7436">
        <v>0</v>
      </c>
      <c r="Y7436">
        <v>1</v>
      </c>
      <c r="Z7436">
        <v>0</v>
      </c>
      <c r="AA7436">
        <v>1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1</v>
      </c>
      <c r="AH7436">
        <v>0</v>
      </c>
      <c r="AI7436">
        <v>0</v>
      </c>
      <c r="AJ7436">
        <v>0</v>
      </c>
      <c r="AK7436">
        <v>0</v>
      </c>
      <c r="AL7436">
        <v>1</v>
      </c>
      <c r="AM7436">
        <v>0</v>
      </c>
    </row>
    <row r="7437" spans="1:39" x14ac:dyDescent="0.2">
      <c r="A7437" t="str">
        <f>"7433"</f>
        <v>7433</v>
      </c>
      <c r="B7437" t="str">
        <f t="shared" si="413"/>
        <v>1</v>
      </c>
      <c r="C7437" t="str">
        <f t="shared" ref="C7437:C7454" si="414">"149"</f>
        <v>149</v>
      </c>
      <c r="D7437" t="str">
        <f>"26"</f>
        <v>26</v>
      </c>
      <c r="E7437" t="str">
        <f>"1-149-26"</f>
        <v>1-149-26</v>
      </c>
      <c r="F7437" t="s">
        <v>65</v>
      </c>
      <c r="G7437" t="s">
        <v>66</v>
      </c>
      <c r="H7437" t="s">
        <v>67</v>
      </c>
      <c r="S7437">
        <v>1</v>
      </c>
      <c r="T7437">
        <v>0</v>
      </c>
      <c r="U7437">
        <v>0</v>
      </c>
      <c r="V7437">
        <v>0</v>
      </c>
      <c r="W7437">
        <v>1</v>
      </c>
      <c r="X7437">
        <v>0</v>
      </c>
      <c r="Y7437">
        <v>1</v>
      </c>
      <c r="Z7437">
        <v>0</v>
      </c>
      <c r="AA7437">
        <v>1</v>
      </c>
      <c r="AB7437">
        <v>0</v>
      </c>
      <c r="AC7437">
        <v>0</v>
      </c>
      <c r="AD7437">
        <v>1</v>
      </c>
      <c r="AE7437">
        <v>1</v>
      </c>
      <c r="AF7437">
        <v>1</v>
      </c>
      <c r="AG7437">
        <v>1</v>
      </c>
      <c r="AH7437">
        <v>1</v>
      </c>
      <c r="AI7437">
        <v>1</v>
      </c>
      <c r="AJ7437">
        <v>1</v>
      </c>
      <c r="AK7437">
        <v>1</v>
      </c>
      <c r="AL7437">
        <v>1</v>
      </c>
      <c r="AM7437">
        <v>1</v>
      </c>
    </row>
    <row r="7438" spans="1:39" x14ac:dyDescent="0.2">
      <c r="A7438" t="str">
        <f>"7434"</f>
        <v>7434</v>
      </c>
      <c r="B7438" t="str">
        <f t="shared" si="413"/>
        <v>1</v>
      </c>
      <c r="C7438" t="str">
        <f t="shared" si="414"/>
        <v>149</v>
      </c>
      <c r="D7438" t="str">
        <f>"6"</f>
        <v>6</v>
      </c>
      <c r="E7438" t="str">
        <f>"1-149-6"</f>
        <v>1-149-6</v>
      </c>
      <c r="F7438" t="s">
        <v>65</v>
      </c>
      <c r="G7438" t="s">
        <v>66</v>
      </c>
      <c r="H7438" t="s">
        <v>67</v>
      </c>
      <c r="S7438">
        <v>1</v>
      </c>
      <c r="T7438">
        <v>0</v>
      </c>
      <c r="U7438">
        <v>0</v>
      </c>
      <c r="V7438">
        <v>0</v>
      </c>
      <c r="W7438">
        <v>1</v>
      </c>
      <c r="X7438">
        <v>0</v>
      </c>
      <c r="Y7438">
        <v>1</v>
      </c>
      <c r="Z7438">
        <v>0</v>
      </c>
      <c r="AA7438">
        <v>0</v>
      </c>
      <c r="AB7438">
        <v>1</v>
      </c>
      <c r="AC7438">
        <v>0</v>
      </c>
      <c r="AD7438">
        <v>1</v>
      </c>
      <c r="AE7438">
        <v>1</v>
      </c>
      <c r="AF7438">
        <v>1</v>
      </c>
      <c r="AG7438">
        <v>1</v>
      </c>
      <c r="AH7438">
        <v>1</v>
      </c>
      <c r="AI7438">
        <v>1</v>
      </c>
      <c r="AJ7438">
        <v>1</v>
      </c>
      <c r="AK7438">
        <v>1</v>
      </c>
      <c r="AL7438">
        <v>1</v>
      </c>
      <c r="AM7438">
        <v>1</v>
      </c>
    </row>
    <row r="7439" spans="1:39" x14ac:dyDescent="0.2">
      <c r="A7439" t="str">
        <f>"7435"</f>
        <v>7435</v>
      </c>
      <c r="B7439" t="str">
        <f t="shared" si="413"/>
        <v>1</v>
      </c>
      <c r="C7439" t="str">
        <f t="shared" si="414"/>
        <v>149</v>
      </c>
      <c r="D7439" t="str">
        <f>"48"</f>
        <v>48</v>
      </c>
      <c r="E7439" t="str">
        <f>"1-149-48"</f>
        <v>1-149-48</v>
      </c>
      <c r="F7439" t="s">
        <v>65</v>
      </c>
      <c r="G7439" t="s">
        <v>66</v>
      </c>
      <c r="H7439" t="s">
        <v>67</v>
      </c>
      <c r="S7439">
        <v>1</v>
      </c>
      <c r="T7439">
        <v>0</v>
      </c>
      <c r="U7439">
        <v>0</v>
      </c>
      <c r="V7439">
        <v>0</v>
      </c>
      <c r="W7439">
        <v>1</v>
      </c>
      <c r="X7439">
        <v>0</v>
      </c>
      <c r="Y7439">
        <v>1</v>
      </c>
      <c r="Z7439">
        <v>0</v>
      </c>
      <c r="AA7439">
        <v>1</v>
      </c>
      <c r="AB7439">
        <v>0</v>
      </c>
      <c r="AC7439">
        <v>0</v>
      </c>
      <c r="AD7439">
        <v>1</v>
      </c>
      <c r="AE7439">
        <v>1</v>
      </c>
      <c r="AF7439">
        <v>1</v>
      </c>
      <c r="AG7439">
        <v>1</v>
      </c>
      <c r="AH7439">
        <v>1</v>
      </c>
      <c r="AI7439">
        <v>1</v>
      </c>
      <c r="AJ7439">
        <v>1</v>
      </c>
      <c r="AK7439">
        <v>1</v>
      </c>
      <c r="AL7439">
        <v>1</v>
      </c>
      <c r="AM7439">
        <v>0</v>
      </c>
    </row>
    <row r="7440" spans="1:39" x14ac:dyDescent="0.2">
      <c r="A7440" t="str">
        <f>"7436"</f>
        <v>7436</v>
      </c>
      <c r="B7440" t="str">
        <f t="shared" si="413"/>
        <v>1</v>
      </c>
      <c r="C7440" t="str">
        <f t="shared" si="414"/>
        <v>149</v>
      </c>
      <c r="D7440" t="str">
        <f>"28"</f>
        <v>28</v>
      </c>
      <c r="E7440" t="str">
        <f>"1-149-28"</f>
        <v>1-149-28</v>
      </c>
      <c r="F7440" t="s">
        <v>65</v>
      </c>
      <c r="G7440" t="s">
        <v>66</v>
      </c>
      <c r="H7440" t="s">
        <v>67</v>
      </c>
      <c r="S7440">
        <v>1</v>
      </c>
      <c r="T7440">
        <v>0</v>
      </c>
      <c r="U7440">
        <v>0</v>
      </c>
      <c r="V7440">
        <v>0</v>
      </c>
      <c r="W7440">
        <v>1</v>
      </c>
      <c r="X7440">
        <v>0</v>
      </c>
      <c r="Y7440">
        <v>1</v>
      </c>
      <c r="Z7440">
        <v>0</v>
      </c>
      <c r="AA7440">
        <v>1</v>
      </c>
      <c r="AB7440">
        <v>0</v>
      </c>
      <c r="AC7440">
        <v>0</v>
      </c>
      <c r="AD7440">
        <v>1</v>
      </c>
      <c r="AE7440">
        <v>1</v>
      </c>
      <c r="AF7440">
        <v>0</v>
      </c>
      <c r="AG7440">
        <v>1</v>
      </c>
      <c r="AH7440">
        <v>1</v>
      </c>
      <c r="AI7440">
        <v>1</v>
      </c>
      <c r="AJ7440">
        <v>1</v>
      </c>
      <c r="AK7440">
        <v>0</v>
      </c>
      <c r="AL7440">
        <v>1</v>
      </c>
      <c r="AM7440">
        <v>0</v>
      </c>
    </row>
    <row r="7441" spans="1:39" x14ac:dyDescent="0.2">
      <c r="A7441" t="str">
        <f>"7437"</f>
        <v>7437</v>
      </c>
      <c r="B7441" t="str">
        <f t="shared" si="413"/>
        <v>1</v>
      </c>
      <c r="C7441" t="str">
        <f t="shared" si="414"/>
        <v>149</v>
      </c>
      <c r="D7441" t="str">
        <f>"4"</f>
        <v>4</v>
      </c>
      <c r="E7441" t="str">
        <f>"1-149-4"</f>
        <v>1-149-4</v>
      </c>
      <c r="F7441" t="s">
        <v>65</v>
      </c>
      <c r="G7441" t="s">
        <v>66</v>
      </c>
      <c r="H7441" t="s">
        <v>67</v>
      </c>
      <c r="S7441">
        <v>1</v>
      </c>
      <c r="T7441">
        <v>0</v>
      </c>
      <c r="U7441">
        <v>0</v>
      </c>
      <c r="V7441">
        <v>0</v>
      </c>
      <c r="W7441">
        <v>1</v>
      </c>
      <c r="X7441">
        <v>0</v>
      </c>
      <c r="Y7441">
        <v>0</v>
      </c>
      <c r="Z7441">
        <v>1</v>
      </c>
      <c r="AA7441">
        <v>0</v>
      </c>
      <c r="AB7441">
        <v>1</v>
      </c>
      <c r="AC7441">
        <v>0</v>
      </c>
      <c r="AD7441">
        <v>1</v>
      </c>
      <c r="AE7441">
        <v>1</v>
      </c>
      <c r="AF7441">
        <v>1</v>
      </c>
      <c r="AG7441">
        <v>1</v>
      </c>
      <c r="AH7441">
        <v>1</v>
      </c>
      <c r="AI7441">
        <v>1</v>
      </c>
      <c r="AJ7441">
        <v>1</v>
      </c>
      <c r="AK7441">
        <v>1</v>
      </c>
      <c r="AL7441">
        <v>1</v>
      </c>
      <c r="AM7441">
        <v>0</v>
      </c>
    </row>
    <row r="7442" spans="1:39" x14ac:dyDescent="0.2">
      <c r="A7442" t="str">
        <f>"7438"</f>
        <v>7438</v>
      </c>
      <c r="B7442" t="str">
        <f t="shared" si="413"/>
        <v>1</v>
      </c>
      <c r="C7442" t="str">
        <f t="shared" si="414"/>
        <v>149</v>
      </c>
      <c r="D7442" t="str">
        <f>"46"</f>
        <v>46</v>
      </c>
      <c r="E7442" t="str">
        <f>"1-149-46"</f>
        <v>1-149-46</v>
      </c>
      <c r="F7442" t="s">
        <v>65</v>
      </c>
      <c r="G7442" t="s">
        <v>66</v>
      </c>
      <c r="H7442" t="s">
        <v>67</v>
      </c>
      <c r="S7442">
        <v>1</v>
      </c>
      <c r="T7442">
        <v>0</v>
      </c>
      <c r="U7442">
        <v>0</v>
      </c>
      <c r="V7442">
        <v>0</v>
      </c>
      <c r="W7442">
        <v>1</v>
      </c>
      <c r="X7442">
        <v>0</v>
      </c>
      <c r="Y7442">
        <v>0</v>
      </c>
      <c r="Z7442">
        <v>1</v>
      </c>
      <c r="AA7442">
        <v>0</v>
      </c>
      <c r="AB7442">
        <v>1</v>
      </c>
      <c r="AC7442">
        <v>0</v>
      </c>
      <c r="AD7442">
        <v>1</v>
      </c>
      <c r="AE7442">
        <v>1</v>
      </c>
      <c r="AF7442">
        <v>1</v>
      </c>
      <c r="AG7442">
        <v>1</v>
      </c>
      <c r="AH7442">
        <v>1</v>
      </c>
      <c r="AI7442">
        <v>1</v>
      </c>
      <c r="AJ7442">
        <v>1</v>
      </c>
      <c r="AK7442">
        <v>1</v>
      </c>
      <c r="AL7442">
        <v>1</v>
      </c>
      <c r="AM7442">
        <v>1</v>
      </c>
    </row>
    <row r="7443" spans="1:39" x14ac:dyDescent="0.2">
      <c r="A7443" t="str">
        <f>"7439"</f>
        <v>7439</v>
      </c>
      <c r="B7443" t="str">
        <f t="shared" si="413"/>
        <v>1</v>
      </c>
      <c r="C7443" t="str">
        <f t="shared" si="414"/>
        <v>149</v>
      </c>
      <c r="D7443" t="str">
        <f>"29"</f>
        <v>29</v>
      </c>
      <c r="E7443" t="str">
        <f>"1-149-29"</f>
        <v>1-149-29</v>
      </c>
      <c r="F7443" t="s">
        <v>65</v>
      </c>
      <c r="G7443" t="s">
        <v>66</v>
      </c>
      <c r="H7443" t="s">
        <v>67</v>
      </c>
      <c r="S7443">
        <v>0</v>
      </c>
      <c r="T7443">
        <v>0</v>
      </c>
      <c r="U7443">
        <v>0</v>
      </c>
      <c r="V7443">
        <v>0</v>
      </c>
      <c r="W7443">
        <v>1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1</v>
      </c>
      <c r="AM7443">
        <v>1</v>
      </c>
    </row>
    <row r="7444" spans="1:39" x14ac:dyDescent="0.2">
      <c r="A7444" t="str">
        <f>"7440"</f>
        <v>7440</v>
      </c>
      <c r="B7444" t="str">
        <f t="shared" si="413"/>
        <v>1</v>
      </c>
      <c r="C7444" t="str">
        <f t="shared" si="414"/>
        <v>149</v>
      </c>
      <c r="D7444" t="str">
        <f>"3"</f>
        <v>3</v>
      </c>
      <c r="E7444" t="str">
        <f>"1-149-3"</f>
        <v>1-149-3</v>
      </c>
      <c r="F7444" t="s">
        <v>65</v>
      </c>
      <c r="G7444" t="s">
        <v>66</v>
      </c>
      <c r="H7444" t="s">
        <v>67</v>
      </c>
      <c r="S7444">
        <v>1</v>
      </c>
      <c r="T7444">
        <v>0</v>
      </c>
      <c r="U7444">
        <v>0</v>
      </c>
      <c r="V7444">
        <v>0</v>
      </c>
      <c r="W7444">
        <v>1</v>
      </c>
      <c r="X7444">
        <v>0</v>
      </c>
      <c r="Y7444">
        <v>1</v>
      </c>
      <c r="Z7444">
        <v>0</v>
      </c>
      <c r="AA7444">
        <v>0</v>
      </c>
      <c r="AB7444">
        <v>0</v>
      </c>
      <c r="AC7444">
        <v>1</v>
      </c>
      <c r="AD7444">
        <v>0</v>
      </c>
      <c r="AE7444">
        <v>0</v>
      </c>
      <c r="AF7444">
        <v>0</v>
      </c>
      <c r="AG7444">
        <v>1</v>
      </c>
      <c r="AH7444">
        <v>0</v>
      </c>
      <c r="AI7444">
        <v>1</v>
      </c>
      <c r="AJ7444">
        <v>0</v>
      </c>
      <c r="AK7444">
        <v>0</v>
      </c>
      <c r="AL7444">
        <v>1</v>
      </c>
      <c r="AM7444">
        <v>1</v>
      </c>
    </row>
    <row r="7445" spans="1:39" x14ac:dyDescent="0.2">
      <c r="A7445" t="str">
        <f>"7441"</f>
        <v>7441</v>
      </c>
      <c r="B7445" t="str">
        <f t="shared" si="413"/>
        <v>1</v>
      </c>
      <c r="C7445" t="str">
        <f t="shared" si="414"/>
        <v>149</v>
      </c>
      <c r="D7445" t="str">
        <f>"49"</f>
        <v>49</v>
      </c>
      <c r="E7445" t="str">
        <f>"1-149-49"</f>
        <v>1-149-49</v>
      </c>
      <c r="F7445" t="s">
        <v>65</v>
      </c>
      <c r="G7445" t="s">
        <v>66</v>
      </c>
      <c r="H7445" t="s">
        <v>67</v>
      </c>
      <c r="S7445">
        <v>0</v>
      </c>
      <c r="T7445">
        <v>1</v>
      </c>
      <c r="U7445">
        <v>0</v>
      </c>
      <c r="V7445">
        <v>0</v>
      </c>
      <c r="W7445">
        <v>1</v>
      </c>
      <c r="X7445">
        <v>0</v>
      </c>
      <c r="Y7445">
        <v>0</v>
      </c>
      <c r="Z7445">
        <v>1</v>
      </c>
      <c r="AA7445">
        <v>0</v>
      </c>
      <c r="AB7445">
        <v>0</v>
      </c>
      <c r="AC7445">
        <v>1</v>
      </c>
      <c r="AD7445">
        <v>1</v>
      </c>
      <c r="AE7445">
        <v>1</v>
      </c>
      <c r="AF7445">
        <v>1</v>
      </c>
      <c r="AG7445">
        <v>1</v>
      </c>
      <c r="AH7445">
        <v>1</v>
      </c>
      <c r="AI7445">
        <v>1</v>
      </c>
      <c r="AJ7445">
        <v>1</v>
      </c>
      <c r="AK7445">
        <v>1</v>
      </c>
      <c r="AL7445">
        <v>1</v>
      </c>
      <c r="AM7445">
        <v>1</v>
      </c>
    </row>
    <row r="7446" spans="1:39" x14ac:dyDescent="0.2">
      <c r="A7446" t="str">
        <f>"7442"</f>
        <v>7442</v>
      </c>
      <c r="B7446" t="str">
        <f t="shared" si="413"/>
        <v>1</v>
      </c>
      <c r="C7446" t="str">
        <f t="shared" si="414"/>
        <v>149</v>
      </c>
      <c r="D7446" t="str">
        <f>"30"</f>
        <v>30</v>
      </c>
      <c r="E7446" t="str">
        <f>"1-149-30"</f>
        <v>1-149-30</v>
      </c>
      <c r="F7446" t="s">
        <v>65</v>
      </c>
      <c r="G7446" t="s">
        <v>66</v>
      </c>
      <c r="H7446" t="s">
        <v>67</v>
      </c>
      <c r="S7446">
        <v>0</v>
      </c>
      <c r="T7446">
        <v>1</v>
      </c>
      <c r="U7446">
        <v>0</v>
      </c>
      <c r="V7446">
        <v>0</v>
      </c>
      <c r="W7446">
        <v>0</v>
      </c>
      <c r="X7446">
        <v>1</v>
      </c>
      <c r="Y7446">
        <v>1</v>
      </c>
      <c r="Z7446">
        <v>0</v>
      </c>
      <c r="AA7446">
        <v>0</v>
      </c>
      <c r="AB7446">
        <v>1</v>
      </c>
      <c r="AC7446">
        <v>0</v>
      </c>
      <c r="AD7446">
        <v>1</v>
      </c>
      <c r="AE7446">
        <v>1</v>
      </c>
      <c r="AF7446">
        <v>1</v>
      </c>
      <c r="AG7446">
        <v>1</v>
      </c>
      <c r="AH7446">
        <v>1</v>
      </c>
      <c r="AI7446">
        <v>1</v>
      </c>
      <c r="AJ7446">
        <v>1</v>
      </c>
      <c r="AK7446">
        <v>1</v>
      </c>
      <c r="AL7446">
        <v>1</v>
      </c>
      <c r="AM7446">
        <v>1</v>
      </c>
    </row>
    <row r="7447" spans="1:39" x14ac:dyDescent="0.2">
      <c r="A7447" t="str">
        <f>"7443"</f>
        <v>7443</v>
      </c>
      <c r="B7447" t="str">
        <f t="shared" si="413"/>
        <v>1</v>
      </c>
      <c r="C7447" t="str">
        <f t="shared" si="414"/>
        <v>149</v>
      </c>
      <c r="D7447" t="str">
        <f>"5"</f>
        <v>5</v>
      </c>
      <c r="E7447" t="str">
        <f>"1-149-5"</f>
        <v>1-149-5</v>
      </c>
      <c r="F7447" t="s">
        <v>65</v>
      </c>
      <c r="G7447" t="s">
        <v>66</v>
      </c>
      <c r="H7447" t="s">
        <v>67</v>
      </c>
      <c r="S7447">
        <v>1</v>
      </c>
      <c r="T7447">
        <v>0</v>
      </c>
      <c r="U7447">
        <v>0</v>
      </c>
      <c r="V7447">
        <v>0</v>
      </c>
      <c r="W7447">
        <v>1</v>
      </c>
      <c r="X7447">
        <v>0</v>
      </c>
      <c r="Y7447">
        <v>0</v>
      </c>
      <c r="Z7447">
        <v>1</v>
      </c>
      <c r="AA7447">
        <v>1</v>
      </c>
      <c r="AB7447">
        <v>0</v>
      </c>
      <c r="AC7447">
        <v>0</v>
      </c>
      <c r="AD7447">
        <v>1</v>
      </c>
      <c r="AE7447">
        <v>1</v>
      </c>
      <c r="AF7447">
        <v>1</v>
      </c>
      <c r="AG7447">
        <v>1</v>
      </c>
      <c r="AH7447">
        <v>1</v>
      </c>
      <c r="AI7447">
        <v>1</v>
      </c>
      <c r="AJ7447">
        <v>1</v>
      </c>
      <c r="AK7447">
        <v>1</v>
      </c>
      <c r="AL7447">
        <v>1</v>
      </c>
      <c r="AM7447">
        <v>1</v>
      </c>
    </row>
    <row r="7448" spans="1:39" x14ac:dyDescent="0.2">
      <c r="A7448" t="str">
        <f>"7444"</f>
        <v>7444</v>
      </c>
      <c r="B7448" t="str">
        <f t="shared" si="413"/>
        <v>1</v>
      </c>
      <c r="C7448" t="str">
        <f t="shared" si="414"/>
        <v>149</v>
      </c>
      <c r="D7448" t="str">
        <f>"47"</f>
        <v>47</v>
      </c>
      <c r="E7448" t="str">
        <f>"1-149-47"</f>
        <v>1-149-47</v>
      </c>
      <c r="F7448" t="s">
        <v>65</v>
      </c>
      <c r="G7448" t="s">
        <v>66</v>
      </c>
      <c r="H7448" t="s">
        <v>67</v>
      </c>
      <c r="S7448">
        <v>0</v>
      </c>
      <c r="T7448">
        <v>1</v>
      </c>
      <c r="U7448">
        <v>0</v>
      </c>
      <c r="V7448">
        <v>0</v>
      </c>
      <c r="W7448">
        <v>0</v>
      </c>
      <c r="X7448">
        <v>1</v>
      </c>
      <c r="Y7448">
        <v>1</v>
      </c>
      <c r="Z7448">
        <v>0</v>
      </c>
      <c r="AA7448">
        <v>0</v>
      </c>
      <c r="AB7448">
        <v>1</v>
      </c>
      <c r="AC7448">
        <v>0</v>
      </c>
      <c r="AD7448">
        <v>1</v>
      </c>
      <c r="AE7448">
        <v>1</v>
      </c>
      <c r="AF7448">
        <v>1</v>
      </c>
      <c r="AG7448">
        <v>1</v>
      </c>
      <c r="AH7448">
        <v>1</v>
      </c>
      <c r="AI7448">
        <v>1</v>
      </c>
      <c r="AJ7448">
        <v>1</v>
      </c>
      <c r="AK7448">
        <v>1</v>
      </c>
      <c r="AL7448">
        <v>1</v>
      </c>
      <c r="AM7448">
        <v>1</v>
      </c>
    </row>
    <row r="7449" spans="1:39" x14ac:dyDescent="0.2">
      <c r="A7449" t="str">
        <f>"7445"</f>
        <v>7445</v>
      </c>
      <c r="B7449" t="str">
        <f t="shared" si="413"/>
        <v>1</v>
      </c>
      <c r="C7449" t="str">
        <f t="shared" si="414"/>
        <v>149</v>
      </c>
      <c r="D7449" t="str">
        <f>"31"</f>
        <v>31</v>
      </c>
      <c r="E7449" t="str">
        <f>"1-149-31"</f>
        <v>1-149-31</v>
      </c>
      <c r="F7449" t="s">
        <v>65</v>
      </c>
      <c r="G7449" t="s">
        <v>66</v>
      </c>
      <c r="H7449" t="s">
        <v>67</v>
      </c>
      <c r="S7449">
        <v>0</v>
      </c>
      <c r="T7449">
        <v>1</v>
      </c>
      <c r="U7449">
        <v>0</v>
      </c>
      <c r="V7449">
        <v>0</v>
      </c>
      <c r="W7449">
        <v>1</v>
      </c>
      <c r="X7449">
        <v>0</v>
      </c>
      <c r="Y7449">
        <v>0</v>
      </c>
      <c r="Z7449">
        <v>1</v>
      </c>
      <c r="AA7449">
        <v>0</v>
      </c>
      <c r="AB7449">
        <v>0</v>
      </c>
      <c r="AC7449">
        <v>1</v>
      </c>
      <c r="AD7449">
        <v>1</v>
      </c>
      <c r="AE7449">
        <v>1</v>
      </c>
      <c r="AF7449">
        <v>1</v>
      </c>
      <c r="AG7449">
        <v>1</v>
      </c>
      <c r="AH7449">
        <v>1</v>
      </c>
      <c r="AI7449">
        <v>1</v>
      </c>
      <c r="AJ7449">
        <v>1</v>
      </c>
      <c r="AK7449">
        <v>1</v>
      </c>
      <c r="AL7449">
        <v>1</v>
      </c>
      <c r="AM7449">
        <v>1</v>
      </c>
    </row>
    <row r="7450" spans="1:39" x14ac:dyDescent="0.2">
      <c r="A7450" t="str">
        <f>"7446"</f>
        <v>7446</v>
      </c>
      <c r="B7450" t="str">
        <f t="shared" si="413"/>
        <v>1</v>
      </c>
      <c r="C7450" t="str">
        <f t="shared" si="414"/>
        <v>149</v>
      </c>
      <c r="D7450" t="str">
        <f>"13"</f>
        <v>13</v>
      </c>
      <c r="E7450" t="str">
        <f>"1-149-13"</f>
        <v>1-149-13</v>
      </c>
      <c r="F7450" t="s">
        <v>65</v>
      </c>
      <c r="G7450" t="s">
        <v>66</v>
      </c>
      <c r="H7450" t="s">
        <v>67</v>
      </c>
      <c r="S7450">
        <v>1</v>
      </c>
      <c r="T7450">
        <v>0</v>
      </c>
      <c r="U7450">
        <v>0</v>
      </c>
      <c r="V7450">
        <v>0</v>
      </c>
      <c r="W7450">
        <v>0</v>
      </c>
      <c r="X7450">
        <v>1</v>
      </c>
      <c r="Y7450">
        <v>1</v>
      </c>
      <c r="Z7450">
        <v>0</v>
      </c>
      <c r="AA7450">
        <v>0</v>
      </c>
      <c r="AB7450">
        <v>0</v>
      </c>
      <c r="AC7450">
        <v>1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</row>
    <row r="7451" spans="1:39" x14ac:dyDescent="0.2">
      <c r="A7451" t="str">
        <f>"7447"</f>
        <v>7447</v>
      </c>
      <c r="B7451" t="str">
        <f t="shared" si="413"/>
        <v>1</v>
      </c>
      <c r="C7451" t="str">
        <f t="shared" si="414"/>
        <v>149</v>
      </c>
      <c r="D7451" t="str">
        <f>"50"</f>
        <v>50</v>
      </c>
      <c r="E7451" t="str">
        <f>"1-149-50"</f>
        <v>1-149-50</v>
      </c>
      <c r="F7451" t="s">
        <v>65</v>
      </c>
      <c r="G7451" t="s">
        <v>66</v>
      </c>
      <c r="H7451" t="s">
        <v>67</v>
      </c>
      <c r="S7451">
        <v>1</v>
      </c>
      <c r="T7451">
        <v>0</v>
      </c>
      <c r="U7451">
        <v>0</v>
      </c>
      <c r="V7451">
        <v>0</v>
      </c>
      <c r="W7451">
        <v>1</v>
      </c>
      <c r="X7451">
        <v>0</v>
      </c>
      <c r="Y7451">
        <v>1</v>
      </c>
      <c r="Z7451">
        <v>0</v>
      </c>
      <c r="AA7451">
        <v>1</v>
      </c>
      <c r="AB7451">
        <v>0</v>
      </c>
      <c r="AC7451">
        <v>0</v>
      </c>
      <c r="AD7451">
        <v>1</v>
      </c>
      <c r="AE7451">
        <v>1</v>
      </c>
      <c r="AF7451">
        <v>1</v>
      </c>
      <c r="AG7451">
        <v>1</v>
      </c>
      <c r="AH7451">
        <v>1</v>
      </c>
      <c r="AI7451">
        <v>1</v>
      </c>
      <c r="AJ7451">
        <v>1</v>
      </c>
      <c r="AK7451">
        <v>1</v>
      </c>
      <c r="AL7451">
        <v>1</v>
      </c>
      <c r="AM7451">
        <v>1</v>
      </c>
    </row>
    <row r="7452" spans="1:39" x14ac:dyDescent="0.2">
      <c r="A7452" t="str">
        <f>"7448"</f>
        <v>7448</v>
      </c>
      <c r="B7452" t="str">
        <f t="shared" si="413"/>
        <v>1</v>
      </c>
      <c r="C7452" t="str">
        <f t="shared" si="414"/>
        <v>149</v>
      </c>
      <c r="D7452" t="str">
        <f>"32"</f>
        <v>32</v>
      </c>
      <c r="E7452" t="str">
        <f>"1-149-32"</f>
        <v>1-149-32</v>
      </c>
      <c r="F7452" t="s">
        <v>65</v>
      </c>
      <c r="G7452" t="s">
        <v>66</v>
      </c>
      <c r="H7452" t="s">
        <v>67</v>
      </c>
      <c r="S7452">
        <v>0</v>
      </c>
      <c r="T7452">
        <v>1</v>
      </c>
      <c r="U7452">
        <v>0</v>
      </c>
      <c r="V7452">
        <v>0</v>
      </c>
      <c r="W7452">
        <v>0</v>
      </c>
      <c r="X7452">
        <v>1</v>
      </c>
      <c r="Y7452">
        <v>1</v>
      </c>
      <c r="Z7452">
        <v>0</v>
      </c>
      <c r="AA7452">
        <v>0</v>
      </c>
      <c r="AB7452">
        <v>1</v>
      </c>
      <c r="AC7452">
        <v>0</v>
      </c>
      <c r="AD7452">
        <v>1</v>
      </c>
      <c r="AE7452">
        <v>1</v>
      </c>
      <c r="AF7452">
        <v>1</v>
      </c>
      <c r="AG7452">
        <v>1</v>
      </c>
      <c r="AH7452">
        <v>1</v>
      </c>
      <c r="AI7452">
        <v>1</v>
      </c>
      <c r="AJ7452">
        <v>1</v>
      </c>
      <c r="AK7452">
        <v>1</v>
      </c>
      <c r="AL7452">
        <v>1</v>
      </c>
      <c r="AM7452">
        <v>1</v>
      </c>
    </row>
    <row r="7453" spans="1:39" x14ac:dyDescent="0.2">
      <c r="A7453" t="str">
        <f>"7449"</f>
        <v>7449</v>
      </c>
      <c r="B7453" t="str">
        <f t="shared" si="413"/>
        <v>1</v>
      </c>
      <c r="C7453" t="str">
        <f t="shared" si="414"/>
        <v>149</v>
      </c>
      <c r="D7453" t="str">
        <f>"14"</f>
        <v>14</v>
      </c>
      <c r="E7453" t="str">
        <f>"1-149-14"</f>
        <v>1-149-14</v>
      </c>
      <c r="F7453" t="s">
        <v>65</v>
      </c>
      <c r="G7453" t="s">
        <v>66</v>
      </c>
      <c r="H7453" t="s">
        <v>67</v>
      </c>
      <c r="S7453">
        <v>1</v>
      </c>
      <c r="T7453">
        <v>0</v>
      </c>
      <c r="U7453">
        <v>0</v>
      </c>
      <c r="V7453">
        <v>0</v>
      </c>
      <c r="W7453">
        <v>1</v>
      </c>
      <c r="X7453">
        <v>0</v>
      </c>
      <c r="Y7453">
        <v>1</v>
      </c>
      <c r="Z7453">
        <v>0</v>
      </c>
      <c r="AA7453">
        <v>1</v>
      </c>
      <c r="AB7453">
        <v>0</v>
      </c>
      <c r="AC7453">
        <v>0</v>
      </c>
      <c r="AD7453">
        <v>1</v>
      </c>
      <c r="AE7453">
        <v>1</v>
      </c>
      <c r="AF7453">
        <v>1</v>
      </c>
      <c r="AG7453">
        <v>1</v>
      </c>
      <c r="AH7453">
        <v>1</v>
      </c>
      <c r="AI7453">
        <v>1</v>
      </c>
      <c r="AJ7453">
        <v>1</v>
      </c>
      <c r="AK7453">
        <v>1</v>
      </c>
      <c r="AL7453">
        <v>1</v>
      </c>
      <c r="AM7453">
        <v>1</v>
      </c>
    </row>
    <row r="7454" spans="1:39" x14ac:dyDescent="0.2">
      <c r="A7454" t="str">
        <f>"7450"</f>
        <v>7450</v>
      </c>
      <c r="B7454" t="str">
        <f t="shared" si="413"/>
        <v>1</v>
      </c>
      <c r="C7454" t="str">
        <f t="shared" si="414"/>
        <v>149</v>
      </c>
      <c r="D7454" t="str">
        <f>"27"</f>
        <v>27</v>
      </c>
      <c r="E7454" t="str">
        <f>"1-149-27"</f>
        <v>1-149-27</v>
      </c>
      <c r="F7454" t="s">
        <v>65</v>
      </c>
      <c r="G7454" t="s">
        <v>66</v>
      </c>
      <c r="H7454" t="s">
        <v>67</v>
      </c>
      <c r="S7454">
        <v>1</v>
      </c>
      <c r="T7454">
        <v>0</v>
      </c>
      <c r="U7454">
        <v>0</v>
      </c>
      <c r="V7454">
        <v>0</v>
      </c>
      <c r="W7454">
        <v>1</v>
      </c>
      <c r="X7454">
        <v>0</v>
      </c>
      <c r="Y7454">
        <v>0</v>
      </c>
      <c r="Z7454">
        <v>1</v>
      </c>
      <c r="AA7454">
        <v>1</v>
      </c>
      <c r="AB7454">
        <v>0</v>
      </c>
      <c r="AC7454">
        <v>0</v>
      </c>
      <c r="AD7454">
        <v>1</v>
      </c>
      <c r="AE7454">
        <v>1</v>
      </c>
      <c r="AF7454">
        <v>1</v>
      </c>
      <c r="AG7454">
        <v>1</v>
      </c>
      <c r="AH7454">
        <v>1</v>
      </c>
      <c r="AI7454">
        <v>1</v>
      </c>
      <c r="AJ7454">
        <v>1</v>
      </c>
      <c r="AK7454">
        <v>1</v>
      </c>
      <c r="AL7454">
        <v>1</v>
      </c>
      <c r="AM7454">
        <v>1</v>
      </c>
    </row>
    <row r="7455" spans="1:39" x14ac:dyDescent="0.2">
      <c r="A7455" t="str">
        <f>"7451"</f>
        <v>7451</v>
      </c>
      <c r="B7455" t="str">
        <f t="shared" si="413"/>
        <v>1</v>
      </c>
      <c r="C7455" t="str">
        <f t="shared" ref="C7455:C7486" si="415">"150"</f>
        <v>150</v>
      </c>
      <c r="D7455" t="str">
        <f>"38"</f>
        <v>38</v>
      </c>
      <c r="E7455" t="str">
        <f>"1-150-38"</f>
        <v>1-150-38</v>
      </c>
      <c r="F7455" t="s">
        <v>65</v>
      </c>
      <c r="G7455" t="s">
        <v>66</v>
      </c>
      <c r="H7455" t="s">
        <v>67</v>
      </c>
      <c r="S7455">
        <v>1</v>
      </c>
      <c r="T7455">
        <v>0</v>
      </c>
      <c r="U7455">
        <v>0</v>
      </c>
      <c r="V7455">
        <v>0</v>
      </c>
      <c r="W7455">
        <v>1</v>
      </c>
      <c r="X7455">
        <v>0</v>
      </c>
      <c r="Y7455">
        <v>1</v>
      </c>
      <c r="Z7455">
        <v>0</v>
      </c>
      <c r="AA7455">
        <v>1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1</v>
      </c>
      <c r="AH7455">
        <v>1</v>
      </c>
      <c r="AI7455">
        <v>0</v>
      </c>
      <c r="AJ7455">
        <v>0</v>
      </c>
      <c r="AK7455">
        <v>0</v>
      </c>
      <c r="AL7455">
        <v>0</v>
      </c>
      <c r="AM7455">
        <v>0</v>
      </c>
    </row>
    <row r="7456" spans="1:39" x14ac:dyDescent="0.2">
      <c r="A7456" t="str">
        <f>"7452"</f>
        <v>7452</v>
      </c>
      <c r="B7456" t="str">
        <f t="shared" si="413"/>
        <v>1</v>
      </c>
      <c r="C7456" t="str">
        <f t="shared" si="415"/>
        <v>150</v>
      </c>
      <c r="D7456" t="str">
        <f>"37"</f>
        <v>37</v>
      </c>
      <c r="E7456" t="str">
        <f>"1-150-37"</f>
        <v>1-150-37</v>
      </c>
      <c r="F7456" t="s">
        <v>65</v>
      </c>
      <c r="G7456" t="s">
        <v>66</v>
      </c>
      <c r="H7456" t="s">
        <v>67</v>
      </c>
      <c r="S7456">
        <v>0</v>
      </c>
      <c r="T7456">
        <v>1</v>
      </c>
      <c r="U7456">
        <v>0</v>
      </c>
      <c r="V7456">
        <v>0</v>
      </c>
      <c r="W7456">
        <v>0</v>
      </c>
      <c r="X7456">
        <v>1</v>
      </c>
      <c r="Y7456">
        <v>0</v>
      </c>
      <c r="Z7456">
        <v>1</v>
      </c>
      <c r="AA7456">
        <v>0</v>
      </c>
      <c r="AB7456">
        <v>1</v>
      </c>
      <c r="AC7456">
        <v>0</v>
      </c>
      <c r="AD7456">
        <v>1</v>
      </c>
      <c r="AE7456">
        <v>1</v>
      </c>
      <c r="AF7456">
        <v>1</v>
      </c>
      <c r="AG7456">
        <v>1</v>
      </c>
      <c r="AH7456">
        <v>1</v>
      </c>
      <c r="AI7456">
        <v>1</v>
      </c>
      <c r="AJ7456">
        <v>1</v>
      </c>
      <c r="AK7456">
        <v>1</v>
      </c>
      <c r="AL7456">
        <v>1</v>
      </c>
      <c r="AM7456">
        <v>1</v>
      </c>
    </row>
    <row r="7457" spans="1:39" x14ac:dyDescent="0.2">
      <c r="A7457" t="str">
        <f>"7453"</f>
        <v>7453</v>
      </c>
      <c r="B7457" t="str">
        <f t="shared" si="413"/>
        <v>1</v>
      </c>
      <c r="C7457" t="str">
        <f t="shared" si="415"/>
        <v>150</v>
      </c>
      <c r="D7457" t="str">
        <f>"26"</f>
        <v>26</v>
      </c>
      <c r="E7457" t="str">
        <f>"1-150-26"</f>
        <v>1-150-26</v>
      </c>
      <c r="F7457" t="s">
        <v>65</v>
      </c>
      <c r="G7457" t="s">
        <v>66</v>
      </c>
      <c r="H7457" t="s">
        <v>67</v>
      </c>
      <c r="S7457">
        <v>1</v>
      </c>
      <c r="T7457">
        <v>0</v>
      </c>
      <c r="U7457">
        <v>0</v>
      </c>
      <c r="V7457">
        <v>0</v>
      </c>
      <c r="W7457">
        <v>0</v>
      </c>
      <c r="X7457">
        <v>1</v>
      </c>
      <c r="Y7457">
        <v>1</v>
      </c>
      <c r="Z7457">
        <v>0</v>
      </c>
      <c r="AA7457">
        <v>1</v>
      </c>
      <c r="AB7457">
        <v>0</v>
      </c>
      <c r="AC7457">
        <v>0</v>
      </c>
      <c r="AD7457">
        <v>1</v>
      </c>
      <c r="AE7457">
        <v>1</v>
      </c>
      <c r="AF7457">
        <v>1</v>
      </c>
      <c r="AG7457">
        <v>1</v>
      </c>
      <c r="AH7457">
        <v>1</v>
      </c>
      <c r="AI7457">
        <v>1</v>
      </c>
      <c r="AJ7457">
        <v>1</v>
      </c>
      <c r="AK7457">
        <v>1</v>
      </c>
      <c r="AL7457">
        <v>1</v>
      </c>
      <c r="AM7457">
        <v>1</v>
      </c>
    </row>
    <row r="7458" spans="1:39" x14ac:dyDescent="0.2">
      <c r="A7458" t="str">
        <f>"7454"</f>
        <v>7454</v>
      </c>
      <c r="B7458" t="str">
        <f t="shared" si="413"/>
        <v>1</v>
      </c>
      <c r="C7458" t="str">
        <f t="shared" si="415"/>
        <v>150</v>
      </c>
      <c r="D7458" t="str">
        <f>"15"</f>
        <v>15</v>
      </c>
      <c r="E7458" t="str">
        <f>"1-150-15"</f>
        <v>1-150-15</v>
      </c>
      <c r="F7458" t="s">
        <v>65</v>
      </c>
      <c r="G7458" t="s">
        <v>66</v>
      </c>
      <c r="H7458" t="s">
        <v>67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1</v>
      </c>
      <c r="Y7458">
        <v>0</v>
      </c>
      <c r="Z7458">
        <v>1</v>
      </c>
      <c r="AA7458">
        <v>0</v>
      </c>
      <c r="AB7458">
        <v>0</v>
      </c>
      <c r="AC7458">
        <v>1</v>
      </c>
      <c r="AD7458">
        <v>0</v>
      </c>
      <c r="AE7458">
        <v>0</v>
      </c>
      <c r="AF7458">
        <v>0</v>
      </c>
      <c r="AG7458">
        <v>1</v>
      </c>
      <c r="AH7458">
        <v>1</v>
      </c>
      <c r="AI7458">
        <v>0</v>
      </c>
      <c r="AJ7458">
        <v>1</v>
      </c>
      <c r="AK7458">
        <v>1</v>
      </c>
      <c r="AL7458">
        <v>1</v>
      </c>
      <c r="AM7458">
        <v>0</v>
      </c>
    </row>
    <row r="7459" spans="1:39" x14ac:dyDescent="0.2">
      <c r="A7459" t="str">
        <f>"7455"</f>
        <v>7455</v>
      </c>
      <c r="B7459" t="str">
        <f t="shared" si="413"/>
        <v>1</v>
      </c>
      <c r="C7459" t="str">
        <f t="shared" si="415"/>
        <v>150</v>
      </c>
      <c r="D7459" t="str">
        <f>"6"</f>
        <v>6</v>
      </c>
      <c r="E7459" t="str">
        <f>"1-150-6"</f>
        <v>1-150-6</v>
      </c>
      <c r="F7459" t="s">
        <v>65</v>
      </c>
      <c r="G7459" t="s">
        <v>66</v>
      </c>
      <c r="H7459" t="s">
        <v>67</v>
      </c>
      <c r="S7459">
        <v>1</v>
      </c>
      <c r="T7459">
        <v>0</v>
      </c>
      <c r="U7459">
        <v>0</v>
      </c>
      <c r="V7459">
        <v>0</v>
      </c>
      <c r="W7459">
        <v>1</v>
      </c>
      <c r="X7459">
        <v>0</v>
      </c>
      <c r="Y7459">
        <v>0</v>
      </c>
      <c r="Z7459">
        <v>1</v>
      </c>
      <c r="AA7459">
        <v>0</v>
      </c>
      <c r="AB7459">
        <v>0</v>
      </c>
      <c r="AC7459">
        <v>1</v>
      </c>
      <c r="AD7459">
        <v>1</v>
      </c>
      <c r="AE7459">
        <v>1</v>
      </c>
      <c r="AF7459">
        <v>1</v>
      </c>
      <c r="AG7459">
        <v>1</v>
      </c>
      <c r="AH7459">
        <v>1</v>
      </c>
      <c r="AI7459">
        <v>1</v>
      </c>
      <c r="AJ7459">
        <v>1</v>
      </c>
      <c r="AK7459">
        <v>1</v>
      </c>
      <c r="AL7459">
        <v>1</v>
      </c>
      <c r="AM7459">
        <v>1</v>
      </c>
    </row>
    <row r="7460" spans="1:39" x14ac:dyDescent="0.2">
      <c r="A7460" t="str">
        <f>"7456"</f>
        <v>7456</v>
      </c>
      <c r="B7460" t="str">
        <f t="shared" si="413"/>
        <v>1</v>
      </c>
      <c r="C7460" t="str">
        <f t="shared" si="415"/>
        <v>150</v>
      </c>
      <c r="D7460" t="str">
        <f>"40"</f>
        <v>40</v>
      </c>
      <c r="E7460" t="str">
        <f>"1-150-40"</f>
        <v>1-150-40</v>
      </c>
      <c r="F7460" t="s">
        <v>65</v>
      </c>
      <c r="G7460" t="s">
        <v>66</v>
      </c>
      <c r="H7460" t="s">
        <v>67</v>
      </c>
      <c r="S7460">
        <v>1</v>
      </c>
      <c r="T7460">
        <v>0</v>
      </c>
      <c r="U7460">
        <v>0</v>
      </c>
      <c r="V7460">
        <v>0</v>
      </c>
      <c r="W7460">
        <v>1</v>
      </c>
      <c r="X7460">
        <v>0</v>
      </c>
      <c r="Y7460">
        <v>1</v>
      </c>
      <c r="Z7460">
        <v>0</v>
      </c>
      <c r="AA7460">
        <v>1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</row>
    <row r="7461" spans="1:39" x14ac:dyDescent="0.2">
      <c r="A7461" t="str">
        <f>"7457"</f>
        <v>7457</v>
      </c>
      <c r="B7461" t="str">
        <f t="shared" si="413"/>
        <v>1</v>
      </c>
      <c r="C7461" t="str">
        <f t="shared" si="415"/>
        <v>150</v>
      </c>
      <c r="D7461" t="str">
        <f>"39"</f>
        <v>39</v>
      </c>
      <c r="E7461" t="str">
        <f>"1-150-39"</f>
        <v>1-150-39</v>
      </c>
      <c r="F7461" t="s">
        <v>65</v>
      </c>
      <c r="G7461" t="s">
        <v>66</v>
      </c>
      <c r="H7461" t="s">
        <v>67</v>
      </c>
      <c r="S7461">
        <v>1</v>
      </c>
      <c r="T7461">
        <v>0</v>
      </c>
      <c r="U7461">
        <v>0</v>
      </c>
      <c r="V7461">
        <v>0</v>
      </c>
      <c r="W7461">
        <v>1</v>
      </c>
      <c r="X7461">
        <v>0</v>
      </c>
      <c r="Y7461">
        <v>1</v>
      </c>
      <c r="Z7461">
        <v>0</v>
      </c>
      <c r="AA7461">
        <v>1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1</v>
      </c>
      <c r="AH7461">
        <v>1</v>
      </c>
      <c r="AI7461">
        <v>0</v>
      </c>
      <c r="AJ7461">
        <v>0</v>
      </c>
      <c r="AK7461">
        <v>0</v>
      </c>
      <c r="AL7461">
        <v>0</v>
      </c>
      <c r="AM7461">
        <v>0</v>
      </c>
    </row>
    <row r="7462" spans="1:39" x14ac:dyDescent="0.2">
      <c r="A7462" t="str">
        <f>"7458"</f>
        <v>7458</v>
      </c>
      <c r="B7462" t="str">
        <f t="shared" si="413"/>
        <v>1</v>
      </c>
      <c r="C7462" t="str">
        <f t="shared" si="415"/>
        <v>150</v>
      </c>
      <c r="D7462" t="str">
        <f>"31"</f>
        <v>31</v>
      </c>
      <c r="E7462" t="str">
        <f>"1-150-31"</f>
        <v>1-150-31</v>
      </c>
      <c r="F7462" t="s">
        <v>65</v>
      </c>
      <c r="G7462" t="s">
        <v>66</v>
      </c>
      <c r="H7462" t="s">
        <v>67</v>
      </c>
      <c r="S7462">
        <v>0</v>
      </c>
      <c r="T7462">
        <v>1</v>
      </c>
      <c r="U7462">
        <v>0</v>
      </c>
      <c r="V7462">
        <v>0</v>
      </c>
      <c r="W7462">
        <v>0</v>
      </c>
      <c r="X7462">
        <v>1</v>
      </c>
      <c r="Y7462">
        <v>0</v>
      </c>
      <c r="Z7462">
        <v>1</v>
      </c>
      <c r="AA7462">
        <v>1</v>
      </c>
      <c r="AB7462">
        <v>0</v>
      </c>
      <c r="AC7462">
        <v>0</v>
      </c>
      <c r="AD7462">
        <v>1</v>
      </c>
      <c r="AE7462">
        <v>1</v>
      </c>
      <c r="AF7462">
        <v>1</v>
      </c>
      <c r="AG7462">
        <v>1</v>
      </c>
      <c r="AH7462">
        <v>1</v>
      </c>
      <c r="AI7462">
        <v>1</v>
      </c>
      <c r="AJ7462">
        <v>1</v>
      </c>
      <c r="AK7462">
        <v>1</v>
      </c>
      <c r="AL7462">
        <v>1</v>
      </c>
      <c r="AM7462">
        <v>1</v>
      </c>
    </row>
    <row r="7463" spans="1:39" x14ac:dyDescent="0.2">
      <c r="A7463" t="str">
        <f>"7459"</f>
        <v>7459</v>
      </c>
      <c r="B7463" t="str">
        <f t="shared" si="413"/>
        <v>1</v>
      </c>
      <c r="C7463" t="str">
        <f t="shared" si="415"/>
        <v>150</v>
      </c>
      <c r="D7463" t="str">
        <f>"16"</f>
        <v>16</v>
      </c>
      <c r="E7463" t="str">
        <f>"1-150-16"</f>
        <v>1-150-16</v>
      </c>
      <c r="F7463" t="s">
        <v>65</v>
      </c>
      <c r="G7463" t="s">
        <v>66</v>
      </c>
      <c r="H7463" t="s">
        <v>67</v>
      </c>
      <c r="S7463">
        <v>1</v>
      </c>
      <c r="T7463">
        <v>0</v>
      </c>
      <c r="U7463">
        <v>0</v>
      </c>
      <c r="V7463">
        <v>0</v>
      </c>
      <c r="W7463">
        <v>1</v>
      </c>
      <c r="X7463">
        <v>0</v>
      </c>
      <c r="Y7463">
        <v>1</v>
      </c>
      <c r="Z7463">
        <v>0</v>
      </c>
      <c r="AA7463">
        <v>0</v>
      </c>
      <c r="AB7463">
        <v>0</v>
      </c>
      <c r="AC7463">
        <v>1</v>
      </c>
      <c r="AD7463">
        <v>1</v>
      </c>
      <c r="AE7463">
        <v>1</v>
      </c>
      <c r="AF7463">
        <v>1</v>
      </c>
      <c r="AG7463">
        <v>1</v>
      </c>
      <c r="AH7463">
        <v>1</v>
      </c>
      <c r="AI7463">
        <v>1</v>
      </c>
      <c r="AJ7463">
        <v>1</v>
      </c>
      <c r="AK7463">
        <v>1</v>
      </c>
      <c r="AL7463">
        <v>1</v>
      </c>
      <c r="AM7463">
        <v>1</v>
      </c>
    </row>
    <row r="7464" spans="1:39" x14ac:dyDescent="0.2">
      <c r="A7464" t="str">
        <f>"7460"</f>
        <v>7460</v>
      </c>
      <c r="B7464" t="str">
        <f t="shared" si="413"/>
        <v>1</v>
      </c>
      <c r="C7464" t="str">
        <f t="shared" si="415"/>
        <v>150</v>
      </c>
      <c r="D7464" t="str">
        <f>"1"</f>
        <v>1</v>
      </c>
      <c r="E7464" t="str">
        <f>"1-150-1"</f>
        <v>1-150-1</v>
      </c>
      <c r="F7464" t="s">
        <v>65</v>
      </c>
      <c r="G7464" t="s">
        <v>66</v>
      </c>
      <c r="H7464" t="s">
        <v>67</v>
      </c>
      <c r="S7464">
        <v>1</v>
      </c>
      <c r="T7464">
        <v>0</v>
      </c>
      <c r="U7464">
        <v>0</v>
      </c>
      <c r="V7464">
        <v>0</v>
      </c>
      <c r="W7464">
        <v>1</v>
      </c>
      <c r="X7464">
        <v>0</v>
      </c>
      <c r="Y7464">
        <v>1</v>
      </c>
      <c r="Z7464">
        <v>0</v>
      </c>
      <c r="AA7464">
        <v>0</v>
      </c>
      <c r="AB7464">
        <v>1</v>
      </c>
      <c r="AC7464">
        <v>0</v>
      </c>
      <c r="AD7464">
        <v>1</v>
      </c>
      <c r="AE7464">
        <v>1</v>
      </c>
      <c r="AF7464">
        <v>1</v>
      </c>
      <c r="AG7464">
        <v>1</v>
      </c>
      <c r="AH7464">
        <v>1</v>
      </c>
      <c r="AI7464">
        <v>1</v>
      </c>
      <c r="AJ7464">
        <v>1</v>
      </c>
      <c r="AK7464">
        <v>1</v>
      </c>
      <c r="AL7464">
        <v>1</v>
      </c>
      <c r="AM7464">
        <v>1</v>
      </c>
    </row>
    <row r="7465" spans="1:39" x14ac:dyDescent="0.2">
      <c r="A7465" t="str">
        <f>"7461"</f>
        <v>7461</v>
      </c>
      <c r="B7465" t="str">
        <f t="shared" si="413"/>
        <v>1</v>
      </c>
      <c r="C7465" t="str">
        <f t="shared" si="415"/>
        <v>150</v>
      </c>
      <c r="D7465" t="str">
        <f>"34"</f>
        <v>34</v>
      </c>
      <c r="E7465" t="str">
        <f>"1-150-34"</f>
        <v>1-150-34</v>
      </c>
      <c r="F7465" t="s">
        <v>65</v>
      </c>
      <c r="G7465" t="s">
        <v>66</v>
      </c>
      <c r="H7465" t="s">
        <v>67</v>
      </c>
      <c r="S7465">
        <v>1</v>
      </c>
      <c r="T7465">
        <v>0</v>
      </c>
      <c r="U7465">
        <v>0</v>
      </c>
      <c r="V7465">
        <v>0</v>
      </c>
      <c r="W7465">
        <v>1</v>
      </c>
      <c r="X7465">
        <v>0</v>
      </c>
      <c r="Y7465">
        <v>1</v>
      </c>
      <c r="Z7465">
        <v>0</v>
      </c>
      <c r="AA7465">
        <v>1</v>
      </c>
      <c r="AB7465">
        <v>0</v>
      </c>
      <c r="AC7465">
        <v>0</v>
      </c>
      <c r="AD7465">
        <v>1</v>
      </c>
      <c r="AE7465">
        <v>1</v>
      </c>
      <c r="AF7465">
        <v>1</v>
      </c>
      <c r="AG7465">
        <v>1</v>
      </c>
      <c r="AH7465">
        <v>1</v>
      </c>
      <c r="AI7465">
        <v>1</v>
      </c>
      <c r="AJ7465">
        <v>1</v>
      </c>
      <c r="AK7465">
        <v>1</v>
      </c>
      <c r="AL7465">
        <v>1</v>
      </c>
      <c r="AM7465">
        <v>1</v>
      </c>
    </row>
    <row r="7466" spans="1:39" x14ac:dyDescent="0.2">
      <c r="A7466" t="str">
        <f>"7462"</f>
        <v>7462</v>
      </c>
      <c r="B7466" t="str">
        <f t="shared" si="413"/>
        <v>1</v>
      </c>
      <c r="C7466" t="str">
        <f t="shared" si="415"/>
        <v>150</v>
      </c>
      <c r="D7466" t="str">
        <f>"33"</f>
        <v>33</v>
      </c>
      <c r="E7466" t="str">
        <f>"1-150-33"</f>
        <v>1-150-33</v>
      </c>
      <c r="F7466" t="s">
        <v>65</v>
      </c>
      <c r="G7466" t="s">
        <v>66</v>
      </c>
      <c r="H7466" t="s">
        <v>67</v>
      </c>
      <c r="S7466">
        <v>1</v>
      </c>
      <c r="T7466">
        <v>0</v>
      </c>
      <c r="U7466">
        <v>0</v>
      </c>
      <c r="V7466">
        <v>0</v>
      </c>
      <c r="W7466">
        <v>1</v>
      </c>
      <c r="X7466">
        <v>0</v>
      </c>
      <c r="Y7466">
        <v>1</v>
      </c>
      <c r="Z7466">
        <v>0</v>
      </c>
      <c r="AA7466">
        <v>1</v>
      </c>
      <c r="AB7466">
        <v>0</v>
      </c>
      <c r="AC7466">
        <v>0</v>
      </c>
      <c r="AD7466">
        <v>1</v>
      </c>
      <c r="AE7466">
        <v>1</v>
      </c>
      <c r="AF7466">
        <v>1</v>
      </c>
      <c r="AG7466">
        <v>1</v>
      </c>
      <c r="AH7466">
        <v>1</v>
      </c>
      <c r="AI7466">
        <v>1</v>
      </c>
      <c r="AJ7466">
        <v>1</v>
      </c>
      <c r="AK7466">
        <v>1</v>
      </c>
      <c r="AL7466">
        <v>1</v>
      </c>
      <c r="AM7466">
        <v>1</v>
      </c>
    </row>
    <row r="7467" spans="1:39" x14ac:dyDescent="0.2">
      <c r="A7467" t="str">
        <f>"7463"</f>
        <v>7463</v>
      </c>
      <c r="B7467" t="str">
        <f t="shared" si="413"/>
        <v>1</v>
      </c>
      <c r="C7467" t="str">
        <f t="shared" si="415"/>
        <v>150</v>
      </c>
      <c r="D7467" t="str">
        <f>"22"</f>
        <v>22</v>
      </c>
      <c r="E7467" t="str">
        <f>"1-150-22"</f>
        <v>1-150-22</v>
      </c>
      <c r="F7467" t="s">
        <v>65</v>
      </c>
      <c r="G7467" t="s">
        <v>66</v>
      </c>
      <c r="H7467" t="s">
        <v>67</v>
      </c>
      <c r="S7467">
        <v>1</v>
      </c>
      <c r="T7467">
        <v>0</v>
      </c>
      <c r="U7467">
        <v>0</v>
      </c>
      <c r="V7467">
        <v>0</v>
      </c>
      <c r="W7467">
        <v>1</v>
      </c>
      <c r="X7467">
        <v>0</v>
      </c>
      <c r="Y7467">
        <v>0</v>
      </c>
      <c r="Z7467">
        <v>1</v>
      </c>
      <c r="AA7467">
        <v>0</v>
      </c>
      <c r="AB7467">
        <v>0</v>
      </c>
      <c r="AC7467">
        <v>1</v>
      </c>
      <c r="AD7467">
        <v>1</v>
      </c>
      <c r="AE7467">
        <v>1</v>
      </c>
      <c r="AF7467">
        <v>1</v>
      </c>
      <c r="AG7467">
        <v>1</v>
      </c>
      <c r="AH7467">
        <v>1</v>
      </c>
      <c r="AI7467">
        <v>1</v>
      </c>
      <c r="AJ7467">
        <v>1</v>
      </c>
      <c r="AK7467">
        <v>1</v>
      </c>
      <c r="AL7467">
        <v>1</v>
      </c>
      <c r="AM7467">
        <v>1</v>
      </c>
    </row>
    <row r="7468" spans="1:39" x14ac:dyDescent="0.2">
      <c r="A7468" t="str">
        <f>"7464"</f>
        <v>7464</v>
      </c>
      <c r="B7468" t="str">
        <f t="shared" si="413"/>
        <v>1</v>
      </c>
      <c r="C7468" t="str">
        <f t="shared" si="415"/>
        <v>150</v>
      </c>
      <c r="D7468" t="str">
        <f>"17"</f>
        <v>17</v>
      </c>
      <c r="E7468" t="str">
        <f>"1-150-17"</f>
        <v>1-150-17</v>
      </c>
      <c r="F7468" t="s">
        <v>65</v>
      </c>
      <c r="G7468" t="s">
        <v>66</v>
      </c>
      <c r="H7468" t="s">
        <v>67</v>
      </c>
      <c r="S7468">
        <v>0</v>
      </c>
      <c r="T7468">
        <v>0</v>
      </c>
      <c r="U7468">
        <v>0</v>
      </c>
      <c r="V7468">
        <v>0</v>
      </c>
      <c r="W7468">
        <v>1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1</v>
      </c>
      <c r="AM7468">
        <v>0</v>
      </c>
    </row>
    <row r="7469" spans="1:39" x14ac:dyDescent="0.2">
      <c r="A7469" t="str">
        <f>"7465"</f>
        <v>7465</v>
      </c>
      <c r="B7469" t="str">
        <f t="shared" si="413"/>
        <v>1</v>
      </c>
      <c r="C7469" t="str">
        <f t="shared" si="415"/>
        <v>150</v>
      </c>
      <c r="D7469" t="str">
        <f>"11"</f>
        <v>11</v>
      </c>
      <c r="E7469" t="str">
        <f>"1-150-11"</f>
        <v>1-150-11</v>
      </c>
      <c r="F7469" t="s">
        <v>65</v>
      </c>
      <c r="G7469" t="s">
        <v>66</v>
      </c>
      <c r="H7469" t="s">
        <v>67</v>
      </c>
      <c r="S7469">
        <v>0</v>
      </c>
      <c r="T7469">
        <v>1</v>
      </c>
      <c r="U7469">
        <v>0</v>
      </c>
      <c r="V7469">
        <v>0</v>
      </c>
      <c r="W7469">
        <v>1</v>
      </c>
      <c r="X7469">
        <v>0</v>
      </c>
      <c r="Y7469">
        <v>0</v>
      </c>
      <c r="Z7469">
        <v>1</v>
      </c>
      <c r="AA7469">
        <v>0</v>
      </c>
      <c r="AB7469">
        <v>0</v>
      </c>
      <c r="AC7469">
        <v>1</v>
      </c>
      <c r="AD7469">
        <v>1</v>
      </c>
      <c r="AE7469">
        <v>1</v>
      </c>
      <c r="AF7469">
        <v>1</v>
      </c>
      <c r="AG7469">
        <v>1</v>
      </c>
      <c r="AH7469">
        <v>1</v>
      </c>
      <c r="AI7469">
        <v>1</v>
      </c>
      <c r="AJ7469">
        <v>1</v>
      </c>
      <c r="AK7469">
        <v>1</v>
      </c>
      <c r="AL7469">
        <v>1</v>
      </c>
      <c r="AM7469">
        <v>1</v>
      </c>
    </row>
    <row r="7470" spans="1:39" x14ac:dyDescent="0.2">
      <c r="A7470" t="str">
        <f>"7466"</f>
        <v>7466</v>
      </c>
      <c r="B7470" t="str">
        <f t="shared" si="413"/>
        <v>1</v>
      </c>
      <c r="C7470" t="str">
        <f t="shared" si="415"/>
        <v>150</v>
      </c>
      <c r="D7470" t="str">
        <f>"36"</f>
        <v>36</v>
      </c>
      <c r="E7470" t="str">
        <f>"1-150-36"</f>
        <v>1-150-36</v>
      </c>
      <c r="F7470" t="s">
        <v>65</v>
      </c>
      <c r="G7470" t="s">
        <v>66</v>
      </c>
      <c r="H7470" t="s">
        <v>67</v>
      </c>
      <c r="S7470">
        <v>0</v>
      </c>
      <c r="T7470">
        <v>1</v>
      </c>
      <c r="U7470">
        <v>0</v>
      </c>
      <c r="V7470">
        <v>0</v>
      </c>
      <c r="W7470">
        <v>0</v>
      </c>
      <c r="X7470">
        <v>1</v>
      </c>
      <c r="Y7470">
        <v>0</v>
      </c>
      <c r="Z7470">
        <v>1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</row>
    <row r="7471" spans="1:39" x14ac:dyDescent="0.2">
      <c r="A7471" t="str">
        <f>"7467"</f>
        <v>7467</v>
      </c>
      <c r="B7471" t="str">
        <f t="shared" si="413"/>
        <v>1</v>
      </c>
      <c r="C7471" t="str">
        <f t="shared" si="415"/>
        <v>150</v>
      </c>
      <c r="D7471" t="str">
        <f>"35"</f>
        <v>35</v>
      </c>
      <c r="E7471" t="str">
        <f>"1-150-35"</f>
        <v>1-150-35</v>
      </c>
      <c r="F7471" t="s">
        <v>65</v>
      </c>
      <c r="G7471" t="s">
        <v>66</v>
      </c>
      <c r="H7471" t="s">
        <v>67</v>
      </c>
      <c r="S7471">
        <v>1</v>
      </c>
      <c r="T7471">
        <v>0</v>
      </c>
      <c r="U7471">
        <v>0</v>
      </c>
      <c r="V7471">
        <v>0</v>
      </c>
      <c r="W7471">
        <v>1</v>
      </c>
      <c r="X7471">
        <v>0</v>
      </c>
      <c r="Y7471">
        <v>0</v>
      </c>
      <c r="Z7471">
        <v>1</v>
      </c>
      <c r="AA7471">
        <v>0</v>
      </c>
      <c r="AB7471">
        <v>0</v>
      </c>
      <c r="AC7471">
        <v>1</v>
      </c>
      <c r="AD7471">
        <v>1</v>
      </c>
      <c r="AE7471">
        <v>1</v>
      </c>
      <c r="AF7471">
        <v>1</v>
      </c>
      <c r="AG7471">
        <v>1</v>
      </c>
      <c r="AH7471">
        <v>1</v>
      </c>
      <c r="AI7471">
        <v>1</v>
      </c>
      <c r="AJ7471">
        <v>1</v>
      </c>
      <c r="AK7471">
        <v>1</v>
      </c>
      <c r="AL7471">
        <v>1</v>
      </c>
      <c r="AM7471">
        <v>1</v>
      </c>
    </row>
    <row r="7472" spans="1:39" x14ac:dyDescent="0.2">
      <c r="A7472" t="str">
        <f>"7468"</f>
        <v>7468</v>
      </c>
      <c r="B7472" t="str">
        <f t="shared" si="413"/>
        <v>1</v>
      </c>
      <c r="C7472" t="str">
        <f t="shared" si="415"/>
        <v>150</v>
      </c>
      <c r="D7472" t="str">
        <f>"24"</f>
        <v>24</v>
      </c>
      <c r="E7472" t="str">
        <f>"1-150-24"</f>
        <v>1-150-24</v>
      </c>
      <c r="F7472" t="s">
        <v>65</v>
      </c>
      <c r="G7472" t="s">
        <v>66</v>
      </c>
      <c r="H7472" t="s">
        <v>67</v>
      </c>
      <c r="S7472">
        <v>0</v>
      </c>
      <c r="T7472">
        <v>1</v>
      </c>
      <c r="U7472">
        <v>0</v>
      </c>
      <c r="V7472">
        <v>0</v>
      </c>
      <c r="W7472">
        <v>0</v>
      </c>
      <c r="X7472">
        <v>1</v>
      </c>
      <c r="Y7472">
        <v>0</v>
      </c>
      <c r="Z7472">
        <v>1</v>
      </c>
      <c r="AA7472">
        <v>0</v>
      </c>
      <c r="AB7472">
        <v>0</v>
      </c>
      <c r="AC7472">
        <v>1</v>
      </c>
      <c r="AD7472">
        <v>1</v>
      </c>
      <c r="AE7472">
        <v>1</v>
      </c>
      <c r="AF7472">
        <v>1</v>
      </c>
      <c r="AG7472">
        <v>1</v>
      </c>
      <c r="AH7472">
        <v>1</v>
      </c>
      <c r="AI7472">
        <v>1</v>
      </c>
      <c r="AJ7472">
        <v>1</v>
      </c>
      <c r="AK7472">
        <v>1</v>
      </c>
      <c r="AL7472">
        <v>1</v>
      </c>
      <c r="AM7472">
        <v>0</v>
      </c>
    </row>
    <row r="7473" spans="1:39" x14ac:dyDescent="0.2">
      <c r="A7473" t="str">
        <f>"7469"</f>
        <v>7469</v>
      </c>
      <c r="B7473" t="str">
        <f t="shared" si="413"/>
        <v>1</v>
      </c>
      <c r="C7473" t="str">
        <f t="shared" si="415"/>
        <v>150</v>
      </c>
      <c r="D7473" t="str">
        <f>"18"</f>
        <v>18</v>
      </c>
      <c r="E7473" t="str">
        <f>"1-150-18"</f>
        <v>1-150-18</v>
      </c>
      <c r="F7473" t="s">
        <v>65</v>
      </c>
      <c r="G7473" t="s">
        <v>66</v>
      </c>
      <c r="H7473" t="s">
        <v>67</v>
      </c>
      <c r="S7473">
        <v>1</v>
      </c>
      <c r="T7473">
        <v>0</v>
      </c>
      <c r="U7473">
        <v>0</v>
      </c>
      <c r="V7473">
        <v>0</v>
      </c>
      <c r="W7473">
        <v>1</v>
      </c>
      <c r="X7473">
        <v>0</v>
      </c>
      <c r="Y7473">
        <v>0</v>
      </c>
      <c r="Z7473">
        <v>1</v>
      </c>
      <c r="AA7473">
        <v>1</v>
      </c>
      <c r="AB7473">
        <v>0</v>
      </c>
      <c r="AC7473">
        <v>0</v>
      </c>
      <c r="AD7473">
        <v>1</v>
      </c>
      <c r="AE7473">
        <v>1</v>
      </c>
      <c r="AF7473">
        <v>1</v>
      </c>
      <c r="AG7473">
        <v>1</v>
      </c>
      <c r="AH7473">
        <v>1</v>
      </c>
      <c r="AI7473">
        <v>1</v>
      </c>
      <c r="AJ7473">
        <v>1</v>
      </c>
      <c r="AK7473">
        <v>1</v>
      </c>
      <c r="AL7473">
        <v>1</v>
      </c>
      <c r="AM7473">
        <v>1</v>
      </c>
    </row>
    <row r="7474" spans="1:39" x14ac:dyDescent="0.2">
      <c r="A7474" t="str">
        <f>"7470"</f>
        <v>7470</v>
      </c>
      <c r="B7474" t="str">
        <f t="shared" si="413"/>
        <v>1</v>
      </c>
      <c r="C7474" t="str">
        <f t="shared" si="415"/>
        <v>150</v>
      </c>
      <c r="D7474" t="str">
        <f>"4"</f>
        <v>4</v>
      </c>
      <c r="E7474" t="str">
        <f>"1-150-4"</f>
        <v>1-150-4</v>
      </c>
      <c r="F7474" t="s">
        <v>65</v>
      </c>
      <c r="G7474" t="s">
        <v>66</v>
      </c>
      <c r="H7474" t="s">
        <v>67</v>
      </c>
      <c r="S7474">
        <v>1</v>
      </c>
      <c r="T7474">
        <v>0</v>
      </c>
      <c r="U7474">
        <v>0</v>
      </c>
      <c r="V7474">
        <v>0</v>
      </c>
      <c r="W7474">
        <v>1</v>
      </c>
      <c r="X7474">
        <v>0</v>
      </c>
      <c r="Y7474">
        <v>1</v>
      </c>
      <c r="Z7474">
        <v>0</v>
      </c>
      <c r="AA7474">
        <v>1</v>
      </c>
      <c r="AB7474">
        <v>0</v>
      </c>
      <c r="AC7474">
        <v>0</v>
      </c>
      <c r="AD7474">
        <v>1</v>
      </c>
      <c r="AE7474">
        <v>1</v>
      </c>
      <c r="AF7474">
        <v>1</v>
      </c>
      <c r="AG7474">
        <v>1</v>
      </c>
      <c r="AH7474">
        <v>1</v>
      </c>
      <c r="AI7474">
        <v>1</v>
      </c>
      <c r="AJ7474">
        <v>1</v>
      </c>
      <c r="AK7474">
        <v>1</v>
      </c>
      <c r="AL7474">
        <v>1</v>
      </c>
      <c r="AM7474">
        <v>1</v>
      </c>
    </row>
    <row r="7475" spans="1:39" x14ac:dyDescent="0.2">
      <c r="A7475" t="str">
        <f>"7471"</f>
        <v>7471</v>
      </c>
      <c r="B7475" t="str">
        <f t="shared" si="413"/>
        <v>1</v>
      </c>
      <c r="C7475" t="str">
        <f t="shared" si="415"/>
        <v>150</v>
      </c>
      <c r="D7475" t="str">
        <f>"41"</f>
        <v>41</v>
      </c>
      <c r="E7475" t="str">
        <f>"1-150-41"</f>
        <v>1-150-41</v>
      </c>
      <c r="F7475" t="s">
        <v>65</v>
      </c>
      <c r="G7475" t="s">
        <v>66</v>
      </c>
      <c r="H7475" t="s">
        <v>67</v>
      </c>
      <c r="S7475">
        <v>1</v>
      </c>
      <c r="T7475">
        <v>0</v>
      </c>
      <c r="U7475">
        <v>0</v>
      </c>
      <c r="V7475">
        <v>0</v>
      </c>
      <c r="W7475">
        <v>1</v>
      </c>
      <c r="X7475">
        <v>0</v>
      </c>
      <c r="Y7475">
        <v>1</v>
      </c>
      <c r="Z7475">
        <v>0</v>
      </c>
      <c r="AA7475">
        <v>0</v>
      </c>
      <c r="AB7475">
        <v>0</v>
      </c>
      <c r="AC7475">
        <v>1</v>
      </c>
      <c r="AD7475">
        <v>1</v>
      </c>
      <c r="AE7475">
        <v>1</v>
      </c>
      <c r="AF7475">
        <v>1</v>
      </c>
      <c r="AG7475">
        <v>1</v>
      </c>
      <c r="AH7475">
        <v>1</v>
      </c>
      <c r="AI7475">
        <v>1</v>
      </c>
      <c r="AJ7475">
        <v>1</v>
      </c>
      <c r="AK7475">
        <v>1</v>
      </c>
      <c r="AL7475">
        <v>1</v>
      </c>
      <c r="AM7475">
        <v>1</v>
      </c>
    </row>
    <row r="7476" spans="1:39" x14ac:dyDescent="0.2">
      <c r="A7476" t="str">
        <f>"7472"</f>
        <v>7472</v>
      </c>
      <c r="B7476" t="str">
        <f t="shared" si="413"/>
        <v>1</v>
      </c>
      <c r="C7476" t="str">
        <f t="shared" si="415"/>
        <v>150</v>
      </c>
      <c r="D7476" t="str">
        <f>"19"</f>
        <v>19</v>
      </c>
      <c r="E7476" t="str">
        <f>"1-150-19"</f>
        <v>1-150-19</v>
      </c>
      <c r="F7476" t="s">
        <v>65</v>
      </c>
      <c r="G7476" t="s">
        <v>66</v>
      </c>
      <c r="H7476" t="s">
        <v>67</v>
      </c>
      <c r="S7476">
        <v>1</v>
      </c>
      <c r="T7476">
        <v>0</v>
      </c>
      <c r="U7476">
        <v>0</v>
      </c>
      <c r="V7476">
        <v>0</v>
      </c>
      <c r="W7476">
        <v>1</v>
      </c>
      <c r="X7476">
        <v>0</v>
      </c>
      <c r="Y7476">
        <v>1</v>
      </c>
      <c r="Z7476">
        <v>0</v>
      </c>
      <c r="AA7476">
        <v>1</v>
      </c>
      <c r="AB7476">
        <v>0</v>
      </c>
      <c r="AC7476">
        <v>0</v>
      </c>
      <c r="AD7476">
        <v>1</v>
      </c>
      <c r="AE7476">
        <v>1</v>
      </c>
      <c r="AF7476">
        <v>1</v>
      </c>
      <c r="AG7476">
        <v>1</v>
      </c>
      <c r="AH7476">
        <v>1</v>
      </c>
      <c r="AI7476">
        <v>1</v>
      </c>
      <c r="AJ7476">
        <v>0</v>
      </c>
      <c r="AK7476">
        <v>1</v>
      </c>
      <c r="AL7476">
        <v>1</v>
      </c>
      <c r="AM7476">
        <v>1</v>
      </c>
    </row>
    <row r="7477" spans="1:39" x14ac:dyDescent="0.2">
      <c r="A7477" t="str">
        <f>"7473"</f>
        <v>7473</v>
      </c>
      <c r="B7477" t="str">
        <f t="shared" si="413"/>
        <v>1</v>
      </c>
      <c r="C7477" t="str">
        <f t="shared" si="415"/>
        <v>150</v>
      </c>
      <c r="D7477" t="str">
        <f>"42"</f>
        <v>42</v>
      </c>
      <c r="E7477" t="str">
        <f>"1-150-42"</f>
        <v>1-150-42</v>
      </c>
      <c r="F7477" t="s">
        <v>65</v>
      </c>
      <c r="G7477" t="s">
        <v>66</v>
      </c>
      <c r="H7477" t="s">
        <v>67</v>
      </c>
      <c r="S7477">
        <v>1</v>
      </c>
      <c r="T7477">
        <v>0</v>
      </c>
      <c r="U7477">
        <v>0</v>
      </c>
      <c r="V7477">
        <v>0</v>
      </c>
      <c r="W7477">
        <v>1</v>
      </c>
      <c r="X7477">
        <v>0</v>
      </c>
      <c r="Y7477">
        <v>0</v>
      </c>
      <c r="Z7477">
        <v>1</v>
      </c>
      <c r="AA7477">
        <v>1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</row>
    <row r="7478" spans="1:39" x14ac:dyDescent="0.2">
      <c r="A7478" t="str">
        <f>"7474"</f>
        <v>7474</v>
      </c>
      <c r="B7478" t="str">
        <f t="shared" si="413"/>
        <v>1</v>
      </c>
      <c r="C7478" t="str">
        <f t="shared" si="415"/>
        <v>150</v>
      </c>
      <c r="D7478" t="str">
        <f>"20"</f>
        <v>20</v>
      </c>
      <c r="E7478" t="str">
        <f>"1-150-20"</f>
        <v>1-150-20</v>
      </c>
      <c r="F7478" t="s">
        <v>65</v>
      </c>
      <c r="G7478" t="s">
        <v>66</v>
      </c>
      <c r="H7478" t="s">
        <v>67</v>
      </c>
      <c r="S7478">
        <v>1</v>
      </c>
      <c r="T7478">
        <v>0</v>
      </c>
      <c r="U7478">
        <v>0</v>
      </c>
      <c r="V7478">
        <v>0</v>
      </c>
      <c r="W7478">
        <v>1</v>
      </c>
      <c r="X7478">
        <v>0</v>
      </c>
      <c r="Y7478">
        <v>1</v>
      </c>
      <c r="Z7478">
        <v>0</v>
      </c>
      <c r="AA7478">
        <v>1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1</v>
      </c>
      <c r="AH7478">
        <v>0</v>
      </c>
      <c r="AI7478">
        <v>1</v>
      </c>
      <c r="AJ7478">
        <v>1</v>
      </c>
      <c r="AK7478">
        <v>1</v>
      </c>
      <c r="AL7478">
        <v>1</v>
      </c>
      <c r="AM7478">
        <v>0</v>
      </c>
    </row>
    <row r="7479" spans="1:39" x14ac:dyDescent="0.2">
      <c r="A7479" t="str">
        <f>"7475"</f>
        <v>7475</v>
      </c>
      <c r="B7479" t="str">
        <f t="shared" ref="B7479:B7542" si="416">"1"</f>
        <v>1</v>
      </c>
      <c r="C7479" t="str">
        <f t="shared" si="415"/>
        <v>150</v>
      </c>
      <c r="D7479" t="str">
        <f>"9"</f>
        <v>9</v>
      </c>
      <c r="E7479" t="str">
        <f>"1-150-9"</f>
        <v>1-150-9</v>
      </c>
      <c r="F7479" t="s">
        <v>65</v>
      </c>
      <c r="G7479" t="s">
        <v>66</v>
      </c>
      <c r="H7479" t="s">
        <v>67</v>
      </c>
      <c r="S7479">
        <v>1</v>
      </c>
      <c r="T7479">
        <v>0</v>
      </c>
      <c r="U7479">
        <v>0</v>
      </c>
      <c r="V7479">
        <v>0</v>
      </c>
      <c r="W7479">
        <v>1</v>
      </c>
      <c r="X7479">
        <v>0</v>
      </c>
      <c r="Y7479">
        <v>1</v>
      </c>
      <c r="Z7479">
        <v>0</v>
      </c>
      <c r="AA7479">
        <v>1</v>
      </c>
      <c r="AB7479">
        <v>0</v>
      </c>
      <c r="AC7479">
        <v>0</v>
      </c>
      <c r="AD7479">
        <v>1</v>
      </c>
      <c r="AE7479">
        <v>1</v>
      </c>
      <c r="AF7479">
        <v>1</v>
      </c>
      <c r="AG7479">
        <v>1</v>
      </c>
      <c r="AH7479">
        <v>1</v>
      </c>
      <c r="AI7479">
        <v>1</v>
      </c>
      <c r="AJ7479">
        <v>1</v>
      </c>
      <c r="AK7479">
        <v>1</v>
      </c>
      <c r="AL7479">
        <v>1</v>
      </c>
      <c r="AM7479">
        <v>1</v>
      </c>
    </row>
    <row r="7480" spans="1:39" x14ac:dyDescent="0.2">
      <c r="A7480" t="str">
        <f>"7476"</f>
        <v>7476</v>
      </c>
      <c r="B7480" t="str">
        <f t="shared" si="416"/>
        <v>1</v>
      </c>
      <c r="C7480" t="str">
        <f t="shared" si="415"/>
        <v>150</v>
      </c>
      <c r="D7480" t="str">
        <f>"43"</f>
        <v>43</v>
      </c>
      <c r="E7480" t="str">
        <f>"1-150-43"</f>
        <v>1-150-43</v>
      </c>
      <c r="F7480" t="s">
        <v>65</v>
      </c>
      <c r="G7480" t="s">
        <v>66</v>
      </c>
      <c r="H7480" t="s">
        <v>67</v>
      </c>
      <c r="S7480">
        <v>0</v>
      </c>
      <c r="T7480">
        <v>1</v>
      </c>
      <c r="U7480">
        <v>0</v>
      </c>
      <c r="V7480">
        <v>0</v>
      </c>
      <c r="W7480">
        <v>1</v>
      </c>
      <c r="X7480">
        <v>0</v>
      </c>
      <c r="Y7480">
        <v>0</v>
      </c>
      <c r="Z7480">
        <v>1</v>
      </c>
      <c r="AA7480">
        <v>1</v>
      </c>
      <c r="AB7480">
        <v>0</v>
      </c>
      <c r="AC7480">
        <v>0</v>
      </c>
      <c r="AD7480">
        <v>1</v>
      </c>
      <c r="AE7480">
        <v>1</v>
      </c>
      <c r="AF7480">
        <v>1</v>
      </c>
      <c r="AG7480">
        <v>1</v>
      </c>
      <c r="AH7480">
        <v>1</v>
      </c>
      <c r="AI7480">
        <v>1</v>
      </c>
      <c r="AJ7480">
        <v>1</v>
      </c>
      <c r="AK7480">
        <v>1</v>
      </c>
      <c r="AL7480">
        <v>1</v>
      </c>
      <c r="AM7480">
        <v>1</v>
      </c>
    </row>
    <row r="7481" spans="1:39" x14ac:dyDescent="0.2">
      <c r="A7481" t="str">
        <f>"7477"</f>
        <v>7477</v>
      </c>
      <c r="B7481" t="str">
        <f t="shared" si="416"/>
        <v>1</v>
      </c>
      <c r="C7481" t="str">
        <f t="shared" si="415"/>
        <v>150</v>
      </c>
      <c r="D7481" t="str">
        <f>"21"</f>
        <v>21</v>
      </c>
      <c r="E7481" t="str">
        <f>"1-150-21"</f>
        <v>1-150-21</v>
      </c>
      <c r="F7481" t="s">
        <v>65</v>
      </c>
      <c r="G7481" t="s">
        <v>66</v>
      </c>
      <c r="H7481" t="s">
        <v>67</v>
      </c>
      <c r="S7481">
        <v>1</v>
      </c>
      <c r="T7481">
        <v>0</v>
      </c>
      <c r="U7481">
        <v>0</v>
      </c>
      <c r="V7481">
        <v>0</v>
      </c>
      <c r="W7481">
        <v>1</v>
      </c>
      <c r="X7481">
        <v>0</v>
      </c>
      <c r="Y7481">
        <v>0</v>
      </c>
      <c r="Z7481">
        <v>1</v>
      </c>
      <c r="AA7481">
        <v>0</v>
      </c>
      <c r="AB7481">
        <v>0</v>
      </c>
      <c r="AC7481">
        <v>1</v>
      </c>
      <c r="AD7481">
        <v>1</v>
      </c>
      <c r="AE7481">
        <v>1</v>
      </c>
      <c r="AF7481">
        <v>1</v>
      </c>
      <c r="AG7481">
        <v>1</v>
      </c>
      <c r="AH7481">
        <v>1</v>
      </c>
      <c r="AI7481">
        <v>1</v>
      </c>
      <c r="AJ7481">
        <v>1</v>
      </c>
      <c r="AK7481">
        <v>1</v>
      </c>
      <c r="AL7481">
        <v>1</v>
      </c>
      <c r="AM7481">
        <v>1</v>
      </c>
    </row>
    <row r="7482" spans="1:39" x14ac:dyDescent="0.2">
      <c r="A7482" t="str">
        <f>"7478"</f>
        <v>7478</v>
      </c>
      <c r="B7482" t="str">
        <f t="shared" si="416"/>
        <v>1</v>
      </c>
      <c r="C7482" t="str">
        <f t="shared" si="415"/>
        <v>150</v>
      </c>
      <c r="D7482" t="str">
        <f>"5"</f>
        <v>5</v>
      </c>
      <c r="E7482" t="str">
        <f>"1-150-5"</f>
        <v>1-150-5</v>
      </c>
      <c r="F7482" t="s">
        <v>65</v>
      </c>
      <c r="G7482" t="s">
        <v>66</v>
      </c>
      <c r="H7482" t="s">
        <v>67</v>
      </c>
      <c r="S7482">
        <v>1</v>
      </c>
      <c r="T7482">
        <v>0</v>
      </c>
      <c r="U7482">
        <v>0</v>
      </c>
      <c r="V7482">
        <v>0</v>
      </c>
      <c r="W7482">
        <v>0</v>
      </c>
      <c r="X7482">
        <v>1</v>
      </c>
      <c r="Y7482">
        <v>1</v>
      </c>
      <c r="Z7482">
        <v>0</v>
      </c>
      <c r="AA7482">
        <v>0</v>
      </c>
      <c r="AB7482">
        <v>1</v>
      </c>
      <c r="AC7482">
        <v>0</v>
      </c>
      <c r="AD7482">
        <v>1</v>
      </c>
      <c r="AE7482">
        <v>1</v>
      </c>
      <c r="AF7482">
        <v>1</v>
      </c>
      <c r="AG7482">
        <v>1</v>
      </c>
      <c r="AH7482">
        <v>1</v>
      </c>
      <c r="AI7482">
        <v>1</v>
      </c>
      <c r="AJ7482">
        <v>1</v>
      </c>
      <c r="AK7482">
        <v>1</v>
      </c>
      <c r="AL7482">
        <v>1</v>
      </c>
      <c r="AM7482">
        <v>1</v>
      </c>
    </row>
    <row r="7483" spans="1:39" x14ac:dyDescent="0.2">
      <c r="A7483" t="str">
        <f>"7479"</f>
        <v>7479</v>
      </c>
      <c r="B7483" t="str">
        <f t="shared" si="416"/>
        <v>1</v>
      </c>
      <c r="C7483" t="str">
        <f t="shared" si="415"/>
        <v>150</v>
      </c>
      <c r="D7483" t="str">
        <f>"44"</f>
        <v>44</v>
      </c>
      <c r="E7483" t="str">
        <f>"1-150-44"</f>
        <v>1-150-44</v>
      </c>
      <c r="F7483" t="s">
        <v>65</v>
      </c>
      <c r="G7483" t="s">
        <v>66</v>
      </c>
      <c r="H7483" t="s">
        <v>67</v>
      </c>
      <c r="S7483">
        <v>1</v>
      </c>
      <c r="T7483">
        <v>0</v>
      </c>
      <c r="U7483">
        <v>0</v>
      </c>
      <c r="V7483">
        <v>0</v>
      </c>
      <c r="W7483">
        <v>1</v>
      </c>
      <c r="X7483">
        <v>0</v>
      </c>
      <c r="Y7483">
        <v>1</v>
      </c>
      <c r="Z7483">
        <v>0</v>
      </c>
      <c r="AA7483">
        <v>0</v>
      </c>
      <c r="AB7483">
        <v>1</v>
      </c>
      <c r="AC7483">
        <v>0</v>
      </c>
      <c r="AD7483">
        <v>1</v>
      </c>
      <c r="AE7483">
        <v>1</v>
      </c>
      <c r="AF7483">
        <v>1</v>
      </c>
      <c r="AG7483">
        <v>1</v>
      </c>
      <c r="AH7483">
        <v>1</v>
      </c>
      <c r="AI7483">
        <v>1</v>
      </c>
      <c r="AJ7483">
        <v>1</v>
      </c>
      <c r="AK7483">
        <v>1</v>
      </c>
      <c r="AL7483">
        <v>1</v>
      </c>
      <c r="AM7483">
        <v>1</v>
      </c>
    </row>
    <row r="7484" spans="1:39" x14ac:dyDescent="0.2">
      <c r="A7484" t="str">
        <f>"7480"</f>
        <v>7480</v>
      </c>
      <c r="B7484" t="str">
        <f t="shared" si="416"/>
        <v>1</v>
      </c>
      <c r="C7484" t="str">
        <f t="shared" si="415"/>
        <v>150</v>
      </c>
      <c r="D7484" t="str">
        <f>"23"</f>
        <v>23</v>
      </c>
      <c r="E7484" t="str">
        <f>"1-150-23"</f>
        <v>1-150-23</v>
      </c>
      <c r="F7484" t="s">
        <v>65</v>
      </c>
      <c r="G7484" t="s">
        <v>66</v>
      </c>
      <c r="H7484" t="s">
        <v>67</v>
      </c>
      <c r="S7484">
        <v>0</v>
      </c>
      <c r="T7484">
        <v>1</v>
      </c>
      <c r="U7484">
        <v>0</v>
      </c>
      <c r="V7484">
        <v>0</v>
      </c>
      <c r="W7484">
        <v>0</v>
      </c>
      <c r="X7484">
        <v>1</v>
      </c>
      <c r="Y7484">
        <v>0</v>
      </c>
      <c r="Z7484">
        <v>1</v>
      </c>
      <c r="AA7484">
        <v>0</v>
      </c>
      <c r="AB7484">
        <v>0</v>
      </c>
      <c r="AC7484">
        <v>1</v>
      </c>
      <c r="AD7484">
        <v>1</v>
      </c>
      <c r="AE7484">
        <v>1</v>
      </c>
      <c r="AF7484">
        <v>1</v>
      </c>
      <c r="AG7484">
        <v>1</v>
      </c>
      <c r="AH7484">
        <v>1</v>
      </c>
      <c r="AI7484">
        <v>1</v>
      </c>
      <c r="AJ7484">
        <v>1</v>
      </c>
      <c r="AK7484">
        <v>1</v>
      </c>
      <c r="AL7484">
        <v>1</v>
      </c>
      <c r="AM7484">
        <v>1</v>
      </c>
    </row>
    <row r="7485" spans="1:39" x14ac:dyDescent="0.2">
      <c r="A7485" t="str">
        <f>"7481"</f>
        <v>7481</v>
      </c>
      <c r="B7485" t="str">
        <f t="shared" si="416"/>
        <v>1</v>
      </c>
      <c r="C7485" t="str">
        <f t="shared" si="415"/>
        <v>150</v>
      </c>
      <c r="D7485" t="str">
        <f>"10"</f>
        <v>10</v>
      </c>
      <c r="E7485" t="str">
        <f>"1-150-10"</f>
        <v>1-150-10</v>
      </c>
      <c r="F7485" t="s">
        <v>65</v>
      </c>
      <c r="G7485" t="s">
        <v>66</v>
      </c>
      <c r="H7485" t="s">
        <v>67</v>
      </c>
      <c r="S7485">
        <v>1</v>
      </c>
      <c r="T7485">
        <v>0</v>
      </c>
      <c r="U7485">
        <v>0</v>
      </c>
      <c r="V7485">
        <v>0</v>
      </c>
      <c r="W7485">
        <v>1</v>
      </c>
      <c r="X7485">
        <v>0</v>
      </c>
      <c r="Y7485">
        <v>1</v>
      </c>
      <c r="Z7485">
        <v>0</v>
      </c>
      <c r="AA7485">
        <v>0</v>
      </c>
      <c r="AB7485">
        <v>1</v>
      </c>
      <c r="AC7485">
        <v>0</v>
      </c>
      <c r="AD7485">
        <v>1</v>
      </c>
      <c r="AE7485">
        <v>1</v>
      </c>
      <c r="AF7485">
        <v>1</v>
      </c>
      <c r="AG7485">
        <v>1</v>
      </c>
      <c r="AH7485">
        <v>1</v>
      </c>
      <c r="AI7485">
        <v>1</v>
      </c>
      <c r="AJ7485">
        <v>1</v>
      </c>
      <c r="AK7485">
        <v>1</v>
      </c>
      <c r="AL7485">
        <v>1</v>
      </c>
      <c r="AM7485">
        <v>1</v>
      </c>
    </row>
    <row r="7486" spans="1:39" x14ac:dyDescent="0.2">
      <c r="A7486" t="str">
        <f>"7482"</f>
        <v>7482</v>
      </c>
      <c r="B7486" t="str">
        <f t="shared" si="416"/>
        <v>1</v>
      </c>
      <c r="C7486" t="str">
        <f t="shared" si="415"/>
        <v>150</v>
      </c>
      <c r="D7486" t="str">
        <f>"45"</f>
        <v>45</v>
      </c>
      <c r="E7486" t="str">
        <f>"1-150-45"</f>
        <v>1-150-45</v>
      </c>
      <c r="F7486" t="s">
        <v>65</v>
      </c>
      <c r="G7486" t="s">
        <v>66</v>
      </c>
      <c r="H7486" t="s">
        <v>67</v>
      </c>
      <c r="S7486">
        <v>0</v>
      </c>
      <c r="T7486">
        <v>1</v>
      </c>
      <c r="U7486">
        <v>0</v>
      </c>
      <c r="V7486">
        <v>0</v>
      </c>
      <c r="W7486">
        <v>1</v>
      </c>
      <c r="X7486">
        <v>0</v>
      </c>
      <c r="Y7486">
        <v>0</v>
      </c>
      <c r="Z7486">
        <v>1</v>
      </c>
      <c r="AA7486">
        <v>0</v>
      </c>
      <c r="AB7486">
        <v>0</v>
      </c>
      <c r="AC7486">
        <v>1</v>
      </c>
      <c r="AD7486">
        <v>1</v>
      </c>
      <c r="AE7486">
        <v>1</v>
      </c>
      <c r="AF7486">
        <v>1</v>
      </c>
      <c r="AG7486">
        <v>1</v>
      </c>
      <c r="AH7486">
        <v>1</v>
      </c>
      <c r="AI7486">
        <v>1</v>
      </c>
      <c r="AJ7486">
        <v>1</v>
      </c>
      <c r="AK7486">
        <v>1</v>
      </c>
      <c r="AL7486">
        <v>1</v>
      </c>
      <c r="AM7486">
        <v>1</v>
      </c>
    </row>
    <row r="7487" spans="1:39" x14ac:dyDescent="0.2">
      <c r="A7487" t="str">
        <f>"7483"</f>
        <v>7483</v>
      </c>
      <c r="B7487" t="str">
        <f t="shared" si="416"/>
        <v>1</v>
      </c>
      <c r="C7487" t="str">
        <f t="shared" ref="C7487:C7504" si="417">"150"</f>
        <v>150</v>
      </c>
      <c r="D7487" t="str">
        <f>"25"</f>
        <v>25</v>
      </c>
      <c r="E7487" t="str">
        <f>"1-150-25"</f>
        <v>1-150-25</v>
      </c>
      <c r="F7487" t="s">
        <v>65</v>
      </c>
      <c r="G7487" t="s">
        <v>66</v>
      </c>
      <c r="H7487" t="s">
        <v>67</v>
      </c>
      <c r="S7487">
        <v>1</v>
      </c>
      <c r="T7487">
        <v>0</v>
      </c>
      <c r="U7487">
        <v>0</v>
      </c>
      <c r="V7487">
        <v>0</v>
      </c>
      <c r="W7487">
        <v>0</v>
      </c>
      <c r="X7487">
        <v>1</v>
      </c>
      <c r="Y7487">
        <v>1</v>
      </c>
      <c r="Z7487">
        <v>0</v>
      </c>
      <c r="AA7487">
        <v>1</v>
      </c>
      <c r="AB7487">
        <v>0</v>
      </c>
      <c r="AC7487">
        <v>0</v>
      </c>
      <c r="AD7487">
        <v>1</v>
      </c>
      <c r="AE7487">
        <v>1</v>
      </c>
      <c r="AF7487">
        <v>1</v>
      </c>
      <c r="AG7487">
        <v>1</v>
      </c>
      <c r="AH7487">
        <v>1</v>
      </c>
      <c r="AI7487">
        <v>1</v>
      </c>
      <c r="AJ7487">
        <v>1</v>
      </c>
      <c r="AK7487">
        <v>1</v>
      </c>
      <c r="AL7487">
        <v>1</v>
      </c>
      <c r="AM7487">
        <v>1</v>
      </c>
    </row>
    <row r="7488" spans="1:39" x14ac:dyDescent="0.2">
      <c r="A7488" t="str">
        <f>"7484"</f>
        <v>7484</v>
      </c>
      <c r="B7488" t="str">
        <f t="shared" si="416"/>
        <v>1</v>
      </c>
      <c r="C7488" t="str">
        <f t="shared" si="417"/>
        <v>150</v>
      </c>
      <c r="D7488" t="str">
        <f>"14"</f>
        <v>14</v>
      </c>
      <c r="E7488" t="str">
        <f>"1-150-14"</f>
        <v>1-150-14</v>
      </c>
      <c r="F7488" t="s">
        <v>65</v>
      </c>
      <c r="G7488" t="s">
        <v>66</v>
      </c>
      <c r="H7488" t="s">
        <v>67</v>
      </c>
      <c r="S7488">
        <v>0</v>
      </c>
      <c r="T7488">
        <v>1</v>
      </c>
      <c r="U7488">
        <v>0</v>
      </c>
      <c r="V7488">
        <v>0</v>
      </c>
      <c r="W7488">
        <v>1</v>
      </c>
      <c r="X7488">
        <v>0</v>
      </c>
      <c r="Y7488">
        <v>1</v>
      </c>
      <c r="Z7488">
        <v>0</v>
      </c>
      <c r="AA7488">
        <v>1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</row>
    <row r="7489" spans="1:39" x14ac:dyDescent="0.2">
      <c r="A7489" t="str">
        <f>"7485"</f>
        <v>7485</v>
      </c>
      <c r="B7489" t="str">
        <f t="shared" si="416"/>
        <v>1</v>
      </c>
      <c r="C7489" t="str">
        <f t="shared" si="417"/>
        <v>150</v>
      </c>
      <c r="D7489" t="str">
        <f>"48"</f>
        <v>48</v>
      </c>
      <c r="E7489" t="str">
        <f>"1-150-48"</f>
        <v>1-150-48</v>
      </c>
      <c r="F7489" t="s">
        <v>65</v>
      </c>
      <c r="G7489" t="s">
        <v>66</v>
      </c>
      <c r="H7489" t="s">
        <v>67</v>
      </c>
      <c r="S7489">
        <v>1</v>
      </c>
      <c r="T7489">
        <v>0</v>
      </c>
      <c r="U7489">
        <v>0</v>
      </c>
      <c r="V7489">
        <v>0</v>
      </c>
      <c r="W7489">
        <v>1</v>
      </c>
      <c r="X7489">
        <v>0</v>
      </c>
      <c r="Y7489">
        <v>1</v>
      </c>
      <c r="Z7489">
        <v>0</v>
      </c>
      <c r="AA7489">
        <v>1</v>
      </c>
      <c r="AB7489">
        <v>0</v>
      </c>
      <c r="AC7489">
        <v>0</v>
      </c>
      <c r="AD7489">
        <v>1</v>
      </c>
      <c r="AE7489">
        <v>1</v>
      </c>
      <c r="AF7489">
        <v>1</v>
      </c>
      <c r="AG7489">
        <v>0</v>
      </c>
      <c r="AH7489">
        <v>0</v>
      </c>
      <c r="AI7489">
        <v>1</v>
      </c>
      <c r="AJ7489">
        <v>1</v>
      </c>
      <c r="AK7489">
        <v>1</v>
      </c>
      <c r="AL7489">
        <v>1</v>
      </c>
      <c r="AM7489">
        <v>1</v>
      </c>
    </row>
    <row r="7490" spans="1:39" x14ac:dyDescent="0.2">
      <c r="A7490" t="str">
        <f>"7486"</f>
        <v>7486</v>
      </c>
      <c r="B7490" t="str">
        <f t="shared" si="416"/>
        <v>1</v>
      </c>
      <c r="C7490" t="str">
        <f t="shared" si="417"/>
        <v>150</v>
      </c>
      <c r="D7490" t="str">
        <f>"27"</f>
        <v>27</v>
      </c>
      <c r="E7490" t="str">
        <f>"1-150-27"</f>
        <v>1-150-27</v>
      </c>
      <c r="F7490" t="s">
        <v>65</v>
      </c>
      <c r="G7490" t="s">
        <v>66</v>
      </c>
      <c r="H7490" t="s">
        <v>67</v>
      </c>
      <c r="S7490">
        <v>1</v>
      </c>
      <c r="T7490">
        <v>0</v>
      </c>
      <c r="U7490">
        <v>0</v>
      </c>
      <c r="V7490">
        <v>0</v>
      </c>
      <c r="W7490">
        <v>1</v>
      </c>
      <c r="X7490">
        <v>0</v>
      </c>
      <c r="Y7490">
        <v>1</v>
      </c>
      <c r="Z7490">
        <v>0</v>
      </c>
      <c r="AA7490">
        <v>0</v>
      </c>
      <c r="AB7490">
        <v>1</v>
      </c>
      <c r="AC7490">
        <v>0</v>
      </c>
      <c r="AD7490">
        <v>1</v>
      </c>
      <c r="AE7490">
        <v>1</v>
      </c>
      <c r="AF7490">
        <v>1</v>
      </c>
      <c r="AG7490">
        <v>1</v>
      </c>
      <c r="AH7490">
        <v>1</v>
      </c>
      <c r="AI7490">
        <v>1</v>
      </c>
      <c r="AJ7490">
        <v>1</v>
      </c>
      <c r="AK7490">
        <v>1</v>
      </c>
      <c r="AL7490">
        <v>1</v>
      </c>
      <c r="AM7490">
        <v>1</v>
      </c>
    </row>
    <row r="7491" spans="1:39" x14ac:dyDescent="0.2">
      <c r="A7491" t="str">
        <f>"7487"</f>
        <v>7487</v>
      </c>
      <c r="B7491" t="str">
        <f t="shared" si="416"/>
        <v>1</v>
      </c>
      <c r="C7491" t="str">
        <f t="shared" si="417"/>
        <v>150</v>
      </c>
      <c r="D7491" t="str">
        <f>"2"</f>
        <v>2</v>
      </c>
      <c r="E7491" t="str">
        <f>"1-150-2"</f>
        <v>1-150-2</v>
      </c>
      <c r="F7491" t="s">
        <v>65</v>
      </c>
      <c r="G7491" t="s">
        <v>66</v>
      </c>
      <c r="H7491" t="s">
        <v>67</v>
      </c>
      <c r="S7491">
        <v>0</v>
      </c>
      <c r="T7491">
        <v>1</v>
      </c>
      <c r="U7491">
        <v>0</v>
      </c>
      <c r="V7491">
        <v>0</v>
      </c>
      <c r="W7491">
        <v>0</v>
      </c>
      <c r="X7491">
        <v>1</v>
      </c>
      <c r="Y7491">
        <v>1</v>
      </c>
      <c r="Z7491">
        <v>0</v>
      </c>
      <c r="AA7491">
        <v>0</v>
      </c>
      <c r="AB7491">
        <v>1</v>
      </c>
      <c r="AC7491">
        <v>0</v>
      </c>
      <c r="AD7491">
        <v>1</v>
      </c>
      <c r="AE7491">
        <v>1</v>
      </c>
      <c r="AF7491">
        <v>1</v>
      </c>
      <c r="AG7491">
        <v>1</v>
      </c>
      <c r="AH7491">
        <v>1</v>
      </c>
      <c r="AI7491">
        <v>1</v>
      </c>
      <c r="AJ7491">
        <v>1</v>
      </c>
      <c r="AK7491">
        <v>1</v>
      </c>
      <c r="AL7491">
        <v>1</v>
      </c>
      <c r="AM7491">
        <v>1</v>
      </c>
    </row>
    <row r="7492" spans="1:39" x14ac:dyDescent="0.2">
      <c r="A7492" t="str">
        <f>"7488"</f>
        <v>7488</v>
      </c>
      <c r="B7492" t="str">
        <f t="shared" si="416"/>
        <v>1</v>
      </c>
      <c r="C7492" t="str">
        <f t="shared" si="417"/>
        <v>150</v>
      </c>
      <c r="D7492" t="str">
        <f>"49"</f>
        <v>49</v>
      </c>
      <c r="E7492" t="str">
        <f>"1-150-49"</f>
        <v>1-150-49</v>
      </c>
      <c r="F7492" t="s">
        <v>65</v>
      </c>
      <c r="G7492" t="s">
        <v>66</v>
      </c>
      <c r="H7492" t="s">
        <v>67</v>
      </c>
      <c r="S7492">
        <v>1</v>
      </c>
      <c r="T7492">
        <v>0</v>
      </c>
      <c r="U7492">
        <v>0</v>
      </c>
      <c r="V7492">
        <v>0</v>
      </c>
      <c r="W7492">
        <v>1</v>
      </c>
      <c r="X7492">
        <v>0</v>
      </c>
      <c r="Y7492">
        <v>1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1</v>
      </c>
      <c r="AM7492">
        <v>0</v>
      </c>
    </row>
    <row r="7493" spans="1:39" x14ac:dyDescent="0.2">
      <c r="A7493" t="str">
        <f>"7489"</f>
        <v>7489</v>
      </c>
      <c r="B7493" t="str">
        <f t="shared" si="416"/>
        <v>1</v>
      </c>
      <c r="C7493" t="str">
        <f t="shared" si="417"/>
        <v>150</v>
      </c>
      <c r="D7493" t="str">
        <f>"28"</f>
        <v>28</v>
      </c>
      <c r="E7493" t="str">
        <f>"1-150-28"</f>
        <v>1-150-28</v>
      </c>
      <c r="F7493" t="s">
        <v>65</v>
      </c>
      <c r="G7493" t="s">
        <v>66</v>
      </c>
      <c r="H7493" t="s">
        <v>67</v>
      </c>
      <c r="S7493">
        <v>1</v>
      </c>
      <c r="T7493">
        <v>0</v>
      </c>
      <c r="U7493">
        <v>0</v>
      </c>
      <c r="V7493">
        <v>0</v>
      </c>
      <c r="W7493">
        <v>1</v>
      </c>
      <c r="X7493">
        <v>0</v>
      </c>
      <c r="Y7493">
        <v>1</v>
      </c>
      <c r="Z7493">
        <v>0</v>
      </c>
      <c r="AA7493">
        <v>0</v>
      </c>
      <c r="AB7493">
        <v>1</v>
      </c>
      <c r="AC7493">
        <v>0</v>
      </c>
      <c r="AD7493">
        <v>1</v>
      </c>
      <c r="AE7493">
        <v>1</v>
      </c>
      <c r="AF7493">
        <v>1</v>
      </c>
      <c r="AG7493">
        <v>1</v>
      </c>
      <c r="AH7493">
        <v>1</v>
      </c>
      <c r="AI7493">
        <v>1</v>
      </c>
      <c r="AJ7493">
        <v>1</v>
      </c>
      <c r="AK7493">
        <v>1</v>
      </c>
      <c r="AL7493">
        <v>1</v>
      </c>
      <c r="AM7493">
        <v>1</v>
      </c>
    </row>
    <row r="7494" spans="1:39" x14ac:dyDescent="0.2">
      <c r="A7494" t="str">
        <f>"7490"</f>
        <v>7490</v>
      </c>
      <c r="B7494" t="str">
        <f t="shared" si="416"/>
        <v>1</v>
      </c>
      <c r="C7494" t="str">
        <f t="shared" si="417"/>
        <v>150</v>
      </c>
      <c r="D7494" t="str">
        <f>"7"</f>
        <v>7</v>
      </c>
      <c r="E7494" t="str">
        <f>"1-150-7"</f>
        <v>1-150-7</v>
      </c>
      <c r="F7494" t="s">
        <v>65</v>
      </c>
      <c r="G7494" t="s">
        <v>66</v>
      </c>
      <c r="H7494" t="s">
        <v>67</v>
      </c>
      <c r="S7494">
        <v>0</v>
      </c>
      <c r="T7494">
        <v>1</v>
      </c>
      <c r="U7494">
        <v>0</v>
      </c>
      <c r="V7494">
        <v>0</v>
      </c>
      <c r="W7494">
        <v>1</v>
      </c>
      <c r="X7494">
        <v>0</v>
      </c>
      <c r="Y7494">
        <v>0</v>
      </c>
      <c r="Z7494">
        <v>0</v>
      </c>
      <c r="AA7494">
        <v>1</v>
      </c>
      <c r="AB7494">
        <v>0</v>
      </c>
      <c r="AC7494">
        <v>0</v>
      </c>
      <c r="AD7494">
        <v>1</v>
      </c>
      <c r="AE7494">
        <v>1</v>
      </c>
      <c r="AF7494">
        <v>1</v>
      </c>
      <c r="AG7494">
        <v>1</v>
      </c>
      <c r="AH7494">
        <v>1</v>
      </c>
      <c r="AI7494">
        <v>1</v>
      </c>
      <c r="AJ7494">
        <v>1</v>
      </c>
      <c r="AK7494">
        <v>1</v>
      </c>
      <c r="AL7494">
        <v>1</v>
      </c>
      <c r="AM7494">
        <v>1</v>
      </c>
    </row>
    <row r="7495" spans="1:39" x14ac:dyDescent="0.2">
      <c r="A7495" t="str">
        <f>"7491"</f>
        <v>7491</v>
      </c>
      <c r="B7495" t="str">
        <f t="shared" si="416"/>
        <v>1</v>
      </c>
      <c r="C7495" t="str">
        <f t="shared" si="417"/>
        <v>150</v>
      </c>
      <c r="D7495" t="str">
        <f>"46"</f>
        <v>46</v>
      </c>
      <c r="E7495" t="str">
        <f>"1-150-46"</f>
        <v>1-150-46</v>
      </c>
      <c r="F7495" t="s">
        <v>65</v>
      </c>
      <c r="G7495" t="s">
        <v>66</v>
      </c>
      <c r="H7495" t="s">
        <v>67</v>
      </c>
      <c r="S7495">
        <v>0</v>
      </c>
      <c r="T7495">
        <v>1</v>
      </c>
      <c r="U7495">
        <v>0</v>
      </c>
      <c r="V7495">
        <v>0</v>
      </c>
      <c r="W7495">
        <v>1</v>
      </c>
      <c r="X7495">
        <v>0</v>
      </c>
      <c r="Y7495">
        <v>0</v>
      </c>
      <c r="Z7495">
        <v>1</v>
      </c>
      <c r="AA7495">
        <v>1</v>
      </c>
      <c r="AB7495">
        <v>0</v>
      </c>
      <c r="AC7495">
        <v>0</v>
      </c>
      <c r="AD7495">
        <v>1</v>
      </c>
      <c r="AE7495">
        <v>1</v>
      </c>
      <c r="AF7495">
        <v>1</v>
      </c>
      <c r="AG7495">
        <v>1</v>
      </c>
      <c r="AH7495">
        <v>1</v>
      </c>
      <c r="AI7495">
        <v>1</v>
      </c>
      <c r="AJ7495">
        <v>1</v>
      </c>
      <c r="AK7495">
        <v>1</v>
      </c>
      <c r="AL7495">
        <v>1</v>
      </c>
      <c r="AM7495">
        <v>1</v>
      </c>
    </row>
    <row r="7496" spans="1:39" x14ac:dyDescent="0.2">
      <c r="A7496" t="str">
        <f>"7492"</f>
        <v>7492</v>
      </c>
      <c r="B7496" t="str">
        <f t="shared" si="416"/>
        <v>1</v>
      </c>
      <c r="C7496" t="str">
        <f t="shared" si="417"/>
        <v>150</v>
      </c>
      <c r="D7496" t="str">
        <f>"29"</f>
        <v>29</v>
      </c>
      <c r="E7496" t="str">
        <f>"1-150-29"</f>
        <v>1-150-29</v>
      </c>
      <c r="F7496" t="s">
        <v>65</v>
      </c>
      <c r="G7496" t="s">
        <v>66</v>
      </c>
      <c r="H7496" t="s">
        <v>67</v>
      </c>
      <c r="S7496">
        <v>1</v>
      </c>
      <c r="T7496">
        <v>0</v>
      </c>
      <c r="U7496">
        <v>0</v>
      </c>
      <c r="V7496">
        <v>0</v>
      </c>
      <c r="W7496">
        <v>1</v>
      </c>
      <c r="X7496">
        <v>0</v>
      </c>
      <c r="Y7496">
        <v>1</v>
      </c>
      <c r="Z7496">
        <v>0</v>
      </c>
      <c r="AA7496">
        <v>0</v>
      </c>
      <c r="AB7496">
        <v>1</v>
      </c>
      <c r="AC7496">
        <v>0</v>
      </c>
      <c r="AD7496">
        <v>1</v>
      </c>
      <c r="AE7496">
        <v>1</v>
      </c>
      <c r="AF7496">
        <v>1</v>
      </c>
      <c r="AG7496">
        <v>1</v>
      </c>
      <c r="AH7496">
        <v>1</v>
      </c>
      <c r="AI7496">
        <v>1</v>
      </c>
      <c r="AJ7496">
        <v>1</v>
      </c>
      <c r="AK7496">
        <v>1</v>
      </c>
      <c r="AL7496">
        <v>1</v>
      </c>
      <c r="AM7496">
        <v>1</v>
      </c>
    </row>
    <row r="7497" spans="1:39" x14ac:dyDescent="0.2">
      <c r="A7497" t="str">
        <f>"7493"</f>
        <v>7493</v>
      </c>
      <c r="B7497" t="str">
        <f t="shared" si="416"/>
        <v>1</v>
      </c>
      <c r="C7497" t="str">
        <f t="shared" si="417"/>
        <v>150</v>
      </c>
      <c r="D7497" t="str">
        <f>"12"</f>
        <v>12</v>
      </c>
      <c r="E7497" t="str">
        <f>"1-150-12"</f>
        <v>1-150-12</v>
      </c>
      <c r="F7497" t="s">
        <v>65</v>
      </c>
      <c r="G7497" t="s">
        <v>66</v>
      </c>
      <c r="H7497" t="s">
        <v>67</v>
      </c>
      <c r="S7497">
        <v>0</v>
      </c>
      <c r="T7497">
        <v>1</v>
      </c>
      <c r="U7497">
        <v>0</v>
      </c>
      <c r="V7497">
        <v>0</v>
      </c>
      <c r="W7497">
        <v>1</v>
      </c>
      <c r="X7497">
        <v>0</v>
      </c>
      <c r="Y7497">
        <v>0</v>
      </c>
      <c r="Z7497">
        <v>1</v>
      </c>
      <c r="AA7497">
        <v>0</v>
      </c>
      <c r="AB7497">
        <v>1</v>
      </c>
      <c r="AC7497">
        <v>0</v>
      </c>
      <c r="AD7497">
        <v>1</v>
      </c>
      <c r="AE7497">
        <v>1</v>
      </c>
      <c r="AF7497">
        <v>1</v>
      </c>
      <c r="AG7497">
        <v>1</v>
      </c>
      <c r="AH7497">
        <v>1</v>
      </c>
      <c r="AI7497">
        <v>1</v>
      </c>
      <c r="AJ7497">
        <v>1</v>
      </c>
      <c r="AK7497">
        <v>1</v>
      </c>
      <c r="AL7497">
        <v>1</v>
      </c>
      <c r="AM7497">
        <v>1</v>
      </c>
    </row>
    <row r="7498" spans="1:39" x14ac:dyDescent="0.2">
      <c r="A7498" t="str">
        <f>"7494"</f>
        <v>7494</v>
      </c>
      <c r="B7498" t="str">
        <f t="shared" si="416"/>
        <v>1</v>
      </c>
      <c r="C7498" t="str">
        <f t="shared" si="417"/>
        <v>150</v>
      </c>
      <c r="D7498" t="str">
        <f>"47"</f>
        <v>47</v>
      </c>
      <c r="E7498" t="str">
        <f>"1-150-47"</f>
        <v>1-150-47</v>
      </c>
      <c r="F7498" t="s">
        <v>65</v>
      </c>
      <c r="G7498" t="s">
        <v>66</v>
      </c>
      <c r="H7498" t="s">
        <v>67</v>
      </c>
      <c r="S7498">
        <v>0</v>
      </c>
      <c r="T7498">
        <v>1</v>
      </c>
      <c r="U7498">
        <v>0</v>
      </c>
      <c r="V7498">
        <v>0</v>
      </c>
      <c r="W7498">
        <v>1</v>
      </c>
      <c r="X7498">
        <v>0</v>
      </c>
      <c r="Y7498">
        <v>0</v>
      </c>
      <c r="Z7498">
        <v>1</v>
      </c>
      <c r="AA7498">
        <v>0</v>
      </c>
      <c r="AB7498">
        <v>0</v>
      </c>
      <c r="AC7498">
        <v>1</v>
      </c>
      <c r="AD7498">
        <v>1</v>
      </c>
      <c r="AE7498">
        <v>1</v>
      </c>
      <c r="AF7498">
        <v>1</v>
      </c>
      <c r="AG7498">
        <v>1</v>
      </c>
      <c r="AH7498">
        <v>1</v>
      </c>
      <c r="AI7498">
        <v>1</v>
      </c>
      <c r="AJ7498">
        <v>1</v>
      </c>
      <c r="AK7498">
        <v>1</v>
      </c>
      <c r="AL7498">
        <v>1</v>
      </c>
      <c r="AM7498">
        <v>1</v>
      </c>
    </row>
    <row r="7499" spans="1:39" x14ac:dyDescent="0.2">
      <c r="A7499" t="str">
        <f>"7495"</f>
        <v>7495</v>
      </c>
      <c r="B7499" t="str">
        <f t="shared" si="416"/>
        <v>1</v>
      </c>
      <c r="C7499" t="str">
        <f t="shared" si="417"/>
        <v>150</v>
      </c>
      <c r="D7499" t="str">
        <f>"30"</f>
        <v>30</v>
      </c>
      <c r="E7499" t="str">
        <f>"1-150-30"</f>
        <v>1-150-30</v>
      </c>
      <c r="F7499" t="s">
        <v>65</v>
      </c>
      <c r="G7499" t="s">
        <v>66</v>
      </c>
      <c r="H7499" t="s">
        <v>67</v>
      </c>
      <c r="S7499">
        <v>1</v>
      </c>
      <c r="T7499">
        <v>0</v>
      </c>
      <c r="U7499">
        <v>0</v>
      </c>
      <c r="V7499">
        <v>0</v>
      </c>
      <c r="W7499">
        <v>1</v>
      </c>
      <c r="X7499">
        <v>0</v>
      </c>
      <c r="Y7499">
        <v>1</v>
      </c>
      <c r="Z7499">
        <v>0</v>
      </c>
      <c r="AA7499">
        <v>0</v>
      </c>
      <c r="AB7499">
        <v>1</v>
      </c>
      <c r="AC7499">
        <v>0</v>
      </c>
      <c r="AD7499">
        <v>1</v>
      </c>
      <c r="AE7499">
        <v>1</v>
      </c>
      <c r="AF7499">
        <v>1</v>
      </c>
      <c r="AG7499">
        <v>1</v>
      </c>
      <c r="AH7499">
        <v>1</v>
      </c>
      <c r="AI7499">
        <v>1</v>
      </c>
      <c r="AJ7499">
        <v>1</v>
      </c>
      <c r="AK7499">
        <v>1</v>
      </c>
      <c r="AL7499">
        <v>1</v>
      </c>
      <c r="AM7499">
        <v>1</v>
      </c>
    </row>
    <row r="7500" spans="1:39" x14ac:dyDescent="0.2">
      <c r="A7500" t="str">
        <f>"7496"</f>
        <v>7496</v>
      </c>
      <c r="B7500" t="str">
        <f t="shared" si="416"/>
        <v>1</v>
      </c>
      <c r="C7500" t="str">
        <f t="shared" si="417"/>
        <v>150</v>
      </c>
      <c r="D7500" t="str">
        <f>"13"</f>
        <v>13</v>
      </c>
      <c r="E7500" t="str">
        <f>"1-150-13"</f>
        <v>1-150-13</v>
      </c>
      <c r="F7500" t="s">
        <v>65</v>
      </c>
      <c r="G7500" t="s">
        <v>66</v>
      </c>
      <c r="H7500" t="s">
        <v>67</v>
      </c>
      <c r="S7500">
        <v>1</v>
      </c>
      <c r="T7500">
        <v>0</v>
      </c>
      <c r="U7500">
        <v>0</v>
      </c>
      <c r="V7500">
        <v>0</v>
      </c>
      <c r="W7500">
        <v>1</v>
      </c>
      <c r="X7500">
        <v>0</v>
      </c>
      <c r="Y7500">
        <v>0</v>
      </c>
      <c r="Z7500">
        <v>1</v>
      </c>
      <c r="AA7500">
        <v>0</v>
      </c>
      <c r="AB7500">
        <v>0</v>
      </c>
      <c r="AC7500">
        <v>1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1</v>
      </c>
      <c r="AJ7500">
        <v>0</v>
      </c>
      <c r="AK7500">
        <v>0</v>
      </c>
      <c r="AL7500">
        <v>0</v>
      </c>
      <c r="AM7500">
        <v>0</v>
      </c>
    </row>
    <row r="7501" spans="1:39" x14ac:dyDescent="0.2">
      <c r="A7501" t="str">
        <f>"7497"</f>
        <v>7497</v>
      </c>
      <c r="B7501" t="str">
        <f t="shared" si="416"/>
        <v>1</v>
      </c>
      <c r="C7501" t="str">
        <f t="shared" si="417"/>
        <v>150</v>
      </c>
      <c r="D7501" t="str">
        <f>"50"</f>
        <v>50</v>
      </c>
      <c r="E7501" t="str">
        <f>"1-150-50"</f>
        <v>1-150-50</v>
      </c>
      <c r="F7501" t="s">
        <v>65</v>
      </c>
      <c r="G7501" t="s">
        <v>66</v>
      </c>
      <c r="H7501" t="s">
        <v>67</v>
      </c>
      <c r="S7501">
        <v>1</v>
      </c>
      <c r="T7501">
        <v>0</v>
      </c>
      <c r="U7501">
        <v>0</v>
      </c>
      <c r="V7501">
        <v>0</v>
      </c>
      <c r="W7501">
        <v>1</v>
      </c>
      <c r="X7501">
        <v>0</v>
      </c>
      <c r="Y7501">
        <v>1</v>
      </c>
      <c r="Z7501">
        <v>0</v>
      </c>
      <c r="AA7501">
        <v>1</v>
      </c>
      <c r="AB7501">
        <v>0</v>
      </c>
      <c r="AC7501">
        <v>0</v>
      </c>
      <c r="AD7501">
        <v>1</v>
      </c>
      <c r="AE7501">
        <v>1</v>
      </c>
      <c r="AF7501">
        <v>1</v>
      </c>
      <c r="AG7501">
        <v>1</v>
      </c>
      <c r="AH7501">
        <v>1</v>
      </c>
      <c r="AI7501">
        <v>0</v>
      </c>
      <c r="AJ7501">
        <v>1</v>
      </c>
      <c r="AK7501">
        <v>1</v>
      </c>
      <c r="AL7501">
        <v>1</v>
      </c>
      <c r="AM7501">
        <v>1</v>
      </c>
    </row>
    <row r="7502" spans="1:39" x14ac:dyDescent="0.2">
      <c r="A7502" t="str">
        <f>"7498"</f>
        <v>7498</v>
      </c>
      <c r="B7502" t="str">
        <f t="shared" si="416"/>
        <v>1</v>
      </c>
      <c r="C7502" t="str">
        <f t="shared" si="417"/>
        <v>150</v>
      </c>
      <c r="D7502" t="str">
        <f>"32"</f>
        <v>32</v>
      </c>
      <c r="E7502" t="str">
        <f>"1-150-32"</f>
        <v>1-150-32</v>
      </c>
      <c r="F7502" t="s">
        <v>65</v>
      </c>
      <c r="G7502" t="s">
        <v>66</v>
      </c>
      <c r="H7502" t="s">
        <v>67</v>
      </c>
      <c r="S7502">
        <v>0</v>
      </c>
      <c r="T7502">
        <v>1</v>
      </c>
      <c r="U7502">
        <v>0</v>
      </c>
      <c r="V7502">
        <v>0</v>
      </c>
      <c r="W7502">
        <v>0</v>
      </c>
      <c r="X7502">
        <v>1</v>
      </c>
      <c r="Y7502">
        <v>0</v>
      </c>
      <c r="Z7502">
        <v>1</v>
      </c>
      <c r="AA7502">
        <v>1</v>
      </c>
      <c r="AB7502">
        <v>0</v>
      </c>
      <c r="AC7502">
        <v>0</v>
      </c>
      <c r="AD7502">
        <v>1</v>
      </c>
      <c r="AE7502">
        <v>1</v>
      </c>
      <c r="AF7502">
        <v>1</v>
      </c>
      <c r="AG7502">
        <v>1</v>
      </c>
      <c r="AH7502">
        <v>1</v>
      </c>
      <c r="AI7502">
        <v>1</v>
      </c>
      <c r="AJ7502">
        <v>1</v>
      </c>
      <c r="AK7502">
        <v>1</v>
      </c>
      <c r="AL7502">
        <v>1</v>
      </c>
      <c r="AM7502">
        <v>1</v>
      </c>
    </row>
    <row r="7503" spans="1:39" x14ac:dyDescent="0.2">
      <c r="A7503" t="str">
        <f>"7499"</f>
        <v>7499</v>
      </c>
      <c r="B7503" t="str">
        <f t="shared" si="416"/>
        <v>1</v>
      </c>
      <c r="C7503" t="str">
        <f t="shared" si="417"/>
        <v>150</v>
      </c>
      <c r="D7503" t="str">
        <f>"8"</f>
        <v>8</v>
      </c>
      <c r="E7503" t="str">
        <f>"1-150-8"</f>
        <v>1-150-8</v>
      </c>
      <c r="F7503" t="s">
        <v>65</v>
      </c>
      <c r="G7503" t="s">
        <v>66</v>
      </c>
      <c r="H7503" t="s">
        <v>67</v>
      </c>
      <c r="S7503">
        <v>0</v>
      </c>
      <c r="T7503">
        <v>1</v>
      </c>
      <c r="U7503">
        <v>0</v>
      </c>
      <c r="V7503">
        <v>0</v>
      </c>
      <c r="W7503">
        <v>0</v>
      </c>
      <c r="X7503">
        <v>1</v>
      </c>
      <c r="Y7503">
        <v>0</v>
      </c>
      <c r="Z7503">
        <v>1</v>
      </c>
      <c r="AA7503">
        <v>0</v>
      </c>
      <c r="AB7503">
        <v>0</v>
      </c>
      <c r="AC7503">
        <v>1</v>
      </c>
      <c r="AD7503">
        <v>1</v>
      </c>
      <c r="AE7503">
        <v>1</v>
      </c>
      <c r="AF7503">
        <v>1</v>
      </c>
      <c r="AG7503">
        <v>1</v>
      </c>
      <c r="AH7503">
        <v>1</v>
      </c>
      <c r="AI7503">
        <v>1</v>
      </c>
      <c r="AJ7503">
        <v>1</v>
      </c>
      <c r="AK7503">
        <v>1</v>
      </c>
      <c r="AL7503">
        <v>1</v>
      </c>
      <c r="AM7503">
        <v>1</v>
      </c>
    </row>
    <row r="7504" spans="1:39" x14ac:dyDescent="0.2">
      <c r="A7504" t="str">
        <f>"7500"</f>
        <v>7500</v>
      </c>
      <c r="B7504" t="str">
        <f t="shared" si="416"/>
        <v>1</v>
      </c>
      <c r="C7504" t="str">
        <f t="shared" si="417"/>
        <v>150</v>
      </c>
      <c r="D7504" t="str">
        <f>"3"</f>
        <v>3</v>
      </c>
      <c r="E7504" t="str">
        <f>"1-150-3"</f>
        <v>1-150-3</v>
      </c>
      <c r="F7504" t="s">
        <v>65</v>
      </c>
      <c r="G7504" t="s">
        <v>66</v>
      </c>
      <c r="H7504" t="s">
        <v>67</v>
      </c>
      <c r="S7504">
        <v>1</v>
      </c>
      <c r="T7504">
        <v>0</v>
      </c>
      <c r="U7504">
        <v>0</v>
      </c>
      <c r="V7504">
        <v>0</v>
      </c>
      <c r="W7504">
        <v>1</v>
      </c>
      <c r="X7504">
        <v>0</v>
      </c>
      <c r="Y7504">
        <v>1</v>
      </c>
      <c r="Z7504">
        <v>0</v>
      </c>
      <c r="AA7504">
        <v>1</v>
      </c>
      <c r="AB7504">
        <v>0</v>
      </c>
      <c r="AC7504">
        <v>0</v>
      </c>
      <c r="AD7504">
        <v>1</v>
      </c>
      <c r="AE7504">
        <v>1</v>
      </c>
      <c r="AF7504">
        <v>1</v>
      </c>
      <c r="AG7504">
        <v>1</v>
      </c>
      <c r="AH7504">
        <v>0</v>
      </c>
      <c r="AI7504">
        <v>1</v>
      </c>
      <c r="AJ7504">
        <v>1</v>
      </c>
      <c r="AK7504">
        <v>1</v>
      </c>
      <c r="AL7504">
        <v>1</v>
      </c>
      <c r="AM7504">
        <v>1</v>
      </c>
    </row>
    <row r="7505" spans="1:39" x14ac:dyDescent="0.2">
      <c r="A7505" t="str">
        <f>"7501"</f>
        <v>7501</v>
      </c>
      <c r="B7505" t="str">
        <f t="shared" si="416"/>
        <v>1</v>
      </c>
      <c r="C7505" t="str">
        <f t="shared" ref="C7505:C7536" si="418">"151"</f>
        <v>151</v>
      </c>
      <c r="D7505" t="str">
        <f>"34"</f>
        <v>34</v>
      </c>
      <c r="E7505" t="str">
        <f>"1-151-34"</f>
        <v>1-151-34</v>
      </c>
      <c r="F7505" t="s">
        <v>65</v>
      </c>
      <c r="G7505" t="s">
        <v>66</v>
      </c>
      <c r="H7505" t="s">
        <v>67</v>
      </c>
      <c r="S7505">
        <v>1</v>
      </c>
      <c r="T7505">
        <v>0</v>
      </c>
      <c r="U7505">
        <v>0</v>
      </c>
      <c r="V7505">
        <v>0</v>
      </c>
      <c r="W7505">
        <v>1</v>
      </c>
      <c r="X7505">
        <v>0</v>
      </c>
      <c r="Y7505">
        <v>1</v>
      </c>
      <c r="Z7505">
        <v>0</v>
      </c>
      <c r="AA7505">
        <v>0</v>
      </c>
      <c r="AB7505">
        <v>1</v>
      </c>
      <c r="AC7505">
        <v>0</v>
      </c>
      <c r="AD7505">
        <v>1</v>
      </c>
      <c r="AE7505">
        <v>1</v>
      </c>
      <c r="AF7505">
        <v>1</v>
      </c>
      <c r="AG7505">
        <v>1</v>
      </c>
      <c r="AH7505">
        <v>1</v>
      </c>
      <c r="AI7505">
        <v>0</v>
      </c>
      <c r="AJ7505">
        <v>1</v>
      </c>
      <c r="AK7505">
        <v>1</v>
      </c>
      <c r="AL7505">
        <v>1</v>
      </c>
      <c r="AM7505">
        <v>1</v>
      </c>
    </row>
    <row r="7506" spans="1:39" x14ac:dyDescent="0.2">
      <c r="A7506" t="str">
        <f>"7502"</f>
        <v>7502</v>
      </c>
      <c r="B7506" t="str">
        <f t="shared" si="416"/>
        <v>1</v>
      </c>
      <c r="C7506" t="str">
        <f t="shared" si="418"/>
        <v>151</v>
      </c>
      <c r="D7506" t="str">
        <f>"33"</f>
        <v>33</v>
      </c>
      <c r="E7506" t="str">
        <f>"1-151-33"</f>
        <v>1-151-33</v>
      </c>
      <c r="F7506" t="s">
        <v>65</v>
      </c>
      <c r="G7506" t="s">
        <v>66</v>
      </c>
      <c r="H7506" t="s">
        <v>67</v>
      </c>
      <c r="S7506">
        <v>1</v>
      </c>
      <c r="T7506">
        <v>0</v>
      </c>
      <c r="U7506">
        <v>0</v>
      </c>
      <c r="V7506">
        <v>0</v>
      </c>
      <c r="W7506">
        <v>1</v>
      </c>
      <c r="X7506">
        <v>0</v>
      </c>
      <c r="Y7506">
        <v>1</v>
      </c>
      <c r="Z7506">
        <v>0</v>
      </c>
      <c r="AA7506">
        <v>1</v>
      </c>
      <c r="AB7506">
        <v>0</v>
      </c>
      <c r="AC7506">
        <v>0</v>
      </c>
      <c r="AD7506">
        <v>1</v>
      </c>
      <c r="AE7506">
        <v>1</v>
      </c>
      <c r="AF7506">
        <v>1</v>
      </c>
      <c r="AG7506">
        <v>1</v>
      </c>
      <c r="AH7506">
        <v>1</v>
      </c>
      <c r="AI7506">
        <v>1</v>
      </c>
      <c r="AJ7506">
        <v>1</v>
      </c>
      <c r="AK7506">
        <v>1</v>
      </c>
      <c r="AL7506">
        <v>1</v>
      </c>
      <c r="AM7506">
        <v>1</v>
      </c>
    </row>
    <row r="7507" spans="1:39" x14ac:dyDescent="0.2">
      <c r="A7507" t="str">
        <f>"7503"</f>
        <v>7503</v>
      </c>
      <c r="B7507" t="str">
        <f t="shared" si="416"/>
        <v>1</v>
      </c>
      <c r="C7507" t="str">
        <f t="shared" si="418"/>
        <v>151</v>
      </c>
      <c r="D7507" t="str">
        <f>"19"</f>
        <v>19</v>
      </c>
      <c r="E7507" t="str">
        <f>"1-151-19"</f>
        <v>1-151-19</v>
      </c>
      <c r="F7507" t="s">
        <v>65</v>
      </c>
      <c r="G7507" t="s">
        <v>66</v>
      </c>
      <c r="H7507" t="s">
        <v>67</v>
      </c>
      <c r="S7507">
        <v>1</v>
      </c>
      <c r="T7507">
        <v>0</v>
      </c>
      <c r="U7507">
        <v>0</v>
      </c>
      <c r="V7507">
        <v>0</v>
      </c>
      <c r="W7507">
        <v>1</v>
      </c>
      <c r="X7507">
        <v>0</v>
      </c>
      <c r="Y7507">
        <v>1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</row>
    <row r="7508" spans="1:39" x14ac:dyDescent="0.2">
      <c r="A7508" t="str">
        <f>"7504"</f>
        <v>7504</v>
      </c>
      <c r="B7508" t="str">
        <f t="shared" si="416"/>
        <v>1</v>
      </c>
      <c r="C7508" t="str">
        <f t="shared" si="418"/>
        <v>151</v>
      </c>
      <c r="D7508" t="str">
        <f>"18"</f>
        <v>18</v>
      </c>
      <c r="E7508" t="str">
        <f>"1-151-18"</f>
        <v>1-151-18</v>
      </c>
      <c r="F7508" t="s">
        <v>65</v>
      </c>
      <c r="G7508" t="s">
        <v>66</v>
      </c>
      <c r="H7508" t="s">
        <v>67</v>
      </c>
      <c r="S7508">
        <v>0</v>
      </c>
      <c r="T7508">
        <v>1</v>
      </c>
      <c r="U7508">
        <v>0</v>
      </c>
      <c r="V7508">
        <v>0</v>
      </c>
      <c r="W7508">
        <v>0</v>
      </c>
      <c r="X7508">
        <v>1</v>
      </c>
      <c r="Y7508">
        <v>1</v>
      </c>
      <c r="Z7508">
        <v>0</v>
      </c>
      <c r="AA7508">
        <v>1</v>
      </c>
      <c r="AB7508">
        <v>0</v>
      </c>
      <c r="AC7508">
        <v>0</v>
      </c>
      <c r="AD7508">
        <v>1</v>
      </c>
      <c r="AE7508">
        <v>1</v>
      </c>
      <c r="AF7508">
        <v>1</v>
      </c>
      <c r="AG7508">
        <v>1</v>
      </c>
      <c r="AH7508">
        <v>1</v>
      </c>
      <c r="AI7508">
        <v>1</v>
      </c>
      <c r="AJ7508">
        <v>1</v>
      </c>
      <c r="AK7508">
        <v>1</v>
      </c>
      <c r="AL7508">
        <v>1</v>
      </c>
      <c r="AM7508">
        <v>1</v>
      </c>
    </row>
    <row r="7509" spans="1:39" x14ac:dyDescent="0.2">
      <c r="A7509" t="str">
        <f>"7505"</f>
        <v>7505</v>
      </c>
      <c r="B7509" t="str">
        <f t="shared" si="416"/>
        <v>1</v>
      </c>
      <c r="C7509" t="str">
        <f t="shared" si="418"/>
        <v>151</v>
      </c>
      <c r="D7509" t="str">
        <f>"17"</f>
        <v>17</v>
      </c>
      <c r="E7509" t="str">
        <f>"1-151-17"</f>
        <v>1-151-17</v>
      </c>
      <c r="F7509" t="s">
        <v>65</v>
      </c>
      <c r="G7509" t="s">
        <v>66</v>
      </c>
      <c r="H7509" t="s">
        <v>67</v>
      </c>
      <c r="S7509">
        <v>0</v>
      </c>
      <c r="T7509">
        <v>1</v>
      </c>
      <c r="U7509">
        <v>0</v>
      </c>
      <c r="V7509">
        <v>0</v>
      </c>
      <c r="W7509">
        <v>1</v>
      </c>
      <c r="X7509">
        <v>0</v>
      </c>
      <c r="Y7509">
        <v>1</v>
      </c>
      <c r="Z7509">
        <v>0</v>
      </c>
      <c r="AA7509">
        <v>0</v>
      </c>
      <c r="AB7509">
        <v>1</v>
      </c>
      <c r="AC7509">
        <v>0</v>
      </c>
      <c r="AD7509">
        <v>1</v>
      </c>
      <c r="AE7509">
        <v>1</v>
      </c>
      <c r="AF7509">
        <v>1</v>
      </c>
      <c r="AG7509">
        <v>1</v>
      </c>
      <c r="AH7509">
        <v>1</v>
      </c>
      <c r="AI7509">
        <v>1</v>
      </c>
      <c r="AJ7509">
        <v>1</v>
      </c>
      <c r="AK7509">
        <v>1</v>
      </c>
      <c r="AL7509">
        <v>1</v>
      </c>
      <c r="AM7509">
        <v>0</v>
      </c>
    </row>
    <row r="7510" spans="1:39" x14ac:dyDescent="0.2">
      <c r="A7510" t="str">
        <f>"7506"</f>
        <v>7506</v>
      </c>
      <c r="B7510" t="str">
        <f t="shared" si="416"/>
        <v>1</v>
      </c>
      <c r="C7510" t="str">
        <f t="shared" si="418"/>
        <v>151</v>
      </c>
      <c r="D7510" t="str">
        <f>"1"</f>
        <v>1</v>
      </c>
      <c r="E7510" t="str">
        <f>"1-151-1"</f>
        <v>1-151-1</v>
      </c>
      <c r="F7510" t="s">
        <v>65</v>
      </c>
      <c r="G7510" t="s">
        <v>66</v>
      </c>
      <c r="H7510" t="s">
        <v>67</v>
      </c>
      <c r="S7510">
        <v>1</v>
      </c>
      <c r="T7510">
        <v>0</v>
      </c>
      <c r="U7510">
        <v>0</v>
      </c>
      <c r="V7510">
        <v>0</v>
      </c>
      <c r="W7510">
        <v>1</v>
      </c>
      <c r="X7510">
        <v>0</v>
      </c>
      <c r="Y7510">
        <v>1</v>
      </c>
      <c r="Z7510">
        <v>0</v>
      </c>
      <c r="AA7510">
        <v>1</v>
      </c>
      <c r="AB7510">
        <v>0</v>
      </c>
      <c r="AC7510">
        <v>0</v>
      </c>
      <c r="AD7510">
        <v>1</v>
      </c>
      <c r="AE7510">
        <v>1</v>
      </c>
      <c r="AF7510">
        <v>1</v>
      </c>
      <c r="AG7510">
        <v>1</v>
      </c>
      <c r="AH7510">
        <v>1</v>
      </c>
      <c r="AI7510">
        <v>1</v>
      </c>
      <c r="AJ7510">
        <v>1</v>
      </c>
      <c r="AK7510">
        <v>1</v>
      </c>
      <c r="AL7510">
        <v>1</v>
      </c>
      <c r="AM7510">
        <v>0</v>
      </c>
    </row>
    <row r="7511" spans="1:39" x14ac:dyDescent="0.2">
      <c r="A7511" t="str">
        <f>"7507"</f>
        <v>7507</v>
      </c>
      <c r="B7511" t="str">
        <f t="shared" si="416"/>
        <v>1</v>
      </c>
      <c r="C7511" t="str">
        <f t="shared" si="418"/>
        <v>151</v>
      </c>
      <c r="D7511" t="str">
        <f>"36"</f>
        <v>36</v>
      </c>
      <c r="E7511" t="str">
        <f>"1-151-36"</f>
        <v>1-151-36</v>
      </c>
      <c r="F7511" t="s">
        <v>65</v>
      </c>
      <c r="G7511" t="s">
        <v>66</v>
      </c>
      <c r="H7511" t="s">
        <v>67</v>
      </c>
      <c r="S7511">
        <v>0</v>
      </c>
      <c r="T7511">
        <v>1</v>
      </c>
      <c r="U7511">
        <v>0</v>
      </c>
      <c r="V7511">
        <v>0</v>
      </c>
      <c r="W7511">
        <v>1</v>
      </c>
      <c r="X7511">
        <v>0</v>
      </c>
      <c r="Y7511">
        <v>0</v>
      </c>
      <c r="Z7511">
        <v>1</v>
      </c>
      <c r="AA7511">
        <v>0</v>
      </c>
      <c r="AB7511">
        <v>0</v>
      </c>
      <c r="AC7511">
        <v>1</v>
      </c>
      <c r="AD7511">
        <v>1</v>
      </c>
      <c r="AE7511">
        <v>1</v>
      </c>
      <c r="AF7511">
        <v>1</v>
      </c>
      <c r="AG7511">
        <v>1</v>
      </c>
      <c r="AH7511">
        <v>1</v>
      </c>
      <c r="AI7511">
        <v>1</v>
      </c>
      <c r="AJ7511">
        <v>1</v>
      </c>
      <c r="AK7511">
        <v>1</v>
      </c>
      <c r="AL7511">
        <v>1</v>
      </c>
      <c r="AM7511">
        <v>1</v>
      </c>
    </row>
    <row r="7512" spans="1:39" x14ac:dyDescent="0.2">
      <c r="A7512" t="str">
        <f>"7508"</f>
        <v>7508</v>
      </c>
      <c r="B7512" t="str">
        <f t="shared" si="416"/>
        <v>1</v>
      </c>
      <c r="C7512" t="str">
        <f t="shared" si="418"/>
        <v>151</v>
      </c>
      <c r="D7512" t="str">
        <f>"35"</f>
        <v>35</v>
      </c>
      <c r="E7512" t="str">
        <f>"1-151-35"</f>
        <v>1-151-35</v>
      </c>
      <c r="F7512" t="s">
        <v>65</v>
      </c>
      <c r="G7512" t="s">
        <v>66</v>
      </c>
      <c r="H7512" t="s">
        <v>67</v>
      </c>
      <c r="S7512">
        <v>1</v>
      </c>
      <c r="T7512">
        <v>0</v>
      </c>
      <c r="U7512">
        <v>0</v>
      </c>
      <c r="V7512">
        <v>0</v>
      </c>
      <c r="W7512">
        <v>1</v>
      </c>
      <c r="X7512">
        <v>0</v>
      </c>
      <c r="Y7512">
        <v>1</v>
      </c>
      <c r="Z7512">
        <v>0</v>
      </c>
      <c r="AA7512">
        <v>0</v>
      </c>
      <c r="AB7512">
        <v>0</v>
      </c>
      <c r="AC7512">
        <v>1</v>
      </c>
      <c r="AD7512">
        <v>1</v>
      </c>
      <c r="AE7512">
        <v>1</v>
      </c>
      <c r="AF7512">
        <v>1</v>
      </c>
      <c r="AG7512">
        <v>1</v>
      </c>
      <c r="AH7512">
        <v>1</v>
      </c>
      <c r="AI7512">
        <v>1</v>
      </c>
      <c r="AJ7512">
        <v>1</v>
      </c>
      <c r="AK7512">
        <v>1</v>
      </c>
      <c r="AL7512">
        <v>1</v>
      </c>
      <c r="AM7512">
        <v>1</v>
      </c>
    </row>
    <row r="7513" spans="1:39" x14ac:dyDescent="0.2">
      <c r="A7513" t="str">
        <f>"7509"</f>
        <v>7509</v>
      </c>
      <c r="B7513" t="str">
        <f t="shared" si="416"/>
        <v>1</v>
      </c>
      <c r="C7513" t="str">
        <f t="shared" si="418"/>
        <v>151</v>
      </c>
      <c r="D7513" t="str">
        <f>"26"</f>
        <v>26</v>
      </c>
      <c r="E7513" t="str">
        <f>"1-151-26"</f>
        <v>1-151-26</v>
      </c>
      <c r="F7513" t="s">
        <v>65</v>
      </c>
      <c r="G7513" t="s">
        <v>66</v>
      </c>
      <c r="H7513" t="s">
        <v>67</v>
      </c>
      <c r="S7513">
        <v>0</v>
      </c>
      <c r="T7513">
        <v>1</v>
      </c>
      <c r="U7513">
        <v>0</v>
      </c>
      <c r="V7513">
        <v>0</v>
      </c>
      <c r="W7513">
        <v>1</v>
      </c>
      <c r="X7513">
        <v>0</v>
      </c>
      <c r="Y7513">
        <v>0</v>
      </c>
      <c r="Z7513">
        <v>1</v>
      </c>
      <c r="AA7513">
        <v>0</v>
      </c>
      <c r="AB7513">
        <v>0</v>
      </c>
      <c r="AC7513">
        <v>1</v>
      </c>
      <c r="AD7513">
        <v>1</v>
      </c>
      <c r="AE7513">
        <v>1</v>
      </c>
      <c r="AF7513">
        <v>1</v>
      </c>
      <c r="AG7513">
        <v>1</v>
      </c>
      <c r="AH7513">
        <v>1</v>
      </c>
      <c r="AI7513">
        <v>1</v>
      </c>
      <c r="AJ7513">
        <v>1</v>
      </c>
      <c r="AK7513">
        <v>1</v>
      </c>
      <c r="AL7513">
        <v>1</v>
      </c>
      <c r="AM7513">
        <v>1</v>
      </c>
    </row>
    <row r="7514" spans="1:39" x14ac:dyDescent="0.2">
      <c r="A7514" t="str">
        <f>"7510"</f>
        <v>7510</v>
      </c>
      <c r="B7514" t="str">
        <f t="shared" si="416"/>
        <v>1</v>
      </c>
      <c r="C7514" t="str">
        <f t="shared" si="418"/>
        <v>151</v>
      </c>
      <c r="D7514" t="str">
        <f>"16"</f>
        <v>16</v>
      </c>
      <c r="E7514" t="str">
        <f>"1-151-16"</f>
        <v>1-151-16</v>
      </c>
      <c r="F7514" t="s">
        <v>65</v>
      </c>
      <c r="G7514" t="s">
        <v>66</v>
      </c>
      <c r="H7514" t="s">
        <v>67</v>
      </c>
      <c r="S7514">
        <v>1</v>
      </c>
      <c r="T7514">
        <v>0</v>
      </c>
      <c r="U7514">
        <v>0</v>
      </c>
      <c r="V7514">
        <v>0</v>
      </c>
      <c r="W7514">
        <v>1</v>
      </c>
      <c r="X7514">
        <v>0</v>
      </c>
      <c r="Y7514">
        <v>0</v>
      </c>
      <c r="Z7514">
        <v>1</v>
      </c>
      <c r="AA7514">
        <v>0</v>
      </c>
      <c r="AB7514">
        <v>1</v>
      </c>
      <c r="AC7514">
        <v>0</v>
      </c>
      <c r="AD7514">
        <v>1</v>
      </c>
      <c r="AE7514">
        <v>1</v>
      </c>
      <c r="AF7514">
        <v>1</v>
      </c>
      <c r="AG7514">
        <v>1</v>
      </c>
      <c r="AH7514">
        <v>1</v>
      </c>
      <c r="AI7514">
        <v>1</v>
      </c>
      <c r="AJ7514">
        <v>1</v>
      </c>
      <c r="AK7514">
        <v>1</v>
      </c>
      <c r="AL7514">
        <v>1</v>
      </c>
      <c r="AM7514">
        <v>1</v>
      </c>
    </row>
    <row r="7515" spans="1:39" x14ac:dyDescent="0.2">
      <c r="A7515" t="str">
        <f>"7511"</f>
        <v>7511</v>
      </c>
      <c r="B7515" t="str">
        <f t="shared" si="416"/>
        <v>1</v>
      </c>
      <c r="C7515" t="str">
        <f t="shared" si="418"/>
        <v>151</v>
      </c>
      <c r="D7515" t="str">
        <f>"7"</f>
        <v>7</v>
      </c>
      <c r="E7515" t="str">
        <f>"1-151-7"</f>
        <v>1-151-7</v>
      </c>
      <c r="F7515" t="s">
        <v>65</v>
      </c>
      <c r="G7515" t="s">
        <v>66</v>
      </c>
      <c r="H7515" t="s">
        <v>67</v>
      </c>
      <c r="S7515">
        <v>1</v>
      </c>
      <c r="T7515">
        <v>0</v>
      </c>
      <c r="U7515">
        <v>0</v>
      </c>
      <c r="V7515">
        <v>0</v>
      </c>
      <c r="W7515">
        <v>0</v>
      </c>
      <c r="X7515">
        <v>1</v>
      </c>
      <c r="Y7515">
        <v>0</v>
      </c>
      <c r="Z7515">
        <v>0</v>
      </c>
      <c r="AA7515">
        <v>0</v>
      </c>
      <c r="AB7515">
        <v>1</v>
      </c>
      <c r="AC7515">
        <v>0</v>
      </c>
      <c r="AD7515">
        <v>0</v>
      </c>
      <c r="AE7515">
        <v>0</v>
      </c>
      <c r="AF7515">
        <v>0</v>
      </c>
      <c r="AG7515">
        <v>1</v>
      </c>
      <c r="AH7515">
        <v>1</v>
      </c>
      <c r="AI7515">
        <v>1</v>
      </c>
      <c r="AJ7515">
        <v>1</v>
      </c>
      <c r="AK7515">
        <v>1</v>
      </c>
      <c r="AL7515">
        <v>1</v>
      </c>
      <c r="AM7515">
        <v>0</v>
      </c>
    </row>
    <row r="7516" spans="1:39" x14ac:dyDescent="0.2">
      <c r="A7516" t="str">
        <f>"7512"</f>
        <v>7512</v>
      </c>
      <c r="B7516" t="str">
        <f t="shared" si="416"/>
        <v>1</v>
      </c>
      <c r="C7516" t="str">
        <f t="shared" si="418"/>
        <v>151</v>
      </c>
      <c r="D7516" t="str">
        <f>"42"</f>
        <v>42</v>
      </c>
      <c r="E7516" t="str">
        <f>"1-151-42"</f>
        <v>1-151-42</v>
      </c>
      <c r="F7516" t="s">
        <v>65</v>
      </c>
      <c r="G7516" t="s">
        <v>66</v>
      </c>
      <c r="H7516" t="s">
        <v>67</v>
      </c>
      <c r="S7516">
        <v>1</v>
      </c>
      <c r="T7516">
        <v>0</v>
      </c>
      <c r="U7516">
        <v>0</v>
      </c>
      <c r="V7516">
        <v>0</v>
      </c>
      <c r="W7516">
        <v>1</v>
      </c>
      <c r="X7516">
        <v>0</v>
      </c>
      <c r="Y7516">
        <v>0</v>
      </c>
      <c r="Z7516">
        <v>1</v>
      </c>
      <c r="AA7516">
        <v>1</v>
      </c>
      <c r="AB7516">
        <v>0</v>
      </c>
      <c r="AC7516">
        <v>0</v>
      </c>
      <c r="AD7516">
        <v>1</v>
      </c>
      <c r="AE7516">
        <v>1</v>
      </c>
      <c r="AF7516">
        <v>1</v>
      </c>
      <c r="AG7516">
        <v>1</v>
      </c>
      <c r="AH7516">
        <v>1</v>
      </c>
      <c r="AI7516">
        <v>1</v>
      </c>
      <c r="AJ7516">
        <v>1</v>
      </c>
      <c r="AK7516">
        <v>1</v>
      </c>
      <c r="AL7516">
        <v>1</v>
      </c>
      <c r="AM7516">
        <v>1</v>
      </c>
    </row>
    <row r="7517" spans="1:39" x14ac:dyDescent="0.2">
      <c r="A7517" t="str">
        <f>"7513"</f>
        <v>7513</v>
      </c>
      <c r="B7517" t="str">
        <f t="shared" si="416"/>
        <v>1</v>
      </c>
      <c r="C7517" t="str">
        <f t="shared" si="418"/>
        <v>151</v>
      </c>
      <c r="D7517" t="str">
        <f>"20"</f>
        <v>20</v>
      </c>
      <c r="E7517" t="str">
        <f>"1-151-20"</f>
        <v>1-151-20</v>
      </c>
      <c r="F7517" t="s">
        <v>65</v>
      </c>
      <c r="G7517" t="s">
        <v>66</v>
      </c>
      <c r="H7517" t="s">
        <v>67</v>
      </c>
      <c r="S7517">
        <v>0</v>
      </c>
      <c r="T7517">
        <v>1</v>
      </c>
      <c r="U7517">
        <v>0</v>
      </c>
      <c r="V7517">
        <v>0</v>
      </c>
      <c r="W7517">
        <v>1</v>
      </c>
      <c r="X7517">
        <v>0</v>
      </c>
      <c r="Y7517">
        <v>1</v>
      </c>
      <c r="Z7517">
        <v>0</v>
      </c>
      <c r="AA7517">
        <v>0</v>
      </c>
      <c r="AB7517">
        <v>1</v>
      </c>
      <c r="AC7517">
        <v>0</v>
      </c>
      <c r="AD7517">
        <v>1</v>
      </c>
      <c r="AE7517">
        <v>1</v>
      </c>
      <c r="AF7517">
        <v>1</v>
      </c>
      <c r="AG7517">
        <v>1</v>
      </c>
      <c r="AH7517">
        <v>1</v>
      </c>
      <c r="AI7517">
        <v>1</v>
      </c>
      <c r="AJ7517">
        <v>1</v>
      </c>
      <c r="AK7517">
        <v>1</v>
      </c>
      <c r="AL7517">
        <v>1</v>
      </c>
      <c r="AM7517">
        <v>1</v>
      </c>
    </row>
    <row r="7518" spans="1:39" x14ac:dyDescent="0.2">
      <c r="A7518" t="str">
        <f>"7514"</f>
        <v>7514</v>
      </c>
      <c r="B7518" t="str">
        <f t="shared" si="416"/>
        <v>1</v>
      </c>
      <c r="C7518" t="str">
        <f t="shared" si="418"/>
        <v>151</v>
      </c>
      <c r="D7518" t="str">
        <f>"3"</f>
        <v>3</v>
      </c>
      <c r="E7518" t="str">
        <f>"1-151-3"</f>
        <v>1-151-3</v>
      </c>
      <c r="F7518" t="s">
        <v>65</v>
      </c>
      <c r="G7518" t="s">
        <v>66</v>
      </c>
      <c r="H7518" t="s">
        <v>67</v>
      </c>
      <c r="S7518">
        <v>1</v>
      </c>
      <c r="T7518">
        <v>0</v>
      </c>
      <c r="U7518">
        <v>0</v>
      </c>
      <c r="V7518">
        <v>0</v>
      </c>
      <c r="W7518">
        <v>1</v>
      </c>
      <c r="X7518">
        <v>0</v>
      </c>
      <c r="Y7518">
        <v>1</v>
      </c>
      <c r="Z7518">
        <v>0</v>
      </c>
      <c r="AA7518">
        <v>0</v>
      </c>
      <c r="AB7518">
        <v>0</v>
      </c>
      <c r="AC7518">
        <v>1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</row>
    <row r="7519" spans="1:39" x14ac:dyDescent="0.2">
      <c r="A7519" t="str">
        <f>"7515"</f>
        <v>7515</v>
      </c>
      <c r="B7519" t="str">
        <f t="shared" si="416"/>
        <v>1</v>
      </c>
      <c r="C7519" t="str">
        <f t="shared" si="418"/>
        <v>151</v>
      </c>
      <c r="D7519" t="str">
        <f>"39"</f>
        <v>39</v>
      </c>
      <c r="E7519" t="str">
        <f>"1-151-39"</f>
        <v>1-151-39</v>
      </c>
      <c r="F7519" t="s">
        <v>65</v>
      </c>
      <c r="G7519" t="s">
        <v>66</v>
      </c>
      <c r="H7519" t="s">
        <v>67</v>
      </c>
      <c r="S7519">
        <v>0</v>
      </c>
      <c r="T7519">
        <v>1</v>
      </c>
      <c r="U7519">
        <v>0</v>
      </c>
      <c r="V7519">
        <v>0</v>
      </c>
      <c r="W7519">
        <v>1</v>
      </c>
      <c r="X7519">
        <v>0</v>
      </c>
      <c r="Y7519">
        <v>0</v>
      </c>
      <c r="Z7519">
        <v>1</v>
      </c>
      <c r="AA7519">
        <v>0</v>
      </c>
      <c r="AB7519">
        <v>0</v>
      </c>
      <c r="AC7519">
        <v>1</v>
      </c>
      <c r="AD7519">
        <v>1</v>
      </c>
      <c r="AE7519">
        <v>1</v>
      </c>
      <c r="AF7519">
        <v>1</v>
      </c>
      <c r="AG7519">
        <v>1</v>
      </c>
      <c r="AH7519">
        <v>1</v>
      </c>
      <c r="AI7519">
        <v>1</v>
      </c>
      <c r="AJ7519">
        <v>1</v>
      </c>
      <c r="AK7519">
        <v>1</v>
      </c>
      <c r="AL7519">
        <v>1</v>
      </c>
      <c r="AM7519">
        <v>1</v>
      </c>
    </row>
    <row r="7520" spans="1:39" x14ac:dyDescent="0.2">
      <c r="A7520" t="str">
        <f>"7516"</f>
        <v>7516</v>
      </c>
      <c r="B7520" t="str">
        <f t="shared" si="416"/>
        <v>1</v>
      </c>
      <c r="C7520" t="str">
        <f t="shared" si="418"/>
        <v>151</v>
      </c>
      <c r="D7520" t="str">
        <f>"21"</f>
        <v>21</v>
      </c>
      <c r="E7520" t="str">
        <f>"1-151-21"</f>
        <v>1-151-21</v>
      </c>
      <c r="F7520" t="s">
        <v>65</v>
      </c>
      <c r="G7520" t="s">
        <v>66</v>
      </c>
      <c r="H7520" t="s">
        <v>67</v>
      </c>
      <c r="S7520">
        <v>1</v>
      </c>
      <c r="T7520">
        <v>0</v>
      </c>
      <c r="U7520">
        <v>0</v>
      </c>
      <c r="V7520">
        <v>0</v>
      </c>
      <c r="W7520">
        <v>1</v>
      </c>
      <c r="X7520">
        <v>0</v>
      </c>
      <c r="Y7520">
        <v>1</v>
      </c>
      <c r="Z7520">
        <v>0</v>
      </c>
      <c r="AA7520">
        <v>1</v>
      </c>
      <c r="AB7520">
        <v>0</v>
      </c>
      <c r="AC7520">
        <v>0</v>
      </c>
      <c r="AD7520">
        <v>1</v>
      </c>
      <c r="AE7520">
        <v>1</v>
      </c>
      <c r="AF7520">
        <v>1</v>
      </c>
      <c r="AG7520">
        <v>1</v>
      </c>
      <c r="AH7520">
        <v>1</v>
      </c>
      <c r="AI7520">
        <v>1</v>
      </c>
      <c r="AJ7520">
        <v>1</v>
      </c>
      <c r="AK7520">
        <v>1</v>
      </c>
      <c r="AL7520">
        <v>1</v>
      </c>
      <c r="AM7520">
        <v>1</v>
      </c>
    </row>
    <row r="7521" spans="1:39" x14ac:dyDescent="0.2">
      <c r="A7521" t="str">
        <f>"7517"</f>
        <v>7517</v>
      </c>
      <c r="B7521" t="str">
        <f t="shared" si="416"/>
        <v>1</v>
      </c>
      <c r="C7521" t="str">
        <f t="shared" si="418"/>
        <v>151</v>
      </c>
      <c r="D7521" t="str">
        <f>"8"</f>
        <v>8</v>
      </c>
      <c r="E7521" t="str">
        <f>"1-151-8"</f>
        <v>1-151-8</v>
      </c>
      <c r="F7521" t="s">
        <v>65</v>
      </c>
      <c r="G7521" t="s">
        <v>66</v>
      </c>
      <c r="H7521" t="s">
        <v>67</v>
      </c>
      <c r="S7521">
        <v>1</v>
      </c>
      <c r="T7521">
        <v>0</v>
      </c>
      <c r="U7521">
        <v>0</v>
      </c>
      <c r="V7521">
        <v>0</v>
      </c>
      <c r="W7521">
        <v>1</v>
      </c>
      <c r="X7521">
        <v>0</v>
      </c>
      <c r="Y7521">
        <v>1</v>
      </c>
      <c r="Z7521">
        <v>0</v>
      </c>
      <c r="AA7521">
        <v>1</v>
      </c>
      <c r="AB7521">
        <v>0</v>
      </c>
      <c r="AC7521">
        <v>0</v>
      </c>
      <c r="AD7521">
        <v>1</v>
      </c>
      <c r="AE7521">
        <v>1</v>
      </c>
      <c r="AF7521">
        <v>1</v>
      </c>
      <c r="AG7521">
        <v>1</v>
      </c>
      <c r="AH7521">
        <v>1</v>
      </c>
      <c r="AI7521">
        <v>1</v>
      </c>
      <c r="AJ7521">
        <v>1</v>
      </c>
      <c r="AK7521">
        <v>1</v>
      </c>
      <c r="AL7521">
        <v>1</v>
      </c>
      <c r="AM7521">
        <v>1</v>
      </c>
    </row>
    <row r="7522" spans="1:39" x14ac:dyDescent="0.2">
      <c r="A7522" t="str">
        <f>"7518"</f>
        <v>7518</v>
      </c>
      <c r="B7522" t="str">
        <f t="shared" si="416"/>
        <v>1</v>
      </c>
      <c r="C7522" t="str">
        <f t="shared" si="418"/>
        <v>151</v>
      </c>
      <c r="D7522" t="str">
        <f>"40"</f>
        <v>40</v>
      </c>
      <c r="E7522" t="str">
        <f>"1-151-40"</f>
        <v>1-151-40</v>
      </c>
      <c r="F7522" t="s">
        <v>65</v>
      </c>
      <c r="G7522" t="s">
        <v>66</v>
      </c>
      <c r="H7522" t="s">
        <v>67</v>
      </c>
      <c r="S7522">
        <v>1</v>
      </c>
      <c r="T7522">
        <v>0</v>
      </c>
      <c r="U7522">
        <v>0</v>
      </c>
      <c r="V7522">
        <v>0</v>
      </c>
      <c r="W7522">
        <v>1</v>
      </c>
      <c r="X7522">
        <v>0</v>
      </c>
      <c r="Y7522">
        <v>1</v>
      </c>
      <c r="Z7522">
        <v>0</v>
      </c>
      <c r="AA7522">
        <v>1</v>
      </c>
      <c r="AB7522">
        <v>0</v>
      </c>
      <c r="AC7522">
        <v>0</v>
      </c>
      <c r="AD7522">
        <v>1</v>
      </c>
      <c r="AE7522">
        <v>1</v>
      </c>
      <c r="AF7522">
        <v>1</v>
      </c>
      <c r="AG7522">
        <v>1</v>
      </c>
      <c r="AH7522">
        <v>1</v>
      </c>
      <c r="AI7522">
        <v>1</v>
      </c>
      <c r="AJ7522">
        <v>1</v>
      </c>
      <c r="AK7522">
        <v>1</v>
      </c>
      <c r="AL7522">
        <v>1</v>
      </c>
      <c r="AM7522">
        <v>1</v>
      </c>
    </row>
    <row r="7523" spans="1:39" x14ac:dyDescent="0.2">
      <c r="A7523" t="str">
        <f>"7519"</f>
        <v>7519</v>
      </c>
      <c r="B7523" t="str">
        <f t="shared" si="416"/>
        <v>1</v>
      </c>
      <c r="C7523" t="str">
        <f t="shared" si="418"/>
        <v>151</v>
      </c>
      <c r="D7523" t="str">
        <f>"22"</f>
        <v>22</v>
      </c>
      <c r="E7523" t="str">
        <f>"1-151-22"</f>
        <v>1-151-22</v>
      </c>
      <c r="F7523" t="s">
        <v>65</v>
      </c>
      <c r="G7523" t="s">
        <v>66</v>
      </c>
      <c r="H7523" t="s">
        <v>67</v>
      </c>
      <c r="S7523">
        <v>1</v>
      </c>
      <c r="T7523">
        <v>0</v>
      </c>
      <c r="U7523">
        <v>0</v>
      </c>
      <c r="V7523">
        <v>0</v>
      </c>
      <c r="W7523">
        <v>1</v>
      </c>
      <c r="X7523">
        <v>0</v>
      </c>
      <c r="Y7523">
        <v>1</v>
      </c>
      <c r="Z7523">
        <v>0</v>
      </c>
      <c r="AA7523">
        <v>0</v>
      </c>
      <c r="AB7523">
        <v>0</v>
      </c>
      <c r="AC7523">
        <v>1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1</v>
      </c>
      <c r="AK7523">
        <v>0</v>
      </c>
      <c r="AL7523">
        <v>0</v>
      </c>
      <c r="AM7523">
        <v>0</v>
      </c>
    </row>
    <row r="7524" spans="1:39" x14ac:dyDescent="0.2">
      <c r="A7524" t="str">
        <f>"7520"</f>
        <v>7520</v>
      </c>
      <c r="B7524" t="str">
        <f t="shared" si="416"/>
        <v>1</v>
      </c>
      <c r="C7524" t="str">
        <f t="shared" si="418"/>
        <v>151</v>
      </c>
      <c r="D7524" t="str">
        <f>"47"</f>
        <v>47</v>
      </c>
      <c r="E7524" t="str">
        <f>"1-151-47"</f>
        <v>1-151-47</v>
      </c>
      <c r="F7524" t="s">
        <v>65</v>
      </c>
      <c r="G7524" t="s">
        <v>66</v>
      </c>
      <c r="H7524" t="s">
        <v>67</v>
      </c>
      <c r="S7524">
        <v>1</v>
      </c>
      <c r="T7524">
        <v>0</v>
      </c>
      <c r="U7524">
        <v>0</v>
      </c>
      <c r="V7524">
        <v>0</v>
      </c>
      <c r="W7524">
        <v>1</v>
      </c>
      <c r="X7524">
        <v>0</v>
      </c>
      <c r="Y7524">
        <v>1</v>
      </c>
      <c r="Z7524">
        <v>0</v>
      </c>
      <c r="AA7524">
        <v>1</v>
      </c>
      <c r="AB7524">
        <v>0</v>
      </c>
      <c r="AC7524">
        <v>0</v>
      </c>
      <c r="AD7524">
        <v>1</v>
      </c>
      <c r="AE7524">
        <v>1</v>
      </c>
      <c r="AF7524">
        <v>1</v>
      </c>
      <c r="AG7524">
        <v>1</v>
      </c>
      <c r="AH7524">
        <v>1</v>
      </c>
      <c r="AI7524">
        <v>1</v>
      </c>
      <c r="AJ7524">
        <v>1</v>
      </c>
      <c r="AK7524">
        <v>1</v>
      </c>
      <c r="AL7524">
        <v>1</v>
      </c>
      <c r="AM7524">
        <v>1</v>
      </c>
    </row>
    <row r="7525" spans="1:39" x14ac:dyDescent="0.2">
      <c r="A7525" t="str">
        <f>"7521"</f>
        <v>7521</v>
      </c>
      <c r="B7525" t="str">
        <f t="shared" si="416"/>
        <v>1</v>
      </c>
      <c r="C7525" t="str">
        <f t="shared" si="418"/>
        <v>151</v>
      </c>
      <c r="D7525" t="str">
        <f>"46"</f>
        <v>46</v>
      </c>
      <c r="E7525" t="str">
        <f>"1-151-46"</f>
        <v>1-151-46</v>
      </c>
      <c r="F7525" t="s">
        <v>65</v>
      </c>
      <c r="G7525" t="s">
        <v>66</v>
      </c>
      <c r="H7525" t="s">
        <v>67</v>
      </c>
      <c r="S7525">
        <v>0</v>
      </c>
      <c r="T7525">
        <v>1</v>
      </c>
      <c r="U7525">
        <v>0</v>
      </c>
      <c r="V7525">
        <v>0</v>
      </c>
      <c r="W7525">
        <v>1</v>
      </c>
      <c r="X7525">
        <v>0</v>
      </c>
      <c r="Y7525">
        <v>0</v>
      </c>
      <c r="Z7525">
        <v>1</v>
      </c>
      <c r="AA7525">
        <v>0</v>
      </c>
      <c r="AB7525">
        <v>1</v>
      </c>
      <c r="AC7525">
        <v>0</v>
      </c>
      <c r="AD7525">
        <v>1</v>
      </c>
      <c r="AE7525">
        <v>1</v>
      </c>
      <c r="AF7525">
        <v>1</v>
      </c>
      <c r="AG7525">
        <v>1</v>
      </c>
      <c r="AH7525">
        <v>1</v>
      </c>
      <c r="AI7525">
        <v>1</v>
      </c>
      <c r="AJ7525">
        <v>1</v>
      </c>
      <c r="AK7525">
        <v>1</v>
      </c>
      <c r="AL7525">
        <v>1</v>
      </c>
      <c r="AM7525">
        <v>1</v>
      </c>
    </row>
    <row r="7526" spans="1:39" x14ac:dyDescent="0.2">
      <c r="A7526" t="str">
        <f>"7522"</f>
        <v>7522</v>
      </c>
      <c r="B7526" t="str">
        <f t="shared" si="416"/>
        <v>1</v>
      </c>
      <c r="C7526" t="str">
        <f t="shared" si="418"/>
        <v>151</v>
      </c>
      <c r="D7526" t="str">
        <f>"37"</f>
        <v>37</v>
      </c>
      <c r="E7526" t="str">
        <f>"1-151-37"</f>
        <v>1-151-37</v>
      </c>
      <c r="F7526" t="s">
        <v>65</v>
      </c>
      <c r="G7526" t="s">
        <v>66</v>
      </c>
      <c r="H7526" t="s">
        <v>67</v>
      </c>
      <c r="S7526">
        <v>1</v>
      </c>
      <c r="T7526">
        <v>0</v>
      </c>
      <c r="U7526">
        <v>0</v>
      </c>
      <c r="V7526">
        <v>0</v>
      </c>
      <c r="W7526">
        <v>1</v>
      </c>
      <c r="X7526">
        <v>0</v>
      </c>
      <c r="Y7526">
        <v>1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</row>
    <row r="7527" spans="1:39" x14ac:dyDescent="0.2">
      <c r="A7527" t="str">
        <f>"7523"</f>
        <v>7523</v>
      </c>
      <c r="B7527" t="str">
        <f t="shared" si="416"/>
        <v>1</v>
      </c>
      <c r="C7527" t="str">
        <f t="shared" si="418"/>
        <v>151</v>
      </c>
      <c r="D7527" t="str">
        <f>"23"</f>
        <v>23</v>
      </c>
      <c r="E7527" t="str">
        <f>"1-151-23"</f>
        <v>1-151-23</v>
      </c>
      <c r="F7527" t="s">
        <v>65</v>
      </c>
      <c r="G7527" t="s">
        <v>66</v>
      </c>
      <c r="H7527" t="s">
        <v>67</v>
      </c>
      <c r="S7527">
        <v>0</v>
      </c>
      <c r="T7527">
        <v>1</v>
      </c>
      <c r="U7527">
        <v>0</v>
      </c>
      <c r="V7527">
        <v>0</v>
      </c>
      <c r="W7527">
        <v>1</v>
      </c>
      <c r="X7527">
        <v>0</v>
      </c>
      <c r="Y7527">
        <v>0</v>
      </c>
      <c r="Z7527">
        <v>1</v>
      </c>
      <c r="AA7527">
        <v>0</v>
      </c>
      <c r="AB7527">
        <v>0</v>
      </c>
      <c r="AC7527">
        <v>1</v>
      </c>
      <c r="AD7527">
        <v>1</v>
      </c>
      <c r="AE7527">
        <v>1</v>
      </c>
      <c r="AF7527">
        <v>1</v>
      </c>
      <c r="AG7527">
        <v>1</v>
      </c>
      <c r="AH7527">
        <v>1</v>
      </c>
      <c r="AI7527">
        <v>1</v>
      </c>
      <c r="AJ7527">
        <v>1</v>
      </c>
      <c r="AK7527">
        <v>1</v>
      </c>
      <c r="AL7527">
        <v>1</v>
      </c>
      <c r="AM7527">
        <v>1</v>
      </c>
    </row>
    <row r="7528" spans="1:39" x14ac:dyDescent="0.2">
      <c r="A7528" t="str">
        <f>"7524"</f>
        <v>7524</v>
      </c>
      <c r="B7528" t="str">
        <f t="shared" si="416"/>
        <v>1</v>
      </c>
      <c r="C7528" t="str">
        <f t="shared" si="418"/>
        <v>151</v>
      </c>
      <c r="D7528" t="str">
        <f>"6"</f>
        <v>6</v>
      </c>
      <c r="E7528" t="str">
        <f>"1-151-6"</f>
        <v>1-151-6</v>
      </c>
      <c r="F7528" t="s">
        <v>65</v>
      </c>
      <c r="G7528" t="s">
        <v>66</v>
      </c>
      <c r="H7528" t="s">
        <v>67</v>
      </c>
      <c r="S7528">
        <v>1</v>
      </c>
      <c r="T7528">
        <v>0</v>
      </c>
      <c r="U7528">
        <v>0</v>
      </c>
      <c r="V7528">
        <v>0</v>
      </c>
      <c r="W7528">
        <v>1</v>
      </c>
      <c r="X7528">
        <v>0</v>
      </c>
      <c r="Y7528">
        <v>0</v>
      </c>
      <c r="Z7528">
        <v>1</v>
      </c>
      <c r="AA7528">
        <v>0</v>
      </c>
      <c r="AB7528">
        <v>1</v>
      </c>
      <c r="AC7528">
        <v>0</v>
      </c>
      <c r="AD7528">
        <v>1</v>
      </c>
      <c r="AE7528">
        <v>1</v>
      </c>
      <c r="AF7528">
        <v>1</v>
      </c>
      <c r="AG7528">
        <v>1</v>
      </c>
      <c r="AH7528">
        <v>1</v>
      </c>
      <c r="AI7528">
        <v>1</v>
      </c>
      <c r="AJ7528">
        <v>1</v>
      </c>
      <c r="AK7528">
        <v>1</v>
      </c>
      <c r="AL7528">
        <v>1</v>
      </c>
      <c r="AM7528">
        <v>1</v>
      </c>
    </row>
    <row r="7529" spans="1:39" x14ac:dyDescent="0.2">
      <c r="A7529" t="str">
        <f>"7525"</f>
        <v>7525</v>
      </c>
      <c r="B7529" t="str">
        <f t="shared" si="416"/>
        <v>1</v>
      </c>
      <c r="C7529" t="str">
        <f t="shared" si="418"/>
        <v>151</v>
      </c>
      <c r="D7529" t="str">
        <f>"50"</f>
        <v>50</v>
      </c>
      <c r="E7529" t="str">
        <f>"1-151-50"</f>
        <v>1-151-50</v>
      </c>
      <c r="F7529" t="s">
        <v>65</v>
      </c>
      <c r="G7529" t="s">
        <v>66</v>
      </c>
      <c r="H7529" t="s">
        <v>67</v>
      </c>
      <c r="S7529">
        <v>1</v>
      </c>
      <c r="T7529">
        <v>0</v>
      </c>
      <c r="U7529">
        <v>0</v>
      </c>
      <c r="V7529">
        <v>0</v>
      </c>
      <c r="W7529">
        <v>1</v>
      </c>
      <c r="X7529">
        <v>0</v>
      </c>
      <c r="Y7529">
        <v>0</v>
      </c>
      <c r="Z7529">
        <v>1</v>
      </c>
      <c r="AA7529">
        <v>0</v>
      </c>
      <c r="AB7529">
        <v>0</v>
      </c>
      <c r="AC7529">
        <v>1</v>
      </c>
      <c r="AD7529">
        <v>1</v>
      </c>
      <c r="AE7529">
        <v>1</v>
      </c>
      <c r="AF7529">
        <v>1</v>
      </c>
      <c r="AG7529">
        <v>1</v>
      </c>
      <c r="AH7529">
        <v>1</v>
      </c>
      <c r="AI7529">
        <v>1</v>
      </c>
      <c r="AJ7529">
        <v>1</v>
      </c>
      <c r="AK7529">
        <v>1</v>
      </c>
      <c r="AL7529">
        <v>1</v>
      </c>
      <c r="AM7529">
        <v>1</v>
      </c>
    </row>
    <row r="7530" spans="1:39" x14ac:dyDescent="0.2">
      <c r="A7530" t="str">
        <f>"7526"</f>
        <v>7526</v>
      </c>
      <c r="B7530" t="str">
        <f t="shared" si="416"/>
        <v>1</v>
      </c>
      <c r="C7530" t="str">
        <f t="shared" si="418"/>
        <v>151</v>
      </c>
      <c r="D7530" t="str">
        <f>"49"</f>
        <v>49</v>
      </c>
      <c r="E7530" t="str">
        <f>"1-151-49"</f>
        <v>1-151-49</v>
      </c>
      <c r="F7530" t="s">
        <v>65</v>
      </c>
      <c r="G7530" t="s">
        <v>66</v>
      </c>
      <c r="H7530" t="s">
        <v>67</v>
      </c>
      <c r="S7530">
        <v>1</v>
      </c>
      <c r="T7530">
        <v>0</v>
      </c>
      <c r="U7530">
        <v>0</v>
      </c>
      <c r="V7530">
        <v>0</v>
      </c>
      <c r="W7530">
        <v>1</v>
      </c>
      <c r="X7530">
        <v>0</v>
      </c>
      <c r="Y7530">
        <v>1</v>
      </c>
      <c r="Z7530">
        <v>0</v>
      </c>
      <c r="AA7530">
        <v>0</v>
      </c>
      <c r="AB7530">
        <v>1</v>
      </c>
      <c r="AC7530">
        <v>0</v>
      </c>
      <c r="AD7530">
        <v>1</v>
      </c>
      <c r="AE7530">
        <v>1</v>
      </c>
      <c r="AF7530">
        <v>1</v>
      </c>
      <c r="AG7530">
        <v>1</v>
      </c>
      <c r="AH7530">
        <v>1</v>
      </c>
      <c r="AI7530">
        <v>1</v>
      </c>
      <c r="AJ7530">
        <v>1</v>
      </c>
      <c r="AK7530">
        <v>1</v>
      </c>
      <c r="AL7530">
        <v>1</v>
      </c>
      <c r="AM7530">
        <v>1</v>
      </c>
    </row>
    <row r="7531" spans="1:39" x14ac:dyDescent="0.2">
      <c r="A7531" t="str">
        <f>"7527"</f>
        <v>7527</v>
      </c>
      <c r="B7531" t="str">
        <f t="shared" si="416"/>
        <v>1</v>
      </c>
      <c r="C7531" t="str">
        <f t="shared" si="418"/>
        <v>151</v>
      </c>
      <c r="D7531" t="str">
        <f>"38"</f>
        <v>38</v>
      </c>
      <c r="E7531" t="str">
        <f>"1-151-38"</f>
        <v>1-151-38</v>
      </c>
      <c r="F7531" t="s">
        <v>65</v>
      </c>
      <c r="G7531" t="s">
        <v>66</v>
      </c>
      <c r="H7531" t="s">
        <v>67</v>
      </c>
      <c r="S7531">
        <v>0</v>
      </c>
      <c r="T7531">
        <v>1</v>
      </c>
      <c r="U7531">
        <v>0</v>
      </c>
      <c r="V7531">
        <v>0</v>
      </c>
      <c r="W7531">
        <v>0</v>
      </c>
      <c r="X7531">
        <v>1</v>
      </c>
      <c r="Y7531">
        <v>1</v>
      </c>
      <c r="Z7531">
        <v>0</v>
      </c>
      <c r="AA7531">
        <v>0</v>
      </c>
      <c r="AB7531">
        <v>0</v>
      </c>
      <c r="AC7531">
        <v>1</v>
      </c>
      <c r="AD7531">
        <v>1</v>
      </c>
      <c r="AE7531">
        <v>1</v>
      </c>
      <c r="AF7531">
        <v>1</v>
      </c>
      <c r="AG7531">
        <v>1</v>
      </c>
      <c r="AH7531">
        <v>1</v>
      </c>
      <c r="AI7531">
        <v>1</v>
      </c>
      <c r="AJ7531">
        <v>1</v>
      </c>
      <c r="AK7531">
        <v>1</v>
      </c>
      <c r="AL7531">
        <v>1</v>
      </c>
      <c r="AM7531">
        <v>1</v>
      </c>
    </row>
    <row r="7532" spans="1:39" x14ac:dyDescent="0.2">
      <c r="A7532" t="str">
        <f>"7528"</f>
        <v>7528</v>
      </c>
      <c r="B7532" t="str">
        <f t="shared" si="416"/>
        <v>1</v>
      </c>
      <c r="C7532" t="str">
        <f t="shared" si="418"/>
        <v>151</v>
      </c>
      <c r="D7532" t="str">
        <f>"24"</f>
        <v>24</v>
      </c>
      <c r="E7532" t="str">
        <f>"1-151-24"</f>
        <v>1-151-24</v>
      </c>
      <c r="F7532" t="s">
        <v>65</v>
      </c>
      <c r="G7532" t="s">
        <v>66</v>
      </c>
      <c r="H7532" t="s">
        <v>67</v>
      </c>
      <c r="S7532">
        <v>0</v>
      </c>
      <c r="T7532">
        <v>1</v>
      </c>
      <c r="U7532">
        <v>0</v>
      </c>
      <c r="V7532">
        <v>0</v>
      </c>
      <c r="W7532">
        <v>1</v>
      </c>
      <c r="X7532">
        <v>0</v>
      </c>
      <c r="Y7532">
        <v>1</v>
      </c>
      <c r="Z7532">
        <v>0</v>
      </c>
      <c r="AA7532">
        <v>1</v>
      </c>
      <c r="AB7532">
        <v>0</v>
      </c>
      <c r="AC7532">
        <v>0</v>
      </c>
      <c r="AD7532">
        <v>1</v>
      </c>
      <c r="AE7532">
        <v>1</v>
      </c>
      <c r="AF7532">
        <v>1</v>
      </c>
      <c r="AG7532">
        <v>1</v>
      </c>
      <c r="AH7532">
        <v>1</v>
      </c>
      <c r="AI7532">
        <v>1</v>
      </c>
      <c r="AJ7532">
        <v>1</v>
      </c>
      <c r="AK7532">
        <v>1</v>
      </c>
      <c r="AL7532">
        <v>1</v>
      </c>
      <c r="AM7532">
        <v>1</v>
      </c>
    </row>
    <row r="7533" spans="1:39" x14ac:dyDescent="0.2">
      <c r="A7533" t="str">
        <f>"7529"</f>
        <v>7529</v>
      </c>
      <c r="B7533" t="str">
        <f t="shared" si="416"/>
        <v>1</v>
      </c>
      <c r="C7533" t="str">
        <f t="shared" si="418"/>
        <v>151</v>
      </c>
      <c r="D7533" t="str">
        <f>"11"</f>
        <v>11</v>
      </c>
      <c r="E7533" t="str">
        <f>"1-151-11"</f>
        <v>1-151-11</v>
      </c>
      <c r="F7533" t="s">
        <v>65</v>
      </c>
      <c r="G7533" t="s">
        <v>66</v>
      </c>
      <c r="H7533" t="s">
        <v>67</v>
      </c>
      <c r="S7533">
        <v>1</v>
      </c>
      <c r="T7533">
        <v>0</v>
      </c>
      <c r="U7533">
        <v>0</v>
      </c>
      <c r="V7533">
        <v>0</v>
      </c>
      <c r="W7533">
        <v>1</v>
      </c>
      <c r="X7533">
        <v>0</v>
      </c>
      <c r="Y7533">
        <v>1</v>
      </c>
      <c r="Z7533">
        <v>0</v>
      </c>
      <c r="AA7533">
        <v>1</v>
      </c>
      <c r="AB7533">
        <v>0</v>
      </c>
      <c r="AC7533">
        <v>0</v>
      </c>
      <c r="AD7533">
        <v>1</v>
      </c>
      <c r="AE7533">
        <v>1</v>
      </c>
      <c r="AF7533">
        <v>1</v>
      </c>
      <c r="AG7533">
        <v>1</v>
      </c>
      <c r="AH7533">
        <v>1</v>
      </c>
      <c r="AI7533">
        <v>1</v>
      </c>
      <c r="AJ7533">
        <v>1</v>
      </c>
      <c r="AK7533">
        <v>1</v>
      </c>
      <c r="AL7533">
        <v>1</v>
      </c>
      <c r="AM7533">
        <v>1</v>
      </c>
    </row>
    <row r="7534" spans="1:39" x14ac:dyDescent="0.2">
      <c r="A7534" t="str">
        <f>"7530"</f>
        <v>7530</v>
      </c>
      <c r="B7534" t="str">
        <f t="shared" si="416"/>
        <v>1</v>
      </c>
      <c r="C7534" t="str">
        <f t="shared" si="418"/>
        <v>151</v>
      </c>
      <c r="D7534" t="str">
        <f>"41"</f>
        <v>41</v>
      </c>
      <c r="E7534" t="str">
        <f>"1-151-41"</f>
        <v>1-151-41</v>
      </c>
      <c r="F7534" t="s">
        <v>65</v>
      </c>
      <c r="G7534" t="s">
        <v>66</v>
      </c>
      <c r="H7534" t="s">
        <v>67</v>
      </c>
      <c r="S7534">
        <v>0</v>
      </c>
      <c r="T7534">
        <v>1</v>
      </c>
      <c r="U7534">
        <v>0</v>
      </c>
      <c r="V7534">
        <v>0</v>
      </c>
      <c r="W7534">
        <v>1</v>
      </c>
      <c r="X7534">
        <v>0</v>
      </c>
      <c r="Y7534">
        <v>0</v>
      </c>
      <c r="Z7534">
        <v>1</v>
      </c>
      <c r="AA7534">
        <v>0</v>
      </c>
      <c r="AB7534">
        <v>0</v>
      </c>
      <c r="AC7534">
        <v>1</v>
      </c>
      <c r="AD7534">
        <v>1</v>
      </c>
      <c r="AE7534">
        <v>1</v>
      </c>
      <c r="AF7534">
        <v>1</v>
      </c>
      <c r="AG7534">
        <v>1</v>
      </c>
      <c r="AH7534">
        <v>1</v>
      </c>
      <c r="AI7534">
        <v>1</v>
      </c>
      <c r="AJ7534">
        <v>1</v>
      </c>
      <c r="AK7534">
        <v>1</v>
      </c>
      <c r="AL7534">
        <v>1</v>
      </c>
      <c r="AM7534">
        <v>1</v>
      </c>
    </row>
    <row r="7535" spans="1:39" x14ac:dyDescent="0.2">
      <c r="A7535" t="str">
        <f>"7531"</f>
        <v>7531</v>
      </c>
      <c r="B7535" t="str">
        <f t="shared" si="416"/>
        <v>1</v>
      </c>
      <c r="C7535" t="str">
        <f t="shared" si="418"/>
        <v>151</v>
      </c>
      <c r="D7535" t="str">
        <f>"25"</f>
        <v>25</v>
      </c>
      <c r="E7535" t="str">
        <f>"1-151-25"</f>
        <v>1-151-25</v>
      </c>
      <c r="F7535" t="s">
        <v>65</v>
      </c>
      <c r="G7535" t="s">
        <v>66</v>
      </c>
      <c r="H7535" t="s">
        <v>67</v>
      </c>
      <c r="S7535">
        <v>0</v>
      </c>
      <c r="T7535">
        <v>1</v>
      </c>
      <c r="U7535">
        <v>0</v>
      </c>
      <c r="V7535">
        <v>0</v>
      </c>
      <c r="W7535">
        <v>1</v>
      </c>
      <c r="X7535">
        <v>0</v>
      </c>
      <c r="Y7535">
        <v>1</v>
      </c>
      <c r="Z7535">
        <v>0</v>
      </c>
      <c r="AA7535">
        <v>1</v>
      </c>
      <c r="AB7535">
        <v>0</v>
      </c>
      <c r="AC7535">
        <v>0</v>
      </c>
      <c r="AD7535">
        <v>1</v>
      </c>
      <c r="AE7535">
        <v>1</v>
      </c>
      <c r="AF7535">
        <v>1</v>
      </c>
      <c r="AG7535">
        <v>1</v>
      </c>
      <c r="AH7535">
        <v>0</v>
      </c>
      <c r="AI7535">
        <v>1</v>
      </c>
      <c r="AJ7535">
        <v>1</v>
      </c>
      <c r="AK7535">
        <v>1</v>
      </c>
      <c r="AL7535">
        <v>1</v>
      </c>
      <c r="AM7535">
        <v>1</v>
      </c>
    </row>
    <row r="7536" spans="1:39" x14ac:dyDescent="0.2">
      <c r="A7536" t="str">
        <f>"7532"</f>
        <v>7532</v>
      </c>
      <c r="B7536" t="str">
        <f t="shared" si="416"/>
        <v>1</v>
      </c>
      <c r="C7536" t="str">
        <f t="shared" si="418"/>
        <v>151</v>
      </c>
      <c r="D7536" t="str">
        <f>"13"</f>
        <v>13</v>
      </c>
      <c r="E7536" t="str">
        <f>"1-151-13"</f>
        <v>1-151-13</v>
      </c>
      <c r="F7536" t="s">
        <v>65</v>
      </c>
      <c r="G7536" t="s">
        <v>66</v>
      </c>
      <c r="H7536" t="s">
        <v>67</v>
      </c>
      <c r="S7536">
        <v>0</v>
      </c>
      <c r="T7536">
        <v>1</v>
      </c>
      <c r="U7536">
        <v>0</v>
      </c>
      <c r="V7536">
        <v>0</v>
      </c>
      <c r="W7536">
        <v>1</v>
      </c>
      <c r="X7536">
        <v>0</v>
      </c>
      <c r="Y7536">
        <v>0</v>
      </c>
      <c r="Z7536">
        <v>1</v>
      </c>
      <c r="AA7536">
        <v>0</v>
      </c>
      <c r="AB7536">
        <v>1</v>
      </c>
      <c r="AC7536">
        <v>0</v>
      </c>
      <c r="AD7536">
        <v>1</v>
      </c>
      <c r="AE7536">
        <v>1</v>
      </c>
      <c r="AF7536">
        <v>1</v>
      </c>
      <c r="AG7536">
        <v>1</v>
      </c>
      <c r="AH7536">
        <v>1</v>
      </c>
      <c r="AI7536">
        <v>1</v>
      </c>
      <c r="AJ7536">
        <v>1</v>
      </c>
      <c r="AK7536">
        <v>1</v>
      </c>
      <c r="AL7536">
        <v>1</v>
      </c>
      <c r="AM7536">
        <v>1</v>
      </c>
    </row>
    <row r="7537" spans="1:39" x14ac:dyDescent="0.2">
      <c r="A7537" t="str">
        <f>"7533"</f>
        <v>7533</v>
      </c>
      <c r="B7537" t="str">
        <f t="shared" si="416"/>
        <v>1</v>
      </c>
      <c r="C7537" t="str">
        <f t="shared" ref="C7537:C7554" si="419">"151"</f>
        <v>151</v>
      </c>
      <c r="D7537" t="str">
        <f>"43"</f>
        <v>43</v>
      </c>
      <c r="E7537" t="str">
        <f>"1-151-43"</f>
        <v>1-151-43</v>
      </c>
      <c r="F7537" t="s">
        <v>65</v>
      </c>
      <c r="G7537" t="s">
        <v>66</v>
      </c>
      <c r="H7537" t="s">
        <v>67</v>
      </c>
      <c r="S7537">
        <v>1</v>
      </c>
      <c r="T7537">
        <v>0</v>
      </c>
      <c r="U7537">
        <v>0</v>
      </c>
      <c r="V7537">
        <v>0</v>
      </c>
      <c r="W7537">
        <v>1</v>
      </c>
      <c r="X7537">
        <v>0</v>
      </c>
      <c r="Y7537">
        <v>0</v>
      </c>
      <c r="Z7537">
        <v>1</v>
      </c>
      <c r="AA7537">
        <v>1</v>
      </c>
      <c r="AB7537">
        <v>0</v>
      </c>
      <c r="AC7537">
        <v>0</v>
      </c>
      <c r="AD7537">
        <v>1</v>
      </c>
      <c r="AE7537">
        <v>1</v>
      </c>
      <c r="AF7537">
        <v>1</v>
      </c>
      <c r="AG7537">
        <v>1</v>
      </c>
      <c r="AH7537">
        <v>1</v>
      </c>
      <c r="AI7537">
        <v>1</v>
      </c>
      <c r="AJ7537">
        <v>1</v>
      </c>
      <c r="AK7537">
        <v>1</v>
      </c>
      <c r="AL7537">
        <v>1</v>
      </c>
      <c r="AM7537">
        <v>1</v>
      </c>
    </row>
    <row r="7538" spans="1:39" x14ac:dyDescent="0.2">
      <c r="A7538" t="str">
        <f>"7534"</f>
        <v>7534</v>
      </c>
      <c r="B7538" t="str">
        <f t="shared" si="416"/>
        <v>1</v>
      </c>
      <c r="C7538" t="str">
        <f t="shared" si="419"/>
        <v>151</v>
      </c>
      <c r="D7538" t="str">
        <f>"27"</f>
        <v>27</v>
      </c>
      <c r="E7538" t="str">
        <f>"1-151-27"</f>
        <v>1-151-27</v>
      </c>
      <c r="F7538" t="s">
        <v>65</v>
      </c>
      <c r="G7538" t="s">
        <v>66</v>
      </c>
      <c r="H7538" t="s">
        <v>67</v>
      </c>
      <c r="S7538">
        <v>0</v>
      </c>
      <c r="T7538">
        <v>1</v>
      </c>
      <c r="U7538">
        <v>0</v>
      </c>
      <c r="V7538">
        <v>0</v>
      </c>
      <c r="W7538">
        <v>0</v>
      </c>
      <c r="X7538">
        <v>1</v>
      </c>
      <c r="Y7538">
        <v>0</v>
      </c>
      <c r="Z7538">
        <v>1</v>
      </c>
      <c r="AA7538">
        <v>0</v>
      </c>
      <c r="AB7538">
        <v>1</v>
      </c>
      <c r="AC7538">
        <v>0</v>
      </c>
      <c r="AD7538">
        <v>1</v>
      </c>
      <c r="AE7538">
        <v>1</v>
      </c>
      <c r="AF7538">
        <v>1</v>
      </c>
      <c r="AG7538">
        <v>1</v>
      </c>
      <c r="AH7538">
        <v>1</v>
      </c>
      <c r="AI7538">
        <v>1</v>
      </c>
      <c r="AJ7538">
        <v>1</v>
      </c>
      <c r="AK7538">
        <v>1</v>
      </c>
      <c r="AL7538">
        <v>1</v>
      </c>
      <c r="AM7538">
        <v>0</v>
      </c>
    </row>
    <row r="7539" spans="1:39" x14ac:dyDescent="0.2">
      <c r="A7539" t="str">
        <f>"7535"</f>
        <v>7535</v>
      </c>
      <c r="B7539" t="str">
        <f t="shared" si="416"/>
        <v>1</v>
      </c>
      <c r="C7539" t="str">
        <f t="shared" si="419"/>
        <v>151</v>
      </c>
      <c r="D7539" t="str">
        <f>"9"</f>
        <v>9</v>
      </c>
      <c r="E7539" t="str">
        <f>"1-151-9"</f>
        <v>1-151-9</v>
      </c>
      <c r="F7539" t="s">
        <v>65</v>
      </c>
      <c r="G7539" t="s">
        <v>66</v>
      </c>
      <c r="H7539" t="s">
        <v>67</v>
      </c>
      <c r="S7539">
        <v>1</v>
      </c>
      <c r="T7539">
        <v>0</v>
      </c>
      <c r="U7539">
        <v>0</v>
      </c>
      <c r="V7539">
        <v>0</v>
      </c>
      <c r="W7539">
        <v>1</v>
      </c>
      <c r="X7539">
        <v>0</v>
      </c>
      <c r="Y7539">
        <v>1</v>
      </c>
      <c r="Z7539">
        <v>0</v>
      </c>
      <c r="AA7539">
        <v>1</v>
      </c>
      <c r="AB7539">
        <v>0</v>
      </c>
      <c r="AC7539">
        <v>0</v>
      </c>
      <c r="AD7539">
        <v>1</v>
      </c>
      <c r="AE7539">
        <v>1</v>
      </c>
      <c r="AF7539">
        <v>1</v>
      </c>
      <c r="AG7539">
        <v>0</v>
      </c>
      <c r="AH7539">
        <v>0</v>
      </c>
      <c r="AI7539">
        <v>1</v>
      </c>
      <c r="AJ7539">
        <v>1</v>
      </c>
      <c r="AK7539">
        <v>1</v>
      </c>
      <c r="AL7539">
        <v>1</v>
      </c>
      <c r="AM7539">
        <v>1</v>
      </c>
    </row>
    <row r="7540" spans="1:39" x14ac:dyDescent="0.2">
      <c r="A7540" t="str">
        <f>"7536"</f>
        <v>7536</v>
      </c>
      <c r="B7540" t="str">
        <f t="shared" si="416"/>
        <v>1</v>
      </c>
      <c r="C7540" t="str">
        <f t="shared" si="419"/>
        <v>151</v>
      </c>
      <c r="D7540" t="str">
        <f>"28"</f>
        <v>28</v>
      </c>
      <c r="E7540" t="str">
        <f>"1-151-28"</f>
        <v>1-151-28</v>
      </c>
      <c r="F7540" t="s">
        <v>65</v>
      </c>
      <c r="G7540" t="s">
        <v>66</v>
      </c>
      <c r="H7540" t="s">
        <v>67</v>
      </c>
      <c r="S7540">
        <v>0</v>
      </c>
      <c r="T7540">
        <v>1</v>
      </c>
      <c r="U7540">
        <v>0</v>
      </c>
      <c r="V7540">
        <v>0</v>
      </c>
      <c r="W7540">
        <v>0</v>
      </c>
      <c r="X7540">
        <v>1</v>
      </c>
      <c r="Y7540">
        <v>0</v>
      </c>
      <c r="Z7540">
        <v>1</v>
      </c>
      <c r="AA7540">
        <v>0</v>
      </c>
      <c r="AB7540">
        <v>1</v>
      </c>
      <c r="AC7540">
        <v>0</v>
      </c>
      <c r="AD7540">
        <v>1</v>
      </c>
      <c r="AE7540">
        <v>1</v>
      </c>
      <c r="AF7540">
        <v>1</v>
      </c>
      <c r="AG7540">
        <v>1</v>
      </c>
      <c r="AH7540">
        <v>1</v>
      </c>
      <c r="AI7540">
        <v>1</v>
      </c>
      <c r="AJ7540">
        <v>1</v>
      </c>
      <c r="AK7540">
        <v>1</v>
      </c>
      <c r="AL7540">
        <v>1</v>
      </c>
      <c r="AM7540">
        <v>1</v>
      </c>
    </row>
    <row r="7541" spans="1:39" x14ac:dyDescent="0.2">
      <c r="A7541" t="str">
        <f>"7537"</f>
        <v>7537</v>
      </c>
      <c r="B7541" t="str">
        <f t="shared" si="416"/>
        <v>1</v>
      </c>
      <c r="C7541" t="str">
        <f t="shared" si="419"/>
        <v>151</v>
      </c>
      <c r="D7541" t="str">
        <f>"5"</f>
        <v>5</v>
      </c>
      <c r="E7541" t="str">
        <f>"1-151-5"</f>
        <v>1-151-5</v>
      </c>
      <c r="F7541" t="s">
        <v>65</v>
      </c>
      <c r="G7541" t="s">
        <v>66</v>
      </c>
      <c r="H7541" t="s">
        <v>67</v>
      </c>
      <c r="S7541">
        <v>1</v>
      </c>
      <c r="T7541">
        <v>0</v>
      </c>
      <c r="U7541">
        <v>0</v>
      </c>
      <c r="V7541">
        <v>0</v>
      </c>
      <c r="W7541">
        <v>1</v>
      </c>
      <c r="X7541">
        <v>0</v>
      </c>
      <c r="Y7541">
        <v>1</v>
      </c>
      <c r="Z7541">
        <v>0</v>
      </c>
      <c r="AA7541">
        <v>0</v>
      </c>
      <c r="AB7541">
        <v>1</v>
      </c>
      <c r="AC7541">
        <v>0</v>
      </c>
      <c r="AD7541">
        <v>1</v>
      </c>
      <c r="AE7541">
        <v>1</v>
      </c>
      <c r="AF7541">
        <v>1</v>
      </c>
      <c r="AG7541">
        <v>1</v>
      </c>
      <c r="AH7541">
        <v>1</v>
      </c>
      <c r="AI7541">
        <v>1</v>
      </c>
      <c r="AJ7541">
        <v>1</v>
      </c>
      <c r="AK7541">
        <v>1</v>
      </c>
      <c r="AL7541">
        <v>1</v>
      </c>
      <c r="AM7541">
        <v>1</v>
      </c>
    </row>
    <row r="7542" spans="1:39" x14ac:dyDescent="0.2">
      <c r="A7542" t="str">
        <f>"7538"</f>
        <v>7538</v>
      </c>
      <c r="B7542" t="str">
        <f t="shared" si="416"/>
        <v>1</v>
      </c>
      <c r="C7542" t="str">
        <f t="shared" si="419"/>
        <v>151</v>
      </c>
      <c r="D7542" t="str">
        <f>"44"</f>
        <v>44</v>
      </c>
      <c r="E7542" t="str">
        <f>"1-151-44"</f>
        <v>1-151-44</v>
      </c>
      <c r="F7542" t="s">
        <v>65</v>
      </c>
      <c r="G7542" t="s">
        <v>66</v>
      </c>
      <c r="H7542" t="s">
        <v>67</v>
      </c>
      <c r="S7542">
        <v>1</v>
      </c>
      <c r="T7542">
        <v>0</v>
      </c>
      <c r="U7542">
        <v>0</v>
      </c>
      <c r="V7542">
        <v>0</v>
      </c>
      <c r="W7542">
        <v>1</v>
      </c>
      <c r="X7542">
        <v>0</v>
      </c>
      <c r="Y7542">
        <v>1</v>
      </c>
      <c r="Z7542">
        <v>0</v>
      </c>
      <c r="AA7542">
        <v>1</v>
      </c>
      <c r="AB7542">
        <v>0</v>
      </c>
      <c r="AC7542">
        <v>0</v>
      </c>
      <c r="AD7542">
        <v>1</v>
      </c>
      <c r="AE7542">
        <v>1</v>
      </c>
      <c r="AF7542">
        <v>1</v>
      </c>
      <c r="AG7542">
        <v>1</v>
      </c>
      <c r="AH7542">
        <v>1</v>
      </c>
      <c r="AI7542">
        <v>1</v>
      </c>
      <c r="AJ7542">
        <v>1</v>
      </c>
      <c r="AK7542">
        <v>1</v>
      </c>
      <c r="AL7542">
        <v>0</v>
      </c>
      <c r="AM7542">
        <v>1</v>
      </c>
    </row>
    <row r="7543" spans="1:39" x14ac:dyDescent="0.2">
      <c r="A7543" t="str">
        <f>"7539"</f>
        <v>7539</v>
      </c>
      <c r="B7543" t="str">
        <f t="shared" ref="B7543:B7606" si="420">"1"</f>
        <v>1</v>
      </c>
      <c r="C7543" t="str">
        <f t="shared" si="419"/>
        <v>151</v>
      </c>
      <c r="D7543" t="str">
        <f>"29"</f>
        <v>29</v>
      </c>
      <c r="E7543" t="str">
        <f>"1-151-29"</f>
        <v>1-151-29</v>
      </c>
      <c r="F7543" t="s">
        <v>65</v>
      </c>
      <c r="G7543" t="s">
        <v>66</v>
      </c>
      <c r="H7543" t="s">
        <v>67</v>
      </c>
      <c r="S7543">
        <v>0</v>
      </c>
      <c r="T7543">
        <v>1</v>
      </c>
      <c r="U7543">
        <v>0</v>
      </c>
      <c r="V7543">
        <v>0</v>
      </c>
      <c r="W7543">
        <v>1</v>
      </c>
      <c r="X7543">
        <v>0</v>
      </c>
      <c r="Y7543">
        <v>1</v>
      </c>
      <c r="Z7543">
        <v>0</v>
      </c>
      <c r="AA7543">
        <v>1</v>
      </c>
      <c r="AB7543">
        <v>0</v>
      </c>
      <c r="AC7543">
        <v>0</v>
      </c>
      <c r="AD7543">
        <v>1</v>
      </c>
      <c r="AE7543">
        <v>1</v>
      </c>
      <c r="AF7543">
        <v>1</v>
      </c>
      <c r="AG7543">
        <v>1</v>
      </c>
      <c r="AH7543">
        <v>1</v>
      </c>
      <c r="AI7543">
        <v>1</v>
      </c>
      <c r="AJ7543">
        <v>1</v>
      </c>
      <c r="AK7543">
        <v>1</v>
      </c>
      <c r="AL7543">
        <v>1</v>
      </c>
      <c r="AM7543">
        <v>1</v>
      </c>
    </row>
    <row r="7544" spans="1:39" x14ac:dyDescent="0.2">
      <c r="A7544" t="str">
        <f>"7540"</f>
        <v>7540</v>
      </c>
      <c r="B7544" t="str">
        <f t="shared" si="420"/>
        <v>1</v>
      </c>
      <c r="C7544" t="str">
        <f t="shared" si="419"/>
        <v>151</v>
      </c>
      <c r="D7544" t="str">
        <f>"4"</f>
        <v>4</v>
      </c>
      <c r="E7544" t="str">
        <f>"1-151-4"</f>
        <v>1-151-4</v>
      </c>
      <c r="F7544" t="s">
        <v>65</v>
      </c>
      <c r="G7544" t="s">
        <v>66</v>
      </c>
      <c r="H7544" t="s">
        <v>67</v>
      </c>
      <c r="S7544">
        <v>1</v>
      </c>
      <c r="T7544">
        <v>0</v>
      </c>
      <c r="U7544">
        <v>0</v>
      </c>
      <c r="V7544">
        <v>0</v>
      </c>
      <c r="W7544">
        <v>1</v>
      </c>
      <c r="X7544">
        <v>0</v>
      </c>
      <c r="Y7544">
        <v>1</v>
      </c>
      <c r="Z7544">
        <v>0</v>
      </c>
      <c r="AA7544">
        <v>1</v>
      </c>
      <c r="AB7544">
        <v>0</v>
      </c>
      <c r="AC7544">
        <v>0</v>
      </c>
      <c r="AD7544">
        <v>1</v>
      </c>
      <c r="AE7544">
        <v>1</v>
      </c>
      <c r="AF7544">
        <v>1</v>
      </c>
      <c r="AG7544">
        <v>1</v>
      </c>
      <c r="AH7544">
        <v>1</v>
      </c>
      <c r="AI7544">
        <v>1</v>
      </c>
      <c r="AJ7544">
        <v>1</v>
      </c>
      <c r="AK7544">
        <v>1</v>
      </c>
      <c r="AL7544">
        <v>1</v>
      </c>
      <c r="AM7544">
        <v>1</v>
      </c>
    </row>
    <row r="7545" spans="1:39" x14ac:dyDescent="0.2">
      <c r="A7545" t="str">
        <f>"7541"</f>
        <v>7541</v>
      </c>
      <c r="B7545" t="str">
        <f t="shared" si="420"/>
        <v>1</v>
      </c>
      <c r="C7545" t="str">
        <f t="shared" si="419"/>
        <v>151</v>
      </c>
      <c r="D7545" t="str">
        <f>"30"</f>
        <v>30</v>
      </c>
      <c r="E7545" t="str">
        <f>"1-151-30"</f>
        <v>1-151-30</v>
      </c>
      <c r="F7545" t="s">
        <v>65</v>
      </c>
      <c r="G7545" t="s">
        <v>66</v>
      </c>
      <c r="H7545" t="s">
        <v>67</v>
      </c>
      <c r="S7545">
        <v>1</v>
      </c>
      <c r="T7545">
        <v>0</v>
      </c>
      <c r="U7545">
        <v>0</v>
      </c>
      <c r="V7545">
        <v>0</v>
      </c>
      <c r="W7545">
        <v>1</v>
      </c>
      <c r="X7545">
        <v>0</v>
      </c>
      <c r="Y7545">
        <v>1</v>
      </c>
      <c r="Z7545">
        <v>0</v>
      </c>
      <c r="AA7545">
        <v>1</v>
      </c>
      <c r="AB7545">
        <v>0</v>
      </c>
      <c r="AC7545">
        <v>0</v>
      </c>
      <c r="AD7545">
        <v>1</v>
      </c>
      <c r="AE7545">
        <v>1</v>
      </c>
      <c r="AF7545">
        <v>1</v>
      </c>
      <c r="AG7545">
        <v>1</v>
      </c>
      <c r="AH7545">
        <v>1</v>
      </c>
      <c r="AI7545">
        <v>1</v>
      </c>
      <c r="AJ7545">
        <v>1</v>
      </c>
      <c r="AK7545">
        <v>1</v>
      </c>
      <c r="AL7545">
        <v>1</v>
      </c>
      <c r="AM7545">
        <v>1</v>
      </c>
    </row>
    <row r="7546" spans="1:39" x14ac:dyDescent="0.2">
      <c r="A7546" t="str">
        <f>"7542"</f>
        <v>7542</v>
      </c>
      <c r="B7546" t="str">
        <f t="shared" si="420"/>
        <v>1</v>
      </c>
      <c r="C7546" t="str">
        <f t="shared" si="419"/>
        <v>151</v>
      </c>
      <c r="D7546" t="str">
        <f>"2"</f>
        <v>2</v>
      </c>
      <c r="E7546" t="str">
        <f>"1-151-2"</f>
        <v>1-151-2</v>
      </c>
      <c r="F7546" t="s">
        <v>65</v>
      </c>
      <c r="G7546" t="s">
        <v>66</v>
      </c>
      <c r="H7546" t="s">
        <v>67</v>
      </c>
      <c r="S7546">
        <v>0</v>
      </c>
      <c r="T7546">
        <v>1</v>
      </c>
      <c r="U7546">
        <v>0</v>
      </c>
      <c r="V7546">
        <v>0</v>
      </c>
      <c r="W7546">
        <v>1</v>
      </c>
      <c r="X7546">
        <v>0</v>
      </c>
      <c r="Y7546">
        <v>1</v>
      </c>
      <c r="Z7546">
        <v>0</v>
      </c>
      <c r="AA7546">
        <v>1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</row>
    <row r="7547" spans="1:39" x14ac:dyDescent="0.2">
      <c r="A7547" t="str">
        <f>"7543"</f>
        <v>7543</v>
      </c>
      <c r="B7547" t="str">
        <f t="shared" si="420"/>
        <v>1</v>
      </c>
      <c r="C7547" t="str">
        <f t="shared" si="419"/>
        <v>151</v>
      </c>
      <c r="D7547" t="str">
        <f>"45"</f>
        <v>45</v>
      </c>
      <c r="E7547" t="str">
        <f>"1-151-45"</f>
        <v>1-151-45</v>
      </c>
      <c r="F7547" t="s">
        <v>65</v>
      </c>
      <c r="G7547" t="s">
        <v>66</v>
      </c>
      <c r="H7547" t="s">
        <v>67</v>
      </c>
      <c r="S7547">
        <v>1</v>
      </c>
      <c r="T7547">
        <v>0</v>
      </c>
      <c r="U7547">
        <v>0</v>
      </c>
      <c r="V7547">
        <v>0</v>
      </c>
      <c r="W7547">
        <v>1</v>
      </c>
      <c r="X7547">
        <v>0</v>
      </c>
      <c r="Y7547">
        <v>0</v>
      </c>
      <c r="Z7547">
        <v>1</v>
      </c>
      <c r="AA7547">
        <v>1</v>
      </c>
      <c r="AB7547">
        <v>0</v>
      </c>
      <c r="AC7547">
        <v>0</v>
      </c>
      <c r="AD7547">
        <v>1</v>
      </c>
      <c r="AE7547">
        <v>1</v>
      </c>
      <c r="AF7547">
        <v>1</v>
      </c>
      <c r="AG7547">
        <v>1</v>
      </c>
      <c r="AH7547">
        <v>1</v>
      </c>
      <c r="AI7547">
        <v>1</v>
      </c>
      <c r="AJ7547">
        <v>1</v>
      </c>
      <c r="AK7547">
        <v>1</v>
      </c>
      <c r="AL7547">
        <v>1</v>
      </c>
      <c r="AM7547">
        <v>0</v>
      </c>
    </row>
    <row r="7548" spans="1:39" x14ac:dyDescent="0.2">
      <c r="A7548" t="str">
        <f>"7544"</f>
        <v>7544</v>
      </c>
      <c r="B7548" t="str">
        <f t="shared" si="420"/>
        <v>1</v>
      </c>
      <c r="C7548" t="str">
        <f t="shared" si="419"/>
        <v>151</v>
      </c>
      <c r="D7548" t="str">
        <f>"31"</f>
        <v>31</v>
      </c>
      <c r="E7548" t="str">
        <f>"1-151-31"</f>
        <v>1-151-31</v>
      </c>
      <c r="F7548" t="s">
        <v>65</v>
      </c>
      <c r="G7548" t="s">
        <v>66</v>
      </c>
      <c r="H7548" t="s">
        <v>67</v>
      </c>
      <c r="S7548">
        <v>1</v>
      </c>
      <c r="T7548">
        <v>0</v>
      </c>
      <c r="U7548">
        <v>0</v>
      </c>
      <c r="V7548">
        <v>0</v>
      </c>
      <c r="W7548">
        <v>1</v>
      </c>
      <c r="X7548">
        <v>0</v>
      </c>
      <c r="Y7548">
        <v>1</v>
      </c>
      <c r="Z7548">
        <v>0</v>
      </c>
      <c r="AA7548">
        <v>1</v>
      </c>
      <c r="AB7548">
        <v>0</v>
      </c>
      <c r="AC7548">
        <v>0</v>
      </c>
      <c r="AD7548">
        <v>1</v>
      </c>
      <c r="AE7548">
        <v>1</v>
      </c>
      <c r="AF7548">
        <v>1</v>
      </c>
      <c r="AG7548">
        <v>1</v>
      </c>
      <c r="AH7548">
        <v>1</v>
      </c>
      <c r="AI7548">
        <v>1</v>
      </c>
      <c r="AJ7548">
        <v>1</v>
      </c>
      <c r="AK7548">
        <v>1</v>
      </c>
      <c r="AL7548">
        <v>1</v>
      </c>
      <c r="AM7548">
        <v>0</v>
      </c>
    </row>
    <row r="7549" spans="1:39" x14ac:dyDescent="0.2">
      <c r="A7549" t="str">
        <f>"7545"</f>
        <v>7545</v>
      </c>
      <c r="B7549" t="str">
        <f t="shared" si="420"/>
        <v>1</v>
      </c>
      <c r="C7549" t="str">
        <f t="shared" si="419"/>
        <v>151</v>
      </c>
      <c r="D7549" t="str">
        <f>"10"</f>
        <v>10</v>
      </c>
      <c r="E7549" t="str">
        <f>"1-151-10"</f>
        <v>1-151-10</v>
      </c>
      <c r="F7549" t="s">
        <v>65</v>
      </c>
      <c r="G7549" t="s">
        <v>66</v>
      </c>
      <c r="H7549" t="s">
        <v>67</v>
      </c>
      <c r="S7549">
        <v>1</v>
      </c>
      <c r="T7549">
        <v>0</v>
      </c>
      <c r="U7549">
        <v>0</v>
      </c>
      <c r="V7549">
        <v>0</v>
      </c>
      <c r="W7549">
        <v>1</v>
      </c>
      <c r="X7549">
        <v>0</v>
      </c>
      <c r="Y7549">
        <v>1</v>
      </c>
      <c r="Z7549">
        <v>0</v>
      </c>
      <c r="AA7549">
        <v>1</v>
      </c>
      <c r="AB7549">
        <v>0</v>
      </c>
      <c r="AC7549">
        <v>0</v>
      </c>
      <c r="AD7549">
        <v>1</v>
      </c>
      <c r="AE7549">
        <v>1</v>
      </c>
      <c r="AF7549">
        <v>1</v>
      </c>
      <c r="AG7549">
        <v>1</v>
      </c>
      <c r="AH7549">
        <v>1</v>
      </c>
      <c r="AI7549">
        <v>1</v>
      </c>
      <c r="AJ7549">
        <v>1</v>
      </c>
      <c r="AK7549">
        <v>1</v>
      </c>
      <c r="AL7549">
        <v>1</v>
      </c>
      <c r="AM7549">
        <v>1</v>
      </c>
    </row>
    <row r="7550" spans="1:39" x14ac:dyDescent="0.2">
      <c r="A7550" t="str">
        <f>"7546"</f>
        <v>7546</v>
      </c>
      <c r="B7550" t="str">
        <f t="shared" si="420"/>
        <v>1</v>
      </c>
      <c r="C7550" t="str">
        <f t="shared" si="419"/>
        <v>151</v>
      </c>
      <c r="D7550" t="str">
        <f>"48"</f>
        <v>48</v>
      </c>
      <c r="E7550" t="str">
        <f>"1-151-48"</f>
        <v>1-151-48</v>
      </c>
      <c r="F7550" t="s">
        <v>65</v>
      </c>
      <c r="G7550" t="s">
        <v>66</v>
      </c>
      <c r="H7550" t="s">
        <v>67</v>
      </c>
      <c r="S7550">
        <v>1</v>
      </c>
      <c r="T7550">
        <v>0</v>
      </c>
      <c r="U7550">
        <v>0</v>
      </c>
      <c r="V7550">
        <v>0</v>
      </c>
      <c r="W7550">
        <v>1</v>
      </c>
      <c r="X7550">
        <v>0</v>
      </c>
      <c r="Y7550">
        <v>1</v>
      </c>
      <c r="Z7550">
        <v>0</v>
      </c>
      <c r="AA7550">
        <v>0</v>
      </c>
      <c r="AB7550">
        <v>0</v>
      </c>
      <c r="AC7550">
        <v>1</v>
      </c>
      <c r="AD7550">
        <v>1</v>
      </c>
      <c r="AE7550">
        <v>1</v>
      </c>
      <c r="AF7550">
        <v>1</v>
      </c>
      <c r="AG7550">
        <v>1</v>
      </c>
      <c r="AH7550">
        <v>1</v>
      </c>
      <c r="AI7550">
        <v>1</v>
      </c>
      <c r="AJ7550">
        <v>1</v>
      </c>
      <c r="AK7550">
        <v>1</v>
      </c>
      <c r="AL7550">
        <v>1</v>
      </c>
      <c r="AM7550">
        <v>1</v>
      </c>
    </row>
    <row r="7551" spans="1:39" x14ac:dyDescent="0.2">
      <c r="A7551" t="str">
        <f>"7547"</f>
        <v>7547</v>
      </c>
      <c r="B7551" t="str">
        <f t="shared" si="420"/>
        <v>1</v>
      </c>
      <c r="C7551" t="str">
        <f t="shared" si="419"/>
        <v>151</v>
      </c>
      <c r="D7551" t="str">
        <f>"32"</f>
        <v>32</v>
      </c>
      <c r="E7551" t="str">
        <f>"1-151-32"</f>
        <v>1-151-32</v>
      </c>
      <c r="F7551" t="s">
        <v>65</v>
      </c>
      <c r="G7551" t="s">
        <v>66</v>
      </c>
      <c r="H7551" t="s">
        <v>67</v>
      </c>
      <c r="S7551">
        <v>0</v>
      </c>
      <c r="T7551">
        <v>1</v>
      </c>
      <c r="U7551">
        <v>0</v>
      </c>
      <c r="V7551">
        <v>0</v>
      </c>
      <c r="W7551">
        <v>0</v>
      </c>
      <c r="X7551">
        <v>1</v>
      </c>
      <c r="Y7551">
        <v>0</v>
      </c>
      <c r="Z7551">
        <v>1</v>
      </c>
      <c r="AA7551">
        <v>0</v>
      </c>
      <c r="AB7551">
        <v>0</v>
      </c>
      <c r="AC7551">
        <v>1</v>
      </c>
      <c r="AD7551">
        <v>1</v>
      </c>
      <c r="AE7551">
        <v>1</v>
      </c>
      <c r="AF7551">
        <v>1</v>
      </c>
      <c r="AG7551">
        <v>1</v>
      </c>
      <c r="AH7551">
        <v>1</v>
      </c>
      <c r="AI7551">
        <v>0</v>
      </c>
      <c r="AJ7551">
        <v>1</v>
      </c>
      <c r="AK7551">
        <v>1</v>
      </c>
      <c r="AL7551">
        <v>1</v>
      </c>
      <c r="AM7551">
        <v>1</v>
      </c>
    </row>
    <row r="7552" spans="1:39" x14ac:dyDescent="0.2">
      <c r="A7552" t="str">
        <f>"7548"</f>
        <v>7548</v>
      </c>
      <c r="B7552" t="str">
        <f t="shared" si="420"/>
        <v>1</v>
      </c>
      <c r="C7552" t="str">
        <f t="shared" si="419"/>
        <v>151</v>
      </c>
      <c r="D7552" t="str">
        <f>"12"</f>
        <v>12</v>
      </c>
      <c r="E7552" t="str">
        <f>"1-151-12"</f>
        <v>1-151-12</v>
      </c>
      <c r="F7552" t="s">
        <v>65</v>
      </c>
      <c r="G7552" t="s">
        <v>66</v>
      </c>
      <c r="H7552" t="s">
        <v>67</v>
      </c>
      <c r="S7552">
        <v>1</v>
      </c>
      <c r="T7552">
        <v>0</v>
      </c>
      <c r="U7552">
        <v>0</v>
      </c>
      <c r="V7552">
        <v>0</v>
      </c>
      <c r="W7552">
        <v>1</v>
      </c>
      <c r="X7552">
        <v>0</v>
      </c>
      <c r="Y7552">
        <v>1</v>
      </c>
      <c r="Z7552">
        <v>0</v>
      </c>
      <c r="AA7552">
        <v>1</v>
      </c>
      <c r="AB7552">
        <v>0</v>
      </c>
      <c r="AC7552">
        <v>0</v>
      </c>
      <c r="AD7552">
        <v>1</v>
      </c>
      <c r="AE7552">
        <v>1</v>
      </c>
      <c r="AF7552">
        <v>1</v>
      </c>
      <c r="AG7552">
        <v>1</v>
      </c>
      <c r="AH7552">
        <v>1</v>
      </c>
      <c r="AI7552">
        <v>1</v>
      </c>
      <c r="AJ7552">
        <v>1</v>
      </c>
      <c r="AK7552">
        <v>1</v>
      </c>
      <c r="AL7552">
        <v>1</v>
      </c>
      <c r="AM7552">
        <v>1</v>
      </c>
    </row>
    <row r="7553" spans="1:39" x14ac:dyDescent="0.2">
      <c r="A7553" t="str">
        <f>"7549"</f>
        <v>7549</v>
      </c>
      <c r="B7553" t="str">
        <f t="shared" si="420"/>
        <v>1</v>
      </c>
      <c r="C7553" t="str">
        <f t="shared" si="419"/>
        <v>151</v>
      </c>
      <c r="D7553" t="str">
        <f>"15"</f>
        <v>15</v>
      </c>
      <c r="E7553" t="str">
        <f>"1-151-15"</f>
        <v>1-151-15</v>
      </c>
      <c r="F7553" t="s">
        <v>65</v>
      </c>
      <c r="G7553" t="s">
        <v>66</v>
      </c>
      <c r="H7553" t="s">
        <v>67</v>
      </c>
      <c r="S7553">
        <v>0</v>
      </c>
      <c r="T7553">
        <v>1</v>
      </c>
      <c r="U7553">
        <v>0</v>
      </c>
      <c r="V7553">
        <v>0</v>
      </c>
      <c r="W7553">
        <v>0</v>
      </c>
      <c r="X7553">
        <v>1</v>
      </c>
      <c r="Y7553">
        <v>0</v>
      </c>
      <c r="Z7553">
        <v>1</v>
      </c>
      <c r="AA7553">
        <v>0</v>
      </c>
      <c r="AB7553">
        <v>1</v>
      </c>
      <c r="AC7553">
        <v>0</v>
      </c>
      <c r="AD7553">
        <v>1</v>
      </c>
      <c r="AE7553">
        <v>1</v>
      </c>
      <c r="AF7553">
        <v>1</v>
      </c>
      <c r="AG7553">
        <v>1</v>
      </c>
      <c r="AH7553">
        <v>1</v>
      </c>
      <c r="AI7553">
        <v>1</v>
      </c>
      <c r="AJ7553">
        <v>1</v>
      </c>
      <c r="AK7553">
        <v>1</v>
      </c>
      <c r="AL7553">
        <v>1</v>
      </c>
      <c r="AM7553">
        <v>1</v>
      </c>
    </row>
    <row r="7554" spans="1:39" x14ac:dyDescent="0.2">
      <c r="A7554" t="str">
        <f>"7550"</f>
        <v>7550</v>
      </c>
      <c r="B7554" t="str">
        <f t="shared" si="420"/>
        <v>1</v>
      </c>
      <c r="C7554" t="str">
        <f t="shared" si="419"/>
        <v>151</v>
      </c>
      <c r="D7554" t="str">
        <f>"14"</f>
        <v>14</v>
      </c>
      <c r="E7554" t="str">
        <f>"1-151-14"</f>
        <v>1-151-14</v>
      </c>
      <c r="F7554" t="s">
        <v>65</v>
      </c>
      <c r="G7554" t="s">
        <v>66</v>
      </c>
      <c r="H7554" t="s">
        <v>67</v>
      </c>
      <c r="S7554">
        <v>0</v>
      </c>
      <c r="T7554">
        <v>1</v>
      </c>
      <c r="U7554">
        <v>0</v>
      </c>
      <c r="V7554">
        <v>0</v>
      </c>
      <c r="W7554">
        <v>0</v>
      </c>
      <c r="X7554">
        <v>1</v>
      </c>
      <c r="Y7554">
        <v>0</v>
      </c>
      <c r="Z7554">
        <v>1</v>
      </c>
      <c r="AA7554">
        <v>0</v>
      </c>
      <c r="AB7554">
        <v>1</v>
      </c>
      <c r="AC7554">
        <v>0</v>
      </c>
      <c r="AD7554">
        <v>1</v>
      </c>
      <c r="AE7554">
        <v>1</v>
      </c>
      <c r="AF7554">
        <v>1</v>
      </c>
      <c r="AG7554">
        <v>1</v>
      </c>
      <c r="AH7554">
        <v>1</v>
      </c>
      <c r="AI7554">
        <v>1</v>
      </c>
      <c r="AJ7554">
        <v>1</v>
      </c>
      <c r="AK7554">
        <v>1</v>
      </c>
      <c r="AL7554">
        <v>1</v>
      </c>
      <c r="AM7554">
        <v>1</v>
      </c>
    </row>
    <row r="7555" spans="1:39" x14ac:dyDescent="0.2">
      <c r="A7555" t="str">
        <f>"7551"</f>
        <v>7551</v>
      </c>
      <c r="B7555" t="str">
        <f t="shared" si="420"/>
        <v>1</v>
      </c>
      <c r="C7555" t="str">
        <f t="shared" ref="C7555:C7586" si="421">"152"</f>
        <v>152</v>
      </c>
      <c r="D7555" t="str">
        <f>"33"</f>
        <v>33</v>
      </c>
      <c r="E7555" t="str">
        <f>"1-152-33"</f>
        <v>1-152-33</v>
      </c>
      <c r="F7555" t="s">
        <v>65</v>
      </c>
      <c r="G7555" t="s">
        <v>66</v>
      </c>
      <c r="H7555" t="s">
        <v>67</v>
      </c>
      <c r="S7555">
        <v>1</v>
      </c>
      <c r="T7555">
        <v>0</v>
      </c>
      <c r="U7555">
        <v>0</v>
      </c>
      <c r="V7555">
        <v>0</v>
      </c>
      <c r="W7555">
        <v>1</v>
      </c>
      <c r="X7555">
        <v>0</v>
      </c>
      <c r="Y7555">
        <v>0</v>
      </c>
      <c r="Z7555">
        <v>1</v>
      </c>
      <c r="AA7555">
        <v>1</v>
      </c>
      <c r="AB7555">
        <v>0</v>
      </c>
      <c r="AC7555">
        <v>0</v>
      </c>
      <c r="AD7555">
        <v>1</v>
      </c>
      <c r="AE7555">
        <v>1</v>
      </c>
      <c r="AF7555">
        <v>1</v>
      </c>
      <c r="AG7555">
        <v>1</v>
      </c>
      <c r="AH7555">
        <v>1</v>
      </c>
      <c r="AI7555">
        <v>1</v>
      </c>
      <c r="AJ7555">
        <v>1</v>
      </c>
      <c r="AK7555">
        <v>1</v>
      </c>
      <c r="AL7555">
        <v>1</v>
      </c>
      <c r="AM7555">
        <v>1</v>
      </c>
    </row>
    <row r="7556" spans="1:39" x14ac:dyDescent="0.2">
      <c r="A7556" t="str">
        <f>"7552"</f>
        <v>7552</v>
      </c>
      <c r="B7556" t="str">
        <f t="shared" si="420"/>
        <v>1</v>
      </c>
      <c r="C7556" t="str">
        <f t="shared" si="421"/>
        <v>152</v>
      </c>
      <c r="D7556" t="str">
        <f>"15"</f>
        <v>15</v>
      </c>
      <c r="E7556" t="str">
        <f>"1-152-15"</f>
        <v>1-152-15</v>
      </c>
      <c r="F7556" t="s">
        <v>65</v>
      </c>
      <c r="G7556" t="s">
        <v>66</v>
      </c>
      <c r="H7556" t="s">
        <v>67</v>
      </c>
      <c r="S7556">
        <v>1</v>
      </c>
      <c r="T7556">
        <v>0</v>
      </c>
      <c r="U7556">
        <v>0</v>
      </c>
      <c r="V7556">
        <v>0</v>
      </c>
      <c r="W7556">
        <v>1</v>
      </c>
      <c r="X7556">
        <v>0</v>
      </c>
      <c r="Y7556">
        <v>0</v>
      </c>
      <c r="Z7556">
        <v>1</v>
      </c>
      <c r="AA7556">
        <v>0</v>
      </c>
      <c r="AB7556">
        <v>0</v>
      </c>
      <c r="AC7556">
        <v>1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</row>
    <row r="7557" spans="1:39" x14ac:dyDescent="0.2">
      <c r="A7557" t="str">
        <f>"7553"</f>
        <v>7553</v>
      </c>
      <c r="B7557" t="str">
        <f t="shared" si="420"/>
        <v>1</v>
      </c>
      <c r="C7557" t="str">
        <f t="shared" si="421"/>
        <v>152</v>
      </c>
      <c r="D7557" t="str">
        <f>"3"</f>
        <v>3</v>
      </c>
      <c r="E7557" t="str">
        <f>"1-152-3"</f>
        <v>1-152-3</v>
      </c>
      <c r="F7557" t="s">
        <v>65</v>
      </c>
      <c r="G7557" t="s">
        <v>66</v>
      </c>
      <c r="H7557" t="s">
        <v>67</v>
      </c>
      <c r="S7557">
        <v>1</v>
      </c>
      <c r="T7557">
        <v>0</v>
      </c>
      <c r="U7557">
        <v>0</v>
      </c>
      <c r="V7557">
        <v>0</v>
      </c>
      <c r="W7557">
        <v>1</v>
      </c>
      <c r="X7557">
        <v>0</v>
      </c>
      <c r="Y7557">
        <v>1</v>
      </c>
      <c r="Z7557">
        <v>0</v>
      </c>
      <c r="AA7557">
        <v>0</v>
      </c>
      <c r="AB7557">
        <v>0</v>
      </c>
      <c r="AC7557">
        <v>1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</row>
    <row r="7558" spans="1:39" x14ac:dyDescent="0.2">
      <c r="A7558" t="str">
        <f>"7554"</f>
        <v>7554</v>
      </c>
      <c r="B7558" t="str">
        <f t="shared" si="420"/>
        <v>1</v>
      </c>
      <c r="C7558" t="str">
        <f t="shared" si="421"/>
        <v>152</v>
      </c>
      <c r="D7558" t="str">
        <f>"45"</f>
        <v>45</v>
      </c>
      <c r="E7558" t="str">
        <f>"1-152-45"</f>
        <v>1-152-45</v>
      </c>
      <c r="F7558" t="s">
        <v>65</v>
      </c>
      <c r="G7558" t="s">
        <v>66</v>
      </c>
      <c r="H7558" t="s">
        <v>67</v>
      </c>
      <c r="S7558">
        <v>0</v>
      </c>
      <c r="T7558">
        <v>1</v>
      </c>
      <c r="U7558">
        <v>0</v>
      </c>
      <c r="V7558">
        <v>0</v>
      </c>
      <c r="W7558">
        <v>1</v>
      </c>
      <c r="X7558">
        <v>0</v>
      </c>
      <c r="Y7558">
        <v>1</v>
      </c>
      <c r="Z7558">
        <v>0</v>
      </c>
      <c r="AA7558">
        <v>0</v>
      </c>
      <c r="AB7558">
        <v>0</v>
      </c>
      <c r="AC7558">
        <v>0</v>
      </c>
      <c r="AD7558">
        <v>1</v>
      </c>
      <c r="AE7558">
        <v>1</v>
      </c>
      <c r="AF7558">
        <v>1</v>
      </c>
      <c r="AG7558">
        <v>1</v>
      </c>
      <c r="AH7558">
        <v>1</v>
      </c>
      <c r="AI7558">
        <v>1</v>
      </c>
      <c r="AJ7558">
        <v>1</v>
      </c>
      <c r="AK7558">
        <v>1</v>
      </c>
      <c r="AL7558">
        <v>1</v>
      </c>
      <c r="AM7558">
        <v>1</v>
      </c>
    </row>
    <row r="7559" spans="1:39" x14ac:dyDescent="0.2">
      <c r="A7559" t="str">
        <f>"7555"</f>
        <v>7555</v>
      </c>
      <c r="B7559" t="str">
        <f t="shared" si="420"/>
        <v>1</v>
      </c>
      <c r="C7559" t="str">
        <f t="shared" si="421"/>
        <v>152</v>
      </c>
      <c r="D7559" t="str">
        <f>"44"</f>
        <v>44</v>
      </c>
      <c r="E7559" t="str">
        <f>"1-152-44"</f>
        <v>1-152-44</v>
      </c>
      <c r="F7559" t="s">
        <v>65</v>
      </c>
      <c r="G7559" t="s">
        <v>66</v>
      </c>
      <c r="H7559" t="s">
        <v>67</v>
      </c>
      <c r="S7559">
        <v>0</v>
      </c>
      <c r="T7559">
        <v>1</v>
      </c>
      <c r="U7559">
        <v>0</v>
      </c>
      <c r="V7559">
        <v>0</v>
      </c>
      <c r="W7559">
        <v>1</v>
      </c>
      <c r="X7559">
        <v>0</v>
      </c>
      <c r="Y7559">
        <v>0</v>
      </c>
      <c r="Z7559">
        <v>1</v>
      </c>
      <c r="AA7559">
        <v>1</v>
      </c>
      <c r="AB7559">
        <v>0</v>
      </c>
      <c r="AC7559">
        <v>0</v>
      </c>
      <c r="AD7559">
        <v>1</v>
      </c>
      <c r="AE7559">
        <v>1</v>
      </c>
      <c r="AF7559">
        <v>1</v>
      </c>
      <c r="AG7559">
        <v>1</v>
      </c>
      <c r="AH7559">
        <v>1</v>
      </c>
      <c r="AI7559">
        <v>1</v>
      </c>
      <c r="AJ7559">
        <v>1</v>
      </c>
      <c r="AK7559">
        <v>1</v>
      </c>
      <c r="AL7559">
        <v>1</v>
      </c>
      <c r="AM7559">
        <v>1</v>
      </c>
    </row>
    <row r="7560" spans="1:39" x14ac:dyDescent="0.2">
      <c r="A7560" t="str">
        <f>"7556"</f>
        <v>7556</v>
      </c>
      <c r="B7560" t="str">
        <f t="shared" si="420"/>
        <v>1</v>
      </c>
      <c r="C7560" t="str">
        <f t="shared" si="421"/>
        <v>152</v>
      </c>
      <c r="D7560" t="str">
        <f>"38"</f>
        <v>38</v>
      </c>
      <c r="E7560" t="str">
        <f>"1-152-38"</f>
        <v>1-152-38</v>
      </c>
      <c r="F7560" t="s">
        <v>65</v>
      </c>
      <c r="G7560" t="s">
        <v>66</v>
      </c>
      <c r="H7560" t="s">
        <v>67</v>
      </c>
      <c r="S7560">
        <v>1</v>
      </c>
      <c r="T7560">
        <v>0</v>
      </c>
      <c r="U7560">
        <v>0</v>
      </c>
      <c r="V7560">
        <v>0</v>
      </c>
      <c r="W7560">
        <v>0</v>
      </c>
      <c r="X7560">
        <v>1</v>
      </c>
      <c r="Y7560">
        <v>0</v>
      </c>
      <c r="Z7560">
        <v>1</v>
      </c>
      <c r="AA7560">
        <v>0</v>
      </c>
      <c r="AB7560">
        <v>1</v>
      </c>
      <c r="AC7560">
        <v>0</v>
      </c>
      <c r="AD7560">
        <v>1</v>
      </c>
      <c r="AE7560">
        <v>1</v>
      </c>
      <c r="AF7560">
        <v>1</v>
      </c>
      <c r="AG7560">
        <v>1</v>
      </c>
      <c r="AH7560">
        <v>1</v>
      </c>
      <c r="AI7560">
        <v>1</v>
      </c>
      <c r="AJ7560">
        <v>1</v>
      </c>
      <c r="AK7560">
        <v>1</v>
      </c>
      <c r="AL7560">
        <v>1</v>
      </c>
      <c r="AM7560">
        <v>1</v>
      </c>
    </row>
    <row r="7561" spans="1:39" x14ac:dyDescent="0.2">
      <c r="A7561" t="str">
        <f>"7557"</f>
        <v>7557</v>
      </c>
      <c r="B7561" t="str">
        <f t="shared" si="420"/>
        <v>1</v>
      </c>
      <c r="C7561" t="str">
        <f t="shared" si="421"/>
        <v>152</v>
      </c>
      <c r="D7561" t="str">
        <f>"37"</f>
        <v>37</v>
      </c>
      <c r="E7561" t="str">
        <f>"1-152-37"</f>
        <v>1-152-37</v>
      </c>
      <c r="F7561" t="s">
        <v>65</v>
      </c>
      <c r="G7561" t="s">
        <v>66</v>
      </c>
      <c r="H7561" t="s">
        <v>67</v>
      </c>
      <c r="S7561">
        <v>1</v>
      </c>
      <c r="T7561">
        <v>0</v>
      </c>
      <c r="U7561">
        <v>0</v>
      </c>
      <c r="V7561">
        <v>0</v>
      </c>
      <c r="W7561">
        <v>1</v>
      </c>
      <c r="X7561">
        <v>0</v>
      </c>
      <c r="Y7561">
        <v>0</v>
      </c>
      <c r="Z7561">
        <v>1</v>
      </c>
      <c r="AA7561">
        <v>0</v>
      </c>
      <c r="AB7561">
        <v>0</v>
      </c>
      <c r="AC7561">
        <v>1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</row>
    <row r="7562" spans="1:39" x14ac:dyDescent="0.2">
      <c r="A7562" t="str">
        <f>"7558"</f>
        <v>7558</v>
      </c>
      <c r="B7562" t="str">
        <f t="shared" si="420"/>
        <v>1</v>
      </c>
      <c r="C7562" t="str">
        <f t="shared" si="421"/>
        <v>152</v>
      </c>
      <c r="D7562" t="str">
        <f>"28"</f>
        <v>28</v>
      </c>
      <c r="E7562" t="str">
        <f>"1-152-28"</f>
        <v>1-152-28</v>
      </c>
      <c r="F7562" t="s">
        <v>65</v>
      </c>
      <c r="G7562" t="s">
        <v>66</v>
      </c>
      <c r="H7562" t="s">
        <v>67</v>
      </c>
      <c r="S7562">
        <v>1</v>
      </c>
      <c r="T7562">
        <v>0</v>
      </c>
      <c r="U7562">
        <v>0</v>
      </c>
      <c r="V7562">
        <v>0</v>
      </c>
      <c r="W7562">
        <v>1</v>
      </c>
      <c r="X7562">
        <v>0</v>
      </c>
      <c r="Y7562">
        <v>1</v>
      </c>
      <c r="Z7562">
        <v>0</v>
      </c>
      <c r="AA7562">
        <v>1</v>
      </c>
      <c r="AB7562">
        <v>0</v>
      </c>
      <c r="AC7562">
        <v>0</v>
      </c>
      <c r="AD7562">
        <v>1</v>
      </c>
      <c r="AE7562">
        <v>1</v>
      </c>
      <c r="AF7562">
        <v>1</v>
      </c>
      <c r="AG7562">
        <v>1</v>
      </c>
      <c r="AH7562">
        <v>0</v>
      </c>
      <c r="AI7562">
        <v>0</v>
      </c>
      <c r="AJ7562">
        <v>1</v>
      </c>
      <c r="AK7562">
        <v>1</v>
      </c>
      <c r="AL7562">
        <v>0</v>
      </c>
      <c r="AM7562">
        <v>1</v>
      </c>
    </row>
    <row r="7563" spans="1:39" x14ac:dyDescent="0.2">
      <c r="A7563" t="str">
        <f>"7559"</f>
        <v>7559</v>
      </c>
      <c r="B7563" t="str">
        <f t="shared" si="420"/>
        <v>1</v>
      </c>
      <c r="C7563" t="str">
        <f t="shared" si="421"/>
        <v>152</v>
      </c>
      <c r="D7563" t="str">
        <f>"27"</f>
        <v>27</v>
      </c>
      <c r="E7563" t="str">
        <f>"1-152-27"</f>
        <v>1-152-27</v>
      </c>
      <c r="F7563" t="s">
        <v>65</v>
      </c>
      <c r="G7563" t="s">
        <v>66</v>
      </c>
      <c r="H7563" t="s">
        <v>67</v>
      </c>
      <c r="S7563">
        <v>1</v>
      </c>
      <c r="T7563">
        <v>0</v>
      </c>
      <c r="U7563">
        <v>0</v>
      </c>
      <c r="V7563">
        <v>0</v>
      </c>
      <c r="W7563">
        <v>1</v>
      </c>
      <c r="X7563">
        <v>0</v>
      </c>
      <c r="Y7563">
        <v>1</v>
      </c>
      <c r="Z7563">
        <v>0</v>
      </c>
      <c r="AA7563">
        <v>0</v>
      </c>
      <c r="AB7563">
        <v>0</v>
      </c>
      <c r="AC7563">
        <v>1</v>
      </c>
      <c r="AD7563">
        <v>1</v>
      </c>
      <c r="AE7563">
        <v>1</v>
      </c>
      <c r="AF7563">
        <v>1</v>
      </c>
      <c r="AG7563">
        <v>1</v>
      </c>
      <c r="AH7563">
        <v>1</v>
      </c>
      <c r="AI7563">
        <v>1</v>
      </c>
      <c r="AJ7563">
        <v>1</v>
      </c>
      <c r="AK7563">
        <v>1</v>
      </c>
      <c r="AL7563">
        <v>1</v>
      </c>
      <c r="AM7563">
        <v>1</v>
      </c>
    </row>
    <row r="7564" spans="1:39" x14ac:dyDescent="0.2">
      <c r="A7564" t="str">
        <f>"7560"</f>
        <v>7560</v>
      </c>
      <c r="B7564" t="str">
        <f t="shared" si="420"/>
        <v>1</v>
      </c>
      <c r="C7564" t="str">
        <f t="shared" si="421"/>
        <v>152</v>
      </c>
      <c r="D7564" t="str">
        <f>"19"</f>
        <v>19</v>
      </c>
      <c r="E7564" t="str">
        <f>"1-152-19"</f>
        <v>1-152-19</v>
      </c>
      <c r="F7564" t="s">
        <v>65</v>
      </c>
      <c r="G7564" t="s">
        <v>66</v>
      </c>
      <c r="H7564" t="s">
        <v>67</v>
      </c>
      <c r="S7564">
        <v>1</v>
      </c>
      <c r="T7564">
        <v>0</v>
      </c>
      <c r="U7564">
        <v>0</v>
      </c>
      <c r="V7564">
        <v>0</v>
      </c>
      <c r="W7564">
        <v>1</v>
      </c>
      <c r="X7564">
        <v>0</v>
      </c>
      <c r="Y7564">
        <v>0</v>
      </c>
      <c r="Z7564">
        <v>1</v>
      </c>
      <c r="AA7564">
        <v>1</v>
      </c>
      <c r="AB7564">
        <v>0</v>
      </c>
      <c r="AC7564">
        <v>0</v>
      </c>
      <c r="AD7564">
        <v>1</v>
      </c>
      <c r="AE7564">
        <v>1</v>
      </c>
      <c r="AF7564">
        <v>1</v>
      </c>
      <c r="AG7564">
        <v>1</v>
      </c>
      <c r="AH7564">
        <v>1</v>
      </c>
      <c r="AI7564">
        <v>1</v>
      </c>
      <c r="AJ7564">
        <v>1</v>
      </c>
      <c r="AK7564">
        <v>1</v>
      </c>
      <c r="AL7564">
        <v>1</v>
      </c>
      <c r="AM7564">
        <v>1</v>
      </c>
    </row>
    <row r="7565" spans="1:39" x14ac:dyDescent="0.2">
      <c r="A7565" t="str">
        <f>"7561"</f>
        <v>7561</v>
      </c>
      <c r="B7565" t="str">
        <f t="shared" si="420"/>
        <v>1</v>
      </c>
      <c r="C7565" t="str">
        <f t="shared" si="421"/>
        <v>152</v>
      </c>
      <c r="D7565" t="str">
        <f>"16"</f>
        <v>16</v>
      </c>
      <c r="E7565" t="str">
        <f>"1-152-16"</f>
        <v>1-152-16</v>
      </c>
      <c r="F7565" t="s">
        <v>65</v>
      </c>
      <c r="G7565" t="s">
        <v>66</v>
      </c>
      <c r="H7565" t="s">
        <v>67</v>
      </c>
      <c r="S7565">
        <v>1</v>
      </c>
      <c r="T7565">
        <v>0</v>
      </c>
      <c r="U7565">
        <v>0</v>
      </c>
      <c r="V7565">
        <v>0</v>
      </c>
      <c r="W7565">
        <v>1</v>
      </c>
      <c r="X7565">
        <v>0</v>
      </c>
      <c r="Y7565">
        <v>1</v>
      </c>
      <c r="Z7565">
        <v>0</v>
      </c>
      <c r="AA7565">
        <v>1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</row>
    <row r="7566" spans="1:39" x14ac:dyDescent="0.2">
      <c r="A7566" t="str">
        <f>"7562"</f>
        <v>7562</v>
      </c>
      <c r="B7566" t="str">
        <f t="shared" si="420"/>
        <v>1</v>
      </c>
      <c r="C7566" t="str">
        <f t="shared" si="421"/>
        <v>152</v>
      </c>
      <c r="D7566" t="str">
        <f>"4"</f>
        <v>4</v>
      </c>
      <c r="E7566" t="str">
        <f>"1-152-4"</f>
        <v>1-152-4</v>
      </c>
      <c r="F7566" t="s">
        <v>65</v>
      </c>
      <c r="G7566" t="s">
        <v>66</v>
      </c>
      <c r="H7566" t="s">
        <v>67</v>
      </c>
      <c r="S7566">
        <v>1</v>
      </c>
      <c r="T7566">
        <v>0</v>
      </c>
      <c r="U7566">
        <v>0</v>
      </c>
      <c r="V7566">
        <v>0</v>
      </c>
      <c r="W7566">
        <v>1</v>
      </c>
      <c r="X7566">
        <v>0</v>
      </c>
      <c r="Y7566">
        <v>1</v>
      </c>
      <c r="Z7566">
        <v>0</v>
      </c>
      <c r="AA7566">
        <v>1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1</v>
      </c>
      <c r="AH7566">
        <v>1</v>
      </c>
      <c r="AI7566">
        <v>1</v>
      </c>
      <c r="AJ7566">
        <v>1</v>
      </c>
      <c r="AK7566">
        <v>1</v>
      </c>
      <c r="AL7566">
        <v>1</v>
      </c>
      <c r="AM7566">
        <v>0</v>
      </c>
    </row>
    <row r="7567" spans="1:39" x14ac:dyDescent="0.2">
      <c r="A7567" t="str">
        <f>"7563"</f>
        <v>7563</v>
      </c>
      <c r="B7567" t="str">
        <f t="shared" si="420"/>
        <v>1</v>
      </c>
      <c r="C7567" t="str">
        <f t="shared" si="421"/>
        <v>152</v>
      </c>
      <c r="D7567" t="str">
        <f>"34"</f>
        <v>34</v>
      </c>
      <c r="E7567" t="str">
        <f>"1-152-34"</f>
        <v>1-152-34</v>
      </c>
      <c r="F7567" t="s">
        <v>65</v>
      </c>
      <c r="G7567" t="s">
        <v>66</v>
      </c>
      <c r="H7567" t="s">
        <v>67</v>
      </c>
      <c r="S7567">
        <v>1</v>
      </c>
      <c r="T7567">
        <v>0</v>
      </c>
      <c r="U7567">
        <v>0</v>
      </c>
      <c r="V7567">
        <v>0</v>
      </c>
      <c r="W7567">
        <v>1</v>
      </c>
      <c r="X7567">
        <v>0</v>
      </c>
      <c r="Y7567">
        <v>1</v>
      </c>
      <c r="Z7567">
        <v>0</v>
      </c>
      <c r="AA7567">
        <v>1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1</v>
      </c>
      <c r="AH7567">
        <v>1</v>
      </c>
      <c r="AI7567">
        <v>1</v>
      </c>
      <c r="AJ7567">
        <v>1</v>
      </c>
      <c r="AK7567">
        <v>1</v>
      </c>
      <c r="AL7567">
        <v>1</v>
      </c>
      <c r="AM7567">
        <v>1</v>
      </c>
    </row>
    <row r="7568" spans="1:39" x14ac:dyDescent="0.2">
      <c r="A7568" t="str">
        <f>"7564"</f>
        <v>7564</v>
      </c>
      <c r="B7568" t="str">
        <f t="shared" si="420"/>
        <v>1</v>
      </c>
      <c r="C7568" t="str">
        <f t="shared" si="421"/>
        <v>152</v>
      </c>
      <c r="D7568" t="str">
        <f>"17"</f>
        <v>17</v>
      </c>
      <c r="E7568" t="str">
        <f>"1-152-17"</f>
        <v>1-152-17</v>
      </c>
      <c r="F7568" t="s">
        <v>65</v>
      </c>
      <c r="G7568" t="s">
        <v>66</v>
      </c>
      <c r="H7568" t="s">
        <v>67</v>
      </c>
      <c r="S7568">
        <v>1</v>
      </c>
      <c r="T7568">
        <v>0</v>
      </c>
      <c r="U7568">
        <v>0</v>
      </c>
      <c r="V7568">
        <v>0</v>
      </c>
      <c r="W7568">
        <v>1</v>
      </c>
      <c r="X7568">
        <v>0</v>
      </c>
      <c r="Y7568">
        <v>1</v>
      </c>
      <c r="Z7568">
        <v>0</v>
      </c>
      <c r="AA7568">
        <v>0</v>
      </c>
      <c r="AB7568">
        <v>1</v>
      </c>
      <c r="AC7568">
        <v>0</v>
      </c>
      <c r="AD7568">
        <v>0</v>
      </c>
      <c r="AE7568">
        <v>0</v>
      </c>
      <c r="AF7568">
        <v>0</v>
      </c>
      <c r="AG7568">
        <v>1</v>
      </c>
      <c r="AH7568">
        <v>1</v>
      </c>
      <c r="AI7568">
        <v>1</v>
      </c>
      <c r="AJ7568">
        <v>1</v>
      </c>
      <c r="AK7568">
        <v>1</v>
      </c>
      <c r="AL7568">
        <v>1</v>
      </c>
      <c r="AM7568">
        <v>1</v>
      </c>
    </row>
    <row r="7569" spans="1:39" x14ac:dyDescent="0.2">
      <c r="A7569" t="str">
        <f>"7565"</f>
        <v>7565</v>
      </c>
      <c r="B7569" t="str">
        <f t="shared" si="420"/>
        <v>1</v>
      </c>
      <c r="C7569" t="str">
        <f t="shared" si="421"/>
        <v>152</v>
      </c>
      <c r="D7569" t="str">
        <f>"14"</f>
        <v>14</v>
      </c>
      <c r="E7569" t="str">
        <f>"1-152-14"</f>
        <v>1-152-14</v>
      </c>
      <c r="F7569" t="s">
        <v>65</v>
      </c>
      <c r="G7569" t="s">
        <v>66</v>
      </c>
      <c r="H7569" t="s">
        <v>67</v>
      </c>
      <c r="S7569">
        <v>1</v>
      </c>
      <c r="T7569">
        <v>0</v>
      </c>
      <c r="U7569">
        <v>0</v>
      </c>
      <c r="V7569">
        <v>0</v>
      </c>
      <c r="W7569">
        <v>1</v>
      </c>
      <c r="X7569">
        <v>0</v>
      </c>
      <c r="Y7569">
        <v>0</v>
      </c>
      <c r="Z7569">
        <v>1</v>
      </c>
      <c r="AA7569">
        <v>0</v>
      </c>
      <c r="AB7569">
        <v>1</v>
      </c>
      <c r="AC7569">
        <v>0</v>
      </c>
      <c r="AD7569">
        <v>1</v>
      </c>
      <c r="AE7569">
        <v>1</v>
      </c>
      <c r="AF7569">
        <v>1</v>
      </c>
      <c r="AG7569">
        <v>1</v>
      </c>
      <c r="AH7569">
        <v>1</v>
      </c>
      <c r="AI7569">
        <v>1</v>
      </c>
      <c r="AJ7569">
        <v>1</v>
      </c>
      <c r="AK7569">
        <v>1</v>
      </c>
      <c r="AL7569">
        <v>1</v>
      </c>
      <c r="AM7569">
        <v>1</v>
      </c>
    </row>
    <row r="7570" spans="1:39" x14ac:dyDescent="0.2">
      <c r="A7570" t="str">
        <f>"7566"</f>
        <v>7566</v>
      </c>
      <c r="B7570" t="str">
        <f t="shared" si="420"/>
        <v>1</v>
      </c>
      <c r="C7570" t="str">
        <f t="shared" si="421"/>
        <v>152</v>
      </c>
      <c r="D7570" t="str">
        <f>"35"</f>
        <v>35</v>
      </c>
      <c r="E7570" t="str">
        <f>"1-152-35"</f>
        <v>1-152-35</v>
      </c>
      <c r="F7570" t="s">
        <v>65</v>
      </c>
      <c r="G7570" t="s">
        <v>66</v>
      </c>
      <c r="H7570" t="s">
        <v>67</v>
      </c>
      <c r="S7570">
        <v>1</v>
      </c>
      <c r="T7570">
        <v>0</v>
      </c>
      <c r="U7570">
        <v>0</v>
      </c>
      <c r="V7570">
        <v>0</v>
      </c>
      <c r="W7570">
        <v>1</v>
      </c>
      <c r="X7570">
        <v>0</v>
      </c>
      <c r="Y7570">
        <v>0</v>
      </c>
      <c r="Z7570">
        <v>1</v>
      </c>
      <c r="AA7570">
        <v>1</v>
      </c>
      <c r="AB7570">
        <v>0</v>
      </c>
      <c r="AC7570">
        <v>0</v>
      </c>
      <c r="AD7570">
        <v>1</v>
      </c>
      <c r="AE7570">
        <v>1</v>
      </c>
      <c r="AF7570">
        <v>1</v>
      </c>
      <c r="AG7570">
        <v>1</v>
      </c>
      <c r="AH7570">
        <v>1</v>
      </c>
      <c r="AI7570">
        <v>1</v>
      </c>
      <c r="AJ7570">
        <v>1</v>
      </c>
      <c r="AK7570">
        <v>1</v>
      </c>
      <c r="AL7570">
        <v>1</v>
      </c>
      <c r="AM7570">
        <v>1</v>
      </c>
    </row>
    <row r="7571" spans="1:39" x14ac:dyDescent="0.2">
      <c r="A7571" t="str">
        <f>"7567"</f>
        <v>7567</v>
      </c>
      <c r="B7571" t="str">
        <f t="shared" si="420"/>
        <v>1</v>
      </c>
      <c r="C7571" t="str">
        <f t="shared" si="421"/>
        <v>152</v>
      </c>
      <c r="D7571" t="str">
        <f>"24"</f>
        <v>24</v>
      </c>
      <c r="E7571" t="str">
        <f>"1-152-24"</f>
        <v>1-152-24</v>
      </c>
      <c r="F7571" t="s">
        <v>65</v>
      </c>
      <c r="G7571" t="s">
        <v>66</v>
      </c>
      <c r="H7571" t="s">
        <v>67</v>
      </c>
      <c r="S7571">
        <v>1</v>
      </c>
      <c r="T7571">
        <v>0</v>
      </c>
      <c r="U7571">
        <v>0</v>
      </c>
      <c r="V7571">
        <v>0</v>
      </c>
      <c r="W7571">
        <v>1</v>
      </c>
      <c r="X7571">
        <v>0</v>
      </c>
      <c r="Y7571">
        <v>1</v>
      </c>
      <c r="Z7571">
        <v>0</v>
      </c>
      <c r="AA7571">
        <v>1</v>
      </c>
      <c r="AB7571">
        <v>0</v>
      </c>
      <c r="AC7571">
        <v>0</v>
      </c>
      <c r="AD7571">
        <v>1</v>
      </c>
      <c r="AE7571">
        <v>1</v>
      </c>
      <c r="AF7571">
        <v>1</v>
      </c>
      <c r="AG7571">
        <v>1</v>
      </c>
      <c r="AH7571">
        <v>1</v>
      </c>
      <c r="AI7571">
        <v>1</v>
      </c>
      <c r="AJ7571">
        <v>1</v>
      </c>
      <c r="AK7571">
        <v>1</v>
      </c>
      <c r="AL7571">
        <v>1</v>
      </c>
      <c r="AM7571">
        <v>1</v>
      </c>
    </row>
    <row r="7572" spans="1:39" x14ac:dyDescent="0.2">
      <c r="A7572" t="str">
        <f>"7568"</f>
        <v>7568</v>
      </c>
      <c r="B7572" t="str">
        <f t="shared" si="420"/>
        <v>1</v>
      </c>
      <c r="C7572" t="str">
        <f t="shared" si="421"/>
        <v>152</v>
      </c>
      <c r="D7572" t="str">
        <f>"18"</f>
        <v>18</v>
      </c>
      <c r="E7572" t="str">
        <f>"1-152-18"</f>
        <v>1-152-18</v>
      </c>
      <c r="F7572" t="s">
        <v>65</v>
      </c>
      <c r="G7572" t="s">
        <v>66</v>
      </c>
      <c r="H7572" t="s">
        <v>67</v>
      </c>
      <c r="S7572">
        <v>1</v>
      </c>
      <c r="T7572">
        <v>0</v>
      </c>
      <c r="U7572">
        <v>0</v>
      </c>
      <c r="V7572">
        <v>0</v>
      </c>
      <c r="W7572">
        <v>1</v>
      </c>
      <c r="X7572">
        <v>0</v>
      </c>
      <c r="Y7572">
        <v>1</v>
      </c>
      <c r="Z7572">
        <v>0</v>
      </c>
      <c r="AA7572">
        <v>0</v>
      </c>
      <c r="AB7572">
        <v>1</v>
      </c>
      <c r="AC7572">
        <v>0</v>
      </c>
      <c r="AD7572">
        <v>0</v>
      </c>
      <c r="AE7572">
        <v>0</v>
      </c>
      <c r="AF7572">
        <v>0</v>
      </c>
      <c r="AG7572">
        <v>1</v>
      </c>
      <c r="AH7572">
        <v>1</v>
      </c>
      <c r="AI7572">
        <v>1</v>
      </c>
      <c r="AJ7572">
        <v>1</v>
      </c>
      <c r="AK7572">
        <v>1</v>
      </c>
      <c r="AL7572">
        <v>1</v>
      </c>
      <c r="AM7572">
        <v>1</v>
      </c>
    </row>
    <row r="7573" spans="1:39" x14ac:dyDescent="0.2">
      <c r="A7573" t="str">
        <f>"7569"</f>
        <v>7569</v>
      </c>
      <c r="B7573" t="str">
        <f t="shared" si="420"/>
        <v>1</v>
      </c>
      <c r="C7573" t="str">
        <f t="shared" si="421"/>
        <v>152</v>
      </c>
      <c r="D7573" t="str">
        <f>"5"</f>
        <v>5</v>
      </c>
      <c r="E7573" t="str">
        <f>"1-152-5"</f>
        <v>1-152-5</v>
      </c>
      <c r="F7573" t="s">
        <v>65</v>
      </c>
      <c r="G7573" t="s">
        <v>66</v>
      </c>
      <c r="H7573" t="s">
        <v>67</v>
      </c>
      <c r="S7573">
        <v>1</v>
      </c>
      <c r="T7573">
        <v>0</v>
      </c>
      <c r="U7573">
        <v>0</v>
      </c>
      <c r="V7573">
        <v>0</v>
      </c>
      <c r="W7573">
        <v>1</v>
      </c>
      <c r="X7573">
        <v>0</v>
      </c>
      <c r="Y7573">
        <v>1</v>
      </c>
      <c r="Z7573">
        <v>0</v>
      </c>
      <c r="AA7573">
        <v>0</v>
      </c>
      <c r="AB7573">
        <v>0</v>
      </c>
      <c r="AC7573">
        <v>1</v>
      </c>
      <c r="AD7573">
        <v>1</v>
      </c>
      <c r="AE7573">
        <v>1</v>
      </c>
      <c r="AF7573">
        <v>1</v>
      </c>
      <c r="AG7573">
        <v>1</v>
      </c>
      <c r="AH7573">
        <v>1</v>
      </c>
      <c r="AI7573">
        <v>1</v>
      </c>
      <c r="AJ7573">
        <v>1</v>
      </c>
      <c r="AK7573">
        <v>1</v>
      </c>
      <c r="AL7573">
        <v>1</v>
      </c>
      <c r="AM7573">
        <v>1</v>
      </c>
    </row>
    <row r="7574" spans="1:39" x14ac:dyDescent="0.2">
      <c r="A7574" t="str">
        <f>"7570"</f>
        <v>7570</v>
      </c>
      <c r="B7574" t="str">
        <f t="shared" si="420"/>
        <v>1</v>
      </c>
      <c r="C7574" t="str">
        <f t="shared" si="421"/>
        <v>152</v>
      </c>
      <c r="D7574" t="str">
        <f>"39"</f>
        <v>39</v>
      </c>
      <c r="E7574" t="str">
        <f>"1-152-39"</f>
        <v>1-152-39</v>
      </c>
      <c r="F7574" t="s">
        <v>65</v>
      </c>
      <c r="G7574" t="s">
        <v>66</v>
      </c>
      <c r="H7574" t="s">
        <v>67</v>
      </c>
      <c r="S7574">
        <v>0</v>
      </c>
      <c r="T7574">
        <v>1</v>
      </c>
      <c r="U7574">
        <v>0</v>
      </c>
      <c r="V7574">
        <v>0</v>
      </c>
      <c r="W7574">
        <v>1</v>
      </c>
      <c r="X7574">
        <v>0</v>
      </c>
      <c r="Y7574">
        <v>0</v>
      </c>
      <c r="Z7574">
        <v>1</v>
      </c>
      <c r="AA7574">
        <v>0</v>
      </c>
      <c r="AB7574">
        <v>0</v>
      </c>
      <c r="AC7574">
        <v>1</v>
      </c>
      <c r="AD7574">
        <v>1</v>
      </c>
      <c r="AE7574">
        <v>1</v>
      </c>
      <c r="AF7574">
        <v>1</v>
      </c>
      <c r="AG7574">
        <v>1</v>
      </c>
      <c r="AH7574">
        <v>1</v>
      </c>
      <c r="AI7574">
        <v>1</v>
      </c>
      <c r="AJ7574">
        <v>1</v>
      </c>
      <c r="AK7574">
        <v>1</v>
      </c>
      <c r="AL7574">
        <v>1</v>
      </c>
      <c r="AM7574">
        <v>1</v>
      </c>
    </row>
    <row r="7575" spans="1:39" x14ac:dyDescent="0.2">
      <c r="A7575" t="str">
        <f>"7571"</f>
        <v>7571</v>
      </c>
      <c r="B7575" t="str">
        <f t="shared" si="420"/>
        <v>1</v>
      </c>
      <c r="C7575" t="str">
        <f t="shared" si="421"/>
        <v>152</v>
      </c>
      <c r="D7575" t="str">
        <f>"20"</f>
        <v>20</v>
      </c>
      <c r="E7575" t="str">
        <f>"1-152-20"</f>
        <v>1-152-20</v>
      </c>
      <c r="F7575" t="s">
        <v>65</v>
      </c>
      <c r="G7575" t="s">
        <v>66</v>
      </c>
      <c r="H7575" t="s">
        <v>67</v>
      </c>
      <c r="S7575">
        <v>1</v>
      </c>
      <c r="T7575">
        <v>0</v>
      </c>
      <c r="U7575">
        <v>0</v>
      </c>
      <c r="V7575">
        <v>0</v>
      </c>
      <c r="W7575">
        <v>1</v>
      </c>
      <c r="X7575">
        <v>0</v>
      </c>
      <c r="Y7575">
        <v>0</v>
      </c>
      <c r="Z7575">
        <v>1</v>
      </c>
      <c r="AA7575">
        <v>0</v>
      </c>
      <c r="AB7575">
        <v>0</v>
      </c>
      <c r="AC7575">
        <v>1</v>
      </c>
      <c r="AD7575">
        <v>1</v>
      </c>
      <c r="AE7575">
        <v>1</v>
      </c>
      <c r="AF7575">
        <v>1</v>
      </c>
      <c r="AG7575">
        <v>1</v>
      </c>
      <c r="AH7575">
        <v>1</v>
      </c>
      <c r="AI7575">
        <v>1</v>
      </c>
      <c r="AJ7575">
        <v>1</v>
      </c>
      <c r="AK7575">
        <v>1</v>
      </c>
      <c r="AL7575">
        <v>1</v>
      </c>
      <c r="AM7575">
        <v>1</v>
      </c>
    </row>
    <row r="7576" spans="1:39" x14ac:dyDescent="0.2">
      <c r="A7576" t="str">
        <f>"7572"</f>
        <v>7572</v>
      </c>
      <c r="B7576" t="str">
        <f t="shared" si="420"/>
        <v>1</v>
      </c>
      <c r="C7576" t="str">
        <f t="shared" si="421"/>
        <v>152</v>
      </c>
      <c r="D7576" t="str">
        <f>"11"</f>
        <v>11</v>
      </c>
      <c r="E7576" t="str">
        <f>"1-152-11"</f>
        <v>1-152-11</v>
      </c>
      <c r="F7576" t="s">
        <v>65</v>
      </c>
      <c r="G7576" t="s">
        <v>66</v>
      </c>
      <c r="H7576" t="s">
        <v>67</v>
      </c>
      <c r="S7576">
        <v>1</v>
      </c>
      <c r="T7576">
        <v>0</v>
      </c>
      <c r="U7576">
        <v>0</v>
      </c>
      <c r="V7576">
        <v>0</v>
      </c>
      <c r="W7576">
        <v>1</v>
      </c>
      <c r="X7576">
        <v>0</v>
      </c>
      <c r="Y7576">
        <v>1</v>
      </c>
      <c r="Z7576">
        <v>0</v>
      </c>
      <c r="AA7576">
        <v>1</v>
      </c>
      <c r="AB7576">
        <v>0</v>
      </c>
      <c r="AC7576">
        <v>0</v>
      </c>
      <c r="AD7576">
        <v>1</v>
      </c>
      <c r="AE7576">
        <v>1</v>
      </c>
      <c r="AF7576">
        <v>1</v>
      </c>
      <c r="AG7576">
        <v>1</v>
      </c>
      <c r="AH7576">
        <v>1</v>
      </c>
      <c r="AI7576">
        <v>1</v>
      </c>
      <c r="AJ7576">
        <v>1</v>
      </c>
      <c r="AK7576">
        <v>1</v>
      </c>
      <c r="AL7576">
        <v>1</v>
      </c>
      <c r="AM7576">
        <v>1</v>
      </c>
    </row>
    <row r="7577" spans="1:39" x14ac:dyDescent="0.2">
      <c r="A7577" t="str">
        <f>"7573"</f>
        <v>7573</v>
      </c>
      <c r="B7577" t="str">
        <f t="shared" si="420"/>
        <v>1</v>
      </c>
      <c r="C7577" t="str">
        <f t="shared" si="421"/>
        <v>152</v>
      </c>
      <c r="D7577" t="str">
        <f>"47"</f>
        <v>47</v>
      </c>
      <c r="E7577" t="str">
        <f>"1-152-47"</f>
        <v>1-152-47</v>
      </c>
      <c r="F7577" t="s">
        <v>65</v>
      </c>
      <c r="G7577" t="s">
        <v>66</v>
      </c>
      <c r="H7577" t="s">
        <v>67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1</v>
      </c>
      <c r="Y7577">
        <v>0</v>
      </c>
      <c r="Z7577">
        <v>0</v>
      </c>
      <c r="AA7577">
        <v>0</v>
      </c>
      <c r="AB7577">
        <v>0</v>
      </c>
      <c r="AC7577">
        <v>1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1</v>
      </c>
      <c r="AJ7577">
        <v>0</v>
      </c>
      <c r="AK7577">
        <v>0</v>
      </c>
      <c r="AL7577">
        <v>1</v>
      </c>
      <c r="AM7577">
        <v>0</v>
      </c>
    </row>
    <row r="7578" spans="1:39" x14ac:dyDescent="0.2">
      <c r="A7578" t="str">
        <f>"7574"</f>
        <v>7574</v>
      </c>
      <c r="B7578" t="str">
        <f t="shared" si="420"/>
        <v>1</v>
      </c>
      <c r="C7578" t="str">
        <f t="shared" si="421"/>
        <v>152</v>
      </c>
      <c r="D7578" t="str">
        <f>"21"</f>
        <v>21</v>
      </c>
      <c r="E7578" t="str">
        <f>"1-152-21"</f>
        <v>1-152-21</v>
      </c>
      <c r="F7578" t="s">
        <v>65</v>
      </c>
      <c r="G7578" t="s">
        <v>66</v>
      </c>
      <c r="H7578" t="s">
        <v>67</v>
      </c>
      <c r="S7578">
        <v>1</v>
      </c>
      <c r="T7578">
        <v>0</v>
      </c>
      <c r="U7578">
        <v>0</v>
      </c>
      <c r="V7578">
        <v>0</v>
      </c>
      <c r="W7578">
        <v>1</v>
      </c>
      <c r="X7578">
        <v>0</v>
      </c>
      <c r="Y7578">
        <v>1</v>
      </c>
      <c r="Z7578">
        <v>0</v>
      </c>
      <c r="AA7578">
        <v>1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</row>
    <row r="7579" spans="1:39" x14ac:dyDescent="0.2">
      <c r="A7579" t="str">
        <f>"7575"</f>
        <v>7575</v>
      </c>
      <c r="B7579" t="str">
        <f t="shared" si="420"/>
        <v>1</v>
      </c>
      <c r="C7579" t="str">
        <f t="shared" si="421"/>
        <v>152</v>
      </c>
      <c r="D7579" t="str">
        <f>"7"</f>
        <v>7</v>
      </c>
      <c r="E7579" t="str">
        <f>"1-152-7"</f>
        <v>1-152-7</v>
      </c>
      <c r="F7579" t="s">
        <v>65</v>
      </c>
      <c r="G7579" t="s">
        <v>66</v>
      </c>
      <c r="H7579" t="s">
        <v>67</v>
      </c>
      <c r="S7579">
        <v>1</v>
      </c>
      <c r="T7579">
        <v>0</v>
      </c>
      <c r="U7579">
        <v>0</v>
      </c>
      <c r="V7579">
        <v>0</v>
      </c>
      <c r="W7579">
        <v>0</v>
      </c>
      <c r="X7579">
        <v>1</v>
      </c>
      <c r="Y7579">
        <v>0</v>
      </c>
      <c r="Z7579">
        <v>1</v>
      </c>
      <c r="AA7579">
        <v>0</v>
      </c>
      <c r="AB7579">
        <v>0</v>
      </c>
      <c r="AC7579">
        <v>1</v>
      </c>
      <c r="AD7579">
        <v>1</v>
      </c>
      <c r="AE7579">
        <v>1</v>
      </c>
      <c r="AF7579">
        <v>1</v>
      </c>
      <c r="AG7579">
        <v>1</v>
      </c>
      <c r="AH7579">
        <v>1</v>
      </c>
      <c r="AI7579">
        <v>1</v>
      </c>
      <c r="AJ7579">
        <v>1</v>
      </c>
      <c r="AK7579">
        <v>1</v>
      </c>
      <c r="AL7579">
        <v>1</v>
      </c>
      <c r="AM7579">
        <v>1</v>
      </c>
    </row>
    <row r="7580" spans="1:39" x14ac:dyDescent="0.2">
      <c r="A7580" t="str">
        <f>"7576"</f>
        <v>7576</v>
      </c>
      <c r="B7580" t="str">
        <f t="shared" si="420"/>
        <v>1</v>
      </c>
      <c r="C7580" t="str">
        <f t="shared" si="421"/>
        <v>152</v>
      </c>
      <c r="D7580" t="str">
        <f>"40"</f>
        <v>40</v>
      </c>
      <c r="E7580" t="str">
        <f>"1-152-40"</f>
        <v>1-152-40</v>
      </c>
      <c r="F7580" t="s">
        <v>65</v>
      </c>
      <c r="G7580" t="s">
        <v>66</v>
      </c>
      <c r="H7580" t="s">
        <v>67</v>
      </c>
      <c r="S7580">
        <v>1</v>
      </c>
      <c r="T7580">
        <v>0</v>
      </c>
      <c r="U7580">
        <v>0</v>
      </c>
      <c r="V7580">
        <v>0</v>
      </c>
      <c r="W7580">
        <v>1</v>
      </c>
      <c r="X7580">
        <v>0</v>
      </c>
      <c r="Y7580">
        <v>0</v>
      </c>
      <c r="Z7580">
        <v>1</v>
      </c>
      <c r="AA7580">
        <v>1</v>
      </c>
      <c r="AB7580">
        <v>0</v>
      </c>
      <c r="AC7580">
        <v>0</v>
      </c>
      <c r="AD7580">
        <v>1</v>
      </c>
      <c r="AE7580">
        <v>1</v>
      </c>
      <c r="AF7580">
        <v>1</v>
      </c>
      <c r="AG7580">
        <v>1</v>
      </c>
      <c r="AH7580">
        <v>1</v>
      </c>
      <c r="AI7580">
        <v>1</v>
      </c>
      <c r="AJ7580">
        <v>1</v>
      </c>
      <c r="AK7580">
        <v>1</v>
      </c>
      <c r="AL7580">
        <v>1</v>
      </c>
      <c r="AM7580">
        <v>1</v>
      </c>
    </row>
    <row r="7581" spans="1:39" x14ac:dyDescent="0.2">
      <c r="A7581" t="str">
        <f>"7577"</f>
        <v>7577</v>
      </c>
      <c r="B7581" t="str">
        <f t="shared" si="420"/>
        <v>1</v>
      </c>
      <c r="C7581" t="str">
        <f t="shared" si="421"/>
        <v>152</v>
      </c>
      <c r="D7581" t="str">
        <f>"22"</f>
        <v>22</v>
      </c>
      <c r="E7581" t="str">
        <f>"1-152-22"</f>
        <v>1-152-22</v>
      </c>
      <c r="F7581" t="s">
        <v>65</v>
      </c>
      <c r="G7581" t="s">
        <v>66</v>
      </c>
      <c r="H7581" t="s">
        <v>67</v>
      </c>
      <c r="S7581">
        <v>0</v>
      </c>
      <c r="T7581">
        <v>1</v>
      </c>
      <c r="U7581">
        <v>0</v>
      </c>
      <c r="V7581">
        <v>0</v>
      </c>
      <c r="W7581">
        <v>1</v>
      </c>
      <c r="X7581">
        <v>0</v>
      </c>
      <c r="Y7581">
        <v>0</v>
      </c>
      <c r="Z7581">
        <v>1</v>
      </c>
      <c r="AA7581">
        <v>0</v>
      </c>
      <c r="AB7581">
        <v>0</v>
      </c>
      <c r="AC7581">
        <v>1</v>
      </c>
      <c r="AD7581">
        <v>1</v>
      </c>
      <c r="AE7581">
        <v>0</v>
      </c>
      <c r="AF7581">
        <v>1</v>
      </c>
      <c r="AG7581">
        <v>0</v>
      </c>
      <c r="AH7581">
        <v>1</v>
      </c>
      <c r="AI7581">
        <v>1</v>
      </c>
      <c r="AJ7581">
        <v>1</v>
      </c>
      <c r="AK7581">
        <v>1</v>
      </c>
      <c r="AL7581">
        <v>1</v>
      </c>
      <c r="AM7581">
        <v>1</v>
      </c>
    </row>
    <row r="7582" spans="1:39" x14ac:dyDescent="0.2">
      <c r="A7582" t="str">
        <f>"7578"</f>
        <v>7578</v>
      </c>
      <c r="B7582" t="str">
        <f t="shared" si="420"/>
        <v>1</v>
      </c>
      <c r="C7582" t="str">
        <f t="shared" si="421"/>
        <v>152</v>
      </c>
      <c r="D7582" t="str">
        <f>"10"</f>
        <v>10</v>
      </c>
      <c r="E7582" t="str">
        <f>"1-152-10"</f>
        <v>1-152-10</v>
      </c>
      <c r="F7582" t="s">
        <v>65</v>
      </c>
      <c r="G7582" t="s">
        <v>66</v>
      </c>
      <c r="H7582" t="s">
        <v>67</v>
      </c>
      <c r="S7582">
        <v>0</v>
      </c>
      <c r="T7582">
        <v>1</v>
      </c>
      <c r="U7582">
        <v>0</v>
      </c>
      <c r="V7582">
        <v>0</v>
      </c>
      <c r="W7582">
        <v>1</v>
      </c>
      <c r="X7582">
        <v>0</v>
      </c>
      <c r="Y7582">
        <v>1</v>
      </c>
      <c r="Z7582">
        <v>0</v>
      </c>
      <c r="AA7582">
        <v>1</v>
      </c>
      <c r="AB7582">
        <v>0</v>
      </c>
      <c r="AC7582">
        <v>0</v>
      </c>
      <c r="AD7582">
        <v>1</v>
      </c>
      <c r="AE7582">
        <v>1</v>
      </c>
      <c r="AF7582">
        <v>1</v>
      </c>
      <c r="AG7582">
        <v>1</v>
      </c>
      <c r="AH7582">
        <v>1</v>
      </c>
      <c r="AI7582">
        <v>1</v>
      </c>
      <c r="AJ7582">
        <v>1</v>
      </c>
      <c r="AK7582">
        <v>1</v>
      </c>
      <c r="AL7582">
        <v>1</v>
      </c>
      <c r="AM7582">
        <v>1</v>
      </c>
    </row>
    <row r="7583" spans="1:39" x14ac:dyDescent="0.2">
      <c r="A7583" t="str">
        <f>"7579"</f>
        <v>7579</v>
      </c>
      <c r="B7583" t="str">
        <f t="shared" si="420"/>
        <v>1</v>
      </c>
      <c r="C7583" t="str">
        <f t="shared" si="421"/>
        <v>152</v>
      </c>
      <c r="D7583" t="str">
        <f>"49"</f>
        <v>49</v>
      </c>
      <c r="E7583" t="str">
        <f>"1-152-49"</f>
        <v>1-152-49</v>
      </c>
      <c r="F7583" t="s">
        <v>65</v>
      </c>
      <c r="G7583" t="s">
        <v>66</v>
      </c>
      <c r="H7583" t="s">
        <v>67</v>
      </c>
      <c r="S7583">
        <v>1</v>
      </c>
      <c r="T7583">
        <v>0</v>
      </c>
      <c r="U7583">
        <v>0</v>
      </c>
      <c r="V7583">
        <v>0</v>
      </c>
      <c r="W7583">
        <v>1</v>
      </c>
      <c r="X7583">
        <v>0</v>
      </c>
      <c r="Y7583">
        <v>0</v>
      </c>
      <c r="Z7583">
        <v>1</v>
      </c>
      <c r="AA7583">
        <v>1</v>
      </c>
      <c r="AB7583">
        <v>0</v>
      </c>
      <c r="AC7583">
        <v>0</v>
      </c>
      <c r="AD7583">
        <v>1</v>
      </c>
      <c r="AE7583">
        <v>1</v>
      </c>
      <c r="AF7583">
        <v>1</v>
      </c>
      <c r="AG7583">
        <v>1</v>
      </c>
      <c r="AH7583">
        <v>1</v>
      </c>
      <c r="AI7583">
        <v>1</v>
      </c>
      <c r="AJ7583">
        <v>1</v>
      </c>
      <c r="AK7583">
        <v>1</v>
      </c>
      <c r="AL7583">
        <v>1</v>
      </c>
      <c r="AM7583">
        <v>1</v>
      </c>
    </row>
    <row r="7584" spans="1:39" x14ac:dyDescent="0.2">
      <c r="A7584" t="str">
        <f>"7580"</f>
        <v>7580</v>
      </c>
      <c r="B7584" t="str">
        <f t="shared" si="420"/>
        <v>1</v>
      </c>
      <c r="C7584" t="str">
        <f t="shared" si="421"/>
        <v>152</v>
      </c>
      <c r="D7584" t="str">
        <f>"23"</f>
        <v>23</v>
      </c>
      <c r="E7584" t="str">
        <f>"1-152-23"</f>
        <v>1-152-23</v>
      </c>
      <c r="F7584" t="s">
        <v>65</v>
      </c>
      <c r="G7584" t="s">
        <v>66</v>
      </c>
      <c r="H7584" t="s">
        <v>67</v>
      </c>
      <c r="S7584">
        <v>1</v>
      </c>
      <c r="T7584">
        <v>0</v>
      </c>
      <c r="U7584">
        <v>0</v>
      </c>
      <c r="V7584">
        <v>0</v>
      </c>
      <c r="W7584">
        <v>1</v>
      </c>
      <c r="X7584">
        <v>0</v>
      </c>
      <c r="Y7584">
        <v>1</v>
      </c>
      <c r="Z7584">
        <v>0</v>
      </c>
      <c r="AA7584">
        <v>1</v>
      </c>
      <c r="AB7584">
        <v>0</v>
      </c>
      <c r="AC7584">
        <v>0</v>
      </c>
      <c r="AD7584">
        <v>1</v>
      </c>
      <c r="AE7584">
        <v>1</v>
      </c>
      <c r="AF7584">
        <v>1</v>
      </c>
      <c r="AG7584">
        <v>1</v>
      </c>
      <c r="AH7584">
        <v>1</v>
      </c>
      <c r="AI7584">
        <v>1</v>
      </c>
      <c r="AJ7584">
        <v>1</v>
      </c>
      <c r="AK7584">
        <v>1</v>
      </c>
      <c r="AL7584">
        <v>1</v>
      </c>
      <c r="AM7584">
        <v>1</v>
      </c>
    </row>
    <row r="7585" spans="1:39" x14ac:dyDescent="0.2">
      <c r="A7585" t="str">
        <f>"7581"</f>
        <v>7581</v>
      </c>
      <c r="B7585" t="str">
        <f t="shared" si="420"/>
        <v>1</v>
      </c>
      <c r="C7585" t="str">
        <f t="shared" si="421"/>
        <v>152</v>
      </c>
      <c r="D7585" t="str">
        <f>"13"</f>
        <v>13</v>
      </c>
      <c r="E7585" t="str">
        <f>"1-152-13"</f>
        <v>1-152-13</v>
      </c>
      <c r="F7585" t="s">
        <v>65</v>
      </c>
      <c r="G7585" t="s">
        <v>66</v>
      </c>
      <c r="H7585" t="s">
        <v>67</v>
      </c>
      <c r="S7585">
        <v>1</v>
      </c>
      <c r="T7585">
        <v>0</v>
      </c>
      <c r="U7585">
        <v>0</v>
      </c>
      <c r="V7585">
        <v>0</v>
      </c>
      <c r="W7585">
        <v>1</v>
      </c>
      <c r="X7585">
        <v>0</v>
      </c>
      <c r="Y7585">
        <v>0</v>
      </c>
      <c r="Z7585">
        <v>1</v>
      </c>
      <c r="AA7585">
        <v>0</v>
      </c>
      <c r="AB7585">
        <v>1</v>
      </c>
      <c r="AC7585">
        <v>0</v>
      </c>
      <c r="AD7585">
        <v>1</v>
      </c>
      <c r="AE7585">
        <v>1</v>
      </c>
      <c r="AF7585">
        <v>1</v>
      </c>
      <c r="AG7585">
        <v>1</v>
      </c>
      <c r="AH7585">
        <v>1</v>
      </c>
      <c r="AI7585">
        <v>1</v>
      </c>
      <c r="AJ7585">
        <v>1</v>
      </c>
      <c r="AK7585">
        <v>1</v>
      </c>
      <c r="AL7585">
        <v>1</v>
      </c>
      <c r="AM7585">
        <v>1</v>
      </c>
    </row>
    <row r="7586" spans="1:39" x14ac:dyDescent="0.2">
      <c r="A7586" t="str">
        <f>"7582"</f>
        <v>7582</v>
      </c>
      <c r="B7586" t="str">
        <f t="shared" si="420"/>
        <v>1</v>
      </c>
      <c r="C7586" t="str">
        <f t="shared" si="421"/>
        <v>152</v>
      </c>
      <c r="D7586" t="str">
        <f>"41"</f>
        <v>41</v>
      </c>
      <c r="E7586" t="str">
        <f>"1-152-41"</f>
        <v>1-152-41</v>
      </c>
      <c r="F7586" t="s">
        <v>65</v>
      </c>
      <c r="G7586" t="s">
        <v>66</v>
      </c>
      <c r="H7586" t="s">
        <v>67</v>
      </c>
      <c r="S7586">
        <v>0</v>
      </c>
      <c r="T7586">
        <v>1</v>
      </c>
      <c r="U7586">
        <v>0</v>
      </c>
      <c r="V7586">
        <v>0</v>
      </c>
      <c r="W7586">
        <v>1</v>
      </c>
      <c r="X7586">
        <v>0</v>
      </c>
      <c r="Y7586">
        <v>0</v>
      </c>
      <c r="Z7586">
        <v>1</v>
      </c>
      <c r="AA7586">
        <v>1</v>
      </c>
      <c r="AB7586">
        <v>0</v>
      </c>
      <c r="AC7586">
        <v>0</v>
      </c>
      <c r="AD7586">
        <v>1</v>
      </c>
      <c r="AE7586">
        <v>1</v>
      </c>
      <c r="AF7586">
        <v>1</v>
      </c>
      <c r="AG7586">
        <v>1</v>
      </c>
      <c r="AH7586">
        <v>1</v>
      </c>
      <c r="AI7586">
        <v>1</v>
      </c>
      <c r="AJ7586">
        <v>1</v>
      </c>
      <c r="AK7586">
        <v>1</v>
      </c>
      <c r="AL7586">
        <v>1</v>
      </c>
      <c r="AM7586">
        <v>1</v>
      </c>
    </row>
    <row r="7587" spans="1:39" x14ac:dyDescent="0.2">
      <c r="A7587" t="str">
        <f>"7583"</f>
        <v>7583</v>
      </c>
      <c r="B7587" t="str">
        <f t="shared" si="420"/>
        <v>1</v>
      </c>
      <c r="C7587" t="str">
        <f t="shared" ref="C7587:C7604" si="422">"152"</f>
        <v>152</v>
      </c>
      <c r="D7587" t="str">
        <f>"25"</f>
        <v>25</v>
      </c>
      <c r="E7587" t="str">
        <f>"1-152-25"</f>
        <v>1-152-25</v>
      </c>
      <c r="F7587" t="s">
        <v>65</v>
      </c>
      <c r="G7587" t="s">
        <v>66</v>
      </c>
      <c r="H7587" t="s">
        <v>67</v>
      </c>
      <c r="S7587">
        <v>1</v>
      </c>
      <c r="T7587">
        <v>0</v>
      </c>
      <c r="U7587">
        <v>0</v>
      </c>
      <c r="V7587">
        <v>0</v>
      </c>
      <c r="W7587">
        <v>1</v>
      </c>
      <c r="X7587">
        <v>0</v>
      </c>
      <c r="Y7587">
        <v>1</v>
      </c>
      <c r="Z7587">
        <v>0</v>
      </c>
      <c r="AA7587">
        <v>0</v>
      </c>
      <c r="AB7587">
        <v>0</v>
      </c>
      <c r="AC7587">
        <v>1</v>
      </c>
      <c r="AD7587">
        <v>1</v>
      </c>
      <c r="AE7587">
        <v>1</v>
      </c>
      <c r="AF7587">
        <v>1</v>
      </c>
      <c r="AG7587">
        <v>1</v>
      </c>
      <c r="AH7587">
        <v>1</v>
      </c>
      <c r="AI7587">
        <v>1</v>
      </c>
      <c r="AJ7587">
        <v>1</v>
      </c>
      <c r="AK7587">
        <v>1</v>
      </c>
      <c r="AL7587">
        <v>1</v>
      </c>
      <c r="AM7587">
        <v>1</v>
      </c>
    </row>
    <row r="7588" spans="1:39" x14ac:dyDescent="0.2">
      <c r="A7588" t="str">
        <f>"7584"</f>
        <v>7584</v>
      </c>
      <c r="B7588" t="str">
        <f t="shared" si="420"/>
        <v>1</v>
      </c>
      <c r="C7588" t="str">
        <f t="shared" si="422"/>
        <v>152</v>
      </c>
      <c r="D7588" t="str">
        <f>"8"</f>
        <v>8</v>
      </c>
      <c r="E7588" t="str">
        <f>"1-152-8"</f>
        <v>1-152-8</v>
      </c>
      <c r="F7588" t="s">
        <v>65</v>
      </c>
      <c r="G7588" t="s">
        <v>66</v>
      </c>
      <c r="H7588" t="s">
        <v>67</v>
      </c>
      <c r="S7588">
        <v>0</v>
      </c>
      <c r="T7588">
        <v>1</v>
      </c>
      <c r="U7588">
        <v>0</v>
      </c>
      <c r="V7588">
        <v>0</v>
      </c>
      <c r="W7588">
        <v>0</v>
      </c>
      <c r="X7588">
        <v>1</v>
      </c>
      <c r="Y7588">
        <v>1</v>
      </c>
      <c r="Z7588">
        <v>0</v>
      </c>
      <c r="AA7588">
        <v>0</v>
      </c>
      <c r="AB7588">
        <v>0</v>
      </c>
      <c r="AC7588">
        <v>1</v>
      </c>
      <c r="AD7588">
        <v>1</v>
      </c>
      <c r="AE7588">
        <v>1</v>
      </c>
      <c r="AF7588">
        <v>1</v>
      </c>
      <c r="AG7588">
        <v>1</v>
      </c>
      <c r="AH7588">
        <v>1</v>
      </c>
      <c r="AI7588">
        <v>1</v>
      </c>
      <c r="AJ7588">
        <v>1</v>
      </c>
      <c r="AK7588">
        <v>1</v>
      </c>
      <c r="AL7588">
        <v>1</v>
      </c>
      <c r="AM7588">
        <v>1</v>
      </c>
    </row>
    <row r="7589" spans="1:39" x14ac:dyDescent="0.2">
      <c r="A7589" t="str">
        <f>"7585"</f>
        <v>7585</v>
      </c>
      <c r="B7589" t="str">
        <f t="shared" si="420"/>
        <v>1</v>
      </c>
      <c r="C7589" t="str">
        <f t="shared" si="422"/>
        <v>152</v>
      </c>
      <c r="D7589" t="str">
        <f>"50"</f>
        <v>50</v>
      </c>
      <c r="E7589" t="str">
        <f>"1-152-50"</f>
        <v>1-152-50</v>
      </c>
      <c r="F7589" t="s">
        <v>65</v>
      </c>
      <c r="G7589" t="s">
        <v>66</v>
      </c>
      <c r="H7589" t="s">
        <v>67</v>
      </c>
      <c r="S7589">
        <v>1</v>
      </c>
      <c r="T7589">
        <v>0</v>
      </c>
      <c r="U7589">
        <v>0</v>
      </c>
      <c r="V7589">
        <v>0</v>
      </c>
      <c r="W7589">
        <v>1</v>
      </c>
      <c r="X7589">
        <v>0</v>
      </c>
      <c r="Y7589">
        <v>1</v>
      </c>
      <c r="Z7589">
        <v>0</v>
      </c>
      <c r="AA7589">
        <v>1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</row>
    <row r="7590" spans="1:39" x14ac:dyDescent="0.2">
      <c r="A7590" t="str">
        <f>"7586"</f>
        <v>7586</v>
      </c>
      <c r="B7590" t="str">
        <f t="shared" si="420"/>
        <v>1</v>
      </c>
      <c r="C7590" t="str">
        <f t="shared" si="422"/>
        <v>152</v>
      </c>
      <c r="D7590" t="str">
        <f>"26"</f>
        <v>26</v>
      </c>
      <c r="E7590" t="str">
        <f>"1-152-26"</f>
        <v>1-152-26</v>
      </c>
      <c r="F7590" t="s">
        <v>65</v>
      </c>
      <c r="G7590" t="s">
        <v>66</v>
      </c>
      <c r="H7590" t="s">
        <v>67</v>
      </c>
      <c r="S7590">
        <v>1</v>
      </c>
      <c r="T7590">
        <v>0</v>
      </c>
      <c r="U7590">
        <v>0</v>
      </c>
      <c r="V7590">
        <v>0</v>
      </c>
      <c r="W7590">
        <v>1</v>
      </c>
      <c r="X7590">
        <v>0</v>
      </c>
      <c r="Y7590">
        <v>1</v>
      </c>
      <c r="Z7590">
        <v>0</v>
      </c>
      <c r="AA7590">
        <v>1</v>
      </c>
      <c r="AB7590">
        <v>0</v>
      </c>
      <c r="AC7590">
        <v>0</v>
      </c>
      <c r="AD7590">
        <v>1</v>
      </c>
      <c r="AE7590">
        <v>1</v>
      </c>
      <c r="AF7590">
        <v>1</v>
      </c>
      <c r="AG7590">
        <v>1</v>
      </c>
      <c r="AH7590">
        <v>1</v>
      </c>
      <c r="AI7590">
        <v>1</v>
      </c>
      <c r="AJ7590">
        <v>1</v>
      </c>
      <c r="AK7590">
        <v>1</v>
      </c>
      <c r="AL7590">
        <v>1</v>
      </c>
      <c r="AM7590">
        <v>1</v>
      </c>
    </row>
    <row r="7591" spans="1:39" x14ac:dyDescent="0.2">
      <c r="A7591" t="str">
        <f>"7587"</f>
        <v>7587</v>
      </c>
      <c r="B7591" t="str">
        <f t="shared" si="420"/>
        <v>1</v>
      </c>
      <c r="C7591" t="str">
        <f t="shared" si="422"/>
        <v>152</v>
      </c>
      <c r="D7591" t="str">
        <f>"12"</f>
        <v>12</v>
      </c>
      <c r="E7591" t="str">
        <f>"1-152-12"</f>
        <v>1-152-12</v>
      </c>
      <c r="F7591" t="s">
        <v>65</v>
      </c>
      <c r="G7591" t="s">
        <v>66</v>
      </c>
      <c r="H7591" t="s">
        <v>67</v>
      </c>
      <c r="S7591">
        <v>1</v>
      </c>
      <c r="T7591">
        <v>0</v>
      </c>
      <c r="U7591">
        <v>0</v>
      </c>
      <c r="V7591">
        <v>0</v>
      </c>
      <c r="W7591">
        <v>1</v>
      </c>
      <c r="X7591">
        <v>0</v>
      </c>
      <c r="Y7591">
        <v>1</v>
      </c>
      <c r="Z7591">
        <v>0</v>
      </c>
      <c r="AA7591">
        <v>0</v>
      </c>
      <c r="AB7591">
        <v>1</v>
      </c>
      <c r="AC7591">
        <v>0</v>
      </c>
      <c r="AD7591">
        <v>1</v>
      </c>
      <c r="AE7591">
        <v>1</v>
      </c>
      <c r="AF7591">
        <v>1</v>
      </c>
      <c r="AG7591">
        <v>1</v>
      </c>
      <c r="AH7591">
        <v>1</v>
      </c>
      <c r="AI7591">
        <v>1</v>
      </c>
      <c r="AJ7591">
        <v>1</v>
      </c>
      <c r="AK7591">
        <v>1</v>
      </c>
      <c r="AL7591">
        <v>1</v>
      </c>
      <c r="AM7591">
        <v>1</v>
      </c>
    </row>
    <row r="7592" spans="1:39" x14ac:dyDescent="0.2">
      <c r="A7592" t="str">
        <f>"7588"</f>
        <v>7588</v>
      </c>
      <c r="B7592" t="str">
        <f t="shared" si="420"/>
        <v>1</v>
      </c>
      <c r="C7592" t="str">
        <f t="shared" si="422"/>
        <v>152</v>
      </c>
      <c r="D7592" t="str">
        <f>"42"</f>
        <v>42</v>
      </c>
      <c r="E7592" t="str">
        <f>"1-152-42"</f>
        <v>1-152-42</v>
      </c>
      <c r="F7592" t="s">
        <v>65</v>
      </c>
      <c r="G7592" t="s">
        <v>66</v>
      </c>
      <c r="H7592" t="s">
        <v>67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1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1</v>
      </c>
      <c r="AK7592">
        <v>1</v>
      </c>
      <c r="AL7592">
        <v>0</v>
      </c>
      <c r="AM7592">
        <v>1</v>
      </c>
    </row>
    <row r="7593" spans="1:39" x14ac:dyDescent="0.2">
      <c r="A7593" t="str">
        <f>"7589"</f>
        <v>7589</v>
      </c>
      <c r="B7593" t="str">
        <f t="shared" si="420"/>
        <v>1</v>
      </c>
      <c r="C7593" t="str">
        <f t="shared" si="422"/>
        <v>152</v>
      </c>
      <c r="D7593" t="str">
        <f>"29"</f>
        <v>29</v>
      </c>
      <c r="E7593" t="str">
        <f>"1-152-29"</f>
        <v>1-152-29</v>
      </c>
      <c r="F7593" t="s">
        <v>65</v>
      </c>
      <c r="G7593" t="s">
        <v>66</v>
      </c>
      <c r="H7593" t="s">
        <v>67</v>
      </c>
      <c r="S7593">
        <v>0</v>
      </c>
      <c r="T7593">
        <v>0</v>
      </c>
      <c r="U7593">
        <v>0</v>
      </c>
      <c r="V7593">
        <v>0</v>
      </c>
      <c r="W7593">
        <v>1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1</v>
      </c>
      <c r="AI7593">
        <v>1</v>
      </c>
      <c r="AJ7593">
        <v>1</v>
      </c>
      <c r="AK7593">
        <v>1</v>
      </c>
      <c r="AL7593">
        <v>1</v>
      </c>
      <c r="AM7593">
        <v>0</v>
      </c>
    </row>
    <row r="7594" spans="1:39" x14ac:dyDescent="0.2">
      <c r="A7594" t="str">
        <f>"7590"</f>
        <v>7590</v>
      </c>
      <c r="B7594" t="str">
        <f t="shared" si="420"/>
        <v>1</v>
      </c>
      <c r="C7594" t="str">
        <f t="shared" si="422"/>
        <v>152</v>
      </c>
      <c r="D7594" t="str">
        <f>"9"</f>
        <v>9</v>
      </c>
      <c r="E7594" t="str">
        <f>"1-152-9"</f>
        <v>1-152-9</v>
      </c>
      <c r="F7594" t="s">
        <v>65</v>
      </c>
      <c r="G7594" t="s">
        <v>66</v>
      </c>
      <c r="H7594" t="s">
        <v>67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1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1</v>
      </c>
      <c r="AM7594">
        <v>1</v>
      </c>
    </row>
    <row r="7595" spans="1:39" x14ac:dyDescent="0.2">
      <c r="A7595" t="str">
        <f>"7591"</f>
        <v>7591</v>
      </c>
      <c r="B7595" t="str">
        <f t="shared" si="420"/>
        <v>1</v>
      </c>
      <c r="C7595" t="str">
        <f t="shared" si="422"/>
        <v>152</v>
      </c>
      <c r="D7595" t="str">
        <f>"46"</f>
        <v>46</v>
      </c>
      <c r="E7595" t="str">
        <f>"1-152-46"</f>
        <v>1-152-46</v>
      </c>
      <c r="F7595" t="s">
        <v>65</v>
      </c>
      <c r="G7595" t="s">
        <v>66</v>
      </c>
      <c r="H7595" t="s">
        <v>67</v>
      </c>
      <c r="S7595">
        <v>1</v>
      </c>
      <c r="T7595">
        <v>0</v>
      </c>
      <c r="U7595">
        <v>0</v>
      </c>
      <c r="V7595">
        <v>0</v>
      </c>
      <c r="W7595">
        <v>1</v>
      </c>
      <c r="X7595">
        <v>0</v>
      </c>
      <c r="Y7595">
        <v>0</v>
      </c>
      <c r="Z7595">
        <v>1</v>
      </c>
      <c r="AA7595">
        <v>0</v>
      </c>
      <c r="AB7595">
        <v>1</v>
      </c>
      <c r="AC7595">
        <v>0</v>
      </c>
      <c r="AD7595">
        <v>1</v>
      </c>
      <c r="AE7595">
        <v>1</v>
      </c>
      <c r="AF7595">
        <v>1</v>
      </c>
      <c r="AG7595">
        <v>1</v>
      </c>
      <c r="AH7595">
        <v>1</v>
      </c>
      <c r="AI7595">
        <v>1</v>
      </c>
      <c r="AJ7595">
        <v>1</v>
      </c>
      <c r="AK7595">
        <v>1</v>
      </c>
      <c r="AL7595">
        <v>1</v>
      </c>
      <c r="AM7595">
        <v>1</v>
      </c>
    </row>
    <row r="7596" spans="1:39" x14ac:dyDescent="0.2">
      <c r="A7596" t="str">
        <f>"7592"</f>
        <v>7592</v>
      </c>
      <c r="B7596" t="str">
        <f t="shared" si="420"/>
        <v>1</v>
      </c>
      <c r="C7596" t="str">
        <f t="shared" si="422"/>
        <v>152</v>
      </c>
      <c r="D7596" t="str">
        <f>"30"</f>
        <v>30</v>
      </c>
      <c r="E7596" t="str">
        <f>"1-152-30"</f>
        <v>1-152-30</v>
      </c>
      <c r="F7596" t="s">
        <v>65</v>
      </c>
      <c r="G7596" t="s">
        <v>66</v>
      </c>
      <c r="H7596" t="s">
        <v>67</v>
      </c>
      <c r="S7596">
        <v>1</v>
      </c>
      <c r="T7596">
        <v>0</v>
      </c>
      <c r="U7596">
        <v>0</v>
      </c>
      <c r="V7596">
        <v>0</v>
      </c>
      <c r="W7596">
        <v>1</v>
      </c>
      <c r="X7596">
        <v>0</v>
      </c>
      <c r="Y7596">
        <v>1</v>
      </c>
      <c r="Z7596">
        <v>0</v>
      </c>
      <c r="AA7596">
        <v>1</v>
      </c>
      <c r="AB7596">
        <v>0</v>
      </c>
      <c r="AC7596">
        <v>0</v>
      </c>
      <c r="AD7596">
        <v>1</v>
      </c>
      <c r="AE7596">
        <v>1</v>
      </c>
      <c r="AF7596">
        <v>1</v>
      </c>
      <c r="AG7596">
        <v>1</v>
      </c>
      <c r="AH7596">
        <v>1</v>
      </c>
      <c r="AI7596">
        <v>1</v>
      </c>
      <c r="AJ7596">
        <v>1</v>
      </c>
      <c r="AK7596">
        <v>1</v>
      </c>
      <c r="AL7596">
        <v>1</v>
      </c>
      <c r="AM7596">
        <v>1</v>
      </c>
    </row>
    <row r="7597" spans="1:39" x14ac:dyDescent="0.2">
      <c r="A7597" t="str">
        <f>"7593"</f>
        <v>7593</v>
      </c>
      <c r="B7597" t="str">
        <f t="shared" si="420"/>
        <v>1</v>
      </c>
      <c r="C7597" t="str">
        <f t="shared" si="422"/>
        <v>152</v>
      </c>
      <c r="D7597" t="str">
        <f>"1"</f>
        <v>1</v>
      </c>
      <c r="E7597" t="str">
        <f>"1-152-1"</f>
        <v>1-152-1</v>
      </c>
      <c r="F7597" t="s">
        <v>65</v>
      </c>
      <c r="G7597" t="s">
        <v>66</v>
      </c>
      <c r="H7597" t="s">
        <v>67</v>
      </c>
      <c r="S7597">
        <v>1</v>
      </c>
      <c r="T7597">
        <v>0</v>
      </c>
      <c r="U7597">
        <v>0</v>
      </c>
      <c r="V7597">
        <v>0</v>
      </c>
      <c r="W7597">
        <v>1</v>
      </c>
      <c r="X7597">
        <v>0</v>
      </c>
      <c r="Y7597">
        <v>0</v>
      </c>
      <c r="Z7597">
        <v>1</v>
      </c>
      <c r="AA7597">
        <v>0</v>
      </c>
      <c r="AB7597">
        <v>1</v>
      </c>
      <c r="AC7597">
        <v>0</v>
      </c>
      <c r="AD7597">
        <v>1</v>
      </c>
      <c r="AE7597">
        <v>1</v>
      </c>
      <c r="AF7597">
        <v>1</v>
      </c>
      <c r="AG7597">
        <v>1</v>
      </c>
      <c r="AH7597">
        <v>1</v>
      </c>
      <c r="AI7597">
        <v>1</v>
      </c>
      <c r="AJ7597">
        <v>1</v>
      </c>
      <c r="AK7597">
        <v>1</v>
      </c>
      <c r="AL7597">
        <v>1</v>
      </c>
      <c r="AM7597">
        <v>1</v>
      </c>
    </row>
    <row r="7598" spans="1:39" x14ac:dyDescent="0.2">
      <c r="A7598" t="str">
        <f>"7594"</f>
        <v>7594</v>
      </c>
      <c r="B7598" t="str">
        <f t="shared" si="420"/>
        <v>1</v>
      </c>
      <c r="C7598" t="str">
        <f t="shared" si="422"/>
        <v>152</v>
      </c>
      <c r="D7598" t="str">
        <f>"43"</f>
        <v>43</v>
      </c>
      <c r="E7598" t="str">
        <f>"1-152-43"</f>
        <v>1-152-43</v>
      </c>
      <c r="F7598" t="s">
        <v>65</v>
      </c>
      <c r="G7598" t="s">
        <v>66</v>
      </c>
      <c r="H7598" t="s">
        <v>67</v>
      </c>
      <c r="S7598">
        <v>1</v>
      </c>
      <c r="T7598">
        <v>0</v>
      </c>
      <c r="U7598">
        <v>0</v>
      </c>
      <c r="V7598">
        <v>0</v>
      </c>
      <c r="W7598">
        <v>1</v>
      </c>
      <c r="X7598">
        <v>0</v>
      </c>
      <c r="Y7598">
        <v>1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1</v>
      </c>
      <c r="AH7598">
        <v>1</v>
      </c>
      <c r="AI7598">
        <v>1</v>
      </c>
      <c r="AJ7598">
        <v>1</v>
      </c>
      <c r="AK7598">
        <v>1</v>
      </c>
      <c r="AL7598">
        <v>1</v>
      </c>
      <c r="AM7598">
        <v>1</v>
      </c>
    </row>
    <row r="7599" spans="1:39" x14ac:dyDescent="0.2">
      <c r="A7599" t="str">
        <f>"7595"</f>
        <v>7595</v>
      </c>
      <c r="B7599" t="str">
        <f t="shared" si="420"/>
        <v>1</v>
      </c>
      <c r="C7599" t="str">
        <f t="shared" si="422"/>
        <v>152</v>
      </c>
      <c r="D7599" t="str">
        <f>"31"</f>
        <v>31</v>
      </c>
      <c r="E7599" t="str">
        <f>"1-152-31"</f>
        <v>1-152-31</v>
      </c>
      <c r="F7599" t="s">
        <v>65</v>
      </c>
      <c r="G7599" t="s">
        <v>66</v>
      </c>
      <c r="H7599" t="s">
        <v>67</v>
      </c>
      <c r="S7599">
        <v>1</v>
      </c>
      <c r="T7599">
        <v>0</v>
      </c>
      <c r="U7599">
        <v>0</v>
      </c>
      <c r="V7599">
        <v>0</v>
      </c>
      <c r="W7599">
        <v>0</v>
      </c>
      <c r="X7599">
        <v>1</v>
      </c>
      <c r="Y7599">
        <v>1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</row>
    <row r="7600" spans="1:39" x14ac:dyDescent="0.2">
      <c r="A7600" t="str">
        <f>"7596"</f>
        <v>7596</v>
      </c>
      <c r="B7600" t="str">
        <f t="shared" si="420"/>
        <v>1</v>
      </c>
      <c r="C7600" t="str">
        <f t="shared" si="422"/>
        <v>152</v>
      </c>
      <c r="D7600" t="str">
        <f>"2"</f>
        <v>2</v>
      </c>
      <c r="E7600" t="str">
        <f>"1-152-2"</f>
        <v>1-152-2</v>
      </c>
      <c r="F7600" t="s">
        <v>65</v>
      </c>
      <c r="G7600" t="s">
        <v>66</v>
      </c>
      <c r="H7600" t="s">
        <v>67</v>
      </c>
      <c r="S7600">
        <v>1</v>
      </c>
      <c r="T7600">
        <v>0</v>
      </c>
      <c r="U7600">
        <v>0</v>
      </c>
      <c r="V7600">
        <v>0</v>
      </c>
      <c r="W7600">
        <v>1</v>
      </c>
      <c r="X7600">
        <v>0</v>
      </c>
      <c r="Y7600">
        <v>0</v>
      </c>
      <c r="Z7600">
        <v>1</v>
      </c>
      <c r="AA7600">
        <v>0</v>
      </c>
      <c r="AB7600">
        <v>0</v>
      </c>
      <c r="AC7600">
        <v>1</v>
      </c>
      <c r="AD7600">
        <v>1</v>
      </c>
      <c r="AE7600">
        <v>1</v>
      </c>
      <c r="AF7600">
        <v>1</v>
      </c>
      <c r="AG7600">
        <v>1</v>
      </c>
      <c r="AH7600">
        <v>1</v>
      </c>
      <c r="AI7600">
        <v>1</v>
      </c>
      <c r="AJ7600">
        <v>1</v>
      </c>
      <c r="AK7600">
        <v>1</v>
      </c>
      <c r="AL7600">
        <v>1</v>
      </c>
      <c r="AM7600">
        <v>1</v>
      </c>
    </row>
    <row r="7601" spans="1:39" x14ac:dyDescent="0.2">
      <c r="A7601" t="str">
        <f>"7597"</f>
        <v>7597</v>
      </c>
      <c r="B7601" t="str">
        <f t="shared" si="420"/>
        <v>1</v>
      </c>
      <c r="C7601" t="str">
        <f t="shared" si="422"/>
        <v>152</v>
      </c>
      <c r="D7601" t="str">
        <f>"48"</f>
        <v>48</v>
      </c>
      <c r="E7601" t="str">
        <f>"1-152-48"</f>
        <v>1-152-48</v>
      </c>
      <c r="F7601" t="s">
        <v>65</v>
      </c>
      <c r="G7601" t="s">
        <v>66</v>
      </c>
      <c r="H7601" t="s">
        <v>67</v>
      </c>
      <c r="S7601">
        <v>0</v>
      </c>
      <c r="T7601">
        <v>1</v>
      </c>
      <c r="U7601">
        <v>0</v>
      </c>
      <c r="V7601">
        <v>0</v>
      </c>
      <c r="W7601">
        <v>1</v>
      </c>
      <c r="X7601">
        <v>0</v>
      </c>
      <c r="Y7601">
        <v>1</v>
      </c>
      <c r="Z7601">
        <v>0</v>
      </c>
      <c r="AA7601">
        <v>1</v>
      </c>
      <c r="AB7601">
        <v>0</v>
      </c>
      <c r="AC7601">
        <v>0</v>
      </c>
      <c r="AD7601">
        <v>1</v>
      </c>
      <c r="AE7601">
        <v>1</v>
      </c>
      <c r="AF7601">
        <v>1</v>
      </c>
      <c r="AG7601">
        <v>1</v>
      </c>
      <c r="AH7601">
        <v>1</v>
      </c>
      <c r="AI7601">
        <v>1</v>
      </c>
      <c r="AJ7601">
        <v>1</v>
      </c>
      <c r="AK7601">
        <v>1</v>
      </c>
      <c r="AL7601">
        <v>1</v>
      </c>
      <c r="AM7601">
        <v>1</v>
      </c>
    </row>
    <row r="7602" spans="1:39" x14ac:dyDescent="0.2">
      <c r="A7602" t="str">
        <f>"7598"</f>
        <v>7598</v>
      </c>
      <c r="B7602" t="str">
        <f t="shared" si="420"/>
        <v>1</v>
      </c>
      <c r="C7602" t="str">
        <f t="shared" si="422"/>
        <v>152</v>
      </c>
      <c r="D7602" t="str">
        <f>"32"</f>
        <v>32</v>
      </c>
      <c r="E7602" t="str">
        <f>"1-152-32"</f>
        <v>1-152-32</v>
      </c>
      <c r="F7602" t="s">
        <v>65</v>
      </c>
      <c r="G7602" t="s">
        <v>66</v>
      </c>
      <c r="H7602" t="s">
        <v>67</v>
      </c>
      <c r="S7602">
        <v>1</v>
      </c>
      <c r="T7602">
        <v>0</v>
      </c>
      <c r="U7602">
        <v>0</v>
      </c>
      <c r="V7602">
        <v>0</v>
      </c>
      <c r="W7602">
        <v>1</v>
      </c>
      <c r="X7602">
        <v>0</v>
      </c>
      <c r="Y7602">
        <v>1</v>
      </c>
      <c r="Z7602">
        <v>0</v>
      </c>
      <c r="AA7602">
        <v>1</v>
      </c>
      <c r="AB7602">
        <v>0</v>
      </c>
      <c r="AC7602">
        <v>0</v>
      </c>
      <c r="AD7602">
        <v>1</v>
      </c>
      <c r="AE7602">
        <v>1</v>
      </c>
      <c r="AF7602">
        <v>1</v>
      </c>
      <c r="AG7602">
        <v>1</v>
      </c>
      <c r="AH7602">
        <v>1</v>
      </c>
      <c r="AI7602">
        <v>1</v>
      </c>
      <c r="AJ7602">
        <v>1</v>
      </c>
      <c r="AK7602">
        <v>1</v>
      </c>
      <c r="AL7602">
        <v>1</v>
      </c>
      <c r="AM7602">
        <v>1</v>
      </c>
    </row>
    <row r="7603" spans="1:39" x14ac:dyDescent="0.2">
      <c r="A7603" t="str">
        <f>"7599"</f>
        <v>7599</v>
      </c>
      <c r="B7603" t="str">
        <f t="shared" si="420"/>
        <v>1</v>
      </c>
      <c r="C7603" t="str">
        <f t="shared" si="422"/>
        <v>152</v>
      </c>
      <c r="D7603" t="str">
        <f>"6"</f>
        <v>6</v>
      </c>
      <c r="E7603" t="str">
        <f>"1-152-6"</f>
        <v>1-152-6</v>
      </c>
      <c r="F7603" t="s">
        <v>65</v>
      </c>
      <c r="G7603" t="s">
        <v>66</v>
      </c>
      <c r="H7603" t="s">
        <v>67</v>
      </c>
      <c r="S7603">
        <v>0</v>
      </c>
      <c r="T7603">
        <v>1</v>
      </c>
      <c r="U7603">
        <v>0</v>
      </c>
      <c r="V7603">
        <v>0</v>
      </c>
      <c r="W7603">
        <v>1</v>
      </c>
      <c r="X7603">
        <v>0</v>
      </c>
      <c r="Y7603">
        <v>0</v>
      </c>
      <c r="Z7603">
        <v>1</v>
      </c>
      <c r="AA7603">
        <v>1</v>
      </c>
      <c r="AB7603">
        <v>0</v>
      </c>
      <c r="AC7603">
        <v>0</v>
      </c>
      <c r="AD7603">
        <v>1</v>
      </c>
      <c r="AE7603">
        <v>1</v>
      </c>
      <c r="AF7603">
        <v>1</v>
      </c>
      <c r="AG7603">
        <v>1</v>
      </c>
      <c r="AH7603">
        <v>1</v>
      </c>
      <c r="AI7603">
        <v>1</v>
      </c>
      <c r="AJ7603">
        <v>1</v>
      </c>
      <c r="AK7603">
        <v>1</v>
      </c>
      <c r="AL7603">
        <v>1</v>
      </c>
      <c r="AM7603">
        <v>1</v>
      </c>
    </row>
    <row r="7604" spans="1:39" x14ac:dyDescent="0.2">
      <c r="A7604" t="str">
        <f>"7600"</f>
        <v>7600</v>
      </c>
      <c r="B7604" t="str">
        <f t="shared" si="420"/>
        <v>1</v>
      </c>
      <c r="C7604" t="str">
        <f t="shared" si="422"/>
        <v>152</v>
      </c>
      <c r="D7604" t="str">
        <f>"36"</f>
        <v>36</v>
      </c>
      <c r="E7604" t="str">
        <f>"1-152-36"</f>
        <v>1-152-36</v>
      </c>
      <c r="F7604" t="s">
        <v>65</v>
      </c>
      <c r="G7604" t="s">
        <v>66</v>
      </c>
      <c r="H7604" t="s">
        <v>67</v>
      </c>
      <c r="S7604">
        <v>1</v>
      </c>
      <c r="T7604">
        <v>0</v>
      </c>
      <c r="U7604">
        <v>0</v>
      </c>
      <c r="V7604">
        <v>0</v>
      </c>
      <c r="W7604">
        <v>1</v>
      </c>
      <c r="X7604">
        <v>0</v>
      </c>
      <c r="Y7604">
        <v>0</v>
      </c>
      <c r="Z7604">
        <v>0</v>
      </c>
      <c r="AA7604">
        <v>1</v>
      </c>
      <c r="AB7604">
        <v>0</v>
      </c>
      <c r="AC7604">
        <v>0</v>
      </c>
      <c r="AD7604">
        <v>1</v>
      </c>
      <c r="AE7604">
        <v>1</v>
      </c>
      <c r="AF7604">
        <v>1</v>
      </c>
      <c r="AG7604">
        <v>1</v>
      </c>
      <c r="AH7604">
        <v>1</v>
      </c>
      <c r="AI7604">
        <v>1</v>
      </c>
      <c r="AJ7604">
        <v>1</v>
      </c>
      <c r="AK7604">
        <v>1</v>
      </c>
      <c r="AL7604">
        <v>1</v>
      </c>
      <c r="AM7604">
        <v>1</v>
      </c>
    </row>
    <row r="7605" spans="1:39" x14ac:dyDescent="0.2">
      <c r="A7605" t="str">
        <f>"7601"</f>
        <v>7601</v>
      </c>
      <c r="B7605" t="str">
        <f t="shared" si="420"/>
        <v>1</v>
      </c>
      <c r="C7605" t="str">
        <f t="shared" ref="C7605:C7636" si="423">"153"</f>
        <v>153</v>
      </c>
      <c r="D7605" t="str">
        <f>"50"</f>
        <v>50</v>
      </c>
      <c r="E7605" t="str">
        <f>"1-153-50"</f>
        <v>1-153-50</v>
      </c>
      <c r="F7605" t="s">
        <v>65</v>
      </c>
      <c r="G7605" t="s">
        <v>66</v>
      </c>
      <c r="H7605" t="s">
        <v>68</v>
      </c>
      <c r="I7605">
        <v>1</v>
      </c>
      <c r="J7605">
        <v>0</v>
      </c>
      <c r="K7605">
        <v>1</v>
      </c>
      <c r="L7605">
        <v>0</v>
      </c>
      <c r="M7605">
        <v>1</v>
      </c>
      <c r="N7605">
        <v>1</v>
      </c>
      <c r="O7605">
        <v>1</v>
      </c>
      <c r="P7605">
        <v>1</v>
      </c>
      <c r="Q7605">
        <v>1</v>
      </c>
      <c r="R7605">
        <v>1</v>
      </c>
    </row>
    <row r="7606" spans="1:39" x14ac:dyDescent="0.2">
      <c r="A7606" t="str">
        <f>"7602"</f>
        <v>7602</v>
      </c>
      <c r="B7606" t="str">
        <f t="shared" si="420"/>
        <v>1</v>
      </c>
      <c r="C7606" t="str">
        <f t="shared" si="423"/>
        <v>153</v>
      </c>
      <c r="D7606" t="str">
        <f>"49"</f>
        <v>49</v>
      </c>
      <c r="E7606" t="str">
        <f>"1-153-49"</f>
        <v>1-153-49</v>
      </c>
      <c r="F7606" t="s">
        <v>65</v>
      </c>
      <c r="G7606" t="s">
        <v>66</v>
      </c>
      <c r="H7606" t="s">
        <v>68</v>
      </c>
      <c r="I7606">
        <v>1</v>
      </c>
      <c r="J7606">
        <v>1</v>
      </c>
      <c r="K7606">
        <v>0</v>
      </c>
      <c r="L7606">
        <v>0</v>
      </c>
      <c r="M7606">
        <v>0</v>
      </c>
      <c r="N7606">
        <v>1</v>
      </c>
      <c r="O7606">
        <v>1</v>
      </c>
      <c r="P7606">
        <v>1</v>
      </c>
      <c r="Q7606">
        <v>1</v>
      </c>
      <c r="R7606">
        <v>1</v>
      </c>
    </row>
    <row r="7607" spans="1:39" x14ac:dyDescent="0.2">
      <c r="A7607" t="str">
        <f>"7603"</f>
        <v>7603</v>
      </c>
      <c r="B7607" t="str">
        <f t="shared" ref="B7607:B7670" si="424">"1"</f>
        <v>1</v>
      </c>
      <c r="C7607" t="str">
        <f t="shared" si="423"/>
        <v>153</v>
      </c>
      <c r="D7607" t="str">
        <f>"34"</f>
        <v>34</v>
      </c>
      <c r="E7607" t="str">
        <f>"1-153-34"</f>
        <v>1-153-34</v>
      </c>
      <c r="F7607" t="s">
        <v>65</v>
      </c>
      <c r="G7607" t="s">
        <v>66</v>
      </c>
      <c r="H7607" t="s">
        <v>68</v>
      </c>
      <c r="I7607">
        <v>1</v>
      </c>
      <c r="J7607">
        <v>0</v>
      </c>
      <c r="K7607">
        <v>0</v>
      </c>
      <c r="L7607">
        <v>1</v>
      </c>
      <c r="M7607">
        <v>1</v>
      </c>
      <c r="N7607">
        <v>1</v>
      </c>
      <c r="O7607">
        <v>1</v>
      </c>
      <c r="P7607">
        <v>1</v>
      </c>
      <c r="Q7607">
        <v>1</v>
      </c>
      <c r="R7607">
        <v>1</v>
      </c>
    </row>
    <row r="7608" spans="1:39" x14ac:dyDescent="0.2">
      <c r="A7608" t="str">
        <f>"7604"</f>
        <v>7604</v>
      </c>
      <c r="B7608" t="str">
        <f t="shared" si="424"/>
        <v>1</v>
      </c>
      <c r="C7608" t="str">
        <f t="shared" si="423"/>
        <v>153</v>
      </c>
      <c r="D7608" t="str">
        <f>"33"</f>
        <v>33</v>
      </c>
      <c r="E7608" t="str">
        <f>"1-153-33"</f>
        <v>1-153-33</v>
      </c>
      <c r="F7608" t="s">
        <v>65</v>
      </c>
      <c r="G7608" t="s">
        <v>66</v>
      </c>
      <c r="H7608" t="s">
        <v>68</v>
      </c>
      <c r="I7608">
        <v>1</v>
      </c>
      <c r="J7608">
        <v>0</v>
      </c>
      <c r="K7608">
        <v>0</v>
      </c>
      <c r="L7608">
        <v>0</v>
      </c>
      <c r="M7608">
        <v>1</v>
      </c>
      <c r="N7608">
        <v>0</v>
      </c>
      <c r="O7608">
        <v>1</v>
      </c>
      <c r="P7608">
        <v>1</v>
      </c>
      <c r="Q7608">
        <v>1</v>
      </c>
      <c r="R7608">
        <v>1</v>
      </c>
    </row>
    <row r="7609" spans="1:39" x14ac:dyDescent="0.2">
      <c r="A7609" t="str">
        <f>"7605"</f>
        <v>7605</v>
      </c>
      <c r="B7609" t="str">
        <f t="shared" si="424"/>
        <v>1</v>
      </c>
      <c r="C7609" t="str">
        <f t="shared" si="423"/>
        <v>153</v>
      </c>
      <c r="D7609" t="str">
        <f>"23"</f>
        <v>23</v>
      </c>
      <c r="E7609" t="str">
        <f>"1-153-23"</f>
        <v>1-153-23</v>
      </c>
      <c r="F7609" t="s">
        <v>65</v>
      </c>
      <c r="G7609" t="s">
        <v>66</v>
      </c>
      <c r="H7609" t="s">
        <v>68</v>
      </c>
      <c r="I7609">
        <v>1</v>
      </c>
      <c r="J7609">
        <v>0</v>
      </c>
      <c r="K7609">
        <v>0</v>
      </c>
      <c r="L7609">
        <v>1</v>
      </c>
      <c r="M7609">
        <v>1</v>
      </c>
      <c r="N7609">
        <v>1</v>
      </c>
      <c r="O7609">
        <v>1</v>
      </c>
      <c r="P7609">
        <v>1</v>
      </c>
      <c r="Q7609">
        <v>1</v>
      </c>
      <c r="R7609">
        <v>1</v>
      </c>
    </row>
    <row r="7610" spans="1:39" x14ac:dyDescent="0.2">
      <c r="A7610" t="str">
        <f>"7606"</f>
        <v>7606</v>
      </c>
      <c r="B7610" t="str">
        <f t="shared" si="424"/>
        <v>1</v>
      </c>
      <c r="C7610" t="str">
        <f t="shared" si="423"/>
        <v>153</v>
      </c>
      <c r="D7610" t="str">
        <f>"15"</f>
        <v>15</v>
      </c>
      <c r="E7610" t="str">
        <f>"1-153-15"</f>
        <v>1-153-15</v>
      </c>
      <c r="F7610" t="s">
        <v>65</v>
      </c>
      <c r="G7610" t="s">
        <v>66</v>
      </c>
      <c r="H7610" t="s">
        <v>68</v>
      </c>
      <c r="I7610">
        <v>1</v>
      </c>
      <c r="J7610">
        <v>0</v>
      </c>
      <c r="K7610">
        <v>0</v>
      </c>
      <c r="L7610">
        <v>1</v>
      </c>
      <c r="M7610">
        <v>1</v>
      </c>
      <c r="N7610">
        <v>1</v>
      </c>
      <c r="O7610">
        <v>1</v>
      </c>
      <c r="P7610">
        <v>1</v>
      </c>
      <c r="Q7610">
        <v>1</v>
      </c>
      <c r="R7610">
        <v>1</v>
      </c>
    </row>
    <row r="7611" spans="1:39" x14ac:dyDescent="0.2">
      <c r="A7611" t="str">
        <f>"7607"</f>
        <v>7607</v>
      </c>
      <c r="B7611" t="str">
        <f t="shared" si="424"/>
        <v>1</v>
      </c>
      <c r="C7611" t="str">
        <f t="shared" si="423"/>
        <v>153</v>
      </c>
      <c r="D7611" t="str">
        <f>"6"</f>
        <v>6</v>
      </c>
      <c r="E7611" t="str">
        <f>"1-153-6"</f>
        <v>1-153-6</v>
      </c>
      <c r="F7611" t="s">
        <v>65</v>
      </c>
      <c r="G7611" t="s">
        <v>66</v>
      </c>
      <c r="H7611" t="s">
        <v>68</v>
      </c>
      <c r="I7611">
        <v>1</v>
      </c>
      <c r="J7611">
        <v>0</v>
      </c>
      <c r="K7611">
        <v>0</v>
      </c>
      <c r="L7611">
        <v>1</v>
      </c>
      <c r="M7611">
        <v>1</v>
      </c>
      <c r="N7611">
        <v>1</v>
      </c>
      <c r="O7611">
        <v>1</v>
      </c>
      <c r="P7611">
        <v>1</v>
      </c>
      <c r="Q7611">
        <v>1</v>
      </c>
      <c r="R7611">
        <v>1</v>
      </c>
    </row>
    <row r="7612" spans="1:39" x14ac:dyDescent="0.2">
      <c r="A7612" t="str">
        <f>"7608"</f>
        <v>7608</v>
      </c>
      <c r="B7612" t="str">
        <f t="shared" si="424"/>
        <v>1</v>
      </c>
      <c r="C7612" t="str">
        <f t="shared" si="423"/>
        <v>153</v>
      </c>
      <c r="D7612" t="str">
        <f>"48"</f>
        <v>48</v>
      </c>
      <c r="E7612" t="str">
        <f>"1-153-48"</f>
        <v>1-153-48</v>
      </c>
      <c r="F7612" t="s">
        <v>65</v>
      </c>
      <c r="G7612" t="s">
        <v>66</v>
      </c>
      <c r="H7612" t="s">
        <v>68</v>
      </c>
      <c r="I7612">
        <v>1</v>
      </c>
      <c r="J7612">
        <v>1</v>
      </c>
      <c r="K7612">
        <v>0</v>
      </c>
      <c r="L7612">
        <v>0</v>
      </c>
      <c r="M7612">
        <v>1</v>
      </c>
      <c r="N7612">
        <v>1</v>
      </c>
      <c r="O7612">
        <v>1</v>
      </c>
      <c r="P7612">
        <v>1</v>
      </c>
      <c r="Q7612">
        <v>1</v>
      </c>
      <c r="R7612">
        <v>1</v>
      </c>
    </row>
    <row r="7613" spans="1:39" x14ac:dyDescent="0.2">
      <c r="A7613" t="str">
        <f>"7609"</f>
        <v>7609</v>
      </c>
      <c r="B7613" t="str">
        <f t="shared" si="424"/>
        <v>1</v>
      </c>
      <c r="C7613" t="str">
        <f t="shared" si="423"/>
        <v>153</v>
      </c>
      <c r="D7613" t="str">
        <f>"47"</f>
        <v>47</v>
      </c>
      <c r="E7613" t="str">
        <f>"1-153-47"</f>
        <v>1-153-47</v>
      </c>
      <c r="F7613" t="s">
        <v>65</v>
      </c>
      <c r="G7613" t="s">
        <v>66</v>
      </c>
      <c r="H7613" t="s">
        <v>68</v>
      </c>
      <c r="I7613">
        <v>1</v>
      </c>
      <c r="J7613">
        <v>0</v>
      </c>
      <c r="K7613">
        <v>0</v>
      </c>
      <c r="L7613">
        <v>1</v>
      </c>
      <c r="M7613">
        <v>1</v>
      </c>
      <c r="N7613">
        <v>1</v>
      </c>
      <c r="O7613">
        <v>1</v>
      </c>
      <c r="P7613">
        <v>1</v>
      </c>
      <c r="Q7613">
        <v>1</v>
      </c>
      <c r="R7613">
        <v>1</v>
      </c>
    </row>
    <row r="7614" spans="1:39" x14ac:dyDescent="0.2">
      <c r="A7614" t="str">
        <f>"7610"</f>
        <v>7610</v>
      </c>
      <c r="B7614" t="str">
        <f t="shared" si="424"/>
        <v>1</v>
      </c>
      <c r="C7614" t="str">
        <f t="shared" si="423"/>
        <v>153</v>
      </c>
      <c r="D7614" t="str">
        <f>"32"</f>
        <v>32</v>
      </c>
      <c r="E7614" t="str">
        <f>"1-153-32"</f>
        <v>1-153-32</v>
      </c>
      <c r="F7614" t="s">
        <v>65</v>
      </c>
      <c r="G7614" t="s">
        <v>66</v>
      </c>
      <c r="H7614" t="s">
        <v>68</v>
      </c>
      <c r="I7614">
        <v>1</v>
      </c>
      <c r="J7614">
        <v>0</v>
      </c>
      <c r="K7614">
        <v>0</v>
      </c>
      <c r="L7614">
        <v>1</v>
      </c>
      <c r="M7614">
        <v>1</v>
      </c>
      <c r="N7614">
        <v>1</v>
      </c>
      <c r="O7614">
        <v>1</v>
      </c>
      <c r="P7614">
        <v>1</v>
      </c>
      <c r="Q7614">
        <v>1</v>
      </c>
      <c r="R7614">
        <v>1</v>
      </c>
    </row>
    <row r="7615" spans="1:39" x14ac:dyDescent="0.2">
      <c r="A7615" t="str">
        <f>"7611"</f>
        <v>7611</v>
      </c>
      <c r="B7615" t="str">
        <f t="shared" si="424"/>
        <v>1</v>
      </c>
      <c r="C7615" t="str">
        <f t="shared" si="423"/>
        <v>153</v>
      </c>
      <c r="D7615" t="str">
        <f>"31"</f>
        <v>31</v>
      </c>
      <c r="E7615" t="str">
        <f>"1-153-31"</f>
        <v>1-153-31</v>
      </c>
      <c r="F7615" t="s">
        <v>65</v>
      </c>
      <c r="G7615" t="s">
        <v>66</v>
      </c>
      <c r="H7615" t="s">
        <v>68</v>
      </c>
      <c r="I7615">
        <v>1</v>
      </c>
      <c r="J7615">
        <v>0</v>
      </c>
      <c r="K7615">
        <v>0</v>
      </c>
      <c r="L7615">
        <v>1</v>
      </c>
      <c r="M7615">
        <v>1</v>
      </c>
      <c r="N7615">
        <v>1</v>
      </c>
      <c r="O7615">
        <v>1</v>
      </c>
      <c r="P7615">
        <v>1</v>
      </c>
      <c r="Q7615">
        <v>1</v>
      </c>
      <c r="R7615">
        <v>1</v>
      </c>
    </row>
    <row r="7616" spans="1:39" x14ac:dyDescent="0.2">
      <c r="A7616" t="str">
        <f>"7612"</f>
        <v>7612</v>
      </c>
      <c r="B7616" t="str">
        <f t="shared" si="424"/>
        <v>1</v>
      </c>
      <c r="C7616" t="str">
        <f t="shared" si="423"/>
        <v>153</v>
      </c>
      <c r="D7616" t="str">
        <f>"18"</f>
        <v>18</v>
      </c>
      <c r="E7616" t="str">
        <f>"1-153-18"</f>
        <v>1-153-18</v>
      </c>
      <c r="F7616" t="s">
        <v>65</v>
      </c>
      <c r="G7616" t="s">
        <v>66</v>
      </c>
      <c r="H7616" t="s">
        <v>68</v>
      </c>
      <c r="I7616">
        <v>1</v>
      </c>
      <c r="J7616">
        <v>1</v>
      </c>
      <c r="K7616">
        <v>0</v>
      </c>
      <c r="L7616">
        <v>0</v>
      </c>
      <c r="M7616">
        <v>1</v>
      </c>
      <c r="N7616">
        <v>1</v>
      </c>
      <c r="O7616">
        <v>1</v>
      </c>
      <c r="P7616">
        <v>1</v>
      </c>
      <c r="Q7616">
        <v>1</v>
      </c>
      <c r="R7616">
        <v>1</v>
      </c>
    </row>
    <row r="7617" spans="1:18" x14ac:dyDescent="0.2">
      <c r="A7617" t="str">
        <f>"7613"</f>
        <v>7613</v>
      </c>
      <c r="B7617" t="str">
        <f t="shared" si="424"/>
        <v>1</v>
      </c>
      <c r="C7617" t="str">
        <f t="shared" si="423"/>
        <v>153</v>
      </c>
      <c r="D7617" t="str">
        <f>"16"</f>
        <v>16</v>
      </c>
      <c r="E7617" t="str">
        <f>"1-153-16"</f>
        <v>1-153-16</v>
      </c>
      <c r="F7617" t="s">
        <v>65</v>
      </c>
      <c r="G7617" t="s">
        <v>66</v>
      </c>
      <c r="H7617" t="s">
        <v>68</v>
      </c>
      <c r="I7617">
        <v>1</v>
      </c>
      <c r="J7617">
        <v>0</v>
      </c>
      <c r="K7617">
        <v>0</v>
      </c>
      <c r="L7617">
        <v>1</v>
      </c>
      <c r="M7617">
        <v>1</v>
      </c>
      <c r="N7617">
        <v>1</v>
      </c>
      <c r="O7617">
        <v>1</v>
      </c>
      <c r="P7617">
        <v>1</v>
      </c>
      <c r="Q7617">
        <v>1</v>
      </c>
      <c r="R7617">
        <v>1</v>
      </c>
    </row>
    <row r="7618" spans="1:18" x14ac:dyDescent="0.2">
      <c r="A7618" t="str">
        <f>"7614"</f>
        <v>7614</v>
      </c>
      <c r="B7618" t="str">
        <f t="shared" si="424"/>
        <v>1</v>
      </c>
      <c r="C7618" t="str">
        <f t="shared" si="423"/>
        <v>153</v>
      </c>
      <c r="D7618" t="str">
        <f>"5"</f>
        <v>5</v>
      </c>
      <c r="E7618" t="str">
        <f>"1-153-5"</f>
        <v>1-153-5</v>
      </c>
      <c r="F7618" t="s">
        <v>65</v>
      </c>
      <c r="G7618" t="s">
        <v>66</v>
      </c>
      <c r="H7618" t="s">
        <v>68</v>
      </c>
      <c r="I7618">
        <v>1</v>
      </c>
      <c r="J7618">
        <v>0</v>
      </c>
      <c r="K7618">
        <v>0</v>
      </c>
      <c r="L7618">
        <v>1</v>
      </c>
      <c r="M7618">
        <v>1</v>
      </c>
      <c r="N7618">
        <v>1</v>
      </c>
      <c r="O7618">
        <v>1</v>
      </c>
      <c r="P7618">
        <v>1</v>
      </c>
      <c r="Q7618">
        <v>1</v>
      </c>
      <c r="R7618">
        <v>1</v>
      </c>
    </row>
    <row r="7619" spans="1:18" x14ac:dyDescent="0.2">
      <c r="A7619" t="str">
        <f>"7615"</f>
        <v>7615</v>
      </c>
      <c r="B7619" t="str">
        <f t="shared" si="424"/>
        <v>1</v>
      </c>
      <c r="C7619" t="str">
        <f t="shared" si="423"/>
        <v>153</v>
      </c>
      <c r="D7619" t="str">
        <f>"35"</f>
        <v>35</v>
      </c>
      <c r="E7619" t="str">
        <f>"1-153-35"</f>
        <v>1-153-35</v>
      </c>
      <c r="F7619" t="s">
        <v>65</v>
      </c>
      <c r="G7619" t="s">
        <v>66</v>
      </c>
      <c r="H7619" t="s">
        <v>68</v>
      </c>
      <c r="I7619">
        <v>1</v>
      </c>
      <c r="J7619">
        <v>0</v>
      </c>
      <c r="K7619">
        <v>0</v>
      </c>
      <c r="L7619">
        <v>1</v>
      </c>
      <c r="M7619">
        <v>1</v>
      </c>
      <c r="N7619">
        <v>1</v>
      </c>
      <c r="O7619">
        <v>1</v>
      </c>
      <c r="P7619">
        <v>1</v>
      </c>
      <c r="Q7619">
        <v>1</v>
      </c>
      <c r="R7619">
        <v>1</v>
      </c>
    </row>
    <row r="7620" spans="1:18" x14ac:dyDescent="0.2">
      <c r="A7620" t="str">
        <f>"7616"</f>
        <v>7616</v>
      </c>
      <c r="B7620" t="str">
        <f t="shared" si="424"/>
        <v>1</v>
      </c>
      <c r="C7620" t="str">
        <f t="shared" si="423"/>
        <v>153</v>
      </c>
      <c r="D7620" t="str">
        <f>"17"</f>
        <v>17</v>
      </c>
      <c r="E7620" t="str">
        <f>"1-153-17"</f>
        <v>1-153-17</v>
      </c>
      <c r="F7620" t="s">
        <v>65</v>
      </c>
      <c r="G7620" t="s">
        <v>66</v>
      </c>
      <c r="H7620" t="s">
        <v>68</v>
      </c>
      <c r="I7620">
        <v>1</v>
      </c>
      <c r="J7620">
        <v>0</v>
      </c>
      <c r="K7620">
        <v>0</v>
      </c>
      <c r="L7620">
        <v>1</v>
      </c>
      <c r="M7620">
        <v>1</v>
      </c>
      <c r="N7620">
        <v>1</v>
      </c>
      <c r="O7620">
        <v>1</v>
      </c>
      <c r="P7620">
        <v>1</v>
      </c>
      <c r="Q7620">
        <v>1</v>
      </c>
      <c r="R7620">
        <v>1</v>
      </c>
    </row>
    <row r="7621" spans="1:18" x14ac:dyDescent="0.2">
      <c r="A7621" t="str">
        <f>"7617"</f>
        <v>7617</v>
      </c>
      <c r="B7621" t="str">
        <f t="shared" si="424"/>
        <v>1</v>
      </c>
      <c r="C7621" t="str">
        <f t="shared" si="423"/>
        <v>153</v>
      </c>
      <c r="D7621" t="str">
        <f>"8"</f>
        <v>8</v>
      </c>
      <c r="E7621" t="str">
        <f>"1-153-8"</f>
        <v>1-153-8</v>
      </c>
      <c r="F7621" t="s">
        <v>65</v>
      </c>
      <c r="G7621" t="s">
        <v>66</v>
      </c>
      <c r="H7621" t="s">
        <v>68</v>
      </c>
      <c r="I7621">
        <v>1</v>
      </c>
      <c r="J7621">
        <v>0</v>
      </c>
      <c r="K7621">
        <v>0</v>
      </c>
      <c r="L7621">
        <v>1</v>
      </c>
      <c r="M7621">
        <v>1</v>
      </c>
      <c r="N7621">
        <v>1</v>
      </c>
      <c r="O7621">
        <v>1</v>
      </c>
      <c r="P7621">
        <v>1</v>
      </c>
      <c r="Q7621">
        <v>1</v>
      </c>
      <c r="R7621">
        <v>1</v>
      </c>
    </row>
    <row r="7622" spans="1:18" x14ac:dyDescent="0.2">
      <c r="A7622" t="str">
        <f>"7618"</f>
        <v>7618</v>
      </c>
      <c r="B7622" t="str">
        <f t="shared" si="424"/>
        <v>1</v>
      </c>
      <c r="C7622" t="str">
        <f t="shared" si="423"/>
        <v>153</v>
      </c>
      <c r="D7622" t="str">
        <f>"38"</f>
        <v>38</v>
      </c>
      <c r="E7622" t="str">
        <f>"1-153-38"</f>
        <v>1-153-38</v>
      </c>
      <c r="F7622" t="s">
        <v>65</v>
      </c>
      <c r="G7622" t="s">
        <v>66</v>
      </c>
      <c r="H7622" t="s">
        <v>68</v>
      </c>
      <c r="I7622">
        <v>1</v>
      </c>
      <c r="J7622">
        <v>1</v>
      </c>
      <c r="K7622">
        <v>0</v>
      </c>
      <c r="L7622">
        <v>0</v>
      </c>
      <c r="M7622">
        <v>1</v>
      </c>
      <c r="N7622">
        <v>1</v>
      </c>
      <c r="O7622">
        <v>1</v>
      </c>
      <c r="P7622">
        <v>1</v>
      </c>
      <c r="Q7622">
        <v>1</v>
      </c>
      <c r="R7622">
        <v>1</v>
      </c>
    </row>
    <row r="7623" spans="1:18" x14ac:dyDescent="0.2">
      <c r="A7623" t="str">
        <f>"7619"</f>
        <v>7619</v>
      </c>
      <c r="B7623" t="str">
        <f t="shared" si="424"/>
        <v>1</v>
      </c>
      <c r="C7623" t="str">
        <f t="shared" si="423"/>
        <v>153</v>
      </c>
      <c r="D7623" t="str">
        <f>"19"</f>
        <v>19</v>
      </c>
      <c r="E7623" t="str">
        <f>"1-153-19"</f>
        <v>1-153-19</v>
      </c>
      <c r="F7623" t="s">
        <v>65</v>
      </c>
      <c r="G7623" t="s">
        <v>66</v>
      </c>
      <c r="H7623" t="s">
        <v>68</v>
      </c>
      <c r="I7623">
        <v>1</v>
      </c>
      <c r="J7623">
        <v>0</v>
      </c>
      <c r="K7623">
        <v>0</v>
      </c>
      <c r="L7623">
        <v>0</v>
      </c>
      <c r="M7623">
        <v>1</v>
      </c>
      <c r="N7623">
        <v>0</v>
      </c>
      <c r="O7623">
        <v>0</v>
      </c>
      <c r="P7623">
        <v>0</v>
      </c>
      <c r="Q7623">
        <v>0</v>
      </c>
      <c r="R7623">
        <v>0</v>
      </c>
    </row>
    <row r="7624" spans="1:18" x14ac:dyDescent="0.2">
      <c r="A7624" t="str">
        <f>"7620"</f>
        <v>7620</v>
      </c>
      <c r="B7624" t="str">
        <f t="shared" si="424"/>
        <v>1</v>
      </c>
      <c r="C7624" t="str">
        <f t="shared" si="423"/>
        <v>153</v>
      </c>
      <c r="D7624" t="str">
        <f>"14"</f>
        <v>14</v>
      </c>
      <c r="E7624" t="str">
        <f>"1-153-14"</f>
        <v>1-153-14</v>
      </c>
      <c r="F7624" t="s">
        <v>65</v>
      </c>
      <c r="G7624" t="s">
        <v>66</v>
      </c>
      <c r="H7624" t="s">
        <v>68</v>
      </c>
      <c r="I7624">
        <v>1</v>
      </c>
      <c r="J7624">
        <v>0</v>
      </c>
      <c r="K7624">
        <v>0</v>
      </c>
      <c r="L7624">
        <v>1</v>
      </c>
      <c r="M7624">
        <v>1</v>
      </c>
      <c r="N7624">
        <v>1</v>
      </c>
      <c r="O7624">
        <v>1</v>
      </c>
      <c r="P7624">
        <v>1</v>
      </c>
      <c r="Q7624">
        <v>1</v>
      </c>
      <c r="R7624">
        <v>1</v>
      </c>
    </row>
    <row r="7625" spans="1:18" x14ac:dyDescent="0.2">
      <c r="A7625" t="str">
        <f>"7621"</f>
        <v>7621</v>
      </c>
      <c r="B7625" t="str">
        <f t="shared" si="424"/>
        <v>1</v>
      </c>
      <c r="C7625" t="str">
        <f t="shared" si="423"/>
        <v>153</v>
      </c>
      <c r="D7625" t="str">
        <f>"37"</f>
        <v>37</v>
      </c>
      <c r="E7625" t="str">
        <f>"1-153-37"</f>
        <v>1-153-37</v>
      </c>
      <c r="F7625" t="s">
        <v>65</v>
      </c>
      <c r="G7625" t="s">
        <v>66</v>
      </c>
      <c r="H7625" t="s">
        <v>68</v>
      </c>
      <c r="I7625">
        <v>1</v>
      </c>
      <c r="J7625">
        <v>0</v>
      </c>
      <c r="K7625">
        <v>0</v>
      </c>
      <c r="L7625">
        <v>1</v>
      </c>
      <c r="M7625">
        <v>1</v>
      </c>
      <c r="N7625">
        <v>1</v>
      </c>
      <c r="O7625">
        <v>1</v>
      </c>
      <c r="P7625">
        <v>1</v>
      </c>
      <c r="Q7625">
        <v>1</v>
      </c>
      <c r="R7625">
        <v>1</v>
      </c>
    </row>
    <row r="7626" spans="1:18" x14ac:dyDescent="0.2">
      <c r="A7626" t="str">
        <f>"7622"</f>
        <v>7622</v>
      </c>
      <c r="B7626" t="str">
        <f t="shared" si="424"/>
        <v>1</v>
      </c>
      <c r="C7626" t="str">
        <f t="shared" si="423"/>
        <v>153</v>
      </c>
      <c r="D7626" t="str">
        <f>"20"</f>
        <v>20</v>
      </c>
      <c r="E7626" t="str">
        <f>"1-153-20"</f>
        <v>1-153-20</v>
      </c>
      <c r="F7626" t="s">
        <v>65</v>
      </c>
      <c r="G7626" t="s">
        <v>66</v>
      </c>
      <c r="H7626" t="s">
        <v>68</v>
      </c>
      <c r="I7626">
        <v>1</v>
      </c>
      <c r="J7626">
        <v>0</v>
      </c>
      <c r="K7626">
        <v>0</v>
      </c>
      <c r="L7626">
        <v>1</v>
      </c>
      <c r="M7626">
        <v>1</v>
      </c>
      <c r="N7626">
        <v>1</v>
      </c>
      <c r="O7626">
        <v>1</v>
      </c>
      <c r="P7626">
        <v>1</v>
      </c>
      <c r="Q7626">
        <v>1</v>
      </c>
      <c r="R7626">
        <v>1</v>
      </c>
    </row>
    <row r="7627" spans="1:18" x14ac:dyDescent="0.2">
      <c r="A7627" t="str">
        <f>"7623"</f>
        <v>7623</v>
      </c>
      <c r="B7627" t="str">
        <f t="shared" si="424"/>
        <v>1</v>
      </c>
      <c r="C7627" t="str">
        <f t="shared" si="423"/>
        <v>153</v>
      </c>
      <c r="D7627" t="str">
        <f>"7"</f>
        <v>7</v>
      </c>
      <c r="E7627" t="str">
        <f>"1-153-7"</f>
        <v>1-153-7</v>
      </c>
      <c r="F7627" t="s">
        <v>65</v>
      </c>
      <c r="G7627" t="s">
        <v>66</v>
      </c>
      <c r="H7627" t="s">
        <v>68</v>
      </c>
      <c r="I7627">
        <v>1</v>
      </c>
      <c r="J7627">
        <v>0</v>
      </c>
      <c r="K7627">
        <v>0</v>
      </c>
      <c r="L7627">
        <v>1</v>
      </c>
      <c r="M7627">
        <v>1</v>
      </c>
      <c r="N7627">
        <v>1</v>
      </c>
      <c r="O7627">
        <v>1</v>
      </c>
      <c r="P7627">
        <v>1</v>
      </c>
      <c r="Q7627">
        <v>1</v>
      </c>
      <c r="R7627">
        <v>1</v>
      </c>
    </row>
    <row r="7628" spans="1:18" x14ac:dyDescent="0.2">
      <c r="A7628" t="str">
        <f>"7624"</f>
        <v>7624</v>
      </c>
      <c r="B7628" t="str">
        <f t="shared" si="424"/>
        <v>1</v>
      </c>
      <c r="C7628" t="str">
        <f t="shared" si="423"/>
        <v>153</v>
      </c>
      <c r="D7628" t="str">
        <f>"36"</f>
        <v>36</v>
      </c>
      <c r="E7628" t="str">
        <f>"1-153-36"</f>
        <v>1-153-36</v>
      </c>
      <c r="F7628" t="s">
        <v>65</v>
      </c>
      <c r="G7628" t="s">
        <v>66</v>
      </c>
      <c r="H7628" t="s">
        <v>68</v>
      </c>
      <c r="I7628">
        <v>0</v>
      </c>
      <c r="J7628">
        <v>0</v>
      </c>
      <c r="K7628">
        <v>0</v>
      </c>
      <c r="L7628">
        <v>1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</row>
    <row r="7629" spans="1:18" x14ac:dyDescent="0.2">
      <c r="A7629" t="str">
        <f>"7625"</f>
        <v>7625</v>
      </c>
      <c r="B7629" t="str">
        <f t="shared" si="424"/>
        <v>1</v>
      </c>
      <c r="C7629" t="str">
        <f t="shared" si="423"/>
        <v>153</v>
      </c>
      <c r="D7629" t="str">
        <f>"21"</f>
        <v>21</v>
      </c>
      <c r="E7629" t="str">
        <f>"1-153-21"</f>
        <v>1-153-21</v>
      </c>
      <c r="F7629" t="s">
        <v>65</v>
      </c>
      <c r="G7629" t="s">
        <v>66</v>
      </c>
      <c r="H7629" t="s">
        <v>68</v>
      </c>
      <c r="I7629">
        <v>0</v>
      </c>
      <c r="J7629">
        <v>0</v>
      </c>
      <c r="K7629">
        <v>0</v>
      </c>
      <c r="L7629">
        <v>0</v>
      </c>
      <c r="M7629">
        <v>1</v>
      </c>
      <c r="N7629">
        <v>0</v>
      </c>
      <c r="O7629">
        <v>1</v>
      </c>
      <c r="P7629">
        <v>0</v>
      </c>
      <c r="Q7629">
        <v>0</v>
      </c>
      <c r="R7629">
        <v>0</v>
      </c>
    </row>
    <row r="7630" spans="1:18" x14ac:dyDescent="0.2">
      <c r="A7630" t="str">
        <f>"7626"</f>
        <v>7626</v>
      </c>
      <c r="B7630" t="str">
        <f t="shared" si="424"/>
        <v>1</v>
      </c>
      <c r="C7630" t="str">
        <f t="shared" si="423"/>
        <v>153</v>
      </c>
      <c r="D7630" t="str">
        <f>"4"</f>
        <v>4</v>
      </c>
      <c r="E7630" t="str">
        <f>"1-153-4"</f>
        <v>1-153-4</v>
      </c>
      <c r="F7630" t="s">
        <v>65</v>
      </c>
      <c r="G7630" t="s">
        <v>66</v>
      </c>
      <c r="H7630" t="s">
        <v>68</v>
      </c>
      <c r="I7630">
        <v>1</v>
      </c>
      <c r="J7630">
        <v>0</v>
      </c>
      <c r="K7630">
        <v>0</v>
      </c>
      <c r="L7630">
        <v>1</v>
      </c>
      <c r="M7630">
        <v>1</v>
      </c>
      <c r="N7630">
        <v>1</v>
      </c>
      <c r="O7630">
        <v>1</v>
      </c>
      <c r="P7630">
        <v>1</v>
      </c>
      <c r="Q7630">
        <v>1</v>
      </c>
      <c r="R7630">
        <v>1</v>
      </c>
    </row>
    <row r="7631" spans="1:18" x14ac:dyDescent="0.2">
      <c r="A7631" t="str">
        <f>"7627"</f>
        <v>7627</v>
      </c>
      <c r="B7631" t="str">
        <f t="shared" si="424"/>
        <v>1</v>
      </c>
      <c r="C7631" t="str">
        <f t="shared" si="423"/>
        <v>153</v>
      </c>
      <c r="D7631" t="str">
        <f>"46"</f>
        <v>46</v>
      </c>
      <c r="E7631" t="str">
        <f>"1-153-46"</f>
        <v>1-153-46</v>
      </c>
      <c r="F7631" t="s">
        <v>65</v>
      </c>
      <c r="G7631" t="s">
        <v>66</v>
      </c>
      <c r="H7631" t="s">
        <v>68</v>
      </c>
      <c r="I7631">
        <v>1</v>
      </c>
      <c r="J7631">
        <v>0</v>
      </c>
      <c r="K7631">
        <v>0</v>
      </c>
      <c r="L7631">
        <v>1</v>
      </c>
      <c r="M7631">
        <v>1</v>
      </c>
      <c r="N7631">
        <v>1</v>
      </c>
      <c r="O7631">
        <v>1</v>
      </c>
      <c r="P7631">
        <v>1</v>
      </c>
      <c r="Q7631">
        <v>1</v>
      </c>
      <c r="R7631">
        <v>1</v>
      </c>
    </row>
    <row r="7632" spans="1:18" x14ac:dyDescent="0.2">
      <c r="A7632" t="str">
        <f>"7628"</f>
        <v>7628</v>
      </c>
      <c r="B7632" t="str">
        <f t="shared" si="424"/>
        <v>1</v>
      </c>
      <c r="C7632" t="str">
        <f t="shared" si="423"/>
        <v>153</v>
      </c>
      <c r="D7632" t="str">
        <f>"22"</f>
        <v>22</v>
      </c>
      <c r="E7632" t="str">
        <f>"1-153-22"</f>
        <v>1-153-22</v>
      </c>
      <c r="F7632" t="s">
        <v>65</v>
      </c>
      <c r="G7632" t="s">
        <v>66</v>
      </c>
      <c r="H7632" t="s">
        <v>68</v>
      </c>
      <c r="I7632">
        <v>1</v>
      </c>
      <c r="J7632">
        <v>1</v>
      </c>
      <c r="K7632">
        <v>0</v>
      </c>
      <c r="L7632">
        <v>0</v>
      </c>
      <c r="M7632">
        <v>1</v>
      </c>
      <c r="N7632">
        <v>1</v>
      </c>
      <c r="O7632">
        <v>1</v>
      </c>
      <c r="P7632">
        <v>1</v>
      </c>
      <c r="Q7632">
        <v>1</v>
      </c>
      <c r="R7632">
        <v>1</v>
      </c>
    </row>
    <row r="7633" spans="1:39" x14ac:dyDescent="0.2">
      <c r="A7633" t="str">
        <f>"7629"</f>
        <v>7629</v>
      </c>
      <c r="B7633" t="str">
        <f t="shared" si="424"/>
        <v>1</v>
      </c>
      <c r="C7633" t="str">
        <f t="shared" si="423"/>
        <v>153</v>
      </c>
      <c r="D7633" t="str">
        <f>"11"</f>
        <v>11</v>
      </c>
      <c r="E7633" t="str">
        <f>"1-153-11"</f>
        <v>1-153-11</v>
      </c>
      <c r="F7633" t="s">
        <v>65</v>
      </c>
      <c r="G7633" t="s">
        <v>66</v>
      </c>
      <c r="H7633" t="s">
        <v>68</v>
      </c>
      <c r="I7633">
        <v>1</v>
      </c>
      <c r="J7633">
        <v>1</v>
      </c>
      <c r="K7633">
        <v>0</v>
      </c>
      <c r="L7633">
        <v>0</v>
      </c>
      <c r="M7633">
        <v>1</v>
      </c>
      <c r="N7633">
        <v>1</v>
      </c>
      <c r="O7633">
        <v>1</v>
      </c>
      <c r="P7633">
        <v>1</v>
      </c>
      <c r="Q7633">
        <v>1</v>
      </c>
      <c r="R7633">
        <v>1</v>
      </c>
    </row>
    <row r="7634" spans="1:39" x14ac:dyDescent="0.2">
      <c r="A7634" t="str">
        <f>"7630"</f>
        <v>7630</v>
      </c>
      <c r="B7634" t="str">
        <f t="shared" si="424"/>
        <v>1</v>
      </c>
      <c r="C7634" t="str">
        <f t="shared" si="423"/>
        <v>153</v>
      </c>
      <c r="D7634" t="str">
        <f>"40"</f>
        <v>40</v>
      </c>
      <c r="E7634" t="str">
        <f>"1-153-40"</f>
        <v>1-153-40</v>
      </c>
      <c r="F7634" t="s">
        <v>65</v>
      </c>
      <c r="G7634" t="s">
        <v>66</v>
      </c>
      <c r="H7634" t="s">
        <v>68</v>
      </c>
      <c r="I7634">
        <v>1</v>
      </c>
      <c r="J7634">
        <v>1</v>
      </c>
      <c r="K7634">
        <v>0</v>
      </c>
      <c r="L7634">
        <v>0</v>
      </c>
      <c r="M7634">
        <v>1</v>
      </c>
      <c r="N7634">
        <v>1</v>
      </c>
      <c r="O7634">
        <v>1</v>
      </c>
      <c r="P7634">
        <v>1</v>
      </c>
      <c r="Q7634">
        <v>1</v>
      </c>
      <c r="R7634">
        <v>1</v>
      </c>
    </row>
    <row r="7635" spans="1:39" x14ac:dyDescent="0.2">
      <c r="A7635" t="str">
        <f>"7631"</f>
        <v>7631</v>
      </c>
      <c r="B7635" t="str">
        <f t="shared" si="424"/>
        <v>1</v>
      </c>
      <c r="C7635" t="str">
        <f t="shared" si="423"/>
        <v>153</v>
      </c>
      <c r="D7635" t="str">
        <f>"24"</f>
        <v>24</v>
      </c>
      <c r="E7635" t="str">
        <f>"1-153-24"</f>
        <v>1-153-24</v>
      </c>
      <c r="F7635" t="s">
        <v>65</v>
      </c>
      <c r="G7635" t="s">
        <v>66</v>
      </c>
      <c r="H7635" t="s">
        <v>68</v>
      </c>
      <c r="I7635">
        <v>1</v>
      </c>
      <c r="J7635">
        <v>1</v>
      </c>
      <c r="K7635">
        <v>0</v>
      </c>
      <c r="L7635">
        <v>0</v>
      </c>
      <c r="M7635">
        <v>1</v>
      </c>
      <c r="N7635">
        <v>1</v>
      </c>
      <c r="O7635">
        <v>1</v>
      </c>
      <c r="P7635">
        <v>1</v>
      </c>
      <c r="Q7635">
        <v>1</v>
      </c>
      <c r="R7635">
        <v>1</v>
      </c>
    </row>
    <row r="7636" spans="1:39" x14ac:dyDescent="0.2">
      <c r="A7636" t="str">
        <f>"7632"</f>
        <v>7632</v>
      </c>
      <c r="B7636" t="str">
        <f t="shared" si="424"/>
        <v>1</v>
      </c>
      <c r="C7636" t="str">
        <f t="shared" si="423"/>
        <v>153</v>
      </c>
      <c r="D7636" t="str">
        <f>"2"</f>
        <v>2</v>
      </c>
      <c r="E7636" t="str">
        <f>"1-153-2"</f>
        <v>1-153-2</v>
      </c>
      <c r="F7636" t="s">
        <v>65</v>
      </c>
      <c r="G7636" t="s">
        <v>66</v>
      </c>
      <c r="H7636" t="s">
        <v>67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1</v>
      </c>
      <c r="Y7636">
        <v>1</v>
      </c>
      <c r="Z7636">
        <v>0</v>
      </c>
      <c r="AA7636">
        <v>0</v>
      </c>
      <c r="AB7636">
        <v>0</v>
      </c>
      <c r="AC7636">
        <v>1</v>
      </c>
      <c r="AD7636">
        <v>0</v>
      </c>
      <c r="AE7636">
        <v>0</v>
      </c>
      <c r="AF7636">
        <v>0</v>
      </c>
      <c r="AG7636">
        <v>1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</row>
    <row r="7637" spans="1:39" x14ac:dyDescent="0.2">
      <c r="A7637" t="str">
        <f>"7633"</f>
        <v>7633</v>
      </c>
      <c r="B7637" t="str">
        <f t="shared" si="424"/>
        <v>1</v>
      </c>
      <c r="C7637" t="str">
        <f t="shared" ref="C7637:C7654" si="425">"153"</f>
        <v>153</v>
      </c>
      <c r="D7637" t="str">
        <f>"39"</f>
        <v>39</v>
      </c>
      <c r="E7637" t="str">
        <f>"1-153-39"</f>
        <v>1-153-39</v>
      </c>
      <c r="F7637" t="s">
        <v>65</v>
      </c>
      <c r="G7637" t="s">
        <v>66</v>
      </c>
      <c r="H7637" t="s">
        <v>68</v>
      </c>
      <c r="I7637">
        <v>1</v>
      </c>
      <c r="J7637">
        <v>1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1</v>
      </c>
      <c r="Q7637">
        <v>1</v>
      </c>
      <c r="R7637">
        <v>1</v>
      </c>
    </row>
    <row r="7638" spans="1:39" x14ac:dyDescent="0.2">
      <c r="A7638" t="str">
        <f>"7634"</f>
        <v>7634</v>
      </c>
      <c r="B7638" t="str">
        <f t="shared" si="424"/>
        <v>1</v>
      </c>
      <c r="C7638" t="str">
        <f t="shared" si="425"/>
        <v>153</v>
      </c>
      <c r="D7638" t="str">
        <f>"3"</f>
        <v>3</v>
      </c>
      <c r="E7638" t="str">
        <f>"1-153-3"</f>
        <v>1-153-3</v>
      </c>
      <c r="F7638" t="s">
        <v>65</v>
      </c>
      <c r="G7638" t="s">
        <v>66</v>
      </c>
      <c r="H7638" t="s">
        <v>68</v>
      </c>
      <c r="I7638">
        <v>1</v>
      </c>
      <c r="J7638">
        <v>0</v>
      </c>
      <c r="K7638">
        <v>0</v>
      </c>
      <c r="L7638">
        <v>1</v>
      </c>
      <c r="M7638">
        <v>1</v>
      </c>
      <c r="N7638">
        <v>1</v>
      </c>
      <c r="O7638">
        <v>1</v>
      </c>
      <c r="P7638">
        <v>1</v>
      </c>
      <c r="Q7638">
        <v>1</v>
      </c>
      <c r="R7638">
        <v>1</v>
      </c>
    </row>
    <row r="7639" spans="1:39" x14ac:dyDescent="0.2">
      <c r="A7639" t="str">
        <f>"7635"</f>
        <v>7635</v>
      </c>
      <c r="B7639" t="str">
        <f t="shared" si="424"/>
        <v>1</v>
      </c>
      <c r="C7639" t="str">
        <f t="shared" si="425"/>
        <v>153</v>
      </c>
      <c r="D7639" t="str">
        <f>"43"</f>
        <v>43</v>
      </c>
      <c r="E7639" t="str">
        <f>"1-153-43"</f>
        <v>1-153-43</v>
      </c>
      <c r="F7639" t="s">
        <v>65</v>
      </c>
      <c r="G7639" t="s">
        <v>66</v>
      </c>
      <c r="H7639" t="s">
        <v>68</v>
      </c>
      <c r="I7639">
        <v>1</v>
      </c>
      <c r="J7639">
        <v>1</v>
      </c>
      <c r="K7639">
        <v>0</v>
      </c>
      <c r="L7639">
        <v>0</v>
      </c>
      <c r="M7639">
        <v>1</v>
      </c>
      <c r="N7639">
        <v>1</v>
      </c>
      <c r="O7639">
        <v>1</v>
      </c>
      <c r="P7639">
        <v>1</v>
      </c>
      <c r="Q7639">
        <v>1</v>
      </c>
      <c r="R7639">
        <v>1</v>
      </c>
    </row>
    <row r="7640" spans="1:39" x14ac:dyDescent="0.2">
      <c r="A7640" t="str">
        <f>"7636"</f>
        <v>7636</v>
      </c>
      <c r="B7640" t="str">
        <f t="shared" si="424"/>
        <v>1</v>
      </c>
      <c r="C7640" t="str">
        <f t="shared" si="425"/>
        <v>153</v>
      </c>
      <c r="D7640" t="str">
        <f>"26"</f>
        <v>26</v>
      </c>
      <c r="E7640" t="str">
        <f>"1-153-26"</f>
        <v>1-153-26</v>
      </c>
      <c r="F7640" t="s">
        <v>65</v>
      </c>
      <c r="G7640" t="s">
        <v>66</v>
      </c>
      <c r="H7640" t="s">
        <v>68</v>
      </c>
      <c r="I7640">
        <v>1</v>
      </c>
      <c r="J7640">
        <v>1</v>
      </c>
      <c r="K7640">
        <v>0</v>
      </c>
      <c r="L7640">
        <v>0</v>
      </c>
      <c r="M7640">
        <v>1</v>
      </c>
      <c r="N7640">
        <v>1</v>
      </c>
      <c r="O7640">
        <v>0</v>
      </c>
      <c r="P7640">
        <v>0</v>
      </c>
      <c r="Q7640">
        <v>0</v>
      </c>
      <c r="R7640">
        <v>0</v>
      </c>
    </row>
    <row r="7641" spans="1:39" x14ac:dyDescent="0.2">
      <c r="A7641" t="str">
        <f>"7637"</f>
        <v>7637</v>
      </c>
      <c r="B7641" t="str">
        <f t="shared" si="424"/>
        <v>1</v>
      </c>
      <c r="C7641" t="str">
        <f t="shared" si="425"/>
        <v>153</v>
      </c>
      <c r="D7641" t="str">
        <f>"1"</f>
        <v>1</v>
      </c>
      <c r="E7641" t="str">
        <f>"1-153-1"</f>
        <v>1-153-1</v>
      </c>
      <c r="F7641" t="s">
        <v>65</v>
      </c>
      <c r="G7641" t="s">
        <v>66</v>
      </c>
      <c r="H7641" t="s">
        <v>68</v>
      </c>
      <c r="I7641">
        <v>1</v>
      </c>
      <c r="J7641">
        <v>0</v>
      </c>
      <c r="K7641">
        <v>0</v>
      </c>
      <c r="L7641">
        <v>1</v>
      </c>
      <c r="M7641">
        <v>1</v>
      </c>
      <c r="N7641">
        <v>1</v>
      </c>
      <c r="O7641">
        <v>1</v>
      </c>
      <c r="P7641">
        <v>1</v>
      </c>
      <c r="Q7641">
        <v>1</v>
      </c>
      <c r="R7641">
        <v>1</v>
      </c>
    </row>
    <row r="7642" spans="1:39" x14ac:dyDescent="0.2">
      <c r="A7642" t="str">
        <f>"7638"</f>
        <v>7638</v>
      </c>
      <c r="B7642" t="str">
        <f t="shared" si="424"/>
        <v>1</v>
      </c>
      <c r="C7642" t="str">
        <f t="shared" si="425"/>
        <v>153</v>
      </c>
      <c r="D7642" t="str">
        <f>"44"</f>
        <v>44</v>
      </c>
      <c r="E7642" t="str">
        <f>"1-153-44"</f>
        <v>1-153-44</v>
      </c>
      <c r="F7642" t="s">
        <v>65</v>
      </c>
      <c r="G7642" t="s">
        <v>66</v>
      </c>
      <c r="H7642" t="s">
        <v>68</v>
      </c>
      <c r="I7642">
        <v>1</v>
      </c>
      <c r="J7642">
        <v>0</v>
      </c>
      <c r="K7642">
        <v>0</v>
      </c>
      <c r="L7642">
        <v>1</v>
      </c>
      <c r="M7642">
        <v>1</v>
      </c>
      <c r="N7642">
        <v>1</v>
      </c>
      <c r="O7642">
        <v>1</v>
      </c>
      <c r="P7642">
        <v>1</v>
      </c>
      <c r="Q7642">
        <v>1</v>
      </c>
      <c r="R7642">
        <v>1</v>
      </c>
    </row>
    <row r="7643" spans="1:39" x14ac:dyDescent="0.2">
      <c r="A7643" t="str">
        <f>"7639"</f>
        <v>7639</v>
      </c>
      <c r="B7643" t="str">
        <f t="shared" si="424"/>
        <v>1</v>
      </c>
      <c r="C7643" t="str">
        <f t="shared" si="425"/>
        <v>153</v>
      </c>
      <c r="D7643" t="str">
        <f>"27"</f>
        <v>27</v>
      </c>
      <c r="E7643" t="str">
        <f>"1-153-27"</f>
        <v>1-153-27</v>
      </c>
      <c r="F7643" t="s">
        <v>65</v>
      </c>
      <c r="G7643" t="s">
        <v>66</v>
      </c>
      <c r="H7643" t="s">
        <v>68</v>
      </c>
      <c r="I7643">
        <v>1</v>
      </c>
      <c r="J7643">
        <v>0</v>
      </c>
      <c r="K7643">
        <v>0</v>
      </c>
      <c r="L7643">
        <v>1</v>
      </c>
      <c r="M7643">
        <v>1</v>
      </c>
      <c r="N7643">
        <v>1</v>
      </c>
      <c r="O7643">
        <v>1</v>
      </c>
      <c r="P7643">
        <v>1</v>
      </c>
      <c r="Q7643">
        <v>1</v>
      </c>
      <c r="R7643">
        <v>1</v>
      </c>
    </row>
    <row r="7644" spans="1:39" x14ac:dyDescent="0.2">
      <c r="A7644" t="str">
        <f>"7640"</f>
        <v>7640</v>
      </c>
      <c r="B7644" t="str">
        <f t="shared" si="424"/>
        <v>1</v>
      </c>
      <c r="C7644" t="str">
        <f t="shared" si="425"/>
        <v>153</v>
      </c>
      <c r="D7644" t="str">
        <f>"12"</f>
        <v>12</v>
      </c>
      <c r="E7644" t="str">
        <f>"1-153-12"</f>
        <v>1-153-12</v>
      </c>
      <c r="F7644" t="s">
        <v>65</v>
      </c>
      <c r="G7644" t="s">
        <v>66</v>
      </c>
      <c r="H7644" t="s">
        <v>68</v>
      </c>
      <c r="I7644">
        <v>1</v>
      </c>
      <c r="J7644">
        <v>1</v>
      </c>
      <c r="K7644">
        <v>0</v>
      </c>
      <c r="L7644">
        <v>0</v>
      </c>
      <c r="M7644">
        <v>1</v>
      </c>
      <c r="N7644">
        <v>1</v>
      </c>
      <c r="O7644">
        <v>1</v>
      </c>
      <c r="P7644">
        <v>1</v>
      </c>
      <c r="Q7644">
        <v>1</v>
      </c>
      <c r="R7644">
        <v>1</v>
      </c>
    </row>
    <row r="7645" spans="1:39" x14ac:dyDescent="0.2">
      <c r="A7645" t="str">
        <f>"7641"</f>
        <v>7641</v>
      </c>
      <c r="B7645" t="str">
        <f t="shared" si="424"/>
        <v>1</v>
      </c>
      <c r="C7645" t="str">
        <f t="shared" si="425"/>
        <v>153</v>
      </c>
      <c r="D7645" t="str">
        <f>"41"</f>
        <v>41</v>
      </c>
      <c r="E7645" t="str">
        <f>"1-153-41"</f>
        <v>1-153-41</v>
      </c>
      <c r="F7645" t="s">
        <v>65</v>
      </c>
      <c r="G7645" t="s">
        <v>66</v>
      </c>
      <c r="H7645" t="s">
        <v>68</v>
      </c>
      <c r="I7645">
        <v>1</v>
      </c>
      <c r="J7645">
        <v>1</v>
      </c>
      <c r="K7645">
        <v>0</v>
      </c>
      <c r="L7645">
        <v>0</v>
      </c>
      <c r="M7645">
        <v>1</v>
      </c>
      <c r="N7645">
        <v>1</v>
      </c>
      <c r="O7645">
        <v>1</v>
      </c>
      <c r="P7645">
        <v>1</v>
      </c>
      <c r="Q7645">
        <v>1</v>
      </c>
      <c r="R7645">
        <v>1</v>
      </c>
    </row>
    <row r="7646" spans="1:39" x14ac:dyDescent="0.2">
      <c r="A7646" t="str">
        <f>"7642"</f>
        <v>7642</v>
      </c>
      <c r="B7646" t="str">
        <f t="shared" si="424"/>
        <v>1</v>
      </c>
      <c r="C7646" t="str">
        <f t="shared" si="425"/>
        <v>153</v>
      </c>
      <c r="D7646" t="str">
        <f>"28"</f>
        <v>28</v>
      </c>
      <c r="E7646" t="str">
        <f>"1-153-28"</f>
        <v>1-153-28</v>
      </c>
      <c r="F7646" t="s">
        <v>65</v>
      </c>
      <c r="G7646" t="s">
        <v>66</v>
      </c>
      <c r="H7646" t="s">
        <v>68</v>
      </c>
      <c r="I7646">
        <v>1</v>
      </c>
      <c r="J7646">
        <v>0</v>
      </c>
      <c r="K7646">
        <v>0</v>
      </c>
      <c r="L7646">
        <v>1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</row>
    <row r="7647" spans="1:39" x14ac:dyDescent="0.2">
      <c r="A7647" t="str">
        <f>"7643"</f>
        <v>7643</v>
      </c>
      <c r="B7647" t="str">
        <f t="shared" si="424"/>
        <v>1</v>
      </c>
      <c r="C7647" t="str">
        <f t="shared" si="425"/>
        <v>153</v>
      </c>
      <c r="D7647" t="str">
        <f>"10"</f>
        <v>10</v>
      </c>
      <c r="E7647" t="str">
        <f>"1-153-10"</f>
        <v>1-153-10</v>
      </c>
      <c r="F7647" t="s">
        <v>65</v>
      </c>
      <c r="G7647" t="s">
        <v>66</v>
      </c>
      <c r="H7647" t="s">
        <v>68</v>
      </c>
      <c r="I7647">
        <v>1</v>
      </c>
      <c r="J7647">
        <v>1</v>
      </c>
      <c r="K7647">
        <v>0</v>
      </c>
      <c r="L7647">
        <v>0</v>
      </c>
      <c r="M7647">
        <v>1</v>
      </c>
      <c r="N7647">
        <v>1</v>
      </c>
      <c r="O7647">
        <v>1</v>
      </c>
      <c r="P7647">
        <v>1</v>
      </c>
      <c r="Q7647">
        <v>1</v>
      </c>
      <c r="R7647">
        <v>1</v>
      </c>
    </row>
    <row r="7648" spans="1:39" x14ac:dyDescent="0.2">
      <c r="A7648" t="str">
        <f>"7644"</f>
        <v>7644</v>
      </c>
      <c r="B7648" t="str">
        <f t="shared" si="424"/>
        <v>1</v>
      </c>
      <c r="C7648" t="str">
        <f t="shared" si="425"/>
        <v>153</v>
      </c>
      <c r="D7648" t="str">
        <f>"42"</f>
        <v>42</v>
      </c>
      <c r="E7648" t="str">
        <f>"1-153-42"</f>
        <v>1-153-42</v>
      </c>
      <c r="F7648" t="s">
        <v>65</v>
      </c>
      <c r="G7648" t="s">
        <v>66</v>
      </c>
      <c r="H7648" t="s">
        <v>68</v>
      </c>
      <c r="I7648">
        <v>1</v>
      </c>
      <c r="J7648">
        <v>1</v>
      </c>
      <c r="K7648">
        <v>0</v>
      </c>
      <c r="L7648">
        <v>0</v>
      </c>
      <c r="M7648">
        <v>1</v>
      </c>
      <c r="N7648">
        <v>1</v>
      </c>
      <c r="O7648">
        <v>1</v>
      </c>
      <c r="P7648">
        <v>1</v>
      </c>
      <c r="Q7648">
        <v>1</v>
      </c>
      <c r="R7648">
        <v>1</v>
      </c>
    </row>
    <row r="7649" spans="1:18" x14ac:dyDescent="0.2">
      <c r="A7649" t="str">
        <f>"7645"</f>
        <v>7645</v>
      </c>
      <c r="B7649" t="str">
        <f t="shared" si="424"/>
        <v>1</v>
      </c>
      <c r="C7649" t="str">
        <f t="shared" si="425"/>
        <v>153</v>
      </c>
      <c r="D7649" t="str">
        <f>"29"</f>
        <v>29</v>
      </c>
      <c r="E7649" t="str">
        <f>"1-153-29"</f>
        <v>1-153-29</v>
      </c>
      <c r="F7649" t="s">
        <v>65</v>
      </c>
      <c r="G7649" t="s">
        <v>66</v>
      </c>
      <c r="H7649" t="s">
        <v>68</v>
      </c>
      <c r="I7649">
        <v>0</v>
      </c>
      <c r="J7649">
        <v>0</v>
      </c>
      <c r="K7649">
        <v>0</v>
      </c>
      <c r="L7649">
        <v>1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</row>
    <row r="7650" spans="1:18" x14ac:dyDescent="0.2">
      <c r="A7650" t="str">
        <f>"7646"</f>
        <v>7646</v>
      </c>
      <c r="B7650" t="str">
        <f t="shared" si="424"/>
        <v>1</v>
      </c>
      <c r="C7650" t="str">
        <f t="shared" si="425"/>
        <v>153</v>
      </c>
      <c r="D7650" t="str">
        <f>"9"</f>
        <v>9</v>
      </c>
      <c r="E7650" t="str">
        <f>"1-153-9"</f>
        <v>1-153-9</v>
      </c>
      <c r="F7650" t="s">
        <v>65</v>
      </c>
      <c r="G7650" t="s">
        <v>66</v>
      </c>
      <c r="H7650" t="s">
        <v>68</v>
      </c>
      <c r="I7650">
        <v>1</v>
      </c>
      <c r="J7650">
        <v>0</v>
      </c>
      <c r="K7650">
        <v>0</v>
      </c>
      <c r="L7650">
        <v>1</v>
      </c>
      <c r="M7650">
        <v>1</v>
      </c>
      <c r="N7650">
        <v>1</v>
      </c>
      <c r="O7650">
        <v>1</v>
      </c>
      <c r="P7650">
        <v>1</v>
      </c>
      <c r="Q7650">
        <v>1</v>
      </c>
      <c r="R7650">
        <v>1</v>
      </c>
    </row>
    <row r="7651" spans="1:18" x14ac:dyDescent="0.2">
      <c r="A7651" t="str">
        <f>"7647"</f>
        <v>7647</v>
      </c>
      <c r="B7651" t="str">
        <f t="shared" si="424"/>
        <v>1</v>
      </c>
      <c r="C7651" t="str">
        <f t="shared" si="425"/>
        <v>153</v>
      </c>
      <c r="D7651" t="str">
        <f>"45"</f>
        <v>45</v>
      </c>
      <c r="E7651" t="str">
        <f>"1-153-45"</f>
        <v>1-153-45</v>
      </c>
      <c r="F7651" t="s">
        <v>65</v>
      </c>
      <c r="G7651" t="s">
        <v>66</v>
      </c>
      <c r="H7651" t="s">
        <v>68</v>
      </c>
      <c r="I7651">
        <v>1</v>
      </c>
      <c r="J7651">
        <v>1</v>
      </c>
      <c r="K7651">
        <v>0</v>
      </c>
      <c r="L7651">
        <v>0</v>
      </c>
      <c r="M7651">
        <v>0</v>
      </c>
      <c r="N7651">
        <v>1</v>
      </c>
      <c r="O7651">
        <v>1</v>
      </c>
      <c r="P7651">
        <v>1</v>
      </c>
      <c r="Q7651">
        <v>1</v>
      </c>
      <c r="R7651">
        <v>1</v>
      </c>
    </row>
    <row r="7652" spans="1:18" x14ac:dyDescent="0.2">
      <c r="A7652" t="str">
        <f>"7648"</f>
        <v>7648</v>
      </c>
      <c r="B7652" t="str">
        <f t="shared" si="424"/>
        <v>1</v>
      </c>
      <c r="C7652" t="str">
        <f t="shared" si="425"/>
        <v>153</v>
      </c>
      <c r="D7652" t="str">
        <f>"30"</f>
        <v>30</v>
      </c>
      <c r="E7652" t="str">
        <f>"1-153-30"</f>
        <v>1-153-30</v>
      </c>
      <c r="F7652" t="s">
        <v>65</v>
      </c>
      <c r="G7652" t="s">
        <v>66</v>
      </c>
      <c r="H7652" t="s">
        <v>68</v>
      </c>
      <c r="I7652">
        <v>1</v>
      </c>
      <c r="J7652">
        <v>0</v>
      </c>
      <c r="K7652">
        <v>0</v>
      </c>
      <c r="L7652">
        <v>1</v>
      </c>
      <c r="M7652">
        <v>1</v>
      </c>
      <c r="N7652">
        <v>1</v>
      </c>
      <c r="O7652">
        <v>1</v>
      </c>
      <c r="P7652">
        <v>1</v>
      </c>
      <c r="Q7652">
        <v>0</v>
      </c>
      <c r="R7652">
        <v>0</v>
      </c>
    </row>
    <row r="7653" spans="1:18" x14ac:dyDescent="0.2">
      <c r="A7653" t="str">
        <f>"7649"</f>
        <v>7649</v>
      </c>
      <c r="B7653" t="str">
        <f t="shared" si="424"/>
        <v>1</v>
      </c>
      <c r="C7653" t="str">
        <f t="shared" si="425"/>
        <v>153</v>
      </c>
      <c r="D7653" t="str">
        <f>"13"</f>
        <v>13</v>
      </c>
      <c r="E7653" t="str">
        <f>"1-153-13"</f>
        <v>1-153-13</v>
      </c>
      <c r="F7653" t="s">
        <v>65</v>
      </c>
      <c r="G7653" t="s">
        <v>66</v>
      </c>
      <c r="H7653" t="s">
        <v>68</v>
      </c>
      <c r="I7653">
        <v>1</v>
      </c>
      <c r="J7653">
        <v>0</v>
      </c>
      <c r="K7653">
        <v>0</v>
      </c>
      <c r="L7653">
        <v>1</v>
      </c>
      <c r="M7653">
        <v>1</v>
      </c>
      <c r="N7653">
        <v>1</v>
      </c>
      <c r="O7653">
        <v>1</v>
      </c>
      <c r="P7653">
        <v>1</v>
      </c>
      <c r="Q7653">
        <v>1</v>
      </c>
      <c r="R7653">
        <v>1</v>
      </c>
    </row>
    <row r="7654" spans="1:18" x14ac:dyDescent="0.2">
      <c r="A7654" t="str">
        <f>"7650"</f>
        <v>7650</v>
      </c>
      <c r="B7654" t="str">
        <f t="shared" si="424"/>
        <v>1</v>
      </c>
      <c r="C7654" t="str">
        <f t="shared" si="425"/>
        <v>153</v>
      </c>
      <c r="D7654" t="str">
        <f>"25"</f>
        <v>25</v>
      </c>
      <c r="E7654" t="str">
        <f>"1-153-25"</f>
        <v>1-153-25</v>
      </c>
      <c r="F7654" t="s">
        <v>65</v>
      </c>
      <c r="G7654" t="s">
        <v>66</v>
      </c>
      <c r="H7654" t="s">
        <v>68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</row>
    <row r="7655" spans="1:18" x14ac:dyDescent="0.2">
      <c r="A7655" t="str">
        <f>"7651"</f>
        <v>7651</v>
      </c>
      <c r="B7655" t="str">
        <f t="shared" si="424"/>
        <v>1</v>
      </c>
      <c r="C7655" t="str">
        <f t="shared" ref="C7655:C7686" si="426">"154"</f>
        <v>154</v>
      </c>
      <c r="D7655" t="str">
        <f>"50"</f>
        <v>50</v>
      </c>
      <c r="E7655" t="str">
        <f>"1-154-50"</f>
        <v>1-154-50</v>
      </c>
      <c r="F7655" t="s">
        <v>65</v>
      </c>
      <c r="G7655" t="s">
        <v>66</v>
      </c>
      <c r="H7655" t="s">
        <v>68</v>
      </c>
      <c r="I7655">
        <v>1</v>
      </c>
      <c r="J7655">
        <v>1</v>
      </c>
      <c r="K7655">
        <v>0</v>
      </c>
      <c r="L7655">
        <v>0</v>
      </c>
      <c r="M7655">
        <v>1</v>
      </c>
      <c r="N7655">
        <v>1</v>
      </c>
      <c r="O7655">
        <v>1</v>
      </c>
      <c r="P7655">
        <v>1</v>
      </c>
      <c r="Q7655">
        <v>1</v>
      </c>
      <c r="R7655">
        <v>1</v>
      </c>
    </row>
    <row r="7656" spans="1:18" x14ac:dyDescent="0.2">
      <c r="A7656" t="str">
        <f>"7652"</f>
        <v>7652</v>
      </c>
      <c r="B7656" t="str">
        <f t="shared" si="424"/>
        <v>1</v>
      </c>
      <c r="C7656" t="str">
        <f t="shared" si="426"/>
        <v>154</v>
      </c>
      <c r="D7656" t="str">
        <f>"49"</f>
        <v>49</v>
      </c>
      <c r="E7656" t="str">
        <f>"1-154-49"</f>
        <v>1-154-49</v>
      </c>
      <c r="F7656" t="s">
        <v>65</v>
      </c>
      <c r="G7656" t="s">
        <v>66</v>
      </c>
      <c r="H7656" t="s">
        <v>68</v>
      </c>
      <c r="I7656">
        <v>1</v>
      </c>
      <c r="J7656">
        <v>1</v>
      </c>
      <c r="K7656">
        <v>0</v>
      </c>
      <c r="L7656">
        <v>0</v>
      </c>
      <c r="M7656">
        <v>1</v>
      </c>
      <c r="N7656">
        <v>1</v>
      </c>
      <c r="O7656">
        <v>1</v>
      </c>
      <c r="P7656">
        <v>1</v>
      </c>
      <c r="Q7656">
        <v>1</v>
      </c>
      <c r="R7656">
        <v>1</v>
      </c>
    </row>
    <row r="7657" spans="1:18" x14ac:dyDescent="0.2">
      <c r="A7657" t="str">
        <f>"7653"</f>
        <v>7653</v>
      </c>
      <c r="B7657" t="str">
        <f t="shared" si="424"/>
        <v>1</v>
      </c>
      <c r="C7657" t="str">
        <f t="shared" si="426"/>
        <v>154</v>
      </c>
      <c r="D7657" t="str">
        <f>"39"</f>
        <v>39</v>
      </c>
      <c r="E7657" t="str">
        <f>"1-154-39"</f>
        <v>1-154-39</v>
      </c>
      <c r="F7657" t="s">
        <v>65</v>
      </c>
      <c r="G7657" t="s">
        <v>66</v>
      </c>
      <c r="H7657" t="s">
        <v>68</v>
      </c>
      <c r="I7657">
        <v>1</v>
      </c>
      <c r="J7657">
        <v>0</v>
      </c>
      <c r="K7657">
        <v>0</v>
      </c>
      <c r="L7657">
        <v>1</v>
      </c>
      <c r="M7657">
        <v>1</v>
      </c>
      <c r="N7657">
        <v>1</v>
      </c>
      <c r="O7657">
        <v>1</v>
      </c>
      <c r="P7657">
        <v>1</v>
      </c>
      <c r="Q7657">
        <v>1</v>
      </c>
      <c r="R7657">
        <v>1</v>
      </c>
    </row>
    <row r="7658" spans="1:18" x14ac:dyDescent="0.2">
      <c r="A7658" t="str">
        <f>"7654"</f>
        <v>7654</v>
      </c>
      <c r="B7658" t="str">
        <f t="shared" si="424"/>
        <v>1</v>
      </c>
      <c r="C7658" t="str">
        <f t="shared" si="426"/>
        <v>154</v>
      </c>
      <c r="D7658" t="str">
        <f>"38"</f>
        <v>38</v>
      </c>
      <c r="E7658" t="str">
        <f>"1-154-38"</f>
        <v>1-154-38</v>
      </c>
      <c r="F7658" t="s">
        <v>65</v>
      </c>
      <c r="G7658" t="s">
        <v>66</v>
      </c>
      <c r="H7658" t="s">
        <v>68</v>
      </c>
      <c r="I7658">
        <v>1</v>
      </c>
      <c r="J7658">
        <v>1</v>
      </c>
      <c r="K7658">
        <v>0</v>
      </c>
      <c r="L7658">
        <v>0</v>
      </c>
      <c r="M7658">
        <v>1</v>
      </c>
      <c r="N7658">
        <v>1</v>
      </c>
      <c r="O7658">
        <v>1</v>
      </c>
      <c r="P7658">
        <v>1</v>
      </c>
      <c r="Q7658">
        <v>1</v>
      </c>
      <c r="R7658">
        <v>1</v>
      </c>
    </row>
    <row r="7659" spans="1:18" x14ac:dyDescent="0.2">
      <c r="A7659" t="str">
        <f>"7655"</f>
        <v>7655</v>
      </c>
      <c r="B7659" t="str">
        <f t="shared" si="424"/>
        <v>1</v>
      </c>
      <c r="C7659" t="str">
        <f t="shared" si="426"/>
        <v>154</v>
      </c>
      <c r="D7659" t="str">
        <f>"33"</f>
        <v>33</v>
      </c>
      <c r="E7659" t="str">
        <f>"1-154-33"</f>
        <v>1-154-33</v>
      </c>
      <c r="F7659" t="s">
        <v>65</v>
      </c>
      <c r="G7659" t="s">
        <v>66</v>
      </c>
      <c r="H7659" t="s">
        <v>68</v>
      </c>
      <c r="I7659">
        <v>0</v>
      </c>
      <c r="J7659">
        <v>1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</row>
    <row r="7660" spans="1:18" x14ac:dyDescent="0.2">
      <c r="A7660" t="str">
        <f>"7656"</f>
        <v>7656</v>
      </c>
      <c r="B7660" t="str">
        <f t="shared" si="424"/>
        <v>1</v>
      </c>
      <c r="C7660" t="str">
        <f t="shared" si="426"/>
        <v>154</v>
      </c>
      <c r="D7660" t="str">
        <f>"32"</f>
        <v>32</v>
      </c>
      <c r="E7660" t="str">
        <f>"1-154-32"</f>
        <v>1-154-32</v>
      </c>
      <c r="F7660" t="s">
        <v>65</v>
      </c>
      <c r="G7660" t="s">
        <v>66</v>
      </c>
      <c r="H7660" t="s">
        <v>68</v>
      </c>
      <c r="I7660">
        <v>1</v>
      </c>
      <c r="J7660">
        <v>1</v>
      </c>
      <c r="K7660">
        <v>0</v>
      </c>
      <c r="L7660">
        <v>0</v>
      </c>
      <c r="M7660">
        <v>1</v>
      </c>
      <c r="N7660">
        <v>1</v>
      </c>
      <c r="O7660">
        <v>1</v>
      </c>
      <c r="P7660">
        <v>1</v>
      </c>
      <c r="Q7660">
        <v>1</v>
      </c>
      <c r="R7660">
        <v>1</v>
      </c>
    </row>
    <row r="7661" spans="1:18" x14ac:dyDescent="0.2">
      <c r="A7661" t="str">
        <f>"7657"</f>
        <v>7657</v>
      </c>
      <c r="B7661" t="str">
        <f t="shared" si="424"/>
        <v>1</v>
      </c>
      <c r="C7661" t="str">
        <f t="shared" si="426"/>
        <v>154</v>
      </c>
      <c r="D7661" t="str">
        <f>"19"</f>
        <v>19</v>
      </c>
      <c r="E7661" t="str">
        <f>"1-154-19"</f>
        <v>1-154-19</v>
      </c>
      <c r="F7661" t="s">
        <v>65</v>
      </c>
      <c r="G7661" t="s">
        <v>66</v>
      </c>
      <c r="H7661" t="s">
        <v>68</v>
      </c>
      <c r="I7661">
        <v>0</v>
      </c>
      <c r="J7661">
        <v>1</v>
      </c>
      <c r="K7661">
        <v>0</v>
      </c>
      <c r="L7661">
        <v>0</v>
      </c>
      <c r="M7661">
        <v>1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2">
      <c r="A7662" t="str">
        <f>"7658"</f>
        <v>7658</v>
      </c>
      <c r="B7662" t="str">
        <f t="shared" si="424"/>
        <v>1</v>
      </c>
      <c r="C7662" t="str">
        <f t="shared" si="426"/>
        <v>154</v>
      </c>
      <c r="D7662" t="str">
        <f>"18"</f>
        <v>18</v>
      </c>
      <c r="E7662" t="str">
        <f>"1-154-18"</f>
        <v>1-154-18</v>
      </c>
      <c r="F7662" t="s">
        <v>65</v>
      </c>
      <c r="G7662" t="s">
        <v>66</v>
      </c>
      <c r="H7662" t="s">
        <v>68</v>
      </c>
      <c r="I7662">
        <v>1</v>
      </c>
      <c r="J7662">
        <v>0</v>
      </c>
      <c r="K7662">
        <v>1</v>
      </c>
      <c r="L7662">
        <v>0</v>
      </c>
      <c r="M7662">
        <v>1</v>
      </c>
      <c r="N7662">
        <v>1</v>
      </c>
      <c r="O7662">
        <v>1</v>
      </c>
      <c r="P7662">
        <v>1</v>
      </c>
      <c r="Q7662">
        <v>1</v>
      </c>
      <c r="R7662">
        <v>1</v>
      </c>
    </row>
    <row r="7663" spans="1:18" x14ac:dyDescent="0.2">
      <c r="A7663" t="str">
        <f>"7659"</f>
        <v>7659</v>
      </c>
      <c r="B7663" t="str">
        <f t="shared" si="424"/>
        <v>1</v>
      </c>
      <c r="C7663" t="str">
        <f t="shared" si="426"/>
        <v>154</v>
      </c>
      <c r="D7663" t="str">
        <f>"16"</f>
        <v>16</v>
      </c>
      <c r="E7663" t="str">
        <f>"1-154-16"</f>
        <v>1-154-16</v>
      </c>
      <c r="F7663" t="s">
        <v>65</v>
      </c>
      <c r="G7663" t="s">
        <v>66</v>
      </c>
      <c r="H7663" t="s">
        <v>68</v>
      </c>
      <c r="I7663">
        <v>0</v>
      </c>
      <c r="J7663">
        <v>0</v>
      </c>
      <c r="K7663">
        <v>0</v>
      </c>
      <c r="L7663">
        <v>1</v>
      </c>
      <c r="M7663">
        <v>1</v>
      </c>
      <c r="N7663">
        <v>0</v>
      </c>
      <c r="O7663">
        <v>1</v>
      </c>
      <c r="P7663">
        <v>0</v>
      </c>
      <c r="Q7663">
        <v>1</v>
      </c>
      <c r="R7663">
        <v>0</v>
      </c>
    </row>
    <row r="7664" spans="1:18" x14ac:dyDescent="0.2">
      <c r="A7664" t="str">
        <f>"7660"</f>
        <v>7660</v>
      </c>
      <c r="B7664" t="str">
        <f t="shared" si="424"/>
        <v>1</v>
      </c>
      <c r="C7664" t="str">
        <f t="shared" si="426"/>
        <v>154</v>
      </c>
      <c r="D7664" t="str">
        <f>"15"</f>
        <v>15</v>
      </c>
      <c r="E7664" t="str">
        <f>"1-154-15"</f>
        <v>1-154-15</v>
      </c>
      <c r="F7664" t="s">
        <v>65</v>
      </c>
      <c r="G7664" t="s">
        <v>66</v>
      </c>
      <c r="H7664" t="s">
        <v>68</v>
      </c>
      <c r="I7664">
        <v>1</v>
      </c>
      <c r="J7664">
        <v>0</v>
      </c>
      <c r="K7664">
        <v>1</v>
      </c>
      <c r="L7664">
        <v>0</v>
      </c>
      <c r="M7664">
        <v>1</v>
      </c>
      <c r="N7664">
        <v>1</v>
      </c>
      <c r="O7664">
        <v>1</v>
      </c>
      <c r="P7664">
        <v>1</v>
      </c>
      <c r="Q7664">
        <v>1</v>
      </c>
      <c r="R7664">
        <v>1</v>
      </c>
    </row>
    <row r="7665" spans="1:18" x14ac:dyDescent="0.2">
      <c r="A7665" t="str">
        <f>"7661"</f>
        <v>7661</v>
      </c>
      <c r="B7665" t="str">
        <f t="shared" si="424"/>
        <v>1</v>
      </c>
      <c r="C7665" t="str">
        <f t="shared" si="426"/>
        <v>154</v>
      </c>
      <c r="D7665" t="str">
        <f>"8"</f>
        <v>8</v>
      </c>
      <c r="E7665" t="str">
        <f>"1-154-8"</f>
        <v>1-154-8</v>
      </c>
      <c r="F7665" t="s">
        <v>65</v>
      </c>
      <c r="G7665" t="s">
        <v>66</v>
      </c>
      <c r="H7665" t="s">
        <v>68</v>
      </c>
      <c r="I7665">
        <v>1</v>
      </c>
      <c r="J7665">
        <v>0</v>
      </c>
      <c r="K7665">
        <v>0</v>
      </c>
      <c r="L7665">
        <v>1</v>
      </c>
      <c r="M7665">
        <v>1</v>
      </c>
      <c r="N7665">
        <v>1</v>
      </c>
      <c r="O7665">
        <v>1</v>
      </c>
      <c r="P7665">
        <v>1</v>
      </c>
      <c r="Q7665">
        <v>1</v>
      </c>
      <c r="R7665">
        <v>1</v>
      </c>
    </row>
    <row r="7666" spans="1:18" x14ac:dyDescent="0.2">
      <c r="A7666" t="str">
        <f>"7662"</f>
        <v>7662</v>
      </c>
      <c r="B7666" t="str">
        <f t="shared" si="424"/>
        <v>1</v>
      </c>
      <c r="C7666" t="str">
        <f t="shared" si="426"/>
        <v>154</v>
      </c>
      <c r="D7666" t="str">
        <f>"34"</f>
        <v>34</v>
      </c>
      <c r="E7666" t="str">
        <f>"1-154-34"</f>
        <v>1-154-34</v>
      </c>
      <c r="F7666" t="s">
        <v>65</v>
      </c>
      <c r="G7666" t="s">
        <v>66</v>
      </c>
      <c r="H7666" t="s">
        <v>68</v>
      </c>
      <c r="I7666">
        <v>0</v>
      </c>
      <c r="J7666">
        <v>0</v>
      </c>
      <c r="K7666">
        <v>0</v>
      </c>
      <c r="L7666">
        <v>1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2">
      <c r="A7667" t="str">
        <f>"7663"</f>
        <v>7663</v>
      </c>
      <c r="B7667" t="str">
        <f t="shared" si="424"/>
        <v>1</v>
      </c>
      <c r="C7667" t="str">
        <f t="shared" si="426"/>
        <v>154</v>
      </c>
      <c r="D7667" t="str">
        <f>"17"</f>
        <v>17</v>
      </c>
      <c r="E7667" t="str">
        <f>"1-154-17"</f>
        <v>1-154-17</v>
      </c>
      <c r="F7667" t="s">
        <v>65</v>
      </c>
      <c r="G7667" t="s">
        <v>66</v>
      </c>
      <c r="H7667" t="s">
        <v>68</v>
      </c>
      <c r="I7667">
        <v>1</v>
      </c>
      <c r="J7667">
        <v>0</v>
      </c>
      <c r="K7667">
        <v>0</v>
      </c>
      <c r="L7667">
        <v>1</v>
      </c>
      <c r="M7667">
        <v>1</v>
      </c>
      <c r="N7667">
        <v>1</v>
      </c>
      <c r="O7667">
        <v>1</v>
      </c>
      <c r="P7667">
        <v>1</v>
      </c>
      <c r="Q7667">
        <v>1</v>
      </c>
      <c r="R7667">
        <v>1</v>
      </c>
    </row>
    <row r="7668" spans="1:18" x14ac:dyDescent="0.2">
      <c r="A7668" t="str">
        <f>"7664"</f>
        <v>7664</v>
      </c>
      <c r="B7668" t="str">
        <f t="shared" si="424"/>
        <v>1</v>
      </c>
      <c r="C7668" t="str">
        <f t="shared" si="426"/>
        <v>154</v>
      </c>
      <c r="D7668" t="str">
        <f>"4"</f>
        <v>4</v>
      </c>
      <c r="E7668" t="str">
        <f>"1-154-4"</f>
        <v>1-154-4</v>
      </c>
      <c r="F7668" t="s">
        <v>65</v>
      </c>
      <c r="G7668" t="s">
        <v>66</v>
      </c>
      <c r="H7668" t="s">
        <v>68</v>
      </c>
      <c r="I7668">
        <v>0</v>
      </c>
      <c r="J7668">
        <v>1</v>
      </c>
      <c r="K7668">
        <v>0</v>
      </c>
      <c r="L7668">
        <v>0</v>
      </c>
      <c r="M7668">
        <v>1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2">
      <c r="A7669" t="str">
        <f>"7665"</f>
        <v>7665</v>
      </c>
      <c r="B7669" t="str">
        <f t="shared" si="424"/>
        <v>1</v>
      </c>
      <c r="C7669" t="str">
        <f t="shared" si="426"/>
        <v>154</v>
      </c>
      <c r="D7669" t="str">
        <f>"36"</f>
        <v>36</v>
      </c>
      <c r="E7669" t="str">
        <f>"1-154-36"</f>
        <v>1-154-36</v>
      </c>
      <c r="F7669" t="s">
        <v>65</v>
      </c>
      <c r="G7669" t="s">
        <v>66</v>
      </c>
      <c r="H7669" t="s">
        <v>68</v>
      </c>
      <c r="I7669">
        <v>1</v>
      </c>
      <c r="J7669">
        <v>1</v>
      </c>
      <c r="K7669">
        <v>0</v>
      </c>
      <c r="L7669">
        <v>0</v>
      </c>
      <c r="M7669">
        <v>1</v>
      </c>
      <c r="N7669">
        <v>1</v>
      </c>
      <c r="O7669">
        <v>1</v>
      </c>
      <c r="P7669">
        <v>1</v>
      </c>
      <c r="Q7669">
        <v>1</v>
      </c>
      <c r="R7669">
        <v>1</v>
      </c>
    </row>
    <row r="7670" spans="1:18" x14ac:dyDescent="0.2">
      <c r="A7670" t="str">
        <f>"7666"</f>
        <v>7666</v>
      </c>
      <c r="B7670" t="str">
        <f t="shared" si="424"/>
        <v>1</v>
      </c>
      <c r="C7670" t="str">
        <f t="shared" si="426"/>
        <v>154</v>
      </c>
      <c r="D7670" t="str">
        <f>"20"</f>
        <v>20</v>
      </c>
      <c r="E7670" t="str">
        <f>"1-154-20"</f>
        <v>1-154-20</v>
      </c>
      <c r="F7670" t="s">
        <v>65</v>
      </c>
      <c r="G7670" t="s">
        <v>66</v>
      </c>
      <c r="H7670" t="s">
        <v>68</v>
      </c>
      <c r="I7670">
        <v>1</v>
      </c>
      <c r="J7670">
        <v>0</v>
      </c>
      <c r="K7670">
        <v>0</v>
      </c>
      <c r="L7670">
        <v>1</v>
      </c>
      <c r="M7670">
        <v>1</v>
      </c>
      <c r="N7670">
        <v>1</v>
      </c>
      <c r="O7670">
        <v>1</v>
      </c>
      <c r="P7670">
        <v>1</v>
      </c>
      <c r="Q7670">
        <v>1</v>
      </c>
      <c r="R7670">
        <v>1</v>
      </c>
    </row>
    <row r="7671" spans="1:18" x14ac:dyDescent="0.2">
      <c r="A7671" t="str">
        <f>"7667"</f>
        <v>7667</v>
      </c>
      <c r="B7671" t="str">
        <f t="shared" ref="B7671:B7734" si="427">"1"</f>
        <v>1</v>
      </c>
      <c r="C7671" t="str">
        <f t="shared" si="426"/>
        <v>154</v>
      </c>
      <c r="D7671" t="str">
        <f>"10"</f>
        <v>10</v>
      </c>
      <c r="E7671" t="str">
        <f>"1-154-10"</f>
        <v>1-154-10</v>
      </c>
      <c r="F7671" t="s">
        <v>65</v>
      </c>
      <c r="G7671" t="s">
        <v>66</v>
      </c>
      <c r="H7671" t="s">
        <v>68</v>
      </c>
      <c r="I7671">
        <v>1</v>
      </c>
      <c r="J7671">
        <v>0</v>
      </c>
      <c r="K7671">
        <v>1</v>
      </c>
      <c r="L7671">
        <v>0</v>
      </c>
      <c r="M7671">
        <v>1</v>
      </c>
      <c r="N7671">
        <v>1</v>
      </c>
      <c r="O7671">
        <v>1</v>
      </c>
      <c r="P7671">
        <v>1</v>
      </c>
      <c r="Q7671">
        <v>1</v>
      </c>
      <c r="R7671">
        <v>1</v>
      </c>
    </row>
    <row r="7672" spans="1:18" x14ac:dyDescent="0.2">
      <c r="A7672" t="str">
        <f>"7668"</f>
        <v>7668</v>
      </c>
      <c r="B7672" t="str">
        <f t="shared" si="427"/>
        <v>1</v>
      </c>
      <c r="C7672" t="str">
        <f t="shared" si="426"/>
        <v>154</v>
      </c>
      <c r="D7672" t="str">
        <f>"35"</f>
        <v>35</v>
      </c>
      <c r="E7672" t="str">
        <f>"1-154-35"</f>
        <v>1-154-35</v>
      </c>
      <c r="F7672" t="s">
        <v>65</v>
      </c>
      <c r="G7672" t="s">
        <v>66</v>
      </c>
      <c r="H7672" t="s">
        <v>68</v>
      </c>
      <c r="I7672">
        <v>1</v>
      </c>
      <c r="J7672">
        <v>1</v>
      </c>
      <c r="K7672">
        <v>0</v>
      </c>
      <c r="L7672">
        <v>0</v>
      </c>
      <c r="M7672">
        <v>1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2">
      <c r="A7673" t="str">
        <f>"7669"</f>
        <v>7669</v>
      </c>
      <c r="B7673" t="str">
        <f t="shared" si="427"/>
        <v>1</v>
      </c>
      <c r="C7673" t="str">
        <f t="shared" si="426"/>
        <v>154</v>
      </c>
      <c r="D7673" t="str">
        <f>"21"</f>
        <v>21</v>
      </c>
      <c r="E7673" t="str">
        <f>"1-154-21"</f>
        <v>1-154-21</v>
      </c>
      <c r="F7673" t="s">
        <v>65</v>
      </c>
      <c r="G7673" t="s">
        <v>66</v>
      </c>
      <c r="H7673" t="s">
        <v>68</v>
      </c>
      <c r="I7673">
        <v>1</v>
      </c>
      <c r="J7673">
        <v>1</v>
      </c>
      <c r="K7673">
        <v>0</v>
      </c>
      <c r="L7673">
        <v>0</v>
      </c>
      <c r="M7673">
        <v>1</v>
      </c>
      <c r="N7673">
        <v>0</v>
      </c>
      <c r="O7673">
        <v>0</v>
      </c>
      <c r="P7673">
        <v>1</v>
      </c>
      <c r="Q7673">
        <v>1</v>
      </c>
      <c r="R7673">
        <v>1</v>
      </c>
    </row>
    <row r="7674" spans="1:18" x14ac:dyDescent="0.2">
      <c r="A7674" t="str">
        <f>"7670"</f>
        <v>7670</v>
      </c>
      <c r="B7674" t="str">
        <f t="shared" si="427"/>
        <v>1</v>
      </c>
      <c r="C7674" t="str">
        <f t="shared" si="426"/>
        <v>154</v>
      </c>
      <c r="D7674" t="str">
        <f>"7"</f>
        <v>7</v>
      </c>
      <c r="E7674" t="str">
        <f>"1-154-7"</f>
        <v>1-154-7</v>
      </c>
      <c r="F7674" t="s">
        <v>65</v>
      </c>
      <c r="G7674" t="s">
        <v>66</v>
      </c>
      <c r="H7674" t="s">
        <v>68</v>
      </c>
      <c r="I7674">
        <v>1</v>
      </c>
      <c r="J7674">
        <v>0</v>
      </c>
      <c r="K7674">
        <v>0</v>
      </c>
      <c r="L7674">
        <v>1</v>
      </c>
      <c r="M7674">
        <v>1</v>
      </c>
      <c r="N7674">
        <v>1</v>
      </c>
      <c r="O7674">
        <v>1</v>
      </c>
      <c r="P7674">
        <v>1</v>
      </c>
      <c r="Q7674">
        <v>1</v>
      </c>
      <c r="R7674">
        <v>1</v>
      </c>
    </row>
    <row r="7675" spans="1:18" x14ac:dyDescent="0.2">
      <c r="A7675" t="str">
        <f>"7671"</f>
        <v>7671</v>
      </c>
      <c r="B7675" t="str">
        <f t="shared" si="427"/>
        <v>1</v>
      </c>
      <c r="C7675" t="str">
        <f t="shared" si="426"/>
        <v>154</v>
      </c>
      <c r="D7675" t="str">
        <f>"42"</f>
        <v>42</v>
      </c>
      <c r="E7675" t="str">
        <f>"1-154-42"</f>
        <v>1-154-42</v>
      </c>
      <c r="F7675" t="s">
        <v>65</v>
      </c>
      <c r="G7675" t="s">
        <v>66</v>
      </c>
      <c r="H7675" t="s">
        <v>68</v>
      </c>
      <c r="I7675">
        <v>1</v>
      </c>
      <c r="J7675">
        <v>0</v>
      </c>
      <c r="K7675">
        <v>0</v>
      </c>
      <c r="L7675">
        <v>1</v>
      </c>
      <c r="M7675">
        <v>1</v>
      </c>
      <c r="N7675">
        <v>1</v>
      </c>
      <c r="O7675">
        <v>1</v>
      </c>
      <c r="P7675">
        <v>1</v>
      </c>
      <c r="Q7675">
        <v>1</v>
      </c>
      <c r="R7675">
        <v>1</v>
      </c>
    </row>
    <row r="7676" spans="1:18" x14ac:dyDescent="0.2">
      <c r="A7676" t="str">
        <f>"7672"</f>
        <v>7672</v>
      </c>
      <c r="B7676" t="str">
        <f t="shared" si="427"/>
        <v>1</v>
      </c>
      <c r="C7676" t="str">
        <f t="shared" si="426"/>
        <v>154</v>
      </c>
      <c r="D7676" t="str">
        <f>"22"</f>
        <v>22</v>
      </c>
      <c r="E7676" t="str">
        <f>"1-154-22"</f>
        <v>1-154-22</v>
      </c>
      <c r="F7676" t="s">
        <v>65</v>
      </c>
      <c r="G7676" t="s">
        <v>66</v>
      </c>
      <c r="H7676" t="s">
        <v>68</v>
      </c>
      <c r="I7676">
        <v>1</v>
      </c>
      <c r="J7676">
        <v>0</v>
      </c>
      <c r="K7676">
        <v>0</v>
      </c>
      <c r="L7676">
        <v>1</v>
      </c>
      <c r="M7676">
        <v>1</v>
      </c>
      <c r="N7676">
        <v>1</v>
      </c>
      <c r="O7676">
        <v>1</v>
      </c>
      <c r="P7676">
        <v>1</v>
      </c>
      <c r="Q7676">
        <v>1</v>
      </c>
      <c r="R7676">
        <v>1</v>
      </c>
    </row>
    <row r="7677" spans="1:18" x14ac:dyDescent="0.2">
      <c r="A7677" t="str">
        <f>"7673"</f>
        <v>7673</v>
      </c>
      <c r="B7677" t="str">
        <f t="shared" si="427"/>
        <v>1</v>
      </c>
      <c r="C7677" t="str">
        <f t="shared" si="426"/>
        <v>154</v>
      </c>
      <c r="D7677" t="str">
        <f>"1"</f>
        <v>1</v>
      </c>
      <c r="E7677" t="str">
        <f>"1-154-1"</f>
        <v>1-154-1</v>
      </c>
      <c r="F7677" t="s">
        <v>65</v>
      </c>
      <c r="G7677" t="s">
        <v>66</v>
      </c>
      <c r="H7677" t="s">
        <v>68</v>
      </c>
      <c r="I7677">
        <v>1</v>
      </c>
      <c r="J7677">
        <v>0</v>
      </c>
      <c r="K7677">
        <v>0</v>
      </c>
      <c r="L7677">
        <v>1</v>
      </c>
      <c r="M7677">
        <v>1</v>
      </c>
      <c r="N7677">
        <v>1</v>
      </c>
      <c r="O7677">
        <v>1</v>
      </c>
      <c r="P7677">
        <v>1</v>
      </c>
      <c r="Q7677">
        <v>1</v>
      </c>
      <c r="R7677">
        <v>1</v>
      </c>
    </row>
    <row r="7678" spans="1:18" x14ac:dyDescent="0.2">
      <c r="A7678" t="str">
        <f>"7674"</f>
        <v>7674</v>
      </c>
      <c r="B7678" t="str">
        <f t="shared" si="427"/>
        <v>1</v>
      </c>
      <c r="C7678" t="str">
        <f t="shared" si="426"/>
        <v>154</v>
      </c>
      <c r="D7678" t="str">
        <f>"37"</f>
        <v>37</v>
      </c>
      <c r="E7678" t="str">
        <f>"1-154-37"</f>
        <v>1-154-37</v>
      </c>
      <c r="F7678" t="s">
        <v>65</v>
      </c>
      <c r="G7678" t="s">
        <v>66</v>
      </c>
      <c r="H7678" t="s">
        <v>68</v>
      </c>
      <c r="I7678">
        <v>1</v>
      </c>
      <c r="J7678">
        <v>0</v>
      </c>
      <c r="K7678">
        <v>0</v>
      </c>
      <c r="L7678">
        <v>1</v>
      </c>
      <c r="M7678">
        <v>1</v>
      </c>
      <c r="N7678">
        <v>1</v>
      </c>
      <c r="O7678">
        <v>1</v>
      </c>
      <c r="P7678">
        <v>1</v>
      </c>
      <c r="Q7678">
        <v>1</v>
      </c>
      <c r="R7678">
        <v>1</v>
      </c>
    </row>
    <row r="7679" spans="1:18" x14ac:dyDescent="0.2">
      <c r="A7679" t="str">
        <f>"7675"</f>
        <v>7675</v>
      </c>
      <c r="B7679" t="str">
        <f t="shared" si="427"/>
        <v>1</v>
      </c>
      <c r="C7679" t="str">
        <f t="shared" si="426"/>
        <v>154</v>
      </c>
      <c r="D7679" t="str">
        <f>"23"</f>
        <v>23</v>
      </c>
      <c r="E7679" t="str">
        <f>"1-154-23"</f>
        <v>1-154-23</v>
      </c>
      <c r="F7679" t="s">
        <v>65</v>
      </c>
      <c r="G7679" t="s">
        <v>66</v>
      </c>
      <c r="H7679" t="s">
        <v>68</v>
      </c>
      <c r="I7679">
        <v>1</v>
      </c>
      <c r="J7679">
        <v>1</v>
      </c>
      <c r="K7679">
        <v>0</v>
      </c>
      <c r="L7679">
        <v>0</v>
      </c>
      <c r="M7679">
        <v>1</v>
      </c>
      <c r="N7679">
        <v>1</v>
      </c>
      <c r="O7679">
        <v>1</v>
      </c>
      <c r="P7679">
        <v>1</v>
      </c>
      <c r="Q7679">
        <v>1</v>
      </c>
      <c r="R7679">
        <v>1</v>
      </c>
    </row>
    <row r="7680" spans="1:18" x14ac:dyDescent="0.2">
      <c r="A7680" t="str">
        <f>"7676"</f>
        <v>7676</v>
      </c>
      <c r="B7680" t="str">
        <f t="shared" si="427"/>
        <v>1</v>
      </c>
      <c r="C7680" t="str">
        <f t="shared" si="426"/>
        <v>154</v>
      </c>
      <c r="D7680" t="str">
        <f>"9"</f>
        <v>9</v>
      </c>
      <c r="E7680" t="str">
        <f>"1-154-9"</f>
        <v>1-154-9</v>
      </c>
      <c r="F7680" t="s">
        <v>65</v>
      </c>
      <c r="G7680" t="s">
        <v>66</v>
      </c>
      <c r="H7680" t="s">
        <v>68</v>
      </c>
      <c r="I7680">
        <v>1</v>
      </c>
      <c r="J7680">
        <v>0</v>
      </c>
      <c r="K7680">
        <v>0</v>
      </c>
      <c r="L7680">
        <v>1</v>
      </c>
      <c r="M7680">
        <v>1</v>
      </c>
      <c r="N7680">
        <v>1</v>
      </c>
      <c r="O7680">
        <v>1</v>
      </c>
      <c r="P7680">
        <v>1</v>
      </c>
      <c r="Q7680">
        <v>1</v>
      </c>
      <c r="R7680">
        <v>1</v>
      </c>
    </row>
    <row r="7681" spans="1:39" x14ac:dyDescent="0.2">
      <c r="A7681" t="str">
        <f>"7677"</f>
        <v>7677</v>
      </c>
      <c r="B7681" t="str">
        <f t="shared" si="427"/>
        <v>1</v>
      </c>
      <c r="C7681" t="str">
        <f t="shared" si="426"/>
        <v>154</v>
      </c>
      <c r="D7681" t="str">
        <f>"40"</f>
        <v>40</v>
      </c>
      <c r="E7681" t="str">
        <f>"1-154-40"</f>
        <v>1-154-40</v>
      </c>
      <c r="F7681" t="s">
        <v>65</v>
      </c>
      <c r="G7681" t="s">
        <v>66</v>
      </c>
      <c r="H7681" t="s">
        <v>68</v>
      </c>
      <c r="I7681">
        <v>1</v>
      </c>
      <c r="J7681">
        <v>0</v>
      </c>
      <c r="K7681">
        <v>0</v>
      </c>
      <c r="L7681">
        <v>1</v>
      </c>
      <c r="M7681">
        <v>1</v>
      </c>
      <c r="N7681">
        <v>1</v>
      </c>
      <c r="O7681">
        <v>1</v>
      </c>
      <c r="P7681">
        <v>1</v>
      </c>
      <c r="Q7681">
        <v>1</v>
      </c>
      <c r="R7681">
        <v>1</v>
      </c>
    </row>
    <row r="7682" spans="1:39" x14ac:dyDescent="0.2">
      <c r="A7682" t="str">
        <f>"7678"</f>
        <v>7678</v>
      </c>
      <c r="B7682" t="str">
        <f t="shared" si="427"/>
        <v>1</v>
      </c>
      <c r="C7682" t="str">
        <f t="shared" si="426"/>
        <v>154</v>
      </c>
      <c r="D7682" t="str">
        <f>"24"</f>
        <v>24</v>
      </c>
      <c r="E7682" t="str">
        <f>"1-154-24"</f>
        <v>1-154-24</v>
      </c>
      <c r="F7682" t="s">
        <v>65</v>
      </c>
      <c r="G7682" t="s">
        <v>66</v>
      </c>
      <c r="H7682" t="s">
        <v>68</v>
      </c>
      <c r="I7682">
        <v>1</v>
      </c>
      <c r="J7682">
        <v>0</v>
      </c>
      <c r="K7682">
        <v>0</v>
      </c>
      <c r="L7682">
        <v>1</v>
      </c>
      <c r="M7682">
        <v>1</v>
      </c>
      <c r="N7682">
        <v>1</v>
      </c>
      <c r="O7682">
        <v>1</v>
      </c>
      <c r="P7682">
        <v>1</v>
      </c>
      <c r="Q7682">
        <v>1</v>
      </c>
      <c r="R7682">
        <v>1</v>
      </c>
    </row>
    <row r="7683" spans="1:39" x14ac:dyDescent="0.2">
      <c r="A7683" t="str">
        <f>"7679"</f>
        <v>7679</v>
      </c>
      <c r="B7683" t="str">
        <f t="shared" si="427"/>
        <v>1</v>
      </c>
      <c r="C7683" t="str">
        <f t="shared" si="426"/>
        <v>154</v>
      </c>
      <c r="D7683" t="str">
        <f>"2"</f>
        <v>2</v>
      </c>
      <c r="E7683" t="str">
        <f>"1-154-2"</f>
        <v>1-154-2</v>
      </c>
      <c r="F7683" t="s">
        <v>65</v>
      </c>
      <c r="G7683" t="s">
        <v>66</v>
      </c>
      <c r="H7683" t="s">
        <v>68</v>
      </c>
      <c r="I7683">
        <v>1</v>
      </c>
      <c r="J7683">
        <v>0</v>
      </c>
      <c r="K7683">
        <v>1</v>
      </c>
      <c r="L7683">
        <v>0</v>
      </c>
      <c r="M7683">
        <v>0</v>
      </c>
      <c r="N7683">
        <v>1</v>
      </c>
      <c r="O7683">
        <v>1</v>
      </c>
      <c r="P7683">
        <v>1</v>
      </c>
      <c r="Q7683">
        <v>1</v>
      </c>
      <c r="R7683">
        <v>1</v>
      </c>
    </row>
    <row r="7684" spans="1:39" x14ac:dyDescent="0.2">
      <c r="A7684" t="str">
        <f>"7680"</f>
        <v>7680</v>
      </c>
      <c r="B7684" t="str">
        <f t="shared" si="427"/>
        <v>1</v>
      </c>
      <c r="C7684" t="str">
        <f t="shared" si="426"/>
        <v>154</v>
      </c>
      <c r="D7684" t="str">
        <f>"41"</f>
        <v>41</v>
      </c>
      <c r="E7684" t="str">
        <f>"1-154-41"</f>
        <v>1-154-41</v>
      </c>
      <c r="F7684" t="s">
        <v>65</v>
      </c>
      <c r="G7684" t="s">
        <v>66</v>
      </c>
      <c r="H7684" t="s">
        <v>68</v>
      </c>
      <c r="I7684">
        <v>1</v>
      </c>
      <c r="J7684">
        <v>0</v>
      </c>
      <c r="K7684">
        <v>0</v>
      </c>
      <c r="L7684">
        <v>1</v>
      </c>
      <c r="M7684">
        <v>1</v>
      </c>
      <c r="N7684">
        <v>1</v>
      </c>
      <c r="O7684">
        <v>1</v>
      </c>
      <c r="P7684">
        <v>1</v>
      </c>
      <c r="Q7684">
        <v>1</v>
      </c>
      <c r="R7684">
        <v>1</v>
      </c>
    </row>
    <row r="7685" spans="1:39" x14ac:dyDescent="0.2">
      <c r="A7685" t="str">
        <f>"7681"</f>
        <v>7681</v>
      </c>
      <c r="B7685" t="str">
        <f t="shared" si="427"/>
        <v>1</v>
      </c>
      <c r="C7685" t="str">
        <f t="shared" si="426"/>
        <v>154</v>
      </c>
      <c r="D7685" t="str">
        <f>"25"</f>
        <v>25</v>
      </c>
      <c r="E7685" t="str">
        <f>"1-154-25"</f>
        <v>1-154-25</v>
      </c>
      <c r="F7685" t="s">
        <v>65</v>
      </c>
      <c r="G7685" t="s">
        <v>66</v>
      </c>
      <c r="H7685" t="s">
        <v>68</v>
      </c>
      <c r="I7685">
        <v>1</v>
      </c>
      <c r="J7685">
        <v>0</v>
      </c>
      <c r="K7685">
        <v>0</v>
      </c>
      <c r="L7685">
        <v>1</v>
      </c>
      <c r="M7685">
        <v>1</v>
      </c>
      <c r="N7685">
        <v>1</v>
      </c>
      <c r="O7685">
        <v>1</v>
      </c>
      <c r="P7685">
        <v>1</v>
      </c>
      <c r="Q7685">
        <v>1</v>
      </c>
      <c r="R7685">
        <v>1</v>
      </c>
    </row>
    <row r="7686" spans="1:39" x14ac:dyDescent="0.2">
      <c r="A7686" t="str">
        <f>"7682"</f>
        <v>7682</v>
      </c>
      <c r="B7686" t="str">
        <f t="shared" si="427"/>
        <v>1</v>
      </c>
      <c r="C7686" t="str">
        <f t="shared" si="426"/>
        <v>154</v>
      </c>
      <c r="D7686" t="str">
        <f>"14"</f>
        <v>14</v>
      </c>
      <c r="E7686" t="str">
        <f>"1-154-14"</f>
        <v>1-154-14</v>
      </c>
      <c r="F7686" t="s">
        <v>65</v>
      </c>
      <c r="G7686" t="s">
        <v>66</v>
      </c>
      <c r="H7686" t="s">
        <v>68</v>
      </c>
      <c r="I7686">
        <v>1</v>
      </c>
      <c r="J7686">
        <v>1</v>
      </c>
      <c r="K7686">
        <v>0</v>
      </c>
      <c r="L7686">
        <v>0</v>
      </c>
      <c r="M7686">
        <v>1</v>
      </c>
      <c r="N7686">
        <v>1</v>
      </c>
      <c r="O7686">
        <v>1</v>
      </c>
      <c r="P7686">
        <v>1</v>
      </c>
      <c r="Q7686">
        <v>1</v>
      </c>
      <c r="R7686">
        <v>1</v>
      </c>
    </row>
    <row r="7687" spans="1:39" x14ac:dyDescent="0.2">
      <c r="A7687" t="str">
        <f>"7683"</f>
        <v>7683</v>
      </c>
      <c r="B7687" t="str">
        <f t="shared" si="427"/>
        <v>1</v>
      </c>
      <c r="C7687" t="str">
        <f t="shared" ref="C7687:C7704" si="428">"154"</f>
        <v>154</v>
      </c>
      <c r="D7687" t="str">
        <f>"48"</f>
        <v>48</v>
      </c>
      <c r="E7687" t="str">
        <f>"1-154-48"</f>
        <v>1-154-48</v>
      </c>
      <c r="F7687" t="s">
        <v>65</v>
      </c>
      <c r="G7687" t="s">
        <v>66</v>
      </c>
      <c r="H7687" t="s">
        <v>67</v>
      </c>
      <c r="S7687">
        <v>0</v>
      </c>
      <c r="T7687">
        <v>0</v>
      </c>
      <c r="U7687">
        <v>0</v>
      </c>
      <c r="V7687">
        <v>0</v>
      </c>
      <c r="W7687">
        <v>1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1</v>
      </c>
      <c r="AJ7687">
        <v>1</v>
      </c>
      <c r="AK7687">
        <v>1</v>
      </c>
      <c r="AL7687">
        <v>0</v>
      </c>
      <c r="AM7687">
        <v>0</v>
      </c>
    </row>
    <row r="7688" spans="1:39" x14ac:dyDescent="0.2">
      <c r="A7688" t="str">
        <f>"7684"</f>
        <v>7684</v>
      </c>
      <c r="B7688" t="str">
        <f t="shared" si="427"/>
        <v>1</v>
      </c>
      <c r="C7688" t="str">
        <f t="shared" si="428"/>
        <v>154</v>
      </c>
      <c r="D7688" t="str">
        <f>"26"</f>
        <v>26</v>
      </c>
      <c r="E7688" t="str">
        <f>"1-154-26"</f>
        <v>1-154-26</v>
      </c>
      <c r="F7688" t="s">
        <v>65</v>
      </c>
      <c r="G7688" t="s">
        <v>66</v>
      </c>
      <c r="H7688" t="s">
        <v>68</v>
      </c>
      <c r="I7688">
        <v>1</v>
      </c>
      <c r="J7688">
        <v>1</v>
      </c>
      <c r="K7688">
        <v>0</v>
      </c>
      <c r="L7688">
        <v>0</v>
      </c>
      <c r="M7688">
        <v>1</v>
      </c>
      <c r="N7688">
        <v>1</v>
      </c>
      <c r="O7688">
        <v>1</v>
      </c>
      <c r="P7688">
        <v>1</v>
      </c>
      <c r="Q7688">
        <v>1</v>
      </c>
      <c r="R7688">
        <v>1</v>
      </c>
    </row>
    <row r="7689" spans="1:39" x14ac:dyDescent="0.2">
      <c r="A7689" t="str">
        <f>"7685"</f>
        <v>7685</v>
      </c>
      <c r="B7689" t="str">
        <f t="shared" si="427"/>
        <v>1</v>
      </c>
      <c r="C7689" t="str">
        <f t="shared" si="428"/>
        <v>154</v>
      </c>
      <c r="D7689" t="str">
        <f>"12"</f>
        <v>12</v>
      </c>
      <c r="E7689" t="str">
        <f>"1-154-12"</f>
        <v>1-154-12</v>
      </c>
      <c r="F7689" t="s">
        <v>65</v>
      </c>
      <c r="G7689" t="s">
        <v>66</v>
      </c>
      <c r="H7689" t="s">
        <v>68</v>
      </c>
      <c r="I7689">
        <v>1</v>
      </c>
      <c r="J7689">
        <v>0</v>
      </c>
      <c r="K7689">
        <v>0</v>
      </c>
      <c r="L7689">
        <v>1</v>
      </c>
      <c r="M7689">
        <v>1</v>
      </c>
      <c r="N7689">
        <v>1</v>
      </c>
      <c r="O7689">
        <v>1</v>
      </c>
      <c r="P7689">
        <v>1</v>
      </c>
      <c r="Q7689">
        <v>1</v>
      </c>
      <c r="R7689">
        <v>1</v>
      </c>
    </row>
    <row r="7690" spans="1:39" x14ac:dyDescent="0.2">
      <c r="A7690" t="str">
        <f>"7686"</f>
        <v>7686</v>
      </c>
      <c r="B7690" t="str">
        <f t="shared" si="427"/>
        <v>1</v>
      </c>
      <c r="C7690" t="str">
        <f t="shared" si="428"/>
        <v>154</v>
      </c>
      <c r="D7690" t="str">
        <f>"43"</f>
        <v>43</v>
      </c>
      <c r="E7690" t="str">
        <f>"1-154-43"</f>
        <v>1-154-43</v>
      </c>
      <c r="F7690" t="s">
        <v>65</v>
      </c>
      <c r="G7690" t="s">
        <v>66</v>
      </c>
      <c r="H7690" t="s">
        <v>68</v>
      </c>
      <c r="I7690">
        <v>0</v>
      </c>
      <c r="J7690">
        <v>0</v>
      </c>
      <c r="K7690">
        <v>0</v>
      </c>
      <c r="L7690">
        <v>1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</row>
    <row r="7691" spans="1:39" x14ac:dyDescent="0.2">
      <c r="A7691" t="str">
        <f>"7687"</f>
        <v>7687</v>
      </c>
      <c r="B7691" t="str">
        <f t="shared" si="427"/>
        <v>1</v>
      </c>
      <c r="C7691" t="str">
        <f t="shared" si="428"/>
        <v>154</v>
      </c>
      <c r="D7691" t="str">
        <f>"27"</f>
        <v>27</v>
      </c>
      <c r="E7691" t="str">
        <f>"1-154-27"</f>
        <v>1-154-27</v>
      </c>
      <c r="F7691" t="s">
        <v>65</v>
      </c>
      <c r="G7691" t="s">
        <v>66</v>
      </c>
      <c r="H7691" t="s">
        <v>68</v>
      </c>
      <c r="I7691">
        <v>1</v>
      </c>
      <c r="J7691">
        <v>0</v>
      </c>
      <c r="K7691">
        <v>0</v>
      </c>
      <c r="L7691">
        <v>1</v>
      </c>
      <c r="M7691">
        <v>1</v>
      </c>
      <c r="N7691">
        <v>0</v>
      </c>
      <c r="O7691">
        <v>0</v>
      </c>
      <c r="P7691">
        <v>0</v>
      </c>
      <c r="Q7691">
        <v>0</v>
      </c>
      <c r="R7691">
        <v>0</v>
      </c>
    </row>
    <row r="7692" spans="1:39" x14ac:dyDescent="0.2">
      <c r="A7692" t="str">
        <f>"7688"</f>
        <v>7688</v>
      </c>
      <c r="B7692" t="str">
        <f t="shared" si="427"/>
        <v>1</v>
      </c>
      <c r="C7692" t="str">
        <f t="shared" si="428"/>
        <v>154</v>
      </c>
      <c r="D7692" t="str">
        <f>"11"</f>
        <v>11</v>
      </c>
      <c r="E7692" t="str">
        <f>"1-154-11"</f>
        <v>1-154-11</v>
      </c>
      <c r="F7692" t="s">
        <v>65</v>
      </c>
      <c r="G7692" t="s">
        <v>66</v>
      </c>
      <c r="H7692" t="s">
        <v>68</v>
      </c>
      <c r="I7692">
        <v>1</v>
      </c>
      <c r="J7692">
        <v>0</v>
      </c>
      <c r="K7692">
        <v>1</v>
      </c>
      <c r="L7692">
        <v>0</v>
      </c>
      <c r="M7692">
        <v>1</v>
      </c>
      <c r="N7692">
        <v>1</v>
      </c>
      <c r="O7692">
        <v>1</v>
      </c>
      <c r="P7692">
        <v>1</v>
      </c>
      <c r="Q7692">
        <v>1</v>
      </c>
      <c r="R7692">
        <v>1</v>
      </c>
    </row>
    <row r="7693" spans="1:39" x14ac:dyDescent="0.2">
      <c r="A7693" t="str">
        <f>"7689"</f>
        <v>7689</v>
      </c>
      <c r="B7693" t="str">
        <f t="shared" si="427"/>
        <v>1</v>
      </c>
      <c r="C7693" t="str">
        <f t="shared" si="428"/>
        <v>154</v>
      </c>
      <c r="D7693" t="str">
        <f>"46"</f>
        <v>46</v>
      </c>
      <c r="E7693" t="str">
        <f>"1-154-46"</f>
        <v>1-154-46</v>
      </c>
      <c r="F7693" t="s">
        <v>65</v>
      </c>
      <c r="G7693" t="s">
        <v>66</v>
      </c>
      <c r="H7693" t="s">
        <v>68</v>
      </c>
      <c r="I7693">
        <v>1</v>
      </c>
      <c r="J7693">
        <v>0</v>
      </c>
      <c r="K7693">
        <v>0</v>
      </c>
      <c r="L7693">
        <v>0</v>
      </c>
      <c r="M7693">
        <v>1</v>
      </c>
      <c r="N7693">
        <v>1</v>
      </c>
      <c r="O7693">
        <v>1</v>
      </c>
      <c r="P7693">
        <v>1</v>
      </c>
      <c r="Q7693">
        <v>1</v>
      </c>
      <c r="R7693">
        <v>1</v>
      </c>
    </row>
    <row r="7694" spans="1:39" x14ac:dyDescent="0.2">
      <c r="A7694" t="str">
        <f>"7690"</f>
        <v>7690</v>
      </c>
      <c r="B7694" t="str">
        <f t="shared" si="427"/>
        <v>1</v>
      </c>
      <c r="C7694" t="str">
        <f t="shared" si="428"/>
        <v>154</v>
      </c>
      <c r="D7694" t="str">
        <f>"28"</f>
        <v>28</v>
      </c>
      <c r="E7694" t="str">
        <f>"1-154-28"</f>
        <v>1-154-28</v>
      </c>
      <c r="F7694" t="s">
        <v>65</v>
      </c>
      <c r="G7694" t="s">
        <v>66</v>
      </c>
      <c r="H7694" t="s">
        <v>68</v>
      </c>
      <c r="I7694">
        <v>1</v>
      </c>
      <c r="J7694">
        <v>1</v>
      </c>
      <c r="K7694">
        <v>0</v>
      </c>
      <c r="L7694">
        <v>0</v>
      </c>
      <c r="M7694">
        <v>1</v>
      </c>
      <c r="N7694">
        <v>0</v>
      </c>
      <c r="O7694">
        <v>0</v>
      </c>
      <c r="P7694">
        <v>1</v>
      </c>
      <c r="Q7694">
        <v>1</v>
      </c>
      <c r="R7694">
        <v>1</v>
      </c>
    </row>
    <row r="7695" spans="1:39" x14ac:dyDescent="0.2">
      <c r="A7695" t="str">
        <f>"7691"</f>
        <v>7691</v>
      </c>
      <c r="B7695" t="str">
        <f t="shared" si="427"/>
        <v>1</v>
      </c>
      <c r="C7695" t="str">
        <f t="shared" si="428"/>
        <v>154</v>
      </c>
      <c r="D7695" t="str">
        <f>"5"</f>
        <v>5</v>
      </c>
      <c r="E7695" t="str">
        <f>"1-154-5"</f>
        <v>1-154-5</v>
      </c>
      <c r="F7695" t="s">
        <v>65</v>
      </c>
      <c r="G7695" t="s">
        <v>66</v>
      </c>
      <c r="H7695" t="s">
        <v>68</v>
      </c>
      <c r="I7695">
        <v>1</v>
      </c>
      <c r="J7695">
        <v>0</v>
      </c>
      <c r="K7695">
        <v>1</v>
      </c>
      <c r="L7695">
        <v>0</v>
      </c>
      <c r="M7695">
        <v>1</v>
      </c>
      <c r="N7695">
        <v>1</v>
      </c>
      <c r="O7695">
        <v>1</v>
      </c>
      <c r="P7695">
        <v>1</v>
      </c>
      <c r="Q7695">
        <v>1</v>
      </c>
      <c r="R7695">
        <v>1</v>
      </c>
    </row>
    <row r="7696" spans="1:39" x14ac:dyDescent="0.2">
      <c r="A7696" t="str">
        <f>"7692"</f>
        <v>7692</v>
      </c>
      <c r="B7696" t="str">
        <f t="shared" si="427"/>
        <v>1</v>
      </c>
      <c r="C7696" t="str">
        <f t="shared" si="428"/>
        <v>154</v>
      </c>
      <c r="D7696" t="str">
        <f>"44"</f>
        <v>44</v>
      </c>
      <c r="E7696" t="str">
        <f>"1-154-44"</f>
        <v>1-154-44</v>
      </c>
      <c r="F7696" t="s">
        <v>65</v>
      </c>
      <c r="G7696" t="s">
        <v>66</v>
      </c>
      <c r="H7696" t="s">
        <v>68</v>
      </c>
      <c r="I7696">
        <v>1</v>
      </c>
      <c r="J7696">
        <v>1</v>
      </c>
      <c r="K7696">
        <v>0</v>
      </c>
      <c r="L7696">
        <v>0</v>
      </c>
      <c r="M7696">
        <v>1</v>
      </c>
      <c r="N7696">
        <v>1</v>
      </c>
      <c r="O7696">
        <v>1</v>
      </c>
      <c r="P7696">
        <v>1</v>
      </c>
      <c r="Q7696">
        <v>1</v>
      </c>
      <c r="R7696">
        <v>1</v>
      </c>
    </row>
    <row r="7697" spans="1:18" x14ac:dyDescent="0.2">
      <c r="A7697" t="str">
        <f>"7693"</f>
        <v>7693</v>
      </c>
      <c r="B7697" t="str">
        <f t="shared" si="427"/>
        <v>1</v>
      </c>
      <c r="C7697" t="str">
        <f t="shared" si="428"/>
        <v>154</v>
      </c>
      <c r="D7697" t="str">
        <f>"29"</f>
        <v>29</v>
      </c>
      <c r="E7697" t="str">
        <f>"1-154-29"</f>
        <v>1-154-29</v>
      </c>
      <c r="F7697" t="s">
        <v>65</v>
      </c>
      <c r="G7697" t="s">
        <v>66</v>
      </c>
      <c r="H7697" t="s">
        <v>68</v>
      </c>
      <c r="I7697">
        <v>1</v>
      </c>
      <c r="J7697">
        <v>0</v>
      </c>
      <c r="K7697">
        <v>1</v>
      </c>
      <c r="L7697">
        <v>0</v>
      </c>
      <c r="M7697">
        <v>1</v>
      </c>
      <c r="N7697">
        <v>1</v>
      </c>
      <c r="O7697">
        <v>1</v>
      </c>
      <c r="P7697">
        <v>1</v>
      </c>
      <c r="Q7697">
        <v>1</v>
      </c>
      <c r="R7697">
        <v>1</v>
      </c>
    </row>
    <row r="7698" spans="1:18" x14ac:dyDescent="0.2">
      <c r="A7698" t="str">
        <f>"7694"</f>
        <v>7694</v>
      </c>
      <c r="B7698" t="str">
        <f t="shared" si="427"/>
        <v>1</v>
      </c>
      <c r="C7698" t="str">
        <f t="shared" si="428"/>
        <v>154</v>
      </c>
      <c r="D7698" t="str">
        <f>"6"</f>
        <v>6</v>
      </c>
      <c r="E7698" t="str">
        <f>"1-154-6"</f>
        <v>1-154-6</v>
      </c>
      <c r="F7698" t="s">
        <v>65</v>
      </c>
      <c r="G7698" t="s">
        <v>66</v>
      </c>
      <c r="H7698" t="s">
        <v>68</v>
      </c>
      <c r="I7698">
        <v>1</v>
      </c>
      <c r="J7698">
        <v>1</v>
      </c>
      <c r="K7698">
        <v>0</v>
      </c>
      <c r="L7698">
        <v>0</v>
      </c>
      <c r="M7698">
        <v>1</v>
      </c>
      <c r="N7698">
        <v>1</v>
      </c>
      <c r="O7698">
        <v>1</v>
      </c>
      <c r="P7698">
        <v>1</v>
      </c>
      <c r="Q7698">
        <v>1</v>
      </c>
      <c r="R7698">
        <v>1</v>
      </c>
    </row>
    <row r="7699" spans="1:18" x14ac:dyDescent="0.2">
      <c r="A7699" t="str">
        <f>"7695"</f>
        <v>7695</v>
      </c>
      <c r="B7699" t="str">
        <f t="shared" si="427"/>
        <v>1</v>
      </c>
      <c r="C7699" t="str">
        <f t="shared" si="428"/>
        <v>154</v>
      </c>
      <c r="D7699" t="str">
        <f>"45"</f>
        <v>45</v>
      </c>
      <c r="E7699" t="str">
        <f>"1-154-45"</f>
        <v>1-154-45</v>
      </c>
      <c r="F7699" t="s">
        <v>65</v>
      </c>
      <c r="G7699" t="s">
        <v>66</v>
      </c>
      <c r="H7699" t="s">
        <v>68</v>
      </c>
      <c r="I7699">
        <v>1</v>
      </c>
      <c r="J7699">
        <v>0</v>
      </c>
      <c r="K7699">
        <v>0</v>
      </c>
      <c r="L7699">
        <v>1</v>
      </c>
      <c r="M7699">
        <v>1</v>
      </c>
      <c r="N7699">
        <v>1</v>
      </c>
      <c r="O7699">
        <v>1</v>
      </c>
      <c r="P7699">
        <v>1</v>
      </c>
      <c r="Q7699">
        <v>1</v>
      </c>
      <c r="R7699">
        <v>1</v>
      </c>
    </row>
    <row r="7700" spans="1:18" x14ac:dyDescent="0.2">
      <c r="A7700" t="str">
        <f>"7696"</f>
        <v>7696</v>
      </c>
      <c r="B7700" t="str">
        <f t="shared" si="427"/>
        <v>1</v>
      </c>
      <c r="C7700" t="str">
        <f t="shared" si="428"/>
        <v>154</v>
      </c>
      <c r="D7700" t="str">
        <f>"30"</f>
        <v>30</v>
      </c>
      <c r="E7700" t="str">
        <f>"1-154-30"</f>
        <v>1-154-30</v>
      </c>
      <c r="F7700" t="s">
        <v>65</v>
      </c>
      <c r="G7700" t="s">
        <v>66</v>
      </c>
      <c r="H7700" t="s">
        <v>68</v>
      </c>
      <c r="I7700">
        <v>1</v>
      </c>
      <c r="J7700">
        <v>1</v>
      </c>
      <c r="K7700">
        <v>0</v>
      </c>
      <c r="L7700">
        <v>0</v>
      </c>
      <c r="M7700">
        <v>1</v>
      </c>
      <c r="N7700">
        <v>1</v>
      </c>
      <c r="O7700">
        <v>1</v>
      </c>
      <c r="P7700">
        <v>1</v>
      </c>
      <c r="Q7700">
        <v>1</v>
      </c>
      <c r="R7700">
        <v>1</v>
      </c>
    </row>
    <row r="7701" spans="1:18" x14ac:dyDescent="0.2">
      <c r="A7701" t="str">
        <f>"7697"</f>
        <v>7697</v>
      </c>
      <c r="B7701" t="str">
        <f t="shared" si="427"/>
        <v>1</v>
      </c>
      <c r="C7701" t="str">
        <f t="shared" si="428"/>
        <v>154</v>
      </c>
      <c r="D7701" t="str">
        <f>"13"</f>
        <v>13</v>
      </c>
      <c r="E7701" t="str">
        <f>"1-154-13"</f>
        <v>1-154-13</v>
      </c>
      <c r="F7701" t="s">
        <v>65</v>
      </c>
      <c r="G7701" t="s">
        <v>66</v>
      </c>
      <c r="H7701" t="s">
        <v>68</v>
      </c>
      <c r="I7701">
        <v>0</v>
      </c>
      <c r="J7701">
        <v>1</v>
      </c>
      <c r="K7701">
        <v>0</v>
      </c>
      <c r="L7701">
        <v>0</v>
      </c>
      <c r="M7701">
        <v>0</v>
      </c>
      <c r="N7701">
        <v>1</v>
      </c>
      <c r="O7701">
        <v>0</v>
      </c>
      <c r="P7701">
        <v>1</v>
      </c>
      <c r="Q7701">
        <v>0</v>
      </c>
      <c r="R7701">
        <v>0</v>
      </c>
    </row>
    <row r="7702" spans="1:18" x14ac:dyDescent="0.2">
      <c r="A7702" t="str">
        <f>"7698"</f>
        <v>7698</v>
      </c>
      <c r="B7702" t="str">
        <f t="shared" si="427"/>
        <v>1</v>
      </c>
      <c r="C7702" t="str">
        <f t="shared" si="428"/>
        <v>154</v>
      </c>
      <c r="D7702" t="str">
        <f>"47"</f>
        <v>47</v>
      </c>
      <c r="E7702" t="str">
        <f>"1-154-47"</f>
        <v>1-154-47</v>
      </c>
      <c r="F7702" t="s">
        <v>65</v>
      </c>
      <c r="G7702" t="s">
        <v>66</v>
      </c>
      <c r="H7702" t="s">
        <v>68</v>
      </c>
      <c r="I7702">
        <v>1</v>
      </c>
      <c r="J7702">
        <v>0</v>
      </c>
      <c r="K7702">
        <v>0</v>
      </c>
      <c r="L7702">
        <v>1</v>
      </c>
      <c r="M7702">
        <v>1</v>
      </c>
      <c r="N7702">
        <v>1</v>
      </c>
      <c r="O7702">
        <v>1</v>
      </c>
      <c r="P7702">
        <v>1</v>
      </c>
      <c r="Q7702">
        <v>1</v>
      </c>
      <c r="R7702">
        <v>1</v>
      </c>
    </row>
    <row r="7703" spans="1:18" x14ac:dyDescent="0.2">
      <c r="A7703" t="str">
        <f>"7699"</f>
        <v>7699</v>
      </c>
      <c r="B7703" t="str">
        <f t="shared" si="427"/>
        <v>1</v>
      </c>
      <c r="C7703" t="str">
        <f t="shared" si="428"/>
        <v>154</v>
      </c>
      <c r="D7703" t="str">
        <f>"31"</f>
        <v>31</v>
      </c>
      <c r="E7703" t="str">
        <f>"1-154-31"</f>
        <v>1-154-31</v>
      </c>
      <c r="F7703" t="s">
        <v>65</v>
      </c>
      <c r="G7703" t="s">
        <v>66</v>
      </c>
      <c r="H7703" t="s">
        <v>68</v>
      </c>
      <c r="I7703">
        <v>1</v>
      </c>
      <c r="J7703">
        <v>1</v>
      </c>
      <c r="K7703">
        <v>0</v>
      </c>
      <c r="L7703">
        <v>0</v>
      </c>
      <c r="M7703">
        <v>1</v>
      </c>
      <c r="N7703">
        <v>1</v>
      </c>
      <c r="O7703">
        <v>1</v>
      </c>
      <c r="P7703">
        <v>1</v>
      </c>
      <c r="Q7703">
        <v>1</v>
      </c>
      <c r="R7703">
        <v>1</v>
      </c>
    </row>
    <row r="7704" spans="1:18" x14ac:dyDescent="0.2">
      <c r="A7704" t="str">
        <f>"7700"</f>
        <v>7700</v>
      </c>
      <c r="B7704" t="str">
        <f t="shared" si="427"/>
        <v>1</v>
      </c>
      <c r="C7704" t="str">
        <f t="shared" si="428"/>
        <v>154</v>
      </c>
      <c r="D7704" t="str">
        <f>"3"</f>
        <v>3</v>
      </c>
      <c r="E7704" t="str">
        <f>"1-154-3"</f>
        <v>1-154-3</v>
      </c>
      <c r="F7704" t="s">
        <v>65</v>
      </c>
      <c r="G7704" t="s">
        <v>66</v>
      </c>
      <c r="H7704" t="s">
        <v>68</v>
      </c>
      <c r="I7704">
        <v>1</v>
      </c>
      <c r="J7704">
        <v>0</v>
      </c>
      <c r="K7704">
        <v>0</v>
      </c>
      <c r="L7704">
        <v>1</v>
      </c>
      <c r="M7704">
        <v>1</v>
      </c>
      <c r="N7704">
        <v>1</v>
      </c>
      <c r="O7704">
        <v>1</v>
      </c>
      <c r="P7704">
        <v>1</v>
      </c>
      <c r="Q7704">
        <v>1</v>
      </c>
      <c r="R7704">
        <v>1</v>
      </c>
    </row>
    <row r="7705" spans="1:18" x14ac:dyDescent="0.2">
      <c r="A7705" t="str">
        <f>"7701"</f>
        <v>7701</v>
      </c>
      <c r="B7705" t="str">
        <f t="shared" si="427"/>
        <v>1</v>
      </c>
      <c r="C7705" t="str">
        <f t="shared" ref="C7705:C7736" si="429">"155"</f>
        <v>155</v>
      </c>
      <c r="D7705" t="str">
        <f>"34"</f>
        <v>34</v>
      </c>
      <c r="E7705" t="str">
        <f>"1-155-34"</f>
        <v>1-155-34</v>
      </c>
      <c r="F7705" t="s">
        <v>65</v>
      </c>
      <c r="G7705" t="s">
        <v>66</v>
      </c>
      <c r="H7705" t="s">
        <v>68</v>
      </c>
      <c r="I7705">
        <v>1</v>
      </c>
      <c r="J7705">
        <v>1</v>
      </c>
      <c r="K7705">
        <v>0</v>
      </c>
      <c r="L7705">
        <v>0</v>
      </c>
      <c r="M7705">
        <v>1</v>
      </c>
      <c r="N7705">
        <v>1</v>
      </c>
      <c r="O7705">
        <v>1</v>
      </c>
      <c r="P7705">
        <v>1</v>
      </c>
      <c r="Q7705">
        <v>1</v>
      </c>
      <c r="R7705">
        <v>1</v>
      </c>
    </row>
    <row r="7706" spans="1:18" x14ac:dyDescent="0.2">
      <c r="A7706" t="str">
        <f>"7702"</f>
        <v>7702</v>
      </c>
      <c r="B7706" t="str">
        <f t="shared" si="427"/>
        <v>1</v>
      </c>
      <c r="C7706" t="str">
        <f t="shared" si="429"/>
        <v>155</v>
      </c>
      <c r="D7706" t="str">
        <f>"33"</f>
        <v>33</v>
      </c>
      <c r="E7706" t="str">
        <f>"1-155-33"</f>
        <v>1-155-33</v>
      </c>
      <c r="F7706" t="s">
        <v>65</v>
      </c>
      <c r="G7706" t="s">
        <v>66</v>
      </c>
      <c r="H7706" t="s">
        <v>68</v>
      </c>
      <c r="I7706">
        <v>1</v>
      </c>
      <c r="J7706">
        <v>0</v>
      </c>
      <c r="K7706">
        <v>0</v>
      </c>
      <c r="L7706">
        <v>1</v>
      </c>
      <c r="M7706">
        <v>1</v>
      </c>
      <c r="N7706">
        <v>1</v>
      </c>
      <c r="O7706">
        <v>1</v>
      </c>
      <c r="P7706">
        <v>1</v>
      </c>
      <c r="Q7706">
        <v>1</v>
      </c>
      <c r="R7706">
        <v>1</v>
      </c>
    </row>
    <row r="7707" spans="1:18" x14ac:dyDescent="0.2">
      <c r="A7707" t="str">
        <f>"7703"</f>
        <v>7703</v>
      </c>
      <c r="B7707" t="str">
        <f t="shared" si="427"/>
        <v>1</v>
      </c>
      <c r="C7707" t="str">
        <f t="shared" si="429"/>
        <v>155</v>
      </c>
      <c r="D7707" t="str">
        <f>"21"</f>
        <v>21</v>
      </c>
      <c r="E7707" t="str">
        <f>"1-155-21"</f>
        <v>1-155-21</v>
      </c>
      <c r="F7707" t="s">
        <v>65</v>
      </c>
      <c r="G7707" t="s">
        <v>66</v>
      </c>
      <c r="H7707" t="s">
        <v>68</v>
      </c>
      <c r="I7707">
        <v>1</v>
      </c>
      <c r="J7707">
        <v>0</v>
      </c>
      <c r="K7707">
        <v>1</v>
      </c>
      <c r="L7707">
        <v>0</v>
      </c>
      <c r="M7707">
        <v>1</v>
      </c>
      <c r="N7707">
        <v>1</v>
      </c>
      <c r="O7707">
        <v>1</v>
      </c>
      <c r="P7707">
        <v>1</v>
      </c>
      <c r="Q7707">
        <v>1</v>
      </c>
      <c r="R7707">
        <v>1</v>
      </c>
    </row>
    <row r="7708" spans="1:18" x14ac:dyDescent="0.2">
      <c r="A7708" t="str">
        <f>"7704"</f>
        <v>7704</v>
      </c>
      <c r="B7708" t="str">
        <f t="shared" si="427"/>
        <v>1</v>
      </c>
      <c r="C7708" t="str">
        <f t="shared" si="429"/>
        <v>155</v>
      </c>
      <c r="D7708" t="str">
        <f>"15"</f>
        <v>15</v>
      </c>
      <c r="E7708" t="str">
        <f>"1-155-15"</f>
        <v>1-155-15</v>
      </c>
      <c r="F7708" t="s">
        <v>65</v>
      </c>
      <c r="G7708" t="s">
        <v>66</v>
      </c>
      <c r="H7708" t="s">
        <v>68</v>
      </c>
      <c r="I7708">
        <v>1</v>
      </c>
      <c r="J7708">
        <v>0</v>
      </c>
      <c r="K7708">
        <v>0</v>
      </c>
      <c r="L7708">
        <v>1</v>
      </c>
      <c r="M7708">
        <v>1</v>
      </c>
      <c r="N7708">
        <v>1</v>
      </c>
      <c r="O7708">
        <v>1</v>
      </c>
      <c r="P7708">
        <v>1</v>
      </c>
      <c r="Q7708">
        <v>1</v>
      </c>
      <c r="R7708">
        <v>1</v>
      </c>
    </row>
    <row r="7709" spans="1:18" x14ac:dyDescent="0.2">
      <c r="A7709" t="str">
        <f>"7705"</f>
        <v>7705</v>
      </c>
      <c r="B7709" t="str">
        <f t="shared" si="427"/>
        <v>1</v>
      </c>
      <c r="C7709" t="str">
        <f t="shared" si="429"/>
        <v>155</v>
      </c>
      <c r="D7709" t="str">
        <f>"5"</f>
        <v>5</v>
      </c>
      <c r="E7709" t="str">
        <f>"1-155-5"</f>
        <v>1-155-5</v>
      </c>
      <c r="F7709" t="s">
        <v>65</v>
      </c>
      <c r="G7709" t="s">
        <v>66</v>
      </c>
      <c r="H7709" t="s">
        <v>68</v>
      </c>
      <c r="I7709">
        <v>1</v>
      </c>
      <c r="J7709">
        <v>1</v>
      </c>
      <c r="K7709">
        <v>0</v>
      </c>
      <c r="L7709">
        <v>0</v>
      </c>
      <c r="M7709">
        <v>1</v>
      </c>
      <c r="N7709">
        <v>1</v>
      </c>
      <c r="O7709">
        <v>1</v>
      </c>
      <c r="P7709">
        <v>1</v>
      </c>
      <c r="Q7709">
        <v>1</v>
      </c>
      <c r="R7709">
        <v>1</v>
      </c>
    </row>
    <row r="7710" spans="1:18" x14ac:dyDescent="0.2">
      <c r="A7710" t="str">
        <f>"7706"</f>
        <v>7706</v>
      </c>
      <c r="B7710" t="str">
        <f t="shared" si="427"/>
        <v>1</v>
      </c>
      <c r="C7710" t="str">
        <f t="shared" si="429"/>
        <v>155</v>
      </c>
      <c r="D7710" t="str">
        <f>"36"</f>
        <v>36</v>
      </c>
      <c r="E7710" t="str">
        <f>"1-155-36"</f>
        <v>1-155-36</v>
      </c>
      <c r="F7710" t="s">
        <v>65</v>
      </c>
      <c r="G7710" t="s">
        <v>66</v>
      </c>
      <c r="H7710" t="s">
        <v>68</v>
      </c>
      <c r="I7710">
        <v>1</v>
      </c>
      <c r="J7710">
        <v>0</v>
      </c>
      <c r="K7710">
        <v>0</v>
      </c>
      <c r="L7710">
        <v>1</v>
      </c>
      <c r="M7710">
        <v>1</v>
      </c>
      <c r="N7710">
        <v>1</v>
      </c>
      <c r="O7710">
        <v>1</v>
      </c>
      <c r="P7710">
        <v>1</v>
      </c>
      <c r="Q7710">
        <v>1</v>
      </c>
      <c r="R7710">
        <v>1</v>
      </c>
    </row>
    <row r="7711" spans="1:18" x14ac:dyDescent="0.2">
      <c r="A7711" t="str">
        <f>"7707"</f>
        <v>7707</v>
      </c>
      <c r="B7711" t="str">
        <f t="shared" si="427"/>
        <v>1</v>
      </c>
      <c r="C7711" t="str">
        <f t="shared" si="429"/>
        <v>155</v>
      </c>
      <c r="D7711" t="str">
        <f>"35"</f>
        <v>35</v>
      </c>
      <c r="E7711" t="str">
        <f>"1-155-35"</f>
        <v>1-155-35</v>
      </c>
      <c r="F7711" t="s">
        <v>65</v>
      </c>
      <c r="G7711" t="s">
        <v>66</v>
      </c>
      <c r="H7711" t="s">
        <v>68</v>
      </c>
      <c r="I7711">
        <v>1</v>
      </c>
      <c r="J7711">
        <v>1</v>
      </c>
      <c r="K7711">
        <v>0</v>
      </c>
      <c r="L7711">
        <v>0</v>
      </c>
      <c r="M7711">
        <v>1</v>
      </c>
      <c r="N7711">
        <v>1</v>
      </c>
      <c r="O7711">
        <v>1</v>
      </c>
      <c r="P7711">
        <v>1</v>
      </c>
      <c r="Q7711">
        <v>1</v>
      </c>
      <c r="R7711">
        <v>1</v>
      </c>
    </row>
    <row r="7712" spans="1:18" x14ac:dyDescent="0.2">
      <c r="A7712" t="str">
        <f>"7708"</f>
        <v>7708</v>
      </c>
      <c r="B7712" t="str">
        <f t="shared" si="427"/>
        <v>1</v>
      </c>
      <c r="C7712" t="str">
        <f t="shared" si="429"/>
        <v>155</v>
      </c>
      <c r="D7712" t="str">
        <f>"24"</f>
        <v>24</v>
      </c>
      <c r="E7712" t="str">
        <f>"1-155-24"</f>
        <v>1-155-24</v>
      </c>
      <c r="F7712" t="s">
        <v>65</v>
      </c>
      <c r="G7712" t="s">
        <v>66</v>
      </c>
      <c r="H7712" t="s">
        <v>68</v>
      </c>
      <c r="I7712">
        <v>1</v>
      </c>
      <c r="J7712">
        <v>1</v>
      </c>
      <c r="K7712">
        <v>0</v>
      </c>
      <c r="L7712">
        <v>0</v>
      </c>
      <c r="M7712">
        <v>1</v>
      </c>
      <c r="N7712">
        <v>1</v>
      </c>
      <c r="O7712">
        <v>1</v>
      </c>
      <c r="P7712">
        <v>1</v>
      </c>
      <c r="Q7712">
        <v>1</v>
      </c>
      <c r="R7712">
        <v>1</v>
      </c>
    </row>
    <row r="7713" spans="1:18" x14ac:dyDescent="0.2">
      <c r="A7713" t="str">
        <f>"7709"</f>
        <v>7709</v>
      </c>
      <c r="B7713" t="str">
        <f t="shared" si="427"/>
        <v>1</v>
      </c>
      <c r="C7713" t="str">
        <f t="shared" si="429"/>
        <v>155</v>
      </c>
      <c r="D7713" t="str">
        <f>"16"</f>
        <v>16</v>
      </c>
      <c r="E7713" t="str">
        <f>"1-155-16"</f>
        <v>1-155-16</v>
      </c>
      <c r="F7713" t="s">
        <v>65</v>
      </c>
      <c r="G7713" t="s">
        <v>66</v>
      </c>
      <c r="H7713" t="s">
        <v>68</v>
      </c>
      <c r="I7713">
        <v>1</v>
      </c>
      <c r="J7713">
        <v>0</v>
      </c>
      <c r="K7713">
        <v>0</v>
      </c>
      <c r="L7713">
        <v>1</v>
      </c>
      <c r="M7713">
        <v>1</v>
      </c>
      <c r="N7713">
        <v>1</v>
      </c>
      <c r="O7713">
        <v>1</v>
      </c>
      <c r="P7713">
        <v>1</v>
      </c>
      <c r="Q7713">
        <v>1</v>
      </c>
      <c r="R7713">
        <v>1</v>
      </c>
    </row>
    <row r="7714" spans="1:18" x14ac:dyDescent="0.2">
      <c r="A7714" t="str">
        <f>"7710"</f>
        <v>7710</v>
      </c>
      <c r="B7714" t="str">
        <f t="shared" si="427"/>
        <v>1</v>
      </c>
      <c r="C7714" t="str">
        <f t="shared" si="429"/>
        <v>155</v>
      </c>
      <c r="D7714" t="str">
        <f>"13"</f>
        <v>13</v>
      </c>
      <c r="E7714" t="str">
        <f>"1-155-13"</f>
        <v>1-155-13</v>
      </c>
      <c r="F7714" t="s">
        <v>65</v>
      </c>
      <c r="G7714" t="s">
        <v>66</v>
      </c>
      <c r="H7714" t="s">
        <v>68</v>
      </c>
      <c r="I7714">
        <v>1</v>
      </c>
      <c r="J7714">
        <v>0</v>
      </c>
      <c r="K7714">
        <v>0</v>
      </c>
      <c r="L7714">
        <v>1</v>
      </c>
      <c r="M7714">
        <v>1</v>
      </c>
      <c r="N7714">
        <v>1</v>
      </c>
      <c r="O7714">
        <v>1</v>
      </c>
      <c r="P7714">
        <v>1</v>
      </c>
      <c r="Q7714">
        <v>1</v>
      </c>
      <c r="R7714">
        <v>1</v>
      </c>
    </row>
    <row r="7715" spans="1:18" x14ac:dyDescent="0.2">
      <c r="A7715" t="str">
        <f>"7711"</f>
        <v>7711</v>
      </c>
      <c r="B7715" t="str">
        <f t="shared" si="427"/>
        <v>1</v>
      </c>
      <c r="C7715" t="str">
        <f t="shared" si="429"/>
        <v>155</v>
      </c>
      <c r="D7715" t="str">
        <f>"49"</f>
        <v>49</v>
      </c>
      <c r="E7715" t="str">
        <f>"1-155-49"</f>
        <v>1-155-49</v>
      </c>
      <c r="F7715" t="s">
        <v>65</v>
      </c>
      <c r="G7715" t="s">
        <v>66</v>
      </c>
      <c r="H7715" t="s">
        <v>68</v>
      </c>
      <c r="I7715">
        <v>1</v>
      </c>
      <c r="J7715">
        <v>0</v>
      </c>
      <c r="K7715">
        <v>1</v>
      </c>
      <c r="L7715">
        <v>0</v>
      </c>
      <c r="M7715">
        <v>1</v>
      </c>
      <c r="N7715">
        <v>1</v>
      </c>
      <c r="O7715">
        <v>1</v>
      </c>
      <c r="P7715">
        <v>1</v>
      </c>
      <c r="Q7715">
        <v>1</v>
      </c>
      <c r="R7715">
        <v>1</v>
      </c>
    </row>
    <row r="7716" spans="1:18" x14ac:dyDescent="0.2">
      <c r="A7716" t="str">
        <f>"7712"</f>
        <v>7712</v>
      </c>
      <c r="B7716" t="str">
        <f t="shared" si="427"/>
        <v>1</v>
      </c>
      <c r="C7716" t="str">
        <f t="shared" si="429"/>
        <v>155</v>
      </c>
      <c r="D7716" t="str">
        <f>"48"</f>
        <v>48</v>
      </c>
      <c r="E7716" t="str">
        <f>"1-155-48"</f>
        <v>1-155-48</v>
      </c>
      <c r="F7716" t="s">
        <v>65</v>
      </c>
      <c r="G7716" t="s">
        <v>66</v>
      </c>
      <c r="H7716" t="s">
        <v>68</v>
      </c>
      <c r="I7716">
        <v>1</v>
      </c>
      <c r="J7716">
        <v>0</v>
      </c>
      <c r="K7716">
        <v>0</v>
      </c>
      <c r="L7716">
        <v>1</v>
      </c>
      <c r="M7716">
        <v>1</v>
      </c>
      <c r="N7716">
        <v>1</v>
      </c>
      <c r="O7716">
        <v>1</v>
      </c>
      <c r="P7716">
        <v>1</v>
      </c>
      <c r="Q7716">
        <v>1</v>
      </c>
      <c r="R7716">
        <v>1</v>
      </c>
    </row>
    <row r="7717" spans="1:18" x14ac:dyDescent="0.2">
      <c r="A7717" t="str">
        <f>"7713"</f>
        <v>7713</v>
      </c>
      <c r="B7717" t="str">
        <f t="shared" si="427"/>
        <v>1</v>
      </c>
      <c r="C7717" t="str">
        <f t="shared" si="429"/>
        <v>155</v>
      </c>
      <c r="D7717" t="str">
        <f>"32"</f>
        <v>32</v>
      </c>
      <c r="E7717" t="str">
        <f>"1-155-32"</f>
        <v>1-155-32</v>
      </c>
      <c r="F7717" t="s">
        <v>65</v>
      </c>
      <c r="G7717" t="s">
        <v>66</v>
      </c>
      <c r="H7717" t="s">
        <v>68</v>
      </c>
      <c r="I7717">
        <v>1</v>
      </c>
      <c r="J7717">
        <v>0</v>
      </c>
      <c r="K7717">
        <v>1</v>
      </c>
      <c r="L7717">
        <v>0</v>
      </c>
      <c r="M7717">
        <v>1</v>
      </c>
      <c r="N7717">
        <v>1</v>
      </c>
      <c r="O7717">
        <v>1</v>
      </c>
      <c r="P7717">
        <v>1</v>
      </c>
      <c r="Q7717">
        <v>1</v>
      </c>
      <c r="R7717">
        <v>1</v>
      </c>
    </row>
    <row r="7718" spans="1:18" x14ac:dyDescent="0.2">
      <c r="A7718" t="str">
        <f>"7714"</f>
        <v>7714</v>
      </c>
      <c r="B7718" t="str">
        <f t="shared" si="427"/>
        <v>1</v>
      </c>
      <c r="C7718" t="str">
        <f t="shared" si="429"/>
        <v>155</v>
      </c>
      <c r="D7718" t="str">
        <f>"17"</f>
        <v>17</v>
      </c>
      <c r="E7718" t="str">
        <f>"1-155-17"</f>
        <v>1-155-17</v>
      </c>
      <c r="F7718" t="s">
        <v>65</v>
      </c>
      <c r="G7718" t="s">
        <v>66</v>
      </c>
      <c r="H7718" t="s">
        <v>68</v>
      </c>
      <c r="I7718">
        <v>1</v>
      </c>
      <c r="J7718">
        <v>0</v>
      </c>
      <c r="K7718">
        <v>1</v>
      </c>
      <c r="L7718">
        <v>0</v>
      </c>
      <c r="M7718">
        <v>1</v>
      </c>
      <c r="N7718">
        <v>1</v>
      </c>
      <c r="O7718">
        <v>1</v>
      </c>
      <c r="P7718">
        <v>1</v>
      </c>
      <c r="Q7718">
        <v>1</v>
      </c>
      <c r="R7718">
        <v>1</v>
      </c>
    </row>
    <row r="7719" spans="1:18" x14ac:dyDescent="0.2">
      <c r="A7719" t="str">
        <f>"7715"</f>
        <v>7715</v>
      </c>
      <c r="B7719" t="str">
        <f t="shared" si="427"/>
        <v>1</v>
      </c>
      <c r="C7719" t="str">
        <f t="shared" si="429"/>
        <v>155</v>
      </c>
      <c r="D7719" t="str">
        <f>"3"</f>
        <v>3</v>
      </c>
      <c r="E7719" t="str">
        <f>"1-155-3"</f>
        <v>1-155-3</v>
      </c>
      <c r="F7719" t="s">
        <v>65</v>
      </c>
      <c r="G7719" t="s">
        <v>66</v>
      </c>
      <c r="H7719" t="s">
        <v>68</v>
      </c>
      <c r="I7719">
        <v>1</v>
      </c>
      <c r="J7719">
        <v>0</v>
      </c>
      <c r="K7719">
        <v>0</v>
      </c>
      <c r="L7719">
        <v>1</v>
      </c>
      <c r="M7719">
        <v>1</v>
      </c>
      <c r="N7719">
        <v>1</v>
      </c>
      <c r="O7719">
        <v>1</v>
      </c>
      <c r="P7719">
        <v>1</v>
      </c>
      <c r="Q7719">
        <v>1</v>
      </c>
      <c r="R7719">
        <v>1</v>
      </c>
    </row>
    <row r="7720" spans="1:18" x14ac:dyDescent="0.2">
      <c r="A7720" t="str">
        <f>"7716"</f>
        <v>7716</v>
      </c>
      <c r="B7720" t="str">
        <f t="shared" si="427"/>
        <v>1</v>
      </c>
      <c r="C7720" t="str">
        <f t="shared" si="429"/>
        <v>155</v>
      </c>
      <c r="D7720" t="str">
        <f>"40"</f>
        <v>40</v>
      </c>
      <c r="E7720" t="str">
        <f>"1-155-40"</f>
        <v>1-155-40</v>
      </c>
      <c r="F7720" t="s">
        <v>65</v>
      </c>
      <c r="G7720" t="s">
        <v>66</v>
      </c>
      <c r="H7720" t="s">
        <v>68</v>
      </c>
      <c r="I7720">
        <v>1</v>
      </c>
      <c r="J7720">
        <v>0</v>
      </c>
      <c r="K7720">
        <v>1</v>
      </c>
      <c r="L7720">
        <v>0</v>
      </c>
      <c r="M7720">
        <v>1</v>
      </c>
      <c r="N7720">
        <v>1</v>
      </c>
      <c r="O7720">
        <v>1</v>
      </c>
      <c r="P7720">
        <v>1</v>
      </c>
      <c r="Q7720">
        <v>1</v>
      </c>
      <c r="R7720">
        <v>1</v>
      </c>
    </row>
    <row r="7721" spans="1:18" x14ac:dyDescent="0.2">
      <c r="A7721" t="str">
        <f>"7717"</f>
        <v>7717</v>
      </c>
      <c r="B7721" t="str">
        <f t="shared" si="427"/>
        <v>1</v>
      </c>
      <c r="C7721" t="str">
        <f t="shared" si="429"/>
        <v>155</v>
      </c>
      <c r="D7721" t="str">
        <f>"39"</f>
        <v>39</v>
      </c>
      <c r="E7721" t="str">
        <f>"1-155-39"</f>
        <v>1-155-39</v>
      </c>
      <c r="F7721" t="s">
        <v>65</v>
      </c>
      <c r="G7721" t="s">
        <v>66</v>
      </c>
      <c r="H7721" t="s">
        <v>68</v>
      </c>
      <c r="I7721">
        <v>0</v>
      </c>
      <c r="J7721">
        <v>0</v>
      </c>
      <c r="K7721">
        <v>1</v>
      </c>
      <c r="L7721">
        <v>0</v>
      </c>
      <c r="M7721">
        <v>1</v>
      </c>
      <c r="N7721">
        <v>1</v>
      </c>
      <c r="O7721">
        <v>1</v>
      </c>
      <c r="P7721">
        <v>1</v>
      </c>
      <c r="Q7721">
        <v>1</v>
      </c>
      <c r="R7721">
        <v>1</v>
      </c>
    </row>
    <row r="7722" spans="1:18" x14ac:dyDescent="0.2">
      <c r="A7722" t="str">
        <f>"7718"</f>
        <v>7718</v>
      </c>
      <c r="B7722" t="str">
        <f t="shared" si="427"/>
        <v>1</v>
      </c>
      <c r="C7722" t="str">
        <f t="shared" si="429"/>
        <v>155</v>
      </c>
      <c r="D7722" t="str">
        <f>"22"</f>
        <v>22</v>
      </c>
      <c r="E7722" t="str">
        <f>"1-155-22"</f>
        <v>1-155-22</v>
      </c>
      <c r="F7722" t="s">
        <v>65</v>
      </c>
      <c r="G7722" t="s">
        <v>66</v>
      </c>
      <c r="H7722" t="s">
        <v>68</v>
      </c>
      <c r="I7722">
        <v>1</v>
      </c>
      <c r="J7722">
        <v>0</v>
      </c>
      <c r="K7722">
        <v>0</v>
      </c>
      <c r="L7722">
        <v>1</v>
      </c>
      <c r="M7722">
        <v>1</v>
      </c>
      <c r="N7722">
        <v>1</v>
      </c>
      <c r="O7722">
        <v>1</v>
      </c>
      <c r="P7722">
        <v>1</v>
      </c>
      <c r="Q7722">
        <v>1</v>
      </c>
      <c r="R7722">
        <v>1</v>
      </c>
    </row>
    <row r="7723" spans="1:18" x14ac:dyDescent="0.2">
      <c r="A7723" t="str">
        <f>"7719"</f>
        <v>7719</v>
      </c>
      <c r="B7723" t="str">
        <f t="shared" si="427"/>
        <v>1</v>
      </c>
      <c r="C7723" t="str">
        <f t="shared" si="429"/>
        <v>155</v>
      </c>
      <c r="D7723" t="str">
        <f>"18"</f>
        <v>18</v>
      </c>
      <c r="E7723" t="str">
        <f>"1-155-18"</f>
        <v>1-155-18</v>
      </c>
      <c r="F7723" t="s">
        <v>65</v>
      </c>
      <c r="G7723" t="s">
        <v>66</v>
      </c>
      <c r="H7723" t="s">
        <v>68</v>
      </c>
      <c r="I7723">
        <v>1</v>
      </c>
      <c r="J7723">
        <v>1</v>
      </c>
      <c r="K7723">
        <v>0</v>
      </c>
      <c r="L7723">
        <v>0</v>
      </c>
      <c r="M7723">
        <v>1</v>
      </c>
      <c r="N7723">
        <v>1</v>
      </c>
      <c r="O7723">
        <v>1</v>
      </c>
      <c r="P7723">
        <v>1</v>
      </c>
      <c r="Q7723">
        <v>1</v>
      </c>
      <c r="R7723">
        <v>1</v>
      </c>
    </row>
    <row r="7724" spans="1:18" x14ac:dyDescent="0.2">
      <c r="A7724" t="str">
        <f>"7720"</f>
        <v>7720</v>
      </c>
      <c r="B7724" t="str">
        <f t="shared" si="427"/>
        <v>1</v>
      </c>
      <c r="C7724" t="str">
        <f t="shared" si="429"/>
        <v>155</v>
      </c>
      <c r="D7724" t="str">
        <f>"1"</f>
        <v>1</v>
      </c>
      <c r="E7724" t="str">
        <f>"1-155-1"</f>
        <v>1-155-1</v>
      </c>
      <c r="F7724" t="s">
        <v>65</v>
      </c>
      <c r="G7724" t="s">
        <v>66</v>
      </c>
      <c r="H7724" t="s">
        <v>68</v>
      </c>
      <c r="I7724">
        <v>1</v>
      </c>
      <c r="J7724">
        <v>0</v>
      </c>
      <c r="K7724">
        <v>0</v>
      </c>
      <c r="L7724">
        <v>1</v>
      </c>
      <c r="M7724">
        <v>1</v>
      </c>
      <c r="N7724">
        <v>1</v>
      </c>
      <c r="O7724">
        <v>1</v>
      </c>
      <c r="P7724">
        <v>1</v>
      </c>
      <c r="Q7724">
        <v>1</v>
      </c>
      <c r="R7724">
        <v>1</v>
      </c>
    </row>
    <row r="7725" spans="1:18" x14ac:dyDescent="0.2">
      <c r="A7725" t="str">
        <f>"7721"</f>
        <v>7721</v>
      </c>
      <c r="B7725" t="str">
        <f t="shared" si="427"/>
        <v>1</v>
      </c>
      <c r="C7725" t="str">
        <f t="shared" si="429"/>
        <v>155</v>
      </c>
      <c r="D7725" t="str">
        <f>"37"</f>
        <v>37</v>
      </c>
      <c r="E7725" t="str">
        <f>"1-155-37"</f>
        <v>1-155-37</v>
      </c>
      <c r="F7725" t="s">
        <v>65</v>
      </c>
      <c r="G7725" t="s">
        <v>66</v>
      </c>
      <c r="H7725" t="s">
        <v>68</v>
      </c>
      <c r="I7725">
        <v>1</v>
      </c>
      <c r="J7725">
        <v>0</v>
      </c>
      <c r="K7725">
        <v>0</v>
      </c>
      <c r="L7725">
        <v>1</v>
      </c>
      <c r="M7725">
        <v>1</v>
      </c>
      <c r="N7725">
        <v>1</v>
      </c>
      <c r="O7725">
        <v>1</v>
      </c>
      <c r="P7725">
        <v>1</v>
      </c>
      <c r="Q7725">
        <v>1</v>
      </c>
      <c r="R7725">
        <v>1</v>
      </c>
    </row>
    <row r="7726" spans="1:18" x14ac:dyDescent="0.2">
      <c r="A7726" t="str">
        <f>"7722"</f>
        <v>7722</v>
      </c>
      <c r="B7726" t="str">
        <f t="shared" si="427"/>
        <v>1</v>
      </c>
      <c r="C7726" t="str">
        <f t="shared" si="429"/>
        <v>155</v>
      </c>
      <c r="D7726" t="str">
        <f>"19"</f>
        <v>19</v>
      </c>
      <c r="E7726" t="str">
        <f>"1-155-19"</f>
        <v>1-155-19</v>
      </c>
      <c r="F7726" t="s">
        <v>65</v>
      </c>
      <c r="G7726" t="s">
        <v>66</v>
      </c>
      <c r="H7726" t="s">
        <v>68</v>
      </c>
      <c r="I7726">
        <v>1</v>
      </c>
      <c r="J7726">
        <v>1</v>
      </c>
      <c r="K7726">
        <v>0</v>
      </c>
      <c r="L7726">
        <v>0</v>
      </c>
      <c r="M7726">
        <v>1</v>
      </c>
      <c r="N7726">
        <v>1</v>
      </c>
      <c r="O7726">
        <v>1</v>
      </c>
      <c r="P7726">
        <v>1</v>
      </c>
      <c r="Q7726">
        <v>1</v>
      </c>
      <c r="R7726">
        <v>1</v>
      </c>
    </row>
    <row r="7727" spans="1:18" x14ac:dyDescent="0.2">
      <c r="A7727" t="str">
        <f>"7723"</f>
        <v>7723</v>
      </c>
      <c r="B7727" t="str">
        <f t="shared" si="427"/>
        <v>1</v>
      </c>
      <c r="C7727" t="str">
        <f t="shared" si="429"/>
        <v>155</v>
      </c>
      <c r="D7727" t="str">
        <f>"4"</f>
        <v>4</v>
      </c>
      <c r="E7727" t="str">
        <f>"1-155-4"</f>
        <v>1-155-4</v>
      </c>
      <c r="F7727" t="s">
        <v>65</v>
      </c>
      <c r="G7727" t="s">
        <v>66</v>
      </c>
      <c r="H7727" t="s">
        <v>68</v>
      </c>
      <c r="I7727">
        <v>1</v>
      </c>
      <c r="J7727">
        <v>0</v>
      </c>
      <c r="K7727">
        <v>0</v>
      </c>
      <c r="L7727">
        <v>1</v>
      </c>
      <c r="M7727">
        <v>1</v>
      </c>
      <c r="N7727">
        <v>1</v>
      </c>
      <c r="O7727">
        <v>1</v>
      </c>
      <c r="P7727">
        <v>1</v>
      </c>
      <c r="Q7727">
        <v>1</v>
      </c>
      <c r="R7727">
        <v>1</v>
      </c>
    </row>
    <row r="7728" spans="1:18" x14ac:dyDescent="0.2">
      <c r="A7728" t="str">
        <f>"7724"</f>
        <v>7724</v>
      </c>
      <c r="B7728" t="str">
        <f t="shared" si="427"/>
        <v>1</v>
      </c>
      <c r="C7728" t="str">
        <f t="shared" si="429"/>
        <v>155</v>
      </c>
      <c r="D7728" t="str">
        <f>"38"</f>
        <v>38</v>
      </c>
      <c r="E7728" t="str">
        <f>"1-155-38"</f>
        <v>1-155-38</v>
      </c>
      <c r="F7728" t="s">
        <v>65</v>
      </c>
      <c r="G7728" t="s">
        <v>66</v>
      </c>
      <c r="H7728" t="s">
        <v>68</v>
      </c>
      <c r="I7728">
        <v>0</v>
      </c>
      <c r="J7728">
        <v>0</v>
      </c>
      <c r="K7728">
        <v>1</v>
      </c>
      <c r="L7728">
        <v>0</v>
      </c>
      <c r="M7728">
        <v>1</v>
      </c>
      <c r="N7728">
        <v>1</v>
      </c>
      <c r="O7728">
        <v>0</v>
      </c>
      <c r="P7728">
        <v>1</v>
      </c>
      <c r="Q7728">
        <v>1</v>
      </c>
      <c r="R7728">
        <v>0</v>
      </c>
    </row>
    <row r="7729" spans="1:18" x14ac:dyDescent="0.2">
      <c r="A7729" t="str">
        <f>"7725"</f>
        <v>7725</v>
      </c>
      <c r="B7729" t="str">
        <f t="shared" si="427"/>
        <v>1</v>
      </c>
      <c r="C7729" t="str">
        <f t="shared" si="429"/>
        <v>155</v>
      </c>
      <c r="D7729" t="str">
        <f>"20"</f>
        <v>20</v>
      </c>
      <c r="E7729" t="str">
        <f>"1-155-20"</f>
        <v>1-155-20</v>
      </c>
      <c r="F7729" t="s">
        <v>65</v>
      </c>
      <c r="G7729" t="s">
        <v>66</v>
      </c>
      <c r="H7729" t="s">
        <v>68</v>
      </c>
      <c r="I7729">
        <v>1</v>
      </c>
      <c r="J7729">
        <v>1</v>
      </c>
      <c r="K7729">
        <v>0</v>
      </c>
      <c r="L7729">
        <v>0</v>
      </c>
      <c r="M7729">
        <v>1</v>
      </c>
      <c r="N7729">
        <v>1</v>
      </c>
      <c r="O7729">
        <v>1</v>
      </c>
      <c r="P7729">
        <v>1</v>
      </c>
      <c r="Q7729">
        <v>1</v>
      </c>
      <c r="R7729">
        <v>1</v>
      </c>
    </row>
    <row r="7730" spans="1:18" x14ac:dyDescent="0.2">
      <c r="A7730" t="str">
        <f>"7726"</f>
        <v>7726</v>
      </c>
      <c r="B7730" t="str">
        <f t="shared" si="427"/>
        <v>1</v>
      </c>
      <c r="C7730" t="str">
        <f t="shared" si="429"/>
        <v>155</v>
      </c>
      <c r="D7730" t="str">
        <f>"9"</f>
        <v>9</v>
      </c>
      <c r="E7730" t="str">
        <f>"1-155-9"</f>
        <v>1-155-9</v>
      </c>
      <c r="F7730" t="s">
        <v>65</v>
      </c>
      <c r="G7730" t="s">
        <v>66</v>
      </c>
      <c r="H7730" t="s">
        <v>68</v>
      </c>
      <c r="I7730">
        <v>1</v>
      </c>
      <c r="J7730">
        <v>1</v>
      </c>
      <c r="K7730">
        <v>0</v>
      </c>
      <c r="L7730">
        <v>0</v>
      </c>
      <c r="M7730">
        <v>1</v>
      </c>
      <c r="N7730">
        <v>1</v>
      </c>
      <c r="O7730">
        <v>1</v>
      </c>
      <c r="P7730">
        <v>1</v>
      </c>
      <c r="Q7730">
        <v>1</v>
      </c>
      <c r="R7730">
        <v>1</v>
      </c>
    </row>
    <row r="7731" spans="1:18" x14ac:dyDescent="0.2">
      <c r="A7731" t="str">
        <f>"7727"</f>
        <v>7727</v>
      </c>
      <c r="B7731" t="str">
        <f t="shared" si="427"/>
        <v>1</v>
      </c>
      <c r="C7731" t="str">
        <f t="shared" si="429"/>
        <v>155</v>
      </c>
      <c r="D7731" t="str">
        <f>"42"</f>
        <v>42</v>
      </c>
      <c r="E7731" t="str">
        <f>"1-155-42"</f>
        <v>1-155-42</v>
      </c>
      <c r="F7731" t="s">
        <v>65</v>
      </c>
      <c r="G7731" t="s">
        <v>66</v>
      </c>
      <c r="H7731" t="s">
        <v>68</v>
      </c>
      <c r="I7731">
        <v>1</v>
      </c>
      <c r="J7731">
        <v>1</v>
      </c>
      <c r="K7731">
        <v>0</v>
      </c>
      <c r="L7731">
        <v>0</v>
      </c>
      <c r="M7731">
        <v>1</v>
      </c>
      <c r="N7731">
        <v>1</v>
      </c>
      <c r="O7731">
        <v>1</v>
      </c>
      <c r="P7731">
        <v>1</v>
      </c>
      <c r="Q7731">
        <v>1</v>
      </c>
      <c r="R7731">
        <v>1</v>
      </c>
    </row>
    <row r="7732" spans="1:18" x14ac:dyDescent="0.2">
      <c r="A7732" t="str">
        <f>"7728"</f>
        <v>7728</v>
      </c>
      <c r="B7732" t="str">
        <f t="shared" si="427"/>
        <v>1</v>
      </c>
      <c r="C7732" t="str">
        <f t="shared" si="429"/>
        <v>155</v>
      </c>
      <c r="D7732" t="str">
        <f>"23"</f>
        <v>23</v>
      </c>
      <c r="E7732" t="str">
        <f>"1-155-23"</f>
        <v>1-155-23</v>
      </c>
      <c r="F7732" t="s">
        <v>65</v>
      </c>
      <c r="G7732" t="s">
        <v>66</v>
      </c>
      <c r="H7732" t="s">
        <v>68</v>
      </c>
      <c r="I7732">
        <v>1</v>
      </c>
      <c r="J7732">
        <v>0</v>
      </c>
      <c r="K7732">
        <v>0</v>
      </c>
      <c r="L7732">
        <v>1</v>
      </c>
      <c r="M7732">
        <v>1</v>
      </c>
      <c r="N7732">
        <v>1</v>
      </c>
      <c r="O7732">
        <v>1</v>
      </c>
      <c r="P7732">
        <v>1</v>
      </c>
      <c r="Q7732">
        <v>1</v>
      </c>
      <c r="R7732">
        <v>1</v>
      </c>
    </row>
    <row r="7733" spans="1:18" x14ac:dyDescent="0.2">
      <c r="A7733" t="str">
        <f>"7729"</f>
        <v>7729</v>
      </c>
      <c r="B7733" t="str">
        <f t="shared" si="427"/>
        <v>1</v>
      </c>
      <c r="C7733" t="str">
        <f t="shared" si="429"/>
        <v>155</v>
      </c>
      <c r="D7733" t="str">
        <f>"14"</f>
        <v>14</v>
      </c>
      <c r="E7733" t="str">
        <f>"1-155-14"</f>
        <v>1-155-14</v>
      </c>
      <c r="F7733" t="s">
        <v>65</v>
      </c>
      <c r="G7733" t="s">
        <v>66</v>
      </c>
      <c r="H7733" t="s">
        <v>68</v>
      </c>
      <c r="I7733">
        <v>1</v>
      </c>
      <c r="J7733">
        <v>1</v>
      </c>
      <c r="K7733">
        <v>0</v>
      </c>
      <c r="L7733">
        <v>0</v>
      </c>
      <c r="M7733">
        <v>1</v>
      </c>
      <c r="N7733">
        <v>1</v>
      </c>
      <c r="O7733">
        <v>1</v>
      </c>
      <c r="P7733">
        <v>1</v>
      </c>
      <c r="Q7733">
        <v>1</v>
      </c>
      <c r="R7733">
        <v>1</v>
      </c>
    </row>
    <row r="7734" spans="1:18" x14ac:dyDescent="0.2">
      <c r="A7734" t="str">
        <f>"7730"</f>
        <v>7730</v>
      </c>
      <c r="B7734" t="str">
        <f t="shared" si="427"/>
        <v>1</v>
      </c>
      <c r="C7734" t="str">
        <f t="shared" si="429"/>
        <v>155</v>
      </c>
      <c r="D7734" t="str">
        <f>"41"</f>
        <v>41</v>
      </c>
      <c r="E7734" t="str">
        <f>"1-155-41"</f>
        <v>1-155-41</v>
      </c>
      <c r="F7734" t="s">
        <v>65</v>
      </c>
      <c r="G7734" t="s">
        <v>66</v>
      </c>
      <c r="H7734" t="s">
        <v>68</v>
      </c>
      <c r="I7734">
        <v>1</v>
      </c>
      <c r="J7734">
        <v>0</v>
      </c>
      <c r="K7734">
        <v>0</v>
      </c>
      <c r="L7734">
        <v>1</v>
      </c>
      <c r="M7734">
        <v>1</v>
      </c>
      <c r="N7734">
        <v>1</v>
      </c>
      <c r="O7734">
        <v>1</v>
      </c>
      <c r="P7734">
        <v>1</v>
      </c>
      <c r="Q7734">
        <v>1</v>
      </c>
      <c r="R7734">
        <v>1</v>
      </c>
    </row>
    <row r="7735" spans="1:18" x14ac:dyDescent="0.2">
      <c r="A7735" t="str">
        <f>"7731"</f>
        <v>7731</v>
      </c>
      <c r="B7735" t="str">
        <f t="shared" ref="B7735:B7798" si="430">"1"</f>
        <v>1</v>
      </c>
      <c r="C7735" t="str">
        <f t="shared" si="429"/>
        <v>155</v>
      </c>
      <c r="D7735" t="str">
        <f>"25"</f>
        <v>25</v>
      </c>
      <c r="E7735" t="str">
        <f>"1-155-25"</f>
        <v>1-155-25</v>
      </c>
      <c r="F7735" t="s">
        <v>65</v>
      </c>
      <c r="G7735" t="s">
        <v>66</v>
      </c>
      <c r="H7735" t="s">
        <v>68</v>
      </c>
      <c r="I7735">
        <v>1</v>
      </c>
      <c r="J7735">
        <v>0</v>
      </c>
      <c r="K7735">
        <v>0</v>
      </c>
      <c r="L7735">
        <v>1</v>
      </c>
      <c r="M7735">
        <v>1</v>
      </c>
      <c r="N7735">
        <v>1</v>
      </c>
      <c r="O7735">
        <v>1</v>
      </c>
      <c r="P7735">
        <v>1</v>
      </c>
      <c r="Q7735">
        <v>1</v>
      </c>
      <c r="R7735">
        <v>1</v>
      </c>
    </row>
    <row r="7736" spans="1:18" x14ac:dyDescent="0.2">
      <c r="A7736" t="str">
        <f>"7732"</f>
        <v>7732</v>
      </c>
      <c r="B7736" t="str">
        <f t="shared" si="430"/>
        <v>1</v>
      </c>
      <c r="C7736" t="str">
        <f t="shared" si="429"/>
        <v>155</v>
      </c>
      <c r="D7736" t="str">
        <f>"11"</f>
        <v>11</v>
      </c>
      <c r="E7736" t="str">
        <f>"1-155-11"</f>
        <v>1-155-11</v>
      </c>
      <c r="F7736" t="s">
        <v>65</v>
      </c>
      <c r="G7736" t="s">
        <v>66</v>
      </c>
      <c r="H7736" t="s">
        <v>68</v>
      </c>
      <c r="I7736">
        <v>1</v>
      </c>
      <c r="J7736">
        <v>0</v>
      </c>
      <c r="K7736">
        <v>1</v>
      </c>
      <c r="L7736">
        <v>0</v>
      </c>
      <c r="M7736">
        <v>1</v>
      </c>
      <c r="N7736">
        <v>1</v>
      </c>
      <c r="O7736">
        <v>1</v>
      </c>
      <c r="P7736">
        <v>1</v>
      </c>
      <c r="Q7736">
        <v>1</v>
      </c>
      <c r="R7736">
        <v>1</v>
      </c>
    </row>
    <row r="7737" spans="1:18" x14ac:dyDescent="0.2">
      <c r="A7737" t="str">
        <f>"7733"</f>
        <v>7733</v>
      </c>
      <c r="B7737" t="str">
        <f t="shared" si="430"/>
        <v>1</v>
      </c>
      <c r="C7737" t="str">
        <f t="shared" ref="C7737:C7754" si="431">"155"</f>
        <v>155</v>
      </c>
      <c r="D7737" t="str">
        <f>"43"</f>
        <v>43</v>
      </c>
      <c r="E7737" t="str">
        <f>"1-155-43"</f>
        <v>1-155-43</v>
      </c>
      <c r="F7737" t="s">
        <v>65</v>
      </c>
      <c r="G7737" t="s">
        <v>66</v>
      </c>
      <c r="H7737" t="s">
        <v>68</v>
      </c>
      <c r="I7737">
        <v>1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</row>
    <row r="7738" spans="1:18" x14ac:dyDescent="0.2">
      <c r="A7738" t="str">
        <f>"7734"</f>
        <v>7734</v>
      </c>
      <c r="B7738" t="str">
        <f t="shared" si="430"/>
        <v>1</v>
      </c>
      <c r="C7738" t="str">
        <f t="shared" si="431"/>
        <v>155</v>
      </c>
      <c r="D7738" t="str">
        <f>"26"</f>
        <v>26</v>
      </c>
      <c r="E7738" t="str">
        <f>"1-155-26"</f>
        <v>1-155-26</v>
      </c>
      <c r="F7738" t="s">
        <v>65</v>
      </c>
      <c r="G7738" t="s">
        <v>66</v>
      </c>
      <c r="H7738" t="s">
        <v>68</v>
      </c>
      <c r="I7738">
        <v>0</v>
      </c>
      <c r="J7738">
        <v>0</v>
      </c>
      <c r="K7738">
        <v>0</v>
      </c>
      <c r="L7738">
        <v>1</v>
      </c>
      <c r="M7738">
        <v>1</v>
      </c>
      <c r="N7738">
        <v>0</v>
      </c>
      <c r="O7738">
        <v>0</v>
      </c>
      <c r="P7738">
        <v>0</v>
      </c>
      <c r="Q7738">
        <v>0</v>
      </c>
      <c r="R7738">
        <v>0</v>
      </c>
    </row>
    <row r="7739" spans="1:18" x14ac:dyDescent="0.2">
      <c r="A7739" t="str">
        <f>"7735"</f>
        <v>7735</v>
      </c>
      <c r="B7739" t="str">
        <f t="shared" si="430"/>
        <v>1</v>
      </c>
      <c r="C7739" t="str">
        <f t="shared" si="431"/>
        <v>155</v>
      </c>
      <c r="D7739" t="str">
        <f>"7"</f>
        <v>7</v>
      </c>
      <c r="E7739" t="str">
        <f>"1-155-7"</f>
        <v>1-155-7</v>
      </c>
      <c r="F7739" t="s">
        <v>65</v>
      </c>
      <c r="G7739" t="s">
        <v>66</v>
      </c>
      <c r="H7739" t="s">
        <v>68</v>
      </c>
      <c r="I7739">
        <v>1</v>
      </c>
      <c r="J7739">
        <v>0</v>
      </c>
      <c r="K7739">
        <v>1</v>
      </c>
      <c r="L7739">
        <v>0</v>
      </c>
      <c r="M7739">
        <v>1</v>
      </c>
      <c r="N7739">
        <v>1</v>
      </c>
      <c r="O7739">
        <v>1</v>
      </c>
      <c r="P7739">
        <v>1</v>
      </c>
      <c r="Q7739">
        <v>1</v>
      </c>
      <c r="R7739">
        <v>1</v>
      </c>
    </row>
    <row r="7740" spans="1:18" x14ac:dyDescent="0.2">
      <c r="A7740" t="str">
        <f>"7736"</f>
        <v>7736</v>
      </c>
      <c r="B7740" t="str">
        <f t="shared" si="430"/>
        <v>1</v>
      </c>
      <c r="C7740" t="str">
        <f t="shared" si="431"/>
        <v>155</v>
      </c>
      <c r="D7740" t="str">
        <f>"47"</f>
        <v>47</v>
      </c>
      <c r="E7740" t="str">
        <f>"1-155-47"</f>
        <v>1-155-47</v>
      </c>
      <c r="F7740" t="s">
        <v>65</v>
      </c>
      <c r="G7740" t="s">
        <v>66</v>
      </c>
      <c r="H7740" t="s">
        <v>68</v>
      </c>
      <c r="I7740">
        <v>1</v>
      </c>
      <c r="J7740">
        <v>0</v>
      </c>
      <c r="K7740">
        <v>1</v>
      </c>
      <c r="L7740">
        <v>0</v>
      </c>
      <c r="M7740">
        <v>1</v>
      </c>
      <c r="N7740">
        <v>0</v>
      </c>
      <c r="O7740">
        <v>0</v>
      </c>
      <c r="P7740">
        <v>0</v>
      </c>
      <c r="Q7740">
        <v>0</v>
      </c>
      <c r="R7740">
        <v>1</v>
      </c>
    </row>
    <row r="7741" spans="1:18" x14ac:dyDescent="0.2">
      <c r="A7741" t="str">
        <f>"7737"</f>
        <v>7737</v>
      </c>
      <c r="B7741" t="str">
        <f t="shared" si="430"/>
        <v>1</v>
      </c>
      <c r="C7741" t="str">
        <f t="shared" si="431"/>
        <v>155</v>
      </c>
      <c r="D7741" t="str">
        <f>"27"</f>
        <v>27</v>
      </c>
      <c r="E7741" t="str">
        <f>"1-155-27"</f>
        <v>1-155-27</v>
      </c>
      <c r="F7741" t="s">
        <v>65</v>
      </c>
      <c r="G7741" t="s">
        <v>66</v>
      </c>
      <c r="H7741" t="s">
        <v>68</v>
      </c>
      <c r="I7741">
        <v>1</v>
      </c>
      <c r="J7741">
        <v>0</v>
      </c>
      <c r="K7741">
        <v>0</v>
      </c>
      <c r="L7741">
        <v>1</v>
      </c>
      <c r="M7741">
        <v>1</v>
      </c>
      <c r="N7741">
        <v>1</v>
      </c>
      <c r="O7741">
        <v>1</v>
      </c>
      <c r="P7741">
        <v>1</v>
      </c>
      <c r="Q7741">
        <v>1</v>
      </c>
      <c r="R7741">
        <v>1</v>
      </c>
    </row>
    <row r="7742" spans="1:18" x14ac:dyDescent="0.2">
      <c r="A7742" t="str">
        <f>"7738"</f>
        <v>7738</v>
      </c>
      <c r="B7742" t="str">
        <f t="shared" si="430"/>
        <v>1</v>
      </c>
      <c r="C7742" t="str">
        <f t="shared" si="431"/>
        <v>155</v>
      </c>
      <c r="D7742" t="str">
        <f>"2"</f>
        <v>2</v>
      </c>
      <c r="E7742" t="str">
        <f>"1-155-2"</f>
        <v>1-155-2</v>
      </c>
      <c r="F7742" t="s">
        <v>65</v>
      </c>
      <c r="G7742" t="s">
        <v>66</v>
      </c>
      <c r="H7742" t="s">
        <v>68</v>
      </c>
      <c r="I7742">
        <v>1</v>
      </c>
      <c r="J7742">
        <v>0</v>
      </c>
      <c r="K7742">
        <v>0</v>
      </c>
      <c r="L7742">
        <v>1</v>
      </c>
      <c r="M7742">
        <v>1</v>
      </c>
      <c r="N7742">
        <v>1</v>
      </c>
      <c r="O7742">
        <v>1</v>
      </c>
      <c r="P7742">
        <v>1</v>
      </c>
      <c r="Q7742">
        <v>1</v>
      </c>
      <c r="R7742">
        <v>1</v>
      </c>
    </row>
    <row r="7743" spans="1:18" x14ac:dyDescent="0.2">
      <c r="A7743" t="str">
        <f>"7739"</f>
        <v>7739</v>
      </c>
      <c r="B7743" t="str">
        <f t="shared" si="430"/>
        <v>1</v>
      </c>
      <c r="C7743" t="str">
        <f t="shared" si="431"/>
        <v>155</v>
      </c>
      <c r="D7743" t="str">
        <f>"28"</f>
        <v>28</v>
      </c>
      <c r="E7743" t="str">
        <f>"1-155-28"</f>
        <v>1-155-28</v>
      </c>
      <c r="F7743" t="s">
        <v>65</v>
      </c>
      <c r="G7743" t="s">
        <v>66</v>
      </c>
      <c r="H7743" t="s">
        <v>68</v>
      </c>
      <c r="I7743">
        <v>1</v>
      </c>
      <c r="J7743">
        <v>1</v>
      </c>
      <c r="K7743">
        <v>0</v>
      </c>
      <c r="L7743">
        <v>0</v>
      </c>
      <c r="M7743">
        <v>1</v>
      </c>
      <c r="N7743">
        <v>1</v>
      </c>
      <c r="O7743">
        <v>1</v>
      </c>
      <c r="P7743">
        <v>1</v>
      </c>
      <c r="Q7743">
        <v>1</v>
      </c>
      <c r="R7743">
        <v>1</v>
      </c>
    </row>
    <row r="7744" spans="1:18" x14ac:dyDescent="0.2">
      <c r="A7744" t="str">
        <f>"7740"</f>
        <v>7740</v>
      </c>
      <c r="B7744" t="str">
        <f t="shared" si="430"/>
        <v>1</v>
      </c>
      <c r="C7744" t="str">
        <f t="shared" si="431"/>
        <v>155</v>
      </c>
      <c r="D7744" t="str">
        <f>"12"</f>
        <v>12</v>
      </c>
      <c r="E7744" t="str">
        <f>"1-155-12"</f>
        <v>1-155-12</v>
      </c>
      <c r="F7744" t="s">
        <v>65</v>
      </c>
      <c r="G7744" t="s">
        <v>66</v>
      </c>
      <c r="H7744" t="s">
        <v>68</v>
      </c>
      <c r="I7744">
        <v>1</v>
      </c>
      <c r="J7744">
        <v>0</v>
      </c>
      <c r="K7744">
        <v>0</v>
      </c>
      <c r="L7744">
        <v>1</v>
      </c>
      <c r="M7744">
        <v>1</v>
      </c>
      <c r="N7744">
        <v>1</v>
      </c>
      <c r="O7744">
        <v>1</v>
      </c>
      <c r="P7744">
        <v>1</v>
      </c>
      <c r="Q7744">
        <v>1</v>
      </c>
      <c r="R7744">
        <v>1</v>
      </c>
    </row>
    <row r="7745" spans="1:18" x14ac:dyDescent="0.2">
      <c r="A7745" t="str">
        <f>"7741"</f>
        <v>7741</v>
      </c>
      <c r="B7745" t="str">
        <f t="shared" si="430"/>
        <v>1</v>
      </c>
      <c r="C7745" t="str">
        <f t="shared" si="431"/>
        <v>155</v>
      </c>
      <c r="D7745" t="str">
        <f>"44"</f>
        <v>44</v>
      </c>
      <c r="E7745" t="str">
        <f>"1-155-44"</f>
        <v>1-155-44</v>
      </c>
      <c r="F7745" t="s">
        <v>65</v>
      </c>
      <c r="G7745" t="s">
        <v>66</v>
      </c>
      <c r="H7745" t="s">
        <v>68</v>
      </c>
      <c r="I7745">
        <v>1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</row>
    <row r="7746" spans="1:18" x14ac:dyDescent="0.2">
      <c r="A7746" t="str">
        <f>"7742"</f>
        <v>7742</v>
      </c>
      <c r="B7746" t="str">
        <f t="shared" si="430"/>
        <v>1</v>
      </c>
      <c r="C7746" t="str">
        <f t="shared" si="431"/>
        <v>155</v>
      </c>
      <c r="D7746" t="str">
        <f>"29"</f>
        <v>29</v>
      </c>
      <c r="E7746" t="str">
        <f>"1-155-29"</f>
        <v>1-155-29</v>
      </c>
      <c r="F7746" t="s">
        <v>65</v>
      </c>
      <c r="G7746" t="s">
        <v>66</v>
      </c>
      <c r="H7746" t="s">
        <v>68</v>
      </c>
      <c r="I7746">
        <v>1</v>
      </c>
      <c r="J7746">
        <v>1</v>
      </c>
      <c r="K7746">
        <v>0</v>
      </c>
      <c r="L7746">
        <v>0</v>
      </c>
      <c r="M7746">
        <v>1</v>
      </c>
      <c r="N7746">
        <v>1</v>
      </c>
      <c r="O7746">
        <v>1</v>
      </c>
      <c r="P7746">
        <v>1</v>
      </c>
      <c r="Q7746">
        <v>1</v>
      </c>
      <c r="R7746">
        <v>1</v>
      </c>
    </row>
    <row r="7747" spans="1:18" x14ac:dyDescent="0.2">
      <c r="A7747" t="str">
        <f>"7743"</f>
        <v>7743</v>
      </c>
      <c r="B7747" t="str">
        <f t="shared" si="430"/>
        <v>1</v>
      </c>
      <c r="C7747" t="str">
        <f t="shared" si="431"/>
        <v>155</v>
      </c>
      <c r="D7747" t="str">
        <f>"6"</f>
        <v>6</v>
      </c>
      <c r="E7747" t="str">
        <f>"1-155-6"</f>
        <v>1-155-6</v>
      </c>
      <c r="F7747" t="s">
        <v>65</v>
      </c>
      <c r="G7747" t="s">
        <v>66</v>
      </c>
      <c r="H7747" t="s">
        <v>68</v>
      </c>
      <c r="I7747">
        <v>1</v>
      </c>
      <c r="J7747">
        <v>0</v>
      </c>
      <c r="K7747">
        <v>0</v>
      </c>
      <c r="L7747">
        <v>1</v>
      </c>
      <c r="M7747">
        <v>1</v>
      </c>
      <c r="N7747">
        <v>1</v>
      </c>
      <c r="O7747">
        <v>1</v>
      </c>
      <c r="P7747">
        <v>1</v>
      </c>
      <c r="Q7747">
        <v>1</v>
      </c>
      <c r="R7747">
        <v>1</v>
      </c>
    </row>
    <row r="7748" spans="1:18" x14ac:dyDescent="0.2">
      <c r="A7748" t="str">
        <f>"7744"</f>
        <v>7744</v>
      </c>
      <c r="B7748" t="str">
        <f t="shared" si="430"/>
        <v>1</v>
      </c>
      <c r="C7748" t="str">
        <f t="shared" si="431"/>
        <v>155</v>
      </c>
      <c r="D7748" t="str">
        <f>"45"</f>
        <v>45</v>
      </c>
      <c r="E7748" t="str">
        <f>"1-155-45"</f>
        <v>1-155-45</v>
      </c>
      <c r="F7748" t="s">
        <v>65</v>
      </c>
      <c r="G7748" t="s">
        <v>66</v>
      </c>
      <c r="H7748" t="s">
        <v>68</v>
      </c>
      <c r="I7748">
        <v>1</v>
      </c>
      <c r="J7748">
        <v>1</v>
      </c>
      <c r="K7748">
        <v>0</v>
      </c>
      <c r="L7748">
        <v>0</v>
      </c>
      <c r="M7748">
        <v>1</v>
      </c>
      <c r="N7748">
        <v>1</v>
      </c>
      <c r="O7748">
        <v>1</v>
      </c>
      <c r="P7748">
        <v>1</v>
      </c>
      <c r="Q7748">
        <v>1</v>
      </c>
      <c r="R7748">
        <v>1</v>
      </c>
    </row>
    <row r="7749" spans="1:18" x14ac:dyDescent="0.2">
      <c r="A7749" t="str">
        <f>"7745"</f>
        <v>7745</v>
      </c>
      <c r="B7749" t="str">
        <f t="shared" si="430"/>
        <v>1</v>
      </c>
      <c r="C7749" t="str">
        <f t="shared" si="431"/>
        <v>155</v>
      </c>
      <c r="D7749" t="str">
        <f>"30"</f>
        <v>30</v>
      </c>
      <c r="E7749" t="str">
        <f>"1-155-30"</f>
        <v>1-155-30</v>
      </c>
      <c r="F7749" t="s">
        <v>65</v>
      </c>
      <c r="G7749" t="s">
        <v>66</v>
      </c>
      <c r="H7749" t="s">
        <v>68</v>
      </c>
      <c r="I7749">
        <v>1</v>
      </c>
      <c r="J7749">
        <v>1</v>
      </c>
      <c r="K7749">
        <v>0</v>
      </c>
      <c r="L7749">
        <v>0</v>
      </c>
      <c r="M7749">
        <v>1</v>
      </c>
      <c r="N7749">
        <v>1</v>
      </c>
      <c r="O7749">
        <v>1</v>
      </c>
      <c r="P7749">
        <v>1</v>
      </c>
      <c r="Q7749">
        <v>1</v>
      </c>
      <c r="R7749">
        <v>1</v>
      </c>
    </row>
    <row r="7750" spans="1:18" x14ac:dyDescent="0.2">
      <c r="A7750" t="str">
        <f>"7746"</f>
        <v>7746</v>
      </c>
      <c r="B7750" t="str">
        <f t="shared" si="430"/>
        <v>1</v>
      </c>
      <c r="C7750" t="str">
        <f t="shared" si="431"/>
        <v>155</v>
      </c>
      <c r="D7750" t="str">
        <f>"10"</f>
        <v>10</v>
      </c>
      <c r="E7750" t="str">
        <f>"1-155-10"</f>
        <v>1-155-10</v>
      </c>
      <c r="F7750" t="s">
        <v>65</v>
      </c>
      <c r="G7750" t="s">
        <v>66</v>
      </c>
      <c r="H7750" t="s">
        <v>68</v>
      </c>
      <c r="I7750">
        <v>1</v>
      </c>
      <c r="J7750">
        <v>0</v>
      </c>
      <c r="K7750">
        <v>1</v>
      </c>
      <c r="L7750">
        <v>0</v>
      </c>
      <c r="M7750">
        <v>1</v>
      </c>
      <c r="N7750">
        <v>0</v>
      </c>
      <c r="O7750">
        <v>0</v>
      </c>
      <c r="P7750">
        <v>0</v>
      </c>
      <c r="Q7750">
        <v>0</v>
      </c>
      <c r="R7750">
        <v>1</v>
      </c>
    </row>
    <row r="7751" spans="1:18" x14ac:dyDescent="0.2">
      <c r="A7751" t="str">
        <f>"7747"</f>
        <v>7747</v>
      </c>
      <c r="B7751" t="str">
        <f t="shared" si="430"/>
        <v>1</v>
      </c>
      <c r="C7751" t="str">
        <f t="shared" si="431"/>
        <v>155</v>
      </c>
      <c r="D7751" t="str">
        <f>"46"</f>
        <v>46</v>
      </c>
      <c r="E7751" t="str">
        <f>"1-155-46"</f>
        <v>1-155-46</v>
      </c>
      <c r="F7751" t="s">
        <v>65</v>
      </c>
      <c r="G7751" t="s">
        <v>66</v>
      </c>
      <c r="H7751" t="s">
        <v>68</v>
      </c>
      <c r="I7751">
        <v>1</v>
      </c>
      <c r="J7751">
        <v>0</v>
      </c>
      <c r="K7751">
        <v>1</v>
      </c>
      <c r="L7751">
        <v>0</v>
      </c>
      <c r="M7751">
        <v>1</v>
      </c>
      <c r="N7751">
        <v>1</v>
      </c>
      <c r="O7751">
        <v>1</v>
      </c>
      <c r="P7751">
        <v>1</v>
      </c>
      <c r="Q7751">
        <v>1</v>
      </c>
      <c r="R7751">
        <v>1</v>
      </c>
    </row>
    <row r="7752" spans="1:18" x14ac:dyDescent="0.2">
      <c r="A7752" t="str">
        <f>"7748"</f>
        <v>7748</v>
      </c>
      <c r="B7752" t="str">
        <f t="shared" si="430"/>
        <v>1</v>
      </c>
      <c r="C7752" t="str">
        <f t="shared" si="431"/>
        <v>155</v>
      </c>
      <c r="D7752" t="str">
        <f>"31"</f>
        <v>31</v>
      </c>
      <c r="E7752" t="str">
        <f>"1-155-31"</f>
        <v>1-155-31</v>
      </c>
      <c r="F7752" t="s">
        <v>65</v>
      </c>
      <c r="G7752" t="s">
        <v>66</v>
      </c>
      <c r="H7752" t="s">
        <v>68</v>
      </c>
      <c r="I7752">
        <v>1</v>
      </c>
      <c r="J7752">
        <v>1</v>
      </c>
      <c r="K7752">
        <v>0</v>
      </c>
      <c r="L7752">
        <v>0</v>
      </c>
      <c r="M7752">
        <v>1</v>
      </c>
      <c r="N7752">
        <v>1</v>
      </c>
      <c r="O7752">
        <v>1</v>
      </c>
      <c r="P7752">
        <v>1</v>
      </c>
      <c r="Q7752">
        <v>1</v>
      </c>
      <c r="R7752">
        <v>1</v>
      </c>
    </row>
    <row r="7753" spans="1:18" x14ac:dyDescent="0.2">
      <c r="A7753" t="str">
        <f>"7749"</f>
        <v>7749</v>
      </c>
      <c r="B7753" t="str">
        <f t="shared" si="430"/>
        <v>1</v>
      </c>
      <c r="C7753" t="str">
        <f t="shared" si="431"/>
        <v>155</v>
      </c>
      <c r="D7753" t="str">
        <f>"8"</f>
        <v>8</v>
      </c>
      <c r="E7753" t="str">
        <f>"1-155-8"</f>
        <v>1-155-8</v>
      </c>
      <c r="F7753" t="s">
        <v>65</v>
      </c>
      <c r="G7753" t="s">
        <v>66</v>
      </c>
      <c r="H7753" t="s">
        <v>68</v>
      </c>
      <c r="I7753">
        <v>1</v>
      </c>
      <c r="J7753">
        <v>1</v>
      </c>
      <c r="K7753">
        <v>0</v>
      </c>
      <c r="L7753">
        <v>0</v>
      </c>
      <c r="M7753">
        <v>1</v>
      </c>
      <c r="N7753">
        <v>1</v>
      </c>
      <c r="O7753">
        <v>1</v>
      </c>
      <c r="P7753">
        <v>1</v>
      </c>
      <c r="Q7753">
        <v>1</v>
      </c>
      <c r="R7753">
        <v>1</v>
      </c>
    </row>
    <row r="7754" spans="1:18" x14ac:dyDescent="0.2">
      <c r="A7754" t="str">
        <f>"7750"</f>
        <v>7750</v>
      </c>
      <c r="B7754" t="str">
        <f t="shared" si="430"/>
        <v>1</v>
      </c>
      <c r="C7754" t="str">
        <f t="shared" si="431"/>
        <v>155</v>
      </c>
      <c r="D7754" t="str">
        <f>"50"</f>
        <v>50</v>
      </c>
      <c r="E7754" t="str">
        <f>"1-155-50"</f>
        <v>1-155-50</v>
      </c>
      <c r="F7754" t="s">
        <v>65</v>
      </c>
      <c r="G7754" t="s">
        <v>66</v>
      </c>
      <c r="H7754" t="s">
        <v>68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</row>
    <row r="7755" spans="1:18" x14ac:dyDescent="0.2">
      <c r="A7755" t="str">
        <f>"7751"</f>
        <v>7751</v>
      </c>
      <c r="B7755" t="str">
        <f t="shared" si="430"/>
        <v>1</v>
      </c>
      <c r="C7755" t="str">
        <f t="shared" ref="C7755:C7786" si="432">"156"</f>
        <v>156</v>
      </c>
      <c r="D7755" t="str">
        <f>"34"</f>
        <v>34</v>
      </c>
      <c r="E7755" t="str">
        <f>"1-156-34"</f>
        <v>1-156-34</v>
      </c>
      <c r="F7755" t="s">
        <v>65</v>
      </c>
      <c r="G7755" t="s">
        <v>66</v>
      </c>
      <c r="H7755" t="s">
        <v>68</v>
      </c>
      <c r="I7755">
        <v>1</v>
      </c>
      <c r="J7755">
        <v>0</v>
      </c>
      <c r="K7755">
        <v>0</v>
      </c>
      <c r="L7755">
        <v>1</v>
      </c>
      <c r="M7755">
        <v>1</v>
      </c>
      <c r="N7755">
        <v>1</v>
      </c>
      <c r="O7755">
        <v>1</v>
      </c>
      <c r="P7755">
        <v>1</v>
      </c>
      <c r="Q7755">
        <v>1</v>
      </c>
      <c r="R7755">
        <v>1</v>
      </c>
    </row>
    <row r="7756" spans="1:18" x14ac:dyDescent="0.2">
      <c r="A7756" t="str">
        <f>"7752"</f>
        <v>7752</v>
      </c>
      <c r="B7756" t="str">
        <f t="shared" si="430"/>
        <v>1</v>
      </c>
      <c r="C7756" t="str">
        <f t="shared" si="432"/>
        <v>156</v>
      </c>
      <c r="D7756" t="str">
        <f>"33"</f>
        <v>33</v>
      </c>
      <c r="E7756" t="str">
        <f>"1-156-33"</f>
        <v>1-156-33</v>
      </c>
      <c r="F7756" t="s">
        <v>65</v>
      </c>
      <c r="G7756" t="s">
        <v>66</v>
      </c>
      <c r="H7756" t="s">
        <v>68</v>
      </c>
      <c r="I7756">
        <v>1</v>
      </c>
      <c r="J7756">
        <v>0</v>
      </c>
      <c r="K7756">
        <v>1</v>
      </c>
      <c r="L7756">
        <v>0</v>
      </c>
      <c r="M7756">
        <v>1</v>
      </c>
      <c r="N7756">
        <v>1</v>
      </c>
      <c r="O7756">
        <v>1</v>
      </c>
      <c r="P7756">
        <v>1</v>
      </c>
      <c r="Q7756">
        <v>1</v>
      </c>
      <c r="R7756">
        <v>1</v>
      </c>
    </row>
    <row r="7757" spans="1:18" x14ac:dyDescent="0.2">
      <c r="A7757" t="str">
        <f>"7753"</f>
        <v>7753</v>
      </c>
      <c r="B7757" t="str">
        <f t="shared" si="430"/>
        <v>1</v>
      </c>
      <c r="C7757" t="str">
        <f t="shared" si="432"/>
        <v>156</v>
      </c>
      <c r="D7757" t="str">
        <f>"21"</f>
        <v>21</v>
      </c>
      <c r="E7757" t="str">
        <f>"1-156-21"</f>
        <v>1-156-21</v>
      </c>
      <c r="F7757" t="s">
        <v>65</v>
      </c>
      <c r="G7757" t="s">
        <v>66</v>
      </c>
      <c r="H7757" t="s">
        <v>68</v>
      </c>
      <c r="I7757">
        <v>1</v>
      </c>
      <c r="J7757">
        <v>1</v>
      </c>
      <c r="K7757">
        <v>0</v>
      </c>
      <c r="L7757">
        <v>0</v>
      </c>
      <c r="M7757">
        <v>1</v>
      </c>
      <c r="N7757">
        <v>1</v>
      </c>
      <c r="O7757">
        <v>1</v>
      </c>
      <c r="P7757">
        <v>1</v>
      </c>
      <c r="Q7757">
        <v>1</v>
      </c>
      <c r="R7757">
        <v>1</v>
      </c>
    </row>
    <row r="7758" spans="1:18" x14ac:dyDescent="0.2">
      <c r="A7758" t="str">
        <f>"7754"</f>
        <v>7754</v>
      </c>
      <c r="B7758" t="str">
        <f t="shared" si="430"/>
        <v>1</v>
      </c>
      <c r="C7758" t="str">
        <f t="shared" si="432"/>
        <v>156</v>
      </c>
      <c r="D7758" t="str">
        <f>"15"</f>
        <v>15</v>
      </c>
      <c r="E7758" t="str">
        <f>"1-156-15"</f>
        <v>1-156-15</v>
      </c>
      <c r="F7758" t="s">
        <v>65</v>
      </c>
      <c r="G7758" t="s">
        <v>66</v>
      </c>
      <c r="H7758" t="s">
        <v>68</v>
      </c>
      <c r="I7758">
        <v>1</v>
      </c>
      <c r="J7758">
        <v>0</v>
      </c>
      <c r="K7758">
        <v>0</v>
      </c>
      <c r="L7758">
        <v>1</v>
      </c>
      <c r="M7758">
        <v>1</v>
      </c>
      <c r="N7758">
        <v>1</v>
      </c>
      <c r="O7758">
        <v>1</v>
      </c>
      <c r="P7758">
        <v>1</v>
      </c>
      <c r="Q7758">
        <v>1</v>
      </c>
      <c r="R7758">
        <v>1</v>
      </c>
    </row>
    <row r="7759" spans="1:18" x14ac:dyDescent="0.2">
      <c r="A7759" t="str">
        <f>"7755"</f>
        <v>7755</v>
      </c>
      <c r="B7759" t="str">
        <f t="shared" si="430"/>
        <v>1</v>
      </c>
      <c r="C7759" t="str">
        <f t="shared" si="432"/>
        <v>156</v>
      </c>
      <c r="D7759" t="str">
        <f>"4"</f>
        <v>4</v>
      </c>
      <c r="E7759" t="str">
        <f>"1-156-4"</f>
        <v>1-156-4</v>
      </c>
      <c r="F7759" t="s">
        <v>65</v>
      </c>
      <c r="G7759" t="s">
        <v>66</v>
      </c>
      <c r="H7759" t="s">
        <v>68</v>
      </c>
      <c r="I7759">
        <v>1</v>
      </c>
      <c r="J7759">
        <v>0</v>
      </c>
      <c r="K7759">
        <v>0</v>
      </c>
      <c r="L7759">
        <v>1</v>
      </c>
      <c r="M7759">
        <v>1</v>
      </c>
      <c r="N7759">
        <v>1</v>
      </c>
      <c r="O7759">
        <v>1</v>
      </c>
      <c r="P7759">
        <v>1</v>
      </c>
      <c r="Q7759">
        <v>1</v>
      </c>
      <c r="R7759">
        <v>1</v>
      </c>
    </row>
    <row r="7760" spans="1:18" x14ac:dyDescent="0.2">
      <c r="A7760" t="str">
        <f>"7756"</f>
        <v>7756</v>
      </c>
      <c r="B7760" t="str">
        <f t="shared" si="430"/>
        <v>1</v>
      </c>
      <c r="C7760" t="str">
        <f t="shared" si="432"/>
        <v>156</v>
      </c>
      <c r="D7760" t="str">
        <f>"39"</f>
        <v>39</v>
      </c>
      <c r="E7760" t="str">
        <f>"1-156-39"</f>
        <v>1-156-39</v>
      </c>
      <c r="F7760" t="s">
        <v>65</v>
      </c>
      <c r="G7760" t="s">
        <v>66</v>
      </c>
      <c r="H7760" t="s">
        <v>68</v>
      </c>
      <c r="I7760">
        <v>1</v>
      </c>
      <c r="J7760">
        <v>0</v>
      </c>
      <c r="K7760">
        <v>0</v>
      </c>
      <c r="L7760">
        <v>1</v>
      </c>
      <c r="M7760">
        <v>1</v>
      </c>
      <c r="N7760">
        <v>1</v>
      </c>
      <c r="O7760">
        <v>1</v>
      </c>
      <c r="P7760">
        <v>1</v>
      </c>
      <c r="Q7760">
        <v>1</v>
      </c>
      <c r="R7760">
        <v>1</v>
      </c>
    </row>
    <row r="7761" spans="1:18" x14ac:dyDescent="0.2">
      <c r="A7761" t="str">
        <f>"7757"</f>
        <v>7757</v>
      </c>
      <c r="B7761" t="str">
        <f t="shared" si="430"/>
        <v>1</v>
      </c>
      <c r="C7761" t="str">
        <f t="shared" si="432"/>
        <v>156</v>
      </c>
      <c r="D7761" t="str">
        <f>"38"</f>
        <v>38</v>
      </c>
      <c r="E7761" t="str">
        <f>"1-156-38"</f>
        <v>1-156-38</v>
      </c>
      <c r="F7761" t="s">
        <v>65</v>
      </c>
      <c r="G7761" t="s">
        <v>66</v>
      </c>
      <c r="H7761" t="s">
        <v>68</v>
      </c>
      <c r="I7761">
        <v>1</v>
      </c>
      <c r="J7761">
        <v>0</v>
      </c>
      <c r="K7761">
        <v>0</v>
      </c>
      <c r="L7761">
        <v>1</v>
      </c>
      <c r="M7761">
        <v>1</v>
      </c>
      <c r="N7761">
        <v>1</v>
      </c>
      <c r="O7761">
        <v>1</v>
      </c>
      <c r="P7761">
        <v>1</v>
      </c>
      <c r="Q7761">
        <v>1</v>
      </c>
      <c r="R7761">
        <v>1</v>
      </c>
    </row>
    <row r="7762" spans="1:18" x14ac:dyDescent="0.2">
      <c r="A7762" t="str">
        <f>"7758"</f>
        <v>7758</v>
      </c>
      <c r="B7762" t="str">
        <f t="shared" si="430"/>
        <v>1</v>
      </c>
      <c r="C7762" t="str">
        <f t="shared" si="432"/>
        <v>156</v>
      </c>
      <c r="D7762" t="str">
        <f>"28"</f>
        <v>28</v>
      </c>
      <c r="E7762" t="str">
        <f>"1-156-28"</f>
        <v>1-156-28</v>
      </c>
      <c r="F7762" t="s">
        <v>65</v>
      </c>
      <c r="G7762" t="s">
        <v>66</v>
      </c>
      <c r="H7762" t="s">
        <v>68</v>
      </c>
      <c r="I7762">
        <v>1</v>
      </c>
      <c r="J7762">
        <v>0</v>
      </c>
      <c r="K7762">
        <v>0</v>
      </c>
      <c r="L7762">
        <v>1</v>
      </c>
      <c r="M7762">
        <v>1</v>
      </c>
      <c r="N7762">
        <v>1</v>
      </c>
      <c r="O7762">
        <v>1</v>
      </c>
      <c r="P7762">
        <v>1</v>
      </c>
      <c r="Q7762">
        <v>1</v>
      </c>
      <c r="R7762">
        <v>1</v>
      </c>
    </row>
    <row r="7763" spans="1:18" x14ac:dyDescent="0.2">
      <c r="A7763" t="str">
        <f>"7759"</f>
        <v>7759</v>
      </c>
      <c r="B7763" t="str">
        <f t="shared" si="430"/>
        <v>1</v>
      </c>
      <c r="C7763" t="str">
        <f t="shared" si="432"/>
        <v>156</v>
      </c>
      <c r="D7763" t="str">
        <f>"16"</f>
        <v>16</v>
      </c>
      <c r="E7763" t="str">
        <f>"1-156-16"</f>
        <v>1-156-16</v>
      </c>
      <c r="F7763" t="s">
        <v>65</v>
      </c>
      <c r="G7763" t="s">
        <v>66</v>
      </c>
      <c r="H7763" t="s">
        <v>68</v>
      </c>
      <c r="I7763">
        <v>1</v>
      </c>
      <c r="J7763">
        <v>0</v>
      </c>
      <c r="K7763">
        <v>0</v>
      </c>
      <c r="L7763">
        <v>1</v>
      </c>
      <c r="M7763">
        <v>1</v>
      </c>
      <c r="N7763">
        <v>1</v>
      </c>
      <c r="O7763">
        <v>1</v>
      </c>
      <c r="P7763">
        <v>1</v>
      </c>
      <c r="Q7763">
        <v>1</v>
      </c>
      <c r="R7763">
        <v>1</v>
      </c>
    </row>
    <row r="7764" spans="1:18" x14ac:dyDescent="0.2">
      <c r="A7764" t="str">
        <f>"7760"</f>
        <v>7760</v>
      </c>
      <c r="B7764" t="str">
        <f t="shared" si="430"/>
        <v>1</v>
      </c>
      <c r="C7764" t="str">
        <f t="shared" si="432"/>
        <v>156</v>
      </c>
      <c r="D7764" t="str">
        <f>"7"</f>
        <v>7</v>
      </c>
      <c r="E7764" t="str">
        <f>"1-156-7"</f>
        <v>1-156-7</v>
      </c>
      <c r="F7764" t="s">
        <v>65</v>
      </c>
      <c r="G7764" t="s">
        <v>66</v>
      </c>
      <c r="H7764" t="s">
        <v>68</v>
      </c>
      <c r="I7764">
        <v>1</v>
      </c>
      <c r="J7764">
        <v>0</v>
      </c>
      <c r="K7764">
        <v>0</v>
      </c>
      <c r="L7764">
        <v>1</v>
      </c>
      <c r="M7764">
        <v>1</v>
      </c>
      <c r="N7764">
        <v>1</v>
      </c>
      <c r="O7764">
        <v>1</v>
      </c>
      <c r="P7764">
        <v>1</v>
      </c>
      <c r="Q7764">
        <v>1</v>
      </c>
      <c r="R7764">
        <v>0</v>
      </c>
    </row>
    <row r="7765" spans="1:18" x14ac:dyDescent="0.2">
      <c r="A7765" t="str">
        <f>"7761"</f>
        <v>7761</v>
      </c>
      <c r="B7765" t="str">
        <f t="shared" si="430"/>
        <v>1</v>
      </c>
      <c r="C7765" t="str">
        <f t="shared" si="432"/>
        <v>156</v>
      </c>
      <c r="D7765" t="str">
        <f>"36"</f>
        <v>36</v>
      </c>
      <c r="E7765" t="str">
        <f>"1-156-36"</f>
        <v>1-156-36</v>
      </c>
      <c r="F7765" t="s">
        <v>65</v>
      </c>
      <c r="G7765" t="s">
        <v>66</v>
      </c>
      <c r="H7765" t="s">
        <v>68</v>
      </c>
      <c r="I7765">
        <v>1</v>
      </c>
      <c r="J7765">
        <v>0</v>
      </c>
      <c r="K7765">
        <v>1</v>
      </c>
      <c r="L7765">
        <v>0</v>
      </c>
      <c r="M7765">
        <v>1</v>
      </c>
      <c r="N7765">
        <v>1</v>
      </c>
      <c r="O7765">
        <v>1</v>
      </c>
      <c r="P7765">
        <v>1</v>
      </c>
      <c r="Q7765">
        <v>0</v>
      </c>
      <c r="R7765">
        <v>1</v>
      </c>
    </row>
    <row r="7766" spans="1:18" x14ac:dyDescent="0.2">
      <c r="A7766" t="str">
        <f>"7762"</f>
        <v>7762</v>
      </c>
      <c r="B7766" t="str">
        <f t="shared" si="430"/>
        <v>1</v>
      </c>
      <c r="C7766" t="str">
        <f t="shared" si="432"/>
        <v>156</v>
      </c>
      <c r="D7766" t="str">
        <f>"35"</f>
        <v>35</v>
      </c>
      <c r="E7766" t="str">
        <f>"1-156-35"</f>
        <v>1-156-35</v>
      </c>
      <c r="F7766" t="s">
        <v>65</v>
      </c>
      <c r="G7766" t="s">
        <v>66</v>
      </c>
      <c r="H7766" t="s">
        <v>68</v>
      </c>
      <c r="I7766">
        <v>1</v>
      </c>
      <c r="J7766">
        <v>0</v>
      </c>
      <c r="K7766">
        <v>1</v>
      </c>
      <c r="L7766">
        <v>0</v>
      </c>
      <c r="M7766">
        <v>1</v>
      </c>
      <c r="N7766">
        <v>1</v>
      </c>
      <c r="O7766">
        <v>1</v>
      </c>
      <c r="P7766">
        <v>1</v>
      </c>
      <c r="Q7766">
        <v>1</v>
      </c>
      <c r="R7766">
        <v>1</v>
      </c>
    </row>
    <row r="7767" spans="1:18" x14ac:dyDescent="0.2">
      <c r="A7767" t="str">
        <f>"7763"</f>
        <v>7763</v>
      </c>
      <c r="B7767" t="str">
        <f t="shared" si="430"/>
        <v>1</v>
      </c>
      <c r="C7767" t="str">
        <f t="shared" si="432"/>
        <v>156</v>
      </c>
      <c r="D7767" t="str">
        <f>"24"</f>
        <v>24</v>
      </c>
      <c r="E7767" t="str">
        <f>"1-156-24"</f>
        <v>1-156-24</v>
      </c>
      <c r="F7767" t="s">
        <v>65</v>
      </c>
      <c r="G7767" t="s">
        <v>66</v>
      </c>
      <c r="H7767" t="s">
        <v>68</v>
      </c>
      <c r="I7767">
        <v>1</v>
      </c>
      <c r="J7767">
        <v>0</v>
      </c>
      <c r="K7767">
        <v>1</v>
      </c>
      <c r="L7767">
        <v>0</v>
      </c>
      <c r="M7767">
        <v>1</v>
      </c>
      <c r="N7767">
        <v>1</v>
      </c>
      <c r="O7767">
        <v>0</v>
      </c>
      <c r="P7767">
        <v>1</v>
      </c>
      <c r="Q7767">
        <v>0</v>
      </c>
      <c r="R7767">
        <v>1</v>
      </c>
    </row>
    <row r="7768" spans="1:18" x14ac:dyDescent="0.2">
      <c r="A7768" t="str">
        <f>"7764"</f>
        <v>7764</v>
      </c>
      <c r="B7768" t="str">
        <f t="shared" si="430"/>
        <v>1</v>
      </c>
      <c r="C7768" t="str">
        <f t="shared" si="432"/>
        <v>156</v>
      </c>
      <c r="D7768" t="str">
        <f>"17"</f>
        <v>17</v>
      </c>
      <c r="E7768" t="str">
        <f>"1-156-17"</f>
        <v>1-156-17</v>
      </c>
      <c r="F7768" t="s">
        <v>65</v>
      </c>
      <c r="G7768" t="s">
        <v>66</v>
      </c>
      <c r="H7768" t="s">
        <v>68</v>
      </c>
      <c r="I7768">
        <v>1</v>
      </c>
      <c r="J7768">
        <v>0</v>
      </c>
      <c r="K7768">
        <v>0</v>
      </c>
      <c r="L7768">
        <v>1</v>
      </c>
      <c r="M7768">
        <v>1</v>
      </c>
      <c r="N7768">
        <v>1</v>
      </c>
      <c r="O7768">
        <v>1</v>
      </c>
      <c r="P7768">
        <v>1</v>
      </c>
      <c r="Q7768">
        <v>1</v>
      </c>
      <c r="R7768">
        <v>1</v>
      </c>
    </row>
    <row r="7769" spans="1:18" x14ac:dyDescent="0.2">
      <c r="A7769" t="str">
        <f>"7765"</f>
        <v>7765</v>
      </c>
      <c r="B7769" t="str">
        <f t="shared" si="430"/>
        <v>1</v>
      </c>
      <c r="C7769" t="str">
        <f t="shared" si="432"/>
        <v>156</v>
      </c>
      <c r="D7769" t="str">
        <f>"14"</f>
        <v>14</v>
      </c>
      <c r="E7769" t="str">
        <f>"1-156-14"</f>
        <v>1-156-14</v>
      </c>
      <c r="F7769" t="s">
        <v>65</v>
      </c>
      <c r="G7769" t="s">
        <v>66</v>
      </c>
      <c r="H7769" t="s">
        <v>68</v>
      </c>
      <c r="I7769">
        <v>1</v>
      </c>
      <c r="J7769">
        <v>1</v>
      </c>
      <c r="K7769">
        <v>0</v>
      </c>
      <c r="L7769">
        <v>0</v>
      </c>
      <c r="M7769">
        <v>1</v>
      </c>
      <c r="N7769">
        <v>1</v>
      </c>
      <c r="O7769">
        <v>1</v>
      </c>
      <c r="P7769">
        <v>1</v>
      </c>
      <c r="Q7769">
        <v>1</v>
      </c>
      <c r="R7769">
        <v>1</v>
      </c>
    </row>
    <row r="7770" spans="1:18" x14ac:dyDescent="0.2">
      <c r="A7770" t="str">
        <f>"7766"</f>
        <v>7766</v>
      </c>
      <c r="B7770" t="str">
        <f t="shared" si="430"/>
        <v>1</v>
      </c>
      <c r="C7770" t="str">
        <f t="shared" si="432"/>
        <v>156</v>
      </c>
      <c r="D7770" t="str">
        <f>"44"</f>
        <v>44</v>
      </c>
      <c r="E7770" t="str">
        <f>"1-156-44"</f>
        <v>1-156-44</v>
      </c>
      <c r="F7770" t="s">
        <v>65</v>
      </c>
      <c r="G7770" t="s">
        <v>66</v>
      </c>
      <c r="H7770" t="s">
        <v>68</v>
      </c>
      <c r="I7770">
        <v>1</v>
      </c>
      <c r="J7770">
        <v>0</v>
      </c>
      <c r="K7770">
        <v>0</v>
      </c>
      <c r="L7770">
        <v>1</v>
      </c>
      <c r="M7770">
        <v>1</v>
      </c>
      <c r="N7770">
        <v>1</v>
      </c>
      <c r="O7770">
        <v>0</v>
      </c>
      <c r="P7770">
        <v>1</v>
      </c>
      <c r="Q7770">
        <v>0</v>
      </c>
      <c r="R7770">
        <v>1</v>
      </c>
    </row>
    <row r="7771" spans="1:18" x14ac:dyDescent="0.2">
      <c r="A7771" t="str">
        <f>"7767"</f>
        <v>7767</v>
      </c>
      <c r="B7771" t="str">
        <f t="shared" si="430"/>
        <v>1</v>
      </c>
      <c r="C7771" t="str">
        <f t="shared" si="432"/>
        <v>156</v>
      </c>
      <c r="D7771" t="str">
        <f>"43"</f>
        <v>43</v>
      </c>
      <c r="E7771" t="str">
        <f>"1-156-43"</f>
        <v>1-156-43</v>
      </c>
      <c r="F7771" t="s">
        <v>65</v>
      </c>
      <c r="G7771" t="s">
        <v>66</v>
      </c>
      <c r="H7771" t="s">
        <v>68</v>
      </c>
      <c r="I7771">
        <v>1</v>
      </c>
      <c r="J7771">
        <v>0</v>
      </c>
      <c r="K7771">
        <v>0</v>
      </c>
      <c r="L7771">
        <v>1</v>
      </c>
      <c r="M7771">
        <v>1</v>
      </c>
      <c r="N7771">
        <v>1</v>
      </c>
      <c r="O7771">
        <v>1</v>
      </c>
      <c r="P7771">
        <v>1</v>
      </c>
      <c r="Q7771">
        <v>1</v>
      </c>
      <c r="R7771">
        <v>1</v>
      </c>
    </row>
    <row r="7772" spans="1:18" x14ac:dyDescent="0.2">
      <c r="A7772" t="str">
        <f>"7768"</f>
        <v>7768</v>
      </c>
      <c r="B7772" t="str">
        <f t="shared" si="430"/>
        <v>1</v>
      </c>
      <c r="C7772" t="str">
        <f t="shared" si="432"/>
        <v>156</v>
      </c>
      <c r="D7772" t="str">
        <f>"26"</f>
        <v>26</v>
      </c>
      <c r="E7772" t="str">
        <f>"1-156-26"</f>
        <v>1-156-26</v>
      </c>
      <c r="F7772" t="s">
        <v>65</v>
      </c>
      <c r="G7772" t="s">
        <v>66</v>
      </c>
      <c r="H7772" t="s">
        <v>68</v>
      </c>
      <c r="I7772">
        <v>1</v>
      </c>
      <c r="J7772">
        <v>0</v>
      </c>
      <c r="K7772">
        <v>0</v>
      </c>
      <c r="L7772">
        <v>1</v>
      </c>
      <c r="M7772">
        <v>1</v>
      </c>
      <c r="N7772">
        <v>0</v>
      </c>
      <c r="O7772">
        <v>1</v>
      </c>
      <c r="P7772">
        <v>1</v>
      </c>
      <c r="Q7772">
        <v>1</v>
      </c>
      <c r="R7772">
        <v>0</v>
      </c>
    </row>
    <row r="7773" spans="1:18" x14ac:dyDescent="0.2">
      <c r="A7773" t="str">
        <f>"7769"</f>
        <v>7769</v>
      </c>
      <c r="B7773" t="str">
        <f t="shared" si="430"/>
        <v>1</v>
      </c>
      <c r="C7773" t="str">
        <f t="shared" si="432"/>
        <v>156</v>
      </c>
      <c r="D7773" t="str">
        <f>"18"</f>
        <v>18</v>
      </c>
      <c r="E7773" t="str">
        <f>"1-156-18"</f>
        <v>1-156-18</v>
      </c>
      <c r="F7773" t="s">
        <v>65</v>
      </c>
      <c r="G7773" t="s">
        <v>66</v>
      </c>
      <c r="H7773" t="s">
        <v>68</v>
      </c>
      <c r="I7773">
        <v>1</v>
      </c>
      <c r="J7773">
        <v>1</v>
      </c>
      <c r="K7773">
        <v>0</v>
      </c>
      <c r="L7773">
        <v>0</v>
      </c>
      <c r="M7773">
        <v>1</v>
      </c>
      <c r="N7773">
        <v>1</v>
      </c>
      <c r="O7773">
        <v>1</v>
      </c>
      <c r="P7773">
        <v>1</v>
      </c>
      <c r="Q7773">
        <v>1</v>
      </c>
      <c r="R7773">
        <v>1</v>
      </c>
    </row>
    <row r="7774" spans="1:18" x14ac:dyDescent="0.2">
      <c r="A7774" t="str">
        <f>"7770"</f>
        <v>7770</v>
      </c>
      <c r="B7774" t="str">
        <f t="shared" si="430"/>
        <v>1</v>
      </c>
      <c r="C7774" t="str">
        <f t="shared" si="432"/>
        <v>156</v>
      </c>
      <c r="D7774" t="str">
        <f>"9"</f>
        <v>9</v>
      </c>
      <c r="E7774" t="str">
        <f>"1-156-9"</f>
        <v>1-156-9</v>
      </c>
      <c r="F7774" t="s">
        <v>65</v>
      </c>
      <c r="G7774" t="s">
        <v>66</v>
      </c>
      <c r="H7774" t="s">
        <v>68</v>
      </c>
      <c r="I7774">
        <v>1</v>
      </c>
      <c r="J7774">
        <v>1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1</v>
      </c>
      <c r="R7774">
        <v>1</v>
      </c>
    </row>
    <row r="7775" spans="1:18" x14ac:dyDescent="0.2">
      <c r="A7775" t="str">
        <f>"7771"</f>
        <v>7771</v>
      </c>
      <c r="B7775" t="str">
        <f t="shared" si="430"/>
        <v>1</v>
      </c>
      <c r="C7775" t="str">
        <f t="shared" si="432"/>
        <v>156</v>
      </c>
      <c r="D7775" t="str">
        <f>"40"</f>
        <v>40</v>
      </c>
      <c r="E7775" t="str">
        <f>"1-156-40"</f>
        <v>1-156-40</v>
      </c>
      <c r="F7775" t="s">
        <v>65</v>
      </c>
      <c r="G7775" t="s">
        <v>66</v>
      </c>
      <c r="H7775" t="s">
        <v>68</v>
      </c>
      <c r="I7775">
        <v>1</v>
      </c>
      <c r="J7775">
        <v>0</v>
      </c>
      <c r="K7775">
        <v>0</v>
      </c>
      <c r="L7775">
        <v>1</v>
      </c>
      <c r="M7775">
        <v>1</v>
      </c>
      <c r="N7775">
        <v>1</v>
      </c>
      <c r="O7775">
        <v>1</v>
      </c>
      <c r="P7775">
        <v>1</v>
      </c>
      <c r="Q7775">
        <v>1</v>
      </c>
      <c r="R7775">
        <v>1</v>
      </c>
    </row>
    <row r="7776" spans="1:18" x14ac:dyDescent="0.2">
      <c r="A7776" t="str">
        <f>"7772"</f>
        <v>7772</v>
      </c>
      <c r="B7776" t="str">
        <f t="shared" si="430"/>
        <v>1</v>
      </c>
      <c r="C7776" t="str">
        <f t="shared" si="432"/>
        <v>156</v>
      </c>
      <c r="D7776" t="str">
        <f>"19"</f>
        <v>19</v>
      </c>
      <c r="E7776" t="str">
        <f>"1-156-19"</f>
        <v>1-156-19</v>
      </c>
      <c r="F7776" t="s">
        <v>65</v>
      </c>
      <c r="G7776" t="s">
        <v>66</v>
      </c>
      <c r="H7776" t="s">
        <v>68</v>
      </c>
      <c r="I7776">
        <v>1</v>
      </c>
      <c r="J7776">
        <v>1</v>
      </c>
      <c r="K7776">
        <v>0</v>
      </c>
      <c r="L7776">
        <v>0</v>
      </c>
      <c r="M7776">
        <v>1</v>
      </c>
      <c r="N7776">
        <v>1</v>
      </c>
      <c r="O7776">
        <v>1</v>
      </c>
      <c r="P7776">
        <v>1</v>
      </c>
      <c r="Q7776">
        <v>1</v>
      </c>
      <c r="R7776">
        <v>1</v>
      </c>
    </row>
    <row r="7777" spans="1:18" x14ac:dyDescent="0.2">
      <c r="A7777" t="str">
        <f>"7773"</f>
        <v>7773</v>
      </c>
      <c r="B7777" t="str">
        <f t="shared" si="430"/>
        <v>1</v>
      </c>
      <c r="C7777" t="str">
        <f t="shared" si="432"/>
        <v>156</v>
      </c>
      <c r="D7777" t="str">
        <f>"1"</f>
        <v>1</v>
      </c>
      <c r="E7777" t="str">
        <f>"1-156-1"</f>
        <v>1-156-1</v>
      </c>
      <c r="F7777" t="s">
        <v>65</v>
      </c>
      <c r="G7777" t="s">
        <v>66</v>
      </c>
      <c r="H7777" t="s">
        <v>68</v>
      </c>
      <c r="I7777">
        <v>1</v>
      </c>
      <c r="J7777">
        <v>0</v>
      </c>
      <c r="K7777">
        <v>0</v>
      </c>
      <c r="L7777">
        <v>1</v>
      </c>
      <c r="M7777">
        <v>1</v>
      </c>
      <c r="N7777">
        <v>1</v>
      </c>
      <c r="O7777">
        <v>1</v>
      </c>
      <c r="P7777">
        <v>1</v>
      </c>
      <c r="Q7777">
        <v>1</v>
      </c>
      <c r="R7777">
        <v>1</v>
      </c>
    </row>
    <row r="7778" spans="1:18" x14ac:dyDescent="0.2">
      <c r="A7778" t="str">
        <f>"7774"</f>
        <v>7774</v>
      </c>
      <c r="B7778" t="str">
        <f t="shared" si="430"/>
        <v>1</v>
      </c>
      <c r="C7778" t="str">
        <f t="shared" si="432"/>
        <v>156</v>
      </c>
      <c r="D7778" t="str">
        <f>"48"</f>
        <v>48</v>
      </c>
      <c r="E7778" t="str">
        <f>"1-156-48"</f>
        <v>1-156-48</v>
      </c>
      <c r="F7778" t="s">
        <v>65</v>
      </c>
      <c r="G7778" t="s">
        <v>66</v>
      </c>
      <c r="H7778" t="s">
        <v>68</v>
      </c>
      <c r="I7778">
        <v>1</v>
      </c>
      <c r="J7778">
        <v>0</v>
      </c>
      <c r="K7778">
        <v>0</v>
      </c>
      <c r="L7778">
        <v>1</v>
      </c>
      <c r="M7778">
        <v>0</v>
      </c>
      <c r="N7778">
        <v>0</v>
      </c>
      <c r="O7778">
        <v>1</v>
      </c>
      <c r="P7778">
        <v>1</v>
      </c>
      <c r="Q7778">
        <v>1</v>
      </c>
      <c r="R7778">
        <v>1</v>
      </c>
    </row>
    <row r="7779" spans="1:18" x14ac:dyDescent="0.2">
      <c r="A7779" t="str">
        <f>"7775"</f>
        <v>7775</v>
      </c>
      <c r="B7779" t="str">
        <f t="shared" si="430"/>
        <v>1</v>
      </c>
      <c r="C7779" t="str">
        <f t="shared" si="432"/>
        <v>156</v>
      </c>
      <c r="D7779" t="str">
        <f>"47"</f>
        <v>47</v>
      </c>
      <c r="E7779" t="str">
        <f>"1-156-47"</f>
        <v>1-156-47</v>
      </c>
      <c r="F7779" t="s">
        <v>65</v>
      </c>
      <c r="G7779" t="s">
        <v>66</v>
      </c>
      <c r="H7779" t="s">
        <v>68</v>
      </c>
      <c r="I7779">
        <v>1</v>
      </c>
      <c r="J7779">
        <v>0</v>
      </c>
      <c r="K7779">
        <v>0</v>
      </c>
      <c r="L7779">
        <v>1</v>
      </c>
      <c r="M7779">
        <v>1</v>
      </c>
      <c r="N7779">
        <v>1</v>
      </c>
      <c r="O7779">
        <v>1</v>
      </c>
      <c r="P7779">
        <v>1</v>
      </c>
      <c r="Q7779">
        <v>1</v>
      </c>
      <c r="R7779">
        <v>1</v>
      </c>
    </row>
    <row r="7780" spans="1:18" x14ac:dyDescent="0.2">
      <c r="A7780" t="str">
        <f>"7776"</f>
        <v>7776</v>
      </c>
      <c r="B7780" t="str">
        <f t="shared" si="430"/>
        <v>1</v>
      </c>
      <c r="C7780" t="str">
        <f t="shared" si="432"/>
        <v>156</v>
      </c>
      <c r="D7780" t="str">
        <f>"37"</f>
        <v>37</v>
      </c>
      <c r="E7780" t="str">
        <f>"1-156-37"</f>
        <v>1-156-37</v>
      </c>
      <c r="F7780" t="s">
        <v>65</v>
      </c>
      <c r="G7780" t="s">
        <v>66</v>
      </c>
      <c r="H7780" t="s">
        <v>68</v>
      </c>
      <c r="I7780">
        <v>0</v>
      </c>
      <c r="J7780">
        <v>1</v>
      </c>
      <c r="K7780">
        <v>0</v>
      </c>
      <c r="L7780">
        <v>0</v>
      </c>
      <c r="M7780">
        <v>1</v>
      </c>
      <c r="N7780">
        <v>0</v>
      </c>
      <c r="O7780">
        <v>1</v>
      </c>
      <c r="P7780">
        <v>1</v>
      </c>
      <c r="Q7780">
        <v>1</v>
      </c>
      <c r="R7780">
        <v>0</v>
      </c>
    </row>
    <row r="7781" spans="1:18" x14ac:dyDescent="0.2">
      <c r="A7781" t="str">
        <f>"7777"</f>
        <v>7777</v>
      </c>
      <c r="B7781" t="str">
        <f t="shared" si="430"/>
        <v>1</v>
      </c>
      <c r="C7781" t="str">
        <f t="shared" si="432"/>
        <v>156</v>
      </c>
      <c r="D7781" t="str">
        <f>"20"</f>
        <v>20</v>
      </c>
      <c r="E7781" t="str">
        <f>"1-156-20"</f>
        <v>1-156-20</v>
      </c>
      <c r="F7781" t="s">
        <v>65</v>
      </c>
      <c r="G7781" t="s">
        <v>66</v>
      </c>
      <c r="H7781" t="s">
        <v>68</v>
      </c>
      <c r="I7781">
        <v>1</v>
      </c>
      <c r="J7781">
        <v>1</v>
      </c>
      <c r="K7781">
        <v>0</v>
      </c>
      <c r="L7781">
        <v>0</v>
      </c>
      <c r="M7781">
        <v>1</v>
      </c>
      <c r="N7781">
        <v>1</v>
      </c>
      <c r="O7781">
        <v>1</v>
      </c>
      <c r="P7781">
        <v>1</v>
      </c>
      <c r="Q7781">
        <v>1</v>
      </c>
      <c r="R7781">
        <v>1</v>
      </c>
    </row>
    <row r="7782" spans="1:18" x14ac:dyDescent="0.2">
      <c r="A7782" t="str">
        <f>"7778"</f>
        <v>7778</v>
      </c>
      <c r="B7782" t="str">
        <f t="shared" si="430"/>
        <v>1</v>
      </c>
      <c r="C7782" t="str">
        <f t="shared" si="432"/>
        <v>156</v>
      </c>
      <c r="D7782" t="str">
        <f>"5"</f>
        <v>5</v>
      </c>
      <c r="E7782" t="str">
        <f>"1-156-5"</f>
        <v>1-156-5</v>
      </c>
      <c r="F7782" t="s">
        <v>65</v>
      </c>
      <c r="G7782" t="s">
        <v>66</v>
      </c>
      <c r="H7782" t="s">
        <v>68</v>
      </c>
      <c r="I7782">
        <v>1</v>
      </c>
      <c r="J7782">
        <v>0</v>
      </c>
      <c r="K7782">
        <v>0</v>
      </c>
      <c r="L7782">
        <v>1</v>
      </c>
      <c r="M7782">
        <v>1</v>
      </c>
      <c r="N7782">
        <v>1</v>
      </c>
      <c r="O7782">
        <v>1</v>
      </c>
      <c r="P7782">
        <v>1</v>
      </c>
      <c r="Q7782">
        <v>1</v>
      </c>
      <c r="R7782">
        <v>1</v>
      </c>
    </row>
    <row r="7783" spans="1:18" x14ac:dyDescent="0.2">
      <c r="A7783" t="str">
        <f>"7779"</f>
        <v>7779</v>
      </c>
      <c r="B7783" t="str">
        <f t="shared" si="430"/>
        <v>1</v>
      </c>
      <c r="C7783" t="str">
        <f t="shared" si="432"/>
        <v>156</v>
      </c>
      <c r="D7783" t="str">
        <f>"42"</f>
        <v>42</v>
      </c>
      <c r="E7783" t="str">
        <f>"1-156-42"</f>
        <v>1-156-42</v>
      </c>
      <c r="F7783" t="s">
        <v>65</v>
      </c>
      <c r="G7783" t="s">
        <v>66</v>
      </c>
      <c r="H7783" t="s">
        <v>68</v>
      </c>
      <c r="I7783">
        <v>1</v>
      </c>
      <c r="J7783">
        <v>1</v>
      </c>
      <c r="K7783">
        <v>0</v>
      </c>
      <c r="L7783">
        <v>0</v>
      </c>
      <c r="M7783">
        <v>1</v>
      </c>
      <c r="N7783">
        <v>1</v>
      </c>
      <c r="O7783">
        <v>1</v>
      </c>
      <c r="P7783">
        <v>1</v>
      </c>
      <c r="Q7783">
        <v>1</v>
      </c>
      <c r="R7783">
        <v>1</v>
      </c>
    </row>
    <row r="7784" spans="1:18" x14ac:dyDescent="0.2">
      <c r="A7784" t="str">
        <f>"7780"</f>
        <v>7780</v>
      </c>
      <c r="B7784" t="str">
        <f t="shared" si="430"/>
        <v>1</v>
      </c>
      <c r="C7784" t="str">
        <f t="shared" si="432"/>
        <v>156</v>
      </c>
      <c r="D7784" t="str">
        <f>"22"</f>
        <v>22</v>
      </c>
      <c r="E7784" t="str">
        <f>"1-156-22"</f>
        <v>1-156-22</v>
      </c>
      <c r="F7784" t="s">
        <v>65</v>
      </c>
      <c r="G7784" t="s">
        <v>66</v>
      </c>
      <c r="H7784" t="s">
        <v>68</v>
      </c>
      <c r="I7784">
        <v>1</v>
      </c>
      <c r="J7784">
        <v>0</v>
      </c>
      <c r="K7784">
        <v>1</v>
      </c>
      <c r="L7784">
        <v>0</v>
      </c>
      <c r="M7784">
        <v>1</v>
      </c>
      <c r="N7784">
        <v>1</v>
      </c>
      <c r="O7784">
        <v>1</v>
      </c>
      <c r="P7784">
        <v>1</v>
      </c>
      <c r="Q7784">
        <v>1</v>
      </c>
      <c r="R7784">
        <v>1</v>
      </c>
    </row>
    <row r="7785" spans="1:18" x14ac:dyDescent="0.2">
      <c r="A7785" t="str">
        <f>"7781"</f>
        <v>7781</v>
      </c>
      <c r="B7785" t="str">
        <f t="shared" si="430"/>
        <v>1</v>
      </c>
      <c r="C7785" t="str">
        <f t="shared" si="432"/>
        <v>156</v>
      </c>
      <c r="D7785" t="str">
        <f>"11"</f>
        <v>11</v>
      </c>
      <c r="E7785" t="str">
        <f>"1-156-11"</f>
        <v>1-156-11</v>
      </c>
      <c r="F7785" t="s">
        <v>65</v>
      </c>
      <c r="G7785" t="s">
        <v>66</v>
      </c>
      <c r="H7785" t="s">
        <v>68</v>
      </c>
      <c r="I7785">
        <v>1</v>
      </c>
      <c r="J7785">
        <v>0</v>
      </c>
      <c r="K7785">
        <v>0</v>
      </c>
      <c r="L7785">
        <v>1</v>
      </c>
      <c r="M7785">
        <v>1</v>
      </c>
      <c r="N7785">
        <v>1</v>
      </c>
      <c r="O7785">
        <v>1</v>
      </c>
      <c r="P7785">
        <v>1</v>
      </c>
      <c r="Q7785">
        <v>1</v>
      </c>
      <c r="R7785">
        <v>1</v>
      </c>
    </row>
    <row r="7786" spans="1:18" x14ac:dyDescent="0.2">
      <c r="A7786" t="str">
        <f>"7782"</f>
        <v>7782</v>
      </c>
      <c r="B7786" t="str">
        <f t="shared" si="430"/>
        <v>1</v>
      </c>
      <c r="C7786" t="str">
        <f t="shared" si="432"/>
        <v>156</v>
      </c>
      <c r="D7786" t="str">
        <f>"41"</f>
        <v>41</v>
      </c>
      <c r="E7786" t="str">
        <f>"1-156-41"</f>
        <v>1-156-41</v>
      </c>
      <c r="F7786" t="s">
        <v>65</v>
      </c>
      <c r="G7786" t="s">
        <v>66</v>
      </c>
      <c r="H7786" t="s">
        <v>68</v>
      </c>
      <c r="I7786">
        <v>1</v>
      </c>
      <c r="J7786">
        <v>0</v>
      </c>
      <c r="K7786">
        <v>0</v>
      </c>
      <c r="L7786">
        <v>1</v>
      </c>
      <c r="M7786">
        <v>1</v>
      </c>
      <c r="N7786">
        <v>1</v>
      </c>
      <c r="O7786">
        <v>1</v>
      </c>
      <c r="P7786">
        <v>1</v>
      </c>
      <c r="Q7786">
        <v>1</v>
      </c>
      <c r="R7786">
        <v>1</v>
      </c>
    </row>
    <row r="7787" spans="1:18" x14ac:dyDescent="0.2">
      <c r="A7787" t="str">
        <f>"7783"</f>
        <v>7783</v>
      </c>
      <c r="B7787" t="str">
        <f t="shared" si="430"/>
        <v>1</v>
      </c>
      <c r="C7787" t="str">
        <f t="shared" ref="C7787:C7804" si="433">"156"</f>
        <v>156</v>
      </c>
      <c r="D7787" t="str">
        <f>"23"</f>
        <v>23</v>
      </c>
      <c r="E7787" t="str">
        <f>"1-156-23"</f>
        <v>1-156-23</v>
      </c>
      <c r="F7787" t="s">
        <v>65</v>
      </c>
      <c r="G7787" t="s">
        <v>66</v>
      </c>
      <c r="H7787" t="s">
        <v>68</v>
      </c>
      <c r="I7787">
        <v>1</v>
      </c>
      <c r="J7787">
        <v>0</v>
      </c>
      <c r="K7787">
        <v>0</v>
      </c>
      <c r="L7787">
        <v>1</v>
      </c>
      <c r="M7787">
        <v>1</v>
      </c>
      <c r="N7787">
        <v>1</v>
      </c>
      <c r="O7787">
        <v>1</v>
      </c>
      <c r="P7787">
        <v>1</v>
      </c>
      <c r="Q7787">
        <v>1</v>
      </c>
      <c r="R7787">
        <v>1</v>
      </c>
    </row>
    <row r="7788" spans="1:18" x14ac:dyDescent="0.2">
      <c r="A7788" t="str">
        <f>"7784"</f>
        <v>7784</v>
      </c>
      <c r="B7788" t="str">
        <f t="shared" si="430"/>
        <v>1</v>
      </c>
      <c r="C7788" t="str">
        <f t="shared" si="433"/>
        <v>156</v>
      </c>
      <c r="D7788" t="str">
        <f>"12"</f>
        <v>12</v>
      </c>
      <c r="E7788" t="str">
        <f>"1-156-12"</f>
        <v>1-156-12</v>
      </c>
      <c r="F7788" t="s">
        <v>65</v>
      </c>
      <c r="G7788" t="s">
        <v>66</v>
      </c>
      <c r="H7788" t="s">
        <v>68</v>
      </c>
      <c r="I7788">
        <v>1</v>
      </c>
      <c r="J7788">
        <v>0</v>
      </c>
      <c r="K7788">
        <v>0</v>
      </c>
      <c r="L7788">
        <v>1</v>
      </c>
      <c r="M7788">
        <v>1</v>
      </c>
      <c r="N7788">
        <v>1</v>
      </c>
      <c r="O7788">
        <v>1</v>
      </c>
      <c r="P7788">
        <v>1</v>
      </c>
      <c r="Q7788">
        <v>1</v>
      </c>
      <c r="R7788">
        <v>1</v>
      </c>
    </row>
    <row r="7789" spans="1:18" x14ac:dyDescent="0.2">
      <c r="A7789" t="str">
        <f>"7785"</f>
        <v>7785</v>
      </c>
      <c r="B7789" t="str">
        <f t="shared" si="430"/>
        <v>1</v>
      </c>
      <c r="C7789" t="str">
        <f t="shared" si="433"/>
        <v>156</v>
      </c>
      <c r="D7789" t="str">
        <f>"46"</f>
        <v>46</v>
      </c>
      <c r="E7789" t="str">
        <f>"1-156-46"</f>
        <v>1-156-46</v>
      </c>
      <c r="F7789" t="s">
        <v>65</v>
      </c>
      <c r="G7789" t="s">
        <v>66</v>
      </c>
      <c r="H7789" t="s">
        <v>68</v>
      </c>
      <c r="I7789">
        <v>1</v>
      </c>
      <c r="J7789">
        <v>0</v>
      </c>
      <c r="K7789">
        <v>1</v>
      </c>
      <c r="L7789">
        <v>0</v>
      </c>
      <c r="M7789">
        <v>1</v>
      </c>
      <c r="N7789">
        <v>1</v>
      </c>
      <c r="O7789">
        <v>1</v>
      </c>
      <c r="P7789">
        <v>1</v>
      </c>
      <c r="Q7789">
        <v>1</v>
      </c>
      <c r="R7789">
        <v>1</v>
      </c>
    </row>
    <row r="7790" spans="1:18" x14ac:dyDescent="0.2">
      <c r="A7790" t="str">
        <f>"7786"</f>
        <v>7786</v>
      </c>
      <c r="B7790" t="str">
        <f t="shared" si="430"/>
        <v>1</v>
      </c>
      <c r="C7790" t="str">
        <f t="shared" si="433"/>
        <v>156</v>
      </c>
      <c r="D7790" t="str">
        <f>"25"</f>
        <v>25</v>
      </c>
      <c r="E7790" t="str">
        <f>"1-156-25"</f>
        <v>1-156-25</v>
      </c>
      <c r="F7790" t="s">
        <v>65</v>
      </c>
      <c r="G7790" t="s">
        <v>66</v>
      </c>
      <c r="H7790" t="s">
        <v>68</v>
      </c>
      <c r="I7790">
        <v>1</v>
      </c>
      <c r="J7790">
        <v>0</v>
      </c>
      <c r="K7790">
        <v>1</v>
      </c>
      <c r="L7790">
        <v>0</v>
      </c>
      <c r="M7790">
        <v>1</v>
      </c>
      <c r="N7790">
        <v>1</v>
      </c>
      <c r="O7790">
        <v>1</v>
      </c>
      <c r="P7790">
        <v>1</v>
      </c>
      <c r="Q7790">
        <v>1</v>
      </c>
      <c r="R7790">
        <v>1</v>
      </c>
    </row>
    <row r="7791" spans="1:18" x14ac:dyDescent="0.2">
      <c r="A7791" t="str">
        <f>"7787"</f>
        <v>7787</v>
      </c>
      <c r="B7791" t="str">
        <f t="shared" si="430"/>
        <v>1</v>
      </c>
      <c r="C7791" t="str">
        <f t="shared" si="433"/>
        <v>156</v>
      </c>
      <c r="D7791" t="str">
        <f>"10"</f>
        <v>10</v>
      </c>
      <c r="E7791" t="str">
        <f>"1-156-10"</f>
        <v>1-156-10</v>
      </c>
      <c r="F7791" t="s">
        <v>65</v>
      </c>
      <c r="G7791" t="s">
        <v>66</v>
      </c>
      <c r="H7791" t="s">
        <v>68</v>
      </c>
      <c r="I7791">
        <v>1</v>
      </c>
      <c r="J7791">
        <v>1</v>
      </c>
      <c r="K7791">
        <v>0</v>
      </c>
      <c r="L7791">
        <v>0</v>
      </c>
      <c r="M7791">
        <v>1</v>
      </c>
      <c r="N7791">
        <v>1</v>
      </c>
      <c r="O7791">
        <v>1</v>
      </c>
      <c r="P7791">
        <v>1</v>
      </c>
      <c r="Q7791">
        <v>1</v>
      </c>
      <c r="R7791">
        <v>1</v>
      </c>
    </row>
    <row r="7792" spans="1:18" x14ac:dyDescent="0.2">
      <c r="A7792" t="str">
        <f>"7788"</f>
        <v>7788</v>
      </c>
      <c r="B7792" t="str">
        <f t="shared" si="430"/>
        <v>1</v>
      </c>
      <c r="C7792" t="str">
        <f t="shared" si="433"/>
        <v>156</v>
      </c>
      <c r="D7792" t="str">
        <f>"45"</f>
        <v>45</v>
      </c>
      <c r="E7792" t="str">
        <f>"1-156-45"</f>
        <v>1-156-45</v>
      </c>
      <c r="F7792" t="s">
        <v>65</v>
      </c>
      <c r="G7792" t="s">
        <v>66</v>
      </c>
      <c r="H7792" t="s">
        <v>68</v>
      </c>
      <c r="I7792">
        <v>1</v>
      </c>
      <c r="J7792">
        <v>0</v>
      </c>
      <c r="K7792">
        <v>0</v>
      </c>
      <c r="L7792">
        <v>1</v>
      </c>
      <c r="M7792">
        <v>1</v>
      </c>
      <c r="N7792">
        <v>1</v>
      </c>
      <c r="O7792">
        <v>1</v>
      </c>
      <c r="P7792">
        <v>1</v>
      </c>
      <c r="Q7792">
        <v>1</v>
      </c>
      <c r="R7792">
        <v>1</v>
      </c>
    </row>
    <row r="7793" spans="1:18" x14ac:dyDescent="0.2">
      <c r="A7793" t="str">
        <f>"7789"</f>
        <v>7789</v>
      </c>
      <c r="B7793" t="str">
        <f t="shared" si="430"/>
        <v>1</v>
      </c>
      <c r="C7793" t="str">
        <f t="shared" si="433"/>
        <v>156</v>
      </c>
      <c r="D7793" t="str">
        <f>"27"</f>
        <v>27</v>
      </c>
      <c r="E7793" t="str">
        <f>"1-156-27"</f>
        <v>1-156-27</v>
      </c>
      <c r="F7793" t="s">
        <v>65</v>
      </c>
      <c r="G7793" t="s">
        <v>66</v>
      </c>
      <c r="H7793" t="s">
        <v>68</v>
      </c>
      <c r="I7793">
        <v>1</v>
      </c>
      <c r="J7793">
        <v>0</v>
      </c>
      <c r="K7793">
        <v>0</v>
      </c>
      <c r="L7793">
        <v>1</v>
      </c>
      <c r="M7793">
        <v>1</v>
      </c>
      <c r="N7793">
        <v>1</v>
      </c>
      <c r="O7793">
        <v>1</v>
      </c>
      <c r="P7793">
        <v>1</v>
      </c>
      <c r="Q7793">
        <v>1</v>
      </c>
      <c r="R7793">
        <v>1</v>
      </c>
    </row>
    <row r="7794" spans="1:18" x14ac:dyDescent="0.2">
      <c r="A7794" t="str">
        <f>"7790"</f>
        <v>7790</v>
      </c>
      <c r="B7794" t="str">
        <f t="shared" si="430"/>
        <v>1</v>
      </c>
      <c r="C7794" t="str">
        <f t="shared" si="433"/>
        <v>156</v>
      </c>
      <c r="D7794" t="str">
        <f>"2"</f>
        <v>2</v>
      </c>
      <c r="E7794" t="str">
        <f>"1-156-2"</f>
        <v>1-156-2</v>
      </c>
      <c r="F7794" t="s">
        <v>65</v>
      </c>
      <c r="G7794" t="s">
        <v>66</v>
      </c>
      <c r="H7794" t="s">
        <v>68</v>
      </c>
      <c r="I7794">
        <v>1</v>
      </c>
      <c r="J7794">
        <v>0</v>
      </c>
      <c r="K7794">
        <v>1</v>
      </c>
      <c r="L7794">
        <v>0</v>
      </c>
      <c r="M7794">
        <v>1</v>
      </c>
      <c r="N7794">
        <v>1</v>
      </c>
      <c r="O7794">
        <v>1</v>
      </c>
      <c r="P7794">
        <v>1</v>
      </c>
      <c r="Q7794">
        <v>1</v>
      </c>
      <c r="R7794">
        <v>1</v>
      </c>
    </row>
    <row r="7795" spans="1:18" x14ac:dyDescent="0.2">
      <c r="A7795" t="str">
        <f>"7791"</f>
        <v>7791</v>
      </c>
      <c r="B7795" t="str">
        <f t="shared" si="430"/>
        <v>1</v>
      </c>
      <c r="C7795" t="str">
        <f t="shared" si="433"/>
        <v>156</v>
      </c>
      <c r="D7795" t="str">
        <f>"29"</f>
        <v>29</v>
      </c>
      <c r="E7795" t="str">
        <f>"1-156-29"</f>
        <v>1-156-29</v>
      </c>
      <c r="F7795" t="s">
        <v>65</v>
      </c>
      <c r="G7795" t="s">
        <v>66</v>
      </c>
      <c r="H7795" t="s">
        <v>68</v>
      </c>
      <c r="I7795">
        <v>1</v>
      </c>
      <c r="J7795">
        <v>1</v>
      </c>
      <c r="K7795">
        <v>0</v>
      </c>
      <c r="L7795">
        <v>0</v>
      </c>
      <c r="M7795">
        <v>1</v>
      </c>
      <c r="N7795">
        <v>1</v>
      </c>
      <c r="O7795">
        <v>1</v>
      </c>
      <c r="P7795">
        <v>1</v>
      </c>
      <c r="Q7795">
        <v>1</v>
      </c>
      <c r="R7795">
        <v>1</v>
      </c>
    </row>
    <row r="7796" spans="1:18" x14ac:dyDescent="0.2">
      <c r="A7796" t="str">
        <f>"7792"</f>
        <v>7792</v>
      </c>
      <c r="B7796" t="str">
        <f t="shared" si="430"/>
        <v>1</v>
      </c>
      <c r="C7796" t="str">
        <f t="shared" si="433"/>
        <v>156</v>
      </c>
      <c r="D7796" t="str">
        <f>"8"</f>
        <v>8</v>
      </c>
      <c r="E7796" t="str">
        <f>"1-156-8"</f>
        <v>1-156-8</v>
      </c>
      <c r="F7796" t="s">
        <v>65</v>
      </c>
      <c r="G7796" t="s">
        <v>66</v>
      </c>
      <c r="H7796" t="s">
        <v>68</v>
      </c>
      <c r="I7796">
        <v>1</v>
      </c>
      <c r="J7796">
        <v>1</v>
      </c>
      <c r="K7796">
        <v>0</v>
      </c>
      <c r="L7796">
        <v>0</v>
      </c>
      <c r="M7796">
        <v>1</v>
      </c>
      <c r="N7796">
        <v>1</v>
      </c>
      <c r="O7796">
        <v>1</v>
      </c>
      <c r="P7796">
        <v>1</v>
      </c>
      <c r="Q7796">
        <v>1</v>
      </c>
      <c r="R7796">
        <v>1</v>
      </c>
    </row>
    <row r="7797" spans="1:18" x14ac:dyDescent="0.2">
      <c r="A7797" t="str">
        <f>"7793"</f>
        <v>7793</v>
      </c>
      <c r="B7797" t="str">
        <f t="shared" si="430"/>
        <v>1</v>
      </c>
      <c r="C7797" t="str">
        <f t="shared" si="433"/>
        <v>156</v>
      </c>
      <c r="D7797" t="str">
        <f>"49"</f>
        <v>49</v>
      </c>
      <c r="E7797" t="str">
        <f>"1-156-49"</f>
        <v>1-156-49</v>
      </c>
      <c r="F7797" t="s">
        <v>65</v>
      </c>
      <c r="G7797" t="s">
        <v>66</v>
      </c>
      <c r="H7797" t="s">
        <v>68</v>
      </c>
      <c r="I7797">
        <v>1</v>
      </c>
      <c r="J7797">
        <v>0</v>
      </c>
      <c r="K7797">
        <v>1</v>
      </c>
      <c r="L7797">
        <v>0</v>
      </c>
      <c r="M7797">
        <v>0</v>
      </c>
      <c r="N7797">
        <v>0</v>
      </c>
      <c r="O7797">
        <v>1</v>
      </c>
      <c r="P7797">
        <v>1</v>
      </c>
      <c r="Q7797">
        <v>1</v>
      </c>
      <c r="R7797">
        <v>1</v>
      </c>
    </row>
    <row r="7798" spans="1:18" x14ac:dyDescent="0.2">
      <c r="A7798" t="str">
        <f>"7794"</f>
        <v>7794</v>
      </c>
      <c r="B7798" t="str">
        <f t="shared" si="430"/>
        <v>1</v>
      </c>
      <c r="C7798" t="str">
        <f t="shared" si="433"/>
        <v>156</v>
      </c>
      <c r="D7798" t="str">
        <f>"30"</f>
        <v>30</v>
      </c>
      <c r="E7798" t="str">
        <f>"1-156-30"</f>
        <v>1-156-30</v>
      </c>
      <c r="F7798" t="s">
        <v>65</v>
      </c>
      <c r="G7798" t="s">
        <v>66</v>
      </c>
      <c r="H7798" t="s">
        <v>68</v>
      </c>
      <c r="I7798">
        <v>1</v>
      </c>
      <c r="J7798">
        <v>0</v>
      </c>
      <c r="K7798">
        <v>0</v>
      </c>
      <c r="L7798">
        <v>1</v>
      </c>
      <c r="M7798">
        <v>1</v>
      </c>
      <c r="N7798">
        <v>1</v>
      </c>
      <c r="O7798">
        <v>1</v>
      </c>
      <c r="P7798">
        <v>1</v>
      </c>
      <c r="Q7798">
        <v>1</v>
      </c>
      <c r="R7798">
        <v>1</v>
      </c>
    </row>
    <row r="7799" spans="1:18" x14ac:dyDescent="0.2">
      <c r="A7799" t="str">
        <f>"7795"</f>
        <v>7795</v>
      </c>
      <c r="B7799" t="str">
        <f t="shared" ref="B7799:B7862" si="434">"1"</f>
        <v>1</v>
      </c>
      <c r="C7799" t="str">
        <f t="shared" si="433"/>
        <v>156</v>
      </c>
      <c r="D7799" t="str">
        <f>"3"</f>
        <v>3</v>
      </c>
      <c r="E7799" t="str">
        <f>"1-156-3"</f>
        <v>1-156-3</v>
      </c>
      <c r="F7799" t="s">
        <v>65</v>
      </c>
      <c r="G7799" t="s">
        <v>66</v>
      </c>
      <c r="H7799" t="s">
        <v>68</v>
      </c>
      <c r="I7799">
        <v>1</v>
      </c>
      <c r="J7799">
        <v>0</v>
      </c>
      <c r="K7799">
        <v>1</v>
      </c>
      <c r="L7799">
        <v>0</v>
      </c>
      <c r="M7799">
        <v>1</v>
      </c>
      <c r="N7799">
        <v>1</v>
      </c>
      <c r="O7799">
        <v>1</v>
      </c>
      <c r="P7799">
        <v>1</v>
      </c>
      <c r="Q7799">
        <v>1</v>
      </c>
      <c r="R7799">
        <v>1</v>
      </c>
    </row>
    <row r="7800" spans="1:18" x14ac:dyDescent="0.2">
      <c r="A7800" t="str">
        <f>"7796"</f>
        <v>7796</v>
      </c>
      <c r="B7800" t="str">
        <f t="shared" si="434"/>
        <v>1</v>
      </c>
      <c r="C7800" t="str">
        <f t="shared" si="433"/>
        <v>156</v>
      </c>
      <c r="D7800" t="str">
        <f>"50"</f>
        <v>50</v>
      </c>
      <c r="E7800" t="str">
        <f>"1-156-50"</f>
        <v>1-156-50</v>
      </c>
      <c r="F7800" t="s">
        <v>65</v>
      </c>
      <c r="G7800" t="s">
        <v>66</v>
      </c>
      <c r="H7800" t="s">
        <v>68</v>
      </c>
      <c r="I7800">
        <v>1</v>
      </c>
      <c r="J7800">
        <v>1</v>
      </c>
      <c r="K7800">
        <v>0</v>
      </c>
      <c r="L7800">
        <v>0</v>
      </c>
      <c r="M7800">
        <v>1</v>
      </c>
      <c r="N7800">
        <v>1</v>
      </c>
      <c r="O7800">
        <v>1</v>
      </c>
      <c r="P7800">
        <v>1</v>
      </c>
      <c r="Q7800">
        <v>1</v>
      </c>
      <c r="R7800">
        <v>1</v>
      </c>
    </row>
    <row r="7801" spans="1:18" x14ac:dyDescent="0.2">
      <c r="A7801" t="str">
        <f>"7797"</f>
        <v>7797</v>
      </c>
      <c r="B7801" t="str">
        <f t="shared" si="434"/>
        <v>1</v>
      </c>
      <c r="C7801" t="str">
        <f t="shared" si="433"/>
        <v>156</v>
      </c>
      <c r="D7801" t="str">
        <f>"31"</f>
        <v>31</v>
      </c>
      <c r="E7801" t="str">
        <f>"1-156-31"</f>
        <v>1-156-31</v>
      </c>
      <c r="F7801" t="s">
        <v>65</v>
      </c>
      <c r="G7801" t="s">
        <v>66</v>
      </c>
      <c r="H7801" t="s">
        <v>68</v>
      </c>
      <c r="I7801">
        <v>1</v>
      </c>
      <c r="J7801">
        <v>0</v>
      </c>
      <c r="K7801">
        <v>0</v>
      </c>
      <c r="L7801">
        <v>1</v>
      </c>
      <c r="M7801">
        <v>1</v>
      </c>
      <c r="N7801">
        <v>1</v>
      </c>
      <c r="O7801">
        <v>1</v>
      </c>
      <c r="P7801">
        <v>1</v>
      </c>
      <c r="Q7801">
        <v>1</v>
      </c>
      <c r="R7801">
        <v>1</v>
      </c>
    </row>
    <row r="7802" spans="1:18" x14ac:dyDescent="0.2">
      <c r="A7802" t="str">
        <f>"7798"</f>
        <v>7798</v>
      </c>
      <c r="B7802" t="str">
        <f t="shared" si="434"/>
        <v>1</v>
      </c>
      <c r="C7802" t="str">
        <f t="shared" si="433"/>
        <v>156</v>
      </c>
      <c r="D7802" t="str">
        <f>"32"</f>
        <v>32</v>
      </c>
      <c r="E7802" t="str">
        <f>"1-156-32"</f>
        <v>1-156-32</v>
      </c>
      <c r="F7802" t="s">
        <v>65</v>
      </c>
      <c r="G7802" t="s">
        <v>66</v>
      </c>
      <c r="H7802" t="s">
        <v>68</v>
      </c>
      <c r="I7802">
        <v>1</v>
      </c>
      <c r="J7802">
        <v>0</v>
      </c>
      <c r="K7802">
        <v>1</v>
      </c>
      <c r="L7802">
        <v>0</v>
      </c>
      <c r="M7802">
        <v>1</v>
      </c>
      <c r="N7802">
        <v>1</v>
      </c>
      <c r="O7802">
        <v>1</v>
      </c>
      <c r="P7802">
        <v>1</v>
      </c>
      <c r="Q7802">
        <v>1</v>
      </c>
      <c r="R7802">
        <v>1</v>
      </c>
    </row>
    <row r="7803" spans="1:18" x14ac:dyDescent="0.2">
      <c r="A7803" t="str">
        <f>"7799"</f>
        <v>7799</v>
      </c>
      <c r="B7803" t="str">
        <f t="shared" si="434"/>
        <v>1</v>
      </c>
      <c r="C7803" t="str">
        <f t="shared" si="433"/>
        <v>156</v>
      </c>
      <c r="D7803" t="str">
        <f>"6"</f>
        <v>6</v>
      </c>
      <c r="E7803" t="str">
        <f>"1-156-6"</f>
        <v>1-156-6</v>
      </c>
      <c r="F7803" t="s">
        <v>65</v>
      </c>
      <c r="G7803" t="s">
        <v>66</v>
      </c>
      <c r="H7803" t="s">
        <v>68</v>
      </c>
      <c r="I7803">
        <v>1</v>
      </c>
      <c r="J7803">
        <v>0</v>
      </c>
      <c r="K7803">
        <v>1</v>
      </c>
      <c r="L7803">
        <v>0</v>
      </c>
      <c r="M7803">
        <v>1</v>
      </c>
      <c r="N7803">
        <v>0</v>
      </c>
      <c r="O7803">
        <v>0</v>
      </c>
      <c r="P7803">
        <v>0</v>
      </c>
      <c r="Q7803">
        <v>0</v>
      </c>
      <c r="R7803">
        <v>0</v>
      </c>
    </row>
    <row r="7804" spans="1:18" x14ac:dyDescent="0.2">
      <c r="A7804" t="str">
        <f>"7800"</f>
        <v>7800</v>
      </c>
      <c r="B7804" t="str">
        <f t="shared" si="434"/>
        <v>1</v>
      </c>
      <c r="C7804" t="str">
        <f t="shared" si="433"/>
        <v>156</v>
      </c>
      <c r="D7804" t="str">
        <f>"13"</f>
        <v>13</v>
      </c>
      <c r="E7804" t="str">
        <f>"1-156-13"</f>
        <v>1-156-13</v>
      </c>
      <c r="F7804" t="s">
        <v>65</v>
      </c>
      <c r="G7804" t="s">
        <v>66</v>
      </c>
      <c r="H7804" t="s">
        <v>68</v>
      </c>
      <c r="I7804">
        <v>1</v>
      </c>
      <c r="J7804">
        <v>1</v>
      </c>
      <c r="K7804">
        <v>0</v>
      </c>
      <c r="L7804">
        <v>0</v>
      </c>
      <c r="M7804">
        <v>1</v>
      </c>
      <c r="N7804">
        <v>1</v>
      </c>
      <c r="O7804">
        <v>1</v>
      </c>
      <c r="P7804">
        <v>1</v>
      </c>
      <c r="Q7804">
        <v>1</v>
      </c>
      <c r="R7804">
        <v>1</v>
      </c>
    </row>
    <row r="7805" spans="1:18" x14ac:dyDescent="0.2">
      <c r="A7805" t="str">
        <f>"7801"</f>
        <v>7801</v>
      </c>
      <c r="B7805" t="str">
        <f t="shared" si="434"/>
        <v>1</v>
      </c>
      <c r="C7805" t="str">
        <f t="shared" ref="C7805:C7836" si="435">"157"</f>
        <v>157</v>
      </c>
      <c r="D7805" t="str">
        <f>"36"</f>
        <v>36</v>
      </c>
      <c r="E7805" t="str">
        <f>"1-157-36"</f>
        <v>1-157-36</v>
      </c>
      <c r="F7805" t="s">
        <v>65</v>
      </c>
      <c r="G7805" t="s">
        <v>66</v>
      </c>
      <c r="H7805" t="s">
        <v>68</v>
      </c>
      <c r="I7805">
        <v>1</v>
      </c>
      <c r="J7805">
        <v>0</v>
      </c>
      <c r="K7805">
        <v>0</v>
      </c>
      <c r="L7805">
        <v>1</v>
      </c>
      <c r="M7805">
        <v>1</v>
      </c>
      <c r="N7805">
        <v>1</v>
      </c>
      <c r="O7805">
        <v>1</v>
      </c>
      <c r="P7805">
        <v>1</v>
      </c>
      <c r="Q7805">
        <v>1</v>
      </c>
      <c r="R7805">
        <v>1</v>
      </c>
    </row>
    <row r="7806" spans="1:18" x14ac:dyDescent="0.2">
      <c r="A7806" t="str">
        <f>"7802"</f>
        <v>7802</v>
      </c>
      <c r="B7806" t="str">
        <f t="shared" si="434"/>
        <v>1</v>
      </c>
      <c r="C7806" t="str">
        <f t="shared" si="435"/>
        <v>157</v>
      </c>
      <c r="D7806" t="str">
        <f>"35"</f>
        <v>35</v>
      </c>
      <c r="E7806" t="str">
        <f>"1-157-35"</f>
        <v>1-157-35</v>
      </c>
      <c r="F7806" t="s">
        <v>65</v>
      </c>
      <c r="G7806" t="s">
        <v>66</v>
      </c>
      <c r="H7806" t="s">
        <v>68</v>
      </c>
      <c r="I7806">
        <v>1</v>
      </c>
      <c r="J7806">
        <v>0</v>
      </c>
      <c r="K7806">
        <v>0</v>
      </c>
      <c r="L7806">
        <v>1</v>
      </c>
      <c r="M7806">
        <v>1</v>
      </c>
      <c r="N7806">
        <v>1</v>
      </c>
      <c r="O7806">
        <v>1</v>
      </c>
      <c r="P7806">
        <v>1</v>
      </c>
      <c r="Q7806">
        <v>1</v>
      </c>
      <c r="R7806">
        <v>1</v>
      </c>
    </row>
    <row r="7807" spans="1:18" x14ac:dyDescent="0.2">
      <c r="A7807" t="str">
        <f>"7803"</f>
        <v>7803</v>
      </c>
      <c r="B7807" t="str">
        <f t="shared" si="434"/>
        <v>1</v>
      </c>
      <c r="C7807" t="str">
        <f t="shared" si="435"/>
        <v>157</v>
      </c>
      <c r="D7807" t="str">
        <f>"26"</f>
        <v>26</v>
      </c>
      <c r="E7807" t="str">
        <f>"1-157-26"</f>
        <v>1-157-26</v>
      </c>
      <c r="F7807" t="s">
        <v>65</v>
      </c>
      <c r="G7807" t="s">
        <v>66</v>
      </c>
      <c r="H7807" t="s">
        <v>68</v>
      </c>
      <c r="I7807">
        <v>1</v>
      </c>
      <c r="J7807">
        <v>0</v>
      </c>
      <c r="K7807">
        <v>0</v>
      </c>
      <c r="L7807">
        <v>1</v>
      </c>
      <c r="M7807">
        <v>1</v>
      </c>
      <c r="N7807">
        <v>1</v>
      </c>
      <c r="O7807">
        <v>1</v>
      </c>
      <c r="P7807">
        <v>1</v>
      </c>
      <c r="Q7807">
        <v>1</v>
      </c>
      <c r="R7807">
        <v>1</v>
      </c>
    </row>
    <row r="7808" spans="1:18" x14ac:dyDescent="0.2">
      <c r="A7808" t="str">
        <f>"7804"</f>
        <v>7804</v>
      </c>
      <c r="B7808" t="str">
        <f t="shared" si="434"/>
        <v>1</v>
      </c>
      <c r="C7808" t="str">
        <f t="shared" si="435"/>
        <v>157</v>
      </c>
      <c r="D7808" t="str">
        <f>"15"</f>
        <v>15</v>
      </c>
      <c r="E7808" t="str">
        <f>"1-157-15"</f>
        <v>1-157-15</v>
      </c>
      <c r="F7808" t="s">
        <v>65</v>
      </c>
      <c r="G7808" t="s">
        <v>66</v>
      </c>
      <c r="H7808" t="s">
        <v>68</v>
      </c>
      <c r="I7808">
        <v>1</v>
      </c>
      <c r="J7808">
        <v>0</v>
      </c>
      <c r="K7808">
        <v>0</v>
      </c>
      <c r="L7808">
        <v>1</v>
      </c>
      <c r="M7808">
        <v>1</v>
      </c>
      <c r="N7808">
        <v>1</v>
      </c>
      <c r="O7808">
        <v>1</v>
      </c>
      <c r="P7808">
        <v>1</v>
      </c>
      <c r="Q7808">
        <v>1</v>
      </c>
      <c r="R7808">
        <v>1</v>
      </c>
    </row>
    <row r="7809" spans="1:18" x14ac:dyDescent="0.2">
      <c r="A7809" t="str">
        <f>"7805"</f>
        <v>7805</v>
      </c>
      <c r="B7809" t="str">
        <f t="shared" si="434"/>
        <v>1</v>
      </c>
      <c r="C7809" t="str">
        <f t="shared" si="435"/>
        <v>157</v>
      </c>
      <c r="D7809" t="str">
        <f>"3"</f>
        <v>3</v>
      </c>
      <c r="E7809" t="str">
        <f>"1-157-3"</f>
        <v>1-157-3</v>
      </c>
      <c r="F7809" t="s">
        <v>65</v>
      </c>
      <c r="G7809" t="s">
        <v>66</v>
      </c>
      <c r="H7809" t="s">
        <v>68</v>
      </c>
      <c r="I7809">
        <v>1</v>
      </c>
      <c r="J7809">
        <v>0</v>
      </c>
      <c r="K7809">
        <v>0</v>
      </c>
      <c r="L7809">
        <v>1</v>
      </c>
      <c r="M7809">
        <v>1</v>
      </c>
      <c r="N7809">
        <v>1</v>
      </c>
      <c r="O7809">
        <v>1</v>
      </c>
      <c r="P7809">
        <v>1</v>
      </c>
      <c r="Q7809">
        <v>1</v>
      </c>
      <c r="R7809">
        <v>1</v>
      </c>
    </row>
    <row r="7810" spans="1:18" x14ac:dyDescent="0.2">
      <c r="A7810" t="str">
        <f>"7806"</f>
        <v>7806</v>
      </c>
      <c r="B7810" t="str">
        <f t="shared" si="434"/>
        <v>1</v>
      </c>
      <c r="C7810" t="str">
        <f t="shared" si="435"/>
        <v>157</v>
      </c>
      <c r="D7810" t="str">
        <f>"40"</f>
        <v>40</v>
      </c>
      <c r="E7810" t="str">
        <f>"1-157-40"</f>
        <v>1-157-40</v>
      </c>
      <c r="F7810" t="s">
        <v>65</v>
      </c>
      <c r="G7810" t="s">
        <v>66</v>
      </c>
      <c r="H7810" t="s">
        <v>68</v>
      </c>
      <c r="I7810">
        <v>1</v>
      </c>
      <c r="J7810">
        <v>0</v>
      </c>
      <c r="K7810">
        <v>0</v>
      </c>
      <c r="L7810">
        <v>0</v>
      </c>
      <c r="M7810">
        <v>1</v>
      </c>
      <c r="N7810">
        <v>1</v>
      </c>
      <c r="O7810">
        <v>1</v>
      </c>
      <c r="P7810">
        <v>1</v>
      </c>
      <c r="Q7810">
        <v>1</v>
      </c>
      <c r="R7810">
        <v>1</v>
      </c>
    </row>
    <row r="7811" spans="1:18" x14ac:dyDescent="0.2">
      <c r="A7811" t="str">
        <f>"7807"</f>
        <v>7807</v>
      </c>
      <c r="B7811" t="str">
        <f t="shared" si="434"/>
        <v>1</v>
      </c>
      <c r="C7811" t="str">
        <f t="shared" si="435"/>
        <v>157</v>
      </c>
      <c r="D7811" t="str">
        <f>"39"</f>
        <v>39</v>
      </c>
      <c r="E7811" t="str">
        <f>"1-157-39"</f>
        <v>1-157-39</v>
      </c>
      <c r="F7811" t="s">
        <v>65</v>
      </c>
      <c r="G7811" t="s">
        <v>66</v>
      </c>
      <c r="H7811" t="s">
        <v>68</v>
      </c>
      <c r="I7811">
        <v>0</v>
      </c>
      <c r="J7811">
        <v>1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</row>
    <row r="7812" spans="1:18" x14ac:dyDescent="0.2">
      <c r="A7812" t="str">
        <f>"7808"</f>
        <v>7808</v>
      </c>
      <c r="B7812" t="str">
        <f t="shared" si="434"/>
        <v>1</v>
      </c>
      <c r="C7812" t="str">
        <f t="shared" si="435"/>
        <v>157</v>
      </c>
      <c r="D7812" t="str">
        <f>"29"</f>
        <v>29</v>
      </c>
      <c r="E7812" t="str">
        <f>"1-157-29"</f>
        <v>1-157-29</v>
      </c>
      <c r="F7812" t="s">
        <v>65</v>
      </c>
      <c r="G7812" t="s">
        <v>66</v>
      </c>
      <c r="H7812" t="s">
        <v>68</v>
      </c>
      <c r="I7812">
        <v>1</v>
      </c>
      <c r="J7812">
        <v>0</v>
      </c>
      <c r="K7812">
        <v>0</v>
      </c>
      <c r="L7812">
        <v>1</v>
      </c>
      <c r="M7812">
        <v>1</v>
      </c>
      <c r="N7812">
        <v>1</v>
      </c>
      <c r="O7812">
        <v>1</v>
      </c>
      <c r="P7812">
        <v>1</v>
      </c>
      <c r="Q7812">
        <v>1</v>
      </c>
      <c r="R7812">
        <v>1</v>
      </c>
    </row>
    <row r="7813" spans="1:18" x14ac:dyDescent="0.2">
      <c r="A7813" t="str">
        <f>"7809"</f>
        <v>7809</v>
      </c>
      <c r="B7813" t="str">
        <f t="shared" si="434"/>
        <v>1</v>
      </c>
      <c r="C7813" t="str">
        <f t="shared" si="435"/>
        <v>157</v>
      </c>
      <c r="D7813" t="str">
        <f>"16"</f>
        <v>16</v>
      </c>
      <c r="E7813" t="str">
        <f>"1-157-16"</f>
        <v>1-157-16</v>
      </c>
      <c r="F7813" t="s">
        <v>65</v>
      </c>
      <c r="G7813" t="s">
        <v>66</v>
      </c>
      <c r="H7813" t="s">
        <v>68</v>
      </c>
      <c r="I7813">
        <v>1</v>
      </c>
      <c r="J7813">
        <v>1</v>
      </c>
      <c r="K7813">
        <v>0</v>
      </c>
      <c r="L7813">
        <v>0</v>
      </c>
      <c r="M7813">
        <v>1</v>
      </c>
      <c r="N7813">
        <v>1</v>
      </c>
      <c r="O7813">
        <v>1</v>
      </c>
      <c r="P7813">
        <v>1</v>
      </c>
      <c r="Q7813">
        <v>1</v>
      </c>
      <c r="R7813">
        <v>1</v>
      </c>
    </row>
    <row r="7814" spans="1:18" x14ac:dyDescent="0.2">
      <c r="A7814" t="str">
        <f>"7810"</f>
        <v>7810</v>
      </c>
      <c r="B7814" t="str">
        <f t="shared" si="434"/>
        <v>1</v>
      </c>
      <c r="C7814" t="str">
        <f t="shared" si="435"/>
        <v>157</v>
      </c>
      <c r="D7814" t="str">
        <f>"4"</f>
        <v>4</v>
      </c>
      <c r="E7814" t="str">
        <f>"1-157-4"</f>
        <v>1-157-4</v>
      </c>
      <c r="F7814" t="s">
        <v>65</v>
      </c>
      <c r="G7814" t="s">
        <v>66</v>
      </c>
      <c r="H7814" t="s">
        <v>68</v>
      </c>
      <c r="I7814">
        <v>1</v>
      </c>
      <c r="J7814">
        <v>0</v>
      </c>
      <c r="K7814">
        <v>0</v>
      </c>
      <c r="L7814">
        <v>1</v>
      </c>
      <c r="M7814">
        <v>1</v>
      </c>
      <c r="N7814">
        <v>1</v>
      </c>
      <c r="O7814">
        <v>1</v>
      </c>
      <c r="P7814">
        <v>1</v>
      </c>
      <c r="Q7814">
        <v>1</v>
      </c>
      <c r="R7814">
        <v>1</v>
      </c>
    </row>
    <row r="7815" spans="1:18" x14ac:dyDescent="0.2">
      <c r="A7815" t="str">
        <f>"7811"</f>
        <v>7811</v>
      </c>
      <c r="B7815" t="str">
        <f t="shared" si="434"/>
        <v>1</v>
      </c>
      <c r="C7815" t="str">
        <f t="shared" si="435"/>
        <v>157</v>
      </c>
      <c r="D7815" t="str">
        <f>"38"</f>
        <v>38</v>
      </c>
      <c r="E7815" t="str">
        <f>"1-157-38"</f>
        <v>1-157-38</v>
      </c>
      <c r="F7815" t="s">
        <v>65</v>
      </c>
      <c r="G7815" t="s">
        <v>66</v>
      </c>
      <c r="H7815" t="s">
        <v>68</v>
      </c>
      <c r="I7815">
        <v>1</v>
      </c>
      <c r="J7815">
        <v>1</v>
      </c>
      <c r="K7815">
        <v>0</v>
      </c>
      <c r="L7815">
        <v>0</v>
      </c>
      <c r="M7815">
        <v>1</v>
      </c>
      <c r="N7815">
        <v>1</v>
      </c>
      <c r="O7815">
        <v>1</v>
      </c>
      <c r="P7815">
        <v>1</v>
      </c>
      <c r="Q7815">
        <v>1</v>
      </c>
      <c r="R7815">
        <v>1</v>
      </c>
    </row>
    <row r="7816" spans="1:18" x14ac:dyDescent="0.2">
      <c r="A7816" t="str">
        <f>"7812"</f>
        <v>7812</v>
      </c>
      <c r="B7816" t="str">
        <f t="shared" si="434"/>
        <v>1</v>
      </c>
      <c r="C7816" t="str">
        <f t="shared" si="435"/>
        <v>157</v>
      </c>
      <c r="D7816" t="str">
        <f>"37"</f>
        <v>37</v>
      </c>
      <c r="E7816" t="str">
        <f>"1-157-37"</f>
        <v>1-157-37</v>
      </c>
      <c r="F7816" t="s">
        <v>65</v>
      </c>
      <c r="G7816" t="s">
        <v>66</v>
      </c>
      <c r="H7816" t="s">
        <v>68</v>
      </c>
      <c r="I7816">
        <v>1</v>
      </c>
      <c r="J7816">
        <v>1</v>
      </c>
      <c r="K7816">
        <v>0</v>
      </c>
      <c r="L7816">
        <v>0</v>
      </c>
      <c r="M7816">
        <v>1</v>
      </c>
      <c r="N7816">
        <v>1</v>
      </c>
      <c r="O7816">
        <v>1</v>
      </c>
      <c r="P7816">
        <v>1</v>
      </c>
      <c r="Q7816">
        <v>1</v>
      </c>
      <c r="R7816">
        <v>1</v>
      </c>
    </row>
    <row r="7817" spans="1:18" x14ac:dyDescent="0.2">
      <c r="A7817" t="str">
        <f>"7813"</f>
        <v>7813</v>
      </c>
      <c r="B7817" t="str">
        <f t="shared" si="434"/>
        <v>1</v>
      </c>
      <c r="C7817" t="str">
        <f t="shared" si="435"/>
        <v>157</v>
      </c>
      <c r="D7817" t="str">
        <f>"20"</f>
        <v>20</v>
      </c>
      <c r="E7817" t="str">
        <f>"1-157-20"</f>
        <v>1-157-20</v>
      </c>
      <c r="F7817" t="s">
        <v>65</v>
      </c>
      <c r="G7817" t="s">
        <v>66</v>
      </c>
      <c r="H7817" t="s">
        <v>68</v>
      </c>
      <c r="I7817">
        <v>1</v>
      </c>
      <c r="J7817">
        <v>0</v>
      </c>
      <c r="K7817">
        <v>1</v>
      </c>
      <c r="L7817">
        <v>0</v>
      </c>
      <c r="M7817">
        <v>1</v>
      </c>
      <c r="N7817">
        <v>1</v>
      </c>
      <c r="O7817">
        <v>1</v>
      </c>
      <c r="P7817">
        <v>1</v>
      </c>
      <c r="Q7817">
        <v>1</v>
      </c>
      <c r="R7817">
        <v>1</v>
      </c>
    </row>
    <row r="7818" spans="1:18" x14ac:dyDescent="0.2">
      <c r="A7818" t="str">
        <f>"7814"</f>
        <v>7814</v>
      </c>
      <c r="B7818" t="str">
        <f t="shared" si="434"/>
        <v>1</v>
      </c>
      <c r="C7818" t="str">
        <f t="shared" si="435"/>
        <v>157</v>
      </c>
      <c r="D7818" t="str">
        <f>"17"</f>
        <v>17</v>
      </c>
      <c r="E7818" t="str">
        <f>"1-157-17"</f>
        <v>1-157-17</v>
      </c>
      <c r="F7818" t="s">
        <v>65</v>
      </c>
      <c r="G7818" t="s">
        <v>66</v>
      </c>
      <c r="H7818" t="s">
        <v>68</v>
      </c>
      <c r="I7818">
        <v>1</v>
      </c>
      <c r="J7818">
        <v>1</v>
      </c>
      <c r="K7818">
        <v>0</v>
      </c>
      <c r="L7818">
        <v>0</v>
      </c>
      <c r="M7818">
        <v>1</v>
      </c>
      <c r="N7818">
        <v>0</v>
      </c>
      <c r="O7818">
        <v>1</v>
      </c>
      <c r="P7818">
        <v>1</v>
      </c>
      <c r="Q7818">
        <v>1</v>
      </c>
      <c r="R7818">
        <v>1</v>
      </c>
    </row>
    <row r="7819" spans="1:18" x14ac:dyDescent="0.2">
      <c r="A7819" t="str">
        <f>"7815"</f>
        <v>7815</v>
      </c>
      <c r="B7819" t="str">
        <f t="shared" si="434"/>
        <v>1</v>
      </c>
      <c r="C7819" t="str">
        <f t="shared" si="435"/>
        <v>157</v>
      </c>
      <c r="D7819" t="str">
        <f>"11"</f>
        <v>11</v>
      </c>
      <c r="E7819" t="str">
        <f>"1-157-11"</f>
        <v>1-157-11</v>
      </c>
      <c r="F7819" t="s">
        <v>65</v>
      </c>
      <c r="G7819" t="s">
        <v>66</v>
      </c>
      <c r="H7819" t="s">
        <v>68</v>
      </c>
      <c r="I7819">
        <v>1</v>
      </c>
      <c r="J7819">
        <v>1</v>
      </c>
      <c r="K7819">
        <v>0</v>
      </c>
      <c r="L7819">
        <v>0</v>
      </c>
      <c r="M7819">
        <v>1</v>
      </c>
      <c r="N7819">
        <v>1</v>
      </c>
      <c r="O7819">
        <v>1</v>
      </c>
      <c r="P7819">
        <v>1</v>
      </c>
      <c r="Q7819">
        <v>1</v>
      </c>
      <c r="R7819">
        <v>1</v>
      </c>
    </row>
    <row r="7820" spans="1:18" x14ac:dyDescent="0.2">
      <c r="A7820" t="str">
        <f>"7816"</f>
        <v>7816</v>
      </c>
      <c r="B7820" t="str">
        <f t="shared" si="434"/>
        <v>1</v>
      </c>
      <c r="C7820" t="str">
        <f t="shared" si="435"/>
        <v>157</v>
      </c>
      <c r="D7820" t="str">
        <f>"34"</f>
        <v>34</v>
      </c>
      <c r="E7820" t="str">
        <f>"1-157-34"</f>
        <v>1-157-34</v>
      </c>
      <c r="F7820" t="s">
        <v>65</v>
      </c>
      <c r="G7820" t="s">
        <v>66</v>
      </c>
      <c r="H7820" t="s">
        <v>68</v>
      </c>
      <c r="I7820">
        <v>1</v>
      </c>
      <c r="J7820">
        <v>0</v>
      </c>
      <c r="K7820">
        <v>0</v>
      </c>
      <c r="L7820">
        <v>1</v>
      </c>
      <c r="M7820">
        <v>1</v>
      </c>
      <c r="N7820">
        <v>1</v>
      </c>
      <c r="O7820">
        <v>1</v>
      </c>
      <c r="P7820">
        <v>1</v>
      </c>
      <c r="Q7820">
        <v>1</v>
      </c>
      <c r="R7820">
        <v>1</v>
      </c>
    </row>
    <row r="7821" spans="1:18" x14ac:dyDescent="0.2">
      <c r="A7821" t="str">
        <f>"7817"</f>
        <v>7817</v>
      </c>
      <c r="B7821" t="str">
        <f t="shared" si="434"/>
        <v>1</v>
      </c>
      <c r="C7821" t="str">
        <f t="shared" si="435"/>
        <v>157</v>
      </c>
      <c r="D7821" t="str">
        <f>"33"</f>
        <v>33</v>
      </c>
      <c r="E7821" t="str">
        <f>"1-157-33"</f>
        <v>1-157-33</v>
      </c>
      <c r="F7821" t="s">
        <v>65</v>
      </c>
      <c r="G7821" t="s">
        <v>66</v>
      </c>
      <c r="H7821" t="s">
        <v>68</v>
      </c>
      <c r="I7821">
        <v>1</v>
      </c>
      <c r="J7821">
        <v>0</v>
      </c>
      <c r="K7821">
        <v>0</v>
      </c>
      <c r="L7821">
        <v>1</v>
      </c>
      <c r="M7821">
        <v>1</v>
      </c>
      <c r="N7821">
        <v>1</v>
      </c>
      <c r="O7821">
        <v>1</v>
      </c>
      <c r="P7821">
        <v>1</v>
      </c>
      <c r="Q7821">
        <v>1</v>
      </c>
      <c r="R7821">
        <v>1</v>
      </c>
    </row>
    <row r="7822" spans="1:18" x14ac:dyDescent="0.2">
      <c r="A7822" t="str">
        <f>"7818"</f>
        <v>7818</v>
      </c>
      <c r="B7822" t="str">
        <f t="shared" si="434"/>
        <v>1</v>
      </c>
      <c r="C7822" t="str">
        <f t="shared" si="435"/>
        <v>157</v>
      </c>
      <c r="D7822" t="str">
        <f>"23"</f>
        <v>23</v>
      </c>
      <c r="E7822" t="str">
        <f>"1-157-23"</f>
        <v>1-157-23</v>
      </c>
      <c r="F7822" t="s">
        <v>65</v>
      </c>
      <c r="G7822" t="s">
        <v>66</v>
      </c>
      <c r="H7822" t="s">
        <v>68</v>
      </c>
      <c r="I7822">
        <v>1</v>
      </c>
      <c r="J7822">
        <v>1</v>
      </c>
      <c r="K7822">
        <v>0</v>
      </c>
      <c r="L7822">
        <v>0</v>
      </c>
      <c r="M7822">
        <v>1</v>
      </c>
      <c r="N7822">
        <v>1</v>
      </c>
      <c r="O7822">
        <v>1</v>
      </c>
      <c r="P7822">
        <v>1</v>
      </c>
      <c r="Q7822">
        <v>1</v>
      </c>
      <c r="R7822">
        <v>1</v>
      </c>
    </row>
    <row r="7823" spans="1:18" x14ac:dyDescent="0.2">
      <c r="A7823" t="str">
        <f>"7819"</f>
        <v>7819</v>
      </c>
      <c r="B7823" t="str">
        <f t="shared" si="434"/>
        <v>1</v>
      </c>
      <c r="C7823" t="str">
        <f t="shared" si="435"/>
        <v>157</v>
      </c>
      <c r="D7823" t="str">
        <f>"18"</f>
        <v>18</v>
      </c>
      <c r="E7823" t="str">
        <f>"1-157-18"</f>
        <v>1-157-18</v>
      </c>
      <c r="F7823" t="s">
        <v>65</v>
      </c>
      <c r="G7823" t="s">
        <v>66</v>
      </c>
      <c r="H7823" t="s">
        <v>68</v>
      </c>
      <c r="I7823">
        <v>1</v>
      </c>
      <c r="J7823">
        <v>0</v>
      </c>
      <c r="K7823">
        <v>0</v>
      </c>
      <c r="L7823">
        <v>0</v>
      </c>
      <c r="M7823">
        <v>1</v>
      </c>
      <c r="N7823">
        <v>1</v>
      </c>
      <c r="O7823">
        <v>1</v>
      </c>
      <c r="P7823">
        <v>1</v>
      </c>
      <c r="Q7823">
        <v>1</v>
      </c>
      <c r="R7823">
        <v>1</v>
      </c>
    </row>
    <row r="7824" spans="1:18" x14ac:dyDescent="0.2">
      <c r="A7824" t="str">
        <f>"7820"</f>
        <v>7820</v>
      </c>
      <c r="B7824" t="str">
        <f t="shared" si="434"/>
        <v>1</v>
      </c>
      <c r="C7824" t="str">
        <f t="shared" si="435"/>
        <v>157</v>
      </c>
      <c r="D7824" t="str">
        <f>"5"</f>
        <v>5</v>
      </c>
      <c r="E7824" t="str">
        <f>"1-157-5"</f>
        <v>1-157-5</v>
      </c>
      <c r="F7824" t="s">
        <v>65</v>
      </c>
      <c r="G7824" t="s">
        <v>66</v>
      </c>
      <c r="H7824" t="s">
        <v>68</v>
      </c>
      <c r="I7824">
        <v>1</v>
      </c>
      <c r="J7824">
        <v>0</v>
      </c>
      <c r="K7824">
        <v>0</v>
      </c>
      <c r="L7824">
        <v>1</v>
      </c>
      <c r="M7824">
        <v>1</v>
      </c>
      <c r="N7824">
        <v>1</v>
      </c>
      <c r="O7824">
        <v>1</v>
      </c>
      <c r="P7824">
        <v>1</v>
      </c>
      <c r="Q7824">
        <v>1</v>
      </c>
      <c r="R7824">
        <v>1</v>
      </c>
    </row>
    <row r="7825" spans="1:18" x14ac:dyDescent="0.2">
      <c r="A7825" t="str">
        <f>"7821"</f>
        <v>7821</v>
      </c>
      <c r="B7825" t="str">
        <f t="shared" si="434"/>
        <v>1</v>
      </c>
      <c r="C7825" t="str">
        <f t="shared" si="435"/>
        <v>157</v>
      </c>
      <c r="D7825" t="str">
        <f>"41"</f>
        <v>41</v>
      </c>
      <c r="E7825" t="str">
        <f>"1-157-41"</f>
        <v>1-157-41</v>
      </c>
      <c r="F7825" t="s">
        <v>65</v>
      </c>
      <c r="G7825" t="s">
        <v>66</v>
      </c>
      <c r="H7825" t="s">
        <v>68</v>
      </c>
      <c r="I7825">
        <v>1</v>
      </c>
      <c r="J7825">
        <v>0</v>
      </c>
      <c r="K7825">
        <v>0</v>
      </c>
      <c r="L7825">
        <v>1</v>
      </c>
      <c r="M7825">
        <v>1</v>
      </c>
      <c r="N7825">
        <v>1</v>
      </c>
      <c r="O7825">
        <v>1</v>
      </c>
      <c r="P7825">
        <v>1</v>
      </c>
      <c r="Q7825">
        <v>1</v>
      </c>
      <c r="R7825">
        <v>1</v>
      </c>
    </row>
    <row r="7826" spans="1:18" x14ac:dyDescent="0.2">
      <c r="A7826" t="str">
        <f>"7822"</f>
        <v>7822</v>
      </c>
      <c r="B7826" t="str">
        <f t="shared" si="434"/>
        <v>1</v>
      </c>
      <c r="C7826" t="str">
        <f t="shared" si="435"/>
        <v>157</v>
      </c>
      <c r="D7826" t="str">
        <f>"19"</f>
        <v>19</v>
      </c>
      <c r="E7826" t="str">
        <f>"1-157-19"</f>
        <v>1-157-19</v>
      </c>
      <c r="F7826" t="s">
        <v>65</v>
      </c>
      <c r="G7826" t="s">
        <v>66</v>
      </c>
      <c r="H7826" t="s">
        <v>68</v>
      </c>
      <c r="I7826">
        <v>1</v>
      </c>
      <c r="J7826">
        <v>0</v>
      </c>
      <c r="K7826">
        <v>1</v>
      </c>
      <c r="L7826">
        <v>0</v>
      </c>
      <c r="M7826">
        <v>1</v>
      </c>
      <c r="N7826">
        <v>1</v>
      </c>
      <c r="O7826">
        <v>1</v>
      </c>
      <c r="P7826">
        <v>1</v>
      </c>
      <c r="Q7826">
        <v>1</v>
      </c>
      <c r="R7826">
        <v>1</v>
      </c>
    </row>
    <row r="7827" spans="1:18" x14ac:dyDescent="0.2">
      <c r="A7827" t="str">
        <f>"7823"</f>
        <v>7823</v>
      </c>
      <c r="B7827" t="str">
        <f t="shared" si="434"/>
        <v>1</v>
      </c>
      <c r="C7827" t="str">
        <f t="shared" si="435"/>
        <v>157</v>
      </c>
      <c r="D7827" t="str">
        <f>"10"</f>
        <v>10</v>
      </c>
      <c r="E7827" t="str">
        <f>"1-157-10"</f>
        <v>1-157-10</v>
      </c>
      <c r="F7827" t="s">
        <v>65</v>
      </c>
      <c r="G7827" t="s">
        <v>66</v>
      </c>
      <c r="H7827" t="s">
        <v>68</v>
      </c>
      <c r="I7827">
        <v>1</v>
      </c>
      <c r="J7827">
        <v>1</v>
      </c>
      <c r="K7827">
        <v>0</v>
      </c>
      <c r="L7827">
        <v>0</v>
      </c>
      <c r="M7827">
        <v>1</v>
      </c>
      <c r="N7827">
        <v>1</v>
      </c>
      <c r="O7827">
        <v>1</v>
      </c>
      <c r="P7827">
        <v>1</v>
      </c>
      <c r="Q7827">
        <v>1</v>
      </c>
      <c r="R7827">
        <v>1</v>
      </c>
    </row>
    <row r="7828" spans="1:18" x14ac:dyDescent="0.2">
      <c r="A7828" t="str">
        <f>"7824"</f>
        <v>7824</v>
      </c>
      <c r="B7828" t="str">
        <f t="shared" si="434"/>
        <v>1</v>
      </c>
      <c r="C7828" t="str">
        <f t="shared" si="435"/>
        <v>157</v>
      </c>
      <c r="D7828" t="str">
        <f>"44"</f>
        <v>44</v>
      </c>
      <c r="E7828" t="str">
        <f>"1-157-44"</f>
        <v>1-157-44</v>
      </c>
      <c r="F7828" t="s">
        <v>65</v>
      </c>
      <c r="G7828" t="s">
        <v>66</v>
      </c>
      <c r="H7828" t="s">
        <v>68</v>
      </c>
      <c r="I7828">
        <v>1</v>
      </c>
      <c r="J7828">
        <v>1</v>
      </c>
      <c r="K7828">
        <v>0</v>
      </c>
      <c r="L7828">
        <v>0</v>
      </c>
      <c r="M7828">
        <v>1</v>
      </c>
      <c r="N7828">
        <v>0</v>
      </c>
      <c r="O7828">
        <v>0</v>
      </c>
      <c r="P7828">
        <v>0</v>
      </c>
      <c r="Q7828">
        <v>0</v>
      </c>
      <c r="R7828">
        <v>0</v>
      </c>
    </row>
    <row r="7829" spans="1:18" x14ac:dyDescent="0.2">
      <c r="A7829" t="str">
        <f>"7825"</f>
        <v>7825</v>
      </c>
      <c r="B7829" t="str">
        <f t="shared" si="434"/>
        <v>1</v>
      </c>
      <c r="C7829" t="str">
        <f t="shared" si="435"/>
        <v>157</v>
      </c>
      <c r="D7829" t="str">
        <f>"21"</f>
        <v>21</v>
      </c>
      <c r="E7829" t="str">
        <f>"1-157-21"</f>
        <v>1-157-21</v>
      </c>
      <c r="F7829" t="s">
        <v>65</v>
      </c>
      <c r="G7829" t="s">
        <v>66</v>
      </c>
      <c r="H7829" t="s">
        <v>68</v>
      </c>
      <c r="I7829">
        <v>1</v>
      </c>
      <c r="J7829">
        <v>0</v>
      </c>
      <c r="K7829">
        <v>0</v>
      </c>
      <c r="L7829">
        <v>1</v>
      </c>
      <c r="M7829">
        <v>1</v>
      </c>
      <c r="N7829">
        <v>1</v>
      </c>
      <c r="O7829">
        <v>1</v>
      </c>
      <c r="P7829">
        <v>1</v>
      </c>
      <c r="Q7829">
        <v>1</v>
      </c>
      <c r="R7829">
        <v>1</v>
      </c>
    </row>
    <row r="7830" spans="1:18" x14ac:dyDescent="0.2">
      <c r="A7830" t="str">
        <f>"7826"</f>
        <v>7826</v>
      </c>
      <c r="B7830" t="str">
        <f t="shared" si="434"/>
        <v>1</v>
      </c>
      <c r="C7830" t="str">
        <f t="shared" si="435"/>
        <v>157</v>
      </c>
      <c r="D7830" t="str">
        <f>"13"</f>
        <v>13</v>
      </c>
      <c r="E7830" t="str">
        <f>"1-157-13"</f>
        <v>1-157-13</v>
      </c>
      <c r="F7830" t="s">
        <v>65</v>
      </c>
      <c r="G7830" t="s">
        <v>66</v>
      </c>
      <c r="H7830" t="s">
        <v>68</v>
      </c>
      <c r="I7830">
        <v>1</v>
      </c>
      <c r="J7830">
        <v>1</v>
      </c>
      <c r="K7830">
        <v>0</v>
      </c>
      <c r="L7830">
        <v>0</v>
      </c>
      <c r="M7830">
        <v>1</v>
      </c>
      <c r="N7830">
        <v>1</v>
      </c>
      <c r="O7830">
        <v>1</v>
      </c>
      <c r="P7830">
        <v>1</v>
      </c>
      <c r="Q7830">
        <v>1</v>
      </c>
      <c r="R7830">
        <v>1</v>
      </c>
    </row>
    <row r="7831" spans="1:18" x14ac:dyDescent="0.2">
      <c r="A7831" t="str">
        <f>"7827"</f>
        <v>7827</v>
      </c>
      <c r="B7831" t="str">
        <f t="shared" si="434"/>
        <v>1</v>
      </c>
      <c r="C7831" t="str">
        <f t="shared" si="435"/>
        <v>157</v>
      </c>
      <c r="D7831" t="str">
        <f>"42"</f>
        <v>42</v>
      </c>
      <c r="E7831" t="str">
        <f>"1-157-42"</f>
        <v>1-157-42</v>
      </c>
      <c r="F7831" t="s">
        <v>65</v>
      </c>
      <c r="G7831" t="s">
        <v>66</v>
      </c>
      <c r="H7831" t="s">
        <v>68</v>
      </c>
      <c r="I7831">
        <v>1</v>
      </c>
      <c r="J7831">
        <v>0</v>
      </c>
      <c r="K7831">
        <v>0</v>
      </c>
      <c r="L7831">
        <v>1</v>
      </c>
      <c r="M7831">
        <v>1</v>
      </c>
      <c r="N7831">
        <v>1</v>
      </c>
      <c r="O7831">
        <v>1</v>
      </c>
      <c r="P7831">
        <v>0</v>
      </c>
      <c r="Q7831">
        <v>1</v>
      </c>
      <c r="R7831">
        <v>0</v>
      </c>
    </row>
    <row r="7832" spans="1:18" x14ac:dyDescent="0.2">
      <c r="A7832" t="str">
        <f>"7828"</f>
        <v>7828</v>
      </c>
      <c r="B7832" t="str">
        <f t="shared" si="434"/>
        <v>1</v>
      </c>
      <c r="C7832" t="str">
        <f t="shared" si="435"/>
        <v>157</v>
      </c>
      <c r="D7832" t="str">
        <f>"22"</f>
        <v>22</v>
      </c>
      <c r="E7832" t="str">
        <f>"1-157-22"</f>
        <v>1-157-22</v>
      </c>
      <c r="F7832" t="s">
        <v>65</v>
      </c>
      <c r="G7832" t="s">
        <v>66</v>
      </c>
      <c r="H7832" t="s">
        <v>68</v>
      </c>
      <c r="I7832">
        <v>1</v>
      </c>
      <c r="J7832">
        <v>0</v>
      </c>
      <c r="K7832">
        <v>0</v>
      </c>
      <c r="L7832">
        <v>1</v>
      </c>
      <c r="M7832">
        <v>1</v>
      </c>
      <c r="N7832">
        <v>0</v>
      </c>
      <c r="O7832">
        <v>0</v>
      </c>
      <c r="P7832">
        <v>1</v>
      </c>
      <c r="Q7832">
        <v>1</v>
      </c>
      <c r="R7832">
        <v>0</v>
      </c>
    </row>
    <row r="7833" spans="1:18" x14ac:dyDescent="0.2">
      <c r="A7833" t="str">
        <f>"7829"</f>
        <v>7829</v>
      </c>
      <c r="B7833" t="str">
        <f t="shared" si="434"/>
        <v>1</v>
      </c>
      <c r="C7833" t="str">
        <f t="shared" si="435"/>
        <v>157</v>
      </c>
      <c r="D7833" t="str">
        <f>"9"</f>
        <v>9</v>
      </c>
      <c r="E7833" t="str">
        <f>"1-157-9"</f>
        <v>1-157-9</v>
      </c>
      <c r="F7833" t="s">
        <v>65</v>
      </c>
      <c r="G7833" t="s">
        <v>66</v>
      </c>
      <c r="H7833" t="s">
        <v>68</v>
      </c>
      <c r="I7833">
        <v>1</v>
      </c>
      <c r="J7833">
        <v>0</v>
      </c>
      <c r="K7833">
        <v>0</v>
      </c>
      <c r="L7833">
        <v>1</v>
      </c>
      <c r="M7833">
        <v>1</v>
      </c>
      <c r="N7833">
        <v>1</v>
      </c>
      <c r="O7833">
        <v>1</v>
      </c>
      <c r="P7833">
        <v>1</v>
      </c>
      <c r="Q7833">
        <v>1</v>
      </c>
      <c r="R7833">
        <v>1</v>
      </c>
    </row>
    <row r="7834" spans="1:18" x14ac:dyDescent="0.2">
      <c r="A7834" t="str">
        <f>"7830"</f>
        <v>7830</v>
      </c>
      <c r="B7834" t="str">
        <f t="shared" si="434"/>
        <v>1</v>
      </c>
      <c r="C7834" t="str">
        <f t="shared" si="435"/>
        <v>157</v>
      </c>
      <c r="D7834" t="str">
        <f>"45"</f>
        <v>45</v>
      </c>
      <c r="E7834" t="str">
        <f>"1-157-45"</f>
        <v>1-157-45</v>
      </c>
      <c r="F7834" t="s">
        <v>65</v>
      </c>
      <c r="G7834" t="s">
        <v>66</v>
      </c>
      <c r="H7834" t="s">
        <v>68</v>
      </c>
      <c r="I7834">
        <v>1</v>
      </c>
      <c r="J7834">
        <v>0</v>
      </c>
      <c r="K7834">
        <v>0</v>
      </c>
      <c r="L7834">
        <v>1</v>
      </c>
      <c r="M7834">
        <v>1</v>
      </c>
      <c r="N7834">
        <v>1</v>
      </c>
      <c r="O7834">
        <v>1</v>
      </c>
      <c r="P7834">
        <v>1</v>
      </c>
      <c r="Q7834">
        <v>1</v>
      </c>
      <c r="R7834">
        <v>1</v>
      </c>
    </row>
    <row r="7835" spans="1:18" x14ac:dyDescent="0.2">
      <c r="A7835" t="str">
        <f>"7831"</f>
        <v>7831</v>
      </c>
      <c r="B7835" t="str">
        <f t="shared" si="434"/>
        <v>1</v>
      </c>
      <c r="C7835" t="str">
        <f t="shared" si="435"/>
        <v>157</v>
      </c>
      <c r="D7835" t="str">
        <f>"24"</f>
        <v>24</v>
      </c>
      <c r="E7835" t="str">
        <f>"1-157-24"</f>
        <v>1-157-24</v>
      </c>
      <c r="F7835" t="s">
        <v>65</v>
      </c>
      <c r="G7835" t="s">
        <v>66</v>
      </c>
      <c r="H7835" t="s">
        <v>68</v>
      </c>
      <c r="I7835">
        <v>1</v>
      </c>
      <c r="J7835">
        <v>0</v>
      </c>
      <c r="K7835">
        <v>0</v>
      </c>
      <c r="L7835">
        <v>0</v>
      </c>
      <c r="M7835">
        <v>1</v>
      </c>
      <c r="N7835">
        <v>1</v>
      </c>
      <c r="O7835">
        <v>1</v>
      </c>
      <c r="P7835">
        <v>1</v>
      </c>
      <c r="Q7835">
        <v>1</v>
      </c>
      <c r="R7835">
        <v>1</v>
      </c>
    </row>
    <row r="7836" spans="1:18" x14ac:dyDescent="0.2">
      <c r="A7836" t="str">
        <f>"7832"</f>
        <v>7832</v>
      </c>
      <c r="B7836" t="str">
        <f t="shared" si="434"/>
        <v>1</v>
      </c>
      <c r="C7836" t="str">
        <f t="shared" si="435"/>
        <v>157</v>
      </c>
      <c r="D7836" t="str">
        <f>"6"</f>
        <v>6</v>
      </c>
      <c r="E7836" t="str">
        <f>"1-157-6"</f>
        <v>1-157-6</v>
      </c>
      <c r="F7836" t="s">
        <v>65</v>
      </c>
      <c r="G7836" t="s">
        <v>66</v>
      </c>
      <c r="H7836" t="s">
        <v>68</v>
      </c>
      <c r="I7836">
        <v>1</v>
      </c>
      <c r="J7836">
        <v>0</v>
      </c>
      <c r="K7836">
        <v>0</v>
      </c>
      <c r="L7836">
        <v>1</v>
      </c>
      <c r="M7836">
        <v>1</v>
      </c>
      <c r="N7836">
        <v>1</v>
      </c>
      <c r="O7836">
        <v>1</v>
      </c>
      <c r="P7836">
        <v>1</v>
      </c>
      <c r="Q7836">
        <v>1</v>
      </c>
      <c r="R7836">
        <v>1</v>
      </c>
    </row>
    <row r="7837" spans="1:18" x14ac:dyDescent="0.2">
      <c r="A7837" t="str">
        <f>"7833"</f>
        <v>7833</v>
      </c>
      <c r="B7837" t="str">
        <f t="shared" si="434"/>
        <v>1</v>
      </c>
      <c r="C7837" t="str">
        <f t="shared" ref="C7837:C7854" si="436">"157"</f>
        <v>157</v>
      </c>
      <c r="D7837" t="str">
        <f>"43"</f>
        <v>43</v>
      </c>
      <c r="E7837" t="str">
        <f>"1-157-43"</f>
        <v>1-157-43</v>
      </c>
      <c r="F7837" t="s">
        <v>65</v>
      </c>
      <c r="G7837" t="s">
        <v>66</v>
      </c>
      <c r="H7837" t="s">
        <v>68</v>
      </c>
      <c r="I7837">
        <v>1</v>
      </c>
      <c r="J7837">
        <v>0</v>
      </c>
      <c r="K7837">
        <v>0</v>
      </c>
      <c r="L7837">
        <v>1</v>
      </c>
      <c r="M7837">
        <v>1</v>
      </c>
      <c r="N7837">
        <v>1</v>
      </c>
      <c r="O7837">
        <v>1</v>
      </c>
      <c r="P7837">
        <v>1</v>
      </c>
      <c r="Q7837">
        <v>1</v>
      </c>
      <c r="R7837">
        <v>1</v>
      </c>
    </row>
    <row r="7838" spans="1:18" x14ac:dyDescent="0.2">
      <c r="A7838" t="str">
        <f>"7834"</f>
        <v>7834</v>
      </c>
      <c r="B7838" t="str">
        <f t="shared" si="434"/>
        <v>1</v>
      </c>
      <c r="C7838" t="str">
        <f t="shared" si="436"/>
        <v>157</v>
      </c>
      <c r="D7838" t="str">
        <f>"25"</f>
        <v>25</v>
      </c>
      <c r="E7838" t="str">
        <f>"1-157-25"</f>
        <v>1-157-25</v>
      </c>
      <c r="F7838" t="s">
        <v>65</v>
      </c>
      <c r="G7838" t="s">
        <v>66</v>
      </c>
      <c r="H7838" t="s">
        <v>68</v>
      </c>
      <c r="I7838">
        <v>1</v>
      </c>
      <c r="J7838">
        <v>1</v>
      </c>
      <c r="K7838">
        <v>0</v>
      </c>
      <c r="L7838">
        <v>0</v>
      </c>
      <c r="M7838">
        <v>1</v>
      </c>
      <c r="N7838">
        <v>1</v>
      </c>
      <c r="O7838">
        <v>1</v>
      </c>
      <c r="P7838">
        <v>1</v>
      </c>
      <c r="Q7838">
        <v>1</v>
      </c>
      <c r="R7838">
        <v>1</v>
      </c>
    </row>
    <row r="7839" spans="1:18" x14ac:dyDescent="0.2">
      <c r="A7839" t="str">
        <f>"7835"</f>
        <v>7835</v>
      </c>
      <c r="B7839" t="str">
        <f t="shared" si="434"/>
        <v>1</v>
      </c>
      <c r="C7839" t="str">
        <f t="shared" si="436"/>
        <v>157</v>
      </c>
      <c r="D7839" t="str">
        <f>"2"</f>
        <v>2</v>
      </c>
      <c r="E7839" t="str">
        <f>"1-157-2"</f>
        <v>1-157-2</v>
      </c>
      <c r="F7839" t="s">
        <v>65</v>
      </c>
      <c r="G7839" t="s">
        <v>66</v>
      </c>
      <c r="H7839" t="s">
        <v>68</v>
      </c>
      <c r="I7839">
        <v>1</v>
      </c>
      <c r="J7839">
        <v>0</v>
      </c>
      <c r="K7839">
        <v>0</v>
      </c>
      <c r="L7839">
        <v>1</v>
      </c>
      <c r="M7839">
        <v>1</v>
      </c>
      <c r="N7839">
        <v>1</v>
      </c>
      <c r="O7839">
        <v>1</v>
      </c>
      <c r="P7839">
        <v>1</v>
      </c>
      <c r="Q7839">
        <v>1</v>
      </c>
      <c r="R7839">
        <v>1</v>
      </c>
    </row>
    <row r="7840" spans="1:18" x14ac:dyDescent="0.2">
      <c r="A7840" t="str">
        <f>"7836"</f>
        <v>7836</v>
      </c>
      <c r="B7840" t="str">
        <f t="shared" si="434"/>
        <v>1</v>
      </c>
      <c r="C7840" t="str">
        <f t="shared" si="436"/>
        <v>157</v>
      </c>
      <c r="D7840" t="str">
        <f>"46"</f>
        <v>46</v>
      </c>
      <c r="E7840" t="str">
        <f>"1-157-46"</f>
        <v>1-157-46</v>
      </c>
      <c r="F7840" t="s">
        <v>65</v>
      </c>
      <c r="G7840" t="s">
        <v>66</v>
      </c>
      <c r="H7840" t="s">
        <v>68</v>
      </c>
      <c r="I7840">
        <v>1</v>
      </c>
      <c r="J7840">
        <v>1</v>
      </c>
      <c r="K7840">
        <v>0</v>
      </c>
      <c r="L7840">
        <v>0</v>
      </c>
      <c r="M7840">
        <v>1</v>
      </c>
      <c r="N7840">
        <v>1</v>
      </c>
      <c r="O7840">
        <v>1</v>
      </c>
      <c r="P7840">
        <v>1</v>
      </c>
      <c r="Q7840">
        <v>1</v>
      </c>
      <c r="R7840">
        <v>1</v>
      </c>
    </row>
    <row r="7841" spans="1:18" x14ac:dyDescent="0.2">
      <c r="A7841" t="str">
        <f>"7837"</f>
        <v>7837</v>
      </c>
      <c r="B7841" t="str">
        <f t="shared" si="434"/>
        <v>1</v>
      </c>
      <c r="C7841" t="str">
        <f t="shared" si="436"/>
        <v>157</v>
      </c>
      <c r="D7841" t="str">
        <f>"27"</f>
        <v>27</v>
      </c>
      <c r="E7841" t="str">
        <f>"1-157-27"</f>
        <v>1-157-27</v>
      </c>
      <c r="F7841" t="s">
        <v>65</v>
      </c>
      <c r="G7841" t="s">
        <v>66</v>
      </c>
      <c r="H7841" t="s">
        <v>68</v>
      </c>
      <c r="I7841">
        <v>1</v>
      </c>
      <c r="J7841">
        <v>1</v>
      </c>
      <c r="K7841">
        <v>0</v>
      </c>
      <c r="L7841">
        <v>0</v>
      </c>
      <c r="M7841">
        <v>1</v>
      </c>
      <c r="N7841">
        <v>1</v>
      </c>
      <c r="O7841">
        <v>1</v>
      </c>
      <c r="P7841">
        <v>1</v>
      </c>
      <c r="Q7841">
        <v>1</v>
      </c>
      <c r="R7841">
        <v>1</v>
      </c>
    </row>
    <row r="7842" spans="1:18" x14ac:dyDescent="0.2">
      <c r="A7842" t="str">
        <f>"7838"</f>
        <v>7838</v>
      </c>
      <c r="B7842" t="str">
        <f t="shared" si="434"/>
        <v>1</v>
      </c>
      <c r="C7842" t="str">
        <f t="shared" si="436"/>
        <v>157</v>
      </c>
      <c r="D7842" t="str">
        <f>"7"</f>
        <v>7</v>
      </c>
      <c r="E7842" t="str">
        <f>"1-157-7"</f>
        <v>1-157-7</v>
      </c>
      <c r="F7842" t="s">
        <v>65</v>
      </c>
      <c r="G7842" t="s">
        <v>66</v>
      </c>
      <c r="H7842" t="s">
        <v>68</v>
      </c>
      <c r="I7842">
        <v>1</v>
      </c>
      <c r="J7842">
        <v>0</v>
      </c>
      <c r="K7842">
        <v>0</v>
      </c>
      <c r="L7842">
        <v>1</v>
      </c>
      <c r="M7842">
        <v>1</v>
      </c>
      <c r="N7842">
        <v>1</v>
      </c>
      <c r="O7842">
        <v>1</v>
      </c>
      <c r="P7842">
        <v>1</v>
      </c>
      <c r="Q7842">
        <v>1</v>
      </c>
      <c r="R7842">
        <v>1</v>
      </c>
    </row>
    <row r="7843" spans="1:18" x14ac:dyDescent="0.2">
      <c r="A7843" t="str">
        <f>"7839"</f>
        <v>7839</v>
      </c>
      <c r="B7843" t="str">
        <f t="shared" si="434"/>
        <v>1</v>
      </c>
      <c r="C7843" t="str">
        <f t="shared" si="436"/>
        <v>157</v>
      </c>
      <c r="D7843" t="str">
        <f>"49"</f>
        <v>49</v>
      </c>
      <c r="E7843" t="str">
        <f>"1-157-49"</f>
        <v>1-157-49</v>
      </c>
      <c r="F7843" t="s">
        <v>65</v>
      </c>
      <c r="G7843" t="s">
        <v>66</v>
      </c>
      <c r="H7843" t="s">
        <v>68</v>
      </c>
      <c r="I7843">
        <v>1</v>
      </c>
      <c r="J7843">
        <v>0</v>
      </c>
      <c r="K7843">
        <v>0</v>
      </c>
      <c r="L7843">
        <v>1</v>
      </c>
      <c r="M7843">
        <v>1</v>
      </c>
      <c r="N7843">
        <v>1</v>
      </c>
      <c r="O7843">
        <v>1</v>
      </c>
      <c r="P7843">
        <v>1</v>
      </c>
      <c r="Q7843">
        <v>1</v>
      </c>
      <c r="R7843">
        <v>1</v>
      </c>
    </row>
    <row r="7844" spans="1:18" x14ac:dyDescent="0.2">
      <c r="A7844" t="str">
        <f>"7840"</f>
        <v>7840</v>
      </c>
      <c r="B7844" t="str">
        <f t="shared" si="434"/>
        <v>1</v>
      </c>
      <c r="C7844" t="str">
        <f t="shared" si="436"/>
        <v>157</v>
      </c>
      <c r="D7844" t="str">
        <f>"28"</f>
        <v>28</v>
      </c>
      <c r="E7844" t="str">
        <f>"1-157-28"</f>
        <v>1-157-28</v>
      </c>
      <c r="F7844" t="s">
        <v>65</v>
      </c>
      <c r="G7844" t="s">
        <v>66</v>
      </c>
      <c r="H7844" t="s">
        <v>68</v>
      </c>
      <c r="I7844">
        <v>1</v>
      </c>
      <c r="J7844">
        <v>0</v>
      </c>
      <c r="K7844">
        <v>0</v>
      </c>
      <c r="L7844">
        <v>0</v>
      </c>
      <c r="M7844">
        <v>1</v>
      </c>
      <c r="N7844">
        <v>0</v>
      </c>
      <c r="O7844">
        <v>0</v>
      </c>
      <c r="P7844">
        <v>0</v>
      </c>
      <c r="Q7844">
        <v>0</v>
      </c>
      <c r="R7844">
        <v>0</v>
      </c>
    </row>
    <row r="7845" spans="1:18" x14ac:dyDescent="0.2">
      <c r="A7845" t="str">
        <f>"7841"</f>
        <v>7841</v>
      </c>
      <c r="B7845" t="str">
        <f t="shared" si="434"/>
        <v>1</v>
      </c>
      <c r="C7845" t="str">
        <f t="shared" si="436"/>
        <v>157</v>
      </c>
      <c r="D7845" t="str">
        <f>"14"</f>
        <v>14</v>
      </c>
      <c r="E7845" t="str">
        <f>"1-157-14"</f>
        <v>1-157-14</v>
      </c>
      <c r="F7845" t="s">
        <v>65</v>
      </c>
      <c r="G7845" t="s">
        <v>66</v>
      </c>
      <c r="H7845" t="s">
        <v>68</v>
      </c>
      <c r="I7845">
        <v>1</v>
      </c>
      <c r="J7845">
        <v>1</v>
      </c>
      <c r="K7845">
        <v>0</v>
      </c>
      <c r="L7845">
        <v>0</v>
      </c>
      <c r="M7845">
        <v>1</v>
      </c>
      <c r="N7845">
        <v>1</v>
      </c>
      <c r="O7845">
        <v>1</v>
      </c>
      <c r="P7845">
        <v>1</v>
      </c>
      <c r="Q7845">
        <v>1</v>
      </c>
      <c r="R7845">
        <v>1</v>
      </c>
    </row>
    <row r="7846" spans="1:18" x14ac:dyDescent="0.2">
      <c r="A7846" t="str">
        <f>"7842"</f>
        <v>7842</v>
      </c>
      <c r="B7846" t="str">
        <f t="shared" si="434"/>
        <v>1</v>
      </c>
      <c r="C7846" t="str">
        <f t="shared" si="436"/>
        <v>157</v>
      </c>
      <c r="D7846" t="str">
        <f>"47"</f>
        <v>47</v>
      </c>
      <c r="E7846" t="str">
        <f>"1-157-47"</f>
        <v>1-157-47</v>
      </c>
      <c r="F7846" t="s">
        <v>65</v>
      </c>
      <c r="G7846" t="s">
        <v>66</v>
      </c>
      <c r="H7846" t="s">
        <v>68</v>
      </c>
      <c r="I7846">
        <v>1</v>
      </c>
      <c r="J7846">
        <v>0</v>
      </c>
      <c r="K7846">
        <v>0</v>
      </c>
      <c r="L7846">
        <v>1</v>
      </c>
      <c r="M7846">
        <v>1</v>
      </c>
      <c r="N7846">
        <v>1</v>
      </c>
      <c r="O7846">
        <v>1</v>
      </c>
      <c r="P7846">
        <v>1</v>
      </c>
      <c r="Q7846">
        <v>1</v>
      </c>
      <c r="R7846">
        <v>1</v>
      </c>
    </row>
    <row r="7847" spans="1:18" x14ac:dyDescent="0.2">
      <c r="A7847" t="str">
        <f>"7843"</f>
        <v>7843</v>
      </c>
      <c r="B7847" t="str">
        <f t="shared" si="434"/>
        <v>1</v>
      </c>
      <c r="C7847" t="str">
        <f t="shared" si="436"/>
        <v>157</v>
      </c>
      <c r="D7847" t="str">
        <f>"30"</f>
        <v>30</v>
      </c>
      <c r="E7847" t="str">
        <f>"1-157-30"</f>
        <v>1-157-30</v>
      </c>
      <c r="F7847" t="s">
        <v>65</v>
      </c>
      <c r="G7847" t="s">
        <v>66</v>
      </c>
      <c r="H7847" t="s">
        <v>68</v>
      </c>
      <c r="I7847">
        <v>1</v>
      </c>
      <c r="J7847">
        <v>0</v>
      </c>
      <c r="K7847">
        <v>1</v>
      </c>
      <c r="L7847">
        <v>0</v>
      </c>
      <c r="M7847">
        <v>1</v>
      </c>
      <c r="N7847">
        <v>1</v>
      </c>
      <c r="O7847">
        <v>1</v>
      </c>
      <c r="P7847">
        <v>1</v>
      </c>
      <c r="Q7847">
        <v>1</v>
      </c>
      <c r="R7847">
        <v>1</v>
      </c>
    </row>
    <row r="7848" spans="1:18" x14ac:dyDescent="0.2">
      <c r="A7848" t="str">
        <f>"7844"</f>
        <v>7844</v>
      </c>
      <c r="B7848" t="str">
        <f t="shared" si="434"/>
        <v>1</v>
      </c>
      <c r="C7848" t="str">
        <f t="shared" si="436"/>
        <v>157</v>
      </c>
      <c r="D7848" t="str">
        <f>"1"</f>
        <v>1</v>
      </c>
      <c r="E7848" t="str">
        <f>"1-157-1"</f>
        <v>1-157-1</v>
      </c>
      <c r="F7848" t="s">
        <v>65</v>
      </c>
      <c r="G7848" t="s">
        <v>66</v>
      </c>
      <c r="H7848" t="s">
        <v>68</v>
      </c>
      <c r="I7848">
        <v>1</v>
      </c>
      <c r="J7848">
        <v>1</v>
      </c>
      <c r="K7848">
        <v>0</v>
      </c>
      <c r="L7848">
        <v>0</v>
      </c>
      <c r="M7848">
        <v>1</v>
      </c>
      <c r="N7848">
        <v>1</v>
      </c>
      <c r="O7848">
        <v>1</v>
      </c>
      <c r="P7848">
        <v>1</v>
      </c>
      <c r="Q7848">
        <v>1</v>
      </c>
      <c r="R7848">
        <v>1</v>
      </c>
    </row>
    <row r="7849" spans="1:18" x14ac:dyDescent="0.2">
      <c r="A7849" t="str">
        <f>"7845"</f>
        <v>7845</v>
      </c>
      <c r="B7849" t="str">
        <f t="shared" si="434"/>
        <v>1</v>
      </c>
      <c r="C7849" t="str">
        <f t="shared" si="436"/>
        <v>157</v>
      </c>
      <c r="D7849" t="str">
        <f>"48"</f>
        <v>48</v>
      </c>
      <c r="E7849" t="str">
        <f>"1-157-48"</f>
        <v>1-157-48</v>
      </c>
      <c r="F7849" t="s">
        <v>65</v>
      </c>
      <c r="G7849" t="s">
        <v>66</v>
      </c>
      <c r="H7849" t="s">
        <v>68</v>
      </c>
      <c r="I7849">
        <v>1</v>
      </c>
      <c r="J7849">
        <v>0</v>
      </c>
      <c r="K7849">
        <v>0</v>
      </c>
      <c r="L7849">
        <v>1</v>
      </c>
      <c r="M7849">
        <v>1</v>
      </c>
      <c r="N7849">
        <v>1</v>
      </c>
      <c r="O7849">
        <v>1</v>
      </c>
      <c r="P7849">
        <v>1</v>
      </c>
      <c r="Q7849">
        <v>1</v>
      </c>
      <c r="R7849">
        <v>1</v>
      </c>
    </row>
    <row r="7850" spans="1:18" x14ac:dyDescent="0.2">
      <c r="A7850" t="str">
        <f>"7846"</f>
        <v>7846</v>
      </c>
      <c r="B7850" t="str">
        <f t="shared" si="434"/>
        <v>1</v>
      </c>
      <c r="C7850" t="str">
        <f t="shared" si="436"/>
        <v>157</v>
      </c>
      <c r="D7850" t="str">
        <f>"31"</f>
        <v>31</v>
      </c>
      <c r="E7850" t="str">
        <f>"1-157-31"</f>
        <v>1-157-31</v>
      </c>
      <c r="F7850" t="s">
        <v>65</v>
      </c>
      <c r="G7850" t="s">
        <v>66</v>
      </c>
      <c r="H7850" t="s">
        <v>68</v>
      </c>
      <c r="I7850">
        <v>1</v>
      </c>
      <c r="J7850">
        <v>0</v>
      </c>
      <c r="K7850">
        <v>0</v>
      </c>
      <c r="L7850">
        <v>1</v>
      </c>
      <c r="M7850">
        <v>1</v>
      </c>
      <c r="N7850">
        <v>1</v>
      </c>
      <c r="O7850">
        <v>1</v>
      </c>
      <c r="P7850">
        <v>1</v>
      </c>
      <c r="Q7850">
        <v>1</v>
      </c>
      <c r="R7850">
        <v>1</v>
      </c>
    </row>
    <row r="7851" spans="1:18" x14ac:dyDescent="0.2">
      <c r="A7851" t="str">
        <f>"7847"</f>
        <v>7847</v>
      </c>
      <c r="B7851" t="str">
        <f t="shared" si="434"/>
        <v>1</v>
      </c>
      <c r="C7851" t="str">
        <f t="shared" si="436"/>
        <v>157</v>
      </c>
      <c r="D7851" t="str">
        <f>"12"</f>
        <v>12</v>
      </c>
      <c r="E7851" t="str">
        <f>"1-157-12"</f>
        <v>1-157-12</v>
      </c>
      <c r="F7851" t="s">
        <v>65</v>
      </c>
      <c r="G7851" t="s">
        <v>66</v>
      </c>
      <c r="H7851" t="s">
        <v>68</v>
      </c>
      <c r="I7851">
        <v>1</v>
      </c>
      <c r="J7851">
        <v>1</v>
      </c>
      <c r="K7851">
        <v>0</v>
      </c>
      <c r="L7851">
        <v>0</v>
      </c>
      <c r="M7851">
        <v>1</v>
      </c>
      <c r="N7851">
        <v>1</v>
      </c>
      <c r="O7851">
        <v>1</v>
      </c>
      <c r="P7851">
        <v>1</v>
      </c>
      <c r="Q7851">
        <v>1</v>
      </c>
      <c r="R7851">
        <v>1</v>
      </c>
    </row>
    <row r="7852" spans="1:18" x14ac:dyDescent="0.2">
      <c r="A7852" t="str">
        <f>"7848"</f>
        <v>7848</v>
      </c>
      <c r="B7852" t="str">
        <f t="shared" si="434"/>
        <v>1</v>
      </c>
      <c r="C7852" t="str">
        <f t="shared" si="436"/>
        <v>157</v>
      </c>
      <c r="D7852" t="str">
        <f>"32"</f>
        <v>32</v>
      </c>
      <c r="E7852" t="str">
        <f>"1-157-32"</f>
        <v>1-157-32</v>
      </c>
      <c r="F7852" t="s">
        <v>65</v>
      </c>
      <c r="G7852" t="s">
        <v>66</v>
      </c>
      <c r="H7852" t="s">
        <v>68</v>
      </c>
      <c r="I7852">
        <v>1</v>
      </c>
      <c r="J7852">
        <v>0</v>
      </c>
      <c r="K7852">
        <v>0</v>
      </c>
      <c r="L7852">
        <v>1</v>
      </c>
      <c r="M7852">
        <v>1</v>
      </c>
      <c r="N7852">
        <v>1</v>
      </c>
      <c r="O7852">
        <v>0</v>
      </c>
      <c r="P7852">
        <v>1</v>
      </c>
      <c r="Q7852">
        <v>0</v>
      </c>
      <c r="R7852">
        <v>1</v>
      </c>
    </row>
    <row r="7853" spans="1:18" x14ac:dyDescent="0.2">
      <c r="A7853" t="str">
        <f>"7849"</f>
        <v>7849</v>
      </c>
      <c r="B7853" t="str">
        <f t="shared" si="434"/>
        <v>1</v>
      </c>
      <c r="C7853" t="str">
        <f t="shared" si="436"/>
        <v>157</v>
      </c>
      <c r="D7853" t="str">
        <f>"8"</f>
        <v>8</v>
      </c>
      <c r="E7853" t="str">
        <f>"1-157-8"</f>
        <v>1-157-8</v>
      </c>
      <c r="F7853" t="s">
        <v>65</v>
      </c>
      <c r="G7853" t="s">
        <v>66</v>
      </c>
      <c r="H7853" t="s">
        <v>68</v>
      </c>
      <c r="I7853">
        <v>1</v>
      </c>
      <c r="J7853">
        <v>0</v>
      </c>
      <c r="K7853">
        <v>0</v>
      </c>
      <c r="L7853">
        <v>1</v>
      </c>
      <c r="M7853">
        <v>1</v>
      </c>
      <c r="N7853">
        <v>1</v>
      </c>
      <c r="O7853">
        <v>1</v>
      </c>
      <c r="P7853">
        <v>1</v>
      </c>
      <c r="Q7853">
        <v>1</v>
      </c>
      <c r="R7853">
        <v>1</v>
      </c>
    </row>
    <row r="7854" spans="1:18" x14ac:dyDescent="0.2">
      <c r="A7854" t="str">
        <f>"7850"</f>
        <v>7850</v>
      </c>
      <c r="B7854" t="str">
        <f t="shared" si="434"/>
        <v>1</v>
      </c>
      <c r="C7854" t="str">
        <f t="shared" si="436"/>
        <v>157</v>
      </c>
      <c r="D7854" t="str">
        <f>"50"</f>
        <v>50</v>
      </c>
      <c r="E7854" t="str">
        <f>"1-157-50"</f>
        <v>1-157-50</v>
      </c>
      <c r="F7854" t="s">
        <v>65</v>
      </c>
      <c r="G7854" t="s">
        <v>66</v>
      </c>
      <c r="H7854" t="s">
        <v>68</v>
      </c>
      <c r="I7854">
        <v>1</v>
      </c>
      <c r="J7854">
        <v>0</v>
      </c>
      <c r="K7854">
        <v>0</v>
      </c>
      <c r="L7854">
        <v>1</v>
      </c>
      <c r="M7854">
        <v>1</v>
      </c>
      <c r="N7854">
        <v>1</v>
      </c>
      <c r="O7854">
        <v>1</v>
      </c>
      <c r="P7854">
        <v>1</v>
      </c>
      <c r="Q7854">
        <v>1</v>
      </c>
      <c r="R7854">
        <v>1</v>
      </c>
    </row>
    <row r="7855" spans="1:18" x14ac:dyDescent="0.2">
      <c r="A7855" t="str">
        <f>"7851"</f>
        <v>7851</v>
      </c>
      <c r="B7855" t="str">
        <f t="shared" si="434"/>
        <v>1</v>
      </c>
      <c r="C7855" t="str">
        <f t="shared" ref="C7855:C7886" si="437">"158"</f>
        <v>158</v>
      </c>
      <c r="D7855" t="str">
        <f>"34"</f>
        <v>34</v>
      </c>
      <c r="E7855" t="str">
        <f>"1-158-34"</f>
        <v>1-158-34</v>
      </c>
      <c r="F7855" t="s">
        <v>65</v>
      </c>
      <c r="G7855" t="s">
        <v>66</v>
      </c>
      <c r="H7855" t="s">
        <v>68</v>
      </c>
      <c r="I7855">
        <v>1</v>
      </c>
      <c r="J7855">
        <v>0</v>
      </c>
      <c r="K7855">
        <v>0</v>
      </c>
      <c r="L7855">
        <v>1</v>
      </c>
      <c r="M7855">
        <v>1</v>
      </c>
      <c r="N7855">
        <v>1</v>
      </c>
      <c r="O7855">
        <v>1</v>
      </c>
      <c r="P7855">
        <v>1</v>
      </c>
      <c r="Q7855">
        <v>1</v>
      </c>
      <c r="R7855">
        <v>1</v>
      </c>
    </row>
    <row r="7856" spans="1:18" x14ac:dyDescent="0.2">
      <c r="A7856" t="str">
        <f>"7852"</f>
        <v>7852</v>
      </c>
      <c r="B7856" t="str">
        <f t="shared" si="434"/>
        <v>1</v>
      </c>
      <c r="C7856" t="str">
        <f t="shared" si="437"/>
        <v>158</v>
      </c>
      <c r="D7856" t="str">
        <f>"33"</f>
        <v>33</v>
      </c>
      <c r="E7856" t="str">
        <f>"1-158-33"</f>
        <v>1-158-33</v>
      </c>
      <c r="F7856" t="s">
        <v>65</v>
      </c>
      <c r="G7856" t="s">
        <v>66</v>
      </c>
      <c r="H7856" t="s">
        <v>68</v>
      </c>
      <c r="I7856">
        <v>1</v>
      </c>
      <c r="J7856">
        <v>1</v>
      </c>
      <c r="K7856">
        <v>0</v>
      </c>
      <c r="L7856">
        <v>0</v>
      </c>
      <c r="M7856">
        <v>1</v>
      </c>
      <c r="N7856">
        <v>1</v>
      </c>
      <c r="O7856">
        <v>1</v>
      </c>
      <c r="P7856">
        <v>1</v>
      </c>
      <c r="Q7856">
        <v>1</v>
      </c>
      <c r="R7856">
        <v>1</v>
      </c>
    </row>
    <row r="7857" spans="1:18" x14ac:dyDescent="0.2">
      <c r="A7857" t="str">
        <f>"7853"</f>
        <v>7853</v>
      </c>
      <c r="B7857" t="str">
        <f t="shared" si="434"/>
        <v>1</v>
      </c>
      <c r="C7857" t="str">
        <f t="shared" si="437"/>
        <v>158</v>
      </c>
      <c r="D7857" t="str">
        <f>"20"</f>
        <v>20</v>
      </c>
      <c r="E7857" t="str">
        <f>"1-158-20"</f>
        <v>1-158-20</v>
      </c>
      <c r="F7857" t="s">
        <v>65</v>
      </c>
      <c r="G7857" t="s">
        <v>66</v>
      </c>
      <c r="H7857" t="s">
        <v>68</v>
      </c>
      <c r="I7857">
        <v>1</v>
      </c>
      <c r="J7857">
        <v>1</v>
      </c>
      <c r="K7857">
        <v>0</v>
      </c>
      <c r="L7857">
        <v>0</v>
      </c>
      <c r="M7857">
        <v>1</v>
      </c>
      <c r="N7857">
        <v>0</v>
      </c>
      <c r="O7857">
        <v>1</v>
      </c>
      <c r="P7857">
        <v>1</v>
      </c>
      <c r="Q7857">
        <v>1</v>
      </c>
      <c r="R7857">
        <v>1</v>
      </c>
    </row>
    <row r="7858" spans="1:18" x14ac:dyDescent="0.2">
      <c r="A7858" t="str">
        <f>"7854"</f>
        <v>7854</v>
      </c>
      <c r="B7858" t="str">
        <f t="shared" si="434"/>
        <v>1</v>
      </c>
      <c r="C7858" t="str">
        <f t="shared" si="437"/>
        <v>158</v>
      </c>
      <c r="D7858" t="str">
        <f>"15"</f>
        <v>15</v>
      </c>
      <c r="E7858" t="str">
        <f>"1-158-15"</f>
        <v>1-158-15</v>
      </c>
      <c r="F7858" t="s">
        <v>65</v>
      </c>
      <c r="G7858" t="s">
        <v>66</v>
      </c>
      <c r="H7858" t="s">
        <v>68</v>
      </c>
      <c r="I7858">
        <v>1</v>
      </c>
      <c r="J7858">
        <v>0</v>
      </c>
      <c r="K7858">
        <v>0</v>
      </c>
      <c r="L7858">
        <v>1</v>
      </c>
      <c r="M7858">
        <v>1</v>
      </c>
      <c r="N7858">
        <v>1</v>
      </c>
      <c r="O7858">
        <v>1</v>
      </c>
      <c r="P7858">
        <v>1</v>
      </c>
      <c r="Q7858">
        <v>1</v>
      </c>
      <c r="R7858">
        <v>1</v>
      </c>
    </row>
    <row r="7859" spans="1:18" x14ac:dyDescent="0.2">
      <c r="A7859" t="str">
        <f>"7855"</f>
        <v>7855</v>
      </c>
      <c r="B7859" t="str">
        <f t="shared" si="434"/>
        <v>1</v>
      </c>
      <c r="C7859" t="str">
        <f t="shared" si="437"/>
        <v>158</v>
      </c>
      <c r="D7859" t="str">
        <f>"2"</f>
        <v>2</v>
      </c>
      <c r="E7859" t="str">
        <f>"1-158-2"</f>
        <v>1-158-2</v>
      </c>
      <c r="F7859" t="s">
        <v>65</v>
      </c>
      <c r="G7859" t="s">
        <v>66</v>
      </c>
      <c r="H7859" t="s">
        <v>68</v>
      </c>
      <c r="I7859">
        <v>1</v>
      </c>
      <c r="J7859">
        <v>0</v>
      </c>
      <c r="K7859">
        <v>0</v>
      </c>
      <c r="L7859">
        <v>1</v>
      </c>
      <c r="M7859">
        <v>1</v>
      </c>
      <c r="N7859">
        <v>1</v>
      </c>
      <c r="O7859">
        <v>1</v>
      </c>
      <c r="P7859">
        <v>1</v>
      </c>
      <c r="Q7859">
        <v>1</v>
      </c>
      <c r="R7859">
        <v>1</v>
      </c>
    </row>
    <row r="7860" spans="1:18" x14ac:dyDescent="0.2">
      <c r="A7860" t="str">
        <f>"7856"</f>
        <v>7856</v>
      </c>
      <c r="B7860" t="str">
        <f t="shared" si="434"/>
        <v>1</v>
      </c>
      <c r="C7860" t="str">
        <f t="shared" si="437"/>
        <v>158</v>
      </c>
      <c r="D7860" t="str">
        <f>"36"</f>
        <v>36</v>
      </c>
      <c r="E7860" t="str">
        <f>"1-158-36"</f>
        <v>1-158-36</v>
      </c>
      <c r="F7860" t="s">
        <v>65</v>
      </c>
      <c r="G7860" t="s">
        <v>66</v>
      </c>
      <c r="H7860" t="s">
        <v>68</v>
      </c>
      <c r="I7860">
        <v>1</v>
      </c>
      <c r="J7860">
        <v>0</v>
      </c>
      <c r="K7860">
        <v>0</v>
      </c>
      <c r="L7860">
        <v>1</v>
      </c>
      <c r="M7860">
        <v>1</v>
      </c>
      <c r="N7860">
        <v>0</v>
      </c>
      <c r="O7860">
        <v>0</v>
      </c>
      <c r="P7860">
        <v>0</v>
      </c>
      <c r="Q7860">
        <v>0</v>
      </c>
      <c r="R7860">
        <v>0</v>
      </c>
    </row>
    <row r="7861" spans="1:18" x14ac:dyDescent="0.2">
      <c r="A7861" t="str">
        <f>"7857"</f>
        <v>7857</v>
      </c>
      <c r="B7861" t="str">
        <f t="shared" si="434"/>
        <v>1</v>
      </c>
      <c r="C7861" t="str">
        <f t="shared" si="437"/>
        <v>158</v>
      </c>
      <c r="D7861" t="str">
        <f>"35"</f>
        <v>35</v>
      </c>
      <c r="E7861" t="str">
        <f>"1-158-35"</f>
        <v>1-158-35</v>
      </c>
      <c r="F7861" t="s">
        <v>65</v>
      </c>
      <c r="G7861" t="s">
        <v>66</v>
      </c>
      <c r="H7861" t="s">
        <v>68</v>
      </c>
      <c r="I7861">
        <v>0</v>
      </c>
      <c r="J7861">
        <v>1</v>
      </c>
      <c r="K7861">
        <v>0</v>
      </c>
      <c r="L7861">
        <v>0</v>
      </c>
      <c r="M7861">
        <v>1</v>
      </c>
      <c r="N7861">
        <v>0</v>
      </c>
      <c r="O7861">
        <v>0</v>
      </c>
      <c r="P7861">
        <v>0</v>
      </c>
      <c r="Q7861">
        <v>0</v>
      </c>
      <c r="R7861">
        <v>0</v>
      </c>
    </row>
    <row r="7862" spans="1:18" x14ac:dyDescent="0.2">
      <c r="A7862" t="str">
        <f>"7858"</f>
        <v>7858</v>
      </c>
      <c r="B7862" t="str">
        <f t="shared" si="434"/>
        <v>1</v>
      </c>
      <c r="C7862" t="str">
        <f t="shared" si="437"/>
        <v>158</v>
      </c>
      <c r="D7862" t="str">
        <f>"26"</f>
        <v>26</v>
      </c>
      <c r="E7862" t="str">
        <f>"1-158-26"</f>
        <v>1-158-26</v>
      </c>
      <c r="F7862" t="s">
        <v>65</v>
      </c>
      <c r="G7862" t="s">
        <v>66</v>
      </c>
      <c r="H7862" t="s">
        <v>68</v>
      </c>
      <c r="I7862">
        <v>1</v>
      </c>
      <c r="J7862">
        <v>0</v>
      </c>
      <c r="K7862">
        <v>0</v>
      </c>
      <c r="L7862">
        <v>1</v>
      </c>
      <c r="M7862">
        <v>1</v>
      </c>
      <c r="N7862">
        <v>1</v>
      </c>
      <c r="O7862">
        <v>0</v>
      </c>
      <c r="P7862">
        <v>1</v>
      </c>
      <c r="Q7862">
        <v>0</v>
      </c>
      <c r="R7862">
        <v>0</v>
      </c>
    </row>
    <row r="7863" spans="1:18" x14ac:dyDescent="0.2">
      <c r="A7863" t="str">
        <f>"7859"</f>
        <v>7859</v>
      </c>
      <c r="B7863" t="str">
        <f t="shared" ref="B7863:B7926" si="438">"1"</f>
        <v>1</v>
      </c>
      <c r="C7863" t="str">
        <f t="shared" si="437"/>
        <v>158</v>
      </c>
      <c r="D7863" t="str">
        <f>"16"</f>
        <v>16</v>
      </c>
      <c r="E7863" t="str">
        <f>"1-158-16"</f>
        <v>1-158-16</v>
      </c>
      <c r="F7863" t="s">
        <v>65</v>
      </c>
      <c r="G7863" t="s">
        <v>66</v>
      </c>
      <c r="H7863" t="s">
        <v>68</v>
      </c>
      <c r="I7863">
        <v>1</v>
      </c>
      <c r="J7863">
        <v>0</v>
      </c>
      <c r="K7863">
        <v>0</v>
      </c>
      <c r="L7863">
        <v>1</v>
      </c>
      <c r="M7863">
        <v>1</v>
      </c>
      <c r="N7863">
        <v>1</v>
      </c>
      <c r="O7863">
        <v>1</v>
      </c>
      <c r="P7863">
        <v>1</v>
      </c>
      <c r="Q7863">
        <v>1</v>
      </c>
      <c r="R7863">
        <v>1</v>
      </c>
    </row>
    <row r="7864" spans="1:18" x14ac:dyDescent="0.2">
      <c r="A7864" t="str">
        <f>"7860"</f>
        <v>7860</v>
      </c>
      <c r="B7864" t="str">
        <f t="shared" si="438"/>
        <v>1</v>
      </c>
      <c r="C7864" t="str">
        <f t="shared" si="437"/>
        <v>158</v>
      </c>
      <c r="D7864" t="str">
        <f>"1"</f>
        <v>1</v>
      </c>
      <c r="E7864" t="str">
        <f>"1-158-1"</f>
        <v>1-158-1</v>
      </c>
      <c r="F7864" t="s">
        <v>65</v>
      </c>
      <c r="G7864" t="s">
        <v>66</v>
      </c>
      <c r="H7864" t="s">
        <v>68</v>
      </c>
      <c r="I7864">
        <v>1</v>
      </c>
      <c r="J7864">
        <v>0</v>
      </c>
      <c r="K7864">
        <v>1</v>
      </c>
      <c r="L7864">
        <v>0</v>
      </c>
      <c r="M7864">
        <v>1</v>
      </c>
      <c r="N7864">
        <v>1</v>
      </c>
      <c r="O7864">
        <v>1</v>
      </c>
      <c r="P7864">
        <v>1</v>
      </c>
      <c r="Q7864">
        <v>1</v>
      </c>
      <c r="R7864">
        <v>1</v>
      </c>
    </row>
    <row r="7865" spans="1:18" x14ac:dyDescent="0.2">
      <c r="A7865" t="str">
        <f>"7861"</f>
        <v>7861</v>
      </c>
      <c r="B7865" t="str">
        <f t="shared" si="438"/>
        <v>1</v>
      </c>
      <c r="C7865" t="str">
        <f t="shared" si="437"/>
        <v>158</v>
      </c>
      <c r="D7865" t="str">
        <f>"40"</f>
        <v>40</v>
      </c>
      <c r="E7865" t="str">
        <f>"1-158-40"</f>
        <v>1-158-40</v>
      </c>
      <c r="F7865" t="s">
        <v>65</v>
      </c>
      <c r="G7865" t="s">
        <v>66</v>
      </c>
      <c r="H7865" t="s">
        <v>68</v>
      </c>
      <c r="I7865">
        <v>1</v>
      </c>
      <c r="J7865">
        <v>0</v>
      </c>
      <c r="K7865">
        <v>1</v>
      </c>
      <c r="L7865">
        <v>0</v>
      </c>
      <c r="M7865">
        <v>1</v>
      </c>
      <c r="N7865">
        <v>1</v>
      </c>
      <c r="O7865">
        <v>1</v>
      </c>
      <c r="P7865">
        <v>1</v>
      </c>
      <c r="Q7865">
        <v>1</v>
      </c>
      <c r="R7865">
        <v>1</v>
      </c>
    </row>
    <row r="7866" spans="1:18" x14ac:dyDescent="0.2">
      <c r="A7866" t="str">
        <f>"7862"</f>
        <v>7862</v>
      </c>
      <c r="B7866" t="str">
        <f t="shared" si="438"/>
        <v>1</v>
      </c>
      <c r="C7866" t="str">
        <f t="shared" si="437"/>
        <v>158</v>
      </c>
      <c r="D7866" t="str">
        <f>"39"</f>
        <v>39</v>
      </c>
      <c r="E7866" t="str">
        <f>"1-158-39"</f>
        <v>1-158-39</v>
      </c>
      <c r="F7866" t="s">
        <v>65</v>
      </c>
      <c r="G7866" t="s">
        <v>66</v>
      </c>
      <c r="H7866" t="s">
        <v>68</v>
      </c>
      <c r="I7866">
        <v>1</v>
      </c>
      <c r="J7866">
        <v>1</v>
      </c>
      <c r="K7866">
        <v>0</v>
      </c>
      <c r="L7866">
        <v>0</v>
      </c>
      <c r="M7866">
        <v>1</v>
      </c>
      <c r="N7866">
        <v>1</v>
      </c>
      <c r="O7866">
        <v>1</v>
      </c>
      <c r="P7866">
        <v>1</v>
      </c>
      <c r="Q7866">
        <v>1</v>
      </c>
      <c r="R7866">
        <v>1</v>
      </c>
    </row>
    <row r="7867" spans="1:18" x14ac:dyDescent="0.2">
      <c r="A7867" t="str">
        <f>"7863"</f>
        <v>7863</v>
      </c>
      <c r="B7867" t="str">
        <f t="shared" si="438"/>
        <v>1</v>
      </c>
      <c r="C7867" t="str">
        <f t="shared" si="437"/>
        <v>158</v>
      </c>
      <c r="D7867" t="str">
        <f>"28"</f>
        <v>28</v>
      </c>
      <c r="E7867" t="str">
        <f>"1-158-28"</f>
        <v>1-158-28</v>
      </c>
      <c r="F7867" t="s">
        <v>65</v>
      </c>
      <c r="G7867" t="s">
        <v>66</v>
      </c>
      <c r="H7867" t="s">
        <v>68</v>
      </c>
      <c r="I7867">
        <v>1</v>
      </c>
      <c r="J7867">
        <v>0</v>
      </c>
      <c r="K7867">
        <v>0</v>
      </c>
      <c r="L7867">
        <v>1</v>
      </c>
      <c r="M7867">
        <v>1</v>
      </c>
      <c r="N7867">
        <v>1</v>
      </c>
      <c r="O7867">
        <v>1</v>
      </c>
      <c r="P7867">
        <v>1</v>
      </c>
      <c r="Q7867">
        <v>1</v>
      </c>
      <c r="R7867">
        <v>1</v>
      </c>
    </row>
    <row r="7868" spans="1:18" x14ac:dyDescent="0.2">
      <c r="A7868" t="str">
        <f>"7864"</f>
        <v>7864</v>
      </c>
      <c r="B7868" t="str">
        <f t="shared" si="438"/>
        <v>1</v>
      </c>
      <c r="C7868" t="str">
        <f t="shared" si="437"/>
        <v>158</v>
      </c>
      <c r="D7868" t="str">
        <f>"17"</f>
        <v>17</v>
      </c>
      <c r="E7868" t="str">
        <f>"1-158-17"</f>
        <v>1-158-17</v>
      </c>
      <c r="F7868" t="s">
        <v>65</v>
      </c>
      <c r="G7868" t="s">
        <v>66</v>
      </c>
      <c r="H7868" t="s">
        <v>68</v>
      </c>
      <c r="I7868">
        <v>1</v>
      </c>
      <c r="J7868">
        <v>0</v>
      </c>
      <c r="K7868">
        <v>0</v>
      </c>
      <c r="L7868">
        <v>1</v>
      </c>
      <c r="M7868">
        <v>1</v>
      </c>
      <c r="N7868">
        <v>1</v>
      </c>
      <c r="O7868">
        <v>1</v>
      </c>
      <c r="P7868">
        <v>1</v>
      </c>
      <c r="Q7868">
        <v>1</v>
      </c>
      <c r="R7868">
        <v>1</v>
      </c>
    </row>
    <row r="7869" spans="1:18" x14ac:dyDescent="0.2">
      <c r="A7869" t="str">
        <f>"7865"</f>
        <v>7865</v>
      </c>
      <c r="B7869" t="str">
        <f t="shared" si="438"/>
        <v>1</v>
      </c>
      <c r="C7869" t="str">
        <f t="shared" si="437"/>
        <v>158</v>
      </c>
      <c r="D7869" t="str">
        <f>"3"</f>
        <v>3</v>
      </c>
      <c r="E7869" t="str">
        <f>"1-158-3"</f>
        <v>1-158-3</v>
      </c>
      <c r="F7869" t="s">
        <v>65</v>
      </c>
      <c r="G7869" t="s">
        <v>66</v>
      </c>
      <c r="H7869" t="s">
        <v>68</v>
      </c>
      <c r="I7869">
        <v>1</v>
      </c>
      <c r="J7869">
        <v>1</v>
      </c>
      <c r="K7869">
        <v>0</v>
      </c>
      <c r="L7869">
        <v>0</v>
      </c>
      <c r="M7869">
        <v>1</v>
      </c>
      <c r="N7869">
        <v>1</v>
      </c>
      <c r="O7869">
        <v>1</v>
      </c>
      <c r="P7869">
        <v>1</v>
      </c>
      <c r="Q7869">
        <v>1</v>
      </c>
      <c r="R7869">
        <v>1</v>
      </c>
    </row>
    <row r="7870" spans="1:18" x14ac:dyDescent="0.2">
      <c r="A7870" t="str">
        <f>"7866"</f>
        <v>7866</v>
      </c>
      <c r="B7870" t="str">
        <f t="shared" si="438"/>
        <v>1</v>
      </c>
      <c r="C7870" t="str">
        <f t="shared" si="437"/>
        <v>158</v>
      </c>
      <c r="D7870" t="str">
        <f>"38"</f>
        <v>38</v>
      </c>
      <c r="E7870" t="str">
        <f>"1-158-38"</f>
        <v>1-158-38</v>
      </c>
      <c r="F7870" t="s">
        <v>65</v>
      </c>
      <c r="G7870" t="s">
        <v>66</v>
      </c>
      <c r="H7870" t="s">
        <v>68</v>
      </c>
      <c r="I7870">
        <v>1</v>
      </c>
      <c r="J7870">
        <v>1</v>
      </c>
      <c r="K7870">
        <v>0</v>
      </c>
      <c r="L7870">
        <v>0</v>
      </c>
      <c r="M7870">
        <v>1</v>
      </c>
      <c r="N7870">
        <v>1</v>
      </c>
      <c r="O7870">
        <v>1</v>
      </c>
      <c r="P7870">
        <v>1</v>
      </c>
      <c r="Q7870">
        <v>1</v>
      </c>
      <c r="R7870">
        <v>1</v>
      </c>
    </row>
    <row r="7871" spans="1:18" x14ac:dyDescent="0.2">
      <c r="A7871" t="str">
        <f>"7867"</f>
        <v>7867</v>
      </c>
      <c r="B7871" t="str">
        <f t="shared" si="438"/>
        <v>1</v>
      </c>
      <c r="C7871" t="str">
        <f t="shared" si="437"/>
        <v>158</v>
      </c>
      <c r="D7871" t="str">
        <f>"37"</f>
        <v>37</v>
      </c>
      <c r="E7871" t="str">
        <f>"1-158-37"</f>
        <v>1-158-37</v>
      </c>
      <c r="F7871" t="s">
        <v>65</v>
      </c>
      <c r="G7871" t="s">
        <v>66</v>
      </c>
      <c r="H7871" t="s">
        <v>68</v>
      </c>
      <c r="I7871">
        <v>1</v>
      </c>
      <c r="J7871">
        <v>0</v>
      </c>
      <c r="K7871">
        <v>0</v>
      </c>
      <c r="L7871">
        <v>1</v>
      </c>
      <c r="M7871">
        <v>1</v>
      </c>
      <c r="N7871">
        <v>1</v>
      </c>
      <c r="O7871">
        <v>1</v>
      </c>
      <c r="P7871">
        <v>1</v>
      </c>
      <c r="Q7871">
        <v>1</v>
      </c>
      <c r="R7871">
        <v>1</v>
      </c>
    </row>
    <row r="7872" spans="1:18" x14ac:dyDescent="0.2">
      <c r="A7872" t="str">
        <f>"7868"</f>
        <v>7868</v>
      </c>
      <c r="B7872" t="str">
        <f t="shared" si="438"/>
        <v>1</v>
      </c>
      <c r="C7872" t="str">
        <f t="shared" si="437"/>
        <v>158</v>
      </c>
      <c r="D7872" t="str">
        <f>"27"</f>
        <v>27</v>
      </c>
      <c r="E7872" t="str">
        <f>"1-158-27"</f>
        <v>1-158-27</v>
      </c>
      <c r="F7872" t="s">
        <v>65</v>
      </c>
      <c r="G7872" t="s">
        <v>66</v>
      </c>
      <c r="H7872" t="s">
        <v>68</v>
      </c>
      <c r="I7872">
        <v>1</v>
      </c>
      <c r="J7872">
        <v>0</v>
      </c>
      <c r="K7872">
        <v>0</v>
      </c>
      <c r="L7872">
        <v>1</v>
      </c>
      <c r="M7872">
        <v>1</v>
      </c>
      <c r="N7872">
        <v>1</v>
      </c>
      <c r="O7872">
        <v>1</v>
      </c>
      <c r="P7872">
        <v>1</v>
      </c>
      <c r="Q7872">
        <v>1</v>
      </c>
      <c r="R7872">
        <v>1</v>
      </c>
    </row>
    <row r="7873" spans="1:18" x14ac:dyDescent="0.2">
      <c r="A7873" t="str">
        <f>"7869"</f>
        <v>7869</v>
      </c>
      <c r="B7873" t="str">
        <f t="shared" si="438"/>
        <v>1</v>
      </c>
      <c r="C7873" t="str">
        <f t="shared" si="437"/>
        <v>158</v>
      </c>
      <c r="D7873" t="str">
        <f>"18"</f>
        <v>18</v>
      </c>
      <c r="E7873" t="str">
        <f>"1-158-18"</f>
        <v>1-158-18</v>
      </c>
      <c r="F7873" t="s">
        <v>65</v>
      </c>
      <c r="G7873" t="s">
        <v>66</v>
      </c>
      <c r="H7873" t="s">
        <v>68</v>
      </c>
      <c r="I7873">
        <v>1</v>
      </c>
      <c r="J7873">
        <v>0</v>
      </c>
      <c r="K7873">
        <v>1</v>
      </c>
      <c r="L7873">
        <v>0</v>
      </c>
      <c r="M7873">
        <v>1</v>
      </c>
      <c r="N7873">
        <v>1</v>
      </c>
      <c r="O7873">
        <v>1</v>
      </c>
      <c r="P7873">
        <v>1</v>
      </c>
      <c r="Q7873">
        <v>1</v>
      </c>
      <c r="R7873">
        <v>1</v>
      </c>
    </row>
    <row r="7874" spans="1:18" x14ac:dyDescent="0.2">
      <c r="A7874" t="str">
        <f>"7870"</f>
        <v>7870</v>
      </c>
      <c r="B7874" t="str">
        <f t="shared" si="438"/>
        <v>1</v>
      </c>
      <c r="C7874" t="str">
        <f t="shared" si="437"/>
        <v>158</v>
      </c>
      <c r="D7874" t="str">
        <f>"13"</f>
        <v>13</v>
      </c>
      <c r="E7874" t="str">
        <f>"1-158-13"</f>
        <v>1-158-13</v>
      </c>
      <c r="F7874" t="s">
        <v>65</v>
      </c>
      <c r="G7874" t="s">
        <v>66</v>
      </c>
      <c r="H7874" t="s">
        <v>68</v>
      </c>
      <c r="I7874">
        <v>1</v>
      </c>
      <c r="J7874">
        <v>1</v>
      </c>
      <c r="K7874">
        <v>0</v>
      </c>
      <c r="L7874">
        <v>0</v>
      </c>
      <c r="M7874">
        <v>1</v>
      </c>
      <c r="N7874">
        <v>1</v>
      </c>
      <c r="O7874">
        <v>1</v>
      </c>
      <c r="P7874">
        <v>1</v>
      </c>
      <c r="Q7874">
        <v>1</v>
      </c>
      <c r="R7874">
        <v>1</v>
      </c>
    </row>
    <row r="7875" spans="1:18" x14ac:dyDescent="0.2">
      <c r="A7875" t="str">
        <f>"7871"</f>
        <v>7871</v>
      </c>
      <c r="B7875" t="str">
        <f t="shared" si="438"/>
        <v>1</v>
      </c>
      <c r="C7875" t="str">
        <f t="shared" si="437"/>
        <v>158</v>
      </c>
      <c r="D7875" t="str">
        <f>"41"</f>
        <v>41</v>
      </c>
      <c r="E7875" t="str">
        <f>"1-158-41"</f>
        <v>1-158-41</v>
      </c>
      <c r="F7875" t="s">
        <v>65</v>
      </c>
      <c r="G7875" t="s">
        <v>66</v>
      </c>
      <c r="H7875" t="s">
        <v>68</v>
      </c>
      <c r="I7875">
        <v>1</v>
      </c>
      <c r="J7875">
        <v>0</v>
      </c>
      <c r="K7875">
        <v>0</v>
      </c>
      <c r="L7875">
        <v>1</v>
      </c>
      <c r="M7875">
        <v>1</v>
      </c>
      <c r="N7875">
        <v>1</v>
      </c>
      <c r="O7875">
        <v>1</v>
      </c>
      <c r="P7875">
        <v>1</v>
      </c>
      <c r="Q7875">
        <v>1</v>
      </c>
      <c r="R7875">
        <v>1</v>
      </c>
    </row>
    <row r="7876" spans="1:18" x14ac:dyDescent="0.2">
      <c r="A7876" t="str">
        <f>"7872"</f>
        <v>7872</v>
      </c>
      <c r="B7876" t="str">
        <f t="shared" si="438"/>
        <v>1</v>
      </c>
      <c r="C7876" t="str">
        <f t="shared" si="437"/>
        <v>158</v>
      </c>
      <c r="D7876" t="str">
        <f>"19"</f>
        <v>19</v>
      </c>
      <c r="E7876" t="str">
        <f>"1-158-19"</f>
        <v>1-158-19</v>
      </c>
      <c r="F7876" t="s">
        <v>65</v>
      </c>
      <c r="G7876" t="s">
        <v>66</v>
      </c>
      <c r="H7876" t="s">
        <v>68</v>
      </c>
      <c r="I7876">
        <v>1</v>
      </c>
      <c r="J7876">
        <v>1</v>
      </c>
      <c r="K7876">
        <v>0</v>
      </c>
      <c r="L7876">
        <v>0</v>
      </c>
      <c r="M7876">
        <v>1</v>
      </c>
      <c r="N7876">
        <v>0</v>
      </c>
      <c r="O7876">
        <v>0</v>
      </c>
      <c r="P7876">
        <v>0</v>
      </c>
      <c r="Q7876">
        <v>0</v>
      </c>
      <c r="R7876">
        <v>0</v>
      </c>
    </row>
    <row r="7877" spans="1:18" x14ac:dyDescent="0.2">
      <c r="A7877" t="str">
        <f>"7873"</f>
        <v>7873</v>
      </c>
      <c r="B7877" t="str">
        <f t="shared" si="438"/>
        <v>1</v>
      </c>
      <c r="C7877" t="str">
        <f t="shared" si="437"/>
        <v>158</v>
      </c>
      <c r="D7877" t="str">
        <f>"7"</f>
        <v>7</v>
      </c>
      <c r="E7877" t="str">
        <f>"1-158-7"</f>
        <v>1-158-7</v>
      </c>
      <c r="F7877" t="s">
        <v>65</v>
      </c>
      <c r="G7877" t="s">
        <v>66</v>
      </c>
      <c r="H7877" t="s">
        <v>68</v>
      </c>
      <c r="I7877">
        <v>0</v>
      </c>
      <c r="J7877">
        <v>1</v>
      </c>
      <c r="K7877">
        <v>0</v>
      </c>
      <c r="L7877">
        <v>0</v>
      </c>
      <c r="M7877">
        <v>1</v>
      </c>
      <c r="N7877">
        <v>0</v>
      </c>
      <c r="O7877">
        <v>1</v>
      </c>
      <c r="P7877">
        <v>1</v>
      </c>
      <c r="Q7877">
        <v>0</v>
      </c>
      <c r="R7877">
        <v>0</v>
      </c>
    </row>
    <row r="7878" spans="1:18" x14ac:dyDescent="0.2">
      <c r="A7878" t="str">
        <f>"7874"</f>
        <v>7874</v>
      </c>
      <c r="B7878" t="str">
        <f t="shared" si="438"/>
        <v>1</v>
      </c>
      <c r="C7878" t="str">
        <f t="shared" si="437"/>
        <v>158</v>
      </c>
      <c r="D7878" t="str">
        <f>"44"</f>
        <v>44</v>
      </c>
      <c r="E7878" t="str">
        <f>"1-158-44"</f>
        <v>1-158-44</v>
      </c>
      <c r="F7878" t="s">
        <v>65</v>
      </c>
      <c r="G7878" t="s">
        <v>66</v>
      </c>
      <c r="H7878" t="s">
        <v>68</v>
      </c>
      <c r="I7878">
        <v>1</v>
      </c>
      <c r="J7878">
        <v>0</v>
      </c>
      <c r="K7878">
        <v>0</v>
      </c>
      <c r="L7878">
        <v>1</v>
      </c>
      <c r="M7878">
        <v>1</v>
      </c>
      <c r="N7878">
        <v>1</v>
      </c>
      <c r="O7878">
        <v>1</v>
      </c>
      <c r="P7878">
        <v>1</v>
      </c>
      <c r="Q7878">
        <v>1</v>
      </c>
      <c r="R7878">
        <v>1</v>
      </c>
    </row>
    <row r="7879" spans="1:18" x14ac:dyDescent="0.2">
      <c r="A7879" t="str">
        <f>"7875"</f>
        <v>7875</v>
      </c>
      <c r="B7879" t="str">
        <f t="shared" si="438"/>
        <v>1</v>
      </c>
      <c r="C7879" t="str">
        <f t="shared" si="437"/>
        <v>158</v>
      </c>
      <c r="D7879" t="str">
        <f>"21"</f>
        <v>21</v>
      </c>
      <c r="E7879" t="str">
        <f>"1-158-21"</f>
        <v>1-158-21</v>
      </c>
      <c r="F7879" t="s">
        <v>65</v>
      </c>
      <c r="G7879" t="s">
        <v>66</v>
      </c>
      <c r="H7879" t="s">
        <v>68</v>
      </c>
      <c r="I7879">
        <v>1</v>
      </c>
      <c r="J7879">
        <v>1</v>
      </c>
      <c r="K7879">
        <v>0</v>
      </c>
      <c r="L7879">
        <v>0</v>
      </c>
      <c r="M7879">
        <v>1</v>
      </c>
      <c r="N7879">
        <v>1</v>
      </c>
      <c r="O7879">
        <v>1</v>
      </c>
      <c r="P7879">
        <v>1</v>
      </c>
      <c r="Q7879">
        <v>1</v>
      </c>
      <c r="R7879">
        <v>1</v>
      </c>
    </row>
    <row r="7880" spans="1:18" x14ac:dyDescent="0.2">
      <c r="A7880" t="str">
        <f>"7876"</f>
        <v>7876</v>
      </c>
      <c r="B7880" t="str">
        <f t="shared" si="438"/>
        <v>1</v>
      </c>
      <c r="C7880" t="str">
        <f t="shared" si="437"/>
        <v>158</v>
      </c>
      <c r="D7880" t="str">
        <f>"11"</f>
        <v>11</v>
      </c>
      <c r="E7880" t="str">
        <f>"1-158-11"</f>
        <v>1-158-11</v>
      </c>
      <c r="F7880" t="s">
        <v>65</v>
      </c>
      <c r="G7880" t="s">
        <v>66</v>
      </c>
      <c r="H7880" t="s">
        <v>68</v>
      </c>
      <c r="I7880">
        <v>1</v>
      </c>
      <c r="J7880">
        <v>0</v>
      </c>
      <c r="K7880">
        <v>0</v>
      </c>
      <c r="L7880">
        <v>1</v>
      </c>
      <c r="M7880">
        <v>1</v>
      </c>
      <c r="N7880">
        <v>1</v>
      </c>
      <c r="O7880">
        <v>1</v>
      </c>
      <c r="P7880">
        <v>1</v>
      </c>
      <c r="Q7880">
        <v>1</v>
      </c>
      <c r="R7880">
        <v>1</v>
      </c>
    </row>
    <row r="7881" spans="1:18" x14ac:dyDescent="0.2">
      <c r="A7881" t="str">
        <f>"7877"</f>
        <v>7877</v>
      </c>
      <c r="B7881" t="str">
        <f t="shared" si="438"/>
        <v>1</v>
      </c>
      <c r="C7881" t="str">
        <f t="shared" si="437"/>
        <v>158</v>
      </c>
      <c r="D7881" t="str">
        <f>"43"</f>
        <v>43</v>
      </c>
      <c r="E7881" t="str">
        <f>"1-158-43"</f>
        <v>1-158-43</v>
      </c>
      <c r="F7881" t="s">
        <v>65</v>
      </c>
      <c r="G7881" t="s">
        <v>66</v>
      </c>
      <c r="H7881" t="s">
        <v>68</v>
      </c>
      <c r="I7881">
        <v>1</v>
      </c>
      <c r="J7881">
        <v>0</v>
      </c>
      <c r="K7881">
        <v>0</v>
      </c>
      <c r="L7881">
        <v>1</v>
      </c>
      <c r="M7881">
        <v>1</v>
      </c>
      <c r="N7881">
        <v>1</v>
      </c>
      <c r="O7881">
        <v>1</v>
      </c>
      <c r="P7881">
        <v>1</v>
      </c>
      <c r="Q7881">
        <v>1</v>
      </c>
      <c r="R7881">
        <v>1</v>
      </c>
    </row>
    <row r="7882" spans="1:18" x14ac:dyDescent="0.2">
      <c r="A7882" t="str">
        <f>"7878"</f>
        <v>7878</v>
      </c>
      <c r="B7882" t="str">
        <f t="shared" si="438"/>
        <v>1</v>
      </c>
      <c r="C7882" t="str">
        <f t="shared" si="437"/>
        <v>158</v>
      </c>
      <c r="D7882" t="str">
        <f>"22"</f>
        <v>22</v>
      </c>
      <c r="E7882" t="str">
        <f>"1-158-22"</f>
        <v>1-158-22</v>
      </c>
      <c r="F7882" t="s">
        <v>65</v>
      </c>
      <c r="G7882" t="s">
        <v>66</v>
      </c>
      <c r="H7882" t="s">
        <v>68</v>
      </c>
      <c r="I7882">
        <v>1</v>
      </c>
      <c r="J7882">
        <v>0</v>
      </c>
      <c r="K7882">
        <v>1</v>
      </c>
      <c r="L7882">
        <v>0</v>
      </c>
      <c r="M7882">
        <v>1</v>
      </c>
      <c r="N7882">
        <v>0</v>
      </c>
      <c r="O7882">
        <v>1</v>
      </c>
      <c r="P7882">
        <v>1</v>
      </c>
      <c r="Q7882">
        <v>1</v>
      </c>
      <c r="R7882">
        <v>0</v>
      </c>
    </row>
    <row r="7883" spans="1:18" x14ac:dyDescent="0.2">
      <c r="A7883" t="str">
        <f>"7879"</f>
        <v>7879</v>
      </c>
      <c r="B7883" t="str">
        <f t="shared" si="438"/>
        <v>1</v>
      </c>
      <c r="C7883" t="str">
        <f t="shared" si="437"/>
        <v>158</v>
      </c>
      <c r="D7883" t="str">
        <f>"6"</f>
        <v>6</v>
      </c>
      <c r="E7883" t="str">
        <f>"1-158-6"</f>
        <v>1-158-6</v>
      </c>
      <c r="F7883" t="s">
        <v>65</v>
      </c>
      <c r="G7883" t="s">
        <v>66</v>
      </c>
      <c r="H7883" t="s">
        <v>68</v>
      </c>
      <c r="I7883">
        <v>1</v>
      </c>
      <c r="J7883">
        <v>0</v>
      </c>
      <c r="K7883">
        <v>0</v>
      </c>
      <c r="L7883">
        <v>1</v>
      </c>
      <c r="M7883">
        <v>1</v>
      </c>
      <c r="N7883">
        <v>1</v>
      </c>
      <c r="O7883">
        <v>1</v>
      </c>
      <c r="P7883">
        <v>1</v>
      </c>
      <c r="Q7883">
        <v>1</v>
      </c>
      <c r="R7883">
        <v>1</v>
      </c>
    </row>
    <row r="7884" spans="1:18" x14ac:dyDescent="0.2">
      <c r="A7884" t="str">
        <f>"7880"</f>
        <v>7880</v>
      </c>
      <c r="B7884" t="str">
        <f t="shared" si="438"/>
        <v>1</v>
      </c>
      <c r="C7884" t="str">
        <f t="shared" si="437"/>
        <v>158</v>
      </c>
      <c r="D7884" t="str">
        <f>"42"</f>
        <v>42</v>
      </c>
      <c r="E7884" t="str">
        <f>"1-158-42"</f>
        <v>1-158-42</v>
      </c>
      <c r="F7884" t="s">
        <v>65</v>
      </c>
      <c r="G7884" t="s">
        <v>66</v>
      </c>
      <c r="H7884" t="s">
        <v>68</v>
      </c>
      <c r="I7884">
        <v>1</v>
      </c>
      <c r="J7884">
        <v>1</v>
      </c>
      <c r="K7884">
        <v>0</v>
      </c>
      <c r="L7884">
        <v>0</v>
      </c>
      <c r="M7884">
        <v>1</v>
      </c>
      <c r="N7884">
        <v>1</v>
      </c>
      <c r="O7884">
        <v>1</v>
      </c>
      <c r="P7884">
        <v>1</v>
      </c>
      <c r="Q7884">
        <v>1</v>
      </c>
      <c r="R7884">
        <v>1</v>
      </c>
    </row>
    <row r="7885" spans="1:18" x14ac:dyDescent="0.2">
      <c r="A7885" t="str">
        <f>"7881"</f>
        <v>7881</v>
      </c>
      <c r="B7885" t="str">
        <f t="shared" si="438"/>
        <v>1</v>
      </c>
      <c r="C7885" t="str">
        <f t="shared" si="437"/>
        <v>158</v>
      </c>
      <c r="D7885" t="str">
        <f>"23"</f>
        <v>23</v>
      </c>
      <c r="E7885" t="str">
        <f>"1-158-23"</f>
        <v>1-158-23</v>
      </c>
      <c r="F7885" t="s">
        <v>65</v>
      </c>
      <c r="G7885" t="s">
        <v>66</v>
      </c>
      <c r="H7885" t="s">
        <v>68</v>
      </c>
      <c r="I7885">
        <v>1</v>
      </c>
      <c r="J7885">
        <v>0</v>
      </c>
      <c r="K7885">
        <v>1</v>
      </c>
      <c r="L7885">
        <v>0</v>
      </c>
      <c r="M7885">
        <v>1</v>
      </c>
      <c r="N7885">
        <v>1</v>
      </c>
      <c r="O7885">
        <v>1</v>
      </c>
      <c r="P7885">
        <v>1</v>
      </c>
      <c r="Q7885">
        <v>1</v>
      </c>
      <c r="R7885">
        <v>1</v>
      </c>
    </row>
    <row r="7886" spans="1:18" x14ac:dyDescent="0.2">
      <c r="A7886" t="str">
        <f>"7882"</f>
        <v>7882</v>
      </c>
      <c r="B7886" t="str">
        <f t="shared" si="438"/>
        <v>1</v>
      </c>
      <c r="C7886" t="str">
        <f t="shared" si="437"/>
        <v>158</v>
      </c>
      <c r="D7886" t="str">
        <f>"14"</f>
        <v>14</v>
      </c>
      <c r="E7886" t="str">
        <f>"1-158-14"</f>
        <v>1-158-14</v>
      </c>
      <c r="F7886" t="s">
        <v>65</v>
      </c>
      <c r="G7886" t="s">
        <v>66</v>
      </c>
      <c r="H7886" t="s">
        <v>68</v>
      </c>
      <c r="I7886">
        <v>1</v>
      </c>
      <c r="J7886">
        <v>0</v>
      </c>
      <c r="K7886">
        <v>0</v>
      </c>
      <c r="L7886">
        <v>1</v>
      </c>
      <c r="M7886">
        <v>1</v>
      </c>
      <c r="N7886">
        <v>1</v>
      </c>
      <c r="O7886">
        <v>1</v>
      </c>
      <c r="P7886">
        <v>1</v>
      </c>
      <c r="Q7886">
        <v>1</v>
      </c>
      <c r="R7886">
        <v>1</v>
      </c>
    </row>
    <row r="7887" spans="1:18" x14ac:dyDescent="0.2">
      <c r="A7887" t="str">
        <f>"7883"</f>
        <v>7883</v>
      </c>
      <c r="B7887" t="str">
        <f t="shared" si="438"/>
        <v>1</v>
      </c>
      <c r="C7887" t="str">
        <f t="shared" ref="C7887:C7904" si="439">"158"</f>
        <v>158</v>
      </c>
      <c r="D7887" t="str">
        <f>"45"</f>
        <v>45</v>
      </c>
      <c r="E7887" t="str">
        <f>"1-158-45"</f>
        <v>1-158-45</v>
      </c>
      <c r="F7887" t="s">
        <v>65</v>
      </c>
      <c r="G7887" t="s">
        <v>66</v>
      </c>
      <c r="H7887" t="s">
        <v>68</v>
      </c>
      <c r="I7887">
        <v>1</v>
      </c>
      <c r="J7887">
        <v>1</v>
      </c>
      <c r="K7887">
        <v>0</v>
      </c>
      <c r="L7887">
        <v>0</v>
      </c>
      <c r="M7887">
        <v>1</v>
      </c>
      <c r="N7887">
        <v>1</v>
      </c>
      <c r="O7887">
        <v>1</v>
      </c>
      <c r="P7887">
        <v>1</v>
      </c>
      <c r="Q7887">
        <v>1</v>
      </c>
      <c r="R7887">
        <v>1</v>
      </c>
    </row>
    <row r="7888" spans="1:18" x14ac:dyDescent="0.2">
      <c r="A7888" t="str">
        <f>"7884"</f>
        <v>7884</v>
      </c>
      <c r="B7888" t="str">
        <f t="shared" si="438"/>
        <v>1</v>
      </c>
      <c r="C7888" t="str">
        <f t="shared" si="439"/>
        <v>158</v>
      </c>
      <c r="D7888" t="str">
        <f>"24"</f>
        <v>24</v>
      </c>
      <c r="E7888" t="str">
        <f>"1-158-24"</f>
        <v>1-158-24</v>
      </c>
      <c r="F7888" t="s">
        <v>65</v>
      </c>
      <c r="G7888" t="s">
        <v>66</v>
      </c>
      <c r="H7888" t="s">
        <v>68</v>
      </c>
      <c r="I7888">
        <v>1</v>
      </c>
      <c r="J7888">
        <v>1</v>
      </c>
      <c r="K7888">
        <v>0</v>
      </c>
      <c r="L7888">
        <v>0</v>
      </c>
      <c r="M7888">
        <v>0</v>
      </c>
      <c r="N7888">
        <v>1</v>
      </c>
      <c r="O7888">
        <v>1</v>
      </c>
      <c r="P7888">
        <v>1</v>
      </c>
      <c r="Q7888">
        <v>1</v>
      </c>
      <c r="R7888">
        <v>1</v>
      </c>
    </row>
    <row r="7889" spans="1:18" x14ac:dyDescent="0.2">
      <c r="A7889" t="str">
        <f>"7885"</f>
        <v>7885</v>
      </c>
      <c r="B7889" t="str">
        <f t="shared" si="438"/>
        <v>1</v>
      </c>
      <c r="C7889" t="str">
        <f t="shared" si="439"/>
        <v>158</v>
      </c>
      <c r="D7889" t="str">
        <f>"8"</f>
        <v>8</v>
      </c>
      <c r="E7889" t="str">
        <f>"1-158-8"</f>
        <v>1-158-8</v>
      </c>
      <c r="F7889" t="s">
        <v>65</v>
      </c>
      <c r="G7889" t="s">
        <v>66</v>
      </c>
      <c r="H7889" t="s">
        <v>68</v>
      </c>
      <c r="I7889">
        <v>1</v>
      </c>
      <c r="J7889">
        <v>0</v>
      </c>
      <c r="K7889">
        <v>1</v>
      </c>
      <c r="L7889">
        <v>0</v>
      </c>
      <c r="M7889">
        <v>1</v>
      </c>
      <c r="N7889">
        <v>1</v>
      </c>
      <c r="O7889">
        <v>1</v>
      </c>
      <c r="P7889">
        <v>1</v>
      </c>
      <c r="Q7889">
        <v>1</v>
      </c>
      <c r="R7889">
        <v>1</v>
      </c>
    </row>
    <row r="7890" spans="1:18" x14ac:dyDescent="0.2">
      <c r="A7890" t="str">
        <f>"7886"</f>
        <v>7886</v>
      </c>
      <c r="B7890" t="str">
        <f t="shared" si="438"/>
        <v>1</v>
      </c>
      <c r="C7890" t="str">
        <f t="shared" si="439"/>
        <v>158</v>
      </c>
      <c r="D7890" t="str">
        <f>"47"</f>
        <v>47</v>
      </c>
      <c r="E7890" t="str">
        <f>"1-158-47"</f>
        <v>1-158-47</v>
      </c>
      <c r="F7890" t="s">
        <v>65</v>
      </c>
      <c r="G7890" t="s">
        <v>66</v>
      </c>
      <c r="H7890" t="s">
        <v>68</v>
      </c>
      <c r="I7890">
        <v>0</v>
      </c>
      <c r="J7890">
        <v>0</v>
      </c>
      <c r="K7890">
        <v>0</v>
      </c>
      <c r="L7890">
        <v>1</v>
      </c>
      <c r="M7890">
        <v>1</v>
      </c>
      <c r="N7890">
        <v>1</v>
      </c>
      <c r="O7890">
        <v>1</v>
      </c>
      <c r="P7890">
        <v>1</v>
      </c>
      <c r="Q7890">
        <v>1</v>
      </c>
      <c r="R7890">
        <v>1</v>
      </c>
    </row>
    <row r="7891" spans="1:18" x14ac:dyDescent="0.2">
      <c r="A7891" t="str">
        <f>"7887"</f>
        <v>7887</v>
      </c>
      <c r="B7891" t="str">
        <f t="shared" si="438"/>
        <v>1</v>
      </c>
      <c r="C7891" t="str">
        <f t="shared" si="439"/>
        <v>158</v>
      </c>
      <c r="D7891" t="str">
        <f>"25"</f>
        <v>25</v>
      </c>
      <c r="E7891" t="str">
        <f>"1-158-25"</f>
        <v>1-158-25</v>
      </c>
      <c r="F7891" t="s">
        <v>65</v>
      </c>
      <c r="G7891" t="s">
        <v>66</v>
      </c>
      <c r="H7891" t="s">
        <v>68</v>
      </c>
      <c r="I7891">
        <v>1</v>
      </c>
      <c r="J7891">
        <v>0</v>
      </c>
      <c r="K7891">
        <v>0</v>
      </c>
      <c r="L7891">
        <v>1</v>
      </c>
      <c r="M7891">
        <v>1</v>
      </c>
      <c r="N7891">
        <v>1</v>
      </c>
      <c r="O7891">
        <v>1</v>
      </c>
      <c r="P7891">
        <v>1</v>
      </c>
      <c r="Q7891">
        <v>0</v>
      </c>
      <c r="R7891">
        <v>0</v>
      </c>
    </row>
    <row r="7892" spans="1:18" x14ac:dyDescent="0.2">
      <c r="A7892" t="str">
        <f>"7888"</f>
        <v>7888</v>
      </c>
      <c r="B7892" t="str">
        <f t="shared" si="438"/>
        <v>1</v>
      </c>
      <c r="C7892" t="str">
        <f t="shared" si="439"/>
        <v>158</v>
      </c>
      <c r="D7892" t="str">
        <f>"5"</f>
        <v>5</v>
      </c>
      <c r="E7892" t="str">
        <f>"1-158-5"</f>
        <v>1-158-5</v>
      </c>
      <c r="F7892" t="s">
        <v>65</v>
      </c>
      <c r="G7892" t="s">
        <v>66</v>
      </c>
      <c r="H7892" t="s">
        <v>68</v>
      </c>
      <c r="I7892">
        <v>1</v>
      </c>
      <c r="J7892">
        <v>0</v>
      </c>
      <c r="K7892">
        <v>0</v>
      </c>
      <c r="L7892">
        <v>1</v>
      </c>
      <c r="M7892">
        <v>1</v>
      </c>
      <c r="N7892">
        <v>1</v>
      </c>
      <c r="O7892">
        <v>1</v>
      </c>
      <c r="P7892">
        <v>1</v>
      </c>
      <c r="Q7892">
        <v>1</v>
      </c>
      <c r="R7892">
        <v>1</v>
      </c>
    </row>
    <row r="7893" spans="1:18" x14ac:dyDescent="0.2">
      <c r="A7893" t="str">
        <f>"7889"</f>
        <v>7889</v>
      </c>
      <c r="B7893" t="str">
        <f t="shared" si="438"/>
        <v>1</v>
      </c>
      <c r="C7893" t="str">
        <f t="shared" si="439"/>
        <v>158</v>
      </c>
      <c r="D7893" t="str">
        <f>"50"</f>
        <v>50</v>
      </c>
      <c r="E7893" t="str">
        <f>"1-158-50"</f>
        <v>1-158-50</v>
      </c>
      <c r="F7893" t="s">
        <v>65</v>
      </c>
      <c r="G7893" t="s">
        <v>66</v>
      </c>
      <c r="H7893" t="s">
        <v>68</v>
      </c>
      <c r="I7893">
        <v>1</v>
      </c>
      <c r="J7893">
        <v>0</v>
      </c>
      <c r="K7893">
        <v>1</v>
      </c>
      <c r="L7893">
        <v>0</v>
      </c>
      <c r="M7893">
        <v>1</v>
      </c>
      <c r="N7893">
        <v>1</v>
      </c>
      <c r="O7893">
        <v>1</v>
      </c>
      <c r="P7893">
        <v>1</v>
      </c>
      <c r="Q7893">
        <v>1</v>
      </c>
      <c r="R7893">
        <v>1</v>
      </c>
    </row>
    <row r="7894" spans="1:18" x14ac:dyDescent="0.2">
      <c r="A7894" t="str">
        <f>"7890"</f>
        <v>7890</v>
      </c>
      <c r="B7894" t="str">
        <f t="shared" si="438"/>
        <v>1</v>
      </c>
      <c r="C7894" t="str">
        <f t="shared" si="439"/>
        <v>158</v>
      </c>
      <c r="D7894" t="str">
        <f>"29"</f>
        <v>29</v>
      </c>
      <c r="E7894" t="str">
        <f>"1-158-29"</f>
        <v>1-158-29</v>
      </c>
      <c r="F7894" t="s">
        <v>65</v>
      </c>
      <c r="G7894" t="s">
        <v>66</v>
      </c>
      <c r="H7894" t="s">
        <v>68</v>
      </c>
      <c r="I7894">
        <v>1</v>
      </c>
      <c r="J7894">
        <v>0</v>
      </c>
      <c r="K7894">
        <v>0</v>
      </c>
      <c r="L7894">
        <v>1</v>
      </c>
      <c r="M7894">
        <v>1</v>
      </c>
      <c r="N7894">
        <v>1</v>
      </c>
      <c r="O7894">
        <v>1</v>
      </c>
      <c r="P7894">
        <v>1</v>
      </c>
      <c r="Q7894">
        <v>1</v>
      </c>
      <c r="R7894">
        <v>1</v>
      </c>
    </row>
    <row r="7895" spans="1:18" x14ac:dyDescent="0.2">
      <c r="A7895" t="str">
        <f>"7891"</f>
        <v>7891</v>
      </c>
      <c r="B7895" t="str">
        <f t="shared" si="438"/>
        <v>1</v>
      </c>
      <c r="C7895" t="str">
        <f t="shared" si="439"/>
        <v>158</v>
      </c>
      <c r="D7895" t="str">
        <f>"4"</f>
        <v>4</v>
      </c>
      <c r="E7895" t="str">
        <f>"1-158-4"</f>
        <v>1-158-4</v>
      </c>
      <c r="F7895" t="s">
        <v>65</v>
      </c>
      <c r="G7895" t="s">
        <v>66</v>
      </c>
      <c r="H7895" t="s">
        <v>68</v>
      </c>
      <c r="I7895">
        <v>1</v>
      </c>
      <c r="J7895">
        <v>0</v>
      </c>
      <c r="K7895">
        <v>1</v>
      </c>
      <c r="L7895">
        <v>0</v>
      </c>
      <c r="M7895">
        <v>1</v>
      </c>
      <c r="N7895">
        <v>1</v>
      </c>
      <c r="O7895">
        <v>1</v>
      </c>
      <c r="P7895">
        <v>1</v>
      </c>
      <c r="Q7895">
        <v>1</v>
      </c>
      <c r="R7895">
        <v>1</v>
      </c>
    </row>
    <row r="7896" spans="1:18" x14ac:dyDescent="0.2">
      <c r="A7896" t="str">
        <f>"7892"</f>
        <v>7892</v>
      </c>
      <c r="B7896" t="str">
        <f t="shared" si="438"/>
        <v>1</v>
      </c>
      <c r="C7896" t="str">
        <f t="shared" si="439"/>
        <v>158</v>
      </c>
      <c r="D7896" t="str">
        <f>"48"</f>
        <v>48</v>
      </c>
      <c r="E7896" t="str">
        <f>"1-158-48"</f>
        <v>1-158-48</v>
      </c>
      <c r="F7896" t="s">
        <v>65</v>
      </c>
      <c r="G7896" t="s">
        <v>66</v>
      </c>
      <c r="H7896" t="s">
        <v>68</v>
      </c>
      <c r="I7896">
        <v>1</v>
      </c>
      <c r="J7896">
        <v>0</v>
      </c>
      <c r="K7896">
        <v>0</v>
      </c>
      <c r="L7896">
        <v>1</v>
      </c>
      <c r="M7896">
        <v>1</v>
      </c>
      <c r="N7896">
        <v>1</v>
      </c>
      <c r="O7896">
        <v>1</v>
      </c>
      <c r="P7896">
        <v>1</v>
      </c>
      <c r="Q7896">
        <v>1</v>
      </c>
      <c r="R7896">
        <v>1</v>
      </c>
    </row>
    <row r="7897" spans="1:18" x14ac:dyDescent="0.2">
      <c r="A7897" t="str">
        <f>"7893"</f>
        <v>7893</v>
      </c>
      <c r="B7897" t="str">
        <f t="shared" si="438"/>
        <v>1</v>
      </c>
      <c r="C7897" t="str">
        <f t="shared" si="439"/>
        <v>158</v>
      </c>
      <c r="D7897" t="str">
        <f>"30"</f>
        <v>30</v>
      </c>
      <c r="E7897" t="str">
        <f>"1-158-30"</f>
        <v>1-158-30</v>
      </c>
      <c r="F7897" t="s">
        <v>65</v>
      </c>
      <c r="G7897" t="s">
        <v>66</v>
      </c>
      <c r="H7897" t="s">
        <v>68</v>
      </c>
      <c r="I7897">
        <v>1</v>
      </c>
      <c r="J7897">
        <v>0</v>
      </c>
      <c r="K7897">
        <v>0</v>
      </c>
      <c r="L7897">
        <v>1</v>
      </c>
      <c r="M7897">
        <v>1</v>
      </c>
      <c r="N7897">
        <v>1</v>
      </c>
      <c r="O7897">
        <v>1</v>
      </c>
      <c r="P7897">
        <v>1</v>
      </c>
      <c r="Q7897">
        <v>1</v>
      </c>
      <c r="R7897">
        <v>1</v>
      </c>
    </row>
    <row r="7898" spans="1:18" x14ac:dyDescent="0.2">
      <c r="A7898" t="str">
        <f>"7894"</f>
        <v>7894</v>
      </c>
      <c r="B7898" t="str">
        <f t="shared" si="438"/>
        <v>1</v>
      </c>
      <c r="C7898" t="str">
        <f t="shared" si="439"/>
        <v>158</v>
      </c>
      <c r="D7898" t="str">
        <f>"12"</f>
        <v>12</v>
      </c>
      <c r="E7898" t="str">
        <f>"1-158-12"</f>
        <v>1-158-12</v>
      </c>
      <c r="F7898" t="s">
        <v>65</v>
      </c>
      <c r="G7898" t="s">
        <v>66</v>
      </c>
      <c r="H7898" t="s">
        <v>68</v>
      </c>
      <c r="I7898">
        <v>1</v>
      </c>
      <c r="J7898">
        <v>0</v>
      </c>
      <c r="K7898">
        <v>0</v>
      </c>
      <c r="L7898">
        <v>1</v>
      </c>
      <c r="M7898">
        <v>1</v>
      </c>
      <c r="N7898">
        <v>1</v>
      </c>
      <c r="O7898">
        <v>1</v>
      </c>
      <c r="P7898">
        <v>1</v>
      </c>
      <c r="Q7898">
        <v>1</v>
      </c>
      <c r="R7898">
        <v>1</v>
      </c>
    </row>
    <row r="7899" spans="1:18" x14ac:dyDescent="0.2">
      <c r="A7899" t="str">
        <f>"7895"</f>
        <v>7895</v>
      </c>
      <c r="B7899" t="str">
        <f t="shared" si="438"/>
        <v>1</v>
      </c>
      <c r="C7899" t="str">
        <f t="shared" si="439"/>
        <v>158</v>
      </c>
      <c r="D7899" t="str">
        <f>"49"</f>
        <v>49</v>
      </c>
      <c r="E7899" t="str">
        <f>"1-158-49"</f>
        <v>1-158-49</v>
      </c>
      <c r="F7899" t="s">
        <v>65</v>
      </c>
      <c r="G7899" t="s">
        <v>66</v>
      </c>
      <c r="H7899" t="s">
        <v>68</v>
      </c>
      <c r="I7899">
        <v>1</v>
      </c>
      <c r="J7899">
        <v>0</v>
      </c>
      <c r="K7899">
        <v>0</v>
      </c>
      <c r="L7899">
        <v>1</v>
      </c>
      <c r="M7899">
        <v>1</v>
      </c>
      <c r="N7899">
        <v>1</v>
      </c>
      <c r="O7899">
        <v>1</v>
      </c>
      <c r="P7899">
        <v>1</v>
      </c>
      <c r="Q7899">
        <v>1</v>
      </c>
      <c r="R7899">
        <v>1</v>
      </c>
    </row>
    <row r="7900" spans="1:18" x14ac:dyDescent="0.2">
      <c r="A7900" t="str">
        <f>"7896"</f>
        <v>7896</v>
      </c>
      <c r="B7900" t="str">
        <f t="shared" si="438"/>
        <v>1</v>
      </c>
      <c r="C7900" t="str">
        <f t="shared" si="439"/>
        <v>158</v>
      </c>
      <c r="D7900" t="str">
        <f>"31"</f>
        <v>31</v>
      </c>
      <c r="E7900" t="str">
        <f>"1-158-31"</f>
        <v>1-158-31</v>
      </c>
      <c r="F7900" t="s">
        <v>65</v>
      </c>
      <c r="G7900" t="s">
        <v>66</v>
      </c>
      <c r="H7900" t="s">
        <v>68</v>
      </c>
      <c r="I7900">
        <v>1</v>
      </c>
      <c r="J7900">
        <v>0</v>
      </c>
      <c r="K7900">
        <v>0</v>
      </c>
      <c r="L7900">
        <v>1</v>
      </c>
      <c r="M7900">
        <v>1</v>
      </c>
      <c r="N7900">
        <v>1</v>
      </c>
      <c r="O7900">
        <v>1</v>
      </c>
      <c r="P7900">
        <v>1</v>
      </c>
      <c r="Q7900">
        <v>1</v>
      </c>
      <c r="R7900">
        <v>1</v>
      </c>
    </row>
    <row r="7901" spans="1:18" x14ac:dyDescent="0.2">
      <c r="A7901" t="str">
        <f>"7897"</f>
        <v>7897</v>
      </c>
      <c r="B7901" t="str">
        <f t="shared" si="438"/>
        <v>1</v>
      </c>
      <c r="C7901" t="str">
        <f t="shared" si="439"/>
        <v>158</v>
      </c>
      <c r="D7901" t="str">
        <f>"10"</f>
        <v>10</v>
      </c>
      <c r="E7901" t="str">
        <f>"1-158-10"</f>
        <v>1-158-10</v>
      </c>
      <c r="F7901" t="s">
        <v>65</v>
      </c>
      <c r="G7901" t="s">
        <v>66</v>
      </c>
      <c r="H7901" t="s">
        <v>68</v>
      </c>
      <c r="I7901">
        <v>1</v>
      </c>
      <c r="J7901">
        <v>0</v>
      </c>
      <c r="K7901">
        <v>1</v>
      </c>
      <c r="L7901">
        <v>0</v>
      </c>
      <c r="M7901">
        <v>1</v>
      </c>
      <c r="N7901">
        <v>1</v>
      </c>
      <c r="O7901">
        <v>1</v>
      </c>
      <c r="P7901">
        <v>1</v>
      </c>
      <c r="Q7901">
        <v>1</v>
      </c>
      <c r="R7901">
        <v>1</v>
      </c>
    </row>
    <row r="7902" spans="1:18" x14ac:dyDescent="0.2">
      <c r="A7902" t="str">
        <f>"7898"</f>
        <v>7898</v>
      </c>
      <c r="B7902" t="str">
        <f t="shared" si="438"/>
        <v>1</v>
      </c>
      <c r="C7902" t="str">
        <f t="shared" si="439"/>
        <v>158</v>
      </c>
      <c r="D7902" t="str">
        <f>"46"</f>
        <v>46</v>
      </c>
      <c r="E7902" t="str">
        <f>"1-158-46"</f>
        <v>1-158-46</v>
      </c>
      <c r="F7902" t="s">
        <v>65</v>
      </c>
      <c r="G7902" t="s">
        <v>66</v>
      </c>
      <c r="H7902" t="s">
        <v>68</v>
      </c>
      <c r="I7902">
        <v>1</v>
      </c>
      <c r="J7902">
        <v>0</v>
      </c>
      <c r="K7902">
        <v>0</v>
      </c>
      <c r="L7902">
        <v>1</v>
      </c>
      <c r="M7902">
        <v>1</v>
      </c>
      <c r="N7902">
        <v>1</v>
      </c>
      <c r="O7902">
        <v>1</v>
      </c>
      <c r="P7902">
        <v>1</v>
      </c>
      <c r="Q7902">
        <v>1</v>
      </c>
      <c r="R7902">
        <v>1</v>
      </c>
    </row>
    <row r="7903" spans="1:18" x14ac:dyDescent="0.2">
      <c r="A7903" t="str">
        <f>"7899"</f>
        <v>7899</v>
      </c>
      <c r="B7903" t="str">
        <f t="shared" si="438"/>
        <v>1</v>
      </c>
      <c r="C7903" t="str">
        <f t="shared" si="439"/>
        <v>158</v>
      </c>
      <c r="D7903" t="str">
        <f>"32"</f>
        <v>32</v>
      </c>
      <c r="E7903" t="str">
        <f>"1-158-32"</f>
        <v>1-158-32</v>
      </c>
      <c r="F7903" t="s">
        <v>65</v>
      </c>
      <c r="G7903" t="s">
        <v>66</v>
      </c>
      <c r="H7903" t="s">
        <v>68</v>
      </c>
      <c r="I7903">
        <v>1</v>
      </c>
      <c r="J7903">
        <v>0</v>
      </c>
      <c r="K7903">
        <v>1</v>
      </c>
      <c r="L7903">
        <v>0</v>
      </c>
      <c r="M7903">
        <v>1</v>
      </c>
      <c r="N7903">
        <v>1</v>
      </c>
      <c r="O7903">
        <v>1</v>
      </c>
      <c r="P7903">
        <v>1</v>
      </c>
      <c r="Q7903">
        <v>1</v>
      </c>
      <c r="R7903">
        <v>1</v>
      </c>
    </row>
    <row r="7904" spans="1:18" x14ac:dyDescent="0.2">
      <c r="A7904" t="str">
        <f>"7900"</f>
        <v>7900</v>
      </c>
      <c r="B7904" t="str">
        <f t="shared" si="438"/>
        <v>1</v>
      </c>
      <c r="C7904" t="str">
        <f t="shared" si="439"/>
        <v>158</v>
      </c>
      <c r="D7904" t="str">
        <f>"9"</f>
        <v>9</v>
      </c>
      <c r="E7904" t="str">
        <f>"1-158-9"</f>
        <v>1-158-9</v>
      </c>
      <c r="F7904" t="s">
        <v>65</v>
      </c>
      <c r="G7904" t="s">
        <v>66</v>
      </c>
      <c r="H7904" t="s">
        <v>68</v>
      </c>
      <c r="I7904">
        <v>1</v>
      </c>
      <c r="J7904">
        <v>1</v>
      </c>
      <c r="K7904">
        <v>0</v>
      </c>
      <c r="L7904">
        <v>0</v>
      </c>
      <c r="M7904">
        <v>1</v>
      </c>
      <c r="N7904">
        <v>1</v>
      </c>
      <c r="O7904">
        <v>1</v>
      </c>
      <c r="P7904">
        <v>1</v>
      </c>
      <c r="Q7904">
        <v>1</v>
      </c>
      <c r="R7904">
        <v>1</v>
      </c>
    </row>
    <row r="7905" spans="1:18" x14ac:dyDescent="0.2">
      <c r="A7905" t="str">
        <f>"7901"</f>
        <v>7901</v>
      </c>
      <c r="B7905" t="str">
        <f t="shared" si="438"/>
        <v>1</v>
      </c>
      <c r="C7905" t="str">
        <f t="shared" ref="C7905:C7936" si="440">"159"</f>
        <v>159</v>
      </c>
      <c r="D7905" t="str">
        <f>"37"</f>
        <v>37</v>
      </c>
      <c r="E7905" t="str">
        <f>"1-159-37"</f>
        <v>1-159-37</v>
      </c>
      <c r="F7905" t="s">
        <v>65</v>
      </c>
      <c r="G7905" t="s">
        <v>66</v>
      </c>
      <c r="H7905" t="s">
        <v>68</v>
      </c>
      <c r="I7905">
        <v>1</v>
      </c>
      <c r="J7905">
        <v>0</v>
      </c>
      <c r="K7905">
        <v>0</v>
      </c>
      <c r="L7905">
        <v>0</v>
      </c>
      <c r="M7905">
        <v>1</v>
      </c>
      <c r="N7905">
        <v>1</v>
      </c>
      <c r="O7905">
        <v>1</v>
      </c>
      <c r="P7905">
        <v>1</v>
      </c>
      <c r="Q7905">
        <v>1</v>
      </c>
      <c r="R7905">
        <v>1</v>
      </c>
    </row>
    <row r="7906" spans="1:18" x14ac:dyDescent="0.2">
      <c r="A7906" t="str">
        <f>"7902"</f>
        <v>7902</v>
      </c>
      <c r="B7906" t="str">
        <f t="shared" si="438"/>
        <v>1</v>
      </c>
      <c r="C7906" t="str">
        <f t="shared" si="440"/>
        <v>159</v>
      </c>
      <c r="D7906" t="str">
        <f>"36"</f>
        <v>36</v>
      </c>
      <c r="E7906" t="str">
        <f>"1-159-36"</f>
        <v>1-159-36</v>
      </c>
      <c r="F7906" t="s">
        <v>65</v>
      </c>
      <c r="G7906" t="s">
        <v>66</v>
      </c>
      <c r="H7906" t="s">
        <v>68</v>
      </c>
      <c r="I7906">
        <v>1</v>
      </c>
      <c r="J7906">
        <v>0</v>
      </c>
      <c r="K7906">
        <v>0</v>
      </c>
      <c r="L7906">
        <v>1</v>
      </c>
      <c r="M7906">
        <v>1</v>
      </c>
      <c r="N7906">
        <v>1</v>
      </c>
      <c r="O7906">
        <v>1</v>
      </c>
      <c r="P7906">
        <v>1</v>
      </c>
      <c r="Q7906">
        <v>1</v>
      </c>
      <c r="R7906">
        <v>1</v>
      </c>
    </row>
    <row r="7907" spans="1:18" x14ac:dyDescent="0.2">
      <c r="A7907" t="str">
        <f>"7903"</f>
        <v>7903</v>
      </c>
      <c r="B7907" t="str">
        <f t="shared" si="438"/>
        <v>1</v>
      </c>
      <c r="C7907" t="str">
        <f t="shared" si="440"/>
        <v>159</v>
      </c>
      <c r="D7907" t="str">
        <f>"27"</f>
        <v>27</v>
      </c>
      <c r="E7907" t="str">
        <f>"1-159-27"</f>
        <v>1-159-27</v>
      </c>
      <c r="F7907" t="s">
        <v>65</v>
      </c>
      <c r="G7907" t="s">
        <v>66</v>
      </c>
      <c r="H7907" t="s">
        <v>68</v>
      </c>
      <c r="I7907">
        <v>1</v>
      </c>
      <c r="J7907">
        <v>0</v>
      </c>
      <c r="K7907">
        <v>0</v>
      </c>
      <c r="L7907">
        <v>1</v>
      </c>
      <c r="M7907">
        <v>1</v>
      </c>
      <c r="N7907">
        <v>1</v>
      </c>
      <c r="O7907">
        <v>1</v>
      </c>
      <c r="P7907">
        <v>1</v>
      </c>
      <c r="Q7907">
        <v>1</v>
      </c>
      <c r="R7907">
        <v>1</v>
      </c>
    </row>
    <row r="7908" spans="1:18" x14ac:dyDescent="0.2">
      <c r="A7908" t="str">
        <f>"7904"</f>
        <v>7904</v>
      </c>
      <c r="B7908" t="str">
        <f t="shared" si="438"/>
        <v>1</v>
      </c>
      <c r="C7908" t="str">
        <f t="shared" si="440"/>
        <v>159</v>
      </c>
      <c r="D7908" t="str">
        <f>"15"</f>
        <v>15</v>
      </c>
      <c r="E7908" t="str">
        <f>"1-159-15"</f>
        <v>1-159-15</v>
      </c>
      <c r="F7908" t="s">
        <v>65</v>
      </c>
      <c r="G7908" t="s">
        <v>66</v>
      </c>
      <c r="H7908" t="s">
        <v>68</v>
      </c>
      <c r="I7908">
        <v>1</v>
      </c>
      <c r="J7908">
        <v>0</v>
      </c>
      <c r="K7908">
        <v>1</v>
      </c>
      <c r="L7908">
        <v>0</v>
      </c>
      <c r="M7908">
        <v>1</v>
      </c>
      <c r="N7908">
        <v>1</v>
      </c>
      <c r="O7908">
        <v>1</v>
      </c>
      <c r="P7908">
        <v>1</v>
      </c>
      <c r="Q7908">
        <v>1</v>
      </c>
      <c r="R7908">
        <v>1</v>
      </c>
    </row>
    <row r="7909" spans="1:18" x14ac:dyDescent="0.2">
      <c r="A7909" t="str">
        <f>"7905"</f>
        <v>7905</v>
      </c>
      <c r="B7909" t="str">
        <f t="shared" si="438"/>
        <v>1</v>
      </c>
      <c r="C7909" t="str">
        <f t="shared" si="440"/>
        <v>159</v>
      </c>
      <c r="D7909" t="str">
        <f>"3"</f>
        <v>3</v>
      </c>
      <c r="E7909" t="str">
        <f>"1-159-3"</f>
        <v>1-159-3</v>
      </c>
      <c r="F7909" t="s">
        <v>65</v>
      </c>
      <c r="G7909" t="s">
        <v>66</v>
      </c>
      <c r="H7909" t="s">
        <v>68</v>
      </c>
      <c r="I7909">
        <v>1</v>
      </c>
      <c r="J7909">
        <v>1</v>
      </c>
      <c r="K7909">
        <v>0</v>
      </c>
      <c r="L7909">
        <v>0</v>
      </c>
      <c r="M7909">
        <v>1</v>
      </c>
      <c r="N7909">
        <v>1</v>
      </c>
      <c r="O7909">
        <v>1</v>
      </c>
      <c r="P7909">
        <v>1</v>
      </c>
      <c r="Q7909">
        <v>1</v>
      </c>
      <c r="R7909">
        <v>1</v>
      </c>
    </row>
    <row r="7910" spans="1:18" x14ac:dyDescent="0.2">
      <c r="A7910" t="str">
        <f>"7906"</f>
        <v>7906</v>
      </c>
      <c r="B7910" t="str">
        <f t="shared" si="438"/>
        <v>1</v>
      </c>
      <c r="C7910" t="str">
        <f t="shared" si="440"/>
        <v>159</v>
      </c>
      <c r="D7910" t="str">
        <f>"33"</f>
        <v>33</v>
      </c>
      <c r="E7910" t="str">
        <f>"1-159-33"</f>
        <v>1-159-33</v>
      </c>
      <c r="F7910" t="s">
        <v>65</v>
      </c>
      <c r="G7910" t="s">
        <v>66</v>
      </c>
      <c r="H7910" t="s">
        <v>68</v>
      </c>
      <c r="I7910">
        <v>1</v>
      </c>
      <c r="J7910">
        <v>0</v>
      </c>
      <c r="K7910">
        <v>0</v>
      </c>
      <c r="L7910">
        <v>1</v>
      </c>
      <c r="M7910">
        <v>1</v>
      </c>
      <c r="N7910">
        <v>1</v>
      </c>
      <c r="O7910">
        <v>1</v>
      </c>
      <c r="P7910">
        <v>1</v>
      </c>
      <c r="Q7910">
        <v>1</v>
      </c>
      <c r="R7910">
        <v>1</v>
      </c>
    </row>
    <row r="7911" spans="1:18" x14ac:dyDescent="0.2">
      <c r="A7911" t="str">
        <f>"7907"</f>
        <v>7907</v>
      </c>
      <c r="B7911" t="str">
        <f t="shared" si="438"/>
        <v>1</v>
      </c>
      <c r="C7911" t="str">
        <f t="shared" si="440"/>
        <v>159</v>
      </c>
      <c r="D7911" t="str">
        <f>"32"</f>
        <v>32</v>
      </c>
      <c r="E7911" t="str">
        <f>"1-159-32"</f>
        <v>1-159-32</v>
      </c>
      <c r="F7911" t="s">
        <v>65</v>
      </c>
      <c r="G7911" t="s">
        <v>66</v>
      </c>
      <c r="H7911" t="s">
        <v>68</v>
      </c>
      <c r="I7911">
        <v>1</v>
      </c>
      <c r="J7911">
        <v>0</v>
      </c>
      <c r="K7911">
        <v>1</v>
      </c>
      <c r="L7911">
        <v>0</v>
      </c>
      <c r="M7911">
        <v>1</v>
      </c>
      <c r="N7911">
        <v>1</v>
      </c>
      <c r="O7911">
        <v>1</v>
      </c>
      <c r="P7911">
        <v>1</v>
      </c>
      <c r="Q7911">
        <v>1</v>
      </c>
      <c r="R7911">
        <v>1</v>
      </c>
    </row>
    <row r="7912" spans="1:18" x14ac:dyDescent="0.2">
      <c r="A7912" t="str">
        <f>"7908"</f>
        <v>7908</v>
      </c>
      <c r="B7912" t="str">
        <f t="shared" si="438"/>
        <v>1</v>
      </c>
      <c r="C7912" t="str">
        <f t="shared" si="440"/>
        <v>159</v>
      </c>
      <c r="D7912" t="str">
        <f>"22"</f>
        <v>22</v>
      </c>
      <c r="E7912" t="str">
        <f>"1-159-22"</f>
        <v>1-159-22</v>
      </c>
      <c r="F7912" t="s">
        <v>65</v>
      </c>
      <c r="G7912" t="s">
        <v>66</v>
      </c>
      <c r="H7912" t="s">
        <v>68</v>
      </c>
      <c r="I7912">
        <v>0</v>
      </c>
      <c r="J7912">
        <v>0</v>
      </c>
      <c r="K7912">
        <v>0</v>
      </c>
      <c r="L7912">
        <v>1</v>
      </c>
      <c r="M7912">
        <v>1</v>
      </c>
      <c r="N7912">
        <v>1</v>
      </c>
      <c r="O7912">
        <v>1</v>
      </c>
      <c r="P7912">
        <v>1</v>
      </c>
      <c r="Q7912">
        <v>1</v>
      </c>
      <c r="R7912">
        <v>1</v>
      </c>
    </row>
    <row r="7913" spans="1:18" x14ac:dyDescent="0.2">
      <c r="A7913" t="str">
        <f>"7909"</f>
        <v>7909</v>
      </c>
      <c r="B7913" t="str">
        <f t="shared" si="438"/>
        <v>1</v>
      </c>
      <c r="C7913" t="str">
        <f t="shared" si="440"/>
        <v>159</v>
      </c>
      <c r="D7913" t="str">
        <f>"16"</f>
        <v>16</v>
      </c>
      <c r="E7913" t="str">
        <f>"1-159-16"</f>
        <v>1-159-16</v>
      </c>
      <c r="F7913" t="s">
        <v>65</v>
      </c>
      <c r="G7913" t="s">
        <v>66</v>
      </c>
      <c r="H7913" t="s">
        <v>68</v>
      </c>
      <c r="I7913">
        <v>1</v>
      </c>
      <c r="J7913">
        <v>0</v>
      </c>
      <c r="K7913">
        <v>0</v>
      </c>
      <c r="L7913">
        <v>1</v>
      </c>
      <c r="M7913">
        <v>1</v>
      </c>
      <c r="N7913">
        <v>1</v>
      </c>
      <c r="O7913">
        <v>1</v>
      </c>
      <c r="P7913">
        <v>1</v>
      </c>
      <c r="Q7913">
        <v>1</v>
      </c>
      <c r="R7913">
        <v>1</v>
      </c>
    </row>
    <row r="7914" spans="1:18" x14ac:dyDescent="0.2">
      <c r="A7914" t="str">
        <f>"7910"</f>
        <v>7910</v>
      </c>
      <c r="B7914" t="str">
        <f t="shared" si="438"/>
        <v>1</v>
      </c>
      <c r="C7914" t="str">
        <f t="shared" si="440"/>
        <v>159</v>
      </c>
      <c r="D7914" t="str">
        <f>"9"</f>
        <v>9</v>
      </c>
      <c r="E7914" t="str">
        <f>"1-159-9"</f>
        <v>1-159-9</v>
      </c>
      <c r="F7914" t="s">
        <v>65</v>
      </c>
      <c r="G7914" t="s">
        <v>66</v>
      </c>
      <c r="H7914" t="s">
        <v>68</v>
      </c>
      <c r="I7914">
        <v>1</v>
      </c>
      <c r="J7914">
        <v>0</v>
      </c>
      <c r="K7914">
        <v>0</v>
      </c>
      <c r="L7914">
        <v>1</v>
      </c>
      <c r="M7914">
        <v>1</v>
      </c>
      <c r="N7914">
        <v>1</v>
      </c>
      <c r="O7914">
        <v>0</v>
      </c>
      <c r="P7914">
        <v>0</v>
      </c>
      <c r="Q7914">
        <v>0</v>
      </c>
      <c r="R7914">
        <v>0</v>
      </c>
    </row>
    <row r="7915" spans="1:18" x14ac:dyDescent="0.2">
      <c r="A7915" t="str">
        <f>"7911"</f>
        <v>7911</v>
      </c>
      <c r="B7915" t="str">
        <f t="shared" si="438"/>
        <v>1</v>
      </c>
      <c r="C7915" t="str">
        <f t="shared" si="440"/>
        <v>159</v>
      </c>
      <c r="D7915" t="str">
        <f>"35"</f>
        <v>35</v>
      </c>
      <c r="E7915" t="str">
        <f>"1-159-35"</f>
        <v>1-159-35</v>
      </c>
      <c r="F7915" t="s">
        <v>65</v>
      </c>
      <c r="G7915" t="s">
        <v>66</v>
      </c>
      <c r="H7915" t="s">
        <v>68</v>
      </c>
      <c r="I7915">
        <v>1</v>
      </c>
      <c r="J7915">
        <v>0</v>
      </c>
      <c r="K7915">
        <v>1</v>
      </c>
      <c r="L7915">
        <v>0</v>
      </c>
      <c r="M7915">
        <v>1</v>
      </c>
      <c r="N7915">
        <v>1</v>
      </c>
      <c r="O7915">
        <v>0</v>
      </c>
      <c r="P7915">
        <v>1</v>
      </c>
      <c r="Q7915">
        <v>1</v>
      </c>
      <c r="R7915">
        <v>1</v>
      </c>
    </row>
    <row r="7916" spans="1:18" x14ac:dyDescent="0.2">
      <c r="A7916" t="str">
        <f>"7912"</f>
        <v>7912</v>
      </c>
      <c r="B7916" t="str">
        <f t="shared" si="438"/>
        <v>1</v>
      </c>
      <c r="C7916" t="str">
        <f t="shared" si="440"/>
        <v>159</v>
      </c>
      <c r="D7916" t="str">
        <f>"34"</f>
        <v>34</v>
      </c>
      <c r="E7916" t="str">
        <f>"1-159-34"</f>
        <v>1-159-34</v>
      </c>
      <c r="F7916" t="s">
        <v>65</v>
      </c>
      <c r="G7916" t="s">
        <v>66</v>
      </c>
      <c r="H7916" t="s">
        <v>68</v>
      </c>
      <c r="I7916">
        <v>1</v>
      </c>
      <c r="J7916">
        <v>0</v>
      </c>
      <c r="K7916">
        <v>0</v>
      </c>
      <c r="L7916">
        <v>1</v>
      </c>
      <c r="M7916">
        <v>1</v>
      </c>
      <c r="N7916">
        <v>1</v>
      </c>
      <c r="O7916">
        <v>1</v>
      </c>
      <c r="P7916">
        <v>1</v>
      </c>
      <c r="Q7916">
        <v>1</v>
      </c>
      <c r="R7916">
        <v>1</v>
      </c>
    </row>
    <row r="7917" spans="1:18" x14ac:dyDescent="0.2">
      <c r="A7917" t="str">
        <f>"7913"</f>
        <v>7913</v>
      </c>
      <c r="B7917" t="str">
        <f t="shared" si="438"/>
        <v>1</v>
      </c>
      <c r="C7917" t="str">
        <f t="shared" si="440"/>
        <v>159</v>
      </c>
      <c r="D7917" t="str">
        <f>"23"</f>
        <v>23</v>
      </c>
      <c r="E7917" t="str">
        <f>"1-159-23"</f>
        <v>1-159-23</v>
      </c>
      <c r="F7917" t="s">
        <v>65</v>
      </c>
      <c r="G7917" t="s">
        <v>66</v>
      </c>
      <c r="H7917" t="s">
        <v>68</v>
      </c>
      <c r="I7917">
        <v>1</v>
      </c>
      <c r="J7917">
        <v>0</v>
      </c>
      <c r="K7917">
        <v>0</v>
      </c>
      <c r="L7917">
        <v>1</v>
      </c>
      <c r="M7917">
        <v>1</v>
      </c>
      <c r="N7917">
        <v>1</v>
      </c>
      <c r="O7917">
        <v>1</v>
      </c>
      <c r="P7917">
        <v>1</v>
      </c>
      <c r="Q7917">
        <v>1</v>
      </c>
      <c r="R7917">
        <v>1</v>
      </c>
    </row>
    <row r="7918" spans="1:18" x14ac:dyDescent="0.2">
      <c r="A7918" t="str">
        <f>"7914"</f>
        <v>7914</v>
      </c>
      <c r="B7918" t="str">
        <f t="shared" si="438"/>
        <v>1</v>
      </c>
      <c r="C7918" t="str">
        <f t="shared" si="440"/>
        <v>159</v>
      </c>
      <c r="D7918" t="str">
        <f>"17"</f>
        <v>17</v>
      </c>
      <c r="E7918" t="str">
        <f>"1-159-17"</f>
        <v>1-159-17</v>
      </c>
      <c r="F7918" t="s">
        <v>65</v>
      </c>
      <c r="G7918" t="s">
        <v>66</v>
      </c>
      <c r="H7918" t="s">
        <v>68</v>
      </c>
      <c r="I7918">
        <v>1</v>
      </c>
      <c r="J7918">
        <v>0</v>
      </c>
      <c r="K7918">
        <v>0</v>
      </c>
      <c r="L7918">
        <v>1</v>
      </c>
      <c r="M7918">
        <v>1</v>
      </c>
      <c r="N7918">
        <v>1</v>
      </c>
      <c r="O7918">
        <v>1</v>
      </c>
      <c r="P7918">
        <v>1</v>
      </c>
      <c r="Q7918">
        <v>1</v>
      </c>
      <c r="R7918">
        <v>1</v>
      </c>
    </row>
    <row r="7919" spans="1:18" x14ac:dyDescent="0.2">
      <c r="A7919" t="str">
        <f>"7915"</f>
        <v>7915</v>
      </c>
      <c r="B7919" t="str">
        <f t="shared" si="438"/>
        <v>1</v>
      </c>
      <c r="C7919" t="str">
        <f t="shared" si="440"/>
        <v>159</v>
      </c>
      <c r="D7919" t="str">
        <f>"12"</f>
        <v>12</v>
      </c>
      <c r="E7919" t="str">
        <f>"1-159-12"</f>
        <v>1-159-12</v>
      </c>
      <c r="F7919" t="s">
        <v>65</v>
      </c>
      <c r="G7919" t="s">
        <v>66</v>
      </c>
      <c r="H7919" t="s">
        <v>68</v>
      </c>
      <c r="I7919">
        <v>1</v>
      </c>
      <c r="J7919">
        <v>0</v>
      </c>
      <c r="K7919">
        <v>1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</row>
    <row r="7920" spans="1:18" x14ac:dyDescent="0.2">
      <c r="A7920" t="str">
        <f>"7916"</f>
        <v>7916</v>
      </c>
      <c r="B7920" t="str">
        <f t="shared" si="438"/>
        <v>1</v>
      </c>
      <c r="C7920" t="str">
        <f t="shared" si="440"/>
        <v>159</v>
      </c>
      <c r="D7920" t="str">
        <f>"40"</f>
        <v>40</v>
      </c>
      <c r="E7920" t="str">
        <f>"1-159-40"</f>
        <v>1-159-40</v>
      </c>
      <c r="F7920" t="s">
        <v>65</v>
      </c>
      <c r="G7920" t="s">
        <v>66</v>
      </c>
      <c r="H7920" t="s">
        <v>68</v>
      </c>
      <c r="I7920">
        <v>0</v>
      </c>
      <c r="J7920">
        <v>1</v>
      </c>
      <c r="K7920">
        <v>0</v>
      </c>
      <c r="L7920">
        <v>0</v>
      </c>
      <c r="M7920">
        <v>1</v>
      </c>
      <c r="N7920">
        <v>1</v>
      </c>
      <c r="O7920">
        <v>0</v>
      </c>
      <c r="P7920">
        <v>0</v>
      </c>
      <c r="Q7920">
        <v>1</v>
      </c>
      <c r="R7920">
        <v>0</v>
      </c>
    </row>
    <row r="7921" spans="1:18" x14ac:dyDescent="0.2">
      <c r="A7921" t="str">
        <f>"7917"</f>
        <v>7917</v>
      </c>
      <c r="B7921" t="str">
        <f t="shared" si="438"/>
        <v>1</v>
      </c>
      <c r="C7921" t="str">
        <f t="shared" si="440"/>
        <v>159</v>
      </c>
      <c r="D7921" t="str">
        <f>"18"</f>
        <v>18</v>
      </c>
      <c r="E7921" t="str">
        <f>"1-159-18"</f>
        <v>1-159-18</v>
      </c>
      <c r="F7921" t="s">
        <v>65</v>
      </c>
      <c r="G7921" t="s">
        <v>66</v>
      </c>
      <c r="H7921" t="s">
        <v>68</v>
      </c>
      <c r="I7921">
        <v>1</v>
      </c>
      <c r="J7921">
        <v>0</v>
      </c>
      <c r="K7921">
        <v>1</v>
      </c>
      <c r="L7921">
        <v>0</v>
      </c>
      <c r="M7921">
        <v>1</v>
      </c>
      <c r="N7921">
        <v>1</v>
      </c>
      <c r="O7921">
        <v>1</v>
      </c>
      <c r="P7921">
        <v>1</v>
      </c>
      <c r="Q7921">
        <v>1</v>
      </c>
      <c r="R7921">
        <v>1</v>
      </c>
    </row>
    <row r="7922" spans="1:18" x14ac:dyDescent="0.2">
      <c r="A7922" t="str">
        <f>"7918"</f>
        <v>7918</v>
      </c>
      <c r="B7922" t="str">
        <f t="shared" si="438"/>
        <v>1</v>
      </c>
      <c r="C7922" t="str">
        <f t="shared" si="440"/>
        <v>159</v>
      </c>
      <c r="D7922" t="str">
        <f>"1"</f>
        <v>1</v>
      </c>
      <c r="E7922" t="str">
        <f>"1-159-1"</f>
        <v>1-159-1</v>
      </c>
      <c r="F7922" t="s">
        <v>65</v>
      </c>
      <c r="G7922" t="s">
        <v>66</v>
      </c>
      <c r="H7922" t="s">
        <v>68</v>
      </c>
      <c r="I7922">
        <v>1</v>
      </c>
      <c r="J7922">
        <v>1</v>
      </c>
      <c r="K7922">
        <v>0</v>
      </c>
      <c r="L7922">
        <v>0</v>
      </c>
      <c r="M7922">
        <v>1</v>
      </c>
      <c r="N7922">
        <v>1</v>
      </c>
      <c r="O7922">
        <v>1</v>
      </c>
      <c r="P7922">
        <v>1</v>
      </c>
      <c r="Q7922">
        <v>1</v>
      </c>
      <c r="R7922">
        <v>1</v>
      </c>
    </row>
    <row r="7923" spans="1:18" x14ac:dyDescent="0.2">
      <c r="A7923" t="str">
        <f>"7919"</f>
        <v>7919</v>
      </c>
      <c r="B7923" t="str">
        <f t="shared" si="438"/>
        <v>1</v>
      </c>
      <c r="C7923" t="str">
        <f t="shared" si="440"/>
        <v>159</v>
      </c>
      <c r="D7923" t="str">
        <f>"41"</f>
        <v>41</v>
      </c>
      <c r="E7923" t="str">
        <f>"1-159-41"</f>
        <v>1-159-41</v>
      </c>
      <c r="F7923" t="s">
        <v>65</v>
      </c>
      <c r="G7923" t="s">
        <v>66</v>
      </c>
      <c r="H7923" t="s">
        <v>68</v>
      </c>
      <c r="I7923">
        <v>1</v>
      </c>
      <c r="J7923">
        <v>0</v>
      </c>
      <c r="K7923">
        <v>0</v>
      </c>
      <c r="L7923">
        <v>1</v>
      </c>
      <c r="M7923">
        <v>1</v>
      </c>
      <c r="N7923">
        <v>1</v>
      </c>
      <c r="O7923">
        <v>1</v>
      </c>
      <c r="P7923">
        <v>1</v>
      </c>
      <c r="Q7923">
        <v>1</v>
      </c>
      <c r="R7923">
        <v>1</v>
      </c>
    </row>
    <row r="7924" spans="1:18" x14ac:dyDescent="0.2">
      <c r="A7924" t="str">
        <f>"7920"</f>
        <v>7920</v>
      </c>
      <c r="B7924" t="str">
        <f t="shared" si="438"/>
        <v>1</v>
      </c>
      <c r="C7924" t="str">
        <f t="shared" si="440"/>
        <v>159</v>
      </c>
      <c r="D7924" t="str">
        <f>"19"</f>
        <v>19</v>
      </c>
      <c r="E7924" t="str">
        <f>"1-159-19"</f>
        <v>1-159-19</v>
      </c>
      <c r="F7924" t="s">
        <v>65</v>
      </c>
      <c r="G7924" t="s">
        <v>66</v>
      </c>
      <c r="H7924" t="s">
        <v>68</v>
      </c>
      <c r="I7924">
        <v>1</v>
      </c>
      <c r="J7924">
        <v>0</v>
      </c>
      <c r="K7924">
        <v>1</v>
      </c>
      <c r="L7924">
        <v>0</v>
      </c>
      <c r="M7924">
        <v>1</v>
      </c>
      <c r="N7924">
        <v>1</v>
      </c>
      <c r="O7924">
        <v>1</v>
      </c>
      <c r="P7924">
        <v>1</v>
      </c>
      <c r="Q7924">
        <v>1</v>
      </c>
      <c r="R7924">
        <v>1</v>
      </c>
    </row>
    <row r="7925" spans="1:18" x14ac:dyDescent="0.2">
      <c r="A7925" t="str">
        <f>"7921"</f>
        <v>7921</v>
      </c>
      <c r="B7925" t="str">
        <f t="shared" si="438"/>
        <v>1</v>
      </c>
      <c r="C7925" t="str">
        <f t="shared" si="440"/>
        <v>159</v>
      </c>
      <c r="D7925" t="str">
        <f>"8"</f>
        <v>8</v>
      </c>
      <c r="E7925" t="str">
        <f>"1-159-8"</f>
        <v>1-159-8</v>
      </c>
      <c r="F7925" t="s">
        <v>65</v>
      </c>
      <c r="G7925" t="s">
        <v>66</v>
      </c>
      <c r="H7925" t="s">
        <v>68</v>
      </c>
      <c r="I7925">
        <v>1</v>
      </c>
      <c r="J7925">
        <v>0</v>
      </c>
      <c r="K7925">
        <v>0</v>
      </c>
      <c r="L7925">
        <v>1</v>
      </c>
      <c r="M7925">
        <v>1</v>
      </c>
      <c r="N7925">
        <v>1</v>
      </c>
      <c r="O7925">
        <v>0</v>
      </c>
      <c r="P7925">
        <v>0</v>
      </c>
      <c r="Q7925">
        <v>0</v>
      </c>
      <c r="R7925">
        <v>0</v>
      </c>
    </row>
    <row r="7926" spans="1:18" x14ac:dyDescent="0.2">
      <c r="A7926" t="str">
        <f>"7922"</f>
        <v>7922</v>
      </c>
      <c r="B7926" t="str">
        <f t="shared" si="438"/>
        <v>1</v>
      </c>
      <c r="C7926" t="str">
        <f t="shared" si="440"/>
        <v>159</v>
      </c>
      <c r="D7926" t="str">
        <f>"39"</f>
        <v>39</v>
      </c>
      <c r="E7926" t="str">
        <f>"1-159-39"</f>
        <v>1-159-39</v>
      </c>
      <c r="F7926" t="s">
        <v>65</v>
      </c>
      <c r="G7926" t="s">
        <v>66</v>
      </c>
      <c r="H7926" t="s">
        <v>68</v>
      </c>
      <c r="I7926">
        <v>0</v>
      </c>
      <c r="J7926">
        <v>0</v>
      </c>
      <c r="K7926">
        <v>0</v>
      </c>
      <c r="L7926">
        <v>1</v>
      </c>
      <c r="M7926">
        <v>1</v>
      </c>
      <c r="N7926">
        <v>1</v>
      </c>
      <c r="O7926">
        <v>1</v>
      </c>
      <c r="P7926">
        <v>0</v>
      </c>
      <c r="Q7926">
        <v>1</v>
      </c>
      <c r="R7926">
        <v>1</v>
      </c>
    </row>
    <row r="7927" spans="1:18" x14ac:dyDescent="0.2">
      <c r="A7927" t="str">
        <f>"7923"</f>
        <v>7923</v>
      </c>
      <c r="B7927" t="str">
        <f t="shared" ref="B7927:B7990" si="441">"1"</f>
        <v>1</v>
      </c>
      <c r="C7927" t="str">
        <f t="shared" si="440"/>
        <v>159</v>
      </c>
      <c r="D7927" t="str">
        <f>"20"</f>
        <v>20</v>
      </c>
      <c r="E7927" t="str">
        <f>"1-159-20"</f>
        <v>1-159-20</v>
      </c>
      <c r="F7927" t="s">
        <v>65</v>
      </c>
      <c r="G7927" t="s">
        <v>66</v>
      </c>
      <c r="H7927" t="s">
        <v>68</v>
      </c>
      <c r="I7927">
        <v>1</v>
      </c>
      <c r="J7927">
        <v>1</v>
      </c>
      <c r="K7927">
        <v>0</v>
      </c>
      <c r="L7927">
        <v>0</v>
      </c>
      <c r="M7927">
        <v>1</v>
      </c>
      <c r="N7927">
        <v>1</v>
      </c>
      <c r="O7927">
        <v>1</v>
      </c>
      <c r="P7927">
        <v>1</v>
      </c>
      <c r="Q7927">
        <v>1</v>
      </c>
      <c r="R7927">
        <v>1</v>
      </c>
    </row>
    <row r="7928" spans="1:18" x14ac:dyDescent="0.2">
      <c r="A7928" t="str">
        <f>"7924"</f>
        <v>7924</v>
      </c>
      <c r="B7928" t="str">
        <f t="shared" si="441"/>
        <v>1</v>
      </c>
      <c r="C7928" t="str">
        <f t="shared" si="440"/>
        <v>159</v>
      </c>
      <c r="D7928" t="str">
        <f>"2"</f>
        <v>2</v>
      </c>
      <c r="E7928" t="str">
        <f>"1-159-2"</f>
        <v>1-159-2</v>
      </c>
      <c r="F7928" t="s">
        <v>65</v>
      </c>
      <c r="G7928" t="s">
        <v>66</v>
      </c>
      <c r="H7928" t="s">
        <v>68</v>
      </c>
      <c r="I7928">
        <v>1</v>
      </c>
      <c r="J7928">
        <v>1</v>
      </c>
      <c r="K7928">
        <v>0</v>
      </c>
      <c r="L7928">
        <v>0</v>
      </c>
      <c r="M7928">
        <v>1</v>
      </c>
      <c r="N7928">
        <v>1</v>
      </c>
      <c r="O7928">
        <v>1</v>
      </c>
      <c r="P7928">
        <v>1</v>
      </c>
      <c r="Q7928">
        <v>1</v>
      </c>
      <c r="R7928">
        <v>1</v>
      </c>
    </row>
    <row r="7929" spans="1:18" x14ac:dyDescent="0.2">
      <c r="A7929" t="str">
        <f>"7925"</f>
        <v>7925</v>
      </c>
      <c r="B7929" t="str">
        <f t="shared" si="441"/>
        <v>1</v>
      </c>
      <c r="C7929" t="str">
        <f t="shared" si="440"/>
        <v>159</v>
      </c>
      <c r="D7929" t="str">
        <f>"42"</f>
        <v>42</v>
      </c>
      <c r="E7929" t="str">
        <f>"1-159-42"</f>
        <v>1-159-42</v>
      </c>
      <c r="F7929" t="s">
        <v>65</v>
      </c>
      <c r="G7929" t="s">
        <v>66</v>
      </c>
      <c r="H7929" t="s">
        <v>68</v>
      </c>
      <c r="I7929">
        <v>1</v>
      </c>
      <c r="J7929">
        <v>1</v>
      </c>
      <c r="K7929">
        <v>0</v>
      </c>
      <c r="L7929">
        <v>0</v>
      </c>
      <c r="M7929">
        <v>1</v>
      </c>
      <c r="N7929">
        <v>1</v>
      </c>
      <c r="O7929">
        <v>1</v>
      </c>
      <c r="P7929">
        <v>1</v>
      </c>
      <c r="Q7929">
        <v>1</v>
      </c>
      <c r="R7929">
        <v>1</v>
      </c>
    </row>
    <row r="7930" spans="1:18" x14ac:dyDescent="0.2">
      <c r="A7930" t="str">
        <f>"7926"</f>
        <v>7926</v>
      </c>
      <c r="B7930" t="str">
        <f t="shared" si="441"/>
        <v>1</v>
      </c>
      <c r="C7930" t="str">
        <f t="shared" si="440"/>
        <v>159</v>
      </c>
      <c r="D7930" t="str">
        <f>"21"</f>
        <v>21</v>
      </c>
      <c r="E7930" t="str">
        <f>"1-159-21"</f>
        <v>1-159-21</v>
      </c>
      <c r="F7930" t="s">
        <v>65</v>
      </c>
      <c r="G7930" t="s">
        <v>66</v>
      </c>
      <c r="H7930" t="s">
        <v>68</v>
      </c>
      <c r="I7930">
        <v>1</v>
      </c>
      <c r="J7930">
        <v>0</v>
      </c>
      <c r="K7930">
        <v>1</v>
      </c>
      <c r="L7930">
        <v>0</v>
      </c>
      <c r="M7930">
        <v>1</v>
      </c>
      <c r="N7930">
        <v>1</v>
      </c>
      <c r="O7930">
        <v>1</v>
      </c>
      <c r="P7930">
        <v>1</v>
      </c>
      <c r="Q7930">
        <v>1</v>
      </c>
      <c r="R7930">
        <v>1</v>
      </c>
    </row>
    <row r="7931" spans="1:18" x14ac:dyDescent="0.2">
      <c r="A7931" t="str">
        <f>"7927"</f>
        <v>7927</v>
      </c>
      <c r="B7931" t="str">
        <f t="shared" si="441"/>
        <v>1</v>
      </c>
      <c r="C7931" t="str">
        <f t="shared" si="440"/>
        <v>159</v>
      </c>
      <c r="D7931" t="str">
        <f>"11"</f>
        <v>11</v>
      </c>
      <c r="E7931" t="str">
        <f>"1-159-11"</f>
        <v>1-159-11</v>
      </c>
      <c r="F7931" t="s">
        <v>65</v>
      </c>
      <c r="G7931" t="s">
        <v>66</v>
      </c>
      <c r="H7931" t="s">
        <v>68</v>
      </c>
      <c r="I7931">
        <v>1</v>
      </c>
      <c r="J7931">
        <v>1</v>
      </c>
      <c r="K7931">
        <v>0</v>
      </c>
      <c r="L7931">
        <v>0</v>
      </c>
      <c r="M7931">
        <v>1</v>
      </c>
      <c r="N7931">
        <v>1</v>
      </c>
      <c r="O7931">
        <v>1</v>
      </c>
      <c r="P7931">
        <v>0</v>
      </c>
      <c r="Q7931">
        <v>0</v>
      </c>
      <c r="R7931">
        <v>0</v>
      </c>
    </row>
    <row r="7932" spans="1:18" x14ac:dyDescent="0.2">
      <c r="A7932" t="str">
        <f>"7928"</f>
        <v>7928</v>
      </c>
      <c r="B7932" t="str">
        <f t="shared" si="441"/>
        <v>1</v>
      </c>
      <c r="C7932" t="str">
        <f t="shared" si="440"/>
        <v>159</v>
      </c>
      <c r="D7932" t="str">
        <f>"43"</f>
        <v>43</v>
      </c>
      <c r="E7932" t="str">
        <f>"1-159-43"</f>
        <v>1-159-43</v>
      </c>
      <c r="F7932" t="s">
        <v>65</v>
      </c>
      <c r="G7932" t="s">
        <v>66</v>
      </c>
      <c r="H7932" t="s">
        <v>68</v>
      </c>
      <c r="I7932">
        <v>1</v>
      </c>
      <c r="J7932">
        <v>0</v>
      </c>
      <c r="K7932">
        <v>0</v>
      </c>
      <c r="L7932">
        <v>1</v>
      </c>
      <c r="M7932">
        <v>1</v>
      </c>
      <c r="N7932">
        <v>1</v>
      </c>
      <c r="O7932">
        <v>1</v>
      </c>
      <c r="P7932">
        <v>1</v>
      </c>
      <c r="Q7932">
        <v>1</v>
      </c>
      <c r="R7932">
        <v>1</v>
      </c>
    </row>
    <row r="7933" spans="1:18" x14ac:dyDescent="0.2">
      <c r="A7933" t="str">
        <f>"7929"</f>
        <v>7929</v>
      </c>
      <c r="B7933" t="str">
        <f t="shared" si="441"/>
        <v>1</v>
      </c>
      <c r="C7933" t="str">
        <f t="shared" si="440"/>
        <v>159</v>
      </c>
      <c r="D7933" t="str">
        <f>"24"</f>
        <v>24</v>
      </c>
      <c r="E7933" t="str">
        <f>"1-159-24"</f>
        <v>1-159-24</v>
      </c>
      <c r="F7933" t="s">
        <v>65</v>
      </c>
      <c r="G7933" t="s">
        <v>66</v>
      </c>
      <c r="H7933" t="s">
        <v>68</v>
      </c>
      <c r="I7933">
        <v>1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1</v>
      </c>
      <c r="Q7933">
        <v>0</v>
      </c>
      <c r="R7933">
        <v>0</v>
      </c>
    </row>
    <row r="7934" spans="1:18" x14ac:dyDescent="0.2">
      <c r="A7934" t="str">
        <f>"7930"</f>
        <v>7930</v>
      </c>
      <c r="B7934" t="str">
        <f t="shared" si="441"/>
        <v>1</v>
      </c>
      <c r="C7934" t="str">
        <f t="shared" si="440"/>
        <v>159</v>
      </c>
      <c r="D7934" t="str">
        <f>"7"</f>
        <v>7</v>
      </c>
      <c r="E7934" t="str">
        <f>"1-159-7"</f>
        <v>1-159-7</v>
      </c>
      <c r="F7934" t="s">
        <v>65</v>
      </c>
      <c r="G7934" t="s">
        <v>66</v>
      </c>
      <c r="H7934" t="s">
        <v>68</v>
      </c>
      <c r="I7934">
        <v>1</v>
      </c>
      <c r="J7934">
        <v>1</v>
      </c>
      <c r="K7934">
        <v>0</v>
      </c>
      <c r="L7934">
        <v>0</v>
      </c>
      <c r="M7934">
        <v>1</v>
      </c>
      <c r="N7934">
        <v>1</v>
      </c>
      <c r="O7934">
        <v>1</v>
      </c>
      <c r="P7934">
        <v>1</v>
      </c>
      <c r="Q7934">
        <v>1</v>
      </c>
      <c r="R7934">
        <v>1</v>
      </c>
    </row>
    <row r="7935" spans="1:18" x14ac:dyDescent="0.2">
      <c r="A7935" t="str">
        <f>"7931"</f>
        <v>7931</v>
      </c>
      <c r="B7935" t="str">
        <f t="shared" si="441"/>
        <v>1</v>
      </c>
      <c r="C7935" t="str">
        <f t="shared" si="440"/>
        <v>159</v>
      </c>
      <c r="D7935" t="str">
        <f>"44"</f>
        <v>44</v>
      </c>
      <c r="E7935" t="str">
        <f>"1-159-44"</f>
        <v>1-159-44</v>
      </c>
      <c r="F7935" t="s">
        <v>65</v>
      </c>
      <c r="G7935" t="s">
        <v>66</v>
      </c>
      <c r="H7935" t="s">
        <v>68</v>
      </c>
      <c r="I7935">
        <v>1</v>
      </c>
      <c r="J7935">
        <v>1</v>
      </c>
      <c r="K7935">
        <v>0</v>
      </c>
      <c r="L7935">
        <v>0</v>
      </c>
      <c r="M7935">
        <v>1</v>
      </c>
      <c r="N7935">
        <v>1</v>
      </c>
      <c r="O7935">
        <v>1</v>
      </c>
      <c r="P7935">
        <v>1</v>
      </c>
      <c r="Q7935">
        <v>1</v>
      </c>
      <c r="R7935">
        <v>1</v>
      </c>
    </row>
    <row r="7936" spans="1:18" x14ac:dyDescent="0.2">
      <c r="A7936" t="str">
        <f>"7932"</f>
        <v>7932</v>
      </c>
      <c r="B7936" t="str">
        <f t="shared" si="441"/>
        <v>1</v>
      </c>
      <c r="C7936" t="str">
        <f t="shared" si="440"/>
        <v>159</v>
      </c>
      <c r="D7936" t="str">
        <f>"25"</f>
        <v>25</v>
      </c>
      <c r="E7936" t="str">
        <f>"1-159-25"</f>
        <v>1-159-25</v>
      </c>
      <c r="F7936" t="s">
        <v>65</v>
      </c>
      <c r="G7936" t="s">
        <v>66</v>
      </c>
      <c r="H7936" t="s">
        <v>68</v>
      </c>
      <c r="I7936">
        <v>1</v>
      </c>
      <c r="J7936">
        <v>1</v>
      </c>
      <c r="K7936">
        <v>0</v>
      </c>
      <c r="L7936">
        <v>0</v>
      </c>
      <c r="M7936">
        <v>1</v>
      </c>
      <c r="N7936">
        <v>1</v>
      </c>
      <c r="O7936">
        <v>1</v>
      </c>
      <c r="P7936">
        <v>1</v>
      </c>
      <c r="Q7936">
        <v>1</v>
      </c>
      <c r="R7936">
        <v>1</v>
      </c>
    </row>
    <row r="7937" spans="1:18" x14ac:dyDescent="0.2">
      <c r="A7937" t="str">
        <f>"7933"</f>
        <v>7933</v>
      </c>
      <c r="B7937" t="str">
        <f t="shared" si="441"/>
        <v>1</v>
      </c>
      <c r="C7937" t="str">
        <f t="shared" ref="C7937:C7954" si="442">"159"</f>
        <v>159</v>
      </c>
      <c r="D7937" t="str">
        <f>"14"</f>
        <v>14</v>
      </c>
      <c r="E7937" t="str">
        <f>"1-159-14"</f>
        <v>1-159-14</v>
      </c>
      <c r="F7937" t="s">
        <v>65</v>
      </c>
      <c r="G7937" t="s">
        <v>66</v>
      </c>
      <c r="H7937" t="s">
        <v>68</v>
      </c>
      <c r="I7937">
        <v>1</v>
      </c>
      <c r="J7937">
        <v>0</v>
      </c>
      <c r="K7937">
        <v>1</v>
      </c>
      <c r="L7937">
        <v>0</v>
      </c>
      <c r="M7937">
        <v>1</v>
      </c>
      <c r="N7937">
        <v>0</v>
      </c>
      <c r="O7937">
        <v>0</v>
      </c>
      <c r="P7937">
        <v>1</v>
      </c>
      <c r="Q7937">
        <v>1</v>
      </c>
      <c r="R7937">
        <v>1</v>
      </c>
    </row>
    <row r="7938" spans="1:18" x14ac:dyDescent="0.2">
      <c r="A7938" t="str">
        <f>"7934"</f>
        <v>7934</v>
      </c>
      <c r="B7938" t="str">
        <f t="shared" si="441"/>
        <v>1</v>
      </c>
      <c r="C7938" t="str">
        <f t="shared" si="442"/>
        <v>159</v>
      </c>
      <c r="D7938" t="str">
        <f>"47"</f>
        <v>47</v>
      </c>
      <c r="E7938" t="str">
        <f>"1-159-47"</f>
        <v>1-159-47</v>
      </c>
      <c r="F7938" t="s">
        <v>65</v>
      </c>
      <c r="G7938" t="s">
        <v>66</v>
      </c>
      <c r="H7938" t="s">
        <v>68</v>
      </c>
      <c r="I7938">
        <v>1</v>
      </c>
      <c r="J7938">
        <v>0</v>
      </c>
      <c r="K7938">
        <v>0</v>
      </c>
      <c r="L7938">
        <v>1</v>
      </c>
      <c r="M7938">
        <v>1</v>
      </c>
      <c r="N7938">
        <v>1</v>
      </c>
      <c r="O7938">
        <v>1</v>
      </c>
      <c r="P7938">
        <v>1</v>
      </c>
      <c r="Q7938">
        <v>1</v>
      </c>
      <c r="R7938">
        <v>1</v>
      </c>
    </row>
    <row r="7939" spans="1:18" x14ac:dyDescent="0.2">
      <c r="A7939" t="str">
        <f>"7935"</f>
        <v>7935</v>
      </c>
      <c r="B7939" t="str">
        <f t="shared" si="441"/>
        <v>1</v>
      </c>
      <c r="C7939" t="str">
        <f t="shared" si="442"/>
        <v>159</v>
      </c>
      <c r="D7939" t="str">
        <f>"26"</f>
        <v>26</v>
      </c>
      <c r="E7939" t="str">
        <f>"1-159-26"</f>
        <v>1-159-26</v>
      </c>
      <c r="F7939" t="s">
        <v>65</v>
      </c>
      <c r="G7939" t="s">
        <v>66</v>
      </c>
      <c r="H7939" t="s">
        <v>68</v>
      </c>
      <c r="I7939">
        <v>1</v>
      </c>
      <c r="J7939">
        <v>0</v>
      </c>
      <c r="K7939">
        <v>0</v>
      </c>
      <c r="L7939">
        <v>1</v>
      </c>
      <c r="M7939">
        <v>1</v>
      </c>
      <c r="N7939">
        <v>1</v>
      </c>
      <c r="O7939">
        <v>1</v>
      </c>
      <c r="P7939">
        <v>1</v>
      </c>
      <c r="Q7939">
        <v>1</v>
      </c>
      <c r="R7939">
        <v>1</v>
      </c>
    </row>
    <row r="7940" spans="1:18" x14ac:dyDescent="0.2">
      <c r="A7940" t="str">
        <f>"7936"</f>
        <v>7936</v>
      </c>
      <c r="B7940" t="str">
        <f t="shared" si="441"/>
        <v>1</v>
      </c>
      <c r="C7940" t="str">
        <f t="shared" si="442"/>
        <v>159</v>
      </c>
      <c r="D7940" t="str">
        <f>"10"</f>
        <v>10</v>
      </c>
      <c r="E7940" t="str">
        <f>"1-159-10"</f>
        <v>1-159-10</v>
      </c>
      <c r="F7940" t="s">
        <v>65</v>
      </c>
      <c r="G7940" t="s">
        <v>66</v>
      </c>
      <c r="H7940" t="s">
        <v>68</v>
      </c>
      <c r="I7940">
        <v>1</v>
      </c>
      <c r="J7940">
        <v>0</v>
      </c>
      <c r="K7940">
        <v>0</v>
      </c>
      <c r="L7940">
        <v>0</v>
      </c>
      <c r="M7940">
        <v>1</v>
      </c>
      <c r="N7940">
        <v>1</v>
      </c>
      <c r="O7940">
        <v>1</v>
      </c>
      <c r="P7940">
        <v>1</v>
      </c>
      <c r="Q7940">
        <v>1</v>
      </c>
      <c r="R7940">
        <v>1</v>
      </c>
    </row>
    <row r="7941" spans="1:18" x14ac:dyDescent="0.2">
      <c r="A7941" t="str">
        <f>"7937"</f>
        <v>7937</v>
      </c>
      <c r="B7941" t="str">
        <f t="shared" si="441"/>
        <v>1</v>
      </c>
      <c r="C7941" t="str">
        <f t="shared" si="442"/>
        <v>159</v>
      </c>
      <c r="D7941" t="str">
        <f>"45"</f>
        <v>45</v>
      </c>
      <c r="E7941" t="str">
        <f>"1-159-45"</f>
        <v>1-159-45</v>
      </c>
      <c r="F7941" t="s">
        <v>65</v>
      </c>
      <c r="G7941" t="s">
        <v>66</v>
      </c>
      <c r="H7941" t="s">
        <v>68</v>
      </c>
      <c r="I7941">
        <v>1</v>
      </c>
      <c r="J7941">
        <v>1</v>
      </c>
      <c r="K7941">
        <v>0</v>
      </c>
      <c r="L7941">
        <v>0</v>
      </c>
      <c r="M7941">
        <v>1</v>
      </c>
      <c r="N7941">
        <v>1</v>
      </c>
      <c r="O7941">
        <v>1</v>
      </c>
      <c r="P7941">
        <v>1</v>
      </c>
      <c r="Q7941">
        <v>1</v>
      </c>
      <c r="R7941">
        <v>1</v>
      </c>
    </row>
    <row r="7942" spans="1:18" x14ac:dyDescent="0.2">
      <c r="A7942" t="str">
        <f>"7938"</f>
        <v>7938</v>
      </c>
      <c r="B7942" t="str">
        <f t="shared" si="441"/>
        <v>1</v>
      </c>
      <c r="C7942" t="str">
        <f t="shared" si="442"/>
        <v>159</v>
      </c>
      <c r="D7942" t="str">
        <f>"28"</f>
        <v>28</v>
      </c>
      <c r="E7942" t="str">
        <f>"1-159-28"</f>
        <v>1-159-28</v>
      </c>
      <c r="F7942" t="s">
        <v>65</v>
      </c>
      <c r="G7942" t="s">
        <v>66</v>
      </c>
      <c r="H7942" t="s">
        <v>68</v>
      </c>
      <c r="I7942">
        <v>1</v>
      </c>
      <c r="J7942">
        <v>0</v>
      </c>
      <c r="K7942">
        <v>0</v>
      </c>
      <c r="L7942">
        <v>1</v>
      </c>
      <c r="M7942">
        <v>1</v>
      </c>
      <c r="N7942">
        <v>0</v>
      </c>
      <c r="O7942">
        <v>1</v>
      </c>
      <c r="P7942">
        <v>1</v>
      </c>
      <c r="Q7942">
        <v>1</v>
      </c>
      <c r="R7942">
        <v>1</v>
      </c>
    </row>
    <row r="7943" spans="1:18" x14ac:dyDescent="0.2">
      <c r="A7943" t="str">
        <f>"7939"</f>
        <v>7939</v>
      </c>
      <c r="B7943" t="str">
        <f t="shared" si="441"/>
        <v>1</v>
      </c>
      <c r="C7943" t="str">
        <f t="shared" si="442"/>
        <v>159</v>
      </c>
      <c r="D7943" t="str">
        <f>"13"</f>
        <v>13</v>
      </c>
      <c r="E7943" t="str">
        <f>"1-159-13"</f>
        <v>1-159-13</v>
      </c>
      <c r="F7943" t="s">
        <v>65</v>
      </c>
      <c r="G7943" t="s">
        <v>66</v>
      </c>
      <c r="H7943" t="s">
        <v>68</v>
      </c>
      <c r="I7943">
        <v>1</v>
      </c>
      <c r="J7943">
        <v>0</v>
      </c>
      <c r="K7943">
        <v>0</v>
      </c>
      <c r="L7943">
        <v>1</v>
      </c>
      <c r="M7943">
        <v>1</v>
      </c>
      <c r="N7943">
        <v>1</v>
      </c>
      <c r="O7943">
        <v>1</v>
      </c>
      <c r="P7943">
        <v>1</v>
      </c>
      <c r="Q7943">
        <v>1</v>
      </c>
      <c r="R7943">
        <v>1</v>
      </c>
    </row>
    <row r="7944" spans="1:18" x14ac:dyDescent="0.2">
      <c r="A7944" t="str">
        <f>"7940"</f>
        <v>7940</v>
      </c>
      <c r="B7944" t="str">
        <f t="shared" si="441"/>
        <v>1</v>
      </c>
      <c r="C7944" t="str">
        <f t="shared" si="442"/>
        <v>159</v>
      </c>
      <c r="D7944" t="str">
        <f>"46"</f>
        <v>46</v>
      </c>
      <c r="E7944" t="str">
        <f>"1-159-46"</f>
        <v>1-159-46</v>
      </c>
      <c r="F7944" t="s">
        <v>65</v>
      </c>
      <c r="G7944" t="s">
        <v>66</v>
      </c>
      <c r="H7944" t="s">
        <v>68</v>
      </c>
      <c r="I7944">
        <v>0</v>
      </c>
      <c r="J7944">
        <v>0</v>
      </c>
      <c r="K7944">
        <v>0</v>
      </c>
      <c r="L7944">
        <v>1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</row>
    <row r="7945" spans="1:18" x14ac:dyDescent="0.2">
      <c r="A7945" t="str">
        <f>"7941"</f>
        <v>7941</v>
      </c>
      <c r="B7945" t="str">
        <f t="shared" si="441"/>
        <v>1</v>
      </c>
      <c r="C7945" t="str">
        <f t="shared" si="442"/>
        <v>159</v>
      </c>
      <c r="D7945" t="str">
        <f>"29"</f>
        <v>29</v>
      </c>
      <c r="E7945" t="str">
        <f>"1-159-29"</f>
        <v>1-159-29</v>
      </c>
      <c r="F7945" t="s">
        <v>65</v>
      </c>
      <c r="G7945" t="s">
        <v>66</v>
      </c>
      <c r="H7945" t="s">
        <v>68</v>
      </c>
      <c r="I7945">
        <v>1</v>
      </c>
      <c r="J7945">
        <v>1</v>
      </c>
      <c r="K7945">
        <v>0</v>
      </c>
      <c r="L7945">
        <v>0</v>
      </c>
      <c r="M7945">
        <v>1</v>
      </c>
      <c r="N7945">
        <v>1</v>
      </c>
      <c r="O7945">
        <v>1</v>
      </c>
      <c r="P7945">
        <v>1</v>
      </c>
      <c r="Q7945">
        <v>1</v>
      </c>
      <c r="R7945">
        <v>1</v>
      </c>
    </row>
    <row r="7946" spans="1:18" x14ac:dyDescent="0.2">
      <c r="A7946" t="str">
        <f>"7942"</f>
        <v>7942</v>
      </c>
      <c r="B7946" t="str">
        <f t="shared" si="441"/>
        <v>1</v>
      </c>
      <c r="C7946" t="str">
        <f t="shared" si="442"/>
        <v>159</v>
      </c>
      <c r="D7946" t="str">
        <f>"4"</f>
        <v>4</v>
      </c>
      <c r="E7946" t="str">
        <f>"1-159-4"</f>
        <v>1-159-4</v>
      </c>
      <c r="F7946" t="s">
        <v>65</v>
      </c>
      <c r="G7946" t="s">
        <v>66</v>
      </c>
      <c r="H7946" t="s">
        <v>68</v>
      </c>
      <c r="I7946">
        <v>1</v>
      </c>
      <c r="J7946">
        <v>1</v>
      </c>
      <c r="K7946">
        <v>0</v>
      </c>
      <c r="L7946">
        <v>0</v>
      </c>
      <c r="M7946">
        <v>1</v>
      </c>
      <c r="N7946">
        <v>1</v>
      </c>
      <c r="O7946">
        <v>1</v>
      </c>
      <c r="P7946">
        <v>1</v>
      </c>
      <c r="Q7946">
        <v>1</v>
      </c>
      <c r="R7946">
        <v>1</v>
      </c>
    </row>
    <row r="7947" spans="1:18" x14ac:dyDescent="0.2">
      <c r="A7947" t="str">
        <f>"7943"</f>
        <v>7943</v>
      </c>
      <c r="B7947" t="str">
        <f t="shared" si="441"/>
        <v>1</v>
      </c>
      <c r="C7947" t="str">
        <f t="shared" si="442"/>
        <v>159</v>
      </c>
      <c r="D7947" t="str">
        <f>"48"</f>
        <v>48</v>
      </c>
      <c r="E7947" t="str">
        <f>"1-159-48"</f>
        <v>1-159-48</v>
      </c>
      <c r="F7947" t="s">
        <v>65</v>
      </c>
      <c r="G7947" t="s">
        <v>66</v>
      </c>
      <c r="H7947" t="s">
        <v>68</v>
      </c>
      <c r="I7947">
        <v>0</v>
      </c>
      <c r="J7947">
        <v>0</v>
      </c>
      <c r="K7947">
        <v>0</v>
      </c>
      <c r="L7947">
        <v>1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</row>
    <row r="7948" spans="1:18" x14ac:dyDescent="0.2">
      <c r="A7948" t="str">
        <f>"7944"</f>
        <v>7944</v>
      </c>
      <c r="B7948" t="str">
        <f t="shared" si="441"/>
        <v>1</v>
      </c>
      <c r="C7948" t="str">
        <f t="shared" si="442"/>
        <v>159</v>
      </c>
      <c r="D7948" t="str">
        <f>"30"</f>
        <v>30</v>
      </c>
      <c r="E7948" t="str">
        <f>"1-159-30"</f>
        <v>1-159-30</v>
      </c>
      <c r="F7948" t="s">
        <v>65</v>
      </c>
      <c r="G7948" t="s">
        <v>66</v>
      </c>
      <c r="H7948" t="s">
        <v>68</v>
      </c>
      <c r="I7948">
        <v>1</v>
      </c>
      <c r="J7948">
        <v>0</v>
      </c>
      <c r="K7948">
        <v>1</v>
      </c>
      <c r="L7948">
        <v>0</v>
      </c>
      <c r="M7948">
        <v>1</v>
      </c>
      <c r="N7948">
        <v>1</v>
      </c>
      <c r="O7948">
        <v>1</v>
      </c>
      <c r="P7948">
        <v>1</v>
      </c>
      <c r="Q7948">
        <v>1</v>
      </c>
      <c r="R7948">
        <v>1</v>
      </c>
    </row>
    <row r="7949" spans="1:18" x14ac:dyDescent="0.2">
      <c r="A7949" t="str">
        <f>"7945"</f>
        <v>7945</v>
      </c>
      <c r="B7949" t="str">
        <f t="shared" si="441"/>
        <v>1</v>
      </c>
      <c r="C7949" t="str">
        <f t="shared" si="442"/>
        <v>159</v>
      </c>
      <c r="D7949" t="str">
        <f>"5"</f>
        <v>5</v>
      </c>
      <c r="E7949" t="str">
        <f>"1-159-5"</f>
        <v>1-159-5</v>
      </c>
      <c r="F7949" t="s">
        <v>65</v>
      </c>
      <c r="G7949" t="s">
        <v>66</v>
      </c>
      <c r="H7949" t="s">
        <v>68</v>
      </c>
      <c r="I7949">
        <v>0</v>
      </c>
      <c r="J7949">
        <v>1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</row>
    <row r="7950" spans="1:18" x14ac:dyDescent="0.2">
      <c r="A7950" t="str">
        <f>"7946"</f>
        <v>7946</v>
      </c>
      <c r="B7950" t="str">
        <f t="shared" si="441"/>
        <v>1</v>
      </c>
      <c r="C7950" t="str">
        <f t="shared" si="442"/>
        <v>159</v>
      </c>
      <c r="D7950" t="str">
        <f>"50"</f>
        <v>50</v>
      </c>
      <c r="E7950" t="str">
        <f>"1-159-50"</f>
        <v>1-159-50</v>
      </c>
      <c r="F7950" t="s">
        <v>65</v>
      </c>
      <c r="G7950" t="s">
        <v>66</v>
      </c>
      <c r="H7950" t="s">
        <v>68</v>
      </c>
      <c r="I7950">
        <v>1</v>
      </c>
      <c r="J7950">
        <v>0</v>
      </c>
      <c r="K7950">
        <v>0</v>
      </c>
      <c r="L7950">
        <v>1</v>
      </c>
      <c r="M7950">
        <v>1</v>
      </c>
      <c r="N7950">
        <v>1</v>
      </c>
      <c r="O7950">
        <v>1</v>
      </c>
      <c r="P7950">
        <v>1</v>
      </c>
      <c r="Q7950">
        <v>1</v>
      </c>
      <c r="R7950">
        <v>1</v>
      </c>
    </row>
    <row r="7951" spans="1:18" x14ac:dyDescent="0.2">
      <c r="A7951" t="str">
        <f>"7947"</f>
        <v>7947</v>
      </c>
      <c r="B7951" t="str">
        <f t="shared" si="441"/>
        <v>1</v>
      </c>
      <c r="C7951" t="str">
        <f t="shared" si="442"/>
        <v>159</v>
      </c>
      <c r="D7951" t="str">
        <f>"49"</f>
        <v>49</v>
      </c>
      <c r="E7951" t="str">
        <f>"1-159-49"</f>
        <v>1-159-49</v>
      </c>
      <c r="F7951" t="s">
        <v>65</v>
      </c>
      <c r="G7951" t="s">
        <v>66</v>
      </c>
      <c r="H7951" t="s">
        <v>68</v>
      </c>
      <c r="I7951">
        <v>1</v>
      </c>
      <c r="J7951">
        <v>1</v>
      </c>
      <c r="K7951">
        <v>0</v>
      </c>
      <c r="L7951">
        <v>0</v>
      </c>
      <c r="M7951">
        <v>1</v>
      </c>
      <c r="N7951">
        <v>1</v>
      </c>
      <c r="O7951">
        <v>1</v>
      </c>
      <c r="P7951">
        <v>1</v>
      </c>
      <c r="Q7951">
        <v>1</v>
      </c>
      <c r="R7951">
        <v>1</v>
      </c>
    </row>
    <row r="7952" spans="1:18" x14ac:dyDescent="0.2">
      <c r="A7952" t="str">
        <f>"7948"</f>
        <v>7948</v>
      </c>
      <c r="B7952" t="str">
        <f t="shared" si="441"/>
        <v>1</v>
      </c>
      <c r="C7952" t="str">
        <f t="shared" si="442"/>
        <v>159</v>
      </c>
      <c r="D7952" t="str">
        <f>"38"</f>
        <v>38</v>
      </c>
      <c r="E7952" t="str">
        <f>"1-159-38"</f>
        <v>1-159-38</v>
      </c>
      <c r="F7952" t="s">
        <v>65</v>
      </c>
      <c r="G7952" t="s">
        <v>66</v>
      </c>
      <c r="H7952" t="s">
        <v>68</v>
      </c>
      <c r="I7952">
        <v>1</v>
      </c>
      <c r="J7952">
        <v>1</v>
      </c>
      <c r="K7952">
        <v>0</v>
      </c>
      <c r="L7952">
        <v>0</v>
      </c>
      <c r="M7952">
        <v>1</v>
      </c>
      <c r="N7952">
        <v>1</v>
      </c>
      <c r="O7952">
        <v>1</v>
      </c>
      <c r="P7952">
        <v>1</v>
      </c>
      <c r="Q7952">
        <v>1</v>
      </c>
      <c r="R7952">
        <v>1</v>
      </c>
    </row>
    <row r="7953" spans="1:39" x14ac:dyDescent="0.2">
      <c r="A7953" t="str">
        <f>"7949"</f>
        <v>7949</v>
      </c>
      <c r="B7953" t="str">
        <f t="shared" si="441"/>
        <v>1</v>
      </c>
      <c r="C7953" t="str">
        <f t="shared" si="442"/>
        <v>159</v>
      </c>
      <c r="D7953" t="str">
        <f>"31"</f>
        <v>31</v>
      </c>
      <c r="E7953" t="str">
        <f>"1-159-31"</f>
        <v>1-159-31</v>
      </c>
      <c r="F7953" t="s">
        <v>65</v>
      </c>
      <c r="G7953" t="s">
        <v>66</v>
      </c>
      <c r="H7953" t="s">
        <v>68</v>
      </c>
      <c r="I7953">
        <v>0</v>
      </c>
      <c r="J7953">
        <v>0</v>
      </c>
      <c r="K7953">
        <v>0</v>
      </c>
      <c r="L7953">
        <v>1</v>
      </c>
      <c r="M7953">
        <v>1</v>
      </c>
      <c r="N7953">
        <v>1</v>
      </c>
      <c r="O7953">
        <v>1</v>
      </c>
      <c r="P7953">
        <v>0</v>
      </c>
      <c r="Q7953">
        <v>1</v>
      </c>
      <c r="R7953">
        <v>1</v>
      </c>
    </row>
    <row r="7954" spans="1:39" x14ac:dyDescent="0.2">
      <c r="A7954" t="str">
        <f>"7950"</f>
        <v>7950</v>
      </c>
      <c r="B7954" t="str">
        <f t="shared" si="441"/>
        <v>1</v>
      </c>
      <c r="C7954" t="str">
        <f t="shared" si="442"/>
        <v>159</v>
      </c>
      <c r="D7954" t="str">
        <f>"6"</f>
        <v>6</v>
      </c>
      <c r="E7954" t="str">
        <f>"1-159-6"</f>
        <v>1-159-6</v>
      </c>
      <c r="F7954" t="s">
        <v>65</v>
      </c>
      <c r="G7954" t="s">
        <v>66</v>
      </c>
      <c r="H7954" t="s">
        <v>68</v>
      </c>
      <c r="I7954">
        <v>1</v>
      </c>
      <c r="J7954">
        <v>0</v>
      </c>
      <c r="K7954">
        <v>0</v>
      </c>
      <c r="L7954">
        <v>1</v>
      </c>
      <c r="M7954">
        <v>1</v>
      </c>
      <c r="N7954">
        <v>1</v>
      </c>
      <c r="O7954">
        <v>1</v>
      </c>
      <c r="P7954">
        <v>0</v>
      </c>
      <c r="Q7954">
        <v>0</v>
      </c>
      <c r="R7954">
        <v>0</v>
      </c>
    </row>
    <row r="7955" spans="1:39" x14ac:dyDescent="0.2">
      <c r="A7955" t="str">
        <f>"7951"</f>
        <v>7951</v>
      </c>
      <c r="B7955" t="str">
        <f t="shared" si="441"/>
        <v>1</v>
      </c>
      <c r="C7955" t="str">
        <f t="shared" ref="C7955:C7986" si="443">"160"</f>
        <v>160</v>
      </c>
      <c r="D7955" t="str">
        <f>"38"</f>
        <v>38</v>
      </c>
      <c r="E7955" t="str">
        <f>"1-160-38"</f>
        <v>1-160-38</v>
      </c>
      <c r="F7955" t="s">
        <v>65</v>
      </c>
      <c r="G7955" t="s">
        <v>66</v>
      </c>
      <c r="H7955" t="s">
        <v>67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1</v>
      </c>
      <c r="Y7955">
        <v>0</v>
      </c>
      <c r="Z7955">
        <v>1</v>
      </c>
      <c r="AA7955">
        <v>0</v>
      </c>
      <c r="AB7955">
        <v>1</v>
      </c>
      <c r="AC7955">
        <v>0</v>
      </c>
      <c r="AD7955">
        <v>1</v>
      </c>
      <c r="AE7955">
        <v>0</v>
      </c>
      <c r="AF7955">
        <v>1</v>
      </c>
      <c r="AG7955">
        <v>1</v>
      </c>
      <c r="AH7955">
        <v>1</v>
      </c>
      <c r="AI7955">
        <v>1</v>
      </c>
      <c r="AJ7955">
        <v>1</v>
      </c>
      <c r="AK7955">
        <v>1</v>
      </c>
      <c r="AL7955">
        <v>1</v>
      </c>
      <c r="AM7955">
        <v>1</v>
      </c>
    </row>
    <row r="7956" spans="1:39" x14ac:dyDescent="0.2">
      <c r="A7956" t="str">
        <f>"7952"</f>
        <v>7952</v>
      </c>
      <c r="B7956" t="str">
        <f t="shared" si="441"/>
        <v>1</v>
      </c>
      <c r="C7956" t="str">
        <f t="shared" si="443"/>
        <v>160</v>
      </c>
      <c r="D7956" t="str">
        <f>"37"</f>
        <v>37</v>
      </c>
      <c r="E7956" t="str">
        <f>"1-160-37"</f>
        <v>1-160-37</v>
      </c>
      <c r="F7956" t="s">
        <v>65</v>
      </c>
      <c r="G7956" t="s">
        <v>66</v>
      </c>
      <c r="H7956" t="s">
        <v>67</v>
      </c>
      <c r="S7956">
        <v>1</v>
      </c>
      <c r="T7956">
        <v>0</v>
      </c>
      <c r="U7956">
        <v>0</v>
      </c>
      <c r="V7956">
        <v>0</v>
      </c>
      <c r="W7956">
        <v>1</v>
      </c>
      <c r="X7956">
        <v>0</v>
      </c>
      <c r="Y7956">
        <v>1</v>
      </c>
      <c r="Z7956">
        <v>0</v>
      </c>
      <c r="AA7956">
        <v>1</v>
      </c>
      <c r="AB7956">
        <v>0</v>
      </c>
      <c r="AC7956">
        <v>0</v>
      </c>
      <c r="AD7956">
        <v>1</v>
      </c>
      <c r="AE7956">
        <v>1</v>
      </c>
      <c r="AF7956">
        <v>1</v>
      </c>
      <c r="AG7956">
        <v>1</v>
      </c>
      <c r="AH7956">
        <v>1</v>
      </c>
      <c r="AI7956">
        <v>1</v>
      </c>
      <c r="AJ7956">
        <v>1</v>
      </c>
      <c r="AK7956">
        <v>1</v>
      </c>
      <c r="AL7956">
        <v>1</v>
      </c>
      <c r="AM7956">
        <v>1</v>
      </c>
    </row>
    <row r="7957" spans="1:39" x14ac:dyDescent="0.2">
      <c r="A7957" t="str">
        <f>"7953"</f>
        <v>7953</v>
      </c>
      <c r="B7957" t="str">
        <f t="shared" si="441"/>
        <v>1</v>
      </c>
      <c r="C7957" t="str">
        <f t="shared" si="443"/>
        <v>160</v>
      </c>
      <c r="D7957" t="str">
        <f>"34"</f>
        <v>34</v>
      </c>
      <c r="E7957" t="str">
        <f>"1-160-34"</f>
        <v>1-160-34</v>
      </c>
      <c r="F7957" t="s">
        <v>65</v>
      </c>
      <c r="G7957" t="s">
        <v>66</v>
      </c>
      <c r="H7957" t="s">
        <v>67</v>
      </c>
      <c r="S7957">
        <v>1</v>
      </c>
      <c r="T7957">
        <v>0</v>
      </c>
      <c r="U7957">
        <v>0</v>
      </c>
      <c r="V7957">
        <v>0</v>
      </c>
      <c r="W7957">
        <v>1</v>
      </c>
      <c r="X7957">
        <v>0</v>
      </c>
      <c r="Y7957">
        <v>0</v>
      </c>
      <c r="Z7957">
        <v>1</v>
      </c>
      <c r="AA7957">
        <v>0</v>
      </c>
      <c r="AB7957">
        <v>1</v>
      </c>
      <c r="AC7957">
        <v>0</v>
      </c>
      <c r="AD7957">
        <v>1</v>
      </c>
      <c r="AE7957">
        <v>1</v>
      </c>
      <c r="AF7957">
        <v>1</v>
      </c>
      <c r="AG7957">
        <v>1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</row>
    <row r="7958" spans="1:39" x14ac:dyDescent="0.2">
      <c r="A7958" t="str">
        <f>"7954"</f>
        <v>7954</v>
      </c>
      <c r="B7958" t="str">
        <f t="shared" si="441"/>
        <v>1</v>
      </c>
      <c r="C7958" t="str">
        <f t="shared" si="443"/>
        <v>160</v>
      </c>
      <c r="D7958" t="str">
        <f>"33"</f>
        <v>33</v>
      </c>
      <c r="E7958" t="str">
        <f>"1-160-33"</f>
        <v>1-160-33</v>
      </c>
      <c r="F7958" t="s">
        <v>65</v>
      </c>
      <c r="G7958" t="s">
        <v>66</v>
      </c>
      <c r="H7958" t="s">
        <v>67</v>
      </c>
      <c r="S7958">
        <v>1</v>
      </c>
      <c r="T7958">
        <v>0</v>
      </c>
      <c r="U7958">
        <v>0</v>
      </c>
      <c r="V7958">
        <v>0</v>
      </c>
      <c r="W7958">
        <v>1</v>
      </c>
      <c r="X7958">
        <v>0</v>
      </c>
      <c r="Y7958">
        <v>1</v>
      </c>
      <c r="Z7958">
        <v>0</v>
      </c>
      <c r="AA7958">
        <v>1</v>
      </c>
      <c r="AB7958">
        <v>0</v>
      </c>
      <c r="AC7958">
        <v>0</v>
      </c>
      <c r="AD7958">
        <v>1</v>
      </c>
      <c r="AE7958">
        <v>1</v>
      </c>
      <c r="AF7958">
        <v>1</v>
      </c>
      <c r="AG7958">
        <v>1</v>
      </c>
      <c r="AH7958">
        <v>1</v>
      </c>
      <c r="AI7958">
        <v>1</v>
      </c>
      <c r="AJ7958">
        <v>1</v>
      </c>
      <c r="AK7958">
        <v>1</v>
      </c>
      <c r="AL7958">
        <v>1</v>
      </c>
      <c r="AM7958">
        <v>1</v>
      </c>
    </row>
    <row r="7959" spans="1:39" x14ac:dyDescent="0.2">
      <c r="A7959" t="str">
        <f>"7955"</f>
        <v>7955</v>
      </c>
      <c r="B7959" t="str">
        <f t="shared" si="441"/>
        <v>1</v>
      </c>
      <c r="C7959" t="str">
        <f t="shared" si="443"/>
        <v>160</v>
      </c>
      <c r="D7959" t="str">
        <f>"19"</f>
        <v>19</v>
      </c>
      <c r="E7959" t="str">
        <f>"1-160-19"</f>
        <v>1-160-19</v>
      </c>
      <c r="F7959" t="s">
        <v>65</v>
      </c>
      <c r="G7959" t="s">
        <v>66</v>
      </c>
      <c r="H7959" t="s">
        <v>67</v>
      </c>
      <c r="S7959">
        <v>1</v>
      </c>
      <c r="T7959">
        <v>0</v>
      </c>
      <c r="U7959">
        <v>0</v>
      </c>
      <c r="V7959">
        <v>0</v>
      </c>
      <c r="W7959">
        <v>1</v>
      </c>
      <c r="X7959">
        <v>0</v>
      </c>
      <c r="Y7959">
        <v>1</v>
      </c>
      <c r="Z7959">
        <v>0</v>
      </c>
      <c r="AA7959">
        <v>1</v>
      </c>
      <c r="AB7959">
        <v>0</v>
      </c>
      <c r="AC7959">
        <v>0</v>
      </c>
      <c r="AD7959">
        <v>1</v>
      </c>
      <c r="AE7959">
        <v>1</v>
      </c>
      <c r="AF7959">
        <v>1</v>
      </c>
      <c r="AG7959">
        <v>1</v>
      </c>
      <c r="AH7959">
        <v>1</v>
      </c>
      <c r="AI7959">
        <v>1</v>
      </c>
      <c r="AJ7959">
        <v>1</v>
      </c>
      <c r="AK7959">
        <v>1</v>
      </c>
      <c r="AL7959">
        <v>1</v>
      </c>
      <c r="AM7959">
        <v>1</v>
      </c>
    </row>
    <row r="7960" spans="1:39" x14ac:dyDescent="0.2">
      <c r="A7960" t="str">
        <f>"7956"</f>
        <v>7956</v>
      </c>
      <c r="B7960" t="str">
        <f t="shared" si="441"/>
        <v>1</v>
      </c>
      <c r="C7960" t="str">
        <f t="shared" si="443"/>
        <v>160</v>
      </c>
      <c r="D7960" t="str">
        <f>"18"</f>
        <v>18</v>
      </c>
      <c r="E7960" t="str">
        <f>"1-160-18"</f>
        <v>1-160-18</v>
      </c>
      <c r="F7960" t="s">
        <v>65</v>
      </c>
      <c r="G7960" t="s">
        <v>66</v>
      </c>
      <c r="H7960" t="s">
        <v>67</v>
      </c>
      <c r="S7960">
        <v>1</v>
      </c>
      <c r="T7960">
        <v>0</v>
      </c>
      <c r="U7960">
        <v>0</v>
      </c>
      <c r="V7960">
        <v>0</v>
      </c>
      <c r="W7960">
        <v>1</v>
      </c>
      <c r="X7960">
        <v>0</v>
      </c>
      <c r="Y7960">
        <v>1</v>
      </c>
      <c r="Z7960">
        <v>0</v>
      </c>
      <c r="AA7960">
        <v>1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1</v>
      </c>
      <c r="AH7960">
        <v>0</v>
      </c>
      <c r="AI7960">
        <v>0</v>
      </c>
      <c r="AJ7960">
        <v>0</v>
      </c>
      <c r="AK7960">
        <v>0</v>
      </c>
      <c r="AL7960">
        <v>1</v>
      </c>
      <c r="AM7960">
        <v>0</v>
      </c>
    </row>
    <row r="7961" spans="1:39" x14ac:dyDescent="0.2">
      <c r="A7961" t="str">
        <f>"7957"</f>
        <v>7957</v>
      </c>
      <c r="B7961" t="str">
        <f t="shared" si="441"/>
        <v>1</v>
      </c>
      <c r="C7961" t="str">
        <f t="shared" si="443"/>
        <v>160</v>
      </c>
      <c r="D7961" t="str">
        <f>"16"</f>
        <v>16</v>
      </c>
      <c r="E7961" t="str">
        <f>"1-160-16"</f>
        <v>1-160-16</v>
      </c>
      <c r="F7961" t="s">
        <v>65</v>
      </c>
      <c r="G7961" t="s">
        <v>66</v>
      </c>
      <c r="H7961" t="s">
        <v>67</v>
      </c>
      <c r="S7961">
        <v>0</v>
      </c>
      <c r="T7961">
        <v>1</v>
      </c>
      <c r="U7961">
        <v>0</v>
      </c>
      <c r="V7961">
        <v>0</v>
      </c>
      <c r="W7961">
        <v>0</v>
      </c>
      <c r="X7961">
        <v>1</v>
      </c>
      <c r="Y7961">
        <v>0</v>
      </c>
      <c r="Z7961">
        <v>1</v>
      </c>
      <c r="AA7961">
        <v>0</v>
      </c>
      <c r="AB7961">
        <v>0</v>
      </c>
      <c r="AC7961">
        <v>1</v>
      </c>
      <c r="AD7961">
        <v>1</v>
      </c>
      <c r="AE7961">
        <v>1</v>
      </c>
      <c r="AF7961">
        <v>1</v>
      </c>
      <c r="AG7961">
        <v>1</v>
      </c>
      <c r="AH7961">
        <v>1</v>
      </c>
      <c r="AI7961">
        <v>1</v>
      </c>
      <c r="AJ7961">
        <v>1</v>
      </c>
      <c r="AK7961">
        <v>1</v>
      </c>
      <c r="AL7961">
        <v>1</v>
      </c>
      <c r="AM7961">
        <v>1</v>
      </c>
    </row>
    <row r="7962" spans="1:39" x14ac:dyDescent="0.2">
      <c r="A7962" t="str">
        <f>"7958"</f>
        <v>7958</v>
      </c>
      <c r="B7962" t="str">
        <f t="shared" si="441"/>
        <v>1</v>
      </c>
      <c r="C7962" t="str">
        <f t="shared" si="443"/>
        <v>160</v>
      </c>
      <c r="D7962" t="str">
        <f>"15"</f>
        <v>15</v>
      </c>
      <c r="E7962" t="str">
        <f>"1-160-15"</f>
        <v>1-160-15</v>
      </c>
      <c r="F7962" t="s">
        <v>65</v>
      </c>
      <c r="G7962" t="s">
        <v>66</v>
      </c>
      <c r="H7962" t="s">
        <v>67</v>
      </c>
      <c r="S7962">
        <v>0</v>
      </c>
      <c r="T7962">
        <v>1</v>
      </c>
      <c r="U7962">
        <v>0</v>
      </c>
      <c r="V7962">
        <v>0</v>
      </c>
      <c r="W7962">
        <v>0</v>
      </c>
      <c r="X7962">
        <v>1</v>
      </c>
      <c r="Y7962">
        <v>0</v>
      </c>
      <c r="Z7962">
        <v>1</v>
      </c>
      <c r="AA7962">
        <v>0</v>
      </c>
      <c r="AB7962">
        <v>0</v>
      </c>
      <c r="AC7962">
        <v>1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</row>
    <row r="7963" spans="1:39" x14ac:dyDescent="0.2">
      <c r="A7963" t="str">
        <f>"7959"</f>
        <v>7959</v>
      </c>
      <c r="B7963" t="str">
        <f t="shared" si="441"/>
        <v>1</v>
      </c>
      <c r="C7963" t="str">
        <f t="shared" si="443"/>
        <v>160</v>
      </c>
      <c r="D7963" t="str">
        <f>"4"</f>
        <v>4</v>
      </c>
      <c r="E7963" t="str">
        <f>"1-160-4"</f>
        <v>1-160-4</v>
      </c>
      <c r="F7963" t="s">
        <v>65</v>
      </c>
      <c r="G7963" t="s">
        <v>66</v>
      </c>
      <c r="H7963" t="s">
        <v>67</v>
      </c>
      <c r="S7963">
        <v>0</v>
      </c>
      <c r="T7963">
        <v>1</v>
      </c>
      <c r="U7963">
        <v>0</v>
      </c>
      <c r="V7963">
        <v>0</v>
      </c>
      <c r="W7963">
        <v>0</v>
      </c>
      <c r="X7963">
        <v>1</v>
      </c>
      <c r="Y7963">
        <v>0</v>
      </c>
      <c r="Z7963">
        <v>1</v>
      </c>
      <c r="AA7963">
        <v>0</v>
      </c>
      <c r="AB7963">
        <v>1</v>
      </c>
      <c r="AC7963">
        <v>0</v>
      </c>
      <c r="AD7963">
        <v>1</v>
      </c>
      <c r="AE7963">
        <v>1</v>
      </c>
      <c r="AF7963">
        <v>1</v>
      </c>
      <c r="AG7963">
        <v>1</v>
      </c>
      <c r="AH7963">
        <v>1</v>
      </c>
      <c r="AI7963">
        <v>1</v>
      </c>
      <c r="AJ7963">
        <v>1</v>
      </c>
      <c r="AK7963">
        <v>1</v>
      </c>
      <c r="AL7963">
        <v>1</v>
      </c>
      <c r="AM7963">
        <v>1</v>
      </c>
    </row>
    <row r="7964" spans="1:39" x14ac:dyDescent="0.2">
      <c r="A7964" t="str">
        <f>"7960"</f>
        <v>7960</v>
      </c>
      <c r="B7964" t="str">
        <f t="shared" si="441"/>
        <v>1</v>
      </c>
      <c r="C7964" t="str">
        <f t="shared" si="443"/>
        <v>160</v>
      </c>
      <c r="D7964" t="str">
        <f>"36"</f>
        <v>36</v>
      </c>
      <c r="E7964" t="str">
        <f>"1-160-36"</f>
        <v>1-160-36</v>
      </c>
      <c r="F7964" t="s">
        <v>65</v>
      </c>
      <c r="G7964" t="s">
        <v>66</v>
      </c>
      <c r="H7964" t="s">
        <v>67</v>
      </c>
      <c r="S7964">
        <v>1</v>
      </c>
      <c r="T7964">
        <v>0</v>
      </c>
      <c r="U7964">
        <v>0</v>
      </c>
      <c r="V7964">
        <v>0</v>
      </c>
      <c r="W7964">
        <v>1</v>
      </c>
      <c r="X7964">
        <v>0</v>
      </c>
      <c r="Y7964">
        <v>1</v>
      </c>
      <c r="Z7964">
        <v>0</v>
      </c>
      <c r="AA7964">
        <v>1</v>
      </c>
      <c r="AB7964">
        <v>0</v>
      </c>
      <c r="AC7964">
        <v>0</v>
      </c>
      <c r="AD7964">
        <v>1</v>
      </c>
      <c r="AE7964">
        <v>0</v>
      </c>
      <c r="AF7964">
        <v>1</v>
      </c>
      <c r="AG7964">
        <v>1</v>
      </c>
      <c r="AH7964">
        <v>1</v>
      </c>
      <c r="AI7964">
        <v>1</v>
      </c>
      <c r="AJ7964">
        <v>1</v>
      </c>
      <c r="AK7964">
        <v>1</v>
      </c>
      <c r="AL7964">
        <v>1</v>
      </c>
      <c r="AM7964">
        <v>1</v>
      </c>
    </row>
    <row r="7965" spans="1:39" x14ac:dyDescent="0.2">
      <c r="A7965" t="str">
        <f>"7961"</f>
        <v>7961</v>
      </c>
      <c r="B7965" t="str">
        <f t="shared" si="441"/>
        <v>1</v>
      </c>
      <c r="C7965" t="str">
        <f t="shared" si="443"/>
        <v>160</v>
      </c>
      <c r="D7965" t="str">
        <f>"35"</f>
        <v>35</v>
      </c>
      <c r="E7965" t="str">
        <f>"1-160-35"</f>
        <v>1-160-35</v>
      </c>
      <c r="F7965" t="s">
        <v>65</v>
      </c>
      <c r="G7965" t="s">
        <v>66</v>
      </c>
      <c r="H7965" t="s">
        <v>67</v>
      </c>
      <c r="S7965">
        <v>1</v>
      </c>
      <c r="T7965">
        <v>0</v>
      </c>
      <c r="U7965">
        <v>0</v>
      </c>
      <c r="V7965">
        <v>0</v>
      </c>
      <c r="W7965">
        <v>1</v>
      </c>
      <c r="X7965">
        <v>0</v>
      </c>
      <c r="Y7965">
        <v>1</v>
      </c>
      <c r="Z7965">
        <v>0</v>
      </c>
      <c r="AA7965">
        <v>0</v>
      </c>
      <c r="AB7965">
        <v>1</v>
      </c>
      <c r="AC7965">
        <v>0</v>
      </c>
      <c r="AD7965">
        <v>1</v>
      </c>
      <c r="AE7965">
        <v>1</v>
      </c>
      <c r="AF7965">
        <v>1</v>
      </c>
      <c r="AG7965">
        <v>1</v>
      </c>
      <c r="AH7965">
        <v>1</v>
      </c>
      <c r="AI7965">
        <v>1</v>
      </c>
      <c r="AJ7965">
        <v>1</v>
      </c>
      <c r="AK7965">
        <v>1</v>
      </c>
      <c r="AL7965">
        <v>1</v>
      </c>
      <c r="AM7965">
        <v>1</v>
      </c>
    </row>
    <row r="7966" spans="1:39" x14ac:dyDescent="0.2">
      <c r="A7966" t="str">
        <f>"7962"</f>
        <v>7962</v>
      </c>
      <c r="B7966" t="str">
        <f t="shared" si="441"/>
        <v>1</v>
      </c>
      <c r="C7966" t="str">
        <f t="shared" si="443"/>
        <v>160</v>
      </c>
      <c r="D7966" t="str">
        <f>"20"</f>
        <v>20</v>
      </c>
      <c r="E7966" t="str">
        <f>"1-160-20"</f>
        <v>1-160-20</v>
      </c>
      <c r="F7966" t="s">
        <v>65</v>
      </c>
      <c r="G7966" t="s">
        <v>66</v>
      </c>
      <c r="H7966" t="s">
        <v>67</v>
      </c>
      <c r="S7966">
        <v>0</v>
      </c>
      <c r="T7966">
        <v>1</v>
      </c>
      <c r="U7966">
        <v>0</v>
      </c>
      <c r="V7966">
        <v>0</v>
      </c>
      <c r="W7966">
        <v>0</v>
      </c>
      <c r="X7966">
        <v>1</v>
      </c>
      <c r="Y7966">
        <v>0</v>
      </c>
      <c r="Z7966">
        <v>1</v>
      </c>
      <c r="AA7966">
        <v>0</v>
      </c>
      <c r="AB7966">
        <v>0</v>
      </c>
      <c r="AC7966">
        <v>1</v>
      </c>
      <c r="AD7966">
        <v>1</v>
      </c>
      <c r="AE7966">
        <v>1</v>
      </c>
      <c r="AF7966">
        <v>1</v>
      </c>
      <c r="AG7966">
        <v>1</v>
      </c>
      <c r="AH7966">
        <v>1</v>
      </c>
      <c r="AI7966">
        <v>1</v>
      </c>
      <c r="AJ7966">
        <v>1</v>
      </c>
      <c r="AK7966">
        <v>1</v>
      </c>
      <c r="AL7966">
        <v>1</v>
      </c>
      <c r="AM7966">
        <v>1</v>
      </c>
    </row>
    <row r="7967" spans="1:39" x14ac:dyDescent="0.2">
      <c r="A7967" t="str">
        <f>"7963"</f>
        <v>7963</v>
      </c>
      <c r="B7967" t="str">
        <f t="shared" si="441"/>
        <v>1</v>
      </c>
      <c r="C7967" t="str">
        <f t="shared" si="443"/>
        <v>160</v>
      </c>
      <c r="D7967" t="str">
        <f>"17"</f>
        <v>17</v>
      </c>
      <c r="E7967" t="str">
        <f>"1-160-17"</f>
        <v>1-160-17</v>
      </c>
      <c r="F7967" t="s">
        <v>65</v>
      </c>
      <c r="G7967" t="s">
        <v>66</v>
      </c>
      <c r="H7967" t="s">
        <v>67</v>
      </c>
      <c r="S7967">
        <v>1</v>
      </c>
      <c r="T7967">
        <v>0</v>
      </c>
      <c r="U7967">
        <v>0</v>
      </c>
      <c r="V7967">
        <v>0</v>
      </c>
      <c r="W7967">
        <v>1</v>
      </c>
      <c r="X7967">
        <v>0</v>
      </c>
      <c r="Y7967">
        <v>1</v>
      </c>
      <c r="Z7967">
        <v>0</v>
      </c>
      <c r="AA7967">
        <v>1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1</v>
      </c>
      <c r="AH7967">
        <v>0</v>
      </c>
      <c r="AI7967">
        <v>0</v>
      </c>
      <c r="AJ7967">
        <v>0</v>
      </c>
      <c r="AK7967">
        <v>0</v>
      </c>
      <c r="AL7967">
        <v>1</v>
      </c>
      <c r="AM7967">
        <v>0</v>
      </c>
    </row>
    <row r="7968" spans="1:39" x14ac:dyDescent="0.2">
      <c r="A7968" t="str">
        <f>"7964"</f>
        <v>7964</v>
      </c>
      <c r="B7968" t="str">
        <f t="shared" si="441"/>
        <v>1</v>
      </c>
      <c r="C7968" t="str">
        <f t="shared" si="443"/>
        <v>160</v>
      </c>
      <c r="D7968" t="str">
        <f>"8"</f>
        <v>8</v>
      </c>
      <c r="E7968" t="str">
        <f>"1-160-8"</f>
        <v>1-160-8</v>
      </c>
      <c r="F7968" t="s">
        <v>65</v>
      </c>
      <c r="G7968" t="s">
        <v>66</v>
      </c>
      <c r="H7968" t="s">
        <v>67</v>
      </c>
      <c r="S7968">
        <v>0</v>
      </c>
      <c r="T7968">
        <v>1</v>
      </c>
      <c r="U7968">
        <v>0</v>
      </c>
      <c r="V7968">
        <v>0</v>
      </c>
      <c r="W7968">
        <v>1</v>
      </c>
      <c r="X7968">
        <v>0</v>
      </c>
      <c r="Y7968">
        <v>0</v>
      </c>
      <c r="Z7968">
        <v>1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1</v>
      </c>
      <c r="AI7968">
        <v>1</v>
      </c>
      <c r="AJ7968">
        <v>1</v>
      </c>
      <c r="AK7968">
        <v>0</v>
      </c>
      <c r="AL7968">
        <v>1</v>
      </c>
      <c r="AM7968">
        <v>1</v>
      </c>
    </row>
    <row r="7969" spans="1:39" x14ac:dyDescent="0.2">
      <c r="A7969" t="str">
        <f>"7965"</f>
        <v>7965</v>
      </c>
      <c r="B7969" t="str">
        <f t="shared" si="441"/>
        <v>1</v>
      </c>
      <c r="C7969" t="str">
        <f t="shared" si="443"/>
        <v>160</v>
      </c>
      <c r="D7969" t="str">
        <f>"39"</f>
        <v>39</v>
      </c>
      <c r="E7969" t="str">
        <f>"1-160-39"</f>
        <v>1-160-39</v>
      </c>
      <c r="F7969" t="s">
        <v>65</v>
      </c>
      <c r="G7969" t="s">
        <v>66</v>
      </c>
      <c r="H7969" t="s">
        <v>67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1</v>
      </c>
      <c r="Y7969">
        <v>0</v>
      </c>
      <c r="Z7969">
        <v>1</v>
      </c>
      <c r="AA7969">
        <v>0</v>
      </c>
      <c r="AB7969">
        <v>1</v>
      </c>
      <c r="AC7969">
        <v>0</v>
      </c>
      <c r="AD7969">
        <v>1</v>
      </c>
      <c r="AE7969">
        <v>1</v>
      </c>
      <c r="AF7969">
        <v>0</v>
      </c>
      <c r="AG7969">
        <v>1</v>
      </c>
      <c r="AH7969">
        <v>1</v>
      </c>
      <c r="AI7969">
        <v>1</v>
      </c>
      <c r="AJ7969">
        <v>1</v>
      </c>
      <c r="AK7969">
        <v>1</v>
      </c>
      <c r="AL7969">
        <v>1</v>
      </c>
      <c r="AM7969">
        <v>1</v>
      </c>
    </row>
    <row r="7970" spans="1:39" x14ac:dyDescent="0.2">
      <c r="A7970" t="str">
        <f>"7966"</f>
        <v>7966</v>
      </c>
      <c r="B7970" t="str">
        <f t="shared" si="441"/>
        <v>1</v>
      </c>
      <c r="C7970" t="str">
        <f t="shared" si="443"/>
        <v>160</v>
      </c>
      <c r="D7970" t="str">
        <f>"21"</f>
        <v>21</v>
      </c>
      <c r="E7970" t="str">
        <f>"1-160-21"</f>
        <v>1-160-21</v>
      </c>
      <c r="F7970" t="s">
        <v>65</v>
      </c>
      <c r="G7970" t="s">
        <v>66</v>
      </c>
      <c r="H7970" t="s">
        <v>67</v>
      </c>
      <c r="S7970">
        <v>1</v>
      </c>
      <c r="T7970">
        <v>0</v>
      </c>
      <c r="U7970">
        <v>0</v>
      </c>
      <c r="V7970">
        <v>0</v>
      </c>
      <c r="W7970">
        <v>1</v>
      </c>
      <c r="X7970">
        <v>0</v>
      </c>
      <c r="Y7970">
        <v>1</v>
      </c>
      <c r="Z7970">
        <v>0</v>
      </c>
      <c r="AA7970">
        <v>1</v>
      </c>
      <c r="AB7970">
        <v>0</v>
      </c>
      <c r="AC7970">
        <v>0</v>
      </c>
      <c r="AD7970">
        <v>1</v>
      </c>
      <c r="AE7970">
        <v>1</v>
      </c>
      <c r="AF7970">
        <v>1</v>
      </c>
      <c r="AG7970">
        <v>1</v>
      </c>
      <c r="AH7970">
        <v>1</v>
      </c>
      <c r="AI7970">
        <v>1</v>
      </c>
      <c r="AJ7970">
        <v>1</v>
      </c>
      <c r="AK7970">
        <v>1</v>
      </c>
      <c r="AL7970">
        <v>1</v>
      </c>
      <c r="AM7970">
        <v>1</v>
      </c>
    </row>
    <row r="7971" spans="1:39" x14ac:dyDescent="0.2">
      <c r="A7971" t="str">
        <f>"7967"</f>
        <v>7967</v>
      </c>
      <c r="B7971" t="str">
        <f t="shared" si="441"/>
        <v>1</v>
      </c>
      <c r="C7971" t="str">
        <f t="shared" si="443"/>
        <v>160</v>
      </c>
      <c r="D7971" t="str">
        <f>"7"</f>
        <v>7</v>
      </c>
      <c r="E7971" t="str">
        <f>"1-160-7"</f>
        <v>1-160-7</v>
      </c>
      <c r="F7971" t="s">
        <v>65</v>
      </c>
      <c r="G7971" t="s">
        <v>66</v>
      </c>
      <c r="H7971" t="s">
        <v>67</v>
      </c>
      <c r="S7971">
        <v>1</v>
      </c>
      <c r="T7971">
        <v>0</v>
      </c>
      <c r="U7971">
        <v>0</v>
      </c>
      <c r="V7971">
        <v>0</v>
      </c>
      <c r="W7971">
        <v>1</v>
      </c>
      <c r="X7971">
        <v>0</v>
      </c>
      <c r="Y7971">
        <v>1</v>
      </c>
      <c r="Z7971">
        <v>0</v>
      </c>
      <c r="AA7971">
        <v>1</v>
      </c>
      <c r="AB7971">
        <v>0</v>
      </c>
      <c r="AC7971">
        <v>0</v>
      </c>
      <c r="AD7971">
        <v>1</v>
      </c>
      <c r="AE7971">
        <v>1</v>
      </c>
      <c r="AF7971">
        <v>1</v>
      </c>
      <c r="AG7971">
        <v>1</v>
      </c>
      <c r="AH7971">
        <v>1</v>
      </c>
      <c r="AI7971">
        <v>1</v>
      </c>
      <c r="AJ7971">
        <v>1</v>
      </c>
      <c r="AK7971">
        <v>1</v>
      </c>
      <c r="AL7971">
        <v>1</v>
      </c>
      <c r="AM7971">
        <v>1</v>
      </c>
    </row>
    <row r="7972" spans="1:39" x14ac:dyDescent="0.2">
      <c r="A7972" t="str">
        <f>"7968"</f>
        <v>7968</v>
      </c>
      <c r="B7972" t="str">
        <f t="shared" si="441"/>
        <v>1</v>
      </c>
      <c r="C7972" t="str">
        <f t="shared" si="443"/>
        <v>160</v>
      </c>
      <c r="D7972" t="str">
        <f>"44"</f>
        <v>44</v>
      </c>
      <c r="E7972" t="str">
        <f>"1-160-44"</f>
        <v>1-160-44</v>
      </c>
      <c r="F7972" t="s">
        <v>65</v>
      </c>
      <c r="G7972" t="s">
        <v>66</v>
      </c>
      <c r="H7972" t="s">
        <v>67</v>
      </c>
      <c r="S7972">
        <v>1</v>
      </c>
      <c r="T7972">
        <v>0</v>
      </c>
      <c r="U7972">
        <v>0</v>
      </c>
      <c r="V7972">
        <v>0</v>
      </c>
      <c r="W7972">
        <v>1</v>
      </c>
      <c r="X7972">
        <v>0</v>
      </c>
      <c r="Y7972">
        <v>0</v>
      </c>
      <c r="Z7972">
        <v>1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1</v>
      </c>
      <c r="AI7972">
        <v>1</v>
      </c>
      <c r="AJ7972">
        <v>0</v>
      </c>
      <c r="AK7972">
        <v>0</v>
      </c>
      <c r="AL7972">
        <v>0</v>
      </c>
      <c r="AM7972">
        <v>0</v>
      </c>
    </row>
    <row r="7973" spans="1:39" x14ac:dyDescent="0.2">
      <c r="A7973" t="str">
        <f>"7969"</f>
        <v>7969</v>
      </c>
      <c r="B7973" t="str">
        <f t="shared" si="441"/>
        <v>1</v>
      </c>
      <c r="C7973" t="str">
        <f t="shared" si="443"/>
        <v>160</v>
      </c>
      <c r="D7973" t="str">
        <f>"22"</f>
        <v>22</v>
      </c>
      <c r="E7973" t="str">
        <f>"1-160-22"</f>
        <v>1-160-22</v>
      </c>
      <c r="F7973" t="s">
        <v>65</v>
      </c>
      <c r="G7973" t="s">
        <v>66</v>
      </c>
      <c r="H7973" t="s">
        <v>67</v>
      </c>
      <c r="S7973">
        <v>1</v>
      </c>
      <c r="T7973">
        <v>0</v>
      </c>
      <c r="U7973">
        <v>0</v>
      </c>
      <c r="V7973">
        <v>0</v>
      </c>
      <c r="W7973">
        <v>1</v>
      </c>
      <c r="X7973">
        <v>0</v>
      </c>
      <c r="Y7973">
        <v>1</v>
      </c>
      <c r="Z7973">
        <v>0</v>
      </c>
      <c r="AA7973">
        <v>0</v>
      </c>
      <c r="AB7973">
        <v>1</v>
      </c>
      <c r="AC7973">
        <v>0</v>
      </c>
      <c r="AD7973">
        <v>1</v>
      </c>
      <c r="AE7973">
        <v>1</v>
      </c>
      <c r="AF7973">
        <v>1</v>
      </c>
      <c r="AG7973">
        <v>1</v>
      </c>
      <c r="AH7973">
        <v>1</v>
      </c>
      <c r="AI7973">
        <v>1</v>
      </c>
      <c r="AJ7973">
        <v>0</v>
      </c>
      <c r="AK7973">
        <v>1</v>
      </c>
      <c r="AL7973">
        <v>1</v>
      </c>
      <c r="AM7973">
        <v>1</v>
      </c>
    </row>
    <row r="7974" spans="1:39" x14ac:dyDescent="0.2">
      <c r="A7974" t="str">
        <f>"7970"</f>
        <v>7970</v>
      </c>
      <c r="B7974" t="str">
        <f t="shared" si="441"/>
        <v>1</v>
      </c>
      <c r="C7974" t="str">
        <f t="shared" si="443"/>
        <v>160</v>
      </c>
      <c r="D7974" t="str">
        <f>"13"</f>
        <v>13</v>
      </c>
      <c r="E7974" t="str">
        <f>"1-160-13"</f>
        <v>1-160-13</v>
      </c>
      <c r="F7974" t="s">
        <v>65</v>
      </c>
      <c r="G7974" t="s">
        <v>66</v>
      </c>
      <c r="H7974" t="s">
        <v>67</v>
      </c>
      <c r="S7974">
        <v>0</v>
      </c>
      <c r="T7974">
        <v>1</v>
      </c>
      <c r="U7974">
        <v>0</v>
      </c>
      <c r="V7974">
        <v>0</v>
      </c>
      <c r="W7974">
        <v>0</v>
      </c>
      <c r="X7974">
        <v>1</v>
      </c>
      <c r="Y7974">
        <v>0</v>
      </c>
      <c r="Z7974">
        <v>1</v>
      </c>
      <c r="AA7974">
        <v>0</v>
      </c>
      <c r="AB7974">
        <v>0</v>
      </c>
      <c r="AC7974">
        <v>1</v>
      </c>
      <c r="AD7974">
        <v>0</v>
      </c>
      <c r="AE7974">
        <v>0</v>
      </c>
      <c r="AF7974">
        <v>0</v>
      </c>
      <c r="AG7974">
        <v>0</v>
      </c>
      <c r="AH7974">
        <v>1</v>
      </c>
      <c r="AI7974">
        <v>1</v>
      </c>
      <c r="AJ7974">
        <v>1</v>
      </c>
      <c r="AK7974">
        <v>1</v>
      </c>
      <c r="AL7974">
        <v>1</v>
      </c>
      <c r="AM7974">
        <v>1</v>
      </c>
    </row>
    <row r="7975" spans="1:39" x14ac:dyDescent="0.2">
      <c r="A7975" t="str">
        <f>"7971"</f>
        <v>7971</v>
      </c>
      <c r="B7975" t="str">
        <f t="shared" si="441"/>
        <v>1</v>
      </c>
      <c r="C7975" t="str">
        <f t="shared" si="443"/>
        <v>160</v>
      </c>
      <c r="D7975" t="str">
        <f>"45"</f>
        <v>45</v>
      </c>
      <c r="E7975" t="str">
        <f>"1-160-45"</f>
        <v>1-160-45</v>
      </c>
      <c r="F7975" t="s">
        <v>65</v>
      </c>
      <c r="G7975" t="s">
        <v>66</v>
      </c>
      <c r="H7975" t="s">
        <v>67</v>
      </c>
      <c r="S7975">
        <v>1</v>
      </c>
      <c r="T7975">
        <v>0</v>
      </c>
      <c r="U7975">
        <v>0</v>
      </c>
      <c r="V7975">
        <v>0</v>
      </c>
      <c r="W7975">
        <v>0</v>
      </c>
      <c r="X7975">
        <v>1</v>
      </c>
      <c r="Y7975">
        <v>0</v>
      </c>
      <c r="Z7975">
        <v>1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1</v>
      </c>
      <c r="AH7975">
        <v>0</v>
      </c>
      <c r="AI7975">
        <v>1</v>
      </c>
      <c r="AJ7975">
        <v>1</v>
      </c>
      <c r="AK7975">
        <v>1</v>
      </c>
      <c r="AL7975">
        <v>0</v>
      </c>
      <c r="AM7975">
        <v>1</v>
      </c>
    </row>
    <row r="7976" spans="1:39" x14ac:dyDescent="0.2">
      <c r="A7976" t="str">
        <f>"7972"</f>
        <v>7972</v>
      </c>
      <c r="B7976" t="str">
        <f t="shared" si="441"/>
        <v>1</v>
      </c>
      <c r="C7976" t="str">
        <f t="shared" si="443"/>
        <v>160</v>
      </c>
      <c r="D7976" t="str">
        <f>"23"</f>
        <v>23</v>
      </c>
      <c r="E7976" t="str">
        <f>"1-160-23"</f>
        <v>1-160-23</v>
      </c>
      <c r="F7976" t="s">
        <v>65</v>
      </c>
      <c r="G7976" t="s">
        <v>66</v>
      </c>
      <c r="H7976" t="s">
        <v>67</v>
      </c>
      <c r="S7976">
        <v>0</v>
      </c>
      <c r="T7976">
        <v>1</v>
      </c>
      <c r="U7976">
        <v>0</v>
      </c>
      <c r="V7976">
        <v>0</v>
      </c>
      <c r="W7976">
        <v>0</v>
      </c>
      <c r="X7976">
        <v>1</v>
      </c>
      <c r="Y7976">
        <v>0</v>
      </c>
      <c r="Z7976">
        <v>1</v>
      </c>
      <c r="AA7976">
        <v>0</v>
      </c>
      <c r="AB7976">
        <v>0</v>
      </c>
      <c r="AC7976">
        <v>1</v>
      </c>
      <c r="AD7976">
        <v>1</v>
      </c>
      <c r="AE7976">
        <v>1</v>
      </c>
      <c r="AF7976">
        <v>1</v>
      </c>
      <c r="AG7976">
        <v>1</v>
      </c>
      <c r="AH7976">
        <v>1</v>
      </c>
      <c r="AI7976">
        <v>1</v>
      </c>
      <c r="AJ7976">
        <v>1</v>
      </c>
      <c r="AK7976">
        <v>1</v>
      </c>
      <c r="AL7976">
        <v>1</v>
      </c>
      <c r="AM7976">
        <v>1</v>
      </c>
    </row>
    <row r="7977" spans="1:39" x14ac:dyDescent="0.2">
      <c r="A7977" t="str">
        <f>"7973"</f>
        <v>7973</v>
      </c>
      <c r="B7977" t="str">
        <f t="shared" si="441"/>
        <v>1</v>
      </c>
      <c r="C7977" t="str">
        <f t="shared" si="443"/>
        <v>160</v>
      </c>
      <c r="D7977" t="str">
        <f>"5"</f>
        <v>5</v>
      </c>
      <c r="E7977" t="str">
        <f>"1-160-5"</f>
        <v>1-160-5</v>
      </c>
      <c r="F7977" t="s">
        <v>65</v>
      </c>
      <c r="G7977" t="s">
        <v>66</v>
      </c>
      <c r="H7977" t="s">
        <v>67</v>
      </c>
      <c r="S7977">
        <v>0</v>
      </c>
      <c r="T7977">
        <v>0</v>
      </c>
      <c r="U7977">
        <v>0</v>
      </c>
      <c r="V7977">
        <v>0</v>
      </c>
      <c r="W7977">
        <v>1</v>
      </c>
      <c r="X7977">
        <v>0</v>
      </c>
      <c r="Y7977">
        <v>1</v>
      </c>
      <c r="Z7977">
        <v>0</v>
      </c>
      <c r="AA7977">
        <v>0</v>
      </c>
      <c r="AB7977">
        <v>1</v>
      </c>
      <c r="AC7977">
        <v>0</v>
      </c>
      <c r="AD7977">
        <v>1</v>
      </c>
      <c r="AE7977">
        <v>1</v>
      </c>
      <c r="AF7977">
        <v>1</v>
      </c>
      <c r="AG7977">
        <v>1</v>
      </c>
      <c r="AH7977">
        <v>1</v>
      </c>
      <c r="AI7977">
        <v>1</v>
      </c>
      <c r="AJ7977">
        <v>1</v>
      </c>
      <c r="AK7977">
        <v>1</v>
      </c>
      <c r="AL7977">
        <v>1</v>
      </c>
      <c r="AM7977">
        <v>1</v>
      </c>
    </row>
    <row r="7978" spans="1:39" x14ac:dyDescent="0.2">
      <c r="A7978" t="str">
        <f>"7974"</f>
        <v>7974</v>
      </c>
      <c r="B7978" t="str">
        <f t="shared" si="441"/>
        <v>1</v>
      </c>
      <c r="C7978" t="str">
        <f t="shared" si="443"/>
        <v>160</v>
      </c>
      <c r="D7978" t="str">
        <f>"40"</f>
        <v>40</v>
      </c>
      <c r="E7978" t="str">
        <f>"1-160-40"</f>
        <v>1-160-40</v>
      </c>
      <c r="F7978" t="s">
        <v>65</v>
      </c>
      <c r="G7978" t="s">
        <v>66</v>
      </c>
      <c r="H7978" t="s">
        <v>67</v>
      </c>
      <c r="S7978">
        <v>0</v>
      </c>
      <c r="T7978">
        <v>1</v>
      </c>
      <c r="U7978">
        <v>0</v>
      </c>
      <c r="V7978">
        <v>0</v>
      </c>
      <c r="W7978">
        <v>0</v>
      </c>
      <c r="X7978">
        <v>1</v>
      </c>
      <c r="Y7978">
        <v>1</v>
      </c>
      <c r="Z7978">
        <v>0</v>
      </c>
      <c r="AA7978">
        <v>0</v>
      </c>
      <c r="AB7978">
        <v>1</v>
      </c>
      <c r="AC7978">
        <v>0</v>
      </c>
      <c r="AD7978">
        <v>1</v>
      </c>
      <c r="AE7978">
        <v>1</v>
      </c>
      <c r="AF7978">
        <v>1</v>
      </c>
      <c r="AG7978">
        <v>1</v>
      </c>
      <c r="AH7978">
        <v>1</v>
      </c>
      <c r="AI7978">
        <v>1</v>
      </c>
      <c r="AJ7978">
        <v>1</v>
      </c>
      <c r="AK7978">
        <v>1</v>
      </c>
      <c r="AL7978">
        <v>1</v>
      </c>
      <c r="AM7978">
        <v>1</v>
      </c>
    </row>
    <row r="7979" spans="1:39" x14ac:dyDescent="0.2">
      <c r="A7979" t="str">
        <f>"7975"</f>
        <v>7975</v>
      </c>
      <c r="B7979" t="str">
        <f t="shared" si="441"/>
        <v>1</v>
      </c>
      <c r="C7979" t="str">
        <f t="shared" si="443"/>
        <v>160</v>
      </c>
      <c r="D7979" t="str">
        <f>"24"</f>
        <v>24</v>
      </c>
      <c r="E7979" t="str">
        <f>"1-160-24"</f>
        <v>1-160-24</v>
      </c>
      <c r="F7979" t="s">
        <v>65</v>
      </c>
      <c r="G7979" t="s">
        <v>66</v>
      </c>
      <c r="H7979" t="s">
        <v>67</v>
      </c>
      <c r="S7979">
        <v>0</v>
      </c>
      <c r="T7979">
        <v>1</v>
      </c>
      <c r="U7979">
        <v>0</v>
      </c>
      <c r="V7979">
        <v>0</v>
      </c>
      <c r="W7979">
        <v>0</v>
      </c>
      <c r="X7979">
        <v>1</v>
      </c>
      <c r="Y7979">
        <v>0</v>
      </c>
      <c r="Z7979">
        <v>1</v>
      </c>
      <c r="AA7979">
        <v>0</v>
      </c>
      <c r="AB7979">
        <v>0</v>
      </c>
      <c r="AC7979">
        <v>1</v>
      </c>
      <c r="AD7979">
        <v>1</v>
      </c>
      <c r="AE7979">
        <v>1</v>
      </c>
      <c r="AF7979">
        <v>1</v>
      </c>
      <c r="AG7979">
        <v>1</v>
      </c>
      <c r="AH7979">
        <v>1</v>
      </c>
      <c r="AI7979">
        <v>1</v>
      </c>
      <c r="AJ7979">
        <v>1</v>
      </c>
      <c r="AK7979">
        <v>1</v>
      </c>
      <c r="AL7979">
        <v>1</v>
      </c>
      <c r="AM7979">
        <v>1</v>
      </c>
    </row>
    <row r="7980" spans="1:39" x14ac:dyDescent="0.2">
      <c r="A7980" t="str">
        <f>"7976"</f>
        <v>7976</v>
      </c>
      <c r="B7980" t="str">
        <f t="shared" si="441"/>
        <v>1</v>
      </c>
      <c r="C7980" t="str">
        <f t="shared" si="443"/>
        <v>160</v>
      </c>
      <c r="D7980" t="str">
        <f>"10"</f>
        <v>10</v>
      </c>
      <c r="E7980" t="str">
        <f>"1-160-10"</f>
        <v>1-160-10</v>
      </c>
      <c r="F7980" t="s">
        <v>65</v>
      </c>
      <c r="G7980" t="s">
        <v>66</v>
      </c>
      <c r="H7980" t="s">
        <v>67</v>
      </c>
      <c r="S7980">
        <v>0</v>
      </c>
      <c r="T7980">
        <v>1</v>
      </c>
      <c r="U7980">
        <v>0</v>
      </c>
      <c r="V7980">
        <v>0</v>
      </c>
      <c r="W7980">
        <v>0</v>
      </c>
      <c r="X7980">
        <v>1</v>
      </c>
      <c r="Y7980">
        <v>1</v>
      </c>
      <c r="Z7980">
        <v>0</v>
      </c>
      <c r="AA7980">
        <v>0</v>
      </c>
      <c r="AB7980">
        <v>1</v>
      </c>
      <c r="AC7980">
        <v>0</v>
      </c>
      <c r="AD7980">
        <v>1</v>
      </c>
      <c r="AE7980">
        <v>1</v>
      </c>
      <c r="AF7980">
        <v>1</v>
      </c>
      <c r="AG7980">
        <v>1</v>
      </c>
      <c r="AH7980">
        <v>1</v>
      </c>
      <c r="AI7980">
        <v>1</v>
      </c>
      <c r="AJ7980">
        <v>1</v>
      </c>
      <c r="AK7980">
        <v>1</v>
      </c>
      <c r="AL7980">
        <v>1</v>
      </c>
      <c r="AM7980">
        <v>1</v>
      </c>
    </row>
    <row r="7981" spans="1:39" x14ac:dyDescent="0.2">
      <c r="A7981" t="str">
        <f>"7977"</f>
        <v>7977</v>
      </c>
      <c r="B7981" t="str">
        <f t="shared" si="441"/>
        <v>1</v>
      </c>
      <c r="C7981" t="str">
        <f t="shared" si="443"/>
        <v>160</v>
      </c>
      <c r="D7981" t="str">
        <f>"41"</f>
        <v>41</v>
      </c>
      <c r="E7981" t="str">
        <f>"1-160-41"</f>
        <v>1-160-41</v>
      </c>
      <c r="F7981" t="s">
        <v>65</v>
      </c>
      <c r="G7981" t="s">
        <v>66</v>
      </c>
      <c r="H7981" t="s">
        <v>67</v>
      </c>
      <c r="S7981">
        <v>0</v>
      </c>
      <c r="T7981">
        <v>1</v>
      </c>
      <c r="U7981">
        <v>0</v>
      </c>
      <c r="V7981">
        <v>0</v>
      </c>
      <c r="W7981">
        <v>1</v>
      </c>
      <c r="X7981">
        <v>0</v>
      </c>
      <c r="Y7981">
        <v>0</v>
      </c>
      <c r="Z7981">
        <v>1</v>
      </c>
      <c r="AA7981">
        <v>0</v>
      </c>
      <c r="AB7981">
        <v>0</v>
      </c>
      <c r="AC7981">
        <v>1</v>
      </c>
      <c r="AD7981">
        <v>1</v>
      </c>
      <c r="AE7981">
        <v>1</v>
      </c>
      <c r="AF7981">
        <v>1</v>
      </c>
      <c r="AG7981">
        <v>1</v>
      </c>
      <c r="AH7981">
        <v>1</v>
      </c>
      <c r="AI7981">
        <v>1</v>
      </c>
      <c r="AJ7981">
        <v>1</v>
      </c>
      <c r="AK7981">
        <v>1</v>
      </c>
      <c r="AL7981">
        <v>1</v>
      </c>
      <c r="AM7981">
        <v>1</v>
      </c>
    </row>
    <row r="7982" spans="1:39" x14ac:dyDescent="0.2">
      <c r="A7982" t="str">
        <f>"7978"</f>
        <v>7978</v>
      </c>
      <c r="B7982" t="str">
        <f t="shared" si="441"/>
        <v>1</v>
      </c>
      <c r="C7982" t="str">
        <f t="shared" si="443"/>
        <v>160</v>
      </c>
      <c r="D7982" t="str">
        <f>"25"</f>
        <v>25</v>
      </c>
      <c r="E7982" t="str">
        <f>"1-160-25"</f>
        <v>1-160-25</v>
      </c>
      <c r="F7982" t="s">
        <v>65</v>
      </c>
      <c r="G7982" t="s">
        <v>66</v>
      </c>
      <c r="H7982" t="s">
        <v>67</v>
      </c>
      <c r="S7982">
        <v>1</v>
      </c>
      <c r="T7982">
        <v>0</v>
      </c>
      <c r="U7982">
        <v>0</v>
      </c>
      <c r="V7982">
        <v>0</v>
      </c>
      <c r="W7982">
        <v>1</v>
      </c>
      <c r="X7982">
        <v>0</v>
      </c>
      <c r="Y7982">
        <v>1</v>
      </c>
      <c r="Z7982">
        <v>0</v>
      </c>
      <c r="AA7982">
        <v>0</v>
      </c>
      <c r="AB7982">
        <v>0</v>
      </c>
      <c r="AC7982">
        <v>1</v>
      </c>
      <c r="AD7982">
        <v>1</v>
      </c>
      <c r="AE7982">
        <v>1</v>
      </c>
      <c r="AF7982">
        <v>1</v>
      </c>
      <c r="AG7982">
        <v>1</v>
      </c>
      <c r="AH7982">
        <v>1</v>
      </c>
      <c r="AI7982">
        <v>1</v>
      </c>
      <c r="AJ7982">
        <v>1</v>
      </c>
      <c r="AK7982">
        <v>1</v>
      </c>
      <c r="AL7982">
        <v>1</v>
      </c>
      <c r="AM7982">
        <v>1</v>
      </c>
    </row>
    <row r="7983" spans="1:39" x14ac:dyDescent="0.2">
      <c r="A7983" t="str">
        <f>"7979"</f>
        <v>7979</v>
      </c>
      <c r="B7983" t="str">
        <f t="shared" si="441"/>
        <v>1</v>
      </c>
      <c r="C7983" t="str">
        <f t="shared" si="443"/>
        <v>160</v>
      </c>
      <c r="D7983" t="str">
        <f>"14"</f>
        <v>14</v>
      </c>
      <c r="E7983" t="str">
        <f>"1-160-14"</f>
        <v>1-160-14</v>
      </c>
      <c r="F7983" t="s">
        <v>65</v>
      </c>
      <c r="G7983" t="s">
        <v>66</v>
      </c>
      <c r="H7983" t="s">
        <v>67</v>
      </c>
      <c r="S7983">
        <v>0</v>
      </c>
      <c r="T7983">
        <v>1</v>
      </c>
      <c r="U7983">
        <v>0</v>
      </c>
      <c r="V7983">
        <v>0</v>
      </c>
      <c r="W7983">
        <v>0</v>
      </c>
      <c r="X7983">
        <v>1</v>
      </c>
      <c r="Y7983">
        <v>0</v>
      </c>
      <c r="Z7983">
        <v>1</v>
      </c>
      <c r="AA7983">
        <v>0</v>
      </c>
      <c r="AB7983">
        <v>0</v>
      </c>
      <c r="AC7983">
        <v>1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</row>
    <row r="7984" spans="1:39" x14ac:dyDescent="0.2">
      <c r="A7984" t="str">
        <f>"7980"</f>
        <v>7980</v>
      </c>
      <c r="B7984" t="str">
        <f t="shared" si="441"/>
        <v>1</v>
      </c>
      <c r="C7984" t="str">
        <f t="shared" si="443"/>
        <v>160</v>
      </c>
      <c r="D7984" t="str">
        <f>"49"</f>
        <v>49</v>
      </c>
      <c r="E7984" t="str">
        <f>"1-160-49"</f>
        <v>1-160-49</v>
      </c>
      <c r="F7984" t="s">
        <v>65</v>
      </c>
      <c r="G7984" t="s">
        <v>66</v>
      </c>
      <c r="H7984" t="s">
        <v>67</v>
      </c>
      <c r="S7984">
        <v>1</v>
      </c>
      <c r="T7984">
        <v>0</v>
      </c>
      <c r="U7984">
        <v>0</v>
      </c>
      <c r="V7984">
        <v>0</v>
      </c>
      <c r="W7984">
        <v>0</v>
      </c>
      <c r="X7984">
        <v>1</v>
      </c>
      <c r="Y7984">
        <v>1</v>
      </c>
      <c r="Z7984">
        <v>0</v>
      </c>
      <c r="AA7984">
        <v>0</v>
      </c>
      <c r="AB7984">
        <v>1</v>
      </c>
      <c r="AC7984">
        <v>0</v>
      </c>
      <c r="AD7984">
        <v>0</v>
      </c>
      <c r="AE7984">
        <v>0</v>
      </c>
      <c r="AF7984">
        <v>0</v>
      </c>
      <c r="AG7984">
        <v>1</v>
      </c>
      <c r="AH7984">
        <v>1</v>
      </c>
      <c r="AI7984">
        <v>1</v>
      </c>
      <c r="AJ7984">
        <v>1</v>
      </c>
      <c r="AK7984">
        <v>1</v>
      </c>
      <c r="AL7984">
        <v>1</v>
      </c>
      <c r="AM7984">
        <v>1</v>
      </c>
    </row>
    <row r="7985" spans="1:39" x14ac:dyDescent="0.2">
      <c r="A7985" t="str">
        <f>"7981"</f>
        <v>7981</v>
      </c>
      <c r="B7985" t="str">
        <f t="shared" si="441"/>
        <v>1</v>
      </c>
      <c r="C7985" t="str">
        <f t="shared" si="443"/>
        <v>160</v>
      </c>
      <c r="D7985" t="str">
        <f>"26"</f>
        <v>26</v>
      </c>
      <c r="E7985" t="str">
        <f>"1-160-26"</f>
        <v>1-160-26</v>
      </c>
      <c r="F7985" t="s">
        <v>65</v>
      </c>
      <c r="G7985" t="s">
        <v>66</v>
      </c>
      <c r="H7985" t="s">
        <v>67</v>
      </c>
      <c r="S7985">
        <v>1</v>
      </c>
      <c r="T7985">
        <v>0</v>
      </c>
      <c r="U7985">
        <v>0</v>
      </c>
      <c r="V7985">
        <v>0</v>
      </c>
      <c r="W7985">
        <v>1</v>
      </c>
      <c r="X7985">
        <v>0</v>
      </c>
      <c r="Y7985">
        <v>0</v>
      </c>
      <c r="Z7985">
        <v>1</v>
      </c>
      <c r="AA7985">
        <v>1</v>
      </c>
      <c r="AB7985">
        <v>0</v>
      </c>
      <c r="AC7985">
        <v>0</v>
      </c>
      <c r="AD7985">
        <v>1</v>
      </c>
      <c r="AE7985">
        <v>1</v>
      </c>
      <c r="AF7985">
        <v>1</v>
      </c>
      <c r="AG7985">
        <v>1</v>
      </c>
      <c r="AH7985">
        <v>1</v>
      </c>
      <c r="AI7985">
        <v>1</v>
      </c>
      <c r="AJ7985">
        <v>1</v>
      </c>
      <c r="AK7985">
        <v>1</v>
      </c>
      <c r="AL7985">
        <v>1</v>
      </c>
      <c r="AM7985">
        <v>1</v>
      </c>
    </row>
    <row r="7986" spans="1:39" x14ac:dyDescent="0.2">
      <c r="A7986" t="str">
        <f>"7982"</f>
        <v>7982</v>
      </c>
      <c r="B7986" t="str">
        <f t="shared" si="441"/>
        <v>1</v>
      </c>
      <c r="C7986" t="str">
        <f t="shared" si="443"/>
        <v>160</v>
      </c>
      <c r="D7986" t="str">
        <f>"12"</f>
        <v>12</v>
      </c>
      <c r="E7986" t="str">
        <f>"1-160-12"</f>
        <v>1-160-12</v>
      </c>
      <c r="F7986" t="s">
        <v>65</v>
      </c>
      <c r="G7986" t="s">
        <v>66</v>
      </c>
      <c r="H7986" t="s">
        <v>67</v>
      </c>
      <c r="S7986">
        <v>0</v>
      </c>
      <c r="T7986">
        <v>1</v>
      </c>
      <c r="U7986">
        <v>0</v>
      </c>
      <c r="V7986">
        <v>0</v>
      </c>
      <c r="W7986">
        <v>0</v>
      </c>
      <c r="X7986">
        <v>1</v>
      </c>
      <c r="Y7986">
        <v>0</v>
      </c>
      <c r="Z7986">
        <v>1</v>
      </c>
      <c r="AA7986">
        <v>0</v>
      </c>
      <c r="AB7986">
        <v>0</v>
      </c>
      <c r="AC7986">
        <v>1</v>
      </c>
      <c r="AD7986">
        <v>1</v>
      </c>
      <c r="AE7986">
        <v>1</v>
      </c>
      <c r="AF7986">
        <v>1</v>
      </c>
      <c r="AG7986">
        <v>1</v>
      </c>
      <c r="AH7986">
        <v>1</v>
      </c>
      <c r="AI7986">
        <v>1</v>
      </c>
      <c r="AJ7986">
        <v>1</v>
      </c>
      <c r="AK7986">
        <v>1</v>
      </c>
      <c r="AL7986">
        <v>1</v>
      </c>
      <c r="AM7986">
        <v>1</v>
      </c>
    </row>
    <row r="7987" spans="1:39" x14ac:dyDescent="0.2">
      <c r="A7987" t="str">
        <f>"7983"</f>
        <v>7983</v>
      </c>
      <c r="B7987" t="str">
        <f t="shared" si="441"/>
        <v>1</v>
      </c>
      <c r="C7987" t="str">
        <f t="shared" ref="C7987:C8004" si="444">"160"</f>
        <v>160</v>
      </c>
      <c r="D7987" t="str">
        <f>"42"</f>
        <v>42</v>
      </c>
      <c r="E7987" t="str">
        <f>"1-160-42"</f>
        <v>1-160-42</v>
      </c>
      <c r="F7987" t="s">
        <v>65</v>
      </c>
      <c r="G7987" t="s">
        <v>66</v>
      </c>
      <c r="H7987" t="s">
        <v>67</v>
      </c>
      <c r="S7987">
        <v>1</v>
      </c>
      <c r="T7987">
        <v>0</v>
      </c>
      <c r="U7987">
        <v>0</v>
      </c>
      <c r="V7987">
        <v>0</v>
      </c>
      <c r="W7987">
        <v>1</v>
      </c>
      <c r="X7987">
        <v>0</v>
      </c>
      <c r="Y7987">
        <v>1</v>
      </c>
      <c r="Z7987">
        <v>0</v>
      </c>
      <c r="AA7987">
        <v>0</v>
      </c>
      <c r="AB7987">
        <v>0</v>
      </c>
      <c r="AC7987">
        <v>1</v>
      </c>
      <c r="AD7987">
        <v>1</v>
      </c>
      <c r="AE7987">
        <v>1</v>
      </c>
      <c r="AF7987">
        <v>1</v>
      </c>
      <c r="AG7987">
        <v>1</v>
      </c>
      <c r="AH7987">
        <v>1</v>
      </c>
      <c r="AI7987">
        <v>1</v>
      </c>
      <c r="AJ7987">
        <v>1</v>
      </c>
      <c r="AK7987">
        <v>1</v>
      </c>
      <c r="AL7987">
        <v>1</v>
      </c>
      <c r="AM7987">
        <v>0</v>
      </c>
    </row>
    <row r="7988" spans="1:39" x14ac:dyDescent="0.2">
      <c r="A7988" t="str">
        <f>"7984"</f>
        <v>7984</v>
      </c>
      <c r="B7988" t="str">
        <f t="shared" si="441"/>
        <v>1</v>
      </c>
      <c r="C7988" t="str">
        <f t="shared" si="444"/>
        <v>160</v>
      </c>
      <c r="D7988" t="str">
        <f>"27"</f>
        <v>27</v>
      </c>
      <c r="E7988" t="str">
        <f>"1-160-27"</f>
        <v>1-160-27</v>
      </c>
      <c r="F7988" t="s">
        <v>65</v>
      </c>
      <c r="G7988" t="s">
        <v>66</v>
      </c>
      <c r="H7988" t="s">
        <v>67</v>
      </c>
      <c r="S7988">
        <v>1</v>
      </c>
      <c r="T7988">
        <v>0</v>
      </c>
      <c r="U7988">
        <v>0</v>
      </c>
      <c r="V7988">
        <v>0</v>
      </c>
      <c r="W7988">
        <v>1</v>
      </c>
      <c r="X7988">
        <v>0</v>
      </c>
      <c r="Y7988">
        <v>0</v>
      </c>
      <c r="Z7988">
        <v>1</v>
      </c>
      <c r="AA7988">
        <v>1</v>
      </c>
      <c r="AB7988">
        <v>0</v>
      </c>
      <c r="AC7988">
        <v>0</v>
      </c>
      <c r="AD7988">
        <v>1</v>
      </c>
      <c r="AE7988">
        <v>1</v>
      </c>
      <c r="AF7988">
        <v>1</v>
      </c>
      <c r="AG7988">
        <v>1</v>
      </c>
      <c r="AH7988">
        <v>1</v>
      </c>
      <c r="AI7988">
        <v>1</v>
      </c>
      <c r="AJ7988">
        <v>1</v>
      </c>
      <c r="AK7988">
        <v>1</v>
      </c>
      <c r="AL7988">
        <v>1</v>
      </c>
      <c r="AM7988">
        <v>1</v>
      </c>
    </row>
    <row r="7989" spans="1:39" x14ac:dyDescent="0.2">
      <c r="A7989" t="str">
        <f>"7985"</f>
        <v>7985</v>
      </c>
      <c r="B7989" t="str">
        <f t="shared" si="441"/>
        <v>1</v>
      </c>
      <c r="C7989" t="str">
        <f t="shared" si="444"/>
        <v>160</v>
      </c>
      <c r="D7989" t="str">
        <f>"28"</f>
        <v>28</v>
      </c>
      <c r="E7989" t="str">
        <f>"1-160-28"</f>
        <v>1-160-28</v>
      </c>
      <c r="F7989" t="s">
        <v>65</v>
      </c>
      <c r="G7989" t="s">
        <v>66</v>
      </c>
      <c r="H7989" t="s">
        <v>67</v>
      </c>
      <c r="S7989">
        <v>1</v>
      </c>
      <c r="T7989">
        <v>0</v>
      </c>
      <c r="U7989">
        <v>0</v>
      </c>
      <c r="V7989">
        <v>0</v>
      </c>
      <c r="W7989">
        <v>1</v>
      </c>
      <c r="X7989">
        <v>0</v>
      </c>
      <c r="Y7989">
        <v>1</v>
      </c>
      <c r="Z7989">
        <v>0</v>
      </c>
      <c r="AA7989">
        <v>1</v>
      </c>
      <c r="AB7989">
        <v>0</v>
      </c>
      <c r="AC7989">
        <v>0</v>
      </c>
      <c r="AD7989">
        <v>1</v>
      </c>
      <c r="AE7989">
        <v>1</v>
      </c>
      <c r="AF7989">
        <v>1</v>
      </c>
      <c r="AG7989">
        <v>1</v>
      </c>
      <c r="AH7989">
        <v>1</v>
      </c>
      <c r="AI7989">
        <v>1</v>
      </c>
      <c r="AJ7989">
        <v>1</v>
      </c>
      <c r="AK7989">
        <v>1</v>
      </c>
      <c r="AL7989">
        <v>1</v>
      </c>
      <c r="AM7989">
        <v>1</v>
      </c>
    </row>
    <row r="7990" spans="1:39" x14ac:dyDescent="0.2">
      <c r="A7990" t="str">
        <f>"7986"</f>
        <v>7986</v>
      </c>
      <c r="B7990" t="str">
        <f t="shared" si="441"/>
        <v>1</v>
      </c>
      <c r="C7990" t="str">
        <f t="shared" si="444"/>
        <v>160</v>
      </c>
      <c r="D7990" t="str">
        <f>"3"</f>
        <v>3</v>
      </c>
      <c r="E7990" t="str">
        <f>"1-160-3"</f>
        <v>1-160-3</v>
      </c>
      <c r="F7990" t="s">
        <v>65</v>
      </c>
      <c r="G7990" t="s">
        <v>66</v>
      </c>
      <c r="H7990" t="s">
        <v>67</v>
      </c>
      <c r="S7990">
        <v>1</v>
      </c>
      <c r="T7990">
        <v>0</v>
      </c>
      <c r="U7990">
        <v>0</v>
      </c>
      <c r="V7990">
        <v>0</v>
      </c>
      <c r="W7990">
        <v>1</v>
      </c>
      <c r="X7990">
        <v>0</v>
      </c>
      <c r="Y7990">
        <v>0</v>
      </c>
      <c r="Z7990">
        <v>1</v>
      </c>
      <c r="AA7990">
        <v>1</v>
      </c>
      <c r="AB7990">
        <v>0</v>
      </c>
      <c r="AC7990">
        <v>0</v>
      </c>
      <c r="AD7990">
        <v>1</v>
      </c>
      <c r="AE7990">
        <v>1</v>
      </c>
      <c r="AF7990">
        <v>1</v>
      </c>
      <c r="AG7990">
        <v>1</v>
      </c>
      <c r="AH7990">
        <v>1</v>
      </c>
      <c r="AI7990">
        <v>1</v>
      </c>
      <c r="AJ7990">
        <v>1</v>
      </c>
      <c r="AK7990">
        <v>1</v>
      </c>
      <c r="AL7990">
        <v>1</v>
      </c>
      <c r="AM7990">
        <v>1</v>
      </c>
    </row>
    <row r="7991" spans="1:39" x14ac:dyDescent="0.2">
      <c r="A7991" t="str">
        <f>"7987"</f>
        <v>7987</v>
      </c>
      <c r="B7991" t="str">
        <f t="shared" ref="B7991:B8054" si="445">"1"</f>
        <v>1</v>
      </c>
      <c r="C7991" t="str">
        <f t="shared" si="444"/>
        <v>160</v>
      </c>
      <c r="D7991" t="str">
        <f>"43"</f>
        <v>43</v>
      </c>
      <c r="E7991" t="str">
        <f>"1-160-43"</f>
        <v>1-160-43</v>
      </c>
      <c r="F7991" t="s">
        <v>65</v>
      </c>
      <c r="G7991" t="s">
        <v>66</v>
      </c>
      <c r="H7991" t="s">
        <v>67</v>
      </c>
      <c r="S7991">
        <v>1</v>
      </c>
      <c r="T7991">
        <v>0</v>
      </c>
      <c r="U7991">
        <v>0</v>
      </c>
      <c r="V7991">
        <v>0</v>
      </c>
      <c r="W7991">
        <v>1</v>
      </c>
      <c r="X7991">
        <v>0</v>
      </c>
      <c r="Y7991">
        <v>0</v>
      </c>
      <c r="Z7991">
        <v>1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1</v>
      </c>
      <c r="AI7991">
        <v>1</v>
      </c>
      <c r="AJ7991">
        <v>0</v>
      </c>
      <c r="AK7991">
        <v>0</v>
      </c>
      <c r="AL7991">
        <v>0</v>
      </c>
      <c r="AM7991">
        <v>0</v>
      </c>
    </row>
    <row r="7992" spans="1:39" x14ac:dyDescent="0.2">
      <c r="A7992" t="str">
        <f>"7988"</f>
        <v>7988</v>
      </c>
      <c r="B7992" t="str">
        <f t="shared" si="445"/>
        <v>1</v>
      </c>
      <c r="C7992" t="str">
        <f t="shared" si="444"/>
        <v>160</v>
      </c>
      <c r="D7992" t="str">
        <f>"29"</f>
        <v>29</v>
      </c>
      <c r="E7992" t="str">
        <f>"1-160-29"</f>
        <v>1-160-29</v>
      </c>
      <c r="F7992" t="s">
        <v>65</v>
      </c>
      <c r="G7992" t="s">
        <v>66</v>
      </c>
      <c r="H7992" t="s">
        <v>67</v>
      </c>
      <c r="S7992">
        <v>1</v>
      </c>
      <c r="T7992">
        <v>0</v>
      </c>
      <c r="U7992">
        <v>0</v>
      </c>
      <c r="V7992">
        <v>0</v>
      </c>
      <c r="W7992">
        <v>1</v>
      </c>
      <c r="X7992">
        <v>0</v>
      </c>
      <c r="Y7992">
        <v>1</v>
      </c>
      <c r="Z7992">
        <v>0</v>
      </c>
      <c r="AA7992">
        <v>1</v>
      </c>
      <c r="AB7992">
        <v>0</v>
      </c>
      <c r="AC7992">
        <v>0</v>
      </c>
      <c r="AD7992">
        <v>1</v>
      </c>
      <c r="AE7992">
        <v>1</v>
      </c>
      <c r="AF7992">
        <v>1</v>
      </c>
      <c r="AG7992">
        <v>1</v>
      </c>
      <c r="AH7992">
        <v>1</v>
      </c>
      <c r="AI7992">
        <v>1</v>
      </c>
      <c r="AJ7992">
        <v>1</v>
      </c>
      <c r="AK7992">
        <v>1</v>
      </c>
      <c r="AL7992">
        <v>1</v>
      </c>
      <c r="AM7992">
        <v>0</v>
      </c>
    </row>
    <row r="7993" spans="1:39" x14ac:dyDescent="0.2">
      <c r="A7993" t="str">
        <f>"7989"</f>
        <v>7989</v>
      </c>
      <c r="B7993" t="str">
        <f t="shared" si="445"/>
        <v>1</v>
      </c>
      <c r="C7993" t="str">
        <f t="shared" si="444"/>
        <v>160</v>
      </c>
      <c r="D7993" t="str">
        <f>"11"</f>
        <v>11</v>
      </c>
      <c r="E7993" t="str">
        <f>"1-160-11"</f>
        <v>1-160-11</v>
      </c>
      <c r="F7993" t="s">
        <v>65</v>
      </c>
      <c r="G7993" t="s">
        <v>66</v>
      </c>
      <c r="H7993" t="s">
        <v>67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1</v>
      </c>
      <c r="Y7993">
        <v>0</v>
      </c>
      <c r="Z7993">
        <v>0</v>
      </c>
      <c r="AA7993">
        <v>0</v>
      </c>
      <c r="AB7993">
        <v>0</v>
      </c>
      <c r="AC7993">
        <v>1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1</v>
      </c>
      <c r="AM7993">
        <v>0</v>
      </c>
    </row>
    <row r="7994" spans="1:39" x14ac:dyDescent="0.2">
      <c r="A7994" t="str">
        <f>"7990"</f>
        <v>7990</v>
      </c>
      <c r="B7994" t="str">
        <f t="shared" si="445"/>
        <v>1</v>
      </c>
      <c r="C7994" t="str">
        <f t="shared" si="444"/>
        <v>160</v>
      </c>
      <c r="D7994" t="str">
        <f>"48"</f>
        <v>48</v>
      </c>
      <c r="E7994" t="str">
        <f>"1-160-48"</f>
        <v>1-160-48</v>
      </c>
      <c r="F7994" t="s">
        <v>65</v>
      </c>
      <c r="G7994" t="s">
        <v>66</v>
      </c>
      <c r="H7994" t="s">
        <v>67</v>
      </c>
      <c r="S7994">
        <v>1</v>
      </c>
      <c r="T7994">
        <v>0</v>
      </c>
      <c r="U7994">
        <v>0</v>
      </c>
      <c r="V7994">
        <v>0</v>
      </c>
      <c r="W7994">
        <v>1</v>
      </c>
      <c r="X7994">
        <v>0</v>
      </c>
      <c r="Y7994">
        <v>1</v>
      </c>
      <c r="Z7994">
        <v>0</v>
      </c>
      <c r="AA7994">
        <v>0</v>
      </c>
      <c r="AB7994">
        <v>1</v>
      </c>
      <c r="AC7994">
        <v>0</v>
      </c>
      <c r="AD7994">
        <v>1</v>
      </c>
      <c r="AE7994">
        <v>1</v>
      </c>
      <c r="AF7994">
        <v>1</v>
      </c>
      <c r="AG7994">
        <v>1</v>
      </c>
      <c r="AH7994">
        <v>1</v>
      </c>
      <c r="AI7994">
        <v>1</v>
      </c>
      <c r="AJ7994">
        <v>1</v>
      </c>
      <c r="AK7994">
        <v>1</v>
      </c>
      <c r="AL7994">
        <v>1</v>
      </c>
      <c r="AM7994">
        <v>1</v>
      </c>
    </row>
    <row r="7995" spans="1:39" x14ac:dyDescent="0.2">
      <c r="A7995" t="str">
        <f>"7991"</f>
        <v>7991</v>
      </c>
      <c r="B7995" t="str">
        <f t="shared" si="445"/>
        <v>1</v>
      </c>
      <c r="C7995" t="str">
        <f t="shared" si="444"/>
        <v>160</v>
      </c>
      <c r="D7995" t="str">
        <f>"30"</f>
        <v>30</v>
      </c>
      <c r="E7995" t="str">
        <f>"1-160-30"</f>
        <v>1-160-30</v>
      </c>
      <c r="F7995" t="s">
        <v>65</v>
      </c>
      <c r="G7995" t="s">
        <v>66</v>
      </c>
      <c r="H7995" t="s">
        <v>67</v>
      </c>
      <c r="S7995">
        <v>1</v>
      </c>
      <c r="T7995">
        <v>0</v>
      </c>
      <c r="U7995">
        <v>0</v>
      </c>
      <c r="V7995">
        <v>0</v>
      </c>
      <c r="W7995">
        <v>1</v>
      </c>
      <c r="X7995">
        <v>0</v>
      </c>
      <c r="Y7995">
        <v>1</v>
      </c>
      <c r="Z7995">
        <v>0</v>
      </c>
      <c r="AA7995">
        <v>0</v>
      </c>
      <c r="AB7995">
        <v>0</v>
      </c>
      <c r="AC7995">
        <v>1</v>
      </c>
      <c r="AD7995">
        <v>1</v>
      </c>
      <c r="AE7995">
        <v>1</v>
      </c>
      <c r="AF7995">
        <v>1</v>
      </c>
      <c r="AG7995">
        <v>1</v>
      </c>
      <c r="AH7995">
        <v>1</v>
      </c>
      <c r="AI7995">
        <v>1</v>
      </c>
      <c r="AJ7995">
        <v>1</v>
      </c>
      <c r="AK7995">
        <v>1</v>
      </c>
      <c r="AL7995">
        <v>1</v>
      </c>
      <c r="AM7995">
        <v>1</v>
      </c>
    </row>
    <row r="7996" spans="1:39" x14ac:dyDescent="0.2">
      <c r="A7996" t="str">
        <f>"7992"</f>
        <v>7992</v>
      </c>
      <c r="B7996" t="str">
        <f t="shared" si="445"/>
        <v>1</v>
      </c>
      <c r="C7996" t="str">
        <f t="shared" si="444"/>
        <v>160</v>
      </c>
      <c r="D7996" t="str">
        <f>"2"</f>
        <v>2</v>
      </c>
      <c r="E7996" t="str">
        <f>"1-160-2"</f>
        <v>1-160-2</v>
      </c>
      <c r="F7996" t="s">
        <v>65</v>
      </c>
      <c r="G7996" t="s">
        <v>66</v>
      </c>
      <c r="H7996" t="s">
        <v>67</v>
      </c>
      <c r="S7996">
        <v>1</v>
      </c>
      <c r="T7996">
        <v>0</v>
      </c>
      <c r="U7996">
        <v>0</v>
      </c>
      <c r="V7996">
        <v>0</v>
      </c>
      <c r="W7996">
        <v>1</v>
      </c>
      <c r="X7996">
        <v>0</v>
      </c>
      <c r="Y7996">
        <v>0</v>
      </c>
      <c r="Z7996">
        <v>1</v>
      </c>
      <c r="AA7996">
        <v>1</v>
      </c>
      <c r="AB7996">
        <v>0</v>
      </c>
      <c r="AC7996">
        <v>0</v>
      </c>
      <c r="AD7996">
        <v>1</v>
      </c>
      <c r="AE7996">
        <v>1</v>
      </c>
      <c r="AF7996">
        <v>1</v>
      </c>
      <c r="AG7996">
        <v>1</v>
      </c>
      <c r="AH7996">
        <v>1</v>
      </c>
      <c r="AI7996">
        <v>1</v>
      </c>
      <c r="AJ7996">
        <v>1</v>
      </c>
      <c r="AK7996">
        <v>1</v>
      </c>
      <c r="AL7996">
        <v>1</v>
      </c>
      <c r="AM7996">
        <v>1</v>
      </c>
    </row>
    <row r="7997" spans="1:39" x14ac:dyDescent="0.2">
      <c r="A7997" t="str">
        <f>"7993"</f>
        <v>7993</v>
      </c>
      <c r="B7997" t="str">
        <f t="shared" si="445"/>
        <v>1</v>
      </c>
      <c r="C7997" t="str">
        <f t="shared" si="444"/>
        <v>160</v>
      </c>
      <c r="D7997" t="str">
        <f>"47"</f>
        <v>47</v>
      </c>
      <c r="E7997" t="str">
        <f>"1-160-47"</f>
        <v>1-160-47</v>
      </c>
      <c r="F7997" t="s">
        <v>65</v>
      </c>
      <c r="G7997" t="s">
        <v>66</v>
      </c>
      <c r="H7997" t="s">
        <v>67</v>
      </c>
      <c r="S7997">
        <v>1</v>
      </c>
      <c r="T7997">
        <v>0</v>
      </c>
      <c r="U7997">
        <v>0</v>
      </c>
      <c r="V7997">
        <v>0</v>
      </c>
      <c r="W7997">
        <v>0</v>
      </c>
      <c r="X7997">
        <v>1</v>
      </c>
      <c r="Y7997">
        <v>1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1</v>
      </c>
      <c r="AH7997">
        <v>0</v>
      </c>
      <c r="AI7997">
        <v>1</v>
      </c>
      <c r="AJ7997">
        <v>1</v>
      </c>
      <c r="AK7997">
        <v>0</v>
      </c>
      <c r="AL7997">
        <v>1</v>
      </c>
      <c r="AM7997">
        <v>0</v>
      </c>
    </row>
    <row r="7998" spans="1:39" x14ac:dyDescent="0.2">
      <c r="A7998" t="str">
        <f>"7994"</f>
        <v>7994</v>
      </c>
      <c r="B7998" t="str">
        <f t="shared" si="445"/>
        <v>1</v>
      </c>
      <c r="C7998" t="str">
        <f t="shared" si="444"/>
        <v>160</v>
      </c>
      <c r="D7998" t="str">
        <f>"31"</f>
        <v>31</v>
      </c>
      <c r="E7998" t="str">
        <f>"1-160-31"</f>
        <v>1-160-31</v>
      </c>
      <c r="F7998" t="s">
        <v>65</v>
      </c>
      <c r="G7998" t="s">
        <v>66</v>
      </c>
      <c r="H7998" t="s">
        <v>67</v>
      </c>
      <c r="S7998">
        <v>1</v>
      </c>
      <c r="T7998">
        <v>0</v>
      </c>
      <c r="U7998">
        <v>0</v>
      </c>
      <c r="V7998">
        <v>0</v>
      </c>
      <c r="W7998">
        <v>1</v>
      </c>
      <c r="X7998">
        <v>0</v>
      </c>
      <c r="Y7998">
        <v>0</v>
      </c>
      <c r="Z7998">
        <v>1</v>
      </c>
      <c r="AA7998">
        <v>1</v>
      </c>
      <c r="AB7998">
        <v>0</v>
      </c>
      <c r="AC7998">
        <v>0</v>
      </c>
      <c r="AD7998">
        <v>1</v>
      </c>
      <c r="AE7998">
        <v>1</v>
      </c>
      <c r="AF7998">
        <v>1</v>
      </c>
      <c r="AG7998">
        <v>1</v>
      </c>
      <c r="AH7998">
        <v>1</v>
      </c>
      <c r="AI7998">
        <v>1</v>
      </c>
      <c r="AJ7998">
        <v>1</v>
      </c>
      <c r="AK7998">
        <v>1</v>
      </c>
      <c r="AL7998">
        <v>1</v>
      </c>
      <c r="AM7998">
        <v>1</v>
      </c>
    </row>
    <row r="7999" spans="1:39" x14ac:dyDescent="0.2">
      <c r="A7999" t="str">
        <f>"7995"</f>
        <v>7995</v>
      </c>
      <c r="B7999" t="str">
        <f t="shared" si="445"/>
        <v>1</v>
      </c>
      <c r="C7999" t="str">
        <f t="shared" si="444"/>
        <v>160</v>
      </c>
      <c r="D7999" t="str">
        <f>"9"</f>
        <v>9</v>
      </c>
      <c r="E7999" t="str">
        <f>"1-160-9"</f>
        <v>1-160-9</v>
      </c>
      <c r="F7999" t="s">
        <v>65</v>
      </c>
      <c r="G7999" t="s">
        <v>66</v>
      </c>
      <c r="H7999" t="s">
        <v>67</v>
      </c>
      <c r="S7999">
        <v>0</v>
      </c>
      <c r="T7999">
        <v>0</v>
      </c>
      <c r="U7999">
        <v>0</v>
      </c>
      <c r="V7999">
        <v>0</v>
      </c>
      <c r="W7999">
        <v>1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1</v>
      </c>
      <c r="AH7999">
        <v>0</v>
      </c>
      <c r="AI7999">
        <v>1</v>
      </c>
      <c r="AJ7999">
        <v>1</v>
      </c>
      <c r="AK7999">
        <v>1</v>
      </c>
      <c r="AL7999">
        <v>1</v>
      </c>
      <c r="AM7999">
        <v>0</v>
      </c>
    </row>
    <row r="8000" spans="1:39" x14ac:dyDescent="0.2">
      <c r="A8000" t="str">
        <f>"7996"</f>
        <v>7996</v>
      </c>
      <c r="B8000" t="str">
        <f t="shared" si="445"/>
        <v>1</v>
      </c>
      <c r="C8000" t="str">
        <f t="shared" si="444"/>
        <v>160</v>
      </c>
      <c r="D8000" t="str">
        <f>"46"</f>
        <v>46</v>
      </c>
      <c r="E8000" t="str">
        <f>"1-160-46"</f>
        <v>1-160-46</v>
      </c>
      <c r="F8000" t="s">
        <v>65</v>
      </c>
      <c r="G8000" t="s">
        <v>66</v>
      </c>
      <c r="H8000" t="s">
        <v>67</v>
      </c>
      <c r="S8000">
        <v>1</v>
      </c>
      <c r="T8000">
        <v>0</v>
      </c>
      <c r="U8000">
        <v>0</v>
      </c>
      <c r="V8000">
        <v>0</v>
      </c>
      <c r="W8000">
        <v>1</v>
      </c>
      <c r="X8000">
        <v>0</v>
      </c>
      <c r="Y8000">
        <v>1</v>
      </c>
      <c r="Z8000">
        <v>0</v>
      </c>
      <c r="AA8000">
        <v>0</v>
      </c>
      <c r="AB8000">
        <v>1</v>
      </c>
      <c r="AC8000">
        <v>0</v>
      </c>
      <c r="AD8000">
        <v>1</v>
      </c>
      <c r="AE8000">
        <v>1</v>
      </c>
      <c r="AF8000">
        <v>1</v>
      </c>
      <c r="AG8000">
        <v>1</v>
      </c>
      <c r="AH8000">
        <v>1</v>
      </c>
      <c r="AI8000">
        <v>1</v>
      </c>
      <c r="AJ8000">
        <v>1</v>
      </c>
      <c r="AK8000">
        <v>1</v>
      </c>
      <c r="AL8000">
        <v>1</v>
      </c>
      <c r="AM8000">
        <v>1</v>
      </c>
    </row>
    <row r="8001" spans="1:39" x14ac:dyDescent="0.2">
      <c r="A8001" t="str">
        <f>"7997"</f>
        <v>7997</v>
      </c>
      <c r="B8001" t="str">
        <f t="shared" si="445"/>
        <v>1</v>
      </c>
      <c r="C8001" t="str">
        <f t="shared" si="444"/>
        <v>160</v>
      </c>
      <c r="D8001" t="str">
        <f>"32"</f>
        <v>32</v>
      </c>
      <c r="E8001" t="str">
        <f>"1-160-32"</f>
        <v>1-160-32</v>
      </c>
      <c r="F8001" t="s">
        <v>65</v>
      </c>
      <c r="G8001" t="s">
        <v>66</v>
      </c>
      <c r="H8001" t="s">
        <v>67</v>
      </c>
      <c r="S8001">
        <v>1</v>
      </c>
      <c r="T8001">
        <v>0</v>
      </c>
      <c r="U8001">
        <v>0</v>
      </c>
      <c r="V8001">
        <v>0</v>
      </c>
      <c r="W8001">
        <v>1</v>
      </c>
      <c r="X8001">
        <v>0</v>
      </c>
      <c r="Y8001">
        <v>1</v>
      </c>
      <c r="Z8001">
        <v>0</v>
      </c>
      <c r="AA8001">
        <v>0</v>
      </c>
      <c r="AB8001">
        <v>0</v>
      </c>
      <c r="AC8001">
        <v>1</v>
      </c>
      <c r="AD8001">
        <v>1</v>
      </c>
      <c r="AE8001">
        <v>1</v>
      </c>
      <c r="AF8001">
        <v>1</v>
      </c>
      <c r="AG8001">
        <v>1</v>
      </c>
      <c r="AH8001">
        <v>1</v>
      </c>
      <c r="AI8001">
        <v>1</v>
      </c>
      <c r="AJ8001">
        <v>1</v>
      </c>
      <c r="AK8001">
        <v>1</v>
      </c>
      <c r="AL8001">
        <v>1</v>
      </c>
      <c r="AM8001">
        <v>1</v>
      </c>
    </row>
    <row r="8002" spans="1:39" x14ac:dyDescent="0.2">
      <c r="A8002" t="str">
        <f>"7998"</f>
        <v>7998</v>
      </c>
      <c r="B8002" t="str">
        <f t="shared" si="445"/>
        <v>1</v>
      </c>
      <c r="C8002" t="str">
        <f t="shared" si="444"/>
        <v>160</v>
      </c>
      <c r="D8002" t="str">
        <f>"6"</f>
        <v>6</v>
      </c>
      <c r="E8002" t="str">
        <f>"1-160-6"</f>
        <v>1-160-6</v>
      </c>
      <c r="F8002" t="s">
        <v>65</v>
      </c>
      <c r="G8002" t="s">
        <v>66</v>
      </c>
      <c r="H8002" t="s">
        <v>67</v>
      </c>
      <c r="S8002">
        <v>1</v>
      </c>
      <c r="T8002">
        <v>0</v>
      </c>
      <c r="U8002">
        <v>0</v>
      </c>
      <c r="V8002">
        <v>0</v>
      </c>
      <c r="W8002">
        <v>1</v>
      </c>
      <c r="X8002">
        <v>0</v>
      </c>
      <c r="Y8002">
        <v>1</v>
      </c>
      <c r="Z8002">
        <v>0</v>
      </c>
      <c r="AA8002">
        <v>1</v>
      </c>
      <c r="AB8002">
        <v>0</v>
      </c>
      <c r="AC8002">
        <v>0</v>
      </c>
      <c r="AD8002">
        <v>1</v>
      </c>
      <c r="AE8002">
        <v>1</v>
      </c>
      <c r="AF8002">
        <v>1</v>
      </c>
      <c r="AG8002">
        <v>1</v>
      </c>
      <c r="AH8002">
        <v>1</v>
      </c>
      <c r="AI8002">
        <v>1</v>
      </c>
      <c r="AJ8002">
        <v>1</v>
      </c>
      <c r="AK8002">
        <v>1</v>
      </c>
      <c r="AL8002">
        <v>1</v>
      </c>
      <c r="AM8002">
        <v>1</v>
      </c>
    </row>
    <row r="8003" spans="1:39" x14ac:dyDescent="0.2">
      <c r="A8003" t="str">
        <f>"7999"</f>
        <v>7999</v>
      </c>
      <c r="B8003" t="str">
        <f t="shared" si="445"/>
        <v>1</v>
      </c>
      <c r="C8003" t="str">
        <f t="shared" si="444"/>
        <v>160</v>
      </c>
      <c r="D8003" t="str">
        <f>"50"</f>
        <v>50</v>
      </c>
      <c r="E8003" t="str">
        <f>"1-160-50"</f>
        <v>1-160-50</v>
      </c>
      <c r="F8003" t="s">
        <v>65</v>
      </c>
      <c r="G8003" t="s">
        <v>66</v>
      </c>
      <c r="H8003" t="s">
        <v>67</v>
      </c>
      <c r="S8003">
        <v>1</v>
      </c>
      <c r="T8003">
        <v>0</v>
      </c>
      <c r="U8003">
        <v>0</v>
      </c>
      <c r="V8003">
        <v>0</v>
      </c>
      <c r="W8003">
        <v>1</v>
      </c>
      <c r="X8003">
        <v>0</v>
      </c>
      <c r="Y8003">
        <v>0</v>
      </c>
      <c r="Z8003">
        <v>1</v>
      </c>
      <c r="AA8003">
        <v>1</v>
      </c>
      <c r="AB8003">
        <v>0</v>
      </c>
      <c r="AC8003">
        <v>0</v>
      </c>
      <c r="AD8003">
        <v>1</v>
      </c>
      <c r="AE8003">
        <v>1</v>
      </c>
      <c r="AF8003">
        <v>1</v>
      </c>
      <c r="AG8003">
        <v>1</v>
      </c>
      <c r="AH8003">
        <v>1</v>
      </c>
      <c r="AI8003">
        <v>1</v>
      </c>
      <c r="AJ8003">
        <v>1</v>
      </c>
      <c r="AK8003">
        <v>1</v>
      </c>
      <c r="AL8003">
        <v>1</v>
      </c>
      <c r="AM8003">
        <v>1</v>
      </c>
    </row>
    <row r="8004" spans="1:39" x14ac:dyDescent="0.2">
      <c r="A8004" t="str">
        <f>"8000"</f>
        <v>8000</v>
      </c>
      <c r="B8004" t="str">
        <f t="shared" si="445"/>
        <v>1</v>
      </c>
      <c r="C8004" t="str">
        <f t="shared" si="444"/>
        <v>160</v>
      </c>
      <c r="D8004" t="str">
        <f>"1"</f>
        <v>1</v>
      </c>
      <c r="E8004" t="str">
        <f>"1-160-1"</f>
        <v>1-160-1</v>
      </c>
      <c r="F8004" t="s">
        <v>65</v>
      </c>
      <c r="G8004" t="s">
        <v>66</v>
      </c>
      <c r="H8004" t="s">
        <v>67</v>
      </c>
      <c r="S8004">
        <v>0</v>
      </c>
      <c r="T8004">
        <v>0</v>
      </c>
      <c r="U8004">
        <v>0</v>
      </c>
      <c r="V8004">
        <v>0</v>
      </c>
      <c r="W8004">
        <v>1</v>
      </c>
      <c r="X8004">
        <v>0</v>
      </c>
      <c r="Y8004">
        <v>1</v>
      </c>
      <c r="Z8004">
        <v>0</v>
      </c>
      <c r="AA8004">
        <v>0</v>
      </c>
      <c r="AB8004">
        <v>1</v>
      </c>
      <c r="AC8004">
        <v>0</v>
      </c>
      <c r="AD8004">
        <v>0</v>
      </c>
      <c r="AE8004">
        <v>0</v>
      </c>
      <c r="AF8004">
        <v>0</v>
      </c>
      <c r="AG8004">
        <v>1</v>
      </c>
      <c r="AH8004">
        <v>1</v>
      </c>
      <c r="AI8004">
        <v>0</v>
      </c>
      <c r="AJ8004">
        <v>1</v>
      </c>
      <c r="AK8004">
        <v>1</v>
      </c>
      <c r="AL8004">
        <v>1</v>
      </c>
      <c r="AM8004">
        <v>1</v>
      </c>
    </row>
    <row r="8005" spans="1:39" x14ac:dyDescent="0.2">
      <c r="A8005" t="str">
        <f>"8001"</f>
        <v>8001</v>
      </c>
      <c r="B8005" t="str">
        <f t="shared" si="445"/>
        <v>1</v>
      </c>
      <c r="C8005" t="str">
        <f t="shared" ref="C8005:C8036" si="446">"161"</f>
        <v>161</v>
      </c>
      <c r="D8005" t="str">
        <f>"40"</f>
        <v>40</v>
      </c>
      <c r="E8005" t="str">
        <f>"1-161-40"</f>
        <v>1-161-40</v>
      </c>
      <c r="F8005" t="s">
        <v>65</v>
      </c>
      <c r="G8005" t="s">
        <v>66</v>
      </c>
      <c r="H8005" t="s">
        <v>67</v>
      </c>
      <c r="S8005">
        <v>1</v>
      </c>
      <c r="T8005">
        <v>0</v>
      </c>
      <c r="U8005">
        <v>0</v>
      </c>
      <c r="V8005">
        <v>0</v>
      </c>
      <c r="W8005">
        <v>1</v>
      </c>
      <c r="X8005">
        <v>0</v>
      </c>
      <c r="Y8005">
        <v>1</v>
      </c>
      <c r="Z8005">
        <v>0</v>
      </c>
      <c r="AA8005">
        <v>0</v>
      </c>
      <c r="AB8005">
        <v>0</v>
      </c>
      <c r="AC8005">
        <v>1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</row>
    <row r="8006" spans="1:39" x14ac:dyDescent="0.2">
      <c r="A8006" t="str">
        <f>"8002"</f>
        <v>8002</v>
      </c>
      <c r="B8006" t="str">
        <f t="shared" si="445"/>
        <v>1</v>
      </c>
      <c r="C8006" t="str">
        <f t="shared" si="446"/>
        <v>161</v>
      </c>
      <c r="D8006" t="str">
        <f>"39"</f>
        <v>39</v>
      </c>
      <c r="E8006" t="str">
        <f>"1-161-39"</f>
        <v>1-161-39</v>
      </c>
      <c r="F8006" t="s">
        <v>65</v>
      </c>
      <c r="G8006" t="s">
        <v>66</v>
      </c>
      <c r="H8006" t="s">
        <v>67</v>
      </c>
      <c r="S8006">
        <v>1</v>
      </c>
      <c r="T8006">
        <v>0</v>
      </c>
      <c r="U8006">
        <v>0</v>
      </c>
      <c r="V8006">
        <v>0</v>
      </c>
      <c r="W8006">
        <v>1</v>
      </c>
      <c r="X8006">
        <v>0</v>
      </c>
      <c r="Y8006">
        <v>1</v>
      </c>
      <c r="Z8006">
        <v>0</v>
      </c>
      <c r="AA8006">
        <v>1</v>
      </c>
      <c r="AB8006">
        <v>0</v>
      </c>
      <c r="AC8006">
        <v>0</v>
      </c>
      <c r="AD8006">
        <v>1</v>
      </c>
      <c r="AE8006">
        <v>1</v>
      </c>
      <c r="AF8006">
        <v>1</v>
      </c>
      <c r="AG8006">
        <v>1</v>
      </c>
      <c r="AH8006">
        <v>1</v>
      </c>
      <c r="AI8006">
        <v>1</v>
      </c>
      <c r="AJ8006">
        <v>1</v>
      </c>
      <c r="AK8006">
        <v>1</v>
      </c>
      <c r="AL8006">
        <v>1</v>
      </c>
      <c r="AM8006">
        <v>1</v>
      </c>
    </row>
    <row r="8007" spans="1:39" x14ac:dyDescent="0.2">
      <c r="A8007" t="str">
        <f>"8003"</f>
        <v>8003</v>
      </c>
      <c r="B8007" t="str">
        <f t="shared" si="445"/>
        <v>1</v>
      </c>
      <c r="C8007" t="str">
        <f t="shared" si="446"/>
        <v>161</v>
      </c>
      <c r="D8007" t="str">
        <f>"29"</f>
        <v>29</v>
      </c>
      <c r="E8007" t="str">
        <f>"1-161-29"</f>
        <v>1-161-29</v>
      </c>
      <c r="F8007" t="s">
        <v>65</v>
      </c>
      <c r="G8007" t="s">
        <v>66</v>
      </c>
      <c r="H8007" t="s">
        <v>67</v>
      </c>
      <c r="S8007">
        <v>1</v>
      </c>
      <c r="T8007">
        <v>0</v>
      </c>
      <c r="U8007">
        <v>0</v>
      </c>
      <c r="V8007">
        <v>0</v>
      </c>
      <c r="W8007">
        <v>1</v>
      </c>
      <c r="X8007">
        <v>0</v>
      </c>
      <c r="Y8007">
        <v>1</v>
      </c>
      <c r="Z8007">
        <v>0</v>
      </c>
      <c r="AA8007">
        <v>1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</row>
    <row r="8008" spans="1:39" x14ac:dyDescent="0.2">
      <c r="A8008" t="str">
        <f>"8004"</f>
        <v>8004</v>
      </c>
      <c r="B8008" t="str">
        <f t="shared" si="445"/>
        <v>1</v>
      </c>
      <c r="C8008" t="str">
        <f t="shared" si="446"/>
        <v>161</v>
      </c>
      <c r="D8008" t="str">
        <f>"15"</f>
        <v>15</v>
      </c>
      <c r="E8008" t="str">
        <f>"1-161-15"</f>
        <v>1-161-15</v>
      </c>
      <c r="F8008" t="s">
        <v>65</v>
      </c>
      <c r="G8008" t="s">
        <v>66</v>
      </c>
      <c r="H8008" t="s">
        <v>67</v>
      </c>
      <c r="S8008">
        <v>0</v>
      </c>
      <c r="T8008">
        <v>1</v>
      </c>
      <c r="U8008">
        <v>0</v>
      </c>
      <c r="V8008">
        <v>0</v>
      </c>
      <c r="W8008">
        <v>0</v>
      </c>
      <c r="X8008">
        <v>1</v>
      </c>
      <c r="Y8008">
        <v>0</v>
      </c>
      <c r="Z8008">
        <v>1</v>
      </c>
      <c r="AA8008">
        <v>0</v>
      </c>
      <c r="AB8008">
        <v>1</v>
      </c>
      <c r="AC8008">
        <v>0</v>
      </c>
      <c r="AD8008">
        <v>1</v>
      </c>
      <c r="AE8008">
        <v>1</v>
      </c>
      <c r="AF8008">
        <v>1</v>
      </c>
      <c r="AG8008">
        <v>1</v>
      </c>
      <c r="AH8008">
        <v>0</v>
      </c>
      <c r="AI8008">
        <v>1</v>
      </c>
      <c r="AJ8008">
        <v>0</v>
      </c>
      <c r="AK8008">
        <v>0</v>
      </c>
      <c r="AL8008">
        <v>1</v>
      </c>
      <c r="AM8008">
        <v>0</v>
      </c>
    </row>
    <row r="8009" spans="1:39" x14ac:dyDescent="0.2">
      <c r="A8009" t="str">
        <f>"8005"</f>
        <v>8005</v>
      </c>
      <c r="B8009" t="str">
        <f t="shared" si="445"/>
        <v>1</v>
      </c>
      <c r="C8009" t="str">
        <f t="shared" si="446"/>
        <v>161</v>
      </c>
      <c r="D8009" t="str">
        <f>"3"</f>
        <v>3</v>
      </c>
      <c r="E8009" t="str">
        <f>"1-161-3"</f>
        <v>1-161-3</v>
      </c>
      <c r="F8009" t="s">
        <v>65</v>
      </c>
      <c r="G8009" t="s">
        <v>66</v>
      </c>
      <c r="H8009" t="s">
        <v>67</v>
      </c>
      <c r="S8009">
        <v>1</v>
      </c>
      <c r="T8009">
        <v>0</v>
      </c>
      <c r="U8009">
        <v>0</v>
      </c>
      <c r="V8009">
        <v>0</v>
      </c>
      <c r="W8009">
        <v>1</v>
      </c>
      <c r="X8009">
        <v>0</v>
      </c>
      <c r="Y8009">
        <v>1</v>
      </c>
      <c r="Z8009">
        <v>0</v>
      </c>
      <c r="AA8009">
        <v>0</v>
      </c>
      <c r="AB8009">
        <v>1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</row>
    <row r="8010" spans="1:39" x14ac:dyDescent="0.2">
      <c r="A8010" t="str">
        <f>"8006"</f>
        <v>8006</v>
      </c>
      <c r="B8010" t="str">
        <f t="shared" si="445"/>
        <v>1</v>
      </c>
      <c r="C8010" t="str">
        <f t="shared" si="446"/>
        <v>161</v>
      </c>
      <c r="D8010" t="str">
        <f>"38"</f>
        <v>38</v>
      </c>
      <c r="E8010" t="str">
        <f>"1-161-38"</f>
        <v>1-161-38</v>
      </c>
      <c r="F8010" t="s">
        <v>65</v>
      </c>
      <c r="G8010" t="s">
        <v>66</v>
      </c>
      <c r="H8010" t="s">
        <v>67</v>
      </c>
      <c r="S8010">
        <v>1</v>
      </c>
      <c r="T8010">
        <v>0</v>
      </c>
      <c r="U8010">
        <v>0</v>
      </c>
      <c r="V8010">
        <v>0</v>
      </c>
      <c r="W8010">
        <v>1</v>
      </c>
      <c r="X8010">
        <v>0</v>
      </c>
      <c r="Y8010">
        <v>0</v>
      </c>
      <c r="Z8010">
        <v>1</v>
      </c>
      <c r="AA8010">
        <v>0</v>
      </c>
      <c r="AB8010">
        <v>0</v>
      </c>
      <c r="AC8010">
        <v>1</v>
      </c>
      <c r="AD8010">
        <v>1</v>
      </c>
      <c r="AE8010">
        <v>1</v>
      </c>
      <c r="AF8010">
        <v>1</v>
      </c>
      <c r="AG8010">
        <v>1</v>
      </c>
      <c r="AH8010">
        <v>1</v>
      </c>
      <c r="AI8010">
        <v>0</v>
      </c>
      <c r="AJ8010">
        <v>0</v>
      </c>
      <c r="AK8010">
        <v>0</v>
      </c>
      <c r="AL8010">
        <v>1</v>
      </c>
      <c r="AM8010">
        <v>1</v>
      </c>
    </row>
    <row r="8011" spans="1:39" x14ac:dyDescent="0.2">
      <c r="A8011" t="str">
        <f>"8007"</f>
        <v>8007</v>
      </c>
      <c r="B8011" t="str">
        <f t="shared" si="445"/>
        <v>1</v>
      </c>
      <c r="C8011" t="str">
        <f t="shared" si="446"/>
        <v>161</v>
      </c>
      <c r="D8011" t="str">
        <f>"37"</f>
        <v>37</v>
      </c>
      <c r="E8011" t="str">
        <f>"1-161-37"</f>
        <v>1-161-37</v>
      </c>
      <c r="F8011" t="s">
        <v>65</v>
      </c>
      <c r="G8011" t="s">
        <v>66</v>
      </c>
      <c r="H8011" t="s">
        <v>67</v>
      </c>
      <c r="S8011">
        <v>1</v>
      </c>
      <c r="T8011">
        <v>0</v>
      </c>
      <c r="U8011">
        <v>0</v>
      </c>
      <c r="V8011">
        <v>0</v>
      </c>
      <c r="W8011">
        <v>1</v>
      </c>
      <c r="X8011">
        <v>0</v>
      </c>
      <c r="Y8011">
        <v>1</v>
      </c>
      <c r="Z8011">
        <v>0</v>
      </c>
      <c r="AA8011">
        <v>0</v>
      </c>
      <c r="AB8011">
        <v>1</v>
      </c>
      <c r="AC8011">
        <v>0</v>
      </c>
      <c r="AD8011">
        <v>1</v>
      </c>
      <c r="AE8011">
        <v>1</v>
      </c>
      <c r="AF8011">
        <v>1</v>
      </c>
      <c r="AG8011">
        <v>1</v>
      </c>
      <c r="AH8011">
        <v>1</v>
      </c>
      <c r="AI8011">
        <v>1</v>
      </c>
      <c r="AJ8011">
        <v>1</v>
      </c>
      <c r="AK8011">
        <v>1</v>
      </c>
      <c r="AL8011">
        <v>1</v>
      </c>
      <c r="AM8011">
        <v>1</v>
      </c>
    </row>
    <row r="8012" spans="1:39" x14ac:dyDescent="0.2">
      <c r="A8012" t="str">
        <f>"8008"</f>
        <v>8008</v>
      </c>
      <c r="B8012" t="str">
        <f t="shared" si="445"/>
        <v>1</v>
      </c>
      <c r="C8012" t="str">
        <f t="shared" si="446"/>
        <v>161</v>
      </c>
      <c r="D8012" t="str">
        <f>"27"</f>
        <v>27</v>
      </c>
      <c r="E8012" t="str">
        <f>"1-161-27"</f>
        <v>1-161-27</v>
      </c>
      <c r="F8012" t="s">
        <v>65</v>
      </c>
      <c r="G8012" t="s">
        <v>66</v>
      </c>
      <c r="H8012" t="s">
        <v>67</v>
      </c>
      <c r="S8012">
        <v>0</v>
      </c>
      <c r="T8012">
        <v>0</v>
      </c>
      <c r="U8012">
        <v>0</v>
      </c>
      <c r="V8012">
        <v>0</v>
      </c>
      <c r="W8012">
        <v>1</v>
      </c>
      <c r="X8012">
        <v>0</v>
      </c>
      <c r="Y8012">
        <v>0</v>
      </c>
      <c r="Z8012">
        <v>0</v>
      </c>
      <c r="AA8012">
        <v>1</v>
      </c>
      <c r="AB8012">
        <v>0</v>
      </c>
      <c r="AC8012">
        <v>0</v>
      </c>
      <c r="AD8012">
        <v>1</v>
      </c>
      <c r="AE8012">
        <v>1</v>
      </c>
      <c r="AF8012">
        <v>1</v>
      </c>
      <c r="AG8012">
        <v>1</v>
      </c>
      <c r="AH8012">
        <v>1</v>
      </c>
      <c r="AI8012">
        <v>1</v>
      </c>
      <c r="AJ8012">
        <v>1</v>
      </c>
      <c r="AK8012">
        <v>1</v>
      </c>
      <c r="AL8012">
        <v>1</v>
      </c>
      <c r="AM8012">
        <v>1</v>
      </c>
    </row>
    <row r="8013" spans="1:39" x14ac:dyDescent="0.2">
      <c r="A8013" t="str">
        <f>"8009"</f>
        <v>8009</v>
      </c>
      <c r="B8013" t="str">
        <f t="shared" si="445"/>
        <v>1</v>
      </c>
      <c r="C8013" t="str">
        <f t="shared" si="446"/>
        <v>161</v>
      </c>
      <c r="D8013" t="str">
        <f>"16"</f>
        <v>16</v>
      </c>
      <c r="E8013" t="str">
        <f>"1-161-16"</f>
        <v>1-161-16</v>
      </c>
      <c r="F8013" t="s">
        <v>65</v>
      </c>
      <c r="G8013" t="s">
        <v>66</v>
      </c>
      <c r="H8013" t="s">
        <v>67</v>
      </c>
      <c r="S8013">
        <v>0</v>
      </c>
      <c r="T8013">
        <v>0</v>
      </c>
      <c r="U8013">
        <v>0</v>
      </c>
      <c r="V8013">
        <v>0</v>
      </c>
      <c r="W8013">
        <v>1</v>
      </c>
      <c r="X8013">
        <v>0</v>
      </c>
      <c r="Y8013">
        <v>0</v>
      </c>
      <c r="Z8013">
        <v>0</v>
      </c>
      <c r="AA8013">
        <v>1</v>
      </c>
      <c r="AB8013">
        <v>0</v>
      </c>
      <c r="AC8013">
        <v>0</v>
      </c>
      <c r="AD8013">
        <v>1</v>
      </c>
      <c r="AE8013">
        <v>1</v>
      </c>
      <c r="AF8013">
        <v>1</v>
      </c>
      <c r="AG8013">
        <v>1</v>
      </c>
      <c r="AH8013">
        <v>1</v>
      </c>
      <c r="AI8013">
        <v>1</v>
      </c>
      <c r="AJ8013">
        <v>1</v>
      </c>
      <c r="AK8013">
        <v>1</v>
      </c>
      <c r="AL8013">
        <v>1</v>
      </c>
      <c r="AM8013">
        <v>1</v>
      </c>
    </row>
    <row r="8014" spans="1:39" x14ac:dyDescent="0.2">
      <c r="A8014" t="str">
        <f>"8010"</f>
        <v>8010</v>
      </c>
      <c r="B8014" t="str">
        <f t="shared" si="445"/>
        <v>1</v>
      </c>
      <c r="C8014" t="str">
        <f t="shared" si="446"/>
        <v>161</v>
      </c>
      <c r="D8014" t="str">
        <f>"6"</f>
        <v>6</v>
      </c>
      <c r="E8014" t="str">
        <f>"1-161-6"</f>
        <v>1-161-6</v>
      </c>
      <c r="F8014" t="s">
        <v>65</v>
      </c>
      <c r="G8014" t="s">
        <v>66</v>
      </c>
      <c r="H8014" t="s">
        <v>67</v>
      </c>
      <c r="S8014">
        <v>1</v>
      </c>
      <c r="T8014">
        <v>0</v>
      </c>
      <c r="U8014">
        <v>0</v>
      </c>
      <c r="V8014">
        <v>0</v>
      </c>
      <c r="W8014">
        <v>1</v>
      </c>
      <c r="X8014">
        <v>0</v>
      </c>
      <c r="Y8014">
        <v>1</v>
      </c>
      <c r="Z8014">
        <v>0</v>
      </c>
      <c r="AA8014">
        <v>1</v>
      </c>
      <c r="AB8014">
        <v>0</v>
      </c>
      <c r="AC8014">
        <v>0</v>
      </c>
      <c r="AD8014">
        <v>1</v>
      </c>
      <c r="AE8014">
        <v>1</v>
      </c>
      <c r="AF8014">
        <v>1</v>
      </c>
      <c r="AG8014">
        <v>1</v>
      </c>
      <c r="AH8014">
        <v>1</v>
      </c>
      <c r="AI8014">
        <v>1</v>
      </c>
      <c r="AJ8014">
        <v>1</v>
      </c>
      <c r="AK8014">
        <v>1</v>
      </c>
      <c r="AL8014">
        <v>1</v>
      </c>
      <c r="AM8014">
        <v>1</v>
      </c>
    </row>
    <row r="8015" spans="1:39" x14ac:dyDescent="0.2">
      <c r="A8015" t="str">
        <f>"8011"</f>
        <v>8011</v>
      </c>
      <c r="B8015" t="str">
        <f t="shared" si="445"/>
        <v>1</v>
      </c>
      <c r="C8015" t="str">
        <f t="shared" si="446"/>
        <v>161</v>
      </c>
      <c r="D8015" t="str">
        <f>"34"</f>
        <v>34</v>
      </c>
      <c r="E8015" t="str">
        <f>"1-161-34"</f>
        <v>1-161-34</v>
      </c>
      <c r="F8015" t="s">
        <v>65</v>
      </c>
      <c r="G8015" t="s">
        <v>66</v>
      </c>
      <c r="H8015" t="s">
        <v>67</v>
      </c>
      <c r="S8015">
        <v>1</v>
      </c>
      <c r="T8015">
        <v>0</v>
      </c>
      <c r="U8015">
        <v>0</v>
      </c>
      <c r="V8015">
        <v>0</v>
      </c>
      <c r="W8015">
        <v>1</v>
      </c>
      <c r="X8015">
        <v>0</v>
      </c>
      <c r="Y8015">
        <v>1</v>
      </c>
      <c r="Z8015">
        <v>0</v>
      </c>
      <c r="AA8015">
        <v>1</v>
      </c>
      <c r="AB8015">
        <v>0</v>
      </c>
      <c r="AC8015">
        <v>0</v>
      </c>
      <c r="AD8015">
        <v>1</v>
      </c>
      <c r="AE8015">
        <v>1</v>
      </c>
      <c r="AF8015">
        <v>1</v>
      </c>
      <c r="AG8015">
        <v>1</v>
      </c>
      <c r="AH8015">
        <v>1</v>
      </c>
      <c r="AI8015">
        <v>1</v>
      </c>
      <c r="AJ8015">
        <v>1</v>
      </c>
      <c r="AK8015">
        <v>1</v>
      </c>
      <c r="AL8015">
        <v>1</v>
      </c>
      <c r="AM8015">
        <v>1</v>
      </c>
    </row>
    <row r="8016" spans="1:39" x14ac:dyDescent="0.2">
      <c r="A8016" t="str">
        <f>"8012"</f>
        <v>8012</v>
      </c>
      <c r="B8016" t="str">
        <f t="shared" si="445"/>
        <v>1</v>
      </c>
      <c r="C8016" t="str">
        <f t="shared" si="446"/>
        <v>161</v>
      </c>
      <c r="D8016" t="str">
        <f>"33"</f>
        <v>33</v>
      </c>
      <c r="E8016" t="str">
        <f>"1-161-33"</f>
        <v>1-161-33</v>
      </c>
      <c r="F8016" t="s">
        <v>65</v>
      </c>
      <c r="G8016" t="s">
        <v>66</v>
      </c>
      <c r="H8016" t="s">
        <v>67</v>
      </c>
      <c r="S8016">
        <v>0</v>
      </c>
      <c r="T8016">
        <v>1</v>
      </c>
      <c r="U8016">
        <v>0</v>
      </c>
      <c r="V8016">
        <v>0</v>
      </c>
      <c r="W8016">
        <v>1</v>
      </c>
      <c r="X8016">
        <v>0</v>
      </c>
      <c r="Y8016">
        <v>1</v>
      </c>
      <c r="Z8016">
        <v>0</v>
      </c>
      <c r="AA8016">
        <v>1</v>
      </c>
      <c r="AB8016">
        <v>0</v>
      </c>
      <c r="AC8016">
        <v>0</v>
      </c>
      <c r="AD8016">
        <v>0</v>
      </c>
      <c r="AE8016">
        <v>1</v>
      </c>
      <c r="AF8016">
        <v>0</v>
      </c>
      <c r="AG8016">
        <v>1</v>
      </c>
      <c r="AH8016">
        <v>1</v>
      </c>
      <c r="AI8016">
        <v>1</v>
      </c>
      <c r="AJ8016">
        <v>0</v>
      </c>
      <c r="AK8016">
        <v>0</v>
      </c>
      <c r="AL8016">
        <v>1</v>
      </c>
      <c r="AM8016">
        <v>0</v>
      </c>
    </row>
    <row r="8017" spans="1:39" x14ac:dyDescent="0.2">
      <c r="A8017" t="str">
        <f>"8013"</f>
        <v>8013</v>
      </c>
      <c r="B8017" t="str">
        <f t="shared" si="445"/>
        <v>1</v>
      </c>
      <c r="C8017" t="str">
        <f t="shared" si="446"/>
        <v>161</v>
      </c>
      <c r="D8017" t="str">
        <f>"21"</f>
        <v>21</v>
      </c>
      <c r="E8017" t="str">
        <f>"1-161-21"</f>
        <v>1-161-21</v>
      </c>
      <c r="F8017" t="s">
        <v>65</v>
      </c>
      <c r="G8017" t="s">
        <v>66</v>
      </c>
      <c r="H8017" t="s">
        <v>67</v>
      </c>
      <c r="S8017">
        <v>1</v>
      </c>
      <c r="T8017">
        <v>0</v>
      </c>
      <c r="U8017">
        <v>0</v>
      </c>
      <c r="V8017">
        <v>0</v>
      </c>
      <c r="W8017">
        <v>1</v>
      </c>
      <c r="X8017">
        <v>0</v>
      </c>
      <c r="Y8017">
        <v>1</v>
      </c>
      <c r="Z8017">
        <v>0</v>
      </c>
      <c r="AA8017">
        <v>0</v>
      </c>
      <c r="AB8017">
        <v>0</v>
      </c>
      <c r="AC8017">
        <v>1</v>
      </c>
      <c r="AD8017">
        <v>1</v>
      </c>
      <c r="AE8017">
        <v>1</v>
      </c>
      <c r="AF8017">
        <v>1</v>
      </c>
      <c r="AG8017">
        <v>1</v>
      </c>
      <c r="AH8017">
        <v>1</v>
      </c>
      <c r="AI8017">
        <v>1</v>
      </c>
      <c r="AJ8017">
        <v>1</v>
      </c>
      <c r="AK8017">
        <v>1</v>
      </c>
      <c r="AL8017">
        <v>1</v>
      </c>
      <c r="AM8017">
        <v>1</v>
      </c>
    </row>
    <row r="8018" spans="1:39" x14ac:dyDescent="0.2">
      <c r="A8018" t="str">
        <f>"8014"</f>
        <v>8014</v>
      </c>
      <c r="B8018" t="str">
        <f t="shared" si="445"/>
        <v>1</v>
      </c>
      <c r="C8018" t="str">
        <f t="shared" si="446"/>
        <v>161</v>
      </c>
      <c r="D8018" t="str">
        <f>"17"</f>
        <v>17</v>
      </c>
      <c r="E8018" t="str">
        <f>"1-161-17"</f>
        <v>1-161-17</v>
      </c>
      <c r="F8018" t="s">
        <v>65</v>
      </c>
      <c r="G8018" t="s">
        <v>66</v>
      </c>
      <c r="H8018" t="s">
        <v>67</v>
      </c>
      <c r="S8018">
        <v>0</v>
      </c>
      <c r="T8018">
        <v>1</v>
      </c>
      <c r="U8018">
        <v>0</v>
      </c>
      <c r="V8018">
        <v>0</v>
      </c>
      <c r="W8018">
        <v>1</v>
      </c>
      <c r="X8018">
        <v>0</v>
      </c>
      <c r="Y8018">
        <v>0</v>
      </c>
      <c r="Z8018">
        <v>1</v>
      </c>
      <c r="AA8018">
        <v>1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1</v>
      </c>
      <c r="AH8018">
        <v>1</v>
      </c>
      <c r="AI8018">
        <v>1</v>
      </c>
      <c r="AJ8018">
        <v>0</v>
      </c>
      <c r="AK8018">
        <v>0</v>
      </c>
      <c r="AL8018">
        <v>1</v>
      </c>
      <c r="AM8018">
        <v>0</v>
      </c>
    </row>
    <row r="8019" spans="1:39" x14ac:dyDescent="0.2">
      <c r="A8019" t="str">
        <f>"8015"</f>
        <v>8015</v>
      </c>
      <c r="B8019" t="str">
        <f t="shared" si="445"/>
        <v>1</v>
      </c>
      <c r="C8019" t="str">
        <f t="shared" si="446"/>
        <v>161</v>
      </c>
      <c r="D8019" t="str">
        <f>"2"</f>
        <v>2</v>
      </c>
      <c r="E8019" t="str">
        <f>"1-161-2"</f>
        <v>1-161-2</v>
      </c>
      <c r="F8019" t="s">
        <v>65</v>
      </c>
      <c r="G8019" t="s">
        <v>66</v>
      </c>
      <c r="H8019" t="s">
        <v>67</v>
      </c>
      <c r="S8019">
        <v>1</v>
      </c>
      <c r="T8019">
        <v>0</v>
      </c>
      <c r="U8019">
        <v>0</v>
      </c>
      <c r="V8019">
        <v>0</v>
      </c>
      <c r="W8019">
        <v>1</v>
      </c>
      <c r="X8019">
        <v>0</v>
      </c>
      <c r="Y8019">
        <v>1</v>
      </c>
      <c r="Z8019">
        <v>0</v>
      </c>
      <c r="AA8019">
        <v>1</v>
      </c>
      <c r="AB8019">
        <v>0</v>
      </c>
      <c r="AC8019">
        <v>0</v>
      </c>
      <c r="AD8019">
        <v>1</v>
      </c>
      <c r="AE8019">
        <v>1</v>
      </c>
      <c r="AF8019">
        <v>1</v>
      </c>
      <c r="AG8019">
        <v>1</v>
      </c>
      <c r="AH8019">
        <v>1</v>
      </c>
      <c r="AI8019">
        <v>1</v>
      </c>
      <c r="AJ8019">
        <v>1</v>
      </c>
      <c r="AK8019">
        <v>1</v>
      </c>
      <c r="AL8019">
        <v>1</v>
      </c>
      <c r="AM8019">
        <v>1</v>
      </c>
    </row>
    <row r="8020" spans="1:39" x14ac:dyDescent="0.2">
      <c r="A8020" t="str">
        <f>"8016"</f>
        <v>8016</v>
      </c>
      <c r="B8020" t="str">
        <f t="shared" si="445"/>
        <v>1</v>
      </c>
      <c r="C8020" t="str">
        <f t="shared" si="446"/>
        <v>161</v>
      </c>
      <c r="D8020" t="str">
        <f>"36"</f>
        <v>36</v>
      </c>
      <c r="E8020" t="str">
        <f>"1-161-36"</f>
        <v>1-161-36</v>
      </c>
      <c r="F8020" t="s">
        <v>65</v>
      </c>
      <c r="G8020" t="s">
        <v>66</v>
      </c>
      <c r="H8020" t="s">
        <v>67</v>
      </c>
      <c r="S8020">
        <v>1</v>
      </c>
      <c r="T8020">
        <v>0</v>
      </c>
      <c r="U8020">
        <v>0</v>
      </c>
      <c r="V8020">
        <v>0</v>
      </c>
      <c r="W8020">
        <v>1</v>
      </c>
      <c r="X8020">
        <v>0</v>
      </c>
      <c r="Y8020">
        <v>1</v>
      </c>
      <c r="Z8020">
        <v>0</v>
      </c>
      <c r="AA8020">
        <v>0</v>
      </c>
      <c r="AB8020">
        <v>1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</row>
    <row r="8021" spans="1:39" x14ac:dyDescent="0.2">
      <c r="A8021" t="str">
        <f>"8017"</f>
        <v>8017</v>
      </c>
      <c r="B8021" t="str">
        <f t="shared" si="445"/>
        <v>1</v>
      </c>
      <c r="C8021" t="str">
        <f t="shared" si="446"/>
        <v>161</v>
      </c>
      <c r="D8021" t="str">
        <f>"35"</f>
        <v>35</v>
      </c>
      <c r="E8021" t="str">
        <f>"1-161-35"</f>
        <v>1-161-35</v>
      </c>
      <c r="F8021" t="s">
        <v>65</v>
      </c>
      <c r="G8021" t="s">
        <v>66</v>
      </c>
      <c r="H8021" t="s">
        <v>67</v>
      </c>
      <c r="S8021">
        <v>0</v>
      </c>
      <c r="T8021">
        <v>0</v>
      </c>
      <c r="U8021">
        <v>0</v>
      </c>
      <c r="V8021">
        <v>0</v>
      </c>
      <c r="W8021">
        <v>1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1</v>
      </c>
      <c r="AE8021">
        <v>1</v>
      </c>
      <c r="AF8021">
        <v>1</v>
      </c>
      <c r="AG8021">
        <v>1</v>
      </c>
      <c r="AH8021">
        <v>1</v>
      </c>
      <c r="AI8021">
        <v>1</v>
      </c>
      <c r="AJ8021">
        <v>1</v>
      </c>
      <c r="AK8021">
        <v>1</v>
      </c>
      <c r="AL8021">
        <v>1</v>
      </c>
      <c r="AM8021">
        <v>1</v>
      </c>
    </row>
    <row r="8022" spans="1:39" x14ac:dyDescent="0.2">
      <c r="A8022" t="str">
        <f>"8018"</f>
        <v>8018</v>
      </c>
      <c r="B8022" t="str">
        <f t="shared" si="445"/>
        <v>1</v>
      </c>
      <c r="C8022" t="str">
        <f t="shared" si="446"/>
        <v>161</v>
      </c>
      <c r="D8022" t="str">
        <f>"22"</f>
        <v>22</v>
      </c>
      <c r="E8022" t="str">
        <f>"1-161-22"</f>
        <v>1-161-22</v>
      </c>
      <c r="F8022" t="s">
        <v>65</v>
      </c>
      <c r="G8022" t="s">
        <v>66</v>
      </c>
      <c r="H8022" t="s">
        <v>67</v>
      </c>
      <c r="S8022">
        <v>1</v>
      </c>
      <c r="T8022">
        <v>0</v>
      </c>
      <c r="U8022">
        <v>0</v>
      </c>
      <c r="V8022">
        <v>0</v>
      </c>
      <c r="W8022">
        <v>1</v>
      </c>
      <c r="X8022">
        <v>0</v>
      </c>
      <c r="Y8022">
        <v>1</v>
      </c>
      <c r="Z8022">
        <v>0</v>
      </c>
      <c r="AA8022">
        <v>1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</row>
    <row r="8023" spans="1:39" x14ac:dyDescent="0.2">
      <c r="A8023" t="str">
        <f>"8019"</f>
        <v>8019</v>
      </c>
      <c r="B8023" t="str">
        <f t="shared" si="445"/>
        <v>1</v>
      </c>
      <c r="C8023" t="str">
        <f t="shared" si="446"/>
        <v>161</v>
      </c>
      <c r="D8023" t="str">
        <f>"18"</f>
        <v>18</v>
      </c>
      <c r="E8023" t="str">
        <f>"1-161-18"</f>
        <v>1-161-18</v>
      </c>
      <c r="F8023" t="s">
        <v>65</v>
      </c>
      <c r="G8023" t="s">
        <v>66</v>
      </c>
      <c r="H8023" t="s">
        <v>67</v>
      </c>
      <c r="S8023">
        <v>1</v>
      </c>
      <c r="T8023">
        <v>0</v>
      </c>
      <c r="U8023">
        <v>0</v>
      </c>
      <c r="V8023">
        <v>0</v>
      </c>
      <c r="W8023">
        <v>1</v>
      </c>
      <c r="X8023">
        <v>0</v>
      </c>
      <c r="Y8023">
        <v>1</v>
      </c>
      <c r="Z8023">
        <v>0</v>
      </c>
      <c r="AA8023">
        <v>1</v>
      </c>
      <c r="AB8023">
        <v>0</v>
      </c>
      <c r="AC8023">
        <v>0</v>
      </c>
      <c r="AD8023">
        <v>1</v>
      </c>
      <c r="AE8023">
        <v>1</v>
      </c>
      <c r="AF8023">
        <v>1</v>
      </c>
      <c r="AG8023">
        <v>1</v>
      </c>
      <c r="AH8023">
        <v>1</v>
      </c>
      <c r="AI8023">
        <v>1</v>
      </c>
      <c r="AJ8023">
        <v>1</v>
      </c>
      <c r="AK8023">
        <v>1</v>
      </c>
      <c r="AL8023">
        <v>1</v>
      </c>
      <c r="AM8023">
        <v>1</v>
      </c>
    </row>
    <row r="8024" spans="1:39" x14ac:dyDescent="0.2">
      <c r="A8024" t="str">
        <f>"8020"</f>
        <v>8020</v>
      </c>
      <c r="B8024" t="str">
        <f t="shared" si="445"/>
        <v>1</v>
      </c>
      <c r="C8024" t="str">
        <f t="shared" si="446"/>
        <v>161</v>
      </c>
      <c r="D8024" t="str">
        <f>"12"</f>
        <v>12</v>
      </c>
      <c r="E8024" t="str">
        <f>"1-161-12"</f>
        <v>1-161-12</v>
      </c>
      <c r="F8024" t="s">
        <v>65</v>
      </c>
      <c r="G8024" t="s">
        <v>66</v>
      </c>
      <c r="H8024" t="s">
        <v>67</v>
      </c>
      <c r="S8024">
        <v>0</v>
      </c>
      <c r="T8024">
        <v>1</v>
      </c>
      <c r="U8024">
        <v>0</v>
      </c>
      <c r="V8024">
        <v>0</v>
      </c>
      <c r="W8024">
        <v>1</v>
      </c>
      <c r="X8024">
        <v>0</v>
      </c>
      <c r="Y8024">
        <v>0</v>
      </c>
      <c r="Z8024">
        <v>1</v>
      </c>
      <c r="AA8024">
        <v>1</v>
      </c>
      <c r="AB8024">
        <v>0</v>
      </c>
      <c r="AC8024">
        <v>0</v>
      </c>
      <c r="AD8024">
        <v>1</v>
      </c>
      <c r="AE8024">
        <v>1</v>
      </c>
      <c r="AF8024">
        <v>1</v>
      </c>
      <c r="AG8024">
        <v>1</v>
      </c>
      <c r="AH8024">
        <v>1</v>
      </c>
      <c r="AI8024">
        <v>1</v>
      </c>
      <c r="AJ8024">
        <v>1</v>
      </c>
      <c r="AK8024">
        <v>1</v>
      </c>
      <c r="AL8024">
        <v>1</v>
      </c>
      <c r="AM8024">
        <v>1</v>
      </c>
    </row>
    <row r="8025" spans="1:39" x14ac:dyDescent="0.2">
      <c r="A8025" t="str">
        <f>"8021"</f>
        <v>8021</v>
      </c>
      <c r="B8025" t="str">
        <f t="shared" si="445"/>
        <v>1</v>
      </c>
      <c r="C8025" t="str">
        <f t="shared" si="446"/>
        <v>161</v>
      </c>
      <c r="D8025" t="str">
        <f>"41"</f>
        <v>41</v>
      </c>
      <c r="E8025" t="str">
        <f>"1-161-41"</f>
        <v>1-161-41</v>
      </c>
      <c r="F8025" t="s">
        <v>65</v>
      </c>
      <c r="G8025" t="s">
        <v>66</v>
      </c>
      <c r="H8025" t="s">
        <v>67</v>
      </c>
      <c r="S8025">
        <v>1</v>
      </c>
      <c r="T8025">
        <v>0</v>
      </c>
      <c r="U8025">
        <v>0</v>
      </c>
      <c r="V8025">
        <v>0</v>
      </c>
      <c r="W8025">
        <v>1</v>
      </c>
      <c r="X8025">
        <v>0</v>
      </c>
      <c r="Y8025">
        <v>1</v>
      </c>
      <c r="Z8025">
        <v>0</v>
      </c>
      <c r="AA8025">
        <v>1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1</v>
      </c>
      <c r="AH8025">
        <v>1</v>
      </c>
      <c r="AI8025">
        <v>1</v>
      </c>
      <c r="AJ8025">
        <v>0</v>
      </c>
      <c r="AK8025">
        <v>0</v>
      </c>
      <c r="AL8025">
        <v>1</v>
      </c>
      <c r="AM8025">
        <v>0</v>
      </c>
    </row>
    <row r="8026" spans="1:39" x14ac:dyDescent="0.2">
      <c r="A8026" t="str">
        <f>"8022"</f>
        <v>8022</v>
      </c>
      <c r="B8026" t="str">
        <f t="shared" si="445"/>
        <v>1</v>
      </c>
      <c r="C8026" t="str">
        <f t="shared" si="446"/>
        <v>161</v>
      </c>
      <c r="D8026" t="str">
        <f>"19"</f>
        <v>19</v>
      </c>
      <c r="E8026" t="str">
        <f>"1-161-19"</f>
        <v>1-161-19</v>
      </c>
      <c r="F8026" t="s">
        <v>65</v>
      </c>
      <c r="G8026" t="s">
        <v>66</v>
      </c>
      <c r="H8026" t="s">
        <v>67</v>
      </c>
      <c r="S8026">
        <v>1</v>
      </c>
      <c r="T8026">
        <v>0</v>
      </c>
      <c r="U8026">
        <v>0</v>
      </c>
      <c r="V8026">
        <v>0</v>
      </c>
      <c r="W8026">
        <v>1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1</v>
      </c>
      <c r="AJ8026">
        <v>0</v>
      </c>
      <c r="AK8026">
        <v>0</v>
      </c>
      <c r="AL8026">
        <v>0</v>
      </c>
      <c r="AM8026">
        <v>0</v>
      </c>
    </row>
    <row r="8027" spans="1:39" x14ac:dyDescent="0.2">
      <c r="A8027" t="str">
        <f>"8023"</f>
        <v>8023</v>
      </c>
      <c r="B8027" t="str">
        <f t="shared" si="445"/>
        <v>1</v>
      </c>
      <c r="C8027" t="str">
        <f t="shared" si="446"/>
        <v>161</v>
      </c>
      <c r="D8027" t="str">
        <f>"13"</f>
        <v>13</v>
      </c>
      <c r="E8027" t="str">
        <f>"1-161-13"</f>
        <v>1-161-13</v>
      </c>
      <c r="F8027" t="s">
        <v>65</v>
      </c>
      <c r="G8027" t="s">
        <v>66</v>
      </c>
      <c r="H8027" t="s">
        <v>67</v>
      </c>
      <c r="S8027">
        <v>1</v>
      </c>
      <c r="T8027">
        <v>0</v>
      </c>
      <c r="U8027">
        <v>0</v>
      </c>
      <c r="V8027">
        <v>0</v>
      </c>
      <c r="W8027">
        <v>1</v>
      </c>
      <c r="X8027">
        <v>0</v>
      </c>
      <c r="Y8027">
        <v>1</v>
      </c>
      <c r="Z8027">
        <v>0</v>
      </c>
      <c r="AA8027">
        <v>0</v>
      </c>
      <c r="AB8027">
        <v>0</v>
      </c>
      <c r="AC8027">
        <v>1</v>
      </c>
      <c r="AD8027">
        <v>1</v>
      </c>
      <c r="AE8027">
        <v>1</v>
      </c>
      <c r="AF8027">
        <v>1</v>
      </c>
      <c r="AG8027">
        <v>1</v>
      </c>
      <c r="AH8027">
        <v>1</v>
      </c>
      <c r="AI8027">
        <v>1</v>
      </c>
      <c r="AJ8027">
        <v>1</v>
      </c>
      <c r="AK8027">
        <v>1</v>
      </c>
      <c r="AL8027">
        <v>1</v>
      </c>
      <c r="AM8027">
        <v>1</v>
      </c>
    </row>
    <row r="8028" spans="1:39" x14ac:dyDescent="0.2">
      <c r="A8028" t="str">
        <f>"8024"</f>
        <v>8024</v>
      </c>
      <c r="B8028" t="str">
        <f t="shared" si="445"/>
        <v>1</v>
      </c>
      <c r="C8028" t="str">
        <f t="shared" si="446"/>
        <v>161</v>
      </c>
      <c r="D8028" t="str">
        <f>"42"</f>
        <v>42</v>
      </c>
      <c r="E8028" t="str">
        <f>"1-161-42"</f>
        <v>1-161-42</v>
      </c>
      <c r="F8028" t="s">
        <v>65</v>
      </c>
      <c r="G8028" t="s">
        <v>66</v>
      </c>
      <c r="H8028" t="s">
        <v>67</v>
      </c>
      <c r="S8028">
        <v>1</v>
      </c>
      <c r="T8028">
        <v>0</v>
      </c>
      <c r="U8028">
        <v>0</v>
      </c>
      <c r="V8028">
        <v>0</v>
      </c>
      <c r="W8028">
        <v>1</v>
      </c>
      <c r="X8028">
        <v>0</v>
      </c>
      <c r="Y8028">
        <v>0</v>
      </c>
      <c r="Z8028">
        <v>1</v>
      </c>
      <c r="AA8028">
        <v>0</v>
      </c>
      <c r="AB8028">
        <v>1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</row>
    <row r="8029" spans="1:39" x14ac:dyDescent="0.2">
      <c r="A8029" t="str">
        <f>"8025"</f>
        <v>8025</v>
      </c>
      <c r="B8029" t="str">
        <f t="shared" si="445"/>
        <v>1</v>
      </c>
      <c r="C8029" t="str">
        <f t="shared" si="446"/>
        <v>161</v>
      </c>
      <c r="D8029" t="str">
        <f>"20"</f>
        <v>20</v>
      </c>
      <c r="E8029" t="str">
        <f>"1-161-20"</f>
        <v>1-161-20</v>
      </c>
      <c r="F8029" t="s">
        <v>65</v>
      </c>
      <c r="G8029" t="s">
        <v>66</v>
      </c>
      <c r="H8029" t="s">
        <v>67</v>
      </c>
      <c r="S8029">
        <v>1</v>
      </c>
      <c r="T8029">
        <v>0</v>
      </c>
      <c r="U8029">
        <v>0</v>
      </c>
      <c r="V8029">
        <v>0</v>
      </c>
      <c r="W8029">
        <v>1</v>
      </c>
      <c r="X8029">
        <v>0</v>
      </c>
      <c r="Y8029">
        <v>1</v>
      </c>
      <c r="Z8029">
        <v>0</v>
      </c>
      <c r="AA8029">
        <v>0</v>
      </c>
      <c r="AB8029">
        <v>1</v>
      </c>
      <c r="AC8029">
        <v>0</v>
      </c>
      <c r="AD8029">
        <v>0</v>
      </c>
      <c r="AE8029">
        <v>0</v>
      </c>
      <c r="AF8029">
        <v>0</v>
      </c>
      <c r="AG8029">
        <v>1</v>
      </c>
      <c r="AH8029">
        <v>1</v>
      </c>
      <c r="AI8029">
        <v>1</v>
      </c>
      <c r="AJ8029">
        <v>1</v>
      </c>
      <c r="AK8029">
        <v>0</v>
      </c>
      <c r="AL8029">
        <v>1</v>
      </c>
      <c r="AM8029">
        <v>0</v>
      </c>
    </row>
    <row r="8030" spans="1:39" x14ac:dyDescent="0.2">
      <c r="A8030" t="str">
        <f>"8026"</f>
        <v>8026</v>
      </c>
      <c r="B8030" t="str">
        <f t="shared" si="445"/>
        <v>1</v>
      </c>
      <c r="C8030" t="str">
        <f t="shared" si="446"/>
        <v>161</v>
      </c>
      <c r="D8030" t="str">
        <f>"9"</f>
        <v>9</v>
      </c>
      <c r="E8030" t="str">
        <f>"1-161-9"</f>
        <v>1-161-9</v>
      </c>
      <c r="F8030" t="s">
        <v>65</v>
      </c>
      <c r="G8030" t="s">
        <v>66</v>
      </c>
      <c r="H8030" t="s">
        <v>67</v>
      </c>
      <c r="S8030">
        <v>1</v>
      </c>
      <c r="T8030">
        <v>0</v>
      </c>
      <c r="U8030">
        <v>0</v>
      </c>
      <c r="V8030">
        <v>0</v>
      </c>
      <c r="W8030">
        <v>1</v>
      </c>
      <c r="X8030">
        <v>0</v>
      </c>
      <c r="Y8030">
        <v>0</v>
      </c>
      <c r="Z8030">
        <v>1</v>
      </c>
      <c r="AA8030">
        <v>0</v>
      </c>
      <c r="AB8030">
        <v>1</v>
      </c>
      <c r="AC8030">
        <v>0</v>
      </c>
      <c r="AD8030">
        <v>1</v>
      </c>
      <c r="AE8030">
        <v>1</v>
      </c>
      <c r="AF8030">
        <v>1</v>
      </c>
      <c r="AG8030">
        <v>1</v>
      </c>
      <c r="AH8030">
        <v>1</v>
      </c>
      <c r="AI8030">
        <v>1</v>
      </c>
      <c r="AJ8030">
        <v>1</v>
      </c>
      <c r="AK8030">
        <v>1</v>
      </c>
      <c r="AL8030">
        <v>1</v>
      </c>
      <c r="AM8030">
        <v>1</v>
      </c>
    </row>
    <row r="8031" spans="1:39" x14ac:dyDescent="0.2">
      <c r="A8031" t="str">
        <f>"8027"</f>
        <v>8027</v>
      </c>
      <c r="B8031" t="str">
        <f t="shared" si="445"/>
        <v>1</v>
      </c>
      <c r="C8031" t="str">
        <f t="shared" si="446"/>
        <v>161</v>
      </c>
      <c r="D8031" t="str">
        <f>"44"</f>
        <v>44</v>
      </c>
      <c r="E8031" t="str">
        <f>"1-161-44"</f>
        <v>1-161-44</v>
      </c>
      <c r="F8031" t="s">
        <v>65</v>
      </c>
      <c r="G8031" t="s">
        <v>66</v>
      </c>
      <c r="H8031" t="s">
        <v>67</v>
      </c>
      <c r="S8031">
        <v>0</v>
      </c>
      <c r="T8031">
        <v>1</v>
      </c>
      <c r="U8031">
        <v>0</v>
      </c>
      <c r="V8031">
        <v>0</v>
      </c>
      <c r="W8031">
        <v>0</v>
      </c>
      <c r="X8031">
        <v>1</v>
      </c>
      <c r="Y8031">
        <v>1</v>
      </c>
      <c r="Z8031">
        <v>0</v>
      </c>
      <c r="AA8031">
        <v>0</v>
      </c>
      <c r="AB8031">
        <v>1</v>
      </c>
      <c r="AC8031">
        <v>0</v>
      </c>
      <c r="AD8031">
        <v>1</v>
      </c>
      <c r="AE8031">
        <v>1</v>
      </c>
      <c r="AF8031">
        <v>1</v>
      </c>
      <c r="AG8031">
        <v>1</v>
      </c>
      <c r="AH8031">
        <v>1</v>
      </c>
      <c r="AI8031">
        <v>1</v>
      </c>
      <c r="AJ8031">
        <v>1</v>
      </c>
      <c r="AK8031">
        <v>1</v>
      </c>
      <c r="AL8031">
        <v>1</v>
      </c>
      <c r="AM8031">
        <v>1</v>
      </c>
    </row>
    <row r="8032" spans="1:39" x14ac:dyDescent="0.2">
      <c r="A8032" t="str">
        <f>"8028"</f>
        <v>8028</v>
      </c>
      <c r="B8032" t="str">
        <f t="shared" si="445"/>
        <v>1</v>
      </c>
      <c r="C8032" t="str">
        <f t="shared" si="446"/>
        <v>161</v>
      </c>
      <c r="D8032" t="str">
        <f>"23"</f>
        <v>23</v>
      </c>
      <c r="E8032" t="str">
        <f>"1-161-23"</f>
        <v>1-161-23</v>
      </c>
      <c r="F8032" t="s">
        <v>65</v>
      </c>
      <c r="G8032" t="s">
        <v>66</v>
      </c>
      <c r="H8032" t="s">
        <v>67</v>
      </c>
      <c r="S8032">
        <v>1</v>
      </c>
      <c r="T8032">
        <v>0</v>
      </c>
      <c r="U8032">
        <v>0</v>
      </c>
      <c r="V8032">
        <v>0</v>
      </c>
      <c r="W8032">
        <v>1</v>
      </c>
      <c r="X8032">
        <v>0</v>
      </c>
      <c r="Y8032">
        <v>0</v>
      </c>
      <c r="Z8032">
        <v>1</v>
      </c>
      <c r="AA8032">
        <v>1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</row>
    <row r="8033" spans="1:39" x14ac:dyDescent="0.2">
      <c r="A8033" t="str">
        <f>"8029"</f>
        <v>8029</v>
      </c>
      <c r="B8033" t="str">
        <f t="shared" si="445"/>
        <v>1</v>
      </c>
      <c r="C8033" t="str">
        <f t="shared" si="446"/>
        <v>161</v>
      </c>
      <c r="D8033" t="str">
        <f>"1"</f>
        <v>1</v>
      </c>
      <c r="E8033" t="str">
        <f>"1-161-1"</f>
        <v>1-161-1</v>
      </c>
      <c r="F8033" t="s">
        <v>65</v>
      </c>
      <c r="G8033" t="s">
        <v>66</v>
      </c>
      <c r="H8033" t="s">
        <v>67</v>
      </c>
      <c r="S8033">
        <v>1</v>
      </c>
      <c r="T8033">
        <v>0</v>
      </c>
      <c r="U8033">
        <v>0</v>
      </c>
      <c r="V8033">
        <v>0</v>
      </c>
      <c r="W8033">
        <v>1</v>
      </c>
      <c r="X8033">
        <v>0</v>
      </c>
      <c r="Y8033">
        <v>1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</row>
    <row r="8034" spans="1:39" x14ac:dyDescent="0.2">
      <c r="A8034" t="str">
        <f>"8030"</f>
        <v>8030</v>
      </c>
      <c r="B8034" t="str">
        <f t="shared" si="445"/>
        <v>1</v>
      </c>
      <c r="C8034" t="str">
        <f t="shared" si="446"/>
        <v>161</v>
      </c>
      <c r="D8034" t="str">
        <f>"43"</f>
        <v>43</v>
      </c>
      <c r="E8034" t="str">
        <f>"1-161-43"</f>
        <v>1-161-43</v>
      </c>
      <c r="F8034" t="s">
        <v>65</v>
      </c>
      <c r="G8034" t="s">
        <v>66</v>
      </c>
      <c r="H8034" t="s">
        <v>67</v>
      </c>
      <c r="S8034">
        <v>1</v>
      </c>
      <c r="T8034">
        <v>0</v>
      </c>
      <c r="U8034">
        <v>0</v>
      </c>
      <c r="V8034">
        <v>0</v>
      </c>
      <c r="W8034">
        <v>1</v>
      </c>
      <c r="X8034">
        <v>0</v>
      </c>
      <c r="Y8034">
        <v>1</v>
      </c>
      <c r="Z8034">
        <v>0</v>
      </c>
      <c r="AA8034">
        <v>1</v>
      </c>
      <c r="AB8034">
        <v>0</v>
      </c>
      <c r="AC8034">
        <v>0</v>
      </c>
      <c r="AD8034">
        <v>1</v>
      </c>
      <c r="AE8034">
        <v>1</v>
      </c>
      <c r="AF8034">
        <v>1</v>
      </c>
      <c r="AG8034">
        <v>1</v>
      </c>
      <c r="AH8034">
        <v>1</v>
      </c>
      <c r="AI8034">
        <v>1</v>
      </c>
      <c r="AJ8034">
        <v>1</v>
      </c>
      <c r="AK8034">
        <v>1</v>
      </c>
      <c r="AL8034">
        <v>1</v>
      </c>
      <c r="AM8034">
        <v>1</v>
      </c>
    </row>
    <row r="8035" spans="1:39" x14ac:dyDescent="0.2">
      <c r="A8035" t="str">
        <f>"8031"</f>
        <v>8031</v>
      </c>
      <c r="B8035" t="str">
        <f t="shared" si="445"/>
        <v>1</v>
      </c>
      <c r="C8035" t="str">
        <f t="shared" si="446"/>
        <v>161</v>
      </c>
      <c r="D8035" t="str">
        <f>"24"</f>
        <v>24</v>
      </c>
      <c r="E8035" t="str">
        <f>"1-161-24"</f>
        <v>1-161-24</v>
      </c>
      <c r="F8035" t="s">
        <v>65</v>
      </c>
      <c r="G8035" t="s">
        <v>66</v>
      </c>
      <c r="H8035" t="s">
        <v>67</v>
      </c>
      <c r="S8035">
        <v>1</v>
      </c>
      <c r="T8035">
        <v>0</v>
      </c>
      <c r="U8035">
        <v>0</v>
      </c>
      <c r="V8035">
        <v>0</v>
      </c>
      <c r="W8035">
        <v>1</v>
      </c>
      <c r="X8035">
        <v>0</v>
      </c>
      <c r="Y8035">
        <v>1</v>
      </c>
      <c r="Z8035">
        <v>0</v>
      </c>
      <c r="AA8035">
        <v>1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</row>
    <row r="8036" spans="1:39" x14ac:dyDescent="0.2">
      <c r="A8036" t="str">
        <f>"8032"</f>
        <v>8032</v>
      </c>
      <c r="B8036" t="str">
        <f t="shared" si="445"/>
        <v>1</v>
      </c>
      <c r="C8036" t="str">
        <f t="shared" si="446"/>
        <v>161</v>
      </c>
      <c r="D8036" t="str">
        <f>"7"</f>
        <v>7</v>
      </c>
      <c r="E8036" t="str">
        <f>"1-161-7"</f>
        <v>1-161-7</v>
      </c>
      <c r="F8036" t="s">
        <v>65</v>
      </c>
      <c r="G8036" t="s">
        <v>66</v>
      </c>
      <c r="H8036" t="s">
        <v>67</v>
      </c>
      <c r="S8036">
        <v>1</v>
      </c>
      <c r="T8036">
        <v>0</v>
      </c>
      <c r="U8036">
        <v>0</v>
      </c>
      <c r="V8036">
        <v>0</v>
      </c>
      <c r="W8036">
        <v>0</v>
      </c>
      <c r="X8036">
        <v>1</v>
      </c>
      <c r="Y8036">
        <v>0</v>
      </c>
      <c r="Z8036">
        <v>1</v>
      </c>
      <c r="AA8036">
        <v>0</v>
      </c>
      <c r="AB8036">
        <v>1</v>
      </c>
      <c r="AC8036">
        <v>0</v>
      </c>
      <c r="AD8036">
        <v>1</v>
      </c>
      <c r="AE8036">
        <v>1</v>
      </c>
      <c r="AF8036">
        <v>1</v>
      </c>
      <c r="AG8036">
        <v>1</v>
      </c>
      <c r="AH8036">
        <v>1</v>
      </c>
      <c r="AI8036">
        <v>1</v>
      </c>
      <c r="AJ8036">
        <v>1</v>
      </c>
      <c r="AK8036">
        <v>1</v>
      </c>
      <c r="AL8036">
        <v>1</v>
      </c>
      <c r="AM8036">
        <v>1</v>
      </c>
    </row>
    <row r="8037" spans="1:39" x14ac:dyDescent="0.2">
      <c r="A8037" t="str">
        <f>"8033"</f>
        <v>8033</v>
      </c>
      <c r="B8037" t="str">
        <f t="shared" si="445"/>
        <v>1</v>
      </c>
      <c r="C8037" t="str">
        <f t="shared" ref="C8037:C8054" si="447">"161"</f>
        <v>161</v>
      </c>
      <c r="D8037" t="str">
        <f>"45"</f>
        <v>45</v>
      </c>
      <c r="E8037" t="str">
        <f>"1-161-45"</f>
        <v>1-161-45</v>
      </c>
      <c r="F8037" t="s">
        <v>65</v>
      </c>
      <c r="G8037" t="s">
        <v>66</v>
      </c>
      <c r="H8037" t="s">
        <v>67</v>
      </c>
      <c r="S8037">
        <v>1</v>
      </c>
      <c r="T8037">
        <v>0</v>
      </c>
      <c r="U8037">
        <v>0</v>
      </c>
      <c r="V8037">
        <v>0</v>
      </c>
      <c r="W8037">
        <v>1</v>
      </c>
      <c r="X8037">
        <v>0</v>
      </c>
      <c r="Y8037">
        <v>1</v>
      </c>
      <c r="Z8037">
        <v>0</v>
      </c>
      <c r="AA8037">
        <v>1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1</v>
      </c>
      <c r="AH8037">
        <v>1</v>
      </c>
      <c r="AI8037">
        <v>1</v>
      </c>
      <c r="AJ8037">
        <v>1</v>
      </c>
      <c r="AK8037">
        <v>1</v>
      </c>
      <c r="AL8037">
        <v>1</v>
      </c>
      <c r="AM8037">
        <v>0</v>
      </c>
    </row>
    <row r="8038" spans="1:39" x14ac:dyDescent="0.2">
      <c r="A8038" t="str">
        <f>"8034"</f>
        <v>8034</v>
      </c>
      <c r="B8038" t="str">
        <f t="shared" si="445"/>
        <v>1</v>
      </c>
      <c r="C8038" t="str">
        <f t="shared" si="447"/>
        <v>161</v>
      </c>
      <c r="D8038" t="str">
        <f>"25"</f>
        <v>25</v>
      </c>
      <c r="E8038" t="str">
        <f>"1-161-25"</f>
        <v>1-161-25</v>
      </c>
      <c r="F8038" t="s">
        <v>65</v>
      </c>
      <c r="G8038" t="s">
        <v>66</v>
      </c>
      <c r="H8038" t="s">
        <v>67</v>
      </c>
      <c r="S8038">
        <v>1</v>
      </c>
      <c r="T8038">
        <v>0</v>
      </c>
      <c r="U8038">
        <v>0</v>
      </c>
      <c r="V8038">
        <v>0</v>
      </c>
      <c r="W8038">
        <v>1</v>
      </c>
      <c r="X8038">
        <v>0</v>
      </c>
      <c r="Y8038">
        <v>0</v>
      </c>
      <c r="Z8038">
        <v>1</v>
      </c>
      <c r="AA8038">
        <v>1</v>
      </c>
      <c r="AB8038">
        <v>0</v>
      </c>
      <c r="AC8038">
        <v>0</v>
      </c>
      <c r="AD8038">
        <v>1</v>
      </c>
      <c r="AE8038">
        <v>1</v>
      </c>
      <c r="AF8038">
        <v>1</v>
      </c>
      <c r="AG8038">
        <v>1</v>
      </c>
      <c r="AH8038">
        <v>1</v>
      </c>
      <c r="AI8038">
        <v>1</v>
      </c>
      <c r="AJ8038">
        <v>1</v>
      </c>
      <c r="AK8038">
        <v>1</v>
      </c>
      <c r="AL8038">
        <v>1</v>
      </c>
      <c r="AM8038">
        <v>1</v>
      </c>
    </row>
    <row r="8039" spans="1:39" x14ac:dyDescent="0.2">
      <c r="A8039" t="str">
        <f>"8035"</f>
        <v>8035</v>
      </c>
      <c r="B8039" t="str">
        <f t="shared" si="445"/>
        <v>1</v>
      </c>
      <c r="C8039" t="str">
        <f t="shared" si="447"/>
        <v>161</v>
      </c>
      <c r="D8039" t="str">
        <f>"14"</f>
        <v>14</v>
      </c>
      <c r="E8039" t="str">
        <f>"1-161-14"</f>
        <v>1-161-14</v>
      </c>
      <c r="F8039" t="s">
        <v>65</v>
      </c>
      <c r="G8039" t="s">
        <v>66</v>
      </c>
      <c r="H8039" t="s">
        <v>67</v>
      </c>
      <c r="S8039">
        <v>1</v>
      </c>
      <c r="T8039">
        <v>0</v>
      </c>
      <c r="U8039">
        <v>0</v>
      </c>
      <c r="V8039">
        <v>0</v>
      </c>
      <c r="W8039">
        <v>1</v>
      </c>
      <c r="X8039">
        <v>0</v>
      </c>
      <c r="Y8039">
        <v>1</v>
      </c>
      <c r="Z8039">
        <v>0</v>
      </c>
      <c r="AA8039">
        <v>1</v>
      </c>
      <c r="AB8039">
        <v>0</v>
      </c>
      <c r="AC8039">
        <v>0</v>
      </c>
      <c r="AD8039">
        <v>1</v>
      </c>
      <c r="AE8039">
        <v>1</v>
      </c>
      <c r="AF8039">
        <v>1</v>
      </c>
      <c r="AG8039">
        <v>1</v>
      </c>
      <c r="AH8039">
        <v>1</v>
      </c>
      <c r="AI8039">
        <v>1</v>
      </c>
      <c r="AJ8039">
        <v>1</v>
      </c>
      <c r="AK8039">
        <v>1</v>
      </c>
      <c r="AL8039">
        <v>1</v>
      </c>
      <c r="AM8039">
        <v>1</v>
      </c>
    </row>
    <row r="8040" spans="1:39" x14ac:dyDescent="0.2">
      <c r="A8040" t="str">
        <f>"8036"</f>
        <v>8036</v>
      </c>
      <c r="B8040" t="str">
        <f t="shared" si="445"/>
        <v>1</v>
      </c>
      <c r="C8040" t="str">
        <f t="shared" si="447"/>
        <v>161</v>
      </c>
      <c r="D8040" t="str">
        <f>"47"</f>
        <v>47</v>
      </c>
      <c r="E8040" t="str">
        <f>"1-161-47"</f>
        <v>1-161-47</v>
      </c>
      <c r="F8040" t="s">
        <v>65</v>
      </c>
      <c r="G8040" t="s">
        <v>66</v>
      </c>
      <c r="H8040" t="s">
        <v>67</v>
      </c>
      <c r="S8040">
        <v>0</v>
      </c>
      <c r="T8040">
        <v>1</v>
      </c>
      <c r="U8040">
        <v>0</v>
      </c>
      <c r="V8040">
        <v>0</v>
      </c>
      <c r="W8040">
        <v>1</v>
      </c>
      <c r="X8040">
        <v>0</v>
      </c>
      <c r="Y8040">
        <v>1</v>
      </c>
      <c r="Z8040">
        <v>0</v>
      </c>
      <c r="AA8040">
        <v>0</v>
      </c>
      <c r="AB8040">
        <v>0</v>
      </c>
      <c r="AC8040">
        <v>1</v>
      </c>
      <c r="AD8040">
        <v>0</v>
      </c>
      <c r="AE8040">
        <v>0</v>
      </c>
      <c r="AF8040">
        <v>0</v>
      </c>
      <c r="AG8040">
        <v>1</v>
      </c>
      <c r="AH8040">
        <v>1</v>
      </c>
      <c r="AI8040">
        <v>1</v>
      </c>
      <c r="AJ8040">
        <v>1</v>
      </c>
      <c r="AK8040">
        <v>1</v>
      </c>
      <c r="AL8040">
        <v>1</v>
      </c>
      <c r="AM8040">
        <v>0</v>
      </c>
    </row>
    <row r="8041" spans="1:39" x14ac:dyDescent="0.2">
      <c r="A8041" t="str">
        <f>"8037"</f>
        <v>8037</v>
      </c>
      <c r="B8041" t="str">
        <f t="shared" si="445"/>
        <v>1</v>
      </c>
      <c r="C8041" t="str">
        <f t="shared" si="447"/>
        <v>161</v>
      </c>
      <c r="D8041" t="str">
        <f>"26"</f>
        <v>26</v>
      </c>
      <c r="E8041" t="str">
        <f>"1-161-26"</f>
        <v>1-161-26</v>
      </c>
      <c r="F8041" t="s">
        <v>65</v>
      </c>
      <c r="G8041" t="s">
        <v>66</v>
      </c>
      <c r="H8041" t="s">
        <v>67</v>
      </c>
      <c r="S8041">
        <v>1</v>
      </c>
      <c r="T8041">
        <v>0</v>
      </c>
      <c r="U8041">
        <v>0</v>
      </c>
      <c r="V8041">
        <v>0</v>
      </c>
      <c r="W8041">
        <v>1</v>
      </c>
      <c r="X8041">
        <v>0</v>
      </c>
      <c r="Y8041">
        <v>0</v>
      </c>
      <c r="Z8041">
        <v>1</v>
      </c>
      <c r="AA8041">
        <v>1</v>
      </c>
      <c r="AB8041">
        <v>0</v>
      </c>
      <c r="AC8041">
        <v>0</v>
      </c>
      <c r="AD8041">
        <v>1</v>
      </c>
      <c r="AE8041">
        <v>1</v>
      </c>
      <c r="AF8041">
        <v>1</v>
      </c>
      <c r="AG8041">
        <v>1</v>
      </c>
      <c r="AH8041">
        <v>1</v>
      </c>
      <c r="AI8041">
        <v>1</v>
      </c>
      <c r="AJ8041">
        <v>1</v>
      </c>
      <c r="AK8041">
        <v>1</v>
      </c>
      <c r="AL8041">
        <v>1</v>
      </c>
      <c r="AM8041">
        <v>1</v>
      </c>
    </row>
    <row r="8042" spans="1:39" x14ac:dyDescent="0.2">
      <c r="A8042" t="str">
        <f>"8038"</f>
        <v>8038</v>
      </c>
      <c r="B8042" t="str">
        <f t="shared" si="445"/>
        <v>1</v>
      </c>
      <c r="C8042" t="str">
        <f t="shared" si="447"/>
        <v>161</v>
      </c>
      <c r="D8042" t="str">
        <f>"8"</f>
        <v>8</v>
      </c>
      <c r="E8042" t="str">
        <f>"1-161-8"</f>
        <v>1-161-8</v>
      </c>
      <c r="F8042" t="s">
        <v>65</v>
      </c>
      <c r="G8042" t="s">
        <v>66</v>
      </c>
      <c r="H8042" t="s">
        <v>67</v>
      </c>
      <c r="S8042">
        <v>0</v>
      </c>
      <c r="T8042">
        <v>1</v>
      </c>
      <c r="U8042">
        <v>0</v>
      </c>
      <c r="V8042">
        <v>0</v>
      </c>
      <c r="W8042">
        <v>1</v>
      </c>
      <c r="X8042">
        <v>0</v>
      </c>
      <c r="Y8042">
        <v>0</v>
      </c>
      <c r="Z8042">
        <v>1</v>
      </c>
      <c r="AA8042">
        <v>0</v>
      </c>
      <c r="AB8042">
        <v>0</v>
      </c>
      <c r="AC8042">
        <v>1</v>
      </c>
      <c r="AD8042">
        <v>0</v>
      </c>
      <c r="AE8042">
        <v>0</v>
      </c>
      <c r="AF8042">
        <v>0</v>
      </c>
      <c r="AG8042">
        <v>1</v>
      </c>
      <c r="AH8042">
        <v>1</v>
      </c>
      <c r="AI8042">
        <v>1</v>
      </c>
      <c r="AJ8042">
        <v>1</v>
      </c>
      <c r="AK8042">
        <v>1</v>
      </c>
      <c r="AL8042">
        <v>1</v>
      </c>
      <c r="AM8042">
        <v>0</v>
      </c>
    </row>
    <row r="8043" spans="1:39" x14ac:dyDescent="0.2">
      <c r="A8043" t="str">
        <f>"8039"</f>
        <v>8039</v>
      </c>
      <c r="B8043" t="str">
        <f t="shared" si="445"/>
        <v>1</v>
      </c>
      <c r="C8043" t="str">
        <f t="shared" si="447"/>
        <v>161</v>
      </c>
      <c r="D8043" t="str">
        <f>"46"</f>
        <v>46</v>
      </c>
      <c r="E8043" t="str">
        <f>"1-161-46"</f>
        <v>1-161-46</v>
      </c>
      <c r="F8043" t="s">
        <v>65</v>
      </c>
      <c r="G8043" t="s">
        <v>66</v>
      </c>
      <c r="H8043" t="s">
        <v>67</v>
      </c>
      <c r="S8043">
        <v>0</v>
      </c>
      <c r="T8043">
        <v>1</v>
      </c>
      <c r="U8043">
        <v>0</v>
      </c>
      <c r="V8043">
        <v>0</v>
      </c>
      <c r="W8043">
        <v>0</v>
      </c>
      <c r="X8043">
        <v>1</v>
      </c>
      <c r="Y8043">
        <v>0</v>
      </c>
      <c r="Z8043">
        <v>1</v>
      </c>
      <c r="AA8043">
        <v>0</v>
      </c>
      <c r="AB8043">
        <v>0</v>
      </c>
      <c r="AC8043">
        <v>1</v>
      </c>
      <c r="AD8043">
        <v>1</v>
      </c>
      <c r="AE8043">
        <v>1</v>
      </c>
      <c r="AF8043">
        <v>1</v>
      </c>
      <c r="AG8043">
        <v>1</v>
      </c>
      <c r="AH8043">
        <v>1</v>
      </c>
      <c r="AI8043">
        <v>1</v>
      </c>
      <c r="AJ8043">
        <v>1</v>
      </c>
      <c r="AK8043">
        <v>1</v>
      </c>
      <c r="AL8043">
        <v>1</v>
      </c>
      <c r="AM8043">
        <v>1</v>
      </c>
    </row>
    <row r="8044" spans="1:39" x14ac:dyDescent="0.2">
      <c r="A8044" t="str">
        <f>"8040"</f>
        <v>8040</v>
      </c>
      <c r="B8044" t="str">
        <f t="shared" si="445"/>
        <v>1</v>
      </c>
      <c r="C8044" t="str">
        <f t="shared" si="447"/>
        <v>161</v>
      </c>
      <c r="D8044" t="str">
        <f>"28"</f>
        <v>28</v>
      </c>
      <c r="E8044" t="str">
        <f>"1-161-28"</f>
        <v>1-161-28</v>
      </c>
      <c r="F8044" t="s">
        <v>65</v>
      </c>
      <c r="G8044" t="s">
        <v>66</v>
      </c>
      <c r="H8044" t="s">
        <v>67</v>
      </c>
      <c r="S8044">
        <v>1</v>
      </c>
      <c r="T8044">
        <v>0</v>
      </c>
      <c r="U8044">
        <v>0</v>
      </c>
      <c r="V8044">
        <v>0</v>
      </c>
      <c r="W8044">
        <v>1</v>
      </c>
      <c r="X8044">
        <v>0</v>
      </c>
      <c r="Y8044">
        <v>1</v>
      </c>
      <c r="Z8044">
        <v>0</v>
      </c>
      <c r="AA8044">
        <v>1</v>
      </c>
      <c r="AB8044">
        <v>0</v>
      </c>
      <c r="AC8044">
        <v>0</v>
      </c>
      <c r="AD8044">
        <v>1</v>
      </c>
      <c r="AE8044">
        <v>1</v>
      </c>
      <c r="AF8044">
        <v>1</v>
      </c>
      <c r="AG8044">
        <v>1</v>
      </c>
      <c r="AH8044">
        <v>1</v>
      </c>
      <c r="AI8044">
        <v>1</v>
      </c>
      <c r="AJ8044">
        <v>1</v>
      </c>
      <c r="AK8044">
        <v>1</v>
      </c>
      <c r="AL8044">
        <v>1</v>
      </c>
      <c r="AM8044">
        <v>0</v>
      </c>
    </row>
    <row r="8045" spans="1:39" x14ac:dyDescent="0.2">
      <c r="A8045" t="str">
        <f>"8041"</f>
        <v>8041</v>
      </c>
      <c r="B8045" t="str">
        <f t="shared" si="445"/>
        <v>1</v>
      </c>
      <c r="C8045" t="str">
        <f t="shared" si="447"/>
        <v>161</v>
      </c>
      <c r="D8045" t="str">
        <f>"10"</f>
        <v>10</v>
      </c>
      <c r="E8045" t="str">
        <f>"1-161-10"</f>
        <v>1-161-10</v>
      </c>
      <c r="F8045" t="s">
        <v>65</v>
      </c>
      <c r="G8045" t="s">
        <v>66</v>
      </c>
      <c r="H8045" t="s">
        <v>67</v>
      </c>
      <c r="S8045">
        <v>1</v>
      </c>
      <c r="T8045">
        <v>0</v>
      </c>
      <c r="U8045">
        <v>0</v>
      </c>
      <c r="V8045">
        <v>0</v>
      </c>
      <c r="W8045">
        <v>1</v>
      </c>
      <c r="X8045">
        <v>0</v>
      </c>
      <c r="Y8045">
        <v>0</v>
      </c>
      <c r="Z8045">
        <v>1</v>
      </c>
      <c r="AA8045">
        <v>0</v>
      </c>
      <c r="AB8045">
        <v>1</v>
      </c>
      <c r="AC8045">
        <v>0</v>
      </c>
      <c r="AD8045">
        <v>1</v>
      </c>
      <c r="AE8045">
        <v>1</v>
      </c>
      <c r="AF8045">
        <v>1</v>
      </c>
      <c r="AG8045">
        <v>1</v>
      </c>
      <c r="AH8045">
        <v>1</v>
      </c>
      <c r="AI8045">
        <v>1</v>
      </c>
      <c r="AJ8045">
        <v>1</v>
      </c>
      <c r="AK8045">
        <v>1</v>
      </c>
      <c r="AL8045">
        <v>1</v>
      </c>
      <c r="AM8045">
        <v>1</v>
      </c>
    </row>
    <row r="8046" spans="1:39" x14ac:dyDescent="0.2">
      <c r="A8046" t="str">
        <f>"8042"</f>
        <v>8042</v>
      </c>
      <c r="B8046" t="str">
        <f t="shared" si="445"/>
        <v>1</v>
      </c>
      <c r="C8046" t="str">
        <f t="shared" si="447"/>
        <v>161</v>
      </c>
      <c r="D8046" t="str">
        <f>"49"</f>
        <v>49</v>
      </c>
      <c r="E8046" t="str">
        <f>"1-161-49"</f>
        <v>1-161-49</v>
      </c>
      <c r="F8046" t="s">
        <v>65</v>
      </c>
      <c r="G8046" t="s">
        <v>66</v>
      </c>
      <c r="H8046" t="s">
        <v>67</v>
      </c>
      <c r="S8046">
        <v>1</v>
      </c>
      <c r="T8046">
        <v>0</v>
      </c>
      <c r="U8046">
        <v>0</v>
      </c>
      <c r="V8046">
        <v>0</v>
      </c>
      <c r="W8046">
        <v>1</v>
      </c>
      <c r="X8046">
        <v>0</v>
      </c>
      <c r="Y8046">
        <v>1</v>
      </c>
      <c r="Z8046">
        <v>0</v>
      </c>
      <c r="AA8046">
        <v>0</v>
      </c>
      <c r="AB8046">
        <v>1</v>
      </c>
      <c r="AC8046">
        <v>0</v>
      </c>
      <c r="AD8046">
        <v>1</v>
      </c>
      <c r="AE8046">
        <v>1</v>
      </c>
      <c r="AF8046">
        <v>1</v>
      </c>
      <c r="AG8046">
        <v>1</v>
      </c>
      <c r="AH8046">
        <v>1</v>
      </c>
      <c r="AI8046">
        <v>1</v>
      </c>
      <c r="AJ8046">
        <v>1</v>
      </c>
      <c r="AK8046">
        <v>1</v>
      </c>
      <c r="AL8046">
        <v>1</v>
      </c>
      <c r="AM8046">
        <v>1</v>
      </c>
    </row>
    <row r="8047" spans="1:39" x14ac:dyDescent="0.2">
      <c r="A8047" t="str">
        <f>"8043"</f>
        <v>8043</v>
      </c>
      <c r="B8047" t="str">
        <f t="shared" si="445"/>
        <v>1</v>
      </c>
      <c r="C8047" t="str">
        <f t="shared" si="447"/>
        <v>161</v>
      </c>
      <c r="D8047" t="str">
        <f>"30"</f>
        <v>30</v>
      </c>
      <c r="E8047" t="str">
        <f>"1-161-30"</f>
        <v>1-161-30</v>
      </c>
      <c r="F8047" t="s">
        <v>65</v>
      </c>
      <c r="G8047" t="s">
        <v>66</v>
      </c>
      <c r="H8047" t="s">
        <v>67</v>
      </c>
      <c r="S8047">
        <v>1</v>
      </c>
      <c r="T8047">
        <v>0</v>
      </c>
      <c r="U8047">
        <v>0</v>
      </c>
      <c r="V8047">
        <v>0</v>
      </c>
      <c r="W8047">
        <v>1</v>
      </c>
      <c r="X8047">
        <v>0</v>
      </c>
      <c r="Y8047">
        <v>0</v>
      </c>
      <c r="Z8047">
        <v>1</v>
      </c>
      <c r="AA8047">
        <v>1</v>
      </c>
      <c r="AB8047">
        <v>0</v>
      </c>
      <c r="AC8047">
        <v>0</v>
      </c>
      <c r="AD8047">
        <v>1</v>
      </c>
      <c r="AE8047">
        <v>1</v>
      </c>
      <c r="AF8047">
        <v>1</v>
      </c>
      <c r="AG8047">
        <v>1</v>
      </c>
      <c r="AH8047">
        <v>1</v>
      </c>
      <c r="AI8047">
        <v>1</v>
      </c>
      <c r="AJ8047">
        <v>1</v>
      </c>
      <c r="AK8047">
        <v>1</v>
      </c>
      <c r="AL8047">
        <v>1</v>
      </c>
      <c r="AM8047">
        <v>1</v>
      </c>
    </row>
    <row r="8048" spans="1:39" x14ac:dyDescent="0.2">
      <c r="A8048" t="str">
        <f>"8044"</f>
        <v>8044</v>
      </c>
      <c r="B8048" t="str">
        <f t="shared" si="445"/>
        <v>1</v>
      </c>
      <c r="C8048" t="str">
        <f t="shared" si="447"/>
        <v>161</v>
      </c>
      <c r="D8048" t="str">
        <f>"4"</f>
        <v>4</v>
      </c>
      <c r="E8048" t="str">
        <f>"1-161-4"</f>
        <v>1-161-4</v>
      </c>
      <c r="F8048" t="s">
        <v>65</v>
      </c>
      <c r="G8048" t="s">
        <v>66</v>
      </c>
      <c r="H8048" t="s">
        <v>67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1</v>
      </c>
      <c r="Y8048">
        <v>1</v>
      </c>
      <c r="Z8048">
        <v>0</v>
      </c>
      <c r="AA8048">
        <v>0</v>
      </c>
      <c r="AB8048">
        <v>1</v>
      </c>
      <c r="AC8048">
        <v>0</v>
      </c>
      <c r="AD8048">
        <v>1</v>
      </c>
      <c r="AE8048">
        <v>1</v>
      </c>
      <c r="AF8048">
        <v>1</v>
      </c>
      <c r="AG8048">
        <v>1</v>
      </c>
      <c r="AH8048">
        <v>1</v>
      </c>
      <c r="AI8048">
        <v>1</v>
      </c>
      <c r="AJ8048">
        <v>1</v>
      </c>
      <c r="AK8048">
        <v>1</v>
      </c>
      <c r="AL8048">
        <v>1</v>
      </c>
      <c r="AM8048">
        <v>1</v>
      </c>
    </row>
    <row r="8049" spans="1:39" x14ac:dyDescent="0.2">
      <c r="A8049" t="str">
        <f>"8045"</f>
        <v>8045</v>
      </c>
      <c r="B8049" t="str">
        <f t="shared" si="445"/>
        <v>1</v>
      </c>
      <c r="C8049" t="str">
        <f t="shared" si="447"/>
        <v>161</v>
      </c>
      <c r="D8049" t="str">
        <f>"48"</f>
        <v>48</v>
      </c>
      <c r="E8049" t="str">
        <f>"1-161-48"</f>
        <v>1-161-48</v>
      </c>
      <c r="F8049" t="s">
        <v>65</v>
      </c>
      <c r="G8049" t="s">
        <v>66</v>
      </c>
      <c r="H8049" t="s">
        <v>67</v>
      </c>
      <c r="S8049">
        <v>1</v>
      </c>
      <c r="T8049">
        <v>0</v>
      </c>
      <c r="U8049">
        <v>0</v>
      </c>
      <c r="V8049">
        <v>0</v>
      </c>
      <c r="W8049">
        <v>1</v>
      </c>
      <c r="X8049">
        <v>0</v>
      </c>
      <c r="Y8049">
        <v>1</v>
      </c>
      <c r="Z8049">
        <v>0</v>
      </c>
      <c r="AA8049">
        <v>0</v>
      </c>
      <c r="AB8049">
        <v>1</v>
      </c>
      <c r="AC8049">
        <v>0</v>
      </c>
      <c r="AD8049">
        <v>1</v>
      </c>
      <c r="AE8049">
        <v>1</v>
      </c>
      <c r="AF8049">
        <v>1</v>
      </c>
      <c r="AG8049">
        <v>1</v>
      </c>
      <c r="AH8049">
        <v>1</v>
      </c>
      <c r="AI8049">
        <v>1</v>
      </c>
      <c r="AJ8049">
        <v>1</v>
      </c>
      <c r="AK8049">
        <v>1</v>
      </c>
      <c r="AL8049">
        <v>1</v>
      </c>
      <c r="AM8049">
        <v>1</v>
      </c>
    </row>
    <row r="8050" spans="1:39" x14ac:dyDescent="0.2">
      <c r="A8050" t="str">
        <f>"8046"</f>
        <v>8046</v>
      </c>
      <c r="B8050" t="str">
        <f t="shared" si="445"/>
        <v>1</v>
      </c>
      <c r="C8050" t="str">
        <f t="shared" si="447"/>
        <v>161</v>
      </c>
      <c r="D8050" t="str">
        <f>"31"</f>
        <v>31</v>
      </c>
      <c r="E8050" t="str">
        <f>"1-161-31"</f>
        <v>1-161-31</v>
      </c>
      <c r="F8050" t="s">
        <v>65</v>
      </c>
      <c r="G8050" t="s">
        <v>66</v>
      </c>
      <c r="H8050" t="s">
        <v>67</v>
      </c>
      <c r="S8050">
        <v>0</v>
      </c>
      <c r="T8050">
        <v>1</v>
      </c>
      <c r="U8050">
        <v>0</v>
      </c>
      <c r="V8050">
        <v>0</v>
      </c>
      <c r="W8050">
        <v>0</v>
      </c>
      <c r="X8050">
        <v>1</v>
      </c>
      <c r="Y8050">
        <v>1</v>
      </c>
      <c r="Z8050">
        <v>0</v>
      </c>
      <c r="AA8050">
        <v>0</v>
      </c>
      <c r="AB8050">
        <v>0</v>
      </c>
      <c r="AC8050">
        <v>1</v>
      </c>
      <c r="AD8050">
        <v>1</v>
      </c>
      <c r="AE8050">
        <v>1</v>
      </c>
      <c r="AF8050">
        <v>1</v>
      </c>
      <c r="AG8050">
        <v>1</v>
      </c>
      <c r="AH8050">
        <v>1</v>
      </c>
      <c r="AI8050">
        <v>1</v>
      </c>
      <c r="AJ8050">
        <v>1</v>
      </c>
      <c r="AK8050">
        <v>1</v>
      </c>
      <c r="AL8050">
        <v>1</v>
      </c>
      <c r="AM8050">
        <v>1</v>
      </c>
    </row>
    <row r="8051" spans="1:39" x14ac:dyDescent="0.2">
      <c r="A8051" t="str">
        <f>"8047"</f>
        <v>8047</v>
      </c>
      <c r="B8051" t="str">
        <f t="shared" si="445"/>
        <v>1</v>
      </c>
      <c r="C8051" t="str">
        <f t="shared" si="447"/>
        <v>161</v>
      </c>
      <c r="D8051" t="str">
        <f>"11"</f>
        <v>11</v>
      </c>
      <c r="E8051" t="str">
        <f>"1-161-11"</f>
        <v>1-161-11</v>
      </c>
      <c r="F8051" t="s">
        <v>65</v>
      </c>
      <c r="G8051" t="s">
        <v>66</v>
      </c>
      <c r="H8051" t="s">
        <v>67</v>
      </c>
      <c r="S8051">
        <v>1</v>
      </c>
      <c r="T8051">
        <v>0</v>
      </c>
      <c r="U8051">
        <v>0</v>
      </c>
      <c r="V8051">
        <v>0</v>
      </c>
      <c r="W8051">
        <v>1</v>
      </c>
      <c r="X8051">
        <v>0</v>
      </c>
      <c r="Y8051">
        <v>1</v>
      </c>
      <c r="Z8051">
        <v>0</v>
      </c>
      <c r="AA8051">
        <v>0</v>
      </c>
      <c r="AB8051">
        <v>1</v>
      </c>
      <c r="AC8051">
        <v>0</v>
      </c>
      <c r="AD8051">
        <v>1</v>
      </c>
      <c r="AE8051">
        <v>1</v>
      </c>
      <c r="AF8051">
        <v>1</v>
      </c>
      <c r="AG8051">
        <v>1</v>
      </c>
      <c r="AH8051">
        <v>1</v>
      </c>
      <c r="AI8051">
        <v>1</v>
      </c>
      <c r="AJ8051">
        <v>1</v>
      </c>
      <c r="AK8051">
        <v>1</v>
      </c>
      <c r="AL8051">
        <v>1</v>
      </c>
      <c r="AM8051">
        <v>1</v>
      </c>
    </row>
    <row r="8052" spans="1:39" x14ac:dyDescent="0.2">
      <c r="A8052" t="str">
        <f>"8048"</f>
        <v>8048</v>
      </c>
      <c r="B8052" t="str">
        <f t="shared" si="445"/>
        <v>1</v>
      </c>
      <c r="C8052" t="str">
        <f t="shared" si="447"/>
        <v>161</v>
      </c>
      <c r="D8052" t="str">
        <f>"50"</f>
        <v>50</v>
      </c>
      <c r="E8052" t="str">
        <f>"1-161-50"</f>
        <v>1-161-50</v>
      </c>
      <c r="F8052" t="s">
        <v>65</v>
      </c>
      <c r="G8052" t="s">
        <v>66</v>
      </c>
      <c r="H8052" t="s">
        <v>67</v>
      </c>
      <c r="S8052">
        <v>1</v>
      </c>
      <c r="T8052">
        <v>0</v>
      </c>
      <c r="U8052">
        <v>0</v>
      </c>
      <c r="V8052">
        <v>0</v>
      </c>
      <c r="W8052">
        <v>1</v>
      </c>
      <c r="X8052">
        <v>0</v>
      </c>
      <c r="Y8052">
        <v>1</v>
      </c>
      <c r="Z8052">
        <v>0</v>
      </c>
      <c r="AA8052">
        <v>1</v>
      </c>
      <c r="AB8052">
        <v>0</v>
      </c>
      <c r="AC8052">
        <v>0</v>
      </c>
      <c r="AD8052">
        <v>1</v>
      </c>
      <c r="AE8052">
        <v>0</v>
      </c>
      <c r="AF8052">
        <v>0</v>
      </c>
      <c r="AG8052">
        <v>0</v>
      </c>
      <c r="AH8052">
        <v>0</v>
      </c>
      <c r="AI8052">
        <v>1</v>
      </c>
      <c r="AJ8052">
        <v>0</v>
      </c>
      <c r="AK8052">
        <v>0</v>
      </c>
      <c r="AL8052">
        <v>0</v>
      </c>
      <c r="AM8052">
        <v>0</v>
      </c>
    </row>
    <row r="8053" spans="1:39" x14ac:dyDescent="0.2">
      <c r="A8053" t="str">
        <f>"8049"</f>
        <v>8049</v>
      </c>
      <c r="B8053" t="str">
        <f t="shared" si="445"/>
        <v>1</v>
      </c>
      <c r="C8053" t="str">
        <f t="shared" si="447"/>
        <v>161</v>
      </c>
      <c r="D8053" t="str">
        <f>"32"</f>
        <v>32</v>
      </c>
      <c r="E8053" t="str">
        <f>"1-161-32"</f>
        <v>1-161-32</v>
      </c>
      <c r="F8053" t="s">
        <v>65</v>
      </c>
      <c r="G8053" t="s">
        <v>66</v>
      </c>
      <c r="H8053" t="s">
        <v>67</v>
      </c>
      <c r="S8053">
        <v>1</v>
      </c>
      <c r="T8053">
        <v>0</v>
      </c>
      <c r="U8053">
        <v>0</v>
      </c>
      <c r="V8053">
        <v>0</v>
      </c>
      <c r="W8053">
        <v>1</v>
      </c>
      <c r="X8053">
        <v>0</v>
      </c>
      <c r="Y8053">
        <v>1</v>
      </c>
      <c r="Z8053">
        <v>0</v>
      </c>
      <c r="AA8053">
        <v>1</v>
      </c>
      <c r="AB8053">
        <v>0</v>
      </c>
      <c r="AC8053">
        <v>0</v>
      </c>
      <c r="AD8053">
        <v>1</v>
      </c>
      <c r="AE8053">
        <v>1</v>
      </c>
      <c r="AF8053">
        <v>1</v>
      </c>
      <c r="AG8053">
        <v>1</v>
      </c>
      <c r="AH8053">
        <v>1</v>
      </c>
      <c r="AI8053">
        <v>1</v>
      </c>
      <c r="AJ8053">
        <v>1</v>
      </c>
      <c r="AK8053">
        <v>1</v>
      </c>
      <c r="AL8053">
        <v>1</v>
      </c>
      <c r="AM8053">
        <v>1</v>
      </c>
    </row>
    <row r="8054" spans="1:39" x14ac:dyDescent="0.2">
      <c r="A8054" t="str">
        <f>"8050"</f>
        <v>8050</v>
      </c>
      <c r="B8054" t="str">
        <f t="shared" si="445"/>
        <v>1</v>
      </c>
      <c r="C8054" t="str">
        <f t="shared" si="447"/>
        <v>161</v>
      </c>
      <c r="D8054" t="str">
        <f>"5"</f>
        <v>5</v>
      </c>
      <c r="E8054" t="str">
        <f>"1-161-5"</f>
        <v>1-161-5</v>
      </c>
      <c r="F8054" t="s">
        <v>65</v>
      </c>
      <c r="G8054" t="s">
        <v>66</v>
      </c>
      <c r="H8054" t="s">
        <v>67</v>
      </c>
      <c r="S8054">
        <v>1</v>
      </c>
      <c r="T8054">
        <v>0</v>
      </c>
      <c r="U8054">
        <v>0</v>
      </c>
      <c r="V8054">
        <v>0</v>
      </c>
      <c r="W8054">
        <v>1</v>
      </c>
      <c r="X8054">
        <v>0</v>
      </c>
      <c r="Y8054">
        <v>0</v>
      </c>
      <c r="Z8054">
        <v>0</v>
      </c>
      <c r="AA8054">
        <v>1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</row>
    <row r="8055" spans="1:39" x14ac:dyDescent="0.2">
      <c r="A8055" t="str">
        <f>"8051"</f>
        <v>8051</v>
      </c>
      <c r="B8055" t="str">
        <f t="shared" ref="B8055:B8118" si="448">"1"</f>
        <v>1</v>
      </c>
      <c r="C8055" t="str">
        <f t="shared" ref="C8055:C8086" si="449">"162"</f>
        <v>162</v>
      </c>
      <c r="D8055" t="str">
        <f>"50"</f>
        <v>50</v>
      </c>
      <c r="E8055" t="str">
        <f>"1-162-50"</f>
        <v>1-162-50</v>
      </c>
      <c r="F8055" t="s">
        <v>65</v>
      </c>
      <c r="G8055" t="s">
        <v>66</v>
      </c>
      <c r="H8055" t="s">
        <v>67</v>
      </c>
      <c r="S8055">
        <v>0</v>
      </c>
      <c r="T8055">
        <v>1</v>
      </c>
      <c r="U8055">
        <v>0</v>
      </c>
      <c r="V8055">
        <v>0</v>
      </c>
      <c r="W8055">
        <v>0</v>
      </c>
      <c r="X8055">
        <v>1</v>
      </c>
      <c r="Y8055">
        <v>0</v>
      </c>
      <c r="Z8055">
        <v>0</v>
      </c>
      <c r="AA8055">
        <v>0</v>
      </c>
      <c r="AB8055">
        <v>1</v>
      </c>
      <c r="AC8055">
        <v>0</v>
      </c>
      <c r="AD8055">
        <v>1</v>
      </c>
      <c r="AE8055">
        <v>1</v>
      </c>
      <c r="AF8055">
        <v>1</v>
      </c>
      <c r="AG8055">
        <v>1</v>
      </c>
      <c r="AH8055">
        <v>1</v>
      </c>
      <c r="AI8055">
        <v>1</v>
      </c>
      <c r="AJ8055">
        <v>1</v>
      </c>
      <c r="AK8055">
        <v>1</v>
      </c>
      <c r="AL8055">
        <v>1</v>
      </c>
      <c r="AM8055">
        <v>1</v>
      </c>
    </row>
    <row r="8056" spans="1:39" x14ac:dyDescent="0.2">
      <c r="A8056" t="str">
        <f>"8052"</f>
        <v>8052</v>
      </c>
      <c r="B8056" t="str">
        <f t="shared" si="448"/>
        <v>1</v>
      </c>
      <c r="C8056" t="str">
        <f t="shared" si="449"/>
        <v>162</v>
      </c>
      <c r="D8056" t="str">
        <f>"49"</f>
        <v>49</v>
      </c>
      <c r="E8056" t="str">
        <f>"1-162-49"</f>
        <v>1-162-49</v>
      </c>
      <c r="F8056" t="s">
        <v>65</v>
      </c>
      <c r="G8056" t="s">
        <v>66</v>
      </c>
      <c r="H8056" t="s">
        <v>67</v>
      </c>
      <c r="S8056">
        <v>0</v>
      </c>
      <c r="T8056">
        <v>1</v>
      </c>
      <c r="U8056">
        <v>0</v>
      </c>
      <c r="V8056">
        <v>0</v>
      </c>
      <c r="W8056">
        <v>1</v>
      </c>
      <c r="X8056">
        <v>0</v>
      </c>
      <c r="Y8056">
        <v>1</v>
      </c>
      <c r="Z8056">
        <v>0</v>
      </c>
      <c r="AA8056">
        <v>1</v>
      </c>
      <c r="AB8056">
        <v>0</v>
      </c>
      <c r="AC8056">
        <v>0</v>
      </c>
      <c r="AD8056">
        <v>1</v>
      </c>
      <c r="AE8056">
        <v>1</v>
      </c>
      <c r="AF8056">
        <v>1</v>
      </c>
      <c r="AG8056">
        <v>1</v>
      </c>
      <c r="AH8056">
        <v>1</v>
      </c>
      <c r="AI8056">
        <v>1</v>
      </c>
      <c r="AJ8056">
        <v>1</v>
      </c>
      <c r="AK8056">
        <v>1</v>
      </c>
      <c r="AL8056">
        <v>1</v>
      </c>
      <c r="AM8056">
        <v>1</v>
      </c>
    </row>
    <row r="8057" spans="1:39" x14ac:dyDescent="0.2">
      <c r="A8057" t="str">
        <f>"8053"</f>
        <v>8053</v>
      </c>
      <c r="B8057" t="str">
        <f t="shared" si="448"/>
        <v>1</v>
      </c>
      <c r="C8057" t="str">
        <f t="shared" si="449"/>
        <v>162</v>
      </c>
      <c r="D8057" t="str">
        <f>"38"</f>
        <v>38</v>
      </c>
      <c r="E8057" t="str">
        <f>"1-162-38"</f>
        <v>1-162-38</v>
      </c>
      <c r="F8057" t="s">
        <v>65</v>
      </c>
      <c r="G8057" t="s">
        <v>66</v>
      </c>
      <c r="H8057" t="s">
        <v>67</v>
      </c>
      <c r="S8057">
        <v>1</v>
      </c>
      <c r="T8057">
        <v>0</v>
      </c>
      <c r="U8057">
        <v>0</v>
      </c>
      <c r="V8057">
        <v>0</v>
      </c>
      <c r="W8057">
        <v>1</v>
      </c>
      <c r="X8057">
        <v>0</v>
      </c>
      <c r="Y8057">
        <v>1</v>
      </c>
      <c r="Z8057">
        <v>0</v>
      </c>
      <c r="AA8057">
        <v>0</v>
      </c>
      <c r="AB8057">
        <v>1</v>
      </c>
      <c r="AC8057">
        <v>0</v>
      </c>
      <c r="AD8057">
        <v>1</v>
      </c>
      <c r="AE8057">
        <v>1</v>
      </c>
      <c r="AF8057">
        <v>1</v>
      </c>
      <c r="AG8057">
        <v>1</v>
      </c>
      <c r="AH8057">
        <v>1</v>
      </c>
      <c r="AI8057">
        <v>1</v>
      </c>
      <c r="AJ8057">
        <v>1</v>
      </c>
      <c r="AK8057">
        <v>1</v>
      </c>
      <c r="AL8057">
        <v>1</v>
      </c>
      <c r="AM8057">
        <v>1</v>
      </c>
    </row>
    <row r="8058" spans="1:39" x14ac:dyDescent="0.2">
      <c r="A8058" t="str">
        <f>"8054"</f>
        <v>8054</v>
      </c>
      <c r="B8058" t="str">
        <f t="shared" si="448"/>
        <v>1</v>
      </c>
      <c r="C8058" t="str">
        <f t="shared" si="449"/>
        <v>162</v>
      </c>
      <c r="D8058" t="str">
        <f>"37"</f>
        <v>37</v>
      </c>
      <c r="E8058" t="str">
        <f>"1-162-37"</f>
        <v>1-162-37</v>
      </c>
      <c r="F8058" t="s">
        <v>65</v>
      </c>
      <c r="G8058" t="s">
        <v>66</v>
      </c>
      <c r="H8058" t="s">
        <v>67</v>
      </c>
      <c r="S8058">
        <v>0</v>
      </c>
      <c r="T8058">
        <v>1</v>
      </c>
      <c r="U8058">
        <v>0</v>
      </c>
      <c r="V8058">
        <v>0</v>
      </c>
      <c r="W8058">
        <v>0</v>
      </c>
      <c r="X8058">
        <v>1</v>
      </c>
      <c r="Y8058">
        <v>0</v>
      </c>
      <c r="Z8058">
        <v>1</v>
      </c>
      <c r="AA8058">
        <v>0</v>
      </c>
      <c r="AB8058">
        <v>0</v>
      </c>
      <c r="AC8058">
        <v>1</v>
      </c>
      <c r="AD8058">
        <v>1</v>
      </c>
      <c r="AE8058">
        <v>1</v>
      </c>
      <c r="AF8058">
        <v>1</v>
      </c>
      <c r="AG8058">
        <v>1</v>
      </c>
      <c r="AH8058">
        <v>1</v>
      </c>
      <c r="AI8058">
        <v>0</v>
      </c>
      <c r="AJ8058">
        <v>1</v>
      </c>
      <c r="AK8058">
        <v>1</v>
      </c>
      <c r="AL8058">
        <v>1</v>
      </c>
      <c r="AM8058">
        <v>1</v>
      </c>
    </row>
    <row r="8059" spans="1:39" x14ac:dyDescent="0.2">
      <c r="A8059" t="str">
        <f>"8055"</f>
        <v>8055</v>
      </c>
      <c r="B8059" t="str">
        <f t="shared" si="448"/>
        <v>1</v>
      </c>
      <c r="C8059" t="str">
        <f t="shared" si="449"/>
        <v>162</v>
      </c>
      <c r="D8059" t="str">
        <f>"33"</f>
        <v>33</v>
      </c>
      <c r="E8059" t="str">
        <f>"1-162-33"</f>
        <v>1-162-33</v>
      </c>
      <c r="F8059" t="s">
        <v>65</v>
      </c>
      <c r="G8059" t="s">
        <v>66</v>
      </c>
      <c r="H8059" t="s">
        <v>67</v>
      </c>
      <c r="S8059">
        <v>0</v>
      </c>
      <c r="T8059">
        <v>1</v>
      </c>
      <c r="U8059">
        <v>0</v>
      </c>
      <c r="V8059">
        <v>0</v>
      </c>
      <c r="W8059">
        <v>1</v>
      </c>
      <c r="X8059">
        <v>0</v>
      </c>
      <c r="Y8059">
        <v>1</v>
      </c>
      <c r="Z8059">
        <v>0</v>
      </c>
      <c r="AA8059">
        <v>0</v>
      </c>
      <c r="AB8059">
        <v>0</v>
      </c>
      <c r="AC8059">
        <v>1</v>
      </c>
      <c r="AD8059">
        <v>1</v>
      </c>
      <c r="AE8059">
        <v>1</v>
      </c>
      <c r="AF8059">
        <v>1</v>
      </c>
      <c r="AG8059">
        <v>1</v>
      </c>
      <c r="AH8059">
        <v>1</v>
      </c>
      <c r="AI8059">
        <v>1</v>
      </c>
      <c r="AJ8059">
        <v>1</v>
      </c>
      <c r="AK8059">
        <v>1</v>
      </c>
      <c r="AL8059">
        <v>1</v>
      </c>
      <c r="AM8059">
        <v>1</v>
      </c>
    </row>
    <row r="8060" spans="1:39" x14ac:dyDescent="0.2">
      <c r="A8060" t="str">
        <f>"8056"</f>
        <v>8056</v>
      </c>
      <c r="B8060" t="str">
        <f t="shared" si="448"/>
        <v>1</v>
      </c>
      <c r="C8060" t="str">
        <f t="shared" si="449"/>
        <v>162</v>
      </c>
      <c r="D8060" t="str">
        <f>"32"</f>
        <v>32</v>
      </c>
      <c r="E8060" t="str">
        <f>"1-162-32"</f>
        <v>1-162-32</v>
      </c>
      <c r="F8060" t="s">
        <v>65</v>
      </c>
      <c r="G8060" t="s">
        <v>66</v>
      </c>
      <c r="H8060" t="s">
        <v>67</v>
      </c>
      <c r="S8060">
        <v>1</v>
      </c>
      <c r="T8060">
        <v>0</v>
      </c>
      <c r="U8060">
        <v>0</v>
      </c>
      <c r="V8060">
        <v>0</v>
      </c>
      <c r="W8060">
        <v>1</v>
      </c>
      <c r="X8060">
        <v>0</v>
      </c>
      <c r="Y8060">
        <v>0</v>
      </c>
      <c r="Z8060">
        <v>1</v>
      </c>
      <c r="AA8060">
        <v>0</v>
      </c>
      <c r="AB8060">
        <v>1</v>
      </c>
      <c r="AC8060">
        <v>0</v>
      </c>
      <c r="AD8060">
        <v>0</v>
      </c>
      <c r="AE8060">
        <v>0</v>
      </c>
      <c r="AF8060">
        <v>0</v>
      </c>
      <c r="AG8060">
        <v>1</v>
      </c>
      <c r="AH8060">
        <v>1</v>
      </c>
      <c r="AI8060">
        <v>0</v>
      </c>
      <c r="AJ8060">
        <v>0</v>
      </c>
      <c r="AK8060">
        <v>0</v>
      </c>
      <c r="AL8060">
        <v>0</v>
      </c>
      <c r="AM8060">
        <v>0</v>
      </c>
    </row>
    <row r="8061" spans="1:39" x14ac:dyDescent="0.2">
      <c r="A8061" t="str">
        <f>"8057"</f>
        <v>8057</v>
      </c>
      <c r="B8061" t="str">
        <f t="shared" si="448"/>
        <v>1</v>
      </c>
      <c r="C8061" t="str">
        <f t="shared" si="449"/>
        <v>162</v>
      </c>
      <c r="D8061" t="str">
        <f>"19"</f>
        <v>19</v>
      </c>
      <c r="E8061" t="str">
        <f>"1-162-19"</f>
        <v>1-162-19</v>
      </c>
      <c r="F8061" t="s">
        <v>65</v>
      </c>
      <c r="G8061" t="s">
        <v>66</v>
      </c>
      <c r="H8061" t="s">
        <v>67</v>
      </c>
      <c r="S8061">
        <v>0</v>
      </c>
      <c r="T8061">
        <v>0</v>
      </c>
      <c r="U8061">
        <v>0</v>
      </c>
      <c r="V8061">
        <v>0</v>
      </c>
      <c r="W8061">
        <v>1</v>
      </c>
      <c r="X8061">
        <v>0</v>
      </c>
      <c r="Y8061">
        <v>0</v>
      </c>
      <c r="Z8061">
        <v>1</v>
      </c>
      <c r="AA8061">
        <v>0</v>
      </c>
      <c r="AB8061">
        <v>1</v>
      </c>
      <c r="AC8061">
        <v>0</v>
      </c>
      <c r="AD8061">
        <v>0</v>
      </c>
      <c r="AE8061">
        <v>0</v>
      </c>
      <c r="AF8061">
        <v>0</v>
      </c>
      <c r="AG8061">
        <v>1</v>
      </c>
      <c r="AH8061">
        <v>1</v>
      </c>
      <c r="AI8061">
        <v>0</v>
      </c>
      <c r="AJ8061">
        <v>0</v>
      </c>
      <c r="AK8061">
        <v>0</v>
      </c>
      <c r="AL8061">
        <v>1</v>
      </c>
      <c r="AM8061">
        <v>0</v>
      </c>
    </row>
    <row r="8062" spans="1:39" x14ac:dyDescent="0.2">
      <c r="A8062" t="str">
        <f>"8058"</f>
        <v>8058</v>
      </c>
      <c r="B8062" t="str">
        <f t="shared" si="448"/>
        <v>1</v>
      </c>
      <c r="C8062" t="str">
        <f t="shared" si="449"/>
        <v>162</v>
      </c>
      <c r="D8062" t="str">
        <f>"18"</f>
        <v>18</v>
      </c>
      <c r="E8062" t="str">
        <f>"1-162-18"</f>
        <v>1-162-18</v>
      </c>
      <c r="F8062" t="s">
        <v>65</v>
      </c>
      <c r="G8062" t="s">
        <v>66</v>
      </c>
      <c r="H8062" t="s">
        <v>67</v>
      </c>
      <c r="S8062">
        <v>0</v>
      </c>
      <c r="T8062">
        <v>1</v>
      </c>
      <c r="U8062">
        <v>0</v>
      </c>
      <c r="V8062">
        <v>0</v>
      </c>
      <c r="W8062">
        <v>1</v>
      </c>
      <c r="X8062">
        <v>0</v>
      </c>
      <c r="Y8062">
        <v>0</v>
      </c>
      <c r="Z8062">
        <v>1</v>
      </c>
      <c r="AA8062">
        <v>1</v>
      </c>
      <c r="AB8062">
        <v>0</v>
      </c>
      <c r="AC8062">
        <v>0</v>
      </c>
      <c r="AD8062">
        <v>1</v>
      </c>
      <c r="AE8062">
        <v>1</v>
      </c>
      <c r="AF8062">
        <v>1</v>
      </c>
      <c r="AG8062">
        <v>1</v>
      </c>
      <c r="AH8062">
        <v>1</v>
      </c>
      <c r="AI8062">
        <v>1</v>
      </c>
      <c r="AJ8062">
        <v>1</v>
      </c>
      <c r="AK8062">
        <v>1</v>
      </c>
      <c r="AL8062">
        <v>1</v>
      </c>
      <c r="AM8062">
        <v>1</v>
      </c>
    </row>
    <row r="8063" spans="1:39" x14ac:dyDescent="0.2">
      <c r="A8063" t="str">
        <f>"8059"</f>
        <v>8059</v>
      </c>
      <c r="B8063" t="str">
        <f t="shared" si="448"/>
        <v>1</v>
      </c>
      <c r="C8063" t="str">
        <f t="shared" si="449"/>
        <v>162</v>
      </c>
      <c r="D8063" t="str">
        <f>"17"</f>
        <v>17</v>
      </c>
      <c r="E8063" t="str">
        <f>"1-162-17"</f>
        <v>1-162-17</v>
      </c>
      <c r="F8063" t="s">
        <v>65</v>
      </c>
      <c r="G8063" t="s">
        <v>66</v>
      </c>
      <c r="H8063" t="s">
        <v>67</v>
      </c>
      <c r="S8063">
        <v>0</v>
      </c>
      <c r="T8063">
        <v>1</v>
      </c>
      <c r="U8063">
        <v>0</v>
      </c>
      <c r="V8063">
        <v>0</v>
      </c>
      <c r="W8063">
        <v>1</v>
      </c>
      <c r="X8063">
        <v>0</v>
      </c>
      <c r="Y8063">
        <v>1</v>
      </c>
      <c r="Z8063">
        <v>0</v>
      </c>
      <c r="AA8063">
        <v>1</v>
      </c>
      <c r="AB8063">
        <v>0</v>
      </c>
      <c r="AC8063">
        <v>0</v>
      </c>
      <c r="AD8063">
        <v>1</v>
      </c>
      <c r="AE8063">
        <v>1</v>
      </c>
      <c r="AF8063">
        <v>1</v>
      </c>
      <c r="AG8063">
        <v>1</v>
      </c>
      <c r="AH8063">
        <v>1</v>
      </c>
      <c r="AI8063">
        <v>1</v>
      </c>
      <c r="AJ8063">
        <v>1</v>
      </c>
      <c r="AK8063">
        <v>1</v>
      </c>
      <c r="AL8063">
        <v>1</v>
      </c>
      <c r="AM8063">
        <v>1</v>
      </c>
    </row>
    <row r="8064" spans="1:39" x14ac:dyDescent="0.2">
      <c r="A8064" t="str">
        <f>"8060"</f>
        <v>8060</v>
      </c>
      <c r="B8064" t="str">
        <f t="shared" si="448"/>
        <v>1</v>
      </c>
      <c r="C8064" t="str">
        <f t="shared" si="449"/>
        <v>162</v>
      </c>
      <c r="D8064" t="str">
        <f>"15"</f>
        <v>15</v>
      </c>
      <c r="E8064" t="str">
        <f>"1-162-15"</f>
        <v>1-162-15</v>
      </c>
      <c r="F8064" t="s">
        <v>65</v>
      </c>
      <c r="G8064" t="s">
        <v>66</v>
      </c>
      <c r="H8064" t="s">
        <v>67</v>
      </c>
      <c r="S8064">
        <v>0</v>
      </c>
      <c r="T8064">
        <v>0</v>
      </c>
      <c r="U8064">
        <v>0</v>
      </c>
      <c r="V8064">
        <v>0</v>
      </c>
      <c r="W8064">
        <v>1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1</v>
      </c>
      <c r="AE8064">
        <v>1</v>
      </c>
      <c r="AF8064">
        <v>1</v>
      </c>
      <c r="AG8064">
        <v>1</v>
      </c>
      <c r="AH8064">
        <v>1</v>
      </c>
      <c r="AI8064">
        <v>1</v>
      </c>
      <c r="AJ8064">
        <v>1</v>
      </c>
      <c r="AK8064">
        <v>1</v>
      </c>
      <c r="AL8064">
        <v>1</v>
      </c>
      <c r="AM8064">
        <v>1</v>
      </c>
    </row>
    <row r="8065" spans="1:39" x14ac:dyDescent="0.2">
      <c r="A8065" t="str">
        <f>"8061"</f>
        <v>8061</v>
      </c>
      <c r="B8065" t="str">
        <f t="shared" si="448"/>
        <v>1</v>
      </c>
      <c r="C8065" t="str">
        <f t="shared" si="449"/>
        <v>162</v>
      </c>
      <c r="D8065" t="str">
        <f>"2"</f>
        <v>2</v>
      </c>
      <c r="E8065" t="str">
        <f>"1-162-2"</f>
        <v>1-162-2</v>
      </c>
      <c r="F8065" t="s">
        <v>65</v>
      </c>
      <c r="G8065" t="s">
        <v>66</v>
      </c>
      <c r="H8065" t="s">
        <v>67</v>
      </c>
      <c r="S8065">
        <v>1</v>
      </c>
      <c r="T8065">
        <v>0</v>
      </c>
      <c r="U8065">
        <v>0</v>
      </c>
      <c r="V8065">
        <v>0</v>
      </c>
      <c r="W8065">
        <v>1</v>
      </c>
      <c r="X8065">
        <v>0</v>
      </c>
      <c r="Y8065">
        <v>1</v>
      </c>
      <c r="Z8065">
        <v>0</v>
      </c>
      <c r="AA8065">
        <v>1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1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</row>
    <row r="8066" spans="1:39" x14ac:dyDescent="0.2">
      <c r="A8066" t="str">
        <f>"8062"</f>
        <v>8062</v>
      </c>
      <c r="B8066" t="str">
        <f t="shared" si="448"/>
        <v>1</v>
      </c>
      <c r="C8066" t="str">
        <f t="shared" si="449"/>
        <v>162</v>
      </c>
      <c r="D8066" t="str">
        <f>"36"</f>
        <v>36</v>
      </c>
      <c r="E8066" t="str">
        <f>"1-162-36"</f>
        <v>1-162-36</v>
      </c>
      <c r="F8066" t="s">
        <v>65</v>
      </c>
      <c r="G8066" t="s">
        <v>66</v>
      </c>
      <c r="H8066" t="s">
        <v>67</v>
      </c>
      <c r="S8066">
        <v>1</v>
      </c>
      <c r="T8066">
        <v>0</v>
      </c>
      <c r="U8066">
        <v>0</v>
      </c>
      <c r="V8066">
        <v>0</v>
      </c>
      <c r="W8066">
        <v>1</v>
      </c>
      <c r="X8066">
        <v>0</v>
      </c>
      <c r="Y8066">
        <v>0</v>
      </c>
      <c r="Z8066">
        <v>1</v>
      </c>
      <c r="AA8066">
        <v>0</v>
      </c>
      <c r="AB8066">
        <v>1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</row>
    <row r="8067" spans="1:39" x14ac:dyDescent="0.2">
      <c r="A8067" t="str">
        <f>"8063"</f>
        <v>8063</v>
      </c>
      <c r="B8067" t="str">
        <f t="shared" si="448"/>
        <v>1</v>
      </c>
      <c r="C8067" t="str">
        <f t="shared" si="449"/>
        <v>162</v>
      </c>
      <c r="D8067" t="str">
        <f>"35"</f>
        <v>35</v>
      </c>
      <c r="E8067" t="str">
        <f>"1-162-35"</f>
        <v>1-162-35</v>
      </c>
      <c r="F8067" t="s">
        <v>65</v>
      </c>
      <c r="G8067" t="s">
        <v>66</v>
      </c>
      <c r="H8067" t="s">
        <v>67</v>
      </c>
      <c r="S8067">
        <v>1</v>
      </c>
      <c r="T8067">
        <v>0</v>
      </c>
      <c r="U8067">
        <v>0</v>
      </c>
      <c r="V8067">
        <v>0</v>
      </c>
      <c r="W8067">
        <v>1</v>
      </c>
      <c r="X8067">
        <v>0</v>
      </c>
      <c r="Y8067">
        <v>1</v>
      </c>
      <c r="Z8067">
        <v>0</v>
      </c>
      <c r="AA8067">
        <v>1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</row>
    <row r="8068" spans="1:39" x14ac:dyDescent="0.2">
      <c r="A8068" t="str">
        <f>"8064"</f>
        <v>8064</v>
      </c>
      <c r="B8068" t="str">
        <f t="shared" si="448"/>
        <v>1</v>
      </c>
      <c r="C8068" t="str">
        <f t="shared" si="449"/>
        <v>162</v>
      </c>
      <c r="D8068" t="str">
        <f>"26"</f>
        <v>26</v>
      </c>
      <c r="E8068" t="str">
        <f>"1-162-26"</f>
        <v>1-162-26</v>
      </c>
      <c r="F8068" t="s">
        <v>65</v>
      </c>
      <c r="G8068" t="s">
        <v>66</v>
      </c>
      <c r="H8068" t="s">
        <v>67</v>
      </c>
      <c r="S8068">
        <v>0</v>
      </c>
      <c r="T8068">
        <v>1</v>
      </c>
      <c r="U8068">
        <v>0</v>
      </c>
      <c r="V8068">
        <v>0</v>
      </c>
      <c r="W8068">
        <v>1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1</v>
      </c>
      <c r="AJ8068">
        <v>0</v>
      </c>
      <c r="AK8068">
        <v>0</v>
      </c>
      <c r="AL8068">
        <v>0</v>
      </c>
      <c r="AM8068">
        <v>0</v>
      </c>
    </row>
    <row r="8069" spans="1:39" x14ac:dyDescent="0.2">
      <c r="A8069" t="str">
        <f>"8065"</f>
        <v>8065</v>
      </c>
      <c r="B8069" t="str">
        <f t="shared" si="448"/>
        <v>1</v>
      </c>
      <c r="C8069" t="str">
        <f t="shared" si="449"/>
        <v>162</v>
      </c>
      <c r="D8069" t="str">
        <f>"16"</f>
        <v>16</v>
      </c>
      <c r="E8069" t="str">
        <f>"1-162-16"</f>
        <v>1-162-16</v>
      </c>
      <c r="F8069" t="s">
        <v>65</v>
      </c>
      <c r="G8069" t="s">
        <v>66</v>
      </c>
      <c r="H8069" t="s">
        <v>67</v>
      </c>
      <c r="S8069">
        <v>1</v>
      </c>
      <c r="T8069">
        <v>0</v>
      </c>
      <c r="U8069">
        <v>0</v>
      </c>
      <c r="V8069">
        <v>0</v>
      </c>
      <c r="W8069">
        <v>1</v>
      </c>
      <c r="X8069">
        <v>0</v>
      </c>
      <c r="Y8069">
        <v>1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1</v>
      </c>
      <c r="AH8069">
        <v>1</v>
      </c>
      <c r="AI8069">
        <v>1</v>
      </c>
      <c r="AJ8069">
        <v>1</v>
      </c>
      <c r="AK8069">
        <v>1</v>
      </c>
      <c r="AL8069">
        <v>1</v>
      </c>
      <c r="AM8069">
        <v>1</v>
      </c>
    </row>
    <row r="8070" spans="1:39" x14ac:dyDescent="0.2">
      <c r="A8070" t="str">
        <f>"8066"</f>
        <v>8066</v>
      </c>
      <c r="B8070" t="str">
        <f t="shared" si="448"/>
        <v>1</v>
      </c>
      <c r="C8070" t="str">
        <f t="shared" si="449"/>
        <v>162</v>
      </c>
      <c r="D8070" t="str">
        <f>"3"</f>
        <v>3</v>
      </c>
      <c r="E8070" t="str">
        <f>"1-162-3"</f>
        <v>1-162-3</v>
      </c>
      <c r="F8070" t="s">
        <v>65</v>
      </c>
      <c r="G8070" t="s">
        <v>66</v>
      </c>
      <c r="H8070" t="s">
        <v>67</v>
      </c>
      <c r="S8070">
        <v>1</v>
      </c>
      <c r="T8070">
        <v>0</v>
      </c>
      <c r="U8070">
        <v>0</v>
      </c>
      <c r="V8070">
        <v>0</v>
      </c>
      <c r="W8070">
        <v>1</v>
      </c>
      <c r="X8070">
        <v>0</v>
      </c>
      <c r="Y8070">
        <v>1</v>
      </c>
      <c r="Z8070">
        <v>0</v>
      </c>
      <c r="AA8070">
        <v>0</v>
      </c>
      <c r="AB8070">
        <v>1</v>
      </c>
      <c r="AC8070">
        <v>0</v>
      </c>
      <c r="AD8070">
        <v>1</v>
      </c>
      <c r="AE8070">
        <v>1</v>
      </c>
      <c r="AF8070">
        <v>1</v>
      </c>
      <c r="AG8070">
        <v>1</v>
      </c>
      <c r="AH8070">
        <v>1</v>
      </c>
      <c r="AI8070">
        <v>1</v>
      </c>
      <c r="AJ8070">
        <v>1</v>
      </c>
      <c r="AK8070">
        <v>1</v>
      </c>
      <c r="AL8070">
        <v>1</v>
      </c>
      <c r="AM8070">
        <v>1</v>
      </c>
    </row>
    <row r="8071" spans="1:39" x14ac:dyDescent="0.2">
      <c r="A8071" t="str">
        <f>"8067"</f>
        <v>8067</v>
      </c>
      <c r="B8071" t="str">
        <f t="shared" si="448"/>
        <v>1</v>
      </c>
      <c r="C8071" t="str">
        <f t="shared" si="449"/>
        <v>162</v>
      </c>
      <c r="D8071" t="str">
        <f>"45"</f>
        <v>45</v>
      </c>
      <c r="E8071" t="str">
        <f>"1-162-45"</f>
        <v>1-162-45</v>
      </c>
      <c r="F8071" t="s">
        <v>65</v>
      </c>
      <c r="G8071" t="s">
        <v>66</v>
      </c>
      <c r="H8071" t="s">
        <v>67</v>
      </c>
      <c r="S8071">
        <v>0</v>
      </c>
      <c r="T8071">
        <v>1</v>
      </c>
      <c r="U8071">
        <v>0</v>
      </c>
      <c r="V8071">
        <v>0</v>
      </c>
      <c r="W8071">
        <v>0</v>
      </c>
      <c r="X8071">
        <v>1</v>
      </c>
      <c r="Y8071">
        <v>0</v>
      </c>
      <c r="Z8071">
        <v>1</v>
      </c>
      <c r="AA8071">
        <v>0</v>
      </c>
      <c r="AB8071">
        <v>0</v>
      </c>
      <c r="AC8071">
        <v>1</v>
      </c>
      <c r="AD8071">
        <v>0</v>
      </c>
      <c r="AE8071">
        <v>0</v>
      </c>
      <c r="AF8071">
        <v>0</v>
      </c>
      <c r="AG8071">
        <v>1</v>
      </c>
      <c r="AH8071">
        <v>1</v>
      </c>
      <c r="AI8071">
        <v>1</v>
      </c>
      <c r="AJ8071">
        <v>1</v>
      </c>
      <c r="AK8071">
        <v>0</v>
      </c>
      <c r="AL8071">
        <v>1</v>
      </c>
      <c r="AM8071">
        <v>0</v>
      </c>
    </row>
    <row r="8072" spans="1:39" x14ac:dyDescent="0.2">
      <c r="A8072" t="str">
        <f>"8068"</f>
        <v>8068</v>
      </c>
      <c r="B8072" t="str">
        <f t="shared" si="448"/>
        <v>1</v>
      </c>
      <c r="C8072" t="str">
        <f t="shared" si="449"/>
        <v>162</v>
      </c>
      <c r="D8072" t="str">
        <f>"20"</f>
        <v>20</v>
      </c>
      <c r="E8072" t="str">
        <f>"1-162-20"</f>
        <v>1-162-20</v>
      </c>
      <c r="F8072" t="s">
        <v>65</v>
      </c>
      <c r="G8072" t="s">
        <v>66</v>
      </c>
      <c r="H8072" t="s">
        <v>67</v>
      </c>
      <c r="S8072">
        <v>1</v>
      </c>
      <c r="T8072">
        <v>0</v>
      </c>
      <c r="U8072">
        <v>0</v>
      </c>
      <c r="V8072">
        <v>0</v>
      </c>
      <c r="W8072">
        <v>0</v>
      </c>
      <c r="X8072">
        <v>1</v>
      </c>
      <c r="Y8072">
        <v>1</v>
      </c>
      <c r="Z8072">
        <v>0</v>
      </c>
      <c r="AA8072">
        <v>0</v>
      </c>
      <c r="AB8072">
        <v>1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</row>
    <row r="8073" spans="1:39" x14ac:dyDescent="0.2">
      <c r="A8073" t="str">
        <f>"8069"</f>
        <v>8069</v>
      </c>
      <c r="B8073" t="str">
        <f t="shared" si="448"/>
        <v>1</v>
      </c>
      <c r="C8073" t="str">
        <f t="shared" si="449"/>
        <v>162</v>
      </c>
      <c r="D8073" t="str">
        <f>"11"</f>
        <v>11</v>
      </c>
      <c r="E8073" t="str">
        <f>"1-162-11"</f>
        <v>1-162-11</v>
      </c>
      <c r="F8073" t="s">
        <v>65</v>
      </c>
      <c r="G8073" t="s">
        <v>66</v>
      </c>
      <c r="H8073" t="s">
        <v>67</v>
      </c>
      <c r="S8073">
        <v>1</v>
      </c>
      <c r="T8073">
        <v>0</v>
      </c>
      <c r="U8073">
        <v>0</v>
      </c>
      <c r="V8073">
        <v>0</v>
      </c>
      <c r="W8073">
        <v>1</v>
      </c>
      <c r="X8073">
        <v>0</v>
      </c>
      <c r="Y8073">
        <v>1</v>
      </c>
      <c r="Z8073">
        <v>0</v>
      </c>
      <c r="AA8073">
        <v>1</v>
      </c>
      <c r="AB8073">
        <v>0</v>
      </c>
      <c r="AC8073">
        <v>0</v>
      </c>
      <c r="AD8073">
        <v>1</v>
      </c>
      <c r="AE8073">
        <v>1</v>
      </c>
      <c r="AF8073">
        <v>1</v>
      </c>
      <c r="AG8073">
        <v>1</v>
      </c>
      <c r="AH8073">
        <v>1</v>
      </c>
      <c r="AI8073">
        <v>1</v>
      </c>
      <c r="AJ8073">
        <v>1</v>
      </c>
      <c r="AK8073">
        <v>1</v>
      </c>
      <c r="AL8073">
        <v>1</v>
      </c>
      <c r="AM8073">
        <v>1</v>
      </c>
    </row>
    <row r="8074" spans="1:39" x14ac:dyDescent="0.2">
      <c r="A8074" t="str">
        <f>"8070"</f>
        <v>8070</v>
      </c>
      <c r="B8074" t="str">
        <f t="shared" si="448"/>
        <v>1</v>
      </c>
      <c r="C8074" t="str">
        <f t="shared" si="449"/>
        <v>162</v>
      </c>
      <c r="D8074" t="str">
        <f>"39"</f>
        <v>39</v>
      </c>
      <c r="E8074" t="str">
        <f>"1-162-39"</f>
        <v>1-162-39</v>
      </c>
      <c r="F8074" t="s">
        <v>65</v>
      </c>
      <c r="G8074" t="s">
        <v>66</v>
      </c>
      <c r="H8074" t="s">
        <v>67</v>
      </c>
      <c r="S8074">
        <v>0</v>
      </c>
      <c r="T8074">
        <v>1</v>
      </c>
      <c r="U8074">
        <v>0</v>
      </c>
      <c r="V8074">
        <v>0</v>
      </c>
      <c r="W8074">
        <v>1</v>
      </c>
      <c r="X8074">
        <v>0</v>
      </c>
      <c r="Y8074">
        <v>1</v>
      </c>
      <c r="Z8074">
        <v>0</v>
      </c>
      <c r="AA8074">
        <v>0</v>
      </c>
      <c r="AB8074">
        <v>0</v>
      </c>
      <c r="AC8074">
        <v>1</v>
      </c>
      <c r="AD8074">
        <v>1</v>
      </c>
      <c r="AE8074">
        <v>1</v>
      </c>
      <c r="AF8074">
        <v>1</v>
      </c>
      <c r="AG8074">
        <v>1</v>
      </c>
      <c r="AH8074">
        <v>1</v>
      </c>
      <c r="AI8074">
        <v>1</v>
      </c>
      <c r="AJ8074">
        <v>1</v>
      </c>
      <c r="AK8074">
        <v>1</v>
      </c>
      <c r="AL8074">
        <v>1</v>
      </c>
      <c r="AM8074">
        <v>1</v>
      </c>
    </row>
    <row r="8075" spans="1:39" x14ac:dyDescent="0.2">
      <c r="A8075" t="str">
        <f>"8071"</f>
        <v>8071</v>
      </c>
      <c r="B8075" t="str">
        <f t="shared" si="448"/>
        <v>1</v>
      </c>
      <c r="C8075" t="str">
        <f t="shared" si="449"/>
        <v>162</v>
      </c>
      <c r="D8075" t="str">
        <f>"21"</f>
        <v>21</v>
      </c>
      <c r="E8075" t="str">
        <f>"1-162-21"</f>
        <v>1-162-21</v>
      </c>
      <c r="F8075" t="s">
        <v>65</v>
      </c>
      <c r="G8075" t="s">
        <v>66</v>
      </c>
      <c r="H8075" t="s">
        <v>67</v>
      </c>
      <c r="S8075">
        <v>1</v>
      </c>
      <c r="T8075">
        <v>0</v>
      </c>
      <c r="U8075">
        <v>0</v>
      </c>
      <c r="V8075">
        <v>0</v>
      </c>
      <c r="W8075">
        <v>1</v>
      </c>
      <c r="X8075">
        <v>0</v>
      </c>
      <c r="Y8075">
        <v>1</v>
      </c>
      <c r="Z8075">
        <v>0</v>
      </c>
      <c r="AA8075">
        <v>0</v>
      </c>
      <c r="AB8075">
        <v>1</v>
      </c>
      <c r="AC8075">
        <v>0</v>
      </c>
      <c r="AD8075">
        <v>1</v>
      </c>
      <c r="AE8075">
        <v>1</v>
      </c>
      <c r="AF8075">
        <v>1</v>
      </c>
      <c r="AG8075">
        <v>1</v>
      </c>
      <c r="AH8075">
        <v>1</v>
      </c>
      <c r="AI8075">
        <v>1</v>
      </c>
      <c r="AJ8075">
        <v>1</v>
      </c>
      <c r="AK8075">
        <v>1</v>
      </c>
      <c r="AL8075">
        <v>1</v>
      </c>
      <c r="AM8075">
        <v>1</v>
      </c>
    </row>
    <row r="8076" spans="1:39" x14ac:dyDescent="0.2">
      <c r="A8076" t="str">
        <f>"8072"</f>
        <v>8072</v>
      </c>
      <c r="B8076" t="str">
        <f t="shared" si="448"/>
        <v>1</v>
      </c>
      <c r="C8076" t="str">
        <f t="shared" si="449"/>
        <v>162</v>
      </c>
      <c r="D8076" t="str">
        <f>"13"</f>
        <v>13</v>
      </c>
      <c r="E8076" t="str">
        <f>"1-162-13"</f>
        <v>1-162-13</v>
      </c>
      <c r="F8076" t="s">
        <v>65</v>
      </c>
      <c r="G8076" t="s">
        <v>66</v>
      </c>
      <c r="H8076" t="s">
        <v>67</v>
      </c>
      <c r="S8076">
        <v>0</v>
      </c>
      <c r="T8076">
        <v>1</v>
      </c>
      <c r="U8076">
        <v>0</v>
      </c>
      <c r="V8076">
        <v>0</v>
      </c>
      <c r="W8076">
        <v>0</v>
      </c>
      <c r="X8076">
        <v>1</v>
      </c>
      <c r="Y8076">
        <v>0</v>
      </c>
      <c r="Z8076">
        <v>1</v>
      </c>
      <c r="AA8076">
        <v>0</v>
      </c>
      <c r="AB8076">
        <v>1</v>
      </c>
      <c r="AC8076">
        <v>0</v>
      </c>
      <c r="AD8076">
        <v>1</v>
      </c>
      <c r="AE8076">
        <v>1</v>
      </c>
      <c r="AF8076">
        <v>1</v>
      </c>
      <c r="AG8076">
        <v>1</v>
      </c>
      <c r="AH8076">
        <v>1</v>
      </c>
      <c r="AI8076">
        <v>1</v>
      </c>
      <c r="AJ8076">
        <v>1</v>
      </c>
      <c r="AK8076">
        <v>1</v>
      </c>
      <c r="AL8076">
        <v>1</v>
      </c>
      <c r="AM8076">
        <v>1</v>
      </c>
    </row>
    <row r="8077" spans="1:39" x14ac:dyDescent="0.2">
      <c r="A8077" t="str">
        <f>"8073"</f>
        <v>8073</v>
      </c>
      <c r="B8077" t="str">
        <f t="shared" si="448"/>
        <v>1</v>
      </c>
      <c r="C8077" t="str">
        <f t="shared" si="449"/>
        <v>162</v>
      </c>
      <c r="D8077" t="str">
        <f>"40"</f>
        <v>40</v>
      </c>
      <c r="E8077" t="str">
        <f>"1-162-40"</f>
        <v>1-162-40</v>
      </c>
      <c r="F8077" t="s">
        <v>65</v>
      </c>
      <c r="G8077" t="s">
        <v>66</v>
      </c>
      <c r="H8077" t="s">
        <v>67</v>
      </c>
      <c r="S8077">
        <v>1</v>
      </c>
      <c r="T8077">
        <v>0</v>
      </c>
      <c r="U8077">
        <v>0</v>
      </c>
      <c r="V8077">
        <v>0</v>
      </c>
      <c r="W8077">
        <v>1</v>
      </c>
      <c r="X8077">
        <v>0</v>
      </c>
      <c r="Y8077">
        <v>1</v>
      </c>
      <c r="Z8077">
        <v>0</v>
      </c>
      <c r="AA8077">
        <v>0</v>
      </c>
      <c r="AB8077">
        <v>1</v>
      </c>
      <c r="AC8077">
        <v>0</v>
      </c>
      <c r="AD8077">
        <v>1</v>
      </c>
      <c r="AE8077">
        <v>1</v>
      </c>
      <c r="AF8077">
        <v>1</v>
      </c>
      <c r="AG8077">
        <v>1</v>
      </c>
      <c r="AH8077">
        <v>1</v>
      </c>
      <c r="AI8077">
        <v>1</v>
      </c>
      <c r="AJ8077">
        <v>1</v>
      </c>
      <c r="AK8077">
        <v>1</v>
      </c>
      <c r="AL8077">
        <v>1</v>
      </c>
      <c r="AM8077">
        <v>1</v>
      </c>
    </row>
    <row r="8078" spans="1:39" x14ac:dyDescent="0.2">
      <c r="A8078" t="str">
        <f>"8074"</f>
        <v>8074</v>
      </c>
      <c r="B8078" t="str">
        <f t="shared" si="448"/>
        <v>1</v>
      </c>
      <c r="C8078" t="str">
        <f t="shared" si="449"/>
        <v>162</v>
      </c>
      <c r="D8078" t="str">
        <f>"22"</f>
        <v>22</v>
      </c>
      <c r="E8078" t="str">
        <f>"1-162-22"</f>
        <v>1-162-22</v>
      </c>
      <c r="F8078" t="s">
        <v>65</v>
      </c>
      <c r="G8078" t="s">
        <v>66</v>
      </c>
      <c r="H8078" t="s">
        <v>67</v>
      </c>
      <c r="S8078">
        <v>1</v>
      </c>
      <c r="T8078">
        <v>0</v>
      </c>
      <c r="U8078">
        <v>0</v>
      </c>
      <c r="V8078">
        <v>0</v>
      </c>
      <c r="W8078">
        <v>1</v>
      </c>
      <c r="X8078">
        <v>0</v>
      </c>
      <c r="Y8078">
        <v>0</v>
      </c>
      <c r="Z8078">
        <v>1</v>
      </c>
      <c r="AA8078">
        <v>0</v>
      </c>
      <c r="AB8078">
        <v>0</v>
      </c>
      <c r="AC8078">
        <v>1</v>
      </c>
      <c r="AD8078">
        <v>1</v>
      </c>
      <c r="AE8078">
        <v>1</v>
      </c>
      <c r="AF8078">
        <v>1</v>
      </c>
      <c r="AG8078">
        <v>1</v>
      </c>
      <c r="AH8078">
        <v>1</v>
      </c>
      <c r="AI8078">
        <v>1</v>
      </c>
      <c r="AJ8078">
        <v>1</v>
      </c>
      <c r="AK8078">
        <v>1</v>
      </c>
      <c r="AL8078">
        <v>1</v>
      </c>
      <c r="AM8078">
        <v>1</v>
      </c>
    </row>
    <row r="8079" spans="1:39" x14ac:dyDescent="0.2">
      <c r="A8079" t="str">
        <f>"8075"</f>
        <v>8075</v>
      </c>
      <c r="B8079" t="str">
        <f t="shared" si="448"/>
        <v>1</v>
      </c>
      <c r="C8079" t="str">
        <f t="shared" si="449"/>
        <v>162</v>
      </c>
      <c r="D8079" t="str">
        <f>"4"</f>
        <v>4</v>
      </c>
      <c r="E8079" t="str">
        <f>"1-162-4"</f>
        <v>1-162-4</v>
      </c>
      <c r="F8079" t="s">
        <v>65</v>
      </c>
      <c r="G8079" t="s">
        <v>66</v>
      </c>
      <c r="H8079" t="s">
        <v>67</v>
      </c>
      <c r="S8079">
        <v>1</v>
      </c>
      <c r="T8079">
        <v>0</v>
      </c>
      <c r="U8079">
        <v>0</v>
      </c>
      <c r="V8079">
        <v>0</v>
      </c>
      <c r="W8079">
        <v>0</v>
      </c>
      <c r="X8079">
        <v>1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1</v>
      </c>
      <c r="AE8079">
        <v>1</v>
      </c>
      <c r="AF8079">
        <v>0</v>
      </c>
      <c r="AG8079">
        <v>1</v>
      </c>
      <c r="AH8079">
        <v>1</v>
      </c>
      <c r="AI8079">
        <v>1</v>
      </c>
      <c r="AJ8079">
        <v>1</v>
      </c>
      <c r="AK8079">
        <v>0</v>
      </c>
      <c r="AL8079">
        <v>1</v>
      </c>
      <c r="AM8079">
        <v>1</v>
      </c>
    </row>
    <row r="8080" spans="1:39" x14ac:dyDescent="0.2">
      <c r="A8080" t="str">
        <f>"8076"</f>
        <v>8076</v>
      </c>
      <c r="B8080" t="str">
        <f t="shared" si="448"/>
        <v>1</v>
      </c>
      <c r="C8080" t="str">
        <f t="shared" si="449"/>
        <v>162</v>
      </c>
      <c r="D8080" t="str">
        <f>"46"</f>
        <v>46</v>
      </c>
      <c r="E8080" t="str">
        <f>"1-162-46"</f>
        <v>1-162-46</v>
      </c>
      <c r="F8080" t="s">
        <v>65</v>
      </c>
      <c r="G8080" t="s">
        <v>66</v>
      </c>
      <c r="H8080" t="s">
        <v>67</v>
      </c>
      <c r="S8080">
        <v>1</v>
      </c>
      <c r="T8080">
        <v>0</v>
      </c>
      <c r="U8080">
        <v>0</v>
      </c>
      <c r="V8080">
        <v>0</v>
      </c>
      <c r="W8080">
        <v>1</v>
      </c>
      <c r="X8080">
        <v>0</v>
      </c>
      <c r="Y8080">
        <v>1</v>
      </c>
      <c r="Z8080">
        <v>0</v>
      </c>
      <c r="AA8080">
        <v>1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</row>
    <row r="8081" spans="1:39" x14ac:dyDescent="0.2">
      <c r="A8081" t="str">
        <f>"8077"</f>
        <v>8077</v>
      </c>
      <c r="B8081" t="str">
        <f t="shared" si="448"/>
        <v>1</v>
      </c>
      <c r="C8081" t="str">
        <f t="shared" si="449"/>
        <v>162</v>
      </c>
      <c r="D8081" t="str">
        <f>"23"</f>
        <v>23</v>
      </c>
      <c r="E8081" t="str">
        <f>"1-162-23"</f>
        <v>1-162-23</v>
      </c>
      <c r="F8081" t="s">
        <v>65</v>
      </c>
      <c r="G8081" t="s">
        <v>66</v>
      </c>
      <c r="H8081" t="s">
        <v>67</v>
      </c>
      <c r="S8081">
        <v>1</v>
      </c>
      <c r="T8081">
        <v>0</v>
      </c>
      <c r="U8081">
        <v>0</v>
      </c>
      <c r="V8081">
        <v>0</v>
      </c>
      <c r="W8081">
        <v>1</v>
      </c>
      <c r="X8081">
        <v>0</v>
      </c>
      <c r="Y8081">
        <v>1</v>
      </c>
      <c r="Z8081">
        <v>0</v>
      </c>
      <c r="AA8081">
        <v>0</v>
      </c>
      <c r="AB8081">
        <v>1</v>
      </c>
      <c r="AC8081">
        <v>0</v>
      </c>
      <c r="AD8081">
        <v>1</v>
      </c>
      <c r="AE8081">
        <v>1</v>
      </c>
      <c r="AF8081">
        <v>1</v>
      </c>
      <c r="AG8081">
        <v>1</v>
      </c>
      <c r="AH8081">
        <v>1</v>
      </c>
      <c r="AI8081">
        <v>1</v>
      </c>
      <c r="AJ8081">
        <v>1</v>
      </c>
      <c r="AK8081">
        <v>1</v>
      </c>
      <c r="AL8081">
        <v>1</v>
      </c>
      <c r="AM8081">
        <v>1</v>
      </c>
    </row>
    <row r="8082" spans="1:39" x14ac:dyDescent="0.2">
      <c r="A8082" t="str">
        <f>"8078"</f>
        <v>8078</v>
      </c>
      <c r="B8082" t="str">
        <f t="shared" si="448"/>
        <v>1</v>
      </c>
      <c r="C8082" t="str">
        <f t="shared" si="449"/>
        <v>162</v>
      </c>
      <c r="D8082" t="str">
        <f>"1"</f>
        <v>1</v>
      </c>
      <c r="E8082" t="str">
        <f>"1-162-1"</f>
        <v>1-162-1</v>
      </c>
      <c r="F8082" t="s">
        <v>65</v>
      </c>
      <c r="G8082" t="s">
        <v>66</v>
      </c>
      <c r="H8082" t="s">
        <v>67</v>
      </c>
      <c r="S8082">
        <v>0</v>
      </c>
      <c r="T8082">
        <v>1</v>
      </c>
      <c r="U8082">
        <v>0</v>
      </c>
      <c r="V8082">
        <v>0</v>
      </c>
      <c r="W8082">
        <v>1</v>
      </c>
      <c r="X8082">
        <v>0</v>
      </c>
      <c r="Y8082">
        <v>0</v>
      </c>
      <c r="Z8082">
        <v>1</v>
      </c>
      <c r="AA8082">
        <v>1</v>
      </c>
      <c r="AB8082">
        <v>0</v>
      </c>
      <c r="AC8082">
        <v>0</v>
      </c>
      <c r="AD8082">
        <v>1</v>
      </c>
      <c r="AE8082">
        <v>1</v>
      </c>
      <c r="AF8082">
        <v>1</v>
      </c>
      <c r="AG8082">
        <v>1</v>
      </c>
      <c r="AH8082">
        <v>1</v>
      </c>
      <c r="AI8082">
        <v>1</v>
      </c>
      <c r="AJ8082">
        <v>1</v>
      </c>
      <c r="AK8082">
        <v>1</v>
      </c>
      <c r="AL8082">
        <v>1</v>
      </c>
      <c r="AM8082">
        <v>1</v>
      </c>
    </row>
    <row r="8083" spans="1:39" x14ac:dyDescent="0.2">
      <c r="A8083" t="str">
        <f>"8079"</f>
        <v>8079</v>
      </c>
      <c r="B8083" t="str">
        <f t="shared" si="448"/>
        <v>1</v>
      </c>
      <c r="C8083" t="str">
        <f t="shared" si="449"/>
        <v>162</v>
      </c>
      <c r="D8083" t="str">
        <f>"42"</f>
        <v>42</v>
      </c>
      <c r="E8083" t="str">
        <f>"1-162-42"</f>
        <v>1-162-42</v>
      </c>
      <c r="F8083" t="s">
        <v>65</v>
      </c>
      <c r="G8083" t="s">
        <v>66</v>
      </c>
      <c r="H8083" t="s">
        <v>67</v>
      </c>
      <c r="S8083">
        <v>0</v>
      </c>
      <c r="T8083">
        <v>1</v>
      </c>
      <c r="U8083">
        <v>0</v>
      </c>
      <c r="V8083">
        <v>0</v>
      </c>
      <c r="W8083">
        <v>1</v>
      </c>
      <c r="X8083">
        <v>0</v>
      </c>
      <c r="Y8083">
        <v>0</v>
      </c>
      <c r="Z8083">
        <v>1</v>
      </c>
      <c r="AA8083">
        <v>1</v>
      </c>
      <c r="AB8083">
        <v>0</v>
      </c>
      <c r="AC8083">
        <v>0</v>
      </c>
      <c r="AD8083">
        <v>1</v>
      </c>
      <c r="AE8083">
        <v>1</v>
      </c>
      <c r="AF8083">
        <v>1</v>
      </c>
      <c r="AG8083">
        <v>1</v>
      </c>
      <c r="AH8083">
        <v>1</v>
      </c>
      <c r="AI8083">
        <v>1</v>
      </c>
      <c r="AJ8083">
        <v>1</v>
      </c>
      <c r="AK8083">
        <v>1</v>
      </c>
      <c r="AL8083">
        <v>1</v>
      </c>
      <c r="AM8083">
        <v>1</v>
      </c>
    </row>
    <row r="8084" spans="1:39" x14ac:dyDescent="0.2">
      <c r="A8084" t="str">
        <f>"8080"</f>
        <v>8080</v>
      </c>
      <c r="B8084" t="str">
        <f t="shared" si="448"/>
        <v>1</v>
      </c>
      <c r="C8084" t="str">
        <f t="shared" si="449"/>
        <v>162</v>
      </c>
      <c r="D8084" t="str">
        <f>"24"</f>
        <v>24</v>
      </c>
      <c r="E8084" t="str">
        <f>"1-162-24"</f>
        <v>1-162-24</v>
      </c>
      <c r="F8084" t="s">
        <v>65</v>
      </c>
      <c r="G8084" t="s">
        <v>66</v>
      </c>
      <c r="H8084" t="s">
        <v>67</v>
      </c>
      <c r="S8084">
        <v>0</v>
      </c>
      <c r="T8084">
        <v>1</v>
      </c>
      <c r="U8084">
        <v>0</v>
      </c>
      <c r="V8084">
        <v>0</v>
      </c>
      <c r="W8084">
        <v>1</v>
      </c>
      <c r="X8084">
        <v>0</v>
      </c>
      <c r="Y8084">
        <v>0</v>
      </c>
      <c r="Z8084">
        <v>0</v>
      </c>
      <c r="AA8084">
        <v>1</v>
      </c>
      <c r="AB8084">
        <v>0</v>
      </c>
      <c r="AC8084">
        <v>0</v>
      </c>
      <c r="AD8084">
        <v>1</v>
      </c>
      <c r="AE8084">
        <v>1</v>
      </c>
      <c r="AF8084">
        <v>1</v>
      </c>
      <c r="AG8084">
        <v>1</v>
      </c>
      <c r="AH8084">
        <v>1</v>
      </c>
      <c r="AI8084">
        <v>1</v>
      </c>
      <c r="AJ8084">
        <v>1</v>
      </c>
      <c r="AK8084">
        <v>1</v>
      </c>
      <c r="AL8084">
        <v>1</v>
      </c>
      <c r="AM8084">
        <v>1</v>
      </c>
    </row>
    <row r="8085" spans="1:39" x14ac:dyDescent="0.2">
      <c r="A8085" t="str">
        <f>"8081"</f>
        <v>8081</v>
      </c>
      <c r="B8085" t="str">
        <f t="shared" si="448"/>
        <v>1</v>
      </c>
      <c r="C8085" t="str">
        <f t="shared" si="449"/>
        <v>162</v>
      </c>
      <c r="D8085" t="str">
        <f>"14"</f>
        <v>14</v>
      </c>
      <c r="E8085" t="str">
        <f>"1-162-14"</f>
        <v>1-162-14</v>
      </c>
      <c r="F8085" t="s">
        <v>65</v>
      </c>
      <c r="G8085" t="s">
        <v>66</v>
      </c>
      <c r="H8085" t="s">
        <v>67</v>
      </c>
      <c r="S8085">
        <v>1</v>
      </c>
      <c r="T8085">
        <v>0</v>
      </c>
      <c r="U8085">
        <v>0</v>
      </c>
      <c r="V8085">
        <v>0</v>
      </c>
      <c r="W8085">
        <v>1</v>
      </c>
      <c r="X8085">
        <v>0</v>
      </c>
      <c r="Y8085">
        <v>1</v>
      </c>
      <c r="Z8085">
        <v>0</v>
      </c>
      <c r="AA8085">
        <v>1</v>
      </c>
      <c r="AB8085">
        <v>0</v>
      </c>
      <c r="AC8085">
        <v>0</v>
      </c>
      <c r="AD8085">
        <v>1</v>
      </c>
      <c r="AE8085">
        <v>1</v>
      </c>
      <c r="AF8085">
        <v>1</v>
      </c>
      <c r="AG8085">
        <v>1</v>
      </c>
      <c r="AH8085">
        <v>1</v>
      </c>
      <c r="AI8085">
        <v>1</v>
      </c>
      <c r="AJ8085">
        <v>1</v>
      </c>
      <c r="AK8085">
        <v>1</v>
      </c>
      <c r="AL8085">
        <v>1</v>
      </c>
      <c r="AM8085">
        <v>1</v>
      </c>
    </row>
    <row r="8086" spans="1:39" x14ac:dyDescent="0.2">
      <c r="A8086" t="str">
        <f>"8082"</f>
        <v>8082</v>
      </c>
      <c r="B8086" t="str">
        <f t="shared" si="448"/>
        <v>1</v>
      </c>
      <c r="C8086" t="str">
        <f t="shared" si="449"/>
        <v>162</v>
      </c>
      <c r="D8086" t="str">
        <f>"41"</f>
        <v>41</v>
      </c>
      <c r="E8086" t="str">
        <f>"1-162-41"</f>
        <v>1-162-41</v>
      </c>
      <c r="F8086" t="s">
        <v>65</v>
      </c>
      <c r="G8086" t="s">
        <v>66</v>
      </c>
      <c r="H8086" t="s">
        <v>67</v>
      </c>
      <c r="S8086">
        <v>1</v>
      </c>
      <c r="T8086">
        <v>0</v>
      </c>
      <c r="U8086">
        <v>0</v>
      </c>
      <c r="V8086">
        <v>0</v>
      </c>
      <c r="W8086">
        <v>1</v>
      </c>
      <c r="X8086">
        <v>0</v>
      </c>
      <c r="Y8086">
        <v>1</v>
      </c>
      <c r="Z8086">
        <v>0</v>
      </c>
      <c r="AA8086">
        <v>0</v>
      </c>
      <c r="AB8086">
        <v>0</v>
      </c>
      <c r="AC8086">
        <v>1</v>
      </c>
      <c r="AD8086">
        <v>1</v>
      </c>
      <c r="AE8086">
        <v>1</v>
      </c>
      <c r="AF8086">
        <v>1</v>
      </c>
      <c r="AG8086">
        <v>1</v>
      </c>
      <c r="AH8086">
        <v>1</v>
      </c>
      <c r="AI8086">
        <v>1</v>
      </c>
      <c r="AJ8086">
        <v>1</v>
      </c>
      <c r="AK8086">
        <v>1</v>
      </c>
      <c r="AL8086">
        <v>1</v>
      </c>
      <c r="AM8086">
        <v>1</v>
      </c>
    </row>
    <row r="8087" spans="1:39" x14ac:dyDescent="0.2">
      <c r="A8087" t="str">
        <f>"8083"</f>
        <v>8083</v>
      </c>
      <c r="B8087" t="str">
        <f t="shared" si="448"/>
        <v>1</v>
      </c>
      <c r="C8087" t="str">
        <f t="shared" ref="C8087:C8104" si="450">"162"</f>
        <v>162</v>
      </c>
      <c r="D8087" t="str">
        <f>"25"</f>
        <v>25</v>
      </c>
      <c r="E8087" t="str">
        <f>"1-162-25"</f>
        <v>1-162-25</v>
      </c>
      <c r="F8087" t="s">
        <v>65</v>
      </c>
      <c r="G8087" t="s">
        <v>66</v>
      </c>
      <c r="H8087" t="s">
        <v>67</v>
      </c>
      <c r="S8087">
        <v>1</v>
      </c>
      <c r="T8087">
        <v>0</v>
      </c>
      <c r="U8087">
        <v>0</v>
      </c>
      <c r="V8087">
        <v>0</v>
      </c>
      <c r="W8087">
        <v>0</v>
      </c>
      <c r="X8087">
        <v>1</v>
      </c>
      <c r="Y8087">
        <v>1</v>
      </c>
      <c r="Z8087">
        <v>0</v>
      </c>
      <c r="AA8087">
        <v>0</v>
      </c>
      <c r="AB8087">
        <v>0</v>
      </c>
      <c r="AC8087">
        <v>1</v>
      </c>
      <c r="AD8087">
        <v>1</v>
      </c>
      <c r="AE8087">
        <v>1</v>
      </c>
      <c r="AF8087">
        <v>1</v>
      </c>
      <c r="AG8087">
        <v>1</v>
      </c>
      <c r="AH8087">
        <v>1</v>
      </c>
      <c r="AI8087">
        <v>1</v>
      </c>
      <c r="AJ8087">
        <v>1</v>
      </c>
      <c r="AK8087">
        <v>1</v>
      </c>
      <c r="AL8087">
        <v>1</v>
      </c>
      <c r="AM8087">
        <v>1</v>
      </c>
    </row>
    <row r="8088" spans="1:39" x14ac:dyDescent="0.2">
      <c r="A8088" t="str">
        <f>"8084"</f>
        <v>8084</v>
      </c>
      <c r="B8088" t="str">
        <f t="shared" si="448"/>
        <v>1</v>
      </c>
      <c r="C8088" t="str">
        <f t="shared" si="450"/>
        <v>162</v>
      </c>
      <c r="D8088" t="str">
        <f>"5"</f>
        <v>5</v>
      </c>
      <c r="E8088" t="str">
        <f>"1-162-5"</f>
        <v>1-162-5</v>
      </c>
      <c r="F8088" t="s">
        <v>65</v>
      </c>
      <c r="G8088" t="s">
        <v>66</v>
      </c>
      <c r="H8088" t="s">
        <v>67</v>
      </c>
      <c r="S8088">
        <v>1</v>
      </c>
      <c r="T8088">
        <v>0</v>
      </c>
      <c r="U8088">
        <v>0</v>
      </c>
      <c r="V8088">
        <v>0</v>
      </c>
      <c r="W8088">
        <v>1</v>
      </c>
      <c r="X8088">
        <v>0</v>
      </c>
      <c r="Y8088">
        <v>1</v>
      </c>
      <c r="Z8088">
        <v>0</v>
      </c>
      <c r="AA8088">
        <v>1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</row>
    <row r="8089" spans="1:39" x14ac:dyDescent="0.2">
      <c r="A8089" t="str">
        <f>"8085"</f>
        <v>8085</v>
      </c>
      <c r="B8089" t="str">
        <f t="shared" si="448"/>
        <v>1</v>
      </c>
      <c r="C8089" t="str">
        <f t="shared" si="450"/>
        <v>162</v>
      </c>
      <c r="D8089" t="str">
        <f>"27"</f>
        <v>27</v>
      </c>
      <c r="E8089" t="str">
        <f>"1-162-27"</f>
        <v>1-162-27</v>
      </c>
      <c r="F8089" t="s">
        <v>65</v>
      </c>
      <c r="G8089" t="s">
        <v>66</v>
      </c>
      <c r="H8089" t="s">
        <v>67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1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1</v>
      </c>
    </row>
    <row r="8090" spans="1:39" x14ac:dyDescent="0.2">
      <c r="A8090" t="str">
        <f>"8086"</f>
        <v>8086</v>
      </c>
      <c r="B8090" t="str">
        <f t="shared" si="448"/>
        <v>1</v>
      </c>
      <c r="C8090" t="str">
        <f t="shared" si="450"/>
        <v>162</v>
      </c>
      <c r="D8090" t="str">
        <f>"9"</f>
        <v>9</v>
      </c>
      <c r="E8090" t="str">
        <f>"1-162-9"</f>
        <v>1-162-9</v>
      </c>
      <c r="F8090" t="s">
        <v>65</v>
      </c>
      <c r="G8090" t="s">
        <v>66</v>
      </c>
      <c r="H8090" t="s">
        <v>67</v>
      </c>
      <c r="S8090">
        <v>1</v>
      </c>
      <c r="T8090">
        <v>0</v>
      </c>
      <c r="U8090">
        <v>0</v>
      </c>
      <c r="V8090">
        <v>0</v>
      </c>
      <c r="W8090">
        <v>1</v>
      </c>
      <c r="X8090">
        <v>0</v>
      </c>
      <c r="Y8090">
        <v>1</v>
      </c>
      <c r="Z8090">
        <v>0</v>
      </c>
      <c r="AA8090">
        <v>1</v>
      </c>
      <c r="AB8090">
        <v>0</v>
      </c>
      <c r="AC8090">
        <v>0</v>
      </c>
      <c r="AD8090">
        <v>1</v>
      </c>
      <c r="AE8090">
        <v>1</v>
      </c>
      <c r="AF8090">
        <v>1</v>
      </c>
      <c r="AG8090">
        <v>1</v>
      </c>
      <c r="AH8090">
        <v>1</v>
      </c>
      <c r="AI8090">
        <v>1</v>
      </c>
      <c r="AJ8090">
        <v>1</v>
      </c>
      <c r="AK8090">
        <v>1</v>
      </c>
      <c r="AL8090">
        <v>1</v>
      </c>
      <c r="AM8090">
        <v>1</v>
      </c>
    </row>
    <row r="8091" spans="1:39" x14ac:dyDescent="0.2">
      <c r="A8091" t="str">
        <f>"8087"</f>
        <v>8087</v>
      </c>
      <c r="B8091" t="str">
        <f t="shared" si="448"/>
        <v>1</v>
      </c>
      <c r="C8091" t="str">
        <f t="shared" si="450"/>
        <v>162</v>
      </c>
      <c r="D8091" t="str">
        <f>"43"</f>
        <v>43</v>
      </c>
      <c r="E8091" t="str">
        <f>"1-162-43"</f>
        <v>1-162-43</v>
      </c>
      <c r="F8091" t="s">
        <v>65</v>
      </c>
      <c r="G8091" t="s">
        <v>66</v>
      </c>
      <c r="H8091" t="s">
        <v>67</v>
      </c>
      <c r="S8091">
        <v>1</v>
      </c>
      <c r="T8091">
        <v>0</v>
      </c>
      <c r="U8091">
        <v>0</v>
      </c>
      <c r="V8091">
        <v>0</v>
      </c>
      <c r="W8091">
        <v>1</v>
      </c>
      <c r="X8091">
        <v>0</v>
      </c>
      <c r="Y8091">
        <v>0</v>
      </c>
      <c r="Z8091">
        <v>1</v>
      </c>
      <c r="AA8091">
        <v>1</v>
      </c>
      <c r="AB8091">
        <v>0</v>
      </c>
      <c r="AC8091">
        <v>0</v>
      </c>
      <c r="AD8091">
        <v>1</v>
      </c>
      <c r="AE8091">
        <v>1</v>
      </c>
      <c r="AF8091">
        <v>1</v>
      </c>
      <c r="AG8091">
        <v>1</v>
      </c>
      <c r="AH8091">
        <v>1</v>
      </c>
      <c r="AI8091">
        <v>1</v>
      </c>
      <c r="AJ8091">
        <v>1</v>
      </c>
      <c r="AK8091">
        <v>1</v>
      </c>
      <c r="AL8091">
        <v>1</v>
      </c>
      <c r="AM8091">
        <v>1</v>
      </c>
    </row>
    <row r="8092" spans="1:39" x14ac:dyDescent="0.2">
      <c r="A8092" t="str">
        <f>"8088"</f>
        <v>8088</v>
      </c>
      <c r="B8092" t="str">
        <f t="shared" si="448"/>
        <v>1</v>
      </c>
      <c r="C8092" t="str">
        <f t="shared" si="450"/>
        <v>162</v>
      </c>
      <c r="D8092" t="str">
        <f>"28"</f>
        <v>28</v>
      </c>
      <c r="E8092" t="str">
        <f>"1-162-28"</f>
        <v>1-162-28</v>
      </c>
      <c r="F8092" t="s">
        <v>65</v>
      </c>
      <c r="G8092" t="s">
        <v>66</v>
      </c>
      <c r="H8092" t="s">
        <v>67</v>
      </c>
      <c r="S8092">
        <v>0</v>
      </c>
      <c r="T8092">
        <v>1</v>
      </c>
      <c r="U8092">
        <v>0</v>
      </c>
      <c r="V8092">
        <v>0</v>
      </c>
      <c r="W8092">
        <v>1</v>
      </c>
      <c r="X8092">
        <v>0</v>
      </c>
      <c r="Y8092">
        <v>0</v>
      </c>
      <c r="Z8092">
        <v>1</v>
      </c>
      <c r="AA8092">
        <v>0</v>
      </c>
      <c r="AB8092">
        <v>0</v>
      </c>
      <c r="AC8092">
        <v>1</v>
      </c>
      <c r="AD8092">
        <v>1</v>
      </c>
      <c r="AE8092">
        <v>1</v>
      </c>
      <c r="AF8092">
        <v>1</v>
      </c>
      <c r="AG8092">
        <v>1</v>
      </c>
      <c r="AH8092">
        <v>1</v>
      </c>
      <c r="AI8092">
        <v>1</v>
      </c>
      <c r="AJ8092">
        <v>1</v>
      </c>
      <c r="AK8092">
        <v>1</v>
      </c>
      <c r="AL8092">
        <v>1</v>
      </c>
      <c r="AM8092">
        <v>1</v>
      </c>
    </row>
    <row r="8093" spans="1:39" x14ac:dyDescent="0.2">
      <c r="A8093" t="str">
        <f>"8089"</f>
        <v>8089</v>
      </c>
      <c r="B8093" t="str">
        <f t="shared" si="448"/>
        <v>1</v>
      </c>
      <c r="C8093" t="str">
        <f t="shared" si="450"/>
        <v>162</v>
      </c>
      <c r="D8093" t="str">
        <f>"10"</f>
        <v>10</v>
      </c>
      <c r="E8093" t="str">
        <f>"1-162-10"</f>
        <v>1-162-10</v>
      </c>
      <c r="F8093" t="s">
        <v>65</v>
      </c>
      <c r="G8093" t="s">
        <v>66</v>
      </c>
      <c r="H8093" t="s">
        <v>67</v>
      </c>
      <c r="S8093">
        <v>1</v>
      </c>
      <c r="T8093">
        <v>0</v>
      </c>
      <c r="U8093">
        <v>0</v>
      </c>
      <c r="V8093">
        <v>0</v>
      </c>
      <c r="W8093">
        <v>1</v>
      </c>
      <c r="X8093">
        <v>0</v>
      </c>
      <c r="Y8093">
        <v>0</v>
      </c>
      <c r="Z8093">
        <v>1</v>
      </c>
      <c r="AA8093">
        <v>0</v>
      </c>
      <c r="AB8093">
        <v>0</v>
      </c>
      <c r="AC8093">
        <v>1</v>
      </c>
      <c r="AD8093">
        <v>1</v>
      </c>
      <c r="AE8093">
        <v>1</v>
      </c>
      <c r="AF8093">
        <v>1</v>
      </c>
      <c r="AG8093">
        <v>1</v>
      </c>
      <c r="AH8093">
        <v>1</v>
      </c>
      <c r="AI8093">
        <v>1</v>
      </c>
      <c r="AJ8093">
        <v>1</v>
      </c>
      <c r="AK8093">
        <v>1</v>
      </c>
      <c r="AL8093">
        <v>1</v>
      </c>
      <c r="AM8093">
        <v>1</v>
      </c>
    </row>
    <row r="8094" spans="1:39" x14ac:dyDescent="0.2">
      <c r="A8094" t="str">
        <f>"8090"</f>
        <v>8090</v>
      </c>
      <c r="B8094" t="str">
        <f t="shared" si="448"/>
        <v>1</v>
      </c>
      <c r="C8094" t="str">
        <f t="shared" si="450"/>
        <v>162</v>
      </c>
      <c r="D8094" t="str">
        <f>"44"</f>
        <v>44</v>
      </c>
      <c r="E8094" t="str">
        <f>"1-162-44"</f>
        <v>1-162-44</v>
      </c>
      <c r="F8094" t="s">
        <v>65</v>
      </c>
      <c r="G8094" t="s">
        <v>66</v>
      </c>
      <c r="H8094" t="s">
        <v>67</v>
      </c>
      <c r="S8094">
        <v>0</v>
      </c>
      <c r="T8094">
        <v>1</v>
      </c>
      <c r="U8094">
        <v>0</v>
      </c>
      <c r="V8094">
        <v>0</v>
      </c>
      <c r="W8094">
        <v>0</v>
      </c>
      <c r="X8094">
        <v>1</v>
      </c>
      <c r="Y8094">
        <v>0</v>
      </c>
      <c r="Z8094">
        <v>1</v>
      </c>
      <c r="AA8094">
        <v>0</v>
      </c>
      <c r="AB8094">
        <v>0</v>
      </c>
      <c r="AC8094">
        <v>1</v>
      </c>
      <c r="AD8094">
        <v>0</v>
      </c>
      <c r="AE8094">
        <v>0</v>
      </c>
      <c r="AF8094">
        <v>0</v>
      </c>
      <c r="AG8094">
        <v>1</v>
      </c>
      <c r="AH8094">
        <v>1</v>
      </c>
      <c r="AI8094">
        <v>1</v>
      </c>
      <c r="AJ8094">
        <v>1</v>
      </c>
      <c r="AK8094">
        <v>0</v>
      </c>
      <c r="AL8094">
        <v>0</v>
      </c>
      <c r="AM8094">
        <v>0</v>
      </c>
    </row>
    <row r="8095" spans="1:39" x14ac:dyDescent="0.2">
      <c r="A8095" t="str">
        <f>"8091"</f>
        <v>8091</v>
      </c>
      <c r="B8095" t="str">
        <f t="shared" si="448"/>
        <v>1</v>
      </c>
      <c r="C8095" t="str">
        <f t="shared" si="450"/>
        <v>162</v>
      </c>
      <c r="D8095" t="str">
        <f>"29"</f>
        <v>29</v>
      </c>
      <c r="E8095" t="str">
        <f>"1-162-29"</f>
        <v>1-162-29</v>
      </c>
      <c r="F8095" t="s">
        <v>65</v>
      </c>
      <c r="G8095" t="s">
        <v>66</v>
      </c>
      <c r="H8095" t="s">
        <v>67</v>
      </c>
      <c r="S8095">
        <v>1</v>
      </c>
      <c r="T8095">
        <v>0</v>
      </c>
      <c r="U8095">
        <v>0</v>
      </c>
      <c r="V8095">
        <v>0</v>
      </c>
      <c r="W8095">
        <v>1</v>
      </c>
      <c r="X8095">
        <v>0</v>
      </c>
      <c r="Y8095">
        <v>1</v>
      </c>
      <c r="Z8095">
        <v>0</v>
      </c>
      <c r="AA8095">
        <v>0</v>
      </c>
      <c r="AB8095">
        <v>1</v>
      </c>
      <c r="AC8095">
        <v>0</v>
      </c>
      <c r="AD8095">
        <v>1</v>
      </c>
      <c r="AE8095">
        <v>1</v>
      </c>
      <c r="AF8095">
        <v>1</v>
      </c>
      <c r="AG8095">
        <v>0</v>
      </c>
      <c r="AH8095">
        <v>1</v>
      </c>
      <c r="AI8095">
        <v>1</v>
      </c>
      <c r="AJ8095">
        <v>1</v>
      </c>
      <c r="AK8095">
        <v>1</v>
      </c>
      <c r="AL8095">
        <v>1</v>
      </c>
      <c r="AM8095">
        <v>1</v>
      </c>
    </row>
    <row r="8096" spans="1:39" x14ac:dyDescent="0.2">
      <c r="A8096" t="str">
        <f>"8092"</f>
        <v>8092</v>
      </c>
      <c r="B8096" t="str">
        <f t="shared" si="448"/>
        <v>1</v>
      </c>
      <c r="C8096" t="str">
        <f t="shared" si="450"/>
        <v>162</v>
      </c>
      <c r="D8096" t="str">
        <f>"6"</f>
        <v>6</v>
      </c>
      <c r="E8096" t="str">
        <f>"1-162-6"</f>
        <v>1-162-6</v>
      </c>
      <c r="F8096" t="s">
        <v>65</v>
      </c>
      <c r="G8096" t="s">
        <v>66</v>
      </c>
      <c r="H8096" t="s">
        <v>67</v>
      </c>
      <c r="S8096">
        <v>1</v>
      </c>
      <c r="T8096">
        <v>0</v>
      </c>
      <c r="U8096">
        <v>0</v>
      </c>
      <c r="V8096">
        <v>0</v>
      </c>
      <c r="W8096">
        <v>1</v>
      </c>
      <c r="X8096">
        <v>0</v>
      </c>
      <c r="Y8096">
        <v>1</v>
      </c>
      <c r="Z8096">
        <v>0</v>
      </c>
      <c r="AA8096">
        <v>0</v>
      </c>
      <c r="AB8096">
        <v>1</v>
      </c>
      <c r="AC8096">
        <v>0</v>
      </c>
      <c r="AD8096">
        <v>1</v>
      </c>
      <c r="AE8096">
        <v>1</v>
      </c>
      <c r="AF8096">
        <v>1</v>
      </c>
      <c r="AG8096">
        <v>1</v>
      </c>
      <c r="AH8096">
        <v>1</v>
      </c>
      <c r="AI8096">
        <v>1</v>
      </c>
      <c r="AJ8096">
        <v>1</v>
      </c>
      <c r="AK8096">
        <v>1</v>
      </c>
      <c r="AL8096">
        <v>1</v>
      </c>
      <c r="AM8096">
        <v>1</v>
      </c>
    </row>
    <row r="8097" spans="1:39" x14ac:dyDescent="0.2">
      <c r="A8097" t="str">
        <f>"8093"</f>
        <v>8093</v>
      </c>
      <c r="B8097" t="str">
        <f t="shared" si="448"/>
        <v>1</v>
      </c>
      <c r="C8097" t="str">
        <f t="shared" si="450"/>
        <v>162</v>
      </c>
      <c r="D8097" t="str">
        <f>"48"</f>
        <v>48</v>
      </c>
      <c r="E8097" t="str">
        <f>"1-162-48"</f>
        <v>1-162-48</v>
      </c>
      <c r="F8097" t="s">
        <v>65</v>
      </c>
      <c r="G8097" t="s">
        <v>66</v>
      </c>
      <c r="H8097" t="s">
        <v>67</v>
      </c>
      <c r="S8097">
        <v>0</v>
      </c>
      <c r="T8097">
        <v>1</v>
      </c>
      <c r="U8097">
        <v>0</v>
      </c>
      <c r="V8097">
        <v>0</v>
      </c>
      <c r="W8097">
        <v>1</v>
      </c>
      <c r="X8097">
        <v>0</v>
      </c>
      <c r="Y8097">
        <v>1</v>
      </c>
      <c r="Z8097">
        <v>0</v>
      </c>
      <c r="AA8097">
        <v>0</v>
      </c>
      <c r="AB8097">
        <v>0</v>
      </c>
      <c r="AC8097">
        <v>1</v>
      </c>
      <c r="AD8097">
        <v>1</v>
      </c>
      <c r="AE8097">
        <v>1</v>
      </c>
      <c r="AF8097">
        <v>1</v>
      </c>
      <c r="AG8097">
        <v>1</v>
      </c>
      <c r="AH8097">
        <v>1</v>
      </c>
      <c r="AI8097">
        <v>1</v>
      </c>
      <c r="AJ8097">
        <v>1</v>
      </c>
      <c r="AK8097">
        <v>1</v>
      </c>
      <c r="AL8097">
        <v>1</v>
      </c>
      <c r="AM8097">
        <v>1</v>
      </c>
    </row>
    <row r="8098" spans="1:39" x14ac:dyDescent="0.2">
      <c r="A8098" t="str">
        <f>"8094"</f>
        <v>8094</v>
      </c>
      <c r="B8098" t="str">
        <f t="shared" si="448"/>
        <v>1</v>
      </c>
      <c r="C8098" t="str">
        <f t="shared" si="450"/>
        <v>162</v>
      </c>
      <c r="D8098" t="str">
        <f>"30"</f>
        <v>30</v>
      </c>
      <c r="E8098" t="str">
        <f>"1-162-30"</f>
        <v>1-162-30</v>
      </c>
      <c r="F8098" t="s">
        <v>65</v>
      </c>
      <c r="G8098" t="s">
        <v>66</v>
      </c>
      <c r="H8098" t="s">
        <v>67</v>
      </c>
      <c r="S8098">
        <v>1</v>
      </c>
      <c r="T8098">
        <v>0</v>
      </c>
      <c r="U8098">
        <v>0</v>
      </c>
      <c r="V8098">
        <v>0</v>
      </c>
      <c r="W8098">
        <v>1</v>
      </c>
      <c r="X8098">
        <v>0</v>
      </c>
      <c r="Y8098">
        <v>0</v>
      </c>
      <c r="Z8098">
        <v>1</v>
      </c>
      <c r="AA8098">
        <v>1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</row>
    <row r="8099" spans="1:39" x14ac:dyDescent="0.2">
      <c r="A8099" t="str">
        <f>"8095"</f>
        <v>8095</v>
      </c>
      <c r="B8099" t="str">
        <f t="shared" si="448"/>
        <v>1</v>
      </c>
      <c r="C8099" t="str">
        <f t="shared" si="450"/>
        <v>162</v>
      </c>
      <c r="D8099" t="str">
        <f>"8"</f>
        <v>8</v>
      </c>
      <c r="E8099" t="str">
        <f>"1-162-8"</f>
        <v>1-162-8</v>
      </c>
      <c r="F8099" t="s">
        <v>65</v>
      </c>
      <c r="G8099" t="s">
        <v>66</v>
      </c>
      <c r="H8099" t="s">
        <v>67</v>
      </c>
      <c r="S8099">
        <v>0</v>
      </c>
      <c r="T8099">
        <v>0</v>
      </c>
      <c r="U8099">
        <v>0</v>
      </c>
      <c r="V8099">
        <v>0</v>
      </c>
      <c r="W8099">
        <v>1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1</v>
      </c>
      <c r="AE8099">
        <v>1</v>
      </c>
      <c r="AF8099">
        <v>1</v>
      </c>
      <c r="AG8099">
        <v>1</v>
      </c>
      <c r="AH8099">
        <v>1</v>
      </c>
      <c r="AI8099">
        <v>1</v>
      </c>
      <c r="AJ8099">
        <v>1</v>
      </c>
      <c r="AK8099">
        <v>1</v>
      </c>
      <c r="AL8099">
        <v>1</v>
      </c>
      <c r="AM8099">
        <v>0</v>
      </c>
    </row>
    <row r="8100" spans="1:39" x14ac:dyDescent="0.2">
      <c r="A8100" t="str">
        <f>"8096"</f>
        <v>8096</v>
      </c>
      <c r="B8100" t="str">
        <f t="shared" si="448"/>
        <v>1</v>
      </c>
      <c r="C8100" t="str">
        <f t="shared" si="450"/>
        <v>162</v>
      </c>
      <c r="D8100" t="str">
        <f>"47"</f>
        <v>47</v>
      </c>
      <c r="E8100" t="str">
        <f>"1-162-47"</f>
        <v>1-162-47</v>
      </c>
      <c r="F8100" t="s">
        <v>65</v>
      </c>
      <c r="G8100" t="s">
        <v>66</v>
      </c>
      <c r="H8100" t="s">
        <v>67</v>
      </c>
      <c r="S8100">
        <v>0</v>
      </c>
      <c r="T8100">
        <v>1</v>
      </c>
      <c r="U8100">
        <v>0</v>
      </c>
      <c r="V8100">
        <v>0</v>
      </c>
      <c r="W8100">
        <v>1</v>
      </c>
      <c r="X8100">
        <v>0</v>
      </c>
      <c r="Y8100">
        <v>0</v>
      </c>
      <c r="Z8100">
        <v>1</v>
      </c>
      <c r="AA8100">
        <v>1</v>
      </c>
      <c r="AB8100">
        <v>0</v>
      </c>
      <c r="AC8100">
        <v>0</v>
      </c>
      <c r="AD8100">
        <v>1</v>
      </c>
      <c r="AE8100">
        <v>1</v>
      </c>
      <c r="AF8100">
        <v>1</v>
      </c>
      <c r="AG8100">
        <v>1</v>
      </c>
      <c r="AH8100">
        <v>1</v>
      </c>
      <c r="AI8100">
        <v>1</v>
      </c>
      <c r="AJ8100">
        <v>1</v>
      </c>
      <c r="AK8100">
        <v>1</v>
      </c>
      <c r="AL8100">
        <v>1</v>
      </c>
      <c r="AM8100">
        <v>1</v>
      </c>
    </row>
    <row r="8101" spans="1:39" x14ac:dyDescent="0.2">
      <c r="A8101" t="str">
        <f>"8097"</f>
        <v>8097</v>
      </c>
      <c r="B8101" t="str">
        <f t="shared" si="448"/>
        <v>1</v>
      </c>
      <c r="C8101" t="str">
        <f t="shared" si="450"/>
        <v>162</v>
      </c>
      <c r="D8101" t="str">
        <f>"31"</f>
        <v>31</v>
      </c>
      <c r="E8101" t="str">
        <f>"1-162-31"</f>
        <v>1-162-31</v>
      </c>
      <c r="F8101" t="s">
        <v>65</v>
      </c>
      <c r="G8101" t="s">
        <v>66</v>
      </c>
      <c r="H8101" t="s">
        <v>67</v>
      </c>
      <c r="S8101">
        <v>0</v>
      </c>
      <c r="T8101">
        <v>1</v>
      </c>
      <c r="U8101">
        <v>0</v>
      </c>
      <c r="V8101">
        <v>0</v>
      </c>
      <c r="W8101">
        <v>1</v>
      </c>
      <c r="X8101">
        <v>0</v>
      </c>
      <c r="Y8101">
        <v>0</v>
      </c>
      <c r="Z8101">
        <v>1</v>
      </c>
      <c r="AA8101">
        <v>0</v>
      </c>
      <c r="AB8101">
        <v>1</v>
      </c>
      <c r="AC8101">
        <v>0</v>
      </c>
      <c r="AD8101">
        <v>1</v>
      </c>
      <c r="AE8101">
        <v>1</v>
      </c>
      <c r="AF8101">
        <v>1</v>
      </c>
      <c r="AG8101">
        <v>1</v>
      </c>
      <c r="AH8101">
        <v>1</v>
      </c>
      <c r="AI8101">
        <v>1</v>
      </c>
      <c r="AJ8101">
        <v>1</v>
      </c>
      <c r="AK8101">
        <v>1</v>
      </c>
      <c r="AL8101">
        <v>1</v>
      </c>
      <c r="AM8101">
        <v>1</v>
      </c>
    </row>
    <row r="8102" spans="1:39" x14ac:dyDescent="0.2">
      <c r="A8102" t="str">
        <f>"8098"</f>
        <v>8098</v>
      </c>
      <c r="B8102" t="str">
        <f t="shared" si="448"/>
        <v>1</v>
      </c>
      <c r="C8102" t="str">
        <f t="shared" si="450"/>
        <v>162</v>
      </c>
      <c r="D8102" t="str">
        <f>"7"</f>
        <v>7</v>
      </c>
      <c r="E8102" t="str">
        <f>"1-162-7"</f>
        <v>1-162-7</v>
      </c>
      <c r="F8102" t="s">
        <v>65</v>
      </c>
      <c r="G8102" t="s">
        <v>66</v>
      </c>
      <c r="H8102" t="s">
        <v>67</v>
      </c>
      <c r="S8102">
        <v>0</v>
      </c>
      <c r="T8102">
        <v>1</v>
      </c>
      <c r="U8102">
        <v>0</v>
      </c>
      <c r="V8102">
        <v>0</v>
      </c>
      <c r="W8102">
        <v>1</v>
      </c>
      <c r="X8102">
        <v>0</v>
      </c>
      <c r="Y8102">
        <v>1</v>
      </c>
      <c r="Z8102">
        <v>0</v>
      </c>
      <c r="AA8102">
        <v>1</v>
      </c>
      <c r="AB8102">
        <v>0</v>
      </c>
      <c r="AC8102">
        <v>0</v>
      </c>
      <c r="AD8102">
        <v>1</v>
      </c>
      <c r="AE8102">
        <v>1</v>
      </c>
      <c r="AF8102">
        <v>1</v>
      </c>
      <c r="AG8102">
        <v>1</v>
      </c>
      <c r="AH8102">
        <v>1</v>
      </c>
      <c r="AI8102">
        <v>1</v>
      </c>
      <c r="AJ8102">
        <v>1</v>
      </c>
      <c r="AK8102">
        <v>1</v>
      </c>
      <c r="AL8102">
        <v>1</v>
      </c>
      <c r="AM8102">
        <v>1</v>
      </c>
    </row>
    <row r="8103" spans="1:39" x14ac:dyDescent="0.2">
      <c r="A8103" t="str">
        <f>"8099"</f>
        <v>8099</v>
      </c>
      <c r="B8103" t="str">
        <f t="shared" si="448"/>
        <v>1</v>
      </c>
      <c r="C8103" t="str">
        <f t="shared" si="450"/>
        <v>162</v>
      </c>
      <c r="D8103" t="str">
        <f>"34"</f>
        <v>34</v>
      </c>
      <c r="E8103" t="str">
        <f>"1-162-34"</f>
        <v>1-162-34</v>
      </c>
      <c r="F8103" t="s">
        <v>65</v>
      </c>
      <c r="G8103" t="s">
        <v>66</v>
      </c>
      <c r="H8103" t="s">
        <v>67</v>
      </c>
      <c r="S8103">
        <v>0</v>
      </c>
      <c r="T8103">
        <v>0</v>
      </c>
      <c r="U8103">
        <v>0</v>
      </c>
      <c r="V8103">
        <v>0</v>
      </c>
      <c r="W8103">
        <v>1</v>
      </c>
      <c r="X8103">
        <v>0</v>
      </c>
      <c r="Y8103">
        <v>1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1</v>
      </c>
      <c r="AH8103">
        <v>0</v>
      </c>
      <c r="AI8103">
        <v>0</v>
      </c>
      <c r="AJ8103">
        <v>0</v>
      </c>
      <c r="AK8103">
        <v>0</v>
      </c>
      <c r="AL8103">
        <v>1</v>
      </c>
      <c r="AM8103">
        <v>1</v>
      </c>
    </row>
    <row r="8104" spans="1:39" x14ac:dyDescent="0.2">
      <c r="A8104" t="str">
        <f>"8100"</f>
        <v>8100</v>
      </c>
      <c r="B8104" t="str">
        <f t="shared" si="448"/>
        <v>1</v>
      </c>
      <c r="C8104" t="str">
        <f t="shared" si="450"/>
        <v>162</v>
      </c>
      <c r="D8104" t="str">
        <f>"12"</f>
        <v>12</v>
      </c>
      <c r="E8104" t="str">
        <f>"1-162-12"</f>
        <v>1-162-12</v>
      </c>
      <c r="F8104" t="s">
        <v>65</v>
      </c>
      <c r="G8104" t="s">
        <v>66</v>
      </c>
      <c r="H8104" t="s">
        <v>67</v>
      </c>
      <c r="S8104">
        <v>1</v>
      </c>
      <c r="T8104">
        <v>0</v>
      </c>
      <c r="U8104">
        <v>0</v>
      </c>
      <c r="V8104">
        <v>0</v>
      </c>
      <c r="W8104">
        <v>1</v>
      </c>
      <c r="X8104">
        <v>0</v>
      </c>
      <c r="Y8104">
        <v>1</v>
      </c>
      <c r="Z8104">
        <v>0</v>
      </c>
      <c r="AA8104">
        <v>1</v>
      </c>
      <c r="AB8104">
        <v>0</v>
      </c>
      <c r="AC8104">
        <v>0</v>
      </c>
      <c r="AD8104">
        <v>1</v>
      </c>
      <c r="AE8104">
        <v>1</v>
      </c>
      <c r="AF8104">
        <v>1</v>
      </c>
      <c r="AG8104">
        <v>1</v>
      </c>
      <c r="AH8104">
        <v>1</v>
      </c>
      <c r="AI8104">
        <v>1</v>
      </c>
      <c r="AJ8104">
        <v>1</v>
      </c>
      <c r="AK8104">
        <v>1</v>
      </c>
      <c r="AL8104">
        <v>1</v>
      </c>
      <c r="AM8104">
        <v>0</v>
      </c>
    </row>
    <row r="8105" spans="1:39" x14ac:dyDescent="0.2">
      <c r="A8105" t="str">
        <f>"8101"</f>
        <v>8101</v>
      </c>
      <c r="B8105" t="str">
        <f t="shared" si="448"/>
        <v>1</v>
      </c>
      <c r="C8105" t="str">
        <f t="shared" ref="C8105:C8136" si="451">"163"</f>
        <v>163</v>
      </c>
      <c r="D8105" t="str">
        <f>"38"</f>
        <v>38</v>
      </c>
      <c r="E8105" t="str">
        <f>"1-163-38"</f>
        <v>1-163-38</v>
      </c>
      <c r="F8105" t="s">
        <v>65</v>
      </c>
      <c r="G8105" t="s">
        <v>66</v>
      </c>
      <c r="H8105" t="s">
        <v>67</v>
      </c>
      <c r="S8105">
        <v>0</v>
      </c>
      <c r="T8105">
        <v>1</v>
      </c>
      <c r="U8105">
        <v>0</v>
      </c>
      <c r="V8105">
        <v>0</v>
      </c>
      <c r="W8105">
        <v>1</v>
      </c>
      <c r="X8105">
        <v>0</v>
      </c>
      <c r="Y8105">
        <v>0</v>
      </c>
      <c r="Z8105">
        <v>1</v>
      </c>
      <c r="AA8105">
        <v>0</v>
      </c>
      <c r="AB8105">
        <v>1</v>
      </c>
      <c r="AC8105">
        <v>0</v>
      </c>
      <c r="AD8105">
        <v>1</v>
      </c>
      <c r="AE8105">
        <v>1</v>
      </c>
      <c r="AF8105">
        <v>1</v>
      </c>
      <c r="AG8105">
        <v>1</v>
      </c>
      <c r="AH8105">
        <v>1</v>
      </c>
      <c r="AI8105">
        <v>1</v>
      </c>
      <c r="AJ8105">
        <v>1</v>
      </c>
      <c r="AK8105">
        <v>1</v>
      </c>
      <c r="AL8105">
        <v>1</v>
      </c>
      <c r="AM8105">
        <v>1</v>
      </c>
    </row>
    <row r="8106" spans="1:39" x14ac:dyDescent="0.2">
      <c r="A8106" t="str">
        <f>"8102"</f>
        <v>8102</v>
      </c>
      <c r="B8106" t="str">
        <f t="shared" si="448"/>
        <v>1</v>
      </c>
      <c r="C8106" t="str">
        <f t="shared" si="451"/>
        <v>163</v>
      </c>
      <c r="D8106" t="str">
        <f>"37"</f>
        <v>37</v>
      </c>
      <c r="E8106" t="str">
        <f>"1-163-37"</f>
        <v>1-163-37</v>
      </c>
      <c r="F8106" t="s">
        <v>65</v>
      </c>
      <c r="G8106" t="s">
        <v>66</v>
      </c>
      <c r="H8106" t="s">
        <v>67</v>
      </c>
      <c r="S8106">
        <v>0</v>
      </c>
      <c r="T8106">
        <v>1</v>
      </c>
      <c r="U8106">
        <v>0</v>
      </c>
      <c r="V8106">
        <v>0</v>
      </c>
      <c r="W8106">
        <v>0</v>
      </c>
      <c r="X8106">
        <v>1</v>
      </c>
      <c r="Y8106">
        <v>0</v>
      </c>
      <c r="Z8106">
        <v>1</v>
      </c>
      <c r="AA8106">
        <v>1</v>
      </c>
      <c r="AB8106">
        <v>0</v>
      </c>
      <c r="AC8106">
        <v>0</v>
      </c>
      <c r="AD8106">
        <v>1</v>
      </c>
      <c r="AE8106">
        <v>1</v>
      </c>
      <c r="AF8106">
        <v>1</v>
      </c>
      <c r="AG8106">
        <v>1</v>
      </c>
      <c r="AH8106">
        <v>1</v>
      </c>
      <c r="AI8106">
        <v>1</v>
      </c>
      <c r="AJ8106">
        <v>1</v>
      </c>
      <c r="AK8106">
        <v>1</v>
      </c>
      <c r="AL8106">
        <v>1</v>
      </c>
      <c r="AM8106">
        <v>1</v>
      </c>
    </row>
    <row r="8107" spans="1:39" x14ac:dyDescent="0.2">
      <c r="A8107" t="str">
        <f>"8103"</f>
        <v>8103</v>
      </c>
      <c r="B8107" t="str">
        <f t="shared" si="448"/>
        <v>1</v>
      </c>
      <c r="C8107" t="str">
        <f t="shared" si="451"/>
        <v>163</v>
      </c>
      <c r="D8107" t="str">
        <f>"28"</f>
        <v>28</v>
      </c>
      <c r="E8107" t="str">
        <f>"1-163-28"</f>
        <v>1-163-28</v>
      </c>
      <c r="F8107" t="s">
        <v>65</v>
      </c>
      <c r="G8107" t="s">
        <v>66</v>
      </c>
      <c r="H8107" t="s">
        <v>67</v>
      </c>
      <c r="S8107">
        <v>0</v>
      </c>
      <c r="T8107">
        <v>1</v>
      </c>
      <c r="U8107">
        <v>0</v>
      </c>
      <c r="V8107">
        <v>0</v>
      </c>
      <c r="W8107">
        <v>1</v>
      </c>
      <c r="X8107">
        <v>0</v>
      </c>
      <c r="Y8107">
        <v>1</v>
      </c>
      <c r="Z8107">
        <v>0</v>
      </c>
      <c r="AA8107">
        <v>0</v>
      </c>
      <c r="AB8107">
        <v>1</v>
      </c>
      <c r="AC8107">
        <v>0</v>
      </c>
      <c r="AD8107">
        <v>1</v>
      </c>
      <c r="AE8107">
        <v>1</v>
      </c>
      <c r="AF8107">
        <v>1</v>
      </c>
      <c r="AG8107">
        <v>1</v>
      </c>
      <c r="AH8107">
        <v>1</v>
      </c>
      <c r="AI8107">
        <v>1</v>
      </c>
      <c r="AJ8107">
        <v>1</v>
      </c>
      <c r="AK8107">
        <v>1</v>
      </c>
      <c r="AL8107">
        <v>1</v>
      </c>
      <c r="AM8107">
        <v>1</v>
      </c>
    </row>
    <row r="8108" spans="1:39" x14ac:dyDescent="0.2">
      <c r="A8108" t="str">
        <f>"8104"</f>
        <v>8104</v>
      </c>
      <c r="B8108" t="str">
        <f t="shared" si="448"/>
        <v>1</v>
      </c>
      <c r="C8108" t="str">
        <f t="shared" si="451"/>
        <v>163</v>
      </c>
      <c r="D8108" t="str">
        <f>"15"</f>
        <v>15</v>
      </c>
      <c r="E8108" t="str">
        <f>"1-163-15"</f>
        <v>1-163-15</v>
      </c>
      <c r="F8108" t="s">
        <v>65</v>
      </c>
      <c r="G8108" t="s">
        <v>66</v>
      </c>
      <c r="H8108" t="s">
        <v>67</v>
      </c>
      <c r="S8108">
        <v>0</v>
      </c>
      <c r="T8108">
        <v>1</v>
      </c>
      <c r="U8108">
        <v>0</v>
      </c>
      <c r="V8108">
        <v>0</v>
      </c>
      <c r="W8108">
        <v>1</v>
      </c>
      <c r="X8108">
        <v>0</v>
      </c>
      <c r="Y8108">
        <v>0</v>
      </c>
      <c r="Z8108">
        <v>1</v>
      </c>
      <c r="AA8108">
        <v>0</v>
      </c>
      <c r="AB8108">
        <v>0</v>
      </c>
      <c r="AC8108">
        <v>1</v>
      </c>
      <c r="AD8108">
        <v>1</v>
      </c>
      <c r="AE8108">
        <v>1</v>
      </c>
      <c r="AF8108">
        <v>1</v>
      </c>
      <c r="AG8108">
        <v>1</v>
      </c>
      <c r="AH8108">
        <v>1</v>
      </c>
      <c r="AI8108">
        <v>1</v>
      </c>
      <c r="AJ8108">
        <v>1</v>
      </c>
      <c r="AK8108">
        <v>1</v>
      </c>
      <c r="AL8108">
        <v>1</v>
      </c>
      <c r="AM8108">
        <v>1</v>
      </c>
    </row>
    <row r="8109" spans="1:39" x14ac:dyDescent="0.2">
      <c r="A8109" t="str">
        <f>"8105"</f>
        <v>8105</v>
      </c>
      <c r="B8109" t="str">
        <f t="shared" si="448"/>
        <v>1</v>
      </c>
      <c r="C8109" t="str">
        <f t="shared" si="451"/>
        <v>163</v>
      </c>
      <c r="D8109" t="str">
        <f>"3"</f>
        <v>3</v>
      </c>
      <c r="E8109" t="str">
        <f>"1-163-3"</f>
        <v>1-163-3</v>
      </c>
      <c r="F8109" t="s">
        <v>65</v>
      </c>
      <c r="G8109" t="s">
        <v>66</v>
      </c>
      <c r="H8109" t="s">
        <v>67</v>
      </c>
      <c r="S8109">
        <v>1</v>
      </c>
      <c r="T8109">
        <v>0</v>
      </c>
      <c r="U8109">
        <v>0</v>
      </c>
      <c r="V8109">
        <v>0</v>
      </c>
      <c r="W8109">
        <v>1</v>
      </c>
      <c r="X8109">
        <v>0</v>
      </c>
      <c r="Y8109">
        <v>1</v>
      </c>
      <c r="Z8109">
        <v>0</v>
      </c>
      <c r="AA8109">
        <v>1</v>
      </c>
      <c r="AB8109">
        <v>0</v>
      </c>
      <c r="AC8109">
        <v>0</v>
      </c>
      <c r="AD8109">
        <v>1</v>
      </c>
      <c r="AE8109">
        <v>1</v>
      </c>
      <c r="AF8109">
        <v>1</v>
      </c>
      <c r="AG8109">
        <v>1</v>
      </c>
      <c r="AH8109">
        <v>1</v>
      </c>
      <c r="AI8109">
        <v>1</v>
      </c>
      <c r="AJ8109">
        <v>1</v>
      </c>
      <c r="AK8109">
        <v>1</v>
      </c>
      <c r="AL8109">
        <v>0</v>
      </c>
      <c r="AM8109">
        <v>1</v>
      </c>
    </row>
    <row r="8110" spans="1:39" x14ac:dyDescent="0.2">
      <c r="A8110" t="str">
        <f>"8106"</f>
        <v>8106</v>
      </c>
      <c r="B8110" t="str">
        <f t="shared" si="448"/>
        <v>1</v>
      </c>
      <c r="C8110" t="str">
        <f t="shared" si="451"/>
        <v>163</v>
      </c>
      <c r="D8110" t="str">
        <f>"36"</f>
        <v>36</v>
      </c>
      <c r="E8110" t="str">
        <f>"1-163-36"</f>
        <v>1-163-36</v>
      </c>
      <c r="F8110" t="s">
        <v>65</v>
      </c>
      <c r="G8110" t="s">
        <v>66</v>
      </c>
      <c r="H8110" t="s">
        <v>67</v>
      </c>
      <c r="S8110">
        <v>0</v>
      </c>
      <c r="T8110">
        <v>1</v>
      </c>
      <c r="U8110">
        <v>0</v>
      </c>
      <c r="V8110">
        <v>0</v>
      </c>
      <c r="W8110">
        <v>0</v>
      </c>
      <c r="X8110">
        <v>1</v>
      </c>
      <c r="Y8110">
        <v>1</v>
      </c>
      <c r="Z8110">
        <v>0</v>
      </c>
      <c r="AA8110">
        <v>1</v>
      </c>
      <c r="AB8110">
        <v>0</v>
      </c>
      <c r="AC8110">
        <v>0</v>
      </c>
      <c r="AD8110">
        <v>1</v>
      </c>
      <c r="AE8110">
        <v>1</v>
      </c>
      <c r="AF8110">
        <v>1</v>
      </c>
      <c r="AG8110">
        <v>1</v>
      </c>
      <c r="AH8110">
        <v>1</v>
      </c>
      <c r="AI8110">
        <v>1</v>
      </c>
      <c r="AJ8110">
        <v>1</v>
      </c>
      <c r="AK8110">
        <v>1</v>
      </c>
      <c r="AL8110">
        <v>1</v>
      </c>
      <c r="AM8110">
        <v>1</v>
      </c>
    </row>
    <row r="8111" spans="1:39" x14ac:dyDescent="0.2">
      <c r="A8111" t="str">
        <f>"8107"</f>
        <v>8107</v>
      </c>
      <c r="B8111" t="str">
        <f t="shared" si="448"/>
        <v>1</v>
      </c>
      <c r="C8111" t="str">
        <f t="shared" si="451"/>
        <v>163</v>
      </c>
      <c r="D8111" t="str">
        <f>"35"</f>
        <v>35</v>
      </c>
      <c r="E8111" t="str">
        <f>"1-163-35"</f>
        <v>1-163-35</v>
      </c>
      <c r="F8111" t="s">
        <v>65</v>
      </c>
      <c r="G8111" t="s">
        <v>66</v>
      </c>
      <c r="H8111" t="s">
        <v>67</v>
      </c>
      <c r="S8111">
        <v>1</v>
      </c>
      <c r="T8111">
        <v>0</v>
      </c>
      <c r="U8111">
        <v>0</v>
      </c>
      <c r="V8111">
        <v>0</v>
      </c>
      <c r="W8111">
        <v>0</v>
      </c>
      <c r="X8111">
        <v>1</v>
      </c>
      <c r="Y8111">
        <v>1</v>
      </c>
      <c r="Z8111">
        <v>0</v>
      </c>
      <c r="AA8111">
        <v>1</v>
      </c>
      <c r="AB8111">
        <v>0</v>
      </c>
      <c r="AC8111">
        <v>0</v>
      </c>
      <c r="AD8111">
        <v>1</v>
      </c>
      <c r="AE8111">
        <v>1</v>
      </c>
      <c r="AF8111">
        <v>1</v>
      </c>
      <c r="AG8111">
        <v>1</v>
      </c>
      <c r="AH8111">
        <v>1</v>
      </c>
      <c r="AI8111">
        <v>1</v>
      </c>
      <c r="AJ8111">
        <v>1</v>
      </c>
      <c r="AK8111">
        <v>1</v>
      </c>
      <c r="AL8111">
        <v>1</v>
      </c>
      <c r="AM8111">
        <v>1</v>
      </c>
    </row>
    <row r="8112" spans="1:39" x14ac:dyDescent="0.2">
      <c r="A8112" t="str">
        <f>"8108"</f>
        <v>8108</v>
      </c>
      <c r="B8112" t="str">
        <f t="shared" si="448"/>
        <v>1</v>
      </c>
      <c r="C8112" t="str">
        <f t="shared" si="451"/>
        <v>163</v>
      </c>
      <c r="D8112" t="str">
        <f>"21"</f>
        <v>21</v>
      </c>
      <c r="E8112" t="str">
        <f>"1-163-21"</f>
        <v>1-163-21</v>
      </c>
      <c r="F8112" t="s">
        <v>65</v>
      </c>
      <c r="G8112" t="s">
        <v>66</v>
      </c>
      <c r="H8112" t="s">
        <v>67</v>
      </c>
      <c r="S8112">
        <v>0</v>
      </c>
      <c r="T8112">
        <v>1</v>
      </c>
      <c r="U8112">
        <v>0</v>
      </c>
      <c r="V8112">
        <v>0</v>
      </c>
      <c r="W8112">
        <v>1</v>
      </c>
      <c r="X8112">
        <v>0</v>
      </c>
      <c r="Y8112">
        <v>0</v>
      </c>
      <c r="Z8112">
        <v>1</v>
      </c>
      <c r="AA8112">
        <v>0</v>
      </c>
      <c r="AB8112">
        <v>0</v>
      </c>
      <c r="AC8112">
        <v>1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</row>
    <row r="8113" spans="1:39" x14ac:dyDescent="0.2">
      <c r="A8113" t="str">
        <f>"8109"</f>
        <v>8109</v>
      </c>
      <c r="B8113" t="str">
        <f t="shared" si="448"/>
        <v>1</v>
      </c>
      <c r="C8113" t="str">
        <f t="shared" si="451"/>
        <v>163</v>
      </c>
      <c r="D8113" t="str">
        <f>"16"</f>
        <v>16</v>
      </c>
      <c r="E8113" t="str">
        <f>"1-163-16"</f>
        <v>1-163-16</v>
      </c>
      <c r="F8113" t="s">
        <v>65</v>
      </c>
      <c r="G8113" t="s">
        <v>66</v>
      </c>
      <c r="H8113" t="s">
        <v>67</v>
      </c>
      <c r="S8113">
        <v>1</v>
      </c>
      <c r="T8113">
        <v>0</v>
      </c>
      <c r="U8113">
        <v>0</v>
      </c>
      <c r="V8113">
        <v>0</v>
      </c>
      <c r="W8113">
        <v>1</v>
      </c>
      <c r="X8113">
        <v>0</v>
      </c>
      <c r="Y8113">
        <v>0</v>
      </c>
      <c r="Z8113">
        <v>1</v>
      </c>
      <c r="AA8113">
        <v>0</v>
      </c>
      <c r="AB8113">
        <v>0</v>
      </c>
      <c r="AC8113">
        <v>1</v>
      </c>
      <c r="AD8113">
        <v>1</v>
      </c>
      <c r="AE8113">
        <v>1</v>
      </c>
      <c r="AF8113">
        <v>1</v>
      </c>
      <c r="AG8113">
        <v>1</v>
      </c>
      <c r="AH8113">
        <v>1</v>
      </c>
      <c r="AI8113">
        <v>1</v>
      </c>
      <c r="AJ8113">
        <v>1</v>
      </c>
      <c r="AK8113">
        <v>1</v>
      </c>
      <c r="AL8113">
        <v>1</v>
      </c>
      <c r="AM8113">
        <v>1</v>
      </c>
    </row>
    <row r="8114" spans="1:39" x14ac:dyDescent="0.2">
      <c r="A8114" t="str">
        <f>"8110"</f>
        <v>8110</v>
      </c>
      <c r="B8114" t="str">
        <f t="shared" si="448"/>
        <v>1</v>
      </c>
      <c r="C8114" t="str">
        <f t="shared" si="451"/>
        <v>163</v>
      </c>
      <c r="D8114" t="str">
        <f>"6"</f>
        <v>6</v>
      </c>
      <c r="E8114" t="str">
        <f>"1-163-6"</f>
        <v>1-163-6</v>
      </c>
      <c r="F8114" t="s">
        <v>65</v>
      </c>
      <c r="G8114" t="s">
        <v>66</v>
      </c>
      <c r="H8114" t="s">
        <v>67</v>
      </c>
      <c r="S8114">
        <v>0</v>
      </c>
      <c r="T8114">
        <v>1</v>
      </c>
      <c r="U8114">
        <v>0</v>
      </c>
      <c r="V8114">
        <v>0</v>
      </c>
      <c r="W8114">
        <v>1</v>
      </c>
      <c r="X8114">
        <v>0</v>
      </c>
      <c r="Y8114">
        <v>1</v>
      </c>
      <c r="Z8114">
        <v>0</v>
      </c>
      <c r="AA8114">
        <v>0</v>
      </c>
      <c r="AB8114">
        <v>0</v>
      </c>
      <c r="AC8114">
        <v>1</v>
      </c>
      <c r="AD8114">
        <v>1</v>
      </c>
      <c r="AE8114">
        <v>1</v>
      </c>
      <c r="AF8114">
        <v>1</v>
      </c>
      <c r="AG8114">
        <v>1</v>
      </c>
      <c r="AH8114">
        <v>1</v>
      </c>
      <c r="AI8114">
        <v>1</v>
      </c>
      <c r="AJ8114">
        <v>1</v>
      </c>
      <c r="AK8114">
        <v>1</v>
      </c>
      <c r="AL8114">
        <v>1</v>
      </c>
      <c r="AM8114">
        <v>1</v>
      </c>
    </row>
    <row r="8115" spans="1:39" x14ac:dyDescent="0.2">
      <c r="A8115" t="str">
        <f>"8111"</f>
        <v>8111</v>
      </c>
      <c r="B8115" t="str">
        <f t="shared" si="448"/>
        <v>1</v>
      </c>
      <c r="C8115" t="str">
        <f t="shared" si="451"/>
        <v>163</v>
      </c>
      <c r="D8115" t="str">
        <f>"40"</f>
        <v>40</v>
      </c>
      <c r="E8115" t="str">
        <f>"1-163-40"</f>
        <v>1-163-40</v>
      </c>
      <c r="F8115" t="s">
        <v>65</v>
      </c>
      <c r="G8115" t="s">
        <v>66</v>
      </c>
      <c r="H8115" t="s">
        <v>67</v>
      </c>
      <c r="S8115">
        <v>0</v>
      </c>
      <c r="T8115">
        <v>1</v>
      </c>
      <c r="U8115">
        <v>0</v>
      </c>
      <c r="V8115">
        <v>0</v>
      </c>
      <c r="W8115">
        <v>1</v>
      </c>
      <c r="X8115">
        <v>0</v>
      </c>
      <c r="Y8115">
        <v>1</v>
      </c>
      <c r="Z8115">
        <v>0</v>
      </c>
      <c r="AA8115">
        <v>0</v>
      </c>
      <c r="AB8115">
        <v>0</v>
      </c>
      <c r="AC8115">
        <v>1</v>
      </c>
      <c r="AD8115">
        <v>1</v>
      </c>
      <c r="AE8115">
        <v>1</v>
      </c>
      <c r="AF8115">
        <v>1</v>
      </c>
      <c r="AG8115">
        <v>1</v>
      </c>
      <c r="AH8115">
        <v>1</v>
      </c>
      <c r="AI8115">
        <v>1</v>
      </c>
      <c r="AJ8115">
        <v>1</v>
      </c>
      <c r="AK8115">
        <v>1</v>
      </c>
      <c r="AL8115">
        <v>1</v>
      </c>
      <c r="AM8115">
        <v>1</v>
      </c>
    </row>
    <row r="8116" spans="1:39" x14ac:dyDescent="0.2">
      <c r="A8116" t="str">
        <f>"8112"</f>
        <v>8112</v>
      </c>
      <c r="B8116" t="str">
        <f t="shared" si="448"/>
        <v>1</v>
      </c>
      <c r="C8116" t="str">
        <f t="shared" si="451"/>
        <v>163</v>
      </c>
      <c r="D8116" t="str">
        <f>"39"</f>
        <v>39</v>
      </c>
      <c r="E8116" t="str">
        <f>"1-163-39"</f>
        <v>1-163-39</v>
      </c>
      <c r="F8116" t="s">
        <v>65</v>
      </c>
      <c r="G8116" t="s">
        <v>66</v>
      </c>
      <c r="H8116" t="s">
        <v>67</v>
      </c>
      <c r="S8116">
        <v>0</v>
      </c>
      <c r="T8116">
        <v>1</v>
      </c>
      <c r="U8116">
        <v>0</v>
      </c>
      <c r="V8116">
        <v>0</v>
      </c>
      <c r="W8116">
        <v>1</v>
      </c>
      <c r="X8116">
        <v>0</v>
      </c>
      <c r="Y8116">
        <v>1</v>
      </c>
      <c r="Z8116">
        <v>0</v>
      </c>
      <c r="AA8116">
        <v>0</v>
      </c>
      <c r="AB8116">
        <v>0</v>
      </c>
      <c r="AC8116">
        <v>1</v>
      </c>
      <c r="AD8116">
        <v>1</v>
      </c>
      <c r="AE8116">
        <v>1</v>
      </c>
      <c r="AF8116">
        <v>1</v>
      </c>
      <c r="AG8116">
        <v>1</v>
      </c>
      <c r="AH8116">
        <v>1</v>
      </c>
      <c r="AI8116">
        <v>1</v>
      </c>
      <c r="AJ8116">
        <v>1</v>
      </c>
      <c r="AK8116">
        <v>1</v>
      </c>
      <c r="AL8116">
        <v>1</v>
      </c>
      <c r="AM8116">
        <v>1</v>
      </c>
    </row>
    <row r="8117" spans="1:39" x14ac:dyDescent="0.2">
      <c r="A8117" t="str">
        <f>"8113"</f>
        <v>8113</v>
      </c>
      <c r="B8117" t="str">
        <f t="shared" si="448"/>
        <v>1</v>
      </c>
      <c r="C8117" t="str">
        <f t="shared" si="451"/>
        <v>163</v>
      </c>
      <c r="D8117" t="str">
        <f>"31"</f>
        <v>31</v>
      </c>
      <c r="E8117" t="str">
        <f>"1-163-31"</f>
        <v>1-163-31</v>
      </c>
      <c r="F8117" t="s">
        <v>65</v>
      </c>
      <c r="G8117" t="s">
        <v>66</v>
      </c>
      <c r="H8117" t="s">
        <v>67</v>
      </c>
      <c r="S8117">
        <v>0</v>
      </c>
      <c r="T8117">
        <v>1</v>
      </c>
      <c r="U8117">
        <v>0</v>
      </c>
      <c r="V8117">
        <v>0</v>
      </c>
      <c r="W8117">
        <v>1</v>
      </c>
      <c r="X8117">
        <v>0</v>
      </c>
      <c r="Y8117">
        <v>0</v>
      </c>
      <c r="Z8117">
        <v>1</v>
      </c>
      <c r="AA8117">
        <v>0</v>
      </c>
      <c r="AB8117">
        <v>1</v>
      </c>
      <c r="AC8117">
        <v>0</v>
      </c>
      <c r="AD8117">
        <v>1</v>
      </c>
      <c r="AE8117">
        <v>1</v>
      </c>
      <c r="AF8117">
        <v>1</v>
      </c>
      <c r="AG8117">
        <v>1</v>
      </c>
      <c r="AH8117">
        <v>1</v>
      </c>
      <c r="AI8117">
        <v>1</v>
      </c>
      <c r="AJ8117">
        <v>1</v>
      </c>
      <c r="AK8117">
        <v>1</v>
      </c>
      <c r="AL8117">
        <v>1</v>
      </c>
      <c r="AM8117">
        <v>1</v>
      </c>
    </row>
    <row r="8118" spans="1:39" x14ac:dyDescent="0.2">
      <c r="A8118" t="str">
        <f>"8114"</f>
        <v>8114</v>
      </c>
      <c r="B8118" t="str">
        <f t="shared" si="448"/>
        <v>1</v>
      </c>
      <c r="C8118" t="str">
        <f t="shared" si="451"/>
        <v>163</v>
      </c>
      <c r="D8118" t="str">
        <f>"17"</f>
        <v>17</v>
      </c>
      <c r="E8118" t="str">
        <f>"1-163-17"</f>
        <v>1-163-17</v>
      </c>
      <c r="F8118" t="s">
        <v>65</v>
      </c>
      <c r="G8118" t="s">
        <v>66</v>
      </c>
      <c r="H8118" t="s">
        <v>67</v>
      </c>
      <c r="S8118">
        <v>1</v>
      </c>
      <c r="T8118">
        <v>0</v>
      </c>
      <c r="U8118">
        <v>0</v>
      </c>
      <c r="V8118">
        <v>0</v>
      </c>
      <c r="W8118">
        <v>1</v>
      </c>
      <c r="X8118">
        <v>0</v>
      </c>
      <c r="Y8118">
        <v>1</v>
      </c>
      <c r="Z8118">
        <v>0</v>
      </c>
      <c r="AA8118">
        <v>1</v>
      </c>
      <c r="AB8118">
        <v>0</v>
      </c>
      <c r="AC8118">
        <v>0</v>
      </c>
      <c r="AD8118">
        <v>1</v>
      </c>
      <c r="AE8118">
        <v>1</v>
      </c>
      <c r="AF8118">
        <v>1</v>
      </c>
      <c r="AG8118">
        <v>1</v>
      </c>
      <c r="AH8118">
        <v>1</v>
      </c>
      <c r="AI8118">
        <v>1</v>
      </c>
      <c r="AJ8118">
        <v>1</v>
      </c>
      <c r="AK8118">
        <v>1</v>
      </c>
      <c r="AL8118">
        <v>1</v>
      </c>
      <c r="AM8118">
        <v>1</v>
      </c>
    </row>
    <row r="8119" spans="1:39" x14ac:dyDescent="0.2">
      <c r="A8119" t="str">
        <f>"8115"</f>
        <v>8115</v>
      </c>
      <c r="B8119" t="str">
        <f t="shared" ref="B8119:B8182" si="452">"1"</f>
        <v>1</v>
      </c>
      <c r="C8119" t="str">
        <f t="shared" si="451"/>
        <v>163</v>
      </c>
      <c r="D8119" t="str">
        <f>"5"</f>
        <v>5</v>
      </c>
      <c r="E8119" t="str">
        <f>"1-163-5"</f>
        <v>1-163-5</v>
      </c>
      <c r="F8119" t="s">
        <v>65</v>
      </c>
      <c r="G8119" t="s">
        <v>66</v>
      </c>
      <c r="H8119" t="s">
        <v>67</v>
      </c>
      <c r="S8119">
        <v>1</v>
      </c>
      <c r="T8119">
        <v>0</v>
      </c>
      <c r="U8119">
        <v>0</v>
      </c>
      <c r="V8119">
        <v>0</v>
      </c>
      <c r="W8119">
        <v>0</v>
      </c>
      <c r="X8119">
        <v>1</v>
      </c>
      <c r="Y8119">
        <v>1</v>
      </c>
      <c r="Z8119">
        <v>0</v>
      </c>
      <c r="AA8119">
        <v>1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</row>
    <row r="8120" spans="1:39" x14ac:dyDescent="0.2">
      <c r="A8120" t="str">
        <f>"8116"</f>
        <v>8116</v>
      </c>
      <c r="B8120" t="str">
        <f t="shared" si="452"/>
        <v>1</v>
      </c>
      <c r="C8120" t="str">
        <f t="shared" si="451"/>
        <v>163</v>
      </c>
      <c r="D8120" t="str">
        <f>"34"</f>
        <v>34</v>
      </c>
      <c r="E8120" t="str">
        <f>"1-163-34"</f>
        <v>1-163-34</v>
      </c>
      <c r="F8120" t="s">
        <v>65</v>
      </c>
      <c r="G8120" t="s">
        <v>66</v>
      </c>
      <c r="H8120" t="s">
        <v>67</v>
      </c>
      <c r="S8120">
        <v>1</v>
      </c>
      <c r="T8120">
        <v>0</v>
      </c>
      <c r="U8120">
        <v>0</v>
      </c>
      <c r="V8120">
        <v>0</v>
      </c>
      <c r="W8120">
        <v>1</v>
      </c>
      <c r="X8120">
        <v>0</v>
      </c>
      <c r="Y8120">
        <v>0</v>
      </c>
      <c r="Z8120">
        <v>1</v>
      </c>
      <c r="AA8120">
        <v>1</v>
      </c>
      <c r="AB8120">
        <v>0</v>
      </c>
      <c r="AC8120">
        <v>0</v>
      </c>
      <c r="AD8120">
        <v>1</v>
      </c>
      <c r="AE8120">
        <v>1</v>
      </c>
      <c r="AF8120">
        <v>1</v>
      </c>
      <c r="AG8120">
        <v>1</v>
      </c>
      <c r="AH8120">
        <v>1</v>
      </c>
      <c r="AI8120">
        <v>1</v>
      </c>
      <c r="AJ8120">
        <v>1</v>
      </c>
      <c r="AK8120">
        <v>1</v>
      </c>
      <c r="AL8120">
        <v>1</v>
      </c>
      <c r="AM8120">
        <v>0</v>
      </c>
    </row>
    <row r="8121" spans="1:39" x14ac:dyDescent="0.2">
      <c r="A8121" t="str">
        <f>"8117"</f>
        <v>8117</v>
      </c>
      <c r="B8121" t="str">
        <f t="shared" si="452"/>
        <v>1</v>
      </c>
      <c r="C8121" t="str">
        <f t="shared" si="451"/>
        <v>163</v>
      </c>
      <c r="D8121" t="str">
        <f>"33"</f>
        <v>33</v>
      </c>
      <c r="E8121" t="str">
        <f>"1-163-33"</f>
        <v>1-163-33</v>
      </c>
      <c r="F8121" t="s">
        <v>65</v>
      </c>
      <c r="G8121" t="s">
        <v>66</v>
      </c>
      <c r="H8121" t="s">
        <v>67</v>
      </c>
      <c r="S8121">
        <v>1</v>
      </c>
      <c r="T8121">
        <v>0</v>
      </c>
      <c r="U8121">
        <v>0</v>
      </c>
      <c r="V8121">
        <v>0</v>
      </c>
      <c r="W8121">
        <v>1</v>
      </c>
      <c r="X8121">
        <v>0</v>
      </c>
      <c r="Y8121">
        <v>1</v>
      </c>
      <c r="Z8121">
        <v>0</v>
      </c>
      <c r="AA8121">
        <v>1</v>
      </c>
      <c r="AB8121">
        <v>0</v>
      </c>
      <c r="AC8121">
        <v>0</v>
      </c>
      <c r="AD8121">
        <v>1</v>
      </c>
      <c r="AE8121">
        <v>1</v>
      </c>
      <c r="AF8121">
        <v>1</v>
      </c>
      <c r="AG8121">
        <v>1</v>
      </c>
      <c r="AH8121">
        <v>1</v>
      </c>
      <c r="AI8121">
        <v>1</v>
      </c>
      <c r="AJ8121">
        <v>1</v>
      </c>
      <c r="AK8121">
        <v>1</v>
      </c>
      <c r="AL8121">
        <v>1</v>
      </c>
      <c r="AM8121">
        <v>1</v>
      </c>
    </row>
    <row r="8122" spans="1:39" x14ac:dyDescent="0.2">
      <c r="A8122" t="str">
        <f>"8118"</f>
        <v>8118</v>
      </c>
      <c r="B8122" t="str">
        <f t="shared" si="452"/>
        <v>1</v>
      </c>
      <c r="C8122" t="str">
        <f t="shared" si="451"/>
        <v>163</v>
      </c>
      <c r="D8122" t="str">
        <f>"20"</f>
        <v>20</v>
      </c>
      <c r="E8122" t="str">
        <f>"1-163-20"</f>
        <v>1-163-20</v>
      </c>
      <c r="F8122" t="s">
        <v>65</v>
      </c>
      <c r="G8122" t="s">
        <v>66</v>
      </c>
      <c r="H8122" t="s">
        <v>67</v>
      </c>
      <c r="S8122">
        <v>1</v>
      </c>
      <c r="T8122">
        <v>0</v>
      </c>
      <c r="U8122">
        <v>0</v>
      </c>
      <c r="V8122">
        <v>0</v>
      </c>
      <c r="W8122">
        <v>0</v>
      </c>
      <c r="X8122">
        <v>1</v>
      </c>
      <c r="Y8122">
        <v>1</v>
      </c>
      <c r="Z8122">
        <v>0</v>
      </c>
      <c r="AA8122">
        <v>1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</row>
    <row r="8123" spans="1:39" x14ac:dyDescent="0.2">
      <c r="A8123" t="str">
        <f>"8119"</f>
        <v>8119</v>
      </c>
      <c r="B8123" t="str">
        <f t="shared" si="452"/>
        <v>1</v>
      </c>
      <c r="C8123" t="str">
        <f t="shared" si="451"/>
        <v>163</v>
      </c>
      <c r="D8123" t="str">
        <f>"18"</f>
        <v>18</v>
      </c>
      <c r="E8123" t="str">
        <f>"1-163-18"</f>
        <v>1-163-18</v>
      </c>
      <c r="F8123" t="s">
        <v>65</v>
      </c>
      <c r="G8123" t="s">
        <v>66</v>
      </c>
      <c r="H8123" t="s">
        <v>67</v>
      </c>
      <c r="S8123">
        <v>0</v>
      </c>
      <c r="T8123">
        <v>0</v>
      </c>
      <c r="U8123">
        <v>0</v>
      </c>
      <c r="V8123">
        <v>0</v>
      </c>
      <c r="W8123">
        <v>1</v>
      </c>
      <c r="X8123">
        <v>0</v>
      </c>
      <c r="Y8123">
        <v>0</v>
      </c>
      <c r="Z8123">
        <v>1</v>
      </c>
      <c r="AA8123">
        <v>1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</row>
    <row r="8124" spans="1:39" x14ac:dyDescent="0.2">
      <c r="A8124" t="str">
        <f>"8120"</f>
        <v>8120</v>
      </c>
      <c r="B8124" t="str">
        <f t="shared" si="452"/>
        <v>1</v>
      </c>
      <c r="C8124" t="str">
        <f t="shared" si="451"/>
        <v>163</v>
      </c>
      <c r="D8124" t="str">
        <f>"7"</f>
        <v>7</v>
      </c>
      <c r="E8124" t="str">
        <f>"1-163-7"</f>
        <v>1-163-7</v>
      </c>
      <c r="F8124" t="s">
        <v>65</v>
      </c>
      <c r="G8124" t="s">
        <v>66</v>
      </c>
      <c r="H8124" t="s">
        <v>67</v>
      </c>
      <c r="S8124">
        <v>1</v>
      </c>
      <c r="T8124">
        <v>0</v>
      </c>
      <c r="U8124">
        <v>0</v>
      </c>
      <c r="V8124">
        <v>0</v>
      </c>
      <c r="W8124">
        <v>1</v>
      </c>
      <c r="X8124">
        <v>0</v>
      </c>
      <c r="Y8124">
        <v>0</v>
      </c>
      <c r="Z8124">
        <v>1</v>
      </c>
      <c r="AA8124">
        <v>1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1</v>
      </c>
      <c r="AH8124">
        <v>0</v>
      </c>
      <c r="AI8124">
        <v>0</v>
      </c>
      <c r="AJ8124">
        <v>0</v>
      </c>
      <c r="AK8124">
        <v>0</v>
      </c>
      <c r="AL8124">
        <v>1</v>
      </c>
      <c r="AM8124">
        <v>0</v>
      </c>
    </row>
    <row r="8125" spans="1:39" x14ac:dyDescent="0.2">
      <c r="A8125" t="str">
        <f>"8121"</f>
        <v>8121</v>
      </c>
      <c r="B8125" t="str">
        <f t="shared" si="452"/>
        <v>1</v>
      </c>
      <c r="C8125" t="str">
        <f t="shared" si="451"/>
        <v>163</v>
      </c>
      <c r="D8125" t="str">
        <f>"41"</f>
        <v>41</v>
      </c>
      <c r="E8125" t="str">
        <f>"1-163-41"</f>
        <v>1-163-41</v>
      </c>
      <c r="F8125" t="s">
        <v>65</v>
      </c>
      <c r="G8125" t="s">
        <v>66</v>
      </c>
      <c r="H8125" t="s">
        <v>67</v>
      </c>
      <c r="S8125">
        <v>1</v>
      </c>
      <c r="T8125">
        <v>0</v>
      </c>
      <c r="U8125">
        <v>0</v>
      </c>
      <c r="V8125">
        <v>0</v>
      </c>
      <c r="W8125">
        <v>1</v>
      </c>
      <c r="X8125">
        <v>0</v>
      </c>
      <c r="Y8125">
        <v>1</v>
      </c>
      <c r="Z8125">
        <v>0</v>
      </c>
      <c r="AA8125">
        <v>1</v>
      </c>
      <c r="AB8125">
        <v>0</v>
      </c>
      <c r="AC8125">
        <v>0</v>
      </c>
      <c r="AD8125">
        <v>1</v>
      </c>
      <c r="AE8125">
        <v>1</v>
      </c>
      <c r="AF8125">
        <v>1</v>
      </c>
      <c r="AG8125">
        <v>1</v>
      </c>
      <c r="AH8125">
        <v>1</v>
      </c>
      <c r="AI8125">
        <v>1</v>
      </c>
      <c r="AJ8125">
        <v>1</v>
      </c>
      <c r="AK8125">
        <v>1</v>
      </c>
      <c r="AL8125">
        <v>1</v>
      </c>
      <c r="AM8125">
        <v>1</v>
      </c>
    </row>
    <row r="8126" spans="1:39" x14ac:dyDescent="0.2">
      <c r="A8126" t="str">
        <f>"8122"</f>
        <v>8122</v>
      </c>
      <c r="B8126" t="str">
        <f t="shared" si="452"/>
        <v>1</v>
      </c>
      <c r="C8126" t="str">
        <f t="shared" si="451"/>
        <v>163</v>
      </c>
      <c r="D8126" t="str">
        <f>"19"</f>
        <v>19</v>
      </c>
      <c r="E8126" t="str">
        <f>"1-163-19"</f>
        <v>1-163-19</v>
      </c>
      <c r="F8126" t="s">
        <v>65</v>
      </c>
      <c r="G8126" t="s">
        <v>66</v>
      </c>
      <c r="H8126" t="s">
        <v>67</v>
      </c>
      <c r="S8126">
        <v>1</v>
      </c>
      <c r="T8126">
        <v>0</v>
      </c>
      <c r="U8126">
        <v>0</v>
      </c>
      <c r="V8126">
        <v>0</v>
      </c>
      <c r="W8126">
        <v>1</v>
      </c>
      <c r="X8126">
        <v>0</v>
      </c>
      <c r="Y8126">
        <v>1</v>
      </c>
      <c r="Z8126">
        <v>0</v>
      </c>
      <c r="AA8126">
        <v>1</v>
      </c>
      <c r="AB8126">
        <v>0</v>
      </c>
      <c r="AC8126">
        <v>0</v>
      </c>
      <c r="AD8126">
        <v>1</v>
      </c>
      <c r="AE8126">
        <v>1</v>
      </c>
      <c r="AF8126">
        <v>1</v>
      </c>
      <c r="AG8126">
        <v>1</v>
      </c>
      <c r="AH8126">
        <v>1</v>
      </c>
      <c r="AI8126">
        <v>1</v>
      </c>
      <c r="AJ8126">
        <v>1</v>
      </c>
      <c r="AK8126">
        <v>1</v>
      </c>
      <c r="AL8126">
        <v>1</v>
      </c>
      <c r="AM8126">
        <v>1</v>
      </c>
    </row>
    <row r="8127" spans="1:39" x14ac:dyDescent="0.2">
      <c r="A8127" t="str">
        <f>"8123"</f>
        <v>8123</v>
      </c>
      <c r="B8127" t="str">
        <f t="shared" si="452"/>
        <v>1</v>
      </c>
      <c r="C8127" t="str">
        <f t="shared" si="451"/>
        <v>163</v>
      </c>
      <c r="D8127" t="str">
        <f>"12"</f>
        <v>12</v>
      </c>
      <c r="E8127" t="str">
        <f>"1-163-12"</f>
        <v>1-163-12</v>
      </c>
      <c r="F8127" t="s">
        <v>65</v>
      </c>
      <c r="G8127" t="s">
        <v>66</v>
      </c>
      <c r="H8127" t="s">
        <v>67</v>
      </c>
      <c r="S8127">
        <v>0</v>
      </c>
      <c r="T8127">
        <v>1</v>
      </c>
      <c r="U8127">
        <v>0</v>
      </c>
      <c r="V8127">
        <v>0</v>
      </c>
      <c r="W8127">
        <v>1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</row>
    <row r="8128" spans="1:39" x14ac:dyDescent="0.2">
      <c r="A8128" t="str">
        <f>"8124"</f>
        <v>8124</v>
      </c>
      <c r="B8128" t="str">
        <f t="shared" si="452"/>
        <v>1</v>
      </c>
      <c r="C8128" t="str">
        <f t="shared" si="451"/>
        <v>163</v>
      </c>
      <c r="D8128" t="str">
        <f>"22"</f>
        <v>22</v>
      </c>
      <c r="E8128" t="str">
        <f>"1-163-22"</f>
        <v>1-163-22</v>
      </c>
      <c r="F8128" t="s">
        <v>65</v>
      </c>
      <c r="G8128" t="s">
        <v>66</v>
      </c>
      <c r="H8128" t="s">
        <v>67</v>
      </c>
      <c r="S8128">
        <v>0</v>
      </c>
      <c r="T8128">
        <v>1</v>
      </c>
      <c r="U8128">
        <v>0</v>
      </c>
      <c r="V8128">
        <v>0</v>
      </c>
      <c r="W8128">
        <v>1</v>
      </c>
      <c r="X8128">
        <v>0</v>
      </c>
      <c r="Y8128">
        <v>0</v>
      </c>
      <c r="Z8128">
        <v>1</v>
      </c>
      <c r="AA8128">
        <v>0</v>
      </c>
      <c r="AB8128">
        <v>0</v>
      </c>
      <c r="AC8128">
        <v>1</v>
      </c>
      <c r="AD8128">
        <v>1</v>
      </c>
      <c r="AE8128">
        <v>1</v>
      </c>
      <c r="AF8128">
        <v>1</v>
      </c>
      <c r="AG8128">
        <v>1</v>
      </c>
      <c r="AH8128">
        <v>1</v>
      </c>
      <c r="AI8128">
        <v>1</v>
      </c>
      <c r="AJ8128">
        <v>1</v>
      </c>
      <c r="AK8128">
        <v>1</v>
      </c>
      <c r="AL8128">
        <v>1</v>
      </c>
      <c r="AM8128">
        <v>1</v>
      </c>
    </row>
    <row r="8129" spans="1:39" x14ac:dyDescent="0.2">
      <c r="A8129" t="str">
        <f>"8125"</f>
        <v>8125</v>
      </c>
      <c r="B8129" t="str">
        <f t="shared" si="452"/>
        <v>1</v>
      </c>
      <c r="C8129" t="str">
        <f t="shared" si="451"/>
        <v>163</v>
      </c>
      <c r="D8129" t="str">
        <f>"10"</f>
        <v>10</v>
      </c>
      <c r="E8129" t="str">
        <f>"1-163-10"</f>
        <v>1-163-10</v>
      </c>
      <c r="F8129" t="s">
        <v>65</v>
      </c>
      <c r="G8129" t="s">
        <v>66</v>
      </c>
      <c r="H8129" t="s">
        <v>67</v>
      </c>
      <c r="S8129">
        <v>1</v>
      </c>
      <c r="T8129">
        <v>0</v>
      </c>
      <c r="U8129">
        <v>0</v>
      </c>
      <c r="V8129">
        <v>0</v>
      </c>
      <c r="W8129">
        <v>1</v>
      </c>
      <c r="X8129">
        <v>0</v>
      </c>
      <c r="Y8129">
        <v>1</v>
      </c>
      <c r="Z8129">
        <v>0</v>
      </c>
      <c r="AA8129">
        <v>1</v>
      </c>
      <c r="AB8129">
        <v>0</v>
      </c>
      <c r="AC8129">
        <v>0</v>
      </c>
      <c r="AD8129">
        <v>1</v>
      </c>
      <c r="AE8129">
        <v>1</v>
      </c>
      <c r="AF8129">
        <v>1</v>
      </c>
      <c r="AG8129">
        <v>1</v>
      </c>
      <c r="AH8129">
        <v>1</v>
      </c>
      <c r="AI8129">
        <v>1</v>
      </c>
      <c r="AJ8129">
        <v>1</v>
      </c>
      <c r="AK8129">
        <v>1</v>
      </c>
      <c r="AL8129">
        <v>1</v>
      </c>
      <c r="AM8129">
        <v>1</v>
      </c>
    </row>
    <row r="8130" spans="1:39" x14ac:dyDescent="0.2">
      <c r="A8130" t="str">
        <f>"8126"</f>
        <v>8126</v>
      </c>
      <c r="B8130" t="str">
        <f t="shared" si="452"/>
        <v>1</v>
      </c>
      <c r="C8130" t="str">
        <f t="shared" si="451"/>
        <v>163</v>
      </c>
      <c r="D8130" t="str">
        <f>"43"</f>
        <v>43</v>
      </c>
      <c r="E8130" t="str">
        <f>"1-163-43"</f>
        <v>1-163-43</v>
      </c>
      <c r="F8130" t="s">
        <v>65</v>
      </c>
      <c r="G8130" t="s">
        <v>66</v>
      </c>
      <c r="H8130" t="s">
        <v>67</v>
      </c>
      <c r="S8130">
        <v>1</v>
      </c>
      <c r="T8130">
        <v>0</v>
      </c>
      <c r="U8130">
        <v>0</v>
      </c>
      <c r="V8130">
        <v>0</v>
      </c>
      <c r="W8130">
        <v>1</v>
      </c>
      <c r="X8130">
        <v>0</v>
      </c>
      <c r="Y8130">
        <v>0</v>
      </c>
      <c r="Z8130">
        <v>1</v>
      </c>
      <c r="AA8130">
        <v>0</v>
      </c>
      <c r="AB8130">
        <v>0</v>
      </c>
      <c r="AC8130">
        <v>1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</row>
    <row r="8131" spans="1:39" x14ac:dyDescent="0.2">
      <c r="A8131" t="str">
        <f>"8127"</f>
        <v>8127</v>
      </c>
      <c r="B8131" t="str">
        <f t="shared" si="452"/>
        <v>1</v>
      </c>
      <c r="C8131" t="str">
        <f t="shared" si="451"/>
        <v>163</v>
      </c>
      <c r="D8131" t="str">
        <f>"23"</f>
        <v>23</v>
      </c>
      <c r="E8131" t="str">
        <f>"1-163-23"</f>
        <v>1-163-23</v>
      </c>
      <c r="F8131" t="s">
        <v>65</v>
      </c>
      <c r="G8131" t="s">
        <v>66</v>
      </c>
      <c r="H8131" t="s">
        <v>67</v>
      </c>
      <c r="S8131">
        <v>1</v>
      </c>
      <c r="T8131">
        <v>0</v>
      </c>
      <c r="U8131">
        <v>0</v>
      </c>
      <c r="V8131">
        <v>0</v>
      </c>
      <c r="W8131">
        <v>1</v>
      </c>
      <c r="X8131">
        <v>0</v>
      </c>
      <c r="Y8131">
        <v>1</v>
      </c>
      <c r="Z8131">
        <v>0</v>
      </c>
      <c r="AA8131">
        <v>0</v>
      </c>
      <c r="AB8131">
        <v>1</v>
      </c>
      <c r="AC8131">
        <v>0</v>
      </c>
      <c r="AD8131">
        <v>1</v>
      </c>
      <c r="AE8131">
        <v>1</v>
      </c>
      <c r="AF8131">
        <v>1</v>
      </c>
      <c r="AG8131">
        <v>1</v>
      </c>
      <c r="AH8131">
        <v>1</v>
      </c>
      <c r="AI8131">
        <v>1</v>
      </c>
      <c r="AJ8131">
        <v>1</v>
      </c>
      <c r="AK8131">
        <v>1</v>
      </c>
      <c r="AL8131">
        <v>1</v>
      </c>
      <c r="AM8131">
        <v>1</v>
      </c>
    </row>
    <row r="8132" spans="1:39" x14ac:dyDescent="0.2">
      <c r="A8132" t="str">
        <f>"8128"</f>
        <v>8128</v>
      </c>
      <c r="B8132" t="str">
        <f t="shared" si="452"/>
        <v>1</v>
      </c>
      <c r="C8132" t="str">
        <f t="shared" si="451"/>
        <v>163</v>
      </c>
      <c r="D8132" t="str">
        <f>"9"</f>
        <v>9</v>
      </c>
      <c r="E8132" t="str">
        <f>"1-163-9"</f>
        <v>1-163-9</v>
      </c>
      <c r="F8132" t="s">
        <v>65</v>
      </c>
      <c r="G8132" t="s">
        <v>66</v>
      </c>
      <c r="H8132" t="s">
        <v>67</v>
      </c>
      <c r="S8132">
        <v>1</v>
      </c>
      <c r="T8132">
        <v>0</v>
      </c>
      <c r="U8132">
        <v>0</v>
      </c>
      <c r="V8132">
        <v>0</v>
      </c>
      <c r="W8132">
        <v>1</v>
      </c>
      <c r="X8132">
        <v>0</v>
      </c>
      <c r="Y8132">
        <v>1</v>
      </c>
      <c r="Z8132">
        <v>0</v>
      </c>
      <c r="AA8132">
        <v>1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</row>
    <row r="8133" spans="1:39" x14ac:dyDescent="0.2">
      <c r="A8133" t="str">
        <f>"8129"</f>
        <v>8129</v>
      </c>
      <c r="B8133" t="str">
        <f t="shared" si="452"/>
        <v>1</v>
      </c>
      <c r="C8133" t="str">
        <f t="shared" si="451"/>
        <v>163</v>
      </c>
      <c r="D8133" t="str">
        <f>"42"</f>
        <v>42</v>
      </c>
      <c r="E8133" t="str">
        <f>"1-163-42"</f>
        <v>1-163-42</v>
      </c>
      <c r="F8133" t="s">
        <v>65</v>
      </c>
      <c r="G8133" t="s">
        <v>66</v>
      </c>
      <c r="H8133" t="s">
        <v>67</v>
      </c>
      <c r="S8133">
        <v>1</v>
      </c>
      <c r="T8133">
        <v>0</v>
      </c>
      <c r="U8133">
        <v>0</v>
      </c>
      <c r="V8133">
        <v>0</v>
      </c>
      <c r="W8133">
        <v>1</v>
      </c>
      <c r="X8133">
        <v>0</v>
      </c>
      <c r="Y8133">
        <v>1</v>
      </c>
      <c r="Z8133">
        <v>0</v>
      </c>
      <c r="AA8133">
        <v>1</v>
      </c>
      <c r="AB8133">
        <v>0</v>
      </c>
      <c r="AC8133">
        <v>0</v>
      </c>
      <c r="AD8133">
        <v>1</v>
      </c>
      <c r="AE8133">
        <v>1</v>
      </c>
      <c r="AF8133">
        <v>1</v>
      </c>
      <c r="AG8133">
        <v>1</v>
      </c>
      <c r="AH8133">
        <v>1</v>
      </c>
      <c r="AI8133">
        <v>1</v>
      </c>
      <c r="AJ8133">
        <v>1</v>
      </c>
      <c r="AK8133">
        <v>1</v>
      </c>
      <c r="AL8133">
        <v>1</v>
      </c>
      <c r="AM8133">
        <v>1</v>
      </c>
    </row>
    <row r="8134" spans="1:39" x14ac:dyDescent="0.2">
      <c r="A8134" t="str">
        <f>"8130"</f>
        <v>8130</v>
      </c>
      <c r="B8134" t="str">
        <f t="shared" si="452"/>
        <v>1</v>
      </c>
      <c r="C8134" t="str">
        <f t="shared" si="451"/>
        <v>163</v>
      </c>
      <c r="D8134" t="str">
        <f>"24"</f>
        <v>24</v>
      </c>
      <c r="E8134" t="str">
        <f>"1-163-24"</f>
        <v>1-163-24</v>
      </c>
      <c r="F8134" t="s">
        <v>65</v>
      </c>
      <c r="G8134" t="s">
        <v>66</v>
      </c>
      <c r="H8134" t="s">
        <v>67</v>
      </c>
      <c r="S8134">
        <v>1</v>
      </c>
      <c r="T8134">
        <v>0</v>
      </c>
      <c r="U8134">
        <v>0</v>
      </c>
      <c r="V8134">
        <v>0</v>
      </c>
      <c r="W8134">
        <v>1</v>
      </c>
      <c r="X8134">
        <v>0</v>
      </c>
      <c r="Y8134">
        <v>1</v>
      </c>
      <c r="Z8134">
        <v>0</v>
      </c>
      <c r="AA8134">
        <v>0</v>
      </c>
      <c r="AB8134">
        <v>1</v>
      </c>
      <c r="AC8134">
        <v>0</v>
      </c>
      <c r="AD8134">
        <v>1</v>
      </c>
      <c r="AE8134">
        <v>1</v>
      </c>
      <c r="AF8134">
        <v>1</v>
      </c>
      <c r="AG8134">
        <v>1</v>
      </c>
      <c r="AH8134">
        <v>1</v>
      </c>
      <c r="AI8134">
        <v>1</v>
      </c>
      <c r="AJ8134">
        <v>1</v>
      </c>
      <c r="AK8134">
        <v>1</v>
      </c>
      <c r="AL8134">
        <v>1</v>
      </c>
      <c r="AM8134">
        <v>1</v>
      </c>
    </row>
    <row r="8135" spans="1:39" x14ac:dyDescent="0.2">
      <c r="A8135" t="str">
        <f>"8131"</f>
        <v>8131</v>
      </c>
      <c r="B8135" t="str">
        <f t="shared" si="452"/>
        <v>1</v>
      </c>
      <c r="C8135" t="str">
        <f t="shared" si="451"/>
        <v>163</v>
      </c>
      <c r="D8135" t="str">
        <f>"4"</f>
        <v>4</v>
      </c>
      <c r="E8135" t="str">
        <f>"1-163-4"</f>
        <v>1-163-4</v>
      </c>
      <c r="F8135" t="s">
        <v>65</v>
      </c>
      <c r="G8135" t="s">
        <v>66</v>
      </c>
      <c r="H8135" t="s">
        <v>67</v>
      </c>
      <c r="S8135">
        <v>1</v>
      </c>
      <c r="T8135">
        <v>0</v>
      </c>
      <c r="U8135">
        <v>0</v>
      </c>
      <c r="V8135">
        <v>0</v>
      </c>
      <c r="W8135">
        <v>1</v>
      </c>
      <c r="X8135">
        <v>0</v>
      </c>
      <c r="Y8135">
        <v>1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1</v>
      </c>
      <c r="AI8135">
        <v>1</v>
      </c>
      <c r="AJ8135">
        <v>1</v>
      </c>
      <c r="AK8135">
        <v>1</v>
      </c>
      <c r="AL8135">
        <v>0</v>
      </c>
      <c r="AM8135">
        <v>0</v>
      </c>
    </row>
    <row r="8136" spans="1:39" x14ac:dyDescent="0.2">
      <c r="A8136" t="str">
        <f>"8132"</f>
        <v>8132</v>
      </c>
      <c r="B8136" t="str">
        <f t="shared" si="452"/>
        <v>1</v>
      </c>
      <c r="C8136" t="str">
        <f t="shared" si="451"/>
        <v>163</v>
      </c>
      <c r="D8136" t="str">
        <f>"45"</f>
        <v>45</v>
      </c>
      <c r="E8136" t="str">
        <f>"1-163-45"</f>
        <v>1-163-45</v>
      </c>
      <c r="F8136" t="s">
        <v>65</v>
      </c>
      <c r="G8136" t="s">
        <v>66</v>
      </c>
      <c r="H8136" t="s">
        <v>67</v>
      </c>
      <c r="S8136">
        <v>1</v>
      </c>
      <c r="T8136">
        <v>0</v>
      </c>
      <c r="U8136">
        <v>0</v>
      </c>
      <c r="V8136">
        <v>0</v>
      </c>
      <c r="W8136">
        <v>1</v>
      </c>
      <c r="X8136">
        <v>0</v>
      </c>
      <c r="Y8136">
        <v>1</v>
      </c>
      <c r="Z8136">
        <v>0</v>
      </c>
      <c r="AA8136">
        <v>1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</row>
    <row r="8137" spans="1:39" x14ac:dyDescent="0.2">
      <c r="A8137" t="str">
        <f>"8133"</f>
        <v>8133</v>
      </c>
      <c r="B8137" t="str">
        <f t="shared" si="452"/>
        <v>1</v>
      </c>
      <c r="C8137" t="str">
        <f t="shared" ref="C8137:C8154" si="453">"163"</f>
        <v>163</v>
      </c>
      <c r="D8137" t="str">
        <f>"25"</f>
        <v>25</v>
      </c>
      <c r="E8137" t="str">
        <f>"1-163-25"</f>
        <v>1-163-25</v>
      </c>
      <c r="F8137" t="s">
        <v>65</v>
      </c>
      <c r="G8137" t="s">
        <v>66</v>
      </c>
      <c r="H8137" t="s">
        <v>67</v>
      </c>
      <c r="S8137">
        <v>0</v>
      </c>
      <c r="T8137">
        <v>1</v>
      </c>
      <c r="U8137">
        <v>0</v>
      </c>
      <c r="V8137">
        <v>0</v>
      </c>
      <c r="W8137">
        <v>1</v>
      </c>
      <c r="X8137">
        <v>0</v>
      </c>
      <c r="Y8137">
        <v>1</v>
      </c>
      <c r="Z8137">
        <v>0</v>
      </c>
      <c r="AA8137">
        <v>1</v>
      </c>
      <c r="AB8137">
        <v>0</v>
      </c>
      <c r="AC8137">
        <v>0</v>
      </c>
      <c r="AD8137">
        <v>1</v>
      </c>
      <c r="AE8137">
        <v>1</v>
      </c>
      <c r="AF8137">
        <v>1</v>
      </c>
      <c r="AG8137">
        <v>1</v>
      </c>
      <c r="AH8137">
        <v>1</v>
      </c>
      <c r="AI8137">
        <v>1</v>
      </c>
      <c r="AJ8137">
        <v>1</v>
      </c>
      <c r="AK8137">
        <v>1</v>
      </c>
      <c r="AL8137">
        <v>1</v>
      </c>
      <c r="AM8137">
        <v>1</v>
      </c>
    </row>
    <row r="8138" spans="1:39" x14ac:dyDescent="0.2">
      <c r="A8138" t="str">
        <f>"8134"</f>
        <v>8134</v>
      </c>
      <c r="B8138" t="str">
        <f t="shared" si="452"/>
        <v>1</v>
      </c>
      <c r="C8138" t="str">
        <f t="shared" si="453"/>
        <v>163</v>
      </c>
      <c r="D8138" t="str">
        <f>"8"</f>
        <v>8</v>
      </c>
      <c r="E8138" t="str">
        <f>"1-163-8"</f>
        <v>1-163-8</v>
      </c>
      <c r="F8138" t="s">
        <v>65</v>
      </c>
      <c r="G8138" t="s">
        <v>66</v>
      </c>
      <c r="H8138" t="s">
        <v>67</v>
      </c>
      <c r="S8138">
        <v>1</v>
      </c>
      <c r="T8138">
        <v>0</v>
      </c>
      <c r="U8138">
        <v>0</v>
      </c>
      <c r="V8138">
        <v>0</v>
      </c>
      <c r="W8138">
        <v>1</v>
      </c>
      <c r="X8138">
        <v>0</v>
      </c>
      <c r="Y8138">
        <v>0</v>
      </c>
      <c r="Z8138">
        <v>1</v>
      </c>
      <c r="AA8138">
        <v>1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1</v>
      </c>
      <c r="AH8138">
        <v>0</v>
      </c>
      <c r="AI8138">
        <v>0</v>
      </c>
      <c r="AJ8138">
        <v>0</v>
      </c>
      <c r="AK8138">
        <v>0</v>
      </c>
      <c r="AL8138">
        <v>1</v>
      </c>
      <c r="AM8138">
        <v>0</v>
      </c>
    </row>
    <row r="8139" spans="1:39" x14ac:dyDescent="0.2">
      <c r="A8139" t="str">
        <f>"8135"</f>
        <v>8135</v>
      </c>
      <c r="B8139" t="str">
        <f t="shared" si="452"/>
        <v>1</v>
      </c>
      <c r="C8139" t="str">
        <f t="shared" si="453"/>
        <v>163</v>
      </c>
      <c r="D8139" t="str">
        <f>"44"</f>
        <v>44</v>
      </c>
      <c r="E8139" t="str">
        <f>"1-163-44"</f>
        <v>1-163-44</v>
      </c>
      <c r="F8139" t="s">
        <v>65</v>
      </c>
      <c r="G8139" t="s">
        <v>66</v>
      </c>
      <c r="H8139" t="s">
        <v>67</v>
      </c>
      <c r="S8139">
        <v>0</v>
      </c>
      <c r="T8139">
        <v>0</v>
      </c>
      <c r="U8139">
        <v>0</v>
      </c>
      <c r="V8139">
        <v>0</v>
      </c>
      <c r="W8139">
        <v>1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1</v>
      </c>
      <c r="AJ8139">
        <v>0</v>
      </c>
      <c r="AK8139">
        <v>0</v>
      </c>
      <c r="AL8139">
        <v>1</v>
      </c>
      <c r="AM8139">
        <v>0</v>
      </c>
    </row>
    <row r="8140" spans="1:39" x14ac:dyDescent="0.2">
      <c r="A8140" t="str">
        <f>"8136"</f>
        <v>8136</v>
      </c>
      <c r="B8140" t="str">
        <f t="shared" si="452"/>
        <v>1</v>
      </c>
      <c r="C8140" t="str">
        <f t="shared" si="453"/>
        <v>163</v>
      </c>
      <c r="D8140" t="str">
        <f>"26"</f>
        <v>26</v>
      </c>
      <c r="E8140" t="str">
        <f>"1-163-26"</f>
        <v>1-163-26</v>
      </c>
      <c r="F8140" t="s">
        <v>65</v>
      </c>
      <c r="G8140" t="s">
        <v>66</v>
      </c>
      <c r="H8140" t="s">
        <v>67</v>
      </c>
      <c r="S8140">
        <v>1</v>
      </c>
      <c r="T8140">
        <v>0</v>
      </c>
      <c r="U8140">
        <v>0</v>
      </c>
      <c r="V8140">
        <v>0</v>
      </c>
      <c r="W8140">
        <v>1</v>
      </c>
      <c r="X8140">
        <v>0</v>
      </c>
      <c r="Y8140">
        <v>1</v>
      </c>
      <c r="Z8140">
        <v>0</v>
      </c>
      <c r="AA8140">
        <v>1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</row>
    <row r="8141" spans="1:39" x14ac:dyDescent="0.2">
      <c r="A8141" t="str">
        <f>"8137"</f>
        <v>8137</v>
      </c>
      <c r="B8141" t="str">
        <f t="shared" si="452"/>
        <v>1</v>
      </c>
      <c r="C8141" t="str">
        <f t="shared" si="453"/>
        <v>163</v>
      </c>
      <c r="D8141" t="str">
        <f>"1"</f>
        <v>1</v>
      </c>
      <c r="E8141" t="str">
        <f>"1-163-1"</f>
        <v>1-163-1</v>
      </c>
      <c r="F8141" t="s">
        <v>65</v>
      </c>
      <c r="G8141" t="s">
        <v>66</v>
      </c>
      <c r="H8141" t="s">
        <v>67</v>
      </c>
      <c r="S8141">
        <v>0</v>
      </c>
      <c r="T8141">
        <v>1</v>
      </c>
      <c r="U8141">
        <v>0</v>
      </c>
      <c r="V8141">
        <v>0</v>
      </c>
      <c r="W8141">
        <v>1</v>
      </c>
      <c r="X8141">
        <v>0</v>
      </c>
      <c r="Y8141">
        <v>0</v>
      </c>
      <c r="Z8141">
        <v>1</v>
      </c>
      <c r="AA8141">
        <v>0</v>
      </c>
      <c r="AB8141">
        <v>0</v>
      </c>
      <c r="AC8141">
        <v>1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</row>
    <row r="8142" spans="1:39" x14ac:dyDescent="0.2">
      <c r="A8142" t="str">
        <f>"8138"</f>
        <v>8138</v>
      </c>
      <c r="B8142" t="str">
        <f t="shared" si="452"/>
        <v>1</v>
      </c>
      <c r="C8142" t="str">
        <f t="shared" si="453"/>
        <v>163</v>
      </c>
      <c r="D8142" t="str">
        <f>"46"</f>
        <v>46</v>
      </c>
      <c r="E8142" t="str">
        <f>"1-163-46"</f>
        <v>1-163-46</v>
      </c>
      <c r="F8142" t="s">
        <v>65</v>
      </c>
      <c r="G8142" t="s">
        <v>66</v>
      </c>
      <c r="H8142" t="s">
        <v>67</v>
      </c>
      <c r="S8142">
        <v>0</v>
      </c>
      <c r="T8142">
        <v>1</v>
      </c>
      <c r="U8142">
        <v>0</v>
      </c>
      <c r="V8142">
        <v>0</v>
      </c>
      <c r="W8142">
        <v>1</v>
      </c>
      <c r="X8142">
        <v>0</v>
      </c>
      <c r="Y8142">
        <v>0</v>
      </c>
      <c r="Z8142">
        <v>1</v>
      </c>
      <c r="AA8142">
        <v>1</v>
      </c>
      <c r="AB8142">
        <v>0</v>
      </c>
      <c r="AC8142">
        <v>0</v>
      </c>
      <c r="AD8142">
        <v>1</v>
      </c>
      <c r="AE8142">
        <v>1</v>
      </c>
      <c r="AF8142">
        <v>1</v>
      </c>
      <c r="AG8142">
        <v>1</v>
      </c>
      <c r="AH8142">
        <v>1</v>
      </c>
      <c r="AI8142">
        <v>1</v>
      </c>
      <c r="AJ8142">
        <v>1</v>
      </c>
      <c r="AK8142">
        <v>1</v>
      </c>
      <c r="AL8142">
        <v>1</v>
      </c>
      <c r="AM8142">
        <v>1</v>
      </c>
    </row>
    <row r="8143" spans="1:39" x14ac:dyDescent="0.2">
      <c r="A8143" t="str">
        <f>"8139"</f>
        <v>8139</v>
      </c>
      <c r="B8143" t="str">
        <f t="shared" si="452"/>
        <v>1</v>
      </c>
      <c r="C8143" t="str">
        <f t="shared" si="453"/>
        <v>163</v>
      </c>
      <c r="D8143" t="str">
        <f>"27"</f>
        <v>27</v>
      </c>
      <c r="E8143" t="str">
        <f>"1-163-27"</f>
        <v>1-163-27</v>
      </c>
      <c r="F8143" t="s">
        <v>65</v>
      </c>
      <c r="G8143" t="s">
        <v>66</v>
      </c>
      <c r="H8143" t="s">
        <v>67</v>
      </c>
      <c r="S8143">
        <v>0</v>
      </c>
      <c r="T8143">
        <v>1</v>
      </c>
      <c r="U8143">
        <v>0</v>
      </c>
      <c r="V8143">
        <v>0</v>
      </c>
      <c r="W8143">
        <v>1</v>
      </c>
      <c r="X8143">
        <v>0</v>
      </c>
      <c r="Y8143">
        <v>1</v>
      </c>
      <c r="Z8143">
        <v>0</v>
      </c>
      <c r="AA8143">
        <v>0</v>
      </c>
      <c r="AB8143">
        <v>1</v>
      </c>
      <c r="AC8143">
        <v>0</v>
      </c>
      <c r="AD8143">
        <v>1</v>
      </c>
      <c r="AE8143">
        <v>0</v>
      </c>
      <c r="AF8143">
        <v>1</v>
      </c>
      <c r="AG8143">
        <v>1</v>
      </c>
      <c r="AH8143">
        <v>1</v>
      </c>
      <c r="AI8143">
        <v>1</v>
      </c>
      <c r="AJ8143">
        <v>0</v>
      </c>
      <c r="AK8143">
        <v>1</v>
      </c>
      <c r="AL8143">
        <v>1</v>
      </c>
      <c r="AM8143">
        <v>1</v>
      </c>
    </row>
    <row r="8144" spans="1:39" x14ac:dyDescent="0.2">
      <c r="A8144" t="str">
        <f>"8140"</f>
        <v>8140</v>
      </c>
      <c r="B8144" t="str">
        <f t="shared" si="452"/>
        <v>1</v>
      </c>
      <c r="C8144" t="str">
        <f t="shared" si="453"/>
        <v>163</v>
      </c>
      <c r="D8144" t="str">
        <f>"2"</f>
        <v>2</v>
      </c>
      <c r="E8144" t="str">
        <f>"1-163-2"</f>
        <v>1-163-2</v>
      </c>
      <c r="F8144" t="s">
        <v>65</v>
      </c>
      <c r="G8144" t="s">
        <v>66</v>
      </c>
      <c r="H8144" t="s">
        <v>67</v>
      </c>
      <c r="S8144">
        <v>1</v>
      </c>
      <c r="T8144">
        <v>0</v>
      </c>
      <c r="U8144">
        <v>0</v>
      </c>
      <c r="V8144">
        <v>0</v>
      </c>
      <c r="W8144">
        <v>0</v>
      </c>
      <c r="X8144">
        <v>1</v>
      </c>
      <c r="Y8144">
        <v>1</v>
      </c>
      <c r="Z8144">
        <v>0</v>
      </c>
      <c r="AA8144">
        <v>0</v>
      </c>
      <c r="AB8144">
        <v>1</v>
      </c>
      <c r="AC8144">
        <v>0</v>
      </c>
      <c r="AD8144">
        <v>1</v>
      </c>
      <c r="AE8144">
        <v>1</v>
      </c>
      <c r="AF8144">
        <v>1</v>
      </c>
      <c r="AG8144">
        <v>1</v>
      </c>
      <c r="AH8144">
        <v>1</v>
      </c>
      <c r="AI8144">
        <v>1</v>
      </c>
      <c r="AJ8144">
        <v>1</v>
      </c>
      <c r="AK8144">
        <v>1</v>
      </c>
      <c r="AL8144">
        <v>1</v>
      </c>
      <c r="AM8144">
        <v>1</v>
      </c>
    </row>
    <row r="8145" spans="1:39" x14ac:dyDescent="0.2">
      <c r="A8145" t="str">
        <f>"8141"</f>
        <v>8141</v>
      </c>
      <c r="B8145" t="str">
        <f t="shared" si="452"/>
        <v>1</v>
      </c>
      <c r="C8145" t="str">
        <f t="shared" si="453"/>
        <v>163</v>
      </c>
      <c r="D8145" t="str">
        <f>"29"</f>
        <v>29</v>
      </c>
      <c r="E8145" t="str">
        <f>"1-163-29"</f>
        <v>1-163-29</v>
      </c>
      <c r="F8145" t="s">
        <v>65</v>
      </c>
      <c r="G8145" t="s">
        <v>66</v>
      </c>
      <c r="H8145" t="s">
        <v>67</v>
      </c>
      <c r="S8145">
        <v>1</v>
      </c>
      <c r="T8145">
        <v>0</v>
      </c>
      <c r="U8145">
        <v>0</v>
      </c>
      <c r="V8145">
        <v>0</v>
      </c>
      <c r="W8145">
        <v>1</v>
      </c>
      <c r="X8145">
        <v>0</v>
      </c>
      <c r="Y8145">
        <v>0</v>
      </c>
      <c r="Z8145">
        <v>1</v>
      </c>
      <c r="AA8145">
        <v>0</v>
      </c>
      <c r="AB8145">
        <v>1</v>
      </c>
      <c r="AC8145">
        <v>0</v>
      </c>
      <c r="AD8145">
        <v>0</v>
      </c>
      <c r="AE8145">
        <v>0</v>
      </c>
      <c r="AF8145">
        <v>0</v>
      </c>
      <c r="AG8145">
        <v>1</v>
      </c>
      <c r="AH8145">
        <v>1</v>
      </c>
      <c r="AI8145">
        <v>1</v>
      </c>
      <c r="AJ8145">
        <v>1</v>
      </c>
      <c r="AK8145">
        <v>1</v>
      </c>
      <c r="AL8145">
        <v>1</v>
      </c>
      <c r="AM8145">
        <v>1</v>
      </c>
    </row>
    <row r="8146" spans="1:39" x14ac:dyDescent="0.2">
      <c r="A8146" t="str">
        <f>"8142"</f>
        <v>8142</v>
      </c>
      <c r="B8146" t="str">
        <f t="shared" si="452"/>
        <v>1</v>
      </c>
      <c r="C8146" t="str">
        <f t="shared" si="453"/>
        <v>163</v>
      </c>
      <c r="D8146" t="str">
        <f>"11"</f>
        <v>11</v>
      </c>
      <c r="E8146" t="str">
        <f>"1-163-11"</f>
        <v>1-163-11</v>
      </c>
      <c r="F8146" t="s">
        <v>65</v>
      </c>
      <c r="G8146" t="s">
        <v>66</v>
      </c>
      <c r="H8146" t="s">
        <v>67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1</v>
      </c>
      <c r="Y8146">
        <v>0</v>
      </c>
      <c r="Z8146">
        <v>0</v>
      </c>
      <c r="AA8146">
        <v>0</v>
      </c>
      <c r="AB8146">
        <v>1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</row>
    <row r="8147" spans="1:39" x14ac:dyDescent="0.2">
      <c r="A8147" t="str">
        <f>"8143"</f>
        <v>8143</v>
      </c>
      <c r="B8147" t="str">
        <f t="shared" si="452"/>
        <v>1</v>
      </c>
      <c r="C8147" t="str">
        <f t="shared" si="453"/>
        <v>163</v>
      </c>
      <c r="D8147" t="str">
        <f>"30"</f>
        <v>30</v>
      </c>
      <c r="E8147" t="str">
        <f>"1-163-30"</f>
        <v>1-163-30</v>
      </c>
      <c r="F8147" t="s">
        <v>65</v>
      </c>
      <c r="G8147" t="s">
        <v>66</v>
      </c>
      <c r="H8147" t="s">
        <v>67</v>
      </c>
      <c r="S8147">
        <v>1</v>
      </c>
      <c r="T8147">
        <v>0</v>
      </c>
      <c r="U8147">
        <v>0</v>
      </c>
      <c r="V8147">
        <v>0</v>
      </c>
      <c r="W8147">
        <v>1</v>
      </c>
      <c r="X8147">
        <v>0</v>
      </c>
      <c r="Y8147">
        <v>1</v>
      </c>
      <c r="Z8147">
        <v>0</v>
      </c>
      <c r="AA8147">
        <v>1</v>
      </c>
      <c r="AB8147">
        <v>0</v>
      </c>
      <c r="AC8147">
        <v>0</v>
      </c>
      <c r="AD8147">
        <v>1</v>
      </c>
      <c r="AE8147">
        <v>1</v>
      </c>
      <c r="AF8147">
        <v>1</v>
      </c>
      <c r="AG8147">
        <v>1</v>
      </c>
      <c r="AH8147">
        <v>1</v>
      </c>
      <c r="AI8147">
        <v>1</v>
      </c>
      <c r="AJ8147">
        <v>1</v>
      </c>
      <c r="AK8147">
        <v>1</v>
      </c>
      <c r="AL8147">
        <v>1</v>
      </c>
      <c r="AM8147">
        <v>1</v>
      </c>
    </row>
    <row r="8148" spans="1:39" x14ac:dyDescent="0.2">
      <c r="A8148" t="str">
        <f>"8144"</f>
        <v>8144</v>
      </c>
      <c r="B8148" t="str">
        <f t="shared" si="452"/>
        <v>1</v>
      </c>
      <c r="C8148" t="str">
        <f t="shared" si="453"/>
        <v>163</v>
      </c>
      <c r="D8148" t="str">
        <f>"13"</f>
        <v>13</v>
      </c>
      <c r="E8148" t="str">
        <f>"1-163-13"</f>
        <v>1-163-13</v>
      </c>
      <c r="F8148" t="s">
        <v>65</v>
      </c>
      <c r="G8148" t="s">
        <v>66</v>
      </c>
      <c r="H8148" t="s">
        <v>67</v>
      </c>
      <c r="S8148">
        <v>1</v>
      </c>
      <c r="T8148">
        <v>0</v>
      </c>
      <c r="U8148">
        <v>0</v>
      </c>
      <c r="V8148">
        <v>0</v>
      </c>
      <c r="W8148">
        <v>1</v>
      </c>
      <c r="X8148">
        <v>0</v>
      </c>
      <c r="Y8148">
        <v>1</v>
      </c>
      <c r="Z8148">
        <v>0</v>
      </c>
      <c r="AA8148">
        <v>1</v>
      </c>
      <c r="AB8148">
        <v>0</v>
      </c>
      <c r="AC8148">
        <v>0</v>
      </c>
      <c r="AD8148">
        <v>1</v>
      </c>
      <c r="AE8148">
        <v>1</v>
      </c>
      <c r="AF8148">
        <v>1</v>
      </c>
      <c r="AG8148">
        <v>1</v>
      </c>
      <c r="AH8148">
        <v>1</v>
      </c>
      <c r="AI8148">
        <v>1</v>
      </c>
      <c r="AJ8148">
        <v>1</v>
      </c>
      <c r="AK8148">
        <v>1</v>
      </c>
      <c r="AL8148">
        <v>1</v>
      </c>
      <c r="AM8148">
        <v>1</v>
      </c>
    </row>
    <row r="8149" spans="1:39" x14ac:dyDescent="0.2">
      <c r="A8149" t="str">
        <f>"8145"</f>
        <v>8145</v>
      </c>
      <c r="B8149" t="str">
        <f t="shared" si="452"/>
        <v>1</v>
      </c>
      <c r="C8149" t="str">
        <f t="shared" si="453"/>
        <v>163</v>
      </c>
      <c r="D8149" t="str">
        <f>"47"</f>
        <v>47</v>
      </c>
      <c r="E8149" t="str">
        <f>"1-163-47"</f>
        <v>1-163-47</v>
      </c>
      <c r="F8149" t="s">
        <v>65</v>
      </c>
      <c r="G8149" t="s">
        <v>66</v>
      </c>
      <c r="H8149" t="s">
        <v>67</v>
      </c>
      <c r="S8149">
        <v>1</v>
      </c>
      <c r="T8149">
        <v>0</v>
      </c>
      <c r="U8149">
        <v>0</v>
      </c>
      <c r="V8149">
        <v>0</v>
      </c>
      <c r="W8149">
        <v>1</v>
      </c>
      <c r="X8149">
        <v>0</v>
      </c>
      <c r="Y8149">
        <v>1</v>
      </c>
      <c r="Z8149">
        <v>0</v>
      </c>
      <c r="AA8149">
        <v>0</v>
      </c>
      <c r="AB8149">
        <v>1</v>
      </c>
      <c r="AC8149">
        <v>0</v>
      </c>
      <c r="AD8149">
        <v>1</v>
      </c>
      <c r="AE8149">
        <v>1</v>
      </c>
      <c r="AF8149">
        <v>1</v>
      </c>
      <c r="AG8149">
        <v>1</v>
      </c>
      <c r="AH8149">
        <v>1</v>
      </c>
      <c r="AI8149">
        <v>1</v>
      </c>
      <c r="AJ8149">
        <v>1</v>
      </c>
      <c r="AK8149">
        <v>1</v>
      </c>
      <c r="AL8149">
        <v>1</v>
      </c>
      <c r="AM8149">
        <v>1</v>
      </c>
    </row>
    <row r="8150" spans="1:39" x14ac:dyDescent="0.2">
      <c r="A8150" t="str">
        <f>"8146"</f>
        <v>8146</v>
      </c>
      <c r="B8150" t="str">
        <f t="shared" si="452"/>
        <v>1</v>
      </c>
      <c r="C8150" t="str">
        <f t="shared" si="453"/>
        <v>163</v>
      </c>
      <c r="D8150" t="str">
        <f>"32"</f>
        <v>32</v>
      </c>
      <c r="E8150" t="str">
        <f>"1-163-32"</f>
        <v>1-163-32</v>
      </c>
      <c r="F8150" t="s">
        <v>65</v>
      </c>
      <c r="G8150" t="s">
        <v>66</v>
      </c>
      <c r="H8150" t="s">
        <v>67</v>
      </c>
      <c r="S8150">
        <v>1</v>
      </c>
      <c r="T8150">
        <v>0</v>
      </c>
      <c r="U8150">
        <v>0</v>
      </c>
      <c r="V8150">
        <v>0</v>
      </c>
      <c r="W8150">
        <v>1</v>
      </c>
      <c r="X8150">
        <v>0</v>
      </c>
      <c r="Y8150">
        <v>0</v>
      </c>
      <c r="Z8150">
        <v>1</v>
      </c>
      <c r="AA8150">
        <v>1</v>
      </c>
      <c r="AB8150">
        <v>0</v>
      </c>
      <c r="AC8150">
        <v>0</v>
      </c>
      <c r="AD8150">
        <v>1</v>
      </c>
      <c r="AE8150">
        <v>1</v>
      </c>
      <c r="AF8150">
        <v>1</v>
      </c>
      <c r="AG8150">
        <v>1</v>
      </c>
      <c r="AH8150">
        <v>1</v>
      </c>
      <c r="AI8150">
        <v>1</v>
      </c>
      <c r="AJ8150">
        <v>1</v>
      </c>
      <c r="AK8150">
        <v>1</v>
      </c>
      <c r="AL8150">
        <v>1</v>
      </c>
      <c r="AM8150">
        <v>1</v>
      </c>
    </row>
    <row r="8151" spans="1:39" x14ac:dyDescent="0.2">
      <c r="A8151" t="str">
        <f>"8147"</f>
        <v>8147</v>
      </c>
      <c r="B8151" t="str">
        <f t="shared" si="452"/>
        <v>1</v>
      </c>
      <c r="C8151" t="str">
        <f t="shared" si="453"/>
        <v>163</v>
      </c>
      <c r="D8151" t="str">
        <f>"14"</f>
        <v>14</v>
      </c>
      <c r="E8151" t="str">
        <f>"1-163-14"</f>
        <v>1-163-14</v>
      </c>
      <c r="F8151" t="s">
        <v>65</v>
      </c>
      <c r="G8151" t="s">
        <v>66</v>
      </c>
      <c r="H8151" t="s">
        <v>67</v>
      </c>
      <c r="S8151">
        <v>1</v>
      </c>
      <c r="T8151">
        <v>0</v>
      </c>
      <c r="U8151">
        <v>0</v>
      </c>
      <c r="V8151">
        <v>0</v>
      </c>
      <c r="W8151">
        <v>1</v>
      </c>
      <c r="X8151">
        <v>0</v>
      </c>
      <c r="Y8151">
        <v>1</v>
      </c>
      <c r="Z8151">
        <v>0</v>
      </c>
      <c r="AA8151">
        <v>1</v>
      </c>
      <c r="AB8151">
        <v>0</v>
      </c>
      <c r="AC8151">
        <v>0</v>
      </c>
      <c r="AD8151">
        <v>1</v>
      </c>
      <c r="AE8151">
        <v>1</v>
      </c>
      <c r="AF8151">
        <v>1</v>
      </c>
      <c r="AG8151">
        <v>1</v>
      </c>
      <c r="AH8151">
        <v>1</v>
      </c>
      <c r="AI8151">
        <v>1</v>
      </c>
      <c r="AJ8151">
        <v>1</v>
      </c>
      <c r="AK8151">
        <v>1</v>
      </c>
      <c r="AL8151">
        <v>1</v>
      </c>
      <c r="AM8151">
        <v>1</v>
      </c>
    </row>
    <row r="8152" spans="1:39" x14ac:dyDescent="0.2">
      <c r="A8152" t="str">
        <f>"8148"</f>
        <v>8148</v>
      </c>
      <c r="B8152" t="str">
        <f t="shared" si="452"/>
        <v>1</v>
      </c>
      <c r="C8152" t="str">
        <f t="shared" si="453"/>
        <v>163</v>
      </c>
      <c r="D8152" t="str">
        <f>"49"</f>
        <v>49</v>
      </c>
      <c r="E8152" t="str">
        <f>"1-163-49"</f>
        <v>1-163-49</v>
      </c>
      <c r="F8152" t="s">
        <v>65</v>
      </c>
      <c r="G8152" t="s">
        <v>66</v>
      </c>
      <c r="H8152" t="s">
        <v>67</v>
      </c>
      <c r="S8152">
        <v>0</v>
      </c>
      <c r="T8152">
        <v>1</v>
      </c>
      <c r="U8152">
        <v>0</v>
      </c>
      <c r="V8152">
        <v>0</v>
      </c>
      <c r="W8152">
        <v>1</v>
      </c>
      <c r="X8152">
        <v>0</v>
      </c>
      <c r="Y8152">
        <v>1</v>
      </c>
      <c r="Z8152">
        <v>0</v>
      </c>
      <c r="AA8152">
        <v>1</v>
      </c>
      <c r="AB8152">
        <v>0</v>
      </c>
      <c r="AC8152">
        <v>0</v>
      </c>
      <c r="AD8152">
        <v>1</v>
      </c>
      <c r="AE8152">
        <v>1</v>
      </c>
      <c r="AF8152">
        <v>1</v>
      </c>
      <c r="AG8152">
        <v>1</v>
      </c>
      <c r="AH8152">
        <v>1</v>
      </c>
      <c r="AI8152">
        <v>1</v>
      </c>
      <c r="AJ8152">
        <v>1</v>
      </c>
      <c r="AK8152">
        <v>1</v>
      </c>
      <c r="AL8152">
        <v>1</v>
      </c>
      <c r="AM8152">
        <v>1</v>
      </c>
    </row>
    <row r="8153" spans="1:39" x14ac:dyDescent="0.2">
      <c r="A8153" t="str">
        <f>"8149"</f>
        <v>8149</v>
      </c>
      <c r="B8153" t="str">
        <f t="shared" si="452"/>
        <v>1</v>
      </c>
      <c r="C8153" t="str">
        <f t="shared" si="453"/>
        <v>163</v>
      </c>
      <c r="D8153" t="str">
        <f>"48"</f>
        <v>48</v>
      </c>
      <c r="E8153" t="str">
        <f>"1-163-48"</f>
        <v>1-163-48</v>
      </c>
      <c r="F8153" t="s">
        <v>65</v>
      </c>
      <c r="G8153" t="s">
        <v>66</v>
      </c>
      <c r="H8153" t="s">
        <v>67</v>
      </c>
      <c r="S8153">
        <v>1</v>
      </c>
      <c r="T8153">
        <v>0</v>
      </c>
      <c r="U8153">
        <v>0</v>
      </c>
      <c r="V8153">
        <v>0</v>
      </c>
      <c r="W8153">
        <v>1</v>
      </c>
      <c r="X8153">
        <v>0</v>
      </c>
      <c r="Y8153">
        <v>1</v>
      </c>
      <c r="Z8153">
        <v>0</v>
      </c>
      <c r="AA8153">
        <v>1</v>
      </c>
      <c r="AB8153">
        <v>0</v>
      </c>
      <c r="AC8153">
        <v>0</v>
      </c>
      <c r="AD8153">
        <v>1</v>
      </c>
      <c r="AE8153">
        <v>1</v>
      </c>
      <c r="AF8153">
        <v>1</v>
      </c>
      <c r="AG8153">
        <v>1</v>
      </c>
      <c r="AH8153">
        <v>1</v>
      </c>
      <c r="AI8153">
        <v>1</v>
      </c>
      <c r="AJ8153">
        <v>1</v>
      </c>
      <c r="AK8153">
        <v>1</v>
      </c>
      <c r="AL8153">
        <v>1</v>
      </c>
      <c r="AM8153">
        <v>1</v>
      </c>
    </row>
    <row r="8154" spans="1:39" x14ac:dyDescent="0.2">
      <c r="A8154" t="str">
        <f>"8150"</f>
        <v>8150</v>
      </c>
      <c r="B8154" t="str">
        <f t="shared" si="452"/>
        <v>1</v>
      </c>
      <c r="C8154" t="str">
        <f t="shared" si="453"/>
        <v>163</v>
      </c>
      <c r="D8154" t="str">
        <f>"50"</f>
        <v>50</v>
      </c>
      <c r="E8154" t="str">
        <f>"1-163-50"</f>
        <v>1-163-50</v>
      </c>
      <c r="F8154" t="s">
        <v>65</v>
      </c>
      <c r="G8154" t="s">
        <v>66</v>
      </c>
      <c r="H8154" t="s">
        <v>67</v>
      </c>
      <c r="S8154">
        <v>1</v>
      </c>
      <c r="T8154">
        <v>0</v>
      </c>
      <c r="U8154">
        <v>0</v>
      </c>
      <c r="V8154">
        <v>0</v>
      </c>
      <c r="W8154">
        <v>0</v>
      </c>
      <c r="X8154">
        <v>1</v>
      </c>
      <c r="Y8154">
        <v>1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1</v>
      </c>
      <c r="AH8154">
        <v>1</v>
      </c>
      <c r="AI8154">
        <v>0</v>
      </c>
      <c r="AJ8154">
        <v>0</v>
      </c>
      <c r="AK8154">
        <v>0</v>
      </c>
      <c r="AL8154">
        <v>1</v>
      </c>
      <c r="AM8154">
        <v>1</v>
      </c>
    </row>
    <row r="8155" spans="1:39" x14ac:dyDescent="0.2">
      <c r="A8155" t="str">
        <f>"8151"</f>
        <v>8151</v>
      </c>
      <c r="B8155" t="str">
        <f t="shared" si="452"/>
        <v>1</v>
      </c>
      <c r="C8155" t="str">
        <f t="shared" ref="C8155:C8186" si="454">"164"</f>
        <v>164</v>
      </c>
      <c r="D8155" t="str">
        <f>"38"</f>
        <v>38</v>
      </c>
      <c r="E8155" t="str">
        <f>"1-164-38"</f>
        <v>1-164-38</v>
      </c>
      <c r="F8155" t="s">
        <v>65</v>
      </c>
      <c r="G8155" t="s">
        <v>66</v>
      </c>
      <c r="H8155" t="s">
        <v>67</v>
      </c>
      <c r="S8155">
        <v>0</v>
      </c>
      <c r="T8155">
        <v>1</v>
      </c>
      <c r="U8155">
        <v>0</v>
      </c>
      <c r="V8155">
        <v>0</v>
      </c>
      <c r="W8155">
        <v>0</v>
      </c>
      <c r="X8155">
        <v>1</v>
      </c>
      <c r="Y8155">
        <v>0</v>
      </c>
      <c r="Z8155">
        <v>1</v>
      </c>
      <c r="AA8155">
        <v>0</v>
      </c>
      <c r="AB8155">
        <v>0</v>
      </c>
      <c r="AC8155">
        <v>1</v>
      </c>
      <c r="AD8155">
        <v>1</v>
      </c>
      <c r="AE8155">
        <v>1</v>
      </c>
      <c r="AF8155">
        <v>1</v>
      </c>
      <c r="AG8155">
        <v>1</v>
      </c>
      <c r="AH8155">
        <v>1</v>
      </c>
      <c r="AI8155">
        <v>1</v>
      </c>
      <c r="AJ8155">
        <v>1</v>
      </c>
      <c r="AK8155">
        <v>1</v>
      </c>
      <c r="AL8155">
        <v>1</v>
      </c>
      <c r="AM8155">
        <v>1</v>
      </c>
    </row>
    <row r="8156" spans="1:39" x14ac:dyDescent="0.2">
      <c r="A8156" t="str">
        <f>"8152"</f>
        <v>8152</v>
      </c>
      <c r="B8156" t="str">
        <f t="shared" si="452"/>
        <v>1</v>
      </c>
      <c r="C8156" t="str">
        <f t="shared" si="454"/>
        <v>164</v>
      </c>
      <c r="D8156" t="str">
        <f>"37"</f>
        <v>37</v>
      </c>
      <c r="E8156" t="str">
        <f>"1-164-37"</f>
        <v>1-164-37</v>
      </c>
      <c r="F8156" t="s">
        <v>65</v>
      </c>
      <c r="G8156" t="s">
        <v>66</v>
      </c>
      <c r="H8156" t="s">
        <v>67</v>
      </c>
      <c r="S8156">
        <v>1</v>
      </c>
      <c r="T8156">
        <v>0</v>
      </c>
      <c r="U8156">
        <v>0</v>
      </c>
      <c r="V8156">
        <v>0</v>
      </c>
      <c r="W8156">
        <v>1</v>
      </c>
      <c r="X8156">
        <v>0</v>
      </c>
      <c r="Y8156">
        <v>0</v>
      </c>
      <c r="Z8156">
        <v>1</v>
      </c>
      <c r="AA8156">
        <v>1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1</v>
      </c>
      <c r="AM8156">
        <v>1</v>
      </c>
    </row>
    <row r="8157" spans="1:39" x14ac:dyDescent="0.2">
      <c r="A8157" t="str">
        <f>"8153"</f>
        <v>8153</v>
      </c>
      <c r="B8157" t="str">
        <f t="shared" si="452"/>
        <v>1</v>
      </c>
      <c r="C8157" t="str">
        <f t="shared" si="454"/>
        <v>164</v>
      </c>
      <c r="D8157" t="str">
        <f>"28"</f>
        <v>28</v>
      </c>
      <c r="E8157" t="str">
        <f>"1-164-28"</f>
        <v>1-164-28</v>
      </c>
      <c r="F8157" t="s">
        <v>65</v>
      </c>
      <c r="G8157" t="s">
        <v>66</v>
      </c>
      <c r="H8157" t="s">
        <v>67</v>
      </c>
      <c r="S8157">
        <v>0</v>
      </c>
      <c r="T8157">
        <v>1</v>
      </c>
      <c r="U8157">
        <v>0</v>
      </c>
      <c r="V8157">
        <v>0</v>
      </c>
      <c r="W8157">
        <v>1</v>
      </c>
      <c r="X8157">
        <v>0</v>
      </c>
      <c r="Y8157">
        <v>1</v>
      </c>
      <c r="Z8157">
        <v>0</v>
      </c>
      <c r="AA8157">
        <v>0</v>
      </c>
      <c r="AB8157">
        <v>0</v>
      </c>
      <c r="AC8157">
        <v>1</v>
      </c>
      <c r="AD8157">
        <v>1</v>
      </c>
      <c r="AE8157">
        <v>1</v>
      </c>
      <c r="AF8157">
        <v>1</v>
      </c>
      <c r="AG8157">
        <v>1</v>
      </c>
      <c r="AH8157">
        <v>1</v>
      </c>
      <c r="AI8157">
        <v>1</v>
      </c>
      <c r="AJ8157">
        <v>1</v>
      </c>
      <c r="AK8157">
        <v>1</v>
      </c>
      <c r="AL8157">
        <v>1</v>
      </c>
      <c r="AM8157">
        <v>1</v>
      </c>
    </row>
    <row r="8158" spans="1:39" x14ac:dyDescent="0.2">
      <c r="A8158" t="str">
        <f>"8154"</f>
        <v>8154</v>
      </c>
      <c r="B8158" t="str">
        <f t="shared" si="452"/>
        <v>1</v>
      </c>
      <c r="C8158" t="str">
        <f t="shared" si="454"/>
        <v>164</v>
      </c>
      <c r="D8158" t="str">
        <f>"15"</f>
        <v>15</v>
      </c>
      <c r="E8158" t="str">
        <f>"1-164-15"</f>
        <v>1-164-15</v>
      </c>
      <c r="F8158" t="s">
        <v>65</v>
      </c>
      <c r="G8158" t="s">
        <v>66</v>
      </c>
      <c r="H8158" t="s">
        <v>67</v>
      </c>
      <c r="S8158">
        <v>1</v>
      </c>
      <c r="T8158">
        <v>0</v>
      </c>
      <c r="U8158">
        <v>0</v>
      </c>
      <c r="V8158">
        <v>0</v>
      </c>
      <c r="W8158">
        <v>1</v>
      </c>
      <c r="X8158">
        <v>0</v>
      </c>
      <c r="Y8158">
        <v>1</v>
      </c>
      <c r="Z8158">
        <v>0</v>
      </c>
      <c r="AA8158">
        <v>0</v>
      </c>
      <c r="AB8158">
        <v>1</v>
      </c>
      <c r="AC8158">
        <v>0</v>
      </c>
      <c r="AD8158">
        <v>1</v>
      </c>
      <c r="AE8158">
        <v>1</v>
      </c>
      <c r="AF8158">
        <v>1</v>
      </c>
      <c r="AG8158">
        <v>1</v>
      </c>
      <c r="AH8158">
        <v>1</v>
      </c>
      <c r="AI8158">
        <v>1</v>
      </c>
      <c r="AJ8158">
        <v>1</v>
      </c>
      <c r="AK8158">
        <v>1</v>
      </c>
      <c r="AL8158">
        <v>1</v>
      </c>
      <c r="AM8158">
        <v>1</v>
      </c>
    </row>
    <row r="8159" spans="1:39" x14ac:dyDescent="0.2">
      <c r="A8159" t="str">
        <f>"8155"</f>
        <v>8155</v>
      </c>
      <c r="B8159" t="str">
        <f t="shared" si="452"/>
        <v>1</v>
      </c>
      <c r="C8159" t="str">
        <f t="shared" si="454"/>
        <v>164</v>
      </c>
      <c r="D8159" t="str">
        <f>"8"</f>
        <v>8</v>
      </c>
      <c r="E8159" t="str">
        <f>"1-164-8"</f>
        <v>1-164-8</v>
      </c>
      <c r="F8159" t="s">
        <v>65</v>
      </c>
      <c r="G8159" t="s">
        <v>66</v>
      </c>
      <c r="H8159" t="s">
        <v>67</v>
      </c>
      <c r="S8159">
        <v>1</v>
      </c>
      <c r="T8159">
        <v>0</v>
      </c>
      <c r="U8159">
        <v>0</v>
      </c>
      <c r="V8159">
        <v>0</v>
      </c>
      <c r="W8159">
        <v>1</v>
      </c>
      <c r="X8159">
        <v>0</v>
      </c>
      <c r="Y8159">
        <v>0</v>
      </c>
      <c r="Z8159">
        <v>1</v>
      </c>
      <c r="AA8159">
        <v>1</v>
      </c>
      <c r="AB8159">
        <v>0</v>
      </c>
      <c r="AC8159">
        <v>0</v>
      </c>
      <c r="AD8159">
        <v>1</v>
      </c>
      <c r="AE8159">
        <v>1</v>
      </c>
      <c r="AF8159">
        <v>1</v>
      </c>
      <c r="AG8159">
        <v>1</v>
      </c>
      <c r="AH8159">
        <v>1</v>
      </c>
      <c r="AI8159">
        <v>1</v>
      </c>
      <c r="AJ8159">
        <v>1</v>
      </c>
      <c r="AK8159">
        <v>1</v>
      </c>
      <c r="AL8159">
        <v>1</v>
      </c>
      <c r="AM8159">
        <v>1</v>
      </c>
    </row>
    <row r="8160" spans="1:39" x14ac:dyDescent="0.2">
      <c r="A8160" t="str">
        <f>"8156"</f>
        <v>8156</v>
      </c>
      <c r="B8160" t="str">
        <f t="shared" si="452"/>
        <v>1</v>
      </c>
      <c r="C8160" t="str">
        <f t="shared" si="454"/>
        <v>164</v>
      </c>
      <c r="D8160" t="str">
        <f>"36"</f>
        <v>36</v>
      </c>
      <c r="E8160" t="str">
        <f>"1-164-36"</f>
        <v>1-164-36</v>
      </c>
      <c r="F8160" t="s">
        <v>65</v>
      </c>
      <c r="G8160" t="s">
        <v>66</v>
      </c>
      <c r="H8160" t="s">
        <v>67</v>
      </c>
      <c r="S8160">
        <v>1</v>
      </c>
      <c r="T8160">
        <v>0</v>
      </c>
      <c r="U8160">
        <v>0</v>
      </c>
      <c r="V8160">
        <v>0</v>
      </c>
      <c r="W8160">
        <v>1</v>
      </c>
      <c r="X8160">
        <v>0</v>
      </c>
      <c r="Y8160">
        <v>0</v>
      </c>
      <c r="Z8160">
        <v>1</v>
      </c>
      <c r="AA8160">
        <v>1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1</v>
      </c>
      <c r="AM8160">
        <v>1</v>
      </c>
    </row>
    <row r="8161" spans="1:39" x14ac:dyDescent="0.2">
      <c r="A8161" t="str">
        <f>"8157"</f>
        <v>8157</v>
      </c>
      <c r="B8161" t="str">
        <f t="shared" si="452"/>
        <v>1</v>
      </c>
      <c r="C8161" t="str">
        <f t="shared" si="454"/>
        <v>164</v>
      </c>
      <c r="D8161" t="str">
        <f>"35"</f>
        <v>35</v>
      </c>
      <c r="E8161" t="str">
        <f>"1-164-35"</f>
        <v>1-164-35</v>
      </c>
      <c r="F8161" t="s">
        <v>65</v>
      </c>
      <c r="G8161" t="s">
        <v>66</v>
      </c>
      <c r="H8161" t="s">
        <v>67</v>
      </c>
      <c r="S8161">
        <v>0</v>
      </c>
      <c r="T8161">
        <v>1</v>
      </c>
      <c r="U8161">
        <v>0</v>
      </c>
      <c r="V8161">
        <v>0</v>
      </c>
      <c r="W8161">
        <v>1</v>
      </c>
      <c r="X8161">
        <v>0</v>
      </c>
      <c r="Y8161">
        <v>0</v>
      </c>
      <c r="Z8161">
        <v>1</v>
      </c>
      <c r="AA8161">
        <v>0</v>
      </c>
      <c r="AB8161">
        <v>0</v>
      </c>
      <c r="AC8161">
        <v>1</v>
      </c>
      <c r="AD8161">
        <v>1</v>
      </c>
      <c r="AE8161">
        <v>1</v>
      </c>
      <c r="AF8161">
        <v>1</v>
      </c>
      <c r="AG8161">
        <v>1</v>
      </c>
      <c r="AH8161">
        <v>1</v>
      </c>
      <c r="AI8161">
        <v>1</v>
      </c>
      <c r="AJ8161">
        <v>1</v>
      </c>
      <c r="AK8161">
        <v>1</v>
      </c>
      <c r="AL8161">
        <v>1</v>
      </c>
      <c r="AM8161">
        <v>1</v>
      </c>
    </row>
    <row r="8162" spans="1:39" x14ac:dyDescent="0.2">
      <c r="A8162" t="str">
        <f>"8158"</f>
        <v>8158</v>
      </c>
      <c r="B8162" t="str">
        <f t="shared" si="452"/>
        <v>1</v>
      </c>
      <c r="C8162" t="str">
        <f t="shared" si="454"/>
        <v>164</v>
      </c>
      <c r="D8162" t="str">
        <f>"25"</f>
        <v>25</v>
      </c>
      <c r="E8162" t="str">
        <f>"1-164-25"</f>
        <v>1-164-25</v>
      </c>
      <c r="F8162" t="s">
        <v>65</v>
      </c>
      <c r="G8162" t="s">
        <v>66</v>
      </c>
      <c r="H8162" t="s">
        <v>67</v>
      </c>
      <c r="S8162">
        <v>0</v>
      </c>
      <c r="T8162">
        <v>1</v>
      </c>
      <c r="U8162">
        <v>0</v>
      </c>
      <c r="V8162">
        <v>0</v>
      </c>
      <c r="W8162">
        <v>1</v>
      </c>
      <c r="X8162">
        <v>0</v>
      </c>
      <c r="Y8162">
        <v>0</v>
      </c>
      <c r="Z8162">
        <v>1</v>
      </c>
      <c r="AA8162">
        <v>0</v>
      </c>
      <c r="AB8162">
        <v>0</v>
      </c>
      <c r="AC8162">
        <v>1</v>
      </c>
      <c r="AD8162">
        <v>1</v>
      </c>
      <c r="AE8162">
        <v>1</v>
      </c>
      <c r="AF8162">
        <v>1</v>
      </c>
      <c r="AG8162">
        <v>1</v>
      </c>
      <c r="AH8162">
        <v>1</v>
      </c>
      <c r="AI8162">
        <v>1</v>
      </c>
      <c r="AJ8162">
        <v>1</v>
      </c>
      <c r="AK8162">
        <v>1</v>
      </c>
      <c r="AL8162">
        <v>1</v>
      </c>
      <c r="AM8162">
        <v>1</v>
      </c>
    </row>
    <row r="8163" spans="1:39" x14ac:dyDescent="0.2">
      <c r="A8163" t="str">
        <f>"8159"</f>
        <v>8159</v>
      </c>
      <c r="B8163" t="str">
        <f t="shared" si="452"/>
        <v>1</v>
      </c>
      <c r="C8163" t="str">
        <f t="shared" si="454"/>
        <v>164</v>
      </c>
      <c r="D8163" t="str">
        <f>"16"</f>
        <v>16</v>
      </c>
      <c r="E8163" t="str">
        <f>"1-164-16"</f>
        <v>1-164-16</v>
      </c>
      <c r="F8163" t="s">
        <v>65</v>
      </c>
      <c r="G8163" t="s">
        <v>66</v>
      </c>
      <c r="H8163" t="s">
        <v>67</v>
      </c>
      <c r="S8163">
        <v>0</v>
      </c>
      <c r="T8163">
        <v>1</v>
      </c>
      <c r="U8163">
        <v>0</v>
      </c>
      <c r="V8163">
        <v>0</v>
      </c>
      <c r="W8163">
        <v>1</v>
      </c>
      <c r="X8163">
        <v>0</v>
      </c>
      <c r="Y8163">
        <v>1</v>
      </c>
      <c r="Z8163">
        <v>0</v>
      </c>
      <c r="AA8163">
        <v>1</v>
      </c>
      <c r="AB8163">
        <v>0</v>
      </c>
      <c r="AC8163">
        <v>0</v>
      </c>
      <c r="AD8163">
        <v>1</v>
      </c>
      <c r="AE8163">
        <v>1</v>
      </c>
      <c r="AF8163">
        <v>0</v>
      </c>
      <c r="AG8163">
        <v>1</v>
      </c>
      <c r="AH8163">
        <v>1</v>
      </c>
      <c r="AI8163">
        <v>1</v>
      </c>
      <c r="AJ8163">
        <v>1</v>
      </c>
      <c r="AK8163">
        <v>1</v>
      </c>
      <c r="AL8163">
        <v>1</v>
      </c>
      <c r="AM8163">
        <v>0</v>
      </c>
    </row>
    <row r="8164" spans="1:39" x14ac:dyDescent="0.2">
      <c r="A8164" t="str">
        <f>"8160"</f>
        <v>8160</v>
      </c>
      <c r="B8164" t="str">
        <f t="shared" si="452"/>
        <v>1</v>
      </c>
      <c r="C8164" t="str">
        <f t="shared" si="454"/>
        <v>164</v>
      </c>
      <c r="D8164" t="str">
        <f>"14"</f>
        <v>14</v>
      </c>
      <c r="E8164" t="str">
        <f>"1-164-14"</f>
        <v>1-164-14</v>
      </c>
      <c r="F8164" t="s">
        <v>65</v>
      </c>
      <c r="G8164" t="s">
        <v>66</v>
      </c>
      <c r="H8164" t="s">
        <v>67</v>
      </c>
      <c r="S8164">
        <v>1</v>
      </c>
      <c r="T8164">
        <v>0</v>
      </c>
      <c r="U8164">
        <v>0</v>
      </c>
      <c r="V8164">
        <v>0</v>
      </c>
      <c r="W8164">
        <v>1</v>
      </c>
      <c r="X8164">
        <v>0</v>
      </c>
      <c r="Y8164">
        <v>1</v>
      </c>
      <c r="Z8164">
        <v>0</v>
      </c>
      <c r="AA8164">
        <v>1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1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1</v>
      </c>
    </row>
    <row r="8165" spans="1:39" x14ac:dyDescent="0.2">
      <c r="A8165" t="str">
        <f>"8161"</f>
        <v>8161</v>
      </c>
      <c r="B8165" t="str">
        <f t="shared" si="452"/>
        <v>1</v>
      </c>
      <c r="C8165" t="str">
        <f t="shared" si="454"/>
        <v>164</v>
      </c>
      <c r="D8165" t="str">
        <f>"40"</f>
        <v>40</v>
      </c>
      <c r="E8165" t="str">
        <f>"1-164-40"</f>
        <v>1-164-40</v>
      </c>
      <c r="F8165" t="s">
        <v>65</v>
      </c>
      <c r="G8165" t="s">
        <v>66</v>
      </c>
      <c r="H8165" t="s">
        <v>67</v>
      </c>
      <c r="S8165">
        <v>1</v>
      </c>
      <c r="T8165">
        <v>0</v>
      </c>
      <c r="U8165">
        <v>0</v>
      </c>
      <c r="V8165">
        <v>0</v>
      </c>
      <c r="W8165">
        <v>1</v>
      </c>
      <c r="X8165">
        <v>0</v>
      </c>
      <c r="Y8165">
        <v>0</v>
      </c>
      <c r="Z8165">
        <v>1</v>
      </c>
      <c r="AA8165">
        <v>0</v>
      </c>
      <c r="AB8165">
        <v>1</v>
      </c>
      <c r="AC8165">
        <v>0</v>
      </c>
      <c r="AD8165">
        <v>1</v>
      </c>
      <c r="AE8165">
        <v>1</v>
      </c>
      <c r="AF8165">
        <v>1</v>
      </c>
      <c r="AG8165">
        <v>1</v>
      </c>
      <c r="AH8165">
        <v>1</v>
      </c>
      <c r="AI8165">
        <v>1</v>
      </c>
      <c r="AJ8165">
        <v>1</v>
      </c>
      <c r="AK8165">
        <v>1</v>
      </c>
      <c r="AL8165">
        <v>1</v>
      </c>
      <c r="AM8165">
        <v>1</v>
      </c>
    </row>
    <row r="8166" spans="1:39" x14ac:dyDescent="0.2">
      <c r="A8166" t="str">
        <f>"8162"</f>
        <v>8162</v>
      </c>
      <c r="B8166" t="str">
        <f t="shared" si="452"/>
        <v>1</v>
      </c>
      <c r="C8166" t="str">
        <f t="shared" si="454"/>
        <v>164</v>
      </c>
      <c r="D8166" t="str">
        <f>"39"</f>
        <v>39</v>
      </c>
      <c r="E8166" t="str">
        <f>"1-164-39"</f>
        <v>1-164-39</v>
      </c>
      <c r="F8166" t="s">
        <v>65</v>
      </c>
      <c r="G8166" t="s">
        <v>66</v>
      </c>
      <c r="H8166" t="s">
        <v>67</v>
      </c>
      <c r="S8166">
        <v>0</v>
      </c>
      <c r="T8166">
        <v>1</v>
      </c>
      <c r="U8166">
        <v>0</v>
      </c>
      <c r="V8166">
        <v>0</v>
      </c>
      <c r="W8166">
        <v>1</v>
      </c>
      <c r="X8166">
        <v>0</v>
      </c>
      <c r="Y8166">
        <v>0</v>
      </c>
      <c r="Z8166">
        <v>1</v>
      </c>
      <c r="AA8166">
        <v>0</v>
      </c>
      <c r="AB8166">
        <v>0</v>
      </c>
      <c r="AC8166">
        <v>1</v>
      </c>
      <c r="AD8166">
        <v>1</v>
      </c>
      <c r="AE8166">
        <v>1</v>
      </c>
      <c r="AF8166">
        <v>1</v>
      </c>
      <c r="AG8166">
        <v>1</v>
      </c>
      <c r="AH8166">
        <v>1</v>
      </c>
      <c r="AI8166">
        <v>1</v>
      </c>
      <c r="AJ8166">
        <v>1</v>
      </c>
      <c r="AK8166">
        <v>1</v>
      </c>
      <c r="AL8166">
        <v>1</v>
      </c>
      <c r="AM8166">
        <v>1</v>
      </c>
    </row>
    <row r="8167" spans="1:39" x14ac:dyDescent="0.2">
      <c r="A8167" t="str">
        <f>"8163"</f>
        <v>8163</v>
      </c>
      <c r="B8167" t="str">
        <f t="shared" si="452"/>
        <v>1</v>
      </c>
      <c r="C8167" t="str">
        <f t="shared" si="454"/>
        <v>164</v>
      </c>
      <c r="D8167" t="str">
        <f>"30"</f>
        <v>30</v>
      </c>
      <c r="E8167" t="str">
        <f>"1-164-30"</f>
        <v>1-164-30</v>
      </c>
      <c r="F8167" t="s">
        <v>65</v>
      </c>
      <c r="G8167" t="s">
        <v>66</v>
      </c>
      <c r="H8167" t="s">
        <v>67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1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1</v>
      </c>
      <c r="AE8167">
        <v>1</v>
      </c>
      <c r="AF8167">
        <v>1</v>
      </c>
      <c r="AG8167">
        <v>1</v>
      </c>
      <c r="AH8167">
        <v>1</v>
      </c>
      <c r="AI8167">
        <v>1</v>
      </c>
      <c r="AJ8167">
        <v>1</v>
      </c>
      <c r="AK8167">
        <v>1</v>
      </c>
      <c r="AL8167">
        <v>1</v>
      </c>
      <c r="AM8167">
        <v>1</v>
      </c>
    </row>
    <row r="8168" spans="1:39" x14ac:dyDescent="0.2">
      <c r="A8168" t="str">
        <f>"8164"</f>
        <v>8164</v>
      </c>
      <c r="B8168" t="str">
        <f t="shared" si="452"/>
        <v>1</v>
      </c>
      <c r="C8168" t="str">
        <f t="shared" si="454"/>
        <v>164</v>
      </c>
      <c r="D8168" t="str">
        <f>"17"</f>
        <v>17</v>
      </c>
      <c r="E8168" t="str">
        <f>"1-164-17"</f>
        <v>1-164-17</v>
      </c>
      <c r="F8168" t="s">
        <v>65</v>
      </c>
      <c r="G8168" t="s">
        <v>66</v>
      </c>
      <c r="H8168" t="s">
        <v>67</v>
      </c>
      <c r="S8168">
        <v>1</v>
      </c>
      <c r="T8168">
        <v>0</v>
      </c>
      <c r="U8168">
        <v>0</v>
      </c>
      <c r="V8168">
        <v>0</v>
      </c>
      <c r="W8168">
        <v>1</v>
      </c>
      <c r="X8168">
        <v>0</v>
      </c>
      <c r="Y8168">
        <v>1</v>
      </c>
      <c r="Z8168">
        <v>0</v>
      </c>
      <c r="AA8168">
        <v>1</v>
      </c>
      <c r="AB8168">
        <v>0</v>
      </c>
      <c r="AC8168">
        <v>0</v>
      </c>
      <c r="AD8168">
        <v>1</v>
      </c>
      <c r="AE8168">
        <v>1</v>
      </c>
      <c r="AF8168">
        <v>1</v>
      </c>
      <c r="AG8168">
        <v>1</v>
      </c>
      <c r="AH8168">
        <v>1</v>
      </c>
      <c r="AI8168">
        <v>1</v>
      </c>
      <c r="AJ8168">
        <v>1</v>
      </c>
      <c r="AK8168">
        <v>1</v>
      </c>
      <c r="AL8168">
        <v>1</v>
      </c>
      <c r="AM8168">
        <v>1</v>
      </c>
    </row>
    <row r="8169" spans="1:39" x14ac:dyDescent="0.2">
      <c r="A8169" t="str">
        <f>"8165"</f>
        <v>8165</v>
      </c>
      <c r="B8169" t="str">
        <f t="shared" si="452"/>
        <v>1</v>
      </c>
      <c r="C8169" t="str">
        <f t="shared" si="454"/>
        <v>164</v>
      </c>
      <c r="D8169" t="str">
        <f>"4"</f>
        <v>4</v>
      </c>
      <c r="E8169" t="str">
        <f>"1-164-4"</f>
        <v>1-164-4</v>
      </c>
      <c r="F8169" t="s">
        <v>65</v>
      </c>
      <c r="G8169" t="s">
        <v>66</v>
      </c>
      <c r="H8169" t="s">
        <v>67</v>
      </c>
      <c r="S8169">
        <v>0</v>
      </c>
      <c r="T8169">
        <v>1</v>
      </c>
      <c r="U8169">
        <v>0</v>
      </c>
      <c r="V8169">
        <v>0</v>
      </c>
      <c r="W8169">
        <v>1</v>
      </c>
      <c r="X8169">
        <v>0</v>
      </c>
      <c r="Y8169">
        <v>0</v>
      </c>
      <c r="Z8169">
        <v>1</v>
      </c>
      <c r="AA8169">
        <v>0</v>
      </c>
      <c r="AB8169">
        <v>0</v>
      </c>
      <c r="AC8169">
        <v>1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</row>
    <row r="8170" spans="1:39" x14ac:dyDescent="0.2">
      <c r="A8170" t="str">
        <f>"8166"</f>
        <v>8166</v>
      </c>
      <c r="B8170" t="str">
        <f t="shared" si="452"/>
        <v>1</v>
      </c>
      <c r="C8170" t="str">
        <f t="shared" si="454"/>
        <v>164</v>
      </c>
      <c r="D8170" t="str">
        <f>"34"</f>
        <v>34</v>
      </c>
      <c r="E8170" t="str">
        <f>"1-164-34"</f>
        <v>1-164-34</v>
      </c>
      <c r="F8170" t="s">
        <v>65</v>
      </c>
      <c r="G8170" t="s">
        <v>66</v>
      </c>
      <c r="H8170" t="s">
        <v>67</v>
      </c>
      <c r="S8170">
        <v>0</v>
      </c>
      <c r="T8170">
        <v>1</v>
      </c>
      <c r="U8170">
        <v>0</v>
      </c>
      <c r="V8170">
        <v>0</v>
      </c>
      <c r="W8170">
        <v>1</v>
      </c>
      <c r="X8170">
        <v>0</v>
      </c>
      <c r="Y8170">
        <v>1</v>
      </c>
      <c r="Z8170">
        <v>0</v>
      </c>
      <c r="AA8170">
        <v>1</v>
      </c>
      <c r="AB8170">
        <v>0</v>
      </c>
      <c r="AC8170">
        <v>0</v>
      </c>
      <c r="AD8170">
        <v>1</v>
      </c>
      <c r="AE8170">
        <v>1</v>
      </c>
      <c r="AF8170">
        <v>1</v>
      </c>
      <c r="AG8170">
        <v>1</v>
      </c>
      <c r="AH8170">
        <v>1</v>
      </c>
      <c r="AI8170">
        <v>1</v>
      </c>
      <c r="AJ8170">
        <v>1</v>
      </c>
      <c r="AK8170">
        <v>1</v>
      </c>
      <c r="AL8170">
        <v>1</v>
      </c>
      <c r="AM8170">
        <v>1</v>
      </c>
    </row>
    <row r="8171" spans="1:39" x14ac:dyDescent="0.2">
      <c r="A8171" t="str">
        <f>"8167"</f>
        <v>8167</v>
      </c>
      <c r="B8171" t="str">
        <f t="shared" si="452"/>
        <v>1</v>
      </c>
      <c r="C8171" t="str">
        <f t="shared" si="454"/>
        <v>164</v>
      </c>
      <c r="D8171" t="str">
        <f>"33"</f>
        <v>33</v>
      </c>
      <c r="E8171" t="str">
        <f>"1-164-33"</f>
        <v>1-164-33</v>
      </c>
      <c r="F8171" t="s">
        <v>65</v>
      </c>
      <c r="G8171" t="s">
        <v>66</v>
      </c>
      <c r="H8171" t="s">
        <v>67</v>
      </c>
      <c r="S8171">
        <v>1</v>
      </c>
      <c r="T8171">
        <v>0</v>
      </c>
      <c r="U8171">
        <v>0</v>
      </c>
      <c r="V8171">
        <v>0</v>
      </c>
      <c r="W8171">
        <v>1</v>
      </c>
      <c r="X8171">
        <v>0</v>
      </c>
      <c r="Y8171">
        <v>1</v>
      </c>
      <c r="Z8171">
        <v>0</v>
      </c>
      <c r="AA8171">
        <v>1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1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1</v>
      </c>
    </row>
    <row r="8172" spans="1:39" x14ac:dyDescent="0.2">
      <c r="A8172" t="str">
        <f>"8168"</f>
        <v>8168</v>
      </c>
      <c r="B8172" t="str">
        <f t="shared" si="452"/>
        <v>1</v>
      </c>
      <c r="C8172" t="str">
        <f t="shared" si="454"/>
        <v>164</v>
      </c>
      <c r="D8172" t="str">
        <f>"23"</f>
        <v>23</v>
      </c>
      <c r="E8172" t="str">
        <f>"1-164-23"</f>
        <v>1-164-23</v>
      </c>
      <c r="F8172" t="s">
        <v>65</v>
      </c>
      <c r="G8172" t="s">
        <v>66</v>
      </c>
      <c r="H8172" t="s">
        <v>67</v>
      </c>
      <c r="S8172">
        <v>1</v>
      </c>
      <c r="T8172">
        <v>0</v>
      </c>
      <c r="U8172">
        <v>0</v>
      </c>
      <c r="V8172">
        <v>0</v>
      </c>
      <c r="W8172">
        <v>1</v>
      </c>
      <c r="X8172">
        <v>0</v>
      </c>
      <c r="Y8172">
        <v>1</v>
      </c>
      <c r="Z8172">
        <v>0</v>
      </c>
      <c r="AA8172">
        <v>0</v>
      </c>
      <c r="AB8172">
        <v>1</v>
      </c>
      <c r="AC8172">
        <v>0</v>
      </c>
      <c r="AD8172">
        <v>1</v>
      </c>
      <c r="AE8172">
        <v>1</v>
      </c>
      <c r="AF8172">
        <v>1</v>
      </c>
      <c r="AG8172">
        <v>1</v>
      </c>
      <c r="AH8172">
        <v>1</v>
      </c>
      <c r="AI8172">
        <v>1</v>
      </c>
      <c r="AJ8172">
        <v>1</v>
      </c>
      <c r="AK8172">
        <v>1</v>
      </c>
      <c r="AL8172">
        <v>1</v>
      </c>
      <c r="AM8172">
        <v>1</v>
      </c>
    </row>
    <row r="8173" spans="1:39" x14ac:dyDescent="0.2">
      <c r="A8173" t="str">
        <f>"8169"</f>
        <v>8169</v>
      </c>
      <c r="B8173" t="str">
        <f t="shared" si="452"/>
        <v>1</v>
      </c>
      <c r="C8173" t="str">
        <f t="shared" si="454"/>
        <v>164</v>
      </c>
      <c r="D8173" t="str">
        <f>"18"</f>
        <v>18</v>
      </c>
      <c r="E8173" t="str">
        <f>"1-164-18"</f>
        <v>1-164-18</v>
      </c>
      <c r="F8173" t="s">
        <v>65</v>
      </c>
      <c r="G8173" t="s">
        <v>66</v>
      </c>
      <c r="H8173" t="s">
        <v>67</v>
      </c>
      <c r="S8173">
        <v>1</v>
      </c>
      <c r="T8173">
        <v>0</v>
      </c>
      <c r="U8173">
        <v>0</v>
      </c>
      <c r="V8173">
        <v>0</v>
      </c>
      <c r="W8173">
        <v>1</v>
      </c>
      <c r="X8173">
        <v>0</v>
      </c>
      <c r="Y8173">
        <v>1</v>
      </c>
      <c r="Z8173">
        <v>0</v>
      </c>
      <c r="AA8173">
        <v>1</v>
      </c>
      <c r="AB8173">
        <v>0</v>
      </c>
      <c r="AC8173">
        <v>0</v>
      </c>
      <c r="AD8173">
        <v>1</v>
      </c>
      <c r="AE8173">
        <v>1</v>
      </c>
      <c r="AF8173">
        <v>1</v>
      </c>
      <c r="AG8173">
        <v>1</v>
      </c>
      <c r="AH8173">
        <v>1</v>
      </c>
      <c r="AI8173">
        <v>1</v>
      </c>
      <c r="AJ8173">
        <v>1</v>
      </c>
      <c r="AK8173">
        <v>1</v>
      </c>
      <c r="AL8173">
        <v>1</v>
      </c>
      <c r="AM8173">
        <v>1</v>
      </c>
    </row>
    <row r="8174" spans="1:39" x14ac:dyDescent="0.2">
      <c r="A8174" t="str">
        <f>"8170"</f>
        <v>8170</v>
      </c>
      <c r="B8174" t="str">
        <f t="shared" si="452"/>
        <v>1</v>
      </c>
      <c r="C8174" t="str">
        <f t="shared" si="454"/>
        <v>164</v>
      </c>
      <c r="D8174" t="str">
        <f>"6"</f>
        <v>6</v>
      </c>
      <c r="E8174" t="str">
        <f>"1-164-6"</f>
        <v>1-164-6</v>
      </c>
      <c r="F8174" t="s">
        <v>65</v>
      </c>
      <c r="G8174" t="s">
        <v>66</v>
      </c>
      <c r="H8174" t="s">
        <v>67</v>
      </c>
      <c r="S8174">
        <v>0</v>
      </c>
      <c r="T8174">
        <v>0</v>
      </c>
      <c r="U8174">
        <v>0</v>
      </c>
      <c r="V8174">
        <v>0</v>
      </c>
      <c r="W8174">
        <v>1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1</v>
      </c>
      <c r="AJ8174">
        <v>0</v>
      </c>
      <c r="AK8174">
        <v>0</v>
      </c>
      <c r="AL8174">
        <v>0</v>
      </c>
      <c r="AM8174">
        <v>0</v>
      </c>
    </row>
    <row r="8175" spans="1:39" x14ac:dyDescent="0.2">
      <c r="A8175" t="str">
        <f>"8171"</f>
        <v>8171</v>
      </c>
      <c r="B8175" t="str">
        <f t="shared" si="452"/>
        <v>1</v>
      </c>
      <c r="C8175" t="str">
        <f t="shared" si="454"/>
        <v>164</v>
      </c>
      <c r="D8175" t="str">
        <f>"41"</f>
        <v>41</v>
      </c>
      <c r="E8175" t="str">
        <f>"1-164-41"</f>
        <v>1-164-41</v>
      </c>
      <c r="F8175" t="s">
        <v>65</v>
      </c>
      <c r="G8175" t="s">
        <v>66</v>
      </c>
      <c r="H8175" t="s">
        <v>67</v>
      </c>
      <c r="S8175">
        <v>0</v>
      </c>
      <c r="T8175">
        <v>1</v>
      </c>
      <c r="U8175">
        <v>0</v>
      </c>
      <c r="V8175">
        <v>0</v>
      </c>
      <c r="W8175">
        <v>1</v>
      </c>
      <c r="X8175">
        <v>0</v>
      </c>
      <c r="Y8175">
        <v>0</v>
      </c>
      <c r="Z8175">
        <v>1</v>
      </c>
      <c r="AA8175">
        <v>1</v>
      </c>
      <c r="AB8175">
        <v>0</v>
      </c>
      <c r="AC8175">
        <v>0</v>
      </c>
      <c r="AD8175">
        <v>1</v>
      </c>
      <c r="AE8175">
        <v>1</v>
      </c>
      <c r="AF8175">
        <v>1</v>
      </c>
      <c r="AG8175">
        <v>1</v>
      </c>
      <c r="AH8175">
        <v>1</v>
      </c>
      <c r="AI8175">
        <v>1</v>
      </c>
      <c r="AJ8175">
        <v>1</v>
      </c>
      <c r="AK8175">
        <v>1</v>
      </c>
      <c r="AL8175">
        <v>1</v>
      </c>
      <c r="AM8175">
        <v>1</v>
      </c>
    </row>
    <row r="8176" spans="1:39" x14ac:dyDescent="0.2">
      <c r="A8176" t="str">
        <f>"8172"</f>
        <v>8172</v>
      </c>
      <c r="B8176" t="str">
        <f t="shared" si="452"/>
        <v>1</v>
      </c>
      <c r="C8176" t="str">
        <f t="shared" si="454"/>
        <v>164</v>
      </c>
      <c r="D8176" t="str">
        <f>"19"</f>
        <v>19</v>
      </c>
      <c r="E8176" t="str">
        <f>"1-164-19"</f>
        <v>1-164-19</v>
      </c>
      <c r="F8176" t="s">
        <v>65</v>
      </c>
      <c r="G8176" t="s">
        <v>66</v>
      </c>
      <c r="H8176" t="s">
        <v>67</v>
      </c>
      <c r="S8176">
        <v>1</v>
      </c>
      <c r="T8176">
        <v>0</v>
      </c>
      <c r="U8176">
        <v>0</v>
      </c>
      <c r="V8176">
        <v>0</v>
      </c>
      <c r="W8176">
        <v>1</v>
      </c>
      <c r="X8176">
        <v>0</v>
      </c>
      <c r="Y8176">
        <v>1</v>
      </c>
      <c r="Z8176">
        <v>0</v>
      </c>
      <c r="AA8176">
        <v>0</v>
      </c>
      <c r="AB8176">
        <v>0</v>
      </c>
      <c r="AC8176">
        <v>1</v>
      </c>
      <c r="AD8176">
        <v>1</v>
      </c>
      <c r="AE8176">
        <v>1</v>
      </c>
      <c r="AF8176">
        <v>1</v>
      </c>
      <c r="AG8176">
        <v>1</v>
      </c>
      <c r="AH8176">
        <v>1</v>
      </c>
      <c r="AI8176">
        <v>1</v>
      </c>
      <c r="AJ8176">
        <v>1</v>
      </c>
      <c r="AK8176">
        <v>1</v>
      </c>
      <c r="AL8176">
        <v>1</v>
      </c>
      <c r="AM8176">
        <v>1</v>
      </c>
    </row>
    <row r="8177" spans="1:39" x14ac:dyDescent="0.2">
      <c r="A8177" t="str">
        <f>"8173"</f>
        <v>8173</v>
      </c>
      <c r="B8177" t="str">
        <f t="shared" si="452"/>
        <v>1</v>
      </c>
      <c r="C8177" t="str">
        <f t="shared" si="454"/>
        <v>164</v>
      </c>
      <c r="D8177" t="str">
        <f>"1"</f>
        <v>1</v>
      </c>
      <c r="E8177" t="str">
        <f>"1-164-1"</f>
        <v>1-164-1</v>
      </c>
      <c r="F8177" t="s">
        <v>65</v>
      </c>
      <c r="G8177" t="s">
        <v>66</v>
      </c>
      <c r="H8177" t="s">
        <v>67</v>
      </c>
      <c r="S8177">
        <v>0</v>
      </c>
      <c r="T8177">
        <v>1</v>
      </c>
      <c r="U8177">
        <v>0</v>
      </c>
      <c r="V8177">
        <v>0</v>
      </c>
      <c r="W8177">
        <v>1</v>
      </c>
      <c r="X8177">
        <v>0</v>
      </c>
      <c r="Y8177">
        <v>0</v>
      </c>
      <c r="Z8177">
        <v>1</v>
      </c>
      <c r="AA8177">
        <v>0</v>
      </c>
      <c r="AB8177">
        <v>0</v>
      </c>
      <c r="AC8177">
        <v>1</v>
      </c>
      <c r="AD8177">
        <v>1</v>
      </c>
      <c r="AE8177">
        <v>1</v>
      </c>
      <c r="AF8177">
        <v>1</v>
      </c>
      <c r="AG8177">
        <v>1</v>
      </c>
      <c r="AH8177">
        <v>1</v>
      </c>
      <c r="AI8177">
        <v>1</v>
      </c>
      <c r="AJ8177">
        <v>1</v>
      </c>
      <c r="AK8177">
        <v>1</v>
      </c>
      <c r="AL8177">
        <v>1</v>
      </c>
      <c r="AM8177">
        <v>1</v>
      </c>
    </row>
    <row r="8178" spans="1:39" x14ac:dyDescent="0.2">
      <c r="A8178" t="str">
        <f>"8174"</f>
        <v>8174</v>
      </c>
      <c r="B8178" t="str">
        <f t="shared" si="452"/>
        <v>1</v>
      </c>
      <c r="C8178" t="str">
        <f t="shared" si="454"/>
        <v>164</v>
      </c>
      <c r="D8178" t="str">
        <f>"45"</f>
        <v>45</v>
      </c>
      <c r="E8178" t="str">
        <f>"1-164-45"</f>
        <v>1-164-45</v>
      </c>
      <c r="F8178" t="s">
        <v>65</v>
      </c>
      <c r="G8178" t="s">
        <v>66</v>
      </c>
      <c r="H8178" t="s">
        <v>67</v>
      </c>
      <c r="S8178">
        <v>1</v>
      </c>
      <c r="T8178">
        <v>0</v>
      </c>
      <c r="U8178">
        <v>0</v>
      </c>
      <c r="V8178">
        <v>0</v>
      </c>
      <c r="W8178">
        <v>1</v>
      </c>
      <c r="X8178">
        <v>0</v>
      </c>
      <c r="Y8178">
        <v>0</v>
      </c>
      <c r="Z8178">
        <v>1</v>
      </c>
      <c r="AA8178">
        <v>0</v>
      </c>
      <c r="AB8178">
        <v>0</v>
      </c>
      <c r="AC8178">
        <v>1</v>
      </c>
      <c r="AD8178">
        <v>1</v>
      </c>
      <c r="AE8178">
        <v>1</v>
      </c>
      <c r="AF8178">
        <v>1</v>
      </c>
      <c r="AG8178">
        <v>0</v>
      </c>
      <c r="AH8178">
        <v>1</v>
      </c>
      <c r="AI8178">
        <v>1</v>
      </c>
      <c r="AJ8178">
        <v>1</v>
      </c>
      <c r="AK8178">
        <v>1</v>
      </c>
      <c r="AL8178">
        <v>1</v>
      </c>
      <c r="AM8178">
        <v>1</v>
      </c>
    </row>
    <row r="8179" spans="1:39" x14ac:dyDescent="0.2">
      <c r="A8179" t="str">
        <f>"8175"</f>
        <v>8175</v>
      </c>
      <c r="B8179" t="str">
        <f t="shared" si="452"/>
        <v>1</v>
      </c>
      <c r="C8179" t="str">
        <f t="shared" si="454"/>
        <v>164</v>
      </c>
      <c r="D8179" t="str">
        <f>"20"</f>
        <v>20</v>
      </c>
      <c r="E8179" t="str">
        <f>"1-164-20"</f>
        <v>1-164-20</v>
      </c>
      <c r="F8179" t="s">
        <v>65</v>
      </c>
      <c r="G8179" t="s">
        <v>66</v>
      </c>
      <c r="H8179" t="s">
        <v>67</v>
      </c>
      <c r="S8179">
        <v>1</v>
      </c>
      <c r="T8179">
        <v>0</v>
      </c>
      <c r="U8179">
        <v>0</v>
      </c>
      <c r="V8179">
        <v>0</v>
      </c>
      <c r="W8179">
        <v>1</v>
      </c>
      <c r="X8179">
        <v>0</v>
      </c>
      <c r="Y8179">
        <v>0</v>
      </c>
      <c r="Z8179">
        <v>1</v>
      </c>
      <c r="AA8179">
        <v>1</v>
      </c>
      <c r="AB8179">
        <v>0</v>
      </c>
      <c r="AC8179">
        <v>0</v>
      </c>
      <c r="AD8179">
        <v>1</v>
      </c>
      <c r="AE8179">
        <v>1</v>
      </c>
      <c r="AF8179">
        <v>1</v>
      </c>
      <c r="AG8179">
        <v>1</v>
      </c>
      <c r="AH8179">
        <v>1</v>
      </c>
      <c r="AI8179">
        <v>1</v>
      </c>
      <c r="AJ8179">
        <v>1</v>
      </c>
      <c r="AK8179">
        <v>1</v>
      </c>
      <c r="AL8179">
        <v>1</v>
      </c>
      <c r="AM8179">
        <v>1</v>
      </c>
    </row>
    <row r="8180" spans="1:39" x14ac:dyDescent="0.2">
      <c r="A8180" t="str">
        <f>"8176"</f>
        <v>8176</v>
      </c>
      <c r="B8180" t="str">
        <f t="shared" si="452"/>
        <v>1</v>
      </c>
      <c r="C8180" t="str">
        <f t="shared" si="454"/>
        <v>164</v>
      </c>
      <c r="D8180" t="str">
        <f>"9"</f>
        <v>9</v>
      </c>
      <c r="E8180" t="str">
        <f>"1-164-9"</f>
        <v>1-164-9</v>
      </c>
      <c r="F8180" t="s">
        <v>65</v>
      </c>
      <c r="G8180" t="s">
        <v>66</v>
      </c>
      <c r="H8180" t="s">
        <v>67</v>
      </c>
      <c r="S8180">
        <v>0</v>
      </c>
      <c r="T8180">
        <v>1</v>
      </c>
      <c r="U8180">
        <v>0</v>
      </c>
      <c r="V8180">
        <v>0</v>
      </c>
      <c r="W8180">
        <v>0</v>
      </c>
      <c r="X8180">
        <v>1</v>
      </c>
      <c r="Y8180">
        <v>0</v>
      </c>
      <c r="Z8180">
        <v>1</v>
      </c>
      <c r="AA8180">
        <v>0</v>
      </c>
      <c r="AB8180">
        <v>0</v>
      </c>
      <c r="AC8180">
        <v>1</v>
      </c>
      <c r="AD8180">
        <v>1</v>
      </c>
      <c r="AE8180">
        <v>1</v>
      </c>
      <c r="AF8180">
        <v>1</v>
      </c>
      <c r="AG8180">
        <v>1</v>
      </c>
      <c r="AH8180">
        <v>1</v>
      </c>
      <c r="AI8180">
        <v>1</v>
      </c>
      <c r="AJ8180">
        <v>1</v>
      </c>
      <c r="AK8180">
        <v>1</v>
      </c>
      <c r="AL8180">
        <v>1</v>
      </c>
      <c r="AM8180">
        <v>1</v>
      </c>
    </row>
    <row r="8181" spans="1:39" x14ac:dyDescent="0.2">
      <c r="A8181" t="str">
        <f>"8177"</f>
        <v>8177</v>
      </c>
      <c r="B8181" t="str">
        <f t="shared" si="452"/>
        <v>1</v>
      </c>
      <c r="C8181" t="str">
        <f t="shared" si="454"/>
        <v>164</v>
      </c>
      <c r="D8181" t="str">
        <f>"42"</f>
        <v>42</v>
      </c>
      <c r="E8181" t="str">
        <f>"1-164-42"</f>
        <v>1-164-42</v>
      </c>
      <c r="F8181" t="s">
        <v>65</v>
      </c>
      <c r="G8181" t="s">
        <v>66</v>
      </c>
      <c r="H8181" t="s">
        <v>67</v>
      </c>
      <c r="S8181">
        <v>1</v>
      </c>
      <c r="T8181">
        <v>0</v>
      </c>
      <c r="U8181">
        <v>0</v>
      </c>
      <c r="V8181">
        <v>0</v>
      </c>
      <c r="W8181">
        <v>1</v>
      </c>
      <c r="X8181">
        <v>0</v>
      </c>
      <c r="Y8181">
        <v>1</v>
      </c>
      <c r="Z8181">
        <v>0</v>
      </c>
      <c r="AA8181">
        <v>1</v>
      </c>
      <c r="AB8181">
        <v>0</v>
      </c>
      <c r="AC8181">
        <v>0</v>
      </c>
      <c r="AD8181">
        <v>1</v>
      </c>
      <c r="AE8181">
        <v>1</v>
      </c>
      <c r="AF8181">
        <v>1</v>
      </c>
      <c r="AG8181">
        <v>1</v>
      </c>
      <c r="AH8181">
        <v>1</v>
      </c>
      <c r="AI8181">
        <v>1</v>
      </c>
      <c r="AJ8181">
        <v>1</v>
      </c>
      <c r="AK8181">
        <v>1</v>
      </c>
      <c r="AL8181">
        <v>1</v>
      </c>
      <c r="AM8181">
        <v>1</v>
      </c>
    </row>
    <row r="8182" spans="1:39" x14ac:dyDescent="0.2">
      <c r="A8182" t="str">
        <f>"8178"</f>
        <v>8178</v>
      </c>
      <c r="B8182" t="str">
        <f t="shared" si="452"/>
        <v>1</v>
      </c>
      <c r="C8182" t="str">
        <f t="shared" si="454"/>
        <v>164</v>
      </c>
      <c r="D8182" t="str">
        <f>"21"</f>
        <v>21</v>
      </c>
      <c r="E8182" t="str">
        <f>"1-164-21"</f>
        <v>1-164-21</v>
      </c>
      <c r="F8182" t="s">
        <v>65</v>
      </c>
      <c r="G8182" t="s">
        <v>66</v>
      </c>
      <c r="H8182" t="s">
        <v>67</v>
      </c>
      <c r="S8182">
        <v>1</v>
      </c>
      <c r="T8182">
        <v>0</v>
      </c>
      <c r="U8182">
        <v>0</v>
      </c>
      <c r="V8182">
        <v>0</v>
      </c>
      <c r="W8182">
        <v>1</v>
      </c>
      <c r="X8182">
        <v>0</v>
      </c>
      <c r="Y8182">
        <v>0</v>
      </c>
      <c r="Z8182">
        <v>1</v>
      </c>
      <c r="AA8182">
        <v>0</v>
      </c>
      <c r="AB8182">
        <v>0</v>
      </c>
      <c r="AC8182">
        <v>1</v>
      </c>
      <c r="AD8182">
        <v>1</v>
      </c>
      <c r="AE8182">
        <v>1</v>
      </c>
      <c r="AF8182">
        <v>1</v>
      </c>
      <c r="AG8182">
        <v>1</v>
      </c>
      <c r="AH8182">
        <v>1</v>
      </c>
      <c r="AI8182">
        <v>1</v>
      </c>
      <c r="AJ8182">
        <v>1</v>
      </c>
      <c r="AK8182">
        <v>1</v>
      </c>
      <c r="AL8182">
        <v>1</v>
      </c>
      <c r="AM8182">
        <v>1</v>
      </c>
    </row>
    <row r="8183" spans="1:39" x14ac:dyDescent="0.2">
      <c r="A8183" t="str">
        <f>"8179"</f>
        <v>8179</v>
      </c>
      <c r="B8183" t="str">
        <f t="shared" ref="B8183:B8246" si="455">"1"</f>
        <v>1</v>
      </c>
      <c r="C8183" t="str">
        <f t="shared" si="454"/>
        <v>164</v>
      </c>
      <c r="D8183" t="str">
        <f>"3"</f>
        <v>3</v>
      </c>
      <c r="E8183" t="str">
        <f>"1-164-3"</f>
        <v>1-164-3</v>
      </c>
      <c r="F8183" t="s">
        <v>65</v>
      </c>
      <c r="G8183" t="s">
        <v>66</v>
      </c>
      <c r="H8183" t="s">
        <v>67</v>
      </c>
      <c r="S8183">
        <v>0</v>
      </c>
      <c r="T8183">
        <v>1</v>
      </c>
      <c r="U8183">
        <v>0</v>
      </c>
      <c r="V8183">
        <v>0</v>
      </c>
      <c r="W8183">
        <v>1</v>
      </c>
      <c r="X8183">
        <v>0</v>
      </c>
      <c r="Y8183">
        <v>0</v>
      </c>
      <c r="Z8183">
        <v>1</v>
      </c>
      <c r="AA8183">
        <v>0</v>
      </c>
      <c r="AB8183">
        <v>1</v>
      </c>
      <c r="AC8183">
        <v>0</v>
      </c>
      <c r="AD8183">
        <v>1</v>
      </c>
      <c r="AE8183">
        <v>1</v>
      </c>
      <c r="AF8183">
        <v>1</v>
      </c>
      <c r="AG8183">
        <v>1</v>
      </c>
      <c r="AH8183">
        <v>1</v>
      </c>
      <c r="AI8183">
        <v>1</v>
      </c>
      <c r="AJ8183">
        <v>1</v>
      </c>
      <c r="AK8183">
        <v>1</v>
      </c>
      <c r="AL8183">
        <v>1</v>
      </c>
      <c r="AM8183">
        <v>1</v>
      </c>
    </row>
    <row r="8184" spans="1:39" x14ac:dyDescent="0.2">
      <c r="A8184" t="str">
        <f>"8180"</f>
        <v>8180</v>
      </c>
      <c r="B8184" t="str">
        <f t="shared" si="455"/>
        <v>1</v>
      </c>
      <c r="C8184" t="str">
        <f t="shared" si="454"/>
        <v>164</v>
      </c>
      <c r="D8184" t="str">
        <f>"22"</f>
        <v>22</v>
      </c>
      <c r="E8184" t="str">
        <f>"1-164-22"</f>
        <v>1-164-22</v>
      </c>
      <c r="F8184" t="s">
        <v>65</v>
      </c>
      <c r="G8184" t="s">
        <v>66</v>
      </c>
      <c r="H8184" t="s">
        <v>67</v>
      </c>
      <c r="S8184">
        <v>1</v>
      </c>
      <c r="T8184">
        <v>0</v>
      </c>
      <c r="U8184">
        <v>0</v>
      </c>
      <c r="V8184">
        <v>0</v>
      </c>
      <c r="W8184">
        <v>1</v>
      </c>
      <c r="X8184">
        <v>0</v>
      </c>
      <c r="Y8184">
        <v>1</v>
      </c>
      <c r="Z8184">
        <v>0</v>
      </c>
      <c r="AA8184">
        <v>1</v>
      </c>
      <c r="AB8184">
        <v>0</v>
      </c>
      <c r="AC8184">
        <v>0</v>
      </c>
      <c r="AD8184">
        <v>1</v>
      </c>
      <c r="AE8184">
        <v>0</v>
      </c>
      <c r="AF8184">
        <v>1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1</v>
      </c>
      <c r="AM8184">
        <v>0</v>
      </c>
    </row>
    <row r="8185" spans="1:39" x14ac:dyDescent="0.2">
      <c r="A8185" t="str">
        <f>"8181"</f>
        <v>8181</v>
      </c>
      <c r="B8185" t="str">
        <f t="shared" si="455"/>
        <v>1</v>
      </c>
      <c r="C8185" t="str">
        <f t="shared" si="454"/>
        <v>164</v>
      </c>
      <c r="D8185" t="str">
        <f>"5"</f>
        <v>5</v>
      </c>
      <c r="E8185" t="str">
        <f>"1-164-5"</f>
        <v>1-164-5</v>
      </c>
      <c r="F8185" t="s">
        <v>65</v>
      </c>
      <c r="G8185" t="s">
        <v>66</v>
      </c>
      <c r="H8185" t="s">
        <v>67</v>
      </c>
      <c r="S8185">
        <v>0</v>
      </c>
      <c r="T8185">
        <v>1</v>
      </c>
      <c r="U8185">
        <v>0</v>
      </c>
      <c r="V8185">
        <v>0</v>
      </c>
      <c r="W8185">
        <v>1</v>
      </c>
      <c r="X8185">
        <v>0</v>
      </c>
      <c r="Y8185">
        <v>0</v>
      </c>
      <c r="Z8185">
        <v>1</v>
      </c>
      <c r="AA8185">
        <v>0</v>
      </c>
      <c r="AB8185">
        <v>0</v>
      </c>
      <c r="AC8185">
        <v>1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</row>
    <row r="8186" spans="1:39" x14ac:dyDescent="0.2">
      <c r="A8186" t="str">
        <f>"8182"</f>
        <v>8182</v>
      </c>
      <c r="B8186" t="str">
        <f t="shared" si="455"/>
        <v>1</v>
      </c>
      <c r="C8186" t="str">
        <f t="shared" si="454"/>
        <v>164</v>
      </c>
      <c r="D8186" t="str">
        <f>"44"</f>
        <v>44</v>
      </c>
      <c r="E8186" t="str">
        <f>"1-164-44"</f>
        <v>1-164-44</v>
      </c>
      <c r="F8186" t="s">
        <v>65</v>
      </c>
      <c r="G8186" t="s">
        <v>66</v>
      </c>
      <c r="H8186" t="s">
        <v>67</v>
      </c>
      <c r="S8186">
        <v>1</v>
      </c>
      <c r="T8186">
        <v>0</v>
      </c>
      <c r="U8186">
        <v>0</v>
      </c>
      <c r="V8186">
        <v>0</v>
      </c>
      <c r="W8186">
        <v>1</v>
      </c>
      <c r="X8186">
        <v>0</v>
      </c>
      <c r="Y8186">
        <v>1</v>
      </c>
      <c r="Z8186">
        <v>0</v>
      </c>
      <c r="AA8186">
        <v>1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1</v>
      </c>
      <c r="AM8186">
        <v>0</v>
      </c>
    </row>
    <row r="8187" spans="1:39" x14ac:dyDescent="0.2">
      <c r="A8187" t="str">
        <f>"8183"</f>
        <v>8183</v>
      </c>
      <c r="B8187" t="str">
        <f t="shared" si="455"/>
        <v>1</v>
      </c>
      <c r="C8187" t="str">
        <f t="shared" ref="C8187:C8204" si="456">"164"</f>
        <v>164</v>
      </c>
      <c r="D8187" t="str">
        <f>"24"</f>
        <v>24</v>
      </c>
      <c r="E8187" t="str">
        <f>"1-164-24"</f>
        <v>1-164-24</v>
      </c>
      <c r="F8187" t="s">
        <v>65</v>
      </c>
      <c r="G8187" t="s">
        <v>66</v>
      </c>
      <c r="H8187" t="s">
        <v>67</v>
      </c>
      <c r="S8187">
        <v>1</v>
      </c>
      <c r="T8187">
        <v>0</v>
      </c>
      <c r="U8187">
        <v>0</v>
      </c>
      <c r="V8187">
        <v>0</v>
      </c>
      <c r="W8187">
        <v>1</v>
      </c>
      <c r="X8187">
        <v>0</v>
      </c>
      <c r="Y8187">
        <v>1</v>
      </c>
      <c r="Z8187">
        <v>0</v>
      </c>
      <c r="AA8187">
        <v>0</v>
      </c>
      <c r="AB8187">
        <v>0</v>
      </c>
      <c r="AC8187">
        <v>1</v>
      </c>
      <c r="AD8187">
        <v>1</v>
      </c>
      <c r="AE8187">
        <v>1</v>
      </c>
      <c r="AF8187">
        <v>1</v>
      </c>
      <c r="AG8187">
        <v>1</v>
      </c>
      <c r="AH8187">
        <v>1</v>
      </c>
      <c r="AI8187">
        <v>1</v>
      </c>
      <c r="AJ8187">
        <v>1</v>
      </c>
      <c r="AK8187">
        <v>1</v>
      </c>
      <c r="AL8187">
        <v>1</v>
      </c>
      <c r="AM8187">
        <v>1</v>
      </c>
    </row>
    <row r="8188" spans="1:39" x14ac:dyDescent="0.2">
      <c r="A8188" t="str">
        <f>"8184"</f>
        <v>8184</v>
      </c>
      <c r="B8188" t="str">
        <f t="shared" si="455"/>
        <v>1</v>
      </c>
      <c r="C8188" t="str">
        <f t="shared" si="456"/>
        <v>164</v>
      </c>
      <c r="D8188" t="str">
        <f>"13"</f>
        <v>13</v>
      </c>
      <c r="E8188" t="str">
        <f>"1-164-13"</f>
        <v>1-164-13</v>
      </c>
      <c r="F8188" t="s">
        <v>65</v>
      </c>
      <c r="G8188" t="s">
        <v>66</v>
      </c>
      <c r="H8188" t="s">
        <v>67</v>
      </c>
      <c r="S8188">
        <v>1</v>
      </c>
      <c r="T8188">
        <v>0</v>
      </c>
      <c r="U8188">
        <v>0</v>
      </c>
      <c r="V8188">
        <v>0</v>
      </c>
      <c r="W8188">
        <v>0</v>
      </c>
      <c r="X8188">
        <v>1</v>
      </c>
      <c r="Y8188">
        <v>0</v>
      </c>
      <c r="Z8188">
        <v>1</v>
      </c>
      <c r="AA8188">
        <v>0</v>
      </c>
      <c r="AB8188">
        <v>1</v>
      </c>
      <c r="AC8188">
        <v>0</v>
      </c>
      <c r="AD8188">
        <v>1</v>
      </c>
      <c r="AE8188">
        <v>1</v>
      </c>
      <c r="AF8188">
        <v>1</v>
      </c>
      <c r="AG8188">
        <v>1</v>
      </c>
      <c r="AH8188">
        <v>1</v>
      </c>
      <c r="AI8188">
        <v>1</v>
      </c>
      <c r="AJ8188">
        <v>1</v>
      </c>
      <c r="AK8188">
        <v>1</v>
      </c>
      <c r="AL8188">
        <v>1</v>
      </c>
      <c r="AM8188">
        <v>1</v>
      </c>
    </row>
    <row r="8189" spans="1:39" x14ac:dyDescent="0.2">
      <c r="A8189" t="str">
        <f>"8185"</f>
        <v>8185</v>
      </c>
      <c r="B8189" t="str">
        <f t="shared" si="455"/>
        <v>1</v>
      </c>
      <c r="C8189" t="str">
        <f t="shared" si="456"/>
        <v>164</v>
      </c>
      <c r="D8189" t="str">
        <f>"43"</f>
        <v>43</v>
      </c>
      <c r="E8189" t="str">
        <f>"1-164-43"</f>
        <v>1-164-43</v>
      </c>
      <c r="F8189" t="s">
        <v>65</v>
      </c>
      <c r="G8189" t="s">
        <v>66</v>
      </c>
      <c r="H8189" t="s">
        <v>67</v>
      </c>
      <c r="S8189">
        <v>0</v>
      </c>
      <c r="T8189">
        <v>1</v>
      </c>
      <c r="U8189">
        <v>0</v>
      </c>
      <c r="V8189">
        <v>0</v>
      </c>
      <c r="W8189">
        <v>0</v>
      </c>
      <c r="X8189">
        <v>1</v>
      </c>
      <c r="Y8189">
        <v>0</v>
      </c>
      <c r="Z8189">
        <v>0</v>
      </c>
      <c r="AA8189">
        <v>0</v>
      </c>
      <c r="AB8189">
        <v>0</v>
      </c>
      <c r="AC8189">
        <v>1</v>
      </c>
      <c r="AD8189">
        <v>1</v>
      </c>
      <c r="AE8189">
        <v>1</v>
      </c>
      <c r="AF8189">
        <v>1</v>
      </c>
      <c r="AG8189">
        <v>1</v>
      </c>
      <c r="AH8189">
        <v>1</v>
      </c>
      <c r="AI8189">
        <v>1</v>
      </c>
      <c r="AJ8189">
        <v>1</v>
      </c>
      <c r="AK8189">
        <v>1</v>
      </c>
      <c r="AL8189">
        <v>1</v>
      </c>
      <c r="AM8189">
        <v>1</v>
      </c>
    </row>
    <row r="8190" spans="1:39" x14ac:dyDescent="0.2">
      <c r="A8190" t="str">
        <f>"8186"</f>
        <v>8186</v>
      </c>
      <c r="B8190" t="str">
        <f t="shared" si="455"/>
        <v>1</v>
      </c>
      <c r="C8190" t="str">
        <f t="shared" si="456"/>
        <v>164</v>
      </c>
      <c r="D8190" t="str">
        <f>"26"</f>
        <v>26</v>
      </c>
      <c r="E8190" t="str">
        <f>"1-164-26"</f>
        <v>1-164-26</v>
      </c>
      <c r="F8190" t="s">
        <v>65</v>
      </c>
      <c r="G8190" t="s">
        <v>66</v>
      </c>
      <c r="H8190" t="s">
        <v>67</v>
      </c>
      <c r="S8190">
        <v>1</v>
      </c>
      <c r="T8190">
        <v>0</v>
      </c>
      <c r="U8190">
        <v>0</v>
      </c>
      <c r="V8190">
        <v>0</v>
      </c>
      <c r="W8190">
        <v>1</v>
      </c>
      <c r="X8190">
        <v>0</v>
      </c>
      <c r="Y8190">
        <v>0</v>
      </c>
      <c r="Z8190">
        <v>1</v>
      </c>
      <c r="AA8190">
        <v>0</v>
      </c>
      <c r="AB8190">
        <v>1</v>
      </c>
      <c r="AC8190">
        <v>0</v>
      </c>
      <c r="AD8190">
        <v>1</v>
      </c>
      <c r="AE8190">
        <v>1</v>
      </c>
      <c r="AF8190">
        <v>1</v>
      </c>
      <c r="AG8190">
        <v>1</v>
      </c>
      <c r="AH8190">
        <v>1</v>
      </c>
      <c r="AI8190">
        <v>1</v>
      </c>
      <c r="AJ8190">
        <v>1</v>
      </c>
      <c r="AK8190">
        <v>1</v>
      </c>
      <c r="AL8190">
        <v>1</v>
      </c>
      <c r="AM8190">
        <v>1</v>
      </c>
    </row>
    <row r="8191" spans="1:39" x14ac:dyDescent="0.2">
      <c r="A8191" t="str">
        <f>"8187"</f>
        <v>8187</v>
      </c>
      <c r="B8191" t="str">
        <f t="shared" si="455"/>
        <v>1</v>
      </c>
      <c r="C8191" t="str">
        <f t="shared" si="456"/>
        <v>164</v>
      </c>
      <c r="D8191" t="str">
        <f>"10"</f>
        <v>10</v>
      </c>
      <c r="E8191" t="str">
        <f>"1-164-10"</f>
        <v>1-164-10</v>
      </c>
      <c r="F8191" t="s">
        <v>65</v>
      </c>
      <c r="G8191" t="s">
        <v>66</v>
      </c>
      <c r="H8191" t="s">
        <v>67</v>
      </c>
      <c r="S8191">
        <v>0</v>
      </c>
      <c r="T8191">
        <v>1</v>
      </c>
      <c r="U8191">
        <v>0</v>
      </c>
      <c r="V8191">
        <v>0</v>
      </c>
      <c r="W8191">
        <v>0</v>
      </c>
      <c r="X8191">
        <v>1</v>
      </c>
      <c r="Y8191">
        <v>0</v>
      </c>
      <c r="Z8191">
        <v>1</v>
      </c>
      <c r="AA8191">
        <v>0</v>
      </c>
      <c r="AB8191">
        <v>0</v>
      </c>
      <c r="AC8191">
        <v>0</v>
      </c>
      <c r="AD8191">
        <v>1</v>
      </c>
      <c r="AE8191">
        <v>1</v>
      </c>
      <c r="AF8191">
        <v>1</v>
      </c>
      <c r="AG8191">
        <v>1</v>
      </c>
      <c r="AH8191">
        <v>1</v>
      </c>
      <c r="AI8191">
        <v>1</v>
      </c>
      <c r="AJ8191">
        <v>1</v>
      </c>
      <c r="AK8191">
        <v>1</v>
      </c>
      <c r="AL8191">
        <v>1</v>
      </c>
      <c r="AM8191">
        <v>1</v>
      </c>
    </row>
    <row r="8192" spans="1:39" x14ac:dyDescent="0.2">
      <c r="A8192" t="str">
        <f>"8188"</f>
        <v>8188</v>
      </c>
      <c r="B8192" t="str">
        <f t="shared" si="455"/>
        <v>1</v>
      </c>
      <c r="C8192" t="str">
        <f t="shared" si="456"/>
        <v>164</v>
      </c>
      <c r="D8192" t="str">
        <f>"47"</f>
        <v>47</v>
      </c>
      <c r="E8192" t="str">
        <f>"1-164-47"</f>
        <v>1-164-47</v>
      </c>
      <c r="F8192" t="s">
        <v>65</v>
      </c>
      <c r="G8192" t="s">
        <v>66</v>
      </c>
      <c r="H8192" t="s">
        <v>67</v>
      </c>
      <c r="S8192">
        <v>0</v>
      </c>
      <c r="T8192">
        <v>1</v>
      </c>
      <c r="U8192">
        <v>0</v>
      </c>
      <c r="V8192">
        <v>0</v>
      </c>
      <c r="W8192">
        <v>1</v>
      </c>
      <c r="X8192">
        <v>0</v>
      </c>
      <c r="Y8192">
        <v>0</v>
      </c>
      <c r="Z8192">
        <v>1</v>
      </c>
      <c r="AA8192">
        <v>1</v>
      </c>
      <c r="AB8192">
        <v>0</v>
      </c>
      <c r="AC8192">
        <v>0</v>
      </c>
      <c r="AD8192">
        <v>1</v>
      </c>
      <c r="AE8192">
        <v>1</v>
      </c>
      <c r="AF8192">
        <v>1</v>
      </c>
      <c r="AG8192">
        <v>1</v>
      </c>
      <c r="AH8192">
        <v>1</v>
      </c>
      <c r="AI8192">
        <v>1</v>
      </c>
      <c r="AJ8192">
        <v>1</v>
      </c>
      <c r="AK8192">
        <v>1</v>
      </c>
      <c r="AL8192">
        <v>1</v>
      </c>
      <c r="AM8192">
        <v>1</v>
      </c>
    </row>
    <row r="8193" spans="1:39" x14ac:dyDescent="0.2">
      <c r="A8193" t="str">
        <f>"8189"</f>
        <v>8189</v>
      </c>
      <c r="B8193" t="str">
        <f t="shared" si="455"/>
        <v>1</v>
      </c>
      <c r="C8193" t="str">
        <f t="shared" si="456"/>
        <v>164</v>
      </c>
      <c r="D8193" t="str">
        <f>"27"</f>
        <v>27</v>
      </c>
      <c r="E8193" t="str">
        <f>"1-164-27"</f>
        <v>1-164-27</v>
      </c>
      <c r="F8193" t="s">
        <v>65</v>
      </c>
      <c r="G8193" t="s">
        <v>66</v>
      </c>
      <c r="H8193" t="s">
        <v>67</v>
      </c>
      <c r="S8193">
        <v>1</v>
      </c>
      <c r="T8193">
        <v>0</v>
      </c>
      <c r="U8193">
        <v>0</v>
      </c>
      <c r="V8193">
        <v>0</v>
      </c>
      <c r="W8193">
        <v>1</v>
      </c>
      <c r="X8193">
        <v>0</v>
      </c>
      <c r="Y8193">
        <v>0</v>
      </c>
      <c r="Z8193">
        <v>1</v>
      </c>
      <c r="AA8193">
        <v>0</v>
      </c>
      <c r="AB8193">
        <v>0</v>
      </c>
      <c r="AC8193">
        <v>1</v>
      </c>
      <c r="AD8193">
        <v>1</v>
      </c>
      <c r="AE8193">
        <v>1</v>
      </c>
      <c r="AF8193">
        <v>1</v>
      </c>
      <c r="AG8193">
        <v>1</v>
      </c>
      <c r="AH8193">
        <v>1</v>
      </c>
      <c r="AI8193">
        <v>1</v>
      </c>
      <c r="AJ8193">
        <v>0</v>
      </c>
      <c r="AK8193">
        <v>1</v>
      </c>
      <c r="AL8193">
        <v>1</v>
      </c>
      <c r="AM8193">
        <v>1</v>
      </c>
    </row>
    <row r="8194" spans="1:39" x14ac:dyDescent="0.2">
      <c r="A8194" t="str">
        <f>"8190"</f>
        <v>8190</v>
      </c>
      <c r="B8194" t="str">
        <f t="shared" si="455"/>
        <v>1</v>
      </c>
      <c r="C8194" t="str">
        <f t="shared" si="456"/>
        <v>164</v>
      </c>
      <c r="D8194" t="str">
        <f>"2"</f>
        <v>2</v>
      </c>
      <c r="E8194" t="str">
        <f>"1-164-2"</f>
        <v>1-164-2</v>
      </c>
      <c r="F8194" t="s">
        <v>65</v>
      </c>
      <c r="G8194" t="s">
        <v>66</v>
      </c>
      <c r="H8194" t="s">
        <v>67</v>
      </c>
      <c r="S8194">
        <v>1</v>
      </c>
      <c r="T8194">
        <v>0</v>
      </c>
      <c r="U8194">
        <v>0</v>
      </c>
      <c r="V8194">
        <v>0</v>
      </c>
      <c r="W8194">
        <v>1</v>
      </c>
      <c r="X8194">
        <v>0</v>
      </c>
      <c r="Y8194">
        <v>1</v>
      </c>
      <c r="Z8194">
        <v>0</v>
      </c>
      <c r="AA8194">
        <v>1</v>
      </c>
      <c r="AB8194">
        <v>0</v>
      </c>
      <c r="AC8194">
        <v>0</v>
      </c>
      <c r="AD8194">
        <v>1</v>
      </c>
      <c r="AE8194">
        <v>1</v>
      </c>
      <c r="AF8194">
        <v>1</v>
      </c>
      <c r="AG8194">
        <v>1</v>
      </c>
      <c r="AH8194">
        <v>1</v>
      </c>
      <c r="AI8194">
        <v>1</v>
      </c>
      <c r="AJ8194">
        <v>0</v>
      </c>
      <c r="AK8194">
        <v>1</v>
      </c>
      <c r="AL8194">
        <v>1</v>
      </c>
      <c r="AM8194">
        <v>1</v>
      </c>
    </row>
    <row r="8195" spans="1:39" x14ac:dyDescent="0.2">
      <c r="A8195" t="str">
        <f>"8191"</f>
        <v>8191</v>
      </c>
      <c r="B8195" t="str">
        <f t="shared" si="455"/>
        <v>1</v>
      </c>
      <c r="C8195" t="str">
        <f t="shared" si="456"/>
        <v>164</v>
      </c>
      <c r="D8195" t="str">
        <f>"46"</f>
        <v>46</v>
      </c>
      <c r="E8195" t="str">
        <f>"1-164-46"</f>
        <v>1-164-46</v>
      </c>
      <c r="F8195" t="s">
        <v>65</v>
      </c>
      <c r="G8195" t="s">
        <v>66</v>
      </c>
      <c r="H8195" t="s">
        <v>67</v>
      </c>
      <c r="S8195">
        <v>1</v>
      </c>
      <c r="T8195">
        <v>0</v>
      </c>
      <c r="U8195">
        <v>0</v>
      </c>
      <c r="V8195">
        <v>0</v>
      </c>
      <c r="W8195">
        <v>1</v>
      </c>
      <c r="X8195">
        <v>0</v>
      </c>
      <c r="Y8195">
        <v>1</v>
      </c>
      <c r="Z8195">
        <v>0</v>
      </c>
      <c r="AA8195">
        <v>1</v>
      </c>
      <c r="AB8195">
        <v>0</v>
      </c>
      <c r="AC8195">
        <v>0</v>
      </c>
      <c r="AD8195">
        <v>1</v>
      </c>
      <c r="AE8195">
        <v>1</v>
      </c>
      <c r="AF8195">
        <v>1</v>
      </c>
      <c r="AG8195">
        <v>1</v>
      </c>
      <c r="AH8195">
        <v>1</v>
      </c>
      <c r="AI8195">
        <v>1</v>
      </c>
      <c r="AJ8195">
        <v>1</v>
      </c>
      <c r="AK8195">
        <v>1</v>
      </c>
      <c r="AL8195">
        <v>1</v>
      </c>
      <c r="AM8195">
        <v>1</v>
      </c>
    </row>
    <row r="8196" spans="1:39" x14ac:dyDescent="0.2">
      <c r="A8196" t="str">
        <f>"8192"</f>
        <v>8192</v>
      </c>
      <c r="B8196" t="str">
        <f t="shared" si="455"/>
        <v>1</v>
      </c>
      <c r="C8196" t="str">
        <f t="shared" si="456"/>
        <v>164</v>
      </c>
      <c r="D8196" t="str">
        <f>"29"</f>
        <v>29</v>
      </c>
      <c r="E8196" t="str">
        <f>"1-164-29"</f>
        <v>1-164-29</v>
      </c>
      <c r="F8196" t="s">
        <v>65</v>
      </c>
      <c r="G8196" t="s">
        <v>66</v>
      </c>
      <c r="H8196" t="s">
        <v>67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1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1</v>
      </c>
      <c r="AE8196">
        <v>1</v>
      </c>
      <c r="AF8196">
        <v>1</v>
      </c>
      <c r="AG8196">
        <v>1</v>
      </c>
      <c r="AH8196">
        <v>1</v>
      </c>
      <c r="AI8196">
        <v>1</v>
      </c>
      <c r="AJ8196">
        <v>1</v>
      </c>
      <c r="AK8196">
        <v>1</v>
      </c>
      <c r="AL8196">
        <v>1</v>
      </c>
      <c r="AM8196">
        <v>1</v>
      </c>
    </row>
    <row r="8197" spans="1:39" x14ac:dyDescent="0.2">
      <c r="A8197" t="str">
        <f>"8193"</f>
        <v>8193</v>
      </c>
      <c r="B8197" t="str">
        <f t="shared" si="455"/>
        <v>1</v>
      </c>
      <c r="C8197" t="str">
        <f t="shared" si="456"/>
        <v>164</v>
      </c>
      <c r="D8197" t="str">
        <f>"7"</f>
        <v>7</v>
      </c>
      <c r="E8197" t="str">
        <f>"1-164-7"</f>
        <v>1-164-7</v>
      </c>
      <c r="F8197" t="s">
        <v>65</v>
      </c>
      <c r="G8197" t="s">
        <v>66</v>
      </c>
      <c r="H8197" t="s">
        <v>67</v>
      </c>
      <c r="S8197">
        <v>0</v>
      </c>
      <c r="T8197">
        <v>1</v>
      </c>
      <c r="U8197">
        <v>0</v>
      </c>
      <c r="V8197">
        <v>0</v>
      </c>
      <c r="W8197">
        <v>0</v>
      </c>
      <c r="X8197">
        <v>1</v>
      </c>
      <c r="Y8197">
        <v>1</v>
      </c>
      <c r="Z8197">
        <v>0</v>
      </c>
      <c r="AA8197">
        <v>0</v>
      </c>
      <c r="AB8197">
        <v>0</v>
      </c>
      <c r="AC8197">
        <v>1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</row>
    <row r="8198" spans="1:39" x14ac:dyDescent="0.2">
      <c r="A8198" t="str">
        <f>"8194"</f>
        <v>8194</v>
      </c>
      <c r="B8198" t="str">
        <f t="shared" si="455"/>
        <v>1</v>
      </c>
      <c r="C8198" t="str">
        <f t="shared" si="456"/>
        <v>164</v>
      </c>
      <c r="D8198" t="str">
        <f>"48"</f>
        <v>48</v>
      </c>
      <c r="E8198" t="str">
        <f>"1-164-48"</f>
        <v>1-164-48</v>
      </c>
      <c r="F8198" t="s">
        <v>65</v>
      </c>
      <c r="G8198" t="s">
        <v>66</v>
      </c>
      <c r="H8198" t="s">
        <v>67</v>
      </c>
      <c r="S8198">
        <v>1</v>
      </c>
      <c r="T8198">
        <v>0</v>
      </c>
      <c r="U8198">
        <v>0</v>
      </c>
      <c r="V8198">
        <v>0</v>
      </c>
      <c r="W8198">
        <v>1</v>
      </c>
      <c r="X8198">
        <v>0</v>
      </c>
      <c r="Y8198">
        <v>1</v>
      </c>
      <c r="Z8198">
        <v>0</v>
      </c>
      <c r="AA8198">
        <v>1</v>
      </c>
      <c r="AB8198">
        <v>0</v>
      </c>
      <c r="AC8198">
        <v>0</v>
      </c>
      <c r="AD8198">
        <v>1</v>
      </c>
      <c r="AE8198">
        <v>1</v>
      </c>
      <c r="AF8198">
        <v>1</v>
      </c>
      <c r="AG8198">
        <v>1</v>
      </c>
      <c r="AH8198">
        <v>1</v>
      </c>
      <c r="AI8198">
        <v>1</v>
      </c>
      <c r="AJ8198">
        <v>1</v>
      </c>
      <c r="AK8198">
        <v>1</v>
      </c>
      <c r="AL8198">
        <v>1</v>
      </c>
      <c r="AM8198">
        <v>1</v>
      </c>
    </row>
    <row r="8199" spans="1:39" x14ac:dyDescent="0.2">
      <c r="A8199" t="str">
        <f>"8195"</f>
        <v>8195</v>
      </c>
      <c r="B8199" t="str">
        <f t="shared" si="455"/>
        <v>1</v>
      </c>
      <c r="C8199" t="str">
        <f t="shared" si="456"/>
        <v>164</v>
      </c>
      <c r="D8199" t="str">
        <f>"31"</f>
        <v>31</v>
      </c>
      <c r="E8199" t="str">
        <f>"1-164-31"</f>
        <v>1-164-31</v>
      </c>
      <c r="F8199" t="s">
        <v>65</v>
      </c>
      <c r="G8199" t="s">
        <v>66</v>
      </c>
      <c r="H8199" t="s">
        <v>67</v>
      </c>
      <c r="S8199">
        <v>1</v>
      </c>
      <c r="T8199">
        <v>0</v>
      </c>
      <c r="U8199">
        <v>0</v>
      </c>
      <c r="V8199">
        <v>0</v>
      </c>
      <c r="W8199">
        <v>1</v>
      </c>
      <c r="X8199">
        <v>0</v>
      </c>
      <c r="Y8199">
        <v>1</v>
      </c>
      <c r="Z8199">
        <v>0</v>
      </c>
      <c r="AA8199">
        <v>1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</row>
    <row r="8200" spans="1:39" x14ac:dyDescent="0.2">
      <c r="A8200" t="str">
        <f>"8196"</f>
        <v>8196</v>
      </c>
      <c r="B8200" t="str">
        <f t="shared" si="455"/>
        <v>1</v>
      </c>
      <c r="C8200" t="str">
        <f t="shared" si="456"/>
        <v>164</v>
      </c>
      <c r="D8200" t="str">
        <f>"11"</f>
        <v>11</v>
      </c>
      <c r="E8200" t="str">
        <f>"1-164-11"</f>
        <v>1-164-11</v>
      </c>
      <c r="F8200" t="s">
        <v>65</v>
      </c>
      <c r="G8200" t="s">
        <v>66</v>
      </c>
      <c r="H8200" t="s">
        <v>67</v>
      </c>
      <c r="S8200">
        <v>0</v>
      </c>
      <c r="T8200">
        <v>1</v>
      </c>
      <c r="U8200">
        <v>0</v>
      </c>
      <c r="V8200">
        <v>0</v>
      </c>
      <c r="W8200">
        <v>1</v>
      </c>
      <c r="X8200">
        <v>0</v>
      </c>
      <c r="Y8200">
        <v>1</v>
      </c>
      <c r="Z8200">
        <v>0</v>
      </c>
      <c r="AA8200">
        <v>0</v>
      </c>
      <c r="AB8200">
        <v>0</v>
      </c>
      <c r="AC8200">
        <v>1</v>
      </c>
      <c r="AD8200">
        <v>1</v>
      </c>
      <c r="AE8200">
        <v>1</v>
      </c>
      <c r="AF8200">
        <v>1</v>
      </c>
      <c r="AG8200">
        <v>1</v>
      </c>
      <c r="AH8200">
        <v>1</v>
      </c>
      <c r="AI8200">
        <v>1</v>
      </c>
      <c r="AJ8200">
        <v>1</v>
      </c>
      <c r="AK8200">
        <v>1</v>
      </c>
      <c r="AL8200">
        <v>1</v>
      </c>
      <c r="AM8200">
        <v>1</v>
      </c>
    </row>
    <row r="8201" spans="1:39" x14ac:dyDescent="0.2">
      <c r="A8201" t="str">
        <f>"8197"</f>
        <v>8197</v>
      </c>
      <c r="B8201" t="str">
        <f t="shared" si="455"/>
        <v>1</v>
      </c>
      <c r="C8201" t="str">
        <f t="shared" si="456"/>
        <v>164</v>
      </c>
      <c r="D8201" t="str">
        <f>"49"</f>
        <v>49</v>
      </c>
      <c r="E8201" t="str">
        <f>"1-164-49"</f>
        <v>1-164-49</v>
      </c>
      <c r="F8201" t="s">
        <v>65</v>
      </c>
      <c r="G8201" t="s">
        <v>66</v>
      </c>
      <c r="H8201" t="s">
        <v>67</v>
      </c>
      <c r="S8201">
        <v>1</v>
      </c>
      <c r="T8201">
        <v>0</v>
      </c>
      <c r="U8201">
        <v>0</v>
      </c>
      <c r="V8201">
        <v>0</v>
      </c>
      <c r="W8201">
        <v>1</v>
      </c>
      <c r="X8201">
        <v>0</v>
      </c>
      <c r="Y8201">
        <v>1</v>
      </c>
      <c r="Z8201">
        <v>0</v>
      </c>
      <c r="AA8201">
        <v>1</v>
      </c>
      <c r="AB8201">
        <v>0</v>
      </c>
      <c r="AC8201">
        <v>0</v>
      </c>
      <c r="AD8201">
        <v>1</v>
      </c>
      <c r="AE8201">
        <v>1</v>
      </c>
      <c r="AF8201">
        <v>1</v>
      </c>
      <c r="AG8201">
        <v>1</v>
      </c>
      <c r="AH8201">
        <v>1</v>
      </c>
      <c r="AI8201">
        <v>1</v>
      </c>
      <c r="AJ8201">
        <v>1</v>
      </c>
      <c r="AK8201">
        <v>1</v>
      </c>
      <c r="AL8201">
        <v>1</v>
      </c>
      <c r="AM8201">
        <v>1</v>
      </c>
    </row>
    <row r="8202" spans="1:39" x14ac:dyDescent="0.2">
      <c r="A8202" t="str">
        <f>"8198"</f>
        <v>8198</v>
      </c>
      <c r="B8202" t="str">
        <f t="shared" si="455"/>
        <v>1</v>
      </c>
      <c r="C8202" t="str">
        <f t="shared" si="456"/>
        <v>164</v>
      </c>
      <c r="D8202" t="str">
        <f>"32"</f>
        <v>32</v>
      </c>
      <c r="E8202" t="str">
        <f>"1-164-32"</f>
        <v>1-164-32</v>
      </c>
      <c r="F8202" t="s">
        <v>65</v>
      </c>
      <c r="G8202" t="s">
        <v>66</v>
      </c>
      <c r="H8202" t="s">
        <v>67</v>
      </c>
      <c r="S8202">
        <v>1</v>
      </c>
      <c r="T8202">
        <v>0</v>
      </c>
      <c r="U8202">
        <v>0</v>
      </c>
      <c r="V8202">
        <v>0</v>
      </c>
      <c r="W8202">
        <v>1</v>
      </c>
      <c r="X8202">
        <v>0</v>
      </c>
      <c r="Y8202">
        <v>1</v>
      </c>
      <c r="Z8202">
        <v>0</v>
      </c>
      <c r="AA8202">
        <v>0</v>
      </c>
      <c r="AB8202">
        <v>1</v>
      </c>
      <c r="AC8202">
        <v>0</v>
      </c>
      <c r="AD8202">
        <v>1</v>
      </c>
      <c r="AE8202">
        <v>1</v>
      </c>
      <c r="AF8202">
        <v>1</v>
      </c>
      <c r="AG8202">
        <v>1</v>
      </c>
      <c r="AH8202">
        <v>1</v>
      </c>
      <c r="AI8202">
        <v>1</v>
      </c>
      <c r="AJ8202">
        <v>1</v>
      </c>
      <c r="AK8202">
        <v>1</v>
      </c>
      <c r="AL8202">
        <v>1</v>
      </c>
      <c r="AM8202">
        <v>1</v>
      </c>
    </row>
    <row r="8203" spans="1:39" x14ac:dyDescent="0.2">
      <c r="A8203" t="str">
        <f>"8199"</f>
        <v>8199</v>
      </c>
      <c r="B8203" t="str">
        <f t="shared" si="455"/>
        <v>1</v>
      </c>
      <c r="C8203" t="str">
        <f t="shared" si="456"/>
        <v>164</v>
      </c>
      <c r="D8203" t="str">
        <f>"12"</f>
        <v>12</v>
      </c>
      <c r="E8203" t="str">
        <f>"1-164-12"</f>
        <v>1-164-12</v>
      </c>
      <c r="F8203" t="s">
        <v>65</v>
      </c>
      <c r="G8203" t="s">
        <v>66</v>
      </c>
      <c r="H8203" t="s">
        <v>67</v>
      </c>
      <c r="S8203">
        <v>0</v>
      </c>
      <c r="T8203">
        <v>1</v>
      </c>
      <c r="U8203">
        <v>0</v>
      </c>
      <c r="V8203">
        <v>0</v>
      </c>
      <c r="W8203">
        <v>0</v>
      </c>
      <c r="X8203">
        <v>1</v>
      </c>
      <c r="Y8203">
        <v>0</v>
      </c>
      <c r="Z8203">
        <v>1</v>
      </c>
      <c r="AA8203">
        <v>0</v>
      </c>
      <c r="AB8203">
        <v>0</v>
      </c>
      <c r="AC8203">
        <v>0</v>
      </c>
      <c r="AD8203">
        <v>1</v>
      </c>
      <c r="AE8203">
        <v>1</v>
      </c>
      <c r="AF8203">
        <v>1</v>
      </c>
      <c r="AG8203">
        <v>1</v>
      </c>
      <c r="AH8203">
        <v>1</v>
      </c>
      <c r="AI8203">
        <v>1</v>
      </c>
      <c r="AJ8203">
        <v>1</v>
      </c>
      <c r="AK8203">
        <v>0</v>
      </c>
      <c r="AL8203">
        <v>1</v>
      </c>
      <c r="AM8203">
        <v>1</v>
      </c>
    </row>
    <row r="8204" spans="1:39" x14ac:dyDescent="0.2">
      <c r="A8204" t="str">
        <f>"8200"</f>
        <v>8200</v>
      </c>
      <c r="B8204" t="str">
        <f t="shared" si="455"/>
        <v>1</v>
      </c>
      <c r="C8204" t="str">
        <f t="shared" si="456"/>
        <v>164</v>
      </c>
      <c r="D8204" t="str">
        <f>"50"</f>
        <v>50</v>
      </c>
      <c r="E8204" t="str">
        <f>"1-164-50"</f>
        <v>1-164-50</v>
      </c>
      <c r="F8204" t="s">
        <v>65</v>
      </c>
      <c r="G8204" t="s">
        <v>66</v>
      </c>
      <c r="H8204" t="s">
        <v>67</v>
      </c>
      <c r="S8204">
        <v>1</v>
      </c>
      <c r="T8204">
        <v>0</v>
      </c>
      <c r="U8204">
        <v>0</v>
      </c>
      <c r="V8204">
        <v>0</v>
      </c>
      <c r="W8204">
        <v>1</v>
      </c>
      <c r="X8204">
        <v>0</v>
      </c>
      <c r="Y8204">
        <v>0</v>
      </c>
      <c r="Z8204">
        <v>1</v>
      </c>
      <c r="AA8204">
        <v>0</v>
      </c>
      <c r="AB8204">
        <v>0</v>
      </c>
      <c r="AC8204">
        <v>1</v>
      </c>
      <c r="AD8204">
        <v>1</v>
      </c>
      <c r="AE8204">
        <v>1</v>
      </c>
      <c r="AF8204">
        <v>1</v>
      </c>
      <c r="AG8204">
        <v>0</v>
      </c>
      <c r="AH8204">
        <v>1</v>
      </c>
      <c r="AI8204">
        <v>1</v>
      </c>
      <c r="AJ8204">
        <v>1</v>
      </c>
      <c r="AK8204">
        <v>1</v>
      </c>
      <c r="AL8204">
        <v>1</v>
      </c>
      <c r="AM8204">
        <v>1</v>
      </c>
    </row>
    <row r="8205" spans="1:39" x14ac:dyDescent="0.2">
      <c r="A8205" t="str">
        <f>"8201"</f>
        <v>8201</v>
      </c>
      <c r="B8205" t="str">
        <f t="shared" si="455"/>
        <v>1</v>
      </c>
      <c r="C8205" t="str">
        <f t="shared" ref="C8205:C8236" si="457">"165"</f>
        <v>165</v>
      </c>
      <c r="D8205" t="str">
        <f>"39"</f>
        <v>39</v>
      </c>
      <c r="E8205" t="str">
        <f>"1-165-39"</f>
        <v>1-165-39</v>
      </c>
      <c r="F8205" t="s">
        <v>65</v>
      </c>
      <c r="G8205" t="s">
        <v>66</v>
      </c>
      <c r="H8205" t="s">
        <v>67</v>
      </c>
      <c r="S8205">
        <v>1</v>
      </c>
      <c r="T8205">
        <v>0</v>
      </c>
      <c r="U8205">
        <v>0</v>
      </c>
      <c r="V8205">
        <v>0</v>
      </c>
      <c r="W8205">
        <v>1</v>
      </c>
      <c r="X8205">
        <v>0</v>
      </c>
      <c r="Y8205">
        <v>1</v>
      </c>
      <c r="Z8205">
        <v>0</v>
      </c>
      <c r="AA8205">
        <v>1</v>
      </c>
      <c r="AB8205">
        <v>0</v>
      </c>
      <c r="AC8205">
        <v>0</v>
      </c>
      <c r="AD8205">
        <v>1</v>
      </c>
      <c r="AE8205">
        <v>1</v>
      </c>
      <c r="AF8205">
        <v>1</v>
      </c>
      <c r="AG8205">
        <v>1</v>
      </c>
      <c r="AH8205">
        <v>1</v>
      </c>
      <c r="AI8205">
        <v>1</v>
      </c>
      <c r="AJ8205">
        <v>1</v>
      </c>
      <c r="AK8205">
        <v>1</v>
      </c>
      <c r="AL8205">
        <v>1</v>
      </c>
      <c r="AM8205">
        <v>1</v>
      </c>
    </row>
    <row r="8206" spans="1:39" x14ac:dyDescent="0.2">
      <c r="A8206" t="str">
        <f>"8202"</f>
        <v>8202</v>
      </c>
      <c r="B8206" t="str">
        <f t="shared" si="455"/>
        <v>1</v>
      </c>
      <c r="C8206" t="str">
        <f t="shared" si="457"/>
        <v>165</v>
      </c>
      <c r="D8206" t="str">
        <f>"38"</f>
        <v>38</v>
      </c>
      <c r="E8206" t="str">
        <f>"1-165-38"</f>
        <v>1-165-38</v>
      </c>
      <c r="F8206" t="s">
        <v>65</v>
      </c>
      <c r="G8206" t="s">
        <v>66</v>
      </c>
      <c r="H8206" t="s">
        <v>67</v>
      </c>
      <c r="S8206">
        <v>1</v>
      </c>
      <c r="T8206">
        <v>0</v>
      </c>
      <c r="U8206">
        <v>0</v>
      </c>
      <c r="V8206">
        <v>0</v>
      </c>
      <c r="W8206">
        <v>1</v>
      </c>
      <c r="X8206">
        <v>0</v>
      </c>
      <c r="Y8206">
        <v>0</v>
      </c>
      <c r="Z8206">
        <v>1</v>
      </c>
      <c r="AA8206">
        <v>1</v>
      </c>
      <c r="AB8206">
        <v>0</v>
      </c>
      <c r="AC8206">
        <v>0</v>
      </c>
      <c r="AD8206">
        <v>1</v>
      </c>
      <c r="AE8206">
        <v>1</v>
      </c>
      <c r="AF8206">
        <v>1</v>
      </c>
      <c r="AG8206">
        <v>1</v>
      </c>
      <c r="AH8206">
        <v>1</v>
      </c>
      <c r="AI8206">
        <v>1</v>
      </c>
      <c r="AJ8206">
        <v>1</v>
      </c>
      <c r="AK8206">
        <v>1</v>
      </c>
      <c r="AL8206">
        <v>1</v>
      </c>
      <c r="AM8206">
        <v>0</v>
      </c>
    </row>
    <row r="8207" spans="1:39" x14ac:dyDescent="0.2">
      <c r="A8207" t="str">
        <f>"8203"</f>
        <v>8203</v>
      </c>
      <c r="B8207" t="str">
        <f t="shared" si="455"/>
        <v>1</v>
      </c>
      <c r="C8207" t="str">
        <f t="shared" si="457"/>
        <v>165</v>
      </c>
      <c r="D8207" t="str">
        <f>"27"</f>
        <v>27</v>
      </c>
      <c r="E8207" t="str">
        <f>"1-165-27"</f>
        <v>1-165-27</v>
      </c>
      <c r="F8207" t="s">
        <v>65</v>
      </c>
      <c r="G8207" t="s">
        <v>66</v>
      </c>
      <c r="H8207" t="s">
        <v>67</v>
      </c>
      <c r="S8207">
        <v>1</v>
      </c>
      <c r="T8207">
        <v>0</v>
      </c>
      <c r="U8207">
        <v>0</v>
      </c>
      <c r="V8207">
        <v>0</v>
      </c>
      <c r="W8207">
        <v>1</v>
      </c>
      <c r="X8207">
        <v>0</v>
      </c>
      <c r="Y8207">
        <v>1</v>
      </c>
      <c r="Z8207">
        <v>0</v>
      </c>
      <c r="AA8207">
        <v>1</v>
      </c>
      <c r="AB8207">
        <v>0</v>
      </c>
      <c r="AC8207">
        <v>0</v>
      </c>
      <c r="AD8207">
        <v>1</v>
      </c>
      <c r="AE8207">
        <v>1</v>
      </c>
      <c r="AF8207">
        <v>1</v>
      </c>
      <c r="AG8207">
        <v>1</v>
      </c>
      <c r="AH8207">
        <v>1</v>
      </c>
      <c r="AI8207">
        <v>1</v>
      </c>
      <c r="AJ8207">
        <v>1</v>
      </c>
      <c r="AK8207">
        <v>1</v>
      </c>
      <c r="AL8207">
        <v>1</v>
      </c>
      <c r="AM8207">
        <v>1</v>
      </c>
    </row>
    <row r="8208" spans="1:39" x14ac:dyDescent="0.2">
      <c r="A8208" t="str">
        <f>"8204"</f>
        <v>8204</v>
      </c>
      <c r="B8208" t="str">
        <f t="shared" si="455"/>
        <v>1</v>
      </c>
      <c r="C8208" t="str">
        <f t="shared" si="457"/>
        <v>165</v>
      </c>
      <c r="D8208" t="str">
        <f>"15"</f>
        <v>15</v>
      </c>
      <c r="E8208" t="str">
        <f>"1-165-15"</f>
        <v>1-165-15</v>
      </c>
      <c r="F8208" t="s">
        <v>65</v>
      </c>
      <c r="G8208" t="s">
        <v>66</v>
      </c>
      <c r="H8208" t="s">
        <v>67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1</v>
      </c>
      <c r="Y8208">
        <v>0</v>
      </c>
      <c r="Z8208">
        <v>0</v>
      </c>
      <c r="AA8208">
        <v>0</v>
      </c>
      <c r="AB8208">
        <v>0</v>
      </c>
      <c r="AC8208">
        <v>1</v>
      </c>
      <c r="AD8208">
        <v>0</v>
      </c>
      <c r="AE8208">
        <v>0</v>
      </c>
      <c r="AF8208">
        <v>0</v>
      </c>
      <c r="AG8208">
        <v>1</v>
      </c>
      <c r="AH8208">
        <v>1</v>
      </c>
      <c r="AI8208">
        <v>1</v>
      </c>
      <c r="AJ8208">
        <v>1</v>
      </c>
      <c r="AK8208">
        <v>1</v>
      </c>
      <c r="AL8208">
        <v>1</v>
      </c>
      <c r="AM8208">
        <v>1</v>
      </c>
    </row>
    <row r="8209" spans="1:39" x14ac:dyDescent="0.2">
      <c r="A8209" t="str">
        <f>"8205"</f>
        <v>8205</v>
      </c>
      <c r="B8209" t="str">
        <f t="shared" si="455"/>
        <v>1</v>
      </c>
      <c r="C8209" t="str">
        <f t="shared" si="457"/>
        <v>165</v>
      </c>
      <c r="D8209" t="str">
        <f>"3"</f>
        <v>3</v>
      </c>
      <c r="E8209" t="str">
        <f>"1-165-3"</f>
        <v>1-165-3</v>
      </c>
      <c r="F8209" t="s">
        <v>65</v>
      </c>
      <c r="G8209" t="s">
        <v>66</v>
      </c>
      <c r="H8209" t="s">
        <v>67</v>
      </c>
      <c r="S8209">
        <v>0</v>
      </c>
      <c r="T8209">
        <v>1</v>
      </c>
      <c r="U8209">
        <v>0</v>
      </c>
      <c r="V8209">
        <v>0</v>
      </c>
      <c r="W8209">
        <v>1</v>
      </c>
      <c r="X8209">
        <v>0</v>
      </c>
      <c r="Y8209">
        <v>1</v>
      </c>
      <c r="Z8209">
        <v>0</v>
      </c>
      <c r="AA8209">
        <v>0</v>
      </c>
      <c r="AB8209">
        <v>0</v>
      </c>
      <c r="AC8209">
        <v>1</v>
      </c>
      <c r="AD8209">
        <v>1</v>
      </c>
      <c r="AE8209">
        <v>1</v>
      </c>
      <c r="AF8209">
        <v>1</v>
      </c>
      <c r="AG8209">
        <v>1</v>
      </c>
      <c r="AH8209">
        <v>1</v>
      </c>
      <c r="AI8209">
        <v>1</v>
      </c>
      <c r="AJ8209">
        <v>1</v>
      </c>
      <c r="AK8209">
        <v>1</v>
      </c>
      <c r="AL8209">
        <v>1</v>
      </c>
      <c r="AM8209">
        <v>1</v>
      </c>
    </row>
    <row r="8210" spans="1:39" x14ac:dyDescent="0.2">
      <c r="A8210" t="str">
        <f>"8206"</f>
        <v>8206</v>
      </c>
      <c r="B8210" t="str">
        <f t="shared" si="455"/>
        <v>1</v>
      </c>
      <c r="C8210" t="str">
        <f t="shared" si="457"/>
        <v>165</v>
      </c>
      <c r="D8210" t="str">
        <f>"32"</f>
        <v>32</v>
      </c>
      <c r="E8210" t="str">
        <f>"1-165-32"</f>
        <v>1-165-32</v>
      </c>
      <c r="F8210" t="s">
        <v>65</v>
      </c>
      <c r="G8210" t="s">
        <v>66</v>
      </c>
      <c r="H8210" t="s">
        <v>67</v>
      </c>
      <c r="S8210">
        <v>1</v>
      </c>
      <c r="T8210">
        <v>0</v>
      </c>
      <c r="U8210">
        <v>0</v>
      </c>
      <c r="V8210">
        <v>0</v>
      </c>
      <c r="W8210">
        <v>1</v>
      </c>
      <c r="X8210">
        <v>0</v>
      </c>
      <c r="Y8210">
        <v>0</v>
      </c>
      <c r="Z8210">
        <v>1</v>
      </c>
      <c r="AA8210">
        <v>0</v>
      </c>
      <c r="AB8210">
        <v>0</v>
      </c>
      <c r="AC8210">
        <v>1</v>
      </c>
      <c r="AD8210">
        <v>1</v>
      </c>
      <c r="AE8210">
        <v>1</v>
      </c>
      <c r="AF8210">
        <v>1</v>
      </c>
      <c r="AG8210">
        <v>1</v>
      </c>
      <c r="AH8210">
        <v>1</v>
      </c>
      <c r="AI8210">
        <v>1</v>
      </c>
      <c r="AJ8210">
        <v>1</v>
      </c>
      <c r="AK8210">
        <v>1</v>
      </c>
      <c r="AL8210">
        <v>1</v>
      </c>
      <c r="AM8210">
        <v>1</v>
      </c>
    </row>
    <row r="8211" spans="1:39" x14ac:dyDescent="0.2">
      <c r="A8211" t="str">
        <f>"8207"</f>
        <v>8207</v>
      </c>
      <c r="B8211" t="str">
        <f t="shared" si="455"/>
        <v>1</v>
      </c>
      <c r="C8211" t="str">
        <f t="shared" si="457"/>
        <v>165</v>
      </c>
      <c r="D8211" t="str">
        <f>"16"</f>
        <v>16</v>
      </c>
      <c r="E8211" t="str">
        <f>"1-165-16"</f>
        <v>1-165-16</v>
      </c>
      <c r="F8211" t="s">
        <v>65</v>
      </c>
      <c r="G8211" t="s">
        <v>66</v>
      </c>
      <c r="H8211" t="s">
        <v>67</v>
      </c>
      <c r="S8211">
        <v>0</v>
      </c>
      <c r="T8211">
        <v>1</v>
      </c>
      <c r="U8211">
        <v>0</v>
      </c>
      <c r="V8211">
        <v>0</v>
      </c>
      <c r="W8211">
        <v>1</v>
      </c>
      <c r="X8211">
        <v>0</v>
      </c>
      <c r="Y8211">
        <v>0</v>
      </c>
      <c r="Z8211">
        <v>1</v>
      </c>
      <c r="AA8211">
        <v>0</v>
      </c>
      <c r="AB8211">
        <v>0</v>
      </c>
      <c r="AC8211">
        <v>1</v>
      </c>
      <c r="AD8211">
        <v>1</v>
      </c>
      <c r="AE8211">
        <v>1</v>
      </c>
      <c r="AF8211">
        <v>1</v>
      </c>
      <c r="AG8211">
        <v>1</v>
      </c>
      <c r="AH8211">
        <v>1</v>
      </c>
      <c r="AI8211">
        <v>1</v>
      </c>
      <c r="AJ8211">
        <v>1</v>
      </c>
      <c r="AK8211">
        <v>1</v>
      </c>
      <c r="AL8211">
        <v>1</v>
      </c>
      <c r="AM8211">
        <v>1</v>
      </c>
    </row>
    <row r="8212" spans="1:39" x14ac:dyDescent="0.2">
      <c r="A8212" t="str">
        <f>"8208"</f>
        <v>8208</v>
      </c>
      <c r="B8212" t="str">
        <f t="shared" si="455"/>
        <v>1</v>
      </c>
      <c r="C8212" t="str">
        <f t="shared" si="457"/>
        <v>165</v>
      </c>
      <c r="D8212" t="str">
        <f>"2"</f>
        <v>2</v>
      </c>
      <c r="E8212" t="str">
        <f>"1-165-2"</f>
        <v>1-165-2</v>
      </c>
      <c r="F8212" t="s">
        <v>65</v>
      </c>
      <c r="G8212" t="s">
        <v>66</v>
      </c>
      <c r="H8212" t="s">
        <v>67</v>
      </c>
      <c r="S8212">
        <v>1</v>
      </c>
      <c r="T8212">
        <v>0</v>
      </c>
      <c r="U8212">
        <v>0</v>
      </c>
      <c r="V8212">
        <v>0</v>
      </c>
      <c r="W8212">
        <v>1</v>
      </c>
      <c r="X8212">
        <v>0</v>
      </c>
      <c r="Y8212">
        <v>1</v>
      </c>
      <c r="Z8212">
        <v>0</v>
      </c>
      <c r="AA8212">
        <v>0</v>
      </c>
      <c r="AB8212">
        <v>1</v>
      </c>
      <c r="AC8212">
        <v>0</v>
      </c>
      <c r="AD8212">
        <v>1</v>
      </c>
      <c r="AE8212">
        <v>1</v>
      </c>
      <c r="AF8212">
        <v>1</v>
      </c>
      <c r="AG8212">
        <v>1</v>
      </c>
      <c r="AH8212">
        <v>1</v>
      </c>
      <c r="AI8212">
        <v>1</v>
      </c>
      <c r="AJ8212">
        <v>1</v>
      </c>
      <c r="AK8212">
        <v>1</v>
      </c>
      <c r="AL8212">
        <v>1</v>
      </c>
      <c r="AM8212">
        <v>1</v>
      </c>
    </row>
    <row r="8213" spans="1:39" x14ac:dyDescent="0.2">
      <c r="A8213" t="str">
        <f>"8209"</f>
        <v>8209</v>
      </c>
      <c r="B8213" t="str">
        <f t="shared" si="455"/>
        <v>1</v>
      </c>
      <c r="C8213" t="str">
        <f t="shared" si="457"/>
        <v>165</v>
      </c>
      <c r="D8213" t="str">
        <f>"34"</f>
        <v>34</v>
      </c>
      <c r="E8213" t="str">
        <f>"1-165-34"</f>
        <v>1-165-34</v>
      </c>
      <c r="F8213" t="s">
        <v>65</v>
      </c>
      <c r="G8213" t="s">
        <v>66</v>
      </c>
      <c r="H8213" t="s">
        <v>67</v>
      </c>
      <c r="S8213">
        <v>0</v>
      </c>
      <c r="T8213">
        <v>1</v>
      </c>
      <c r="U8213">
        <v>0</v>
      </c>
      <c r="V8213">
        <v>0</v>
      </c>
      <c r="W8213">
        <v>0</v>
      </c>
      <c r="X8213">
        <v>1</v>
      </c>
      <c r="Y8213">
        <v>0</v>
      </c>
      <c r="Z8213">
        <v>1</v>
      </c>
      <c r="AA8213">
        <v>0</v>
      </c>
      <c r="AB8213">
        <v>1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1</v>
      </c>
      <c r="AJ8213">
        <v>0</v>
      </c>
      <c r="AK8213">
        <v>0</v>
      </c>
      <c r="AL8213">
        <v>0</v>
      </c>
      <c r="AM8213">
        <v>0</v>
      </c>
    </row>
    <row r="8214" spans="1:39" x14ac:dyDescent="0.2">
      <c r="A8214" t="str">
        <f>"8210"</f>
        <v>8210</v>
      </c>
      <c r="B8214" t="str">
        <f t="shared" si="455"/>
        <v>1</v>
      </c>
      <c r="C8214" t="str">
        <f t="shared" si="457"/>
        <v>165</v>
      </c>
      <c r="D8214" t="str">
        <f>"33"</f>
        <v>33</v>
      </c>
      <c r="E8214" t="str">
        <f>"1-165-33"</f>
        <v>1-165-33</v>
      </c>
      <c r="F8214" t="s">
        <v>65</v>
      </c>
      <c r="G8214" t="s">
        <v>66</v>
      </c>
      <c r="H8214" t="s">
        <v>67</v>
      </c>
      <c r="S8214">
        <v>1</v>
      </c>
      <c r="T8214">
        <v>0</v>
      </c>
      <c r="U8214">
        <v>0</v>
      </c>
      <c r="V8214">
        <v>0</v>
      </c>
      <c r="W8214">
        <v>1</v>
      </c>
      <c r="X8214">
        <v>0</v>
      </c>
      <c r="Y8214">
        <v>1</v>
      </c>
      <c r="Z8214">
        <v>0</v>
      </c>
      <c r="AA8214">
        <v>1</v>
      </c>
      <c r="AB8214">
        <v>0</v>
      </c>
      <c r="AC8214">
        <v>0</v>
      </c>
      <c r="AD8214">
        <v>1</v>
      </c>
      <c r="AE8214">
        <v>1</v>
      </c>
      <c r="AF8214">
        <v>1</v>
      </c>
      <c r="AG8214">
        <v>1</v>
      </c>
      <c r="AH8214">
        <v>1</v>
      </c>
      <c r="AI8214">
        <v>1</v>
      </c>
      <c r="AJ8214">
        <v>1</v>
      </c>
      <c r="AK8214">
        <v>1</v>
      </c>
      <c r="AL8214">
        <v>1</v>
      </c>
      <c r="AM8214">
        <v>1</v>
      </c>
    </row>
    <row r="8215" spans="1:39" x14ac:dyDescent="0.2">
      <c r="A8215" t="str">
        <f>"8211"</f>
        <v>8211</v>
      </c>
      <c r="B8215" t="str">
        <f t="shared" si="455"/>
        <v>1</v>
      </c>
      <c r="C8215" t="str">
        <f t="shared" si="457"/>
        <v>165</v>
      </c>
      <c r="D8215" t="str">
        <f>"22"</f>
        <v>22</v>
      </c>
      <c r="E8215" t="str">
        <f>"1-165-22"</f>
        <v>1-165-22</v>
      </c>
      <c r="F8215" t="s">
        <v>65</v>
      </c>
      <c r="G8215" t="s">
        <v>66</v>
      </c>
      <c r="H8215" t="s">
        <v>67</v>
      </c>
      <c r="S8215">
        <v>0</v>
      </c>
      <c r="T8215">
        <v>1</v>
      </c>
      <c r="U8215">
        <v>0</v>
      </c>
      <c r="V8215">
        <v>0</v>
      </c>
      <c r="W8215">
        <v>0</v>
      </c>
      <c r="X8215">
        <v>1</v>
      </c>
      <c r="Y8215">
        <v>0</v>
      </c>
      <c r="Z8215">
        <v>1</v>
      </c>
      <c r="AA8215">
        <v>0</v>
      </c>
      <c r="AB8215">
        <v>1</v>
      </c>
      <c r="AC8215">
        <v>0</v>
      </c>
      <c r="AD8215">
        <v>1</v>
      </c>
      <c r="AE8215">
        <v>1</v>
      </c>
      <c r="AF8215">
        <v>1</v>
      </c>
      <c r="AG8215">
        <v>1</v>
      </c>
      <c r="AH8215">
        <v>1</v>
      </c>
      <c r="AI8215">
        <v>1</v>
      </c>
      <c r="AJ8215">
        <v>1</v>
      </c>
      <c r="AK8215">
        <v>1</v>
      </c>
      <c r="AL8215">
        <v>1</v>
      </c>
      <c r="AM8215">
        <v>1</v>
      </c>
    </row>
    <row r="8216" spans="1:39" x14ac:dyDescent="0.2">
      <c r="A8216" t="str">
        <f>"8212"</f>
        <v>8212</v>
      </c>
      <c r="B8216" t="str">
        <f t="shared" si="455"/>
        <v>1</v>
      </c>
      <c r="C8216" t="str">
        <f t="shared" si="457"/>
        <v>165</v>
      </c>
      <c r="D8216" t="str">
        <f>"17"</f>
        <v>17</v>
      </c>
      <c r="E8216" t="str">
        <f>"1-165-17"</f>
        <v>1-165-17</v>
      </c>
      <c r="F8216" t="s">
        <v>65</v>
      </c>
      <c r="G8216" t="s">
        <v>66</v>
      </c>
      <c r="H8216" t="s">
        <v>67</v>
      </c>
      <c r="S8216">
        <v>0</v>
      </c>
      <c r="T8216">
        <v>0</v>
      </c>
      <c r="U8216">
        <v>0</v>
      </c>
      <c r="V8216">
        <v>0</v>
      </c>
      <c r="W8216">
        <v>1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</row>
    <row r="8217" spans="1:39" x14ac:dyDescent="0.2">
      <c r="A8217" t="str">
        <f>"8213"</f>
        <v>8213</v>
      </c>
      <c r="B8217" t="str">
        <f t="shared" si="455"/>
        <v>1</v>
      </c>
      <c r="C8217" t="str">
        <f t="shared" si="457"/>
        <v>165</v>
      </c>
      <c r="D8217" t="str">
        <f>"13"</f>
        <v>13</v>
      </c>
      <c r="E8217" t="str">
        <f>"1-165-13"</f>
        <v>1-165-13</v>
      </c>
      <c r="F8217" t="s">
        <v>65</v>
      </c>
      <c r="G8217" t="s">
        <v>66</v>
      </c>
      <c r="H8217" t="s">
        <v>67</v>
      </c>
      <c r="S8217">
        <v>0</v>
      </c>
      <c r="T8217">
        <v>1</v>
      </c>
      <c r="U8217">
        <v>0</v>
      </c>
      <c r="V8217">
        <v>0</v>
      </c>
      <c r="W8217">
        <v>0</v>
      </c>
      <c r="X8217">
        <v>1</v>
      </c>
      <c r="Y8217">
        <v>0</v>
      </c>
      <c r="Z8217">
        <v>0</v>
      </c>
      <c r="AA8217">
        <v>0</v>
      </c>
      <c r="AB8217">
        <v>0</v>
      </c>
      <c r="AC8217">
        <v>1</v>
      </c>
      <c r="AD8217">
        <v>0</v>
      </c>
      <c r="AE8217">
        <v>0</v>
      </c>
      <c r="AF8217">
        <v>0</v>
      </c>
      <c r="AG8217">
        <v>1</v>
      </c>
      <c r="AH8217">
        <v>0</v>
      </c>
      <c r="AI8217">
        <v>1</v>
      </c>
      <c r="AJ8217">
        <v>1</v>
      </c>
      <c r="AK8217">
        <v>0</v>
      </c>
      <c r="AL8217">
        <v>0</v>
      </c>
      <c r="AM8217">
        <v>1</v>
      </c>
    </row>
    <row r="8218" spans="1:39" x14ac:dyDescent="0.2">
      <c r="A8218" t="str">
        <f>"8214"</f>
        <v>8214</v>
      </c>
      <c r="B8218" t="str">
        <f t="shared" si="455"/>
        <v>1</v>
      </c>
      <c r="C8218" t="str">
        <f t="shared" si="457"/>
        <v>165</v>
      </c>
      <c r="D8218" t="str">
        <f>"36"</f>
        <v>36</v>
      </c>
      <c r="E8218" t="str">
        <f>"1-165-36"</f>
        <v>1-165-36</v>
      </c>
      <c r="F8218" t="s">
        <v>65</v>
      </c>
      <c r="G8218" t="s">
        <v>66</v>
      </c>
      <c r="H8218" t="s">
        <v>67</v>
      </c>
      <c r="S8218">
        <v>1</v>
      </c>
      <c r="T8218">
        <v>0</v>
      </c>
      <c r="U8218">
        <v>0</v>
      </c>
      <c r="V8218">
        <v>0</v>
      </c>
      <c r="W8218">
        <v>1</v>
      </c>
      <c r="X8218">
        <v>0</v>
      </c>
      <c r="Y8218">
        <v>0</v>
      </c>
      <c r="Z8218">
        <v>1</v>
      </c>
      <c r="AA8218">
        <v>1</v>
      </c>
      <c r="AB8218">
        <v>0</v>
      </c>
      <c r="AC8218">
        <v>0</v>
      </c>
      <c r="AD8218">
        <v>1</v>
      </c>
      <c r="AE8218">
        <v>1</v>
      </c>
      <c r="AF8218">
        <v>1</v>
      </c>
      <c r="AG8218">
        <v>1</v>
      </c>
      <c r="AH8218">
        <v>1</v>
      </c>
      <c r="AI8218">
        <v>1</v>
      </c>
      <c r="AJ8218">
        <v>1</v>
      </c>
      <c r="AK8218">
        <v>1</v>
      </c>
      <c r="AL8218">
        <v>1</v>
      </c>
      <c r="AM8218">
        <v>1</v>
      </c>
    </row>
    <row r="8219" spans="1:39" x14ac:dyDescent="0.2">
      <c r="A8219" t="str">
        <f>"8215"</f>
        <v>8215</v>
      </c>
      <c r="B8219" t="str">
        <f t="shared" si="455"/>
        <v>1</v>
      </c>
      <c r="C8219" t="str">
        <f t="shared" si="457"/>
        <v>165</v>
      </c>
      <c r="D8219" t="str">
        <f>"35"</f>
        <v>35</v>
      </c>
      <c r="E8219" t="str">
        <f>"1-165-35"</f>
        <v>1-165-35</v>
      </c>
      <c r="F8219" t="s">
        <v>65</v>
      </c>
      <c r="G8219" t="s">
        <v>66</v>
      </c>
      <c r="H8219" t="s">
        <v>67</v>
      </c>
      <c r="S8219">
        <v>1</v>
      </c>
      <c r="T8219">
        <v>0</v>
      </c>
      <c r="U8219">
        <v>0</v>
      </c>
      <c r="V8219">
        <v>0</v>
      </c>
      <c r="W8219">
        <v>1</v>
      </c>
      <c r="X8219">
        <v>0</v>
      </c>
      <c r="Y8219">
        <v>1</v>
      </c>
      <c r="Z8219">
        <v>0</v>
      </c>
      <c r="AA8219">
        <v>1</v>
      </c>
      <c r="AB8219">
        <v>0</v>
      </c>
      <c r="AC8219">
        <v>0</v>
      </c>
      <c r="AD8219">
        <v>1</v>
      </c>
      <c r="AE8219">
        <v>1</v>
      </c>
      <c r="AF8219">
        <v>1</v>
      </c>
      <c r="AG8219">
        <v>1</v>
      </c>
      <c r="AH8219">
        <v>1</v>
      </c>
      <c r="AI8219">
        <v>1</v>
      </c>
      <c r="AJ8219">
        <v>1</v>
      </c>
      <c r="AK8219">
        <v>1</v>
      </c>
      <c r="AL8219">
        <v>1</v>
      </c>
      <c r="AM8219">
        <v>1</v>
      </c>
    </row>
    <row r="8220" spans="1:39" x14ac:dyDescent="0.2">
      <c r="A8220" t="str">
        <f>"8216"</f>
        <v>8216</v>
      </c>
      <c r="B8220" t="str">
        <f t="shared" si="455"/>
        <v>1</v>
      </c>
      <c r="C8220" t="str">
        <f t="shared" si="457"/>
        <v>165</v>
      </c>
      <c r="D8220" t="str">
        <f>"24"</f>
        <v>24</v>
      </c>
      <c r="E8220" t="str">
        <f>"1-165-24"</f>
        <v>1-165-24</v>
      </c>
      <c r="F8220" t="s">
        <v>65</v>
      </c>
      <c r="G8220" t="s">
        <v>66</v>
      </c>
      <c r="H8220" t="s">
        <v>67</v>
      </c>
      <c r="S8220">
        <v>0</v>
      </c>
      <c r="T8220">
        <v>1</v>
      </c>
      <c r="U8220">
        <v>0</v>
      </c>
      <c r="V8220">
        <v>0</v>
      </c>
      <c r="W8220">
        <v>1</v>
      </c>
      <c r="X8220">
        <v>0</v>
      </c>
      <c r="Y8220">
        <v>0</v>
      </c>
      <c r="Z8220">
        <v>1</v>
      </c>
      <c r="AA8220">
        <v>0</v>
      </c>
      <c r="AB8220">
        <v>1</v>
      </c>
      <c r="AC8220">
        <v>0</v>
      </c>
      <c r="AD8220">
        <v>1</v>
      </c>
      <c r="AE8220">
        <v>1</v>
      </c>
      <c r="AF8220">
        <v>1</v>
      </c>
      <c r="AG8220">
        <v>1</v>
      </c>
      <c r="AH8220">
        <v>1</v>
      </c>
      <c r="AI8220">
        <v>1</v>
      </c>
      <c r="AJ8220">
        <v>1</v>
      </c>
      <c r="AK8220">
        <v>1</v>
      </c>
      <c r="AL8220">
        <v>1</v>
      </c>
      <c r="AM8220">
        <v>1</v>
      </c>
    </row>
    <row r="8221" spans="1:39" x14ac:dyDescent="0.2">
      <c r="A8221" t="str">
        <f>"8217"</f>
        <v>8217</v>
      </c>
      <c r="B8221" t="str">
        <f t="shared" si="455"/>
        <v>1</v>
      </c>
      <c r="C8221" t="str">
        <f t="shared" si="457"/>
        <v>165</v>
      </c>
      <c r="D8221" t="str">
        <f>"18"</f>
        <v>18</v>
      </c>
      <c r="E8221" t="str">
        <f>"1-165-18"</f>
        <v>1-165-18</v>
      </c>
      <c r="F8221" t="s">
        <v>65</v>
      </c>
      <c r="G8221" t="s">
        <v>66</v>
      </c>
      <c r="H8221" t="s">
        <v>67</v>
      </c>
      <c r="S8221">
        <v>1</v>
      </c>
      <c r="T8221">
        <v>0</v>
      </c>
      <c r="U8221">
        <v>0</v>
      </c>
      <c r="V8221">
        <v>0</v>
      </c>
      <c r="W8221">
        <v>1</v>
      </c>
      <c r="X8221">
        <v>0</v>
      </c>
      <c r="Y8221">
        <v>1</v>
      </c>
      <c r="Z8221">
        <v>0</v>
      </c>
      <c r="AA8221">
        <v>1</v>
      </c>
      <c r="AB8221">
        <v>0</v>
      </c>
      <c r="AC8221">
        <v>0</v>
      </c>
      <c r="AD8221">
        <v>1</v>
      </c>
      <c r="AE8221">
        <v>1</v>
      </c>
      <c r="AF8221">
        <v>1</v>
      </c>
      <c r="AG8221">
        <v>1</v>
      </c>
      <c r="AH8221">
        <v>1</v>
      </c>
      <c r="AI8221">
        <v>1</v>
      </c>
      <c r="AJ8221">
        <v>1</v>
      </c>
      <c r="AK8221">
        <v>1</v>
      </c>
      <c r="AL8221">
        <v>1</v>
      </c>
      <c r="AM8221">
        <v>1</v>
      </c>
    </row>
    <row r="8222" spans="1:39" x14ac:dyDescent="0.2">
      <c r="A8222" t="str">
        <f>"8218"</f>
        <v>8218</v>
      </c>
      <c r="B8222" t="str">
        <f t="shared" si="455"/>
        <v>1</v>
      </c>
      <c r="C8222" t="str">
        <f t="shared" si="457"/>
        <v>165</v>
      </c>
      <c r="D8222" t="str">
        <f>"4"</f>
        <v>4</v>
      </c>
      <c r="E8222" t="str">
        <f>"1-165-4"</f>
        <v>1-165-4</v>
      </c>
      <c r="F8222" t="s">
        <v>65</v>
      </c>
      <c r="G8222" t="s">
        <v>66</v>
      </c>
      <c r="H8222" t="s">
        <v>67</v>
      </c>
      <c r="S8222">
        <v>0</v>
      </c>
      <c r="T8222">
        <v>1</v>
      </c>
      <c r="U8222">
        <v>0</v>
      </c>
      <c r="V8222">
        <v>0</v>
      </c>
      <c r="W8222">
        <v>1</v>
      </c>
      <c r="X8222">
        <v>0</v>
      </c>
      <c r="Y8222">
        <v>1</v>
      </c>
      <c r="Z8222">
        <v>0</v>
      </c>
      <c r="AA8222">
        <v>0</v>
      </c>
      <c r="AB8222">
        <v>0</v>
      </c>
      <c r="AC8222">
        <v>1</v>
      </c>
      <c r="AD8222">
        <v>1</v>
      </c>
      <c r="AE8222">
        <v>1</v>
      </c>
      <c r="AF8222">
        <v>1</v>
      </c>
      <c r="AG8222">
        <v>1</v>
      </c>
      <c r="AH8222">
        <v>1</v>
      </c>
      <c r="AI8222">
        <v>1</v>
      </c>
      <c r="AJ8222">
        <v>1</v>
      </c>
      <c r="AK8222">
        <v>1</v>
      </c>
      <c r="AL8222">
        <v>1</v>
      </c>
      <c r="AM8222">
        <v>1</v>
      </c>
    </row>
    <row r="8223" spans="1:39" x14ac:dyDescent="0.2">
      <c r="A8223" t="str">
        <f>"8219"</f>
        <v>8219</v>
      </c>
      <c r="B8223" t="str">
        <f t="shared" si="455"/>
        <v>1</v>
      </c>
      <c r="C8223" t="str">
        <f t="shared" si="457"/>
        <v>165</v>
      </c>
      <c r="D8223" t="str">
        <f>"40"</f>
        <v>40</v>
      </c>
      <c r="E8223" t="str">
        <f>"1-165-40"</f>
        <v>1-165-40</v>
      </c>
      <c r="F8223" t="s">
        <v>65</v>
      </c>
      <c r="G8223" t="s">
        <v>66</v>
      </c>
      <c r="H8223" t="s">
        <v>67</v>
      </c>
      <c r="S8223">
        <v>1</v>
      </c>
      <c r="T8223">
        <v>0</v>
      </c>
      <c r="U8223">
        <v>0</v>
      </c>
      <c r="V8223">
        <v>0</v>
      </c>
      <c r="W8223">
        <v>1</v>
      </c>
      <c r="X8223">
        <v>0</v>
      </c>
      <c r="Y8223">
        <v>1</v>
      </c>
      <c r="Z8223">
        <v>0</v>
      </c>
      <c r="AA8223">
        <v>1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1</v>
      </c>
      <c r="AJ8223">
        <v>1</v>
      </c>
      <c r="AK8223">
        <v>0</v>
      </c>
      <c r="AL8223">
        <v>0</v>
      </c>
      <c r="AM8223">
        <v>0</v>
      </c>
    </row>
    <row r="8224" spans="1:39" x14ac:dyDescent="0.2">
      <c r="A8224" t="str">
        <f>"8220"</f>
        <v>8220</v>
      </c>
      <c r="B8224" t="str">
        <f t="shared" si="455"/>
        <v>1</v>
      </c>
      <c r="C8224" t="str">
        <f t="shared" si="457"/>
        <v>165</v>
      </c>
      <c r="D8224" t="str">
        <f>"19"</f>
        <v>19</v>
      </c>
      <c r="E8224" t="str">
        <f>"1-165-19"</f>
        <v>1-165-19</v>
      </c>
      <c r="F8224" t="s">
        <v>65</v>
      </c>
      <c r="G8224" t="s">
        <v>66</v>
      </c>
      <c r="H8224" t="s">
        <v>67</v>
      </c>
      <c r="S8224">
        <v>1</v>
      </c>
      <c r="T8224">
        <v>0</v>
      </c>
      <c r="U8224">
        <v>0</v>
      </c>
      <c r="V8224">
        <v>0</v>
      </c>
      <c r="W8224">
        <v>1</v>
      </c>
      <c r="X8224">
        <v>0</v>
      </c>
      <c r="Y8224">
        <v>1</v>
      </c>
      <c r="Z8224">
        <v>0</v>
      </c>
      <c r="AA8224">
        <v>1</v>
      </c>
      <c r="AB8224">
        <v>0</v>
      </c>
      <c r="AC8224">
        <v>0</v>
      </c>
      <c r="AD8224">
        <v>1</v>
      </c>
      <c r="AE8224">
        <v>1</v>
      </c>
      <c r="AF8224">
        <v>1</v>
      </c>
      <c r="AG8224">
        <v>1</v>
      </c>
      <c r="AH8224">
        <v>1</v>
      </c>
      <c r="AI8224">
        <v>1</v>
      </c>
      <c r="AJ8224">
        <v>1</v>
      </c>
      <c r="AK8224">
        <v>1</v>
      </c>
      <c r="AL8224">
        <v>1</v>
      </c>
      <c r="AM8224">
        <v>1</v>
      </c>
    </row>
    <row r="8225" spans="1:39" x14ac:dyDescent="0.2">
      <c r="A8225" t="str">
        <f>"8221"</f>
        <v>8221</v>
      </c>
      <c r="B8225" t="str">
        <f t="shared" si="455"/>
        <v>1</v>
      </c>
      <c r="C8225" t="str">
        <f t="shared" si="457"/>
        <v>165</v>
      </c>
      <c r="D8225" t="str">
        <f>"41"</f>
        <v>41</v>
      </c>
      <c r="E8225" t="str">
        <f>"1-165-41"</f>
        <v>1-165-41</v>
      </c>
      <c r="F8225" t="s">
        <v>65</v>
      </c>
      <c r="G8225" t="s">
        <v>66</v>
      </c>
      <c r="H8225" t="s">
        <v>67</v>
      </c>
      <c r="S8225">
        <v>1</v>
      </c>
      <c r="T8225">
        <v>0</v>
      </c>
      <c r="U8225">
        <v>0</v>
      </c>
      <c r="V8225">
        <v>0</v>
      </c>
      <c r="W8225">
        <v>1</v>
      </c>
      <c r="X8225">
        <v>0</v>
      </c>
      <c r="Y8225">
        <v>1</v>
      </c>
      <c r="Z8225">
        <v>0</v>
      </c>
      <c r="AA8225">
        <v>0</v>
      </c>
      <c r="AB8225">
        <v>0</v>
      </c>
      <c r="AC8225">
        <v>1</v>
      </c>
      <c r="AD8225">
        <v>1</v>
      </c>
      <c r="AE8225">
        <v>1</v>
      </c>
      <c r="AF8225">
        <v>1</v>
      </c>
      <c r="AG8225">
        <v>1</v>
      </c>
      <c r="AH8225">
        <v>1</v>
      </c>
      <c r="AI8225">
        <v>1</v>
      </c>
      <c r="AJ8225">
        <v>1</v>
      </c>
      <c r="AK8225">
        <v>1</v>
      </c>
      <c r="AL8225">
        <v>1</v>
      </c>
      <c r="AM8225">
        <v>1</v>
      </c>
    </row>
    <row r="8226" spans="1:39" x14ac:dyDescent="0.2">
      <c r="A8226" t="str">
        <f>"8222"</f>
        <v>8222</v>
      </c>
      <c r="B8226" t="str">
        <f t="shared" si="455"/>
        <v>1</v>
      </c>
      <c r="C8226" t="str">
        <f t="shared" si="457"/>
        <v>165</v>
      </c>
      <c r="D8226" t="str">
        <f>"20"</f>
        <v>20</v>
      </c>
      <c r="E8226" t="str">
        <f>"1-165-20"</f>
        <v>1-165-20</v>
      </c>
      <c r="F8226" t="s">
        <v>65</v>
      </c>
      <c r="G8226" t="s">
        <v>66</v>
      </c>
      <c r="H8226" t="s">
        <v>67</v>
      </c>
      <c r="S8226">
        <v>1</v>
      </c>
      <c r="T8226">
        <v>0</v>
      </c>
      <c r="U8226">
        <v>0</v>
      </c>
      <c r="V8226">
        <v>0</v>
      </c>
      <c r="W8226">
        <v>1</v>
      </c>
      <c r="X8226">
        <v>0</v>
      </c>
      <c r="Y8226">
        <v>1</v>
      </c>
      <c r="Z8226">
        <v>0</v>
      </c>
      <c r="AA8226">
        <v>1</v>
      </c>
      <c r="AB8226">
        <v>0</v>
      </c>
      <c r="AC8226">
        <v>0</v>
      </c>
      <c r="AD8226">
        <v>1</v>
      </c>
      <c r="AE8226">
        <v>1</v>
      </c>
      <c r="AF8226">
        <v>1</v>
      </c>
      <c r="AG8226">
        <v>1</v>
      </c>
      <c r="AH8226">
        <v>1</v>
      </c>
      <c r="AI8226">
        <v>1</v>
      </c>
      <c r="AJ8226">
        <v>1</v>
      </c>
      <c r="AK8226">
        <v>1</v>
      </c>
      <c r="AL8226">
        <v>1</v>
      </c>
      <c r="AM8226">
        <v>1</v>
      </c>
    </row>
    <row r="8227" spans="1:39" x14ac:dyDescent="0.2">
      <c r="A8227" t="str">
        <f>"8223"</f>
        <v>8223</v>
      </c>
      <c r="B8227" t="str">
        <f t="shared" si="455"/>
        <v>1</v>
      </c>
      <c r="C8227" t="str">
        <f t="shared" si="457"/>
        <v>165</v>
      </c>
      <c r="D8227" t="str">
        <f>"8"</f>
        <v>8</v>
      </c>
      <c r="E8227" t="str">
        <f>"1-165-8"</f>
        <v>1-165-8</v>
      </c>
      <c r="F8227" t="s">
        <v>65</v>
      </c>
      <c r="G8227" t="s">
        <v>66</v>
      </c>
      <c r="H8227" t="s">
        <v>67</v>
      </c>
      <c r="S8227">
        <v>1</v>
      </c>
      <c r="T8227">
        <v>0</v>
      </c>
      <c r="U8227">
        <v>0</v>
      </c>
      <c r="V8227">
        <v>0</v>
      </c>
      <c r="W8227">
        <v>1</v>
      </c>
      <c r="X8227">
        <v>0</v>
      </c>
      <c r="Y8227">
        <v>1</v>
      </c>
      <c r="Z8227">
        <v>0</v>
      </c>
      <c r="AA8227">
        <v>0</v>
      </c>
      <c r="AB8227">
        <v>0</v>
      </c>
      <c r="AC8227">
        <v>1</v>
      </c>
      <c r="AD8227">
        <v>1</v>
      </c>
      <c r="AE8227">
        <v>1</v>
      </c>
      <c r="AF8227">
        <v>1</v>
      </c>
      <c r="AG8227">
        <v>1</v>
      </c>
      <c r="AH8227">
        <v>1</v>
      </c>
      <c r="AI8227">
        <v>1</v>
      </c>
      <c r="AJ8227">
        <v>1</v>
      </c>
      <c r="AK8227">
        <v>1</v>
      </c>
      <c r="AL8227">
        <v>1</v>
      </c>
      <c r="AM8227">
        <v>1</v>
      </c>
    </row>
    <row r="8228" spans="1:39" x14ac:dyDescent="0.2">
      <c r="A8228" t="str">
        <f>"8224"</f>
        <v>8224</v>
      </c>
      <c r="B8228" t="str">
        <f t="shared" si="455"/>
        <v>1</v>
      </c>
      <c r="C8228" t="str">
        <f t="shared" si="457"/>
        <v>165</v>
      </c>
      <c r="D8228" t="str">
        <f>"42"</f>
        <v>42</v>
      </c>
      <c r="E8228" t="str">
        <f>"1-165-42"</f>
        <v>1-165-42</v>
      </c>
      <c r="F8228" t="s">
        <v>65</v>
      </c>
      <c r="G8228" t="s">
        <v>66</v>
      </c>
      <c r="H8228" t="s">
        <v>67</v>
      </c>
      <c r="S8228">
        <v>0</v>
      </c>
      <c r="T8228">
        <v>1</v>
      </c>
      <c r="U8228">
        <v>0</v>
      </c>
      <c r="V8228">
        <v>0</v>
      </c>
      <c r="W8228">
        <v>0</v>
      </c>
      <c r="X8228">
        <v>1</v>
      </c>
      <c r="Y8228">
        <v>1</v>
      </c>
      <c r="Z8228">
        <v>0</v>
      </c>
      <c r="AA8228">
        <v>0</v>
      </c>
      <c r="AB8228">
        <v>0</v>
      </c>
      <c r="AC8228">
        <v>1</v>
      </c>
      <c r="AD8228">
        <v>1</v>
      </c>
      <c r="AE8228">
        <v>1</v>
      </c>
      <c r="AF8228">
        <v>1</v>
      </c>
      <c r="AG8228">
        <v>1</v>
      </c>
      <c r="AH8228">
        <v>1</v>
      </c>
      <c r="AI8228">
        <v>1</v>
      </c>
      <c r="AJ8228">
        <v>1</v>
      </c>
      <c r="AK8228">
        <v>1</v>
      </c>
      <c r="AL8228">
        <v>1</v>
      </c>
      <c r="AM8228">
        <v>1</v>
      </c>
    </row>
    <row r="8229" spans="1:39" x14ac:dyDescent="0.2">
      <c r="A8229" t="str">
        <f>"8225"</f>
        <v>8225</v>
      </c>
      <c r="B8229" t="str">
        <f t="shared" si="455"/>
        <v>1</v>
      </c>
      <c r="C8229" t="str">
        <f t="shared" si="457"/>
        <v>165</v>
      </c>
      <c r="D8229" t="str">
        <f>"21"</f>
        <v>21</v>
      </c>
      <c r="E8229" t="str">
        <f>"1-165-21"</f>
        <v>1-165-21</v>
      </c>
      <c r="F8229" t="s">
        <v>65</v>
      </c>
      <c r="G8229" t="s">
        <v>66</v>
      </c>
      <c r="H8229" t="s">
        <v>67</v>
      </c>
      <c r="S8229">
        <v>1</v>
      </c>
      <c r="T8229">
        <v>0</v>
      </c>
      <c r="U8229">
        <v>0</v>
      </c>
      <c r="V8229">
        <v>0</v>
      </c>
      <c r="W8229">
        <v>0</v>
      </c>
      <c r="X8229">
        <v>1</v>
      </c>
      <c r="Y8229">
        <v>0</v>
      </c>
      <c r="Z8229">
        <v>1</v>
      </c>
      <c r="AA8229">
        <v>0</v>
      </c>
      <c r="AB8229">
        <v>1</v>
      </c>
      <c r="AC8229">
        <v>0</v>
      </c>
      <c r="AD8229">
        <v>1</v>
      </c>
      <c r="AE8229">
        <v>1</v>
      </c>
      <c r="AF8229">
        <v>1</v>
      </c>
      <c r="AG8229">
        <v>1</v>
      </c>
      <c r="AH8229">
        <v>1</v>
      </c>
      <c r="AI8229">
        <v>1</v>
      </c>
      <c r="AJ8229">
        <v>1</v>
      </c>
      <c r="AK8229">
        <v>1</v>
      </c>
      <c r="AL8229">
        <v>1</v>
      </c>
      <c r="AM8229">
        <v>1</v>
      </c>
    </row>
    <row r="8230" spans="1:39" x14ac:dyDescent="0.2">
      <c r="A8230" t="str">
        <f>"8226"</f>
        <v>8226</v>
      </c>
      <c r="B8230" t="str">
        <f t="shared" si="455"/>
        <v>1</v>
      </c>
      <c r="C8230" t="str">
        <f t="shared" si="457"/>
        <v>165</v>
      </c>
      <c r="D8230" t="str">
        <f>"6"</f>
        <v>6</v>
      </c>
      <c r="E8230" t="str">
        <f>"1-165-6"</f>
        <v>1-165-6</v>
      </c>
      <c r="F8230" t="s">
        <v>65</v>
      </c>
      <c r="G8230" t="s">
        <v>66</v>
      </c>
      <c r="H8230" t="s">
        <v>67</v>
      </c>
      <c r="S8230">
        <v>1</v>
      </c>
      <c r="T8230">
        <v>0</v>
      </c>
      <c r="U8230">
        <v>0</v>
      </c>
      <c r="V8230">
        <v>0</v>
      </c>
      <c r="W8230">
        <v>1</v>
      </c>
      <c r="X8230">
        <v>0</v>
      </c>
      <c r="Y8230">
        <v>1</v>
      </c>
      <c r="Z8230">
        <v>0</v>
      </c>
      <c r="AA8230">
        <v>1</v>
      </c>
      <c r="AB8230">
        <v>0</v>
      </c>
      <c r="AC8230">
        <v>0</v>
      </c>
      <c r="AD8230">
        <v>1</v>
      </c>
      <c r="AE8230">
        <v>1</v>
      </c>
      <c r="AF8230">
        <v>1</v>
      </c>
      <c r="AG8230">
        <v>1</v>
      </c>
      <c r="AH8230">
        <v>1</v>
      </c>
      <c r="AI8230">
        <v>1</v>
      </c>
      <c r="AJ8230">
        <v>1</v>
      </c>
      <c r="AK8230">
        <v>1</v>
      </c>
      <c r="AL8230">
        <v>1</v>
      </c>
      <c r="AM8230">
        <v>1</v>
      </c>
    </row>
    <row r="8231" spans="1:39" x14ac:dyDescent="0.2">
      <c r="A8231" t="str">
        <f>"8227"</f>
        <v>8227</v>
      </c>
      <c r="B8231" t="str">
        <f t="shared" si="455"/>
        <v>1</v>
      </c>
      <c r="C8231" t="str">
        <f t="shared" si="457"/>
        <v>165</v>
      </c>
      <c r="D8231" t="str">
        <f>"43"</f>
        <v>43</v>
      </c>
      <c r="E8231" t="str">
        <f>"1-165-43"</f>
        <v>1-165-43</v>
      </c>
      <c r="F8231" t="s">
        <v>65</v>
      </c>
      <c r="G8231" t="s">
        <v>66</v>
      </c>
      <c r="H8231" t="s">
        <v>67</v>
      </c>
      <c r="S8231">
        <v>1</v>
      </c>
      <c r="T8231">
        <v>0</v>
      </c>
      <c r="U8231">
        <v>0</v>
      </c>
      <c r="V8231">
        <v>0</v>
      </c>
      <c r="W8231">
        <v>1</v>
      </c>
      <c r="X8231">
        <v>0</v>
      </c>
      <c r="Y8231">
        <v>1</v>
      </c>
      <c r="Z8231">
        <v>0</v>
      </c>
      <c r="AA8231">
        <v>1</v>
      </c>
      <c r="AB8231">
        <v>0</v>
      </c>
      <c r="AC8231">
        <v>0</v>
      </c>
      <c r="AD8231">
        <v>1</v>
      </c>
      <c r="AE8231">
        <v>1</v>
      </c>
      <c r="AF8231">
        <v>1</v>
      </c>
      <c r="AG8231">
        <v>1</v>
      </c>
      <c r="AH8231">
        <v>1</v>
      </c>
      <c r="AI8231">
        <v>1</v>
      </c>
      <c r="AJ8231">
        <v>1</v>
      </c>
      <c r="AK8231">
        <v>1</v>
      </c>
      <c r="AL8231">
        <v>1</v>
      </c>
      <c r="AM8231">
        <v>1</v>
      </c>
    </row>
    <row r="8232" spans="1:39" x14ac:dyDescent="0.2">
      <c r="A8232" t="str">
        <f>"8228"</f>
        <v>8228</v>
      </c>
      <c r="B8232" t="str">
        <f t="shared" si="455"/>
        <v>1</v>
      </c>
      <c r="C8232" t="str">
        <f t="shared" si="457"/>
        <v>165</v>
      </c>
      <c r="D8232" t="str">
        <f>"23"</f>
        <v>23</v>
      </c>
      <c r="E8232" t="str">
        <f>"1-165-23"</f>
        <v>1-165-23</v>
      </c>
      <c r="F8232" t="s">
        <v>65</v>
      </c>
      <c r="G8232" t="s">
        <v>66</v>
      </c>
      <c r="H8232" t="s">
        <v>67</v>
      </c>
      <c r="S8232">
        <v>1</v>
      </c>
      <c r="T8232">
        <v>0</v>
      </c>
      <c r="U8232">
        <v>0</v>
      </c>
      <c r="V8232">
        <v>0</v>
      </c>
      <c r="W8232">
        <v>1</v>
      </c>
      <c r="X8232">
        <v>0</v>
      </c>
      <c r="Y8232">
        <v>1</v>
      </c>
      <c r="Z8232">
        <v>0</v>
      </c>
      <c r="AA8232">
        <v>0</v>
      </c>
      <c r="AB8232">
        <v>0</v>
      </c>
      <c r="AC8232">
        <v>0</v>
      </c>
      <c r="AD8232">
        <v>1</v>
      </c>
      <c r="AE8232">
        <v>1</v>
      </c>
      <c r="AF8232">
        <v>1</v>
      </c>
      <c r="AG8232">
        <v>1</v>
      </c>
      <c r="AH8232">
        <v>1</v>
      </c>
      <c r="AI8232">
        <v>1</v>
      </c>
      <c r="AJ8232">
        <v>1</v>
      </c>
      <c r="AK8232">
        <v>1</v>
      </c>
      <c r="AL8232">
        <v>1</v>
      </c>
      <c r="AM8232">
        <v>1</v>
      </c>
    </row>
    <row r="8233" spans="1:39" x14ac:dyDescent="0.2">
      <c r="A8233" t="str">
        <f>"8229"</f>
        <v>8229</v>
      </c>
      <c r="B8233" t="str">
        <f t="shared" si="455"/>
        <v>1</v>
      </c>
      <c r="C8233" t="str">
        <f t="shared" si="457"/>
        <v>165</v>
      </c>
      <c r="D8233" t="str">
        <f>"9"</f>
        <v>9</v>
      </c>
      <c r="E8233" t="str">
        <f>"1-165-9"</f>
        <v>1-165-9</v>
      </c>
      <c r="F8233" t="s">
        <v>65</v>
      </c>
      <c r="G8233" t="s">
        <v>66</v>
      </c>
      <c r="H8233" t="s">
        <v>67</v>
      </c>
      <c r="S8233">
        <v>1</v>
      </c>
      <c r="T8233">
        <v>0</v>
      </c>
      <c r="U8233">
        <v>0</v>
      </c>
      <c r="V8233">
        <v>0</v>
      </c>
      <c r="W8233">
        <v>0</v>
      </c>
      <c r="X8233">
        <v>1</v>
      </c>
      <c r="Y8233">
        <v>0</v>
      </c>
      <c r="Z8233">
        <v>1</v>
      </c>
      <c r="AA8233">
        <v>0</v>
      </c>
      <c r="AB8233">
        <v>1</v>
      </c>
      <c r="AC8233">
        <v>0</v>
      </c>
      <c r="AD8233">
        <v>1</v>
      </c>
      <c r="AE8233">
        <v>1</v>
      </c>
      <c r="AF8233">
        <v>1</v>
      </c>
      <c r="AG8233">
        <v>1</v>
      </c>
      <c r="AH8233">
        <v>1</v>
      </c>
      <c r="AI8233">
        <v>1</v>
      </c>
      <c r="AJ8233">
        <v>1</v>
      </c>
      <c r="AK8233">
        <v>1</v>
      </c>
      <c r="AL8233">
        <v>1</v>
      </c>
      <c r="AM8233">
        <v>1</v>
      </c>
    </row>
    <row r="8234" spans="1:39" x14ac:dyDescent="0.2">
      <c r="A8234" t="str">
        <f>"8230"</f>
        <v>8230</v>
      </c>
      <c r="B8234" t="str">
        <f t="shared" si="455"/>
        <v>1</v>
      </c>
      <c r="C8234" t="str">
        <f t="shared" si="457"/>
        <v>165</v>
      </c>
      <c r="D8234" t="str">
        <f>"47"</f>
        <v>47</v>
      </c>
      <c r="E8234" t="str">
        <f>"1-165-47"</f>
        <v>1-165-47</v>
      </c>
      <c r="F8234" t="s">
        <v>65</v>
      </c>
      <c r="G8234" t="s">
        <v>66</v>
      </c>
      <c r="H8234" t="s">
        <v>67</v>
      </c>
      <c r="S8234">
        <v>1</v>
      </c>
      <c r="T8234">
        <v>0</v>
      </c>
      <c r="U8234">
        <v>0</v>
      </c>
      <c r="V8234">
        <v>0</v>
      </c>
      <c r="W8234">
        <v>1</v>
      </c>
      <c r="X8234">
        <v>0</v>
      </c>
      <c r="Y8234">
        <v>1</v>
      </c>
      <c r="Z8234">
        <v>0</v>
      </c>
      <c r="AA8234">
        <v>0</v>
      </c>
      <c r="AB8234">
        <v>1</v>
      </c>
      <c r="AC8234">
        <v>0</v>
      </c>
      <c r="AD8234">
        <v>1</v>
      </c>
      <c r="AE8234">
        <v>1</v>
      </c>
      <c r="AF8234">
        <v>1</v>
      </c>
      <c r="AG8234">
        <v>1</v>
      </c>
      <c r="AH8234">
        <v>1</v>
      </c>
      <c r="AI8234">
        <v>1</v>
      </c>
      <c r="AJ8234">
        <v>1</v>
      </c>
      <c r="AK8234">
        <v>1</v>
      </c>
      <c r="AL8234">
        <v>1</v>
      </c>
      <c r="AM8234">
        <v>1</v>
      </c>
    </row>
    <row r="8235" spans="1:39" x14ac:dyDescent="0.2">
      <c r="A8235" t="str">
        <f>"8231"</f>
        <v>8231</v>
      </c>
      <c r="B8235" t="str">
        <f t="shared" si="455"/>
        <v>1</v>
      </c>
      <c r="C8235" t="str">
        <f t="shared" si="457"/>
        <v>165</v>
      </c>
      <c r="D8235" t="str">
        <f>"46"</f>
        <v>46</v>
      </c>
      <c r="E8235" t="str">
        <f>"1-165-46"</f>
        <v>1-165-46</v>
      </c>
      <c r="F8235" t="s">
        <v>65</v>
      </c>
      <c r="G8235" t="s">
        <v>66</v>
      </c>
      <c r="H8235" t="s">
        <v>67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1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1</v>
      </c>
      <c r="AE8235">
        <v>1</v>
      </c>
      <c r="AF8235">
        <v>1</v>
      </c>
      <c r="AG8235">
        <v>1</v>
      </c>
      <c r="AH8235">
        <v>1</v>
      </c>
      <c r="AI8235">
        <v>1</v>
      </c>
      <c r="AJ8235">
        <v>1</v>
      </c>
      <c r="AK8235">
        <v>1</v>
      </c>
      <c r="AL8235">
        <v>1</v>
      </c>
      <c r="AM8235">
        <v>1</v>
      </c>
    </row>
    <row r="8236" spans="1:39" x14ac:dyDescent="0.2">
      <c r="A8236" t="str">
        <f>"8232"</f>
        <v>8232</v>
      </c>
      <c r="B8236" t="str">
        <f t="shared" si="455"/>
        <v>1</v>
      </c>
      <c r="C8236" t="str">
        <f t="shared" si="457"/>
        <v>165</v>
      </c>
      <c r="D8236" t="str">
        <f>"37"</f>
        <v>37</v>
      </c>
      <c r="E8236" t="str">
        <f>"1-165-37"</f>
        <v>1-165-37</v>
      </c>
      <c r="F8236" t="s">
        <v>65</v>
      </c>
      <c r="G8236" t="s">
        <v>66</v>
      </c>
      <c r="H8236" t="s">
        <v>67</v>
      </c>
      <c r="S8236">
        <v>1</v>
      </c>
      <c r="T8236">
        <v>0</v>
      </c>
      <c r="U8236">
        <v>0</v>
      </c>
      <c r="V8236">
        <v>0</v>
      </c>
      <c r="W8236">
        <v>1</v>
      </c>
      <c r="X8236">
        <v>0</v>
      </c>
      <c r="Y8236">
        <v>1</v>
      </c>
      <c r="Z8236">
        <v>0</v>
      </c>
      <c r="AA8236">
        <v>0</v>
      </c>
      <c r="AB8236">
        <v>0</v>
      </c>
      <c r="AC8236">
        <v>1</v>
      </c>
      <c r="AD8236">
        <v>1</v>
      </c>
      <c r="AE8236">
        <v>1</v>
      </c>
      <c r="AF8236">
        <v>1</v>
      </c>
      <c r="AG8236">
        <v>1</v>
      </c>
      <c r="AH8236">
        <v>1</v>
      </c>
      <c r="AI8236">
        <v>1</v>
      </c>
      <c r="AJ8236">
        <v>1</v>
      </c>
      <c r="AK8236">
        <v>1</v>
      </c>
      <c r="AL8236">
        <v>1</v>
      </c>
      <c r="AM8236">
        <v>1</v>
      </c>
    </row>
    <row r="8237" spans="1:39" x14ac:dyDescent="0.2">
      <c r="A8237" t="str">
        <f>"8233"</f>
        <v>8233</v>
      </c>
      <c r="B8237" t="str">
        <f t="shared" si="455"/>
        <v>1</v>
      </c>
      <c r="C8237" t="str">
        <f t="shared" ref="C8237:C8254" si="458">"165"</f>
        <v>165</v>
      </c>
      <c r="D8237" t="str">
        <f>"25"</f>
        <v>25</v>
      </c>
      <c r="E8237" t="str">
        <f>"1-165-25"</f>
        <v>1-165-25</v>
      </c>
      <c r="F8237" t="s">
        <v>65</v>
      </c>
      <c r="G8237" t="s">
        <v>66</v>
      </c>
      <c r="H8237" t="s">
        <v>67</v>
      </c>
      <c r="S8237">
        <v>0</v>
      </c>
      <c r="T8237">
        <v>1</v>
      </c>
      <c r="U8237">
        <v>0</v>
      </c>
      <c r="V8237">
        <v>0</v>
      </c>
      <c r="W8237">
        <v>0</v>
      </c>
      <c r="X8237">
        <v>1</v>
      </c>
      <c r="Y8237">
        <v>0</v>
      </c>
      <c r="Z8237">
        <v>1</v>
      </c>
      <c r="AA8237">
        <v>0</v>
      </c>
      <c r="AB8237">
        <v>0</v>
      </c>
      <c r="AC8237">
        <v>1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1</v>
      </c>
      <c r="AJ8237">
        <v>0</v>
      </c>
      <c r="AK8237">
        <v>0</v>
      </c>
      <c r="AL8237">
        <v>0</v>
      </c>
      <c r="AM8237">
        <v>0</v>
      </c>
    </row>
    <row r="8238" spans="1:39" x14ac:dyDescent="0.2">
      <c r="A8238" t="str">
        <f>"8234"</f>
        <v>8234</v>
      </c>
      <c r="B8238" t="str">
        <f t="shared" si="455"/>
        <v>1</v>
      </c>
      <c r="C8238" t="str">
        <f t="shared" si="458"/>
        <v>165</v>
      </c>
      <c r="D8238" t="str">
        <f>"14"</f>
        <v>14</v>
      </c>
      <c r="E8238" t="str">
        <f>"1-165-14"</f>
        <v>1-165-14</v>
      </c>
      <c r="F8238" t="s">
        <v>65</v>
      </c>
      <c r="G8238" t="s">
        <v>66</v>
      </c>
      <c r="H8238" t="s">
        <v>67</v>
      </c>
      <c r="S8238">
        <v>0</v>
      </c>
      <c r="T8238">
        <v>1</v>
      </c>
      <c r="U8238">
        <v>0</v>
      </c>
      <c r="V8238">
        <v>0</v>
      </c>
      <c r="W8238">
        <v>1</v>
      </c>
      <c r="X8238">
        <v>0</v>
      </c>
      <c r="Y8238">
        <v>0</v>
      </c>
      <c r="Z8238">
        <v>1</v>
      </c>
      <c r="AA8238">
        <v>0</v>
      </c>
      <c r="AB8238">
        <v>0</v>
      </c>
      <c r="AC8238">
        <v>1</v>
      </c>
      <c r="AD8238">
        <v>1</v>
      </c>
      <c r="AE8238">
        <v>1</v>
      </c>
      <c r="AF8238">
        <v>1</v>
      </c>
      <c r="AG8238">
        <v>1</v>
      </c>
      <c r="AH8238">
        <v>1</v>
      </c>
      <c r="AI8238">
        <v>0</v>
      </c>
      <c r="AJ8238">
        <v>0</v>
      </c>
      <c r="AK8238">
        <v>0</v>
      </c>
      <c r="AL8238">
        <v>1</v>
      </c>
      <c r="AM8238">
        <v>1</v>
      </c>
    </row>
    <row r="8239" spans="1:39" x14ac:dyDescent="0.2">
      <c r="A8239" t="str">
        <f>"8235"</f>
        <v>8235</v>
      </c>
      <c r="B8239" t="str">
        <f t="shared" si="455"/>
        <v>1</v>
      </c>
      <c r="C8239" t="str">
        <f t="shared" si="458"/>
        <v>165</v>
      </c>
      <c r="D8239" t="str">
        <f>"44"</f>
        <v>44</v>
      </c>
      <c r="E8239" t="str">
        <f>"1-165-44"</f>
        <v>1-165-44</v>
      </c>
      <c r="F8239" t="s">
        <v>65</v>
      </c>
      <c r="G8239" t="s">
        <v>66</v>
      </c>
      <c r="H8239" t="s">
        <v>67</v>
      </c>
      <c r="S8239">
        <v>0</v>
      </c>
      <c r="T8239">
        <v>1</v>
      </c>
      <c r="U8239">
        <v>0</v>
      </c>
      <c r="V8239">
        <v>0</v>
      </c>
      <c r="W8239">
        <v>0</v>
      </c>
      <c r="X8239">
        <v>1</v>
      </c>
      <c r="Y8239">
        <v>0</v>
      </c>
      <c r="Z8239">
        <v>1</v>
      </c>
      <c r="AA8239">
        <v>0</v>
      </c>
      <c r="AB8239">
        <v>0</v>
      </c>
      <c r="AC8239">
        <v>1</v>
      </c>
      <c r="AD8239">
        <v>1</v>
      </c>
      <c r="AE8239">
        <v>1</v>
      </c>
      <c r="AF8239">
        <v>1</v>
      </c>
      <c r="AG8239">
        <v>1</v>
      </c>
      <c r="AH8239">
        <v>1</v>
      </c>
      <c r="AI8239">
        <v>1</v>
      </c>
      <c r="AJ8239">
        <v>1</v>
      </c>
      <c r="AK8239">
        <v>1</v>
      </c>
      <c r="AL8239">
        <v>1</v>
      </c>
      <c r="AM8239">
        <v>1</v>
      </c>
    </row>
    <row r="8240" spans="1:39" x14ac:dyDescent="0.2">
      <c r="A8240" t="str">
        <f>"8236"</f>
        <v>8236</v>
      </c>
      <c r="B8240" t="str">
        <f t="shared" si="455"/>
        <v>1</v>
      </c>
      <c r="C8240" t="str">
        <f t="shared" si="458"/>
        <v>165</v>
      </c>
      <c r="D8240" t="str">
        <f>"26"</f>
        <v>26</v>
      </c>
      <c r="E8240" t="str">
        <f>"1-165-26"</f>
        <v>1-165-26</v>
      </c>
      <c r="F8240" t="s">
        <v>65</v>
      </c>
      <c r="G8240" t="s">
        <v>66</v>
      </c>
      <c r="H8240" t="s">
        <v>67</v>
      </c>
      <c r="S8240">
        <v>1</v>
      </c>
      <c r="T8240">
        <v>0</v>
      </c>
      <c r="U8240">
        <v>0</v>
      </c>
      <c r="V8240">
        <v>0</v>
      </c>
      <c r="W8240">
        <v>1</v>
      </c>
      <c r="X8240">
        <v>0</v>
      </c>
      <c r="Y8240">
        <v>0</v>
      </c>
      <c r="Z8240">
        <v>1</v>
      </c>
      <c r="AA8240">
        <v>0</v>
      </c>
      <c r="AB8240">
        <v>1</v>
      </c>
      <c r="AC8240">
        <v>0</v>
      </c>
      <c r="AD8240">
        <v>1</v>
      </c>
      <c r="AE8240">
        <v>1</v>
      </c>
      <c r="AF8240">
        <v>1</v>
      </c>
      <c r="AG8240">
        <v>1</v>
      </c>
      <c r="AH8240">
        <v>1</v>
      </c>
      <c r="AI8240">
        <v>1</v>
      </c>
      <c r="AJ8240">
        <v>1</v>
      </c>
      <c r="AK8240">
        <v>1</v>
      </c>
      <c r="AL8240">
        <v>1</v>
      </c>
      <c r="AM8240">
        <v>1</v>
      </c>
    </row>
    <row r="8241" spans="1:39" x14ac:dyDescent="0.2">
      <c r="A8241" t="str">
        <f>"8237"</f>
        <v>8237</v>
      </c>
      <c r="B8241" t="str">
        <f t="shared" si="455"/>
        <v>1</v>
      </c>
      <c r="C8241" t="str">
        <f t="shared" si="458"/>
        <v>165</v>
      </c>
      <c r="D8241" t="str">
        <f>"11"</f>
        <v>11</v>
      </c>
      <c r="E8241" t="str">
        <f>"1-165-11"</f>
        <v>1-165-11</v>
      </c>
      <c r="F8241" t="s">
        <v>65</v>
      </c>
      <c r="G8241" t="s">
        <v>66</v>
      </c>
      <c r="H8241" t="s">
        <v>67</v>
      </c>
      <c r="S8241">
        <v>1</v>
      </c>
      <c r="T8241">
        <v>0</v>
      </c>
      <c r="U8241">
        <v>0</v>
      </c>
      <c r="V8241">
        <v>0</v>
      </c>
      <c r="W8241">
        <v>1</v>
      </c>
      <c r="X8241">
        <v>0</v>
      </c>
      <c r="Y8241">
        <v>1</v>
      </c>
      <c r="Z8241">
        <v>0</v>
      </c>
      <c r="AA8241">
        <v>1</v>
      </c>
      <c r="AB8241">
        <v>0</v>
      </c>
      <c r="AC8241">
        <v>0</v>
      </c>
      <c r="AD8241">
        <v>1</v>
      </c>
      <c r="AE8241">
        <v>1</v>
      </c>
      <c r="AF8241">
        <v>1</v>
      </c>
      <c r="AG8241">
        <v>1</v>
      </c>
      <c r="AH8241">
        <v>1</v>
      </c>
      <c r="AI8241">
        <v>1</v>
      </c>
      <c r="AJ8241">
        <v>1</v>
      </c>
      <c r="AK8241">
        <v>1</v>
      </c>
      <c r="AL8241">
        <v>1</v>
      </c>
      <c r="AM8241">
        <v>1</v>
      </c>
    </row>
    <row r="8242" spans="1:39" x14ac:dyDescent="0.2">
      <c r="A8242" t="str">
        <f>"8238"</f>
        <v>8238</v>
      </c>
      <c r="B8242" t="str">
        <f t="shared" si="455"/>
        <v>1</v>
      </c>
      <c r="C8242" t="str">
        <f t="shared" si="458"/>
        <v>165</v>
      </c>
      <c r="D8242" t="str">
        <f>"45"</f>
        <v>45</v>
      </c>
      <c r="E8242" t="str">
        <f>"1-165-45"</f>
        <v>1-165-45</v>
      </c>
      <c r="F8242" t="s">
        <v>65</v>
      </c>
      <c r="G8242" t="s">
        <v>66</v>
      </c>
      <c r="H8242" t="s">
        <v>67</v>
      </c>
      <c r="S8242">
        <v>0</v>
      </c>
      <c r="T8242">
        <v>1</v>
      </c>
      <c r="U8242">
        <v>0</v>
      </c>
      <c r="V8242">
        <v>0</v>
      </c>
      <c r="W8242">
        <v>1</v>
      </c>
      <c r="X8242">
        <v>0</v>
      </c>
      <c r="Y8242">
        <v>0</v>
      </c>
      <c r="Z8242">
        <v>1</v>
      </c>
      <c r="AA8242">
        <v>0</v>
      </c>
      <c r="AB8242">
        <v>1</v>
      </c>
      <c r="AC8242">
        <v>0</v>
      </c>
      <c r="AD8242">
        <v>1</v>
      </c>
      <c r="AE8242">
        <v>1</v>
      </c>
      <c r="AF8242">
        <v>1</v>
      </c>
      <c r="AG8242">
        <v>1</v>
      </c>
      <c r="AH8242">
        <v>1</v>
      </c>
      <c r="AI8242">
        <v>1</v>
      </c>
      <c r="AJ8242">
        <v>1</v>
      </c>
      <c r="AK8242">
        <v>1</v>
      </c>
      <c r="AL8242">
        <v>1</v>
      </c>
      <c r="AM8242">
        <v>1</v>
      </c>
    </row>
    <row r="8243" spans="1:39" x14ac:dyDescent="0.2">
      <c r="A8243" t="str">
        <f>"8239"</f>
        <v>8239</v>
      </c>
      <c r="B8243" t="str">
        <f t="shared" si="455"/>
        <v>1</v>
      </c>
      <c r="C8243" t="str">
        <f t="shared" si="458"/>
        <v>165</v>
      </c>
      <c r="D8243" t="str">
        <f>"28"</f>
        <v>28</v>
      </c>
      <c r="E8243" t="str">
        <f>"1-165-28"</f>
        <v>1-165-28</v>
      </c>
      <c r="F8243" t="s">
        <v>65</v>
      </c>
      <c r="G8243" t="s">
        <v>66</v>
      </c>
      <c r="H8243" t="s">
        <v>67</v>
      </c>
      <c r="S8243">
        <v>1</v>
      </c>
      <c r="T8243">
        <v>0</v>
      </c>
      <c r="U8243">
        <v>0</v>
      </c>
      <c r="V8243">
        <v>0</v>
      </c>
      <c r="W8243">
        <v>1</v>
      </c>
      <c r="X8243">
        <v>0</v>
      </c>
      <c r="Y8243">
        <v>1</v>
      </c>
      <c r="Z8243">
        <v>0</v>
      </c>
      <c r="AA8243">
        <v>0</v>
      </c>
      <c r="AB8243">
        <v>0</v>
      </c>
      <c r="AC8243">
        <v>1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1</v>
      </c>
      <c r="AJ8243">
        <v>1</v>
      </c>
      <c r="AK8243">
        <v>0</v>
      </c>
      <c r="AL8243">
        <v>1</v>
      </c>
      <c r="AM8243">
        <v>0</v>
      </c>
    </row>
    <row r="8244" spans="1:39" x14ac:dyDescent="0.2">
      <c r="A8244" t="str">
        <f>"8240"</f>
        <v>8240</v>
      </c>
      <c r="B8244" t="str">
        <f t="shared" si="455"/>
        <v>1</v>
      </c>
      <c r="C8244" t="str">
        <f t="shared" si="458"/>
        <v>165</v>
      </c>
      <c r="D8244" t="str">
        <f>"10"</f>
        <v>10</v>
      </c>
      <c r="E8244" t="str">
        <f>"1-165-10"</f>
        <v>1-165-10</v>
      </c>
      <c r="F8244" t="s">
        <v>65</v>
      </c>
      <c r="G8244" t="s">
        <v>66</v>
      </c>
      <c r="H8244" t="s">
        <v>67</v>
      </c>
      <c r="S8244">
        <v>0</v>
      </c>
      <c r="T8244">
        <v>1</v>
      </c>
      <c r="U8244">
        <v>0</v>
      </c>
      <c r="V8244">
        <v>0</v>
      </c>
      <c r="W8244">
        <v>1</v>
      </c>
      <c r="X8244">
        <v>0</v>
      </c>
      <c r="Y8244">
        <v>1</v>
      </c>
      <c r="Z8244">
        <v>0</v>
      </c>
      <c r="AA8244">
        <v>1</v>
      </c>
      <c r="AB8244">
        <v>0</v>
      </c>
      <c r="AC8244">
        <v>0</v>
      </c>
      <c r="AD8244">
        <v>1</v>
      </c>
      <c r="AE8244">
        <v>1</v>
      </c>
      <c r="AF8244">
        <v>1</v>
      </c>
      <c r="AG8244">
        <v>1</v>
      </c>
      <c r="AH8244">
        <v>1</v>
      </c>
      <c r="AI8244">
        <v>1</v>
      </c>
      <c r="AJ8244">
        <v>1</v>
      </c>
      <c r="AK8244">
        <v>1</v>
      </c>
      <c r="AL8244">
        <v>1</v>
      </c>
      <c r="AM8244">
        <v>1</v>
      </c>
    </row>
    <row r="8245" spans="1:39" x14ac:dyDescent="0.2">
      <c r="A8245" t="str">
        <f>"8241"</f>
        <v>8241</v>
      </c>
      <c r="B8245" t="str">
        <f t="shared" si="455"/>
        <v>1</v>
      </c>
      <c r="C8245" t="str">
        <f t="shared" si="458"/>
        <v>165</v>
      </c>
      <c r="D8245" t="str">
        <f>"29"</f>
        <v>29</v>
      </c>
      <c r="E8245" t="str">
        <f>"1-165-29"</f>
        <v>1-165-29</v>
      </c>
      <c r="F8245" t="s">
        <v>65</v>
      </c>
      <c r="G8245" t="s">
        <v>66</v>
      </c>
      <c r="H8245" t="s">
        <v>67</v>
      </c>
      <c r="S8245">
        <v>0</v>
      </c>
      <c r="T8245">
        <v>1</v>
      </c>
      <c r="U8245">
        <v>0</v>
      </c>
      <c r="V8245">
        <v>0</v>
      </c>
      <c r="W8245">
        <v>1</v>
      </c>
      <c r="X8245">
        <v>0</v>
      </c>
      <c r="Y8245">
        <v>0</v>
      </c>
      <c r="Z8245">
        <v>1</v>
      </c>
      <c r="AA8245">
        <v>0</v>
      </c>
      <c r="AB8245">
        <v>0</v>
      </c>
      <c r="AC8245">
        <v>1</v>
      </c>
      <c r="AD8245">
        <v>1</v>
      </c>
      <c r="AE8245">
        <v>1</v>
      </c>
      <c r="AF8245">
        <v>1</v>
      </c>
      <c r="AG8245">
        <v>1</v>
      </c>
      <c r="AH8245">
        <v>1</v>
      </c>
      <c r="AI8245">
        <v>1</v>
      </c>
      <c r="AJ8245">
        <v>1</v>
      </c>
      <c r="AK8245">
        <v>1</v>
      </c>
      <c r="AL8245">
        <v>1</v>
      </c>
      <c r="AM8245">
        <v>1</v>
      </c>
    </row>
    <row r="8246" spans="1:39" x14ac:dyDescent="0.2">
      <c r="A8246" t="str">
        <f>"8242"</f>
        <v>8242</v>
      </c>
      <c r="B8246" t="str">
        <f t="shared" si="455"/>
        <v>1</v>
      </c>
      <c r="C8246" t="str">
        <f t="shared" si="458"/>
        <v>165</v>
      </c>
      <c r="D8246" t="str">
        <f>"12"</f>
        <v>12</v>
      </c>
      <c r="E8246" t="str">
        <f>"1-165-12"</f>
        <v>1-165-12</v>
      </c>
      <c r="F8246" t="s">
        <v>65</v>
      </c>
      <c r="G8246" t="s">
        <v>66</v>
      </c>
      <c r="H8246" t="s">
        <v>67</v>
      </c>
      <c r="S8246">
        <v>0</v>
      </c>
      <c r="T8246">
        <v>1</v>
      </c>
      <c r="U8246">
        <v>0</v>
      </c>
      <c r="V8246">
        <v>0</v>
      </c>
      <c r="W8246">
        <v>1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1</v>
      </c>
      <c r="AD8246">
        <v>0</v>
      </c>
      <c r="AE8246">
        <v>0</v>
      </c>
      <c r="AF8246">
        <v>0</v>
      </c>
      <c r="AG8246">
        <v>1</v>
      </c>
      <c r="AH8246">
        <v>0</v>
      </c>
      <c r="AI8246">
        <v>1</v>
      </c>
      <c r="AJ8246">
        <v>1</v>
      </c>
      <c r="AK8246">
        <v>0</v>
      </c>
      <c r="AL8246">
        <v>0</v>
      </c>
      <c r="AM8246">
        <v>0</v>
      </c>
    </row>
    <row r="8247" spans="1:39" x14ac:dyDescent="0.2">
      <c r="A8247" t="str">
        <f>"8243"</f>
        <v>8243</v>
      </c>
      <c r="B8247" t="str">
        <f t="shared" ref="B8247:B8310" si="459">"1"</f>
        <v>1</v>
      </c>
      <c r="C8247" t="str">
        <f t="shared" si="458"/>
        <v>165</v>
      </c>
      <c r="D8247" t="str">
        <f>"30"</f>
        <v>30</v>
      </c>
      <c r="E8247" t="str">
        <f>"1-165-30"</f>
        <v>1-165-30</v>
      </c>
      <c r="F8247" t="s">
        <v>65</v>
      </c>
      <c r="G8247" t="s">
        <v>66</v>
      </c>
      <c r="H8247" t="s">
        <v>67</v>
      </c>
      <c r="S8247">
        <v>0</v>
      </c>
      <c r="T8247">
        <v>1</v>
      </c>
      <c r="U8247">
        <v>0</v>
      </c>
      <c r="V8247">
        <v>0</v>
      </c>
      <c r="W8247">
        <v>1</v>
      </c>
      <c r="X8247">
        <v>0</v>
      </c>
      <c r="Y8247">
        <v>0</v>
      </c>
      <c r="Z8247">
        <v>1</v>
      </c>
      <c r="AA8247">
        <v>0</v>
      </c>
      <c r="AB8247">
        <v>0</v>
      </c>
      <c r="AC8247">
        <v>1</v>
      </c>
      <c r="AD8247">
        <v>1</v>
      </c>
      <c r="AE8247">
        <v>1</v>
      </c>
      <c r="AF8247">
        <v>1</v>
      </c>
      <c r="AG8247">
        <v>1</v>
      </c>
      <c r="AH8247">
        <v>1</v>
      </c>
      <c r="AI8247">
        <v>1</v>
      </c>
      <c r="AJ8247">
        <v>1</v>
      </c>
      <c r="AK8247">
        <v>1</v>
      </c>
      <c r="AL8247">
        <v>1</v>
      </c>
      <c r="AM8247">
        <v>1</v>
      </c>
    </row>
    <row r="8248" spans="1:39" x14ac:dyDescent="0.2">
      <c r="A8248" t="str">
        <f>"8244"</f>
        <v>8244</v>
      </c>
      <c r="B8248" t="str">
        <f t="shared" si="459"/>
        <v>1</v>
      </c>
      <c r="C8248" t="str">
        <f t="shared" si="458"/>
        <v>165</v>
      </c>
      <c r="D8248" t="str">
        <f>"5"</f>
        <v>5</v>
      </c>
      <c r="E8248" t="str">
        <f>"1-165-5"</f>
        <v>1-165-5</v>
      </c>
      <c r="F8248" t="s">
        <v>65</v>
      </c>
      <c r="G8248" t="s">
        <v>66</v>
      </c>
      <c r="H8248" t="s">
        <v>67</v>
      </c>
      <c r="S8248">
        <v>1</v>
      </c>
      <c r="T8248">
        <v>0</v>
      </c>
      <c r="U8248">
        <v>0</v>
      </c>
      <c r="V8248">
        <v>0</v>
      </c>
      <c r="W8248">
        <v>1</v>
      </c>
      <c r="X8248">
        <v>0</v>
      </c>
      <c r="Y8248">
        <v>1</v>
      </c>
      <c r="Z8248">
        <v>0</v>
      </c>
      <c r="AA8248">
        <v>0</v>
      </c>
      <c r="AB8248">
        <v>1</v>
      </c>
      <c r="AC8248">
        <v>0</v>
      </c>
      <c r="AD8248">
        <v>1</v>
      </c>
      <c r="AE8248">
        <v>1</v>
      </c>
      <c r="AF8248">
        <v>1</v>
      </c>
      <c r="AG8248">
        <v>1</v>
      </c>
      <c r="AH8248">
        <v>1</v>
      </c>
      <c r="AI8248">
        <v>1</v>
      </c>
      <c r="AJ8248">
        <v>1</v>
      </c>
      <c r="AK8248">
        <v>1</v>
      </c>
      <c r="AL8248">
        <v>1</v>
      </c>
      <c r="AM8248">
        <v>1</v>
      </c>
    </row>
    <row r="8249" spans="1:39" x14ac:dyDescent="0.2">
      <c r="A8249" t="str">
        <f>"8245"</f>
        <v>8245</v>
      </c>
      <c r="B8249" t="str">
        <f t="shared" si="459"/>
        <v>1</v>
      </c>
      <c r="C8249" t="str">
        <f t="shared" si="458"/>
        <v>165</v>
      </c>
      <c r="D8249" t="str">
        <f>"48"</f>
        <v>48</v>
      </c>
      <c r="E8249" t="str">
        <f>"1-165-48"</f>
        <v>1-165-48</v>
      </c>
      <c r="F8249" t="s">
        <v>65</v>
      </c>
      <c r="G8249" t="s">
        <v>66</v>
      </c>
      <c r="H8249" t="s">
        <v>67</v>
      </c>
      <c r="S8249">
        <v>0</v>
      </c>
      <c r="T8249">
        <v>1</v>
      </c>
      <c r="U8249">
        <v>0</v>
      </c>
      <c r="V8249">
        <v>0</v>
      </c>
      <c r="W8249">
        <v>1</v>
      </c>
      <c r="X8249">
        <v>0</v>
      </c>
      <c r="Y8249">
        <v>0</v>
      </c>
      <c r="Z8249">
        <v>1</v>
      </c>
      <c r="AA8249">
        <v>0</v>
      </c>
      <c r="AB8249">
        <v>1</v>
      </c>
      <c r="AC8249">
        <v>0</v>
      </c>
      <c r="AD8249">
        <v>1</v>
      </c>
      <c r="AE8249">
        <v>1</v>
      </c>
      <c r="AF8249">
        <v>1</v>
      </c>
      <c r="AG8249">
        <v>1</v>
      </c>
      <c r="AH8249">
        <v>1</v>
      </c>
      <c r="AI8249">
        <v>1</v>
      </c>
      <c r="AJ8249">
        <v>1</v>
      </c>
      <c r="AK8249">
        <v>1</v>
      </c>
      <c r="AL8249">
        <v>1</v>
      </c>
      <c r="AM8249">
        <v>1</v>
      </c>
    </row>
    <row r="8250" spans="1:39" x14ac:dyDescent="0.2">
      <c r="A8250" t="str">
        <f>"8246"</f>
        <v>8246</v>
      </c>
      <c r="B8250" t="str">
        <f t="shared" si="459"/>
        <v>1</v>
      </c>
      <c r="C8250" t="str">
        <f t="shared" si="458"/>
        <v>165</v>
      </c>
      <c r="D8250" t="str">
        <f>"31"</f>
        <v>31</v>
      </c>
      <c r="E8250" t="str">
        <f>"1-165-31"</f>
        <v>1-165-31</v>
      </c>
      <c r="F8250" t="s">
        <v>65</v>
      </c>
      <c r="G8250" t="s">
        <v>66</v>
      </c>
      <c r="H8250" t="s">
        <v>67</v>
      </c>
      <c r="S8250">
        <v>0</v>
      </c>
      <c r="T8250">
        <v>1</v>
      </c>
      <c r="U8250">
        <v>0</v>
      </c>
      <c r="V8250">
        <v>0</v>
      </c>
      <c r="W8250">
        <v>1</v>
      </c>
      <c r="X8250">
        <v>0</v>
      </c>
      <c r="Y8250">
        <v>0</v>
      </c>
      <c r="Z8250">
        <v>1</v>
      </c>
      <c r="AA8250">
        <v>0</v>
      </c>
      <c r="AB8250">
        <v>0</v>
      </c>
      <c r="AC8250">
        <v>1</v>
      </c>
      <c r="AD8250">
        <v>1</v>
      </c>
      <c r="AE8250">
        <v>1</v>
      </c>
      <c r="AF8250">
        <v>1</v>
      </c>
      <c r="AG8250">
        <v>1</v>
      </c>
      <c r="AH8250">
        <v>1</v>
      </c>
      <c r="AI8250">
        <v>1</v>
      </c>
      <c r="AJ8250">
        <v>1</v>
      </c>
      <c r="AK8250">
        <v>1</v>
      </c>
      <c r="AL8250">
        <v>1</v>
      </c>
      <c r="AM8250">
        <v>1</v>
      </c>
    </row>
    <row r="8251" spans="1:39" x14ac:dyDescent="0.2">
      <c r="A8251" t="str">
        <f>"8247"</f>
        <v>8247</v>
      </c>
      <c r="B8251" t="str">
        <f t="shared" si="459"/>
        <v>1</v>
      </c>
      <c r="C8251" t="str">
        <f t="shared" si="458"/>
        <v>165</v>
      </c>
      <c r="D8251" t="str">
        <f>"7"</f>
        <v>7</v>
      </c>
      <c r="E8251" t="str">
        <f>"1-165-7"</f>
        <v>1-165-7</v>
      </c>
      <c r="F8251" t="s">
        <v>65</v>
      </c>
      <c r="G8251" t="s">
        <v>66</v>
      </c>
      <c r="H8251" t="s">
        <v>67</v>
      </c>
      <c r="S8251">
        <v>1</v>
      </c>
      <c r="T8251">
        <v>0</v>
      </c>
      <c r="U8251">
        <v>0</v>
      </c>
      <c r="V8251">
        <v>0</v>
      </c>
      <c r="W8251">
        <v>1</v>
      </c>
      <c r="X8251">
        <v>0</v>
      </c>
      <c r="Y8251">
        <v>1</v>
      </c>
      <c r="Z8251">
        <v>0</v>
      </c>
      <c r="AA8251">
        <v>1</v>
      </c>
      <c r="AB8251">
        <v>0</v>
      </c>
      <c r="AC8251">
        <v>0</v>
      </c>
      <c r="AD8251">
        <v>1</v>
      </c>
      <c r="AE8251">
        <v>1</v>
      </c>
      <c r="AF8251">
        <v>1</v>
      </c>
      <c r="AG8251">
        <v>1</v>
      </c>
      <c r="AH8251">
        <v>1</v>
      </c>
      <c r="AI8251">
        <v>1</v>
      </c>
      <c r="AJ8251">
        <v>1</v>
      </c>
      <c r="AK8251">
        <v>1</v>
      </c>
      <c r="AL8251">
        <v>1</v>
      </c>
      <c r="AM8251">
        <v>1</v>
      </c>
    </row>
    <row r="8252" spans="1:39" x14ac:dyDescent="0.2">
      <c r="A8252" t="str">
        <f>"8248"</f>
        <v>8248</v>
      </c>
      <c r="B8252" t="str">
        <f t="shared" si="459"/>
        <v>1</v>
      </c>
      <c r="C8252" t="str">
        <f t="shared" si="458"/>
        <v>165</v>
      </c>
      <c r="D8252" t="str">
        <f>"50"</f>
        <v>50</v>
      </c>
      <c r="E8252" t="str">
        <f>"1-165-50"</f>
        <v>1-165-50</v>
      </c>
      <c r="F8252" t="s">
        <v>65</v>
      </c>
      <c r="G8252" t="s">
        <v>66</v>
      </c>
      <c r="H8252" t="s">
        <v>67</v>
      </c>
      <c r="S8252">
        <v>1</v>
      </c>
      <c r="T8252">
        <v>0</v>
      </c>
      <c r="U8252">
        <v>0</v>
      </c>
      <c r="V8252">
        <v>0</v>
      </c>
      <c r="W8252">
        <v>1</v>
      </c>
      <c r="X8252">
        <v>0</v>
      </c>
      <c r="Y8252">
        <v>1</v>
      </c>
      <c r="Z8252">
        <v>0</v>
      </c>
      <c r="AA8252">
        <v>0</v>
      </c>
      <c r="AB8252">
        <v>1</v>
      </c>
      <c r="AC8252">
        <v>0</v>
      </c>
      <c r="AD8252">
        <v>1</v>
      </c>
      <c r="AE8252">
        <v>1</v>
      </c>
      <c r="AF8252">
        <v>1</v>
      </c>
      <c r="AG8252">
        <v>1</v>
      </c>
      <c r="AH8252">
        <v>1</v>
      </c>
      <c r="AI8252">
        <v>1</v>
      </c>
      <c r="AJ8252">
        <v>1</v>
      </c>
      <c r="AK8252">
        <v>1</v>
      </c>
      <c r="AL8252">
        <v>1</v>
      </c>
      <c r="AM8252">
        <v>0</v>
      </c>
    </row>
    <row r="8253" spans="1:39" x14ac:dyDescent="0.2">
      <c r="A8253" t="str">
        <f>"8249"</f>
        <v>8249</v>
      </c>
      <c r="B8253" t="str">
        <f t="shared" si="459"/>
        <v>1</v>
      </c>
      <c r="C8253" t="str">
        <f t="shared" si="458"/>
        <v>165</v>
      </c>
      <c r="D8253" t="str">
        <f>"1"</f>
        <v>1</v>
      </c>
      <c r="E8253" t="str">
        <f>"1-165-1"</f>
        <v>1-165-1</v>
      </c>
      <c r="F8253" t="s">
        <v>65</v>
      </c>
      <c r="G8253" t="s">
        <v>66</v>
      </c>
      <c r="H8253" t="s">
        <v>67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</row>
    <row r="8254" spans="1:39" x14ac:dyDescent="0.2">
      <c r="A8254" t="str">
        <f>"8250"</f>
        <v>8250</v>
      </c>
      <c r="B8254" t="str">
        <f t="shared" si="459"/>
        <v>1</v>
      </c>
      <c r="C8254" t="str">
        <f t="shared" si="458"/>
        <v>165</v>
      </c>
      <c r="D8254" t="str">
        <f>"49"</f>
        <v>49</v>
      </c>
      <c r="E8254" t="str">
        <f>"1-165-49"</f>
        <v>1-165-49</v>
      </c>
      <c r="F8254" t="s">
        <v>65</v>
      </c>
      <c r="G8254" t="s">
        <v>66</v>
      </c>
      <c r="H8254" t="s">
        <v>67</v>
      </c>
      <c r="S8254">
        <v>1</v>
      </c>
      <c r="T8254">
        <v>0</v>
      </c>
      <c r="U8254">
        <v>0</v>
      </c>
      <c r="V8254">
        <v>0</v>
      </c>
      <c r="W8254">
        <v>1</v>
      </c>
      <c r="X8254">
        <v>0</v>
      </c>
      <c r="Y8254">
        <v>1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</row>
    <row r="8255" spans="1:39" x14ac:dyDescent="0.2">
      <c r="A8255" t="str">
        <f>"8251"</f>
        <v>8251</v>
      </c>
      <c r="B8255" t="str">
        <f t="shared" si="459"/>
        <v>1</v>
      </c>
      <c r="C8255" t="str">
        <f t="shared" ref="C8255:C8286" si="460">"166"</f>
        <v>166</v>
      </c>
      <c r="D8255" t="str">
        <f>"36"</f>
        <v>36</v>
      </c>
      <c r="E8255" t="str">
        <f>"1-166-36"</f>
        <v>1-166-36</v>
      </c>
      <c r="F8255" t="s">
        <v>65</v>
      </c>
      <c r="G8255" t="s">
        <v>66</v>
      </c>
      <c r="H8255" t="s">
        <v>67</v>
      </c>
      <c r="S8255">
        <v>1</v>
      </c>
      <c r="T8255">
        <v>0</v>
      </c>
      <c r="U8255">
        <v>0</v>
      </c>
      <c r="V8255">
        <v>0</v>
      </c>
      <c r="W8255">
        <v>1</v>
      </c>
      <c r="X8255">
        <v>0</v>
      </c>
      <c r="Y8255">
        <v>1</v>
      </c>
      <c r="Z8255">
        <v>0</v>
      </c>
      <c r="AA8255">
        <v>1</v>
      </c>
      <c r="AB8255">
        <v>0</v>
      </c>
      <c r="AC8255">
        <v>0</v>
      </c>
      <c r="AD8255">
        <v>1</v>
      </c>
      <c r="AE8255">
        <v>1</v>
      </c>
      <c r="AF8255">
        <v>1</v>
      </c>
      <c r="AG8255">
        <v>1</v>
      </c>
      <c r="AH8255">
        <v>1</v>
      </c>
      <c r="AI8255">
        <v>1</v>
      </c>
      <c r="AJ8255">
        <v>1</v>
      </c>
      <c r="AK8255">
        <v>1</v>
      </c>
      <c r="AL8255">
        <v>0</v>
      </c>
      <c r="AM8255">
        <v>1</v>
      </c>
    </row>
    <row r="8256" spans="1:39" x14ac:dyDescent="0.2">
      <c r="A8256" t="str">
        <f>"8252"</f>
        <v>8252</v>
      </c>
      <c r="B8256" t="str">
        <f t="shared" si="459"/>
        <v>1</v>
      </c>
      <c r="C8256" t="str">
        <f t="shared" si="460"/>
        <v>166</v>
      </c>
      <c r="D8256" t="str">
        <f>"35"</f>
        <v>35</v>
      </c>
      <c r="E8256" t="str">
        <f>"1-166-35"</f>
        <v>1-166-35</v>
      </c>
      <c r="F8256" t="s">
        <v>65</v>
      </c>
      <c r="G8256" t="s">
        <v>66</v>
      </c>
      <c r="H8256" t="s">
        <v>67</v>
      </c>
      <c r="S8256">
        <v>1</v>
      </c>
      <c r="T8256">
        <v>0</v>
      </c>
      <c r="U8256">
        <v>0</v>
      </c>
      <c r="V8256">
        <v>0</v>
      </c>
      <c r="W8256">
        <v>1</v>
      </c>
      <c r="X8256">
        <v>0</v>
      </c>
      <c r="Y8256">
        <v>1</v>
      </c>
      <c r="Z8256">
        <v>0</v>
      </c>
      <c r="AA8256">
        <v>1</v>
      </c>
      <c r="AB8256">
        <v>0</v>
      </c>
      <c r="AC8256">
        <v>0</v>
      </c>
      <c r="AD8256">
        <v>1</v>
      </c>
      <c r="AE8256">
        <v>1</v>
      </c>
      <c r="AF8256">
        <v>1</v>
      </c>
      <c r="AG8256">
        <v>1</v>
      </c>
      <c r="AH8256">
        <v>1</v>
      </c>
      <c r="AI8256">
        <v>1</v>
      </c>
      <c r="AJ8256">
        <v>1</v>
      </c>
      <c r="AK8256">
        <v>1</v>
      </c>
      <c r="AL8256">
        <v>0</v>
      </c>
      <c r="AM8256">
        <v>1</v>
      </c>
    </row>
    <row r="8257" spans="1:39" x14ac:dyDescent="0.2">
      <c r="A8257" t="str">
        <f>"8253"</f>
        <v>8253</v>
      </c>
      <c r="B8257" t="str">
        <f t="shared" si="459"/>
        <v>1</v>
      </c>
      <c r="C8257" t="str">
        <f t="shared" si="460"/>
        <v>166</v>
      </c>
      <c r="D8257" t="str">
        <f>"26"</f>
        <v>26</v>
      </c>
      <c r="E8257" t="str">
        <f>"1-166-26"</f>
        <v>1-166-26</v>
      </c>
      <c r="F8257" t="s">
        <v>65</v>
      </c>
      <c r="G8257" t="s">
        <v>66</v>
      </c>
      <c r="H8257" t="s">
        <v>67</v>
      </c>
      <c r="S8257">
        <v>1</v>
      </c>
      <c r="T8257">
        <v>0</v>
      </c>
      <c r="U8257">
        <v>0</v>
      </c>
      <c r="V8257">
        <v>0</v>
      </c>
      <c r="W8257">
        <v>1</v>
      </c>
      <c r="X8257">
        <v>0</v>
      </c>
      <c r="Y8257">
        <v>1</v>
      </c>
      <c r="Z8257">
        <v>0</v>
      </c>
      <c r="AA8257">
        <v>1</v>
      </c>
      <c r="AB8257">
        <v>0</v>
      </c>
      <c r="AC8257">
        <v>0</v>
      </c>
      <c r="AD8257">
        <v>1</v>
      </c>
      <c r="AE8257">
        <v>1</v>
      </c>
      <c r="AF8257">
        <v>1</v>
      </c>
      <c r="AG8257">
        <v>1</v>
      </c>
      <c r="AH8257">
        <v>1</v>
      </c>
      <c r="AI8257">
        <v>1</v>
      </c>
      <c r="AJ8257">
        <v>1</v>
      </c>
      <c r="AK8257">
        <v>1</v>
      </c>
      <c r="AL8257">
        <v>1</v>
      </c>
      <c r="AM8257">
        <v>1</v>
      </c>
    </row>
    <row r="8258" spans="1:39" x14ac:dyDescent="0.2">
      <c r="A8258" t="str">
        <f>"8254"</f>
        <v>8254</v>
      </c>
      <c r="B8258" t="str">
        <f t="shared" si="459"/>
        <v>1</v>
      </c>
      <c r="C8258" t="str">
        <f t="shared" si="460"/>
        <v>166</v>
      </c>
      <c r="D8258" t="str">
        <f>"15"</f>
        <v>15</v>
      </c>
      <c r="E8258" t="str">
        <f>"1-166-15"</f>
        <v>1-166-15</v>
      </c>
      <c r="F8258" t="s">
        <v>65</v>
      </c>
      <c r="G8258" t="s">
        <v>66</v>
      </c>
      <c r="H8258" t="s">
        <v>67</v>
      </c>
      <c r="S8258">
        <v>0</v>
      </c>
      <c r="T8258">
        <v>1</v>
      </c>
      <c r="U8258">
        <v>0</v>
      </c>
      <c r="V8258">
        <v>0</v>
      </c>
      <c r="W8258">
        <v>0</v>
      </c>
      <c r="X8258">
        <v>1</v>
      </c>
      <c r="Y8258">
        <v>0</v>
      </c>
      <c r="Z8258">
        <v>1</v>
      </c>
      <c r="AA8258">
        <v>0</v>
      </c>
      <c r="AB8258">
        <v>0</v>
      </c>
      <c r="AC8258">
        <v>1</v>
      </c>
      <c r="AD8258">
        <v>1</v>
      </c>
      <c r="AE8258">
        <v>1</v>
      </c>
      <c r="AF8258">
        <v>1</v>
      </c>
      <c r="AG8258">
        <v>1</v>
      </c>
      <c r="AH8258">
        <v>1</v>
      </c>
      <c r="AI8258">
        <v>1</v>
      </c>
      <c r="AJ8258">
        <v>1</v>
      </c>
      <c r="AK8258">
        <v>1</v>
      </c>
      <c r="AL8258">
        <v>1</v>
      </c>
      <c r="AM8258">
        <v>1</v>
      </c>
    </row>
    <row r="8259" spans="1:39" x14ac:dyDescent="0.2">
      <c r="A8259" t="str">
        <f>"8255"</f>
        <v>8255</v>
      </c>
      <c r="B8259" t="str">
        <f t="shared" si="459"/>
        <v>1</v>
      </c>
      <c r="C8259" t="str">
        <f t="shared" si="460"/>
        <v>166</v>
      </c>
      <c r="D8259" t="str">
        <f>"9"</f>
        <v>9</v>
      </c>
      <c r="E8259" t="str">
        <f>"1-166-9"</f>
        <v>1-166-9</v>
      </c>
      <c r="F8259" t="s">
        <v>65</v>
      </c>
      <c r="G8259" t="s">
        <v>66</v>
      </c>
      <c r="H8259" t="s">
        <v>67</v>
      </c>
      <c r="S8259">
        <v>1</v>
      </c>
      <c r="T8259">
        <v>0</v>
      </c>
      <c r="U8259">
        <v>0</v>
      </c>
      <c r="V8259">
        <v>0</v>
      </c>
      <c r="W8259">
        <v>1</v>
      </c>
      <c r="X8259">
        <v>0</v>
      </c>
      <c r="Y8259">
        <v>1</v>
      </c>
      <c r="Z8259">
        <v>0</v>
      </c>
      <c r="AA8259">
        <v>0</v>
      </c>
      <c r="AB8259">
        <v>0</v>
      </c>
      <c r="AC8259">
        <v>1</v>
      </c>
      <c r="AD8259">
        <v>1</v>
      </c>
      <c r="AE8259">
        <v>1</v>
      </c>
      <c r="AF8259">
        <v>1</v>
      </c>
      <c r="AG8259">
        <v>1</v>
      </c>
      <c r="AH8259">
        <v>1</v>
      </c>
      <c r="AI8259">
        <v>1</v>
      </c>
      <c r="AJ8259">
        <v>1</v>
      </c>
      <c r="AK8259">
        <v>1</v>
      </c>
      <c r="AL8259">
        <v>1</v>
      </c>
      <c r="AM8259">
        <v>1</v>
      </c>
    </row>
    <row r="8260" spans="1:39" x14ac:dyDescent="0.2">
      <c r="A8260" t="str">
        <f>"8256"</f>
        <v>8256</v>
      </c>
      <c r="B8260" t="str">
        <f t="shared" si="459"/>
        <v>1</v>
      </c>
      <c r="C8260" t="str">
        <f t="shared" si="460"/>
        <v>166</v>
      </c>
      <c r="D8260" t="str">
        <f>"34"</f>
        <v>34</v>
      </c>
      <c r="E8260" t="str">
        <f>"1-166-34"</f>
        <v>1-166-34</v>
      </c>
      <c r="F8260" t="s">
        <v>65</v>
      </c>
      <c r="G8260" t="s">
        <v>66</v>
      </c>
      <c r="H8260" t="s">
        <v>67</v>
      </c>
      <c r="S8260">
        <v>0</v>
      </c>
      <c r="T8260">
        <v>1</v>
      </c>
      <c r="U8260">
        <v>0</v>
      </c>
      <c r="V8260">
        <v>0</v>
      </c>
      <c r="W8260">
        <v>0</v>
      </c>
      <c r="X8260">
        <v>1</v>
      </c>
      <c r="Y8260">
        <v>0</v>
      </c>
      <c r="Z8260">
        <v>1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1</v>
      </c>
      <c r="AH8260">
        <v>0</v>
      </c>
      <c r="AI8260">
        <v>1</v>
      </c>
      <c r="AJ8260">
        <v>0</v>
      </c>
      <c r="AK8260">
        <v>0</v>
      </c>
      <c r="AL8260">
        <v>0</v>
      </c>
      <c r="AM8260">
        <v>0</v>
      </c>
    </row>
    <row r="8261" spans="1:39" x14ac:dyDescent="0.2">
      <c r="A8261" t="str">
        <f>"8257"</f>
        <v>8257</v>
      </c>
      <c r="B8261" t="str">
        <f t="shared" si="459"/>
        <v>1</v>
      </c>
      <c r="C8261" t="str">
        <f t="shared" si="460"/>
        <v>166</v>
      </c>
      <c r="D8261" t="str">
        <f>"33"</f>
        <v>33</v>
      </c>
      <c r="E8261" t="str">
        <f>"1-166-33"</f>
        <v>1-166-33</v>
      </c>
      <c r="F8261" t="s">
        <v>65</v>
      </c>
      <c r="G8261" t="s">
        <v>66</v>
      </c>
      <c r="H8261" t="s">
        <v>67</v>
      </c>
      <c r="S8261">
        <v>0</v>
      </c>
      <c r="T8261">
        <v>1</v>
      </c>
      <c r="U8261">
        <v>0</v>
      </c>
      <c r="V8261">
        <v>0</v>
      </c>
      <c r="W8261">
        <v>0</v>
      </c>
      <c r="X8261">
        <v>1</v>
      </c>
      <c r="Y8261">
        <v>0</v>
      </c>
      <c r="Z8261">
        <v>1</v>
      </c>
      <c r="AA8261">
        <v>0</v>
      </c>
      <c r="AB8261">
        <v>1</v>
      </c>
      <c r="AC8261">
        <v>0</v>
      </c>
      <c r="AD8261">
        <v>0</v>
      </c>
      <c r="AE8261">
        <v>0</v>
      </c>
      <c r="AF8261">
        <v>0</v>
      </c>
      <c r="AG8261">
        <v>1</v>
      </c>
      <c r="AH8261">
        <v>0</v>
      </c>
      <c r="AI8261">
        <v>1</v>
      </c>
      <c r="AJ8261">
        <v>0</v>
      </c>
      <c r="AK8261">
        <v>0</v>
      </c>
      <c r="AL8261">
        <v>0</v>
      </c>
      <c r="AM8261">
        <v>0</v>
      </c>
    </row>
    <row r="8262" spans="1:39" x14ac:dyDescent="0.2">
      <c r="A8262" t="str">
        <f>"8258"</f>
        <v>8258</v>
      </c>
      <c r="B8262" t="str">
        <f t="shared" si="459"/>
        <v>1</v>
      </c>
      <c r="C8262" t="str">
        <f t="shared" si="460"/>
        <v>166</v>
      </c>
      <c r="D8262" t="str">
        <f>"24"</f>
        <v>24</v>
      </c>
      <c r="E8262" t="str">
        <f>"1-166-24"</f>
        <v>1-166-24</v>
      </c>
      <c r="F8262" t="s">
        <v>65</v>
      </c>
      <c r="G8262" t="s">
        <v>66</v>
      </c>
      <c r="H8262" t="s">
        <v>67</v>
      </c>
      <c r="S8262">
        <v>1</v>
      </c>
      <c r="T8262">
        <v>0</v>
      </c>
      <c r="U8262">
        <v>0</v>
      </c>
      <c r="V8262">
        <v>0</v>
      </c>
      <c r="W8262">
        <v>1</v>
      </c>
      <c r="X8262">
        <v>0</v>
      </c>
      <c r="Y8262">
        <v>1</v>
      </c>
      <c r="Z8262">
        <v>0</v>
      </c>
      <c r="AA8262">
        <v>1</v>
      </c>
      <c r="AB8262">
        <v>0</v>
      </c>
      <c r="AC8262">
        <v>0</v>
      </c>
      <c r="AD8262">
        <v>1</v>
      </c>
      <c r="AE8262">
        <v>1</v>
      </c>
      <c r="AF8262">
        <v>1</v>
      </c>
      <c r="AG8262">
        <v>1</v>
      </c>
      <c r="AH8262">
        <v>1</v>
      </c>
      <c r="AI8262">
        <v>1</v>
      </c>
      <c r="AJ8262">
        <v>1</v>
      </c>
      <c r="AK8262">
        <v>1</v>
      </c>
      <c r="AL8262">
        <v>1</v>
      </c>
      <c r="AM8262">
        <v>1</v>
      </c>
    </row>
    <row r="8263" spans="1:39" x14ac:dyDescent="0.2">
      <c r="A8263" t="str">
        <f>"8259"</f>
        <v>8259</v>
      </c>
      <c r="B8263" t="str">
        <f t="shared" si="459"/>
        <v>1</v>
      </c>
      <c r="C8263" t="str">
        <f t="shared" si="460"/>
        <v>166</v>
      </c>
      <c r="D8263" t="str">
        <f>"16"</f>
        <v>16</v>
      </c>
      <c r="E8263" t="str">
        <f>"1-166-16"</f>
        <v>1-166-16</v>
      </c>
      <c r="F8263" t="s">
        <v>65</v>
      </c>
      <c r="G8263" t="s">
        <v>66</v>
      </c>
      <c r="H8263" t="s">
        <v>67</v>
      </c>
      <c r="S8263">
        <v>0</v>
      </c>
      <c r="T8263">
        <v>1</v>
      </c>
      <c r="U8263">
        <v>0</v>
      </c>
      <c r="V8263">
        <v>0</v>
      </c>
      <c r="W8263">
        <v>0</v>
      </c>
      <c r="X8263">
        <v>1</v>
      </c>
      <c r="Y8263">
        <v>0</v>
      </c>
      <c r="Z8263">
        <v>1</v>
      </c>
      <c r="AA8263">
        <v>0</v>
      </c>
      <c r="AB8263">
        <v>0</v>
      </c>
      <c r="AC8263">
        <v>1</v>
      </c>
      <c r="AD8263">
        <v>1</v>
      </c>
      <c r="AE8263">
        <v>1</v>
      </c>
      <c r="AF8263">
        <v>1</v>
      </c>
      <c r="AG8263">
        <v>1</v>
      </c>
      <c r="AH8263">
        <v>1</v>
      </c>
      <c r="AI8263">
        <v>1</v>
      </c>
      <c r="AJ8263">
        <v>1</v>
      </c>
      <c r="AK8263">
        <v>1</v>
      </c>
      <c r="AL8263">
        <v>1</v>
      </c>
      <c r="AM8263">
        <v>1</v>
      </c>
    </row>
    <row r="8264" spans="1:39" x14ac:dyDescent="0.2">
      <c r="A8264" t="str">
        <f>"8260"</f>
        <v>8260</v>
      </c>
      <c r="B8264" t="str">
        <f t="shared" si="459"/>
        <v>1</v>
      </c>
      <c r="C8264" t="str">
        <f t="shared" si="460"/>
        <v>166</v>
      </c>
      <c r="D8264" t="str">
        <f>"5"</f>
        <v>5</v>
      </c>
      <c r="E8264" t="str">
        <f>"1-166-5"</f>
        <v>1-166-5</v>
      </c>
      <c r="F8264" t="s">
        <v>65</v>
      </c>
      <c r="G8264" t="s">
        <v>66</v>
      </c>
      <c r="H8264" t="s">
        <v>67</v>
      </c>
      <c r="S8264">
        <v>1</v>
      </c>
      <c r="T8264">
        <v>0</v>
      </c>
      <c r="U8264">
        <v>0</v>
      </c>
      <c r="V8264">
        <v>0</v>
      </c>
      <c r="W8264">
        <v>1</v>
      </c>
      <c r="X8264">
        <v>0</v>
      </c>
      <c r="Y8264">
        <v>1</v>
      </c>
      <c r="Z8264">
        <v>0</v>
      </c>
      <c r="AA8264">
        <v>0</v>
      </c>
      <c r="AB8264">
        <v>0</v>
      </c>
      <c r="AC8264">
        <v>1</v>
      </c>
      <c r="AD8264">
        <v>1</v>
      </c>
      <c r="AE8264">
        <v>1</v>
      </c>
      <c r="AF8264">
        <v>1</v>
      </c>
      <c r="AG8264">
        <v>1</v>
      </c>
      <c r="AH8264">
        <v>1</v>
      </c>
      <c r="AI8264">
        <v>1</v>
      </c>
      <c r="AJ8264">
        <v>1</v>
      </c>
      <c r="AK8264">
        <v>1</v>
      </c>
      <c r="AL8264">
        <v>1</v>
      </c>
      <c r="AM8264">
        <v>1</v>
      </c>
    </row>
    <row r="8265" spans="1:39" x14ac:dyDescent="0.2">
      <c r="A8265" t="str">
        <f>"8261"</f>
        <v>8261</v>
      </c>
      <c r="B8265" t="str">
        <f t="shared" si="459"/>
        <v>1</v>
      </c>
      <c r="C8265" t="str">
        <f t="shared" si="460"/>
        <v>166</v>
      </c>
      <c r="D8265" t="str">
        <f>"38"</f>
        <v>38</v>
      </c>
      <c r="E8265" t="str">
        <f>"1-166-38"</f>
        <v>1-166-38</v>
      </c>
      <c r="F8265" t="s">
        <v>65</v>
      </c>
      <c r="G8265" t="s">
        <v>66</v>
      </c>
      <c r="H8265" t="s">
        <v>67</v>
      </c>
      <c r="S8265">
        <v>1</v>
      </c>
      <c r="T8265">
        <v>0</v>
      </c>
      <c r="U8265">
        <v>0</v>
      </c>
      <c r="V8265">
        <v>0</v>
      </c>
      <c r="W8265">
        <v>1</v>
      </c>
      <c r="X8265">
        <v>0</v>
      </c>
      <c r="Y8265">
        <v>1</v>
      </c>
      <c r="Z8265">
        <v>0</v>
      </c>
      <c r="AA8265">
        <v>1</v>
      </c>
      <c r="AB8265">
        <v>0</v>
      </c>
      <c r="AC8265">
        <v>0</v>
      </c>
      <c r="AD8265">
        <v>1</v>
      </c>
      <c r="AE8265">
        <v>1</v>
      </c>
      <c r="AF8265">
        <v>1</v>
      </c>
      <c r="AG8265">
        <v>1</v>
      </c>
      <c r="AH8265">
        <v>1</v>
      </c>
      <c r="AI8265">
        <v>1</v>
      </c>
      <c r="AJ8265">
        <v>1</v>
      </c>
      <c r="AK8265">
        <v>1</v>
      </c>
      <c r="AL8265">
        <v>1</v>
      </c>
      <c r="AM8265">
        <v>1</v>
      </c>
    </row>
    <row r="8266" spans="1:39" x14ac:dyDescent="0.2">
      <c r="A8266" t="str">
        <f>"8262"</f>
        <v>8262</v>
      </c>
      <c r="B8266" t="str">
        <f t="shared" si="459"/>
        <v>1</v>
      </c>
      <c r="C8266" t="str">
        <f t="shared" si="460"/>
        <v>166</v>
      </c>
      <c r="D8266" t="str">
        <f>"37"</f>
        <v>37</v>
      </c>
      <c r="E8266" t="str">
        <f>"1-166-37"</f>
        <v>1-166-37</v>
      </c>
      <c r="F8266" t="s">
        <v>65</v>
      </c>
      <c r="G8266" t="s">
        <v>66</v>
      </c>
      <c r="H8266" t="s">
        <v>67</v>
      </c>
      <c r="S8266">
        <v>0</v>
      </c>
      <c r="T8266">
        <v>1</v>
      </c>
      <c r="U8266">
        <v>0</v>
      </c>
      <c r="V8266">
        <v>0</v>
      </c>
      <c r="W8266">
        <v>0</v>
      </c>
      <c r="X8266">
        <v>1</v>
      </c>
      <c r="Y8266">
        <v>0</v>
      </c>
      <c r="Z8266">
        <v>1</v>
      </c>
      <c r="AA8266">
        <v>0</v>
      </c>
      <c r="AB8266">
        <v>0</v>
      </c>
      <c r="AC8266">
        <v>1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1</v>
      </c>
      <c r="AJ8266">
        <v>0</v>
      </c>
      <c r="AK8266">
        <v>0</v>
      </c>
      <c r="AL8266">
        <v>1</v>
      </c>
      <c r="AM8266">
        <v>0</v>
      </c>
    </row>
    <row r="8267" spans="1:39" x14ac:dyDescent="0.2">
      <c r="A8267" t="str">
        <f>"8263"</f>
        <v>8263</v>
      </c>
      <c r="B8267" t="str">
        <f t="shared" si="459"/>
        <v>1</v>
      </c>
      <c r="C8267" t="str">
        <f t="shared" si="460"/>
        <v>166</v>
      </c>
      <c r="D8267" t="str">
        <f>"27"</f>
        <v>27</v>
      </c>
      <c r="E8267" t="str">
        <f>"1-166-27"</f>
        <v>1-166-27</v>
      </c>
      <c r="F8267" t="s">
        <v>65</v>
      </c>
      <c r="G8267" t="s">
        <v>66</v>
      </c>
      <c r="H8267" t="s">
        <v>67</v>
      </c>
      <c r="S8267">
        <v>0</v>
      </c>
      <c r="T8267">
        <v>1</v>
      </c>
      <c r="U8267">
        <v>0</v>
      </c>
      <c r="V8267">
        <v>0</v>
      </c>
      <c r="W8267">
        <v>1</v>
      </c>
      <c r="X8267">
        <v>0</v>
      </c>
      <c r="Y8267">
        <v>1</v>
      </c>
      <c r="Z8267">
        <v>0</v>
      </c>
      <c r="AA8267">
        <v>1</v>
      </c>
      <c r="AB8267">
        <v>0</v>
      </c>
      <c r="AC8267">
        <v>0</v>
      </c>
      <c r="AD8267">
        <v>1</v>
      </c>
      <c r="AE8267">
        <v>1</v>
      </c>
      <c r="AF8267">
        <v>1</v>
      </c>
      <c r="AG8267">
        <v>1</v>
      </c>
      <c r="AH8267">
        <v>1</v>
      </c>
      <c r="AI8267">
        <v>1</v>
      </c>
      <c r="AJ8267">
        <v>1</v>
      </c>
      <c r="AK8267">
        <v>1</v>
      </c>
      <c r="AL8267">
        <v>0</v>
      </c>
      <c r="AM8267">
        <v>1</v>
      </c>
    </row>
    <row r="8268" spans="1:39" x14ac:dyDescent="0.2">
      <c r="A8268" t="str">
        <f>"8264"</f>
        <v>8264</v>
      </c>
      <c r="B8268" t="str">
        <f t="shared" si="459"/>
        <v>1</v>
      </c>
      <c r="C8268" t="str">
        <f t="shared" si="460"/>
        <v>166</v>
      </c>
      <c r="D8268" t="str">
        <f>"17"</f>
        <v>17</v>
      </c>
      <c r="E8268" t="str">
        <f>"1-166-17"</f>
        <v>1-166-17</v>
      </c>
      <c r="F8268" t="s">
        <v>65</v>
      </c>
      <c r="G8268" t="s">
        <v>66</v>
      </c>
      <c r="H8268" t="s">
        <v>67</v>
      </c>
      <c r="S8268">
        <v>1</v>
      </c>
      <c r="T8268">
        <v>0</v>
      </c>
      <c r="U8268">
        <v>0</v>
      </c>
      <c r="V8268">
        <v>0</v>
      </c>
      <c r="W8268">
        <v>1</v>
      </c>
      <c r="X8268">
        <v>0</v>
      </c>
      <c r="Y8268">
        <v>1</v>
      </c>
      <c r="Z8268">
        <v>0</v>
      </c>
      <c r="AA8268">
        <v>1</v>
      </c>
      <c r="AB8268">
        <v>0</v>
      </c>
      <c r="AC8268">
        <v>0</v>
      </c>
      <c r="AD8268">
        <v>1</v>
      </c>
      <c r="AE8268">
        <v>1</v>
      </c>
      <c r="AF8268">
        <v>1</v>
      </c>
      <c r="AG8268">
        <v>1</v>
      </c>
      <c r="AH8268">
        <v>0</v>
      </c>
      <c r="AI8268">
        <v>0</v>
      </c>
      <c r="AJ8268">
        <v>1</v>
      </c>
      <c r="AK8268">
        <v>0</v>
      </c>
      <c r="AL8268">
        <v>1</v>
      </c>
      <c r="AM8268">
        <v>1</v>
      </c>
    </row>
    <row r="8269" spans="1:39" x14ac:dyDescent="0.2">
      <c r="A8269" t="str">
        <f>"8265"</f>
        <v>8265</v>
      </c>
      <c r="B8269" t="str">
        <f t="shared" si="459"/>
        <v>1</v>
      </c>
      <c r="C8269" t="str">
        <f t="shared" si="460"/>
        <v>166</v>
      </c>
      <c r="D8269" t="str">
        <f>"2"</f>
        <v>2</v>
      </c>
      <c r="E8269" t="str">
        <f>"1-166-2"</f>
        <v>1-166-2</v>
      </c>
      <c r="F8269" t="s">
        <v>65</v>
      </c>
      <c r="G8269" t="s">
        <v>66</v>
      </c>
      <c r="H8269" t="s">
        <v>67</v>
      </c>
      <c r="S8269">
        <v>1</v>
      </c>
      <c r="T8269">
        <v>0</v>
      </c>
      <c r="U8269">
        <v>0</v>
      </c>
      <c r="V8269">
        <v>0</v>
      </c>
      <c r="W8269">
        <v>1</v>
      </c>
      <c r="X8269">
        <v>0</v>
      </c>
      <c r="Y8269">
        <v>0</v>
      </c>
      <c r="Z8269">
        <v>1</v>
      </c>
      <c r="AA8269">
        <v>1</v>
      </c>
      <c r="AB8269">
        <v>0</v>
      </c>
      <c r="AC8269">
        <v>0</v>
      </c>
      <c r="AD8269">
        <v>1</v>
      </c>
      <c r="AE8269">
        <v>1</v>
      </c>
      <c r="AF8269">
        <v>1</v>
      </c>
      <c r="AG8269">
        <v>1</v>
      </c>
      <c r="AH8269">
        <v>1</v>
      </c>
      <c r="AI8269">
        <v>1</v>
      </c>
      <c r="AJ8269">
        <v>1</v>
      </c>
      <c r="AK8269">
        <v>1</v>
      </c>
      <c r="AL8269">
        <v>1</v>
      </c>
      <c r="AM8269">
        <v>1</v>
      </c>
    </row>
    <row r="8270" spans="1:39" x14ac:dyDescent="0.2">
      <c r="A8270" t="str">
        <f>"8266"</f>
        <v>8266</v>
      </c>
      <c r="B8270" t="str">
        <f t="shared" si="459"/>
        <v>1</v>
      </c>
      <c r="C8270" t="str">
        <f t="shared" si="460"/>
        <v>166</v>
      </c>
      <c r="D8270" t="str">
        <f>"40"</f>
        <v>40</v>
      </c>
      <c r="E8270" t="str">
        <f>"1-166-40"</f>
        <v>1-166-40</v>
      </c>
      <c r="F8270" t="s">
        <v>65</v>
      </c>
      <c r="G8270" t="s">
        <v>66</v>
      </c>
      <c r="H8270" t="s">
        <v>67</v>
      </c>
      <c r="S8270">
        <v>1</v>
      </c>
      <c r="T8270">
        <v>0</v>
      </c>
      <c r="U8270">
        <v>0</v>
      </c>
      <c r="V8270">
        <v>0</v>
      </c>
      <c r="W8270">
        <v>1</v>
      </c>
      <c r="X8270">
        <v>0</v>
      </c>
      <c r="Y8270">
        <v>1</v>
      </c>
      <c r="Z8270">
        <v>0</v>
      </c>
      <c r="AA8270">
        <v>0</v>
      </c>
      <c r="AB8270">
        <v>1</v>
      </c>
      <c r="AC8270">
        <v>0</v>
      </c>
      <c r="AD8270">
        <v>1</v>
      </c>
      <c r="AE8270">
        <v>1</v>
      </c>
      <c r="AF8270">
        <v>1</v>
      </c>
      <c r="AG8270">
        <v>1</v>
      </c>
      <c r="AH8270">
        <v>1</v>
      </c>
      <c r="AI8270">
        <v>1</v>
      </c>
      <c r="AJ8270">
        <v>1</v>
      </c>
      <c r="AK8270">
        <v>1</v>
      </c>
      <c r="AL8270">
        <v>1</v>
      </c>
      <c r="AM8270">
        <v>1</v>
      </c>
    </row>
    <row r="8271" spans="1:39" x14ac:dyDescent="0.2">
      <c r="A8271" t="str">
        <f>"8267"</f>
        <v>8267</v>
      </c>
      <c r="B8271" t="str">
        <f t="shared" si="459"/>
        <v>1</v>
      </c>
      <c r="C8271" t="str">
        <f t="shared" si="460"/>
        <v>166</v>
      </c>
      <c r="D8271" t="str">
        <f>"39"</f>
        <v>39</v>
      </c>
      <c r="E8271" t="str">
        <f>"1-166-39"</f>
        <v>1-166-39</v>
      </c>
      <c r="F8271" t="s">
        <v>65</v>
      </c>
      <c r="G8271" t="s">
        <v>66</v>
      </c>
      <c r="H8271" t="s">
        <v>67</v>
      </c>
      <c r="S8271">
        <v>1</v>
      </c>
      <c r="T8271">
        <v>0</v>
      </c>
      <c r="U8271">
        <v>0</v>
      </c>
      <c r="V8271">
        <v>0</v>
      </c>
      <c r="W8271">
        <v>1</v>
      </c>
      <c r="X8271">
        <v>0</v>
      </c>
      <c r="Y8271">
        <v>0</v>
      </c>
      <c r="Z8271">
        <v>1</v>
      </c>
      <c r="AA8271">
        <v>1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</row>
    <row r="8272" spans="1:39" x14ac:dyDescent="0.2">
      <c r="A8272" t="str">
        <f>"8268"</f>
        <v>8268</v>
      </c>
      <c r="B8272" t="str">
        <f t="shared" si="459"/>
        <v>1</v>
      </c>
      <c r="C8272" t="str">
        <f t="shared" si="460"/>
        <v>166</v>
      </c>
      <c r="D8272" t="str">
        <f>"28"</f>
        <v>28</v>
      </c>
      <c r="E8272" t="str">
        <f>"1-166-28"</f>
        <v>1-166-28</v>
      </c>
      <c r="F8272" t="s">
        <v>65</v>
      </c>
      <c r="G8272" t="s">
        <v>66</v>
      </c>
      <c r="H8272" t="s">
        <v>67</v>
      </c>
      <c r="S8272">
        <v>0</v>
      </c>
      <c r="T8272">
        <v>1</v>
      </c>
      <c r="U8272">
        <v>0</v>
      </c>
      <c r="V8272">
        <v>0</v>
      </c>
      <c r="W8272">
        <v>1</v>
      </c>
      <c r="X8272">
        <v>0</v>
      </c>
      <c r="Y8272">
        <v>1</v>
      </c>
      <c r="Z8272">
        <v>0</v>
      </c>
      <c r="AA8272">
        <v>1</v>
      </c>
      <c r="AB8272">
        <v>0</v>
      </c>
      <c r="AC8272">
        <v>0</v>
      </c>
      <c r="AD8272">
        <v>1</v>
      </c>
      <c r="AE8272">
        <v>1</v>
      </c>
      <c r="AF8272">
        <v>1</v>
      </c>
      <c r="AG8272">
        <v>1</v>
      </c>
      <c r="AH8272">
        <v>1</v>
      </c>
      <c r="AI8272">
        <v>1</v>
      </c>
      <c r="AJ8272">
        <v>1</v>
      </c>
      <c r="AK8272">
        <v>1</v>
      </c>
      <c r="AL8272">
        <v>1</v>
      </c>
      <c r="AM8272">
        <v>1</v>
      </c>
    </row>
    <row r="8273" spans="1:39" x14ac:dyDescent="0.2">
      <c r="A8273" t="str">
        <f>"8269"</f>
        <v>8269</v>
      </c>
      <c r="B8273" t="str">
        <f t="shared" si="459"/>
        <v>1</v>
      </c>
      <c r="C8273" t="str">
        <f t="shared" si="460"/>
        <v>166</v>
      </c>
      <c r="D8273" t="str">
        <f>"18"</f>
        <v>18</v>
      </c>
      <c r="E8273" t="str">
        <f>"1-166-18"</f>
        <v>1-166-18</v>
      </c>
      <c r="F8273" t="s">
        <v>65</v>
      </c>
      <c r="G8273" t="s">
        <v>66</v>
      </c>
      <c r="H8273" t="s">
        <v>67</v>
      </c>
      <c r="S8273">
        <v>1</v>
      </c>
      <c r="T8273">
        <v>0</v>
      </c>
      <c r="U8273">
        <v>0</v>
      </c>
      <c r="V8273">
        <v>0</v>
      </c>
      <c r="W8273">
        <v>1</v>
      </c>
      <c r="X8273">
        <v>0</v>
      </c>
      <c r="Y8273">
        <v>1</v>
      </c>
      <c r="Z8273">
        <v>0</v>
      </c>
      <c r="AA8273">
        <v>1</v>
      </c>
      <c r="AB8273">
        <v>0</v>
      </c>
      <c r="AC8273">
        <v>0</v>
      </c>
      <c r="AD8273">
        <v>1</v>
      </c>
      <c r="AE8273">
        <v>1</v>
      </c>
      <c r="AF8273">
        <v>1</v>
      </c>
      <c r="AG8273">
        <v>1</v>
      </c>
      <c r="AH8273">
        <v>1</v>
      </c>
      <c r="AI8273">
        <v>1</v>
      </c>
      <c r="AJ8273">
        <v>1</v>
      </c>
      <c r="AK8273">
        <v>1</v>
      </c>
      <c r="AL8273">
        <v>1</v>
      </c>
      <c r="AM8273">
        <v>1</v>
      </c>
    </row>
    <row r="8274" spans="1:39" x14ac:dyDescent="0.2">
      <c r="A8274" t="str">
        <f>"8270"</f>
        <v>8270</v>
      </c>
      <c r="B8274" t="str">
        <f t="shared" si="459"/>
        <v>1</v>
      </c>
      <c r="C8274" t="str">
        <f t="shared" si="460"/>
        <v>166</v>
      </c>
      <c r="D8274" t="str">
        <f>"3"</f>
        <v>3</v>
      </c>
      <c r="E8274" t="str">
        <f>"1-166-3"</f>
        <v>1-166-3</v>
      </c>
      <c r="F8274" t="s">
        <v>65</v>
      </c>
      <c r="G8274" t="s">
        <v>66</v>
      </c>
      <c r="H8274" t="s">
        <v>67</v>
      </c>
      <c r="S8274">
        <v>1</v>
      </c>
      <c r="T8274">
        <v>0</v>
      </c>
      <c r="U8274">
        <v>0</v>
      </c>
      <c r="V8274">
        <v>0</v>
      </c>
      <c r="W8274">
        <v>1</v>
      </c>
      <c r="X8274">
        <v>0</v>
      </c>
      <c r="Y8274">
        <v>0</v>
      </c>
      <c r="Z8274">
        <v>1</v>
      </c>
      <c r="AA8274">
        <v>0</v>
      </c>
      <c r="AB8274">
        <v>0</v>
      </c>
      <c r="AC8274">
        <v>1</v>
      </c>
      <c r="AD8274">
        <v>1</v>
      </c>
      <c r="AE8274">
        <v>1</v>
      </c>
      <c r="AF8274">
        <v>1</v>
      </c>
      <c r="AG8274">
        <v>1</v>
      </c>
      <c r="AH8274">
        <v>1</v>
      </c>
      <c r="AI8274">
        <v>1</v>
      </c>
      <c r="AJ8274">
        <v>1</v>
      </c>
      <c r="AK8274">
        <v>1</v>
      </c>
      <c r="AL8274">
        <v>1</v>
      </c>
      <c r="AM8274">
        <v>1</v>
      </c>
    </row>
    <row r="8275" spans="1:39" x14ac:dyDescent="0.2">
      <c r="A8275" t="str">
        <f>"8271"</f>
        <v>8271</v>
      </c>
      <c r="B8275" t="str">
        <f t="shared" si="459"/>
        <v>1</v>
      </c>
      <c r="C8275" t="str">
        <f t="shared" si="460"/>
        <v>166</v>
      </c>
      <c r="D8275" t="str">
        <f>"41"</f>
        <v>41</v>
      </c>
      <c r="E8275" t="str">
        <f>"1-166-41"</f>
        <v>1-166-41</v>
      </c>
      <c r="F8275" t="s">
        <v>65</v>
      </c>
      <c r="G8275" t="s">
        <v>66</v>
      </c>
      <c r="H8275" t="s">
        <v>67</v>
      </c>
      <c r="S8275">
        <v>1</v>
      </c>
      <c r="T8275">
        <v>0</v>
      </c>
      <c r="U8275">
        <v>0</v>
      </c>
      <c r="V8275">
        <v>0</v>
      </c>
      <c r="W8275">
        <v>1</v>
      </c>
      <c r="X8275">
        <v>0</v>
      </c>
      <c r="Y8275">
        <v>1</v>
      </c>
      <c r="Z8275">
        <v>0</v>
      </c>
      <c r="AA8275">
        <v>0</v>
      </c>
      <c r="AB8275">
        <v>1</v>
      </c>
      <c r="AC8275">
        <v>0</v>
      </c>
      <c r="AD8275">
        <v>1</v>
      </c>
      <c r="AE8275">
        <v>1</v>
      </c>
      <c r="AF8275">
        <v>1</v>
      </c>
      <c r="AG8275">
        <v>1</v>
      </c>
      <c r="AH8275">
        <v>1</v>
      </c>
      <c r="AI8275">
        <v>1</v>
      </c>
      <c r="AJ8275">
        <v>1</v>
      </c>
      <c r="AK8275">
        <v>1</v>
      </c>
      <c r="AL8275">
        <v>1</v>
      </c>
      <c r="AM8275">
        <v>0</v>
      </c>
    </row>
    <row r="8276" spans="1:39" x14ac:dyDescent="0.2">
      <c r="A8276" t="str">
        <f>"8272"</f>
        <v>8272</v>
      </c>
      <c r="B8276" t="str">
        <f t="shared" si="459"/>
        <v>1</v>
      </c>
      <c r="C8276" t="str">
        <f t="shared" si="460"/>
        <v>166</v>
      </c>
      <c r="D8276" t="str">
        <f>"19"</f>
        <v>19</v>
      </c>
      <c r="E8276" t="str">
        <f>"1-166-19"</f>
        <v>1-166-19</v>
      </c>
      <c r="F8276" t="s">
        <v>65</v>
      </c>
      <c r="G8276" t="s">
        <v>66</v>
      </c>
      <c r="H8276" t="s">
        <v>67</v>
      </c>
      <c r="S8276">
        <v>1</v>
      </c>
      <c r="T8276">
        <v>0</v>
      </c>
      <c r="U8276">
        <v>0</v>
      </c>
      <c r="V8276">
        <v>0</v>
      </c>
      <c r="W8276">
        <v>1</v>
      </c>
      <c r="X8276">
        <v>0</v>
      </c>
      <c r="Y8276">
        <v>1</v>
      </c>
      <c r="Z8276">
        <v>0</v>
      </c>
      <c r="AA8276">
        <v>1</v>
      </c>
      <c r="AB8276">
        <v>0</v>
      </c>
      <c r="AC8276">
        <v>0</v>
      </c>
      <c r="AD8276">
        <v>1</v>
      </c>
      <c r="AE8276">
        <v>1</v>
      </c>
      <c r="AF8276">
        <v>1</v>
      </c>
      <c r="AG8276">
        <v>1</v>
      </c>
      <c r="AH8276">
        <v>1</v>
      </c>
      <c r="AI8276">
        <v>1</v>
      </c>
      <c r="AJ8276">
        <v>1</v>
      </c>
      <c r="AK8276">
        <v>1</v>
      </c>
      <c r="AL8276">
        <v>1</v>
      </c>
      <c r="AM8276">
        <v>1</v>
      </c>
    </row>
    <row r="8277" spans="1:39" x14ac:dyDescent="0.2">
      <c r="A8277" t="str">
        <f>"8273"</f>
        <v>8273</v>
      </c>
      <c r="B8277" t="str">
        <f t="shared" si="459"/>
        <v>1</v>
      </c>
      <c r="C8277" t="str">
        <f t="shared" si="460"/>
        <v>166</v>
      </c>
      <c r="D8277" t="str">
        <f>"6"</f>
        <v>6</v>
      </c>
      <c r="E8277" t="str">
        <f>"1-166-6"</f>
        <v>1-166-6</v>
      </c>
      <c r="F8277" t="s">
        <v>65</v>
      </c>
      <c r="G8277" t="s">
        <v>66</v>
      </c>
      <c r="H8277" t="s">
        <v>67</v>
      </c>
      <c r="S8277">
        <v>0</v>
      </c>
      <c r="T8277">
        <v>1</v>
      </c>
      <c r="U8277">
        <v>0</v>
      </c>
      <c r="V8277">
        <v>0</v>
      </c>
      <c r="W8277">
        <v>0</v>
      </c>
      <c r="X8277">
        <v>1</v>
      </c>
      <c r="Y8277">
        <v>1</v>
      </c>
      <c r="Z8277">
        <v>0</v>
      </c>
      <c r="AA8277">
        <v>0</v>
      </c>
      <c r="AB8277">
        <v>1</v>
      </c>
      <c r="AC8277">
        <v>0</v>
      </c>
      <c r="AD8277">
        <v>1</v>
      </c>
      <c r="AE8277">
        <v>1</v>
      </c>
      <c r="AF8277">
        <v>1</v>
      </c>
      <c r="AG8277">
        <v>1</v>
      </c>
      <c r="AH8277">
        <v>1</v>
      </c>
      <c r="AI8277">
        <v>1</v>
      </c>
      <c r="AJ8277">
        <v>1</v>
      </c>
      <c r="AK8277">
        <v>1</v>
      </c>
      <c r="AL8277">
        <v>1</v>
      </c>
      <c r="AM8277">
        <v>1</v>
      </c>
    </row>
    <row r="8278" spans="1:39" x14ac:dyDescent="0.2">
      <c r="A8278" t="str">
        <f>"8274"</f>
        <v>8274</v>
      </c>
      <c r="B8278" t="str">
        <f t="shared" si="459"/>
        <v>1</v>
      </c>
      <c r="C8278" t="str">
        <f t="shared" si="460"/>
        <v>166</v>
      </c>
      <c r="D8278" t="str">
        <f>"45"</f>
        <v>45</v>
      </c>
      <c r="E8278" t="str">
        <f>"1-166-45"</f>
        <v>1-166-45</v>
      </c>
      <c r="F8278" t="s">
        <v>65</v>
      </c>
      <c r="G8278" t="s">
        <v>66</v>
      </c>
      <c r="H8278" t="s">
        <v>67</v>
      </c>
      <c r="S8278">
        <v>1</v>
      </c>
      <c r="T8278">
        <v>0</v>
      </c>
      <c r="U8278">
        <v>0</v>
      </c>
      <c r="V8278">
        <v>0</v>
      </c>
      <c r="W8278">
        <v>1</v>
      </c>
      <c r="X8278">
        <v>0</v>
      </c>
      <c r="Y8278">
        <v>1</v>
      </c>
      <c r="Z8278">
        <v>0</v>
      </c>
      <c r="AA8278">
        <v>1</v>
      </c>
      <c r="AB8278">
        <v>0</v>
      </c>
      <c r="AC8278">
        <v>0</v>
      </c>
      <c r="AD8278">
        <v>1</v>
      </c>
      <c r="AE8278">
        <v>1</v>
      </c>
      <c r="AF8278">
        <v>1</v>
      </c>
      <c r="AG8278">
        <v>1</v>
      </c>
      <c r="AH8278">
        <v>1</v>
      </c>
      <c r="AI8278">
        <v>1</v>
      </c>
      <c r="AJ8278">
        <v>1</v>
      </c>
      <c r="AK8278">
        <v>1</v>
      </c>
      <c r="AL8278">
        <v>1</v>
      </c>
      <c r="AM8278">
        <v>1</v>
      </c>
    </row>
    <row r="8279" spans="1:39" x14ac:dyDescent="0.2">
      <c r="A8279" t="str">
        <f>"8275"</f>
        <v>8275</v>
      </c>
      <c r="B8279" t="str">
        <f t="shared" si="459"/>
        <v>1</v>
      </c>
      <c r="C8279" t="str">
        <f t="shared" si="460"/>
        <v>166</v>
      </c>
      <c r="D8279" t="str">
        <f>"20"</f>
        <v>20</v>
      </c>
      <c r="E8279" t="str">
        <f>"1-166-20"</f>
        <v>1-166-20</v>
      </c>
      <c r="F8279" t="s">
        <v>65</v>
      </c>
      <c r="G8279" t="s">
        <v>66</v>
      </c>
      <c r="H8279" t="s">
        <v>67</v>
      </c>
      <c r="S8279">
        <v>1</v>
      </c>
      <c r="T8279">
        <v>0</v>
      </c>
      <c r="U8279">
        <v>0</v>
      </c>
      <c r="V8279">
        <v>0</v>
      </c>
      <c r="W8279">
        <v>1</v>
      </c>
      <c r="X8279">
        <v>0</v>
      </c>
      <c r="Y8279">
        <v>0</v>
      </c>
      <c r="Z8279">
        <v>1</v>
      </c>
      <c r="AA8279">
        <v>1</v>
      </c>
      <c r="AB8279">
        <v>0</v>
      </c>
      <c r="AC8279">
        <v>0</v>
      </c>
      <c r="AD8279">
        <v>1</v>
      </c>
      <c r="AE8279">
        <v>1</v>
      </c>
      <c r="AF8279">
        <v>1</v>
      </c>
      <c r="AG8279">
        <v>1</v>
      </c>
      <c r="AH8279">
        <v>1</v>
      </c>
      <c r="AI8279">
        <v>1</v>
      </c>
      <c r="AJ8279">
        <v>1</v>
      </c>
      <c r="AK8279">
        <v>1</v>
      </c>
      <c r="AL8279">
        <v>1</v>
      </c>
      <c r="AM8279">
        <v>1</v>
      </c>
    </row>
    <row r="8280" spans="1:39" x14ac:dyDescent="0.2">
      <c r="A8280" t="str">
        <f>"8276"</f>
        <v>8276</v>
      </c>
      <c r="B8280" t="str">
        <f t="shared" si="459"/>
        <v>1</v>
      </c>
      <c r="C8280" t="str">
        <f t="shared" si="460"/>
        <v>166</v>
      </c>
      <c r="D8280" t="str">
        <f>"7"</f>
        <v>7</v>
      </c>
      <c r="E8280" t="str">
        <f>"1-166-7"</f>
        <v>1-166-7</v>
      </c>
      <c r="F8280" t="s">
        <v>65</v>
      </c>
      <c r="G8280" t="s">
        <v>66</v>
      </c>
      <c r="H8280" t="s">
        <v>67</v>
      </c>
      <c r="S8280">
        <v>1</v>
      </c>
      <c r="T8280">
        <v>0</v>
      </c>
      <c r="U8280">
        <v>0</v>
      </c>
      <c r="V8280">
        <v>0</v>
      </c>
      <c r="W8280">
        <v>1</v>
      </c>
      <c r="X8280">
        <v>0</v>
      </c>
      <c r="Y8280">
        <v>0</v>
      </c>
      <c r="Z8280">
        <v>1</v>
      </c>
      <c r="AA8280">
        <v>1</v>
      </c>
      <c r="AB8280">
        <v>0</v>
      </c>
      <c r="AC8280">
        <v>0</v>
      </c>
      <c r="AD8280">
        <v>1</v>
      </c>
      <c r="AE8280">
        <v>1</v>
      </c>
      <c r="AF8280">
        <v>1</v>
      </c>
      <c r="AG8280">
        <v>1</v>
      </c>
      <c r="AH8280">
        <v>1</v>
      </c>
      <c r="AI8280">
        <v>1</v>
      </c>
      <c r="AJ8280">
        <v>1</v>
      </c>
      <c r="AK8280">
        <v>1</v>
      </c>
      <c r="AL8280">
        <v>1</v>
      </c>
      <c r="AM8280">
        <v>1</v>
      </c>
    </row>
    <row r="8281" spans="1:39" x14ac:dyDescent="0.2">
      <c r="A8281" t="str">
        <f>"8277"</f>
        <v>8277</v>
      </c>
      <c r="B8281" t="str">
        <f t="shared" si="459"/>
        <v>1</v>
      </c>
      <c r="C8281" t="str">
        <f t="shared" si="460"/>
        <v>166</v>
      </c>
      <c r="D8281" t="str">
        <f>"44"</f>
        <v>44</v>
      </c>
      <c r="E8281" t="str">
        <f>"1-166-44"</f>
        <v>1-166-44</v>
      </c>
      <c r="F8281" t="s">
        <v>65</v>
      </c>
      <c r="G8281" t="s">
        <v>66</v>
      </c>
      <c r="H8281" t="s">
        <v>67</v>
      </c>
      <c r="S8281">
        <v>0</v>
      </c>
      <c r="T8281">
        <v>0</v>
      </c>
      <c r="U8281">
        <v>0</v>
      </c>
      <c r="V8281">
        <v>0</v>
      </c>
      <c r="W8281">
        <v>1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1</v>
      </c>
      <c r="AI8281">
        <v>1</v>
      </c>
      <c r="AJ8281">
        <v>1</v>
      </c>
      <c r="AK8281">
        <v>0</v>
      </c>
      <c r="AL8281">
        <v>1</v>
      </c>
      <c r="AM8281">
        <v>0</v>
      </c>
    </row>
    <row r="8282" spans="1:39" x14ac:dyDescent="0.2">
      <c r="A8282" t="str">
        <f>"8278"</f>
        <v>8278</v>
      </c>
      <c r="B8282" t="str">
        <f t="shared" si="459"/>
        <v>1</v>
      </c>
      <c r="C8282" t="str">
        <f t="shared" si="460"/>
        <v>166</v>
      </c>
      <c r="D8282" t="str">
        <f>"21"</f>
        <v>21</v>
      </c>
      <c r="E8282" t="str">
        <f>"1-166-21"</f>
        <v>1-166-21</v>
      </c>
      <c r="F8282" t="s">
        <v>65</v>
      </c>
      <c r="G8282" t="s">
        <v>66</v>
      </c>
      <c r="H8282" t="s">
        <v>67</v>
      </c>
      <c r="S8282">
        <v>0</v>
      </c>
      <c r="T8282">
        <v>1</v>
      </c>
      <c r="U8282">
        <v>0</v>
      </c>
      <c r="V8282">
        <v>0</v>
      </c>
      <c r="W8282">
        <v>0</v>
      </c>
      <c r="X8282">
        <v>1</v>
      </c>
      <c r="Y8282">
        <v>0</v>
      </c>
      <c r="Z8282">
        <v>1</v>
      </c>
      <c r="AA8282">
        <v>0</v>
      </c>
      <c r="AB8282">
        <v>0</v>
      </c>
      <c r="AC8282">
        <v>1</v>
      </c>
      <c r="AD8282">
        <v>1</v>
      </c>
      <c r="AE8282">
        <v>1</v>
      </c>
      <c r="AF8282">
        <v>1</v>
      </c>
      <c r="AG8282">
        <v>1</v>
      </c>
      <c r="AH8282">
        <v>0</v>
      </c>
      <c r="AI8282">
        <v>0</v>
      </c>
      <c r="AJ8282">
        <v>1</v>
      </c>
      <c r="AK8282">
        <v>1</v>
      </c>
      <c r="AL8282">
        <v>1</v>
      </c>
      <c r="AM8282">
        <v>0</v>
      </c>
    </row>
    <row r="8283" spans="1:39" x14ac:dyDescent="0.2">
      <c r="A8283" t="str">
        <f>"8279"</f>
        <v>8279</v>
      </c>
      <c r="B8283" t="str">
        <f t="shared" si="459"/>
        <v>1</v>
      </c>
      <c r="C8283" t="str">
        <f t="shared" si="460"/>
        <v>166</v>
      </c>
      <c r="D8283" t="str">
        <f>"8"</f>
        <v>8</v>
      </c>
      <c r="E8283" t="str">
        <f>"1-166-8"</f>
        <v>1-166-8</v>
      </c>
      <c r="F8283" t="s">
        <v>65</v>
      </c>
      <c r="G8283" t="s">
        <v>66</v>
      </c>
      <c r="H8283" t="s">
        <v>67</v>
      </c>
      <c r="S8283">
        <v>1</v>
      </c>
      <c r="T8283">
        <v>0</v>
      </c>
      <c r="U8283">
        <v>0</v>
      </c>
      <c r="V8283">
        <v>0</v>
      </c>
      <c r="W8283">
        <v>1</v>
      </c>
      <c r="X8283">
        <v>0</v>
      </c>
      <c r="Y8283">
        <v>0</v>
      </c>
      <c r="Z8283">
        <v>1</v>
      </c>
      <c r="AA8283">
        <v>1</v>
      </c>
      <c r="AB8283">
        <v>0</v>
      </c>
      <c r="AC8283">
        <v>0</v>
      </c>
      <c r="AD8283">
        <v>1</v>
      </c>
      <c r="AE8283">
        <v>1</v>
      </c>
      <c r="AF8283">
        <v>1</v>
      </c>
      <c r="AG8283">
        <v>1</v>
      </c>
      <c r="AH8283">
        <v>1</v>
      </c>
      <c r="AI8283">
        <v>1</v>
      </c>
      <c r="AJ8283">
        <v>1</v>
      </c>
      <c r="AK8283">
        <v>1</v>
      </c>
      <c r="AL8283">
        <v>1</v>
      </c>
      <c r="AM8283">
        <v>1</v>
      </c>
    </row>
    <row r="8284" spans="1:39" x14ac:dyDescent="0.2">
      <c r="A8284" t="str">
        <f>"8280"</f>
        <v>8280</v>
      </c>
      <c r="B8284" t="str">
        <f t="shared" si="459"/>
        <v>1</v>
      </c>
      <c r="C8284" t="str">
        <f t="shared" si="460"/>
        <v>166</v>
      </c>
      <c r="D8284" t="str">
        <f>"46"</f>
        <v>46</v>
      </c>
      <c r="E8284" t="str">
        <f>"1-166-46"</f>
        <v>1-166-46</v>
      </c>
      <c r="F8284" t="s">
        <v>65</v>
      </c>
      <c r="G8284" t="s">
        <v>66</v>
      </c>
      <c r="H8284" t="s">
        <v>67</v>
      </c>
      <c r="S8284">
        <v>1</v>
      </c>
      <c r="T8284">
        <v>0</v>
      </c>
      <c r="U8284">
        <v>0</v>
      </c>
      <c r="V8284">
        <v>0</v>
      </c>
      <c r="W8284">
        <v>1</v>
      </c>
      <c r="X8284">
        <v>0</v>
      </c>
      <c r="Y8284">
        <v>1</v>
      </c>
      <c r="Z8284">
        <v>0</v>
      </c>
      <c r="AA8284">
        <v>0</v>
      </c>
      <c r="AB8284">
        <v>0</v>
      </c>
      <c r="AC8284">
        <v>1</v>
      </c>
      <c r="AD8284">
        <v>1</v>
      </c>
      <c r="AE8284">
        <v>1</v>
      </c>
      <c r="AF8284">
        <v>1</v>
      </c>
      <c r="AG8284">
        <v>1</v>
      </c>
      <c r="AH8284">
        <v>1</v>
      </c>
      <c r="AI8284">
        <v>1</v>
      </c>
      <c r="AJ8284">
        <v>1</v>
      </c>
      <c r="AK8284">
        <v>1</v>
      </c>
      <c r="AL8284">
        <v>1</v>
      </c>
      <c r="AM8284">
        <v>1</v>
      </c>
    </row>
    <row r="8285" spans="1:39" x14ac:dyDescent="0.2">
      <c r="A8285" t="str">
        <f>"8281"</f>
        <v>8281</v>
      </c>
      <c r="B8285" t="str">
        <f t="shared" si="459"/>
        <v>1</v>
      </c>
      <c r="C8285" t="str">
        <f t="shared" si="460"/>
        <v>166</v>
      </c>
      <c r="D8285" t="str">
        <f>"22"</f>
        <v>22</v>
      </c>
      <c r="E8285" t="str">
        <f>"1-166-22"</f>
        <v>1-166-22</v>
      </c>
      <c r="F8285" t="s">
        <v>65</v>
      </c>
      <c r="G8285" t="s">
        <v>66</v>
      </c>
      <c r="H8285" t="s">
        <v>67</v>
      </c>
      <c r="S8285">
        <v>0</v>
      </c>
      <c r="T8285">
        <v>1</v>
      </c>
      <c r="U8285">
        <v>0</v>
      </c>
      <c r="V8285">
        <v>0</v>
      </c>
      <c r="W8285">
        <v>0</v>
      </c>
      <c r="X8285">
        <v>1</v>
      </c>
      <c r="Y8285">
        <v>0</v>
      </c>
      <c r="Z8285">
        <v>1</v>
      </c>
      <c r="AA8285">
        <v>0</v>
      </c>
      <c r="AB8285">
        <v>0</v>
      </c>
      <c r="AC8285">
        <v>1</v>
      </c>
      <c r="AD8285">
        <v>1</v>
      </c>
      <c r="AE8285">
        <v>1</v>
      </c>
      <c r="AF8285">
        <v>1</v>
      </c>
      <c r="AG8285">
        <v>1</v>
      </c>
      <c r="AH8285">
        <v>1</v>
      </c>
      <c r="AI8285">
        <v>0</v>
      </c>
      <c r="AJ8285">
        <v>1</v>
      </c>
      <c r="AK8285">
        <v>1</v>
      </c>
      <c r="AL8285">
        <v>1</v>
      </c>
      <c r="AM8285">
        <v>0</v>
      </c>
    </row>
    <row r="8286" spans="1:39" x14ac:dyDescent="0.2">
      <c r="A8286" t="str">
        <f>"8282"</f>
        <v>8282</v>
      </c>
      <c r="B8286" t="str">
        <f t="shared" si="459"/>
        <v>1</v>
      </c>
      <c r="C8286" t="str">
        <f t="shared" si="460"/>
        <v>166</v>
      </c>
      <c r="D8286" t="str">
        <f>"4"</f>
        <v>4</v>
      </c>
      <c r="E8286" t="str">
        <f>"1-166-4"</f>
        <v>1-166-4</v>
      </c>
      <c r="F8286" t="s">
        <v>65</v>
      </c>
      <c r="G8286" t="s">
        <v>66</v>
      </c>
      <c r="H8286" t="s">
        <v>67</v>
      </c>
      <c r="S8286">
        <v>1</v>
      </c>
      <c r="T8286">
        <v>0</v>
      </c>
      <c r="U8286">
        <v>0</v>
      </c>
      <c r="V8286">
        <v>0</v>
      </c>
      <c r="W8286">
        <v>1</v>
      </c>
      <c r="X8286">
        <v>0</v>
      </c>
      <c r="Y8286">
        <v>1</v>
      </c>
      <c r="Z8286">
        <v>0</v>
      </c>
      <c r="AA8286">
        <v>0</v>
      </c>
      <c r="AB8286">
        <v>0</v>
      </c>
      <c r="AC8286">
        <v>1</v>
      </c>
      <c r="AD8286">
        <v>1</v>
      </c>
      <c r="AE8286">
        <v>1</v>
      </c>
      <c r="AF8286">
        <v>1</v>
      </c>
      <c r="AG8286">
        <v>1</v>
      </c>
      <c r="AH8286">
        <v>1</v>
      </c>
      <c r="AI8286">
        <v>1</v>
      </c>
      <c r="AJ8286">
        <v>1</v>
      </c>
      <c r="AK8286">
        <v>1</v>
      </c>
      <c r="AL8286">
        <v>1</v>
      </c>
      <c r="AM8286">
        <v>1</v>
      </c>
    </row>
    <row r="8287" spans="1:39" x14ac:dyDescent="0.2">
      <c r="A8287" t="str">
        <f>"8283"</f>
        <v>8283</v>
      </c>
      <c r="B8287" t="str">
        <f t="shared" si="459"/>
        <v>1</v>
      </c>
      <c r="C8287" t="str">
        <f t="shared" ref="C8287:C8304" si="461">"166"</f>
        <v>166</v>
      </c>
      <c r="D8287" t="str">
        <f>"43"</f>
        <v>43</v>
      </c>
      <c r="E8287" t="str">
        <f>"1-166-43"</f>
        <v>1-166-43</v>
      </c>
      <c r="F8287" t="s">
        <v>65</v>
      </c>
      <c r="G8287" t="s">
        <v>66</v>
      </c>
      <c r="H8287" t="s">
        <v>67</v>
      </c>
      <c r="S8287">
        <v>1</v>
      </c>
      <c r="T8287">
        <v>0</v>
      </c>
      <c r="U8287">
        <v>0</v>
      </c>
      <c r="V8287">
        <v>0</v>
      </c>
      <c r="W8287">
        <v>1</v>
      </c>
      <c r="X8287">
        <v>0</v>
      </c>
      <c r="Y8287">
        <v>1</v>
      </c>
      <c r="Z8287">
        <v>0</v>
      </c>
      <c r="AA8287">
        <v>0</v>
      </c>
      <c r="AB8287">
        <v>0</v>
      </c>
      <c r="AC8287">
        <v>1</v>
      </c>
      <c r="AD8287">
        <v>1</v>
      </c>
      <c r="AE8287">
        <v>1</v>
      </c>
      <c r="AF8287">
        <v>1</v>
      </c>
      <c r="AG8287">
        <v>1</v>
      </c>
      <c r="AH8287">
        <v>1</v>
      </c>
      <c r="AI8287">
        <v>1</v>
      </c>
      <c r="AJ8287">
        <v>1</v>
      </c>
      <c r="AK8287">
        <v>1</v>
      </c>
      <c r="AL8287">
        <v>1</v>
      </c>
      <c r="AM8287">
        <v>1</v>
      </c>
    </row>
    <row r="8288" spans="1:39" x14ac:dyDescent="0.2">
      <c r="A8288" t="str">
        <f>"8284"</f>
        <v>8284</v>
      </c>
      <c r="B8288" t="str">
        <f t="shared" si="459"/>
        <v>1</v>
      </c>
      <c r="C8288" t="str">
        <f t="shared" si="461"/>
        <v>166</v>
      </c>
      <c r="D8288" t="str">
        <f>"23"</f>
        <v>23</v>
      </c>
      <c r="E8288" t="str">
        <f>"1-166-23"</f>
        <v>1-166-23</v>
      </c>
      <c r="F8288" t="s">
        <v>65</v>
      </c>
      <c r="G8288" t="s">
        <v>66</v>
      </c>
      <c r="H8288" t="s">
        <v>67</v>
      </c>
      <c r="S8288">
        <v>1</v>
      </c>
      <c r="T8288">
        <v>0</v>
      </c>
      <c r="U8288">
        <v>0</v>
      </c>
      <c r="V8288">
        <v>0</v>
      </c>
      <c r="W8288">
        <v>1</v>
      </c>
      <c r="X8288">
        <v>0</v>
      </c>
      <c r="Y8288">
        <v>1</v>
      </c>
      <c r="Z8288">
        <v>0</v>
      </c>
      <c r="AA8288">
        <v>1</v>
      </c>
      <c r="AB8288">
        <v>0</v>
      </c>
      <c r="AC8288">
        <v>0</v>
      </c>
      <c r="AD8288">
        <v>1</v>
      </c>
      <c r="AE8288">
        <v>1</v>
      </c>
      <c r="AF8288">
        <v>0</v>
      </c>
      <c r="AG8288">
        <v>1</v>
      </c>
      <c r="AH8288">
        <v>0</v>
      </c>
      <c r="AI8288">
        <v>0</v>
      </c>
      <c r="AJ8288">
        <v>1</v>
      </c>
      <c r="AK8288">
        <v>0</v>
      </c>
      <c r="AL8288">
        <v>1</v>
      </c>
      <c r="AM8288">
        <v>1</v>
      </c>
    </row>
    <row r="8289" spans="1:39" x14ac:dyDescent="0.2">
      <c r="A8289" t="str">
        <f>"8285"</f>
        <v>8285</v>
      </c>
      <c r="B8289" t="str">
        <f t="shared" si="459"/>
        <v>1</v>
      </c>
      <c r="C8289" t="str">
        <f t="shared" si="461"/>
        <v>166</v>
      </c>
      <c r="D8289" t="str">
        <f>"1"</f>
        <v>1</v>
      </c>
      <c r="E8289" t="str">
        <f>"1-166-1"</f>
        <v>1-166-1</v>
      </c>
      <c r="F8289" t="s">
        <v>65</v>
      </c>
      <c r="G8289" t="s">
        <v>66</v>
      </c>
      <c r="H8289" t="s">
        <v>67</v>
      </c>
      <c r="S8289">
        <v>1</v>
      </c>
      <c r="T8289">
        <v>0</v>
      </c>
      <c r="U8289">
        <v>0</v>
      </c>
      <c r="V8289">
        <v>0</v>
      </c>
      <c r="W8289">
        <v>1</v>
      </c>
      <c r="X8289">
        <v>0</v>
      </c>
      <c r="Y8289">
        <v>0</v>
      </c>
      <c r="Z8289">
        <v>1</v>
      </c>
      <c r="AA8289">
        <v>1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</row>
    <row r="8290" spans="1:39" x14ac:dyDescent="0.2">
      <c r="A8290" t="str">
        <f>"8286"</f>
        <v>8286</v>
      </c>
      <c r="B8290" t="str">
        <f t="shared" si="459"/>
        <v>1</v>
      </c>
      <c r="C8290" t="str">
        <f t="shared" si="461"/>
        <v>166</v>
      </c>
      <c r="D8290" t="str">
        <f>"42"</f>
        <v>42</v>
      </c>
      <c r="E8290" t="str">
        <f>"1-166-42"</f>
        <v>1-166-42</v>
      </c>
      <c r="F8290" t="s">
        <v>65</v>
      </c>
      <c r="G8290" t="s">
        <v>66</v>
      </c>
      <c r="H8290" t="s">
        <v>67</v>
      </c>
      <c r="S8290">
        <v>1</v>
      </c>
      <c r="T8290">
        <v>0</v>
      </c>
      <c r="U8290">
        <v>0</v>
      </c>
      <c r="V8290">
        <v>0</v>
      </c>
      <c r="W8290">
        <v>1</v>
      </c>
      <c r="X8290">
        <v>0</v>
      </c>
      <c r="Y8290">
        <v>1</v>
      </c>
      <c r="Z8290">
        <v>0</v>
      </c>
      <c r="AA8290">
        <v>0</v>
      </c>
      <c r="AB8290">
        <v>1</v>
      </c>
      <c r="AC8290">
        <v>0</v>
      </c>
      <c r="AD8290">
        <v>1</v>
      </c>
      <c r="AE8290">
        <v>1</v>
      </c>
      <c r="AF8290">
        <v>1</v>
      </c>
      <c r="AG8290">
        <v>1</v>
      </c>
      <c r="AH8290">
        <v>1</v>
      </c>
      <c r="AI8290">
        <v>1</v>
      </c>
      <c r="AJ8290">
        <v>1</v>
      </c>
      <c r="AK8290">
        <v>1</v>
      </c>
      <c r="AL8290">
        <v>1</v>
      </c>
      <c r="AM8290">
        <v>1</v>
      </c>
    </row>
    <row r="8291" spans="1:39" x14ac:dyDescent="0.2">
      <c r="A8291" t="str">
        <f>"8287"</f>
        <v>8287</v>
      </c>
      <c r="B8291" t="str">
        <f t="shared" si="459"/>
        <v>1</v>
      </c>
      <c r="C8291" t="str">
        <f t="shared" si="461"/>
        <v>166</v>
      </c>
      <c r="D8291" t="str">
        <f>"25"</f>
        <v>25</v>
      </c>
      <c r="E8291" t="str">
        <f>"1-166-25"</f>
        <v>1-166-25</v>
      </c>
      <c r="F8291" t="s">
        <v>65</v>
      </c>
      <c r="G8291" t="s">
        <v>66</v>
      </c>
      <c r="H8291" t="s">
        <v>67</v>
      </c>
      <c r="S8291">
        <v>1</v>
      </c>
      <c r="T8291">
        <v>0</v>
      </c>
      <c r="U8291">
        <v>0</v>
      </c>
      <c r="V8291">
        <v>0</v>
      </c>
      <c r="W8291">
        <v>1</v>
      </c>
      <c r="X8291">
        <v>0</v>
      </c>
      <c r="Y8291">
        <v>1</v>
      </c>
      <c r="Z8291">
        <v>0</v>
      </c>
      <c r="AA8291">
        <v>1</v>
      </c>
      <c r="AB8291">
        <v>0</v>
      </c>
      <c r="AC8291">
        <v>0</v>
      </c>
      <c r="AD8291">
        <v>1</v>
      </c>
      <c r="AE8291">
        <v>1</v>
      </c>
      <c r="AF8291">
        <v>1</v>
      </c>
      <c r="AG8291">
        <v>1</v>
      </c>
      <c r="AH8291">
        <v>1</v>
      </c>
      <c r="AI8291">
        <v>1</v>
      </c>
      <c r="AJ8291">
        <v>1</v>
      </c>
      <c r="AK8291">
        <v>1</v>
      </c>
      <c r="AL8291">
        <v>1</v>
      </c>
      <c r="AM8291">
        <v>1</v>
      </c>
    </row>
    <row r="8292" spans="1:39" x14ac:dyDescent="0.2">
      <c r="A8292" t="str">
        <f>"8288"</f>
        <v>8288</v>
      </c>
      <c r="B8292" t="str">
        <f t="shared" si="459"/>
        <v>1</v>
      </c>
      <c r="C8292" t="str">
        <f t="shared" si="461"/>
        <v>166</v>
      </c>
      <c r="D8292" t="str">
        <f>"12"</f>
        <v>12</v>
      </c>
      <c r="E8292" t="str">
        <f>"1-166-12"</f>
        <v>1-166-12</v>
      </c>
      <c r="F8292" t="s">
        <v>65</v>
      </c>
      <c r="G8292" t="s">
        <v>66</v>
      </c>
      <c r="H8292" t="s">
        <v>67</v>
      </c>
      <c r="S8292">
        <v>1</v>
      </c>
      <c r="T8292">
        <v>0</v>
      </c>
      <c r="U8292">
        <v>0</v>
      </c>
      <c r="V8292">
        <v>0</v>
      </c>
      <c r="W8292">
        <v>1</v>
      </c>
      <c r="X8292">
        <v>0</v>
      </c>
      <c r="Y8292">
        <v>1</v>
      </c>
      <c r="Z8292">
        <v>0</v>
      </c>
      <c r="AA8292">
        <v>0</v>
      </c>
      <c r="AB8292">
        <v>1</v>
      </c>
      <c r="AC8292">
        <v>0</v>
      </c>
      <c r="AD8292">
        <v>1</v>
      </c>
      <c r="AE8292">
        <v>1</v>
      </c>
      <c r="AF8292">
        <v>1</v>
      </c>
      <c r="AG8292">
        <v>1</v>
      </c>
      <c r="AH8292">
        <v>1</v>
      </c>
      <c r="AI8292">
        <v>1</v>
      </c>
      <c r="AJ8292">
        <v>1</v>
      </c>
      <c r="AK8292">
        <v>1</v>
      </c>
      <c r="AL8292">
        <v>1</v>
      </c>
      <c r="AM8292">
        <v>1</v>
      </c>
    </row>
    <row r="8293" spans="1:39" x14ac:dyDescent="0.2">
      <c r="A8293" t="str">
        <f>"8289"</f>
        <v>8289</v>
      </c>
      <c r="B8293" t="str">
        <f t="shared" si="459"/>
        <v>1</v>
      </c>
      <c r="C8293" t="str">
        <f t="shared" si="461"/>
        <v>166</v>
      </c>
      <c r="D8293" t="str">
        <f>"29"</f>
        <v>29</v>
      </c>
      <c r="E8293" t="str">
        <f>"1-166-29"</f>
        <v>1-166-29</v>
      </c>
      <c r="F8293" t="s">
        <v>65</v>
      </c>
      <c r="G8293" t="s">
        <v>66</v>
      </c>
      <c r="H8293" t="s">
        <v>67</v>
      </c>
      <c r="S8293">
        <v>1</v>
      </c>
      <c r="T8293">
        <v>0</v>
      </c>
      <c r="U8293">
        <v>0</v>
      </c>
      <c r="V8293">
        <v>0</v>
      </c>
      <c r="W8293">
        <v>1</v>
      </c>
      <c r="X8293">
        <v>0</v>
      </c>
      <c r="Y8293">
        <v>1</v>
      </c>
      <c r="Z8293">
        <v>0</v>
      </c>
      <c r="AA8293">
        <v>1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1</v>
      </c>
      <c r="AH8293">
        <v>0</v>
      </c>
      <c r="AI8293">
        <v>1</v>
      </c>
      <c r="AJ8293">
        <v>0</v>
      </c>
      <c r="AK8293">
        <v>0</v>
      </c>
      <c r="AL8293">
        <v>1</v>
      </c>
      <c r="AM8293">
        <v>0</v>
      </c>
    </row>
    <row r="8294" spans="1:39" x14ac:dyDescent="0.2">
      <c r="A8294" t="str">
        <f>"8290"</f>
        <v>8290</v>
      </c>
      <c r="B8294" t="str">
        <f t="shared" si="459"/>
        <v>1</v>
      </c>
      <c r="C8294" t="str">
        <f t="shared" si="461"/>
        <v>166</v>
      </c>
      <c r="D8294" t="str">
        <f>"14"</f>
        <v>14</v>
      </c>
      <c r="E8294" t="str">
        <f>"1-166-14"</f>
        <v>1-166-14</v>
      </c>
      <c r="F8294" t="s">
        <v>65</v>
      </c>
      <c r="G8294" t="s">
        <v>66</v>
      </c>
      <c r="H8294" t="s">
        <v>67</v>
      </c>
      <c r="S8294">
        <v>0</v>
      </c>
      <c r="T8294">
        <v>1</v>
      </c>
      <c r="U8294">
        <v>0</v>
      </c>
      <c r="V8294">
        <v>0</v>
      </c>
      <c r="W8294">
        <v>0</v>
      </c>
      <c r="X8294">
        <v>1</v>
      </c>
      <c r="Y8294">
        <v>1</v>
      </c>
      <c r="Z8294">
        <v>0</v>
      </c>
      <c r="AA8294">
        <v>0</v>
      </c>
      <c r="AB8294">
        <v>0</v>
      </c>
      <c r="AC8294">
        <v>1</v>
      </c>
      <c r="AD8294">
        <v>1</v>
      </c>
      <c r="AE8294">
        <v>1</v>
      </c>
      <c r="AF8294">
        <v>1</v>
      </c>
      <c r="AG8294">
        <v>1</v>
      </c>
      <c r="AH8294">
        <v>1</v>
      </c>
      <c r="AI8294">
        <v>1</v>
      </c>
      <c r="AJ8294">
        <v>1</v>
      </c>
      <c r="AK8294">
        <v>1</v>
      </c>
      <c r="AL8294">
        <v>1</v>
      </c>
      <c r="AM8294">
        <v>1</v>
      </c>
    </row>
    <row r="8295" spans="1:39" x14ac:dyDescent="0.2">
      <c r="A8295" t="str">
        <f>"8291"</f>
        <v>8291</v>
      </c>
      <c r="B8295" t="str">
        <f t="shared" si="459"/>
        <v>1</v>
      </c>
      <c r="C8295" t="str">
        <f t="shared" si="461"/>
        <v>166</v>
      </c>
      <c r="D8295" t="str">
        <f>"48"</f>
        <v>48</v>
      </c>
      <c r="E8295" t="str">
        <f>"1-166-48"</f>
        <v>1-166-48</v>
      </c>
      <c r="F8295" t="s">
        <v>65</v>
      </c>
      <c r="G8295" t="s">
        <v>66</v>
      </c>
      <c r="H8295" t="s">
        <v>67</v>
      </c>
      <c r="S8295">
        <v>1</v>
      </c>
      <c r="T8295">
        <v>0</v>
      </c>
      <c r="U8295">
        <v>0</v>
      </c>
      <c r="V8295">
        <v>0</v>
      </c>
      <c r="W8295">
        <v>1</v>
      </c>
      <c r="X8295">
        <v>0</v>
      </c>
      <c r="Y8295">
        <v>1</v>
      </c>
      <c r="Z8295">
        <v>0</v>
      </c>
      <c r="AA8295">
        <v>0</v>
      </c>
      <c r="AB8295">
        <v>0</v>
      </c>
      <c r="AC8295">
        <v>1</v>
      </c>
      <c r="AD8295">
        <v>1</v>
      </c>
      <c r="AE8295">
        <v>1</v>
      </c>
      <c r="AF8295">
        <v>1</v>
      </c>
      <c r="AG8295">
        <v>1</v>
      </c>
      <c r="AH8295">
        <v>1</v>
      </c>
      <c r="AI8295">
        <v>1</v>
      </c>
      <c r="AJ8295">
        <v>1</v>
      </c>
      <c r="AK8295">
        <v>1</v>
      </c>
      <c r="AL8295">
        <v>1</v>
      </c>
      <c r="AM8295">
        <v>1</v>
      </c>
    </row>
    <row r="8296" spans="1:39" x14ac:dyDescent="0.2">
      <c r="A8296" t="str">
        <f>"8292"</f>
        <v>8292</v>
      </c>
      <c r="B8296" t="str">
        <f t="shared" si="459"/>
        <v>1</v>
      </c>
      <c r="C8296" t="str">
        <f t="shared" si="461"/>
        <v>166</v>
      </c>
      <c r="D8296" t="str">
        <f>"30"</f>
        <v>30</v>
      </c>
      <c r="E8296" t="str">
        <f>"1-166-30"</f>
        <v>1-166-30</v>
      </c>
      <c r="F8296" t="s">
        <v>65</v>
      </c>
      <c r="G8296" t="s">
        <v>66</v>
      </c>
      <c r="H8296" t="s">
        <v>67</v>
      </c>
      <c r="S8296">
        <v>0</v>
      </c>
      <c r="T8296">
        <v>1</v>
      </c>
      <c r="U8296">
        <v>0</v>
      </c>
      <c r="V8296">
        <v>0</v>
      </c>
      <c r="W8296">
        <v>1</v>
      </c>
      <c r="X8296">
        <v>0</v>
      </c>
      <c r="Y8296">
        <v>1</v>
      </c>
      <c r="Z8296">
        <v>0</v>
      </c>
      <c r="AA8296">
        <v>1</v>
      </c>
      <c r="AB8296">
        <v>0</v>
      </c>
      <c r="AC8296">
        <v>0</v>
      </c>
      <c r="AD8296">
        <v>1</v>
      </c>
      <c r="AE8296">
        <v>1</v>
      </c>
      <c r="AF8296">
        <v>1</v>
      </c>
      <c r="AG8296">
        <v>1</v>
      </c>
      <c r="AH8296">
        <v>1</v>
      </c>
      <c r="AI8296">
        <v>1</v>
      </c>
      <c r="AJ8296">
        <v>1</v>
      </c>
      <c r="AK8296">
        <v>1</v>
      </c>
      <c r="AL8296">
        <v>1</v>
      </c>
      <c r="AM8296">
        <v>1</v>
      </c>
    </row>
    <row r="8297" spans="1:39" x14ac:dyDescent="0.2">
      <c r="A8297" t="str">
        <f>"8293"</f>
        <v>8293</v>
      </c>
      <c r="B8297" t="str">
        <f t="shared" si="459"/>
        <v>1</v>
      </c>
      <c r="C8297" t="str">
        <f t="shared" si="461"/>
        <v>166</v>
      </c>
      <c r="D8297" t="str">
        <f>"10"</f>
        <v>10</v>
      </c>
      <c r="E8297" t="str">
        <f>"1-166-10"</f>
        <v>1-166-10</v>
      </c>
      <c r="F8297" t="s">
        <v>65</v>
      </c>
      <c r="G8297" t="s">
        <v>66</v>
      </c>
      <c r="H8297" t="s">
        <v>67</v>
      </c>
      <c r="S8297">
        <v>0</v>
      </c>
      <c r="T8297">
        <v>1</v>
      </c>
      <c r="U8297">
        <v>0</v>
      </c>
      <c r="V8297">
        <v>0</v>
      </c>
      <c r="W8297">
        <v>1</v>
      </c>
      <c r="X8297">
        <v>0</v>
      </c>
      <c r="Y8297">
        <v>1</v>
      </c>
      <c r="Z8297">
        <v>0</v>
      </c>
      <c r="AA8297">
        <v>0</v>
      </c>
      <c r="AB8297">
        <v>1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</row>
    <row r="8298" spans="1:39" x14ac:dyDescent="0.2">
      <c r="A8298" t="str">
        <f>"8294"</f>
        <v>8294</v>
      </c>
      <c r="B8298" t="str">
        <f t="shared" si="459"/>
        <v>1</v>
      </c>
      <c r="C8298" t="str">
        <f t="shared" si="461"/>
        <v>166</v>
      </c>
      <c r="D8298" t="str">
        <f>"47"</f>
        <v>47</v>
      </c>
      <c r="E8298" t="str">
        <f>"1-166-47"</f>
        <v>1-166-47</v>
      </c>
      <c r="F8298" t="s">
        <v>65</v>
      </c>
      <c r="G8298" t="s">
        <v>66</v>
      </c>
      <c r="H8298" t="s">
        <v>67</v>
      </c>
      <c r="S8298">
        <v>1</v>
      </c>
      <c r="T8298">
        <v>0</v>
      </c>
      <c r="U8298">
        <v>0</v>
      </c>
      <c r="V8298">
        <v>0</v>
      </c>
      <c r="W8298">
        <v>1</v>
      </c>
      <c r="X8298">
        <v>0</v>
      </c>
      <c r="Y8298">
        <v>1</v>
      </c>
      <c r="Z8298">
        <v>0</v>
      </c>
      <c r="AA8298">
        <v>0</v>
      </c>
      <c r="AB8298">
        <v>0</v>
      </c>
      <c r="AC8298">
        <v>1</v>
      </c>
      <c r="AD8298">
        <v>1</v>
      </c>
      <c r="AE8298">
        <v>1</v>
      </c>
      <c r="AF8298">
        <v>1</v>
      </c>
      <c r="AG8298">
        <v>1</v>
      </c>
      <c r="AH8298">
        <v>1</v>
      </c>
      <c r="AI8298">
        <v>1</v>
      </c>
      <c r="AJ8298">
        <v>1</v>
      </c>
      <c r="AK8298">
        <v>1</v>
      </c>
      <c r="AL8298">
        <v>1</v>
      </c>
      <c r="AM8298">
        <v>1</v>
      </c>
    </row>
    <row r="8299" spans="1:39" x14ac:dyDescent="0.2">
      <c r="A8299" t="str">
        <f>"8295"</f>
        <v>8295</v>
      </c>
      <c r="B8299" t="str">
        <f t="shared" si="459"/>
        <v>1</v>
      </c>
      <c r="C8299" t="str">
        <f t="shared" si="461"/>
        <v>166</v>
      </c>
      <c r="D8299" t="str">
        <f>"31"</f>
        <v>31</v>
      </c>
      <c r="E8299" t="str">
        <f>"1-166-31"</f>
        <v>1-166-31</v>
      </c>
      <c r="F8299" t="s">
        <v>65</v>
      </c>
      <c r="G8299" t="s">
        <v>66</v>
      </c>
      <c r="H8299" t="s">
        <v>67</v>
      </c>
      <c r="S8299">
        <v>1</v>
      </c>
      <c r="T8299">
        <v>0</v>
      </c>
      <c r="U8299">
        <v>0</v>
      </c>
      <c r="V8299">
        <v>0</v>
      </c>
      <c r="W8299">
        <v>1</v>
      </c>
      <c r="X8299">
        <v>0</v>
      </c>
      <c r="Y8299">
        <v>0</v>
      </c>
      <c r="Z8299">
        <v>1</v>
      </c>
      <c r="AA8299">
        <v>1</v>
      </c>
      <c r="AB8299">
        <v>0</v>
      </c>
      <c r="AC8299">
        <v>0</v>
      </c>
      <c r="AD8299">
        <v>1</v>
      </c>
      <c r="AE8299">
        <v>1</v>
      </c>
      <c r="AF8299">
        <v>1</v>
      </c>
      <c r="AG8299">
        <v>1</v>
      </c>
      <c r="AH8299">
        <v>1</v>
      </c>
      <c r="AI8299">
        <v>1</v>
      </c>
      <c r="AJ8299">
        <v>1</v>
      </c>
      <c r="AK8299">
        <v>1</v>
      </c>
      <c r="AL8299">
        <v>1</v>
      </c>
      <c r="AM8299">
        <v>1</v>
      </c>
    </row>
    <row r="8300" spans="1:39" x14ac:dyDescent="0.2">
      <c r="A8300" t="str">
        <f>"8296"</f>
        <v>8296</v>
      </c>
      <c r="B8300" t="str">
        <f t="shared" si="459"/>
        <v>1</v>
      </c>
      <c r="C8300" t="str">
        <f t="shared" si="461"/>
        <v>166</v>
      </c>
      <c r="D8300" t="str">
        <f>"11"</f>
        <v>11</v>
      </c>
      <c r="E8300" t="str">
        <f>"1-166-11"</f>
        <v>1-166-11</v>
      </c>
      <c r="F8300" t="s">
        <v>65</v>
      </c>
      <c r="G8300" t="s">
        <v>66</v>
      </c>
      <c r="H8300" t="s">
        <v>67</v>
      </c>
      <c r="S8300">
        <v>0</v>
      </c>
      <c r="T8300">
        <v>1</v>
      </c>
      <c r="U8300">
        <v>0</v>
      </c>
      <c r="V8300">
        <v>0</v>
      </c>
      <c r="W8300">
        <v>1</v>
      </c>
      <c r="X8300">
        <v>0</v>
      </c>
      <c r="Y8300">
        <v>0</v>
      </c>
      <c r="Z8300">
        <v>1</v>
      </c>
      <c r="AA8300">
        <v>0</v>
      </c>
      <c r="AB8300">
        <v>0</v>
      </c>
      <c r="AC8300">
        <v>1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</row>
    <row r="8301" spans="1:39" x14ac:dyDescent="0.2">
      <c r="A8301" t="str">
        <f>"8297"</f>
        <v>8297</v>
      </c>
      <c r="B8301" t="str">
        <f t="shared" si="459"/>
        <v>1</v>
      </c>
      <c r="C8301" t="str">
        <f t="shared" si="461"/>
        <v>166</v>
      </c>
      <c r="D8301" t="str">
        <f>"49"</f>
        <v>49</v>
      </c>
      <c r="E8301" t="str">
        <f>"1-166-49"</f>
        <v>1-166-49</v>
      </c>
      <c r="F8301" t="s">
        <v>65</v>
      </c>
      <c r="G8301" t="s">
        <v>66</v>
      </c>
      <c r="H8301" t="s">
        <v>67</v>
      </c>
      <c r="S8301">
        <v>1</v>
      </c>
      <c r="T8301">
        <v>0</v>
      </c>
      <c r="U8301">
        <v>0</v>
      </c>
      <c r="V8301">
        <v>0</v>
      </c>
      <c r="W8301">
        <v>0</v>
      </c>
      <c r="X8301">
        <v>1</v>
      </c>
      <c r="Y8301">
        <v>1</v>
      </c>
      <c r="Z8301">
        <v>0</v>
      </c>
      <c r="AA8301">
        <v>0</v>
      </c>
      <c r="AB8301">
        <v>1</v>
      </c>
      <c r="AC8301">
        <v>0</v>
      </c>
      <c r="AD8301">
        <v>1</v>
      </c>
      <c r="AE8301">
        <v>1</v>
      </c>
      <c r="AF8301">
        <v>1</v>
      </c>
      <c r="AG8301">
        <v>1</v>
      </c>
      <c r="AH8301">
        <v>1</v>
      </c>
      <c r="AI8301">
        <v>1</v>
      </c>
      <c r="AJ8301">
        <v>1</v>
      </c>
      <c r="AK8301">
        <v>1</v>
      </c>
      <c r="AL8301">
        <v>1</v>
      </c>
      <c r="AM8301">
        <v>1</v>
      </c>
    </row>
    <row r="8302" spans="1:39" x14ac:dyDescent="0.2">
      <c r="A8302" t="str">
        <f>"8298"</f>
        <v>8298</v>
      </c>
      <c r="B8302" t="str">
        <f t="shared" si="459"/>
        <v>1</v>
      </c>
      <c r="C8302" t="str">
        <f t="shared" si="461"/>
        <v>166</v>
      </c>
      <c r="D8302" t="str">
        <f>"32"</f>
        <v>32</v>
      </c>
      <c r="E8302" t="str">
        <f>"1-166-32"</f>
        <v>1-166-32</v>
      </c>
      <c r="F8302" t="s">
        <v>65</v>
      </c>
      <c r="G8302" t="s">
        <v>66</v>
      </c>
      <c r="H8302" t="s">
        <v>67</v>
      </c>
      <c r="S8302">
        <v>1</v>
      </c>
      <c r="T8302">
        <v>0</v>
      </c>
      <c r="U8302">
        <v>0</v>
      </c>
      <c r="V8302">
        <v>0</v>
      </c>
      <c r="W8302">
        <v>1</v>
      </c>
      <c r="X8302">
        <v>0</v>
      </c>
      <c r="Y8302">
        <v>0</v>
      </c>
      <c r="Z8302">
        <v>1</v>
      </c>
      <c r="AA8302">
        <v>1</v>
      </c>
      <c r="AB8302">
        <v>0</v>
      </c>
      <c r="AC8302">
        <v>0</v>
      </c>
      <c r="AD8302">
        <v>1</v>
      </c>
      <c r="AE8302">
        <v>1</v>
      </c>
      <c r="AF8302">
        <v>1</v>
      </c>
      <c r="AG8302">
        <v>1</v>
      </c>
      <c r="AH8302">
        <v>1</v>
      </c>
      <c r="AI8302">
        <v>1</v>
      </c>
      <c r="AJ8302">
        <v>1</v>
      </c>
      <c r="AK8302">
        <v>1</v>
      </c>
      <c r="AL8302">
        <v>1</v>
      </c>
      <c r="AM8302">
        <v>1</v>
      </c>
    </row>
    <row r="8303" spans="1:39" x14ac:dyDescent="0.2">
      <c r="A8303" t="str">
        <f>"8299"</f>
        <v>8299</v>
      </c>
      <c r="B8303" t="str">
        <f t="shared" si="459"/>
        <v>1</v>
      </c>
      <c r="C8303" t="str">
        <f t="shared" si="461"/>
        <v>166</v>
      </c>
      <c r="D8303" t="str">
        <f>"13"</f>
        <v>13</v>
      </c>
      <c r="E8303" t="str">
        <f>"1-166-13"</f>
        <v>1-166-13</v>
      </c>
      <c r="F8303" t="s">
        <v>65</v>
      </c>
      <c r="G8303" t="s">
        <v>66</v>
      </c>
      <c r="H8303" t="s">
        <v>67</v>
      </c>
      <c r="S8303">
        <v>1</v>
      </c>
      <c r="T8303">
        <v>0</v>
      </c>
      <c r="U8303">
        <v>0</v>
      </c>
      <c r="V8303">
        <v>0</v>
      </c>
      <c r="W8303">
        <v>1</v>
      </c>
      <c r="X8303">
        <v>0</v>
      </c>
      <c r="Y8303">
        <v>0</v>
      </c>
      <c r="Z8303">
        <v>1</v>
      </c>
      <c r="AA8303">
        <v>0</v>
      </c>
      <c r="AB8303">
        <v>0</v>
      </c>
      <c r="AC8303">
        <v>1</v>
      </c>
      <c r="AD8303">
        <v>1</v>
      </c>
      <c r="AE8303">
        <v>1</v>
      </c>
      <c r="AF8303">
        <v>1</v>
      </c>
      <c r="AG8303">
        <v>1</v>
      </c>
      <c r="AH8303">
        <v>1</v>
      </c>
      <c r="AI8303">
        <v>1</v>
      </c>
      <c r="AJ8303">
        <v>1</v>
      </c>
      <c r="AK8303">
        <v>1</v>
      </c>
      <c r="AL8303">
        <v>1</v>
      </c>
      <c r="AM8303">
        <v>1</v>
      </c>
    </row>
    <row r="8304" spans="1:39" x14ac:dyDescent="0.2">
      <c r="A8304" t="str">
        <f>"8300"</f>
        <v>8300</v>
      </c>
      <c r="B8304" t="str">
        <f t="shared" si="459"/>
        <v>1</v>
      </c>
      <c r="C8304" t="str">
        <f t="shared" si="461"/>
        <v>166</v>
      </c>
      <c r="D8304" t="str">
        <f>"50"</f>
        <v>50</v>
      </c>
      <c r="E8304" t="str">
        <f>"1-166-50"</f>
        <v>1-166-50</v>
      </c>
      <c r="F8304" t="s">
        <v>65</v>
      </c>
      <c r="G8304" t="s">
        <v>66</v>
      </c>
      <c r="H8304" t="s">
        <v>67</v>
      </c>
      <c r="S8304">
        <v>1</v>
      </c>
      <c r="T8304">
        <v>0</v>
      </c>
      <c r="U8304">
        <v>0</v>
      </c>
      <c r="V8304">
        <v>0</v>
      </c>
      <c r="W8304">
        <v>0</v>
      </c>
      <c r="X8304">
        <v>1</v>
      </c>
      <c r="Y8304">
        <v>1</v>
      </c>
      <c r="Z8304">
        <v>0</v>
      </c>
      <c r="AA8304">
        <v>0</v>
      </c>
      <c r="AB8304">
        <v>0</v>
      </c>
      <c r="AC8304">
        <v>1</v>
      </c>
      <c r="AD8304">
        <v>1</v>
      </c>
      <c r="AE8304">
        <v>1</v>
      </c>
      <c r="AF8304">
        <v>1</v>
      </c>
      <c r="AG8304">
        <v>1</v>
      </c>
      <c r="AH8304">
        <v>1</v>
      </c>
      <c r="AI8304">
        <v>1</v>
      </c>
      <c r="AJ8304">
        <v>1</v>
      </c>
      <c r="AK8304">
        <v>1</v>
      </c>
      <c r="AL8304">
        <v>1</v>
      </c>
      <c r="AM8304">
        <v>1</v>
      </c>
    </row>
    <row r="8305" spans="1:39" x14ac:dyDescent="0.2">
      <c r="A8305" t="str">
        <f>"8301"</f>
        <v>8301</v>
      </c>
      <c r="B8305" t="str">
        <f t="shared" si="459"/>
        <v>1</v>
      </c>
      <c r="C8305" t="str">
        <f t="shared" ref="C8305:C8336" si="462">"167"</f>
        <v>167</v>
      </c>
      <c r="D8305" t="str">
        <f>"40"</f>
        <v>40</v>
      </c>
      <c r="E8305" t="str">
        <f>"1-167-40"</f>
        <v>1-167-40</v>
      </c>
      <c r="F8305" t="s">
        <v>65</v>
      </c>
      <c r="G8305" t="s">
        <v>66</v>
      </c>
      <c r="H8305" t="s">
        <v>67</v>
      </c>
      <c r="S8305">
        <v>0</v>
      </c>
      <c r="T8305">
        <v>1</v>
      </c>
      <c r="U8305">
        <v>0</v>
      </c>
      <c r="V8305">
        <v>0</v>
      </c>
      <c r="W8305">
        <v>0</v>
      </c>
      <c r="X8305">
        <v>1</v>
      </c>
      <c r="Y8305">
        <v>1</v>
      </c>
      <c r="Z8305">
        <v>0</v>
      </c>
      <c r="AA8305">
        <v>0</v>
      </c>
      <c r="AB8305">
        <v>0</v>
      </c>
      <c r="AC8305">
        <v>1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</row>
    <row r="8306" spans="1:39" x14ac:dyDescent="0.2">
      <c r="A8306" t="str">
        <f>"8302"</f>
        <v>8302</v>
      </c>
      <c r="B8306" t="str">
        <f t="shared" si="459"/>
        <v>1</v>
      </c>
      <c r="C8306" t="str">
        <f t="shared" si="462"/>
        <v>167</v>
      </c>
      <c r="D8306" t="str">
        <f>"39"</f>
        <v>39</v>
      </c>
      <c r="E8306" t="str">
        <f>"1-167-39"</f>
        <v>1-167-39</v>
      </c>
      <c r="F8306" t="s">
        <v>65</v>
      </c>
      <c r="G8306" t="s">
        <v>66</v>
      </c>
      <c r="H8306" t="s">
        <v>67</v>
      </c>
      <c r="S8306">
        <v>1</v>
      </c>
      <c r="T8306">
        <v>0</v>
      </c>
      <c r="U8306">
        <v>0</v>
      </c>
      <c r="V8306">
        <v>0</v>
      </c>
      <c r="W8306">
        <v>1</v>
      </c>
      <c r="X8306">
        <v>0</v>
      </c>
      <c r="Y8306">
        <v>1</v>
      </c>
      <c r="Z8306">
        <v>0</v>
      </c>
      <c r="AA8306">
        <v>1</v>
      </c>
      <c r="AB8306">
        <v>0</v>
      </c>
      <c r="AC8306">
        <v>0</v>
      </c>
      <c r="AD8306">
        <v>1</v>
      </c>
      <c r="AE8306">
        <v>1</v>
      </c>
      <c r="AF8306">
        <v>1</v>
      </c>
      <c r="AG8306">
        <v>1</v>
      </c>
      <c r="AH8306">
        <v>1</v>
      </c>
      <c r="AI8306">
        <v>1</v>
      </c>
      <c r="AJ8306">
        <v>1</v>
      </c>
      <c r="AK8306">
        <v>1</v>
      </c>
      <c r="AL8306">
        <v>1</v>
      </c>
      <c r="AM8306">
        <v>1</v>
      </c>
    </row>
    <row r="8307" spans="1:39" x14ac:dyDescent="0.2">
      <c r="A8307" t="str">
        <f>"8303"</f>
        <v>8303</v>
      </c>
      <c r="B8307" t="str">
        <f t="shared" si="459"/>
        <v>1</v>
      </c>
      <c r="C8307" t="str">
        <f t="shared" si="462"/>
        <v>167</v>
      </c>
      <c r="D8307" t="str">
        <f>"31"</f>
        <v>31</v>
      </c>
      <c r="E8307" t="str">
        <f>"1-167-31"</f>
        <v>1-167-31</v>
      </c>
      <c r="F8307" t="s">
        <v>65</v>
      </c>
      <c r="G8307" t="s">
        <v>66</v>
      </c>
      <c r="H8307" t="s">
        <v>67</v>
      </c>
      <c r="S8307">
        <v>0</v>
      </c>
      <c r="T8307">
        <v>1</v>
      </c>
      <c r="U8307">
        <v>0</v>
      </c>
      <c r="V8307">
        <v>0</v>
      </c>
      <c r="W8307">
        <v>1</v>
      </c>
      <c r="X8307">
        <v>0</v>
      </c>
      <c r="Y8307">
        <v>0</v>
      </c>
      <c r="Z8307">
        <v>1</v>
      </c>
      <c r="AA8307">
        <v>0</v>
      </c>
      <c r="AB8307">
        <v>0</v>
      </c>
      <c r="AC8307">
        <v>1</v>
      </c>
      <c r="AD8307">
        <v>1</v>
      </c>
      <c r="AE8307">
        <v>1</v>
      </c>
      <c r="AF8307">
        <v>1</v>
      </c>
      <c r="AG8307">
        <v>1</v>
      </c>
      <c r="AH8307">
        <v>0</v>
      </c>
      <c r="AI8307">
        <v>1</v>
      </c>
      <c r="AJ8307">
        <v>1</v>
      </c>
      <c r="AK8307">
        <v>1</v>
      </c>
      <c r="AL8307">
        <v>1</v>
      </c>
      <c r="AM8307">
        <v>1</v>
      </c>
    </row>
    <row r="8308" spans="1:39" x14ac:dyDescent="0.2">
      <c r="A8308" t="str">
        <f>"8304"</f>
        <v>8304</v>
      </c>
      <c r="B8308" t="str">
        <f t="shared" si="459"/>
        <v>1</v>
      </c>
      <c r="C8308" t="str">
        <f t="shared" si="462"/>
        <v>167</v>
      </c>
      <c r="D8308" t="str">
        <f>"30"</f>
        <v>30</v>
      </c>
      <c r="E8308" t="str">
        <f>"1-167-30"</f>
        <v>1-167-30</v>
      </c>
      <c r="F8308" t="s">
        <v>65</v>
      </c>
      <c r="G8308" t="s">
        <v>66</v>
      </c>
      <c r="H8308" t="s">
        <v>67</v>
      </c>
      <c r="S8308">
        <v>1</v>
      </c>
      <c r="T8308">
        <v>0</v>
      </c>
      <c r="U8308">
        <v>0</v>
      </c>
      <c r="V8308">
        <v>0</v>
      </c>
      <c r="W8308">
        <v>0</v>
      </c>
      <c r="X8308">
        <v>1</v>
      </c>
      <c r="Y8308">
        <v>0</v>
      </c>
      <c r="Z8308">
        <v>1</v>
      </c>
      <c r="AA8308">
        <v>0</v>
      </c>
      <c r="AB8308">
        <v>1</v>
      </c>
      <c r="AC8308">
        <v>0</v>
      </c>
      <c r="AD8308">
        <v>1</v>
      </c>
      <c r="AE8308">
        <v>1</v>
      </c>
      <c r="AF8308">
        <v>1</v>
      </c>
      <c r="AG8308">
        <v>1</v>
      </c>
      <c r="AH8308">
        <v>1</v>
      </c>
      <c r="AI8308">
        <v>1</v>
      </c>
      <c r="AJ8308">
        <v>1</v>
      </c>
      <c r="AK8308">
        <v>1</v>
      </c>
      <c r="AL8308">
        <v>1</v>
      </c>
      <c r="AM8308">
        <v>1</v>
      </c>
    </row>
    <row r="8309" spans="1:39" x14ac:dyDescent="0.2">
      <c r="A8309" t="str">
        <f>"8305"</f>
        <v>8305</v>
      </c>
      <c r="B8309" t="str">
        <f t="shared" si="459"/>
        <v>1</v>
      </c>
      <c r="C8309" t="str">
        <f t="shared" si="462"/>
        <v>167</v>
      </c>
      <c r="D8309" t="str">
        <f>"20"</f>
        <v>20</v>
      </c>
      <c r="E8309" t="str">
        <f>"1-167-20"</f>
        <v>1-167-20</v>
      </c>
      <c r="F8309" t="s">
        <v>65</v>
      </c>
      <c r="G8309" t="s">
        <v>66</v>
      </c>
      <c r="H8309" t="s">
        <v>67</v>
      </c>
      <c r="S8309">
        <v>0</v>
      </c>
      <c r="T8309">
        <v>1</v>
      </c>
      <c r="U8309">
        <v>0</v>
      </c>
      <c r="V8309">
        <v>0</v>
      </c>
      <c r="W8309">
        <v>1</v>
      </c>
      <c r="X8309">
        <v>0</v>
      </c>
      <c r="Y8309">
        <v>0</v>
      </c>
      <c r="Z8309">
        <v>1</v>
      </c>
      <c r="AA8309">
        <v>0</v>
      </c>
      <c r="AB8309">
        <v>0</v>
      </c>
      <c r="AC8309">
        <v>1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</row>
    <row r="8310" spans="1:39" x14ac:dyDescent="0.2">
      <c r="A8310" t="str">
        <f>"8306"</f>
        <v>8306</v>
      </c>
      <c r="B8310" t="str">
        <f t="shared" si="459"/>
        <v>1</v>
      </c>
      <c r="C8310" t="str">
        <f t="shared" si="462"/>
        <v>167</v>
      </c>
      <c r="D8310" t="str">
        <f>"15"</f>
        <v>15</v>
      </c>
      <c r="E8310" t="str">
        <f>"1-167-15"</f>
        <v>1-167-15</v>
      </c>
      <c r="F8310" t="s">
        <v>65</v>
      </c>
      <c r="G8310" t="s">
        <v>66</v>
      </c>
      <c r="H8310" t="s">
        <v>67</v>
      </c>
      <c r="S8310">
        <v>1</v>
      </c>
      <c r="T8310">
        <v>0</v>
      </c>
      <c r="U8310">
        <v>0</v>
      </c>
      <c r="V8310">
        <v>0</v>
      </c>
      <c r="W8310">
        <v>1</v>
      </c>
      <c r="X8310">
        <v>0</v>
      </c>
      <c r="Y8310">
        <v>1</v>
      </c>
      <c r="Z8310">
        <v>0</v>
      </c>
      <c r="AA8310">
        <v>0</v>
      </c>
      <c r="AB8310">
        <v>1</v>
      </c>
      <c r="AC8310">
        <v>0</v>
      </c>
      <c r="AD8310">
        <v>1</v>
      </c>
      <c r="AE8310">
        <v>1</v>
      </c>
      <c r="AF8310">
        <v>1</v>
      </c>
      <c r="AG8310">
        <v>1</v>
      </c>
      <c r="AH8310">
        <v>1</v>
      </c>
      <c r="AI8310">
        <v>1</v>
      </c>
      <c r="AJ8310">
        <v>1</v>
      </c>
      <c r="AK8310">
        <v>1</v>
      </c>
      <c r="AL8310">
        <v>1</v>
      </c>
      <c r="AM8310">
        <v>1</v>
      </c>
    </row>
    <row r="8311" spans="1:39" x14ac:dyDescent="0.2">
      <c r="A8311" t="str">
        <f>"8307"</f>
        <v>8307</v>
      </c>
      <c r="B8311" t="str">
        <f t="shared" ref="B8311:B8374" si="463">"1"</f>
        <v>1</v>
      </c>
      <c r="C8311" t="str">
        <f t="shared" si="462"/>
        <v>167</v>
      </c>
      <c r="D8311" t="str">
        <f>"14"</f>
        <v>14</v>
      </c>
      <c r="E8311" t="str">
        <f>"1-167-14"</f>
        <v>1-167-14</v>
      </c>
      <c r="F8311" t="s">
        <v>65</v>
      </c>
      <c r="G8311" t="s">
        <v>66</v>
      </c>
      <c r="H8311" t="s">
        <v>67</v>
      </c>
      <c r="S8311">
        <v>0</v>
      </c>
      <c r="T8311">
        <v>1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1</v>
      </c>
      <c r="AA8311">
        <v>0</v>
      </c>
      <c r="AB8311">
        <v>0</v>
      </c>
      <c r="AC8311">
        <v>1</v>
      </c>
      <c r="AD8311">
        <v>1</v>
      </c>
      <c r="AE8311">
        <v>1</v>
      </c>
      <c r="AF8311">
        <v>1</v>
      </c>
      <c r="AG8311">
        <v>1</v>
      </c>
      <c r="AH8311">
        <v>1</v>
      </c>
      <c r="AI8311">
        <v>1</v>
      </c>
      <c r="AJ8311">
        <v>1</v>
      </c>
      <c r="AK8311">
        <v>1</v>
      </c>
      <c r="AL8311">
        <v>1</v>
      </c>
      <c r="AM8311">
        <v>1</v>
      </c>
    </row>
    <row r="8312" spans="1:39" x14ac:dyDescent="0.2">
      <c r="A8312" t="str">
        <f>"8308"</f>
        <v>8308</v>
      </c>
      <c r="B8312" t="str">
        <f t="shared" si="463"/>
        <v>1</v>
      </c>
      <c r="C8312" t="str">
        <f t="shared" si="462"/>
        <v>167</v>
      </c>
      <c r="D8312" t="str">
        <f>"36"</f>
        <v>36</v>
      </c>
      <c r="E8312" t="str">
        <f>"1-167-36"</f>
        <v>1-167-36</v>
      </c>
      <c r="F8312" t="s">
        <v>65</v>
      </c>
      <c r="G8312" t="s">
        <v>66</v>
      </c>
      <c r="H8312" t="s">
        <v>67</v>
      </c>
      <c r="S8312">
        <v>0</v>
      </c>
      <c r="T8312">
        <v>1</v>
      </c>
      <c r="U8312">
        <v>0</v>
      </c>
      <c r="V8312">
        <v>0</v>
      </c>
      <c r="W8312">
        <v>1</v>
      </c>
      <c r="X8312">
        <v>0</v>
      </c>
      <c r="Y8312">
        <v>0</v>
      </c>
      <c r="Z8312">
        <v>1</v>
      </c>
      <c r="AA8312">
        <v>0</v>
      </c>
      <c r="AB8312">
        <v>0</v>
      </c>
      <c r="AC8312">
        <v>1</v>
      </c>
      <c r="AD8312">
        <v>1</v>
      </c>
      <c r="AE8312">
        <v>1</v>
      </c>
      <c r="AF8312">
        <v>1</v>
      </c>
      <c r="AG8312">
        <v>0</v>
      </c>
      <c r="AH8312">
        <v>0</v>
      </c>
      <c r="AI8312">
        <v>1</v>
      </c>
      <c r="AJ8312">
        <v>1</v>
      </c>
      <c r="AK8312">
        <v>1</v>
      </c>
      <c r="AL8312">
        <v>1</v>
      </c>
      <c r="AM8312">
        <v>1</v>
      </c>
    </row>
    <row r="8313" spans="1:39" x14ac:dyDescent="0.2">
      <c r="A8313" t="str">
        <f>"8309"</f>
        <v>8309</v>
      </c>
      <c r="B8313" t="str">
        <f t="shared" si="463"/>
        <v>1</v>
      </c>
      <c r="C8313" t="str">
        <f t="shared" si="462"/>
        <v>167</v>
      </c>
      <c r="D8313" t="str">
        <f>"27"</f>
        <v>27</v>
      </c>
      <c r="E8313" t="str">
        <f>"1-167-27"</f>
        <v>1-167-27</v>
      </c>
      <c r="F8313" t="s">
        <v>65</v>
      </c>
      <c r="G8313" t="s">
        <v>66</v>
      </c>
      <c r="H8313" t="s">
        <v>67</v>
      </c>
      <c r="S8313">
        <v>0</v>
      </c>
      <c r="T8313">
        <v>1</v>
      </c>
      <c r="U8313">
        <v>0</v>
      </c>
      <c r="V8313">
        <v>0</v>
      </c>
      <c r="W8313">
        <v>1</v>
      </c>
      <c r="X8313">
        <v>0</v>
      </c>
      <c r="Y8313">
        <v>1</v>
      </c>
      <c r="Z8313">
        <v>0</v>
      </c>
      <c r="AA8313">
        <v>1</v>
      </c>
      <c r="AB8313">
        <v>0</v>
      </c>
      <c r="AC8313">
        <v>0</v>
      </c>
      <c r="AD8313">
        <v>1</v>
      </c>
      <c r="AE8313">
        <v>1</v>
      </c>
      <c r="AF8313">
        <v>1</v>
      </c>
      <c r="AG8313">
        <v>1</v>
      </c>
      <c r="AH8313">
        <v>1</v>
      </c>
      <c r="AI8313">
        <v>1</v>
      </c>
      <c r="AJ8313">
        <v>1</v>
      </c>
      <c r="AK8313">
        <v>1</v>
      </c>
      <c r="AL8313">
        <v>1</v>
      </c>
      <c r="AM8313">
        <v>1</v>
      </c>
    </row>
    <row r="8314" spans="1:39" x14ac:dyDescent="0.2">
      <c r="A8314" t="str">
        <f>"8310"</f>
        <v>8310</v>
      </c>
      <c r="B8314" t="str">
        <f t="shared" si="463"/>
        <v>1</v>
      </c>
      <c r="C8314" t="str">
        <f t="shared" si="462"/>
        <v>167</v>
      </c>
      <c r="D8314" t="str">
        <f>"16"</f>
        <v>16</v>
      </c>
      <c r="E8314" t="str">
        <f>"1-167-16"</f>
        <v>1-167-16</v>
      </c>
      <c r="F8314" t="s">
        <v>65</v>
      </c>
      <c r="G8314" t="s">
        <v>66</v>
      </c>
      <c r="H8314" t="s">
        <v>67</v>
      </c>
      <c r="S8314">
        <v>1</v>
      </c>
      <c r="T8314">
        <v>0</v>
      </c>
      <c r="U8314">
        <v>0</v>
      </c>
      <c r="V8314">
        <v>0</v>
      </c>
      <c r="W8314">
        <v>1</v>
      </c>
      <c r="X8314">
        <v>0</v>
      </c>
      <c r="Y8314">
        <v>1</v>
      </c>
      <c r="Z8314">
        <v>0</v>
      </c>
      <c r="AA8314">
        <v>0</v>
      </c>
      <c r="AB8314">
        <v>1</v>
      </c>
      <c r="AC8314">
        <v>0</v>
      </c>
      <c r="AD8314">
        <v>1</v>
      </c>
      <c r="AE8314">
        <v>1</v>
      </c>
      <c r="AF8314">
        <v>1</v>
      </c>
      <c r="AG8314">
        <v>1</v>
      </c>
      <c r="AH8314">
        <v>1</v>
      </c>
      <c r="AI8314">
        <v>1</v>
      </c>
      <c r="AJ8314">
        <v>1</v>
      </c>
      <c r="AK8314">
        <v>1</v>
      </c>
      <c r="AL8314">
        <v>1</v>
      </c>
      <c r="AM8314">
        <v>1</v>
      </c>
    </row>
    <row r="8315" spans="1:39" x14ac:dyDescent="0.2">
      <c r="A8315" t="str">
        <f>"8311"</f>
        <v>8311</v>
      </c>
      <c r="B8315" t="str">
        <f t="shared" si="463"/>
        <v>1</v>
      </c>
      <c r="C8315" t="str">
        <f t="shared" si="462"/>
        <v>167</v>
      </c>
      <c r="D8315" t="str">
        <f>"6"</f>
        <v>6</v>
      </c>
      <c r="E8315" t="str">
        <f>"1-167-6"</f>
        <v>1-167-6</v>
      </c>
      <c r="F8315" t="s">
        <v>65</v>
      </c>
      <c r="G8315" t="s">
        <v>66</v>
      </c>
      <c r="H8315" t="s">
        <v>67</v>
      </c>
      <c r="S8315">
        <v>1</v>
      </c>
      <c r="T8315">
        <v>0</v>
      </c>
      <c r="U8315">
        <v>0</v>
      </c>
      <c r="V8315">
        <v>0</v>
      </c>
      <c r="W8315">
        <v>1</v>
      </c>
      <c r="X8315">
        <v>0</v>
      </c>
      <c r="Y8315">
        <v>1</v>
      </c>
      <c r="Z8315">
        <v>0</v>
      </c>
      <c r="AA8315">
        <v>1</v>
      </c>
      <c r="AB8315">
        <v>0</v>
      </c>
      <c r="AC8315">
        <v>0</v>
      </c>
      <c r="AD8315">
        <v>1</v>
      </c>
      <c r="AE8315">
        <v>1</v>
      </c>
      <c r="AF8315">
        <v>1</v>
      </c>
      <c r="AG8315">
        <v>1</v>
      </c>
      <c r="AH8315">
        <v>1</v>
      </c>
      <c r="AI8315">
        <v>1</v>
      </c>
      <c r="AJ8315">
        <v>1</v>
      </c>
      <c r="AK8315">
        <v>1</v>
      </c>
      <c r="AL8315">
        <v>1</v>
      </c>
      <c r="AM8315">
        <v>1</v>
      </c>
    </row>
    <row r="8316" spans="1:39" x14ac:dyDescent="0.2">
      <c r="A8316" t="str">
        <f>"8312"</f>
        <v>8312</v>
      </c>
      <c r="B8316" t="str">
        <f t="shared" si="463"/>
        <v>1</v>
      </c>
      <c r="C8316" t="str">
        <f t="shared" si="462"/>
        <v>167</v>
      </c>
      <c r="D8316" t="str">
        <f>"43"</f>
        <v>43</v>
      </c>
      <c r="E8316" t="str">
        <f>"1-167-43"</f>
        <v>1-167-43</v>
      </c>
      <c r="F8316" t="s">
        <v>65</v>
      </c>
      <c r="G8316" t="s">
        <v>66</v>
      </c>
      <c r="H8316" t="s">
        <v>67</v>
      </c>
      <c r="S8316">
        <v>0</v>
      </c>
      <c r="T8316">
        <v>1</v>
      </c>
      <c r="U8316">
        <v>0</v>
      </c>
      <c r="V8316">
        <v>0</v>
      </c>
      <c r="W8316">
        <v>1</v>
      </c>
      <c r="X8316">
        <v>0</v>
      </c>
      <c r="Y8316">
        <v>1</v>
      </c>
      <c r="Z8316">
        <v>0</v>
      </c>
      <c r="AA8316">
        <v>1</v>
      </c>
      <c r="AB8316">
        <v>0</v>
      </c>
      <c r="AC8316">
        <v>0</v>
      </c>
      <c r="AD8316">
        <v>1</v>
      </c>
      <c r="AE8316">
        <v>1</v>
      </c>
      <c r="AF8316">
        <v>1</v>
      </c>
      <c r="AG8316">
        <v>1</v>
      </c>
      <c r="AH8316">
        <v>1</v>
      </c>
      <c r="AI8316">
        <v>1</v>
      </c>
      <c r="AJ8316">
        <v>1</v>
      </c>
      <c r="AK8316">
        <v>1</v>
      </c>
      <c r="AL8316">
        <v>1</v>
      </c>
      <c r="AM8316">
        <v>1</v>
      </c>
    </row>
    <row r="8317" spans="1:39" x14ac:dyDescent="0.2">
      <c r="A8317" t="str">
        <f>"8313"</f>
        <v>8313</v>
      </c>
      <c r="B8317" t="str">
        <f t="shared" si="463"/>
        <v>1</v>
      </c>
      <c r="C8317" t="str">
        <f t="shared" si="462"/>
        <v>167</v>
      </c>
      <c r="D8317" t="str">
        <f>"42"</f>
        <v>42</v>
      </c>
      <c r="E8317" t="str">
        <f>"1-167-42"</f>
        <v>1-167-42</v>
      </c>
      <c r="F8317" t="s">
        <v>65</v>
      </c>
      <c r="G8317" t="s">
        <v>66</v>
      </c>
      <c r="H8317" t="s">
        <v>67</v>
      </c>
      <c r="S8317">
        <v>1</v>
      </c>
      <c r="T8317">
        <v>0</v>
      </c>
      <c r="U8317">
        <v>0</v>
      </c>
      <c r="V8317">
        <v>0</v>
      </c>
      <c r="W8317">
        <v>1</v>
      </c>
      <c r="X8317">
        <v>0</v>
      </c>
      <c r="Y8317">
        <v>1</v>
      </c>
      <c r="Z8317">
        <v>0</v>
      </c>
      <c r="AA8317">
        <v>1</v>
      </c>
      <c r="AB8317">
        <v>0</v>
      </c>
      <c r="AC8317">
        <v>0</v>
      </c>
      <c r="AD8317">
        <v>1</v>
      </c>
      <c r="AE8317">
        <v>1</v>
      </c>
      <c r="AF8317">
        <v>1</v>
      </c>
      <c r="AG8317">
        <v>1</v>
      </c>
      <c r="AH8317">
        <v>1</v>
      </c>
      <c r="AI8317">
        <v>1</v>
      </c>
      <c r="AJ8317">
        <v>1</v>
      </c>
      <c r="AK8317">
        <v>1</v>
      </c>
      <c r="AL8317">
        <v>1</v>
      </c>
      <c r="AM8317">
        <v>1</v>
      </c>
    </row>
    <row r="8318" spans="1:39" x14ac:dyDescent="0.2">
      <c r="A8318" t="str">
        <f>"8314"</f>
        <v>8314</v>
      </c>
      <c r="B8318" t="str">
        <f t="shared" si="463"/>
        <v>1</v>
      </c>
      <c r="C8318" t="str">
        <f t="shared" si="462"/>
        <v>167</v>
      </c>
      <c r="D8318" t="str">
        <f>"33"</f>
        <v>33</v>
      </c>
      <c r="E8318" t="str">
        <f>"1-167-33"</f>
        <v>1-167-33</v>
      </c>
      <c r="F8318" t="s">
        <v>65</v>
      </c>
      <c r="G8318" t="s">
        <v>66</v>
      </c>
      <c r="H8318" t="s">
        <v>67</v>
      </c>
      <c r="S8318">
        <v>1</v>
      </c>
      <c r="T8318">
        <v>0</v>
      </c>
      <c r="U8318">
        <v>0</v>
      </c>
      <c r="V8318">
        <v>0</v>
      </c>
      <c r="W8318">
        <v>1</v>
      </c>
      <c r="X8318">
        <v>0</v>
      </c>
      <c r="Y8318">
        <v>1</v>
      </c>
      <c r="Z8318">
        <v>0</v>
      </c>
      <c r="AA8318">
        <v>1</v>
      </c>
      <c r="AB8318">
        <v>0</v>
      </c>
      <c r="AC8318">
        <v>0</v>
      </c>
      <c r="AD8318">
        <v>1</v>
      </c>
      <c r="AE8318">
        <v>1</v>
      </c>
      <c r="AF8318">
        <v>1</v>
      </c>
      <c r="AG8318">
        <v>1</v>
      </c>
      <c r="AH8318">
        <v>1</v>
      </c>
      <c r="AI8318">
        <v>1</v>
      </c>
      <c r="AJ8318">
        <v>1</v>
      </c>
      <c r="AK8318">
        <v>1</v>
      </c>
      <c r="AL8318">
        <v>1</v>
      </c>
      <c r="AM8318">
        <v>1</v>
      </c>
    </row>
    <row r="8319" spans="1:39" x14ac:dyDescent="0.2">
      <c r="A8319" t="str">
        <f>"8315"</f>
        <v>8315</v>
      </c>
      <c r="B8319" t="str">
        <f t="shared" si="463"/>
        <v>1</v>
      </c>
      <c r="C8319" t="str">
        <f t="shared" si="462"/>
        <v>167</v>
      </c>
      <c r="D8319" t="str">
        <f>"17"</f>
        <v>17</v>
      </c>
      <c r="E8319" t="str">
        <f>"1-167-17"</f>
        <v>1-167-17</v>
      </c>
      <c r="F8319" t="s">
        <v>65</v>
      </c>
      <c r="G8319" t="s">
        <v>66</v>
      </c>
      <c r="H8319" t="s">
        <v>67</v>
      </c>
      <c r="S8319">
        <v>1</v>
      </c>
      <c r="T8319">
        <v>0</v>
      </c>
      <c r="U8319">
        <v>0</v>
      </c>
      <c r="V8319">
        <v>0</v>
      </c>
      <c r="W8319">
        <v>1</v>
      </c>
      <c r="X8319">
        <v>0</v>
      </c>
      <c r="Y8319">
        <v>0</v>
      </c>
      <c r="Z8319">
        <v>1</v>
      </c>
      <c r="AA8319">
        <v>1</v>
      </c>
      <c r="AB8319">
        <v>0</v>
      </c>
      <c r="AC8319">
        <v>0</v>
      </c>
      <c r="AD8319">
        <v>1</v>
      </c>
      <c r="AE8319">
        <v>1</v>
      </c>
      <c r="AF8319">
        <v>1</v>
      </c>
      <c r="AG8319">
        <v>1</v>
      </c>
      <c r="AH8319">
        <v>1</v>
      </c>
      <c r="AI8319">
        <v>1</v>
      </c>
      <c r="AJ8319">
        <v>1</v>
      </c>
      <c r="AK8319">
        <v>1</v>
      </c>
      <c r="AL8319">
        <v>1</v>
      </c>
      <c r="AM8319">
        <v>1</v>
      </c>
    </row>
    <row r="8320" spans="1:39" x14ac:dyDescent="0.2">
      <c r="A8320" t="str">
        <f>"8316"</f>
        <v>8316</v>
      </c>
      <c r="B8320" t="str">
        <f t="shared" si="463"/>
        <v>1</v>
      </c>
      <c r="C8320" t="str">
        <f t="shared" si="462"/>
        <v>167</v>
      </c>
      <c r="D8320" t="str">
        <f>"1"</f>
        <v>1</v>
      </c>
      <c r="E8320" t="str">
        <f>"1-167-1"</f>
        <v>1-167-1</v>
      </c>
      <c r="F8320" t="s">
        <v>65</v>
      </c>
      <c r="G8320" t="s">
        <v>66</v>
      </c>
      <c r="H8320" t="s">
        <v>67</v>
      </c>
      <c r="S8320">
        <v>0</v>
      </c>
      <c r="T8320">
        <v>1</v>
      </c>
      <c r="U8320">
        <v>0</v>
      </c>
      <c r="V8320">
        <v>0</v>
      </c>
      <c r="W8320">
        <v>0</v>
      </c>
      <c r="X8320">
        <v>1</v>
      </c>
      <c r="Y8320">
        <v>0</v>
      </c>
      <c r="Z8320">
        <v>1</v>
      </c>
      <c r="AA8320">
        <v>0</v>
      </c>
      <c r="AB8320">
        <v>0</v>
      </c>
      <c r="AC8320">
        <v>1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</row>
    <row r="8321" spans="1:39" x14ac:dyDescent="0.2">
      <c r="A8321" t="str">
        <f>"8317"</f>
        <v>8317</v>
      </c>
      <c r="B8321" t="str">
        <f t="shared" si="463"/>
        <v>1</v>
      </c>
      <c r="C8321" t="str">
        <f t="shared" si="462"/>
        <v>167</v>
      </c>
      <c r="D8321" t="str">
        <f>"45"</f>
        <v>45</v>
      </c>
      <c r="E8321" t="str">
        <f>"1-167-45"</f>
        <v>1-167-45</v>
      </c>
      <c r="F8321" t="s">
        <v>65</v>
      </c>
      <c r="G8321" t="s">
        <v>66</v>
      </c>
      <c r="H8321" t="s">
        <v>67</v>
      </c>
      <c r="S8321">
        <v>1</v>
      </c>
      <c r="T8321">
        <v>0</v>
      </c>
      <c r="U8321">
        <v>0</v>
      </c>
      <c r="V8321">
        <v>0</v>
      </c>
      <c r="W8321">
        <v>1</v>
      </c>
      <c r="X8321">
        <v>0</v>
      </c>
      <c r="Y8321">
        <v>1</v>
      </c>
      <c r="Z8321">
        <v>0</v>
      </c>
      <c r="AA8321">
        <v>0</v>
      </c>
      <c r="AB8321">
        <v>1</v>
      </c>
      <c r="AC8321">
        <v>0</v>
      </c>
      <c r="AD8321">
        <v>1</v>
      </c>
      <c r="AE8321">
        <v>1</v>
      </c>
      <c r="AF8321">
        <v>1</v>
      </c>
      <c r="AG8321">
        <v>1</v>
      </c>
      <c r="AH8321">
        <v>1</v>
      </c>
      <c r="AI8321">
        <v>1</v>
      </c>
      <c r="AJ8321">
        <v>1</v>
      </c>
      <c r="AK8321">
        <v>1</v>
      </c>
      <c r="AL8321">
        <v>1</v>
      </c>
      <c r="AM8321">
        <v>1</v>
      </c>
    </row>
    <row r="8322" spans="1:39" x14ac:dyDescent="0.2">
      <c r="A8322" t="str">
        <f>"8318"</f>
        <v>8318</v>
      </c>
      <c r="B8322" t="str">
        <f t="shared" si="463"/>
        <v>1</v>
      </c>
      <c r="C8322" t="str">
        <f t="shared" si="462"/>
        <v>167</v>
      </c>
      <c r="D8322" t="str">
        <f>"44"</f>
        <v>44</v>
      </c>
      <c r="E8322" t="str">
        <f>"1-167-44"</f>
        <v>1-167-44</v>
      </c>
      <c r="F8322" t="s">
        <v>65</v>
      </c>
      <c r="G8322" t="s">
        <v>66</v>
      </c>
      <c r="H8322" t="s">
        <v>67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1</v>
      </c>
      <c r="Y8322">
        <v>0</v>
      </c>
      <c r="Z8322">
        <v>1</v>
      </c>
      <c r="AA8322">
        <v>0</v>
      </c>
      <c r="AB8322">
        <v>1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</row>
    <row r="8323" spans="1:39" x14ac:dyDescent="0.2">
      <c r="A8323" t="str">
        <f>"8319"</f>
        <v>8319</v>
      </c>
      <c r="B8323" t="str">
        <f t="shared" si="463"/>
        <v>1</v>
      </c>
      <c r="C8323" t="str">
        <f t="shared" si="462"/>
        <v>167</v>
      </c>
      <c r="D8323" t="str">
        <f>"34"</f>
        <v>34</v>
      </c>
      <c r="E8323" t="str">
        <f>"1-167-34"</f>
        <v>1-167-34</v>
      </c>
      <c r="F8323" t="s">
        <v>65</v>
      </c>
      <c r="G8323" t="s">
        <v>66</v>
      </c>
      <c r="H8323" t="s">
        <v>67</v>
      </c>
      <c r="S8323">
        <v>0</v>
      </c>
      <c r="T8323">
        <v>1</v>
      </c>
      <c r="U8323">
        <v>0</v>
      </c>
      <c r="V8323">
        <v>0</v>
      </c>
      <c r="W8323">
        <v>1</v>
      </c>
      <c r="X8323">
        <v>0</v>
      </c>
      <c r="Y8323">
        <v>1</v>
      </c>
      <c r="Z8323">
        <v>0</v>
      </c>
      <c r="AA8323">
        <v>0</v>
      </c>
      <c r="AB8323">
        <v>0</v>
      </c>
      <c r="AC8323">
        <v>1</v>
      </c>
      <c r="AD8323">
        <v>1</v>
      </c>
      <c r="AE8323">
        <v>1</v>
      </c>
      <c r="AF8323">
        <v>0</v>
      </c>
      <c r="AG8323">
        <v>1</v>
      </c>
      <c r="AH8323">
        <v>1</v>
      </c>
      <c r="AI8323">
        <v>1</v>
      </c>
      <c r="AJ8323">
        <v>0</v>
      </c>
      <c r="AK8323">
        <v>0</v>
      </c>
      <c r="AL8323">
        <v>1</v>
      </c>
      <c r="AM8323">
        <v>0</v>
      </c>
    </row>
    <row r="8324" spans="1:39" x14ac:dyDescent="0.2">
      <c r="A8324" t="str">
        <f>"8320"</f>
        <v>8320</v>
      </c>
      <c r="B8324" t="str">
        <f t="shared" si="463"/>
        <v>1</v>
      </c>
      <c r="C8324" t="str">
        <f t="shared" si="462"/>
        <v>167</v>
      </c>
      <c r="D8324" t="str">
        <f>"18"</f>
        <v>18</v>
      </c>
      <c r="E8324" t="str">
        <f>"1-167-18"</f>
        <v>1-167-18</v>
      </c>
      <c r="F8324" t="s">
        <v>65</v>
      </c>
      <c r="G8324" t="s">
        <v>66</v>
      </c>
      <c r="H8324" t="s">
        <v>67</v>
      </c>
      <c r="S8324">
        <v>1</v>
      </c>
      <c r="T8324">
        <v>0</v>
      </c>
      <c r="U8324">
        <v>0</v>
      </c>
      <c r="V8324">
        <v>0</v>
      </c>
      <c r="W8324">
        <v>1</v>
      </c>
      <c r="X8324">
        <v>0</v>
      </c>
      <c r="Y8324">
        <v>1</v>
      </c>
      <c r="Z8324">
        <v>0</v>
      </c>
      <c r="AA8324">
        <v>0</v>
      </c>
      <c r="AB8324">
        <v>1</v>
      </c>
      <c r="AC8324">
        <v>0</v>
      </c>
      <c r="AD8324">
        <v>1</v>
      </c>
      <c r="AE8324">
        <v>1</v>
      </c>
      <c r="AF8324">
        <v>1</v>
      </c>
      <c r="AG8324">
        <v>1</v>
      </c>
      <c r="AH8324">
        <v>1</v>
      </c>
      <c r="AI8324">
        <v>1</v>
      </c>
      <c r="AJ8324">
        <v>1</v>
      </c>
      <c r="AK8324">
        <v>1</v>
      </c>
      <c r="AL8324">
        <v>1</v>
      </c>
      <c r="AM8324">
        <v>1</v>
      </c>
    </row>
    <row r="8325" spans="1:39" x14ac:dyDescent="0.2">
      <c r="A8325" t="str">
        <f>"8321"</f>
        <v>8321</v>
      </c>
      <c r="B8325" t="str">
        <f t="shared" si="463"/>
        <v>1</v>
      </c>
      <c r="C8325" t="str">
        <f t="shared" si="462"/>
        <v>167</v>
      </c>
      <c r="D8325" t="str">
        <f>"10"</f>
        <v>10</v>
      </c>
      <c r="E8325" t="str">
        <f>"1-167-10"</f>
        <v>1-167-10</v>
      </c>
      <c r="F8325" t="s">
        <v>65</v>
      </c>
      <c r="G8325" t="s">
        <v>66</v>
      </c>
      <c r="H8325" t="s">
        <v>67</v>
      </c>
      <c r="S8325">
        <v>0</v>
      </c>
      <c r="T8325">
        <v>1</v>
      </c>
      <c r="U8325">
        <v>0</v>
      </c>
      <c r="V8325">
        <v>0</v>
      </c>
      <c r="W8325">
        <v>1</v>
      </c>
      <c r="X8325">
        <v>0</v>
      </c>
      <c r="Y8325">
        <v>1</v>
      </c>
      <c r="Z8325">
        <v>0</v>
      </c>
      <c r="AA8325">
        <v>1</v>
      </c>
      <c r="AB8325">
        <v>0</v>
      </c>
      <c r="AC8325">
        <v>0</v>
      </c>
      <c r="AD8325">
        <v>1</v>
      </c>
      <c r="AE8325">
        <v>1</v>
      </c>
      <c r="AF8325">
        <v>1</v>
      </c>
      <c r="AG8325">
        <v>1</v>
      </c>
      <c r="AH8325">
        <v>1</v>
      </c>
      <c r="AI8325">
        <v>1</v>
      </c>
      <c r="AJ8325">
        <v>1</v>
      </c>
      <c r="AK8325">
        <v>1</v>
      </c>
      <c r="AL8325">
        <v>1</v>
      </c>
      <c r="AM8325">
        <v>1</v>
      </c>
    </row>
    <row r="8326" spans="1:39" x14ac:dyDescent="0.2">
      <c r="A8326" t="str">
        <f>"8322"</f>
        <v>8322</v>
      </c>
      <c r="B8326" t="str">
        <f t="shared" si="463"/>
        <v>1</v>
      </c>
      <c r="C8326" t="str">
        <f t="shared" si="462"/>
        <v>167</v>
      </c>
      <c r="D8326" t="str">
        <f>"37"</f>
        <v>37</v>
      </c>
      <c r="E8326" t="str">
        <f>"1-167-37"</f>
        <v>1-167-37</v>
      </c>
      <c r="F8326" t="s">
        <v>65</v>
      </c>
      <c r="G8326" t="s">
        <v>66</v>
      </c>
      <c r="H8326" t="s">
        <v>67</v>
      </c>
      <c r="S8326">
        <v>0</v>
      </c>
      <c r="T8326">
        <v>1</v>
      </c>
      <c r="U8326">
        <v>0</v>
      </c>
      <c r="V8326">
        <v>0</v>
      </c>
      <c r="W8326">
        <v>1</v>
      </c>
      <c r="X8326">
        <v>0</v>
      </c>
      <c r="Y8326">
        <v>0</v>
      </c>
      <c r="Z8326">
        <v>1</v>
      </c>
      <c r="AA8326">
        <v>0</v>
      </c>
      <c r="AB8326">
        <v>0</v>
      </c>
      <c r="AC8326">
        <v>1</v>
      </c>
      <c r="AD8326">
        <v>1</v>
      </c>
      <c r="AE8326">
        <v>1</v>
      </c>
      <c r="AF8326">
        <v>1</v>
      </c>
      <c r="AG8326">
        <v>0</v>
      </c>
      <c r="AH8326">
        <v>0</v>
      </c>
      <c r="AI8326">
        <v>1</v>
      </c>
      <c r="AJ8326">
        <v>1</v>
      </c>
      <c r="AK8326">
        <v>1</v>
      </c>
      <c r="AL8326">
        <v>1</v>
      </c>
      <c r="AM8326">
        <v>1</v>
      </c>
    </row>
    <row r="8327" spans="1:39" x14ac:dyDescent="0.2">
      <c r="A8327" t="str">
        <f>"8323"</f>
        <v>8323</v>
      </c>
      <c r="B8327" t="str">
        <f t="shared" si="463"/>
        <v>1</v>
      </c>
      <c r="C8327" t="str">
        <f t="shared" si="462"/>
        <v>167</v>
      </c>
      <c r="D8327" t="str">
        <f>"19"</f>
        <v>19</v>
      </c>
      <c r="E8327" t="str">
        <f>"1-167-19"</f>
        <v>1-167-19</v>
      </c>
      <c r="F8327" t="s">
        <v>65</v>
      </c>
      <c r="G8327" t="s">
        <v>66</v>
      </c>
      <c r="H8327" t="s">
        <v>67</v>
      </c>
      <c r="S8327">
        <v>1</v>
      </c>
      <c r="T8327">
        <v>0</v>
      </c>
      <c r="U8327">
        <v>0</v>
      </c>
      <c r="V8327">
        <v>0</v>
      </c>
      <c r="W8327">
        <v>1</v>
      </c>
      <c r="X8327">
        <v>0</v>
      </c>
      <c r="Y8327">
        <v>0</v>
      </c>
      <c r="Z8327">
        <v>1</v>
      </c>
      <c r="AA8327">
        <v>0</v>
      </c>
      <c r="AB8327">
        <v>1</v>
      </c>
      <c r="AC8327">
        <v>0</v>
      </c>
      <c r="AD8327">
        <v>1</v>
      </c>
      <c r="AE8327">
        <v>1</v>
      </c>
      <c r="AF8327">
        <v>1</v>
      </c>
      <c r="AG8327">
        <v>1</v>
      </c>
      <c r="AH8327">
        <v>1</v>
      </c>
      <c r="AI8327">
        <v>1</v>
      </c>
      <c r="AJ8327">
        <v>1</v>
      </c>
      <c r="AK8327">
        <v>1</v>
      </c>
      <c r="AL8327">
        <v>1</v>
      </c>
      <c r="AM8327">
        <v>1</v>
      </c>
    </row>
    <row r="8328" spans="1:39" x14ac:dyDescent="0.2">
      <c r="A8328" t="str">
        <f>"8324"</f>
        <v>8324</v>
      </c>
      <c r="B8328" t="str">
        <f t="shared" si="463"/>
        <v>1</v>
      </c>
      <c r="C8328" t="str">
        <f t="shared" si="462"/>
        <v>167</v>
      </c>
      <c r="D8328" t="str">
        <f>"5"</f>
        <v>5</v>
      </c>
      <c r="E8328" t="str">
        <f>"1-167-5"</f>
        <v>1-167-5</v>
      </c>
      <c r="F8328" t="s">
        <v>65</v>
      </c>
      <c r="G8328" t="s">
        <v>66</v>
      </c>
      <c r="H8328" t="s">
        <v>67</v>
      </c>
      <c r="S8328">
        <v>1</v>
      </c>
      <c r="T8328">
        <v>0</v>
      </c>
      <c r="U8328">
        <v>0</v>
      </c>
      <c r="V8328">
        <v>0</v>
      </c>
      <c r="W8328">
        <v>1</v>
      </c>
      <c r="X8328">
        <v>0</v>
      </c>
      <c r="Y8328">
        <v>1</v>
      </c>
      <c r="Z8328">
        <v>0</v>
      </c>
      <c r="AA8328">
        <v>1</v>
      </c>
      <c r="AB8328">
        <v>0</v>
      </c>
      <c r="AC8328">
        <v>0</v>
      </c>
      <c r="AD8328">
        <v>1</v>
      </c>
      <c r="AE8328">
        <v>1</v>
      </c>
      <c r="AF8328">
        <v>1</v>
      </c>
      <c r="AG8328">
        <v>1</v>
      </c>
      <c r="AH8328">
        <v>1</v>
      </c>
      <c r="AI8328">
        <v>1</v>
      </c>
      <c r="AJ8328">
        <v>1</v>
      </c>
      <c r="AK8328">
        <v>0</v>
      </c>
      <c r="AL8328">
        <v>1</v>
      </c>
      <c r="AM8328">
        <v>1</v>
      </c>
    </row>
    <row r="8329" spans="1:39" x14ac:dyDescent="0.2">
      <c r="A8329" t="str">
        <f>"8325"</f>
        <v>8325</v>
      </c>
      <c r="B8329" t="str">
        <f t="shared" si="463"/>
        <v>1</v>
      </c>
      <c r="C8329" t="str">
        <f t="shared" si="462"/>
        <v>167</v>
      </c>
      <c r="D8329" t="str">
        <f>"38"</f>
        <v>38</v>
      </c>
      <c r="E8329" t="str">
        <f>"1-167-38"</f>
        <v>1-167-38</v>
      </c>
      <c r="F8329" t="s">
        <v>65</v>
      </c>
      <c r="G8329" t="s">
        <v>66</v>
      </c>
      <c r="H8329" t="s">
        <v>67</v>
      </c>
      <c r="S8329">
        <v>1</v>
      </c>
      <c r="T8329">
        <v>0</v>
      </c>
      <c r="U8329">
        <v>0</v>
      </c>
      <c r="V8329">
        <v>0</v>
      </c>
      <c r="W8329">
        <v>1</v>
      </c>
      <c r="X8329">
        <v>0</v>
      </c>
      <c r="Y8329">
        <v>1</v>
      </c>
      <c r="Z8329">
        <v>0</v>
      </c>
      <c r="AA8329">
        <v>1</v>
      </c>
      <c r="AB8329">
        <v>0</v>
      </c>
      <c r="AC8329">
        <v>0</v>
      </c>
      <c r="AD8329">
        <v>1</v>
      </c>
      <c r="AE8329">
        <v>1</v>
      </c>
      <c r="AF8329">
        <v>1</v>
      </c>
      <c r="AG8329">
        <v>1</v>
      </c>
      <c r="AH8329">
        <v>1</v>
      </c>
      <c r="AI8329">
        <v>1</v>
      </c>
      <c r="AJ8329">
        <v>1</v>
      </c>
      <c r="AK8329">
        <v>1</v>
      </c>
      <c r="AL8329">
        <v>1</v>
      </c>
      <c r="AM8329">
        <v>1</v>
      </c>
    </row>
    <row r="8330" spans="1:39" x14ac:dyDescent="0.2">
      <c r="A8330" t="str">
        <f>"8326"</f>
        <v>8326</v>
      </c>
      <c r="B8330" t="str">
        <f t="shared" si="463"/>
        <v>1</v>
      </c>
      <c r="C8330" t="str">
        <f t="shared" si="462"/>
        <v>167</v>
      </c>
      <c r="D8330" t="str">
        <f>"21"</f>
        <v>21</v>
      </c>
      <c r="E8330" t="str">
        <f>"1-167-21"</f>
        <v>1-167-21</v>
      </c>
      <c r="F8330" t="s">
        <v>65</v>
      </c>
      <c r="G8330" t="s">
        <v>66</v>
      </c>
      <c r="H8330" t="s">
        <v>67</v>
      </c>
      <c r="S8330">
        <v>0</v>
      </c>
      <c r="T8330">
        <v>1</v>
      </c>
      <c r="U8330">
        <v>0</v>
      </c>
      <c r="V8330">
        <v>0</v>
      </c>
      <c r="W8330">
        <v>1</v>
      </c>
      <c r="X8330">
        <v>0</v>
      </c>
      <c r="Y8330">
        <v>0</v>
      </c>
      <c r="Z8330">
        <v>1</v>
      </c>
      <c r="AA8330">
        <v>0</v>
      </c>
      <c r="AB8330">
        <v>0</v>
      </c>
      <c r="AC8330">
        <v>1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</row>
    <row r="8331" spans="1:39" x14ac:dyDescent="0.2">
      <c r="A8331" t="str">
        <f>"8327"</f>
        <v>8327</v>
      </c>
      <c r="B8331" t="str">
        <f t="shared" si="463"/>
        <v>1</v>
      </c>
      <c r="C8331" t="str">
        <f t="shared" si="462"/>
        <v>167</v>
      </c>
      <c r="D8331" t="str">
        <f>"9"</f>
        <v>9</v>
      </c>
      <c r="E8331" t="str">
        <f>"1-167-9"</f>
        <v>1-167-9</v>
      </c>
      <c r="F8331" t="s">
        <v>65</v>
      </c>
      <c r="G8331" t="s">
        <v>66</v>
      </c>
      <c r="H8331" t="s">
        <v>67</v>
      </c>
      <c r="S8331">
        <v>0</v>
      </c>
      <c r="T8331">
        <v>1</v>
      </c>
      <c r="U8331">
        <v>0</v>
      </c>
      <c r="V8331">
        <v>0</v>
      </c>
      <c r="W8331">
        <v>1</v>
      </c>
      <c r="X8331">
        <v>0</v>
      </c>
      <c r="Y8331">
        <v>1</v>
      </c>
      <c r="Z8331">
        <v>0</v>
      </c>
      <c r="AA8331">
        <v>1</v>
      </c>
      <c r="AB8331">
        <v>0</v>
      </c>
      <c r="AC8331">
        <v>0</v>
      </c>
      <c r="AD8331">
        <v>1</v>
      </c>
      <c r="AE8331">
        <v>1</v>
      </c>
      <c r="AF8331">
        <v>1</v>
      </c>
      <c r="AG8331">
        <v>1</v>
      </c>
      <c r="AH8331">
        <v>1</v>
      </c>
      <c r="AI8331">
        <v>1</v>
      </c>
      <c r="AJ8331">
        <v>1</v>
      </c>
      <c r="AK8331">
        <v>1</v>
      </c>
      <c r="AL8331">
        <v>1</v>
      </c>
      <c r="AM8331">
        <v>1</v>
      </c>
    </row>
    <row r="8332" spans="1:39" x14ac:dyDescent="0.2">
      <c r="A8332" t="str">
        <f>"8328"</f>
        <v>8328</v>
      </c>
      <c r="B8332" t="str">
        <f t="shared" si="463"/>
        <v>1</v>
      </c>
      <c r="C8332" t="str">
        <f t="shared" si="462"/>
        <v>167</v>
      </c>
      <c r="D8332" t="str">
        <f>"41"</f>
        <v>41</v>
      </c>
      <c r="E8332" t="str">
        <f>"1-167-41"</f>
        <v>1-167-41</v>
      </c>
      <c r="F8332" t="s">
        <v>65</v>
      </c>
      <c r="G8332" t="s">
        <v>66</v>
      </c>
      <c r="H8332" t="s">
        <v>67</v>
      </c>
      <c r="S8332">
        <v>1</v>
      </c>
      <c r="T8332">
        <v>0</v>
      </c>
      <c r="U8332">
        <v>0</v>
      </c>
      <c r="V8332">
        <v>0</v>
      </c>
      <c r="W8332">
        <v>1</v>
      </c>
      <c r="X8332">
        <v>0</v>
      </c>
      <c r="Y8332">
        <v>1</v>
      </c>
      <c r="Z8332">
        <v>0</v>
      </c>
      <c r="AA8332">
        <v>1</v>
      </c>
      <c r="AB8332">
        <v>0</v>
      </c>
      <c r="AC8332">
        <v>0</v>
      </c>
      <c r="AD8332">
        <v>1</v>
      </c>
      <c r="AE8332">
        <v>1</v>
      </c>
      <c r="AF8332">
        <v>1</v>
      </c>
      <c r="AG8332">
        <v>1</v>
      </c>
      <c r="AH8332">
        <v>1</v>
      </c>
      <c r="AI8332">
        <v>1</v>
      </c>
      <c r="AJ8332">
        <v>1</v>
      </c>
      <c r="AK8332">
        <v>1</v>
      </c>
      <c r="AL8332">
        <v>1</v>
      </c>
      <c r="AM8332">
        <v>1</v>
      </c>
    </row>
    <row r="8333" spans="1:39" x14ac:dyDescent="0.2">
      <c r="A8333" t="str">
        <f>"8329"</f>
        <v>8329</v>
      </c>
      <c r="B8333" t="str">
        <f t="shared" si="463"/>
        <v>1</v>
      </c>
      <c r="C8333" t="str">
        <f t="shared" si="462"/>
        <v>167</v>
      </c>
      <c r="D8333" t="str">
        <f>"22"</f>
        <v>22</v>
      </c>
      <c r="E8333" t="str">
        <f>"1-167-22"</f>
        <v>1-167-22</v>
      </c>
      <c r="F8333" t="s">
        <v>65</v>
      </c>
      <c r="G8333" t="s">
        <v>66</v>
      </c>
      <c r="H8333" t="s">
        <v>67</v>
      </c>
      <c r="S8333">
        <v>1</v>
      </c>
      <c r="T8333">
        <v>0</v>
      </c>
      <c r="U8333">
        <v>0</v>
      </c>
      <c r="V8333">
        <v>0</v>
      </c>
      <c r="W8333">
        <v>1</v>
      </c>
      <c r="X8333">
        <v>0</v>
      </c>
      <c r="Y8333">
        <v>1</v>
      </c>
      <c r="Z8333">
        <v>0</v>
      </c>
      <c r="AA8333">
        <v>1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1</v>
      </c>
      <c r="AH8333">
        <v>0</v>
      </c>
      <c r="AI8333">
        <v>1</v>
      </c>
      <c r="AJ8333">
        <v>1</v>
      </c>
      <c r="AK8333">
        <v>0</v>
      </c>
      <c r="AL8333">
        <v>1</v>
      </c>
      <c r="AM8333">
        <v>0</v>
      </c>
    </row>
    <row r="8334" spans="1:39" x14ac:dyDescent="0.2">
      <c r="A8334" t="str">
        <f>"8330"</f>
        <v>8330</v>
      </c>
      <c r="B8334" t="str">
        <f t="shared" si="463"/>
        <v>1</v>
      </c>
      <c r="C8334" t="str">
        <f t="shared" si="462"/>
        <v>167</v>
      </c>
      <c r="D8334" t="str">
        <f>"2"</f>
        <v>2</v>
      </c>
      <c r="E8334" t="str">
        <f>"1-167-2"</f>
        <v>1-167-2</v>
      </c>
      <c r="F8334" t="s">
        <v>65</v>
      </c>
      <c r="G8334" t="s">
        <v>66</v>
      </c>
      <c r="H8334" t="s">
        <v>67</v>
      </c>
      <c r="S8334">
        <v>1</v>
      </c>
      <c r="T8334">
        <v>0</v>
      </c>
      <c r="U8334">
        <v>0</v>
      </c>
      <c r="V8334">
        <v>0</v>
      </c>
      <c r="W8334">
        <v>1</v>
      </c>
      <c r="X8334">
        <v>0</v>
      </c>
      <c r="Y8334">
        <v>1</v>
      </c>
      <c r="Z8334">
        <v>0</v>
      </c>
      <c r="AA8334">
        <v>1</v>
      </c>
      <c r="AB8334">
        <v>0</v>
      </c>
      <c r="AC8334">
        <v>0</v>
      </c>
      <c r="AD8334">
        <v>1</v>
      </c>
      <c r="AE8334">
        <v>1</v>
      </c>
      <c r="AF8334">
        <v>1</v>
      </c>
      <c r="AG8334">
        <v>1</v>
      </c>
      <c r="AH8334">
        <v>1</v>
      </c>
      <c r="AI8334">
        <v>1</v>
      </c>
      <c r="AJ8334">
        <v>1</v>
      </c>
      <c r="AK8334">
        <v>1</v>
      </c>
      <c r="AL8334">
        <v>1</v>
      </c>
      <c r="AM8334">
        <v>1</v>
      </c>
    </row>
    <row r="8335" spans="1:39" x14ac:dyDescent="0.2">
      <c r="A8335" t="str">
        <f>"8331"</f>
        <v>8331</v>
      </c>
      <c r="B8335" t="str">
        <f t="shared" si="463"/>
        <v>1</v>
      </c>
      <c r="C8335" t="str">
        <f t="shared" si="462"/>
        <v>167</v>
      </c>
      <c r="D8335" t="str">
        <f>"46"</f>
        <v>46</v>
      </c>
      <c r="E8335" t="str">
        <f>"1-167-46"</f>
        <v>1-167-46</v>
      </c>
      <c r="F8335" t="s">
        <v>65</v>
      </c>
      <c r="G8335" t="s">
        <v>66</v>
      </c>
      <c r="H8335" t="s">
        <v>67</v>
      </c>
      <c r="S8335">
        <v>0</v>
      </c>
      <c r="T8335">
        <v>1</v>
      </c>
      <c r="U8335">
        <v>0</v>
      </c>
      <c r="V8335">
        <v>0</v>
      </c>
      <c r="W8335">
        <v>0</v>
      </c>
      <c r="X8335">
        <v>1</v>
      </c>
      <c r="Y8335">
        <v>0</v>
      </c>
      <c r="Z8335">
        <v>1</v>
      </c>
      <c r="AA8335">
        <v>0</v>
      </c>
      <c r="AB8335">
        <v>1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</row>
    <row r="8336" spans="1:39" x14ac:dyDescent="0.2">
      <c r="A8336" t="str">
        <f>"8332"</f>
        <v>8332</v>
      </c>
      <c r="B8336" t="str">
        <f t="shared" si="463"/>
        <v>1</v>
      </c>
      <c r="C8336" t="str">
        <f t="shared" si="462"/>
        <v>167</v>
      </c>
      <c r="D8336" t="str">
        <f>"23"</f>
        <v>23</v>
      </c>
      <c r="E8336" t="str">
        <f>"1-167-23"</f>
        <v>1-167-23</v>
      </c>
      <c r="F8336" t="s">
        <v>65</v>
      </c>
      <c r="G8336" t="s">
        <v>66</v>
      </c>
      <c r="H8336" t="s">
        <v>67</v>
      </c>
      <c r="S8336">
        <v>1</v>
      </c>
      <c r="T8336">
        <v>0</v>
      </c>
      <c r="U8336">
        <v>0</v>
      </c>
      <c r="V8336">
        <v>0</v>
      </c>
      <c r="W8336">
        <v>1</v>
      </c>
      <c r="X8336">
        <v>0</v>
      </c>
      <c r="Y8336">
        <v>1</v>
      </c>
      <c r="Z8336">
        <v>0</v>
      </c>
      <c r="AA8336">
        <v>1</v>
      </c>
      <c r="AB8336">
        <v>0</v>
      </c>
      <c r="AC8336">
        <v>0</v>
      </c>
      <c r="AD8336">
        <v>1</v>
      </c>
      <c r="AE8336">
        <v>1</v>
      </c>
      <c r="AF8336">
        <v>1</v>
      </c>
      <c r="AG8336">
        <v>1</v>
      </c>
      <c r="AH8336">
        <v>1</v>
      </c>
      <c r="AI8336">
        <v>1</v>
      </c>
      <c r="AJ8336">
        <v>1</v>
      </c>
      <c r="AK8336">
        <v>1</v>
      </c>
      <c r="AL8336">
        <v>1</v>
      </c>
      <c r="AM8336">
        <v>1</v>
      </c>
    </row>
    <row r="8337" spans="1:39" x14ac:dyDescent="0.2">
      <c r="A8337" t="str">
        <f>"8333"</f>
        <v>8333</v>
      </c>
      <c r="B8337" t="str">
        <f t="shared" si="463"/>
        <v>1</v>
      </c>
      <c r="C8337" t="str">
        <f t="shared" ref="C8337:C8354" si="464">"167"</f>
        <v>167</v>
      </c>
      <c r="D8337" t="str">
        <f>"4"</f>
        <v>4</v>
      </c>
      <c r="E8337" t="str">
        <f>"1-167-4"</f>
        <v>1-167-4</v>
      </c>
      <c r="F8337" t="s">
        <v>65</v>
      </c>
      <c r="G8337" t="s">
        <v>66</v>
      </c>
      <c r="H8337" t="s">
        <v>67</v>
      </c>
      <c r="S8337">
        <v>1</v>
      </c>
      <c r="T8337">
        <v>0</v>
      </c>
      <c r="U8337">
        <v>0</v>
      </c>
      <c r="V8337">
        <v>0</v>
      </c>
      <c r="W8337">
        <v>1</v>
      </c>
      <c r="X8337">
        <v>0</v>
      </c>
      <c r="Y8337">
        <v>1</v>
      </c>
      <c r="Z8337">
        <v>0</v>
      </c>
      <c r="AA8337">
        <v>1</v>
      </c>
      <c r="AB8337">
        <v>0</v>
      </c>
      <c r="AC8337">
        <v>0</v>
      </c>
      <c r="AD8337">
        <v>1</v>
      </c>
      <c r="AE8337">
        <v>1</v>
      </c>
      <c r="AF8337">
        <v>1</v>
      </c>
      <c r="AG8337">
        <v>1</v>
      </c>
      <c r="AH8337">
        <v>1</v>
      </c>
      <c r="AI8337">
        <v>1</v>
      </c>
      <c r="AJ8337">
        <v>1</v>
      </c>
      <c r="AK8337">
        <v>1</v>
      </c>
      <c r="AL8337">
        <v>1</v>
      </c>
      <c r="AM8337">
        <v>1</v>
      </c>
    </row>
    <row r="8338" spans="1:39" x14ac:dyDescent="0.2">
      <c r="A8338" t="str">
        <f>"8334"</f>
        <v>8334</v>
      </c>
      <c r="B8338" t="str">
        <f t="shared" si="463"/>
        <v>1</v>
      </c>
      <c r="C8338" t="str">
        <f t="shared" si="464"/>
        <v>167</v>
      </c>
      <c r="D8338" t="str">
        <f>"24"</f>
        <v>24</v>
      </c>
      <c r="E8338" t="str">
        <f>"1-167-24"</f>
        <v>1-167-24</v>
      </c>
      <c r="F8338" t="s">
        <v>65</v>
      </c>
      <c r="G8338" t="s">
        <v>66</v>
      </c>
      <c r="H8338" t="s">
        <v>67</v>
      </c>
      <c r="S8338">
        <v>0</v>
      </c>
      <c r="T8338">
        <v>1</v>
      </c>
      <c r="U8338">
        <v>0</v>
      </c>
      <c r="V8338">
        <v>0</v>
      </c>
      <c r="W8338">
        <v>1</v>
      </c>
      <c r="X8338">
        <v>0</v>
      </c>
      <c r="Y8338">
        <v>0</v>
      </c>
      <c r="Z8338">
        <v>1</v>
      </c>
      <c r="AA8338">
        <v>0</v>
      </c>
      <c r="AB8338">
        <v>0</v>
      </c>
      <c r="AC8338">
        <v>1</v>
      </c>
      <c r="AD8338">
        <v>1</v>
      </c>
      <c r="AE8338">
        <v>1</v>
      </c>
      <c r="AF8338">
        <v>1</v>
      </c>
      <c r="AG8338">
        <v>1</v>
      </c>
      <c r="AH8338">
        <v>0</v>
      </c>
      <c r="AI8338">
        <v>1</v>
      </c>
      <c r="AJ8338">
        <v>1</v>
      </c>
      <c r="AK8338">
        <v>1</v>
      </c>
      <c r="AL8338">
        <v>1</v>
      </c>
      <c r="AM8338">
        <v>1</v>
      </c>
    </row>
    <row r="8339" spans="1:39" x14ac:dyDescent="0.2">
      <c r="A8339" t="str">
        <f>"8335"</f>
        <v>8335</v>
      </c>
      <c r="B8339" t="str">
        <f t="shared" si="463"/>
        <v>1</v>
      </c>
      <c r="C8339" t="str">
        <f t="shared" si="464"/>
        <v>167</v>
      </c>
      <c r="D8339" t="str">
        <f>"11"</f>
        <v>11</v>
      </c>
      <c r="E8339" t="str">
        <f>"1-167-11"</f>
        <v>1-167-11</v>
      </c>
      <c r="F8339" t="s">
        <v>65</v>
      </c>
      <c r="G8339" t="s">
        <v>66</v>
      </c>
      <c r="H8339" t="s">
        <v>67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1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</row>
    <row r="8340" spans="1:39" x14ac:dyDescent="0.2">
      <c r="A8340" t="str">
        <f>"8336"</f>
        <v>8336</v>
      </c>
      <c r="B8340" t="str">
        <f t="shared" si="463"/>
        <v>1</v>
      </c>
      <c r="C8340" t="str">
        <f t="shared" si="464"/>
        <v>167</v>
      </c>
      <c r="D8340" t="str">
        <f>"47"</f>
        <v>47</v>
      </c>
      <c r="E8340" t="str">
        <f>"1-167-47"</f>
        <v>1-167-47</v>
      </c>
      <c r="F8340" t="s">
        <v>65</v>
      </c>
      <c r="G8340" t="s">
        <v>66</v>
      </c>
      <c r="H8340" t="s">
        <v>67</v>
      </c>
      <c r="S8340">
        <v>1</v>
      </c>
      <c r="T8340">
        <v>0</v>
      </c>
      <c r="U8340">
        <v>0</v>
      </c>
      <c r="V8340">
        <v>0</v>
      </c>
      <c r="W8340">
        <v>1</v>
      </c>
      <c r="X8340">
        <v>0</v>
      </c>
      <c r="Y8340">
        <v>1</v>
      </c>
      <c r="Z8340">
        <v>0</v>
      </c>
      <c r="AA8340">
        <v>0</v>
      </c>
      <c r="AB8340">
        <v>1</v>
      </c>
      <c r="AC8340">
        <v>0</v>
      </c>
      <c r="AD8340">
        <v>1</v>
      </c>
      <c r="AE8340">
        <v>1</v>
      </c>
      <c r="AF8340">
        <v>1</v>
      </c>
      <c r="AG8340">
        <v>1</v>
      </c>
      <c r="AH8340">
        <v>1</v>
      </c>
      <c r="AI8340">
        <v>1</v>
      </c>
      <c r="AJ8340">
        <v>1</v>
      </c>
      <c r="AK8340">
        <v>1</v>
      </c>
      <c r="AL8340">
        <v>1</v>
      </c>
      <c r="AM8340">
        <v>1</v>
      </c>
    </row>
    <row r="8341" spans="1:39" x14ac:dyDescent="0.2">
      <c r="A8341" t="str">
        <f>"8337"</f>
        <v>8337</v>
      </c>
      <c r="B8341" t="str">
        <f t="shared" si="463"/>
        <v>1</v>
      </c>
      <c r="C8341" t="str">
        <f t="shared" si="464"/>
        <v>167</v>
      </c>
      <c r="D8341" t="str">
        <f>"25"</f>
        <v>25</v>
      </c>
      <c r="E8341" t="str">
        <f>"1-167-25"</f>
        <v>1-167-25</v>
      </c>
      <c r="F8341" t="s">
        <v>65</v>
      </c>
      <c r="G8341" t="s">
        <v>66</v>
      </c>
      <c r="H8341" t="s">
        <v>67</v>
      </c>
      <c r="S8341">
        <v>0</v>
      </c>
      <c r="T8341">
        <v>1</v>
      </c>
      <c r="U8341">
        <v>0</v>
      </c>
      <c r="V8341">
        <v>0</v>
      </c>
      <c r="W8341">
        <v>1</v>
      </c>
      <c r="X8341">
        <v>0</v>
      </c>
      <c r="Y8341">
        <v>0</v>
      </c>
      <c r="Z8341">
        <v>1</v>
      </c>
      <c r="AA8341">
        <v>0</v>
      </c>
      <c r="AB8341">
        <v>0</v>
      </c>
      <c r="AC8341">
        <v>1</v>
      </c>
      <c r="AD8341">
        <v>1</v>
      </c>
      <c r="AE8341">
        <v>1</v>
      </c>
      <c r="AF8341">
        <v>1</v>
      </c>
      <c r="AG8341">
        <v>1</v>
      </c>
      <c r="AH8341">
        <v>1</v>
      </c>
      <c r="AI8341">
        <v>1</v>
      </c>
      <c r="AJ8341">
        <v>1</v>
      </c>
      <c r="AK8341">
        <v>1</v>
      </c>
      <c r="AL8341">
        <v>1</v>
      </c>
      <c r="AM8341">
        <v>1</v>
      </c>
    </row>
    <row r="8342" spans="1:39" x14ac:dyDescent="0.2">
      <c r="A8342" t="str">
        <f>"8338"</f>
        <v>8338</v>
      </c>
      <c r="B8342" t="str">
        <f t="shared" si="463"/>
        <v>1</v>
      </c>
      <c r="C8342" t="str">
        <f t="shared" si="464"/>
        <v>167</v>
      </c>
      <c r="D8342" t="str">
        <f>"3"</f>
        <v>3</v>
      </c>
      <c r="E8342" t="str">
        <f>"1-167-3"</f>
        <v>1-167-3</v>
      </c>
      <c r="F8342" t="s">
        <v>65</v>
      </c>
      <c r="G8342" t="s">
        <v>66</v>
      </c>
      <c r="H8342" t="s">
        <v>67</v>
      </c>
      <c r="S8342">
        <v>1</v>
      </c>
      <c r="T8342">
        <v>0</v>
      </c>
      <c r="U8342">
        <v>0</v>
      </c>
      <c r="V8342">
        <v>0</v>
      </c>
      <c r="W8342">
        <v>1</v>
      </c>
      <c r="X8342">
        <v>0</v>
      </c>
      <c r="Y8342">
        <v>0</v>
      </c>
      <c r="Z8342">
        <v>1</v>
      </c>
      <c r="AA8342">
        <v>0</v>
      </c>
      <c r="AB8342">
        <v>1</v>
      </c>
      <c r="AC8342">
        <v>0</v>
      </c>
      <c r="AD8342">
        <v>1</v>
      </c>
      <c r="AE8342">
        <v>0</v>
      </c>
      <c r="AF8342">
        <v>1</v>
      </c>
      <c r="AG8342">
        <v>1</v>
      </c>
      <c r="AH8342">
        <v>1</v>
      </c>
      <c r="AI8342">
        <v>1</v>
      </c>
      <c r="AJ8342">
        <v>1</v>
      </c>
      <c r="AK8342">
        <v>1</v>
      </c>
      <c r="AL8342">
        <v>1</v>
      </c>
      <c r="AM8342">
        <v>1</v>
      </c>
    </row>
    <row r="8343" spans="1:39" x14ac:dyDescent="0.2">
      <c r="A8343" t="str">
        <f>"8339"</f>
        <v>8339</v>
      </c>
      <c r="B8343" t="str">
        <f t="shared" si="463"/>
        <v>1</v>
      </c>
      <c r="C8343" t="str">
        <f t="shared" si="464"/>
        <v>167</v>
      </c>
      <c r="D8343" t="str">
        <f>"48"</f>
        <v>48</v>
      </c>
      <c r="E8343" t="str">
        <f>"1-167-48"</f>
        <v>1-167-48</v>
      </c>
      <c r="F8343" t="s">
        <v>65</v>
      </c>
      <c r="G8343" t="s">
        <v>66</v>
      </c>
      <c r="H8343" t="s">
        <v>67</v>
      </c>
      <c r="S8343">
        <v>0</v>
      </c>
      <c r="T8343">
        <v>1</v>
      </c>
      <c r="U8343">
        <v>0</v>
      </c>
      <c r="V8343">
        <v>0</v>
      </c>
      <c r="W8343">
        <v>1</v>
      </c>
      <c r="X8343">
        <v>0</v>
      </c>
      <c r="Y8343">
        <v>1</v>
      </c>
      <c r="Z8343">
        <v>0</v>
      </c>
      <c r="AA8343">
        <v>1</v>
      </c>
      <c r="AB8343">
        <v>0</v>
      </c>
      <c r="AC8343">
        <v>0</v>
      </c>
      <c r="AD8343">
        <v>1</v>
      </c>
      <c r="AE8343">
        <v>1</v>
      </c>
      <c r="AF8343">
        <v>1</v>
      </c>
      <c r="AG8343">
        <v>1</v>
      </c>
      <c r="AH8343">
        <v>1</v>
      </c>
      <c r="AI8343">
        <v>1</v>
      </c>
      <c r="AJ8343">
        <v>1</v>
      </c>
      <c r="AK8343">
        <v>1</v>
      </c>
      <c r="AL8343">
        <v>1</v>
      </c>
      <c r="AM8343">
        <v>1</v>
      </c>
    </row>
    <row r="8344" spans="1:39" x14ac:dyDescent="0.2">
      <c r="A8344" t="str">
        <f>"8340"</f>
        <v>8340</v>
      </c>
      <c r="B8344" t="str">
        <f t="shared" si="463"/>
        <v>1</v>
      </c>
      <c r="C8344" t="str">
        <f t="shared" si="464"/>
        <v>167</v>
      </c>
      <c r="D8344" t="str">
        <f>"26"</f>
        <v>26</v>
      </c>
      <c r="E8344" t="str">
        <f>"1-167-26"</f>
        <v>1-167-26</v>
      </c>
      <c r="F8344" t="s">
        <v>65</v>
      </c>
      <c r="G8344" t="s">
        <v>66</v>
      </c>
      <c r="H8344" t="s">
        <v>67</v>
      </c>
      <c r="S8344">
        <v>1</v>
      </c>
      <c r="T8344">
        <v>0</v>
      </c>
      <c r="U8344">
        <v>0</v>
      </c>
      <c r="V8344">
        <v>0</v>
      </c>
      <c r="W8344">
        <v>1</v>
      </c>
      <c r="X8344">
        <v>0</v>
      </c>
      <c r="Y8344">
        <v>1</v>
      </c>
      <c r="Z8344">
        <v>0</v>
      </c>
      <c r="AA8344">
        <v>1</v>
      </c>
      <c r="AB8344">
        <v>0</v>
      </c>
      <c r="AC8344">
        <v>0</v>
      </c>
      <c r="AD8344">
        <v>1</v>
      </c>
      <c r="AE8344">
        <v>1</v>
      </c>
      <c r="AF8344">
        <v>1</v>
      </c>
      <c r="AG8344">
        <v>1</v>
      </c>
      <c r="AH8344">
        <v>1</v>
      </c>
      <c r="AI8344">
        <v>1</v>
      </c>
      <c r="AJ8344">
        <v>1</v>
      </c>
      <c r="AK8344">
        <v>1</v>
      </c>
      <c r="AL8344">
        <v>1</v>
      </c>
      <c r="AM8344">
        <v>1</v>
      </c>
    </row>
    <row r="8345" spans="1:39" x14ac:dyDescent="0.2">
      <c r="A8345" t="str">
        <f>"8341"</f>
        <v>8341</v>
      </c>
      <c r="B8345" t="str">
        <f t="shared" si="463"/>
        <v>1</v>
      </c>
      <c r="C8345" t="str">
        <f t="shared" si="464"/>
        <v>167</v>
      </c>
      <c r="D8345" t="str">
        <f>"12"</f>
        <v>12</v>
      </c>
      <c r="E8345" t="str">
        <f>"1-167-12"</f>
        <v>1-167-12</v>
      </c>
      <c r="F8345" t="s">
        <v>65</v>
      </c>
      <c r="G8345" t="s">
        <v>66</v>
      </c>
      <c r="H8345" t="s">
        <v>67</v>
      </c>
      <c r="S8345">
        <v>1</v>
      </c>
      <c r="T8345">
        <v>0</v>
      </c>
      <c r="U8345">
        <v>0</v>
      </c>
      <c r="V8345">
        <v>0</v>
      </c>
      <c r="W8345">
        <v>1</v>
      </c>
      <c r="X8345">
        <v>0</v>
      </c>
      <c r="Y8345">
        <v>0</v>
      </c>
      <c r="Z8345">
        <v>1</v>
      </c>
      <c r="AA8345">
        <v>0</v>
      </c>
      <c r="AB8345">
        <v>0</v>
      </c>
      <c r="AC8345">
        <v>1</v>
      </c>
      <c r="AD8345">
        <v>1</v>
      </c>
      <c r="AE8345">
        <v>1</v>
      </c>
      <c r="AF8345">
        <v>1</v>
      </c>
      <c r="AG8345">
        <v>1</v>
      </c>
      <c r="AH8345">
        <v>1</v>
      </c>
      <c r="AI8345">
        <v>1</v>
      </c>
      <c r="AJ8345">
        <v>1</v>
      </c>
      <c r="AK8345">
        <v>1</v>
      </c>
      <c r="AL8345">
        <v>1</v>
      </c>
      <c r="AM8345">
        <v>1</v>
      </c>
    </row>
    <row r="8346" spans="1:39" x14ac:dyDescent="0.2">
      <c r="A8346" t="str">
        <f>"8342"</f>
        <v>8342</v>
      </c>
      <c r="B8346" t="str">
        <f t="shared" si="463"/>
        <v>1</v>
      </c>
      <c r="C8346" t="str">
        <f t="shared" si="464"/>
        <v>167</v>
      </c>
      <c r="D8346" t="str">
        <f>"28"</f>
        <v>28</v>
      </c>
      <c r="E8346" t="str">
        <f>"1-167-28"</f>
        <v>1-167-28</v>
      </c>
      <c r="F8346" t="s">
        <v>65</v>
      </c>
      <c r="G8346" t="s">
        <v>66</v>
      </c>
      <c r="H8346" t="s">
        <v>67</v>
      </c>
      <c r="S8346">
        <v>1</v>
      </c>
      <c r="T8346">
        <v>0</v>
      </c>
      <c r="U8346">
        <v>0</v>
      </c>
      <c r="V8346">
        <v>0</v>
      </c>
      <c r="W8346">
        <v>1</v>
      </c>
      <c r="X8346">
        <v>0</v>
      </c>
      <c r="Y8346">
        <v>1</v>
      </c>
      <c r="Z8346">
        <v>0</v>
      </c>
      <c r="AA8346">
        <v>1</v>
      </c>
      <c r="AB8346">
        <v>0</v>
      </c>
      <c r="AC8346">
        <v>0</v>
      </c>
      <c r="AD8346">
        <v>1</v>
      </c>
      <c r="AE8346">
        <v>1</v>
      </c>
      <c r="AF8346">
        <v>0</v>
      </c>
      <c r="AG8346">
        <v>1</v>
      </c>
      <c r="AH8346">
        <v>1</v>
      </c>
      <c r="AI8346">
        <v>1</v>
      </c>
      <c r="AJ8346">
        <v>1</v>
      </c>
      <c r="AK8346">
        <v>1</v>
      </c>
      <c r="AL8346">
        <v>1</v>
      </c>
      <c r="AM8346">
        <v>1</v>
      </c>
    </row>
    <row r="8347" spans="1:39" x14ac:dyDescent="0.2">
      <c r="A8347" t="str">
        <f>"8343"</f>
        <v>8343</v>
      </c>
      <c r="B8347" t="str">
        <f t="shared" si="463"/>
        <v>1</v>
      </c>
      <c r="C8347" t="str">
        <f t="shared" si="464"/>
        <v>167</v>
      </c>
      <c r="D8347" t="str">
        <f>"8"</f>
        <v>8</v>
      </c>
      <c r="E8347" t="str">
        <f>"1-167-8"</f>
        <v>1-167-8</v>
      </c>
      <c r="F8347" t="s">
        <v>65</v>
      </c>
      <c r="G8347" t="s">
        <v>66</v>
      </c>
      <c r="H8347" t="s">
        <v>67</v>
      </c>
      <c r="S8347">
        <v>0</v>
      </c>
      <c r="T8347">
        <v>1</v>
      </c>
      <c r="U8347">
        <v>0</v>
      </c>
      <c r="V8347">
        <v>0</v>
      </c>
      <c r="W8347">
        <v>1</v>
      </c>
      <c r="X8347">
        <v>0</v>
      </c>
      <c r="Y8347">
        <v>1</v>
      </c>
      <c r="Z8347">
        <v>0</v>
      </c>
      <c r="AA8347">
        <v>1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</row>
    <row r="8348" spans="1:39" x14ac:dyDescent="0.2">
      <c r="A8348" t="str">
        <f>"8344"</f>
        <v>8344</v>
      </c>
      <c r="B8348" t="str">
        <f t="shared" si="463"/>
        <v>1</v>
      </c>
      <c r="C8348" t="str">
        <f t="shared" si="464"/>
        <v>167</v>
      </c>
      <c r="D8348" t="str">
        <f>"49"</f>
        <v>49</v>
      </c>
      <c r="E8348" t="str">
        <f>"1-167-49"</f>
        <v>1-167-49</v>
      </c>
      <c r="F8348" t="s">
        <v>65</v>
      </c>
      <c r="G8348" t="s">
        <v>66</v>
      </c>
      <c r="H8348" t="s">
        <v>67</v>
      </c>
      <c r="S8348">
        <v>0</v>
      </c>
      <c r="T8348">
        <v>1</v>
      </c>
      <c r="U8348">
        <v>0</v>
      </c>
      <c r="V8348">
        <v>0</v>
      </c>
      <c r="W8348">
        <v>0</v>
      </c>
      <c r="X8348">
        <v>1</v>
      </c>
      <c r="Y8348">
        <v>0</v>
      </c>
      <c r="Z8348">
        <v>1</v>
      </c>
      <c r="AA8348">
        <v>0</v>
      </c>
      <c r="AB8348">
        <v>1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</row>
    <row r="8349" spans="1:39" x14ac:dyDescent="0.2">
      <c r="A8349" t="str">
        <f>"8345"</f>
        <v>8345</v>
      </c>
      <c r="B8349" t="str">
        <f t="shared" si="463"/>
        <v>1</v>
      </c>
      <c r="C8349" t="str">
        <f t="shared" si="464"/>
        <v>167</v>
      </c>
      <c r="D8349" t="str">
        <f>"29"</f>
        <v>29</v>
      </c>
      <c r="E8349" t="str">
        <f>"1-167-29"</f>
        <v>1-167-29</v>
      </c>
      <c r="F8349" t="s">
        <v>65</v>
      </c>
      <c r="G8349" t="s">
        <v>66</v>
      </c>
      <c r="H8349" t="s">
        <v>67</v>
      </c>
      <c r="S8349">
        <v>1</v>
      </c>
      <c r="T8349">
        <v>0</v>
      </c>
      <c r="U8349">
        <v>0</v>
      </c>
      <c r="V8349">
        <v>0</v>
      </c>
      <c r="W8349">
        <v>1</v>
      </c>
      <c r="X8349">
        <v>0</v>
      </c>
      <c r="Y8349">
        <v>1</v>
      </c>
      <c r="Z8349">
        <v>0</v>
      </c>
      <c r="AA8349">
        <v>0</v>
      </c>
      <c r="AB8349">
        <v>0</v>
      </c>
      <c r="AC8349">
        <v>1</v>
      </c>
      <c r="AD8349">
        <v>1</v>
      </c>
      <c r="AE8349">
        <v>1</v>
      </c>
      <c r="AF8349">
        <v>1</v>
      </c>
      <c r="AG8349">
        <v>1</v>
      </c>
      <c r="AH8349">
        <v>1</v>
      </c>
      <c r="AI8349">
        <v>1</v>
      </c>
      <c r="AJ8349">
        <v>1</v>
      </c>
      <c r="AK8349">
        <v>1</v>
      </c>
      <c r="AL8349">
        <v>1</v>
      </c>
      <c r="AM8349">
        <v>1</v>
      </c>
    </row>
    <row r="8350" spans="1:39" x14ac:dyDescent="0.2">
      <c r="A8350" t="str">
        <f>"8346"</f>
        <v>8346</v>
      </c>
      <c r="B8350" t="str">
        <f t="shared" si="463"/>
        <v>1</v>
      </c>
      <c r="C8350" t="str">
        <f t="shared" si="464"/>
        <v>167</v>
      </c>
      <c r="D8350" t="str">
        <f>"13"</f>
        <v>13</v>
      </c>
      <c r="E8350" t="str">
        <f>"1-167-13"</f>
        <v>1-167-13</v>
      </c>
      <c r="F8350" t="s">
        <v>65</v>
      </c>
      <c r="G8350" t="s">
        <v>66</v>
      </c>
      <c r="H8350" t="s">
        <v>67</v>
      </c>
      <c r="S8350">
        <v>1</v>
      </c>
      <c r="T8350">
        <v>0</v>
      </c>
      <c r="U8350">
        <v>0</v>
      </c>
      <c r="V8350">
        <v>0</v>
      </c>
      <c r="W8350">
        <v>1</v>
      </c>
      <c r="X8350">
        <v>0</v>
      </c>
      <c r="Y8350">
        <v>0</v>
      </c>
      <c r="Z8350">
        <v>1</v>
      </c>
      <c r="AA8350">
        <v>0</v>
      </c>
      <c r="AB8350">
        <v>0</v>
      </c>
      <c r="AC8350">
        <v>1</v>
      </c>
      <c r="AD8350">
        <v>0</v>
      </c>
      <c r="AE8350">
        <v>0</v>
      </c>
      <c r="AF8350">
        <v>0</v>
      </c>
      <c r="AG8350">
        <v>1</v>
      </c>
      <c r="AH8350">
        <v>0</v>
      </c>
      <c r="AI8350">
        <v>0</v>
      </c>
      <c r="AJ8350">
        <v>0</v>
      </c>
      <c r="AK8350">
        <v>0</v>
      </c>
      <c r="AL8350">
        <v>1</v>
      </c>
      <c r="AM8350">
        <v>0</v>
      </c>
    </row>
    <row r="8351" spans="1:39" x14ac:dyDescent="0.2">
      <c r="A8351" t="str">
        <f>"8347"</f>
        <v>8347</v>
      </c>
      <c r="B8351" t="str">
        <f t="shared" si="463"/>
        <v>1</v>
      </c>
      <c r="C8351" t="str">
        <f t="shared" si="464"/>
        <v>167</v>
      </c>
      <c r="D8351" t="str">
        <f>"32"</f>
        <v>32</v>
      </c>
      <c r="E8351" t="str">
        <f>"1-167-32"</f>
        <v>1-167-32</v>
      </c>
      <c r="F8351" t="s">
        <v>65</v>
      </c>
      <c r="G8351" t="s">
        <v>66</v>
      </c>
      <c r="H8351" t="s">
        <v>67</v>
      </c>
      <c r="S8351">
        <v>1</v>
      </c>
      <c r="T8351">
        <v>0</v>
      </c>
      <c r="U8351">
        <v>0</v>
      </c>
      <c r="V8351">
        <v>0</v>
      </c>
      <c r="W8351">
        <v>1</v>
      </c>
      <c r="X8351">
        <v>0</v>
      </c>
      <c r="Y8351">
        <v>1</v>
      </c>
      <c r="Z8351">
        <v>0</v>
      </c>
      <c r="AA8351">
        <v>1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</row>
    <row r="8352" spans="1:39" x14ac:dyDescent="0.2">
      <c r="A8352" t="str">
        <f>"8348"</f>
        <v>8348</v>
      </c>
      <c r="B8352" t="str">
        <f t="shared" si="463"/>
        <v>1</v>
      </c>
      <c r="C8352" t="str">
        <f t="shared" si="464"/>
        <v>167</v>
      </c>
      <c r="D8352" t="str">
        <f>"7"</f>
        <v>7</v>
      </c>
      <c r="E8352" t="str">
        <f>"1-167-7"</f>
        <v>1-167-7</v>
      </c>
      <c r="F8352" t="s">
        <v>65</v>
      </c>
      <c r="G8352" t="s">
        <v>66</v>
      </c>
      <c r="H8352" t="s">
        <v>67</v>
      </c>
      <c r="S8352">
        <v>1</v>
      </c>
      <c r="T8352">
        <v>0</v>
      </c>
      <c r="U8352">
        <v>0</v>
      </c>
      <c r="V8352">
        <v>0</v>
      </c>
      <c r="W8352">
        <v>1</v>
      </c>
      <c r="X8352">
        <v>0</v>
      </c>
      <c r="Y8352">
        <v>1</v>
      </c>
      <c r="Z8352">
        <v>0</v>
      </c>
      <c r="AA8352">
        <v>1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</row>
    <row r="8353" spans="1:39" x14ac:dyDescent="0.2">
      <c r="A8353" t="str">
        <f>"8349"</f>
        <v>8349</v>
      </c>
      <c r="B8353" t="str">
        <f t="shared" si="463"/>
        <v>1</v>
      </c>
      <c r="C8353" t="str">
        <f t="shared" si="464"/>
        <v>167</v>
      </c>
      <c r="D8353" t="str">
        <f>"35"</f>
        <v>35</v>
      </c>
      <c r="E8353" t="str">
        <f>"1-167-35"</f>
        <v>1-167-35</v>
      </c>
      <c r="F8353" t="s">
        <v>65</v>
      </c>
      <c r="G8353" t="s">
        <v>66</v>
      </c>
      <c r="H8353" t="s">
        <v>67</v>
      </c>
      <c r="S8353">
        <v>0</v>
      </c>
      <c r="T8353">
        <v>0</v>
      </c>
      <c r="U8353">
        <v>0</v>
      </c>
      <c r="V8353">
        <v>1</v>
      </c>
      <c r="W8353">
        <v>1</v>
      </c>
      <c r="X8353">
        <v>0</v>
      </c>
      <c r="Y8353">
        <v>0</v>
      </c>
      <c r="Z8353">
        <v>1</v>
      </c>
      <c r="AA8353">
        <v>0</v>
      </c>
      <c r="AB8353">
        <v>0</v>
      </c>
      <c r="AC8353">
        <v>1</v>
      </c>
      <c r="AD8353">
        <v>1</v>
      </c>
      <c r="AE8353">
        <v>1</v>
      </c>
      <c r="AF8353">
        <v>1</v>
      </c>
      <c r="AG8353">
        <v>1</v>
      </c>
      <c r="AH8353">
        <v>1</v>
      </c>
      <c r="AI8353">
        <v>1</v>
      </c>
      <c r="AJ8353">
        <v>1</v>
      </c>
      <c r="AK8353">
        <v>1</v>
      </c>
      <c r="AL8353">
        <v>1</v>
      </c>
      <c r="AM8353">
        <v>1</v>
      </c>
    </row>
    <row r="8354" spans="1:39" x14ac:dyDescent="0.2">
      <c r="A8354" t="str">
        <f>"8350"</f>
        <v>8350</v>
      </c>
      <c r="B8354" t="str">
        <f t="shared" si="463"/>
        <v>1</v>
      </c>
      <c r="C8354" t="str">
        <f t="shared" si="464"/>
        <v>167</v>
      </c>
      <c r="D8354" t="str">
        <f>"50"</f>
        <v>50</v>
      </c>
      <c r="E8354" t="str">
        <f>"1-167-50"</f>
        <v>1-167-50</v>
      </c>
      <c r="F8354" t="s">
        <v>65</v>
      </c>
      <c r="G8354" t="s">
        <v>66</v>
      </c>
      <c r="H8354" t="s">
        <v>67</v>
      </c>
      <c r="S8354">
        <v>1</v>
      </c>
      <c r="T8354">
        <v>0</v>
      </c>
      <c r="U8354">
        <v>0</v>
      </c>
      <c r="V8354">
        <v>0</v>
      </c>
      <c r="W8354">
        <v>1</v>
      </c>
      <c r="X8354">
        <v>0</v>
      </c>
      <c r="Y8354">
        <v>0</v>
      </c>
      <c r="Z8354">
        <v>1</v>
      </c>
      <c r="AA8354">
        <v>1</v>
      </c>
      <c r="AB8354">
        <v>0</v>
      </c>
      <c r="AC8354">
        <v>0</v>
      </c>
      <c r="AD8354">
        <v>1</v>
      </c>
      <c r="AE8354">
        <v>1</v>
      </c>
      <c r="AF8354">
        <v>1</v>
      </c>
      <c r="AG8354">
        <v>1</v>
      </c>
      <c r="AH8354">
        <v>1</v>
      </c>
      <c r="AI8354">
        <v>1</v>
      </c>
      <c r="AJ8354">
        <v>1</v>
      </c>
      <c r="AK8354">
        <v>1</v>
      </c>
      <c r="AL8354">
        <v>1</v>
      </c>
      <c r="AM8354">
        <v>1</v>
      </c>
    </row>
    <row r="8355" spans="1:39" x14ac:dyDescent="0.2">
      <c r="A8355" t="str">
        <f>"8351"</f>
        <v>8351</v>
      </c>
      <c r="B8355" t="str">
        <f t="shared" si="463"/>
        <v>1</v>
      </c>
      <c r="C8355" t="str">
        <f t="shared" ref="C8355:C8386" si="465">"168"</f>
        <v>168</v>
      </c>
      <c r="D8355" t="str">
        <f>"38"</f>
        <v>38</v>
      </c>
      <c r="E8355" t="str">
        <f>"1-168-38"</f>
        <v>1-168-38</v>
      </c>
      <c r="F8355" t="s">
        <v>65</v>
      </c>
      <c r="G8355" t="s">
        <v>66</v>
      </c>
      <c r="H8355" t="s">
        <v>67</v>
      </c>
      <c r="S8355">
        <v>0</v>
      </c>
      <c r="T8355">
        <v>1</v>
      </c>
      <c r="U8355">
        <v>0</v>
      </c>
      <c r="V8355">
        <v>0</v>
      </c>
      <c r="W8355">
        <v>1</v>
      </c>
      <c r="X8355">
        <v>0</v>
      </c>
      <c r="Y8355">
        <v>0</v>
      </c>
      <c r="Z8355">
        <v>1</v>
      </c>
      <c r="AA8355">
        <v>1</v>
      </c>
      <c r="AB8355">
        <v>0</v>
      </c>
      <c r="AC8355">
        <v>0</v>
      </c>
      <c r="AD8355">
        <v>1</v>
      </c>
      <c r="AE8355">
        <v>1</v>
      </c>
      <c r="AF8355">
        <v>1</v>
      </c>
      <c r="AG8355">
        <v>1</v>
      </c>
      <c r="AH8355">
        <v>1</v>
      </c>
      <c r="AI8355">
        <v>1</v>
      </c>
      <c r="AJ8355">
        <v>1</v>
      </c>
      <c r="AK8355">
        <v>1</v>
      </c>
      <c r="AL8355">
        <v>1</v>
      </c>
      <c r="AM8355">
        <v>1</v>
      </c>
    </row>
    <row r="8356" spans="1:39" x14ac:dyDescent="0.2">
      <c r="A8356" t="str">
        <f>"8352"</f>
        <v>8352</v>
      </c>
      <c r="B8356" t="str">
        <f t="shared" si="463"/>
        <v>1</v>
      </c>
      <c r="C8356" t="str">
        <f t="shared" si="465"/>
        <v>168</v>
      </c>
      <c r="D8356" t="str">
        <f>"37"</f>
        <v>37</v>
      </c>
      <c r="E8356" t="str">
        <f>"1-168-37"</f>
        <v>1-168-37</v>
      </c>
      <c r="F8356" t="s">
        <v>65</v>
      </c>
      <c r="G8356" t="s">
        <v>66</v>
      </c>
      <c r="H8356" t="s">
        <v>67</v>
      </c>
      <c r="S8356">
        <v>0</v>
      </c>
      <c r="T8356">
        <v>1</v>
      </c>
      <c r="U8356">
        <v>0</v>
      </c>
      <c r="V8356">
        <v>0</v>
      </c>
      <c r="W8356">
        <v>1</v>
      </c>
      <c r="X8356">
        <v>0</v>
      </c>
      <c r="Y8356">
        <v>0</v>
      </c>
      <c r="Z8356">
        <v>1</v>
      </c>
      <c r="AA8356">
        <v>1</v>
      </c>
      <c r="AB8356">
        <v>0</v>
      </c>
      <c r="AC8356">
        <v>0</v>
      </c>
      <c r="AD8356">
        <v>1</v>
      </c>
      <c r="AE8356">
        <v>1</v>
      </c>
      <c r="AF8356">
        <v>1</v>
      </c>
      <c r="AG8356">
        <v>1</v>
      </c>
      <c r="AH8356">
        <v>1</v>
      </c>
      <c r="AI8356">
        <v>1</v>
      </c>
      <c r="AJ8356">
        <v>1</v>
      </c>
      <c r="AK8356">
        <v>1</v>
      </c>
      <c r="AL8356">
        <v>1</v>
      </c>
      <c r="AM8356">
        <v>1</v>
      </c>
    </row>
    <row r="8357" spans="1:39" x14ac:dyDescent="0.2">
      <c r="A8357" t="str">
        <f>"8353"</f>
        <v>8353</v>
      </c>
      <c r="B8357" t="str">
        <f t="shared" si="463"/>
        <v>1</v>
      </c>
      <c r="C8357" t="str">
        <f t="shared" si="465"/>
        <v>168</v>
      </c>
      <c r="D8357" t="str">
        <f>"26"</f>
        <v>26</v>
      </c>
      <c r="E8357" t="str">
        <f>"1-168-26"</f>
        <v>1-168-26</v>
      </c>
      <c r="F8357" t="s">
        <v>65</v>
      </c>
      <c r="G8357" t="s">
        <v>66</v>
      </c>
      <c r="H8357" t="s">
        <v>67</v>
      </c>
      <c r="S8357">
        <v>1</v>
      </c>
      <c r="T8357">
        <v>0</v>
      </c>
      <c r="U8357">
        <v>0</v>
      </c>
      <c r="V8357">
        <v>0</v>
      </c>
      <c r="W8357">
        <v>1</v>
      </c>
      <c r="X8357">
        <v>0</v>
      </c>
      <c r="Y8357">
        <v>1</v>
      </c>
      <c r="Z8357">
        <v>0</v>
      </c>
      <c r="AA8357">
        <v>0</v>
      </c>
      <c r="AB8357">
        <v>0</v>
      </c>
      <c r="AC8357">
        <v>1</v>
      </c>
      <c r="AD8357">
        <v>1</v>
      </c>
      <c r="AE8357">
        <v>1</v>
      </c>
      <c r="AF8357">
        <v>1</v>
      </c>
      <c r="AG8357">
        <v>1</v>
      </c>
      <c r="AH8357">
        <v>1</v>
      </c>
      <c r="AI8357">
        <v>1</v>
      </c>
      <c r="AJ8357">
        <v>1</v>
      </c>
      <c r="AK8357">
        <v>1</v>
      </c>
      <c r="AL8357">
        <v>1</v>
      </c>
      <c r="AM8357">
        <v>1</v>
      </c>
    </row>
    <row r="8358" spans="1:39" x14ac:dyDescent="0.2">
      <c r="A8358" t="str">
        <f>"8354"</f>
        <v>8354</v>
      </c>
      <c r="B8358" t="str">
        <f t="shared" si="463"/>
        <v>1</v>
      </c>
      <c r="C8358" t="str">
        <f t="shared" si="465"/>
        <v>168</v>
      </c>
      <c r="D8358" t="str">
        <f>"25"</f>
        <v>25</v>
      </c>
      <c r="E8358" t="str">
        <f>"1-168-25"</f>
        <v>1-168-25</v>
      </c>
      <c r="F8358" t="s">
        <v>65</v>
      </c>
      <c r="G8358" t="s">
        <v>66</v>
      </c>
      <c r="H8358" t="s">
        <v>67</v>
      </c>
      <c r="S8358">
        <v>1</v>
      </c>
      <c r="T8358">
        <v>0</v>
      </c>
      <c r="U8358">
        <v>0</v>
      </c>
      <c r="V8358">
        <v>0</v>
      </c>
      <c r="W8358">
        <v>1</v>
      </c>
      <c r="X8358">
        <v>0</v>
      </c>
      <c r="Y8358">
        <v>1</v>
      </c>
      <c r="Z8358">
        <v>0</v>
      </c>
      <c r="AA8358">
        <v>1</v>
      </c>
      <c r="AB8358">
        <v>0</v>
      </c>
      <c r="AC8358">
        <v>0</v>
      </c>
      <c r="AD8358">
        <v>1</v>
      </c>
      <c r="AE8358">
        <v>1</v>
      </c>
      <c r="AF8358">
        <v>1</v>
      </c>
      <c r="AG8358">
        <v>1</v>
      </c>
      <c r="AH8358">
        <v>1</v>
      </c>
      <c r="AI8358">
        <v>1</v>
      </c>
      <c r="AJ8358">
        <v>1</v>
      </c>
      <c r="AK8358">
        <v>1</v>
      </c>
      <c r="AL8358">
        <v>1</v>
      </c>
      <c r="AM8358">
        <v>0</v>
      </c>
    </row>
    <row r="8359" spans="1:39" x14ac:dyDescent="0.2">
      <c r="A8359" t="str">
        <f>"8355"</f>
        <v>8355</v>
      </c>
      <c r="B8359" t="str">
        <f t="shared" si="463"/>
        <v>1</v>
      </c>
      <c r="C8359" t="str">
        <f t="shared" si="465"/>
        <v>168</v>
      </c>
      <c r="D8359" t="str">
        <f>"19"</f>
        <v>19</v>
      </c>
      <c r="E8359" t="str">
        <f>"1-168-19"</f>
        <v>1-168-19</v>
      </c>
      <c r="F8359" t="s">
        <v>65</v>
      </c>
      <c r="G8359" t="s">
        <v>66</v>
      </c>
      <c r="H8359" t="s">
        <v>67</v>
      </c>
      <c r="S8359">
        <v>1</v>
      </c>
      <c r="T8359">
        <v>0</v>
      </c>
      <c r="U8359">
        <v>0</v>
      </c>
      <c r="V8359">
        <v>0</v>
      </c>
      <c r="W8359">
        <v>1</v>
      </c>
      <c r="X8359">
        <v>0</v>
      </c>
      <c r="Y8359">
        <v>1</v>
      </c>
      <c r="Z8359">
        <v>0</v>
      </c>
      <c r="AA8359">
        <v>0</v>
      </c>
      <c r="AB8359">
        <v>0</v>
      </c>
      <c r="AC8359">
        <v>1</v>
      </c>
      <c r="AD8359">
        <v>1</v>
      </c>
      <c r="AE8359">
        <v>1</v>
      </c>
      <c r="AF8359">
        <v>1</v>
      </c>
      <c r="AG8359">
        <v>1</v>
      </c>
      <c r="AH8359">
        <v>1</v>
      </c>
      <c r="AI8359">
        <v>1</v>
      </c>
      <c r="AJ8359">
        <v>1</v>
      </c>
      <c r="AK8359">
        <v>1</v>
      </c>
      <c r="AL8359">
        <v>1</v>
      </c>
      <c r="AM8359">
        <v>1</v>
      </c>
    </row>
    <row r="8360" spans="1:39" x14ac:dyDescent="0.2">
      <c r="A8360" t="str">
        <f>"8356"</f>
        <v>8356</v>
      </c>
      <c r="B8360" t="str">
        <f t="shared" si="463"/>
        <v>1</v>
      </c>
      <c r="C8360" t="str">
        <f t="shared" si="465"/>
        <v>168</v>
      </c>
      <c r="D8360" t="str">
        <f>"15"</f>
        <v>15</v>
      </c>
      <c r="E8360" t="str">
        <f>"1-168-15"</f>
        <v>1-168-15</v>
      </c>
      <c r="F8360" t="s">
        <v>65</v>
      </c>
      <c r="G8360" t="s">
        <v>66</v>
      </c>
      <c r="H8360" t="s">
        <v>67</v>
      </c>
      <c r="S8360">
        <v>0</v>
      </c>
      <c r="T8360">
        <v>1</v>
      </c>
      <c r="U8360">
        <v>0</v>
      </c>
      <c r="V8360">
        <v>0</v>
      </c>
      <c r="W8360">
        <v>1</v>
      </c>
      <c r="X8360">
        <v>0</v>
      </c>
      <c r="Y8360">
        <v>1</v>
      </c>
      <c r="Z8360">
        <v>0</v>
      </c>
      <c r="AA8360">
        <v>0</v>
      </c>
      <c r="AB8360">
        <v>0</v>
      </c>
      <c r="AC8360">
        <v>1</v>
      </c>
      <c r="AD8360">
        <v>1</v>
      </c>
      <c r="AE8360">
        <v>1</v>
      </c>
      <c r="AF8360">
        <v>1</v>
      </c>
      <c r="AG8360">
        <v>1</v>
      </c>
      <c r="AH8360">
        <v>1</v>
      </c>
      <c r="AI8360">
        <v>1</v>
      </c>
      <c r="AJ8360">
        <v>1</v>
      </c>
      <c r="AK8360">
        <v>1</v>
      </c>
      <c r="AL8360">
        <v>1</v>
      </c>
      <c r="AM8360">
        <v>1</v>
      </c>
    </row>
    <row r="8361" spans="1:39" x14ac:dyDescent="0.2">
      <c r="A8361" t="str">
        <f>"8357"</f>
        <v>8357</v>
      </c>
      <c r="B8361" t="str">
        <f t="shared" si="463"/>
        <v>1</v>
      </c>
      <c r="C8361" t="str">
        <f t="shared" si="465"/>
        <v>168</v>
      </c>
      <c r="D8361" t="str">
        <f>"6"</f>
        <v>6</v>
      </c>
      <c r="E8361" t="str">
        <f>"1-168-6"</f>
        <v>1-168-6</v>
      </c>
      <c r="F8361" t="s">
        <v>65</v>
      </c>
      <c r="G8361" t="s">
        <v>66</v>
      </c>
      <c r="H8361" t="s">
        <v>67</v>
      </c>
      <c r="S8361">
        <v>1</v>
      </c>
      <c r="T8361">
        <v>0</v>
      </c>
      <c r="U8361">
        <v>0</v>
      </c>
      <c r="V8361">
        <v>0</v>
      </c>
      <c r="W8361">
        <v>1</v>
      </c>
      <c r="X8361">
        <v>0</v>
      </c>
      <c r="Y8361">
        <v>1</v>
      </c>
      <c r="Z8361">
        <v>0</v>
      </c>
      <c r="AA8361">
        <v>0</v>
      </c>
      <c r="AB8361">
        <v>0</v>
      </c>
      <c r="AC8361">
        <v>1</v>
      </c>
      <c r="AD8361">
        <v>1</v>
      </c>
      <c r="AE8361">
        <v>1</v>
      </c>
      <c r="AF8361">
        <v>1</v>
      </c>
      <c r="AG8361">
        <v>1</v>
      </c>
      <c r="AH8361">
        <v>1</v>
      </c>
      <c r="AI8361">
        <v>1</v>
      </c>
      <c r="AJ8361">
        <v>1</v>
      </c>
      <c r="AK8361">
        <v>1</v>
      </c>
      <c r="AL8361">
        <v>1</v>
      </c>
      <c r="AM8361">
        <v>1</v>
      </c>
    </row>
    <row r="8362" spans="1:39" x14ac:dyDescent="0.2">
      <c r="A8362" t="str">
        <f>"8358"</f>
        <v>8358</v>
      </c>
      <c r="B8362" t="str">
        <f t="shared" si="463"/>
        <v>1</v>
      </c>
      <c r="C8362" t="str">
        <f t="shared" si="465"/>
        <v>168</v>
      </c>
      <c r="D8362" t="str">
        <f>"36"</f>
        <v>36</v>
      </c>
      <c r="E8362" t="str">
        <f>"1-168-36"</f>
        <v>1-168-36</v>
      </c>
      <c r="F8362" t="s">
        <v>65</v>
      </c>
      <c r="G8362" t="s">
        <v>66</v>
      </c>
      <c r="H8362" t="s">
        <v>67</v>
      </c>
      <c r="S8362">
        <v>0</v>
      </c>
      <c r="T8362">
        <v>1</v>
      </c>
      <c r="U8362">
        <v>0</v>
      </c>
      <c r="V8362">
        <v>0</v>
      </c>
      <c r="W8362">
        <v>1</v>
      </c>
      <c r="X8362">
        <v>0</v>
      </c>
      <c r="Y8362">
        <v>1</v>
      </c>
      <c r="Z8362">
        <v>0</v>
      </c>
      <c r="AA8362">
        <v>1</v>
      </c>
      <c r="AB8362">
        <v>0</v>
      </c>
      <c r="AC8362">
        <v>0</v>
      </c>
      <c r="AD8362">
        <v>1</v>
      </c>
      <c r="AE8362">
        <v>0</v>
      </c>
      <c r="AF8362">
        <v>0</v>
      </c>
      <c r="AG8362">
        <v>1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</row>
    <row r="8363" spans="1:39" x14ac:dyDescent="0.2">
      <c r="A8363" t="str">
        <f>"8359"</f>
        <v>8359</v>
      </c>
      <c r="B8363" t="str">
        <f t="shared" si="463"/>
        <v>1</v>
      </c>
      <c r="C8363" t="str">
        <f t="shared" si="465"/>
        <v>168</v>
      </c>
      <c r="D8363" t="str">
        <f>"35"</f>
        <v>35</v>
      </c>
      <c r="E8363" t="str">
        <f>"1-168-35"</f>
        <v>1-168-35</v>
      </c>
      <c r="F8363" t="s">
        <v>65</v>
      </c>
      <c r="G8363" t="s">
        <v>66</v>
      </c>
      <c r="H8363" t="s">
        <v>67</v>
      </c>
      <c r="S8363">
        <v>0</v>
      </c>
      <c r="T8363">
        <v>0</v>
      </c>
      <c r="U8363">
        <v>0</v>
      </c>
      <c r="V8363">
        <v>0</v>
      </c>
      <c r="W8363">
        <v>1</v>
      </c>
      <c r="X8363">
        <v>0</v>
      </c>
      <c r="Y8363">
        <v>0</v>
      </c>
      <c r="Z8363">
        <v>1</v>
      </c>
      <c r="AA8363">
        <v>0</v>
      </c>
      <c r="AB8363">
        <v>0</v>
      </c>
      <c r="AC8363">
        <v>1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</row>
    <row r="8364" spans="1:39" x14ac:dyDescent="0.2">
      <c r="A8364" t="str">
        <f>"8360"</f>
        <v>8360</v>
      </c>
      <c r="B8364" t="str">
        <f t="shared" si="463"/>
        <v>1</v>
      </c>
      <c r="C8364" t="str">
        <f t="shared" si="465"/>
        <v>168</v>
      </c>
      <c r="D8364" t="str">
        <f>"24"</f>
        <v>24</v>
      </c>
      <c r="E8364" t="str">
        <f>"1-168-24"</f>
        <v>1-168-24</v>
      </c>
      <c r="F8364" t="s">
        <v>65</v>
      </c>
      <c r="G8364" t="s">
        <v>66</v>
      </c>
      <c r="H8364" t="s">
        <v>67</v>
      </c>
      <c r="S8364">
        <v>1</v>
      </c>
      <c r="T8364">
        <v>0</v>
      </c>
      <c r="U8364">
        <v>0</v>
      </c>
      <c r="V8364">
        <v>0</v>
      </c>
      <c r="W8364">
        <v>1</v>
      </c>
      <c r="X8364">
        <v>0</v>
      </c>
      <c r="Y8364">
        <v>0</v>
      </c>
      <c r="Z8364">
        <v>0</v>
      </c>
      <c r="AA8364">
        <v>1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</row>
    <row r="8365" spans="1:39" x14ac:dyDescent="0.2">
      <c r="A8365" t="str">
        <f>"8361"</f>
        <v>8361</v>
      </c>
      <c r="B8365" t="str">
        <f t="shared" si="463"/>
        <v>1</v>
      </c>
      <c r="C8365" t="str">
        <f t="shared" si="465"/>
        <v>168</v>
      </c>
      <c r="D8365" t="str">
        <f>"16"</f>
        <v>16</v>
      </c>
      <c r="E8365" t="str">
        <f>"1-168-16"</f>
        <v>1-168-16</v>
      </c>
      <c r="F8365" t="s">
        <v>65</v>
      </c>
      <c r="G8365" t="s">
        <v>66</v>
      </c>
      <c r="H8365" t="s">
        <v>67</v>
      </c>
      <c r="S8365">
        <v>1</v>
      </c>
      <c r="T8365">
        <v>0</v>
      </c>
      <c r="U8365">
        <v>0</v>
      </c>
      <c r="V8365">
        <v>0</v>
      </c>
      <c r="W8365">
        <v>1</v>
      </c>
      <c r="X8365">
        <v>0</v>
      </c>
      <c r="Y8365">
        <v>1</v>
      </c>
      <c r="Z8365">
        <v>0</v>
      </c>
      <c r="AA8365">
        <v>0</v>
      </c>
      <c r="AB8365">
        <v>1</v>
      </c>
      <c r="AC8365">
        <v>0</v>
      </c>
      <c r="AD8365">
        <v>1</v>
      </c>
      <c r="AE8365">
        <v>1</v>
      </c>
      <c r="AF8365">
        <v>1</v>
      </c>
      <c r="AG8365">
        <v>1</v>
      </c>
      <c r="AH8365">
        <v>0</v>
      </c>
      <c r="AI8365">
        <v>1</v>
      </c>
      <c r="AJ8365">
        <v>1</v>
      </c>
      <c r="AK8365">
        <v>0</v>
      </c>
      <c r="AL8365">
        <v>1</v>
      </c>
      <c r="AM8365">
        <v>1</v>
      </c>
    </row>
    <row r="8366" spans="1:39" x14ac:dyDescent="0.2">
      <c r="A8366" t="str">
        <f>"8362"</f>
        <v>8362</v>
      </c>
      <c r="B8366" t="str">
        <f t="shared" si="463"/>
        <v>1</v>
      </c>
      <c r="C8366" t="str">
        <f t="shared" si="465"/>
        <v>168</v>
      </c>
      <c r="D8366" t="str">
        <f>"4"</f>
        <v>4</v>
      </c>
      <c r="E8366" t="str">
        <f>"1-168-4"</f>
        <v>1-168-4</v>
      </c>
      <c r="F8366" t="s">
        <v>65</v>
      </c>
      <c r="G8366" t="s">
        <v>66</v>
      </c>
      <c r="H8366" t="s">
        <v>67</v>
      </c>
      <c r="S8366">
        <v>1</v>
      </c>
      <c r="T8366">
        <v>0</v>
      </c>
      <c r="U8366">
        <v>0</v>
      </c>
      <c r="V8366">
        <v>0</v>
      </c>
      <c r="W8366">
        <v>1</v>
      </c>
      <c r="X8366">
        <v>0</v>
      </c>
      <c r="Y8366">
        <v>0</v>
      </c>
      <c r="Z8366">
        <v>1</v>
      </c>
      <c r="AA8366">
        <v>0</v>
      </c>
      <c r="AB8366">
        <v>0</v>
      </c>
      <c r="AC8366">
        <v>1</v>
      </c>
      <c r="AD8366">
        <v>1</v>
      </c>
      <c r="AE8366">
        <v>1</v>
      </c>
      <c r="AF8366">
        <v>1</v>
      </c>
      <c r="AG8366">
        <v>1</v>
      </c>
      <c r="AH8366">
        <v>1</v>
      </c>
      <c r="AI8366">
        <v>1</v>
      </c>
      <c r="AJ8366">
        <v>1</v>
      </c>
      <c r="AK8366">
        <v>1</v>
      </c>
      <c r="AL8366">
        <v>1</v>
      </c>
      <c r="AM8366">
        <v>1</v>
      </c>
    </row>
    <row r="8367" spans="1:39" x14ac:dyDescent="0.2">
      <c r="A8367" t="str">
        <f>"8363"</f>
        <v>8363</v>
      </c>
      <c r="B8367" t="str">
        <f t="shared" si="463"/>
        <v>1</v>
      </c>
      <c r="C8367" t="str">
        <f t="shared" si="465"/>
        <v>168</v>
      </c>
      <c r="D8367" t="str">
        <f>"41"</f>
        <v>41</v>
      </c>
      <c r="E8367" t="str">
        <f>"1-168-41"</f>
        <v>1-168-41</v>
      </c>
      <c r="F8367" t="s">
        <v>65</v>
      </c>
      <c r="G8367" t="s">
        <v>66</v>
      </c>
      <c r="H8367" t="s">
        <v>67</v>
      </c>
      <c r="S8367">
        <v>0</v>
      </c>
      <c r="T8367">
        <v>1</v>
      </c>
      <c r="U8367">
        <v>0</v>
      </c>
      <c r="V8367">
        <v>0</v>
      </c>
      <c r="W8367">
        <v>0</v>
      </c>
      <c r="X8367">
        <v>1</v>
      </c>
      <c r="Y8367">
        <v>0</v>
      </c>
      <c r="Z8367">
        <v>1</v>
      </c>
      <c r="AA8367">
        <v>1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</row>
    <row r="8368" spans="1:39" x14ac:dyDescent="0.2">
      <c r="A8368" t="str">
        <f>"8364"</f>
        <v>8364</v>
      </c>
      <c r="B8368" t="str">
        <f t="shared" si="463"/>
        <v>1</v>
      </c>
      <c r="C8368" t="str">
        <f t="shared" si="465"/>
        <v>168</v>
      </c>
      <c r="D8368" t="str">
        <f>"40"</f>
        <v>40</v>
      </c>
      <c r="E8368" t="str">
        <f>"1-168-40"</f>
        <v>1-168-40</v>
      </c>
      <c r="F8368" t="s">
        <v>65</v>
      </c>
      <c r="G8368" t="s">
        <v>66</v>
      </c>
      <c r="H8368" t="s">
        <v>67</v>
      </c>
      <c r="S8368">
        <v>0</v>
      </c>
      <c r="T8368">
        <v>1</v>
      </c>
      <c r="U8368">
        <v>0</v>
      </c>
      <c r="V8368">
        <v>0</v>
      </c>
      <c r="W8368">
        <v>1</v>
      </c>
      <c r="X8368">
        <v>0</v>
      </c>
      <c r="Y8368">
        <v>1</v>
      </c>
      <c r="Z8368">
        <v>0</v>
      </c>
      <c r="AA8368">
        <v>1</v>
      </c>
      <c r="AB8368">
        <v>0</v>
      </c>
      <c r="AC8368">
        <v>0</v>
      </c>
      <c r="AD8368">
        <v>1</v>
      </c>
      <c r="AE8368">
        <v>1</v>
      </c>
      <c r="AF8368">
        <v>1</v>
      </c>
      <c r="AG8368">
        <v>1</v>
      </c>
      <c r="AH8368">
        <v>1</v>
      </c>
      <c r="AI8368">
        <v>1</v>
      </c>
      <c r="AJ8368">
        <v>1</v>
      </c>
      <c r="AK8368">
        <v>1</v>
      </c>
      <c r="AL8368">
        <v>1</v>
      </c>
      <c r="AM8368">
        <v>1</v>
      </c>
    </row>
    <row r="8369" spans="1:39" x14ac:dyDescent="0.2">
      <c r="A8369" t="str">
        <f>"8365"</f>
        <v>8365</v>
      </c>
      <c r="B8369" t="str">
        <f t="shared" si="463"/>
        <v>1</v>
      </c>
      <c r="C8369" t="str">
        <f t="shared" si="465"/>
        <v>168</v>
      </c>
      <c r="D8369" t="str">
        <f>"32"</f>
        <v>32</v>
      </c>
      <c r="E8369" t="str">
        <f>"1-168-32"</f>
        <v>1-168-32</v>
      </c>
      <c r="F8369" t="s">
        <v>65</v>
      </c>
      <c r="G8369" t="s">
        <v>66</v>
      </c>
      <c r="H8369" t="s">
        <v>67</v>
      </c>
      <c r="S8369">
        <v>1</v>
      </c>
      <c r="T8369">
        <v>0</v>
      </c>
      <c r="U8369">
        <v>0</v>
      </c>
      <c r="V8369">
        <v>0</v>
      </c>
      <c r="W8369">
        <v>0</v>
      </c>
      <c r="X8369">
        <v>1</v>
      </c>
      <c r="Y8369">
        <v>0</v>
      </c>
      <c r="Z8369">
        <v>1</v>
      </c>
      <c r="AA8369">
        <v>0</v>
      </c>
      <c r="AB8369">
        <v>1</v>
      </c>
      <c r="AC8369">
        <v>0</v>
      </c>
      <c r="AD8369">
        <v>0</v>
      </c>
      <c r="AE8369">
        <v>0</v>
      </c>
      <c r="AF8369">
        <v>0</v>
      </c>
      <c r="AG8369">
        <v>1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</row>
    <row r="8370" spans="1:39" x14ac:dyDescent="0.2">
      <c r="A8370" t="str">
        <f>"8366"</f>
        <v>8366</v>
      </c>
      <c r="B8370" t="str">
        <f t="shared" si="463"/>
        <v>1</v>
      </c>
      <c r="C8370" t="str">
        <f t="shared" si="465"/>
        <v>168</v>
      </c>
      <c r="D8370" t="str">
        <f>"17"</f>
        <v>17</v>
      </c>
      <c r="E8370" t="str">
        <f>"1-168-17"</f>
        <v>1-168-17</v>
      </c>
      <c r="F8370" t="s">
        <v>65</v>
      </c>
      <c r="G8370" t="s">
        <v>66</v>
      </c>
      <c r="H8370" t="s">
        <v>67</v>
      </c>
      <c r="S8370">
        <v>1</v>
      </c>
      <c r="T8370">
        <v>0</v>
      </c>
      <c r="U8370">
        <v>0</v>
      </c>
      <c r="V8370">
        <v>0</v>
      </c>
      <c r="W8370">
        <v>1</v>
      </c>
      <c r="X8370">
        <v>0</v>
      </c>
      <c r="Y8370">
        <v>1</v>
      </c>
      <c r="Z8370">
        <v>0</v>
      </c>
      <c r="AA8370">
        <v>0</v>
      </c>
      <c r="AB8370">
        <v>0</v>
      </c>
      <c r="AC8370">
        <v>1</v>
      </c>
      <c r="AD8370">
        <v>1</v>
      </c>
      <c r="AE8370">
        <v>1</v>
      </c>
      <c r="AF8370">
        <v>1</v>
      </c>
      <c r="AG8370">
        <v>1</v>
      </c>
      <c r="AH8370">
        <v>1</v>
      </c>
      <c r="AI8370">
        <v>1</v>
      </c>
      <c r="AJ8370">
        <v>1</v>
      </c>
      <c r="AK8370">
        <v>1</v>
      </c>
      <c r="AL8370">
        <v>1</v>
      </c>
      <c r="AM8370">
        <v>1</v>
      </c>
    </row>
    <row r="8371" spans="1:39" x14ac:dyDescent="0.2">
      <c r="A8371" t="str">
        <f>"8367"</f>
        <v>8367</v>
      </c>
      <c r="B8371" t="str">
        <f t="shared" si="463"/>
        <v>1</v>
      </c>
      <c r="C8371" t="str">
        <f t="shared" si="465"/>
        <v>168</v>
      </c>
      <c r="D8371" t="str">
        <f>"1"</f>
        <v>1</v>
      </c>
      <c r="E8371" t="str">
        <f>"1-168-1"</f>
        <v>1-168-1</v>
      </c>
      <c r="F8371" t="s">
        <v>65</v>
      </c>
      <c r="G8371" t="s">
        <v>66</v>
      </c>
      <c r="H8371" t="s">
        <v>67</v>
      </c>
      <c r="S8371">
        <v>0</v>
      </c>
      <c r="T8371">
        <v>1</v>
      </c>
      <c r="U8371">
        <v>0</v>
      </c>
      <c r="V8371">
        <v>0</v>
      </c>
      <c r="W8371">
        <v>1</v>
      </c>
      <c r="X8371">
        <v>0</v>
      </c>
      <c r="Y8371">
        <v>0</v>
      </c>
      <c r="Z8371">
        <v>0</v>
      </c>
      <c r="AA8371">
        <v>1</v>
      </c>
      <c r="AB8371">
        <v>0</v>
      </c>
      <c r="AC8371">
        <v>0</v>
      </c>
      <c r="AD8371">
        <v>1</v>
      </c>
      <c r="AE8371">
        <v>1</v>
      </c>
      <c r="AF8371">
        <v>0</v>
      </c>
      <c r="AG8371">
        <v>1</v>
      </c>
      <c r="AH8371">
        <v>1</v>
      </c>
      <c r="AI8371">
        <v>1</v>
      </c>
      <c r="AJ8371">
        <v>0</v>
      </c>
      <c r="AK8371">
        <v>0</v>
      </c>
      <c r="AL8371">
        <v>1</v>
      </c>
      <c r="AM8371">
        <v>0</v>
      </c>
    </row>
    <row r="8372" spans="1:39" x14ac:dyDescent="0.2">
      <c r="A8372" t="str">
        <f>"8368"</f>
        <v>8368</v>
      </c>
      <c r="B8372" t="str">
        <f t="shared" si="463"/>
        <v>1</v>
      </c>
      <c r="C8372" t="str">
        <f t="shared" si="465"/>
        <v>168</v>
      </c>
      <c r="D8372" t="str">
        <f>"43"</f>
        <v>43</v>
      </c>
      <c r="E8372" t="str">
        <f>"1-168-43"</f>
        <v>1-168-43</v>
      </c>
      <c r="F8372" t="s">
        <v>65</v>
      </c>
      <c r="G8372" t="s">
        <v>66</v>
      </c>
      <c r="H8372" t="s">
        <v>67</v>
      </c>
      <c r="S8372">
        <v>1</v>
      </c>
      <c r="T8372">
        <v>0</v>
      </c>
      <c r="U8372">
        <v>0</v>
      </c>
      <c r="V8372">
        <v>0</v>
      </c>
      <c r="W8372">
        <v>1</v>
      </c>
      <c r="X8372">
        <v>0</v>
      </c>
      <c r="Y8372">
        <v>1</v>
      </c>
      <c r="Z8372">
        <v>0</v>
      </c>
      <c r="AA8372">
        <v>1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1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</row>
    <row r="8373" spans="1:39" x14ac:dyDescent="0.2">
      <c r="A8373" t="str">
        <f>"8369"</f>
        <v>8369</v>
      </c>
      <c r="B8373" t="str">
        <f t="shared" si="463"/>
        <v>1</v>
      </c>
      <c r="C8373" t="str">
        <f t="shared" si="465"/>
        <v>168</v>
      </c>
      <c r="D8373" t="str">
        <f>"42"</f>
        <v>42</v>
      </c>
      <c r="E8373" t="str">
        <f>"1-168-42"</f>
        <v>1-168-42</v>
      </c>
      <c r="F8373" t="s">
        <v>65</v>
      </c>
      <c r="G8373" t="s">
        <v>66</v>
      </c>
      <c r="H8373" t="s">
        <v>67</v>
      </c>
      <c r="S8373">
        <v>0</v>
      </c>
      <c r="T8373">
        <v>1</v>
      </c>
      <c r="U8373">
        <v>0</v>
      </c>
      <c r="V8373">
        <v>0</v>
      </c>
      <c r="W8373">
        <v>1</v>
      </c>
      <c r="X8373">
        <v>0</v>
      </c>
      <c r="Y8373">
        <v>0</v>
      </c>
      <c r="Z8373">
        <v>1</v>
      </c>
      <c r="AA8373">
        <v>1</v>
      </c>
      <c r="AB8373">
        <v>0</v>
      </c>
      <c r="AC8373">
        <v>0</v>
      </c>
      <c r="AD8373">
        <v>1</v>
      </c>
      <c r="AE8373">
        <v>1</v>
      </c>
      <c r="AF8373">
        <v>1</v>
      </c>
      <c r="AG8373">
        <v>1</v>
      </c>
      <c r="AH8373">
        <v>1</v>
      </c>
      <c r="AI8373">
        <v>1</v>
      </c>
      <c r="AJ8373">
        <v>1</v>
      </c>
      <c r="AK8373">
        <v>1</v>
      </c>
      <c r="AL8373">
        <v>1</v>
      </c>
      <c r="AM8373">
        <v>1</v>
      </c>
    </row>
    <row r="8374" spans="1:39" x14ac:dyDescent="0.2">
      <c r="A8374" t="str">
        <f>"8370"</f>
        <v>8370</v>
      </c>
      <c r="B8374" t="str">
        <f t="shared" si="463"/>
        <v>1</v>
      </c>
      <c r="C8374" t="str">
        <f t="shared" si="465"/>
        <v>168</v>
      </c>
      <c r="D8374" t="str">
        <f>"34"</f>
        <v>34</v>
      </c>
      <c r="E8374" t="str">
        <f>"1-168-34"</f>
        <v>1-168-34</v>
      </c>
      <c r="F8374" t="s">
        <v>65</v>
      </c>
      <c r="G8374" t="s">
        <v>66</v>
      </c>
      <c r="H8374" t="s">
        <v>67</v>
      </c>
      <c r="S8374">
        <v>0</v>
      </c>
      <c r="T8374">
        <v>0</v>
      </c>
      <c r="U8374">
        <v>0</v>
      </c>
      <c r="V8374">
        <v>0</v>
      </c>
      <c r="W8374">
        <v>1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</row>
    <row r="8375" spans="1:39" x14ac:dyDescent="0.2">
      <c r="A8375" t="str">
        <f>"8371"</f>
        <v>8371</v>
      </c>
      <c r="B8375" t="str">
        <f t="shared" ref="B8375:B8438" si="466">"1"</f>
        <v>1</v>
      </c>
      <c r="C8375" t="str">
        <f t="shared" si="465"/>
        <v>168</v>
      </c>
      <c r="D8375" t="str">
        <f>"18"</f>
        <v>18</v>
      </c>
      <c r="E8375" t="str">
        <f>"1-168-18"</f>
        <v>1-168-18</v>
      </c>
      <c r="F8375" t="s">
        <v>65</v>
      </c>
      <c r="G8375" t="s">
        <v>66</v>
      </c>
      <c r="H8375" t="s">
        <v>67</v>
      </c>
      <c r="S8375">
        <v>0</v>
      </c>
      <c r="T8375">
        <v>1</v>
      </c>
      <c r="U8375">
        <v>0</v>
      </c>
      <c r="V8375">
        <v>0</v>
      </c>
      <c r="W8375">
        <v>1</v>
      </c>
      <c r="X8375">
        <v>0</v>
      </c>
      <c r="Y8375">
        <v>0</v>
      </c>
      <c r="Z8375">
        <v>1</v>
      </c>
      <c r="AA8375">
        <v>0</v>
      </c>
      <c r="AB8375">
        <v>0</v>
      </c>
      <c r="AC8375">
        <v>1</v>
      </c>
      <c r="AD8375">
        <v>1</v>
      </c>
      <c r="AE8375">
        <v>1</v>
      </c>
      <c r="AF8375">
        <v>1</v>
      </c>
      <c r="AG8375">
        <v>1</v>
      </c>
      <c r="AH8375">
        <v>1</v>
      </c>
      <c r="AI8375">
        <v>1</v>
      </c>
      <c r="AJ8375">
        <v>1</v>
      </c>
      <c r="AK8375">
        <v>1</v>
      </c>
      <c r="AL8375">
        <v>1</v>
      </c>
      <c r="AM8375">
        <v>1</v>
      </c>
    </row>
    <row r="8376" spans="1:39" x14ac:dyDescent="0.2">
      <c r="A8376" t="str">
        <f>"8372"</f>
        <v>8372</v>
      </c>
      <c r="B8376" t="str">
        <f t="shared" si="466"/>
        <v>1</v>
      </c>
      <c r="C8376" t="str">
        <f t="shared" si="465"/>
        <v>168</v>
      </c>
      <c r="D8376" t="str">
        <f>"14"</f>
        <v>14</v>
      </c>
      <c r="E8376" t="str">
        <f>"1-168-14"</f>
        <v>1-168-14</v>
      </c>
      <c r="F8376" t="s">
        <v>65</v>
      </c>
      <c r="G8376" t="s">
        <v>66</v>
      </c>
      <c r="H8376" t="s">
        <v>67</v>
      </c>
      <c r="S8376">
        <v>0</v>
      </c>
      <c r="T8376">
        <v>1</v>
      </c>
      <c r="U8376">
        <v>0</v>
      </c>
      <c r="V8376">
        <v>0</v>
      </c>
      <c r="W8376">
        <v>1</v>
      </c>
      <c r="X8376">
        <v>0</v>
      </c>
      <c r="Y8376">
        <v>1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</row>
    <row r="8377" spans="1:39" x14ac:dyDescent="0.2">
      <c r="A8377" t="str">
        <f>"8373"</f>
        <v>8373</v>
      </c>
      <c r="B8377" t="str">
        <f t="shared" si="466"/>
        <v>1</v>
      </c>
      <c r="C8377" t="str">
        <f t="shared" si="465"/>
        <v>168</v>
      </c>
      <c r="D8377" t="str">
        <f>"39"</f>
        <v>39</v>
      </c>
      <c r="E8377" t="str">
        <f>"1-168-39"</f>
        <v>1-168-39</v>
      </c>
      <c r="F8377" t="s">
        <v>65</v>
      </c>
      <c r="G8377" t="s">
        <v>66</v>
      </c>
      <c r="H8377" t="s">
        <v>67</v>
      </c>
      <c r="S8377">
        <v>1</v>
      </c>
      <c r="T8377">
        <v>0</v>
      </c>
      <c r="U8377">
        <v>0</v>
      </c>
      <c r="V8377">
        <v>0</v>
      </c>
      <c r="W8377">
        <v>1</v>
      </c>
      <c r="X8377">
        <v>0</v>
      </c>
      <c r="Y8377">
        <v>0</v>
      </c>
      <c r="Z8377">
        <v>1</v>
      </c>
      <c r="AA8377">
        <v>0</v>
      </c>
      <c r="AB8377">
        <v>1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1</v>
      </c>
      <c r="AJ8377">
        <v>1</v>
      </c>
      <c r="AK8377">
        <v>0</v>
      </c>
      <c r="AL8377">
        <v>1</v>
      </c>
      <c r="AM8377">
        <v>0</v>
      </c>
    </row>
    <row r="8378" spans="1:39" x14ac:dyDescent="0.2">
      <c r="A8378" t="str">
        <f>"8374"</f>
        <v>8374</v>
      </c>
      <c r="B8378" t="str">
        <f t="shared" si="466"/>
        <v>1</v>
      </c>
      <c r="C8378" t="str">
        <f t="shared" si="465"/>
        <v>168</v>
      </c>
      <c r="D8378" t="str">
        <f>"20"</f>
        <v>20</v>
      </c>
      <c r="E8378" t="str">
        <f>"1-168-20"</f>
        <v>1-168-20</v>
      </c>
      <c r="F8378" t="s">
        <v>65</v>
      </c>
      <c r="G8378" t="s">
        <v>66</v>
      </c>
      <c r="H8378" t="s">
        <v>67</v>
      </c>
      <c r="S8378">
        <v>1</v>
      </c>
      <c r="T8378">
        <v>0</v>
      </c>
      <c r="U8378">
        <v>0</v>
      </c>
      <c r="V8378">
        <v>0</v>
      </c>
      <c r="W8378">
        <v>1</v>
      </c>
      <c r="X8378">
        <v>0</v>
      </c>
      <c r="Y8378">
        <v>1</v>
      </c>
      <c r="Z8378">
        <v>0</v>
      </c>
      <c r="AA8378">
        <v>0</v>
      </c>
      <c r="AB8378">
        <v>1</v>
      </c>
      <c r="AC8378">
        <v>0</v>
      </c>
      <c r="AD8378">
        <v>1</v>
      </c>
      <c r="AE8378">
        <v>1</v>
      </c>
      <c r="AF8378">
        <v>1</v>
      </c>
      <c r="AG8378">
        <v>1</v>
      </c>
      <c r="AH8378">
        <v>1</v>
      </c>
      <c r="AI8378">
        <v>1</v>
      </c>
      <c r="AJ8378">
        <v>1</v>
      </c>
      <c r="AK8378">
        <v>1</v>
      </c>
      <c r="AL8378">
        <v>1</v>
      </c>
      <c r="AM8378">
        <v>1</v>
      </c>
    </row>
    <row r="8379" spans="1:39" x14ac:dyDescent="0.2">
      <c r="A8379" t="str">
        <f>"8375"</f>
        <v>8375</v>
      </c>
      <c r="B8379" t="str">
        <f t="shared" si="466"/>
        <v>1</v>
      </c>
      <c r="C8379" t="str">
        <f t="shared" si="465"/>
        <v>168</v>
      </c>
      <c r="D8379" t="str">
        <f>"3"</f>
        <v>3</v>
      </c>
      <c r="E8379" t="str">
        <f>"1-168-3"</f>
        <v>1-168-3</v>
      </c>
      <c r="F8379" t="s">
        <v>65</v>
      </c>
      <c r="G8379" t="s">
        <v>66</v>
      </c>
      <c r="H8379" t="s">
        <v>67</v>
      </c>
      <c r="S8379">
        <v>1</v>
      </c>
      <c r="T8379">
        <v>0</v>
      </c>
      <c r="U8379">
        <v>0</v>
      </c>
      <c r="V8379">
        <v>0</v>
      </c>
      <c r="W8379">
        <v>1</v>
      </c>
      <c r="X8379">
        <v>0</v>
      </c>
      <c r="Y8379">
        <v>1</v>
      </c>
      <c r="Z8379">
        <v>0</v>
      </c>
      <c r="AA8379">
        <v>0</v>
      </c>
      <c r="AB8379">
        <v>1</v>
      </c>
      <c r="AC8379">
        <v>0</v>
      </c>
      <c r="AD8379">
        <v>1</v>
      </c>
      <c r="AE8379">
        <v>1</v>
      </c>
      <c r="AF8379">
        <v>1</v>
      </c>
      <c r="AG8379">
        <v>1</v>
      </c>
      <c r="AH8379">
        <v>1</v>
      </c>
      <c r="AI8379">
        <v>1</v>
      </c>
      <c r="AJ8379">
        <v>1</v>
      </c>
      <c r="AK8379">
        <v>1</v>
      </c>
      <c r="AL8379">
        <v>1</v>
      </c>
      <c r="AM8379">
        <v>1</v>
      </c>
    </row>
    <row r="8380" spans="1:39" x14ac:dyDescent="0.2">
      <c r="A8380" t="str">
        <f>"8376"</f>
        <v>8376</v>
      </c>
      <c r="B8380" t="str">
        <f t="shared" si="466"/>
        <v>1</v>
      </c>
      <c r="C8380" t="str">
        <f t="shared" si="465"/>
        <v>168</v>
      </c>
      <c r="D8380" t="str">
        <f>"48"</f>
        <v>48</v>
      </c>
      <c r="E8380" t="str">
        <f>"1-168-48"</f>
        <v>1-168-48</v>
      </c>
      <c r="F8380" t="s">
        <v>65</v>
      </c>
      <c r="G8380" t="s">
        <v>66</v>
      </c>
      <c r="H8380" t="s">
        <v>67</v>
      </c>
      <c r="S8380">
        <v>1</v>
      </c>
      <c r="T8380">
        <v>0</v>
      </c>
      <c r="U8380">
        <v>0</v>
      </c>
      <c r="V8380">
        <v>0</v>
      </c>
      <c r="W8380">
        <v>1</v>
      </c>
      <c r="X8380">
        <v>0</v>
      </c>
      <c r="Y8380">
        <v>1</v>
      </c>
      <c r="Z8380">
        <v>0</v>
      </c>
      <c r="AA8380">
        <v>0</v>
      </c>
      <c r="AB8380">
        <v>1</v>
      </c>
      <c r="AC8380">
        <v>0</v>
      </c>
      <c r="AD8380">
        <v>1</v>
      </c>
      <c r="AE8380">
        <v>1</v>
      </c>
      <c r="AF8380">
        <v>1</v>
      </c>
      <c r="AG8380">
        <v>1</v>
      </c>
      <c r="AH8380">
        <v>1</v>
      </c>
      <c r="AI8380">
        <v>1</v>
      </c>
      <c r="AJ8380">
        <v>1</v>
      </c>
      <c r="AK8380">
        <v>1</v>
      </c>
      <c r="AL8380">
        <v>1</v>
      </c>
      <c r="AM8380">
        <v>1</v>
      </c>
    </row>
    <row r="8381" spans="1:39" x14ac:dyDescent="0.2">
      <c r="A8381" t="str">
        <f>"8377"</f>
        <v>8377</v>
      </c>
      <c r="B8381" t="str">
        <f t="shared" si="466"/>
        <v>1</v>
      </c>
      <c r="C8381" t="str">
        <f t="shared" si="465"/>
        <v>168</v>
      </c>
      <c r="D8381" t="str">
        <f>"21"</f>
        <v>21</v>
      </c>
      <c r="E8381" t="str">
        <f>"1-168-21"</f>
        <v>1-168-21</v>
      </c>
      <c r="F8381" t="s">
        <v>65</v>
      </c>
      <c r="G8381" t="s">
        <v>66</v>
      </c>
      <c r="H8381" t="s">
        <v>67</v>
      </c>
      <c r="S8381">
        <v>0</v>
      </c>
      <c r="T8381">
        <v>1</v>
      </c>
      <c r="U8381">
        <v>0</v>
      </c>
      <c r="V8381">
        <v>0</v>
      </c>
      <c r="W8381">
        <v>1</v>
      </c>
      <c r="X8381">
        <v>0</v>
      </c>
      <c r="Y8381">
        <v>1</v>
      </c>
      <c r="Z8381">
        <v>0</v>
      </c>
      <c r="AA8381">
        <v>0</v>
      </c>
      <c r="AB8381">
        <v>0</v>
      </c>
      <c r="AC8381">
        <v>1</v>
      </c>
      <c r="AD8381">
        <v>1</v>
      </c>
      <c r="AE8381">
        <v>1</v>
      </c>
      <c r="AF8381">
        <v>1</v>
      </c>
      <c r="AG8381">
        <v>1</v>
      </c>
      <c r="AH8381">
        <v>1</v>
      </c>
      <c r="AI8381">
        <v>1</v>
      </c>
      <c r="AJ8381">
        <v>1</v>
      </c>
      <c r="AK8381">
        <v>1</v>
      </c>
      <c r="AL8381">
        <v>0</v>
      </c>
      <c r="AM8381">
        <v>0</v>
      </c>
    </row>
    <row r="8382" spans="1:39" x14ac:dyDescent="0.2">
      <c r="A8382" t="str">
        <f>"8378"</f>
        <v>8378</v>
      </c>
      <c r="B8382" t="str">
        <f t="shared" si="466"/>
        <v>1</v>
      </c>
      <c r="C8382" t="str">
        <f t="shared" si="465"/>
        <v>168</v>
      </c>
      <c r="D8382" t="str">
        <f>"2"</f>
        <v>2</v>
      </c>
      <c r="E8382" t="str">
        <f>"1-168-2"</f>
        <v>1-168-2</v>
      </c>
      <c r="F8382" t="s">
        <v>65</v>
      </c>
      <c r="G8382" t="s">
        <v>66</v>
      </c>
      <c r="H8382" t="s">
        <v>67</v>
      </c>
      <c r="S8382">
        <v>0</v>
      </c>
      <c r="T8382">
        <v>1</v>
      </c>
      <c r="U8382">
        <v>0</v>
      </c>
      <c r="V8382">
        <v>0</v>
      </c>
      <c r="W8382">
        <v>1</v>
      </c>
      <c r="X8382">
        <v>0</v>
      </c>
      <c r="Y8382">
        <v>1</v>
      </c>
      <c r="Z8382">
        <v>0</v>
      </c>
      <c r="AA8382">
        <v>1</v>
      </c>
      <c r="AB8382">
        <v>0</v>
      </c>
      <c r="AC8382">
        <v>0</v>
      </c>
      <c r="AD8382">
        <v>1</v>
      </c>
      <c r="AE8382">
        <v>1</v>
      </c>
      <c r="AF8382">
        <v>1</v>
      </c>
      <c r="AG8382">
        <v>1</v>
      </c>
      <c r="AH8382">
        <v>1</v>
      </c>
      <c r="AI8382">
        <v>1</v>
      </c>
      <c r="AJ8382">
        <v>1</v>
      </c>
      <c r="AK8382">
        <v>1</v>
      </c>
      <c r="AL8382">
        <v>1</v>
      </c>
      <c r="AM8382">
        <v>1</v>
      </c>
    </row>
    <row r="8383" spans="1:39" x14ac:dyDescent="0.2">
      <c r="A8383" t="str">
        <f>"8379"</f>
        <v>8379</v>
      </c>
      <c r="B8383" t="str">
        <f t="shared" si="466"/>
        <v>1</v>
      </c>
      <c r="C8383" t="str">
        <f t="shared" si="465"/>
        <v>168</v>
      </c>
      <c r="D8383" t="str">
        <f>"44"</f>
        <v>44</v>
      </c>
      <c r="E8383" t="str">
        <f>"1-168-44"</f>
        <v>1-168-44</v>
      </c>
      <c r="F8383" t="s">
        <v>65</v>
      </c>
      <c r="G8383" t="s">
        <v>66</v>
      </c>
      <c r="H8383" t="s">
        <v>67</v>
      </c>
      <c r="S8383">
        <v>1</v>
      </c>
      <c r="T8383">
        <v>0</v>
      </c>
      <c r="U8383">
        <v>0</v>
      </c>
      <c r="V8383">
        <v>0</v>
      </c>
      <c r="W8383">
        <v>0</v>
      </c>
      <c r="X8383">
        <v>1</v>
      </c>
      <c r="Y8383">
        <v>1</v>
      </c>
      <c r="Z8383">
        <v>0</v>
      </c>
      <c r="AA8383">
        <v>0</v>
      </c>
      <c r="AB8383">
        <v>0</v>
      </c>
      <c r="AC8383">
        <v>1</v>
      </c>
      <c r="AD8383">
        <v>1</v>
      </c>
      <c r="AE8383">
        <v>1</v>
      </c>
      <c r="AF8383">
        <v>1</v>
      </c>
      <c r="AG8383">
        <v>1</v>
      </c>
      <c r="AH8383">
        <v>1</v>
      </c>
      <c r="AI8383">
        <v>1</v>
      </c>
      <c r="AJ8383">
        <v>1</v>
      </c>
      <c r="AK8383">
        <v>1</v>
      </c>
      <c r="AL8383">
        <v>1</v>
      </c>
      <c r="AM8383">
        <v>1</v>
      </c>
    </row>
    <row r="8384" spans="1:39" x14ac:dyDescent="0.2">
      <c r="A8384" t="str">
        <f>"8380"</f>
        <v>8380</v>
      </c>
      <c r="B8384" t="str">
        <f t="shared" si="466"/>
        <v>1</v>
      </c>
      <c r="C8384" t="str">
        <f t="shared" si="465"/>
        <v>168</v>
      </c>
      <c r="D8384" t="str">
        <f>"22"</f>
        <v>22</v>
      </c>
      <c r="E8384" t="str">
        <f>"1-168-22"</f>
        <v>1-168-22</v>
      </c>
      <c r="F8384" t="s">
        <v>65</v>
      </c>
      <c r="G8384" t="s">
        <v>66</v>
      </c>
      <c r="H8384" t="s">
        <v>67</v>
      </c>
      <c r="S8384">
        <v>0</v>
      </c>
      <c r="T8384">
        <v>1</v>
      </c>
      <c r="U8384">
        <v>0</v>
      </c>
      <c r="V8384">
        <v>0</v>
      </c>
      <c r="W8384">
        <v>1</v>
      </c>
      <c r="X8384">
        <v>0</v>
      </c>
      <c r="Y8384">
        <v>0</v>
      </c>
      <c r="Z8384">
        <v>1</v>
      </c>
      <c r="AA8384">
        <v>0</v>
      </c>
      <c r="AB8384">
        <v>1</v>
      </c>
      <c r="AC8384">
        <v>0</v>
      </c>
      <c r="AD8384">
        <v>1</v>
      </c>
      <c r="AE8384">
        <v>1</v>
      </c>
      <c r="AF8384">
        <v>1</v>
      </c>
      <c r="AG8384">
        <v>1</v>
      </c>
      <c r="AH8384">
        <v>1</v>
      </c>
      <c r="AI8384">
        <v>1</v>
      </c>
      <c r="AJ8384">
        <v>1</v>
      </c>
      <c r="AK8384">
        <v>1</v>
      </c>
      <c r="AL8384">
        <v>1</v>
      </c>
      <c r="AM8384">
        <v>1</v>
      </c>
    </row>
    <row r="8385" spans="1:39" x14ac:dyDescent="0.2">
      <c r="A8385" t="str">
        <f>"8381"</f>
        <v>8381</v>
      </c>
      <c r="B8385" t="str">
        <f t="shared" si="466"/>
        <v>1</v>
      </c>
      <c r="C8385" t="str">
        <f t="shared" si="465"/>
        <v>168</v>
      </c>
      <c r="D8385" t="str">
        <f>"11"</f>
        <v>11</v>
      </c>
      <c r="E8385" t="str">
        <f>"1-168-11"</f>
        <v>1-168-11</v>
      </c>
      <c r="F8385" t="s">
        <v>65</v>
      </c>
      <c r="G8385" t="s">
        <v>66</v>
      </c>
      <c r="H8385" t="s">
        <v>67</v>
      </c>
      <c r="S8385">
        <v>0</v>
      </c>
      <c r="T8385">
        <v>1</v>
      </c>
      <c r="U8385">
        <v>0</v>
      </c>
      <c r="V8385">
        <v>0</v>
      </c>
      <c r="W8385">
        <v>1</v>
      </c>
      <c r="X8385">
        <v>0</v>
      </c>
      <c r="Y8385">
        <v>0</v>
      </c>
      <c r="Z8385">
        <v>1</v>
      </c>
      <c r="AA8385">
        <v>0</v>
      </c>
      <c r="AB8385">
        <v>0</v>
      </c>
      <c r="AC8385">
        <v>0</v>
      </c>
      <c r="AD8385">
        <v>1</v>
      </c>
      <c r="AE8385">
        <v>1</v>
      </c>
      <c r="AF8385">
        <v>1</v>
      </c>
      <c r="AG8385">
        <v>1</v>
      </c>
      <c r="AH8385">
        <v>1</v>
      </c>
      <c r="AI8385">
        <v>1</v>
      </c>
      <c r="AJ8385">
        <v>1</v>
      </c>
      <c r="AK8385">
        <v>1</v>
      </c>
      <c r="AL8385">
        <v>1</v>
      </c>
      <c r="AM8385">
        <v>1</v>
      </c>
    </row>
    <row r="8386" spans="1:39" x14ac:dyDescent="0.2">
      <c r="A8386" t="str">
        <f>"8382"</f>
        <v>8382</v>
      </c>
      <c r="B8386" t="str">
        <f t="shared" si="466"/>
        <v>1</v>
      </c>
      <c r="C8386" t="str">
        <f t="shared" si="465"/>
        <v>168</v>
      </c>
      <c r="D8386" t="str">
        <f>"45"</f>
        <v>45</v>
      </c>
      <c r="E8386" t="str">
        <f>"1-168-45"</f>
        <v>1-168-45</v>
      </c>
      <c r="F8386" t="s">
        <v>65</v>
      </c>
      <c r="G8386" t="s">
        <v>66</v>
      </c>
      <c r="H8386" t="s">
        <v>67</v>
      </c>
      <c r="S8386">
        <v>1</v>
      </c>
      <c r="T8386">
        <v>0</v>
      </c>
      <c r="U8386">
        <v>0</v>
      </c>
      <c r="V8386">
        <v>0</v>
      </c>
      <c r="W8386">
        <v>1</v>
      </c>
      <c r="X8386">
        <v>0</v>
      </c>
      <c r="Y8386">
        <v>0</v>
      </c>
      <c r="Z8386">
        <v>0</v>
      </c>
      <c r="AA8386">
        <v>1</v>
      </c>
      <c r="AB8386">
        <v>0</v>
      </c>
      <c r="AC8386">
        <v>0</v>
      </c>
      <c r="AD8386">
        <v>1</v>
      </c>
      <c r="AE8386">
        <v>1</v>
      </c>
      <c r="AF8386">
        <v>1</v>
      </c>
      <c r="AG8386">
        <v>1</v>
      </c>
      <c r="AH8386">
        <v>1</v>
      </c>
      <c r="AI8386">
        <v>1</v>
      </c>
      <c r="AJ8386">
        <v>1</v>
      </c>
      <c r="AK8386">
        <v>1</v>
      </c>
      <c r="AL8386">
        <v>1</v>
      </c>
      <c r="AM8386">
        <v>1</v>
      </c>
    </row>
    <row r="8387" spans="1:39" x14ac:dyDescent="0.2">
      <c r="A8387" t="str">
        <f>"8383"</f>
        <v>8383</v>
      </c>
      <c r="B8387" t="str">
        <f t="shared" si="466"/>
        <v>1</v>
      </c>
      <c r="C8387" t="str">
        <f t="shared" ref="C8387:C8404" si="467">"168"</f>
        <v>168</v>
      </c>
      <c r="D8387" t="str">
        <f>"23"</f>
        <v>23</v>
      </c>
      <c r="E8387" t="str">
        <f>"1-168-23"</f>
        <v>1-168-23</v>
      </c>
      <c r="F8387" t="s">
        <v>65</v>
      </c>
      <c r="G8387" t="s">
        <v>66</v>
      </c>
      <c r="H8387" t="s">
        <v>67</v>
      </c>
      <c r="S8387">
        <v>1</v>
      </c>
      <c r="T8387">
        <v>0</v>
      </c>
      <c r="U8387">
        <v>0</v>
      </c>
      <c r="V8387">
        <v>0</v>
      </c>
      <c r="W8387">
        <v>1</v>
      </c>
      <c r="X8387">
        <v>0</v>
      </c>
      <c r="Y8387">
        <v>0</v>
      </c>
      <c r="Z8387">
        <v>1</v>
      </c>
      <c r="AA8387">
        <v>1</v>
      </c>
      <c r="AB8387">
        <v>0</v>
      </c>
      <c r="AC8387">
        <v>0</v>
      </c>
      <c r="AD8387">
        <v>1</v>
      </c>
      <c r="AE8387">
        <v>1</v>
      </c>
      <c r="AF8387">
        <v>1</v>
      </c>
      <c r="AG8387">
        <v>1</v>
      </c>
      <c r="AH8387">
        <v>1</v>
      </c>
      <c r="AI8387">
        <v>1</v>
      </c>
      <c r="AJ8387">
        <v>1</v>
      </c>
      <c r="AK8387">
        <v>1</v>
      </c>
      <c r="AL8387">
        <v>1</v>
      </c>
      <c r="AM8387">
        <v>1</v>
      </c>
    </row>
    <row r="8388" spans="1:39" x14ac:dyDescent="0.2">
      <c r="A8388" t="str">
        <f>"8384"</f>
        <v>8384</v>
      </c>
      <c r="B8388" t="str">
        <f t="shared" si="466"/>
        <v>1</v>
      </c>
      <c r="C8388" t="str">
        <f t="shared" si="467"/>
        <v>168</v>
      </c>
      <c r="D8388" t="str">
        <f>"5"</f>
        <v>5</v>
      </c>
      <c r="E8388" t="str">
        <f>"1-168-5"</f>
        <v>1-168-5</v>
      </c>
      <c r="F8388" t="s">
        <v>65</v>
      </c>
      <c r="G8388" t="s">
        <v>66</v>
      </c>
      <c r="H8388" t="s">
        <v>67</v>
      </c>
      <c r="S8388">
        <v>0</v>
      </c>
      <c r="T8388">
        <v>0</v>
      </c>
      <c r="U8388">
        <v>0</v>
      </c>
      <c r="V8388">
        <v>0</v>
      </c>
      <c r="W8388">
        <v>1</v>
      </c>
      <c r="X8388">
        <v>0</v>
      </c>
      <c r="Y8388">
        <v>0</v>
      </c>
      <c r="Z8388">
        <v>0</v>
      </c>
      <c r="AA8388">
        <v>1</v>
      </c>
      <c r="AB8388">
        <v>0</v>
      </c>
      <c r="AC8388">
        <v>0</v>
      </c>
      <c r="AD8388">
        <v>1</v>
      </c>
      <c r="AE8388">
        <v>1</v>
      </c>
      <c r="AF8388">
        <v>1</v>
      </c>
      <c r="AG8388">
        <v>1</v>
      </c>
      <c r="AH8388">
        <v>1</v>
      </c>
      <c r="AI8388">
        <v>1</v>
      </c>
      <c r="AJ8388">
        <v>1</v>
      </c>
      <c r="AK8388">
        <v>1</v>
      </c>
      <c r="AL8388">
        <v>1</v>
      </c>
      <c r="AM8388">
        <v>1</v>
      </c>
    </row>
    <row r="8389" spans="1:39" x14ac:dyDescent="0.2">
      <c r="A8389" t="str">
        <f>"8385"</f>
        <v>8385</v>
      </c>
      <c r="B8389" t="str">
        <f t="shared" si="466"/>
        <v>1</v>
      </c>
      <c r="C8389" t="str">
        <f t="shared" si="467"/>
        <v>168</v>
      </c>
      <c r="D8389" t="str">
        <f>"46"</f>
        <v>46</v>
      </c>
      <c r="E8389" t="str">
        <f>"1-168-46"</f>
        <v>1-168-46</v>
      </c>
      <c r="F8389" t="s">
        <v>65</v>
      </c>
      <c r="G8389" t="s">
        <v>66</v>
      </c>
      <c r="H8389" t="s">
        <v>67</v>
      </c>
      <c r="S8389">
        <v>1</v>
      </c>
      <c r="T8389">
        <v>0</v>
      </c>
      <c r="U8389">
        <v>0</v>
      </c>
      <c r="V8389">
        <v>0</v>
      </c>
      <c r="W8389">
        <v>1</v>
      </c>
      <c r="X8389">
        <v>0</v>
      </c>
      <c r="Y8389">
        <v>1</v>
      </c>
      <c r="Z8389">
        <v>0</v>
      </c>
      <c r="AA8389">
        <v>0</v>
      </c>
      <c r="AB8389">
        <v>1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</row>
    <row r="8390" spans="1:39" x14ac:dyDescent="0.2">
      <c r="A8390" t="str">
        <f>"8386"</f>
        <v>8386</v>
      </c>
      <c r="B8390" t="str">
        <f t="shared" si="466"/>
        <v>1</v>
      </c>
      <c r="C8390" t="str">
        <f t="shared" si="467"/>
        <v>168</v>
      </c>
      <c r="D8390" t="str">
        <f>"27"</f>
        <v>27</v>
      </c>
      <c r="E8390" t="str">
        <f>"1-168-27"</f>
        <v>1-168-27</v>
      </c>
      <c r="F8390" t="s">
        <v>65</v>
      </c>
      <c r="G8390" t="s">
        <v>66</v>
      </c>
      <c r="H8390" t="s">
        <v>67</v>
      </c>
      <c r="S8390">
        <v>1</v>
      </c>
      <c r="T8390">
        <v>0</v>
      </c>
      <c r="U8390">
        <v>0</v>
      </c>
      <c r="V8390">
        <v>0</v>
      </c>
      <c r="W8390">
        <v>1</v>
      </c>
      <c r="X8390">
        <v>0</v>
      </c>
      <c r="Y8390">
        <v>1</v>
      </c>
      <c r="Z8390">
        <v>0</v>
      </c>
      <c r="AA8390">
        <v>1</v>
      </c>
      <c r="AB8390">
        <v>0</v>
      </c>
      <c r="AC8390">
        <v>0</v>
      </c>
      <c r="AD8390">
        <v>1</v>
      </c>
      <c r="AE8390">
        <v>1</v>
      </c>
      <c r="AF8390">
        <v>1</v>
      </c>
      <c r="AG8390">
        <v>1</v>
      </c>
      <c r="AH8390">
        <v>1</v>
      </c>
      <c r="AI8390">
        <v>1</v>
      </c>
      <c r="AJ8390">
        <v>0</v>
      </c>
      <c r="AK8390">
        <v>0</v>
      </c>
      <c r="AL8390">
        <v>1</v>
      </c>
      <c r="AM8390">
        <v>1</v>
      </c>
    </row>
    <row r="8391" spans="1:39" x14ac:dyDescent="0.2">
      <c r="A8391" t="str">
        <f>"8387"</f>
        <v>8387</v>
      </c>
      <c r="B8391" t="str">
        <f t="shared" si="466"/>
        <v>1</v>
      </c>
      <c r="C8391" t="str">
        <f t="shared" si="467"/>
        <v>168</v>
      </c>
      <c r="D8391" t="str">
        <f>"7"</f>
        <v>7</v>
      </c>
      <c r="E8391" t="str">
        <f>"1-168-7"</f>
        <v>1-168-7</v>
      </c>
      <c r="F8391" t="s">
        <v>65</v>
      </c>
      <c r="G8391" t="s">
        <v>66</v>
      </c>
      <c r="H8391" t="s">
        <v>67</v>
      </c>
      <c r="S8391">
        <v>0</v>
      </c>
      <c r="T8391">
        <v>0</v>
      </c>
      <c r="U8391">
        <v>0</v>
      </c>
      <c r="V8391">
        <v>0</v>
      </c>
      <c r="W8391">
        <v>1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1</v>
      </c>
      <c r="AE8391">
        <v>1</v>
      </c>
      <c r="AF8391">
        <v>1</v>
      </c>
      <c r="AG8391">
        <v>1</v>
      </c>
      <c r="AH8391">
        <v>1</v>
      </c>
      <c r="AI8391">
        <v>1</v>
      </c>
      <c r="AJ8391">
        <v>1</v>
      </c>
      <c r="AK8391">
        <v>1</v>
      </c>
      <c r="AL8391">
        <v>1</v>
      </c>
      <c r="AM8391">
        <v>1</v>
      </c>
    </row>
    <row r="8392" spans="1:39" x14ac:dyDescent="0.2">
      <c r="A8392" t="str">
        <f>"8388"</f>
        <v>8388</v>
      </c>
      <c r="B8392" t="str">
        <f t="shared" si="466"/>
        <v>1</v>
      </c>
      <c r="C8392" t="str">
        <f t="shared" si="467"/>
        <v>168</v>
      </c>
      <c r="D8392" t="str">
        <f>"47"</f>
        <v>47</v>
      </c>
      <c r="E8392" t="str">
        <f>"1-168-47"</f>
        <v>1-168-47</v>
      </c>
      <c r="F8392" t="s">
        <v>65</v>
      </c>
      <c r="G8392" t="s">
        <v>66</v>
      </c>
      <c r="H8392" t="s">
        <v>67</v>
      </c>
      <c r="S8392">
        <v>1</v>
      </c>
      <c r="T8392">
        <v>0</v>
      </c>
      <c r="U8392">
        <v>0</v>
      </c>
      <c r="V8392">
        <v>0</v>
      </c>
      <c r="W8392">
        <v>1</v>
      </c>
      <c r="X8392">
        <v>0</v>
      </c>
      <c r="Y8392">
        <v>1</v>
      </c>
      <c r="Z8392">
        <v>0</v>
      </c>
      <c r="AA8392">
        <v>0</v>
      </c>
      <c r="AB8392">
        <v>1</v>
      </c>
      <c r="AC8392">
        <v>0</v>
      </c>
      <c r="AD8392">
        <v>1</v>
      </c>
      <c r="AE8392">
        <v>1</v>
      </c>
      <c r="AF8392">
        <v>1</v>
      </c>
      <c r="AG8392">
        <v>1</v>
      </c>
      <c r="AH8392">
        <v>1</v>
      </c>
      <c r="AI8392">
        <v>1</v>
      </c>
      <c r="AJ8392">
        <v>1</v>
      </c>
      <c r="AK8392">
        <v>1</v>
      </c>
      <c r="AL8392">
        <v>1</v>
      </c>
      <c r="AM8392">
        <v>1</v>
      </c>
    </row>
    <row r="8393" spans="1:39" x14ac:dyDescent="0.2">
      <c r="A8393" t="str">
        <f>"8389"</f>
        <v>8389</v>
      </c>
      <c r="B8393" t="str">
        <f t="shared" si="466"/>
        <v>1</v>
      </c>
      <c r="C8393" t="str">
        <f t="shared" si="467"/>
        <v>168</v>
      </c>
      <c r="D8393" t="str">
        <f>"28"</f>
        <v>28</v>
      </c>
      <c r="E8393" t="str">
        <f>"1-168-28"</f>
        <v>1-168-28</v>
      </c>
      <c r="F8393" t="s">
        <v>65</v>
      </c>
      <c r="G8393" t="s">
        <v>66</v>
      </c>
      <c r="H8393" t="s">
        <v>67</v>
      </c>
      <c r="S8393">
        <v>1</v>
      </c>
      <c r="T8393">
        <v>0</v>
      </c>
      <c r="U8393">
        <v>0</v>
      </c>
      <c r="V8393">
        <v>0</v>
      </c>
      <c r="W8393">
        <v>1</v>
      </c>
      <c r="X8393">
        <v>0</v>
      </c>
      <c r="Y8393">
        <v>0</v>
      </c>
      <c r="Z8393">
        <v>1</v>
      </c>
      <c r="AA8393">
        <v>0</v>
      </c>
      <c r="AB8393">
        <v>1</v>
      </c>
      <c r="AC8393">
        <v>0</v>
      </c>
      <c r="AD8393">
        <v>1</v>
      </c>
      <c r="AE8393">
        <v>1</v>
      </c>
      <c r="AF8393">
        <v>1</v>
      </c>
      <c r="AG8393">
        <v>1</v>
      </c>
      <c r="AH8393">
        <v>1</v>
      </c>
      <c r="AI8393">
        <v>1</v>
      </c>
      <c r="AJ8393">
        <v>1</v>
      </c>
      <c r="AK8393">
        <v>1</v>
      </c>
      <c r="AL8393">
        <v>1</v>
      </c>
      <c r="AM8393">
        <v>1</v>
      </c>
    </row>
    <row r="8394" spans="1:39" x14ac:dyDescent="0.2">
      <c r="A8394" t="str">
        <f>"8390"</f>
        <v>8390</v>
      </c>
      <c r="B8394" t="str">
        <f t="shared" si="466"/>
        <v>1</v>
      </c>
      <c r="C8394" t="str">
        <f t="shared" si="467"/>
        <v>168</v>
      </c>
      <c r="D8394" t="str">
        <f>"8"</f>
        <v>8</v>
      </c>
      <c r="E8394" t="str">
        <f>"1-168-8"</f>
        <v>1-168-8</v>
      </c>
      <c r="F8394" t="s">
        <v>65</v>
      </c>
      <c r="G8394" t="s">
        <v>66</v>
      </c>
      <c r="H8394" t="s">
        <v>67</v>
      </c>
      <c r="S8394">
        <v>1</v>
      </c>
      <c r="T8394">
        <v>0</v>
      </c>
      <c r="U8394">
        <v>0</v>
      </c>
      <c r="V8394">
        <v>0</v>
      </c>
      <c r="W8394">
        <v>1</v>
      </c>
      <c r="X8394">
        <v>0</v>
      </c>
      <c r="Y8394">
        <v>1</v>
      </c>
      <c r="Z8394">
        <v>0</v>
      </c>
      <c r="AA8394">
        <v>0</v>
      </c>
      <c r="AB8394">
        <v>1</v>
      </c>
      <c r="AC8394">
        <v>0</v>
      </c>
      <c r="AD8394">
        <v>1</v>
      </c>
      <c r="AE8394">
        <v>1</v>
      </c>
      <c r="AF8394">
        <v>1</v>
      </c>
      <c r="AG8394">
        <v>1</v>
      </c>
      <c r="AH8394">
        <v>1</v>
      </c>
      <c r="AI8394">
        <v>1</v>
      </c>
      <c r="AJ8394">
        <v>1</v>
      </c>
      <c r="AK8394">
        <v>1</v>
      </c>
      <c r="AL8394">
        <v>1</v>
      </c>
      <c r="AM8394">
        <v>1</v>
      </c>
    </row>
    <row r="8395" spans="1:39" x14ac:dyDescent="0.2">
      <c r="A8395" t="str">
        <f>"8391"</f>
        <v>8391</v>
      </c>
      <c r="B8395" t="str">
        <f t="shared" si="466"/>
        <v>1</v>
      </c>
      <c r="C8395" t="str">
        <f t="shared" si="467"/>
        <v>168</v>
      </c>
      <c r="D8395" t="str">
        <f>"49"</f>
        <v>49</v>
      </c>
      <c r="E8395" t="str">
        <f>"1-168-49"</f>
        <v>1-168-49</v>
      </c>
      <c r="F8395" t="s">
        <v>65</v>
      </c>
      <c r="G8395" t="s">
        <v>66</v>
      </c>
      <c r="H8395" t="s">
        <v>67</v>
      </c>
      <c r="S8395">
        <v>0</v>
      </c>
      <c r="T8395">
        <v>1</v>
      </c>
      <c r="U8395">
        <v>0</v>
      </c>
      <c r="V8395">
        <v>0</v>
      </c>
      <c r="W8395">
        <v>0</v>
      </c>
      <c r="X8395">
        <v>1</v>
      </c>
      <c r="Y8395">
        <v>0</v>
      </c>
      <c r="Z8395">
        <v>1</v>
      </c>
      <c r="AA8395">
        <v>0</v>
      </c>
      <c r="AB8395">
        <v>0</v>
      </c>
      <c r="AC8395">
        <v>1</v>
      </c>
      <c r="AD8395">
        <v>1</v>
      </c>
      <c r="AE8395">
        <v>1</v>
      </c>
      <c r="AF8395">
        <v>1</v>
      </c>
      <c r="AG8395">
        <v>1</v>
      </c>
      <c r="AH8395">
        <v>1</v>
      </c>
      <c r="AI8395">
        <v>1</v>
      </c>
      <c r="AJ8395">
        <v>1</v>
      </c>
      <c r="AK8395">
        <v>1</v>
      </c>
      <c r="AL8395">
        <v>1</v>
      </c>
      <c r="AM8395">
        <v>1</v>
      </c>
    </row>
    <row r="8396" spans="1:39" x14ac:dyDescent="0.2">
      <c r="A8396" t="str">
        <f>"8392"</f>
        <v>8392</v>
      </c>
      <c r="B8396" t="str">
        <f t="shared" si="466"/>
        <v>1</v>
      </c>
      <c r="C8396" t="str">
        <f t="shared" si="467"/>
        <v>168</v>
      </c>
      <c r="D8396" t="str">
        <f>"29"</f>
        <v>29</v>
      </c>
      <c r="E8396" t="str">
        <f>"1-168-29"</f>
        <v>1-168-29</v>
      </c>
      <c r="F8396" t="s">
        <v>65</v>
      </c>
      <c r="G8396" t="s">
        <v>66</v>
      </c>
      <c r="H8396" t="s">
        <v>67</v>
      </c>
      <c r="S8396">
        <v>0</v>
      </c>
      <c r="T8396">
        <v>1</v>
      </c>
      <c r="U8396">
        <v>0</v>
      </c>
      <c r="V8396">
        <v>0</v>
      </c>
      <c r="W8396">
        <v>1</v>
      </c>
      <c r="X8396">
        <v>0</v>
      </c>
      <c r="Y8396">
        <v>1</v>
      </c>
      <c r="Z8396">
        <v>0</v>
      </c>
      <c r="AA8396">
        <v>1</v>
      </c>
      <c r="AB8396">
        <v>0</v>
      </c>
      <c r="AC8396">
        <v>0</v>
      </c>
      <c r="AD8396">
        <v>1</v>
      </c>
      <c r="AE8396">
        <v>1</v>
      </c>
      <c r="AF8396">
        <v>1</v>
      </c>
      <c r="AG8396">
        <v>1</v>
      </c>
      <c r="AH8396">
        <v>1</v>
      </c>
      <c r="AI8396">
        <v>1</v>
      </c>
      <c r="AJ8396">
        <v>1</v>
      </c>
      <c r="AK8396">
        <v>1</v>
      </c>
      <c r="AL8396">
        <v>1</v>
      </c>
      <c r="AM8396">
        <v>1</v>
      </c>
    </row>
    <row r="8397" spans="1:39" x14ac:dyDescent="0.2">
      <c r="A8397" t="str">
        <f>"8393"</f>
        <v>8393</v>
      </c>
      <c r="B8397" t="str">
        <f t="shared" si="466"/>
        <v>1</v>
      </c>
      <c r="C8397" t="str">
        <f t="shared" si="467"/>
        <v>168</v>
      </c>
      <c r="D8397" t="str">
        <f>"9"</f>
        <v>9</v>
      </c>
      <c r="E8397" t="str">
        <f>"1-168-9"</f>
        <v>1-168-9</v>
      </c>
      <c r="F8397" t="s">
        <v>65</v>
      </c>
      <c r="G8397" t="s">
        <v>66</v>
      </c>
      <c r="H8397" t="s">
        <v>67</v>
      </c>
      <c r="S8397">
        <v>1</v>
      </c>
      <c r="T8397">
        <v>0</v>
      </c>
      <c r="U8397">
        <v>0</v>
      </c>
      <c r="V8397">
        <v>0</v>
      </c>
      <c r="W8397">
        <v>1</v>
      </c>
      <c r="X8397">
        <v>0</v>
      </c>
      <c r="Y8397">
        <v>0</v>
      </c>
      <c r="Z8397">
        <v>0</v>
      </c>
      <c r="AA8397">
        <v>1</v>
      </c>
      <c r="AB8397">
        <v>0</v>
      </c>
      <c r="AC8397">
        <v>0</v>
      </c>
      <c r="AD8397">
        <v>1</v>
      </c>
      <c r="AE8397">
        <v>1</v>
      </c>
      <c r="AF8397">
        <v>1</v>
      </c>
      <c r="AG8397">
        <v>1</v>
      </c>
      <c r="AH8397">
        <v>1</v>
      </c>
      <c r="AI8397">
        <v>1</v>
      </c>
      <c r="AJ8397">
        <v>1</v>
      </c>
      <c r="AK8397">
        <v>1</v>
      </c>
      <c r="AL8397">
        <v>1</v>
      </c>
      <c r="AM8397">
        <v>1</v>
      </c>
    </row>
    <row r="8398" spans="1:39" x14ac:dyDescent="0.2">
      <c r="A8398" t="str">
        <f>"8394"</f>
        <v>8394</v>
      </c>
      <c r="B8398" t="str">
        <f t="shared" si="466"/>
        <v>1</v>
      </c>
      <c r="C8398" t="str">
        <f t="shared" si="467"/>
        <v>168</v>
      </c>
      <c r="D8398" t="str">
        <f>"30"</f>
        <v>30</v>
      </c>
      <c r="E8398" t="str">
        <f>"1-168-30"</f>
        <v>1-168-30</v>
      </c>
      <c r="F8398" t="s">
        <v>65</v>
      </c>
      <c r="G8398" t="s">
        <v>66</v>
      </c>
      <c r="H8398" t="s">
        <v>67</v>
      </c>
      <c r="S8398">
        <v>1</v>
      </c>
      <c r="T8398">
        <v>0</v>
      </c>
      <c r="U8398">
        <v>0</v>
      </c>
      <c r="V8398">
        <v>0</v>
      </c>
      <c r="W8398">
        <v>1</v>
      </c>
      <c r="X8398">
        <v>0</v>
      </c>
      <c r="Y8398">
        <v>0</v>
      </c>
      <c r="Z8398">
        <v>1</v>
      </c>
      <c r="AA8398">
        <v>1</v>
      </c>
      <c r="AB8398">
        <v>0</v>
      </c>
      <c r="AC8398">
        <v>0</v>
      </c>
      <c r="AD8398">
        <v>1</v>
      </c>
      <c r="AE8398">
        <v>1</v>
      </c>
      <c r="AF8398">
        <v>1</v>
      </c>
      <c r="AG8398">
        <v>1</v>
      </c>
      <c r="AH8398">
        <v>1</v>
      </c>
      <c r="AI8398">
        <v>1</v>
      </c>
      <c r="AJ8398">
        <v>1</v>
      </c>
      <c r="AK8398">
        <v>1</v>
      </c>
      <c r="AL8398">
        <v>1</v>
      </c>
      <c r="AM8398">
        <v>1</v>
      </c>
    </row>
    <row r="8399" spans="1:39" x14ac:dyDescent="0.2">
      <c r="A8399" t="str">
        <f>"8395"</f>
        <v>8395</v>
      </c>
      <c r="B8399" t="str">
        <f t="shared" si="466"/>
        <v>1</v>
      </c>
      <c r="C8399" t="str">
        <f t="shared" si="467"/>
        <v>168</v>
      </c>
      <c r="D8399" t="str">
        <f>"13"</f>
        <v>13</v>
      </c>
      <c r="E8399" t="str">
        <f>"1-168-13"</f>
        <v>1-168-13</v>
      </c>
      <c r="F8399" t="s">
        <v>65</v>
      </c>
      <c r="G8399" t="s">
        <v>66</v>
      </c>
      <c r="H8399" t="s">
        <v>67</v>
      </c>
      <c r="S8399">
        <v>0</v>
      </c>
      <c r="T8399">
        <v>1</v>
      </c>
      <c r="U8399">
        <v>0</v>
      </c>
      <c r="V8399">
        <v>0</v>
      </c>
      <c r="W8399">
        <v>1</v>
      </c>
      <c r="X8399">
        <v>0</v>
      </c>
      <c r="Y8399">
        <v>1</v>
      </c>
      <c r="Z8399">
        <v>0</v>
      </c>
      <c r="AA8399">
        <v>1</v>
      </c>
      <c r="AB8399">
        <v>0</v>
      </c>
      <c r="AC8399">
        <v>0</v>
      </c>
      <c r="AD8399">
        <v>1</v>
      </c>
      <c r="AE8399">
        <v>1</v>
      </c>
      <c r="AF8399">
        <v>1</v>
      </c>
      <c r="AG8399">
        <v>1</v>
      </c>
      <c r="AH8399">
        <v>1</v>
      </c>
      <c r="AI8399">
        <v>1</v>
      </c>
      <c r="AJ8399">
        <v>1</v>
      </c>
      <c r="AK8399">
        <v>1</v>
      </c>
      <c r="AL8399">
        <v>1</v>
      </c>
      <c r="AM8399">
        <v>1</v>
      </c>
    </row>
    <row r="8400" spans="1:39" x14ac:dyDescent="0.2">
      <c r="A8400" t="str">
        <f>"8396"</f>
        <v>8396</v>
      </c>
      <c r="B8400" t="str">
        <f t="shared" si="466"/>
        <v>1</v>
      </c>
      <c r="C8400" t="str">
        <f t="shared" si="467"/>
        <v>168</v>
      </c>
      <c r="D8400" t="str">
        <f>"31"</f>
        <v>31</v>
      </c>
      <c r="E8400" t="str">
        <f>"1-168-31"</f>
        <v>1-168-31</v>
      </c>
      <c r="F8400" t="s">
        <v>65</v>
      </c>
      <c r="G8400" t="s">
        <v>66</v>
      </c>
      <c r="H8400" t="s">
        <v>67</v>
      </c>
      <c r="S8400">
        <v>1</v>
      </c>
      <c r="T8400">
        <v>0</v>
      </c>
      <c r="U8400">
        <v>0</v>
      </c>
      <c r="V8400">
        <v>0</v>
      </c>
      <c r="W8400">
        <v>1</v>
      </c>
      <c r="X8400">
        <v>0</v>
      </c>
      <c r="Y8400">
        <v>1</v>
      </c>
      <c r="Z8400">
        <v>0</v>
      </c>
      <c r="AA8400">
        <v>0</v>
      </c>
      <c r="AB8400">
        <v>1</v>
      </c>
      <c r="AC8400">
        <v>0</v>
      </c>
      <c r="AD8400">
        <v>1</v>
      </c>
      <c r="AE8400">
        <v>1</v>
      </c>
      <c r="AF8400">
        <v>1</v>
      </c>
      <c r="AG8400">
        <v>1</v>
      </c>
      <c r="AH8400">
        <v>1</v>
      </c>
      <c r="AI8400">
        <v>1</v>
      </c>
      <c r="AJ8400">
        <v>1</v>
      </c>
      <c r="AK8400">
        <v>1</v>
      </c>
      <c r="AL8400">
        <v>1</v>
      </c>
      <c r="AM8400">
        <v>1</v>
      </c>
    </row>
    <row r="8401" spans="1:39" x14ac:dyDescent="0.2">
      <c r="A8401" t="str">
        <f>"8397"</f>
        <v>8397</v>
      </c>
      <c r="B8401" t="str">
        <f t="shared" si="466"/>
        <v>1</v>
      </c>
      <c r="C8401" t="str">
        <f t="shared" si="467"/>
        <v>168</v>
      </c>
      <c r="D8401" t="str">
        <f>"10"</f>
        <v>10</v>
      </c>
      <c r="E8401" t="str">
        <f>"1-168-10"</f>
        <v>1-168-10</v>
      </c>
      <c r="F8401" t="s">
        <v>65</v>
      </c>
      <c r="G8401" t="s">
        <v>66</v>
      </c>
      <c r="H8401" t="s">
        <v>67</v>
      </c>
      <c r="S8401">
        <v>1</v>
      </c>
      <c r="T8401">
        <v>0</v>
      </c>
      <c r="U8401">
        <v>0</v>
      </c>
      <c r="V8401">
        <v>0</v>
      </c>
      <c r="W8401">
        <v>1</v>
      </c>
      <c r="X8401">
        <v>0</v>
      </c>
      <c r="Y8401">
        <v>1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</row>
    <row r="8402" spans="1:39" x14ac:dyDescent="0.2">
      <c r="A8402" t="str">
        <f>"8398"</f>
        <v>8398</v>
      </c>
      <c r="B8402" t="str">
        <f t="shared" si="466"/>
        <v>1</v>
      </c>
      <c r="C8402" t="str">
        <f t="shared" si="467"/>
        <v>168</v>
      </c>
      <c r="D8402" t="str">
        <f>"50"</f>
        <v>50</v>
      </c>
      <c r="E8402" t="str">
        <f>"1-168-50"</f>
        <v>1-168-50</v>
      </c>
      <c r="F8402" t="s">
        <v>65</v>
      </c>
      <c r="G8402" t="s">
        <v>66</v>
      </c>
      <c r="H8402" t="s">
        <v>67</v>
      </c>
      <c r="S8402">
        <v>1</v>
      </c>
      <c r="T8402">
        <v>0</v>
      </c>
      <c r="U8402">
        <v>0</v>
      </c>
      <c r="V8402">
        <v>0</v>
      </c>
      <c r="W8402">
        <v>1</v>
      </c>
      <c r="X8402">
        <v>0</v>
      </c>
      <c r="Y8402">
        <v>1</v>
      </c>
      <c r="Z8402">
        <v>0</v>
      </c>
      <c r="AA8402">
        <v>1</v>
      </c>
      <c r="AB8402">
        <v>0</v>
      </c>
      <c r="AC8402">
        <v>0</v>
      </c>
      <c r="AD8402">
        <v>1</v>
      </c>
      <c r="AE8402">
        <v>1</v>
      </c>
      <c r="AF8402">
        <v>1</v>
      </c>
      <c r="AG8402">
        <v>1</v>
      </c>
      <c r="AH8402">
        <v>1</v>
      </c>
      <c r="AI8402">
        <v>1</v>
      </c>
      <c r="AJ8402">
        <v>1</v>
      </c>
      <c r="AK8402">
        <v>1</v>
      </c>
      <c r="AL8402">
        <v>1</v>
      </c>
      <c r="AM8402">
        <v>1</v>
      </c>
    </row>
    <row r="8403" spans="1:39" x14ac:dyDescent="0.2">
      <c r="A8403" t="str">
        <f>"8399"</f>
        <v>8399</v>
      </c>
      <c r="B8403" t="str">
        <f t="shared" si="466"/>
        <v>1</v>
      </c>
      <c r="C8403" t="str">
        <f t="shared" si="467"/>
        <v>168</v>
      </c>
      <c r="D8403" t="str">
        <f>"33"</f>
        <v>33</v>
      </c>
      <c r="E8403" t="str">
        <f>"1-168-33"</f>
        <v>1-168-33</v>
      </c>
      <c r="F8403" t="s">
        <v>65</v>
      </c>
      <c r="G8403" t="s">
        <v>66</v>
      </c>
      <c r="H8403" t="s">
        <v>67</v>
      </c>
      <c r="S8403">
        <v>1</v>
      </c>
      <c r="T8403">
        <v>0</v>
      </c>
      <c r="U8403">
        <v>0</v>
      </c>
      <c r="V8403">
        <v>0</v>
      </c>
      <c r="W8403">
        <v>1</v>
      </c>
      <c r="X8403">
        <v>0</v>
      </c>
      <c r="Y8403">
        <v>1</v>
      </c>
      <c r="Z8403">
        <v>0</v>
      </c>
      <c r="AA8403">
        <v>0</v>
      </c>
      <c r="AB8403">
        <v>0</v>
      </c>
      <c r="AC8403">
        <v>1</v>
      </c>
      <c r="AD8403">
        <v>0</v>
      </c>
      <c r="AE8403">
        <v>0</v>
      </c>
      <c r="AF8403">
        <v>0</v>
      </c>
      <c r="AG8403">
        <v>1</v>
      </c>
      <c r="AH8403">
        <v>0</v>
      </c>
      <c r="AI8403">
        <v>1</v>
      </c>
      <c r="AJ8403">
        <v>1</v>
      </c>
      <c r="AK8403">
        <v>1</v>
      </c>
      <c r="AL8403">
        <v>1</v>
      </c>
      <c r="AM8403">
        <v>1</v>
      </c>
    </row>
    <row r="8404" spans="1:39" x14ac:dyDescent="0.2">
      <c r="A8404" t="str">
        <f>"8400"</f>
        <v>8400</v>
      </c>
      <c r="B8404" t="str">
        <f t="shared" si="466"/>
        <v>1</v>
      </c>
      <c r="C8404" t="str">
        <f t="shared" si="467"/>
        <v>168</v>
      </c>
      <c r="D8404" t="str">
        <f>"12"</f>
        <v>12</v>
      </c>
      <c r="E8404" t="str">
        <f>"1-168-12"</f>
        <v>1-168-12</v>
      </c>
      <c r="F8404" t="s">
        <v>65</v>
      </c>
      <c r="G8404" t="s">
        <v>66</v>
      </c>
      <c r="H8404" t="s">
        <v>67</v>
      </c>
      <c r="S8404">
        <v>1</v>
      </c>
      <c r="T8404">
        <v>0</v>
      </c>
      <c r="U8404">
        <v>0</v>
      </c>
      <c r="V8404">
        <v>0</v>
      </c>
      <c r="W8404">
        <v>1</v>
      </c>
      <c r="X8404">
        <v>0</v>
      </c>
      <c r="Y8404">
        <v>1</v>
      </c>
      <c r="Z8404">
        <v>0</v>
      </c>
      <c r="AA8404">
        <v>0</v>
      </c>
      <c r="AB8404">
        <v>0</v>
      </c>
      <c r="AC8404">
        <v>1</v>
      </c>
      <c r="AD8404">
        <v>1</v>
      </c>
      <c r="AE8404">
        <v>1</v>
      </c>
      <c r="AF8404">
        <v>1</v>
      </c>
      <c r="AG8404">
        <v>1</v>
      </c>
      <c r="AH8404">
        <v>1</v>
      </c>
      <c r="AI8404">
        <v>1</v>
      </c>
      <c r="AJ8404">
        <v>1</v>
      </c>
      <c r="AK8404">
        <v>1</v>
      </c>
      <c r="AL8404">
        <v>1</v>
      </c>
      <c r="AM8404">
        <v>1</v>
      </c>
    </row>
    <row r="8405" spans="1:39" x14ac:dyDescent="0.2">
      <c r="A8405" t="str">
        <f>"8401"</f>
        <v>8401</v>
      </c>
      <c r="B8405" t="str">
        <f t="shared" si="466"/>
        <v>1</v>
      </c>
      <c r="C8405" t="str">
        <f t="shared" ref="C8405:C8436" si="468">"169"</f>
        <v>169</v>
      </c>
      <c r="D8405" t="str">
        <f>"38"</f>
        <v>38</v>
      </c>
      <c r="E8405" t="str">
        <f>"1-169-38"</f>
        <v>1-169-38</v>
      </c>
      <c r="F8405" t="s">
        <v>65</v>
      </c>
      <c r="G8405" t="s">
        <v>66</v>
      </c>
      <c r="H8405" t="s">
        <v>67</v>
      </c>
      <c r="S8405">
        <v>1</v>
      </c>
      <c r="T8405">
        <v>0</v>
      </c>
      <c r="U8405">
        <v>0</v>
      </c>
      <c r="V8405">
        <v>0</v>
      </c>
      <c r="W8405">
        <v>1</v>
      </c>
      <c r="X8405">
        <v>0</v>
      </c>
      <c r="Y8405">
        <v>1</v>
      </c>
      <c r="Z8405">
        <v>0</v>
      </c>
      <c r="AA8405">
        <v>1</v>
      </c>
      <c r="AB8405">
        <v>0</v>
      </c>
      <c r="AC8405">
        <v>0</v>
      </c>
      <c r="AD8405">
        <v>1</v>
      </c>
      <c r="AE8405">
        <v>1</v>
      </c>
      <c r="AF8405">
        <v>1</v>
      </c>
      <c r="AG8405">
        <v>1</v>
      </c>
      <c r="AH8405">
        <v>1</v>
      </c>
      <c r="AI8405">
        <v>1</v>
      </c>
      <c r="AJ8405">
        <v>1</v>
      </c>
      <c r="AK8405">
        <v>1</v>
      </c>
      <c r="AL8405">
        <v>0</v>
      </c>
      <c r="AM8405">
        <v>0</v>
      </c>
    </row>
    <row r="8406" spans="1:39" x14ac:dyDescent="0.2">
      <c r="A8406" t="str">
        <f>"8402"</f>
        <v>8402</v>
      </c>
      <c r="B8406" t="str">
        <f t="shared" si="466"/>
        <v>1</v>
      </c>
      <c r="C8406" t="str">
        <f t="shared" si="468"/>
        <v>169</v>
      </c>
      <c r="D8406" t="str">
        <f>"37"</f>
        <v>37</v>
      </c>
      <c r="E8406" t="str">
        <f>"1-169-37"</f>
        <v>1-169-37</v>
      </c>
      <c r="F8406" t="s">
        <v>65</v>
      </c>
      <c r="G8406" t="s">
        <v>66</v>
      </c>
      <c r="H8406" t="s">
        <v>67</v>
      </c>
      <c r="S8406">
        <v>0</v>
      </c>
      <c r="T8406">
        <v>1</v>
      </c>
      <c r="U8406">
        <v>0</v>
      </c>
      <c r="V8406">
        <v>0</v>
      </c>
      <c r="W8406">
        <v>0</v>
      </c>
      <c r="X8406">
        <v>1</v>
      </c>
      <c r="Y8406">
        <v>0</v>
      </c>
      <c r="Z8406">
        <v>1</v>
      </c>
      <c r="AA8406">
        <v>0</v>
      </c>
      <c r="AB8406">
        <v>0</v>
      </c>
      <c r="AC8406">
        <v>1</v>
      </c>
      <c r="AD8406">
        <v>1</v>
      </c>
      <c r="AE8406">
        <v>1</v>
      </c>
      <c r="AF8406">
        <v>1</v>
      </c>
      <c r="AG8406">
        <v>1</v>
      </c>
      <c r="AH8406">
        <v>1</v>
      </c>
      <c r="AI8406">
        <v>1</v>
      </c>
      <c r="AJ8406">
        <v>1</v>
      </c>
      <c r="AK8406">
        <v>1</v>
      </c>
      <c r="AL8406">
        <v>1</v>
      </c>
      <c r="AM8406">
        <v>1</v>
      </c>
    </row>
    <row r="8407" spans="1:39" x14ac:dyDescent="0.2">
      <c r="A8407" t="str">
        <f>"8403"</f>
        <v>8403</v>
      </c>
      <c r="B8407" t="str">
        <f t="shared" si="466"/>
        <v>1</v>
      </c>
      <c r="C8407" t="str">
        <f t="shared" si="468"/>
        <v>169</v>
      </c>
      <c r="D8407" t="str">
        <f>"22"</f>
        <v>22</v>
      </c>
      <c r="E8407" t="str">
        <f>"1-169-22"</f>
        <v>1-169-22</v>
      </c>
      <c r="F8407" t="s">
        <v>65</v>
      </c>
      <c r="G8407" t="s">
        <v>66</v>
      </c>
      <c r="H8407" t="s">
        <v>67</v>
      </c>
      <c r="S8407">
        <v>1</v>
      </c>
      <c r="T8407">
        <v>0</v>
      </c>
      <c r="U8407">
        <v>0</v>
      </c>
      <c r="V8407">
        <v>0</v>
      </c>
      <c r="W8407">
        <v>1</v>
      </c>
      <c r="X8407">
        <v>0</v>
      </c>
      <c r="Y8407">
        <v>1</v>
      </c>
      <c r="Z8407">
        <v>0</v>
      </c>
      <c r="AA8407">
        <v>0</v>
      </c>
      <c r="AB8407">
        <v>0</v>
      </c>
      <c r="AC8407">
        <v>1</v>
      </c>
      <c r="AD8407">
        <v>1</v>
      </c>
      <c r="AE8407">
        <v>1</v>
      </c>
      <c r="AF8407">
        <v>1</v>
      </c>
      <c r="AG8407">
        <v>1</v>
      </c>
      <c r="AH8407">
        <v>1</v>
      </c>
      <c r="AI8407">
        <v>1</v>
      </c>
      <c r="AJ8407">
        <v>1</v>
      </c>
      <c r="AK8407">
        <v>1</v>
      </c>
      <c r="AL8407">
        <v>1</v>
      </c>
      <c r="AM8407">
        <v>1</v>
      </c>
    </row>
    <row r="8408" spans="1:39" x14ac:dyDescent="0.2">
      <c r="A8408" t="str">
        <f>"8404"</f>
        <v>8404</v>
      </c>
      <c r="B8408" t="str">
        <f t="shared" si="466"/>
        <v>1</v>
      </c>
      <c r="C8408" t="str">
        <f t="shared" si="468"/>
        <v>169</v>
      </c>
      <c r="D8408" t="str">
        <f>"17"</f>
        <v>17</v>
      </c>
      <c r="E8408" t="str">
        <f>"1-169-17"</f>
        <v>1-169-17</v>
      </c>
      <c r="F8408" t="s">
        <v>65</v>
      </c>
      <c r="G8408" t="s">
        <v>66</v>
      </c>
      <c r="H8408" t="s">
        <v>67</v>
      </c>
      <c r="S8408">
        <v>1</v>
      </c>
      <c r="T8408">
        <v>0</v>
      </c>
      <c r="U8408">
        <v>0</v>
      </c>
      <c r="V8408">
        <v>0</v>
      </c>
      <c r="W8408">
        <v>1</v>
      </c>
      <c r="X8408">
        <v>0</v>
      </c>
      <c r="Y8408">
        <v>0</v>
      </c>
      <c r="Z8408">
        <v>1</v>
      </c>
      <c r="AA8408">
        <v>1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</row>
    <row r="8409" spans="1:39" x14ac:dyDescent="0.2">
      <c r="A8409" t="str">
        <f>"8405"</f>
        <v>8405</v>
      </c>
      <c r="B8409" t="str">
        <f t="shared" si="466"/>
        <v>1</v>
      </c>
      <c r="C8409" t="str">
        <f t="shared" si="468"/>
        <v>169</v>
      </c>
      <c r="D8409" t="str">
        <f>"15"</f>
        <v>15</v>
      </c>
      <c r="E8409" t="str">
        <f>"1-169-15"</f>
        <v>1-169-15</v>
      </c>
      <c r="F8409" t="s">
        <v>65</v>
      </c>
      <c r="G8409" t="s">
        <v>66</v>
      </c>
      <c r="H8409" t="s">
        <v>67</v>
      </c>
      <c r="S8409">
        <v>0</v>
      </c>
      <c r="T8409">
        <v>1</v>
      </c>
      <c r="U8409">
        <v>0</v>
      </c>
      <c r="V8409">
        <v>0</v>
      </c>
      <c r="W8409">
        <v>1</v>
      </c>
      <c r="X8409">
        <v>0</v>
      </c>
      <c r="Y8409">
        <v>1</v>
      </c>
      <c r="Z8409">
        <v>0</v>
      </c>
      <c r="AA8409">
        <v>0</v>
      </c>
      <c r="AB8409">
        <v>1</v>
      </c>
      <c r="AC8409">
        <v>0</v>
      </c>
      <c r="AD8409">
        <v>1</v>
      </c>
      <c r="AE8409">
        <v>1</v>
      </c>
      <c r="AF8409">
        <v>1</v>
      </c>
      <c r="AG8409">
        <v>1</v>
      </c>
      <c r="AH8409">
        <v>1</v>
      </c>
      <c r="AI8409">
        <v>1</v>
      </c>
      <c r="AJ8409">
        <v>1</v>
      </c>
      <c r="AK8409">
        <v>1</v>
      </c>
      <c r="AL8409">
        <v>1</v>
      </c>
      <c r="AM8409">
        <v>1</v>
      </c>
    </row>
    <row r="8410" spans="1:39" x14ac:dyDescent="0.2">
      <c r="A8410" t="str">
        <f>"8406"</f>
        <v>8406</v>
      </c>
      <c r="B8410" t="str">
        <f t="shared" si="466"/>
        <v>1</v>
      </c>
      <c r="C8410" t="str">
        <f t="shared" si="468"/>
        <v>169</v>
      </c>
      <c r="D8410" t="str">
        <f>"1"</f>
        <v>1</v>
      </c>
      <c r="E8410" t="str">
        <f>"1-169-1"</f>
        <v>1-169-1</v>
      </c>
      <c r="F8410" t="s">
        <v>65</v>
      </c>
      <c r="G8410" t="s">
        <v>66</v>
      </c>
      <c r="H8410" t="s">
        <v>67</v>
      </c>
      <c r="S8410">
        <v>0</v>
      </c>
      <c r="T8410">
        <v>1</v>
      </c>
      <c r="U8410">
        <v>0</v>
      </c>
      <c r="V8410">
        <v>0</v>
      </c>
      <c r="W8410">
        <v>1</v>
      </c>
      <c r="X8410">
        <v>0</v>
      </c>
      <c r="Y8410">
        <v>1</v>
      </c>
      <c r="Z8410">
        <v>0</v>
      </c>
      <c r="AA8410">
        <v>0</v>
      </c>
      <c r="AB8410">
        <v>1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</row>
    <row r="8411" spans="1:39" x14ac:dyDescent="0.2">
      <c r="A8411" t="str">
        <f>"8407"</f>
        <v>8407</v>
      </c>
      <c r="B8411" t="str">
        <f t="shared" si="466"/>
        <v>1</v>
      </c>
      <c r="C8411" t="str">
        <f t="shared" si="468"/>
        <v>169</v>
      </c>
      <c r="D8411" t="str">
        <f>"36"</f>
        <v>36</v>
      </c>
      <c r="E8411" t="str">
        <f>"1-169-36"</f>
        <v>1-169-36</v>
      </c>
      <c r="F8411" t="s">
        <v>65</v>
      </c>
      <c r="G8411" t="s">
        <v>66</v>
      </c>
      <c r="H8411" t="s">
        <v>67</v>
      </c>
      <c r="S8411">
        <v>1</v>
      </c>
      <c r="T8411">
        <v>0</v>
      </c>
      <c r="U8411">
        <v>0</v>
      </c>
      <c r="V8411">
        <v>0</v>
      </c>
      <c r="W8411">
        <v>1</v>
      </c>
      <c r="X8411">
        <v>0</v>
      </c>
      <c r="Y8411">
        <v>1</v>
      </c>
      <c r="Z8411">
        <v>0</v>
      </c>
      <c r="AA8411">
        <v>1</v>
      </c>
      <c r="AB8411">
        <v>0</v>
      </c>
      <c r="AC8411">
        <v>0</v>
      </c>
      <c r="AD8411">
        <v>1</v>
      </c>
      <c r="AE8411">
        <v>1</v>
      </c>
      <c r="AF8411">
        <v>1</v>
      </c>
      <c r="AG8411">
        <v>1</v>
      </c>
      <c r="AH8411">
        <v>1</v>
      </c>
      <c r="AI8411">
        <v>1</v>
      </c>
      <c r="AJ8411">
        <v>1</v>
      </c>
      <c r="AK8411">
        <v>1</v>
      </c>
      <c r="AL8411">
        <v>1</v>
      </c>
      <c r="AM8411">
        <v>1</v>
      </c>
    </row>
    <row r="8412" spans="1:39" x14ac:dyDescent="0.2">
      <c r="A8412" t="str">
        <f>"8408"</f>
        <v>8408</v>
      </c>
      <c r="B8412" t="str">
        <f t="shared" si="466"/>
        <v>1</v>
      </c>
      <c r="C8412" t="str">
        <f t="shared" si="468"/>
        <v>169</v>
      </c>
      <c r="D8412" t="str">
        <f>"35"</f>
        <v>35</v>
      </c>
      <c r="E8412" t="str">
        <f>"1-169-35"</f>
        <v>1-169-35</v>
      </c>
      <c r="F8412" t="s">
        <v>65</v>
      </c>
      <c r="G8412" t="s">
        <v>66</v>
      </c>
      <c r="H8412" t="s">
        <v>67</v>
      </c>
      <c r="S8412">
        <v>1</v>
      </c>
      <c r="T8412">
        <v>0</v>
      </c>
      <c r="U8412">
        <v>0</v>
      </c>
      <c r="V8412">
        <v>0</v>
      </c>
      <c r="W8412">
        <v>1</v>
      </c>
      <c r="X8412">
        <v>0</v>
      </c>
      <c r="Y8412">
        <v>0</v>
      </c>
      <c r="Z8412">
        <v>1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</row>
    <row r="8413" spans="1:39" x14ac:dyDescent="0.2">
      <c r="A8413" t="str">
        <f>"8409"</f>
        <v>8409</v>
      </c>
      <c r="B8413" t="str">
        <f t="shared" si="466"/>
        <v>1</v>
      </c>
      <c r="C8413" t="str">
        <f t="shared" si="468"/>
        <v>169</v>
      </c>
      <c r="D8413" t="str">
        <f>"25"</f>
        <v>25</v>
      </c>
      <c r="E8413" t="str">
        <f>"1-169-25"</f>
        <v>1-169-25</v>
      </c>
      <c r="F8413" t="s">
        <v>65</v>
      </c>
      <c r="G8413" t="s">
        <v>66</v>
      </c>
      <c r="H8413" t="s">
        <v>67</v>
      </c>
      <c r="S8413">
        <v>0</v>
      </c>
      <c r="T8413">
        <v>1</v>
      </c>
      <c r="U8413">
        <v>0</v>
      </c>
      <c r="V8413">
        <v>0</v>
      </c>
      <c r="W8413">
        <v>1</v>
      </c>
      <c r="X8413">
        <v>0</v>
      </c>
      <c r="Y8413">
        <v>0</v>
      </c>
      <c r="Z8413">
        <v>1</v>
      </c>
      <c r="AA8413">
        <v>1</v>
      </c>
      <c r="AB8413">
        <v>0</v>
      </c>
      <c r="AC8413">
        <v>0</v>
      </c>
      <c r="AD8413">
        <v>1</v>
      </c>
      <c r="AE8413">
        <v>1</v>
      </c>
      <c r="AF8413">
        <v>1</v>
      </c>
      <c r="AG8413">
        <v>1</v>
      </c>
      <c r="AH8413">
        <v>1</v>
      </c>
      <c r="AI8413">
        <v>1</v>
      </c>
      <c r="AJ8413">
        <v>1</v>
      </c>
      <c r="AK8413">
        <v>1</v>
      </c>
      <c r="AL8413">
        <v>1</v>
      </c>
      <c r="AM8413">
        <v>1</v>
      </c>
    </row>
    <row r="8414" spans="1:39" x14ac:dyDescent="0.2">
      <c r="A8414" t="str">
        <f>"8410"</f>
        <v>8410</v>
      </c>
      <c r="B8414" t="str">
        <f t="shared" si="466"/>
        <v>1</v>
      </c>
      <c r="C8414" t="str">
        <f t="shared" si="468"/>
        <v>169</v>
      </c>
      <c r="D8414" t="str">
        <f>"16"</f>
        <v>16</v>
      </c>
      <c r="E8414" t="str">
        <f>"1-169-16"</f>
        <v>1-169-16</v>
      </c>
      <c r="F8414" t="s">
        <v>65</v>
      </c>
      <c r="G8414" t="s">
        <v>66</v>
      </c>
      <c r="H8414" t="s">
        <v>67</v>
      </c>
      <c r="S8414">
        <v>1</v>
      </c>
      <c r="T8414">
        <v>0</v>
      </c>
      <c r="U8414">
        <v>0</v>
      </c>
      <c r="V8414">
        <v>0</v>
      </c>
      <c r="W8414">
        <v>1</v>
      </c>
      <c r="X8414">
        <v>0</v>
      </c>
      <c r="Y8414">
        <v>0</v>
      </c>
      <c r="Z8414">
        <v>1</v>
      </c>
      <c r="AA8414">
        <v>1</v>
      </c>
      <c r="AB8414">
        <v>0</v>
      </c>
      <c r="AC8414">
        <v>0</v>
      </c>
      <c r="AD8414">
        <v>1</v>
      </c>
      <c r="AE8414">
        <v>1</v>
      </c>
      <c r="AF8414">
        <v>1</v>
      </c>
      <c r="AG8414">
        <v>1</v>
      </c>
      <c r="AH8414">
        <v>1</v>
      </c>
      <c r="AI8414">
        <v>1</v>
      </c>
      <c r="AJ8414">
        <v>1</v>
      </c>
      <c r="AK8414">
        <v>1</v>
      </c>
      <c r="AL8414">
        <v>1</v>
      </c>
      <c r="AM8414">
        <v>1</v>
      </c>
    </row>
    <row r="8415" spans="1:39" x14ac:dyDescent="0.2">
      <c r="A8415" t="str">
        <f>"8411"</f>
        <v>8411</v>
      </c>
      <c r="B8415" t="str">
        <f t="shared" si="466"/>
        <v>1</v>
      </c>
      <c r="C8415" t="str">
        <f t="shared" si="468"/>
        <v>169</v>
      </c>
      <c r="D8415" t="str">
        <f>"8"</f>
        <v>8</v>
      </c>
      <c r="E8415" t="str">
        <f>"1-169-8"</f>
        <v>1-169-8</v>
      </c>
      <c r="F8415" t="s">
        <v>65</v>
      </c>
      <c r="G8415" t="s">
        <v>66</v>
      </c>
      <c r="H8415" t="s">
        <v>67</v>
      </c>
      <c r="S8415">
        <v>1</v>
      </c>
      <c r="T8415">
        <v>0</v>
      </c>
      <c r="U8415">
        <v>0</v>
      </c>
      <c r="V8415">
        <v>0</v>
      </c>
      <c r="W8415">
        <v>1</v>
      </c>
      <c r="X8415">
        <v>0</v>
      </c>
      <c r="Y8415">
        <v>1</v>
      </c>
      <c r="Z8415">
        <v>0</v>
      </c>
      <c r="AA8415">
        <v>1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1</v>
      </c>
      <c r="AH8415">
        <v>1</v>
      </c>
      <c r="AI8415">
        <v>1</v>
      </c>
      <c r="AJ8415">
        <v>0</v>
      </c>
      <c r="AK8415">
        <v>0</v>
      </c>
      <c r="AL8415">
        <v>1</v>
      </c>
      <c r="AM8415">
        <v>0</v>
      </c>
    </row>
    <row r="8416" spans="1:39" x14ac:dyDescent="0.2">
      <c r="A8416" t="str">
        <f>"8412"</f>
        <v>8412</v>
      </c>
      <c r="B8416" t="str">
        <f t="shared" si="466"/>
        <v>1</v>
      </c>
      <c r="C8416" t="str">
        <f t="shared" si="468"/>
        <v>169</v>
      </c>
      <c r="D8416" t="str">
        <f>"47"</f>
        <v>47</v>
      </c>
      <c r="E8416" t="str">
        <f>"1-169-47"</f>
        <v>1-169-47</v>
      </c>
      <c r="F8416" t="s">
        <v>65</v>
      </c>
      <c r="G8416" t="s">
        <v>66</v>
      </c>
      <c r="H8416" t="s">
        <v>67</v>
      </c>
      <c r="S8416">
        <v>0</v>
      </c>
      <c r="T8416">
        <v>1</v>
      </c>
      <c r="U8416">
        <v>0</v>
      </c>
      <c r="V8416">
        <v>0</v>
      </c>
      <c r="W8416">
        <v>0</v>
      </c>
      <c r="X8416">
        <v>1</v>
      </c>
      <c r="Y8416">
        <v>0</v>
      </c>
      <c r="Z8416">
        <v>1</v>
      </c>
      <c r="AA8416">
        <v>0</v>
      </c>
      <c r="AB8416">
        <v>0</v>
      </c>
      <c r="AC8416">
        <v>0</v>
      </c>
      <c r="AD8416">
        <v>1</v>
      </c>
      <c r="AE8416">
        <v>1</v>
      </c>
      <c r="AF8416">
        <v>1</v>
      </c>
      <c r="AG8416">
        <v>1</v>
      </c>
      <c r="AH8416">
        <v>1</v>
      </c>
      <c r="AI8416">
        <v>1</v>
      </c>
      <c r="AJ8416">
        <v>1</v>
      </c>
      <c r="AK8416">
        <v>1</v>
      </c>
      <c r="AL8416">
        <v>1</v>
      </c>
      <c r="AM8416">
        <v>1</v>
      </c>
    </row>
    <row r="8417" spans="1:39" x14ac:dyDescent="0.2">
      <c r="A8417" t="str">
        <f>"8413"</f>
        <v>8413</v>
      </c>
      <c r="B8417" t="str">
        <f t="shared" si="466"/>
        <v>1</v>
      </c>
      <c r="C8417" t="str">
        <f t="shared" si="468"/>
        <v>169</v>
      </c>
      <c r="D8417" t="str">
        <f>"46"</f>
        <v>46</v>
      </c>
      <c r="E8417" t="str">
        <f>"1-169-46"</f>
        <v>1-169-46</v>
      </c>
      <c r="F8417" t="s">
        <v>65</v>
      </c>
      <c r="G8417" t="s">
        <v>66</v>
      </c>
      <c r="H8417" t="s">
        <v>67</v>
      </c>
      <c r="S8417">
        <v>1</v>
      </c>
      <c r="T8417">
        <v>0</v>
      </c>
      <c r="U8417">
        <v>0</v>
      </c>
      <c r="V8417">
        <v>0</v>
      </c>
      <c r="W8417">
        <v>1</v>
      </c>
      <c r="X8417">
        <v>0</v>
      </c>
      <c r="Y8417">
        <v>0</v>
      </c>
      <c r="Z8417">
        <v>1</v>
      </c>
      <c r="AA8417">
        <v>0</v>
      </c>
      <c r="AB8417">
        <v>0</v>
      </c>
      <c r="AC8417">
        <v>1</v>
      </c>
      <c r="AD8417">
        <v>1</v>
      </c>
      <c r="AE8417">
        <v>1</v>
      </c>
      <c r="AF8417">
        <v>1</v>
      </c>
      <c r="AG8417">
        <v>1</v>
      </c>
      <c r="AH8417">
        <v>1</v>
      </c>
      <c r="AI8417">
        <v>1</v>
      </c>
      <c r="AJ8417">
        <v>1</v>
      </c>
      <c r="AK8417">
        <v>1</v>
      </c>
      <c r="AL8417">
        <v>1</v>
      </c>
      <c r="AM8417">
        <v>1</v>
      </c>
    </row>
    <row r="8418" spans="1:39" x14ac:dyDescent="0.2">
      <c r="A8418" t="str">
        <f>"8414"</f>
        <v>8414</v>
      </c>
      <c r="B8418" t="str">
        <f t="shared" si="466"/>
        <v>1</v>
      </c>
      <c r="C8418" t="str">
        <f t="shared" si="468"/>
        <v>169</v>
      </c>
      <c r="D8418" t="str">
        <f>"33"</f>
        <v>33</v>
      </c>
      <c r="E8418" t="str">
        <f>"1-169-33"</f>
        <v>1-169-33</v>
      </c>
      <c r="F8418" t="s">
        <v>65</v>
      </c>
      <c r="G8418" t="s">
        <v>66</v>
      </c>
      <c r="H8418" t="s">
        <v>67</v>
      </c>
      <c r="S8418">
        <v>1</v>
      </c>
      <c r="T8418">
        <v>0</v>
      </c>
      <c r="U8418">
        <v>0</v>
      </c>
      <c r="V8418">
        <v>0</v>
      </c>
      <c r="W8418">
        <v>1</v>
      </c>
      <c r="X8418">
        <v>0</v>
      </c>
      <c r="Y8418">
        <v>1</v>
      </c>
      <c r="Z8418">
        <v>0</v>
      </c>
      <c r="AA8418">
        <v>1</v>
      </c>
      <c r="AB8418">
        <v>0</v>
      </c>
      <c r="AC8418">
        <v>0</v>
      </c>
      <c r="AD8418">
        <v>1</v>
      </c>
      <c r="AE8418">
        <v>1</v>
      </c>
      <c r="AF8418">
        <v>1</v>
      </c>
      <c r="AG8418">
        <v>1</v>
      </c>
      <c r="AH8418">
        <v>1</v>
      </c>
      <c r="AI8418">
        <v>1</v>
      </c>
      <c r="AJ8418">
        <v>1</v>
      </c>
      <c r="AK8418">
        <v>1</v>
      </c>
      <c r="AL8418">
        <v>1</v>
      </c>
      <c r="AM8418">
        <v>1</v>
      </c>
    </row>
    <row r="8419" spans="1:39" x14ac:dyDescent="0.2">
      <c r="A8419" t="str">
        <f>"8415"</f>
        <v>8415</v>
      </c>
      <c r="B8419" t="str">
        <f t="shared" si="466"/>
        <v>1</v>
      </c>
      <c r="C8419" t="str">
        <f t="shared" si="468"/>
        <v>169</v>
      </c>
      <c r="D8419" t="str">
        <f>"18"</f>
        <v>18</v>
      </c>
      <c r="E8419" t="str">
        <f>"1-169-18"</f>
        <v>1-169-18</v>
      </c>
      <c r="F8419" t="s">
        <v>65</v>
      </c>
      <c r="G8419" t="s">
        <v>66</v>
      </c>
      <c r="H8419" t="s">
        <v>67</v>
      </c>
      <c r="S8419">
        <v>1</v>
      </c>
      <c r="T8419">
        <v>0</v>
      </c>
      <c r="U8419">
        <v>0</v>
      </c>
      <c r="V8419">
        <v>0</v>
      </c>
      <c r="W8419">
        <v>1</v>
      </c>
      <c r="X8419">
        <v>0</v>
      </c>
      <c r="Y8419">
        <v>1</v>
      </c>
      <c r="Z8419">
        <v>0</v>
      </c>
      <c r="AA8419">
        <v>1</v>
      </c>
      <c r="AB8419">
        <v>0</v>
      </c>
      <c r="AC8419">
        <v>0</v>
      </c>
      <c r="AD8419">
        <v>1</v>
      </c>
      <c r="AE8419">
        <v>1</v>
      </c>
      <c r="AF8419">
        <v>1</v>
      </c>
      <c r="AG8419">
        <v>0</v>
      </c>
      <c r="AH8419">
        <v>1</v>
      </c>
      <c r="AI8419">
        <v>1</v>
      </c>
      <c r="AJ8419">
        <v>1</v>
      </c>
      <c r="AK8419">
        <v>1</v>
      </c>
      <c r="AL8419">
        <v>1</v>
      </c>
      <c r="AM8419">
        <v>1</v>
      </c>
    </row>
    <row r="8420" spans="1:39" x14ac:dyDescent="0.2">
      <c r="A8420" t="str">
        <f>"8416"</f>
        <v>8416</v>
      </c>
      <c r="B8420" t="str">
        <f t="shared" si="466"/>
        <v>1</v>
      </c>
      <c r="C8420" t="str">
        <f t="shared" si="468"/>
        <v>169</v>
      </c>
      <c r="D8420" t="str">
        <f>"2"</f>
        <v>2</v>
      </c>
      <c r="E8420" t="str">
        <f>"1-169-2"</f>
        <v>1-169-2</v>
      </c>
      <c r="F8420" t="s">
        <v>65</v>
      </c>
      <c r="G8420" t="s">
        <v>66</v>
      </c>
      <c r="H8420" t="s">
        <v>67</v>
      </c>
      <c r="S8420">
        <v>1</v>
      </c>
      <c r="T8420">
        <v>0</v>
      </c>
      <c r="U8420">
        <v>0</v>
      </c>
      <c r="V8420">
        <v>0</v>
      </c>
      <c r="W8420">
        <v>1</v>
      </c>
      <c r="X8420">
        <v>0</v>
      </c>
      <c r="Y8420">
        <v>0</v>
      </c>
      <c r="Z8420">
        <v>1</v>
      </c>
      <c r="AA8420">
        <v>1</v>
      </c>
      <c r="AB8420">
        <v>0</v>
      </c>
      <c r="AC8420">
        <v>0</v>
      </c>
      <c r="AD8420">
        <v>1</v>
      </c>
      <c r="AE8420">
        <v>1</v>
      </c>
      <c r="AF8420">
        <v>1</v>
      </c>
      <c r="AG8420">
        <v>1</v>
      </c>
      <c r="AH8420">
        <v>1</v>
      </c>
      <c r="AI8420">
        <v>1</v>
      </c>
      <c r="AJ8420">
        <v>1</v>
      </c>
      <c r="AK8420">
        <v>1</v>
      </c>
      <c r="AL8420">
        <v>1</v>
      </c>
      <c r="AM8420">
        <v>1</v>
      </c>
    </row>
    <row r="8421" spans="1:39" x14ac:dyDescent="0.2">
      <c r="A8421" t="str">
        <f>"8417"</f>
        <v>8417</v>
      </c>
      <c r="B8421" t="str">
        <f t="shared" si="466"/>
        <v>1</v>
      </c>
      <c r="C8421" t="str">
        <f t="shared" si="468"/>
        <v>169</v>
      </c>
      <c r="D8421" t="str">
        <f>"45"</f>
        <v>45</v>
      </c>
      <c r="E8421" t="str">
        <f>"1-169-45"</f>
        <v>1-169-45</v>
      </c>
      <c r="F8421" t="s">
        <v>65</v>
      </c>
      <c r="G8421" t="s">
        <v>66</v>
      </c>
      <c r="H8421" t="s">
        <v>67</v>
      </c>
      <c r="S8421">
        <v>1</v>
      </c>
      <c r="T8421">
        <v>0</v>
      </c>
      <c r="U8421">
        <v>0</v>
      </c>
      <c r="V8421">
        <v>0</v>
      </c>
      <c r="W8421">
        <v>1</v>
      </c>
      <c r="X8421">
        <v>0</v>
      </c>
      <c r="Y8421">
        <v>1</v>
      </c>
      <c r="Z8421">
        <v>0</v>
      </c>
      <c r="AA8421">
        <v>0</v>
      </c>
      <c r="AB8421">
        <v>1</v>
      </c>
      <c r="AC8421">
        <v>0</v>
      </c>
      <c r="AD8421">
        <v>1</v>
      </c>
      <c r="AE8421">
        <v>1</v>
      </c>
      <c r="AF8421">
        <v>1</v>
      </c>
      <c r="AG8421">
        <v>1</v>
      </c>
      <c r="AH8421">
        <v>1</v>
      </c>
      <c r="AI8421">
        <v>1</v>
      </c>
      <c r="AJ8421">
        <v>1</v>
      </c>
      <c r="AK8421">
        <v>1</v>
      </c>
      <c r="AL8421">
        <v>1</v>
      </c>
      <c r="AM8421">
        <v>1</v>
      </c>
    </row>
    <row r="8422" spans="1:39" x14ac:dyDescent="0.2">
      <c r="A8422" t="str">
        <f>"8418"</f>
        <v>8418</v>
      </c>
      <c r="B8422" t="str">
        <f t="shared" si="466"/>
        <v>1</v>
      </c>
      <c r="C8422" t="str">
        <f t="shared" si="468"/>
        <v>169</v>
      </c>
      <c r="D8422" t="str">
        <f>"44"</f>
        <v>44</v>
      </c>
      <c r="E8422" t="str">
        <f>"1-169-44"</f>
        <v>1-169-44</v>
      </c>
      <c r="F8422" t="s">
        <v>65</v>
      </c>
      <c r="G8422" t="s">
        <v>66</v>
      </c>
      <c r="H8422" t="s">
        <v>67</v>
      </c>
      <c r="S8422">
        <v>1</v>
      </c>
      <c r="T8422">
        <v>0</v>
      </c>
      <c r="U8422">
        <v>0</v>
      </c>
      <c r="V8422">
        <v>0</v>
      </c>
      <c r="W8422">
        <v>1</v>
      </c>
      <c r="X8422">
        <v>0</v>
      </c>
      <c r="Y8422">
        <v>1</v>
      </c>
      <c r="Z8422">
        <v>0</v>
      </c>
      <c r="AA8422">
        <v>0</v>
      </c>
      <c r="AB8422">
        <v>0</v>
      </c>
      <c r="AC8422">
        <v>1</v>
      </c>
      <c r="AD8422">
        <v>1</v>
      </c>
      <c r="AE8422">
        <v>1</v>
      </c>
      <c r="AF8422">
        <v>1</v>
      </c>
      <c r="AG8422">
        <v>1</v>
      </c>
      <c r="AH8422">
        <v>1</v>
      </c>
      <c r="AI8422">
        <v>1</v>
      </c>
      <c r="AJ8422">
        <v>1</v>
      </c>
      <c r="AK8422">
        <v>1</v>
      </c>
      <c r="AL8422">
        <v>1</v>
      </c>
      <c r="AM8422">
        <v>1</v>
      </c>
    </row>
    <row r="8423" spans="1:39" x14ac:dyDescent="0.2">
      <c r="A8423" t="str">
        <f>"8419"</f>
        <v>8419</v>
      </c>
      <c r="B8423" t="str">
        <f t="shared" si="466"/>
        <v>1</v>
      </c>
      <c r="C8423" t="str">
        <f t="shared" si="468"/>
        <v>169</v>
      </c>
      <c r="D8423" t="str">
        <f>"34"</f>
        <v>34</v>
      </c>
      <c r="E8423" t="str">
        <f>"1-169-34"</f>
        <v>1-169-34</v>
      </c>
      <c r="F8423" t="s">
        <v>65</v>
      </c>
      <c r="G8423" t="s">
        <v>66</v>
      </c>
      <c r="H8423" t="s">
        <v>67</v>
      </c>
      <c r="S8423">
        <v>1</v>
      </c>
      <c r="T8423">
        <v>0</v>
      </c>
      <c r="U8423">
        <v>0</v>
      </c>
      <c r="V8423">
        <v>0</v>
      </c>
      <c r="W8423">
        <v>1</v>
      </c>
      <c r="X8423">
        <v>0</v>
      </c>
      <c r="Y8423">
        <v>0</v>
      </c>
      <c r="Z8423">
        <v>1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</row>
    <row r="8424" spans="1:39" x14ac:dyDescent="0.2">
      <c r="A8424" t="str">
        <f>"8420"</f>
        <v>8420</v>
      </c>
      <c r="B8424" t="str">
        <f t="shared" si="466"/>
        <v>1</v>
      </c>
      <c r="C8424" t="str">
        <f t="shared" si="468"/>
        <v>169</v>
      </c>
      <c r="D8424" t="str">
        <f>"19"</f>
        <v>19</v>
      </c>
      <c r="E8424" t="str">
        <f>"1-169-19"</f>
        <v>1-169-19</v>
      </c>
      <c r="F8424" t="s">
        <v>65</v>
      </c>
      <c r="G8424" t="s">
        <v>66</v>
      </c>
      <c r="H8424" t="s">
        <v>67</v>
      </c>
      <c r="S8424">
        <v>1</v>
      </c>
      <c r="T8424">
        <v>0</v>
      </c>
      <c r="U8424">
        <v>0</v>
      </c>
      <c r="V8424">
        <v>0</v>
      </c>
      <c r="W8424">
        <v>1</v>
      </c>
      <c r="X8424">
        <v>0</v>
      </c>
      <c r="Y8424">
        <v>1</v>
      </c>
      <c r="Z8424">
        <v>0</v>
      </c>
      <c r="AA8424">
        <v>1</v>
      </c>
      <c r="AB8424">
        <v>0</v>
      </c>
      <c r="AC8424">
        <v>0</v>
      </c>
      <c r="AD8424">
        <v>1</v>
      </c>
      <c r="AE8424">
        <v>1</v>
      </c>
      <c r="AF8424">
        <v>1</v>
      </c>
      <c r="AG8424">
        <v>1</v>
      </c>
      <c r="AH8424">
        <v>1</v>
      </c>
      <c r="AI8424">
        <v>1</v>
      </c>
      <c r="AJ8424">
        <v>1</v>
      </c>
      <c r="AK8424">
        <v>1</v>
      </c>
      <c r="AL8424">
        <v>1</v>
      </c>
      <c r="AM8424">
        <v>1</v>
      </c>
    </row>
    <row r="8425" spans="1:39" x14ac:dyDescent="0.2">
      <c r="A8425" t="str">
        <f>"8421"</f>
        <v>8421</v>
      </c>
      <c r="B8425" t="str">
        <f t="shared" si="466"/>
        <v>1</v>
      </c>
      <c r="C8425" t="str">
        <f t="shared" si="468"/>
        <v>169</v>
      </c>
      <c r="D8425" t="str">
        <f>"14"</f>
        <v>14</v>
      </c>
      <c r="E8425" t="str">
        <f>"1-169-14"</f>
        <v>1-169-14</v>
      </c>
      <c r="F8425" t="s">
        <v>65</v>
      </c>
      <c r="G8425" t="s">
        <v>66</v>
      </c>
      <c r="H8425" t="s">
        <v>67</v>
      </c>
      <c r="S8425">
        <v>1</v>
      </c>
      <c r="T8425">
        <v>0</v>
      </c>
      <c r="U8425">
        <v>0</v>
      </c>
      <c r="V8425">
        <v>0</v>
      </c>
      <c r="W8425">
        <v>1</v>
      </c>
      <c r="X8425">
        <v>0</v>
      </c>
      <c r="Y8425">
        <v>1</v>
      </c>
      <c r="Z8425">
        <v>0</v>
      </c>
      <c r="AA8425">
        <v>1</v>
      </c>
      <c r="AB8425">
        <v>0</v>
      </c>
      <c r="AC8425">
        <v>0</v>
      </c>
      <c r="AD8425">
        <v>1</v>
      </c>
      <c r="AE8425">
        <v>1</v>
      </c>
      <c r="AF8425">
        <v>1</v>
      </c>
      <c r="AG8425">
        <v>1</v>
      </c>
      <c r="AH8425">
        <v>1</v>
      </c>
      <c r="AI8425">
        <v>1</v>
      </c>
      <c r="AJ8425">
        <v>1</v>
      </c>
      <c r="AK8425">
        <v>1</v>
      </c>
      <c r="AL8425">
        <v>1</v>
      </c>
      <c r="AM8425">
        <v>1</v>
      </c>
    </row>
    <row r="8426" spans="1:39" x14ac:dyDescent="0.2">
      <c r="A8426" t="str">
        <f>"8422"</f>
        <v>8422</v>
      </c>
      <c r="B8426" t="str">
        <f t="shared" si="466"/>
        <v>1</v>
      </c>
      <c r="C8426" t="str">
        <f t="shared" si="468"/>
        <v>169</v>
      </c>
      <c r="D8426" t="str">
        <f>"40"</f>
        <v>40</v>
      </c>
      <c r="E8426" t="str">
        <f>"1-169-40"</f>
        <v>1-169-40</v>
      </c>
      <c r="F8426" t="s">
        <v>65</v>
      </c>
      <c r="G8426" t="s">
        <v>66</v>
      </c>
      <c r="H8426" t="s">
        <v>67</v>
      </c>
      <c r="S8426">
        <v>0</v>
      </c>
      <c r="T8426">
        <v>1</v>
      </c>
      <c r="U8426">
        <v>0</v>
      </c>
      <c r="V8426">
        <v>0</v>
      </c>
      <c r="W8426">
        <v>1</v>
      </c>
      <c r="X8426">
        <v>0</v>
      </c>
      <c r="Y8426">
        <v>1</v>
      </c>
      <c r="Z8426">
        <v>0</v>
      </c>
      <c r="AA8426">
        <v>1</v>
      </c>
      <c r="AB8426">
        <v>0</v>
      </c>
      <c r="AC8426">
        <v>0</v>
      </c>
      <c r="AD8426">
        <v>1</v>
      </c>
      <c r="AE8426">
        <v>1</v>
      </c>
      <c r="AF8426">
        <v>1</v>
      </c>
      <c r="AG8426">
        <v>1</v>
      </c>
      <c r="AH8426">
        <v>1</v>
      </c>
      <c r="AI8426">
        <v>1</v>
      </c>
      <c r="AJ8426">
        <v>1</v>
      </c>
      <c r="AK8426">
        <v>1</v>
      </c>
      <c r="AL8426">
        <v>1</v>
      </c>
      <c r="AM8426">
        <v>1</v>
      </c>
    </row>
    <row r="8427" spans="1:39" x14ac:dyDescent="0.2">
      <c r="A8427" t="str">
        <f>"8423"</f>
        <v>8423</v>
      </c>
      <c r="B8427" t="str">
        <f t="shared" si="466"/>
        <v>1</v>
      </c>
      <c r="C8427" t="str">
        <f t="shared" si="468"/>
        <v>169</v>
      </c>
      <c r="D8427" t="str">
        <f>"20"</f>
        <v>20</v>
      </c>
      <c r="E8427" t="str">
        <f>"1-169-20"</f>
        <v>1-169-20</v>
      </c>
      <c r="F8427" t="s">
        <v>65</v>
      </c>
      <c r="G8427" t="s">
        <v>66</v>
      </c>
      <c r="H8427" t="s">
        <v>67</v>
      </c>
      <c r="S8427">
        <v>0</v>
      </c>
      <c r="T8427">
        <v>1</v>
      </c>
      <c r="U8427">
        <v>0</v>
      </c>
      <c r="V8427">
        <v>0</v>
      </c>
      <c r="W8427">
        <v>1</v>
      </c>
      <c r="X8427">
        <v>0</v>
      </c>
      <c r="Y8427">
        <v>0</v>
      </c>
      <c r="Z8427">
        <v>1</v>
      </c>
      <c r="AA8427">
        <v>0</v>
      </c>
      <c r="AB8427">
        <v>0</v>
      </c>
      <c r="AC8427">
        <v>1</v>
      </c>
      <c r="AD8427">
        <v>1</v>
      </c>
      <c r="AE8427">
        <v>1</v>
      </c>
      <c r="AF8427">
        <v>1</v>
      </c>
      <c r="AG8427">
        <v>1</v>
      </c>
      <c r="AH8427">
        <v>1</v>
      </c>
      <c r="AI8427">
        <v>1</v>
      </c>
      <c r="AJ8427">
        <v>1</v>
      </c>
      <c r="AK8427">
        <v>1</v>
      </c>
      <c r="AL8427">
        <v>1</v>
      </c>
      <c r="AM8427">
        <v>1</v>
      </c>
    </row>
    <row r="8428" spans="1:39" x14ac:dyDescent="0.2">
      <c r="A8428" t="str">
        <f>"8424"</f>
        <v>8424</v>
      </c>
      <c r="B8428" t="str">
        <f t="shared" si="466"/>
        <v>1</v>
      </c>
      <c r="C8428" t="str">
        <f t="shared" si="468"/>
        <v>169</v>
      </c>
      <c r="D8428" t="str">
        <f>"4"</f>
        <v>4</v>
      </c>
      <c r="E8428" t="str">
        <f>"1-169-4"</f>
        <v>1-169-4</v>
      </c>
      <c r="F8428" t="s">
        <v>65</v>
      </c>
      <c r="G8428" t="s">
        <v>66</v>
      </c>
      <c r="H8428" t="s">
        <v>67</v>
      </c>
      <c r="S8428">
        <v>1</v>
      </c>
      <c r="T8428">
        <v>0</v>
      </c>
      <c r="U8428">
        <v>0</v>
      </c>
      <c r="V8428">
        <v>0</v>
      </c>
      <c r="W8428">
        <v>1</v>
      </c>
      <c r="X8428">
        <v>0</v>
      </c>
      <c r="Y8428">
        <v>1</v>
      </c>
      <c r="Z8428">
        <v>0</v>
      </c>
      <c r="AA8428">
        <v>1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1</v>
      </c>
      <c r="AH8428">
        <v>1</v>
      </c>
      <c r="AI8428">
        <v>1</v>
      </c>
      <c r="AJ8428">
        <v>1</v>
      </c>
      <c r="AK8428">
        <v>1</v>
      </c>
      <c r="AL8428">
        <v>1</v>
      </c>
      <c r="AM8428">
        <v>1</v>
      </c>
    </row>
    <row r="8429" spans="1:39" x14ac:dyDescent="0.2">
      <c r="A8429" t="str">
        <f>"8425"</f>
        <v>8425</v>
      </c>
      <c r="B8429" t="str">
        <f t="shared" si="466"/>
        <v>1</v>
      </c>
      <c r="C8429" t="str">
        <f t="shared" si="468"/>
        <v>169</v>
      </c>
      <c r="D8429" t="str">
        <f>"39"</f>
        <v>39</v>
      </c>
      <c r="E8429" t="str">
        <f>"1-169-39"</f>
        <v>1-169-39</v>
      </c>
      <c r="F8429" t="s">
        <v>65</v>
      </c>
      <c r="G8429" t="s">
        <v>66</v>
      </c>
      <c r="H8429" t="s">
        <v>67</v>
      </c>
      <c r="S8429">
        <v>1</v>
      </c>
      <c r="T8429">
        <v>0</v>
      </c>
      <c r="U8429">
        <v>0</v>
      </c>
      <c r="V8429">
        <v>0</v>
      </c>
      <c r="W8429">
        <v>1</v>
      </c>
      <c r="X8429">
        <v>0</v>
      </c>
      <c r="Y8429">
        <v>1</v>
      </c>
      <c r="Z8429">
        <v>0</v>
      </c>
      <c r="AA8429">
        <v>1</v>
      </c>
      <c r="AB8429">
        <v>0</v>
      </c>
      <c r="AC8429">
        <v>0</v>
      </c>
      <c r="AD8429">
        <v>1</v>
      </c>
      <c r="AE8429">
        <v>1</v>
      </c>
      <c r="AF8429">
        <v>1</v>
      </c>
      <c r="AG8429">
        <v>1</v>
      </c>
      <c r="AH8429">
        <v>1</v>
      </c>
      <c r="AI8429">
        <v>1</v>
      </c>
      <c r="AJ8429">
        <v>1</v>
      </c>
      <c r="AK8429">
        <v>1</v>
      </c>
      <c r="AL8429">
        <v>1</v>
      </c>
      <c r="AM8429">
        <v>1</v>
      </c>
    </row>
    <row r="8430" spans="1:39" x14ac:dyDescent="0.2">
      <c r="A8430" t="str">
        <f>"8426"</f>
        <v>8426</v>
      </c>
      <c r="B8430" t="str">
        <f t="shared" si="466"/>
        <v>1</v>
      </c>
      <c r="C8430" t="str">
        <f t="shared" si="468"/>
        <v>169</v>
      </c>
      <c r="D8430" t="str">
        <f>"21"</f>
        <v>21</v>
      </c>
      <c r="E8430" t="str">
        <f>"1-169-21"</f>
        <v>1-169-21</v>
      </c>
      <c r="F8430" t="s">
        <v>65</v>
      </c>
      <c r="G8430" t="s">
        <v>66</v>
      </c>
      <c r="H8430" t="s">
        <v>67</v>
      </c>
      <c r="S8430">
        <v>1</v>
      </c>
      <c r="T8430">
        <v>0</v>
      </c>
      <c r="U8430">
        <v>0</v>
      </c>
      <c r="V8430">
        <v>0</v>
      </c>
      <c r="W8430">
        <v>1</v>
      </c>
      <c r="X8430">
        <v>0</v>
      </c>
      <c r="Y8430">
        <v>0</v>
      </c>
      <c r="Z8430">
        <v>1</v>
      </c>
      <c r="AA8430">
        <v>0</v>
      </c>
      <c r="AB8430">
        <v>0</v>
      </c>
      <c r="AC8430">
        <v>1</v>
      </c>
      <c r="AD8430">
        <v>1</v>
      </c>
      <c r="AE8430">
        <v>1</v>
      </c>
      <c r="AF8430">
        <v>1</v>
      </c>
      <c r="AG8430">
        <v>1</v>
      </c>
      <c r="AH8430">
        <v>1</v>
      </c>
      <c r="AI8430">
        <v>1</v>
      </c>
      <c r="AJ8430">
        <v>1</v>
      </c>
      <c r="AK8430">
        <v>1</v>
      </c>
      <c r="AL8430">
        <v>1</v>
      </c>
      <c r="AM8430">
        <v>1</v>
      </c>
    </row>
    <row r="8431" spans="1:39" x14ac:dyDescent="0.2">
      <c r="A8431" t="str">
        <f>"8427"</f>
        <v>8427</v>
      </c>
      <c r="B8431" t="str">
        <f t="shared" si="466"/>
        <v>1</v>
      </c>
      <c r="C8431" t="str">
        <f t="shared" si="468"/>
        <v>169</v>
      </c>
      <c r="D8431" t="str">
        <f>"12"</f>
        <v>12</v>
      </c>
      <c r="E8431" t="str">
        <f>"1-169-12"</f>
        <v>1-169-12</v>
      </c>
      <c r="F8431" t="s">
        <v>65</v>
      </c>
      <c r="G8431" t="s">
        <v>66</v>
      </c>
      <c r="H8431" t="s">
        <v>67</v>
      </c>
      <c r="S8431">
        <v>1</v>
      </c>
      <c r="T8431">
        <v>0</v>
      </c>
      <c r="U8431">
        <v>0</v>
      </c>
      <c r="V8431">
        <v>0</v>
      </c>
      <c r="W8431">
        <v>1</v>
      </c>
      <c r="X8431">
        <v>0</v>
      </c>
      <c r="Y8431">
        <v>1</v>
      </c>
      <c r="Z8431">
        <v>0</v>
      </c>
      <c r="AA8431">
        <v>1</v>
      </c>
      <c r="AB8431">
        <v>0</v>
      </c>
      <c r="AC8431">
        <v>0</v>
      </c>
      <c r="AD8431">
        <v>1</v>
      </c>
      <c r="AE8431">
        <v>1</v>
      </c>
      <c r="AF8431">
        <v>1</v>
      </c>
      <c r="AG8431">
        <v>1</v>
      </c>
      <c r="AH8431">
        <v>1</v>
      </c>
      <c r="AI8431">
        <v>1</v>
      </c>
      <c r="AJ8431">
        <v>1</v>
      </c>
      <c r="AK8431">
        <v>1</v>
      </c>
      <c r="AL8431">
        <v>1</v>
      </c>
      <c r="AM8431">
        <v>1</v>
      </c>
    </row>
    <row r="8432" spans="1:39" x14ac:dyDescent="0.2">
      <c r="A8432" t="str">
        <f>"8428"</f>
        <v>8428</v>
      </c>
      <c r="B8432" t="str">
        <f t="shared" si="466"/>
        <v>1</v>
      </c>
      <c r="C8432" t="str">
        <f t="shared" si="468"/>
        <v>169</v>
      </c>
      <c r="D8432" t="str">
        <f>"41"</f>
        <v>41</v>
      </c>
      <c r="E8432" t="str">
        <f>"1-169-41"</f>
        <v>1-169-41</v>
      </c>
      <c r="F8432" t="s">
        <v>65</v>
      </c>
      <c r="G8432" t="s">
        <v>66</v>
      </c>
      <c r="H8432" t="s">
        <v>67</v>
      </c>
      <c r="S8432">
        <v>0</v>
      </c>
      <c r="T8432">
        <v>1</v>
      </c>
      <c r="U8432">
        <v>0</v>
      </c>
      <c r="V8432">
        <v>0</v>
      </c>
      <c r="W8432">
        <v>0</v>
      </c>
      <c r="X8432">
        <v>1</v>
      </c>
      <c r="Y8432">
        <v>0</v>
      </c>
      <c r="Z8432">
        <v>1</v>
      </c>
      <c r="AA8432">
        <v>0</v>
      </c>
      <c r="AB8432">
        <v>1</v>
      </c>
      <c r="AC8432">
        <v>0</v>
      </c>
      <c r="AD8432">
        <v>1</v>
      </c>
      <c r="AE8432">
        <v>1</v>
      </c>
      <c r="AF8432">
        <v>1</v>
      </c>
      <c r="AG8432">
        <v>1</v>
      </c>
      <c r="AH8432">
        <v>1</v>
      </c>
      <c r="AI8432">
        <v>1</v>
      </c>
      <c r="AJ8432">
        <v>1</v>
      </c>
      <c r="AK8432">
        <v>1</v>
      </c>
      <c r="AL8432">
        <v>1</v>
      </c>
      <c r="AM8432">
        <v>1</v>
      </c>
    </row>
    <row r="8433" spans="1:39" x14ac:dyDescent="0.2">
      <c r="A8433" t="str">
        <f>"8429"</f>
        <v>8429</v>
      </c>
      <c r="B8433" t="str">
        <f t="shared" si="466"/>
        <v>1</v>
      </c>
      <c r="C8433" t="str">
        <f t="shared" si="468"/>
        <v>169</v>
      </c>
      <c r="D8433" t="str">
        <f>"24"</f>
        <v>24</v>
      </c>
      <c r="E8433" t="str">
        <f>"1-169-24"</f>
        <v>1-169-24</v>
      </c>
      <c r="F8433" t="s">
        <v>65</v>
      </c>
      <c r="G8433" t="s">
        <v>66</v>
      </c>
      <c r="H8433" t="s">
        <v>67</v>
      </c>
      <c r="S8433">
        <v>1</v>
      </c>
      <c r="T8433">
        <v>0</v>
      </c>
      <c r="U8433">
        <v>0</v>
      </c>
      <c r="V8433">
        <v>0</v>
      </c>
      <c r="W8433">
        <v>1</v>
      </c>
      <c r="X8433">
        <v>0</v>
      </c>
      <c r="Y8433">
        <v>1</v>
      </c>
      <c r="Z8433">
        <v>0</v>
      </c>
      <c r="AA8433">
        <v>0</v>
      </c>
      <c r="AB8433">
        <v>1</v>
      </c>
      <c r="AC8433">
        <v>0</v>
      </c>
      <c r="AD8433">
        <v>1</v>
      </c>
      <c r="AE8433">
        <v>1</v>
      </c>
      <c r="AF8433">
        <v>1</v>
      </c>
      <c r="AG8433">
        <v>1</v>
      </c>
      <c r="AH8433">
        <v>1</v>
      </c>
      <c r="AI8433">
        <v>1</v>
      </c>
      <c r="AJ8433">
        <v>1</v>
      </c>
      <c r="AK8433">
        <v>1</v>
      </c>
      <c r="AL8433">
        <v>1</v>
      </c>
      <c r="AM8433">
        <v>1</v>
      </c>
    </row>
    <row r="8434" spans="1:39" x14ac:dyDescent="0.2">
      <c r="A8434" t="str">
        <f>"8430"</f>
        <v>8430</v>
      </c>
      <c r="B8434" t="str">
        <f t="shared" si="466"/>
        <v>1</v>
      </c>
      <c r="C8434" t="str">
        <f t="shared" si="468"/>
        <v>169</v>
      </c>
      <c r="D8434" t="str">
        <f>"6"</f>
        <v>6</v>
      </c>
      <c r="E8434" t="str">
        <f>"1-169-6"</f>
        <v>1-169-6</v>
      </c>
      <c r="F8434" t="s">
        <v>65</v>
      </c>
      <c r="G8434" t="s">
        <v>66</v>
      </c>
      <c r="H8434" t="s">
        <v>67</v>
      </c>
      <c r="S8434">
        <v>1</v>
      </c>
      <c r="T8434">
        <v>0</v>
      </c>
      <c r="U8434">
        <v>0</v>
      </c>
      <c r="V8434">
        <v>0</v>
      </c>
      <c r="W8434">
        <v>1</v>
      </c>
      <c r="X8434">
        <v>0</v>
      </c>
      <c r="Y8434">
        <v>1</v>
      </c>
      <c r="Z8434">
        <v>0</v>
      </c>
      <c r="AA8434">
        <v>0</v>
      </c>
      <c r="AB8434">
        <v>1</v>
      </c>
      <c r="AC8434">
        <v>0</v>
      </c>
      <c r="AD8434">
        <v>1</v>
      </c>
      <c r="AE8434">
        <v>1</v>
      </c>
      <c r="AF8434">
        <v>1</v>
      </c>
      <c r="AG8434">
        <v>1</v>
      </c>
      <c r="AH8434">
        <v>1</v>
      </c>
      <c r="AI8434">
        <v>1</v>
      </c>
      <c r="AJ8434">
        <v>1</v>
      </c>
      <c r="AK8434">
        <v>1</v>
      </c>
      <c r="AL8434">
        <v>1</v>
      </c>
      <c r="AM8434">
        <v>1</v>
      </c>
    </row>
    <row r="8435" spans="1:39" x14ac:dyDescent="0.2">
      <c r="A8435" t="str">
        <f>"8431"</f>
        <v>8431</v>
      </c>
      <c r="B8435" t="str">
        <f t="shared" si="466"/>
        <v>1</v>
      </c>
      <c r="C8435" t="str">
        <f t="shared" si="468"/>
        <v>169</v>
      </c>
      <c r="D8435" t="str">
        <f>"42"</f>
        <v>42</v>
      </c>
      <c r="E8435" t="str">
        <f>"1-169-42"</f>
        <v>1-169-42</v>
      </c>
      <c r="F8435" t="s">
        <v>65</v>
      </c>
      <c r="G8435" t="s">
        <v>66</v>
      </c>
      <c r="H8435" t="s">
        <v>67</v>
      </c>
      <c r="S8435">
        <v>1</v>
      </c>
      <c r="T8435">
        <v>0</v>
      </c>
      <c r="U8435">
        <v>0</v>
      </c>
      <c r="V8435">
        <v>0</v>
      </c>
      <c r="W8435">
        <v>1</v>
      </c>
      <c r="X8435">
        <v>0</v>
      </c>
      <c r="Y8435">
        <v>0</v>
      </c>
      <c r="Z8435">
        <v>1</v>
      </c>
      <c r="AA8435">
        <v>0</v>
      </c>
      <c r="AB8435">
        <v>0</v>
      </c>
      <c r="AC8435">
        <v>1</v>
      </c>
      <c r="AD8435">
        <v>1</v>
      </c>
      <c r="AE8435">
        <v>1</v>
      </c>
      <c r="AF8435">
        <v>1</v>
      </c>
      <c r="AG8435">
        <v>1</v>
      </c>
      <c r="AH8435">
        <v>1</v>
      </c>
      <c r="AI8435">
        <v>1</v>
      </c>
      <c r="AJ8435">
        <v>1</v>
      </c>
      <c r="AK8435">
        <v>1</v>
      </c>
      <c r="AL8435">
        <v>1</v>
      </c>
      <c r="AM8435">
        <v>1</v>
      </c>
    </row>
    <row r="8436" spans="1:39" x14ac:dyDescent="0.2">
      <c r="A8436" t="str">
        <f>"8432"</f>
        <v>8432</v>
      </c>
      <c r="B8436" t="str">
        <f t="shared" si="466"/>
        <v>1</v>
      </c>
      <c r="C8436" t="str">
        <f t="shared" si="468"/>
        <v>169</v>
      </c>
      <c r="D8436" t="str">
        <f>"26"</f>
        <v>26</v>
      </c>
      <c r="E8436" t="str">
        <f>"1-169-26"</f>
        <v>1-169-26</v>
      </c>
      <c r="F8436" t="s">
        <v>65</v>
      </c>
      <c r="G8436" t="s">
        <v>66</v>
      </c>
      <c r="H8436" t="s">
        <v>67</v>
      </c>
      <c r="S8436">
        <v>1</v>
      </c>
      <c r="T8436">
        <v>0</v>
      </c>
      <c r="U8436">
        <v>0</v>
      </c>
      <c r="V8436">
        <v>0</v>
      </c>
      <c r="W8436">
        <v>1</v>
      </c>
      <c r="X8436">
        <v>0</v>
      </c>
      <c r="Y8436">
        <v>0</v>
      </c>
      <c r="Z8436">
        <v>1</v>
      </c>
      <c r="AA8436">
        <v>0</v>
      </c>
      <c r="AB8436">
        <v>1</v>
      </c>
      <c r="AC8436">
        <v>0</v>
      </c>
      <c r="AD8436">
        <v>1</v>
      </c>
      <c r="AE8436">
        <v>1</v>
      </c>
      <c r="AF8436">
        <v>1</v>
      </c>
      <c r="AG8436">
        <v>1</v>
      </c>
      <c r="AH8436">
        <v>1</v>
      </c>
      <c r="AI8436">
        <v>1</v>
      </c>
      <c r="AJ8436">
        <v>1</v>
      </c>
      <c r="AK8436">
        <v>1</v>
      </c>
      <c r="AL8436">
        <v>1</v>
      </c>
      <c r="AM8436">
        <v>1</v>
      </c>
    </row>
    <row r="8437" spans="1:39" x14ac:dyDescent="0.2">
      <c r="A8437" t="str">
        <f>"8433"</f>
        <v>8433</v>
      </c>
      <c r="B8437" t="str">
        <f t="shared" si="466"/>
        <v>1</v>
      </c>
      <c r="C8437" t="str">
        <f t="shared" ref="C8437:C8454" si="469">"169"</f>
        <v>169</v>
      </c>
      <c r="D8437" t="str">
        <f>"13"</f>
        <v>13</v>
      </c>
      <c r="E8437" t="str">
        <f>"1-169-13"</f>
        <v>1-169-13</v>
      </c>
      <c r="F8437" t="s">
        <v>65</v>
      </c>
      <c r="G8437" t="s">
        <v>66</v>
      </c>
      <c r="H8437" t="s">
        <v>67</v>
      </c>
      <c r="S8437">
        <v>1</v>
      </c>
      <c r="T8437">
        <v>0</v>
      </c>
      <c r="U8437">
        <v>0</v>
      </c>
      <c r="V8437">
        <v>0</v>
      </c>
      <c r="W8437">
        <v>1</v>
      </c>
      <c r="X8437">
        <v>0</v>
      </c>
      <c r="Y8437">
        <v>1</v>
      </c>
      <c r="Z8437">
        <v>0</v>
      </c>
      <c r="AA8437">
        <v>1</v>
      </c>
      <c r="AB8437">
        <v>0</v>
      </c>
      <c r="AC8437">
        <v>0</v>
      </c>
      <c r="AD8437">
        <v>1</v>
      </c>
      <c r="AE8437">
        <v>1</v>
      </c>
      <c r="AF8437">
        <v>1</v>
      </c>
      <c r="AG8437">
        <v>1</v>
      </c>
      <c r="AH8437">
        <v>1</v>
      </c>
      <c r="AI8437">
        <v>1</v>
      </c>
      <c r="AJ8437">
        <v>1</v>
      </c>
      <c r="AK8437">
        <v>1</v>
      </c>
      <c r="AL8437">
        <v>1</v>
      </c>
      <c r="AM8437">
        <v>1</v>
      </c>
    </row>
    <row r="8438" spans="1:39" x14ac:dyDescent="0.2">
      <c r="A8438" t="str">
        <f>"8434"</f>
        <v>8434</v>
      </c>
      <c r="B8438" t="str">
        <f t="shared" si="466"/>
        <v>1</v>
      </c>
      <c r="C8438" t="str">
        <f t="shared" si="469"/>
        <v>169</v>
      </c>
      <c r="D8438" t="str">
        <f>"43"</f>
        <v>43</v>
      </c>
      <c r="E8438" t="str">
        <f>"1-169-43"</f>
        <v>1-169-43</v>
      </c>
      <c r="F8438" t="s">
        <v>65</v>
      </c>
      <c r="G8438" t="s">
        <v>66</v>
      </c>
      <c r="H8438" t="s">
        <v>67</v>
      </c>
      <c r="S8438">
        <v>1</v>
      </c>
      <c r="T8438">
        <v>0</v>
      </c>
      <c r="U8438">
        <v>0</v>
      </c>
      <c r="V8438">
        <v>0</v>
      </c>
      <c r="W8438">
        <v>1</v>
      </c>
      <c r="X8438">
        <v>0</v>
      </c>
      <c r="Y8438">
        <v>1</v>
      </c>
      <c r="Z8438">
        <v>0</v>
      </c>
      <c r="AA8438">
        <v>0</v>
      </c>
      <c r="AB8438">
        <v>0</v>
      </c>
      <c r="AC8438">
        <v>1</v>
      </c>
      <c r="AD8438">
        <v>1</v>
      </c>
      <c r="AE8438">
        <v>1</v>
      </c>
      <c r="AF8438">
        <v>1</v>
      </c>
      <c r="AG8438">
        <v>1</v>
      </c>
      <c r="AH8438">
        <v>1</v>
      </c>
      <c r="AI8438">
        <v>1</v>
      </c>
      <c r="AJ8438">
        <v>1</v>
      </c>
      <c r="AK8438">
        <v>1</v>
      </c>
      <c r="AL8438">
        <v>1</v>
      </c>
      <c r="AM8438">
        <v>1</v>
      </c>
    </row>
    <row r="8439" spans="1:39" x14ac:dyDescent="0.2">
      <c r="A8439" t="str">
        <f>"8435"</f>
        <v>8435</v>
      </c>
      <c r="B8439" t="str">
        <f t="shared" ref="B8439:B8502" si="470">"1"</f>
        <v>1</v>
      </c>
      <c r="C8439" t="str">
        <f t="shared" si="469"/>
        <v>169</v>
      </c>
      <c r="D8439" t="str">
        <f>"27"</f>
        <v>27</v>
      </c>
      <c r="E8439" t="str">
        <f>"1-169-27"</f>
        <v>1-169-27</v>
      </c>
      <c r="F8439" t="s">
        <v>65</v>
      </c>
      <c r="G8439" t="s">
        <v>66</v>
      </c>
      <c r="H8439" t="s">
        <v>67</v>
      </c>
      <c r="S8439">
        <v>1</v>
      </c>
      <c r="T8439">
        <v>0</v>
      </c>
      <c r="U8439">
        <v>0</v>
      </c>
      <c r="V8439">
        <v>0</v>
      </c>
      <c r="W8439">
        <v>1</v>
      </c>
      <c r="X8439">
        <v>0</v>
      </c>
      <c r="Y8439">
        <v>1</v>
      </c>
      <c r="Z8439">
        <v>0</v>
      </c>
      <c r="AA8439">
        <v>1</v>
      </c>
      <c r="AB8439">
        <v>0</v>
      </c>
      <c r="AC8439">
        <v>0</v>
      </c>
      <c r="AD8439">
        <v>1</v>
      </c>
      <c r="AE8439">
        <v>1</v>
      </c>
      <c r="AF8439">
        <v>1</v>
      </c>
      <c r="AG8439">
        <v>1</v>
      </c>
      <c r="AH8439">
        <v>1</v>
      </c>
      <c r="AI8439">
        <v>1</v>
      </c>
      <c r="AJ8439">
        <v>1</v>
      </c>
      <c r="AK8439">
        <v>1</v>
      </c>
      <c r="AL8439">
        <v>1</v>
      </c>
      <c r="AM8439">
        <v>1</v>
      </c>
    </row>
    <row r="8440" spans="1:39" x14ac:dyDescent="0.2">
      <c r="A8440" t="str">
        <f>"8436"</f>
        <v>8436</v>
      </c>
      <c r="B8440" t="str">
        <f t="shared" si="470"/>
        <v>1</v>
      </c>
      <c r="C8440" t="str">
        <f t="shared" si="469"/>
        <v>169</v>
      </c>
      <c r="D8440" t="str">
        <f>"7"</f>
        <v>7</v>
      </c>
      <c r="E8440" t="str">
        <f>"1-169-7"</f>
        <v>1-169-7</v>
      </c>
      <c r="F8440" t="s">
        <v>65</v>
      </c>
      <c r="G8440" t="s">
        <v>66</v>
      </c>
      <c r="H8440" t="s">
        <v>67</v>
      </c>
      <c r="S8440">
        <v>1</v>
      </c>
      <c r="T8440">
        <v>0</v>
      </c>
      <c r="U8440">
        <v>0</v>
      </c>
      <c r="V8440">
        <v>0</v>
      </c>
      <c r="W8440">
        <v>1</v>
      </c>
      <c r="X8440">
        <v>0</v>
      </c>
      <c r="Y8440">
        <v>1</v>
      </c>
      <c r="Z8440">
        <v>0</v>
      </c>
      <c r="AA8440">
        <v>0</v>
      </c>
      <c r="AB8440">
        <v>1</v>
      </c>
      <c r="AC8440">
        <v>0</v>
      </c>
      <c r="AD8440">
        <v>1</v>
      </c>
      <c r="AE8440">
        <v>1</v>
      </c>
      <c r="AF8440">
        <v>1</v>
      </c>
      <c r="AG8440">
        <v>1</v>
      </c>
      <c r="AH8440">
        <v>1</v>
      </c>
      <c r="AI8440">
        <v>1</v>
      </c>
      <c r="AJ8440">
        <v>1</v>
      </c>
      <c r="AK8440">
        <v>1</v>
      </c>
      <c r="AL8440">
        <v>1</v>
      </c>
      <c r="AM8440">
        <v>1</v>
      </c>
    </row>
    <row r="8441" spans="1:39" x14ac:dyDescent="0.2">
      <c r="A8441" t="str">
        <f>"8437"</f>
        <v>8437</v>
      </c>
      <c r="B8441" t="str">
        <f t="shared" si="470"/>
        <v>1</v>
      </c>
      <c r="C8441" t="str">
        <f t="shared" si="469"/>
        <v>169</v>
      </c>
      <c r="D8441" t="str">
        <f>"28"</f>
        <v>28</v>
      </c>
      <c r="E8441" t="str">
        <f>"1-169-28"</f>
        <v>1-169-28</v>
      </c>
      <c r="F8441" t="s">
        <v>65</v>
      </c>
      <c r="G8441" t="s">
        <v>66</v>
      </c>
      <c r="H8441" t="s">
        <v>67</v>
      </c>
      <c r="S8441">
        <v>1</v>
      </c>
      <c r="T8441">
        <v>0</v>
      </c>
      <c r="U8441">
        <v>0</v>
      </c>
      <c r="V8441">
        <v>0</v>
      </c>
      <c r="W8441">
        <v>1</v>
      </c>
      <c r="X8441">
        <v>0</v>
      </c>
      <c r="Y8441">
        <v>0</v>
      </c>
      <c r="Z8441">
        <v>1</v>
      </c>
      <c r="AA8441">
        <v>1</v>
      </c>
      <c r="AB8441">
        <v>0</v>
      </c>
      <c r="AC8441">
        <v>0</v>
      </c>
      <c r="AD8441">
        <v>1</v>
      </c>
      <c r="AE8441">
        <v>1</v>
      </c>
      <c r="AF8441">
        <v>1</v>
      </c>
      <c r="AG8441">
        <v>1</v>
      </c>
      <c r="AH8441">
        <v>1</v>
      </c>
      <c r="AI8441">
        <v>1</v>
      </c>
      <c r="AJ8441">
        <v>1</v>
      </c>
      <c r="AK8441">
        <v>1</v>
      </c>
      <c r="AL8441">
        <v>1</v>
      </c>
      <c r="AM8441">
        <v>0</v>
      </c>
    </row>
    <row r="8442" spans="1:39" x14ac:dyDescent="0.2">
      <c r="A8442" t="str">
        <f>"8438"</f>
        <v>8438</v>
      </c>
      <c r="B8442" t="str">
        <f t="shared" si="470"/>
        <v>1</v>
      </c>
      <c r="C8442" t="str">
        <f t="shared" si="469"/>
        <v>169</v>
      </c>
      <c r="D8442" t="str">
        <f>"11"</f>
        <v>11</v>
      </c>
      <c r="E8442" t="str">
        <f>"1-169-11"</f>
        <v>1-169-11</v>
      </c>
      <c r="F8442" t="s">
        <v>65</v>
      </c>
      <c r="G8442" t="s">
        <v>66</v>
      </c>
      <c r="H8442" t="s">
        <v>67</v>
      </c>
      <c r="S8442">
        <v>1</v>
      </c>
      <c r="T8442">
        <v>0</v>
      </c>
      <c r="U8442">
        <v>0</v>
      </c>
      <c r="V8442">
        <v>0</v>
      </c>
      <c r="W8442">
        <v>1</v>
      </c>
      <c r="X8442">
        <v>0</v>
      </c>
      <c r="Y8442">
        <v>1</v>
      </c>
      <c r="Z8442">
        <v>0</v>
      </c>
      <c r="AA8442">
        <v>1</v>
      </c>
      <c r="AB8442">
        <v>0</v>
      </c>
      <c r="AC8442">
        <v>0</v>
      </c>
      <c r="AD8442">
        <v>1</v>
      </c>
      <c r="AE8442">
        <v>0</v>
      </c>
      <c r="AF8442">
        <v>1</v>
      </c>
      <c r="AG8442">
        <v>1</v>
      </c>
      <c r="AH8442">
        <v>1</v>
      </c>
      <c r="AI8442">
        <v>1</v>
      </c>
      <c r="AJ8442">
        <v>1</v>
      </c>
      <c r="AK8442">
        <v>1</v>
      </c>
      <c r="AL8442">
        <v>1</v>
      </c>
      <c r="AM8442">
        <v>1</v>
      </c>
    </row>
    <row r="8443" spans="1:39" x14ac:dyDescent="0.2">
      <c r="A8443" t="str">
        <f>"8439"</f>
        <v>8439</v>
      </c>
      <c r="B8443" t="str">
        <f t="shared" si="470"/>
        <v>1</v>
      </c>
      <c r="C8443" t="str">
        <f t="shared" si="469"/>
        <v>169</v>
      </c>
      <c r="D8443" t="str">
        <f>"49"</f>
        <v>49</v>
      </c>
      <c r="E8443" t="str">
        <f>"1-169-49"</f>
        <v>1-169-49</v>
      </c>
      <c r="F8443" t="s">
        <v>65</v>
      </c>
      <c r="G8443" t="s">
        <v>66</v>
      </c>
      <c r="H8443" t="s">
        <v>67</v>
      </c>
      <c r="S8443">
        <v>1</v>
      </c>
      <c r="T8443">
        <v>0</v>
      </c>
      <c r="U8443">
        <v>0</v>
      </c>
      <c r="V8443">
        <v>0</v>
      </c>
      <c r="W8443">
        <v>1</v>
      </c>
      <c r="X8443">
        <v>0</v>
      </c>
      <c r="Y8443">
        <v>1</v>
      </c>
      <c r="Z8443">
        <v>0</v>
      </c>
      <c r="AA8443">
        <v>0</v>
      </c>
      <c r="AB8443">
        <v>1</v>
      </c>
      <c r="AC8443">
        <v>0</v>
      </c>
      <c r="AD8443">
        <v>1</v>
      </c>
      <c r="AE8443">
        <v>1</v>
      </c>
      <c r="AF8443">
        <v>1</v>
      </c>
      <c r="AG8443">
        <v>1</v>
      </c>
      <c r="AH8443">
        <v>1</v>
      </c>
      <c r="AI8443">
        <v>1</v>
      </c>
      <c r="AJ8443">
        <v>1</v>
      </c>
      <c r="AK8443">
        <v>1</v>
      </c>
      <c r="AL8443">
        <v>1</v>
      </c>
      <c r="AM8443">
        <v>1</v>
      </c>
    </row>
    <row r="8444" spans="1:39" x14ac:dyDescent="0.2">
      <c r="A8444" t="str">
        <f>"8440"</f>
        <v>8440</v>
      </c>
      <c r="B8444" t="str">
        <f t="shared" si="470"/>
        <v>1</v>
      </c>
      <c r="C8444" t="str">
        <f t="shared" si="469"/>
        <v>169</v>
      </c>
      <c r="D8444" t="str">
        <f>"29"</f>
        <v>29</v>
      </c>
      <c r="E8444" t="str">
        <f>"1-169-29"</f>
        <v>1-169-29</v>
      </c>
      <c r="F8444" t="s">
        <v>65</v>
      </c>
      <c r="G8444" t="s">
        <v>66</v>
      </c>
      <c r="H8444" t="s">
        <v>67</v>
      </c>
      <c r="S8444">
        <v>0</v>
      </c>
      <c r="T8444">
        <v>1</v>
      </c>
      <c r="U8444">
        <v>0</v>
      </c>
      <c r="V8444">
        <v>0</v>
      </c>
      <c r="W8444">
        <v>0</v>
      </c>
      <c r="X8444">
        <v>1</v>
      </c>
      <c r="Y8444">
        <v>0</v>
      </c>
      <c r="Z8444">
        <v>1</v>
      </c>
      <c r="AA8444">
        <v>0</v>
      </c>
      <c r="AB8444">
        <v>1</v>
      </c>
      <c r="AC8444">
        <v>0</v>
      </c>
      <c r="AD8444">
        <v>1</v>
      </c>
      <c r="AE8444">
        <v>1</v>
      </c>
      <c r="AF8444">
        <v>1</v>
      </c>
      <c r="AG8444">
        <v>1</v>
      </c>
      <c r="AH8444">
        <v>1</v>
      </c>
      <c r="AI8444">
        <v>1</v>
      </c>
      <c r="AJ8444">
        <v>1</v>
      </c>
      <c r="AK8444">
        <v>1</v>
      </c>
      <c r="AL8444">
        <v>1</v>
      </c>
      <c r="AM8444">
        <v>1</v>
      </c>
    </row>
    <row r="8445" spans="1:39" x14ac:dyDescent="0.2">
      <c r="A8445" t="str">
        <f>"8441"</f>
        <v>8441</v>
      </c>
      <c r="B8445" t="str">
        <f t="shared" si="470"/>
        <v>1</v>
      </c>
      <c r="C8445" t="str">
        <f t="shared" si="469"/>
        <v>169</v>
      </c>
      <c r="D8445" t="str">
        <f>"10"</f>
        <v>10</v>
      </c>
      <c r="E8445" t="str">
        <f>"1-169-10"</f>
        <v>1-169-10</v>
      </c>
      <c r="F8445" t="s">
        <v>65</v>
      </c>
      <c r="G8445" t="s">
        <v>66</v>
      </c>
      <c r="H8445" t="s">
        <v>67</v>
      </c>
      <c r="S8445">
        <v>1</v>
      </c>
      <c r="T8445">
        <v>0</v>
      </c>
      <c r="U8445">
        <v>0</v>
      </c>
      <c r="V8445">
        <v>0</v>
      </c>
      <c r="W8445">
        <v>1</v>
      </c>
      <c r="X8445">
        <v>0</v>
      </c>
      <c r="Y8445">
        <v>1</v>
      </c>
      <c r="Z8445">
        <v>0</v>
      </c>
      <c r="AA8445">
        <v>1</v>
      </c>
      <c r="AB8445">
        <v>0</v>
      </c>
      <c r="AC8445">
        <v>0</v>
      </c>
      <c r="AD8445">
        <v>1</v>
      </c>
      <c r="AE8445">
        <v>1</v>
      </c>
      <c r="AF8445">
        <v>1</v>
      </c>
      <c r="AG8445">
        <v>1</v>
      </c>
      <c r="AH8445">
        <v>1</v>
      </c>
      <c r="AI8445">
        <v>1</v>
      </c>
      <c r="AJ8445">
        <v>1</v>
      </c>
      <c r="AK8445">
        <v>1</v>
      </c>
      <c r="AL8445">
        <v>1</v>
      </c>
      <c r="AM8445">
        <v>1</v>
      </c>
    </row>
    <row r="8446" spans="1:39" x14ac:dyDescent="0.2">
      <c r="A8446" t="str">
        <f>"8442"</f>
        <v>8442</v>
      </c>
      <c r="B8446" t="str">
        <f t="shared" si="470"/>
        <v>1</v>
      </c>
      <c r="C8446" t="str">
        <f t="shared" si="469"/>
        <v>169</v>
      </c>
      <c r="D8446" t="str">
        <f>"30"</f>
        <v>30</v>
      </c>
      <c r="E8446" t="str">
        <f>"1-169-30"</f>
        <v>1-169-30</v>
      </c>
      <c r="F8446" t="s">
        <v>65</v>
      </c>
      <c r="G8446" t="s">
        <v>66</v>
      </c>
      <c r="H8446" t="s">
        <v>67</v>
      </c>
      <c r="S8446">
        <v>1</v>
      </c>
      <c r="T8446">
        <v>0</v>
      </c>
      <c r="U8446">
        <v>0</v>
      </c>
      <c r="V8446">
        <v>0</v>
      </c>
      <c r="W8446">
        <v>1</v>
      </c>
      <c r="X8446">
        <v>0</v>
      </c>
      <c r="Y8446">
        <v>0</v>
      </c>
      <c r="Z8446">
        <v>1</v>
      </c>
      <c r="AA8446">
        <v>1</v>
      </c>
      <c r="AB8446">
        <v>0</v>
      </c>
      <c r="AC8446">
        <v>0</v>
      </c>
      <c r="AD8446">
        <v>1</v>
      </c>
      <c r="AE8446">
        <v>1</v>
      </c>
      <c r="AF8446">
        <v>1</v>
      </c>
      <c r="AG8446">
        <v>1</v>
      </c>
      <c r="AH8446">
        <v>1</v>
      </c>
      <c r="AI8446">
        <v>1</v>
      </c>
      <c r="AJ8446">
        <v>1</v>
      </c>
      <c r="AK8446">
        <v>1</v>
      </c>
      <c r="AL8446">
        <v>1</v>
      </c>
      <c r="AM8446">
        <v>1</v>
      </c>
    </row>
    <row r="8447" spans="1:39" x14ac:dyDescent="0.2">
      <c r="A8447" t="str">
        <f>"8443"</f>
        <v>8443</v>
      </c>
      <c r="B8447" t="str">
        <f t="shared" si="470"/>
        <v>1</v>
      </c>
      <c r="C8447" t="str">
        <f t="shared" si="469"/>
        <v>169</v>
      </c>
      <c r="D8447" t="str">
        <f>"5"</f>
        <v>5</v>
      </c>
      <c r="E8447" t="str">
        <f>"1-169-5"</f>
        <v>1-169-5</v>
      </c>
      <c r="F8447" t="s">
        <v>65</v>
      </c>
      <c r="G8447" t="s">
        <v>66</v>
      </c>
      <c r="H8447" t="s">
        <v>67</v>
      </c>
      <c r="S8447">
        <v>1</v>
      </c>
      <c r="T8447">
        <v>0</v>
      </c>
      <c r="U8447">
        <v>0</v>
      </c>
      <c r="V8447">
        <v>0</v>
      </c>
      <c r="W8447">
        <v>1</v>
      </c>
      <c r="X8447">
        <v>0</v>
      </c>
      <c r="Y8447">
        <v>1</v>
      </c>
      <c r="Z8447">
        <v>0</v>
      </c>
      <c r="AA8447">
        <v>1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1</v>
      </c>
      <c r="AH8447">
        <v>1</v>
      </c>
      <c r="AI8447">
        <v>1</v>
      </c>
      <c r="AJ8447">
        <v>0</v>
      </c>
      <c r="AK8447">
        <v>0</v>
      </c>
      <c r="AL8447">
        <v>1</v>
      </c>
      <c r="AM8447">
        <v>1</v>
      </c>
    </row>
    <row r="8448" spans="1:39" x14ac:dyDescent="0.2">
      <c r="A8448" t="str">
        <f>"8444"</f>
        <v>8444</v>
      </c>
      <c r="B8448" t="str">
        <f t="shared" si="470"/>
        <v>1</v>
      </c>
      <c r="C8448" t="str">
        <f t="shared" si="469"/>
        <v>169</v>
      </c>
      <c r="D8448" t="str">
        <f>"48"</f>
        <v>48</v>
      </c>
      <c r="E8448" t="str">
        <f>"1-169-48"</f>
        <v>1-169-48</v>
      </c>
      <c r="F8448" t="s">
        <v>65</v>
      </c>
      <c r="G8448" t="s">
        <v>66</v>
      </c>
      <c r="H8448" t="s">
        <v>67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1</v>
      </c>
      <c r="Y8448">
        <v>0</v>
      </c>
      <c r="Z8448">
        <v>0</v>
      </c>
      <c r="AA8448">
        <v>0</v>
      </c>
      <c r="AB8448">
        <v>0</v>
      </c>
      <c r="AC8448">
        <v>1</v>
      </c>
      <c r="AD8448">
        <v>0</v>
      </c>
      <c r="AE8448">
        <v>0</v>
      </c>
      <c r="AF8448">
        <v>0</v>
      </c>
      <c r="AG8448">
        <v>0</v>
      </c>
      <c r="AH8448">
        <v>1</v>
      </c>
      <c r="AI8448">
        <v>1</v>
      </c>
      <c r="AJ8448">
        <v>1</v>
      </c>
      <c r="AK8448">
        <v>1</v>
      </c>
      <c r="AL8448">
        <v>1</v>
      </c>
      <c r="AM8448">
        <v>1</v>
      </c>
    </row>
    <row r="8449" spans="1:39" x14ac:dyDescent="0.2">
      <c r="A8449" t="str">
        <f>"8445"</f>
        <v>8445</v>
      </c>
      <c r="B8449" t="str">
        <f t="shared" si="470"/>
        <v>1</v>
      </c>
      <c r="C8449" t="str">
        <f t="shared" si="469"/>
        <v>169</v>
      </c>
      <c r="D8449" t="str">
        <f>"31"</f>
        <v>31</v>
      </c>
      <c r="E8449" t="str">
        <f>"1-169-31"</f>
        <v>1-169-31</v>
      </c>
      <c r="F8449" t="s">
        <v>65</v>
      </c>
      <c r="G8449" t="s">
        <v>66</v>
      </c>
      <c r="H8449" t="s">
        <v>67</v>
      </c>
      <c r="S8449">
        <v>1</v>
      </c>
      <c r="T8449">
        <v>0</v>
      </c>
      <c r="U8449">
        <v>0</v>
      </c>
      <c r="V8449">
        <v>0</v>
      </c>
      <c r="W8449">
        <v>1</v>
      </c>
      <c r="X8449">
        <v>0</v>
      </c>
      <c r="Y8449">
        <v>0</v>
      </c>
      <c r="Z8449">
        <v>1</v>
      </c>
      <c r="AA8449">
        <v>1</v>
      </c>
      <c r="AB8449">
        <v>0</v>
      </c>
      <c r="AC8449">
        <v>0</v>
      </c>
      <c r="AD8449">
        <v>1</v>
      </c>
      <c r="AE8449">
        <v>1</v>
      </c>
      <c r="AF8449">
        <v>1</v>
      </c>
      <c r="AG8449">
        <v>1</v>
      </c>
      <c r="AH8449">
        <v>1</v>
      </c>
      <c r="AI8449">
        <v>1</v>
      </c>
      <c r="AJ8449">
        <v>1</v>
      </c>
      <c r="AK8449">
        <v>1</v>
      </c>
      <c r="AL8449">
        <v>1</v>
      </c>
      <c r="AM8449">
        <v>1</v>
      </c>
    </row>
    <row r="8450" spans="1:39" x14ac:dyDescent="0.2">
      <c r="A8450" t="str">
        <f>"8446"</f>
        <v>8446</v>
      </c>
      <c r="B8450" t="str">
        <f t="shared" si="470"/>
        <v>1</v>
      </c>
      <c r="C8450" t="str">
        <f t="shared" si="469"/>
        <v>169</v>
      </c>
      <c r="D8450" t="str">
        <f>"9"</f>
        <v>9</v>
      </c>
      <c r="E8450" t="str">
        <f>"1-169-9"</f>
        <v>1-169-9</v>
      </c>
      <c r="F8450" t="s">
        <v>65</v>
      </c>
      <c r="G8450" t="s">
        <v>66</v>
      </c>
      <c r="H8450" t="s">
        <v>67</v>
      </c>
      <c r="S8450">
        <v>1</v>
      </c>
      <c r="T8450">
        <v>0</v>
      </c>
      <c r="U8450">
        <v>0</v>
      </c>
      <c r="V8450">
        <v>0</v>
      </c>
      <c r="W8450">
        <v>1</v>
      </c>
      <c r="X8450">
        <v>0</v>
      </c>
      <c r="Y8450">
        <v>1</v>
      </c>
      <c r="Z8450">
        <v>0</v>
      </c>
      <c r="AA8450">
        <v>0</v>
      </c>
      <c r="AB8450">
        <v>1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</row>
    <row r="8451" spans="1:39" x14ac:dyDescent="0.2">
      <c r="A8451" t="str">
        <f>"8447"</f>
        <v>8447</v>
      </c>
      <c r="B8451" t="str">
        <f t="shared" si="470"/>
        <v>1</v>
      </c>
      <c r="C8451" t="str">
        <f t="shared" si="469"/>
        <v>169</v>
      </c>
      <c r="D8451" t="str">
        <f>"32"</f>
        <v>32</v>
      </c>
      <c r="E8451" t="str">
        <f>"1-169-32"</f>
        <v>1-169-32</v>
      </c>
      <c r="F8451" t="s">
        <v>65</v>
      </c>
      <c r="G8451" t="s">
        <v>66</v>
      </c>
      <c r="H8451" t="s">
        <v>67</v>
      </c>
      <c r="S8451">
        <v>1</v>
      </c>
      <c r="T8451">
        <v>0</v>
      </c>
      <c r="U8451">
        <v>0</v>
      </c>
      <c r="V8451">
        <v>0</v>
      </c>
      <c r="W8451">
        <v>1</v>
      </c>
      <c r="X8451">
        <v>0</v>
      </c>
      <c r="Y8451">
        <v>1</v>
      </c>
      <c r="Z8451">
        <v>0</v>
      </c>
      <c r="AA8451">
        <v>1</v>
      </c>
      <c r="AB8451">
        <v>0</v>
      </c>
      <c r="AC8451">
        <v>0</v>
      </c>
      <c r="AD8451">
        <v>1</v>
      </c>
      <c r="AE8451">
        <v>1</v>
      </c>
      <c r="AF8451">
        <v>1</v>
      </c>
      <c r="AG8451">
        <v>1</v>
      </c>
      <c r="AH8451">
        <v>1</v>
      </c>
      <c r="AI8451">
        <v>1</v>
      </c>
      <c r="AJ8451">
        <v>1</v>
      </c>
      <c r="AK8451">
        <v>1</v>
      </c>
      <c r="AL8451">
        <v>1</v>
      </c>
      <c r="AM8451">
        <v>1</v>
      </c>
    </row>
    <row r="8452" spans="1:39" x14ac:dyDescent="0.2">
      <c r="A8452" t="str">
        <f>"8448"</f>
        <v>8448</v>
      </c>
      <c r="B8452" t="str">
        <f t="shared" si="470"/>
        <v>1</v>
      </c>
      <c r="C8452" t="str">
        <f t="shared" si="469"/>
        <v>169</v>
      </c>
      <c r="D8452" t="str">
        <f>"3"</f>
        <v>3</v>
      </c>
      <c r="E8452" t="str">
        <f>"1-169-3"</f>
        <v>1-169-3</v>
      </c>
      <c r="F8452" t="s">
        <v>65</v>
      </c>
      <c r="G8452" t="s">
        <v>66</v>
      </c>
      <c r="H8452" t="s">
        <v>67</v>
      </c>
      <c r="S8452">
        <v>0</v>
      </c>
      <c r="T8452">
        <v>1</v>
      </c>
      <c r="U8452">
        <v>0</v>
      </c>
      <c r="V8452">
        <v>0</v>
      </c>
      <c r="W8452">
        <v>1</v>
      </c>
      <c r="X8452">
        <v>0</v>
      </c>
      <c r="Y8452">
        <v>0</v>
      </c>
      <c r="Z8452">
        <v>1</v>
      </c>
      <c r="AA8452">
        <v>0</v>
      </c>
      <c r="AB8452">
        <v>0</v>
      </c>
      <c r="AC8452">
        <v>1</v>
      </c>
      <c r="AD8452">
        <v>1</v>
      </c>
      <c r="AE8452">
        <v>1</v>
      </c>
      <c r="AF8452">
        <v>1</v>
      </c>
      <c r="AG8452">
        <v>1</v>
      </c>
      <c r="AH8452">
        <v>1</v>
      </c>
      <c r="AI8452">
        <v>1</v>
      </c>
      <c r="AJ8452">
        <v>1</v>
      </c>
      <c r="AK8452">
        <v>1</v>
      </c>
      <c r="AL8452">
        <v>1</v>
      </c>
      <c r="AM8452">
        <v>1</v>
      </c>
    </row>
    <row r="8453" spans="1:39" x14ac:dyDescent="0.2">
      <c r="A8453" t="str">
        <f>"8449"</f>
        <v>8449</v>
      </c>
      <c r="B8453" t="str">
        <f t="shared" si="470"/>
        <v>1</v>
      </c>
      <c r="C8453" t="str">
        <f t="shared" si="469"/>
        <v>169</v>
      </c>
      <c r="D8453" t="str">
        <f>"23"</f>
        <v>23</v>
      </c>
      <c r="E8453" t="str">
        <f>"1-169-23"</f>
        <v>1-169-23</v>
      </c>
      <c r="F8453" t="s">
        <v>65</v>
      </c>
      <c r="G8453" t="s">
        <v>66</v>
      </c>
      <c r="H8453" t="s">
        <v>67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1</v>
      </c>
      <c r="Y8453">
        <v>0</v>
      </c>
      <c r="Z8453">
        <v>1</v>
      </c>
      <c r="AA8453">
        <v>0</v>
      </c>
      <c r="AB8453">
        <v>1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</row>
    <row r="8454" spans="1:39" x14ac:dyDescent="0.2">
      <c r="A8454" t="str">
        <f>"8450"</f>
        <v>8450</v>
      </c>
      <c r="B8454" t="str">
        <f t="shared" si="470"/>
        <v>1</v>
      </c>
      <c r="C8454" t="str">
        <f t="shared" si="469"/>
        <v>169</v>
      </c>
      <c r="D8454" t="str">
        <f>"50"</f>
        <v>50</v>
      </c>
      <c r="E8454" t="str">
        <f>"1-169-50"</f>
        <v>1-169-50</v>
      </c>
      <c r="F8454" t="s">
        <v>65</v>
      </c>
      <c r="G8454" t="s">
        <v>66</v>
      </c>
      <c r="H8454" t="s">
        <v>67</v>
      </c>
      <c r="S8454">
        <v>0</v>
      </c>
      <c r="T8454">
        <v>1</v>
      </c>
      <c r="U8454">
        <v>0</v>
      </c>
      <c r="V8454">
        <v>0</v>
      </c>
      <c r="W8454">
        <v>0</v>
      </c>
      <c r="X8454">
        <v>1</v>
      </c>
      <c r="Y8454">
        <v>0</v>
      </c>
      <c r="Z8454">
        <v>1</v>
      </c>
      <c r="AA8454">
        <v>1</v>
      </c>
      <c r="AB8454">
        <v>0</v>
      </c>
      <c r="AC8454">
        <v>0</v>
      </c>
      <c r="AD8454">
        <v>1</v>
      </c>
      <c r="AE8454">
        <v>1</v>
      </c>
      <c r="AF8454">
        <v>1</v>
      </c>
      <c r="AG8454">
        <v>1</v>
      </c>
      <c r="AH8454">
        <v>1</v>
      </c>
      <c r="AI8454">
        <v>1</v>
      </c>
      <c r="AJ8454">
        <v>1</v>
      </c>
      <c r="AK8454">
        <v>1</v>
      </c>
      <c r="AL8454">
        <v>1</v>
      </c>
      <c r="AM8454">
        <v>0</v>
      </c>
    </row>
    <row r="8455" spans="1:39" x14ac:dyDescent="0.2">
      <c r="A8455" t="str">
        <f>"8451"</f>
        <v>8451</v>
      </c>
      <c r="B8455" t="str">
        <f t="shared" si="470"/>
        <v>1</v>
      </c>
      <c r="C8455" t="str">
        <f t="shared" ref="C8455:C8486" si="471">"170"</f>
        <v>170</v>
      </c>
      <c r="D8455" t="str">
        <f>"38"</f>
        <v>38</v>
      </c>
      <c r="E8455" t="str">
        <f>"1-170-38"</f>
        <v>1-170-38</v>
      </c>
      <c r="F8455" t="s">
        <v>65</v>
      </c>
      <c r="G8455" t="s">
        <v>66</v>
      </c>
      <c r="H8455" t="s">
        <v>67</v>
      </c>
      <c r="S8455">
        <v>1</v>
      </c>
      <c r="T8455">
        <v>0</v>
      </c>
      <c r="U8455">
        <v>0</v>
      </c>
      <c r="V8455">
        <v>0</v>
      </c>
      <c r="W8455">
        <v>1</v>
      </c>
      <c r="X8455">
        <v>0</v>
      </c>
      <c r="Y8455">
        <v>0</v>
      </c>
      <c r="Z8455">
        <v>1</v>
      </c>
      <c r="AA8455">
        <v>1</v>
      </c>
      <c r="AB8455">
        <v>0</v>
      </c>
      <c r="AC8455">
        <v>0</v>
      </c>
      <c r="AD8455">
        <v>1</v>
      </c>
      <c r="AE8455">
        <v>1</v>
      </c>
      <c r="AF8455">
        <v>1</v>
      </c>
      <c r="AG8455">
        <v>1</v>
      </c>
      <c r="AH8455">
        <v>1</v>
      </c>
      <c r="AI8455">
        <v>1</v>
      </c>
      <c r="AJ8455">
        <v>1</v>
      </c>
      <c r="AK8455">
        <v>1</v>
      </c>
      <c r="AL8455">
        <v>1</v>
      </c>
      <c r="AM8455">
        <v>1</v>
      </c>
    </row>
    <row r="8456" spans="1:39" x14ac:dyDescent="0.2">
      <c r="A8456" t="str">
        <f>"8452"</f>
        <v>8452</v>
      </c>
      <c r="B8456" t="str">
        <f t="shared" si="470"/>
        <v>1</v>
      </c>
      <c r="C8456" t="str">
        <f t="shared" si="471"/>
        <v>170</v>
      </c>
      <c r="D8456" t="str">
        <f>"37"</f>
        <v>37</v>
      </c>
      <c r="E8456" t="str">
        <f>"1-170-37"</f>
        <v>1-170-37</v>
      </c>
      <c r="F8456" t="s">
        <v>65</v>
      </c>
      <c r="G8456" t="s">
        <v>66</v>
      </c>
      <c r="H8456" t="s">
        <v>67</v>
      </c>
      <c r="S8456">
        <v>1</v>
      </c>
      <c r="T8456">
        <v>0</v>
      </c>
      <c r="U8456">
        <v>0</v>
      </c>
      <c r="V8456">
        <v>0</v>
      </c>
      <c r="W8456">
        <v>1</v>
      </c>
      <c r="X8456">
        <v>0</v>
      </c>
      <c r="Y8456">
        <v>1</v>
      </c>
      <c r="Z8456">
        <v>0</v>
      </c>
      <c r="AA8456">
        <v>1</v>
      </c>
      <c r="AB8456">
        <v>0</v>
      </c>
      <c r="AC8456">
        <v>0</v>
      </c>
      <c r="AD8456">
        <v>1</v>
      </c>
      <c r="AE8456">
        <v>1</v>
      </c>
      <c r="AF8456">
        <v>1</v>
      </c>
      <c r="AG8456">
        <v>1</v>
      </c>
      <c r="AH8456">
        <v>1</v>
      </c>
      <c r="AI8456">
        <v>1</v>
      </c>
      <c r="AJ8456">
        <v>1</v>
      </c>
      <c r="AK8456">
        <v>1</v>
      </c>
      <c r="AL8456">
        <v>1</v>
      </c>
      <c r="AM8456">
        <v>1</v>
      </c>
    </row>
    <row r="8457" spans="1:39" x14ac:dyDescent="0.2">
      <c r="A8457" t="str">
        <f>"8453"</f>
        <v>8453</v>
      </c>
      <c r="B8457" t="str">
        <f t="shared" si="470"/>
        <v>1</v>
      </c>
      <c r="C8457" t="str">
        <f t="shared" si="471"/>
        <v>170</v>
      </c>
      <c r="D8457" t="str">
        <f>"25"</f>
        <v>25</v>
      </c>
      <c r="E8457" t="str">
        <f>"1-170-25"</f>
        <v>1-170-25</v>
      </c>
      <c r="F8457" t="s">
        <v>65</v>
      </c>
      <c r="G8457" t="s">
        <v>66</v>
      </c>
      <c r="H8457" t="s">
        <v>67</v>
      </c>
      <c r="S8457">
        <v>0</v>
      </c>
      <c r="T8457">
        <v>1</v>
      </c>
      <c r="U8457">
        <v>0</v>
      </c>
      <c r="V8457">
        <v>0</v>
      </c>
      <c r="W8457">
        <v>1</v>
      </c>
      <c r="X8457">
        <v>0</v>
      </c>
      <c r="Y8457">
        <v>0</v>
      </c>
      <c r="Z8457">
        <v>1</v>
      </c>
      <c r="AA8457">
        <v>1</v>
      </c>
      <c r="AB8457">
        <v>0</v>
      </c>
      <c r="AC8457">
        <v>0</v>
      </c>
      <c r="AD8457">
        <v>1</v>
      </c>
      <c r="AE8457">
        <v>1</v>
      </c>
      <c r="AF8457">
        <v>1</v>
      </c>
      <c r="AG8457">
        <v>1</v>
      </c>
      <c r="AH8457">
        <v>1</v>
      </c>
      <c r="AI8457">
        <v>1</v>
      </c>
      <c r="AJ8457">
        <v>1</v>
      </c>
      <c r="AK8457">
        <v>1</v>
      </c>
      <c r="AL8457">
        <v>1</v>
      </c>
      <c r="AM8457">
        <v>1</v>
      </c>
    </row>
    <row r="8458" spans="1:39" x14ac:dyDescent="0.2">
      <c r="A8458" t="str">
        <f>"8454"</f>
        <v>8454</v>
      </c>
      <c r="B8458" t="str">
        <f t="shared" si="470"/>
        <v>1</v>
      </c>
      <c r="C8458" t="str">
        <f t="shared" si="471"/>
        <v>170</v>
      </c>
      <c r="D8458" t="str">
        <f>"15"</f>
        <v>15</v>
      </c>
      <c r="E8458" t="str">
        <f>"1-170-15"</f>
        <v>1-170-15</v>
      </c>
      <c r="F8458" t="s">
        <v>65</v>
      </c>
      <c r="G8458" t="s">
        <v>66</v>
      </c>
      <c r="H8458" t="s">
        <v>67</v>
      </c>
      <c r="S8458">
        <v>0</v>
      </c>
      <c r="T8458">
        <v>1</v>
      </c>
      <c r="U8458">
        <v>0</v>
      </c>
      <c r="V8458">
        <v>0</v>
      </c>
      <c r="W8458">
        <v>1</v>
      </c>
      <c r="X8458">
        <v>0</v>
      </c>
      <c r="Y8458">
        <v>0</v>
      </c>
      <c r="Z8458">
        <v>1</v>
      </c>
      <c r="AA8458">
        <v>0</v>
      </c>
      <c r="AB8458">
        <v>0</v>
      </c>
      <c r="AC8458">
        <v>1</v>
      </c>
      <c r="AD8458">
        <v>0</v>
      </c>
      <c r="AE8458">
        <v>0</v>
      </c>
      <c r="AF8458">
        <v>0</v>
      </c>
      <c r="AG8458">
        <v>1</v>
      </c>
      <c r="AH8458">
        <v>1</v>
      </c>
      <c r="AI8458">
        <v>1</v>
      </c>
      <c r="AJ8458">
        <v>0</v>
      </c>
      <c r="AK8458">
        <v>0</v>
      </c>
      <c r="AL8458">
        <v>0</v>
      </c>
      <c r="AM8458">
        <v>0</v>
      </c>
    </row>
    <row r="8459" spans="1:39" x14ac:dyDescent="0.2">
      <c r="A8459" t="str">
        <f>"8455"</f>
        <v>8455</v>
      </c>
      <c r="B8459" t="str">
        <f t="shared" si="470"/>
        <v>1</v>
      </c>
      <c r="C8459" t="str">
        <f t="shared" si="471"/>
        <v>170</v>
      </c>
      <c r="D8459" t="str">
        <f>"6"</f>
        <v>6</v>
      </c>
      <c r="E8459" t="str">
        <f>"1-170-6"</f>
        <v>1-170-6</v>
      </c>
      <c r="F8459" t="s">
        <v>65</v>
      </c>
      <c r="G8459" t="s">
        <v>66</v>
      </c>
      <c r="H8459" t="s">
        <v>67</v>
      </c>
      <c r="S8459">
        <v>0</v>
      </c>
      <c r="T8459">
        <v>1</v>
      </c>
      <c r="U8459">
        <v>0</v>
      </c>
      <c r="V8459">
        <v>0</v>
      </c>
      <c r="W8459">
        <v>1</v>
      </c>
      <c r="X8459">
        <v>0</v>
      </c>
      <c r="Y8459">
        <v>1</v>
      </c>
      <c r="Z8459">
        <v>0</v>
      </c>
      <c r="AA8459">
        <v>1</v>
      </c>
      <c r="AB8459">
        <v>0</v>
      </c>
      <c r="AC8459">
        <v>0</v>
      </c>
      <c r="AD8459">
        <v>0</v>
      </c>
      <c r="AE8459">
        <v>1</v>
      </c>
      <c r="AF8459">
        <v>1</v>
      </c>
      <c r="AG8459">
        <v>1</v>
      </c>
      <c r="AH8459">
        <v>1</v>
      </c>
      <c r="AI8459">
        <v>1</v>
      </c>
      <c r="AJ8459">
        <v>1</v>
      </c>
      <c r="AK8459">
        <v>1</v>
      </c>
      <c r="AL8459">
        <v>1</v>
      </c>
      <c r="AM8459">
        <v>1</v>
      </c>
    </row>
    <row r="8460" spans="1:39" x14ac:dyDescent="0.2">
      <c r="A8460" t="str">
        <f>"8456"</f>
        <v>8456</v>
      </c>
      <c r="B8460" t="str">
        <f t="shared" si="470"/>
        <v>1</v>
      </c>
      <c r="C8460" t="str">
        <f t="shared" si="471"/>
        <v>170</v>
      </c>
      <c r="D8460" t="str">
        <f>"36"</f>
        <v>36</v>
      </c>
      <c r="E8460" t="str">
        <f>"1-170-36"</f>
        <v>1-170-36</v>
      </c>
      <c r="F8460" t="s">
        <v>65</v>
      </c>
      <c r="G8460" t="s">
        <v>66</v>
      </c>
      <c r="H8460" t="s">
        <v>67</v>
      </c>
      <c r="S8460">
        <v>1</v>
      </c>
      <c r="T8460">
        <v>0</v>
      </c>
      <c r="U8460">
        <v>0</v>
      </c>
      <c r="V8460">
        <v>0</v>
      </c>
      <c r="W8460">
        <v>1</v>
      </c>
      <c r="X8460">
        <v>0</v>
      </c>
      <c r="Y8460">
        <v>0</v>
      </c>
      <c r="Z8460">
        <v>1</v>
      </c>
      <c r="AA8460">
        <v>1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</row>
    <row r="8461" spans="1:39" x14ac:dyDescent="0.2">
      <c r="A8461" t="str">
        <f>"8457"</f>
        <v>8457</v>
      </c>
      <c r="B8461" t="str">
        <f t="shared" si="470"/>
        <v>1</v>
      </c>
      <c r="C8461" t="str">
        <f t="shared" si="471"/>
        <v>170</v>
      </c>
      <c r="D8461" t="str">
        <f>"35"</f>
        <v>35</v>
      </c>
      <c r="E8461" t="str">
        <f>"1-170-35"</f>
        <v>1-170-35</v>
      </c>
      <c r="F8461" t="s">
        <v>65</v>
      </c>
      <c r="G8461" t="s">
        <v>66</v>
      </c>
      <c r="H8461" t="s">
        <v>67</v>
      </c>
      <c r="S8461">
        <v>1</v>
      </c>
      <c r="T8461">
        <v>0</v>
      </c>
      <c r="U8461">
        <v>0</v>
      </c>
      <c r="V8461">
        <v>0</v>
      </c>
      <c r="W8461">
        <v>1</v>
      </c>
      <c r="X8461">
        <v>0</v>
      </c>
      <c r="Y8461">
        <v>0</v>
      </c>
      <c r="Z8461">
        <v>1</v>
      </c>
      <c r="AA8461">
        <v>1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</row>
    <row r="8462" spans="1:39" x14ac:dyDescent="0.2">
      <c r="A8462" t="str">
        <f>"8458"</f>
        <v>8458</v>
      </c>
      <c r="B8462" t="str">
        <f t="shared" si="470"/>
        <v>1</v>
      </c>
      <c r="C8462" t="str">
        <f t="shared" si="471"/>
        <v>170</v>
      </c>
      <c r="D8462" t="str">
        <f>"23"</f>
        <v>23</v>
      </c>
      <c r="E8462" t="str">
        <f>"1-170-23"</f>
        <v>1-170-23</v>
      </c>
      <c r="F8462" t="s">
        <v>65</v>
      </c>
      <c r="G8462" t="s">
        <v>66</v>
      </c>
      <c r="H8462" t="s">
        <v>67</v>
      </c>
      <c r="S8462">
        <v>1</v>
      </c>
      <c r="T8462">
        <v>0</v>
      </c>
      <c r="U8462">
        <v>0</v>
      </c>
      <c r="V8462">
        <v>0</v>
      </c>
      <c r="W8462">
        <v>1</v>
      </c>
      <c r="X8462">
        <v>0</v>
      </c>
      <c r="Y8462">
        <v>1</v>
      </c>
      <c r="Z8462">
        <v>0</v>
      </c>
      <c r="AA8462">
        <v>1</v>
      </c>
      <c r="AB8462">
        <v>0</v>
      </c>
      <c r="AC8462">
        <v>0</v>
      </c>
      <c r="AD8462">
        <v>1</v>
      </c>
      <c r="AE8462">
        <v>1</v>
      </c>
      <c r="AF8462">
        <v>1</v>
      </c>
      <c r="AG8462">
        <v>1</v>
      </c>
      <c r="AH8462">
        <v>1</v>
      </c>
      <c r="AI8462">
        <v>1</v>
      </c>
      <c r="AJ8462">
        <v>1</v>
      </c>
      <c r="AK8462">
        <v>1</v>
      </c>
      <c r="AL8462">
        <v>1</v>
      </c>
      <c r="AM8462">
        <v>1</v>
      </c>
    </row>
    <row r="8463" spans="1:39" x14ac:dyDescent="0.2">
      <c r="A8463" t="str">
        <f>"8459"</f>
        <v>8459</v>
      </c>
      <c r="B8463" t="str">
        <f t="shared" si="470"/>
        <v>1</v>
      </c>
      <c r="C8463" t="str">
        <f t="shared" si="471"/>
        <v>170</v>
      </c>
      <c r="D8463" t="str">
        <f>"16"</f>
        <v>16</v>
      </c>
      <c r="E8463" t="str">
        <f>"1-170-16"</f>
        <v>1-170-16</v>
      </c>
      <c r="F8463" t="s">
        <v>65</v>
      </c>
      <c r="G8463" t="s">
        <v>66</v>
      </c>
      <c r="H8463" t="s">
        <v>67</v>
      </c>
      <c r="S8463">
        <v>1</v>
      </c>
      <c r="T8463">
        <v>0</v>
      </c>
      <c r="U8463">
        <v>0</v>
      </c>
      <c r="V8463">
        <v>0</v>
      </c>
      <c r="W8463">
        <v>1</v>
      </c>
      <c r="X8463">
        <v>0</v>
      </c>
      <c r="Y8463">
        <v>1</v>
      </c>
      <c r="Z8463">
        <v>0</v>
      </c>
      <c r="AA8463">
        <v>1</v>
      </c>
      <c r="AB8463">
        <v>0</v>
      </c>
      <c r="AC8463">
        <v>0</v>
      </c>
      <c r="AD8463">
        <v>1</v>
      </c>
      <c r="AE8463">
        <v>1</v>
      </c>
      <c r="AF8463">
        <v>1</v>
      </c>
      <c r="AG8463">
        <v>1</v>
      </c>
      <c r="AH8463">
        <v>1</v>
      </c>
      <c r="AI8463">
        <v>1</v>
      </c>
      <c r="AJ8463">
        <v>1</v>
      </c>
      <c r="AK8463">
        <v>1</v>
      </c>
      <c r="AL8463">
        <v>1</v>
      </c>
      <c r="AM8463">
        <v>1</v>
      </c>
    </row>
    <row r="8464" spans="1:39" x14ac:dyDescent="0.2">
      <c r="A8464" t="str">
        <f>"8460"</f>
        <v>8460</v>
      </c>
      <c r="B8464" t="str">
        <f t="shared" si="470"/>
        <v>1</v>
      </c>
      <c r="C8464" t="str">
        <f t="shared" si="471"/>
        <v>170</v>
      </c>
      <c r="D8464" t="str">
        <f>"7"</f>
        <v>7</v>
      </c>
      <c r="E8464" t="str">
        <f>"1-170-7"</f>
        <v>1-170-7</v>
      </c>
      <c r="F8464" t="s">
        <v>65</v>
      </c>
      <c r="G8464" t="s">
        <v>66</v>
      </c>
      <c r="H8464" t="s">
        <v>67</v>
      </c>
      <c r="S8464">
        <v>1</v>
      </c>
      <c r="T8464">
        <v>0</v>
      </c>
      <c r="U8464">
        <v>0</v>
      </c>
      <c r="V8464">
        <v>0</v>
      </c>
      <c r="W8464">
        <v>1</v>
      </c>
      <c r="X8464">
        <v>0</v>
      </c>
      <c r="Y8464">
        <v>0</v>
      </c>
      <c r="Z8464">
        <v>1</v>
      </c>
      <c r="AA8464">
        <v>1</v>
      </c>
      <c r="AB8464">
        <v>0</v>
      </c>
      <c r="AC8464">
        <v>0</v>
      </c>
      <c r="AD8464">
        <v>1</v>
      </c>
      <c r="AE8464">
        <v>1</v>
      </c>
      <c r="AF8464">
        <v>1</v>
      </c>
      <c r="AG8464">
        <v>1</v>
      </c>
      <c r="AH8464">
        <v>1</v>
      </c>
      <c r="AI8464">
        <v>1</v>
      </c>
      <c r="AJ8464">
        <v>1</v>
      </c>
      <c r="AK8464">
        <v>1</v>
      </c>
      <c r="AL8464">
        <v>1</v>
      </c>
      <c r="AM8464">
        <v>1</v>
      </c>
    </row>
    <row r="8465" spans="1:39" x14ac:dyDescent="0.2">
      <c r="A8465" t="str">
        <f>"8461"</f>
        <v>8461</v>
      </c>
      <c r="B8465" t="str">
        <f t="shared" si="470"/>
        <v>1</v>
      </c>
      <c r="C8465" t="str">
        <f t="shared" si="471"/>
        <v>170</v>
      </c>
      <c r="D8465" t="str">
        <f>"40"</f>
        <v>40</v>
      </c>
      <c r="E8465" t="str">
        <f>"1-170-40"</f>
        <v>1-170-40</v>
      </c>
      <c r="F8465" t="s">
        <v>65</v>
      </c>
      <c r="G8465" t="s">
        <v>66</v>
      </c>
      <c r="H8465" t="s">
        <v>67</v>
      </c>
      <c r="S8465">
        <v>1</v>
      </c>
      <c r="T8465">
        <v>0</v>
      </c>
      <c r="U8465">
        <v>0</v>
      </c>
      <c r="V8465">
        <v>0</v>
      </c>
      <c r="W8465">
        <v>1</v>
      </c>
      <c r="X8465">
        <v>0</v>
      </c>
      <c r="Y8465">
        <v>1</v>
      </c>
      <c r="Z8465">
        <v>0</v>
      </c>
      <c r="AA8465">
        <v>1</v>
      </c>
      <c r="AB8465">
        <v>0</v>
      </c>
      <c r="AC8465">
        <v>0</v>
      </c>
      <c r="AD8465">
        <v>1</v>
      </c>
      <c r="AE8465">
        <v>1</v>
      </c>
      <c r="AF8465">
        <v>1</v>
      </c>
      <c r="AG8465">
        <v>1</v>
      </c>
      <c r="AH8465">
        <v>1</v>
      </c>
      <c r="AI8465">
        <v>1</v>
      </c>
      <c r="AJ8465">
        <v>1</v>
      </c>
      <c r="AK8465">
        <v>1</v>
      </c>
      <c r="AL8465">
        <v>1</v>
      </c>
      <c r="AM8465">
        <v>1</v>
      </c>
    </row>
    <row r="8466" spans="1:39" x14ac:dyDescent="0.2">
      <c r="A8466" t="str">
        <f>"8462"</f>
        <v>8462</v>
      </c>
      <c r="B8466" t="str">
        <f t="shared" si="470"/>
        <v>1</v>
      </c>
      <c r="C8466" t="str">
        <f t="shared" si="471"/>
        <v>170</v>
      </c>
      <c r="D8466" t="str">
        <f>"39"</f>
        <v>39</v>
      </c>
      <c r="E8466" t="str">
        <f>"1-170-39"</f>
        <v>1-170-39</v>
      </c>
      <c r="F8466" t="s">
        <v>65</v>
      </c>
      <c r="G8466" t="s">
        <v>66</v>
      </c>
      <c r="H8466" t="s">
        <v>67</v>
      </c>
      <c r="S8466">
        <v>1</v>
      </c>
      <c r="T8466">
        <v>0</v>
      </c>
      <c r="U8466">
        <v>0</v>
      </c>
      <c r="V8466">
        <v>0</v>
      </c>
      <c r="W8466">
        <v>1</v>
      </c>
      <c r="X8466">
        <v>0</v>
      </c>
      <c r="Y8466">
        <v>0</v>
      </c>
      <c r="Z8466">
        <v>1</v>
      </c>
      <c r="AA8466">
        <v>1</v>
      </c>
      <c r="AB8466">
        <v>0</v>
      </c>
      <c r="AC8466">
        <v>0</v>
      </c>
      <c r="AD8466">
        <v>1</v>
      </c>
      <c r="AE8466">
        <v>1</v>
      </c>
      <c r="AF8466">
        <v>0</v>
      </c>
      <c r="AG8466">
        <v>1</v>
      </c>
      <c r="AH8466">
        <v>1</v>
      </c>
      <c r="AI8466">
        <v>1</v>
      </c>
      <c r="AJ8466">
        <v>0</v>
      </c>
      <c r="AK8466">
        <v>1</v>
      </c>
      <c r="AL8466">
        <v>1</v>
      </c>
      <c r="AM8466">
        <v>1</v>
      </c>
    </row>
    <row r="8467" spans="1:39" x14ac:dyDescent="0.2">
      <c r="A8467" t="str">
        <f>"8463"</f>
        <v>8463</v>
      </c>
      <c r="B8467" t="str">
        <f t="shared" si="470"/>
        <v>1</v>
      </c>
      <c r="C8467" t="str">
        <f t="shared" si="471"/>
        <v>170</v>
      </c>
      <c r="D8467" t="str">
        <f>"31"</f>
        <v>31</v>
      </c>
      <c r="E8467" t="str">
        <f>"1-170-31"</f>
        <v>1-170-31</v>
      </c>
      <c r="F8467" t="s">
        <v>65</v>
      </c>
      <c r="G8467" t="s">
        <v>66</v>
      </c>
      <c r="H8467" t="s">
        <v>67</v>
      </c>
      <c r="S8467">
        <v>0</v>
      </c>
      <c r="T8467">
        <v>1</v>
      </c>
      <c r="U8467">
        <v>0</v>
      </c>
      <c r="V8467">
        <v>0</v>
      </c>
      <c r="W8467">
        <v>1</v>
      </c>
      <c r="X8467">
        <v>0</v>
      </c>
      <c r="Y8467">
        <v>1</v>
      </c>
      <c r="Z8467">
        <v>0</v>
      </c>
      <c r="AA8467">
        <v>0</v>
      </c>
      <c r="AB8467">
        <v>0</v>
      </c>
      <c r="AC8467">
        <v>1</v>
      </c>
      <c r="AD8467">
        <v>1</v>
      </c>
      <c r="AE8467">
        <v>1</v>
      </c>
      <c r="AF8467">
        <v>1</v>
      </c>
      <c r="AG8467">
        <v>1</v>
      </c>
      <c r="AH8467">
        <v>1</v>
      </c>
      <c r="AI8467">
        <v>1</v>
      </c>
      <c r="AJ8467">
        <v>1</v>
      </c>
      <c r="AK8467">
        <v>1</v>
      </c>
      <c r="AL8467">
        <v>1</v>
      </c>
      <c r="AM8467">
        <v>1</v>
      </c>
    </row>
    <row r="8468" spans="1:39" x14ac:dyDescent="0.2">
      <c r="A8468" t="str">
        <f>"8464"</f>
        <v>8464</v>
      </c>
      <c r="B8468" t="str">
        <f t="shared" si="470"/>
        <v>1</v>
      </c>
      <c r="C8468" t="str">
        <f t="shared" si="471"/>
        <v>170</v>
      </c>
      <c r="D8468" t="str">
        <f>"17"</f>
        <v>17</v>
      </c>
      <c r="E8468" t="str">
        <f>"1-170-17"</f>
        <v>1-170-17</v>
      </c>
      <c r="F8468" t="s">
        <v>65</v>
      </c>
      <c r="G8468" t="s">
        <v>66</v>
      </c>
      <c r="H8468" t="s">
        <v>67</v>
      </c>
      <c r="S8468">
        <v>1</v>
      </c>
      <c r="T8468">
        <v>0</v>
      </c>
      <c r="U8468">
        <v>0</v>
      </c>
      <c r="V8468">
        <v>0</v>
      </c>
      <c r="W8468">
        <v>1</v>
      </c>
      <c r="X8468">
        <v>0</v>
      </c>
      <c r="Y8468">
        <v>1</v>
      </c>
      <c r="Z8468">
        <v>0</v>
      </c>
      <c r="AA8468">
        <v>1</v>
      </c>
      <c r="AB8468">
        <v>0</v>
      </c>
      <c r="AC8468">
        <v>0</v>
      </c>
      <c r="AD8468">
        <v>1</v>
      </c>
      <c r="AE8468">
        <v>1</v>
      </c>
      <c r="AF8468">
        <v>1</v>
      </c>
      <c r="AG8468">
        <v>1</v>
      </c>
      <c r="AH8468">
        <v>1</v>
      </c>
      <c r="AI8468">
        <v>1</v>
      </c>
      <c r="AJ8468">
        <v>1</v>
      </c>
      <c r="AK8468">
        <v>1</v>
      </c>
      <c r="AL8468">
        <v>1</v>
      </c>
      <c r="AM8468">
        <v>1</v>
      </c>
    </row>
    <row r="8469" spans="1:39" x14ac:dyDescent="0.2">
      <c r="A8469" t="str">
        <f>"8465"</f>
        <v>8465</v>
      </c>
      <c r="B8469" t="str">
        <f t="shared" si="470"/>
        <v>1</v>
      </c>
      <c r="C8469" t="str">
        <f t="shared" si="471"/>
        <v>170</v>
      </c>
      <c r="D8469" t="str">
        <f>"1"</f>
        <v>1</v>
      </c>
      <c r="E8469" t="str">
        <f>"1-170-1"</f>
        <v>1-170-1</v>
      </c>
      <c r="F8469" t="s">
        <v>65</v>
      </c>
      <c r="G8469" t="s">
        <v>66</v>
      </c>
      <c r="H8469" t="s">
        <v>67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1</v>
      </c>
      <c r="Y8469">
        <v>0</v>
      </c>
      <c r="Z8469">
        <v>0</v>
      </c>
      <c r="AA8469">
        <v>0</v>
      </c>
      <c r="AB8469">
        <v>0</v>
      </c>
      <c r="AC8469">
        <v>1</v>
      </c>
      <c r="AD8469">
        <v>0</v>
      </c>
      <c r="AE8469">
        <v>0</v>
      </c>
      <c r="AF8469">
        <v>0</v>
      </c>
      <c r="AG8469">
        <v>0</v>
      </c>
      <c r="AH8469">
        <v>1</v>
      </c>
      <c r="AI8469">
        <v>1</v>
      </c>
      <c r="AJ8469">
        <v>1</v>
      </c>
      <c r="AK8469">
        <v>1</v>
      </c>
      <c r="AL8469">
        <v>1</v>
      </c>
      <c r="AM8469">
        <v>1</v>
      </c>
    </row>
    <row r="8470" spans="1:39" x14ac:dyDescent="0.2">
      <c r="A8470" t="str">
        <f>"8466"</f>
        <v>8466</v>
      </c>
      <c r="B8470" t="str">
        <f t="shared" si="470"/>
        <v>1</v>
      </c>
      <c r="C8470" t="str">
        <f t="shared" si="471"/>
        <v>170</v>
      </c>
      <c r="D8470" t="str">
        <f>"43"</f>
        <v>43</v>
      </c>
      <c r="E8470" t="str">
        <f>"1-170-43"</f>
        <v>1-170-43</v>
      </c>
      <c r="F8470" t="s">
        <v>65</v>
      </c>
      <c r="G8470" t="s">
        <v>66</v>
      </c>
      <c r="H8470" t="s">
        <v>67</v>
      </c>
      <c r="S8470">
        <v>0</v>
      </c>
      <c r="T8470">
        <v>1</v>
      </c>
      <c r="U8470">
        <v>0</v>
      </c>
      <c r="V8470">
        <v>0</v>
      </c>
      <c r="W8470">
        <v>1</v>
      </c>
      <c r="X8470">
        <v>0</v>
      </c>
      <c r="Y8470">
        <v>0</v>
      </c>
      <c r="Z8470">
        <v>1</v>
      </c>
      <c r="AA8470">
        <v>1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</row>
    <row r="8471" spans="1:39" x14ac:dyDescent="0.2">
      <c r="A8471" t="str">
        <f>"8467"</f>
        <v>8467</v>
      </c>
      <c r="B8471" t="str">
        <f t="shared" si="470"/>
        <v>1</v>
      </c>
      <c r="C8471" t="str">
        <f t="shared" si="471"/>
        <v>170</v>
      </c>
      <c r="D8471" t="str">
        <f>"42"</f>
        <v>42</v>
      </c>
      <c r="E8471" t="str">
        <f>"1-170-42"</f>
        <v>1-170-42</v>
      </c>
      <c r="F8471" t="s">
        <v>65</v>
      </c>
      <c r="G8471" t="s">
        <v>66</v>
      </c>
      <c r="H8471" t="s">
        <v>67</v>
      </c>
      <c r="S8471">
        <v>0</v>
      </c>
      <c r="T8471">
        <v>1</v>
      </c>
      <c r="U8471">
        <v>0</v>
      </c>
      <c r="V8471">
        <v>0</v>
      </c>
      <c r="W8471">
        <v>1</v>
      </c>
      <c r="X8471">
        <v>0</v>
      </c>
      <c r="Y8471">
        <v>1</v>
      </c>
      <c r="Z8471">
        <v>0</v>
      </c>
      <c r="AA8471">
        <v>1</v>
      </c>
      <c r="AB8471">
        <v>0</v>
      </c>
      <c r="AC8471">
        <v>0</v>
      </c>
      <c r="AD8471">
        <v>1</v>
      </c>
      <c r="AE8471">
        <v>1</v>
      </c>
      <c r="AF8471">
        <v>1</v>
      </c>
      <c r="AG8471">
        <v>1</v>
      </c>
      <c r="AH8471">
        <v>1</v>
      </c>
      <c r="AI8471">
        <v>1</v>
      </c>
      <c r="AJ8471">
        <v>1</v>
      </c>
      <c r="AK8471">
        <v>1</v>
      </c>
      <c r="AL8471">
        <v>1</v>
      </c>
      <c r="AM8471">
        <v>1</v>
      </c>
    </row>
    <row r="8472" spans="1:39" x14ac:dyDescent="0.2">
      <c r="A8472" t="str">
        <f>"8468"</f>
        <v>8468</v>
      </c>
      <c r="B8472" t="str">
        <f t="shared" si="470"/>
        <v>1</v>
      </c>
      <c r="C8472" t="str">
        <f t="shared" si="471"/>
        <v>170</v>
      </c>
      <c r="D8472" t="str">
        <f>"32"</f>
        <v>32</v>
      </c>
      <c r="E8472" t="str">
        <f>"1-170-32"</f>
        <v>1-170-32</v>
      </c>
      <c r="F8472" t="s">
        <v>65</v>
      </c>
      <c r="G8472" t="s">
        <v>66</v>
      </c>
      <c r="H8472" t="s">
        <v>67</v>
      </c>
      <c r="S8472">
        <v>1</v>
      </c>
      <c r="T8472">
        <v>0</v>
      </c>
      <c r="U8472">
        <v>0</v>
      </c>
      <c r="V8472">
        <v>0</v>
      </c>
      <c r="W8472">
        <v>1</v>
      </c>
      <c r="X8472">
        <v>0</v>
      </c>
      <c r="Y8472">
        <v>1</v>
      </c>
      <c r="Z8472">
        <v>0</v>
      </c>
      <c r="AA8472">
        <v>1</v>
      </c>
      <c r="AB8472">
        <v>0</v>
      </c>
      <c r="AC8472">
        <v>0</v>
      </c>
      <c r="AD8472">
        <v>1</v>
      </c>
      <c r="AE8472">
        <v>1</v>
      </c>
      <c r="AF8472">
        <v>1</v>
      </c>
      <c r="AG8472">
        <v>1</v>
      </c>
      <c r="AH8472">
        <v>1</v>
      </c>
      <c r="AI8472">
        <v>1</v>
      </c>
      <c r="AJ8472">
        <v>1</v>
      </c>
      <c r="AK8472">
        <v>1</v>
      </c>
      <c r="AL8472">
        <v>1</v>
      </c>
      <c r="AM8472">
        <v>1</v>
      </c>
    </row>
    <row r="8473" spans="1:39" x14ac:dyDescent="0.2">
      <c r="A8473" t="str">
        <f>"8469"</f>
        <v>8469</v>
      </c>
      <c r="B8473" t="str">
        <f t="shared" si="470"/>
        <v>1</v>
      </c>
      <c r="C8473" t="str">
        <f t="shared" si="471"/>
        <v>170</v>
      </c>
      <c r="D8473" t="str">
        <f>"18"</f>
        <v>18</v>
      </c>
      <c r="E8473" t="str">
        <f>"1-170-18"</f>
        <v>1-170-18</v>
      </c>
      <c r="F8473" t="s">
        <v>65</v>
      </c>
      <c r="G8473" t="s">
        <v>66</v>
      </c>
      <c r="H8473" t="s">
        <v>67</v>
      </c>
      <c r="S8473">
        <v>1</v>
      </c>
      <c r="T8473">
        <v>0</v>
      </c>
      <c r="U8473">
        <v>0</v>
      </c>
      <c r="V8473">
        <v>0</v>
      </c>
      <c r="W8473">
        <v>1</v>
      </c>
      <c r="X8473">
        <v>0</v>
      </c>
      <c r="Y8473">
        <v>0</v>
      </c>
      <c r="Z8473">
        <v>1</v>
      </c>
      <c r="AA8473">
        <v>1</v>
      </c>
      <c r="AB8473">
        <v>0</v>
      </c>
      <c r="AC8473">
        <v>0</v>
      </c>
      <c r="AD8473">
        <v>1</v>
      </c>
      <c r="AE8473">
        <v>1</v>
      </c>
      <c r="AF8473">
        <v>1</v>
      </c>
      <c r="AG8473">
        <v>1</v>
      </c>
      <c r="AH8473">
        <v>1</v>
      </c>
      <c r="AI8473">
        <v>1</v>
      </c>
      <c r="AJ8473">
        <v>1</v>
      </c>
      <c r="AK8473">
        <v>1</v>
      </c>
      <c r="AL8473">
        <v>1</v>
      </c>
      <c r="AM8473">
        <v>1</v>
      </c>
    </row>
    <row r="8474" spans="1:39" x14ac:dyDescent="0.2">
      <c r="A8474" t="str">
        <f>"8470"</f>
        <v>8470</v>
      </c>
      <c r="B8474" t="str">
        <f t="shared" si="470"/>
        <v>1</v>
      </c>
      <c r="C8474" t="str">
        <f t="shared" si="471"/>
        <v>170</v>
      </c>
      <c r="D8474" t="str">
        <f>"14"</f>
        <v>14</v>
      </c>
      <c r="E8474" t="str">
        <f>"1-170-14"</f>
        <v>1-170-14</v>
      </c>
      <c r="F8474" t="s">
        <v>65</v>
      </c>
      <c r="G8474" t="s">
        <v>66</v>
      </c>
      <c r="H8474" t="s">
        <v>67</v>
      </c>
      <c r="S8474">
        <v>1</v>
      </c>
      <c r="T8474">
        <v>0</v>
      </c>
      <c r="U8474">
        <v>0</v>
      </c>
      <c r="V8474">
        <v>0</v>
      </c>
      <c r="W8474">
        <v>1</v>
      </c>
      <c r="X8474">
        <v>0</v>
      </c>
      <c r="Y8474">
        <v>1</v>
      </c>
      <c r="Z8474">
        <v>0</v>
      </c>
      <c r="AA8474">
        <v>1</v>
      </c>
      <c r="AB8474">
        <v>0</v>
      </c>
      <c r="AC8474">
        <v>0</v>
      </c>
      <c r="AD8474">
        <v>1</v>
      </c>
      <c r="AE8474">
        <v>1</v>
      </c>
      <c r="AF8474">
        <v>1</v>
      </c>
      <c r="AG8474">
        <v>1</v>
      </c>
      <c r="AH8474">
        <v>1</v>
      </c>
      <c r="AI8474">
        <v>1</v>
      </c>
      <c r="AJ8474">
        <v>1</v>
      </c>
      <c r="AK8474">
        <v>1</v>
      </c>
      <c r="AL8474">
        <v>1</v>
      </c>
      <c r="AM8474">
        <v>1</v>
      </c>
    </row>
    <row r="8475" spans="1:39" x14ac:dyDescent="0.2">
      <c r="A8475" t="str">
        <f>"8471"</f>
        <v>8471</v>
      </c>
      <c r="B8475" t="str">
        <f t="shared" si="470"/>
        <v>1</v>
      </c>
      <c r="C8475" t="str">
        <f t="shared" si="471"/>
        <v>170</v>
      </c>
      <c r="D8475" t="str">
        <f>"33"</f>
        <v>33</v>
      </c>
      <c r="E8475" t="str">
        <f>"1-170-33"</f>
        <v>1-170-33</v>
      </c>
      <c r="F8475" t="s">
        <v>65</v>
      </c>
      <c r="G8475" t="s">
        <v>66</v>
      </c>
      <c r="H8475" t="s">
        <v>67</v>
      </c>
      <c r="S8475">
        <v>1</v>
      </c>
      <c r="T8475">
        <v>0</v>
      </c>
      <c r="U8475">
        <v>0</v>
      </c>
      <c r="V8475">
        <v>0</v>
      </c>
      <c r="W8475">
        <v>1</v>
      </c>
      <c r="X8475">
        <v>0</v>
      </c>
      <c r="Y8475">
        <v>1</v>
      </c>
      <c r="Z8475">
        <v>0</v>
      </c>
      <c r="AA8475">
        <v>1</v>
      </c>
      <c r="AB8475">
        <v>0</v>
      </c>
      <c r="AC8475">
        <v>0</v>
      </c>
      <c r="AD8475">
        <v>1</v>
      </c>
      <c r="AE8475">
        <v>1</v>
      </c>
      <c r="AF8475">
        <v>1</v>
      </c>
      <c r="AG8475">
        <v>1</v>
      </c>
      <c r="AH8475">
        <v>1</v>
      </c>
      <c r="AI8475">
        <v>1</v>
      </c>
      <c r="AJ8475">
        <v>1</v>
      </c>
      <c r="AK8475">
        <v>1</v>
      </c>
      <c r="AL8475">
        <v>1</v>
      </c>
      <c r="AM8475">
        <v>1</v>
      </c>
    </row>
    <row r="8476" spans="1:39" x14ac:dyDescent="0.2">
      <c r="A8476" t="str">
        <f>"8472"</f>
        <v>8472</v>
      </c>
      <c r="B8476" t="str">
        <f t="shared" si="470"/>
        <v>1</v>
      </c>
      <c r="C8476" t="str">
        <f t="shared" si="471"/>
        <v>170</v>
      </c>
      <c r="D8476" t="str">
        <f>"19"</f>
        <v>19</v>
      </c>
      <c r="E8476" t="str">
        <f>"1-170-19"</f>
        <v>1-170-19</v>
      </c>
      <c r="F8476" t="s">
        <v>65</v>
      </c>
      <c r="G8476" t="s">
        <v>66</v>
      </c>
      <c r="H8476" t="s">
        <v>67</v>
      </c>
      <c r="S8476">
        <v>1</v>
      </c>
      <c r="T8476">
        <v>0</v>
      </c>
      <c r="U8476">
        <v>0</v>
      </c>
      <c r="V8476">
        <v>0</v>
      </c>
      <c r="W8476">
        <v>1</v>
      </c>
      <c r="X8476">
        <v>0</v>
      </c>
      <c r="Y8476">
        <v>1</v>
      </c>
      <c r="Z8476">
        <v>0</v>
      </c>
      <c r="AA8476">
        <v>1</v>
      </c>
      <c r="AB8476">
        <v>0</v>
      </c>
      <c r="AC8476">
        <v>0</v>
      </c>
      <c r="AD8476">
        <v>1</v>
      </c>
      <c r="AE8476">
        <v>1</v>
      </c>
      <c r="AF8476">
        <v>1</v>
      </c>
      <c r="AG8476">
        <v>1</v>
      </c>
      <c r="AH8476">
        <v>1</v>
      </c>
      <c r="AI8476">
        <v>1</v>
      </c>
      <c r="AJ8476">
        <v>1</v>
      </c>
      <c r="AK8476">
        <v>1</v>
      </c>
      <c r="AL8476">
        <v>1</v>
      </c>
      <c r="AM8476">
        <v>1</v>
      </c>
    </row>
    <row r="8477" spans="1:39" x14ac:dyDescent="0.2">
      <c r="A8477" t="str">
        <f>"8473"</f>
        <v>8473</v>
      </c>
      <c r="B8477" t="str">
        <f t="shared" si="470"/>
        <v>1</v>
      </c>
      <c r="C8477" t="str">
        <f t="shared" si="471"/>
        <v>170</v>
      </c>
      <c r="D8477" t="str">
        <f>"10"</f>
        <v>10</v>
      </c>
      <c r="E8477" t="str">
        <f>"1-170-10"</f>
        <v>1-170-10</v>
      </c>
      <c r="F8477" t="s">
        <v>65</v>
      </c>
      <c r="G8477" t="s">
        <v>66</v>
      </c>
      <c r="H8477" t="s">
        <v>67</v>
      </c>
      <c r="S8477">
        <v>1</v>
      </c>
      <c r="T8477">
        <v>0</v>
      </c>
      <c r="U8477">
        <v>0</v>
      </c>
      <c r="V8477">
        <v>0</v>
      </c>
      <c r="W8477">
        <v>1</v>
      </c>
      <c r="X8477">
        <v>0</v>
      </c>
      <c r="Y8477">
        <v>0</v>
      </c>
      <c r="Z8477">
        <v>1</v>
      </c>
      <c r="AA8477">
        <v>0</v>
      </c>
      <c r="AB8477">
        <v>1</v>
      </c>
      <c r="AC8477">
        <v>0</v>
      </c>
      <c r="AD8477">
        <v>1</v>
      </c>
      <c r="AE8477">
        <v>1</v>
      </c>
      <c r="AF8477">
        <v>1</v>
      </c>
      <c r="AG8477">
        <v>1</v>
      </c>
      <c r="AH8477">
        <v>1</v>
      </c>
      <c r="AI8477">
        <v>1</v>
      </c>
      <c r="AJ8477">
        <v>1</v>
      </c>
      <c r="AK8477">
        <v>1</v>
      </c>
      <c r="AL8477">
        <v>1</v>
      </c>
      <c r="AM8477">
        <v>1</v>
      </c>
    </row>
    <row r="8478" spans="1:39" x14ac:dyDescent="0.2">
      <c r="A8478" t="str">
        <f>"8474"</f>
        <v>8474</v>
      </c>
      <c r="B8478" t="str">
        <f t="shared" si="470"/>
        <v>1</v>
      </c>
      <c r="C8478" t="str">
        <f t="shared" si="471"/>
        <v>170</v>
      </c>
      <c r="D8478" t="str">
        <f>"47"</f>
        <v>47</v>
      </c>
      <c r="E8478" t="str">
        <f>"1-170-47"</f>
        <v>1-170-47</v>
      </c>
      <c r="F8478" t="s">
        <v>65</v>
      </c>
      <c r="G8478" t="s">
        <v>66</v>
      </c>
      <c r="H8478" t="s">
        <v>67</v>
      </c>
      <c r="S8478">
        <v>1</v>
      </c>
      <c r="T8478">
        <v>0</v>
      </c>
      <c r="U8478">
        <v>0</v>
      </c>
      <c r="V8478">
        <v>0</v>
      </c>
      <c r="W8478">
        <v>1</v>
      </c>
      <c r="X8478">
        <v>0</v>
      </c>
      <c r="Y8478">
        <v>1</v>
      </c>
      <c r="Z8478">
        <v>0</v>
      </c>
      <c r="AA8478">
        <v>1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1</v>
      </c>
      <c r="AJ8478">
        <v>0</v>
      </c>
      <c r="AK8478">
        <v>0</v>
      </c>
      <c r="AL8478">
        <v>1</v>
      </c>
      <c r="AM8478">
        <v>0</v>
      </c>
    </row>
    <row r="8479" spans="1:39" x14ac:dyDescent="0.2">
      <c r="A8479" t="str">
        <f>"8475"</f>
        <v>8475</v>
      </c>
      <c r="B8479" t="str">
        <f t="shared" si="470"/>
        <v>1</v>
      </c>
      <c r="C8479" t="str">
        <f t="shared" si="471"/>
        <v>170</v>
      </c>
      <c r="D8479" t="str">
        <f>"34"</f>
        <v>34</v>
      </c>
      <c r="E8479" t="str">
        <f>"1-170-34"</f>
        <v>1-170-34</v>
      </c>
      <c r="F8479" t="s">
        <v>65</v>
      </c>
      <c r="G8479" t="s">
        <v>66</v>
      </c>
      <c r="H8479" t="s">
        <v>67</v>
      </c>
      <c r="S8479">
        <v>0</v>
      </c>
      <c r="T8479">
        <v>1</v>
      </c>
      <c r="U8479">
        <v>0</v>
      </c>
      <c r="V8479">
        <v>0</v>
      </c>
      <c r="W8479">
        <v>0</v>
      </c>
      <c r="X8479">
        <v>1</v>
      </c>
      <c r="Y8479">
        <v>1</v>
      </c>
      <c r="Z8479">
        <v>0</v>
      </c>
      <c r="AA8479">
        <v>0</v>
      </c>
      <c r="AB8479">
        <v>0</v>
      </c>
      <c r="AC8479">
        <v>1</v>
      </c>
      <c r="AD8479">
        <v>1</v>
      </c>
      <c r="AE8479">
        <v>1</v>
      </c>
      <c r="AF8479">
        <v>1</v>
      </c>
      <c r="AG8479">
        <v>1</v>
      </c>
      <c r="AH8479">
        <v>1</v>
      </c>
      <c r="AI8479">
        <v>1</v>
      </c>
      <c r="AJ8479">
        <v>1</v>
      </c>
      <c r="AK8479">
        <v>1</v>
      </c>
      <c r="AL8479">
        <v>1</v>
      </c>
      <c r="AM8479">
        <v>1</v>
      </c>
    </row>
    <row r="8480" spans="1:39" x14ac:dyDescent="0.2">
      <c r="A8480" t="str">
        <f>"8476"</f>
        <v>8476</v>
      </c>
      <c r="B8480" t="str">
        <f t="shared" si="470"/>
        <v>1</v>
      </c>
      <c r="C8480" t="str">
        <f t="shared" si="471"/>
        <v>170</v>
      </c>
      <c r="D8480" t="str">
        <f>"20"</f>
        <v>20</v>
      </c>
      <c r="E8480" t="str">
        <f>"1-170-20"</f>
        <v>1-170-20</v>
      </c>
      <c r="F8480" t="s">
        <v>65</v>
      </c>
      <c r="G8480" t="s">
        <v>66</v>
      </c>
      <c r="H8480" t="s">
        <v>67</v>
      </c>
      <c r="S8480">
        <v>0</v>
      </c>
      <c r="T8480">
        <v>1</v>
      </c>
      <c r="U8480">
        <v>0</v>
      </c>
      <c r="V8480">
        <v>0</v>
      </c>
      <c r="W8480">
        <v>0</v>
      </c>
      <c r="X8480">
        <v>1</v>
      </c>
      <c r="Y8480">
        <v>0</v>
      </c>
      <c r="Z8480">
        <v>1</v>
      </c>
      <c r="AA8480">
        <v>0</v>
      </c>
      <c r="AB8480">
        <v>1</v>
      </c>
      <c r="AC8480">
        <v>0</v>
      </c>
      <c r="AD8480">
        <v>1</v>
      </c>
      <c r="AE8480">
        <v>1</v>
      </c>
      <c r="AF8480">
        <v>1</v>
      </c>
      <c r="AG8480">
        <v>1</v>
      </c>
      <c r="AH8480">
        <v>1</v>
      </c>
      <c r="AI8480">
        <v>1</v>
      </c>
      <c r="AJ8480">
        <v>1</v>
      </c>
      <c r="AK8480">
        <v>1</v>
      </c>
      <c r="AL8480">
        <v>1</v>
      </c>
      <c r="AM8480">
        <v>1</v>
      </c>
    </row>
    <row r="8481" spans="1:39" x14ac:dyDescent="0.2">
      <c r="A8481" t="str">
        <f>"8477"</f>
        <v>8477</v>
      </c>
      <c r="B8481" t="str">
        <f t="shared" si="470"/>
        <v>1</v>
      </c>
      <c r="C8481" t="str">
        <f t="shared" si="471"/>
        <v>170</v>
      </c>
      <c r="D8481" t="str">
        <f>"5"</f>
        <v>5</v>
      </c>
      <c r="E8481" t="str">
        <f>"1-170-5"</f>
        <v>1-170-5</v>
      </c>
      <c r="F8481" t="s">
        <v>65</v>
      </c>
      <c r="G8481" t="s">
        <v>66</v>
      </c>
      <c r="H8481" t="s">
        <v>67</v>
      </c>
      <c r="S8481">
        <v>1</v>
      </c>
      <c r="T8481">
        <v>0</v>
      </c>
      <c r="U8481">
        <v>0</v>
      </c>
      <c r="V8481">
        <v>0</v>
      </c>
      <c r="W8481">
        <v>1</v>
      </c>
      <c r="X8481">
        <v>0</v>
      </c>
      <c r="Y8481">
        <v>1</v>
      </c>
      <c r="Z8481">
        <v>0</v>
      </c>
      <c r="AA8481">
        <v>1</v>
      </c>
      <c r="AB8481">
        <v>0</v>
      </c>
      <c r="AC8481">
        <v>0</v>
      </c>
      <c r="AD8481">
        <v>1</v>
      </c>
      <c r="AE8481">
        <v>1</v>
      </c>
      <c r="AF8481">
        <v>1</v>
      </c>
      <c r="AG8481">
        <v>1</v>
      </c>
      <c r="AH8481">
        <v>1</v>
      </c>
      <c r="AI8481">
        <v>1</v>
      </c>
      <c r="AJ8481">
        <v>1</v>
      </c>
      <c r="AK8481">
        <v>1</v>
      </c>
      <c r="AL8481">
        <v>1</v>
      </c>
      <c r="AM8481">
        <v>1</v>
      </c>
    </row>
    <row r="8482" spans="1:39" x14ac:dyDescent="0.2">
      <c r="A8482" t="str">
        <f>"8478"</f>
        <v>8478</v>
      </c>
      <c r="B8482" t="str">
        <f t="shared" si="470"/>
        <v>1</v>
      </c>
      <c r="C8482" t="str">
        <f t="shared" si="471"/>
        <v>170</v>
      </c>
      <c r="D8482" t="str">
        <f>"41"</f>
        <v>41</v>
      </c>
      <c r="E8482" t="str">
        <f>"1-170-41"</f>
        <v>1-170-41</v>
      </c>
      <c r="F8482" t="s">
        <v>65</v>
      </c>
      <c r="G8482" t="s">
        <v>66</v>
      </c>
      <c r="H8482" t="s">
        <v>67</v>
      </c>
      <c r="S8482">
        <v>1</v>
      </c>
      <c r="T8482">
        <v>0</v>
      </c>
      <c r="U8482">
        <v>0</v>
      </c>
      <c r="V8482">
        <v>0</v>
      </c>
      <c r="W8482">
        <v>1</v>
      </c>
      <c r="X8482">
        <v>0</v>
      </c>
      <c r="Y8482">
        <v>1</v>
      </c>
      <c r="Z8482">
        <v>0</v>
      </c>
      <c r="AA8482">
        <v>1</v>
      </c>
      <c r="AB8482">
        <v>0</v>
      </c>
      <c r="AC8482">
        <v>0</v>
      </c>
      <c r="AD8482">
        <v>1</v>
      </c>
      <c r="AE8482">
        <v>1</v>
      </c>
      <c r="AF8482">
        <v>1</v>
      </c>
      <c r="AG8482">
        <v>1</v>
      </c>
      <c r="AH8482">
        <v>1</v>
      </c>
      <c r="AI8482">
        <v>1</v>
      </c>
      <c r="AJ8482">
        <v>1</v>
      </c>
      <c r="AK8482">
        <v>1</v>
      </c>
      <c r="AL8482">
        <v>1</v>
      </c>
      <c r="AM8482">
        <v>1</v>
      </c>
    </row>
    <row r="8483" spans="1:39" x14ac:dyDescent="0.2">
      <c r="A8483" t="str">
        <f>"8479"</f>
        <v>8479</v>
      </c>
      <c r="B8483" t="str">
        <f t="shared" si="470"/>
        <v>1</v>
      </c>
      <c r="C8483" t="str">
        <f t="shared" si="471"/>
        <v>170</v>
      </c>
      <c r="D8483" t="str">
        <f>"21"</f>
        <v>21</v>
      </c>
      <c r="E8483" t="str">
        <f>"1-170-21"</f>
        <v>1-170-21</v>
      </c>
      <c r="F8483" t="s">
        <v>65</v>
      </c>
      <c r="G8483" t="s">
        <v>66</v>
      </c>
      <c r="H8483" t="s">
        <v>67</v>
      </c>
      <c r="S8483">
        <v>0</v>
      </c>
      <c r="T8483">
        <v>1</v>
      </c>
      <c r="U8483">
        <v>0</v>
      </c>
      <c r="V8483">
        <v>0</v>
      </c>
      <c r="W8483">
        <v>0</v>
      </c>
      <c r="X8483">
        <v>1</v>
      </c>
      <c r="Y8483">
        <v>0</v>
      </c>
      <c r="Z8483">
        <v>1</v>
      </c>
      <c r="AA8483">
        <v>0</v>
      </c>
      <c r="AB8483">
        <v>0</v>
      </c>
      <c r="AC8483">
        <v>1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</row>
    <row r="8484" spans="1:39" x14ac:dyDescent="0.2">
      <c r="A8484" t="str">
        <f>"8480"</f>
        <v>8480</v>
      </c>
      <c r="B8484" t="str">
        <f t="shared" si="470"/>
        <v>1</v>
      </c>
      <c r="C8484" t="str">
        <f t="shared" si="471"/>
        <v>170</v>
      </c>
      <c r="D8484" t="str">
        <f>"13"</f>
        <v>13</v>
      </c>
      <c r="E8484" t="str">
        <f>"1-170-13"</f>
        <v>1-170-13</v>
      </c>
      <c r="F8484" t="s">
        <v>65</v>
      </c>
      <c r="G8484" t="s">
        <v>66</v>
      </c>
      <c r="H8484" t="s">
        <v>67</v>
      </c>
      <c r="S8484">
        <v>0</v>
      </c>
      <c r="T8484">
        <v>1</v>
      </c>
      <c r="U8484">
        <v>0</v>
      </c>
      <c r="V8484">
        <v>0</v>
      </c>
      <c r="W8484">
        <v>1</v>
      </c>
      <c r="X8484">
        <v>0</v>
      </c>
      <c r="Y8484">
        <v>0</v>
      </c>
      <c r="Z8484">
        <v>1</v>
      </c>
      <c r="AA8484">
        <v>0</v>
      </c>
      <c r="AB8484">
        <v>1</v>
      </c>
      <c r="AC8484">
        <v>0</v>
      </c>
      <c r="AD8484">
        <v>1</v>
      </c>
      <c r="AE8484">
        <v>1</v>
      </c>
      <c r="AF8484">
        <v>1</v>
      </c>
      <c r="AG8484">
        <v>1</v>
      </c>
      <c r="AH8484">
        <v>1</v>
      </c>
      <c r="AI8484">
        <v>1</v>
      </c>
      <c r="AJ8484">
        <v>1</v>
      </c>
      <c r="AK8484">
        <v>1</v>
      </c>
      <c r="AL8484">
        <v>1</v>
      </c>
      <c r="AM8484">
        <v>1</v>
      </c>
    </row>
    <row r="8485" spans="1:39" x14ac:dyDescent="0.2">
      <c r="A8485" t="str">
        <f>"8481"</f>
        <v>8481</v>
      </c>
      <c r="B8485" t="str">
        <f t="shared" si="470"/>
        <v>1</v>
      </c>
      <c r="C8485" t="str">
        <f t="shared" si="471"/>
        <v>170</v>
      </c>
      <c r="D8485" t="str">
        <f>"22"</f>
        <v>22</v>
      </c>
      <c r="E8485" t="str">
        <f>"1-170-22"</f>
        <v>1-170-22</v>
      </c>
      <c r="F8485" t="s">
        <v>65</v>
      </c>
      <c r="G8485" t="s">
        <v>66</v>
      </c>
      <c r="H8485" t="s">
        <v>67</v>
      </c>
      <c r="S8485">
        <v>1</v>
      </c>
      <c r="T8485">
        <v>0</v>
      </c>
      <c r="U8485">
        <v>0</v>
      </c>
      <c r="V8485">
        <v>0</v>
      </c>
      <c r="W8485">
        <v>1</v>
      </c>
      <c r="X8485">
        <v>0</v>
      </c>
      <c r="Y8485">
        <v>1</v>
      </c>
      <c r="Z8485">
        <v>0</v>
      </c>
      <c r="AA8485">
        <v>0</v>
      </c>
      <c r="AB8485">
        <v>1</v>
      </c>
      <c r="AC8485">
        <v>0</v>
      </c>
      <c r="AD8485">
        <v>1</v>
      </c>
      <c r="AE8485">
        <v>1</v>
      </c>
      <c r="AF8485">
        <v>1</v>
      </c>
      <c r="AG8485">
        <v>1</v>
      </c>
      <c r="AH8485">
        <v>1</v>
      </c>
      <c r="AI8485">
        <v>1</v>
      </c>
      <c r="AJ8485">
        <v>1</v>
      </c>
      <c r="AK8485">
        <v>1</v>
      </c>
      <c r="AL8485">
        <v>1</v>
      </c>
      <c r="AM8485">
        <v>1</v>
      </c>
    </row>
    <row r="8486" spans="1:39" x14ac:dyDescent="0.2">
      <c r="A8486" t="str">
        <f>"8482"</f>
        <v>8482</v>
      </c>
      <c r="B8486" t="str">
        <f t="shared" si="470"/>
        <v>1</v>
      </c>
      <c r="C8486" t="str">
        <f t="shared" si="471"/>
        <v>170</v>
      </c>
      <c r="D8486" t="str">
        <f>"3"</f>
        <v>3</v>
      </c>
      <c r="E8486" t="str">
        <f>"1-170-3"</f>
        <v>1-170-3</v>
      </c>
      <c r="F8486" t="s">
        <v>65</v>
      </c>
      <c r="G8486" t="s">
        <v>66</v>
      </c>
      <c r="H8486" t="s">
        <v>67</v>
      </c>
      <c r="S8486">
        <v>1</v>
      </c>
      <c r="T8486">
        <v>0</v>
      </c>
      <c r="U8486">
        <v>0</v>
      </c>
      <c r="V8486">
        <v>0</v>
      </c>
      <c r="W8486">
        <v>1</v>
      </c>
      <c r="X8486">
        <v>0</v>
      </c>
      <c r="Y8486">
        <v>1</v>
      </c>
      <c r="Z8486">
        <v>0</v>
      </c>
      <c r="AA8486">
        <v>1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</row>
    <row r="8487" spans="1:39" x14ac:dyDescent="0.2">
      <c r="A8487" t="str">
        <f>"8483"</f>
        <v>8483</v>
      </c>
      <c r="B8487" t="str">
        <f t="shared" si="470"/>
        <v>1</v>
      </c>
      <c r="C8487" t="str">
        <f t="shared" ref="C8487:C8504" si="472">"170"</f>
        <v>170</v>
      </c>
      <c r="D8487" t="str">
        <f>"44"</f>
        <v>44</v>
      </c>
      <c r="E8487" t="str">
        <f>"1-170-44"</f>
        <v>1-170-44</v>
      </c>
      <c r="F8487" t="s">
        <v>65</v>
      </c>
      <c r="G8487" t="s">
        <v>66</v>
      </c>
      <c r="H8487" t="s">
        <v>67</v>
      </c>
      <c r="S8487">
        <v>1</v>
      </c>
      <c r="T8487">
        <v>0</v>
      </c>
      <c r="U8487">
        <v>0</v>
      </c>
      <c r="V8487">
        <v>0</v>
      </c>
      <c r="W8487">
        <v>1</v>
      </c>
      <c r="X8487">
        <v>0</v>
      </c>
      <c r="Y8487">
        <v>1</v>
      </c>
      <c r="Z8487">
        <v>0</v>
      </c>
      <c r="AA8487">
        <v>1</v>
      </c>
      <c r="AB8487">
        <v>0</v>
      </c>
      <c r="AC8487">
        <v>0</v>
      </c>
      <c r="AD8487">
        <v>1</v>
      </c>
      <c r="AE8487">
        <v>1</v>
      </c>
      <c r="AF8487">
        <v>1</v>
      </c>
      <c r="AG8487">
        <v>1</v>
      </c>
      <c r="AH8487">
        <v>1</v>
      </c>
      <c r="AI8487">
        <v>1</v>
      </c>
      <c r="AJ8487">
        <v>1</v>
      </c>
      <c r="AK8487">
        <v>1</v>
      </c>
      <c r="AL8487">
        <v>1</v>
      </c>
      <c r="AM8487">
        <v>1</v>
      </c>
    </row>
    <row r="8488" spans="1:39" x14ac:dyDescent="0.2">
      <c r="A8488" t="str">
        <f>"8484"</f>
        <v>8484</v>
      </c>
      <c r="B8488" t="str">
        <f t="shared" si="470"/>
        <v>1</v>
      </c>
      <c r="C8488" t="str">
        <f t="shared" si="472"/>
        <v>170</v>
      </c>
      <c r="D8488" t="str">
        <f>"24"</f>
        <v>24</v>
      </c>
      <c r="E8488" t="str">
        <f>"1-170-24"</f>
        <v>1-170-24</v>
      </c>
      <c r="F8488" t="s">
        <v>65</v>
      </c>
      <c r="G8488" t="s">
        <v>66</v>
      </c>
      <c r="H8488" t="s">
        <v>67</v>
      </c>
      <c r="S8488">
        <v>1</v>
      </c>
      <c r="T8488">
        <v>0</v>
      </c>
      <c r="U8488">
        <v>0</v>
      </c>
      <c r="V8488">
        <v>0</v>
      </c>
      <c r="W8488">
        <v>1</v>
      </c>
      <c r="X8488">
        <v>0</v>
      </c>
      <c r="Y8488">
        <v>1</v>
      </c>
      <c r="Z8488">
        <v>0</v>
      </c>
      <c r="AA8488">
        <v>1</v>
      </c>
      <c r="AB8488">
        <v>0</v>
      </c>
      <c r="AC8488">
        <v>0</v>
      </c>
      <c r="AD8488">
        <v>1</v>
      </c>
      <c r="AE8488">
        <v>1</v>
      </c>
      <c r="AF8488">
        <v>1</v>
      </c>
      <c r="AG8488">
        <v>1</v>
      </c>
      <c r="AH8488">
        <v>1</v>
      </c>
      <c r="AI8488">
        <v>1</v>
      </c>
      <c r="AJ8488">
        <v>1</v>
      </c>
      <c r="AK8488">
        <v>1</v>
      </c>
      <c r="AL8488">
        <v>1</v>
      </c>
      <c r="AM8488">
        <v>1</v>
      </c>
    </row>
    <row r="8489" spans="1:39" x14ac:dyDescent="0.2">
      <c r="A8489" t="str">
        <f>"8485"</f>
        <v>8485</v>
      </c>
      <c r="B8489" t="str">
        <f t="shared" si="470"/>
        <v>1</v>
      </c>
      <c r="C8489" t="str">
        <f t="shared" si="472"/>
        <v>170</v>
      </c>
      <c r="D8489" t="str">
        <f>"4"</f>
        <v>4</v>
      </c>
      <c r="E8489" t="str">
        <f>"1-170-4"</f>
        <v>1-170-4</v>
      </c>
      <c r="F8489" t="s">
        <v>65</v>
      </c>
      <c r="G8489" t="s">
        <v>66</v>
      </c>
      <c r="H8489" t="s">
        <v>67</v>
      </c>
      <c r="S8489">
        <v>1</v>
      </c>
      <c r="T8489">
        <v>0</v>
      </c>
      <c r="U8489">
        <v>0</v>
      </c>
      <c r="V8489">
        <v>0</v>
      </c>
      <c r="W8489">
        <v>1</v>
      </c>
      <c r="X8489">
        <v>0</v>
      </c>
      <c r="Y8489">
        <v>1</v>
      </c>
      <c r="Z8489">
        <v>0</v>
      </c>
      <c r="AA8489">
        <v>0</v>
      </c>
      <c r="AB8489">
        <v>1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</row>
    <row r="8490" spans="1:39" x14ac:dyDescent="0.2">
      <c r="A8490" t="str">
        <f>"8486"</f>
        <v>8486</v>
      </c>
      <c r="B8490" t="str">
        <f t="shared" si="470"/>
        <v>1</v>
      </c>
      <c r="C8490" t="str">
        <f t="shared" si="472"/>
        <v>170</v>
      </c>
      <c r="D8490" t="str">
        <f>"45"</f>
        <v>45</v>
      </c>
      <c r="E8490" t="str">
        <f>"1-170-45"</f>
        <v>1-170-45</v>
      </c>
      <c r="F8490" t="s">
        <v>65</v>
      </c>
      <c r="G8490" t="s">
        <v>66</v>
      </c>
      <c r="H8490" t="s">
        <v>67</v>
      </c>
      <c r="S8490">
        <v>1</v>
      </c>
      <c r="T8490">
        <v>0</v>
      </c>
      <c r="U8490">
        <v>0</v>
      </c>
      <c r="V8490">
        <v>0</v>
      </c>
      <c r="W8490">
        <v>1</v>
      </c>
      <c r="X8490">
        <v>0</v>
      </c>
      <c r="Y8490">
        <v>0</v>
      </c>
      <c r="Z8490">
        <v>1</v>
      </c>
      <c r="AA8490">
        <v>1</v>
      </c>
      <c r="AB8490">
        <v>0</v>
      </c>
      <c r="AC8490">
        <v>0</v>
      </c>
      <c r="AD8490">
        <v>1</v>
      </c>
      <c r="AE8490">
        <v>1</v>
      </c>
      <c r="AF8490">
        <v>1</v>
      </c>
      <c r="AG8490">
        <v>1</v>
      </c>
      <c r="AH8490">
        <v>1</v>
      </c>
      <c r="AI8490">
        <v>1</v>
      </c>
      <c r="AJ8490">
        <v>1</v>
      </c>
      <c r="AK8490">
        <v>1</v>
      </c>
      <c r="AL8490">
        <v>1</v>
      </c>
      <c r="AM8490">
        <v>1</v>
      </c>
    </row>
    <row r="8491" spans="1:39" x14ac:dyDescent="0.2">
      <c r="A8491" t="str">
        <f>"8487"</f>
        <v>8487</v>
      </c>
      <c r="B8491" t="str">
        <f t="shared" si="470"/>
        <v>1</v>
      </c>
      <c r="C8491" t="str">
        <f t="shared" si="472"/>
        <v>170</v>
      </c>
      <c r="D8491" t="str">
        <f>"26"</f>
        <v>26</v>
      </c>
      <c r="E8491" t="str">
        <f>"1-170-26"</f>
        <v>1-170-26</v>
      </c>
      <c r="F8491" t="s">
        <v>65</v>
      </c>
      <c r="G8491" t="s">
        <v>66</v>
      </c>
      <c r="H8491" t="s">
        <v>67</v>
      </c>
      <c r="S8491">
        <v>0</v>
      </c>
      <c r="T8491">
        <v>1</v>
      </c>
      <c r="U8491">
        <v>0</v>
      </c>
      <c r="V8491">
        <v>0</v>
      </c>
      <c r="W8491">
        <v>1</v>
      </c>
      <c r="X8491">
        <v>0</v>
      </c>
      <c r="Y8491">
        <v>1</v>
      </c>
      <c r="Z8491">
        <v>0</v>
      </c>
      <c r="AA8491">
        <v>0</v>
      </c>
      <c r="AB8491">
        <v>1</v>
      </c>
      <c r="AC8491">
        <v>0</v>
      </c>
      <c r="AD8491">
        <v>1</v>
      </c>
      <c r="AE8491">
        <v>1</v>
      </c>
      <c r="AF8491">
        <v>1</v>
      </c>
      <c r="AG8491">
        <v>1</v>
      </c>
      <c r="AH8491">
        <v>1</v>
      </c>
      <c r="AI8491">
        <v>1</v>
      </c>
      <c r="AJ8491">
        <v>1</v>
      </c>
      <c r="AK8491">
        <v>1</v>
      </c>
      <c r="AL8491">
        <v>1</v>
      </c>
      <c r="AM8491">
        <v>1</v>
      </c>
    </row>
    <row r="8492" spans="1:39" x14ac:dyDescent="0.2">
      <c r="A8492" t="str">
        <f>"8488"</f>
        <v>8488</v>
      </c>
      <c r="B8492" t="str">
        <f t="shared" si="470"/>
        <v>1</v>
      </c>
      <c r="C8492" t="str">
        <f t="shared" si="472"/>
        <v>170</v>
      </c>
      <c r="D8492" t="str">
        <f>"8"</f>
        <v>8</v>
      </c>
      <c r="E8492" t="str">
        <f>"1-170-8"</f>
        <v>1-170-8</v>
      </c>
      <c r="F8492" t="s">
        <v>65</v>
      </c>
      <c r="G8492" t="s">
        <v>66</v>
      </c>
      <c r="H8492" t="s">
        <v>67</v>
      </c>
      <c r="S8492">
        <v>1</v>
      </c>
      <c r="T8492">
        <v>0</v>
      </c>
      <c r="U8492">
        <v>0</v>
      </c>
      <c r="V8492">
        <v>0</v>
      </c>
      <c r="W8492">
        <v>1</v>
      </c>
      <c r="X8492">
        <v>0</v>
      </c>
      <c r="Y8492">
        <v>0</v>
      </c>
      <c r="Z8492">
        <v>1</v>
      </c>
      <c r="AA8492">
        <v>0</v>
      </c>
      <c r="AB8492">
        <v>0</v>
      </c>
      <c r="AC8492">
        <v>0</v>
      </c>
      <c r="AD8492">
        <v>1</v>
      </c>
      <c r="AE8492">
        <v>1</v>
      </c>
      <c r="AF8492">
        <v>1</v>
      </c>
      <c r="AG8492">
        <v>1</v>
      </c>
      <c r="AH8492">
        <v>1</v>
      </c>
      <c r="AI8492">
        <v>1</v>
      </c>
      <c r="AJ8492">
        <v>1</v>
      </c>
      <c r="AK8492">
        <v>1</v>
      </c>
      <c r="AL8492">
        <v>1</v>
      </c>
      <c r="AM8492">
        <v>1</v>
      </c>
    </row>
    <row r="8493" spans="1:39" x14ac:dyDescent="0.2">
      <c r="A8493" t="str">
        <f>"8489"</f>
        <v>8489</v>
      </c>
      <c r="B8493" t="str">
        <f t="shared" si="470"/>
        <v>1</v>
      </c>
      <c r="C8493" t="str">
        <f t="shared" si="472"/>
        <v>170</v>
      </c>
      <c r="D8493" t="str">
        <f>"46"</f>
        <v>46</v>
      </c>
      <c r="E8493" t="str">
        <f>"1-170-46"</f>
        <v>1-170-46</v>
      </c>
      <c r="F8493" t="s">
        <v>65</v>
      </c>
      <c r="G8493" t="s">
        <v>66</v>
      </c>
      <c r="H8493" t="s">
        <v>67</v>
      </c>
      <c r="S8493">
        <v>1</v>
      </c>
      <c r="T8493">
        <v>0</v>
      </c>
      <c r="U8493">
        <v>0</v>
      </c>
      <c r="V8493">
        <v>0</v>
      </c>
      <c r="W8493">
        <v>1</v>
      </c>
      <c r="X8493">
        <v>0</v>
      </c>
      <c r="Y8493">
        <v>1</v>
      </c>
      <c r="Z8493">
        <v>0</v>
      </c>
      <c r="AA8493">
        <v>1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1</v>
      </c>
      <c r="AJ8493">
        <v>0</v>
      </c>
      <c r="AK8493">
        <v>0</v>
      </c>
      <c r="AL8493">
        <v>1</v>
      </c>
      <c r="AM8493">
        <v>0</v>
      </c>
    </row>
    <row r="8494" spans="1:39" x14ac:dyDescent="0.2">
      <c r="A8494" t="str">
        <f>"8490"</f>
        <v>8490</v>
      </c>
      <c r="B8494" t="str">
        <f t="shared" si="470"/>
        <v>1</v>
      </c>
      <c r="C8494" t="str">
        <f t="shared" si="472"/>
        <v>170</v>
      </c>
      <c r="D8494" t="str">
        <f>"27"</f>
        <v>27</v>
      </c>
      <c r="E8494" t="str">
        <f>"1-170-27"</f>
        <v>1-170-27</v>
      </c>
      <c r="F8494" t="s">
        <v>65</v>
      </c>
      <c r="G8494" t="s">
        <v>66</v>
      </c>
      <c r="H8494" t="s">
        <v>67</v>
      </c>
      <c r="S8494">
        <v>1</v>
      </c>
      <c r="T8494">
        <v>0</v>
      </c>
      <c r="U8494">
        <v>0</v>
      </c>
      <c r="V8494">
        <v>0</v>
      </c>
      <c r="W8494">
        <v>1</v>
      </c>
      <c r="X8494">
        <v>0</v>
      </c>
      <c r="Y8494">
        <v>1</v>
      </c>
      <c r="Z8494">
        <v>0</v>
      </c>
      <c r="AA8494">
        <v>0</v>
      </c>
      <c r="AB8494">
        <v>1</v>
      </c>
      <c r="AC8494">
        <v>0</v>
      </c>
      <c r="AD8494">
        <v>1</v>
      </c>
      <c r="AE8494">
        <v>1</v>
      </c>
      <c r="AF8494">
        <v>1</v>
      </c>
      <c r="AG8494">
        <v>1</v>
      </c>
      <c r="AH8494">
        <v>1</v>
      </c>
      <c r="AI8494">
        <v>1</v>
      </c>
      <c r="AJ8494">
        <v>1</v>
      </c>
      <c r="AK8494">
        <v>1</v>
      </c>
      <c r="AL8494">
        <v>1</v>
      </c>
      <c r="AM8494">
        <v>1</v>
      </c>
    </row>
    <row r="8495" spans="1:39" x14ac:dyDescent="0.2">
      <c r="A8495" t="str">
        <f>"8491"</f>
        <v>8491</v>
      </c>
      <c r="B8495" t="str">
        <f t="shared" si="470"/>
        <v>1</v>
      </c>
      <c r="C8495" t="str">
        <f t="shared" si="472"/>
        <v>170</v>
      </c>
      <c r="D8495" t="str">
        <f>"2"</f>
        <v>2</v>
      </c>
      <c r="E8495" t="str">
        <f>"1-170-2"</f>
        <v>1-170-2</v>
      </c>
      <c r="F8495" t="s">
        <v>65</v>
      </c>
      <c r="G8495" t="s">
        <v>66</v>
      </c>
      <c r="H8495" t="s">
        <v>67</v>
      </c>
      <c r="S8495">
        <v>1</v>
      </c>
      <c r="T8495">
        <v>0</v>
      </c>
      <c r="U8495">
        <v>0</v>
      </c>
      <c r="V8495">
        <v>0</v>
      </c>
      <c r="W8495">
        <v>1</v>
      </c>
      <c r="X8495">
        <v>0</v>
      </c>
      <c r="Y8495">
        <v>1</v>
      </c>
      <c r="Z8495">
        <v>0</v>
      </c>
      <c r="AA8495">
        <v>1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1</v>
      </c>
      <c r="AM8495">
        <v>0</v>
      </c>
    </row>
    <row r="8496" spans="1:39" x14ac:dyDescent="0.2">
      <c r="A8496" t="str">
        <f>"8492"</f>
        <v>8492</v>
      </c>
      <c r="B8496" t="str">
        <f t="shared" si="470"/>
        <v>1</v>
      </c>
      <c r="C8496" t="str">
        <f t="shared" si="472"/>
        <v>170</v>
      </c>
      <c r="D8496" t="str">
        <f>"50"</f>
        <v>50</v>
      </c>
      <c r="E8496" t="str">
        <f>"1-170-50"</f>
        <v>1-170-50</v>
      </c>
      <c r="F8496" t="s">
        <v>65</v>
      </c>
      <c r="G8496" t="s">
        <v>66</v>
      </c>
      <c r="H8496" t="s">
        <v>67</v>
      </c>
      <c r="S8496">
        <v>1</v>
      </c>
      <c r="T8496">
        <v>0</v>
      </c>
      <c r="U8496">
        <v>0</v>
      </c>
      <c r="V8496">
        <v>0</v>
      </c>
      <c r="W8496">
        <v>1</v>
      </c>
      <c r="X8496">
        <v>0</v>
      </c>
      <c r="Y8496">
        <v>1</v>
      </c>
      <c r="Z8496">
        <v>0</v>
      </c>
      <c r="AA8496">
        <v>0</v>
      </c>
      <c r="AB8496">
        <v>1</v>
      </c>
      <c r="AC8496">
        <v>0</v>
      </c>
      <c r="AD8496">
        <v>1</v>
      </c>
      <c r="AE8496">
        <v>1</v>
      </c>
      <c r="AF8496">
        <v>1</v>
      </c>
      <c r="AG8496">
        <v>1</v>
      </c>
      <c r="AH8496">
        <v>0</v>
      </c>
      <c r="AI8496">
        <v>1</v>
      </c>
      <c r="AJ8496">
        <v>1</v>
      </c>
      <c r="AK8496">
        <v>0</v>
      </c>
      <c r="AL8496">
        <v>1</v>
      </c>
      <c r="AM8496">
        <v>1</v>
      </c>
    </row>
    <row r="8497" spans="1:39" x14ac:dyDescent="0.2">
      <c r="A8497" t="str">
        <f>"8493"</f>
        <v>8493</v>
      </c>
      <c r="B8497" t="str">
        <f t="shared" si="470"/>
        <v>1</v>
      </c>
      <c r="C8497" t="str">
        <f t="shared" si="472"/>
        <v>170</v>
      </c>
      <c r="D8497" t="str">
        <f>"28"</f>
        <v>28</v>
      </c>
      <c r="E8497" t="str">
        <f>"1-170-28"</f>
        <v>1-170-28</v>
      </c>
      <c r="F8497" t="s">
        <v>65</v>
      </c>
      <c r="G8497" t="s">
        <v>66</v>
      </c>
      <c r="H8497" t="s">
        <v>67</v>
      </c>
      <c r="S8497">
        <v>1</v>
      </c>
      <c r="T8497">
        <v>0</v>
      </c>
      <c r="U8497">
        <v>0</v>
      </c>
      <c r="V8497">
        <v>0</v>
      </c>
      <c r="W8497">
        <v>1</v>
      </c>
      <c r="X8497">
        <v>0</v>
      </c>
      <c r="Y8497">
        <v>1</v>
      </c>
      <c r="Z8497">
        <v>0</v>
      </c>
      <c r="AA8497">
        <v>0</v>
      </c>
      <c r="AB8497">
        <v>1</v>
      </c>
      <c r="AC8497">
        <v>0</v>
      </c>
      <c r="AD8497">
        <v>1</v>
      </c>
      <c r="AE8497">
        <v>1</v>
      </c>
      <c r="AF8497">
        <v>1</v>
      </c>
      <c r="AG8497">
        <v>1</v>
      </c>
      <c r="AH8497">
        <v>1</v>
      </c>
      <c r="AI8497">
        <v>1</v>
      </c>
      <c r="AJ8497">
        <v>1</v>
      </c>
      <c r="AK8497">
        <v>1</v>
      </c>
      <c r="AL8497">
        <v>1</v>
      </c>
      <c r="AM8497">
        <v>1</v>
      </c>
    </row>
    <row r="8498" spans="1:39" x14ac:dyDescent="0.2">
      <c r="A8498" t="str">
        <f>"8494"</f>
        <v>8494</v>
      </c>
      <c r="B8498" t="str">
        <f t="shared" si="470"/>
        <v>1</v>
      </c>
      <c r="C8498" t="str">
        <f t="shared" si="472"/>
        <v>170</v>
      </c>
      <c r="D8498" t="str">
        <f>"11"</f>
        <v>11</v>
      </c>
      <c r="E8498" t="str">
        <f>"1-170-11"</f>
        <v>1-170-11</v>
      </c>
      <c r="F8498" t="s">
        <v>65</v>
      </c>
      <c r="G8498" t="s">
        <v>66</v>
      </c>
      <c r="H8498" t="s">
        <v>67</v>
      </c>
      <c r="S8498">
        <v>1</v>
      </c>
      <c r="T8498">
        <v>0</v>
      </c>
      <c r="U8498">
        <v>0</v>
      </c>
      <c r="V8498">
        <v>0</v>
      </c>
      <c r="W8498">
        <v>1</v>
      </c>
      <c r="X8498">
        <v>0</v>
      </c>
      <c r="Y8498">
        <v>1</v>
      </c>
      <c r="Z8498">
        <v>0</v>
      </c>
      <c r="AA8498">
        <v>1</v>
      </c>
      <c r="AB8498">
        <v>0</v>
      </c>
      <c r="AC8498">
        <v>0</v>
      </c>
      <c r="AD8498">
        <v>1</v>
      </c>
      <c r="AE8498">
        <v>1</v>
      </c>
      <c r="AF8498">
        <v>1</v>
      </c>
      <c r="AG8498">
        <v>1</v>
      </c>
      <c r="AH8498">
        <v>1</v>
      </c>
      <c r="AI8498">
        <v>1</v>
      </c>
      <c r="AJ8498">
        <v>1</v>
      </c>
      <c r="AK8498">
        <v>1</v>
      </c>
      <c r="AL8498">
        <v>1</v>
      </c>
      <c r="AM8498">
        <v>1</v>
      </c>
    </row>
    <row r="8499" spans="1:39" x14ac:dyDescent="0.2">
      <c r="A8499" t="str">
        <f>"8495"</f>
        <v>8495</v>
      </c>
      <c r="B8499" t="str">
        <f t="shared" si="470"/>
        <v>1</v>
      </c>
      <c r="C8499" t="str">
        <f t="shared" si="472"/>
        <v>170</v>
      </c>
      <c r="D8499" t="str">
        <f>"29"</f>
        <v>29</v>
      </c>
      <c r="E8499" t="str">
        <f>"1-170-29"</f>
        <v>1-170-29</v>
      </c>
      <c r="F8499" t="s">
        <v>65</v>
      </c>
      <c r="G8499" t="s">
        <v>66</v>
      </c>
      <c r="H8499" t="s">
        <v>67</v>
      </c>
      <c r="S8499">
        <v>1</v>
      </c>
      <c r="T8499">
        <v>0</v>
      </c>
      <c r="U8499">
        <v>0</v>
      </c>
      <c r="V8499">
        <v>0</v>
      </c>
      <c r="W8499">
        <v>1</v>
      </c>
      <c r="X8499">
        <v>0</v>
      </c>
      <c r="Y8499">
        <v>0</v>
      </c>
      <c r="Z8499">
        <v>1</v>
      </c>
      <c r="AA8499">
        <v>1</v>
      </c>
      <c r="AB8499">
        <v>0</v>
      </c>
      <c r="AC8499">
        <v>0</v>
      </c>
      <c r="AD8499">
        <v>1</v>
      </c>
      <c r="AE8499">
        <v>1</v>
      </c>
      <c r="AF8499">
        <v>1</v>
      </c>
      <c r="AG8499">
        <v>1</v>
      </c>
      <c r="AH8499">
        <v>1</v>
      </c>
      <c r="AI8499">
        <v>1</v>
      </c>
      <c r="AJ8499">
        <v>1</v>
      </c>
      <c r="AK8499">
        <v>1</v>
      </c>
      <c r="AL8499">
        <v>1</v>
      </c>
      <c r="AM8499">
        <v>1</v>
      </c>
    </row>
    <row r="8500" spans="1:39" x14ac:dyDescent="0.2">
      <c r="A8500" t="str">
        <f>"8496"</f>
        <v>8496</v>
      </c>
      <c r="B8500" t="str">
        <f t="shared" si="470"/>
        <v>1</v>
      </c>
      <c r="C8500" t="str">
        <f t="shared" si="472"/>
        <v>170</v>
      </c>
      <c r="D8500" t="str">
        <f>"12"</f>
        <v>12</v>
      </c>
      <c r="E8500" t="str">
        <f>"1-170-12"</f>
        <v>1-170-12</v>
      </c>
      <c r="F8500" t="s">
        <v>65</v>
      </c>
      <c r="G8500" t="s">
        <v>66</v>
      </c>
      <c r="H8500" t="s">
        <v>67</v>
      </c>
      <c r="S8500">
        <v>0</v>
      </c>
      <c r="T8500">
        <v>1</v>
      </c>
      <c r="U8500">
        <v>0</v>
      </c>
      <c r="V8500">
        <v>0</v>
      </c>
      <c r="W8500">
        <v>1</v>
      </c>
      <c r="X8500">
        <v>0</v>
      </c>
      <c r="Y8500">
        <v>1</v>
      </c>
      <c r="Z8500">
        <v>0</v>
      </c>
      <c r="AA8500">
        <v>1</v>
      </c>
      <c r="AB8500">
        <v>0</v>
      </c>
      <c r="AC8500">
        <v>0</v>
      </c>
      <c r="AD8500">
        <v>1</v>
      </c>
      <c r="AE8500">
        <v>1</v>
      </c>
      <c r="AF8500">
        <v>1</v>
      </c>
      <c r="AG8500">
        <v>1</v>
      </c>
      <c r="AH8500">
        <v>1</v>
      </c>
      <c r="AI8500">
        <v>1</v>
      </c>
      <c r="AJ8500">
        <v>1</v>
      </c>
      <c r="AK8500">
        <v>1</v>
      </c>
      <c r="AL8500">
        <v>1</v>
      </c>
      <c r="AM8500">
        <v>1</v>
      </c>
    </row>
    <row r="8501" spans="1:39" x14ac:dyDescent="0.2">
      <c r="A8501" t="str">
        <f>"8497"</f>
        <v>8497</v>
      </c>
      <c r="B8501" t="str">
        <f t="shared" si="470"/>
        <v>1</v>
      </c>
      <c r="C8501" t="str">
        <f t="shared" si="472"/>
        <v>170</v>
      </c>
      <c r="D8501" t="str">
        <f>"49"</f>
        <v>49</v>
      </c>
      <c r="E8501" t="str">
        <f>"1-170-49"</f>
        <v>1-170-49</v>
      </c>
      <c r="F8501" t="s">
        <v>65</v>
      </c>
      <c r="G8501" t="s">
        <v>66</v>
      </c>
      <c r="H8501" t="s">
        <v>67</v>
      </c>
      <c r="S8501">
        <v>1</v>
      </c>
      <c r="T8501">
        <v>0</v>
      </c>
      <c r="U8501">
        <v>0</v>
      </c>
      <c r="V8501">
        <v>0</v>
      </c>
      <c r="W8501">
        <v>1</v>
      </c>
      <c r="X8501">
        <v>0</v>
      </c>
      <c r="Y8501">
        <v>1</v>
      </c>
      <c r="Z8501">
        <v>0</v>
      </c>
      <c r="AA8501">
        <v>1</v>
      </c>
      <c r="AB8501">
        <v>0</v>
      </c>
      <c r="AC8501">
        <v>0</v>
      </c>
      <c r="AD8501">
        <v>1</v>
      </c>
      <c r="AE8501">
        <v>1</v>
      </c>
      <c r="AF8501">
        <v>1</v>
      </c>
      <c r="AG8501">
        <v>1</v>
      </c>
      <c r="AH8501">
        <v>1</v>
      </c>
      <c r="AI8501">
        <v>1</v>
      </c>
      <c r="AJ8501">
        <v>1</v>
      </c>
      <c r="AK8501">
        <v>1</v>
      </c>
      <c r="AL8501">
        <v>1</v>
      </c>
      <c r="AM8501">
        <v>1</v>
      </c>
    </row>
    <row r="8502" spans="1:39" x14ac:dyDescent="0.2">
      <c r="A8502" t="str">
        <f>"8498"</f>
        <v>8498</v>
      </c>
      <c r="B8502" t="str">
        <f t="shared" si="470"/>
        <v>1</v>
      </c>
      <c r="C8502" t="str">
        <f t="shared" si="472"/>
        <v>170</v>
      </c>
      <c r="D8502" t="str">
        <f>"30"</f>
        <v>30</v>
      </c>
      <c r="E8502" t="str">
        <f>"1-170-30"</f>
        <v>1-170-30</v>
      </c>
      <c r="F8502" t="s">
        <v>65</v>
      </c>
      <c r="G8502" t="s">
        <v>66</v>
      </c>
      <c r="H8502" t="s">
        <v>67</v>
      </c>
      <c r="S8502">
        <v>1</v>
      </c>
      <c r="T8502">
        <v>0</v>
      </c>
      <c r="U8502">
        <v>0</v>
      </c>
      <c r="V8502">
        <v>0</v>
      </c>
      <c r="W8502">
        <v>1</v>
      </c>
      <c r="X8502">
        <v>0</v>
      </c>
      <c r="Y8502">
        <v>1</v>
      </c>
      <c r="Z8502">
        <v>0</v>
      </c>
      <c r="AA8502">
        <v>1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1</v>
      </c>
      <c r="AM8502">
        <v>0</v>
      </c>
    </row>
    <row r="8503" spans="1:39" x14ac:dyDescent="0.2">
      <c r="A8503" t="str">
        <f>"8499"</f>
        <v>8499</v>
      </c>
      <c r="B8503" t="str">
        <f t="shared" ref="B8503:B8566" si="473">"1"</f>
        <v>1</v>
      </c>
      <c r="C8503" t="str">
        <f t="shared" si="472"/>
        <v>170</v>
      </c>
      <c r="D8503" t="str">
        <f>"9"</f>
        <v>9</v>
      </c>
      <c r="E8503" t="str">
        <f>"1-170-9"</f>
        <v>1-170-9</v>
      </c>
      <c r="F8503" t="s">
        <v>65</v>
      </c>
      <c r="G8503" t="s">
        <v>66</v>
      </c>
      <c r="H8503" t="s">
        <v>67</v>
      </c>
      <c r="S8503">
        <v>1</v>
      </c>
      <c r="T8503">
        <v>0</v>
      </c>
      <c r="U8503">
        <v>0</v>
      </c>
      <c r="V8503">
        <v>0</v>
      </c>
      <c r="W8503">
        <v>1</v>
      </c>
      <c r="X8503">
        <v>0</v>
      </c>
      <c r="Y8503">
        <v>0</v>
      </c>
      <c r="Z8503">
        <v>1</v>
      </c>
      <c r="AA8503">
        <v>1</v>
      </c>
      <c r="AB8503">
        <v>0</v>
      </c>
      <c r="AC8503">
        <v>0</v>
      </c>
      <c r="AD8503">
        <v>1</v>
      </c>
      <c r="AE8503">
        <v>1</v>
      </c>
      <c r="AF8503">
        <v>1</v>
      </c>
      <c r="AG8503">
        <v>1</v>
      </c>
      <c r="AH8503">
        <v>1</v>
      </c>
      <c r="AI8503">
        <v>1</v>
      </c>
      <c r="AJ8503">
        <v>1</v>
      </c>
      <c r="AK8503">
        <v>1</v>
      </c>
      <c r="AL8503">
        <v>1</v>
      </c>
      <c r="AM8503">
        <v>1</v>
      </c>
    </row>
    <row r="8504" spans="1:39" x14ac:dyDescent="0.2">
      <c r="A8504" t="str">
        <f>"8500"</f>
        <v>8500</v>
      </c>
      <c r="B8504" t="str">
        <f t="shared" si="473"/>
        <v>1</v>
      </c>
      <c r="C8504" t="str">
        <f t="shared" si="472"/>
        <v>170</v>
      </c>
      <c r="D8504" t="str">
        <f>"48"</f>
        <v>48</v>
      </c>
      <c r="E8504" t="str">
        <f>"1-170-48"</f>
        <v>1-170-48</v>
      </c>
      <c r="F8504" t="s">
        <v>65</v>
      </c>
      <c r="G8504" t="s">
        <v>66</v>
      </c>
      <c r="H8504" t="s">
        <v>67</v>
      </c>
      <c r="S8504">
        <v>1</v>
      </c>
      <c r="T8504">
        <v>0</v>
      </c>
      <c r="U8504">
        <v>0</v>
      </c>
      <c r="V8504">
        <v>0</v>
      </c>
      <c r="W8504">
        <v>1</v>
      </c>
      <c r="X8504">
        <v>0</v>
      </c>
      <c r="Y8504">
        <v>0</v>
      </c>
      <c r="Z8504">
        <v>1</v>
      </c>
      <c r="AA8504">
        <v>1</v>
      </c>
      <c r="AB8504">
        <v>0</v>
      </c>
      <c r="AC8504">
        <v>0</v>
      </c>
      <c r="AD8504">
        <v>1</v>
      </c>
      <c r="AE8504">
        <v>1</v>
      </c>
      <c r="AF8504">
        <v>1</v>
      </c>
      <c r="AG8504">
        <v>1</v>
      </c>
      <c r="AH8504">
        <v>1</v>
      </c>
      <c r="AI8504">
        <v>1</v>
      </c>
      <c r="AJ8504">
        <v>1</v>
      </c>
      <c r="AK8504">
        <v>1</v>
      </c>
      <c r="AL8504">
        <v>1</v>
      </c>
      <c r="AM8504">
        <v>1</v>
      </c>
    </row>
    <row r="8505" spans="1:39" x14ac:dyDescent="0.2">
      <c r="A8505" t="str">
        <f>"8501"</f>
        <v>8501</v>
      </c>
      <c r="B8505" t="str">
        <f t="shared" si="473"/>
        <v>1</v>
      </c>
      <c r="C8505" t="str">
        <f t="shared" ref="C8505:C8536" si="474">"171"</f>
        <v>171</v>
      </c>
      <c r="D8505" t="str">
        <f>"35"</f>
        <v>35</v>
      </c>
      <c r="E8505" t="str">
        <f>"1-171-35"</f>
        <v>1-171-35</v>
      </c>
      <c r="F8505" t="s">
        <v>65</v>
      </c>
      <c r="G8505" t="s">
        <v>66</v>
      </c>
      <c r="H8505" t="s">
        <v>68</v>
      </c>
      <c r="I8505">
        <v>1</v>
      </c>
      <c r="J8505">
        <v>0</v>
      </c>
      <c r="K8505">
        <v>0</v>
      </c>
      <c r="L8505">
        <v>1</v>
      </c>
      <c r="M8505">
        <v>1</v>
      </c>
      <c r="N8505">
        <v>1</v>
      </c>
      <c r="O8505">
        <v>1</v>
      </c>
      <c r="P8505">
        <v>1</v>
      </c>
      <c r="Q8505">
        <v>1</v>
      </c>
      <c r="R8505">
        <v>1</v>
      </c>
    </row>
    <row r="8506" spans="1:39" x14ac:dyDescent="0.2">
      <c r="A8506" t="str">
        <f>"8502"</f>
        <v>8502</v>
      </c>
      <c r="B8506" t="str">
        <f t="shared" si="473"/>
        <v>1</v>
      </c>
      <c r="C8506" t="str">
        <f t="shared" si="474"/>
        <v>171</v>
      </c>
      <c r="D8506" t="str">
        <f>"34"</f>
        <v>34</v>
      </c>
      <c r="E8506" t="str">
        <f>"1-171-34"</f>
        <v>1-171-34</v>
      </c>
      <c r="F8506" t="s">
        <v>65</v>
      </c>
      <c r="G8506" t="s">
        <v>66</v>
      </c>
      <c r="H8506" t="s">
        <v>68</v>
      </c>
      <c r="I8506">
        <v>1</v>
      </c>
      <c r="J8506">
        <v>0</v>
      </c>
      <c r="K8506">
        <v>1</v>
      </c>
      <c r="L8506">
        <v>0</v>
      </c>
      <c r="M8506">
        <v>1</v>
      </c>
      <c r="N8506">
        <v>1</v>
      </c>
      <c r="O8506">
        <v>1</v>
      </c>
      <c r="P8506">
        <v>1</v>
      </c>
      <c r="Q8506">
        <v>1</v>
      </c>
      <c r="R8506">
        <v>1</v>
      </c>
    </row>
    <row r="8507" spans="1:39" x14ac:dyDescent="0.2">
      <c r="A8507" t="str">
        <f>"8503"</f>
        <v>8503</v>
      </c>
      <c r="B8507" t="str">
        <f t="shared" si="473"/>
        <v>1</v>
      </c>
      <c r="C8507" t="str">
        <f t="shared" si="474"/>
        <v>171</v>
      </c>
      <c r="D8507" t="str">
        <f>"26"</f>
        <v>26</v>
      </c>
      <c r="E8507" t="str">
        <f>"1-171-26"</f>
        <v>1-171-26</v>
      </c>
      <c r="F8507" t="s">
        <v>65</v>
      </c>
      <c r="G8507" t="s">
        <v>66</v>
      </c>
      <c r="H8507" t="s">
        <v>68</v>
      </c>
      <c r="I8507">
        <v>1</v>
      </c>
      <c r="J8507">
        <v>0</v>
      </c>
      <c r="K8507">
        <v>0</v>
      </c>
      <c r="L8507">
        <v>1</v>
      </c>
      <c r="M8507">
        <v>1</v>
      </c>
      <c r="N8507">
        <v>1</v>
      </c>
      <c r="O8507">
        <v>1</v>
      </c>
      <c r="P8507">
        <v>1</v>
      </c>
      <c r="Q8507">
        <v>1</v>
      </c>
      <c r="R8507">
        <v>1</v>
      </c>
    </row>
    <row r="8508" spans="1:39" x14ac:dyDescent="0.2">
      <c r="A8508" t="str">
        <f>"8504"</f>
        <v>8504</v>
      </c>
      <c r="B8508" t="str">
        <f t="shared" si="473"/>
        <v>1</v>
      </c>
      <c r="C8508" t="str">
        <f t="shared" si="474"/>
        <v>171</v>
      </c>
      <c r="D8508" t="str">
        <f>"15"</f>
        <v>15</v>
      </c>
      <c r="E8508" t="str">
        <f>"1-171-15"</f>
        <v>1-171-15</v>
      </c>
      <c r="F8508" t="s">
        <v>65</v>
      </c>
      <c r="G8508" t="s">
        <v>66</v>
      </c>
      <c r="H8508" t="s">
        <v>68</v>
      </c>
      <c r="I8508">
        <v>1</v>
      </c>
      <c r="J8508">
        <v>0</v>
      </c>
      <c r="K8508">
        <v>0</v>
      </c>
      <c r="L8508">
        <v>1</v>
      </c>
      <c r="M8508">
        <v>1</v>
      </c>
      <c r="N8508">
        <v>1</v>
      </c>
      <c r="O8508">
        <v>1</v>
      </c>
      <c r="P8508">
        <v>1</v>
      </c>
      <c r="Q8508">
        <v>0</v>
      </c>
      <c r="R8508">
        <v>1</v>
      </c>
    </row>
    <row r="8509" spans="1:39" x14ac:dyDescent="0.2">
      <c r="A8509" t="str">
        <f>"8505"</f>
        <v>8505</v>
      </c>
      <c r="B8509" t="str">
        <f t="shared" si="473"/>
        <v>1</v>
      </c>
      <c r="C8509" t="str">
        <f t="shared" si="474"/>
        <v>171</v>
      </c>
      <c r="D8509" t="str">
        <f>"12"</f>
        <v>12</v>
      </c>
      <c r="E8509" t="str">
        <f>"1-171-12"</f>
        <v>1-171-12</v>
      </c>
      <c r="F8509" t="s">
        <v>65</v>
      </c>
      <c r="G8509" t="s">
        <v>66</v>
      </c>
      <c r="H8509" t="s">
        <v>68</v>
      </c>
      <c r="I8509">
        <v>1</v>
      </c>
      <c r="J8509">
        <v>0</v>
      </c>
      <c r="K8509">
        <v>0</v>
      </c>
      <c r="L8509">
        <v>1</v>
      </c>
      <c r="M8509">
        <v>1</v>
      </c>
      <c r="N8509">
        <v>1</v>
      </c>
      <c r="O8509">
        <v>1</v>
      </c>
      <c r="P8509">
        <v>1</v>
      </c>
      <c r="Q8509">
        <v>1</v>
      </c>
      <c r="R8509">
        <v>1</v>
      </c>
    </row>
    <row r="8510" spans="1:39" x14ac:dyDescent="0.2">
      <c r="A8510" t="str">
        <f>"8506"</f>
        <v>8506</v>
      </c>
      <c r="B8510" t="str">
        <f t="shared" si="473"/>
        <v>1</v>
      </c>
      <c r="C8510" t="str">
        <f t="shared" si="474"/>
        <v>171</v>
      </c>
      <c r="D8510" t="str">
        <f>"42"</f>
        <v>42</v>
      </c>
      <c r="E8510" t="str">
        <f>"1-171-42"</f>
        <v>1-171-42</v>
      </c>
      <c r="F8510" t="s">
        <v>65</v>
      </c>
      <c r="G8510" t="s">
        <v>66</v>
      </c>
      <c r="H8510" t="s">
        <v>67</v>
      </c>
      <c r="S8510">
        <v>1</v>
      </c>
      <c r="T8510">
        <v>0</v>
      </c>
      <c r="U8510">
        <v>0</v>
      </c>
      <c r="V8510">
        <v>0</v>
      </c>
      <c r="W8510">
        <v>1</v>
      </c>
      <c r="X8510">
        <v>0</v>
      </c>
      <c r="Y8510">
        <v>1</v>
      </c>
      <c r="Z8510">
        <v>0</v>
      </c>
      <c r="AA8510">
        <v>0</v>
      </c>
      <c r="AB8510">
        <v>1</v>
      </c>
      <c r="AC8510">
        <v>0</v>
      </c>
      <c r="AD8510">
        <v>1</v>
      </c>
      <c r="AE8510">
        <v>1</v>
      </c>
      <c r="AF8510">
        <v>1</v>
      </c>
      <c r="AG8510">
        <v>1</v>
      </c>
      <c r="AH8510">
        <v>1</v>
      </c>
      <c r="AI8510">
        <v>1</v>
      </c>
      <c r="AJ8510">
        <v>1</v>
      </c>
      <c r="AK8510">
        <v>1</v>
      </c>
      <c r="AL8510">
        <v>1</v>
      </c>
      <c r="AM8510">
        <v>1</v>
      </c>
    </row>
    <row r="8511" spans="1:39" x14ac:dyDescent="0.2">
      <c r="A8511" t="str">
        <f>"8507"</f>
        <v>8507</v>
      </c>
      <c r="B8511" t="str">
        <f t="shared" si="473"/>
        <v>1</v>
      </c>
      <c r="C8511" t="str">
        <f t="shared" si="474"/>
        <v>171</v>
      </c>
      <c r="D8511" t="str">
        <f>"41"</f>
        <v>41</v>
      </c>
      <c r="E8511" t="str">
        <f>"1-171-41"</f>
        <v>1-171-41</v>
      </c>
      <c r="F8511" t="s">
        <v>65</v>
      </c>
      <c r="G8511" t="s">
        <v>66</v>
      </c>
      <c r="H8511" t="s">
        <v>68</v>
      </c>
      <c r="I8511">
        <v>1</v>
      </c>
      <c r="J8511">
        <v>1</v>
      </c>
      <c r="K8511">
        <v>0</v>
      </c>
      <c r="L8511">
        <v>0</v>
      </c>
      <c r="M8511">
        <v>1</v>
      </c>
      <c r="N8511">
        <v>1</v>
      </c>
      <c r="O8511">
        <v>1</v>
      </c>
      <c r="P8511">
        <v>1</v>
      </c>
      <c r="Q8511">
        <v>1</v>
      </c>
      <c r="R8511">
        <v>1</v>
      </c>
    </row>
    <row r="8512" spans="1:39" x14ac:dyDescent="0.2">
      <c r="A8512" t="str">
        <f>"8508"</f>
        <v>8508</v>
      </c>
      <c r="B8512" t="str">
        <f t="shared" si="473"/>
        <v>1</v>
      </c>
      <c r="C8512" t="str">
        <f t="shared" si="474"/>
        <v>171</v>
      </c>
      <c r="D8512" t="str">
        <f>"31"</f>
        <v>31</v>
      </c>
      <c r="E8512" t="str">
        <f>"1-171-31"</f>
        <v>1-171-31</v>
      </c>
      <c r="F8512" t="s">
        <v>65</v>
      </c>
      <c r="G8512" t="s">
        <v>66</v>
      </c>
      <c r="H8512" t="s">
        <v>68</v>
      </c>
      <c r="I8512">
        <v>1</v>
      </c>
      <c r="J8512">
        <v>0</v>
      </c>
      <c r="K8512">
        <v>0</v>
      </c>
      <c r="L8512">
        <v>0</v>
      </c>
      <c r="M8512">
        <v>1</v>
      </c>
      <c r="N8512">
        <v>1</v>
      </c>
      <c r="O8512">
        <v>1</v>
      </c>
      <c r="P8512">
        <v>1</v>
      </c>
      <c r="Q8512">
        <v>1</v>
      </c>
      <c r="R8512">
        <v>1</v>
      </c>
    </row>
    <row r="8513" spans="1:39" x14ac:dyDescent="0.2">
      <c r="A8513" t="str">
        <f>"8509"</f>
        <v>8509</v>
      </c>
      <c r="B8513" t="str">
        <f t="shared" si="473"/>
        <v>1</v>
      </c>
      <c r="C8513" t="str">
        <f t="shared" si="474"/>
        <v>171</v>
      </c>
      <c r="D8513" t="str">
        <f>"16"</f>
        <v>16</v>
      </c>
      <c r="E8513" t="str">
        <f>"1-171-16"</f>
        <v>1-171-16</v>
      </c>
      <c r="F8513" t="s">
        <v>65</v>
      </c>
      <c r="G8513" t="s">
        <v>66</v>
      </c>
      <c r="H8513" t="s">
        <v>68</v>
      </c>
      <c r="I8513">
        <v>1</v>
      </c>
      <c r="J8513">
        <v>0</v>
      </c>
      <c r="K8513">
        <v>1</v>
      </c>
      <c r="L8513">
        <v>0</v>
      </c>
      <c r="M8513">
        <v>1</v>
      </c>
      <c r="N8513">
        <v>1</v>
      </c>
      <c r="O8513">
        <v>1</v>
      </c>
      <c r="P8513">
        <v>1</v>
      </c>
      <c r="Q8513">
        <v>1</v>
      </c>
      <c r="R8513">
        <v>1</v>
      </c>
    </row>
    <row r="8514" spans="1:39" x14ac:dyDescent="0.2">
      <c r="A8514" t="str">
        <f>"8510"</f>
        <v>8510</v>
      </c>
      <c r="B8514" t="str">
        <f t="shared" si="473"/>
        <v>1</v>
      </c>
      <c r="C8514" t="str">
        <f t="shared" si="474"/>
        <v>171</v>
      </c>
      <c r="D8514" t="str">
        <f>"13"</f>
        <v>13</v>
      </c>
      <c r="E8514" t="str">
        <f>"1-171-13"</f>
        <v>1-171-13</v>
      </c>
      <c r="F8514" t="s">
        <v>65</v>
      </c>
      <c r="G8514" t="s">
        <v>66</v>
      </c>
      <c r="H8514" t="s">
        <v>68</v>
      </c>
      <c r="I8514">
        <v>1</v>
      </c>
      <c r="J8514">
        <v>0</v>
      </c>
      <c r="K8514">
        <v>0</v>
      </c>
      <c r="L8514">
        <v>1</v>
      </c>
      <c r="M8514">
        <v>1</v>
      </c>
      <c r="N8514">
        <v>1</v>
      </c>
      <c r="O8514">
        <v>1</v>
      </c>
      <c r="P8514">
        <v>1</v>
      </c>
      <c r="Q8514">
        <v>1</v>
      </c>
      <c r="R8514">
        <v>1</v>
      </c>
    </row>
    <row r="8515" spans="1:39" x14ac:dyDescent="0.2">
      <c r="A8515" t="str">
        <f>"8511"</f>
        <v>8511</v>
      </c>
      <c r="B8515" t="str">
        <f t="shared" si="473"/>
        <v>1</v>
      </c>
      <c r="C8515" t="str">
        <f t="shared" si="474"/>
        <v>171</v>
      </c>
      <c r="D8515" t="str">
        <f>"37"</f>
        <v>37</v>
      </c>
      <c r="E8515" t="str">
        <f>"1-171-37"</f>
        <v>1-171-37</v>
      </c>
      <c r="F8515" t="s">
        <v>65</v>
      </c>
      <c r="G8515" t="s">
        <v>66</v>
      </c>
      <c r="H8515" t="s">
        <v>68</v>
      </c>
      <c r="I8515">
        <v>1</v>
      </c>
      <c r="J8515">
        <v>0</v>
      </c>
      <c r="K8515">
        <v>0</v>
      </c>
      <c r="L8515">
        <v>1</v>
      </c>
      <c r="M8515">
        <v>1</v>
      </c>
      <c r="N8515">
        <v>1</v>
      </c>
      <c r="O8515">
        <v>1</v>
      </c>
      <c r="P8515">
        <v>1</v>
      </c>
      <c r="Q8515">
        <v>1</v>
      </c>
      <c r="R8515">
        <v>1</v>
      </c>
    </row>
    <row r="8516" spans="1:39" x14ac:dyDescent="0.2">
      <c r="A8516" t="str">
        <f>"8512"</f>
        <v>8512</v>
      </c>
      <c r="B8516" t="str">
        <f t="shared" si="473"/>
        <v>1</v>
      </c>
      <c r="C8516" t="str">
        <f t="shared" si="474"/>
        <v>171</v>
      </c>
      <c r="D8516" t="str">
        <f>"36"</f>
        <v>36</v>
      </c>
      <c r="E8516" t="str">
        <f>"1-171-36"</f>
        <v>1-171-36</v>
      </c>
      <c r="F8516" t="s">
        <v>65</v>
      </c>
      <c r="G8516" t="s">
        <v>66</v>
      </c>
      <c r="H8516" t="s">
        <v>68</v>
      </c>
      <c r="I8516">
        <v>1</v>
      </c>
      <c r="J8516">
        <v>0</v>
      </c>
      <c r="K8516">
        <v>0</v>
      </c>
      <c r="L8516">
        <v>1</v>
      </c>
      <c r="M8516">
        <v>1</v>
      </c>
      <c r="N8516">
        <v>1</v>
      </c>
      <c r="O8516">
        <v>1</v>
      </c>
      <c r="P8516">
        <v>1</v>
      </c>
      <c r="Q8516">
        <v>1</v>
      </c>
      <c r="R8516">
        <v>1</v>
      </c>
    </row>
    <row r="8517" spans="1:39" x14ac:dyDescent="0.2">
      <c r="A8517" t="str">
        <f>"8513"</f>
        <v>8513</v>
      </c>
      <c r="B8517" t="str">
        <f t="shared" si="473"/>
        <v>1</v>
      </c>
      <c r="C8517" t="str">
        <f t="shared" si="474"/>
        <v>171</v>
      </c>
      <c r="D8517" t="str">
        <f>"28"</f>
        <v>28</v>
      </c>
      <c r="E8517" t="str">
        <f>"1-171-28"</f>
        <v>1-171-28</v>
      </c>
      <c r="F8517" t="s">
        <v>65</v>
      </c>
      <c r="G8517" t="s">
        <v>66</v>
      </c>
      <c r="H8517" t="s">
        <v>68</v>
      </c>
      <c r="I8517">
        <v>1</v>
      </c>
      <c r="J8517">
        <v>0</v>
      </c>
      <c r="K8517">
        <v>0</v>
      </c>
      <c r="L8517">
        <v>1</v>
      </c>
      <c r="M8517">
        <v>1</v>
      </c>
      <c r="N8517">
        <v>1</v>
      </c>
      <c r="O8517">
        <v>1</v>
      </c>
      <c r="P8517">
        <v>1</v>
      </c>
      <c r="Q8517">
        <v>1</v>
      </c>
      <c r="R8517">
        <v>1</v>
      </c>
    </row>
    <row r="8518" spans="1:39" x14ac:dyDescent="0.2">
      <c r="A8518" t="str">
        <f>"8514"</f>
        <v>8514</v>
      </c>
      <c r="B8518" t="str">
        <f t="shared" si="473"/>
        <v>1</v>
      </c>
      <c r="C8518" t="str">
        <f t="shared" si="474"/>
        <v>171</v>
      </c>
      <c r="D8518" t="str">
        <f>"17"</f>
        <v>17</v>
      </c>
      <c r="E8518" t="str">
        <f>"1-171-17"</f>
        <v>1-171-17</v>
      </c>
      <c r="F8518" t="s">
        <v>65</v>
      </c>
      <c r="G8518" t="s">
        <v>66</v>
      </c>
      <c r="H8518" t="s">
        <v>68</v>
      </c>
      <c r="I8518">
        <v>1</v>
      </c>
      <c r="J8518">
        <v>0</v>
      </c>
      <c r="K8518">
        <v>0</v>
      </c>
      <c r="L8518">
        <v>1</v>
      </c>
      <c r="M8518">
        <v>1</v>
      </c>
      <c r="N8518">
        <v>0</v>
      </c>
      <c r="O8518">
        <v>0</v>
      </c>
      <c r="P8518">
        <v>1</v>
      </c>
      <c r="Q8518">
        <v>1</v>
      </c>
      <c r="R8518">
        <v>1</v>
      </c>
    </row>
    <row r="8519" spans="1:39" x14ac:dyDescent="0.2">
      <c r="A8519" t="str">
        <f>"8515"</f>
        <v>8515</v>
      </c>
      <c r="B8519" t="str">
        <f t="shared" si="473"/>
        <v>1</v>
      </c>
      <c r="C8519" t="str">
        <f t="shared" si="474"/>
        <v>171</v>
      </c>
      <c r="D8519" t="str">
        <f>"4"</f>
        <v>4</v>
      </c>
      <c r="E8519" t="str">
        <f>"1-171-4"</f>
        <v>1-171-4</v>
      </c>
      <c r="F8519" t="s">
        <v>65</v>
      </c>
      <c r="G8519" t="s">
        <v>66</v>
      </c>
      <c r="H8519" t="s">
        <v>67</v>
      </c>
      <c r="S8519">
        <v>0</v>
      </c>
      <c r="T8519">
        <v>1</v>
      </c>
      <c r="U8519">
        <v>0</v>
      </c>
      <c r="V8519">
        <v>0</v>
      </c>
      <c r="W8519">
        <v>0</v>
      </c>
      <c r="X8519">
        <v>1</v>
      </c>
      <c r="Y8519">
        <v>1</v>
      </c>
      <c r="Z8519">
        <v>0</v>
      </c>
      <c r="AA8519">
        <v>1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1</v>
      </c>
      <c r="AH8519">
        <v>0</v>
      </c>
      <c r="AI8519">
        <v>1</v>
      </c>
      <c r="AJ8519">
        <v>1</v>
      </c>
      <c r="AK8519">
        <v>1</v>
      </c>
      <c r="AL8519">
        <v>0</v>
      </c>
      <c r="AM8519">
        <v>1</v>
      </c>
    </row>
    <row r="8520" spans="1:39" x14ac:dyDescent="0.2">
      <c r="A8520" t="str">
        <f>"8516"</f>
        <v>8516</v>
      </c>
      <c r="B8520" t="str">
        <f t="shared" si="473"/>
        <v>1</v>
      </c>
      <c r="C8520" t="str">
        <f t="shared" si="474"/>
        <v>171</v>
      </c>
      <c r="D8520" t="str">
        <f>"32"</f>
        <v>32</v>
      </c>
      <c r="E8520" t="str">
        <f>"1-171-32"</f>
        <v>1-171-32</v>
      </c>
      <c r="F8520" t="s">
        <v>65</v>
      </c>
      <c r="G8520" t="s">
        <v>66</v>
      </c>
      <c r="H8520" t="s">
        <v>67</v>
      </c>
      <c r="S8520">
        <v>0</v>
      </c>
      <c r="T8520">
        <v>1</v>
      </c>
      <c r="U8520">
        <v>0</v>
      </c>
      <c r="V8520">
        <v>0</v>
      </c>
      <c r="W8520">
        <v>0</v>
      </c>
      <c r="X8520">
        <v>1</v>
      </c>
      <c r="Y8520">
        <v>0</v>
      </c>
      <c r="Z8520">
        <v>1</v>
      </c>
      <c r="AA8520">
        <v>0</v>
      </c>
      <c r="AB8520">
        <v>1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</row>
    <row r="8521" spans="1:39" x14ac:dyDescent="0.2">
      <c r="A8521" t="str">
        <f>"8517"</f>
        <v>8517</v>
      </c>
      <c r="B8521" t="str">
        <f t="shared" si="473"/>
        <v>1</v>
      </c>
      <c r="C8521" t="str">
        <f t="shared" si="474"/>
        <v>171</v>
      </c>
      <c r="D8521" t="str">
        <f>"18"</f>
        <v>18</v>
      </c>
      <c r="E8521" t="str">
        <f>"1-171-18"</f>
        <v>1-171-18</v>
      </c>
      <c r="F8521" t="s">
        <v>65</v>
      </c>
      <c r="G8521" t="s">
        <v>66</v>
      </c>
      <c r="H8521" t="s">
        <v>68</v>
      </c>
      <c r="I8521">
        <v>1</v>
      </c>
      <c r="J8521">
        <v>0</v>
      </c>
      <c r="K8521">
        <v>1</v>
      </c>
      <c r="L8521">
        <v>0</v>
      </c>
      <c r="M8521">
        <v>1</v>
      </c>
      <c r="N8521">
        <v>1</v>
      </c>
      <c r="O8521">
        <v>1</v>
      </c>
      <c r="P8521">
        <v>1</v>
      </c>
      <c r="Q8521">
        <v>1</v>
      </c>
      <c r="R8521">
        <v>1</v>
      </c>
    </row>
    <row r="8522" spans="1:39" x14ac:dyDescent="0.2">
      <c r="A8522" t="str">
        <f>"8518"</f>
        <v>8518</v>
      </c>
      <c r="B8522" t="str">
        <f t="shared" si="473"/>
        <v>1</v>
      </c>
      <c r="C8522" t="str">
        <f t="shared" si="474"/>
        <v>171</v>
      </c>
      <c r="D8522" t="str">
        <f>"10"</f>
        <v>10</v>
      </c>
      <c r="E8522" t="str">
        <f>"1-171-10"</f>
        <v>1-171-10</v>
      </c>
      <c r="F8522" t="s">
        <v>65</v>
      </c>
      <c r="G8522" t="s">
        <v>66</v>
      </c>
      <c r="H8522" t="s">
        <v>68</v>
      </c>
      <c r="I8522">
        <v>1</v>
      </c>
      <c r="J8522">
        <v>1</v>
      </c>
      <c r="K8522">
        <v>0</v>
      </c>
      <c r="L8522">
        <v>0</v>
      </c>
      <c r="M8522">
        <v>1</v>
      </c>
      <c r="N8522">
        <v>1</v>
      </c>
      <c r="O8522">
        <v>1</v>
      </c>
      <c r="P8522">
        <v>1</v>
      </c>
      <c r="Q8522">
        <v>1</v>
      </c>
      <c r="R8522">
        <v>1</v>
      </c>
    </row>
    <row r="8523" spans="1:39" x14ac:dyDescent="0.2">
      <c r="A8523" t="str">
        <f>"8519"</f>
        <v>8519</v>
      </c>
      <c r="B8523" t="str">
        <f t="shared" si="473"/>
        <v>1</v>
      </c>
      <c r="C8523" t="str">
        <f t="shared" si="474"/>
        <v>171</v>
      </c>
      <c r="D8523" t="str">
        <f>"48"</f>
        <v>48</v>
      </c>
      <c r="E8523" t="str">
        <f>"1-171-48"</f>
        <v>1-171-48</v>
      </c>
      <c r="F8523" t="s">
        <v>65</v>
      </c>
      <c r="G8523" t="s">
        <v>66</v>
      </c>
      <c r="H8523" t="s">
        <v>67</v>
      </c>
      <c r="S8523">
        <v>1</v>
      </c>
      <c r="T8523">
        <v>0</v>
      </c>
      <c r="U8523">
        <v>0</v>
      </c>
      <c r="V8523">
        <v>0</v>
      </c>
      <c r="W8523">
        <v>1</v>
      </c>
      <c r="X8523">
        <v>0</v>
      </c>
      <c r="Y8523">
        <v>0</v>
      </c>
      <c r="Z8523">
        <v>1</v>
      </c>
      <c r="AA8523">
        <v>1</v>
      </c>
      <c r="AB8523">
        <v>0</v>
      </c>
      <c r="AC8523">
        <v>0</v>
      </c>
      <c r="AD8523">
        <v>1</v>
      </c>
      <c r="AE8523">
        <v>1</v>
      </c>
      <c r="AF8523">
        <v>1</v>
      </c>
      <c r="AG8523">
        <v>1</v>
      </c>
      <c r="AH8523">
        <v>1</v>
      </c>
      <c r="AI8523">
        <v>1</v>
      </c>
      <c r="AJ8523">
        <v>0</v>
      </c>
      <c r="AK8523">
        <v>1</v>
      </c>
      <c r="AL8523">
        <v>1</v>
      </c>
      <c r="AM8523">
        <v>1</v>
      </c>
    </row>
    <row r="8524" spans="1:39" x14ac:dyDescent="0.2">
      <c r="A8524" t="str">
        <f>"8520"</f>
        <v>8520</v>
      </c>
      <c r="B8524" t="str">
        <f t="shared" si="473"/>
        <v>1</v>
      </c>
      <c r="C8524" t="str">
        <f t="shared" si="474"/>
        <v>171</v>
      </c>
      <c r="D8524" t="str">
        <f>"33"</f>
        <v>33</v>
      </c>
      <c r="E8524" t="str">
        <f>"1-171-33"</f>
        <v>1-171-33</v>
      </c>
      <c r="F8524" t="s">
        <v>65</v>
      </c>
      <c r="G8524" t="s">
        <v>66</v>
      </c>
      <c r="H8524" t="s">
        <v>68</v>
      </c>
      <c r="I8524">
        <v>1</v>
      </c>
      <c r="J8524">
        <v>0</v>
      </c>
      <c r="K8524">
        <v>1</v>
      </c>
      <c r="L8524">
        <v>0</v>
      </c>
      <c r="M8524">
        <v>1</v>
      </c>
      <c r="N8524">
        <v>1</v>
      </c>
      <c r="O8524">
        <v>1</v>
      </c>
      <c r="P8524">
        <v>1</v>
      </c>
      <c r="Q8524">
        <v>1</v>
      </c>
      <c r="R8524">
        <v>1</v>
      </c>
    </row>
    <row r="8525" spans="1:39" x14ac:dyDescent="0.2">
      <c r="A8525" t="str">
        <f>"8521"</f>
        <v>8521</v>
      </c>
      <c r="B8525" t="str">
        <f t="shared" si="473"/>
        <v>1</v>
      </c>
      <c r="C8525" t="str">
        <f t="shared" si="474"/>
        <v>171</v>
      </c>
      <c r="D8525" t="str">
        <f>"19"</f>
        <v>19</v>
      </c>
      <c r="E8525" t="str">
        <f>"1-171-19"</f>
        <v>1-171-19</v>
      </c>
      <c r="F8525" t="s">
        <v>65</v>
      </c>
      <c r="G8525" t="s">
        <v>66</v>
      </c>
      <c r="H8525" t="s">
        <v>68</v>
      </c>
      <c r="I8525">
        <v>1</v>
      </c>
      <c r="J8525">
        <v>0</v>
      </c>
      <c r="K8525">
        <v>1</v>
      </c>
      <c r="L8525">
        <v>0</v>
      </c>
      <c r="M8525">
        <v>1</v>
      </c>
      <c r="N8525">
        <v>1</v>
      </c>
      <c r="O8525">
        <v>1</v>
      </c>
      <c r="P8525">
        <v>1</v>
      </c>
      <c r="Q8525">
        <v>1</v>
      </c>
      <c r="R8525">
        <v>1</v>
      </c>
    </row>
    <row r="8526" spans="1:39" x14ac:dyDescent="0.2">
      <c r="A8526" t="str">
        <f>"8522"</f>
        <v>8522</v>
      </c>
      <c r="B8526" t="str">
        <f t="shared" si="473"/>
        <v>1</v>
      </c>
      <c r="C8526" t="str">
        <f t="shared" si="474"/>
        <v>171</v>
      </c>
      <c r="D8526" t="str">
        <f>"38"</f>
        <v>38</v>
      </c>
      <c r="E8526" t="str">
        <f>"1-171-38"</f>
        <v>1-171-38</v>
      </c>
      <c r="F8526" t="s">
        <v>65</v>
      </c>
      <c r="G8526" t="s">
        <v>66</v>
      </c>
      <c r="H8526" t="s">
        <v>68</v>
      </c>
      <c r="I8526">
        <v>0</v>
      </c>
      <c r="J8526">
        <v>0</v>
      </c>
      <c r="K8526">
        <v>0</v>
      </c>
      <c r="L8526">
        <v>1</v>
      </c>
      <c r="M8526">
        <v>1</v>
      </c>
      <c r="N8526">
        <v>1</v>
      </c>
      <c r="O8526">
        <v>1</v>
      </c>
      <c r="P8526">
        <v>1</v>
      </c>
      <c r="Q8526">
        <v>1</v>
      </c>
      <c r="R8526">
        <v>1</v>
      </c>
    </row>
    <row r="8527" spans="1:39" x14ac:dyDescent="0.2">
      <c r="A8527" t="str">
        <f>"8523"</f>
        <v>8523</v>
      </c>
      <c r="B8527" t="str">
        <f t="shared" si="473"/>
        <v>1</v>
      </c>
      <c r="C8527" t="str">
        <f t="shared" si="474"/>
        <v>171</v>
      </c>
      <c r="D8527" t="str">
        <f>"20"</f>
        <v>20</v>
      </c>
      <c r="E8527" t="str">
        <f>"1-171-20"</f>
        <v>1-171-20</v>
      </c>
      <c r="F8527" t="s">
        <v>65</v>
      </c>
      <c r="G8527" t="s">
        <v>66</v>
      </c>
      <c r="H8527" t="s">
        <v>68</v>
      </c>
      <c r="I8527">
        <v>1</v>
      </c>
      <c r="J8527">
        <v>0</v>
      </c>
      <c r="K8527">
        <v>0</v>
      </c>
      <c r="L8527">
        <v>1</v>
      </c>
      <c r="M8527">
        <v>1</v>
      </c>
      <c r="N8527">
        <v>1</v>
      </c>
      <c r="O8527">
        <v>1</v>
      </c>
      <c r="P8527">
        <v>1</v>
      </c>
      <c r="Q8527">
        <v>1</v>
      </c>
      <c r="R8527">
        <v>1</v>
      </c>
    </row>
    <row r="8528" spans="1:39" x14ac:dyDescent="0.2">
      <c r="A8528" t="str">
        <f>"8524"</f>
        <v>8524</v>
      </c>
      <c r="B8528" t="str">
        <f t="shared" si="473"/>
        <v>1</v>
      </c>
      <c r="C8528" t="str">
        <f t="shared" si="474"/>
        <v>171</v>
      </c>
      <c r="D8528" t="str">
        <f>"39"</f>
        <v>39</v>
      </c>
      <c r="E8528" t="str">
        <f>"1-171-39"</f>
        <v>1-171-39</v>
      </c>
      <c r="F8528" t="s">
        <v>65</v>
      </c>
      <c r="G8528" t="s">
        <v>66</v>
      </c>
      <c r="H8528" t="s">
        <v>68</v>
      </c>
      <c r="I8528">
        <v>1</v>
      </c>
      <c r="J8528">
        <v>0</v>
      </c>
      <c r="K8528">
        <v>1</v>
      </c>
      <c r="L8528">
        <v>0</v>
      </c>
      <c r="M8528">
        <v>0</v>
      </c>
      <c r="N8528">
        <v>0</v>
      </c>
      <c r="O8528">
        <v>0</v>
      </c>
      <c r="P8528">
        <v>1</v>
      </c>
      <c r="Q8528">
        <v>1</v>
      </c>
      <c r="R8528">
        <v>1</v>
      </c>
    </row>
    <row r="8529" spans="1:39" x14ac:dyDescent="0.2">
      <c r="A8529" t="str">
        <f>"8525"</f>
        <v>8525</v>
      </c>
      <c r="B8529" t="str">
        <f t="shared" si="473"/>
        <v>1</v>
      </c>
      <c r="C8529" t="str">
        <f t="shared" si="474"/>
        <v>171</v>
      </c>
      <c r="D8529" t="str">
        <f>"21"</f>
        <v>21</v>
      </c>
      <c r="E8529" t="str">
        <f>"1-171-21"</f>
        <v>1-171-21</v>
      </c>
      <c r="F8529" t="s">
        <v>65</v>
      </c>
      <c r="G8529" t="s">
        <v>66</v>
      </c>
      <c r="H8529" t="s">
        <v>68</v>
      </c>
      <c r="I8529">
        <v>1</v>
      </c>
      <c r="J8529">
        <v>1</v>
      </c>
      <c r="K8529">
        <v>0</v>
      </c>
      <c r="L8529">
        <v>0</v>
      </c>
      <c r="M8529">
        <v>1</v>
      </c>
      <c r="N8529">
        <v>1</v>
      </c>
      <c r="O8529">
        <v>1</v>
      </c>
      <c r="P8529">
        <v>1</v>
      </c>
      <c r="Q8529">
        <v>1</v>
      </c>
      <c r="R8529">
        <v>1</v>
      </c>
    </row>
    <row r="8530" spans="1:39" x14ac:dyDescent="0.2">
      <c r="A8530" t="str">
        <f>"8526"</f>
        <v>8526</v>
      </c>
      <c r="B8530" t="str">
        <f t="shared" si="473"/>
        <v>1</v>
      </c>
      <c r="C8530" t="str">
        <f t="shared" si="474"/>
        <v>171</v>
      </c>
      <c r="D8530" t="str">
        <f>"7"</f>
        <v>7</v>
      </c>
      <c r="E8530" t="str">
        <f>"1-171-7"</f>
        <v>1-171-7</v>
      </c>
      <c r="F8530" t="s">
        <v>65</v>
      </c>
      <c r="G8530" t="s">
        <v>66</v>
      </c>
      <c r="H8530" t="s">
        <v>68</v>
      </c>
      <c r="I8530">
        <v>1</v>
      </c>
      <c r="J8530">
        <v>0</v>
      </c>
      <c r="K8530">
        <v>0</v>
      </c>
      <c r="L8530">
        <v>1</v>
      </c>
      <c r="M8530">
        <v>1</v>
      </c>
      <c r="N8530">
        <v>1</v>
      </c>
      <c r="O8530">
        <v>1</v>
      </c>
      <c r="P8530">
        <v>1</v>
      </c>
      <c r="Q8530">
        <v>1</v>
      </c>
      <c r="R8530">
        <v>1</v>
      </c>
    </row>
    <row r="8531" spans="1:39" x14ac:dyDescent="0.2">
      <c r="A8531" t="str">
        <f>"8527"</f>
        <v>8527</v>
      </c>
      <c r="B8531" t="str">
        <f t="shared" si="473"/>
        <v>1</v>
      </c>
      <c r="C8531" t="str">
        <f t="shared" si="474"/>
        <v>171</v>
      </c>
      <c r="D8531" t="str">
        <f>"40"</f>
        <v>40</v>
      </c>
      <c r="E8531" t="str">
        <f>"1-171-40"</f>
        <v>1-171-40</v>
      </c>
      <c r="F8531" t="s">
        <v>65</v>
      </c>
      <c r="G8531" t="s">
        <v>66</v>
      </c>
      <c r="H8531" t="s">
        <v>68</v>
      </c>
      <c r="I8531">
        <v>1</v>
      </c>
      <c r="J8531">
        <v>0</v>
      </c>
      <c r="K8531">
        <v>0</v>
      </c>
      <c r="L8531">
        <v>1</v>
      </c>
      <c r="M8531">
        <v>1</v>
      </c>
      <c r="N8531">
        <v>1</v>
      </c>
      <c r="O8531">
        <v>1</v>
      </c>
      <c r="P8531">
        <v>1</v>
      </c>
      <c r="Q8531">
        <v>1</v>
      </c>
      <c r="R8531">
        <v>1</v>
      </c>
    </row>
    <row r="8532" spans="1:39" x14ac:dyDescent="0.2">
      <c r="A8532" t="str">
        <f>"8528"</f>
        <v>8528</v>
      </c>
      <c r="B8532" t="str">
        <f t="shared" si="473"/>
        <v>1</v>
      </c>
      <c r="C8532" t="str">
        <f t="shared" si="474"/>
        <v>171</v>
      </c>
      <c r="D8532" t="str">
        <f>"22"</f>
        <v>22</v>
      </c>
      <c r="E8532" t="str">
        <f>"1-171-22"</f>
        <v>1-171-22</v>
      </c>
      <c r="F8532" t="s">
        <v>65</v>
      </c>
      <c r="G8532" t="s">
        <v>66</v>
      </c>
      <c r="H8532" t="s">
        <v>68</v>
      </c>
      <c r="I8532">
        <v>1</v>
      </c>
      <c r="J8532">
        <v>0</v>
      </c>
      <c r="K8532">
        <v>1</v>
      </c>
      <c r="L8532">
        <v>0</v>
      </c>
      <c r="M8532">
        <v>1</v>
      </c>
      <c r="N8532">
        <v>1</v>
      </c>
      <c r="O8532">
        <v>1</v>
      </c>
      <c r="P8532">
        <v>1</v>
      </c>
      <c r="Q8532">
        <v>1</v>
      </c>
      <c r="R8532">
        <v>1</v>
      </c>
    </row>
    <row r="8533" spans="1:39" x14ac:dyDescent="0.2">
      <c r="A8533" t="str">
        <f>"8529"</f>
        <v>8529</v>
      </c>
      <c r="B8533" t="str">
        <f t="shared" si="473"/>
        <v>1</v>
      </c>
      <c r="C8533" t="str">
        <f t="shared" si="474"/>
        <v>171</v>
      </c>
      <c r="D8533" t="str">
        <f>"6"</f>
        <v>6</v>
      </c>
      <c r="E8533" t="str">
        <f>"1-171-6"</f>
        <v>1-171-6</v>
      </c>
      <c r="F8533" t="s">
        <v>65</v>
      </c>
      <c r="G8533" t="s">
        <v>66</v>
      </c>
      <c r="H8533" t="s">
        <v>68</v>
      </c>
      <c r="I8533">
        <v>0</v>
      </c>
      <c r="J8533">
        <v>0</v>
      </c>
      <c r="K8533">
        <v>0</v>
      </c>
      <c r="L8533">
        <v>1</v>
      </c>
      <c r="M8533">
        <v>1</v>
      </c>
      <c r="N8533">
        <v>1</v>
      </c>
      <c r="O8533">
        <v>1</v>
      </c>
      <c r="P8533">
        <v>1</v>
      </c>
      <c r="Q8533">
        <v>1</v>
      </c>
      <c r="R8533">
        <v>1</v>
      </c>
    </row>
    <row r="8534" spans="1:39" x14ac:dyDescent="0.2">
      <c r="A8534" t="str">
        <f>"8530"</f>
        <v>8530</v>
      </c>
      <c r="B8534" t="str">
        <f t="shared" si="473"/>
        <v>1</v>
      </c>
      <c r="C8534" t="str">
        <f t="shared" si="474"/>
        <v>171</v>
      </c>
      <c r="D8534" t="str">
        <f>"43"</f>
        <v>43</v>
      </c>
      <c r="E8534" t="str">
        <f>"1-171-43"</f>
        <v>1-171-43</v>
      </c>
      <c r="F8534" t="s">
        <v>65</v>
      </c>
      <c r="G8534" t="s">
        <v>66</v>
      </c>
      <c r="H8534" t="s">
        <v>67</v>
      </c>
      <c r="S8534">
        <v>1</v>
      </c>
      <c r="T8534">
        <v>0</v>
      </c>
      <c r="U8534">
        <v>0</v>
      </c>
      <c r="V8534">
        <v>0</v>
      </c>
      <c r="W8534">
        <v>1</v>
      </c>
      <c r="X8534">
        <v>0</v>
      </c>
      <c r="Y8534">
        <v>1</v>
      </c>
      <c r="Z8534">
        <v>0</v>
      </c>
      <c r="AA8534">
        <v>0</v>
      </c>
      <c r="AB8534">
        <v>1</v>
      </c>
      <c r="AC8534">
        <v>0</v>
      </c>
      <c r="AD8534">
        <v>1</v>
      </c>
      <c r="AE8534">
        <v>1</v>
      </c>
      <c r="AF8534">
        <v>1</v>
      </c>
      <c r="AG8534">
        <v>1</v>
      </c>
      <c r="AH8534">
        <v>1</v>
      </c>
      <c r="AI8534">
        <v>1</v>
      </c>
      <c r="AJ8534">
        <v>1</v>
      </c>
      <c r="AK8534">
        <v>1</v>
      </c>
      <c r="AL8534">
        <v>1</v>
      </c>
      <c r="AM8534">
        <v>1</v>
      </c>
    </row>
    <row r="8535" spans="1:39" x14ac:dyDescent="0.2">
      <c r="A8535" t="str">
        <f>"8531"</f>
        <v>8531</v>
      </c>
      <c r="B8535" t="str">
        <f t="shared" si="473"/>
        <v>1</v>
      </c>
      <c r="C8535" t="str">
        <f t="shared" si="474"/>
        <v>171</v>
      </c>
      <c r="D8535" t="str">
        <f>"23"</f>
        <v>23</v>
      </c>
      <c r="E8535" t="str">
        <f>"1-171-23"</f>
        <v>1-171-23</v>
      </c>
      <c r="F8535" t="s">
        <v>65</v>
      </c>
      <c r="G8535" t="s">
        <v>66</v>
      </c>
      <c r="H8535" t="s">
        <v>68</v>
      </c>
      <c r="I8535">
        <v>1</v>
      </c>
      <c r="J8535">
        <v>1</v>
      </c>
      <c r="K8535">
        <v>0</v>
      </c>
      <c r="L8535">
        <v>0</v>
      </c>
      <c r="M8535">
        <v>1</v>
      </c>
      <c r="N8535">
        <v>1</v>
      </c>
      <c r="O8535">
        <v>1</v>
      </c>
      <c r="P8535">
        <v>1</v>
      </c>
      <c r="Q8535">
        <v>1</v>
      </c>
      <c r="R8535">
        <v>0</v>
      </c>
    </row>
    <row r="8536" spans="1:39" x14ac:dyDescent="0.2">
      <c r="A8536" t="str">
        <f>"8532"</f>
        <v>8532</v>
      </c>
      <c r="B8536" t="str">
        <f t="shared" si="473"/>
        <v>1</v>
      </c>
      <c r="C8536" t="str">
        <f t="shared" si="474"/>
        <v>171</v>
      </c>
      <c r="D8536" t="str">
        <f>"11"</f>
        <v>11</v>
      </c>
      <c r="E8536" t="str">
        <f>"1-171-11"</f>
        <v>1-171-11</v>
      </c>
      <c r="F8536" t="s">
        <v>65</v>
      </c>
      <c r="G8536" t="s">
        <v>66</v>
      </c>
      <c r="H8536" t="s">
        <v>68</v>
      </c>
      <c r="I8536">
        <v>1</v>
      </c>
      <c r="J8536">
        <v>1</v>
      </c>
      <c r="K8536">
        <v>0</v>
      </c>
      <c r="L8536">
        <v>0</v>
      </c>
      <c r="M8536">
        <v>1</v>
      </c>
      <c r="N8536">
        <v>1</v>
      </c>
      <c r="O8536">
        <v>1</v>
      </c>
      <c r="P8536">
        <v>1</v>
      </c>
      <c r="Q8536">
        <v>1</v>
      </c>
      <c r="R8536">
        <v>1</v>
      </c>
    </row>
    <row r="8537" spans="1:39" x14ac:dyDescent="0.2">
      <c r="A8537" t="str">
        <f>"8533"</f>
        <v>8533</v>
      </c>
      <c r="B8537" t="str">
        <f t="shared" si="473"/>
        <v>1</v>
      </c>
      <c r="C8537" t="str">
        <f t="shared" ref="C8537:C8554" si="475">"171"</f>
        <v>171</v>
      </c>
      <c r="D8537" t="str">
        <f>"44"</f>
        <v>44</v>
      </c>
      <c r="E8537" t="str">
        <f>"1-171-44"</f>
        <v>1-171-44</v>
      </c>
      <c r="F8537" t="s">
        <v>65</v>
      </c>
      <c r="G8537" t="s">
        <v>66</v>
      </c>
      <c r="H8537" t="s">
        <v>67</v>
      </c>
      <c r="S8537">
        <v>0</v>
      </c>
      <c r="T8537">
        <v>1</v>
      </c>
      <c r="U8537">
        <v>0</v>
      </c>
      <c r="V8537">
        <v>0</v>
      </c>
      <c r="W8537">
        <v>0</v>
      </c>
      <c r="X8537">
        <v>1</v>
      </c>
      <c r="Y8537">
        <v>0</v>
      </c>
      <c r="Z8537">
        <v>1</v>
      </c>
      <c r="AA8537">
        <v>0</v>
      </c>
      <c r="AB8537">
        <v>1</v>
      </c>
      <c r="AC8537">
        <v>0</v>
      </c>
      <c r="AD8537">
        <v>1</v>
      </c>
      <c r="AE8537">
        <v>1</v>
      </c>
      <c r="AF8537">
        <v>1</v>
      </c>
      <c r="AG8537">
        <v>1</v>
      </c>
      <c r="AH8537">
        <v>1</v>
      </c>
      <c r="AI8537">
        <v>1</v>
      </c>
      <c r="AJ8537">
        <v>1</v>
      </c>
      <c r="AK8537">
        <v>1</v>
      </c>
      <c r="AL8537">
        <v>1</v>
      </c>
      <c r="AM8537">
        <v>1</v>
      </c>
    </row>
    <row r="8538" spans="1:39" x14ac:dyDescent="0.2">
      <c r="A8538" t="str">
        <f>"8534"</f>
        <v>8534</v>
      </c>
      <c r="B8538" t="str">
        <f t="shared" si="473"/>
        <v>1</v>
      </c>
      <c r="C8538" t="str">
        <f t="shared" si="475"/>
        <v>171</v>
      </c>
      <c r="D8538" t="str">
        <f>"24"</f>
        <v>24</v>
      </c>
      <c r="E8538" t="str">
        <f>"1-171-24"</f>
        <v>1-171-24</v>
      </c>
      <c r="F8538" t="s">
        <v>65</v>
      </c>
      <c r="G8538" t="s">
        <v>66</v>
      </c>
      <c r="H8538" t="s">
        <v>68</v>
      </c>
      <c r="I8538">
        <v>1</v>
      </c>
      <c r="J8538">
        <v>1</v>
      </c>
      <c r="K8538">
        <v>0</v>
      </c>
      <c r="L8538">
        <v>0</v>
      </c>
      <c r="M8538">
        <v>1</v>
      </c>
      <c r="N8538">
        <v>1</v>
      </c>
      <c r="O8538">
        <v>1</v>
      </c>
      <c r="P8538">
        <v>1</v>
      </c>
      <c r="Q8538">
        <v>1</v>
      </c>
      <c r="R8538">
        <v>1</v>
      </c>
    </row>
    <row r="8539" spans="1:39" x14ac:dyDescent="0.2">
      <c r="A8539" t="str">
        <f>"8535"</f>
        <v>8535</v>
      </c>
      <c r="B8539" t="str">
        <f t="shared" si="473"/>
        <v>1</v>
      </c>
      <c r="C8539" t="str">
        <f t="shared" si="475"/>
        <v>171</v>
      </c>
      <c r="D8539" t="str">
        <f>"14"</f>
        <v>14</v>
      </c>
      <c r="E8539" t="str">
        <f>"1-171-14"</f>
        <v>1-171-14</v>
      </c>
      <c r="F8539" t="s">
        <v>65</v>
      </c>
      <c r="G8539" t="s">
        <v>66</v>
      </c>
      <c r="H8539" t="s">
        <v>68</v>
      </c>
      <c r="I8539">
        <v>1</v>
      </c>
      <c r="J8539">
        <v>1</v>
      </c>
      <c r="K8539">
        <v>0</v>
      </c>
      <c r="L8539">
        <v>0</v>
      </c>
      <c r="M8539">
        <v>1</v>
      </c>
      <c r="N8539">
        <v>1</v>
      </c>
      <c r="O8539">
        <v>1</v>
      </c>
      <c r="P8539">
        <v>1</v>
      </c>
      <c r="Q8539">
        <v>1</v>
      </c>
      <c r="R8539">
        <v>1</v>
      </c>
    </row>
    <row r="8540" spans="1:39" x14ac:dyDescent="0.2">
      <c r="A8540" t="str">
        <f>"8536"</f>
        <v>8536</v>
      </c>
      <c r="B8540" t="str">
        <f t="shared" si="473"/>
        <v>1</v>
      </c>
      <c r="C8540" t="str">
        <f t="shared" si="475"/>
        <v>171</v>
      </c>
      <c r="D8540" t="str">
        <f>"45"</f>
        <v>45</v>
      </c>
      <c r="E8540" t="str">
        <f>"1-171-45"</f>
        <v>1-171-45</v>
      </c>
      <c r="F8540" t="s">
        <v>65</v>
      </c>
      <c r="G8540" t="s">
        <v>66</v>
      </c>
      <c r="H8540" t="s">
        <v>67</v>
      </c>
      <c r="S8540">
        <v>1</v>
      </c>
      <c r="T8540">
        <v>0</v>
      </c>
      <c r="U8540">
        <v>0</v>
      </c>
      <c r="V8540">
        <v>0</v>
      </c>
      <c r="W8540">
        <v>1</v>
      </c>
      <c r="X8540">
        <v>0</v>
      </c>
      <c r="Y8540">
        <v>1</v>
      </c>
      <c r="Z8540">
        <v>0</v>
      </c>
      <c r="AA8540">
        <v>1</v>
      </c>
      <c r="AB8540">
        <v>0</v>
      </c>
      <c r="AC8540">
        <v>0</v>
      </c>
      <c r="AD8540">
        <v>1</v>
      </c>
      <c r="AE8540">
        <v>1</v>
      </c>
      <c r="AF8540">
        <v>1</v>
      </c>
      <c r="AG8540">
        <v>1</v>
      </c>
      <c r="AH8540">
        <v>1</v>
      </c>
      <c r="AI8540">
        <v>1</v>
      </c>
      <c r="AJ8540">
        <v>1</v>
      </c>
      <c r="AK8540">
        <v>1</v>
      </c>
      <c r="AL8540">
        <v>1</v>
      </c>
      <c r="AM8540">
        <v>1</v>
      </c>
    </row>
    <row r="8541" spans="1:39" x14ac:dyDescent="0.2">
      <c r="A8541" t="str">
        <f>"8537"</f>
        <v>8537</v>
      </c>
      <c r="B8541" t="str">
        <f t="shared" si="473"/>
        <v>1</v>
      </c>
      <c r="C8541" t="str">
        <f t="shared" si="475"/>
        <v>171</v>
      </c>
      <c r="D8541" t="str">
        <f>"25"</f>
        <v>25</v>
      </c>
      <c r="E8541" t="str">
        <f>"1-171-25"</f>
        <v>1-171-25</v>
      </c>
      <c r="F8541" t="s">
        <v>65</v>
      </c>
      <c r="G8541" t="s">
        <v>66</v>
      </c>
      <c r="H8541" t="s">
        <v>68</v>
      </c>
      <c r="I8541">
        <v>1</v>
      </c>
      <c r="J8541">
        <v>1</v>
      </c>
      <c r="K8541">
        <v>0</v>
      </c>
      <c r="L8541">
        <v>0</v>
      </c>
      <c r="M8541">
        <v>1</v>
      </c>
      <c r="N8541">
        <v>1</v>
      </c>
      <c r="O8541">
        <v>1</v>
      </c>
      <c r="P8541">
        <v>1</v>
      </c>
      <c r="Q8541">
        <v>1</v>
      </c>
      <c r="R8541">
        <v>1</v>
      </c>
    </row>
    <row r="8542" spans="1:39" x14ac:dyDescent="0.2">
      <c r="A8542" t="str">
        <f>"8538"</f>
        <v>8538</v>
      </c>
      <c r="B8542" t="str">
        <f t="shared" si="473"/>
        <v>1</v>
      </c>
      <c r="C8542" t="str">
        <f t="shared" si="475"/>
        <v>171</v>
      </c>
      <c r="D8542" t="str">
        <f>"9"</f>
        <v>9</v>
      </c>
      <c r="E8542" t="str">
        <f>"1-171-9"</f>
        <v>1-171-9</v>
      </c>
      <c r="F8542" t="s">
        <v>65</v>
      </c>
      <c r="G8542" t="s">
        <v>66</v>
      </c>
      <c r="H8542" t="s">
        <v>68</v>
      </c>
      <c r="I8542">
        <v>1</v>
      </c>
      <c r="J8542">
        <v>1</v>
      </c>
      <c r="K8542">
        <v>0</v>
      </c>
      <c r="L8542">
        <v>0</v>
      </c>
      <c r="M8542">
        <v>1</v>
      </c>
      <c r="N8542">
        <v>1</v>
      </c>
      <c r="O8542">
        <v>1</v>
      </c>
      <c r="P8542">
        <v>1</v>
      </c>
      <c r="Q8542">
        <v>1</v>
      </c>
      <c r="R8542">
        <v>1</v>
      </c>
    </row>
    <row r="8543" spans="1:39" x14ac:dyDescent="0.2">
      <c r="A8543" t="str">
        <f>"8539"</f>
        <v>8539</v>
      </c>
      <c r="B8543" t="str">
        <f t="shared" si="473"/>
        <v>1</v>
      </c>
      <c r="C8543" t="str">
        <f t="shared" si="475"/>
        <v>171</v>
      </c>
      <c r="D8543" t="str">
        <f>"46"</f>
        <v>46</v>
      </c>
      <c r="E8543" t="str">
        <f>"1-171-46"</f>
        <v>1-171-46</v>
      </c>
      <c r="F8543" t="s">
        <v>65</v>
      </c>
      <c r="G8543" t="s">
        <v>66</v>
      </c>
      <c r="H8543" t="s">
        <v>67</v>
      </c>
      <c r="S8543">
        <v>0</v>
      </c>
      <c r="T8543">
        <v>1</v>
      </c>
      <c r="U8543">
        <v>0</v>
      </c>
      <c r="V8543">
        <v>0</v>
      </c>
      <c r="W8543">
        <v>1</v>
      </c>
      <c r="X8543">
        <v>0</v>
      </c>
      <c r="Y8543">
        <v>0</v>
      </c>
      <c r="Z8543">
        <v>1</v>
      </c>
      <c r="AA8543">
        <v>0</v>
      </c>
      <c r="AB8543">
        <v>1</v>
      </c>
      <c r="AC8543">
        <v>0</v>
      </c>
      <c r="AD8543">
        <v>1</v>
      </c>
      <c r="AE8543">
        <v>1</v>
      </c>
      <c r="AF8543">
        <v>1</v>
      </c>
      <c r="AG8543">
        <v>0</v>
      </c>
      <c r="AH8543">
        <v>0</v>
      </c>
      <c r="AI8543">
        <v>1</v>
      </c>
      <c r="AJ8543">
        <v>1</v>
      </c>
      <c r="AK8543">
        <v>1</v>
      </c>
      <c r="AL8543">
        <v>1</v>
      </c>
      <c r="AM8543">
        <v>1</v>
      </c>
    </row>
    <row r="8544" spans="1:39" x14ac:dyDescent="0.2">
      <c r="A8544" t="str">
        <f>"8540"</f>
        <v>8540</v>
      </c>
      <c r="B8544" t="str">
        <f t="shared" si="473"/>
        <v>1</v>
      </c>
      <c r="C8544" t="str">
        <f t="shared" si="475"/>
        <v>171</v>
      </c>
      <c r="D8544" t="str">
        <f>"27"</f>
        <v>27</v>
      </c>
      <c r="E8544" t="str">
        <f>"1-171-27"</f>
        <v>1-171-27</v>
      </c>
      <c r="F8544" t="s">
        <v>65</v>
      </c>
      <c r="G8544" t="s">
        <v>66</v>
      </c>
      <c r="H8544" t="s">
        <v>68</v>
      </c>
      <c r="I8544">
        <v>1</v>
      </c>
      <c r="J8544">
        <v>0</v>
      </c>
      <c r="K8544">
        <v>1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</row>
    <row r="8545" spans="1:39" x14ac:dyDescent="0.2">
      <c r="A8545" t="str">
        <f>"8541"</f>
        <v>8541</v>
      </c>
      <c r="B8545" t="str">
        <f t="shared" si="473"/>
        <v>1</v>
      </c>
      <c r="C8545" t="str">
        <f t="shared" si="475"/>
        <v>171</v>
      </c>
      <c r="D8545" t="str">
        <f>"3"</f>
        <v>3</v>
      </c>
      <c r="E8545" t="str">
        <f>"1-171-3"</f>
        <v>1-171-3</v>
      </c>
      <c r="F8545" t="s">
        <v>65</v>
      </c>
      <c r="G8545" t="s">
        <v>66</v>
      </c>
      <c r="H8545" t="s">
        <v>67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1</v>
      </c>
      <c r="Y8545">
        <v>0</v>
      </c>
      <c r="Z8545">
        <v>0</v>
      </c>
      <c r="AA8545">
        <v>0</v>
      </c>
      <c r="AB8545">
        <v>1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1</v>
      </c>
      <c r="AI8545">
        <v>0</v>
      </c>
      <c r="AJ8545">
        <v>0</v>
      </c>
      <c r="AK8545">
        <v>0</v>
      </c>
      <c r="AL8545">
        <v>0</v>
      </c>
      <c r="AM8545">
        <v>0</v>
      </c>
    </row>
    <row r="8546" spans="1:39" x14ac:dyDescent="0.2">
      <c r="A8546" t="str">
        <f>"8542"</f>
        <v>8542</v>
      </c>
      <c r="B8546" t="str">
        <f t="shared" si="473"/>
        <v>1</v>
      </c>
      <c r="C8546" t="str">
        <f t="shared" si="475"/>
        <v>171</v>
      </c>
      <c r="D8546" t="str">
        <f>"47"</f>
        <v>47</v>
      </c>
      <c r="E8546" t="str">
        <f>"1-171-47"</f>
        <v>1-171-47</v>
      </c>
      <c r="F8546" t="s">
        <v>65</v>
      </c>
      <c r="G8546" t="s">
        <v>66</v>
      </c>
      <c r="H8546" t="s">
        <v>67</v>
      </c>
      <c r="S8546">
        <v>1</v>
      </c>
      <c r="T8546">
        <v>0</v>
      </c>
      <c r="U8546">
        <v>0</v>
      </c>
      <c r="V8546">
        <v>0</v>
      </c>
      <c r="W8546">
        <v>1</v>
      </c>
      <c r="X8546">
        <v>0</v>
      </c>
      <c r="Y8546">
        <v>1</v>
      </c>
      <c r="Z8546">
        <v>0</v>
      </c>
      <c r="AA8546">
        <v>1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1</v>
      </c>
      <c r="AM8546">
        <v>0</v>
      </c>
    </row>
    <row r="8547" spans="1:39" x14ac:dyDescent="0.2">
      <c r="A8547" t="str">
        <f>"8543"</f>
        <v>8543</v>
      </c>
      <c r="B8547" t="str">
        <f t="shared" si="473"/>
        <v>1</v>
      </c>
      <c r="C8547" t="str">
        <f t="shared" si="475"/>
        <v>171</v>
      </c>
      <c r="D8547" t="str">
        <f>"29"</f>
        <v>29</v>
      </c>
      <c r="E8547" t="str">
        <f>"1-171-29"</f>
        <v>1-171-29</v>
      </c>
      <c r="F8547" t="s">
        <v>65</v>
      </c>
      <c r="G8547" t="s">
        <v>66</v>
      </c>
      <c r="H8547" t="s">
        <v>68</v>
      </c>
      <c r="I8547">
        <v>1</v>
      </c>
      <c r="J8547">
        <v>0</v>
      </c>
      <c r="K8547">
        <v>0</v>
      </c>
      <c r="L8547">
        <v>1</v>
      </c>
      <c r="M8547">
        <v>1</v>
      </c>
      <c r="N8547">
        <v>1</v>
      </c>
      <c r="O8547">
        <v>1</v>
      </c>
      <c r="P8547">
        <v>1</v>
      </c>
      <c r="Q8547">
        <v>1</v>
      </c>
      <c r="R8547">
        <v>1</v>
      </c>
    </row>
    <row r="8548" spans="1:39" x14ac:dyDescent="0.2">
      <c r="A8548" t="str">
        <f>"8544"</f>
        <v>8544</v>
      </c>
      <c r="B8548" t="str">
        <f t="shared" si="473"/>
        <v>1</v>
      </c>
      <c r="C8548" t="str">
        <f t="shared" si="475"/>
        <v>171</v>
      </c>
      <c r="D8548" t="str">
        <f>"8"</f>
        <v>8</v>
      </c>
      <c r="E8548" t="str">
        <f>"1-171-8"</f>
        <v>1-171-8</v>
      </c>
      <c r="F8548" t="s">
        <v>65</v>
      </c>
      <c r="G8548" t="s">
        <v>66</v>
      </c>
      <c r="H8548" t="s">
        <v>68</v>
      </c>
      <c r="I8548">
        <v>1</v>
      </c>
      <c r="J8548">
        <v>0</v>
      </c>
      <c r="K8548">
        <v>0</v>
      </c>
      <c r="L8548">
        <v>1</v>
      </c>
      <c r="M8548">
        <v>1</v>
      </c>
      <c r="N8548">
        <v>1</v>
      </c>
      <c r="O8548">
        <v>1</v>
      </c>
      <c r="P8548">
        <v>1</v>
      </c>
      <c r="Q8548">
        <v>1</v>
      </c>
      <c r="R8548">
        <v>1</v>
      </c>
    </row>
    <row r="8549" spans="1:39" x14ac:dyDescent="0.2">
      <c r="A8549" t="str">
        <f>"8545"</f>
        <v>8545</v>
      </c>
      <c r="B8549" t="str">
        <f t="shared" si="473"/>
        <v>1</v>
      </c>
      <c r="C8549" t="str">
        <f t="shared" si="475"/>
        <v>171</v>
      </c>
      <c r="D8549" t="str">
        <f>"30"</f>
        <v>30</v>
      </c>
      <c r="E8549" t="str">
        <f>"1-171-30"</f>
        <v>1-171-30</v>
      </c>
      <c r="F8549" t="s">
        <v>65</v>
      </c>
      <c r="G8549" t="s">
        <v>66</v>
      </c>
      <c r="H8549" t="s">
        <v>68</v>
      </c>
      <c r="I8549">
        <v>1</v>
      </c>
      <c r="J8549">
        <v>0</v>
      </c>
      <c r="K8549">
        <v>0</v>
      </c>
      <c r="L8549">
        <v>1</v>
      </c>
      <c r="M8549">
        <v>1</v>
      </c>
      <c r="N8549">
        <v>1</v>
      </c>
      <c r="O8549">
        <v>1</v>
      </c>
      <c r="P8549">
        <v>1</v>
      </c>
      <c r="Q8549">
        <v>1</v>
      </c>
      <c r="R8549">
        <v>1</v>
      </c>
    </row>
    <row r="8550" spans="1:39" x14ac:dyDescent="0.2">
      <c r="A8550" t="str">
        <f>"8546"</f>
        <v>8546</v>
      </c>
      <c r="B8550" t="str">
        <f t="shared" si="473"/>
        <v>1</v>
      </c>
      <c r="C8550" t="str">
        <f t="shared" si="475"/>
        <v>171</v>
      </c>
      <c r="D8550" t="str">
        <f>"5"</f>
        <v>5</v>
      </c>
      <c r="E8550" t="str">
        <f>"1-171-5"</f>
        <v>1-171-5</v>
      </c>
      <c r="F8550" t="s">
        <v>65</v>
      </c>
      <c r="G8550" t="s">
        <v>66</v>
      </c>
      <c r="H8550" t="s">
        <v>67</v>
      </c>
      <c r="S8550">
        <v>0</v>
      </c>
      <c r="T8550">
        <v>1</v>
      </c>
      <c r="U8550">
        <v>0</v>
      </c>
      <c r="V8550">
        <v>0</v>
      </c>
      <c r="W8550">
        <v>0</v>
      </c>
      <c r="X8550">
        <v>1</v>
      </c>
      <c r="Y8550">
        <v>1</v>
      </c>
      <c r="Z8550">
        <v>0</v>
      </c>
      <c r="AA8550">
        <v>0</v>
      </c>
      <c r="AB8550">
        <v>1</v>
      </c>
      <c r="AC8550">
        <v>0</v>
      </c>
      <c r="AD8550">
        <v>1</v>
      </c>
      <c r="AE8550">
        <v>1</v>
      </c>
      <c r="AF8550">
        <v>1</v>
      </c>
      <c r="AG8550">
        <v>1</v>
      </c>
      <c r="AH8550">
        <v>1</v>
      </c>
      <c r="AI8550">
        <v>1</v>
      </c>
      <c r="AJ8550">
        <v>1</v>
      </c>
      <c r="AK8550">
        <v>1</v>
      </c>
      <c r="AL8550">
        <v>1</v>
      </c>
      <c r="AM8550">
        <v>1</v>
      </c>
    </row>
    <row r="8551" spans="1:39" x14ac:dyDescent="0.2">
      <c r="A8551" t="str">
        <f>"8547"</f>
        <v>8547</v>
      </c>
      <c r="B8551" t="str">
        <f t="shared" si="473"/>
        <v>1</v>
      </c>
      <c r="C8551" t="str">
        <f t="shared" si="475"/>
        <v>171</v>
      </c>
      <c r="D8551" t="str">
        <f>"1"</f>
        <v>1</v>
      </c>
      <c r="E8551" t="str">
        <f>"1-171-1"</f>
        <v>1-171-1</v>
      </c>
      <c r="F8551" t="s">
        <v>65</v>
      </c>
      <c r="G8551" t="s">
        <v>66</v>
      </c>
      <c r="H8551" t="s">
        <v>67</v>
      </c>
      <c r="S8551">
        <v>0</v>
      </c>
      <c r="T8551">
        <v>1</v>
      </c>
      <c r="U8551">
        <v>0</v>
      </c>
      <c r="V8551">
        <v>0</v>
      </c>
      <c r="W8551">
        <v>1</v>
      </c>
      <c r="X8551">
        <v>0</v>
      </c>
      <c r="Y8551">
        <v>0</v>
      </c>
      <c r="Z8551">
        <v>1</v>
      </c>
      <c r="AA8551">
        <v>1</v>
      </c>
      <c r="AB8551">
        <v>0</v>
      </c>
      <c r="AC8551">
        <v>0</v>
      </c>
      <c r="AD8551">
        <v>1</v>
      </c>
      <c r="AE8551">
        <v>1</v>
      </c>
      <c r="AF8551">
        <v>1</v>
      </c>
      <c r="AG8551">
        <v>1</v>
      </c>
      <c r="AH8551">
        <v>1</v>
      </c>
      <c r="AI8551">
        <v>1</v>
      </c>
      <c r="AJ8551">
        <v>1</v>
      </c>
      <c r="AK8551">
        <v>1</v>
      </c>
      <c r="AL8551">
        <v>1</v>
      </c>
      <c r="AM8551">
        <v>1</v>
      </c>
    </row>
    <row r="8552" spans="1:39" x14ac:dyDescent="0.2">
      <c r="A8552" t="str">
        <f>"8548"</f>
        <v>8548</v>
      </c>
      <c r="B8552" t="str">
        <f t="shared" si="473"/>
        <v>1</v>
      </c>
      <c r="C8552" t="str">
        <f t="shared" si="475"/>
        <v>171</v>
      </c>
      <c r="D8552" t="str">
        <f>"49"</f>
        <v>49</v>
      </c>
      <c r="E8552" t="str">
        <f>"1-171-49"</f>
        <v>1-171-49</v>
      </c>
      <c r="F8552" t="s">
        <v>65</v>
      </c>
      <c r="G8552" t="s">
        <v>66</v>
      </c>
      <c r="H8552" t="s">
        <v>67</v>
      </c>
      <c r="S8552">
        <v>0</v>
      </c>
      <c r="T8552">
        <v>1</v>
      </c>
      <c r="U8552">
        <v>0</v>
      </c>
      <c r="V8552">
        <v>0</v>
      </c>
      <c r="W8552">
        <v>1</v>
      </c>
      <c r="X8552">
        <v>0</v>
      </c>
      <c r="Y8552">
        <v>0</v>
      </c>
      <c r="Z8552">
        <v>1</v>
      </c>
      <c r="AA8552">
        <v>1</v>
      </c>
      <c r="AB8552">
        <v>0</v>
      </c>
      <c r="AC8552">
        <v>0</v>
      </c>
      <c r="AD8552">
        <v>1</v>
      </c>
      <c r="AE8552">
        <v>1</v>
      </c>
      <c r="AF8552">
        <v>1</v>
      </c>
      <c r="AG8552">
        <v>1</v>
      </c>
      <c r="AH8552">
        <v>1</v>
      </c>
      <c r="AI8552">
        <v>1</v>
      </c>
      <c r="AJ8552">
        <v>1</v>
      </c>
      <c r="AK8552">
        <v>1</v>
      </c>
      <c r="AL8552">
        <v>1</v>
      </c>
      <c r="AM8552">
        <v>1</v>
      </c>
    </row>
    <row r="8553" spans="1:39" x14ac:dyDescent="0.2">
      <c r="A8553" t="str">
        <f>"8549"</f>
        <v>8549</v>
      </c>
      <c r="B8553" t="str">
        <f t="shared" si="473"/>
        <v>1</v>
      </c>
      <c r="C8553" t="str">
        <f t="shared" si="475"/>
        <v>171</v>
      </c>
      <c r="D8553" t="str">
        <f>"2"</f>
        <v>2</v>
      </c>
      <c r="E8553" t="str">
        <f>"1-171-2"</f>
        <v>1-171-2</v>
      </c>
      <c r="F8553" t="s">
        <v>65</v>
      </c>
      <c r="G8553" t="s">
        <v>66</v>
      </c>
      <c r="H8553" t="s">
        <v>67</v>
      </c>
      <c r="S8553">
        <v>0</v>
      </c>
      <c r="T8553">
        <v>1</v>
      </c>
      <c r="U8553">
        <v>0</v>
      </c>
      <c r="V8553">
        <v>0</v>
      </c>
      <c r="W8553">
        <v>1</v>
      </c>
      <c r="X8553">
        <v>0</v>
      </c>
      <c r="Y8553">
        <v>0</v>
      </c>
      <c r="Z8553">
        <v>1</v>
      </c>
      <c r="AA8553">
        <v>1</v>
      </c>
      <c r="AB8553">
        <v>0</v>
      </c>
      <c r="AC8553">
        <v>0</v>
      </c>
      <c r="AD8553">
        <v>1</v>
      </c>
      <c r="AE8553">
        <v>1</v>
      </c>
      <c r="AF8553">
        <v>1</v>
      </c>
      <c r="AG8553">
        <v>1</v>
      </c>
      <c r="AH8553">
        <v>1</v>
      </c>
      <c r="AI8553">
        <v>1</v>
      </c>
      <c r="AJ8553">
        <v>1</v>
      </c>
      <c r="AK8553">
        <v>1</v>
      </c>
      <c r="AL8553">
        <v>1</v>
      </c>
      <c r="AM8553">
        <v>1</v>
      </c>
    </row>
    <row r="8554" spans="1:39" x14ac:dyDescent="0.2">
      <c r="A8554" t="str">
        <f>"8550"</f>
        <v>8550</v>
      </c>
      <c r="B8554" t="str">
        <f t="shared" si="473"/>
        <v>1</v>
      </c>
      <c r="C8554" t="str">
        <f t="shared" si="475"/>
        <v>171</v>
      </c>
      <c r="D8554" t="str">
        <f>"50"</f>
        <v>50</v>
      </c>
      <c r="E8554" t="str">
        <f>"1-171-50"</f>
        <v>1-171-50</v>
      </c>
      <c r="F8554" t="s">
        <v>65</v>
      </c>
      <c r="G8554" t="s">
        <v>66</v>
      </c>
      <c r="H8554" t="s">
        <v>67</v>
      </c>
      <c r="S8554">
        <v>1</v>
      </c>
      <c r="T8554">
        <v>0</v>
      </c>
      <c r="U8554">
        <v>0</v>
      </c>
      <c r="V8554">
        <v>0</v>
      </c>
      <c r="W8554">
        <v>0</v>
      </c>
      <c r="X8554">
        <v>1</v>
      </c>
      <c r="Y8554">
        <v>0</v>
      </c>
      <c r="Z8554">
        <v>1</v>
      </c>
      <c r="AA8554">
        <v>0</v>
      </c>
      <c r="AB8554">
        <v>0</v>
      </c>
      <c r="AC8554">
        <v>1</v>
      </c>
      <c r="AD8554">
        <v>1</v>
      </c>
      <c r="AE8554">
        <v>1</v>
      </c>
      <c r="AF8554">
        <v>1</v>
      </c>
      <c r="AG8554">
        <v>1</v>
      </c>
      <c r="AH8554">
        <v>1</v>
      </c>
      <c r="AI8554">
        <v>1</v>
      </c>
      <c r="AJ8554">
        <v>1</v>
      </c>
      <c r="AK8554">
        <v>1</v>
      </c>
      <c r="AL8554">
        <v>1</v>
      </c>
      <c r="AM8554">
        <v>1</v>
      </c>
    </row>
    <row r="8555" spans="1:39" x14ac:dyDescent="0.2">
      <c r="A8555" t="str">
        <f>"8551"</f>
        <v>8551</v>
      </c>
      <c r="B8555" t="str">
        <f t="shared" si="473"/>
        <v>1</v>
      </c>
      <c r="C8555" t="str">
        <f t="shared" ref="C8555:C8586" si="476">"172"</f>
        <v>172</v>
      </c>
      <c r="D8555" t="str">
        <f>"44"</f>
        <v>44</v>
      </c>
      <c r="E8555" t="str">
        <f>"1-172-44"</f>
        <v>1-172-44</v>
      </c>
      <c r="F8555" t="s">
        <v>65</v>
      </c>
      <c r="G8555" t="s">
        <v>66</v>
      </c>
      <c r="H8555" t="s">
        <v>67</v>
      </c>
      <c r="S8555">
        <v>1</v>
      </c>
      <c r="T8555">
        <v>0</v>
      </c>
      <c r="U8555">
        <v>0</v>
      </c>
      <c r="V8555">
        <v>0</v>
      </c>
      <c r="W8555">
        <v>1</v>
      </c>
      <c r="X8555">
        <v>0</v>
      </c>
      <c r="Y8555">
        <v>1</v>
      </c>
      <c r="Z8555">
        <v>0</v>
      </c>
      <c r="AA8555">
        <v>1</v>
      </c>
      <c r="AB8555">
        <v>0</v>
      </c>
      <c r="AC8555">
        <v>0</v>
      </c>
      <c r="AD8555">
        <v>1</v>
      </c>
      <c r="AE8555">
        <v>1</v>
      </c>
      <c r="AF8555">
        <v>1</v>
      </c>
      <c r="AG8555">
        <v>1</v>
      </c>
      <c r="AH8555">
        <v>1</v>
      </c>
      <c r="AI8555">
        <v>1</v>
      </c>
      <c r="AJ8555">
        <v>1</v>
      </c>
      <c r="AK8555">
        <v>1</v>
      </c>
      <c r="AL8555">
        <v>1</v>
      </c>
      <c r="AM8555">
        <v>1</v>
      </c>
    </row>
    <row r="8556" spans="1:39" x14ac:dyDescent="0.2">
      <c r="A8556" t="str">
        <f>"8552"</f>
        <v>8552</v>
      </c>
      <c r="B8556" t="str">
        <f t="shared" si="473"/>
        <v>1</v>
      </c>
      <c r="C8556" t="str">
        <f t="shared" si="476"/>
        <v>172</v>
      </c>
      <c r="D8556" t="str">
        <f>"43"</f>
        <v>43</v>
      </c>
      <c r="E8556" t="str">
        <f>"1-172-43"</f>
        <v>1-172-43</v>
      </c>
      <c r="F8556" t="s">
        <v>65</v>
      </c>
      <c r="G8556" t="s">
        <v>66</v>
      </c>
      <c r="H8556" t="s">
        <v>67</v>
      </c>
      <c r="S8556">
        <v>0</v>
      </c>
      <c r="T8556">
        <v>1</v>
      </c>
      <c r="U8556">
        <v>0</v>
      </c>
      <c r="V8556">
        <v>0</v>
      </c>
      <c r="W8556">
        <v>1</v>
      </c>
      <c r="X8556">
        <v>0</v>
      </c>
      <c r="Y8556">
        <v>0</v>
      </c>
      <c r="Z8556">
        <v>1</v>
      </c>
      <c r="AA8556">
        <v>0</v>
      </c>
      <c r="AB8556">
        <v>0</v>
      </c>
      <c r="AC8556">
        <v>1</v>
      </c>
      <c r="AD8556">
        <v>1</v>
      </c>
      <c r="AE8556">
        <v>1</v>
      </c>
      <c r="AF8556">
        <v>1</v>
      </c>
      <c r="AG8556">
        <v>1</v>
      </c>
      <c r="AH8556">
        <v>1</v>
      </c>
      <c r="AI8556">
        <v>1</v>
      </c>
      <c r="AJ8556">
        <v>1</v>
      </c>
      <c r="AK8556">
        <v>1</v>
      </c>
      <c r="AL8556">
        <v>1</v>
      </c>
      <c r="AM8556">
        <v>1</v>
      </c>
    </row>
    <row r="8557" spans="1:39" x14ac:dyDescent="0.2">
      <c r="A8557" t="str">
        <f>"8553"</f>
        <v>8553</v>
      </c>
      <c r="B8557" t="str">
        <f t="shared" si="473"/>
        <v>1</v>
      </c>
      <c r="C8557" t="str">
        <f t="shared" si="476"/>
        <v>172</v>
      </c>
      <c r="D8557" t="str">
        <f>"31"</f>
        <v>31</v>
      </c>
      <c r="E8557" t="str">
        <f>"1-172-31"</f>
        <v>1-172-31</v>
      </c>
      <c r="F8557" t="s">
        <v>65</v>
      </c>
      <c r="G8557" t="s">
        <v>66</v>
      </c>
      <c r="H8557" t="s">
        <v>67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1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</row>
    <row r="8558" spans="1:39" x14ac:dyDescent="0.2">
      <c r="A8558" t="str">
        <f>"8554"</f>
        <v>8554</v>
      </c>
      <c r="B8558" t="str">
        <f t="shared" si="473"/>
        <v>1</v>
      </c>
      <c r="C8558" t="str">
        <f t="shared" si="476"/>
        <v>172</v>
      </c>
      <c r="D8558" t="str">
        <f>"30"</f>
        <v>30</v>
      </c>
      <c r="E8558" t="str">
        <f>"1-172-30"</f>
        <v>1-172-30</v>
      </c>
      <c r="F8558" t="s">
        <v>65</v>
      </c>
      <c r="G8558" t="s">
        <v>66</v>
      </c>
      <c r="H8558" t="s">
        <v>67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1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</row>
    <row r="8559" spans="1:39" x14ac:dyDescent="0.2">
      <c r="A8559" t="str">
        <f>"8555"</f>
        <v>8555</v>
      </c>
      <c r="B8559" t="str">
        <f t="shared" si="473"/>
        <v>1</v>
      </c>
      <c r="C8559" t="str">
        <f t="shared" si="476"/>
        <v>172</v>
      </c>
      <c r="D8559" t="str">
        <f>"19"</f>
        <v>19</v>
      </c>
      <c r="E8559" t="str">
        <f>"1-172-19"</f>
        <v>1-172-19</v>
      </c>
      <c r="F8559" t="s">
        <v>65</v>
      </c>
      <c r="G8559" t="s">
        <v>66</v>
      </c>
      <c r="H8559" t="s">
        <v>67</v>
      </c>
      <c r="S8559">
        <v>1</v>
      </c>
      <c r="T8559">
        <v>0</v>
      </c>
      <c r="U8559">
        <v>0</v>
      </c>
      <c r="V8559">
        <v>0</v>
      </c>
      <c r="W8559">
        <v>0</v>
      </c>
      <c r="X8559">
        <v>1</v>
      </c>
      <c r="Y8559">
        <v>0</v>
      </c>
      <c r="Z8559">
        <v>1</v>
      </c>
      <c r="AA8559">
        <v>0</v>
      </c>
      <c r="AB8559">
        <v>1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</row>
    <row r="8560" spans="1:39" x14ac:dyDescent="0.2">
      <c r="A8560" t="str">
        <f>"8556"</f>
        <v>8556</v>
      </c>
      <c r="B8560" t="str">
        <f t="shared" si="473"/>
        <v>1</v>
      </c>
      <c r="C8560" t="str">
        <f t="shared" si="476"/>
        <v>172</v>
      </c>
      <c r="D8560" t="str">
        <f>"15"</f>
        <v>15</v>
      </c>
      <c r="E8560" t="str">
        <f>"1-172-15"</f>
        <v>1-172-15</v>
      </c>
      <c r="F8560" t="s">
        <v>65</v>
      </c>
      <c r="G8560" t="s">
        <v>66</v>
      </c>
      <c r="H8560" t="s">
        <v>67</v>
      </c>
      <c r="S8560">
        <v>0</v>
      </c>
      <c r="T8560">
        <v>1</v>
      </c>
      <c r="U8560">
        <v>0</v>
      </c>
      <c r="V8560">
        <v>0</v>
      </c>
      <c r="W8560">
        <v>1</v>
      </c>
      <c r="X8560">
        <v>0</v>
      </c>
      <c r="Y8560">
        <v>0</v>
      </c>
      <c r="Z8560">
        <v>1</v>
      </c>
      <c r="AA8560">
        <v>1</v>
      </c>
      <c r="AB8560">
        <v>0</v>
      </c>
      <c r="AC8560">
        <v>0</v>
      </c>
      <c r="AD8560">
        <v>1</v>
      </c>
      <c r="AE8560">
        <v>1</v>
      </c>
      <c r="AF8560">
        <v>1</v>
      </c>
      <c r="AG8560">
        <v>1</v>
      </c>
      <c r="AH8560">
        <v>1</v>
      </c>
      <c r="AI8560">
        <v>1</v>
      </c>
      <c r="AJ8560">
        <v>1</v>
      </c>
      <c r="AK8560">
        <v>1</v>
      </c>
      <c r="AL8560">
        <v>1</v>
      </c>
      <c r="AM8560">
        <v>1</v>
      </c>
    </row>
    <row r="8561" spans="1:39" x14ac:dyDescent="0.2">
      <c r="A8561" t="str">
        <f>"8557"</f>
        <v>8557</v>
      </c>
      <c r="B8561" t="str">
        <f t="shared" si="473"/>
        <v>1</v>
      </c>
      <c r="C8561" t="str">
        <f t="shared" si="476"/>
        <v>172</v>
      </c>
      <c r="D8561" t="str">
        <f>"1"</f>
        <v>1</v>
      </c>
      <c r="E8561" t="str">
        <f>"1-172-1"</f>
        <v>1-172-1</v>
      </c>
      <c r="F8561" t="s">
        <v>65</v>
      </c>
      <c r="G8561" t="s">
        <v>66</v>
      </c>
      <c r="H8561" t="s">
        <v>67</v>
      </c>
      <c r="S8561">
        <v>1</v>
      </c>
      <c r="T8561">
        <v>0</v>
      </c>
      <c r="U8561">
        <v>0</v>
      </c>
      <c r="V8561">
        <v>0</v>
      </c>
      <c r="W8561">
        <v>1</v>
      </c>
      <c r="X8561">
        <v>0</v>
      </c>
      <c r="Y8561">
        <v>1</v>
      </c>
      <c r="Z8561">
        <v>0</v>
      </c>
      <c r="AA8561">
        <v>1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</row>
    <row r="8562" spans="1:39" x14ac:dyDescent="0.2">
      <c r="A8562" t="str">
        <f>"8558"</f>
        <v>8558</v>
      </c>
      <c r="B8562" t="str">
        <f t="shared" si="473"/>
        <v>1</v>
      </c>
      <c r="C8562" t="str">
        <f t="shared" si="476"/>
        <v>172</v>
      </c>
      <c r="D8562" t="str">
        <f>"36"</f>
        <v>36</v>
      </c>
      <c r="E8562" t="str">
        <f>"1-172-36"</f>
        <v>1-172-36</v>
      </c>
      <c r="F8562" t="s">
        <v>65</v>
      </c>
      <c r="G8562" t="s">
        <v>66</v>
      </c>
      <c r="H8562" t="s">
        <v>67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1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</row>
    <row r="8563" spans="1:39" x14ac:dyDescent="0.2">
      <c r="A8563" t="str">
        <f>"8559"</f>
        <v>8559</v>
      </c>
      <c r="B8563" t="str">
        <f t="shared" si="473"/>
        <v>1</v>
      </c>
      <c r="C8563" t="str">
        <f t="shared" si="476"/>
        <v>172</v>
      </c>
      <c r="D8563" t="str">
        <f>"35"</f>
        <v>35</v>
      </c>
      <c r="E8563" t="str">
        <f>"1-172-35"</f>
        <v>1-172-35</v>
      </c>
      <c r="F8563" t="s">
        <v>65</v>
      </c>
      <c r="G8563" t="s">
        <v>66</v>
      </c>
      <c r="H8563" t="s">
        <v>67</v>
      </c>
      <c r="S8563">
        <v>0</v>
      </c>
      <c r="T8563">
        <v>1</v>
      </c>
      <c r="U8563">
        <v>0</v>
      </c>
      <c r="V8563">
        <v>0</v>
      </c>
      <c r="W8563">
        <v>0</v>
      </c>
      <c r="X8563">
        <v>1</v>
      </c>
      <c r="Y8563">
        <v>0</v>
      </c>
      <c r="Z8563">
        <v>1</v>
      </c>
      <c r="AA8563">
        <v>0</v>
      </c>
      <c r="AB8563">
        <v>1</v>
      </c>
      <c r="AC8563">
        <v>0</v>
      </c>
      <c r="AD8563">
        <v>0</v>
      </c>
      <c r="AE8563">
        <v>0</v>
      </c>
      <c r="AF8563">
        <v>0</v>
      </c>
      <c r="AG8563">
        <v>1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</row>
    <row r="8564" spans="1:39" x14ac:dyDescent="0.2">
      <c r="A8564" t="str">
        <f>"8560"</f>
        <v>8560</v>
      </c>
      <c r="B8564" t="str">
        <f t="shared" si="473"/>
        <v>1</v>
      </c>
      <c r="C8564" t="str">
        <f t="shared" si="476"/>
        <v>172</v>
      </c>
      <c r="D8564" t="str">
        <f>"26"</f>
        <v>26</v>
      </c>
      <c r="E8564" t="str">
        <f>"1-172-26"</f>
        <v>1-172-26</v>
      </c>
      <c r="F8564" t="s">
        <v>65</v>
      </c>
      <c r="G8564" t="s">
        <v>66</v>
      </c>
      <c r="H8564" t="s">
        <v>67</v>
      </c>
      <c r="S8564">
        <v>0</v>
      </c>
      <c r="T8564">
        <v>1</v>
      </c>
      <c r="U8564">
        <v>0</v>
      </c>
      <c r="V8564">
        <v>0</v>
      </c>
      <c r="W8564">
        <v>1</v>
      </c>
      <c r="X8564">
        <v>0</v>
      </c>
      <c r="Y8564">
        <v>1</v>
      </c>
      <c r="Z8564">
        <v>0</v>
      </c>
      <c r="AA8564">
        <v>0</v>
      </c>
      <c r="AB8564">
        <v>1</v>
      </c>
      <c r="AC8564">
        <v>0</v>
      </c>
      <c r="AD8564">
        <v>1</v>
      </c>
      <c r="AE8564">
        <v>1</v>
      </c>
      <c r="AF8564">
        <v>1</v>
      </c>
      <c r="AG8564">
        <v>1</v>
      </c>
      <c r="AH8564">
        <v>1</v>
      </c>
      <c r="AI8564">
        <v>1</v>
      </c>
      <c r="AJ8564">
        <v>1</v>
      </c>
      <c r="AK8564">
        <v>1</v>
      </c>
      <c r="AL8564">
        <v>1</v>
      </c>
      <c r="AM8564">
        <v>1</v>
      </c>
    </row>
    <row r="8565" spans="1:39" x14ac:dyDescent="0.2">
      <c r="A8565" t="str">
        <f>"8561"</f>
        <v>8561</v>
      </c>
      <c r="B8565" t="str">
        <f t="shared" si="473"/>
        <v>1</v>
      </c>
      <c r="C8565" t="str">
        <f t="shared" si="476"/>
        <v>172</v>
      </c>
      <c r="D8565" t="str">
        <f>"16"</f>
        <v>16</v>
      </c>
      <c r="E8565" t="str">
        <f>"1-172-16"</f>
        <v>1-172-16</v>
      </c>
      <c r="F8565" t="s">
        <v>65</v>
      </c>
      <c r="G8565" t="s">
        <v>66</v>
      </c>
      <c r="H8565" t="s">
        <v>67</v>
      </c>
      <c r="S8565">
        <v>1</v>
      </c>
      <c r="T8565">
        <v>0</v>
      </c>
      <c r="U8565">
        <v>0</v>
      </c>
      <c r="V8565">
        <v>0</v>
      </c>
      <c r="W8565">
        <v>1</v>
      </c>
      <c r="X8565">
        <v>0</v>
      </c>
      <c r="Y8565">
        <v>0</v>
      </c>
      <c r="Z8565">
        <v>1</v>
      </c>
      <c r="AA8565">
        <v>1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</row>
    <row r="8566" spans="1:39" x14ac:dyDescent="0.2">
      <c r="A8566" t="str">
        <f>"8562"</f>
        <v>8562</v>
      </c>
      <c r="B8566" t="str">
        <f t="shared" si="473"/>
        <v>1</v>
      </c>
      <c r="C8566" t="str">
        <f t="shared" si="476"/>
        <v>172</v>
      </c>
      <c r="D8566" t="str">
        <f>"5"</f>
        <v>5</v>
      </c>
      <c r="E8566" t="str">
        <f>"1-172-5"</f>
        <v>1-172-5</v>
      </c>
      <c r="F8566" t="s">
        <v>65</v>
      </c>
      <c r="G8566" t="s">
        <v>66</v>
      </c>
      <c r="H8566" t="s">
        <v>67</v>
      </c>
      <c r="S8566">
        <v>0</v>
      </c>
      <c r="T8566">
        <v>1</v>
      </c>
      <c r="U8566">
        <v>0</v>
      </c>
      <c r="V8566">
        <v>0</v>
      </c>
      <c r="W8566">
        <v>0</v>
      </c>
      <c r="X8566">
        <v>1</v>
      </c>
      <c r="Y8566">
        <v>0</v>
      </c>
      <c r="Z8566">
        <v>1</v>
      </c>
      <c r="AA8566">
        <v>0</v>
      </c>
      <c r="AB8566">
        <v>0</v>
      </c>
      <c r="AC8566">
        <v>1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</row>
    <row r="8567" spans="1:39" x14ac:dyDescent="0.2">
      <c r="A8567" t="str">
        <f>"8563"</f>
        <v>8563</v>
      </c>
      <c r="B8567" t="str">
        <f t="shared" ref="B8567:B8630" si="477">"1"</f>
        <v>1</v>
      </c>
      <c r="C8567" t="str">
        <f t="shared" si="476"/>
        <v>172</v>
      </c>
      <c r="D8567" t="str">
        <f>"46"</f>
        <v>46</v>
      </c>
      <c r="E8567" t="str">
        <f>"1-172-46"</f>
        <v>1-172-46</v>
      </c>
      <c r="F8567" t="s">
        <v>65</v>
      </c>
      <c r="G8567" t="s">
        <v>66</v>
      </c>
      <c r="H8567" t="s">
        <v>67</v>
      </c>
      <c r="S8567">
        <v>0</v>
      </c>
      <c r="T8567">
        <v>1</v>
      </c>
      <c r="U8567">
        <v>0</v>
      </c>
      <c r="V8567">
        <v>0</v>
      </c>
      <c r="W8567">
        <v>1</v>
      </c>
      <c r="X8567">
        <v>0</v>
      </c>
      <c r="Y8567">
        <v>0</v>
      </c>
      <c r="Z8567">
        <v>1</v>
      </c>
      <c r="AA8567">
        <v>1</v>
      </c>
      <c r="AB8567">
        <v>0</v>
      </c>
      <c r="AC8567">
        <v>0</v>
      </c>
      <c r="AD8567">
        <v>1</v>
      </c>
      <c r="AE8567">
        <v>1</v>
      </c>
      <c r="AF8567">
        <v>1</v>
      </c>
      <c r="AG8567">
        <v>1</v>
      </c>
      <c r="AH8567">
        <v>1</v>
      </c>
      <c r="AI8567">
        <v>1</v>
      </c>
      <c r="AJ8567">
        <v>1</v>
      </c>
      <c r="AK8567">
        <v>1</v>
      </c>
      <c r="AL8567">
        <v>1</v>
      </c>
      <c r="AM8567">
        <v>1</v>
      </c>
    </row>
    <row r="8568" spans="1:39" x14ac:dyDescent="0.2">
      <c r="A8568" t="str">
        <f>"8564"</f>
        <v>8564</v>
      </c>
      <c r="B8568" t="str">
        <f t="shared" si="477"/>
        <v>1</v>
      </c>
      <c r="C8568" t="str">
        <f t="shared" si="476"/>
        <v>172</v>
      </c>
      <c r="D8568" t="str">
        <f>"45"</f>
        <v>45</v>
      </c>
      <c r="E8568" t="str">
        <f>"1-172-45"</f>
        <v>1-172-45</v>
      </c>
      <c r="F8568" t="s">
        <v>65</v>
      </c>
      <c r="G8568" t="s">
        <v>66</v>
      </c>
      <c r="H8568" t="s">
        <v>67</v>
      </c>
      <c r="S8568">
        <v>1</v>
      </c>
      <c r="T8568">
        <v>0</v>
      </c>
      <c r="U8568">
        <v>0</v>
      </c>
      <c r="V8568">
        <v>0</v>
      </c>
      <c r="W8568">
        <v>1</v>
      </c>
      <c r="X8568">
        <v>0</v>
      </c>
      <c r="Y8568">
        <v>0</v>
      </c>
      <c r="Z8568">
        <v>1</v>
      </c>
      <c r="AA8568">
        <v>1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</row>
    <row r="8569" spans="1:39" x14ac:dyDescent="0.2">
      <c r="A8569" t="str">
        <f>"8565"</f>
        <v>8565</v>
      </c>
      <c r="B8569" t="str">
        <f t="shared" si="477"/>
        <v>1</v>
      </c>
      <c r="C8569" t="str">
        <f t="shared" si="476"/>
        <v>172</v>
      </c>
      <c r="D8569" t="str">
        <f>"34"</f>
        <v>34</v>
      </c>
      <c r="E8569" t="str">
        <f>"1-172-34"</f>
        <v>1-172-34</v>
      </c>
      <c r="F8569" t="s">
        <v>65</v>
      </c>
      <c r="G8569" t="s">
        <v>66</v>
      </c>
      <c r="H8569" t="s">
        <v>67</v>
      </c>
      <c r="S8569">
        <v>0</v>
      </c>
      <c r="T8569">
        <v>1</v>
      </c>
      <c r="U8569">
        <v>0</v>
      </c>
      <c r="V8569">
        <v>0</v>
      </c>
      <c r="W8569">
        <v>0</v>
      </c>
      <c r="X8569">
        <v>1</v>
      </c>
      <c r="Y8569">
        <v>0</v>
      </c>
      <c r="Z8569">
        <v>1</v>
      </c>
      <c r="AA8569">
        <v>0</v>
      </c>
      <c r="AB8569">
        <v>1</v>
      </c>
      <c r="AC8569">
        <v>0</v>
      </c>
      <c r="AD8569">
        <v>0</v>
      </c>
      <c r="AE8569">
        <v>0</v>
      </c>
      <c r="AF8569">
        <v>0</v>
      </c>
      <c r="AG8569">
        <v>1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</row>
    <row r="8570" spans="1:39" x14ac:dyDescent="0.2">
      <c r="A8570" t="str">
        <f>"8566"</f>
        <v>8566</v>
      </c>
      <c r="B8570" t="str">
        <f t="shared" si="477"/>
        <v>1</v>
      </c>
      <c r="C8570" t="str">
        <f t="shared" si="476"/>
        <v>172</v>
      </c>
      <c r="D8570" t="str">
        <f>"17"</f>
        <v>17</v>
      </c>
      <c r="E8570" t="str">
        <f>"1-172-17"</f>
        <v>1-172-17</v>
      </c>
      <c r="F8570" t="s">
        <v>65</v>
      </c>
      <c r="G8570" t="s">
        <v>66</v>
      </c>
      <c r="H8570" t="s">
        <v>67</v>
      </c>
      <c r="S8570">
        <v>0</v>
      </c>
      <c r="T8570">
        <v>1</v>
      </c>
      <c r="U8570">
        <v>0</v>
      </c>
      <c r="V8570">
        <v>0</v>
      </c>
      <c r="W8570">
        <v>0</v>
      </c>
      <c r="X8570">
        <v>1</v>
      </c>
      <c r="Y8570">
        <v>1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</row>
    <row r="8571" spans="1:39" x14ac:dyDescent="0.2">
      <c r="A8571" t="str">
        <f>"8567"</f>
        <v>8567</v>
      </c>
      <c r="B8571" t="str">
        <f t="shared" si="477"/>
        <v>1</v>
      </c>
      <c r="C8571" t="str">
        <f t="shared" si="476"/>
        <v>172</v>
      </c>
      <c r="D8571" t="str">
        <f>"10"</f>
        <v>10</v>
      </c>
      <c r="E8571" t="str">
        <f>"1-172-10"</f>
        <v>1-172-10</v>
      </c>
      <c r="F8571" t="s">
        <v>65</v>
      </c>
      <c r="G8571" t="s">
        <v>66</v>
      </c>
      <c r="H8571" t="s">
        <v>67</v>
      </c>
      <c r="S8571">
        <v>1</v>
      </c>
      <c r="T8571">
        <v>0</v>
      </c>
      <c r="U8571">
        <v>0</v>
      </c>
      <c r="V8571">
        <v>0</v>
      </c>
      <c r="W8571">
        <v>1</v>
      </c>
      <c r="X8571">
        <v>0</v>
      </c>
      <c r="Y8571">
        <v>1</v>
      </c>
      <c r="Z8571">
        <v>0</v>
      </c>
      <c r="AA8571">
        <v>0</v>
      </c>
      <c r="AB8571">
        <v>1</v>
      </c>
      <c r="AC8571">
        <v>0</v>
      </c>
      <c r="AD8571">
        <v>0</v>
      </c>
      <c r="AE8571">
        <v>0</v>
      </c>
      <c r="AF8571">
        <v>0</v>
      </c>
      <c r="AG8571">
        <v>1</v>
      </c>
      <c r="AH8571">
        <v>1</v>
      </c>
      <c r="AI8571">
        <v>0</v>
      </c>
      <c r="AJ8571">
        <v>0</v>
      </c>
      <c r="AK8571">
        <v>0</v>
      </c>
      <c r="AL8571">
        <v>0</v>
      </c>
      <c r="AM8571">
        <v>0</v>
      </c>
    </row>
    <row r="8572" spans="1:39" x14ac:dyDescent="0.2">
      <c r="A8572" t="str">
        <f>"8568"</f>
        <v>8568</v>
      </c>
      <c r="B8572" t="str">
        <f t="shared" si="477"/>
        <v>1</v>
      </c>
      <c r="C8572" t="str">
        <f t="shared" si="476"/>
        <v>172</v>
      </c>
      <c r="D8572" t="str">
        <f>"39"</f>
        <v>39</v>
      </c>
      <c r="E8572" t="str">
        <f>"1-172-39"</f>
        <v>1-172-39</v>
      </c>
      <c r="F8572" t="s">
        <v>65</v>
      </c>
      <c r="G8572" t="s">
        <v>66</v>
      </c>
      <c r="H8572" t="s">
        <v>67</v>
      </c>
      <c r="S8572">
        <v>1</v>
      </c>
      <c r="T8572">
        <v>0</v>
      </c>
      <c r="U8572">
        <v>0</v>
      </c>
      <c r="V8572">
        <v>0</v>
      </c>
      <c r="W8572">
        <v>0</v>
      </c>
      <c r="X8572">
        <v>1</v>
      </c>
      <c r="Y8572">
        <v>1</v>
      </c>
      <c r="Z8572">
        <v>0</v>
      </c>
      <c r="AA8572">
        <v>0</v>
      </c>
      <c r="AB8572">
        <v>1</v>
      </c>
      <c r="AC8572">
        <v>0</v>
      </c>
      <c r="AD8572">
        <v>1</v>
      </c>
      <c r="AE8572">
        <v>1</v>
      </c>
      <c r="AF8572">
        <v>1</v>
      </c>
      <c r="AG8572">
        <v>1</v>
      </c>
      <c r="AH8572">
        <v>1</v>
      </c>
      <c r="AI8572">
        <v>1</v>
      </c>
      <c r="AJ8572">
        <v>1</v>
      </c>
      <c r="AK8572">
        <v>1</v>
      </c>
      <c r="AL8572">
        <v>1</v>
      </c>
      <c r="AM8572">
        <v>1</v>
      </c>
    </row>
    <row r="8573" spans="1:39" x14ac:dyDescent="0.2">
      <c r="A8573" t="str">
        <f>"8569"</f>
        <v>8569</v>
      </c>
      <c r="B8573" t="str">
        <f t="shared" si="477"/>
        <v>1</v>
      </c>
      <c r="C8573" t="str">
        <f t="shared" si="476"/>
        <v>172</v>
      </c>
      <c r="D8573" t="str">
        <f>"38"</f>
        <v>38</v>
      </c>
      <c r="E8573" t="str">
        <f>"1-172-38"</f>
        <v>1-172-38</v>
      </c>
      <c r="F8573" t="s">
        <v>65</v>
      </c>
      <c r="G8573" t="s">
        <v>66</v>
      </c>
      <c r="H8573" t="s">
        <v>67</v>
      </c>
      <c r="S8573">
        <v>1</v>
      </c>
      <c r="T8573">
        <v>0</v>
      </c>
      <c r="U8573">
        <v>0</v>
      </c>
      <c r="V8573">
        <v>0</v>
      </c>
      <c r="W8573">
        <v>0</v>
      </c>
      <c r="X8573">
        <v>1</v>
      </c>
      <c r="Y8573">
        <v>1</v>
      </c>
      <c r="Z8573">
        <v>0</v>
      </c>
      <c r="AA8573">
        <v>0</v>
      </c>
      <c r="AB8573">
        <v>1</v>
      </c>
      <c r="AC8573">
        <v>0</v>
      </c>
      <c r="AD8573">
        <v>1</v>
      </c>
      <c r="AE8573">
        <v>1</v>
      </c>
      <c r="AF8573">
        <v>1</v>
      </c>
      <c r="AG8573">
        <v>1</v>
      </c>
      <c r="AH8573">
        <v>1</v>
      </c>
      <c r="AI8573">
        <v>1</v>
      </c>
      <c r="AJ8573">
        <v>1</v>
      </c>
      <c r="AK8573">
        <v>1</v>
      </c>
      <c r="AL8573">
        <v>1</v>
      </c>
      <c r="AM8573">
        <v>1</v>
      </c>
    </row>
    <row r="8574" spans="1:39" x14ac:dyDescent="0.2">
      <c r="A8574" t="str">
        <f>"8570"</f>
        <v>8570</v>
      </c>
      <c r="B8574" t="str">
        <f t="shared" si="477"/>
        <v>1</v>
      </c>
      <c r="C8574" t="str">
        <f t="shared" si="476"/>
        <v>172</v>
      </c>
      <c r="D8574" t="str">
        <f>"33"</f>
        <v>33</v>
      </c>
      <c r="E8574" t="str">
        <f>"1-172-33"</f>
        <v>1-172-33</v>
      </c>
      <c r="F8574" t="s">
        <v>65</v>
      </c>
      <c r="G8574" t="s">
        <v>66</v>
      </c>
      <c r="H8574" t="s">
        <v>68</v>
      </c>
      <c r="I8574">
        <v>1</v>
      </c>
      <c r="J8574">
        <v>0</v>
      </c>
      <c r="K8574">
        <v>0</v>
      </c>
      <c r="L8574">
        <v>1</v>
      </c>
      <c r="M8574">
        <v>1</v>
      </c>
      <c r="N8574">
        <v>1</v>
      </c>
      <c r="O8574">
        <v>1</v>
      </c>
      <c r="P8574">
        <v>1</v>
      </c>
      <c r="Q8574">
        <v>1</v>
      </c>
      <c r="R8574">
        <v>1</v>
      </c>
    </row>
    <row r="8575" spans="1:39" x14ac:dyDescent="0.2">
      <c r="A8575" t="str">
        <f>"8571"</f>
        <v>8571</v>
      </c>
      <c r="B8575" t="str">
        <f t="shared" si="477"/>
        <v>1</v>
      </c>
      <c r="C8575" t="str">
        <f t="shared" si="476"/>
        <v>172</v>
      </c>
      <c r="D8575" t="str">
        <f>"18"</f>
        <v>18</v>
      </c>
      <c r="E8575" t="str">
        <f>"1-172-18"</f>
        <v>1-172-18</v>
      </c>
      <c r="F8575" t="s">
        <v>65</v>
      </c>
      <c r="G8575" t="s">
        <v>66</v>
      </c>
      <c r="H8575" t="s">
        <v>67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1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</row>
    <row r="8576" spans="1:39" x14ac:dyDescent="0.2">
      <c r="A8576" t="str">
        <f>"8572"</f>
        <v>8572</v>
      </c>
      <c r="B8576" t="str">
        <f t="shared" si="477"/>
        <v>1</v>
      </c>
      <c r="C8576" t="str">
        <f t="shared" si="476"/>
        <v>172</v>
      </c>
      <c r="D8576" t="str">
        <f>"6"</f>
        <v>6</v>
      </c>
      <c r="E8576" t="str">
        <f>"1-172-6"</f>
        <v>1-172-6</v>
      </c>
      <c r="F8576" t="s">
        <v>65</v>
      </c>
      <c r="G8576" t="s">
        <v>66</v>
      </c>
      <c r="H8576" t="s">
        <v>67</v>
      </c>
      <c r="S8576">
        <v>0</v>
      </c>
      <c r="T8576">
        <v>1</v>
      </c>
      <c r="U8576">
        <v>0</v>
      </c>
      <c r="V8576">
        <v>0</v>
      </c>
      <c r="W8576">
        <v>0</v>
      </c>
      <c r="X8576">
        <v>1</v>
      </c>
      <c r="Y8576">
        <v>0</v>
      </c>
      <c r="Z8576">
        <v>1</v>
      </c>
      <c r="AA8576">
        <v>0</v>
      </c>
      <c r="AB8576">
        <v>1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1</v>
      </c>
      <c r="AJ8576">
        <v>0</v>
      </c>
      <c r="AK8576">
        <v>0</v>
      </c>
      <c r="AL8576">
        <v>0</v>
      </c>
      <c r="AM8576">
        <v>0</v>
      </c>
    </row>
    <row r="8577" spans="1:39" x14ac:dyDescent="0.2">
      <c r="A8577" t="str">
        <f>"8573"</f>
        <v>8573</v>
      </c>
      <c r="B8577" t="str">
        <f t="shared" si="477"/>
        <v>1</v>
      </c>
      <c r="C8577" t="str">
        <f t="shared" si="476"/>
        <v>172</v>
      </c>
      <c r="D8577" t="str">
        <f>"37"</f>
        <v>37</v>
      </c>
      <c r="E8577" t="str">
        <f>"1-172-37"</f>
        <v>1-172-37</v>
      </c>
      <c r="F8577" t="s">
        <v>65</v>
      </c>
      <c r="G8577" t="s">
        <v>66</v>
      </c>
      <c r="H8577" t="s">
        <v>67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1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</row>
    <row r="8578" spans="1:39" x14ac:dyDescent="0.2">
      <c r="A8578" t="str">
        <f>"8574"</f>
        <v>8574</v>
      </c>
      <c r="B8578" t="str">
        <f t="shared" si="477"/>
        <v>1</v>
      </c>
      <c r="C8578" t="str">
        <f t="shared" si="476"/>
        <v>172</v>
      </c>
      <c r="D8578" t="str">
        <f>"20"</f>
        <v>20</v>
      </c>
      <c r="E8578" t="str">
        <f>"1-172-20"</f>
        <v>1-172-20</v>
      </c>
      <c r="F8578" t="s">
        <v>65</v>
      </c>
      <c r="G8578" t="s">
        <v>66</v>
      </c>
      <c r="H8578" t="s">
        <v>68</v>
      </c>
      <c r="I8578">
        <v>1</v>
      </c>
      <c r="J8578">
        <v>0</v>
      </c>
      <c r="K8578">
        <v>0</v>
      </c>
      <c r="L8578">
        <v>1</v>
      </c>
      <c r="M8578">
        <v>1</v>
      </c>
      <c r="N8578">
        <v>1</v>
      </c>
      <c r="O8578">
        <v>0</v>
      </c>
      <c r="P8578">
        <v>0</v>
      </c>
      <c r="Q8578">
        <v>0</v>
      </c>
      <c r="R8578">
        <v>0</v>
      </c>
    </row>
    <row r="8579" spans="1:39" x14ac:dyDescent="0.2">
      <c r="A8579" t="str">
        <f>"8575"</f>
        <v>8575</v>
      </c>
      <c r="B8579" t="str">
        <f t="shared" si="477"/>
        <v>1</v>
      </c>
      <c r="C8579" t="str">
        <f t="shared" si="476"/>
        <v>172</v>
      </c>
      <c r="D8579" t="str">
        <f>"13"</f>
        <v>13</v>
      </c>
      <c r="E8579" t="str">
        <f>"1-172-13"</f>
        <v>1-172-13</v>
      </c>
      <c r="F8579" t="s">
        <v>65</v>
      </c>
      <c r="G8579" t="s">
        <v>66</v>
      </c>
      <c r="H8579" t="s">
        <v>67</v>
      </c>
      <c r="S8579">
        <v>1</v>
      </c>
      <c r="T8579">
        <v>0</v>
      </c>
      <c r="U8579">
        <v>0</v>
      </c>
      <c r="V8579">
        <v>0</v>
      </c>
      <c r="W8579">
        <v>0</v>
      </c>
      <c r="X8579">
        <v>1</v>
      </c>
      <c r="Y8579">
        <v>0</v>
      </c>
      <c r="Z8579">
        <v>1</v>
      </c>
      <c r="AA8579">
        <v>0</v>
      </c>
      <c r="AB8579">
        <v>0</v>
      </c>
      <c r="AC8579">
        <v>1</v>
      </c>
      <c r="AD8579">
        <v>1</v>
      </c>
      <c r="AE8579">
        <v>1</v>
      </c>
      <c r="AF8579">
        <v>1</v>
      </c>
      <c r="AG8579">
        <v>1</v>
      </c>
      <c r="AH8579">
        <v>1</v>
      </c>
      <c r="AI8579">
        <v>1</v>
      </c>
      <c r="AJ8579">
        <v>1</v>
      </c>
      <c r="AK8579">
        <v>1</v>
      </c>
      <c r="AL8579">
        <v>1</v>
      </c>
      <c r="AM8579">
        <v>1</v>
      </c>
    </row>
    <row r="8580" spans="1:39" x14ac:dyDescent="0.2">
      <c r="A8580" t="str">
        <f>"8576"</f>
        <v>8576</v>
      </c>
      <c r="B8580" t="str">
        <f t="shared" si="477"/>
        <v>1</v>
      </c>
      <c r="C8580" t="str">
        <f t="shared" si="476"/>
        <v>172</v>
      </c>
      <c r="D8580" t="str">
        <f>"41"</f>
        <v>41</v>
      </c>
      <c r="E8580" t="str">
        <f>"1-172-41"</f>
        <v>1-172-41</v>
      </c>
      <c r="F8580" t="s">
        <v>65</v>
      </c>
      <c r="G8580" t="s">
        <v>66</v>
      </c>
      <c r="H8580" t="s">
        <v>67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1</v>
      </c>
      <c r="Y8580">
        <v>0</v>
      </c>
      <c r="Z8580">
        <v>1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1</v>
      </c>
      <c r="AI8580">
        <v>0</v>
      </c>
      <c r="AJ8580">
        <v>0</v>
      </c>
      <c r="AK8580">
        <v>0</v>
      </c>
      <c r="AL8580">
        <v>1</v>
      </c>
      <c r="AM8580">
        <v>0</v>
      </c>
    </row>
    <row r="8581" spans="1:39" x14ac:dyDescent="0.2">
      <c r="A8581" t="str">
        <f>"8577"</f>
        <v>8577</v>
      </c>
      <c r="B8581" t="str">
        <f t="shared" si="477"/>
        <v>1</v>
      </c>
      <c r="C8581" t="str">
        <f t="shared" si="476"/>
        <v>172</v>
      </c>
      <c r="D8581" t="str">
        <f>"21"</f>
        <v>21</v>
      </c>
      <c r="E8581" t="str">
        <f>"1-172-21"</f>
        <v>1-172-21</v>
      </c>
      <c r="F8581" t="s">
        <v>65</v>
      </c>
      <c r="G8581" t="s">
        <v>66</v>
      </c>
      <c r="H8581" t="s">
        <v>67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1</v>
      </c>
      <c r="Y8581">
        <v>0</v>
      </c>
      <c r="Z8581">
        <v>1</v>
      </c>
      <c r="AA8581">
        <v>0</v>
      </c>
      <c r="AB8581">
        <v>0</v>
      </c>
      <c r="AC8581">
        <v>1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</row>
    <row r="8582" spans="1:39" x14ac:dyDescent="0.2">
      <c r="A8582" t="str">
        <f>"8578"</f>
        <v>8578</v>
      </c>
      <c r="B8582" t="str">
        <f t="shared" si="477"/>
        <v>1</v>
      </c>
      <c r="C8582" t="str">
        <f t="shared" si="476"/>
        <v>172</v>
      </c>
      <c r="D8582" t="str">
        <f>"9"</f>
        <v>9</v>
      </c>
      <c r="E8582" t="str">
        <f>"1-172-9"</f>
        <v>1-172-9</v>
      </c>
      <c r="F8582" t="s">
        <v>65</v>
      </c>
      <c r="G8582" t="s">
        <v>66</v>
      </c>
      <c r="H8582" t="s">
        <v>67</v>
      </c>
      <c r="S8582">
        <v>0</v>
      </c>
      <c r="T8582">
        <v>1</v>
      </c>
      <c r="U8582">
        <v>0</v>
      </c>
      <c r="V8582">
        <v>0</v>
      </c>
      <c r="W8582">
        <v>1</v>
      </c>
      <c r="X8582">
        <v>0</v>
      </c>
      <c r="Y8582">
        <v>0</v>
      </c>
      <c r="Z8582">
        <v>1</v>
      </c>
      <c r="AA8582">
        <v>1</v>
      </c>
      <c r="AB8582">
        <v>0</v>
      </c>
      <c r="AC8582">
        <v>0</v>
      </c>
      <c r="AD8582">
        <v>1</v>
      </c>
      <c r="AE8582">
        <v>1</v>
      </c>
      <c r="AF8582">
        <v>1</v>
      </c>
      <c r="AG8582">
        <v>1</v>
      </c>
      <c r="AH8582">
        <v>1</v>
      </c>
      <c r="AI8582">
        <v>1</v>
      </c>
      <c r="AJ8582">
        <v>1</v>
      </c>
      <c r="AK8582">
        <v>1</v>
      </c>
      <c r="AL8582">
        <v>1</v>
      </c>
      <c r="AM8582">
        <v>1</v>
      </c>
    </row>
    <row r="8583" spans="1:39" x14ac:dyDescent="0.2">
      <c r="A8583" t="str">
        <f>"8579"</f>
        <v>8579</v>
      </c>
      <c r="B8583" t="str">
        <f t="shared" si="477"/>
        <v>1</v>
      </c>
      <c r="C8583" t="str">
        <f t="shared" si="476"/>
        <v>172</v>
      </c>
      <c r="D8583" t="str">
        <f>"40"</f>
        <v>40</v>
      </c>
      <c r="E8583" t="str">
        <f>"1-172-40"</f>
        <v>1-172-40</v>
      </c>
      <c r="F8583" t="s">
        <v>65</v>
      </c>
      <c r="G8583" t="s">
        <v>66</v>
      </c>
      <c r="H8583" t="s">
        <v>67</v>
      </c>
      <c r="S8583">
        <v>1</v>
      </c>
      <c r="T8583">
        <v>0</v>
      </c>
      <c r="U8583">
        <v>0</v>
      </c>
      <c r="V8583">
        <v>0</v>
      </c>
      <c r="W8583">
        <v>1</v>
      </c>
      <c r="X8583">
        <v>0</v>
      </c>
      <c r="Y8583">
        <v>1</v>
      </c>
      <c r="Z8583">
        <v>0</v>
      </c>
      <c r="AA8583">
        <v>0</v>
      </c>
      <c r="AB8583">
        <v>0</v>
      </c>
      <c r="AC8583">
        <v>1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</row>
    <row r="8584" spans="1:39" x14ac:dyDescent="0.2">
      <c r="A8584" t="str">
        <f>"8580"</f>
        <v>8580</v>
      </c>
      <c r="B8584" t="str">
        <f t="shared" si="477"/>
        <v>1</v>
      </c>
      <c r="C8584" t="str">
        <f t="shared" si="476"/>
        <v>172</v>
      </c>
      <c r="D8584" t="str">
        <f>"22"</f>
        <v>22</v>
      </c>
      <c r="E8584" t="str">
        <f>"1-172-22"</f>
        <v>1-172-22</v>
      </c>
      <c r="F8584" t="s">
        <v>65</v>
      </c>
      <c r="G8584" t="s">
        <v>66</v>
      </c>
      <c r="H8584" t="s">
        <v>67</v>
      </c>
      <c r="S8584">
        <v>1</v>
      </c>
      <c r="T8584">
        <v>0</v>
      </c>
      <c r="U8584">
        <v>0</v>
      </c>
      <c r="V8584">
        <v>0</v>
      </c>
      <c r="W8584">
        <v>1</v>
      </c>
      <c r="X8584">
        <v>0</v>
      </c>
      <c r="Y8584">
        <v>1</v>
      </c>
      <c r="Z8584">
        <v>0</v>
      </c>
      <c r="AA8584">
        <v>0</v>
      </c>
      <c r="AB8584">
        <v>0</v>
      </c>
      <c r="AC8584">
        <v>1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</row>
    <row r="8585" spans="1:39" x14ac:dyDescent="0.2">
      <c r="A8585" t="str">
        <f>"8581"</f>
        <v>8581</v>
      </c>
      <c r="B8585" t="str">
        <f t="shared" si="477"/>
        <v>1</v>
      </c>
      <c r="C8585" t="str">
        <f t="shared" si="476"/>
        <v>172</v>
      </c>
      <c r="D8585" t="str">
        <f>"11"</f>
        <v>11</v>
      </c>
      <c r="E8585" t="str">
        <f>"1-172-11"</f>
        <v>1-172-11</v>
      </c>
      <c r="F8585" t="s">
        <v>65</v>
      </c>
      <c r="G8585" t="s">
        <v>66</v>
      </c>
      <c r="H8585" t="s">
        <v>67</v>
      </c>
      <c r="S8585">
        <v>0</v>
      </c>
      <c r="T8585">
        <v>1</v>
      </c>
      <c r="U8585">
        <v>0</v>
      </c>
      <c r="V8585">
        <v>0</v>
      </c>
      <c r="W8585">
        <v>1</v>
      </c>
      <c r="X8585">
        <v>0</v>
      </c>
      <c r="Y8585">
        <v>1</v>
      </c>
      <c r="Z8585">
        <v>0</v>
      </c>
      <c r="AA8585">
        <v>1</v>
      </c>
      <c r="AB8585">
        <v>0</v>
      </c>
      <c r="AC8585">
        <v>0</v>
      </c>
      <c r="AD8585">
        <v>0</v>
      </c>
      <c r="AE8585">
        <v>1</v>
      </c>
      <c r="AF8585">
        <v>1</v>
      </c>
      <c r="AG8585">
        <v>1</v>
      </c>
      <c r="AH8585">
        <v>1</v>
      </c>
      <c r="AI8585">
        <v>1</v>
      </c>
      <c r="AJ8585">
        <v>1</v>
      </c>
      <c r="AK8585">
        <v>1</v>
      </c>
      <c r="AL8585">
        <v>1</v>
      </c>
      <c r="AM8585">
        <v>1</v>
      </c>
    </row>
    <row r="8586" spans="1:39" x14ac:dyDescent="0.2">
      <c r="A8586" t="str">
        <f>"8582"</f>
        <v>8582</v>
      </c>
      <c r="B8586" t="str">
        <f t="shared" si="477"/>
        <v>1</v>
      </c>
      <c r="C8586" t="str">
        <f t="shared" si="476"/>
        <v>172</v>
      </c>
      <c r="D8586" t="str">
        <f>"23"</f>
        <v>23</v>
      </c>
      <c r="E8586" t="str">
        <f>"1-172-23"</f>
        <v>1-172-23</v>
      </c>
      <c r="F8586" t="s">
        <v>65</v>
      </c>
      <c r="G8586" t="s">
        <v>66</v>
      </c>
      <c r="H8586" t="s">
        <v>67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1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</row>
    <row r="8587" spans="1:39" x14ac:dyDescent="0.2">
      <c r="A8587" t="str">
        <f>"8583"</f>
        <v>8583</v>
      </c>
      <c r="B8587" t="str">
        <f t="shared" si="477"/>
        <v>1</v>
      </c>
      <c r="C8587" t="str">
        <f t="shared" ref="C8587:C8604" si="478">"172"</f>
        <v>172</v>
      </c>
      <c r="D8587" t="str">
        <f>"4"</f>
        <v>4</v>
      </c>
      <c r="E8587" t="str">
        <f>"1-172-4"</f>
        <v>1-172-4</v>
      </c>
      <c r="F8587" t="s">
        <v>65</v>
      </c>
      <c r="G8587" t="s">
        <v>66</v>
      </c>
      <c r="H8587" t="s">
        <v>67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1</v>
      </c>
      <c r="Y8587">
        <v>1</v>
      </c>
      <c r="Z8587">
        <v>0</v>
      </c>
      <c r="AA8587">
        <v>0</v>
      </c>
      <c r="AB8587">
        <v>1</v>
      </c>
      <c r="AC8587">
        <v>0</v>
      </c>
      <c r="AD8587">
        <v>0</v>
      </c>
      <c r="AE8587">
        <v>0</v>
      </c>
      <c r="AF8587">
        <v>0</v>
      </c>
      <c r="AG8587">
        <v>1</v>
      </c>
      <c r="AH8587">
        <v>1</v>
      </c>
      <c r="AI8587">
        <v>1</v>
      </c>
      <c r="AJ8587">
        <v>1</v>
      </c>
      <c r="AK8587">
        <v>1</v>
      </c>
      <c r="AL8587">
        <v>1</v>
      </c>
      <c r="AM8587">
        <v>1</v>
      </c>
    </row>
    <row r="8588" spans="1:39" x14ac:dyDescent="0.2">
      <c r="A8588" t="str">
        <f>"8584"</f>
        <v>8584</v>
      </c>
      <c r="B8588" t="str">
        <f t="shared" si="477"/>
        <v>1</v>
      </c>
      <c r="C8588" t="str">
        <f t="shared" si="478"/>
        <v>172</v>
      </c>
      <c r="D8588" t="str">
        <f>"48"</f>
        <v>48</v>
      </c>
      <c r="E8588" t="str">
        <f>"1-172-48"</f>
        <v>1-172-48</v>
      </c>
      <c r="F8588" t="s">
        <v>65</v>
      </c>
      <c r="G8588" t="s">
        <v>66</v>
      </c>
      <c r="H8588" t="s">
        <v>67</v>
      </c>
      <c r="S8588">
        <v>0</v>
      </c>
      <c r="T8588">
        <v>1</v>
      </c>
      <c r="U8588">
        <v>0</v>
      </c>
      <c r="V8588">
        <v>0</v>
      </c>
      <c r="W8588">
        <v>1</v>
      </c>
      <c r="X8588">
        <v>0</v>
      </c>
      <c r="Y8588">
        <v>0</v>
      </c>
      <c r="Z8588">
        <v>1</v>
      </c>
      <c r="AA8588">
        <v>1</v>
      </c>
      <c r="AB8588">
        <v>0</v>
      </c>
      <c r="AC8588">
        <v>0</v>
      </c>
      <c r="AD8588">
        <v>1</v>
      </c>
      <c r="AE8588">
        <v>1</v>
      </c>
      <c r="AF8588">
        <v>1</v>
      </c>
      <c r="AG8588">
        <v>1</v>
      </c>
      <c r="AH8588">
        <v>1</v>
      </c>
      <c r="AI8588">
        <v>1</v>
      </c>
      <c r="AJ8588">
        <v>1</v>
      </c>
      <c r="AK8588">
        <v>1</v>
      </c>
      <c r="AL8588">
        <v>1</v>
      </c>
      <c r="AM8588">
        <v>1</v>
      </c>
    </row>
    <row r="8589" spans="1:39" x14ac:dyDescent="0.2">
      <c r="A8589" t="str">
        <f>"8585"</f>
        <v>8585</v>
      </c>
      <c r="B8589" t="str">
        <f t="shared" si="477"/>
        <v>1</v>
      </c>
      <c r="C8589" t="str">
        <f t="shared" si="478"/>
        <v>172</v>
      </c>
      <c r="D8589" t="str">
        <f>"24"</f>
        <v>24</v>
      </c>
      <c r="E8589" t="str">
        <f>"1-172-24"</f>
        <v>1-172-24</v>
      </c>
      <c r="F8589" t="s">
        <v>65</v>
      </c>
      <c r="G8589" t="s">
        <v>66</v>
      </c>
      <c r="H8589" t="s">
        <v>67</v>
      </c>
      <c r="S8589">
        <v>0</v>
      </c>
      <c r="T8589">
        <v>1</v>
      </c>
      <c r="U8589">
        <v>0</v>
      </c>
      <c r="V8589">
        <v>0</v>
      </c>
      <c r="W8589">
        <v>1</v>
      </c>
      <c r="X8589">
        <v>0</v>
      </c>
      <c r="Y8589">
        <v>0</v>
      </c>
      <c r="Z8589">
        <v>1</v>
      </c>
      <c r="AA8589">
        <v>0</v>
      </c>
      <c r="AB8589">
        <v>0</v>
      </c>
      <c r="AC8589">
        <v>1</v>
      </c>
      <c r="AD8589">
        <v>1</v>
      </c>
      <c r="AE8589">
        <v>1</v>
      </c>
      <c r="AF8589">
        <v>1</v>
      </c>
      <c r="AG8589">
        <v>1</v>
      </c>
      <c r="AH8589">
        <v>1</v>
      </c>
      <c r="AI8589">
        <v>1</v>
      </c>
      <c r="AJ8589">
        <v>1</v>
      </c>
      <c r="AK8589">
        <v>1</v>
      </c>
      <c r="AL8589">
        <v>1</v>
      </c>
      <c r="AM8589">
        <v>1</v>
      </c>
    </row>
    <row r="8590" spans="1:39" x14ac:dyDescent="0.2">
      <c r="A8590" t="str">
        <f>"8586"</f>
        <v>8586</v>
      </c>
      <c r="B8590" t="str">
        <f t="shared" si="477"/>
        <v>1</v>
      </c>
      <c r="C8590" t="str">
        <f t="shared" si="478"/>
        <v>172</v>
      </c>
      <c r="D8590" t="str">
        <f>"14"</f>
        <v>14</v>
      </c>
      <c r="E8590" t="str">
        <f>"1-172-14"</f>
        <v>1-172-14</v>
      </c>
      <c r="F8590" t="s">
        <v>65</v>
      </c>
      <c r="G8590" t="s">
        <v>66</v>
      </c>
      <c r="H8590" t="s">
        <v>67</v>
      </c>
      <c r="S8590">
        <v>0</v>
      </c>
      <c r="T8590">
        <v>1</v>
      </c>
      <c r="U8590">
        <v>0</v>
      </c>
      <c r="V8590">
        <v>0</v>
      </c>
      <c r="W8590">
        <v>0</v>
      </c>
      <c r="X8590">
        <v>1</v>
      </c>
      <c r="Y8590">
        <v>0</v>
      </c>
      <c r="Z8590">
        <v>1</v>
      </c>
      <c r="AA8590">
        <v>0</v>
      </c>
      <c r="AB8590">
        <v>0</v>
      </c>
      <c r="AC8590">
        <v>1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</row>
    <row r="8591" spans="1:39" x14ac:dyDescent="0.2">
      <c r="A8591" t="str">
        <f>"8587"</f>
        <v>8587</v>
      </c>
      <c r="B8591" t="str">
        <f t="shared" si="477"/>
        <v>1</v>
      </c>
      <c r="C8591" t="str">
        <f t="shared" si="478"/>
        <v>172</v>
      </c>
      <c r="D8591" t="str">
        <f>"42"</f>
        <v>42</v>
      </c>
      <c r="E8591" t="str">
        <f>"1-172-42"</f>
        <v>1-172-42</v>
      </c>
      <c r="F8591" t="s">
        <v>65</v>
      </c>
      <c r="G8591" t="s">
        <v>66</v>
      </c>
      <c r="H8591" t="s">
        <v>67</v>
      </c>
      <c r="S8591">
        <v>0</v>
      </c>
      <c r="T8591">
        <v>1</v>
      </c>
      <c r="U8591">
        <v>0</v>
      </c>
      <c r="V8591">
        <v>0</v>
      </c>
      <c r="W8591">
        <v>0</v>
      </c>
      <c r="X8591">
        <v>1</v>
      </c>
      <c r="Y8591">
        <v>1</v>
      </c>
      <c r="Z8591">
        <v>0</v>
      </c>
      <c r="AA8591">
        <v>0</v>
      </c>
      <c r="AB8591">
        <v>0</v>
      </c>
      <c r="AC8591">
        <v>1</v>
      </c>
      <c r="AD8591">
        <v>1</v>
      </c>
      <c r="AE8591">
        <v>1</v>
      </c>
      <c r="AF8591">
        <v>1</v>
      </c>
      <c r="AG8591">
        <v>1</v>
      </c>
      <c r="AH8591">
        <v>1</v>
      </c>
      <c r="AI8591">
        <v>1</v>
      </c>
      <c r="AJ8591">
        <v>1</v>
      </c>
      <c r="AK8591">
        <v>1</v>
      </c>
      <c r="AL8591">
        <v>1</v>
      </c>
      <c r="AM8591">
        <v>1</v>
      </c>
    </row>
    <row r="8592" spans="1:39" x14ac:dyDescent="0.2">
      <c r="A8592" t="str">
        <f>"8588"</f>
        <v>8588</v>
      </c>
      <c r="B8592" t="str">
        <f t="shared" si="477"/>
        <v>1</v>
      </c>
      <c r="C8592" t="str">
        <f t="shared" si="478"/>
        <v>172</v>
      </c>
      <c r="D8592" t="str">
        <f>"25"</f>
        <v>25</v>
      </c>
      <c r="E8592" t="str">
        <f>"1-172-25"</f>
        <v>1-172-25</v>
      </c>
      <c r="F8592" t="s">
        <v>65</v>
      </c>
      <c r="G8592" t="s">
        <v>66</v>
      </c>
      <c r="H8592" t="s">
        <v>67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1</v>
      </c>
      <c r="Y8592">
        <v>0</v>
      </c>
      <c r="Z8592">
        <v>0</v>
      </c>
      <c r="AA8592">
        <v>0</v>
      </c>
      <c r="AB8592">
        <v>1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</row>
    <row r="8593" spans="1:39" x14ac:dyDescent="0.2">
      <c r="A8593" t="str">
        <f>"8589"</f>
        <v>8589</v>
      </c>
      <c r="B8593" t="str">
        <f t="shared" si="477"/>
        <v>1</v>
      </c>
      <c r="C8593" t="str">
        <f t="shared" si="478"/>
        <v>172</v>
      </c>
      <c r="D8593" t="str">
        <f>"3"</f>
        <v>3</v>
      </c>
      <c r="E8593" t="str">
        <f>"1-172-3"</f>
        <v>1-172-3</v>
      </c>
      <c r="F8593" t="s">
        <v>65</v>
      </c>
      <c r="G8593" t="s">
        <v>66</v>
      </c>
      <c r="H8593" t="s">
        <v>67</v>
      </c>
      <c r="S8593">
        <v>0</v>
      </c>
      <c r="T8593">
        <v>1</v>
      </c>
      <c r="U8593">
        <v>0</v>
      </c>
      <c r="V8593">
        <v>0</v>
      </c>
      <c r="W8593">
        <v>1</v>
      </c>
      <c r="X8593">
        <v>0</v>
      </c>
      <c r="Y8593">
        <v>0</v>
      </c>
      <c r="Z8593">
        <v>1</v>
      </c>
      <c r="AA8593">
        <v>1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1</v>
      </c>
      <c r="AH8593">
        <v>0</v>
      </c>
      <c r="AI8593">
        <v>1</v>
      </c>
      <c r="AJ8593">
        <v>0</v>
      </c>
      <c r="AK8593">
        <v>0</v>
      </c>
      <c r="AL8593">
        <v>1</v>
      </c>
      <c r="AM8593">
        <v>0</v>
      </c>
    </row>
    <row r="8594" spans="1:39" x14ac:dyDescent="0.2">
      <c r="A8594" t="str">
        <f>"8590"</f>
        <v>8590</v>
      </c>
      <c r="B8594" t="str">
        <f t="shared" si="477"/>
        <v>1</v>
      </c>
      <c r="C8594" t="str">
        <f t="shared" si="478"/>
        <v>172</v>
      </c>
      <c r="D8594" t="str">
        <f>"47"</f>
        <v>47</v>
      </c>
      <c r="E8594" t="str">
        <f>"1-172-47"</f>
        <v>1-172-47</v>
      </c>
      <c r="F8594" t="s">
        <v>65</v>
      </c>
      <c r="G8594" t="s">
        <v>66</v>
      </c>
      <c r="H8594" t="s">
        <v>67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1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1</v>
      </c>
      <c r="AH8594">
        <v>1</v>
      </c>
      <c r="AI8594">
        <v>1</v>
      </c>
      <c r="AJ8594">
        <v>1</v>
      </c>
      <c r="AK8594">
        <v>1</v>
      </c>
      <c r="AL8594">
        <v>1</v>
      </c>
      <c r="AM8594">
        <v>1</v>
      </c>
    </row>
    <row r="8595" spans="1:39" x14ac:dyDescent="0.2">
      <c r="A8595" t="str">
        <f>"8591"</f>
        <v>8591</v>
      </c>
      <c r="B8595" t="str">
        <f t="shared" si="477"/>
        <v>1</v>
      </c>
      <c r="C8595" t="str">
        <f t="shared" si="478"/>
        <v>172</v>
      </c>
      <c r="D8595" t="str">
        <f>"27"</f>
        <v>27</v>
      </c>
      <c r="E8595" t="str">
        <f>"1-172-27"</f>
        <v>1-172-27</v>
      </c>
      <c r="F8595" t="s">
        <v>65</v>
      </c>
      <c r="G8595" t="s">
        <v>66</v>
      </c>
      <c r="H8595" t="s">
        <v>67</v>
      </c>
      <c r="S8595">
        <v>1</v>
      </c>
      <c r="T8595">
        <v>0</v>
      </c>
      <c r="U8595">
        <v>0</v>
      </c>
      <c r="V8595">
        <v>0</v>
      </c>
      <c r="W8595">
        <v>1</v>
      </c>
      <c r="X8595">
        <v>0</v>
      </c>
      <c r="Y8595">
        <v>1</v>
      </c>
      <c r="Z8595">
        <v>0</v>
      </c>
      <c r="AA8595">
        <v>0</v>
      </c>
      <c r="AB8595">
        <v>1</v>
      </c>
      <c r="AC8595">
        <v>0</v>
      </c>
      <c r="AD8595">
        <v>1</v>
      </c>
      <c r="AE8595">
        <v>1</v>
      </c>
      <c r="AF8595">
        <v>0</v>
      </c>
      <c r="AG8595">
        <v>1</v>
      </c>
      <c r="AH8595">
        <v>1</v>
      </c>
      <c r="AI8595">
        <v>1</v>
      </c>
      <c r="AJ8595">
        <v>1</v>
      </c>
      <c r="AK8595">
        <v>1</v>
      </c>
      <c r="AL8595">
        <v>1</v>
      </c>
      <c r="AM8595">
        <v>1</v>
      </c>
    </row>
    <row r="8596" spans="1:39" x14ac:dyDescent="0.2">
      <c r="A8596" t="str">
        <f>"8592"</f>
        <v>8592</v>
      </c>
      <c r="B8596" t="str">
        <f t="shared" si="477"/>
        <v>1</v>
      </c>
      <c r="C8596" t="str">
        <f t="shared" si="478"/>
        <v>172</v>
      </c>
      <c r="D8596" t="str">
        <f>"2"</f>
        <v>2</v>
      </c>
      <c r="E8596" t="str">
        <f>"1-172-2"</f>
        <v>1-172-2</v>
      </c>
      <c r="F8596" t="s">
        <v>65</v>
      </c>
      <c r="G8596" t="s">
        <v>66</v>
      </c>
      <c r="H8596" t="s">
        <v>67</v>
      </c>
      <c r="S8596">
        <v>0</v>
      </c>
      <c r="T8596">
        <v>1</v>
      </c>
      <c r="U8596">
        <v>0</v>
      </c>
      <c r="V8596">
        <v>0</v>
      </c>
      <c r="W8596">
        <v>1</v>
      </c>
      <c r="X8596">
        <v>0</v>
      </c>
      <c r="Y8596">
        <v>0</v>
      </c>
      <c r="Z8596">
        <v>1</v>
      </c>
      <c r="AA8596">
        <v>0</v>
      </c>
      <c r="AB8596">
        <v>1</v>
      </c>
      <c r="AC8596">
        <v>0</v>
      </c>
      <c r="AD8596">
        <v>1</v>
      </c>
      <c r="AE8596">
        <v>1</v>
      </c>
      <c r="AF8596">
        <v>1</v>
      </c>
      <c r="AG8596">
        <v>1</v>
      </c>
      <c r="AH8596">
        <v>1</v>
      </c>
      <c r="AI8596">
        <v>1</v>
      </c>
      <c r="AJ8596">
        <v>1</v>
      </c>
      <c r="AK8596">
        <v>1</v>
      </c>
      <c r="AL8596">
        <v>1</v>
      </c>
      <c r="AM8596">
        <v>1</v>
      </c>
    </row>
    <row r="8597" spans="1:39" x14ac:dyDescent="0.2">
      <c r="A8597" t="str">
        <f>"8593"</f>
        <v>8593</v>
      </c>
      <c r="B8597" t="str">
        <f t="shared" si="477"/>
        <v>1</v>
      </c>
      <c r="C8597" t="str">
        <f t="shared" si="478"/>
        <v>172</v>
      </c>
      <c r="D8597" t="str">
        <f>"28"</f>
        <v>28</v>
      </c>
      <c r="E8597" t="str">
        <f>"1-172-28"</f>
        <v>1-172-28</v>
      </c>
      <c r="F8597" t="s">
        <v>65</v>
      </c>
      <c r="G8597" t="s">
        <v>66</v>
      </c>
      <c r="H8597" t="s">
        <v>67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1</v>
      </c>
      <c r="Y8597">
        <v>0</v>
      </c>
      <c r="Z8597">
        <v>1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1</v>
      </c>
      <c r="AI8597">
        <v>0</v>
      </c>
      <c r="AJ8597">
        <v>0</v>
      </c>
      <c r="AK8597">
        <v>0</v>
      </c>
      <c r="AL8597">
        <v>1</v>
      </c>
      <c r="AM8597">
        <v>0</v>
      </c>
    </row>
    <row r="8598" spans="1:39" x14ac:dyDescent="0.2">
      <c r="A8598" t="str">
        <f>"8594"</f>
        <v>8594</v>
      </c>
      <c r="B8598" t="str">
        <f t="shared" si="477"/>
        <v>1</v>
      </c>
      <c r="C8598" t="str">
        <f t="shared" si="478"/>
        <v>172</v>
      </c>
      <c r="D8598" t="str">
        <f>"8"</f>
        <v>8</v>
      </c>
      <c r="E8598" t="str">
        <f>"1-172-8"</f>
        <v>1-172-8</v>
      </c>
      <c r="F8598" t="s">
        <v>65</v>
      </c>
      <c r="G8598" t="s">
        <v>66</v>
      </c>
      <c r="H8598" t="s">
        <v>67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1</v>
      </c>
      <c r="Y8598">
        <v>1</v>
      </c>
      <c r="Z8598">
        <v>0</v>
      </c>
      <c r="AA8598">
        <v>0</v>
      </c>
      <c r="AB8598">
        <v>0</v>
      </c>
      <c r="AC8598">
        <v>1</v>
      </c>
      <c r="AD8598">
        <v>1</v>
      </c>
      <c r="AE8598">
        <v>1</v>
      </c>
      <c r="AF8598">
        <v>1</v>
      </c>
      <c r="AG8598">
        <v>1</v>
      </c>
      <c r="AH8598">
        <v>1</v>
      </c>
      <c r="AI8598">
        <v>1</v>
      </c>
      <c r="AJ8598">
        <v>1</v>
      </c>
      <c r="AK8598">
        <v>1</v>
      </c>
      <c r="AL8598">
        <v>1</v>
      </c>
      <c r="AM8598">
        <v>1</v>
      </c>
    </row>
    <row r="8599" spans="1:39" x14ac:dyDescent="0.2">
      <c r="A8599" t="str">
        <f>"8595"</f>
        <v>8595</v>
      </c>
      <c r="B8599" t="str">
        <f t="shared" si="477"/>
        <v>1</v>
      </c>
      <c r="C8599" t="str">
        <f t="shared" si="478"/>
        <v>172</v>
      </c>
      <c r="D8599" t="str">
        <f>"29"</f>
        <v>29</v>
      </c>
      <c r="E8599" t="str">
        <f>"1-172-29"</f>
        <v>1-172-29</v>
      </c>
      <c r="F8599" t="s">
        <v>65</v>
      </c>
      <c r="G8599" t="s">
        <v>66</v>
      </c>
      <c r="H8599" t="s">
        <v>68</v>
      </c>
      <c r="I8599">
        <v>1</v>
      </c>
      <c r="J8599">
        <v>1</v>
      </c>
      <c r="K8599">
        <v>0</v>
      </c>
      <c r="L8599">
        <v>0</v>
      </c>
      <c r="M8599">
        <v>1</v>
      </c>
      <c r="N8599">
        <v>1</v>
      </c>
      <c r="O8599">
        <v>1</v>
      </c>
      <c r="P8599">
        <v>1</v>
      </c>
      <c r="Q8599">
        <v>1</v>
      </c>
      <c r="R8599">
        <v>1</v>
      </c>
    </row>
    <row r="8600" spans="1:39" x14ac:dyDescent="0.2">
      <c r="A8600" t="str">
        <f>"8596"</f>
        <v>8596</v>
      </c>
      <c r="B8600" t="str">
        <f t="shared" si="477"/>
        <v>1</v>
      </c>
      <c r="C8600" t="str">
        <f t="shared" si="478"/>
        <v>172</v>
      </c>
      <c r="D8600" t="str">
        <f>"7"</f>
        <v>7</v>
      </c>
      <c r="E8600" t="str">
        <f>"1-172-7"</f>
        <v>1-172-7</v>
      </c>
      <c r="F8600" t="s">
        <v>65</v>
      </c>
      <c r="G8600" t="s">
        <v>66</v>
      </c>
      <c r="H8600" t="s">
        <v>67</v>
      </c>
      <c r="S8600">
        <v>1</v>
      </c>
      <c r="T8600">
        <v>0</v>
      </c>
      <c r="U8600">
        <v>0</v>
      </c>
      <c r="V8600">
        <v>0</v>
      </c>
      <c r="W8600">
        <v>1</v>
      </c>
      <c r="X8600">
        <v>0</v>
      </c>
      <c r="Y8600">
        <v>0</v>
      </c>
      <c r="Z8600">
        <v>1</v>
      </c>
      <c r="AA8600">
        <v>1</v>
      </c>
      <c r="AB8600">
        <v>0</v>
      </c>
      <c r="AC8600">
        <v>0</v>
      </c>
      <c r="AD8600">
        <v>1</v>
      </c>
      <c r="AE8600">
        <v>1</v>
      </c>
      <c r="AF8600">
        <v>1</v>
      </c>
      <c r="AG8600">
        <v>1</v>
      </c>
      <c r="AH8600">
        <v>1</v>
      </c>
      <c r="AI8600">
        <v>1</v>
      </c>
      <c r="AJ8600">
        <v>1</v>
      </c>
      <c r="AK8600">
        <v>1</v>
      </c>
      <c r="AL8600">
        <v>1</v>
      </c>
      <c r="AM8600">
        <v>1</v>
      </c>
    </row>
    <row r="8601" spans="1:39" x14ac:dyDescent="0.2">
      <c r="A8601" t="str">
        <f>"8597"</f>
        <v>8597</v>
      </c>
      <c r="B8601" t="str">
        <f t="shared" si="477"/>
        <v>1</v>
      </c>
      <c r="C8601" t="str">
        <f t="shared" si="478"/>
        <v>172</v>
      </c>
      <c r="D8601" t="str">
        <f>"32"</f>
        <v>32</v>
      </c>
      <c r="E8601" t="str">
        <f>"1-172-32"</f>
        <v>1-172-32</v>
      </c>
      <c r="F8601" t="s">
        <v>65</v>
      </c>
      <c r="G8601" t="s">
        <v>66</v>
      </c>
      <c r="H8601" t="s">
        <v>67</v>
      </c>
      <c r="S8601">
        <v>1</v>
      </c>
      <c r="T8601">
        <v>0</v>
      </c>
      <c r="U8601">
        <v>0</v>
      </c>
      <c r="V8601">
        <v>0</v>
      </c>
      <c r="W8601">
        <v>1</v>
      </c>
      <c r="X8601">
        <v>0</v>
      </c>
      <c r="Y8601">
        <v>1</v>
      </c>
      <c r="Z8601">
        <v>0</v>
      </c>
      <c r="AA8601">
        <v>1</v>
      </c>
      <c r="AB8601">
        <v>0</v>
      </c>
      <c r="AC8601">
        <v>0</v>
      </c>
      <c r="AD8601">
        <v>1</v>
      </c>
      <c r="AE8601">
        <v>1</v>
      </c>
      <c r="AF8601">
        <v>1</v>
      </c>
      <c r="AG8601">
        <v>1</v>
      </c>
      <c r="AH8601">
        <v>1</v>
      </c>
      <c r="AI8601">
        <v>1</v>
      </c>
      <c r="AJ8601">
        <v>1</v>
      </c>
      <c r="AK8601">
        <v>1</v>
      </c>
      <c r="AL8601">
        <v>1</v>
      </c>
      <c r="AM8601">
        <v>1</v>
      </c>
    </row>
    <row r="8602" spans="1:39" x14ac:dyDescent="0.2">
      <c r="A8602" t="str">
        <f>"8598"</f>
        <v>8598</v>
      </c>
      <c r="B8602" t="str">
        <f t="shared" si="477"/>
        <v>1</v>
      </c>
      <c r="C8602" t="str">
        <f t="shared" si="478"/>
        <v>172</v>
      </c>
      <c r="D8602" t="str">
        <f>"12"</f>
        <v>12</v>
      </c>
      <c r="E8602" t="str">
        <f>"1-172-12"</f>
        <v>1-172-12</v>
      </c>
      <c r="F8602" t="s">
        <v>65</v>
      </c>
      <c r="G8602" t="s">
        <v>66</v>
      </c>
      <c r="H8602" t="s">
        <v>67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1</v>
      </c>
      <c r="Y8602">
        <v>0</v>
      </c>
      <c r="Z8602">
        <v>0</v>
      </c>
      <c r="AA8602">
        <v>0</v>
      </c>
      <c r="AB8602">
        <v>1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1</v>
      </c>
      <c r="AJ8602">
        <v>1</v>
      </c>
      <c r="AK8602">
        <v>0</v>
      </c>
      <c r="AL8602">
        <v>0</v>
      </c>
      <c r="AM8602">
        <v>0</v>
      </c>
    </row>
    <row r="8603" spans="1:39" x14ac:dyDescent="0.2">
      <c r="A8603" t="str">
        <f>"8599"</f>
        <v>8599</v>
      </c>
      <c r="B8603" t="str">
        <f t="shared" si="477"/>
        <v>1</v>
      </c>
      <c r="C8603" t="str">
        <f t="shared" si="478"/>
        <v>172</v>
      </c>
      <c r="D8603" t="str">
        <f>"49"</f>
        <v>49</v>
      </c>
      <c r="E8603" t="str">
        <f>"1-172-49"</f>
        <v>1-172-49</v>
      </c>
      <c r="F8603" t="s">
        <v>65</v>
      </c>
      <c r="G8603" t="s">
        <v>66</v>
      </c>
      <c r="H8603" t="s">
        <v>67</v>
      </c>
      <c r="S8603">
        <v>0</v>
      </c>
      <c r="T8603">
        <v>0</v>
      </c>
      <c r="U8603">
        <v>0</v>
      </c>
      <c r="V8603">
        <v>0</v>
      </c>
      <c r="W8603">
        <v>1</v>
      </c>
      <c r="X8603">
        <v>0</v>
      </c>
      <c r="Y8603">
        <v>0</v>
      </c>
      <c r="Z8603">
        <v>1</v>
      </c>
      <c r="AA8603">
        <v>0</v>
      </c>
      <c r="AB8603">
        <v>1</v>
      </c>
      <c r="AC8603">
        <v>0</v>
      </c>
      <c r="AD8603">
        <v>0</v>
      </c>
      <c r="AE8603">
        <v>1</v>
      </c>
      <c r="AF8603">
        <v>1</v>
      </c>
      <c r="AG8603">
        <v>1</v>
      </c>
      <c r="AH8603">
        <v>1</v>
      </c>
      <c r="AI8603">
        <v>1</v>
      </c>
      <c r="AJ8603">
        <v>1</v>
      </c>
      <c r="AK8603">
        <v>1</v>
      </c>
      <c r="AL8603">
        <v>1</v>
      </c>
      <c r="AM8603">
        <v>1</v>
      </c>
    </row>
    <row r="8604" spans="1:39" x14ac:dyDescent="0.2">
      <c r="A8604" t="str">
        <f>"8600"</f>
        <v>8600</v>
      </c>
      <c r="B8604" t="str">
        <f t="shared" si="477"/>
        <v>1</v>
      </c>
      <c r="C8604" t="str">
        <f t="shared" si="478"/>
        <v>172</v>
      </c>
      <c r="D8604" t="str">
        <f>"50"</f>
        <v>50</v>
      </c>
      <c r="E8604" t="str">
        <f>"1-172-50"</f>
        <v>1-172-50</v>
      </c>
      <c r="F8604" t="s">
        <v>65</v>
      </c>
      <c r="G8604" t="s">
        <v>66</v>
      </c>
      <c r="H8604" t="s">
        <v>67</v>
      </c>
      <c r="S8604">
        <v>0</v>
      </c>
      <c r="T8604">
        <v>0</v>
      </c>
      <c r="U8604">
        <v>0</v>
      </c>
      <c r="V8604">
        <v>0</v>
      </c>
      <c r="W8604">
        <v>1</v>
      </c>
      <c r="X8604">
        <v>0</v>
      </c>
      <c r="Y8604">
        <v>1</v>
      </c>
      <c r="Z8604">
        <v>0</v>
      </c>
      <c r="AA8604">
        <v>1</v>
      </c>
      <c r="AB8604">
        <v>0</v>
      </c>
      <c r="AC8604">
        <v>0</v>
      </c>
      <c r="AD8604">
        <v>0</v>
      </c>
      <c r="AE8604">
        <v>1</v>
      </c>
      <c r="AF8604">
        <v>1</v>
      </c>
      <c r="AG8604">
        <v>1</v>
      </c>
      <c r="AH8604">
        <v>0</v>
      </c>
      <c r="AI8604">
        <v>1</v>
      </c>
      <c r="AJ8604">
        <v>1</v>
      </c>
      <c r="AK8604">
        <v>1</v>
      </c>
      <c r="AL8604">
        <v>0</v>
      </c>
      <c r="AM8604">
        <v>1</v>
      </c>
    </row>
    <row r="8605" spans="1:39" x14ac:dyDescent="0.2">
      <c r="A8605" t="str">
        <f>"8601"</f>
        <v>8601</v>
      </c>
      <c r="B8605" t="str">
        <f t="shared" si="477"/>
        <v>1</v>
      </c>
      <c r="C8605" t="str">
        <f t="shared" ref="C8605:C8636" si="479">"173"</f>
        <v>173</v>
      </c>
      <c r="D8605" t="str">
        <f>"40"</f>
        <v>40</v>
      </c>
      <c r="E8605" t="str">
        <f>"1-173-40"</f>
        <v>1-173-40</v>
      </c>
      <c r="F8605" t="s">
        <v>65</v>
      </c>
      <c r="G8605" t="s">
        <v>66</v>
      </c>
      <c r="H8605" t="s">
        <v>67</v>
      </c>
      <c r="S8605">
        <v>0</v>
      </c>
      <c r="T8605">
        <v>1</v>
      </c>
      <c r="U8605">
        <v>0</v>
      </c>
      <c r="V8605">
        <v>0</v>
      </c>
      <c r="W8605">
        <v>0</v>
      </c>
      <c r="X8605">
        <v>1</v>
      </c>
      <c r="Y8605">
        <v>0</v>
      </c>
      <c r="Z8605">
        <v>1</v>
      </c>
      <c r="AA8605">
        <v>0</v>
      </c>
      <c r="AB8605">
        <v>1</v>
      </c>
      <c r="AC8605">
        <v>0</v>
      </c>
      <c r="AD8605">
        <v>1</v>
      </c>
      <c r="AE8605">
        <v>1</v>
      </c>
      <c r="AF8605">
        <v>1</v>
      </c>
      <c r="AG8605">
        <v>1</v>
      </c>
      <c r="AH8605">
        <v>1</v>
      </c>
      <c r="AI8605">
        <v>1</v>
      </c>
      <c r="AJ8605">
        <v>1</v>
      </c>
      <c r="AK8605">
        <v>1</v>
      </c>
      <c r="AL8605">
        <v>1</v>
      </c>
      <c r="AM8605">
        <v>1</v>
      </c>
    </row>
    <row r="8606" spans="1:39" x14ac:dyDescent="0.2">
      <c r="A8606" t="str">
        <f>"8602"</f>
        <v>8602</v>
      </c>
      <c r="B8606" t="str">
        <f t="shared" si="477"/>
        <v>1</v>
      </c>
      <c r="C8606" t="str">
        <f t="shared" si="479"/>
        <v>173</v>
      </c>
      <c r="D8606" t="str">
        <f>"39"</f>
        <v>39</v>
      </c>
      <c r="E8606" t="str">
        <f>"1-173-39"</f>
        <v>1-173-39</v>
      </c>
      <c r="F8606" t="s">
        <v>65</v>
      </c>
      <c r="G8606" t="s">
        <v>66</v>
      </c>
      <c r="H8606" t="s">
        <v>67</v>
      </c>
      <c r="S8606">
        <v>0</v>
      </c>
      <c r="T8606">
        <v>1</v>
      </c>
      <c r="U8606">
        <v>0</v>
      </c>
      <c r="V8606">
        <v>0</v>
      </c>
      <c r="W8606">
        <v>1</v>
      </c>
      <c r="X8606">
        <v>0</v>
      </c>
      <c r="Y8606">
        <v>0</v>
      </c>
      <c r="Z8606">
        <v>1</v>
      </c>
      <c r="AA8606">
        <v>0</v>
      </c>
      <c r="AB8606">
        <v>1</v>
      </c>
      <c r="AC8606">
        <v>0</v>
      </c>
      <c r="AD8606">
        <v>1</v>
      </c>
      <c r="AE8606">
        <v>1</v>
      </c>
      <c r="AF8606">
        <v>1</v>
      </c>
      <c r="AG8606">
        <v>1</v>
      </c>
      <c r="AH8606">
        <v>1</v>
      </c>
      <c r="AI8606">
        <v>1</v>
      </c>
      <c r="AJ8606">
        <v>1</v>
      </c>
      <c r="AK8606">
        <v>1</v>
      </c>
      <c r="AL8606">
        <v>1</v>
      </c>
      <c r="AM8606">
        <v>1</v>
      </c>
    </row>
    <row r="8607" spans="1:39" x14ac:dyDescent="0.2">
      <c r="A8607" t="str">
        <f>"8603"</f>
        <v>8603</v>
      </c>
      <c r="B8607" t="str">
        <f t="shared" si="477"/>
        <v>1</v>
      </c>
      <c r="C8607" t="str">
        <f t="shared" si="479"/>
        <v>173</v>
      </c>
      <c r="D8607" t="str">
        <f>"29"</f>
        <v>29</v>
      </c>
      <c r="E8607" t="str">
        <f>"1-173-29"</f>
        <v>1-173-29</v>
      </c>
      <c r="F8607" t="s">
        <v>65</v>
      </c>
      <c r="G8607" t="s">
        <v>66</v>
      </c>
      <c r="H8607" t="s">
        <v>67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1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1</v>
      </c>
      <c r="AE8607">
        <v>1</v>
      </c>
      <c r="AF8607">
        <v>1</v>
      </c>
      <c r="AG8607">
        <v>1</v>
      </c>
      <c r="AH8607">
        <v>1</v>
      </c>
      <c r="AI8607">
        <v>1</v>
      </c>
      <c r="AJ8607">
        <v>1</v>
      </c>
      <c r="AK8607">
        <v>1</v>
      </c>
      <c r="AL8607">
        <v>1</v>
      </c>
      <c r="AM8607">
        <v>1</v>
      </c>
    </row>
    <row r="8608" spans="1:39" x14ac:dyDescent="0.2">
      <c r="A8608" t="str">
        <f>"8604"</f>
        <v>8604</v>
      </c>
      <c r="B8608" t="str">
        <f t="shared" si="477"/>
        <v>1</v>
      </c>
      <c r="C8608" t="str">
        <f t="shared" si="479"/>
        <v>173</v>
      </c>
      <c r="D8608" t="str">
        <f>"15"</f>
        <v>15</v>
      </c>
      <c r="E8608" t="str">
        <f>"1-173-15"</f>
        <v>1-173-15</v>
      </c>
      <c r="F8608" t="s">
        <v>65</v>
      </c>
      <c r="G8608" t="s">
        <v>66</v>
      </c>
      <c r="H8608" t="s">
        <v>67</v>
      </c>
      <c r="S8608">
        <v>1</v>
      </c>
      <c r="T8608">
        <v>0</v>
      </c>
      <c r="U8608">
        <v>0</v>
      </c>
      <c r="V8608">
        <v>0</v>
      </c>
      <c r="W8608">
        <v>1</v>
      </c>
      <c r="X8608">
        <v>0</v>
      </c>
      <c r="Y8608">
        <v>0</v>
      </c>
      <c r="Z8608">
        <v>1</v>
      </c>
      <c r="AA8608">
        <v>1</v>
      </c>
      <c r="AB8608">
        <v>0</v>
      </c>
      <c r="AC8608">
        <v>0</v>
      </c>
      <c r="AD8608">
        <v>1</v>
      </c>
      <c r="AE8608">
        <v>1</v>
      </c>
      <c r="AF8608">
        <v>1</v>
      </c>
      <c r="AG8608">
        <v>1</v>
      </c>
      <c r="AH8608">
        <v>1</v>
      </c>
      <c r="AI8608">
        <v>1</v>
      </c>
      <c r="AJ8608">
        <v>1</v>
      </c>
      <c r="AK8608">
        <v>1</v>
      </c>
      <c r="AL8608">
        <v>1</v>
      </c>
      <c r="AM8608">
        <v>1</v>
      </c>
    </row>
    <row r="8609" spans="1:39" x14ac:dyDescent="0.2">
      <c r="A8609" t="str">
        <f>"8605"</f>
        <v>8605</v>
      </c>
      <c r="B8609" t="str">
        <f t="shared" si="477"/>
        <v>1</v>
      </c>
      <c r="C8609" t="str">
        <f t="shared" si="479"/>
        <v>173</v>
      </c>
      <c r="D8609" t="str">
        <f>"1"</f>
        <v>1</v>
      </c>
      <c r="E8609" t="str">
        <f>"1-173-1"</f>
        <v>1-173-1</v>
      </c>
      <c r="F8609" t="s">
        <v>65</v>
      </c>
      <c r="G8609" t="s">
        <v>66</v>
      </c>
      <c r="H8609" t="s">
        <v>68</v>
      </c>
      <c r="I8609">
        <v>1</v>
      </c>
      <c r="J8609">
        <v>0</v>
      </c>
      <c r="K8609">
        <v>0</v>
      </c>
      <c r="L8609">
        <v>1</v>
      </c>
      <c r="M8609">
        <v>1</v>
      </c>
      <c r="N8609">
        <v>1</v>
      </c>
      <c r="O8609">
        <v>1</v>
      </c>
      <c r="P8609">
        <v>1</v>
      </c>
      <c r="Q8609">
        <v>1</v>
      </c>
      <c r="R8609">
        <v>1</v>
      </c>
    </row>
    <row r="8610" spans="1:39" x14ac:dyDescent="0.2">
      <c r="A8610" t="str">
        <f>"8606"</f>
        <v>8606</v>
      </c>
      <c r="B8610" t="str">
        <f t="shared" si="477"/>
        <v>1</v>
      </c>
      <c r="C8610" t="str">
        <f t="shared" si="479"/>
        <v>173</v>
      </c>
      <c r="D8610" t="str">
        <f>"36"</f>
        <v>36</v>
      </c>
      <c r="E8610" t="str">
        <f>"1-173-36"</f>
        <v>1-173-36</v>
      </c>
      <c r="F8610" t="s">
        <v>65</v>
      </c>
      <c r="G8610" t="s">
        <v>66</v>
      </c>
      <c r="H8610" t="s">
        <v>67</v>
      </c>
      <c r="S8610">
        <v>1</v>
      </c>
      <c r="T8610">
        <v>0</v>
      </c>
      <c r="U8610">
        <v>0</v>
      </c>
      <c r="V8610">
        <v>0</v>
      </c>
      <c r="W8610">
        <v>0</v>
      </c>
      <c r="X8610">
        <v>1</v>
      </c>
      <c r="Y8610">
        <v>1</v>
      </c>
      <c r="Z8610">
        <v>0</v>
      </c>
      <c r="AA8610">
        <v>1</v>
      </c>
      <c r="AB8610">
        <v>0</v>
      </c>
      <c r="AC8610">
        <v>0</v>
      </c>
      <c r="AD8610">
        <v>1</v>
      </c>
      <c r="AE8610">
        <v>0</v>
      </c>
      <c r="AF8610">
        <v>1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</row>
    <row r="8611" spans="1:39" x14ac:dyDescent="0.2">
      <c r="A8611" t="str">
        <f>"8607"</f>
        <v>8607</v>
      </c>
      <c r="B8611" t="str">
        <f t="shared" si="477"/>
        <v>1</v>
      </c>
      <c r="C8611" t="str">
        <f t="shared" si="479"/>
        <v>173</v>
      </c>
      <c r="D8611" t="str">
        <f>"35"</f>
        <v>35</v>
      </c>
      <c r="E8611" t="str">
        <f>"1-173-35"</f>
        <v>1-173-35</v>
      </c>
      <c r="F8611" t="s">
        <v>65</v>
      </c>
      <c r="G8611" t="s">
        <v>66</v>
      </c>
      <c r="H8611" t="s">
        <v>67</v>
      </c>
      <c r="S8611">
        <v>0</v>
      </c>
      <c r="T8611">
        <v>1</v>
      </c>
      <c r="U8611">
        <v>0</v>
      </c>
      <c r="V8611">
        <v>0</v>
      </c>
      <c r="W8611">
        <v>1</v>
      </c>
      <c r="X8611">
        <v>0</v>
      </c>
      <c r="Y8611">
        <v>0</v>
      </c>
      <c r="Z8611">
        <v>1</v>
      </c>
      <c r="AA8611">
        <v>0</v>
      </c>
      <c r="AB8611">
        <v>0</v>
      </c>
      <c r="AC8611">
        <v>1</v>
      </c>
      <c r="AD8611">
        <v>1</v>
      </c>
      <c r="AE8611">
        <v>1</v>
      </c>
      <c r="AF8611">
        <v>1</v>
      </c>
      <c r="AG8611">
        <v>1</v>
      </c>
      <c r="AH8611">
        <v>0</v>
      </c>
      <c r="AI8611">
        <v>0</v>
      </c>
      <c r="AJ8611">
        <v>0</v>
      </c>
      <c r="AK8611">
        <v>0</v>
      </c>
      <c r="AL8611">
        <v>1</v>
      </c>
      <c r="AM8611">
        <v>0</v>
      </c>
    </row>
    <row r="8612" spans="1:39" x14ac:dyDescent="0.2">
      <c r="A8612" t="str">
        <f>"8608"</f>
        <v>8608</v>
      </c>
      <c r="B8612" t="str">
        <f t="shared" si="477"/>
        <v>1</v>
      </c>
      <c r="C8612" t="str">
        <f t="shared" si="479"/>
        <v>173</v>
      </c>
      <c r="D8612" t="str">
        <f>"23"</f>
        <v>23</v>
      </c>
      <c r="E8612" t="str">
        <f>"1-173-23"</f>
        <v>1-173-23</v>
      </c>
      <c r="F8612" t="s">
        <v>65</v>
      </c>
      <c r="G8612" t="s">
        <v>66</v>
      </c>
      <c r="H8612" t="s">
        <v>67</v>
      </c>
      <c r="S8612">
        <v>1</v>
      </c>
      <c r="T8612">
        <v>0</v>
      </c>
      <c r="U8612">
        <v>0</v>
      </c>
      <c r="V8612">
        <v>0</v>
      </c>
      <c r="W8612">
        <v>1</v>
      </c>
      <c r="X8612">
        <v>0</v>
      </c>
      <c r="Y8612">
        <v>1</v>
      </c>
      <c r="Z8612">
        <v>0</v>
      </c>
      <c r="AA8612">
        <v>1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1</v>
      </c>
      <c r="AI8612">
        <v>1</v>
      </c>
      <c r="AJ8612">
        <v>1</v>
      </c>
      <c r="AK8612">
        <v>1</v>
      </c>
      <c r="AL8612">
        <v>1</v>
      </c>
      <c r="AM8612">
        <v>0</v>
      </c>
    </row>
    <row r="8613" spans="1:39" x14ac:dyDescent="0.2">
      <c r="A8613" t="str">
        <f>"8609"</f>
        <v>8609</v>
      </c>
      <c r="B8613" t="str">
        <f t="shared" si="477"/>
        <v>1</v>
      </c>
      <c r="C8613" t="str">
        <f t="shared" si="479"/>
        <v>173</v>
      </c>
      <c r="D8613" t="str">
        <f>"16"</f>
        <v>16</v>
      </c>
      <c r="E8613" t="str">
        <f>"1-173-16"</f>
        <v>1-173-16</v>
      </c>
      <c r="F8613" t="s">
        <v>65</v>
      </c>
      <c r="G8613" t="s">
        <v>66</v>
      </c>
      <c r="H8613" t="s">
        <v>67</v>
      </c>
      <c r="S8613">
        <v>1</v>
      </c>
      <c r="T8613">
        <v>0</v>
      </c>
      <c r="U8613">
        <v>0</v>
      </c>
      <c r="V8613">
        <v>0</v>
      </c>
      <c r="W8613">
        <v>1</v>
      </c>
      <c r="X8613">
        <v>0</v>
      </c>
      <c r="Y8613">
        <v>1</v>
      </c>
      <c r="Z8613">
        <v>0</v>
      </c>
      <c r="AA8613">
        <v>1</v>
      </c>
      <c r="AB8613">
        <v>0</v>
      </c>
      <c r="AC8613">
        <v>0</v>
      </c>
      <c r="AD8613">
        <v>1</v>
      </c>
      <c r="AE8613">
        <v>1</v>
      </c>
      <c r="AF8613">
        <v>1</v>
      </c>
      <c r="AG8613">
        <v>1</v>
      </c>
      <c r="AH8613">
        <v>1</v>
      </c>
      <c r="AI8613">
        <v>1</v>
      </c>
      <c r="AJ8613">
        <v>1</v>
      </c>
      <c r="AK8613">
        <v>1</v>
      </c>
      <c r="AL8613">
        <v>1</v>
      </c>
      <c r="AM8613">
        <v>1</v>
      </c>
    </row>
    <row r="8614" spans="1:39" x14ac:dyDescent="0.2">
      <c r="A8614" t="str">
        <f>"8610"</f>
        <v>8610</v>
      </c>
      <c r="B8614" t="str">
        <f t="shared" si="477"/>
        <v>1</v>
      </c>
      <c r="C8614" t="str">
        <f t="shared" si="479"/>
        <v>173</v>
      </c>
      <c r="D8614" t="str">
        <f>"2"</f>
        <v>2</v>
      </c>
      <c r="E8614" t="str">
        <f>"1-173-2"</f>
        <v>1-173-2</v>
      </c>
      <c r="F8614" t="s">
        <v>65</v>
      </c>
      <c r="G8614" t="s">
        <v>66</v>
      </c>
      <c r="H8614" t="s">
        <v>67</v>
      </c>
      <c r="S8614">
        <v>0</v>
      </c>
      <c r="T8614">
        <v>1</v>
      </c>
      <c r="U8614">
        <v>0</v>
      </c>
      <c r="V8614">
        <v>0</v>
      </c>
      <c r="W8614">
        <v>1</v>
      </c>
      <c r="X8614">
        <v>0</v>
      </c>
      <c r="Y8614">
        <v>1</v>
      </c>
      <c r="Z8614">
        <v>0</v>
      </c>
      <c r="AA8614">
        <v>1</v>
      </c>
      <c r="AB8614">
        <v>0</v>
      </c>
      <c r="AC8614">
        <v>0</v>
      </c>
      <c r="AD8614">
        <v>1</v>
      </c>
      <c r="AE8614">
        <v>1</v>
      </c>
      <c r="AF8614">
        <v>1</v>
      </c>
      <c r="AG8614">
        <v>1</v>
      </c>
      <c r="AH8614">
        <v>1</v>
      </c>
      <c r="AI8614">
        <v>1</v>
      </c>
      <c r="AJ8614">
        <v>1</v>
      </c>
      <c r="AK8614">
        <v>1</v>
      </c>
      <c r="AL8614">
        <v>1</v>
      </c>
      <c r="AM8614">
        <v>1</v>
      </c>
    </row>
    <row r="8615" spans="1:39" x14ac:dyDescent="0.2">
      <c r="A8615" t="str">
        <f>"8611"</f>
        <v>8611</v>
      </c>
      <c r="B8615" t="str">
        <f t="shared" si="477"/>
        <v>1</v>
      </c>
      <c r="C8615" t="str">
        <f t="shared" si="479"/>
        <v>173</v>
      </c>
      <c r="D8615" t="str">
        <f>"38"</f>
        <v>38</v>
      </c>
      <c r="E8615" t="str">
        <f>"1-173-38"</f>
        <v>1-173-38</v>
      </c>
      <c r="F8615" t="s">
        <v>65</v>
      </c>
      <c r="G8615" t="s">
        <v>66</v>
      </c>
      <c r="H8615" t="s">
        <v>67</v>
      </c>
      <c r="S8615">
        <v>0</v>
      </c>
      <c r="T8615">
        <v>1</v>
      </c>
      <c r="U8615">
        <v>0</v>
      </c>
      <c r="V8615">
        <v>0</v>
      </c>
      <c r="W8615">
        <v>0</v>
      </c>
      <c r="X8615">
        <v>1</v>
      </c>
      <c r="Y8615">
        <v>0</v>
      </c>
      <c r="Z8615">
        <v>0</v>
      </c>
      <c r="AA8615">
        <v>0</v>
      </c>
      <c r="AB8615">
        <v>1</v>
      </c>
      <c r="AC8615">
        <v>0</v>
      </c>
      <c r="AD8615">
        <v>1</v>
      </c>
      <c r="AE8615">
        <v>1</v>
      </c>
      <c r="AF8615">
        <v>1</v>
      </c>
      <c r="AG8615">
        <v>1</v>
      </c>
      <c r="AH8615">
        <v>1</v>
      </c>
      <c r="AI8615">
        <v>1</v>
      </c>
      <c r="AJ8615">
        <v>1</v>
      </c>
      <c r="AK8615">
        <v>1</v>
      </c>
      <c r="AL8615">
        <v>1</v>
      </c>
      <c r="AM8615">
        <v>1</v>
      </c>
    </row>
    <row r="8616" spans="1:39" x14ac:dyDescent="0.2">
      <c r="A8616" t="str">
        <f>"8612"</f>
        <v>8612</v>
      </c>
      <c r="B8616" t="str">
        <f t="shared" si="477"/>
        <v>1</v>
      </c>
      <c r="C8616" t="str">
        <f t="shared" si="479"/>
        <v>173</v>
      </c>
      <c r="D8616" t="str">
        <f>"37"</f>
        <v>37</v>
      </c>
      <c r="E8616" t="str">
        <f>"1-173-37"</f>
        <v>1-173-37</v>
      </c>
      <c r="F8616" t="s">
        <v>65</v>
      </c>
      <c r="G8616" t="s">
        <v>66</v>
      </c>
      <c r="H8616" t="s">
        <v>67</v>
      </c>
      <c r="S8616">
        <v>1</v>
      </c>
      <c r="T8616">
        <v>0</v>
      </c>
      <c r="U8616">
        <v>0</v>
      </c>
      <c r="V8616">
        <v>0</v>
      </c>
      <c r="W8616">
        <v>1</v>
      </c>
      <c r="X8616">
        <v>0</v>
      </c>
      <c r="Y8616">
        <v>1</v>
      </c>
      <c r="Z8616">
        <v>0</v>
      </c>
      <c r="AA8616">
        <v>1</v>
      </c>
      <c r="AB8616">
        <v>0</v>
      </c>
      <c r="AC8616">
        <v>0</v>
      </c>
      <c r="AD8616">
        <v>1</v>
      </c>
      <c r="AE8616">
        <v>1</v>
      </c>
      <c r="AF8616">
        <v>1</v>
      </c>
      <c r="AG8616">
        <v>1</v>
      </c>
      <c r="AH8616">
        <v>1</v>
      </c>
      <c r="AI8616">
        <v>1</v>
      </c>
      <c r="AJ8616">
        <v>1</v>
      </c>
      <c r="AK8616">
        <v>1</v>
      </c>
      <c r="AL8616">
        <v>1</v>
      </c>
      <c r="AM8616">
        <v>1</v>
      </c>
    </row>
    <row r="8617" spans="1:39" x14ac:dyDescent="0.2">
      <c r="A8617" t="str">
        <f>"8613"</f>
        <v>8613</v>
      </c>
      <c r="B8617" t="str">
        <f t="shared" si="477"/>
        <v>1</v>
      </c>
      <c r="C8617" t="str">
        <f t="shared" si="479"/>
        <v>173</v>
      </c>
      <c r="D8617" t="str">
        <f>"30"</f>
        <v>30</v>
      </c>
      <c r="E8617" t="str">
        <f>"1-173-30"</f>
        <v>1-173-30</v>
      </c>
      <c r="F8617" t="s">
        <v>65</v>
      </c>
      <c r="G8617" t="s">
        <v>66</v>
      </c>
      <c r="H8617" t="s">
        <v>67</v>
      </c>
      <c r="S8617">
        <v>1</v>
      </c>
      <c r="T8617">
        <v>0</v>
      </c>
      <c r="U8617">
        <v>0</v>
      </c>
      <c r="V8617">
        <v>0</v>
      </c>
      <c r="W8617">
        <v>1</v>
      </c>
      <c r="X8617">
        <v>0</v>
      </c>
      <c r="Y8617">
        <v>1</v>
      </c>
      <c r="Z8617">
        <v>0</v>
      </c>
      <c r="AA8617">
        <v>0</v>
      </c>
      <c r="AB8617">
        <v>1</v>
      </c>
      <c r="AC8617">
        <v>0</v>
      </c>
      <c r="AD8617">
        <v>1</v>
      </c>
      <c r="AE8617">
        <v>1</v>
      </c>
      <c r="AF8617">
        <v>1</v>
      </c>
      <c r="AG8617">
        <v>1</v>
      </c>
      <c r="AH8617">
        <v>1</v>
      </c>
      <c r="AI8617">
        <v>1</v>
      </c>
      <c r="AJ8617">
        <v>1</v>
      </c>
      <c r="AK8617">
        <v>1</v>
      </c>
      <c r="AL8617">
        <v>1</v>
      </c>
      <c r="AM8617">
        <v>1</v>
      </c>
    </row>
    <row r="8618" spans="1:39" x14ac:dyDescent="0.2">
      <c r="A8618" t="str">
        <f>"8614"</f>
        <v>8614</v>
      </c>
      <c r="B8618" t="str">
        <f t="shared" si="477"/>
        <v>1</v>
      </c>
      <c r="C8618" t="str">
        <f t="shared" si="479"/>
        <v>173</v>
      </c>
      <c r="D8618" t="str">
        <f>"17"</f>
        <v>17</v>
      </c>
      <c r="E8618" t="str">
        <f>"1-173-17"</f>
        <v>1-173-17</v>
      </c>
      <c r="F8618" t="s">
        <v>65</v>
      </c>
      <c r="G8618" t="s">
        <v>66</v>
      </c>
      <c r="H8618" t="s">
        <v>67</v>
      </c>
      <c r="S8618">
        <v>0</v>
      </c>
      <c r="T8618">
        <v>1</v>
      </c>
      <c r="U8618">
        <v>0</v>
      </c>
      <c r="V8618">
        <v>0</v>
      </c>
      <c r="W8618">
        <v>1</v>
      </c>
      <c r="X8618">
        <v>0</v>
      </c>
      <c r="Y8618">
        <v>0</v>
      </c>
      <c r="Z8618">
        <v>1</v>
      </c>
      <c r="AA8618">
        <v>0</v>
      </c>
      <c r="AB8618">
        <v>1</v>
      </c>
      <c r="AC8618">
        <v>0</v>
      </c>
      <c r="AD8618">
        <v>1</v>
      </c>
      <c r="AE8618">
        <v>1</v>
      </c>
      <c r="AF8618">
        <v>1</v>
      </c>
      <c r="AG8618">
        <v>1</v>
      </c>
      <c r="AH8618">
        <v>1</v>
      </c>
      <c r="AI8618">
        <v>1</v>
      </c>
      <c r="AJ8618">
        <v>1</v>
      </c>
      <c r="AK8618">
        <v>1</v>
      </c>
      <c r="AL8618">
        <v>1</v>
      </c>
      <c r="AM8618">
        <v>1</v>
      </c>
    </row>
    <row r="8619" spans="1:39" x14ac:dyDescent="0.2">
      <c r="A8619" t="str">
        <f>"8615"</f>
        <v>8615</v>
      </c>
      <c r="B8619" t="str">
        <f t="shared" si="477"/>
        <v>1</v>
      </c>
      <c r="C8619" t="str">
        <f t="shared" si="479"/>
        <v>173</v>
      </c>
      <c r="D8619" t="str">
        <f>"10"</f>
        <v>10</v>
      </c>
      <c r="E8619" t="str">
        <f>"1-173-10"</f>
        <v>1-173-10</v>
      </c>
      <c r="F8619" t="s">
        <v>65</v>
      </c>
      <c r="G8619" t="s">
        <v>66</v>
      </c>
      <c r="H8619" t="s">
        <v>67</v>
      </c>
      <c r="S8619">
        <v>1</v>
      </c>
      <c r="T8619">
        <v>0</v>
      </c>
      <c r="U8619">
        <v>0</v>
      </c>
      <c r="V8619">
        <v>0</v>
      </c>
      <c r="W8619">
        <v>0</v>
      </c>
      <c r="X8619">
        <v>1</v>
      </c>
      <c r="Y8619">
        <v>1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</row>
    <row r="8620" spans="1:39" x14ac:dyDescent="0.2">
      <c r="A8620" t="str">
        <f>"8616"</f>
        <v>8616</v>
      </c>
      <c r="B8620" t="str">
        <f t="shared" si="477"/>
        <v>1</v>
      </c>
      <c r="C8620" t="str">
        <f t="shared" si="479"/>
        <v>173</v>
      </c>
      <c r="D8620" t="str">
        <f>"42"</f>
        <v>42</v>
      </c>
      <c r="E8620" t="str">
        <f>"1-173-42"</f>
        <v>1-173-42</v>
      </c>
      <c r="F8620" t="s">
        <v>65</v>
      </c>
      <c r="G8620" t="s">
        <v>66</v>
      </c>
      <c r="H8620" t="s">
        <v>67</v>
      </c>
      <c r="S8620">
        <v>0</v>
      </c>
      <c r="T8620">
        <v>1</v>
      </c>
      <c r="U8620">
        <v>0</v>
      </c>
      <c r="V8620">
        <v>0</v>
      </c>
      <c r="W8620">
        <v>0</v>
      </c>
      <c r="X8620">
        <v>1</v>
      </c>
      <c r="Y8620">
        <v>0</v>
      </c>
      <c r="Z8620">
        <v>1</v>
      </c>
      <c r="AA8620">
        <v>0</v>
      </c>
      <c r="AB8620">
        <v>0</v>
      </c>
      <c r="AC8620">
        <v>1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</row>
    <row r="8621" spans="1:39" x14ac:dyDescent="0.2">
      <c r="A8621" t="str">
        <f>"8617"</f>
        <v>8617</v>
      </c>
      <c r="B8621" t="str">
        <f t="shared" si="477"/>
        <v>1</v>
      </c>
      <c r="C8621" t="str">
        <f t="shared" si="479"/>
        <v>173</v>
      </c>
      <c r="D8621" t="str">
        <f>"41"</f>
        <v>41</v>
      </c>
      <c r="E8621" t="str">
        <f>"1-173-41"</f>
        <v>1-173-41</v>
      </c>
      <c r="F8621" t="s">
        <v>65</v>
      </c>
      <c r="G8621" t="s">
        <v>66</v>
      </c>
      <c r="H8621" t="s">
        <v>67</v>
      </c>
      <c r="S8621">
        <v>0</v>
      </c>
      <c r="T8621">
        <v>1</v>
      </c>
      <c r="U8621">
        <v>0</v>
      </c>
      <c r="V8621">
        <v>0</v>
      </c>
      <c r="W8621">
        <v>1</v>
      </c>
      <c r="X8621">
        <v>0</v>
      </c>
      <c r="Y8621">
        <v>1</v>
      </c>
      <c r="Z8621">
        <v>0</v>
      </c>
      <c r="AA8621">
        <v>0</v>
      </c>
      <c r="AB8621">
        <v>1</v>
      </c>
      <c r="AC8621">
        <v>0</v>
      </c>
      <c r="AD8621">
        <v>1</v>
      </c>
      <c r="AE8621">
        <v>1</v>
      </c>
      <c r="AF8621">
        <v>1</v>
      </c>
      <c r="AG8621">
        <v>1</v>
      </c>
      <c r="AH8621">
        <v>1</v>
      </c>
      <c r="AI8621">
        <v>1</v>
      </c>
      <c r="AJ8621">
        <v>1</v>
      </c>
      <c r="AK8621">
        <v>1</v>
      </c>
      <c r="AL8621">
        <v>1</v>
      </c>
      <c r="AM8621">
        <v>1</v>
      </c>
    </row>
    <row r="8622" spans="1:39" x14ac:dyDescent="0.2">
      <c r="A8622" t="str">
        <f>"8618"</f>
        <v>8618</v>
      </c>
      <c r="B8622" t="str">
        <f t="shared" si="477"/>
        <v>1</v>
      </c>
      <c r="C8622" t="str">
        <f t="shared" si="479"/>
        <v>173</v>
      </c>
      <c r="D8622" t="str">
        <f>"32"</f>
        <v>32</v>
      </c>
      <c r="E8622" t="str">
        <f>"1-173-32"</f>
        <v>1-173-32</v>
      </c>
      <c r="F8622" t="s">
        <v>65</v>
      </c>
      <c r="G8622" t="s">
        <v>66</v>
      </c>
      <c r="H8622" t="s">
        <v>67</v>
      </c>
      <c r="S8622">
        <v>1</v>
      </c>
      <c r="T8622">
        <v>0</v>
      </c>
      <c r="U8622">
        <v>0</v>
      </c>
      <c r="V8622">
        <v>0</v>
      </c>
      <c r="W8622">
        <v>1</v>
      </c>
      <c r="X8622">
        <v>0</v>
      </c>
      <c r="Y8622">
        <v>1</v>
      </c>
      <c r="Z8622">
        <v>0</v>
      </c>
      <c r="AA8622">
        <v>1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1</v>
      </c>
      <c r="AI8622">
        <v>1</v>
      </c>
      <c r="AJ8622">
        <v>1</v>
      </c>
      <c r="AK8622">
        <v>1</v>
      </c>
      <c r="AL8622">
        <v>1</v>
      </c>
      <c r="AM8622">
        <v>0</v>
      </c>
    </row>
    <row r="8623" spans="1:39" x14ac:dyDescent="0.2">
      <c r="A8623" t="str">
        <f>"8619"</f>
        <v>8619</v>
      </c>
      <c r="B8623" t="str">
        <f t="shared" si="477"/>
        <v>1</v>
      </c>
      <c r="C8623" t="str">
        <f t="shared" si="479"/>
        <v>173</v>
      </c>
      <c r="D8623" t="str">
        <f>"18"</f>
        <v>18</v>
      </c>
      <c r="E8623" t="str">
        <f>"1-173-18"</f>
        <v>1-173-18</v>
      </c>
      <c r="F8623" t="s">
        <v>65</v>
      </c>
      <c r="G8623" t="s">
        <v>66</v>
      </c>
      <c r="H8623" t="s">
        <v>67</v>
      </c>
      <c r="S8623">
        <v>1</v>
      </c>
      <c r="T8623">
        <v>0</v>
      </c>
      <c r="U8623">
        <v>0</v>
      </c>
      <c r="V8623">
        <v>0</v>
      </c>
      <c r="W8623">
        <v>1</v>
      </c>
      <c r="X8623">
        <v>0</v>
      </c>
      <c r="Y8623">
        <v>1</v>
      </c>
      <c r="Z8623">
        <v>0</v>
      </c>
      <c r="AA8623">
        <v>1</v>
      </c>
      <c r="AB8623">
        <v>0</v>
      </c>
      <c r="AC8623">
        <v>0</v>
      </c>
      <c r="AD8623">
        <v>1</v>
      </c>
      <c r="AE8623">
        <v>1</v>
      </c>
      <c r="AF8623">
        <v>1</v>
      </c>
      <c r="AG8623">
        <v>1</v>
      </c>
      <c r="AH8623">
        <v>1</v>
      </c>
      <c r="AI8623">
        <v>1</v>
      </c>
      <c r="AJ8623">
        <v>1</v>
      </c>
      <c r="AK8623">
        <v>1</v>
      </c>
      <c r="AL8623">
        <v>1</v>
      </c>
      <c r="AM8623">
        <v>1</v>
      </c>
    </row>
    <row r="8624" spans="1:39" x14ac:dyDescent="0.2">
      <c r="A8624" t="str">
        <f>"8620"</f>
        <v>8620</v>
      </c>
      <c r="B8624" t="str">
        <f t="shared" si="477"/>
        <v>1</v>
      </c>
      <c r="C8624" t="str">
        <f t="shared" si="479"/>
        <v>173</v>
      </c>
      <c r="D8624" t="str">
        <f>"11"</f>
        <v>11</v>
      </c>
      <c r="E8624" t="str">
        <f>"1-173-11"</f>
        <v>1-173-11</v>
      </c>
      <c r="F8624" t="s">
        <v>65</v>
      </c>
      <c r="G8624" t="s">
        <v>66</v>
      </c>
      <c r="H8624" t="s">
        <v>68</v>
      </c>
      <c r="I8624">
        <v>1</v>
      </c>
      <c r="J8624">
        <v>0</v>
      </c>
      <c r="K8624">
        <v>0</v>
      </c>
      <c r="L8624">
        <v>1</v>
      </c>
      <c r="M8624">
        <v>1</v>
      </c>
      <c r="N8624">
        <v>1</v>
      </c>
      <c r="O8624">
        <v>1</v>
      </c>
      <c r="P8624">
        <v>1</v>
      </c>
      <c r="Q8624">
        <v>1</v>
      </c>
      <c r="R8624">
        <v>1</v>
      </c>
    </row>
    <row r="8625" spans="1:39" x14ac:dyDescent="0.2">
      <c r="A8625" t="str">
        <f>"8621"</f>
        <v>8621</v>
      </c>
      <c r="B8625" t="str">
        <f t="shared" si="477"/>
        <v>1</v>
      </c>
      <c r="C8625" t="str">
        <f t="shared" si="479"/>
        <v>173</v>
      </c>
      <c r="D8625" t="str">
        <f>"44"</f>
        <v>44</v>
      </c>
      <c r="E8625" t="str">
        <f>"1-173-44"</f>
        <v>1-173-44</v>
      </c>
      <c r="F8625" t="s">
        <v>65</v>
      </c>
      <c r="G8625" t="s">
        <v>66</v>
      </c>
      <c r="H8625" t="s">
        <v>67</v>
      </c>
      <c r="S8625">
        <v>0</v>
      </c>
      <c r="T8625">
        <v>1</v>
      </c>
      <c r="U8625">
        <v>0</v>
      </c>
      <c r="V8625">
        <v>0</v>
      </c>
      <c r="W8625">
        <v>0</v>
      </c>
      <c r="X8625">
        <v>1</v>
      </c>
      <c r="Y8625">
        <v>0</v>
      </c>
      <c r="Z8625">
        <v>1</v>
      </c>
      <c r="AA8625">
        <v>0</v>
      </c>
      <c r="AB8625">
        <v>0</v>
      </c>
      <c r="AC8625">
        <v>1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</row>
    <row r="8626" spans="1:39" x14ac:dyDescent="0.2">
      <c r="A8626" t="str">
        <f>"8622"</f>
        <v>8622</v>
      </c>
      <c r="B8626" t="str">
        <f t="shared" si="477"/>
        <v>1</v>
      </c>
      <c r="C8626" t="str">
        <f t="shared" si="479"/>
        <v>173</v>
      </c>
      <c r="D8626" t="str">
        <f>"43"</f>
        <v>43</v>
      </c>
      <c r="E8626" t="str">
        <f>"1-173-43"</f>
        <v>1-173-43</v>
      </c>
      <c r="F8626" t="s">
        <v>65</v>
      </c>
      <c r="G8626" t="s">
        <v>66</v>
      </c>
      <c r="H8626" t="s">
        <v>67</v>
      </c>
      <c r="S8626">
        <v>0</v>
      </c>
      <c r="T8626">
        <v>1</v>
      </c>
      <c r="U8626">
        <v>0</v>
      </c>
      <c r="V8626">
        <v>0</v>
      </c>
      <c r="W8626">
        <v>0</v>
      </c>
      <c r="X8626">
        <v>1</v>
      </c>
      <c r="Y8626">
        <v>0</v>
      </c>
      <c r="Z8626">
        <v>1</v>
      </c>
      <c r="AA8626">
        <v>0</v>
      </c>
      <c r="AB8626">
        <v>1</v>
      </c>
      <c r="AC8626">
        <v>0</v>
      </c>
      <c r="AD8626">
        <v>1</v>
      </c>
      <c r="AE8626">
        <v>1</v>
      </c>
      <c r="AF8626">
        <v>1</v>
      </c>
      <c r="AG8626">
        <v>1</v>
      </c>
      <c r="AH8626">
        <v>1</v>
      </c>
      <c r="AI8626">
        <v>1</v>
      </c>
      <c r="AJ8626">
        <v>1</v>
      </c>
      <c r="AK8626">
        <v>1</v>
      </c>
      <c r="AL8626">
        <v>1</v>
      </c>
      <c r="AM8626">
        <v>1</v>
      </c>
    </row>
    <row r="8627" spans="1:39" x14ac:dyDescent="0.2">
      <c r="A8627" t="str">
        <f>"8623"</f>
        <v>8623</v>
      </c>
      <c r="B8627" t="str">
        <f t="shared" si="477"/>
        <v>1</v>
      </c>
      <c r="C8627" t="str">
        <f t="shared" si="479"/>
        <v>173</v>
      </c>
      <c r="D8627" t="str">
        <f>"33"</f>
        <v>33</v>
      </c>
      <c r="E8627" t="str">
        <f>"1-173-33"</f>
        <v>1-173-33</v>
      </c>
      <c r="F8627" t="s">
        <v>65</v>
      </c>
      <c r="G8627" t="s">
        <v>66</v>
      </c>
      <c r="H8627" t="s">
        <v>67</v>
      </c>
      <c r="S8627">
        <v>0</v>
      </c>
      <c r="T8627">
        <v>1</v>
      </c>
      <c r="U8627">
        <v>0</v>
      </c>
      <c r="V8627">
        <v>0</v>
      </c>
      <c r="W8627">
        <v>0</v>
      </c>
      <c r="X8627">
        <v>1</v>
      </c>
      <c r="Y8627">
        <v>1</v>
      </c>
      <c r="Z8627">
        <v>0</v>
      </c>
      <c r="AA8627">
        <v>0</v>
      </c>
      <c r="AB8627">
        <v>1</v>
      </c>
      <c r="AC8627">
        <v>0</v>
      </c>
      <c r="AD8627">
        <v>1</v>
      </c>
      <c r="AE8627">
        <v>1</v>
      </c>
      <c r="AF8627">
        <v>1</v>
      </c>
      <c r="AG8627">
        <v>1</v>
      </c>
      <c r="AH8627">
        <v>1</v>
      </c>
      <c r="AI8627">
        <v>1</v>
      </c>
      <c r="AJ8627">
        <v>1</v>
      </c>
      <c r="AK8627">
        <v>1</v>
      </c>
      <c r="AL8627">
        <v>1</v>
      </c>
      <c r="AM8627">
        <v>1</v>
      </c>
    </row>
    <row r="8628" spans="1:39" x14ac:dyDescent="0.2">
      <c r="A8628" t="str">
        <f>"8624"</f>
        <v>8624</v>
      </c>
      <c r="B8628" t="str">
        <f t="shared" si="477"/>
        <v>1</v>
      </c>
      <c r="C8628" t="str">
        <f t="shared" si="479"/>
        <v>173</v>
      </c>
      <c r="D8628" t="str">
        <f>"19"</f>
        <v>19</v>
      </c>
      <c r="E8628" t="str">
        <f>"1-173-19"</f>
        <v>1-173-19</v>
      </c>
      <c r="F8628" t="s">
        <v>65</v>
      </c>
      <c r="G8628" t="s">
        <v>66</v>
      </c>
      <c r="H8628" t="s">
        <v>67</v>
      </c>
      <c r="S8628">
        <v>0</v>
      </c>
      <c r="T8628">
        <v>1</v>
      </c>
      <c r="U8628">
        <v>0</v>
      </c>
      <c r="V8628">
        <v>0</v>
      </c>
      <c r="W8628">
        <v>0</v>
      </c>
      <c r="X8628">
        <v>1</v>
      </c>
      <c r="Y8628">
        <v>0</v>
      </c>
      <c r="Z8628">
        <v>1</v>
      </c>
      <c r="AA8628">
        <v>0</v>
      </c>
      <c r="AB8628">
        <v>0</v>
      </c>
      <c r="AC8628">
        <v>1</v>
      </c>
      <c r="AD8628">
        <v>1</v>
      </c>
      <c r="AE8628">
        <v>1</v>
      </c>
      <c r="AF8628">
        <v>1</v>
      </c>
      <c r="AG8628">
        <v>1</v>
      </c>
      <c r="AH8628">
        <v>1</v>
      </c>
      <c r="AI8628">
        <v>1</v>
      </c>
      <c r="AJ8628">
        <v>1</v>
      </c>
      <c r="AK8628">
        <v>1</v>
      </c>
      <c r="AL8628">
        <v>1</v>
      </c>
      <c r="AM8628">
        <v>1</v>
      </c>
    </row>
    <row r="8629" spans="1:39" x14ac:dyDescent="0.2">
      <c r="A8629" t="str">
        <f>"8625"</f>
        <v>8625</v>
      </c>
      <c r="B8629" t="str">
        <f t="shared" si="477"/>
        <v>1</v>
      </c>
      <c r="C8629" t="str">
        <f t="shared" si="479"/>
        <v>173</v>
      </c>
      <c r="D8629" t="str">
        <f>"8"</f>
        <v>8</v>
      </c>
      <c r="E8629" t="str">
        <f>"1-173-8"</f>
        <v>1-173-8</v>
      </c>
      <c r="F8629" t="s">
        <v>65</v>
      </c>
      <c r="G8629" t="s">
        <v>66</v>
      </c>
      <c r="H8629" t="s">
        <v>67</v>
      </c>
      <c r="S8629">
        <v>0</v>
      </c>
      <c r="T8629">
        <v>1</v>
      </c>
      <c r="U8629">
        <v>0</v>
      </c>
      <c r="V8629">
        <v>0</v>
      </c>
      <c r="W8629">
        <v>1</v>
      </c>
      <c r="X8629">
        <v>0</v>
      </c>
      <c r="Y8629">
        <v>0</v>
      </c>
      <c r="Z8629">
        <v>1</v>
      </c>
      <c r="AA8629">
        <v>0</v>
      </c>
      <c r="AB8629">
        <v>0</v>
      </c>
      <c r="AC8629">
        <v>1</v>
      </c>
      <c r="AD8629">
        <v>1</v>
      </c>
      <c r="AE8629">
        <v>1</v>
      </c>
      <c r="AF8629">
        <v>1</v>
      </c>
      <c r="AG8629">
        <v>1</v>
      </c>
      <c r="AH8629">
        <v>1</v>
      </c>
      <c r="AI8629">
        <v>1</v>
      </c>
      <c r="AJ8629">
        <v>1</v>
      </c>
      <c r="AK8629">
        <v>1</v>
      </c>
      <c r="AL8629">
        <v>1</v>
      </c>
      <c r="AM8629">
        <v>1</v>
      </c>
    </row>
    <row r="8630" spans="1:39" x14ac:dyDescent="0.2">
      <c r="A8630" t="str">
        <f>"8626"</f>
        <v>8626</v>
      </c>
      <c r="B8630" t="str">
        <f t="shared" si="477"/>
        <v>1</v>
      </c>
      <c r="C8630" t="str">
        <f t="shared" si="479"/>
        <v>173</v>
      </c>
      <c r="D8630" t="str">
        <f>"46"</f>
        <v>46</v>
      </c>
      <c r="E8630" t="str">
        <f>"1-173-46"</f>
        <v>1-173-46</v>
      </c>
      <c r="F8630" t="s">
        <v>65</v>
      </c>
      <c r="G8630" t="s">
        <v>66</v>
      </c>
      <c r="H8630" t="s">
        <v>67</v>
      </c>
      <c r="S8630">
        <v>1</v>
      </c>
      <c r="T8630">
        <v>0</v>
      </c>
      <c r="U8630">
        <v>0</v>
      </c>
      <c r="V8630">
        <v>0</v>
      </c>
      <c r="W8630">
        <v>0</v>
      </c>
      <c r="X8630">
        <v>1</v>
      </c>
      <c r="Y8630">
        <v>1</v>
      </c>
      <c r="Z8630">
        <v>0</v>
      </c>
      <c r="AA8630">
        <v>1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1</v>
      </c>
      <c r="AJ8630">
        <v>1</v>
      </c>
      <c r="AK8630">
        <v>0</v>
      </c>
      <c r="AL8630">
        <v>0</v>
      </c>
      <c r="AM8630">
        <v>0</v>
      </c>
    </row>
    <row r="8631" spans="1:39" x14ac:dyDescent="0.2">
      <c r="A8631" t="str">
        <f>"8627"</f>
        <v>8627</v>
      </c>
      <c r="B8631" t="str">
        <f t="shared" ref="B8631:B8694" si="480">"1"</f>
        <v>1</v>
      </c>
      <c r="C8631" t="str">
        <f t="shared" si="479"/>
        <v>173</v>
      </c>
      <c r="D8631" t="str">
        <f>"45"</f>
        <v>45</v>
      </c>
      <c r="E8631" t="str">
        <f>"1-173-45"</f>
        <v>1-173-45</v>
      </c>
      <c r="F8631" t="s">
        <v>65</v>
      </c>
      <c r="G8631" t="s">
        <v>66</v>
      </c>
      <c r="H8631" t="s">
        <v>67</v>
      </c>
      <c r="S8631">
        <v>1</v>
      </c>
      <c r="T8631">
        <v>0</v>
      </c>
      <c r="U8631">
        <v>0</v>
      </c>
      <c r="V8631">
        <v>0</v>
      </c>
      <c r="W8631">
        <v>1</v>
      </c>
      <c r="X8631">
        <v>0</v>
      </c>
      <c r="Y8631">
        <v>0</v>
      </c>
      <c r="Z8631">
        <v>1</v>
      </c>
      <c r="AA8631">
        <v>1</v>
      </c>
      <c r="AB8631">
        <v>0</v>
      </c>
      <c r="AC8631">
        <v>0</v>
      </c>
      <c r="AD8631">
        <v>1</v>
      </c>
      <c r="AE8631">
        <v>1</v>
      </c>
      <c r="AF8631">
        <v>1</v>
      </c>
      <c r="AG8631">
        <v>1</v>
      </c>
      <c r="AH8631">
        <v>1</v>
      </c>
      <c r="AI8631">
        <v>1</v>
      </c>
      <c r="AJ8631">
        <v>1</v>
      </c>
      <c r="AK8631">
        <v>1</v>
      </c>
      <c r="AL8631">
        <v>1</v>
      </c>
      <c r="AM8631">
        <v>1</v>
      </c>
    </row>
    <row r="8632" spans="1:39" x14ac:dyDescent="0.2">
      <c r="A8632" t="str">
        <f>"8628"</f>
        <v>8628</v>
      </c>
      <c r="B8632" t="str">
        <f t="shared" si="480"/>
        <v>1</v>
      </c>
      <c r="C8632" t="str">
        <f t="shared" si="479"/>
        <v>173</v>
      </c>
      <c r="D8632" t="str">
        <f>"34"</f>
        <v>34</v>
      </c>
      <c r="E8632" t="str">
        <f>"1-173-34"</f>
        <v>1-173-34</v>
      </c>
      <c r="F8632" t="s">
        <v>65</v>
      </c>
      <c r="G8632" t="s">
        <v>66</v>
      </c>
      <c r="H8632" t="s">
        <v>67</v>
      </c>
      <c r="S8632">
        <v>0</v>
      </c>
      <c r="T8632">
        <v>1</v>
      </c>
      <c r="U8632">
        <v>0</v>
      </c>
      <c r="V8632">
        <v>0</v>
      </c>
      <c r="W8632">
        <v>1</v>
      </c>
      <c r="X8632">
        <v>0</v>
      </c>
      <c r="Y8632">
        <v>0</v>
      </c>
      <c r="Z8632">
        <v>1</v>
      </c>
      <c r="AA8632">
        <v>0</v>
      </c>
      <c r="AB8632">
        <v>0</v>
      </c>
      <c r="AC8632">
        <v>1</v>
      </c>
      <c r="AD8632">
        <v>1</v>
      </c>
      <c r="AE8632">
        <v>1</v>
      </c>
      <c r="AF8632">
        <v>1</v>
      </c>
      <c r="AG8632">
        <v>1</v>
      </c>
      <c r="AH8632">
        <v>0</v>
      </c>
      <c r="AI8632">
        <v>0</v>
      </c>
      <c r="AJ8632">
        <v>0</v>
      </c>
      <c r="AK8632">
        <v>0</v>
      </c>
      <c r="AL8632">
        <v>1</v>
      </c>
      <c r="AM8632">
        <v>0</v>
      </c>
    </row>
    <row r="8633" spans="1:39" x14ac:dyDescent="0.2">
      <c r="A8633" t="str">
        <f>"8629"</f>
        <v>8629</v>
      </c>
      <c r="B8633" t="str">
        <f t="shared" si="480"/>
        <v>1</v>
      </c>
      <c r="C8633" t="str">
        <f t="shared" si="479"/>
        <v>173</v>
      </c>
      <c r="D8633" t="str">
        <f>"20"</f>
        <v>20</v>
      </c>
      <c r="E8633" t="str">
        <f>"1-173-20"</f>
        <v>1-173-20</v>
      </c>
      <c r="F8633" t="s">
        <v>65</v>
      </c>
      <c r="G8633" t="s">
        <v>66</v>
      </c>
      <c r="H8633" t="s">
        <v>67</v>
      </c>
      <c r="S8633">
        <v>0</v>
      </c>
      <c r="T8633">
        <v>1</v>
      </c>
      <c r="U8633">
        <v>0</v>
      </c>
      <c r="V8633">
        <v>0</v>
      </c>
      <c r="W8633">
        <v>1</v>
      </c>
      <c r="X8633">
        <v>0</v>
      </c>
      <c r="Y8633">
        <v>1</v>
      </c>
      <c r="Z8633">
        <v>0</v>
      </c>
      <c r="AA8633">
        <v>0</v>
      </c>
      <c r="AB8633">
        <v>1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</row>
    <row r="8634" spans="1:39" x14ac:dyDescent="0.2">
      <c r="A8634" t="str">
        <f>"8630"</f>
        <v>8630</v>
      </c>
      <c r="B8634" t="str">
        <f t="shared" si="480"/>
        <v>1</v>
      </c>
      <c r="C8634" t="str">
        <f t="shared" si="479"/>
        <v>173</v>
      </c>
      <c r="D8634" t="str">
        <f>"4"</f>
        <v>4</v>
      </c>
      <c r="E8634" t="str">
        <f>"1-173-4"</f>
        <v>1-173-4</v>
      </c>
      <c r="F8634" t="s">
        <v>65</v>
      </c>
      <c r="G8634" t="s">
        <v>66</v>
      </c>
      <c r="H8634" t="s">
        <v>67</v>
      </c>
      <c r="S8634">
        <v>0</v>
      </c>
      <c r="T8634">
        <v>1</v>
      </c>
      <c r="U8634">
        <v>0</v>
      </c>
      <c r="V8634">
        <v>0</v>
      </c>
      <c r="W8634">
        <v>0</v>
      </c>
      <c r="X8634">
        <v>1</v>
      </c>
      <c r="Y8634">
        <v>0</v>
      </c>
      <c r="Z8634">
        <v>1</v>
      </c>
      <c r="AA8634">
        <v>0</v>
      </c>
      <c r="AB8634">
        <v>0</v>
      </c>
      <c r="AC8634">
        <v>1</v>
      </c>
      <c r="AD8634">
        <v>1</v>
      </c>
      <c r="AE8634">
        <v>1</v>
      </c>
      <c r="AF8634">
        <v>1</v>
      </c>
      <c r="AG8634">
        <v>1</v>
      </c>
      <c r="AH8634">
        <v>1</v>
      </c>
      <c r="AI8634">
        <v>1</v>
      </c>
      <c r="AJ8634">
        <v>1</v>
      </c>
      <c r="AK8634">
        <v>1</v>
      </c>
      <c r="AL8634">
        <v>1</v>
      </c>
      <c r="AM8634">
        <v>1</v>
      </c>
    </row>
    <row r="8635" spans="1:39" x14ac:dyDescent="0.2">
      <c r="A8635" t="str">
        <f>"8631"</f>
        <v>8631</v>
      </c>
      <c r="B8635" t="str">
        <f t="shared" si="480"/>
        <v>1</v>
      </c>
      <c r="C8635" t="str">
        <f t="shared" si="479"/>
        <v>173</v>
      </c>
      <c r="D8635" t="str">
        <f>"21"</f>
        <v>21</v>
      </c>
      <c r="E8635" t="str">
        <f>"1-173-21"</f>
        <v>1-173-21</v>
      </c>
      <c r="F8635" t="s">
        <v>65</v>
      </c>
      <c r="G8635" t="s">
        <v>66</v>
      </c>
      <c r="H8635" t="s">
        <v>67</v>
      </c>
      <c r="S8635">
        <v>0</v>
      </c>
      <c r="T8635">
        <v>1</v>
      </c>
      <c r="U8635">
        <v>0</v>
      </c>
      <c r="V8635">
        <v>0</v>
      </c>
      <c r="W8635">
        <v>0</v>
      </c>
      <c r="X8635">
        <v>1</v>
      </c>
      <c r="Y8635">
        <v>1</v>
      </c>
      <c r="Z8635">
        <v>0</v>
      </c>
      <c r="AA8635">
        <v>1</v>
      </c>
      <c r="AB8635">
        <v>0</v>
      </c>
      <c r="AC8635">
        <v>0</v>
      </c>
      <c r="AD8635">
        <v>1</v>
      </c>
      <c r="AE8635">
        <v>1</v>
      </c>
      <c r="AF8635">
        <v>1</v>
      </c>
      <c r="AG8635">
        <v>1</v>
      </c>
      <c r="AH8635">
        <v>1</v>
      </c>
      <c r="AI8635">
        <v>1</v>
      </c>
      <c r="AJ8635">
        <v>1</v>
      </c>
      <c r="AK8635">
        <v>1</v>
      </c>
      <c r="AL8635">
        <v>1</v>
      </c>
      <c r="AM8635">
        <v>1</v>
      </c>
    </row>
    <row r="8636" spans="1:39" x14ac:dyDescent="0.2">
      <c r="A8636" t="str">
        <f>"8632"</f>
        <v>8632</v>
      </c>
      <c r="B8636" t="str">
        <f t="shared" si="480"/>
        <v>1</v>
      </c>
      <c r="C8636" t="str">
        <f t="shared" si="479"/>
        <v>173</v>
      </c>
      <c r="D8636" t="str">
        <f>"14"</f>
        <v>14</v>
      </c>
      <c r="E8636" t="str">
        <f>"1-173-14"</f>
        <v>1-173-14</v>
      </c>
      <c r="F8636" t="s">
        <v>65</v>
      </c>
      <c r="G8636" t="s">
        <v>66</v>
      </c>
      <c r="H8636" t="s">
        <v>67</v>
      </c>
      <c r="S8636">
        <v>1</v>
      </c>
      <c r="T8636">
        <v>0</v>
      </c>
      <c r="U8636">
        <v>0</v>
      </c>
      <c r="V8636">
        <v>0</v>
      </c>
      <c r="W8636">
        <v>0</v>
      </c>
      <c r="X8636">
        <v>1</v>
      </c>
      <c r="Y8636">
        <v>0</v>
      </c>
      <c r="Z8636">
        <v>1</v>
      </c>
      <c r="AA8636">
        <v>1</v>
      </c>
      <c r="AB8636">
        <v>0</v>
      </c>
      <c r="AC8636">
        <v>0</v>
      </c>
      <c r="AD8636">
        <v>1</v>
      </c>
      <c r="AE8636">
        <v>1</v>
      </c>
      <c r="AF8636">
        <v>1</v>
      </c>
      <c r="AG8636">
        <v>1</v>
      </c>
      <c r="AH8636">
        <v>1</v>
      </c>
      <c r="AI8636">
        <v>1</v>
      </c>
      <c r="AJ8636">
        <v>1</v>
      </c>
      <c r="AK8636">
        <v>1</v>
      </c>
      <c r="AL8636">
        <v>0</v>
      </c>
      <c r="AM8636">
        <v>1</v>
      </c>
    </row>
    <row r="8637" spans="1:39" x14ac:dyDescent="0.2">
      <c r="A8637" t="str">
        <f>"8633"</f>
        <v>8633</v>
      </c>
      <c r="B8637" t="str">
        <f t="shared" si="480"/>
        <v>1</v>
      </c>
      <c r="C8637" t="str">
        <f t="shared" ref="C8637:C8654" si="481">"173"</f>
        <v>173</v>
      </c>
      <c r="D8637" t="str">
        <f>"48"</f>
        <v>48</v>
      </c>
      <c r="E8637" t="str">
        <f>"1-173-48"</f>
        <v>1-173-48</v>
      </c>
      <c r="F8637" t="s">
        <v>65</v>
      </c>
      <c r="G8637" t="s">
        <v>66</v>
      </c>
      <c r="H8637" t="s">
        <v>67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1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</row>
    <row r="8638" spans="1:39" x14ac:dyDescent="0.2">
      <c r="A8638" t="str">
        <f>"8634"</f>
        <v>8634</v>
      </c>
      <c r="B8638" t="str">
        <f t="shared" si="480"/>
        <v>1</v>
      </c>
      <c r="C8638" t="str">
        <f t="shared" si="481"/>
        <v>173</v>
      </c>
      <c r="D8638" t="str">
        <f>"13"</f>
        <v>13</v>
      </c>
      <c r="E8638" t="str">
        <f>"1-173-13"</f>
        <v>1-173-13</v>
      </c>
      <c r="F8638" t="s">
        <v>65</v>
      </c>
      <c r="G8638" t="s">
        <v>66</v>
      </c>
      <c r="H8638" t="s">
        <v>67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1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1</v>
      </c>
      <c r="AJ8638">
        <v>0</v>
      </c>
      <c r="AK8638">
        <v>0</v>
      </c>
      <c r="AL8638">
        <v>1</v>
      </c>
      <c r="AM8638">
        <v>0</v>
      </c>
    </row>
    <row r="8639" spans="1:39" x14ac:dyDescent="0.2">
      <c r="A8639" t="str">
        <f>"8635"</f>
        <v>8635</v>
      </c>
      <c r="B8639" t="str">
        <f t="shared" si="480"/>
        <v>1</v>
      </c>
      <c r="C8639" t="str">
        <f t="shared" si="481"/>
        <v>173</v>
      </c>
      <c r="D8639" t="str">
        <f>"47"</f>
        <v>47</v>
      </c>
      <c r="E8639" t="str">
        <f>"1-173-47"</f>
        <v>1-173-47</v>
      </c>
      <c r="F8639" t="s">
        <v>65</v>
      </c>
      <c r="G8639" t="s">
        <v>66</v>
      </c>
      <c r="H8639" t="s">
        <v>67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1</v>
      </c>
      <c r="Y8639">
        <v>0</v>
      </c>
      <c r="Z8639">
        <v>1</v>
      </c>
      <c r="AA8639">
        <v>0</v>
      </c>
      <c r="AB8639">
        <v>0</v>
      </c>
      <c r="AC8639">
        <v>1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</row>
    <row r="8640" spans="1:39" x14ac:dyDescent="0.2">
      <c r="A8640" t="str">
        <f>"8636"</f>
        <v>8636</v>
      </c>
      <c r="B8640" t="str">
        <f t="shared" si="480"/>
        <v>1</v>
      </c>
      <c r="C8640" t="str">
        <f t="shared" si="481"/>
        <v>173</v>
      </c>
      <c r="D8640" t="str">
        <f>"24"</f>
        <v>24</v>
      </c>
      <c r="E8640" t="str">
        <f>"1-173-24"</f>
        <v>1-173-24</v>
      </c>
      <c r="F8640" t="s">
        <v>65</v>
      </c>
      <c r="G8640" t="s">
        <v>66</v>
      </c>
      <c r="H8640" t="s">
        <v>67</v>
      </c>
      <c r="S8640">
        <v>0</v>
      </c>
      <c r="T8640">
        <v>1</v>
      </c>
      <c r="U8640">
        <v>0</v>
      </c>
      <c r="V8640">
        <v>0</v>
      </c>
      <c r="W8640">
        <v>1</v>
      </c>
      <c r="X8640">
        <v>0</v>
      </c>
      <c r="Y8640">
        <v>1</v>
      </c>
      <c r="Z8640">
        <v>0</v>
      </c>
      <c r="AA8640">
        <v>0</v>
      </c>
      <c r="AB8640">
        <v>1</v>
      </c>
      <c r="AC8640">
        <v>0</v>
      </c>
      <c r="AD8640">
        <v>1</v>
      </c>
      <c r="AE8640">
        <v>1</v>
      </c>
      <c r="AF8640">
        <v>1</v>
      </c>
      <c r="AG8640">
        <v>1</v>
      </c>
      <c r="AH8640">
        <v>1</v>
      </c>
      <c r="AI8640">
        <v>1</v>
      </c>
      <c r="AJ8640">
        <v>1</v>
      </c>
      <c r="AK8640">
        <v>1</v>
      </c>
      <c r="AL8640">
        <v>1</v>
      </c>
      <c r="AM8640">
        <v>1</v>
      </c>
    </row>
    <row r="8641" spans="1:39" x14ac:dyDescent="0.2">
      <c r="A8641" t="str">
        <f>"8637"</f>
        <v>8637</v>
      </c>
      <c r="B8641" t="str">
        <f t="shared" si="480"/>
        <v>1</v>
      </c>
      <c r="C8641" t="str">
        <f t="shared" si="481"/>
        <v>173</v>
      </c>
      <c r="D8641" t="str">
        <f>"12"</f>
        <v>12</v>
      </c>
      <c r="E8641" t="str">
        <f>"1-173-12"</f>
        <v>1-173-12</v>
      </c>
      <c r="F8641" t="s">
        <v>65</v>
      </c>
      <c r="G8641" t="s">
        <v>66</v>
      </c>
      <c r="H8641" t="s">
        <v>67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1</v>
      </c>
      <c r="Y8641">
        <v>0</v>
      </c>
      <c r="Z8641">
        <v>0</v>
      </c>
      <c r="AA8641">
        <v>1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1</v>
      </c>
      <c r="AJ8641">
        <v>0</v>
      </c>
      <c r="AK8641">
        <v>0</v>
      </c>
      <c r="AL8641">
        <v>1</v>
      </c>
      <c r="AM8641">
        <v>0</v>
      </c>
    </row>
    <row r="8642" spans="1:39" x14ac:dyDescent="0.2">
      <c r="A8642" t="str">
        <f>"8638"</f>
        <v>8638</v>
      </c>
      <c r="B8642" t="str">
        <f t="shared" si="480"/>
        <v>1</v>
      </c>
      <c r="C8642" t="str">
        <f t="shared" si="481"/>
        <v>173</v>
      </c>
      <c r="D8642" t="str">
        <f>"25"</f>
        <v>25</v>
      </c>
      <c r="E8642" t="str">
        <f>"1-173-25"</f>
        <v>1-173-25</v>
      </c>
      <c r="F8642" t="s">
        <v>65</v>
      </c>
      <c r="G8642" t="s">
        <v>66</v>
      </c>
      <c r="H8642" t="s">
        <v>67</v>
      </c>
      <c r="S8642">
        <v>1</v>
      </c>
      <c r="T8642">
        <v>0</v>
      </c>
      <c r="U8642">
        <v>0</v>
      </c>
      <c r="V8642">
        <v>0</v>
      </c>
      <c r="W8642">
        <v>1</v>
      </c>
      <c r="X8642">
        <v>0</v>
      </c>
      <c r="Y8642">
        <v>1</v>
      </c>
      <c r="Z8642">
        <v>0</v>
      </c>
      <c r="AA8642">
        <v>1</v>
      </c>
      <c r="AB8642">
        <v>0</v>
      </c>
      <c r="AC8642">
        <v>0</v>
      </c>
      <c r="AD8642">
        <v>1</v>
      </c>
      <c r="AE8642">
        <v>1</v>
      </c>
      <c r="AF8642">
        <v>1</v>
      </c>
      <c r="AG8642">
        <v>1</v>
      </c>
      <c r="AH8642">
        <v>1</v>
      </c>
      <c r="AI8642">
        <v>1</v>
      </c>
      <c r="AJ8642">
        <v>1</v>
      </c>
      <c r="AK8642">
        <v>1</v>
      </c>
      <c r="AL8642">
        <v>1</v>
      </c>
      <c r="AM8642">
        <v>1</v>
      </c>
    </row>
    <row r="8643" spans="1:39" x14ac:dyDescent="0.2">
      <c r="A8643" t="str">
        <f>"8639"</f>
        <v>8639</v>
      </c>
      <c r="B8643" t="str">
        <f t="shared" si="480"/>
        <v>1</v>
      </c>
      <c r="C8643" t="str">
        <f t="shared" si="481"/>
        <v>173</v>
      </c>
      <c r="D8643" t="str">
        <f>"7"</f>
        <v>7</v>
      </c>
      <c r="E8643" t="str">
        <f>"1-173-7"</f>
        <v>1-173-7</v>
      </c>
      <c r="F8643" t="s">
        <v>65</v>
      </c>
      <c r="G8643" t="s">
        <v>66</v>
      </c>
      <c r="H8643" t="s">
        <v>67</v>
      </c>
      <c r="S8643">
        <v>0</v>
      </c>
      <c r="T8643">
        <v>1</v>
      </c>
      <c r="U8643">
        <v>0</v>
      </c>
      <c r="V8643">
        <v>0</v>
      </c>
      <c r="W8643">
        <v>0</v>
      </c>
      <c r="X8643">
        <v>1</v>
      </c>
      <c r="Y8643">
        <v>0</v>
      </c>
      <c r="Z8643">
        <v>1</v>
      </c>
      <c r="AA8643">
        <v>0</v>
      </c>
      <c r="AB8643">
        <v>0</v>
      </c>
      <c r="AC8643">
        <v>1</v>
      </c>
      <c r="AD8643">
        <v>1</v>
      </c>
      <c r="AE8643">
        <v>1</v>
      </c>
      <c r="AF8643">
        <v>1</v>
      </c>
      <c r="AG8643">
        <v>1</v>
      </c>
      <c r="AH8643">
        <v>1</v>
      </c>
      <c r="AI8643">
        <v>1</v>
      </c>
      <c r="AJ8643">
        <v>1</v>
      </c>
      <c r="AK8643">
        <v>1</v>
      </c>
      <c r="AL8643">
        <v>1</v>
      </c>
      <c r="AM8643">
        <v>1</v>
      </c>
    </row>
    <row r="8644" spans="1:39" x14ac:dyDescent="0.2">
      <c r="A8644" t="str">
        <f>"8640"</f>
        <v>8640</v>
      </c>
      <c r="B8644" t="str">
        <f t="shared" si="480"/>
        <v>1</v>
      </c>
      <c r="C8644" t="str">
        <f t="shared" si="481"/>
        <v>173</v>
      </c>
      <c r="D8644" t="str">
        <f>"26"</f>
        <v>26</v>
      </c>
      <c r="E8644" t="str">
        <f>"1-173-26"</f>
        <v>1-173-26</v>
      </c>
      <c r="F8644" t="s">
        <v>65</v>
      </c>
      <c r="G8644" t="s">
        <v>66</v>
      </c>
      <c r="H8644" t="s">
        <v>67</v>
      </c>
      <c r="S8644">
        <v>1</v>
      </c>
      <c r="T8644">
        <v>0</v>
      </c>
      <c r="U8644">
        <v>0</v>
      </c>
      <c r="V8644">
        <v>0</v>
      </c>
      <c r="W8644">
        <v>1</v>
      </c>
      <c r="X8644">
        <v>0</v>
      </c>
      <c r="Y8644">
        <v>1</v>
      </c>
      <c r="Z8644">
        <v>0</v>
      </c>
      <c r="AA8644">
        <v>1</v>
      </c>
      <c r="AB8644">
        <v>0</v>
      </c>
      <c r="AC8644">
        <v>0</v>
      </c>
      <c r="AD8644">
        <v>1</v>
      </c>
      <c r="AE8644">
        <v>1</v>
      </c>
      <c r="AF8644">
        <v>1</v>
      </c>
      <c r="AG8644">
        <v>1</v>
      </c>
      <c r="AH8644">
        <v>1</v>
      </c>
      <c r="AI8644">
        <v>1</v>
      </c>
      <c r="AJ8644">
        <v>1</v>
      </c>
      <c r="AK8644">
        <v>1</v>
      </c>
      <c r="AL8644">
        <v>1</v>
      </c>
      <c r="AM8644">
        <v>1</v>
      </c>
    </row>
    <row r="8645" spans="1:39" x14ac:dyDescent="0.2">
      <c r="A8645" t="str">
        <f>"8641"</f>
        <v>8641</v>
      </c>
      <c r="B8645" t="str">
        <f t="shared" si="480"/>
        <v>1</v>
      </c>
      <c r="C8645" t="str">
        <f t="shared" si="481"/>
        <v>173</v>
      </c>
      <c r="D8645" t="str">
        <f>"5"</f>
        <v>5</v>
      </c>
      <c r="E8645" t="str">
        <f>"1-173-5"</f>
        <v>1-173-5</v>
      </c>
      <c r="F8645" t="s">
        <v>65</v>
      </c>
      <c r="G8645" t="s">
        <v>66</v>
      </c>
      <c r="H8645" t="s">
        <v>67</v>
      </c>
      <c r="S8645">
        <v>0</v>
      </c>
      <c r="T8645">
        <v>1</v>
      </c>
      <c r="U8645">
        <v>0</v>
      </c>
      <c r="V8645">
        <v>0</v>
      </c>
      <c r="W8645">
        <v>0</v>
      </c>
      <c r="X8645">
        <v>1</v>
      </c>
      <c r="Y8645">
        <v>0</v>
      </c>
      <c r="Z8645">
        <v>0</v>
      </c>
      <c r="AA8645">
        <v>0</v>
      </c>
      <c r="AB8645">
        <v>1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1</v>
      </c>
      <c r="AJ8645">
        <v>0</v>
      </c>
      <c r="AK8645">
        <v>0</v>
      </c>
      <c r="AL8645">
        <v>0</v>
      </c>
      <c r="AM8645">
        <v>0</v>
      </c>
    </row>
    <row r="8646" spans="1:39" x14ac:dyDescent="0.2">
      <c r="A8646" t="str">
        <f>"8642"</f>
        <v>8642</v>
      </c>
      <c r="B8646" t="str">
        <f t="shared" si="480"/>
        <v>1</v>
      </c>
      <c r="C8646" t="str">
        <f t="shared" si="481"/>
        <v>173</v>
      </c>
      <c r="D8646" t="str">
        <f>"50"</f>
        <v>50</v>
      </c>
      <c r="E8646" t="str">
        <f>"1-173-50"</f>
        <v>1-173-50</v>
      </c>
      <c r="F8646" t="s">
        <v>65</v>
      </c>
      <c r="G8646" t="s">
        <v>66</v>
      </c>
      <c r="H8646" t="s">
        <v>68</v>
      </c>
      <c r="I8646">
        <v>1</v>
      </c>
      <c r="J8646">
        <v>0</v>
      </c>
      <c r="K8646">
        <v>1</v>
      </c>
      <c r="L8646">
        <v>0</v>
      </c>
      <c r="M8646">
        <v>1</v>
      </c>
      <c r="N8646">
        <v>1</v>
      </c>
      <c r="O8646">
        <v>1</v>
      </c>
      <c r="P8646">
        <v>1</v>
      </c>
      <c r="Q8646">
        <v>1</v>
      </c>
      <c r="R8646">
        <v>1</v>
      </c>
    </row>
    <row r="8647" spans="1:39" x14ac:dyDescent="0.2">
      <c r="A8647" t="str">
        <f>"8643"</f>
        <v>8643</v>
      </c>
      <c r="B8647" t="str">
        <f t="shared" si="480"/>
        <v>1</v>
      </c>
      <c r="C8647" t="str">
        <f t="shared" si="481"/>
        <v>173</v>
      </c>
      <c r="D8647" t="str">
        <f>"6"</f>
        <v>6</v>
      </c>
      <c r="E8647" t="str">
        <f>"1-173-6"</f>
        <v>1-173-6</v>
      </c>
      <c r="F8647" t="s">
        <v>65</v>
      </c>
      <c r="G8647" t="s">
        <v>66</v>
      </c>
      <c r="H8647" t="s">
        <v>67</v>
      </c>
      <c r="S8647">
        <v>1</v>
      </c>
      <c r="T8647">
        <v>0</v>
      </c>
      <c r="U8647">
        <v>0</v>
      </c>
      <c r="V8647">
        <v>0</v>
      </c>
      <c r="W8647">
        <v>1</v>
      </c>
      <c r="X8647">
        <v>0</v>
      </c>
      <c r="Y8647">
        <v>1</v>
      </c>
      <c r="Z8647">
        <v>0</v>
      </c>
      <c r="AA8647">
        <v>1</v>
      </c>
      <c r="AB8647">
        <v>0</v>
      </c>
      <c r="AC8647">
        <v>0</v>
      </c>
      <c r="AD8647">
        <v>1</v>
      </c>
      <c r="AE8647">
        <v>1</v>
      </c>
      <c r="AF8647">
        <v>1</v>
      </c>
      <c r="AG8647">
        <v>1</v>
      </c>
      <c r="AH8647">
        <v>1</v>
      </c>
      <c r="AI8647">
        <v>1</v>
      </c>
      <c r="AJ8647">
        <v>1</v>
      </c>
      <c r="AK8647">
        <v>1</v>
      </c>
      <c r="AL8647">
        <v>1</v>
      </c>
      <c r="AM8647">
        <v>1</v>
      </c>
    </row>
    <row r="8648" spans="1:39" x14ac:dyDescent="0.2">
      <c r="A8648" t="str">
        <f>"8644"</f>
        <v>8644</v>
      </c>
      <c r="B8648" t="str">
        <f t="shared" si="480"/>
        <v>1</v>
      </c>
      <c r="C8648" t="str">
        <f t="shared" si="481"/>
        <v>173</v>
      </c>
      <c r="D8648" t="str">
        <f>"49"</f>
        <v>49</v>
      </c>
      <c r="E8648" t="str">
        <f>"1-173-49"</f>
        <v>1-173-49</v>
      </c>
      <c r="F8648" t="s">
        <v>65</v>
      </c>
      <c r="G8648" t="s">
        <v>66</v>
      </c>
      <c r="H8648" t="s">
        <v>68</v>
      </c>
      <c r="I8648">
        <v>1</v>
      </c>
      <c r="J8648">
        <v>0</v>
      </c>
      <c r="K8648">
        <v>0</v>
      </c>
      <c r="L8648">
        <v>1</v>
      </c>
      <c r="M8648">
        <v>1</v>
      </c>
      <c r="N8648">
        <v>1</v>
      </c>
      <c r="O8648">
        <v>1</v>
      </c>
      <c r="P8648">
        <v>1</v>
      </c>
      <c r="Q8648">
        <v>1</v>
      </c>
      <c r="R8648">
        <v>1</v>
      </c>
    </row>
    <row r="8649" spans="1:39" x14ac:dyDescent="0.2">
      <c r="A8649" t="str">
        <f>"8645"</f>
        <v>8645</v>
      </c>
      <c r="B8649" t="str">
        <f t="shared" si="480"/>
        <v>1</v>
      </c>
      <c r="C8649" t="str">
        <f t="shared" si="481"/>
        <v>173</v>
      </c>
      <c r="D8649" t="str">
        <f>"9"</f>
        <v>9</v>
      </c>
      <c r="E8649" t="str">
        <f>"1-173-9"</f>
        <v>1-173-9</v>
      </c>
      <c r="F8649" t="s">
        <v>65</v>
      </c>
      <c r="G8649" t="s">
        <v>66</v>
      </c>
      <c r="H8649" t="s">
        <v>67</v>
      </c>
      <c r="S8649">
        <v>0</v>
      </c>
      <c r="T8649">
        <v>1</v>
      </c>
      <c r="U8649">
        <v>0</v>
      </c>
      <c r="V8649">
        <v>0</v>
      </c>
      <c r="W8649">
        <v>0</v>
      </c>
      <c r="X8649">
        <v>1</v>
      </c>
      <c r="Y8649">
        <v>0</v>
      </c>
      <c r="Z8649">
        <v>0</v>
      </c>
      <c r="AA8649">
        <v>0</v>
      </c>
      <c r="AB8649">
        <v>0</v>
      </c>
      <c r="AC8649">
        <v>1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</row>
    <row r="8650" spans="1:39" x14ac:dyDescent="0.2">
      <c r="A8650" t="str">
        <f>"8646"</f>
        <v>8646</v>
      </c>
      <c r="B8650" t="str">
        <f t="shared" si="480"/>
        <v>1</v>
      </c>
      <c r="C8650" t="str">
        <f t="shared" si="481"/>
        <v>173</v>
      </c>
      <c r="D8650" t="str">
        <f>"3"</f>
        <v>3</v>
      </c>
      <c r="E8650" t="str">
        <f>"1-173-3"</f>
        <v>1-173-3</v>
      </c>
      <c r="F8650" t="s">
        <v>65</v>
      </c>
      <c r="G8650" t="s">
        <v>66</v>
      </c>
      <c r="H8650" t="s">
        <v>67</v>
      </c>
      <c r="S8650">
        <v>0</v>
      </c>
      <c r="T8650">
        <v>1</v>
      </c>
      <c r="U8650">
        <v>0</v>
      </c>
      <c r="V8650">
        <v>0</v>
      </c>
      <c r="W8650">
        <v>0</v>
      </c>
      <c r="X8650">
        <v>1</v>
      </c>
      <c r="Y8650">
        <v>0</v>
      </c>
      <c r="Z8650">
        <v>1</v>
      </c>
      <c r="AA8650">
        <v>0</v>
      </c>
      <c r="AB8650">
        <v>0</v>
      </c>
      <c r="AC8650">
        <v>1</v>
      </c>
      <c r="AD8650">
        <v>1</v>
      </c>
      <c r="AE8650">
        <v>1</v>
      </c>
      <c r="AF8650">
        <v>1</v>
      </c>
      <c r="AG8650">
        <v>1</v>
      </c>
      <c r="AH8650">
        <v>1</v>
      </c>
      <c r="AI8650">
        <v>1</v>
      </c>
      <c r="AJ8650">
        <v>1</v>
      </c>
      <c r="AK8650">
        <v>1</v>
      </c>
      <c r="AL8650">
        <v>1</v>
      </c>
      <c r="AM8650">
        <v>1</v>
      </c>
    </row>
    <row r="8651" spans="1:39" x14ac:dyDescent="0.2">
      <c r="A8651" t="str">
        <f>"8647"</f>
        <v>8647</v>
      </c>
      <c r="B8651" t="str">
        <f t="shared" si="480"/>
        <v>1</v>
      </c>
      <c r="C8651" t="str">
        <f t="shared" si="481"/>
        <v>173</v>
      </c>
      <c r="D8651" t="str">
        <f>"22"</f>
        <v>22</v>
      </c>
      <c r="E8651" t="str">
        <f>"1-173-22"</f>
        <v>1-173-22</v>
      </c>
      <c r="F8651" t="s">
        <v>65</v>
      </c>
      <c r="G8651" t="s">
        <v>66</v>
      </c>
      <c r="H8651" t="s">
        <v>67</v>
      </c>
      <c r="S8651">
        <v>0</v>
      </c>
      <c r="T8651">
        <v>1</v>
      </c>
      <c r="U8651">
        <v>0</v>
      </c>
      <c r="V8651">
        <v>0</v>
      </c>
      <c r="W8651">
        <v>0</v>
      </c>
      <c r="X8651">
        <v>1</v>
      </c>
      <c r="Y8651">
        <v>1</v>
      </c>
      <c r="Z8651">
        <v>0</v>
      </c>
      <c r="AA8651">
        <v>0</v>
      </c>
      <c r="AB8651">
        <v>0</v>
      </c>
      <c r="AC8651">
        <v>1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</row>
    <row r="8652" spans="1:39" x14ac:dyDescent="0.2">
      <c r="A8652" t="str">
        <f>"8648"</f>
        <v>8648</v>
      </c>
      <c r="B8652" t="str">
        <f t="shared" si="480"/>
        <v>1</v>
      </c>
      <c r="C8652" t="str">
        <f t="shared" si="481"/>
        <v>173</v>
      </c>
      <c r="D8652" t="str">
        <f>"31"</f>
        <v>31</v>
      </c>
      <c r="E8652" t="str">
        <f>"1-173-31"</f>
        <v>1-173-31</v>
      </c>
      <c r="F8652" t="s">
        <v>65</v>
      </c>
      <c r="G8652" t="s">
        <v>66</v>
      </c>
      <c r="H8652" t="s">
        <v>67</v>
      </c>
      <c r="S8652">
        <v>0</v>
      </c>
      <c r="T8652">
        <v>1</v>
      </c>
      <c r="U8652">
        <v>0</v>
      </c>
      <c r="V8652">
        <v>0</v>
      </c>
      <c r="W8652">
        <v>0</v>
      </c>
      <c r="X8652">
        <v>1</v>
      </c>
      <c r="Y8652">
        <v>0</v>
      </c>
      <c r="Z8652">
        <v>1</v>
      </c>
      <c r="AA8652">
        <v>0</v>
      </c>
      <c r="AB8652">
        <v>1</v>
      </c>
      <c r="AC8652">
        <v>0</v>
      </c>
      <c r="AD8652">
        <v>0</v>
      </c>
      <c r="AE8652">
        <v>0</v>
      </c>
      <c r="AF8652">
        <v>0</v>
      </c>
      <c r="AG8652">
        <v>1</v>
      </c>
      <c r="AH8652">
        <v>0</v>
      </c>
      <c r="AI8652">
        <v>0</v>
      </c>
      <c r="AJ8652">
        <v>0</v>
      </c>
      <c r="AK8652">
        <v>0</v>
      </c>
      <c r="AL8652">
        <v>1</v>
      </c>
      <c r="AM8652">
        <v>0</v>
      </c>
    </row>
    <row r="8653" spans="1:39" x14ac:dyDescent="0.2">
      <c r="A8653" t="str">
        <f>"8649"</f>
        <v>8649</v>
      </c>
      <c r="B8653" t="str">
        <f t="shared" si="480"/>
        <v>1</v>
      </c>
      <c r="C8653" t="str">
        <f t="shared" si="481"/>
        <v>173</v>
      </c>
      <c r="D8653" t="str">
        <f>"27"</f>
        <v>27</v>
      </c>
      <c r="E8653" t="str">
        <f>"1-173-27"</f>
        <v>1-173-27</v>
      </c>
      <c r="F8653" t="s">
        <v>65</v>
      </c>
      <c r="G8653" t="s">
        <v>66</v>
      </c>
      <c r="H8653" t="s">
        <v>67</v>
      </c>
      <c r="S8653">
        <v>0</v>
      </c>
      <c r="T8653">
        <v>1</v>
      </c>
      <c r="U8653">
        <v>0</v>
      </c>
      <c r="V8653">
        <v>0</v>
      </c>
      <c r="W8653">
        <v>0</v>
      </c>
      <c r="X8653">
        <v>1</v>
      </c>
      <c r="Y8653">
        <v>0</v>
      </c>
      <c r="Z8653">
        <v>1</v>
      </c>
      <c r="AA8653">
        <v>0</v>
      </c>
      <c r="AB8653">
        <v>1</v>
      </c>
      <c r="AC8653">
        <v>0</v>
      </c>
      <c r="AD8653">
        <v>1</v>
      </c>
      <c r="AE8653">
        <v>1</v>
      </c>
      <c r="AF8653">
        <v>1</v>
      </c>
      <c r="AG8653">
        <v>1</v>
      </c>
      <c r="AH8653">
        <v>1</v>
      </c>
      <c r="AI8653">
        <v>1</v>
      </c>
      <c r="AJ8653">
        <v>1</v>
      </c>
      <c r="AK8653">
        <v>1</v>
      </c>
      <c r="AL8653">
        <v>1</v>
      </c>
      <c r="AM8653">
        <v>1</v>
      </c>
    </row>
    <row r="8654" spans="1:39" x14ac:dyDescent="0.2">
      <c r="A8654" t="str">
        <f>"8650"</f>
        <v>8650</v>
      </c>
      <c r="B8654" t="str">
        <f t="shared" si="480"/>
        <v>1</v>
      </c>
      <c r="C8654" t="str">
        <f t="shared" si="481"/>
        <v>173</v>
      </c>
      <c r="D8654" t="str">
        <f>"28"</f>
        <v>28</v>
      </c>
      <c r="E8654" t="str">
        <f>"1-173-28"</f>
        <v>1-173-28</v>
      </c>
      <c r="F8654" t="s">
        <v>65</v>
      </c>
      <c r="G8654" t="s">
        <v>66</v>
      </c>
      <c r="H8654" t="s">
        <v>67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1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1</v>
      </c>
      <c r="AE8654">
        <v>1</v>
      </c>
      <c r="AF8654">
        <v>1</v>
      </c>
      <c r="AG8654">
        <v>1</v>
      </c>
      <c r="AH8654">
        <v>1</v>
      </c>
      <c r="AI8654">
        <v>1</v>
      </c>
      <c r="AJ8654">
        <v>1</v>
      </c>
      <c r="AK8654">
        <v>0</v>
      </c>
      <c r="AL8654">
        <v>1</v>
      </c>
      <c r="AM8654">
        <v>1</v>
      </c>
    </row>
    <row r="8655" spans="1:39" x14ac:dyDescent="0.2">
      <c r="A8655" t="str">
        <f>"8651"</f>
        <v>8651</v>
      </c>
      <c r="B8655" t="str">
        <f t="shared" si="480"/>
        <v>1</v>
      </c>
      <c r="C8655" t="str">
        <f t="shared" ref="C8655:C8686" si="482">"174"</f>
        <v>174</v>
      </c>
      <c r="D8655" t="str">
        <f>"39"</f>
        <v>39</v>
      </c>
      <c r="E8655" t="str">
        <f>"1-174-39"</f>
        <v>1-174-39</v>
      </c>
      <c r="F8655" t="s">
        <v>65</v>
      </c>
      <c r="G8655" t="s">
        <v>66</v>
      </c>
      <c r="H8655" t="s">
        <v>67</v>
      </c>
      <c r="S8655">
        <v>0</v>
      </c>
      <c r="T8655">
        <v>1</v>
      </c>
      <c r="U8655">
        <v>0</v>
      </c>
      <c r="V8655">
        <v>0</v>
      </c>
      <c r="W8655">
        <v>0</v>
      </c>
      <c r="X8655">
        <v>1</v>
      </c>
      <c r="Y8655">
        <v>0</v>
      </c>
      <c r="Z8655">
        <v>1</v>
      </c>
      <c r="AA8655">
        <v>0</v>
      </c>
      <c r="AB8655">
        <v>0</v>
      </c>
      <c r="AC8655">
        <v>1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</row>
    <row r="8656" spans="1:39" x14ac:dyDescent="0.2">
      <c r="A8656" t="str">
        <f>"8652"</f>
        <v>8652</v>
      </c>
      <c r="B8656" t="str">
        <f t="shared" si="480"/>
        <v>1</v>
      </c>
      <c r="C8656" t="str">
        <f t="shared" si="482"/>
        <v>174</v>
      </c>
      <c r="D8656" t="str">
        <f>"38"</f>
        <v>38</v>
      </c>
      <c r="E8656" t="str">
        <f>"1-174-38"</f>
        <v>1-174-38</v>
      </c>
      <c r="F8656" t="s">
        <v>65</v>
      </c>
      <c r="G8656" t="s">
        <v>66</v>
      </c>
      <c r="H8656" t="s">
        <v>67</v>
      </c>
      <c r="S8656">
        <v>0</v>
      </c>
      <c r="T8656">
        <v>1</v>
      </c>
      <c r="U8656">
        <v>0</v>
      </c>
      <c r="V8656">
        <v>0</v>
      </c>
      <c r="W8656">
        <v>1</v>
      </c>
      <c r="X8656">
        <v>0</v>
      </c>
      <c r="Y8656">
        <v>1</v>
      </c>
      <c r="Z8656">
        <v>0</v>
      </c>
      <c r="AA8656">
        <v>0</v>
      </c>
      <c r="AB8656">
        <v>1</v>
      </c>
      <c r="AC8656">
        <v>0</v>
      </c>
      <c r="AD8656">
        <v>1</v>
      </c>
      <c r="AE8656">
        <v>1</v>
      </c>
      <c r="AF8656">
        <v>1</v>
      </c>
      <c r="AG8656">
        <v>1</v>
      </c>
      <c r="AH8656">
        <v>1</v>
      </c>
      <c r="AI8656">
        <v>1</v>
      </c>
      <c r="AJ8656">
        <v>1</v>
      </c>
      <c r="AK8656">
        <v>1</v>
      </c>
      <c r="AL8656">
        <v>1</v>
      </c>
      <c r="AM8656">
        <v>1</v>
      </c>
    </row>
    <row r="8657" spans="1:39" x14ac:dyDescent="0.2">
      <c r="A8657" t="str">
        <f>"8653"</f>
        <v>8653</v>
      </c>
      <c r="B8657" t="str">
        <f t="shared" si="480"/>
        <v>1</v>
      </c>
      <c r="C8657" t="str">
        <f t="shared" si="482"/>
        <v>174</v>
      </c>
      <c r="D8657" t="str">
        <f>"22"</f>
        <v>22</v>
      </c>
      <c r="E8657" t="str">
        <f>"1-174-22"</f>
        <v>1-174-22</v>
      </c>
      <c r="F8657" t="s">
        <v>65</v>
      </c>
      <c r="G8657" t="s">
        <v>66</v>
      </c>
      <c r="H8657" t="s">
        <v>67</v>
      </c>
      <c r="S8657">
        <v>0</v>
      </c>
      <c r="T8657">
        <v>1</v>
      </c>
      <c r="U8657">
        <v>0</v>
      </c>
      <c r="V8657">
        <v>0</v>
      </c>
      <c r="W8657">
        <v>0</v>
      </c>
      <c r="X8657">
        <v>1</v>
      </c>
      <c r="Y8657">
        <v>1</v>
      </c>
      <c r="Z8657">
        <v>0</v>
      </c>
      <c r="AA8657">
        <v>0</v>
      </c>
      <c r="AB8657">
        <v>1</v>
      </c>
      <c r="AC8657">
        <v>0</v>
      </c>
      <c r="AD8657">
        <v>1</v>
      </c>
      <c r="AE8657">
        <v>1</v>
      </c>
      <c r="AF8657">
        <v>1</v>
      </c>
      <c r="AG8657">
        <v>1</v>
      </c>
      <c r="AH8657">
        <v>1</v>
      </c>
      <c r="AI8657">
        <v>1</v>
      </c>
      <c r="AJ8657">
        <v>1</v>
      </c>
      <c r="AK8657">
        <v>1</v>
      </c>
      <c r="AL8657">
        <v>1</v>
      </c>
      <c r="AM8657">
        <v>1</v>
      </c>
    </row>
    <row r="8658" spans="1:39" x14ac:dyDescent="0.2">
      <c r="A8658" t="str">
        <f>"8654"</f>
        <v>8654</v>
      </c>
      <c r="B8658" t="str">
        <f t="shared" si="480"/>
        <v>1</v>
      </c>
      <c r="C8658" t="str">
        <f t="shared" si="482"/>
        <v>174</v>
      </c>
      <c r="D8658" t="str">
        <f>"21"</f>
        <v>21</v>
      </c>
      <c r="E8658" t="str">
        <f>"1-174-21"</f>
        <v>1-174-21</v>
      </c>
      <c r="F8658" t="s">
        <v>65</v>
      </c>
      <c r="G8658" t="s">
        <v>66</v>
      </c>
      <c r="H8658" t="s">
        <v>67</v>
      </c>
      <c r="S8658">
        <v>0</v>
      </c>
      <c r="T8658">
        <v>1</v>
      </c>
      <c r="U8658">
        <v>0</v>
      </c>
      <c r="V8658">
        <v>0</v>
      </c>
      <c r="W8658">
        <v>1</v>
      </c>
      <c r="X8658">
        <v>0</v>
      </c>
      <c r="Y8658">
        <v>1</v>
      </c>
      <c r="Z8658">
        <v>0</v>
      </c>
      <c r="AA8658">
        <v>0</v>
      </c>
      <c r="AB8658">
        <v>1</v>
      </c>
      <c r="AC8658">
        <v>0</v>
      </c>
      <c r="AD8658">
        <v>1</v>
      </c>
      <c r="AE8658">
        <v>1</v>
      </c>
      <c r="AF8658">
        <v>1</v>
      </c>
      <c r="AG8658">
        <v>1</v>
      </c>
      <c r="AH8658">
        <v>1</v>
      </c>
      <c r="AI8658">
        <v>1</v>
      </c>
      <c r="AJ8658">
        <v>1</v>
      </c>
      <c r="AK8658">
        <v>0</v>
      </c>
      <c r="AL8658">
        <v>1</v>
      </c>
      <c r="AM8658">
        <v>1</v>
      </c>
    </row>
    <row r="8659" spans="1:39" x14ac:dyDescent="0.2">
      <c r="A8659" t="str">
        <f>"8655"</f>
        <v>8655</v>
      </c>
      <c r="B8659" t="str">
        <f t="shared" si="480"/>
        <v>1</v>
      </c>
      <c r="C8659" t="str">
        <f t="shared" si="482"/>
        <v>174</v>
      </c>
      <c r="D8659" t="str">
        <f>"18"</f>
        <v>18</v>
      </c>
      <c r="E8659" t="str">
        <f>"1-174-18"</f>
        <v>1-174-18</v>
      </c>
      <c r="F8659" t="s">
        <v>65</v>
      </c>
      <c r="G8659" t="s">
        <v>66</v>
      </c>
      <c r="H8659" t="s">
        <v>67</v>
      </c>
      <c r="S8659">
        <v>1</v>
      </c>
      <c r="T8659">
        <v>0</v>
      </c>
      <c r="U8659">
        <v>0</v>
      </c>
      <c r="V8659">
        <v>0</v>
      </c>
      <c r="W8659">
        <v>1</v>
      </c>
      <c r="X8659">
        <v>0</v>
      </c>
      <c r="Y8659">
        <v>0</v>
      </c>
      <c r="Z8659">
        <v>1</v>
      </c>
      <c r="AA8659">
        <v>1</v>
      </c>
      <c r="AB8659">
        <v>0</v>
      </c>
      <c r="AC8659">
        <v>0</v>
      </c>
      <c r="AD8659">
        <v>1</v>
      </c>
      <c r="AE8659">
        <v>1</v>
      </c>
      <c r="AF8659">
        <v>1</v>
      </c>
      <c r="AG8659">
        <v>1</v>
      </c>
      <c r="AH8659">
        <v>1</v>
      </c>
      <c r="AI8659">
        <v>1</v>
      </c>
      <c r="AJ8659">
        <v>1</v>
      </c>
      <c r="AK8659">
        <v>1</v>
      </c>
      <c r="AL8659">
        <v>1</v>
      </c>
      <c r="AM8659">
        <v>1</v>
      </c>
    </row>
    <row r="8660" spans="1:39" x14ac:dyDescent="0.2">
      <c r="A8660" t="str">
        <f>"8656"</f>
        <v>8656</v>
      </c>
      <c r="B8660" t="str">
        <f t="shared" si="480"/>
        <v>1</v>
      </c>
      <c r="C8660" t="str">
        <f t="shared" si="482"/>
        <v>174</v>
      </c>
      <c r="D8660" t="str">
        <f>"15"</f>
        <v>15</v>
      </c>
      <c r="E8660" t="str">
        <f>"1-174-15"</f>
        <v>1-174-15</v>
      </c>
      <c r="F8660" t="s">
        <v>65</v>
      </c>
      <c r="G8660" t="s">
        <v>66</v>
      </c>
      <c r="H8660" t="s">
        <v>67</v>
      </c>
      <c r="S8660">
        <v>0</v>
      </c>
      <c r="T8660">
        <v>1</v>
      </c>
      <c r="U8660">
        <v>0</v>
      </c>
      <c r="V8660">
        <v>0</v>
      </c>
      <c r="W8660">
        <v>0</v>
      </c>
      <c r="X8660">
        <v>1</v>
      </c>
      <c r="Y8660">
        <v>0</v>
      </c>
      <c r="Z8660">
        <v>1</v>
      </c>
      <c r="AA8660">
        <v>0</v>
      </c>
      <c r="AB8660">
        <v>0</v>
      </c>
      <c r="AC8660">
        <v>1</v>
      </c>
      <c r="AD8660">
        <v>0</v>
      </c>
      <c r="AE8660">
        <v>0</v>
      </c>
      <c r="AF8660">
        <v>0</v>
      </c>
      <c r="AG8660">
        <v>1</v>
      </c>
      <c r="AH8660">
        <v>1</v>
      </c>
      <c r="AI8660">
        <v>1</v>
      </c>
      <c r="AJ8660">
        <v>1</v>
      </c>
      <c r="AK8660">
        <v>1</v>
      </c>
      <c r="AL8660">
        <v>0</v>
      </c>
      <c r="AM8660">
        <v>1</v>
      </c>
    </row>
    <row r="8661" spans="1:39" x14ac:dyDescent="0.2">
      <c r="A8661" t="str">
        <f>"8657"</f>
        <v>8657</v>
      </c>
      <c r="B8661" t="str">
        <f t="shared" si="480"/>
        <v>1</v>
      </c>
      <c r="C8661" t="str">
        <f t="shared" si="482"/>
        <v>174</v>
      </c>
      <c r="D8661" t="str">
        <f>"6"</f>
        <v>6</v>
      </c>
      <c r="E8661" t="str">
        <f>"1-174-6"</f>
        <v>1-174-6</v>
      </c>
      <c r="F8661" t="s">
        <v>65</v>
      </c>
      <c r="G8661" t="s">
        <v>66</v>
      </c>
      <c r="H8661" t="s">
        <v>68</v>
      </c>
      <c r="I8661">
        <v>1</v>
      </c>
      <c r="J8661">
        <v>0</v>
      </c>
      <c r="K8661">
        <v>1</v>
      </c>
      <c r="L8661">
        <v>0</v>
      </c>
      <c r="M8661">
        <v>1</v>
      </c>
      <c r="N8661">
        <v>1</v>
      </c>
      <c r="O8661">
        <v>1</v>
      </c>
      <c r="P8661">
        <v>1</v>
      </c>
      <c r="Q8661">
        <v>1</v>
      </c>
      <c r="R8661">
        <v>1</v>
      </c>
    </row>
    <row r="8662" spans="1:39" x14ac:dyDescent="0.2">
      <c r="A8662" t="str">
        <f>"8658"</f>
        <v>8658</v>
      </c>
      <c r="B8662" t="str">
        <f t="shared" si="480"/>
        <v>1</v>
      </c>
      <c r="C8662" t="str">
        <f t="shared" si="482"/>
        <v>174</v>
      </c>
      <c r="D8662" t="str">
        <f>"36"</f>
        <v>36</v>
      </c>
      <c r="E8662" t="str">
        <f>"1-174-36"</f>
        <v>1-174-36</v>
      </c>
      <c r="F8662" t="s">
        <v>65</v>
      </c>
      <c r="G8662" t="s">
        <v>66</v>
      </c>
      <c r="H8662" t="s">
        <v>67</v>
      </c>
      <c r="S8662">
        <v>0</v>
      </c>
      <c r="T8662">
        <v>1</v>
      </c>
      <c r="U8662">
        <v>0</v>
      </c>
      <c r="V8662">
        <v>0</v>
      </c>
      <c r="W8662">
        <v>1</v>
      </c>
      <c r="X8662">
        <v>0</v>
      </c>
      <c r="Y8662">
        <v>0</v>
      </c>
      <c r="Z8662">
        <v>1</v>
      </c>
      <c r="AA8662">
        <v>0</v>
      </c>
      <c r="AB8662">
        <v>1</v>
      </c>
      <c r="AC8662">
        <v>0</v>
      </c>
      <c r="AD8662">
        <v>1</v>
      </c>
      <c r="AE8662">
        <v>1</v>
      </c>
      <c r="AF8662">
        <v>1</v>
      </c>
      <c r="AG8662">
        <v>1</v>
      </c>
      <c r="AH8662">
        <v>1</v>
      </c>
      <c r="AI8662">
        <v>1</v>
      </c>
      <c r="AJ8662">
        <v>1</v>
      </c>
      <c r="AK8662">
        <v>1</v>
      </c>
      <c r="AL8662">
        <v>1</v>
      </c>
      <c r="AM8662">
        <v>1</v>
      </c>
    </row>
    <row r="8663" spans="1:39" x14ac:dyDescent="0.2">
      <c r="A8663" t="str">
        <f>"8659"</f>
        <v>8659</v>
      </c>
      <c r="B8663" t="str">
        <f t="shared" si="480"/>
        <v>1</v>
      </c>
      <c r="C8663" t="str">
        <f t="shared" si="482"/>
        <v>174</v>
      </c>
      <c r="D8663" t="str">
        <f>"35"</f>
        <v>35</v>
      </c>
      <c r="E8663" t="str">
        <f>"1-174-35"</f>
        <v>1-174-35</v>
      </c>
      <c r="F8663" t="s">
        <v>65</v>
      </c>
      <c r="G8663" t="s">
        <v>66</v>
      </c>
      <c r="H8663" t="s">
        <v>67</v>
      </c>
      <c r="S8663">
        <v>0</v>
      </c>
      <c r="T8663">
        <v>1</v>
      </c>
      <c r="U8663">
        <v>0</v>
      </c>
      <c r="V8663">
        <v>0</v>
      </c>
      <c r="W8663">
        <v>0</v>
      </c>
      <c r="X8663">
        <v>1</v>
      </c>
      <c r="Y8663">
        <v>0</v>
      </c>
      <c r="Z8663">
        <v>1</v>
      </c>
      <c r="AA8663">
        <v>0</v>
      </c>
      <c r="AB8663">
        <v>0</v>
      </c>
      <c r="AC8663">
        <v>1</v>
      </c>
      <c r="AD8663">
        <v>1</v>
      </c>
      <c r="AE8663">
        <v>1</v>
      </c>
      <c r="AF8663">
        <v>1</v>
      </c>
      <c r="AG8663">
        <v>1</v>
      </c>
      <c r="AH8663">
        <v>1</v>
      </c>
      <c r="AI8663">
        <v>1</v>
      </c>
      <c r="AJ8663">
        <v>1</v>
      </c>
      <c r="AK8663">
        <v>1</v>
      </c>
      <c r="AL8663">
        <v>1</v>
      </c>
      <c r="AM8663">
        <v>1</v>
      </c>
    </row>
    <row r="8664" spans="1:39" x14ac:dyDescent="0.2">
      <c r="A8664" t="str">
        <f>"8660"</f>
        <v>8660</v>
      </c>
      <c r="B8664" t="str">
        <f t="shared" si="480"/>
        <v>1</v>
      </c>
      <c r="C8664" t="str">
        <f t="shared" si="482"/>
        <v>174</v>
      </c>
      <c r="D8664" t="str">
        <f>"30"</f>
        <v>30</v>
      </c>
      <c r="E8664" t="str">
        <f>"1-174-30"</f>
        <v>1-174-30</v>
      </c>
      <c r="F8664" t="s">
        <v>65</v>
      </c>
      <c r="G8664" t="s">
        <v>66</v>
      </c>
      <c r="H8664" t="s">
        <v>67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1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1</v>
      </c>
      <c r="AI8664">
        <v>0</v>
      </c>
      <c r="AJ8664">
        <v>0</v>
      </c>
      <c r="AK8664">
        <v>0</v>
      </c>
      <c r="AL8664">
        <v>0</v>
      </c>
      <c r="AM8664">
        <v>0</v>
      </c>
    </row>
    <row r="8665" spans="1:39" x14ac:dyDescent="0.2">
      <c r="A8665" t="str">
        <f>"8661"</f>
        <v>8661</v>
      </c>
      <c r="B8665" t="str">
        <f t="shared" si="480"/>
        <v>1</v>
      </c>
      <c r="C8665" t="str">
        <f t="shared" si="482"/>
        <v>174</v>
      </c>
      <c r="D8665" t="str">
        <f>"16"</f>
        <v>16</v>
      </c>
      <c r="E8665" t="str">
        <f>"1-174-16"</f>
        <v>1-174-16</v>
      </c>
      <c r="F8665" t="s">
        <v>65</v>
      </c>
      <c r="G8665" t="s">
        <v>66</v>
      </c>
      <c r="H8665" t="s">
        <v>67</v>
      </c>
      <c r="S8665">
        <v>0</v>
      </c>
      <c r="T8665">
        <v>1</v>
      </c>
      <c r="U8665">
        <v>0</v>
      </c>
      <c r="V8665">
        <v>0</v>
      </c>
      <c r="W8665">
        <v>0</v>
      </c>
      <c r="X8665">
        <v>1</v>
      </c>
      <c r="Y8665">
        <v>0</v>
      </c>
      <c r="Z8665">
        <v>1</v>
      </c>
      <c r="AA8665">
        <v>0</v>
      </c>
      <c r="AB8665">
        <v>0</v>
      </c>
      <c r="AC8665">
        <v>1</v>
      </c>
      <c r="AD8665">
        <v>1</v>
      </c>
      <c r="AE8665">
        <v>1</v>
      </c>
      <c r="AF8665">
        <v>1</v>
      </c>
      <c r="AG8665">
        <v>1</v>
      </c>
      <c r="AH8665">
        <v>1</v>
      </c>
      <c r="AI8665">
        <v>1</v>
      </c>
      <c r="AJ8665">
        <v>1</v>
      </c>
      <c r="AK8665">
        <v>1</v>
      </c>
      <c r="AL8665">
        <v>1</v>
      </c>
      <c r="AM8665">
        <v>1</v>
      </c>
    </row>
    <row r="8666" spans="1:39" x14ac:dyDescent="0.2">
      <c r="A8666" t="str">
        <f>"8662"</f>
        <v>8662</v>
      </c>
      <c r="B8666" t="str">
        <f t="shared" si="480"/>
        <v>1</v>
      </c>
      <c r="C8666" t="str">
        <f t="shared" si="482"/>
        <v>174</v>
      </c>
      <c r="D8666" t="str">
        <f>"4"</f>
        <v>4</v>
      </c>
      <c r="E8666" t="str">
        <f>"1-174-4"</f>
        <v>1-174-4</v>
      </c>
      <c r="F8666" t="s">
        <v>65</v>
      </c>
      <c r="G8666" t="s">
        <v>66</v>
      </c>
      <c r="H8666" t="s">
        <v>67</v>
      </c>
      <c r="S8666">
        <v>0</v>
      </c>
      <c r="T8666">
        <v>0</v>
      </c>
      <c r="U8666">
        <v>0</v>
      </c>
      <c r="V8666">
        <v>0</v>
      </c>
      <c r="W8666">
        <v>1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1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</row>
    <row r="8667" spans="1:39" x14ac:dyDescent="0.2">
      <c r="A8667" t="str">
        <f>"8663"</f>
        <v>8663</v>
      </c>
      <c r="B8667" t="str">
        <f t="shared" si="480"/>
        <v>1</v>
      </c>
      <c r="C8667" t="str">
        <f t="shared" si="482"/>
        <v>174</v>
      </c>
      <c r="D8667" t="str">
        <f>"41"</f>
        <v>41</v>
      </c>
      <c r="E8667" t="str">
        <f>"1-174-41"</f>
        <v>1-174-41</v>
      </c>
      <c r="F8667" t="s">
        <v>65</v>
      </c>
      <c r="G8667" t="s">
        <v>66</v>
      </c>
      <c r="H8667" t="s">
        <v>68</v>
      </c>
      <c r="I8667">
        <v>1</v>
      </c>
      <c r="J8667">
        <v>0</v>
      </c>
      <c r="K8667">
        <v>0</v>
      </c>
      <c r="L8667">
        <v>1</v>
      </c>
      <c r="M8667">
        <v>1</v>
      </c>
      <c r="N8667">
        <v>1</v>
      </c>
      <c r="O8667">
        <v>1</v>
      </c>
      <c r="P8667">
        <v>1</v>
      </c>
      <c r="Q8667">
        <v>1</v>
      </c>
      <c r="R8667">
        <v>1</v>
      </c>
    </row>
    <row r="8668" spans="1:39" x14ac:dyDescent="0.2">
      <c r="A8668" t="str">
        <f>"8664"</f>
        <v>8664</v>
      </c>
      <c r="B8668" t="str">
        <f t="shared" si="480"/>
        <v>1</v>
      </c>
      <c r="C8668" t="str">
        <f t="shared" si="482"/>
        <v>174</v>
      </c>
      <c r="D8668" t="str">
        <f>"40"</f>
        <v>40</v>
      </c>
      <c r="E8668" t="str">
        <f>"1-174-40"</f>
        <v>1-174-40</v>
      </c>
      <c r="F8668" t="s">
        <v>65</v>
      </c>
      <c r="G8668" t="s">
        <v>66</v>
      </c>
      <c r="H8668" t="s">
        <v>68</v>
      </c>
      <c r="I8668">
        <v>1</v>
      </c>
      <c r="J8668">
        <v>1</v>
      </c>
      <c r="K8668">
        <v>0</v>
      </c>
      <c r="L8668">
        <v>0</v>
      </c>
      <c r="M8668">
        <v>1</v>
      </c>
      <c r="N8668">
        <v>1</v>
      </c>
      <c r="O8668">
        <v>1</v>
      </c>
      <c r="P8668">
        <v>1</v>
      </c>
      <c r="Q8668">
        <v>1</v>
      </c>
      <c r="R8668">
        <v>1</v>
      </c>
    </row>
    <row r="8669" spans="1:39" x14ac:dyDescent="0.2">
      <c r="A8669" t="str">
        <f>"8665"</f>
        <v>8665</v>
      </c>
      <c r="B8669" t="str">
        <f t="shared" si="480"/>
        <v>1</v>
      </c>
      <c r="C8669" t="str">
        <f t="shared" si="482"/>
        <v>174</v>
      </c>
      <c r="D8669" t="str">
        <f>"33"</f>
        <v>33</v>
      </c>
      <c r="E8669" t="str">
        <f>"1-174-33"</f>
        <v>1-174-33</v>
      </c>
      <c r="F8669" t="s">
        <v>65</v>
      </c>
      <c r="G8669" t="s">
        <v>66</v>
      </c>
      <c r="H8669" t="s">
        <v>67</v>
      </c>
      <c r="S8669">
        <v>1</v>
      </c>
      <c r="T8669">
        <v>0</v>
      </c>
      <c r="U8669">
        <v>0</v>
      </c>
      <c r="V8669">
        <v>0</v>
      </c>
      <c r="W8669">
        <v>1</v>
      </c>
      <c r="X8669">
        <v>0</v>
      </c>
      <c r="Y8669">
        <v>0</v>
      </c>
      <c r="Z8669">
        <v>1</v>
      </c>
      <c r="AA8669">
        <v>0</v>
      </c>
      <c r="AB8669">
        <v>0</v>
      </c>
      <c r="AC8669">
        <v>1</v>
      </c>
      <c r="AD8669">
        <v>1</v>
      </c>
      <c r="AE8669">
        <v>1</v>
      </c>
      <c r="AF8669">
        <v>1</v>
      </c>
      <c r="AG8669">
        <v>1</v>
      </c>
      <c r="AH8669">
        <v>1</v>
      </c>
      <c r="AI8669">
        <v>1</v>
      </c>
      <c r="AJ8669">
        <v>1</v>
      </c>
      <c r="AK8669">
        <v>1</v>
      </c>
      <c r="AL8669">
        <v>1</v>
      </c>
      <c r="AM8669">
        <v>1</v>
      </c>
    </row>
    <row r="8670" spans="1:39" x14ac:dyDescent="0.2">
      <c r="A8670" t="str">
        <f>"8666"</f>
        <v>8666</v>
      </c>
      <c r="B8670" t="str">
        <f t="shared" si="480"/>
        <v>1</v>
      </c>
      <c r="C8670" t="str">
        <f t="shared" si="482"/>
        <v>174</v>
      </c>
      <c r="D8670" t="str">
        <f>"17"</f>
        <v>17</v>
      </c>
      <c r="E8670" t="str">
        <f>"1-174-17"</f>
        <v>1-174-17</v>
      </c>
      <c r="F8670" t="s">
        <v>65</v>
      </c>
      <c r="G8670" t="s">
        <v>66</v>
      </c>
      <c r="H8670" t="s">
        <v>67</v>
      </c>
      <c r="S8670">
        <v>0</v>
      </c>
      <c r="T8670">
        <v>1</v>
      </c>
      <c r="U8670">
        <v>0</v>
      </c>
      <c r="V8670">
        <v>0</v>
      </c>
      <c r="W8670">
        <v>0</v>
      </c>
      <c r="X8670">
        <v>1</v>
      </c>
      <c r="Y8670">
        <v>1</v>
      </c>
      <c r="Z8670">
        <v>0</v>
      </c>
      <c r="AA8670">
        <v>0</v>
      </c>
      <c r="AB8670">
        <v>1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</row>
    <row r="8671" spans="1:39" x14ac:dyDescent="0.2">
      <c r="A8671" t="str">
        <f>"8667"</f>
        <v>8667</v>
      </c>
      <c r="B8671" t="str">
        <f t="shared" si="480"/>
        <v>1</v>
      </c>
      <c r="C8671" t="str">
        <f t="shared" si="482"/>
        <v>174</v>
      </c>
      <c r="D8671" t="str">
        <f>"1"</f>
        <v>1</v>
      </c>
      <c r="E8671" t="str">
        <f>"1-174-1"</f>
        <v>1-174-1</v>
      </c>
      <c r="F8671" t="s">
        <v>65</v>
      </c>
      <c r="G8671" t="s">
        <v>66</v>
      </c>
      <c r="H8671" t="s">
        <v>67</v>
      </c>
      <c r="S8671">
        <v>1</v>
      </c>
      <c r="T8671">
        <v>0</v>
      </c>
      <c r="U8671">
        <v>0</v>
      </c>
      <c r="V8671">
        <v>0</v>
      </c>
      <c r="W8671">
        <v>1</v>
      </c>
      <c r="X8671">
        <v>0</v>
      </c>
      <c r="Y8671">
        <v>0</v>
      </c>
      <c r="Z8671">
        <v>1</v>
      </c>
      <c r="AA8671">
        <v>0</v>
      </c>
      <c r="AB8671">
        <v>0</v>
      </c>
      <c r="AC8671">
        <v>1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</row>
    <row r="8672" spans="1:39" x14ac:dyDescent="0.2">
      <c r="A8672" t="str">
        <f>"8668"</f>
        <v>8668</v>
      </c>
      <c r="B8672" t="str">
        <f t="shared" si="480"/>
        <v>1</v>
      </c>
      <c r="C8672" t="str">
        <f t="shared" si="482"/>
        <v>174</v>
      </c>
      <c r="D8672" t="str">
        <f>"43"</f>
        <v>43</v>
      </c>
      <c r="E8672" t="str">
        <f>"1-174-43"</f>
        <v>1-174-43</v>
      </c>
      <c r="F8672" t="s">
        <v>65</v>
      </c>
      <c r="G8672" t="s">
        <v>66</v>
      </c>
      <c r="H8672" t="s">
        <v>67</v>
      </c>
      <c r="S8672">
        <v>0</v>
      </c>
      <c r="T8672">
        <v>1</v>
      </c>
      <c r="U8672">
        <v>0</v>
      </c>
      <c r="V8672">
        <v>0</v>
      </c>
      <c r="W8672">
        <v>1</v>
      </c>
      <c r="X8672">
        <v>0</v>
      </c>
      <c r="Y8672">
        <v>0</v>
      </c>
      <c r="Z8672">
        <v>1</v>
      </c>
      <c r="AA8672">
        <v>0</v>
      </c>
      <c r="AB8672">
        <v>1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</row>
    <row r="8673" spans="1:39" x14ac:dyDescent="0.2">
      <c r="A8673" t="str">
        <f>"8669"</f>
        <v>8669</v>
      </c>
      <c r="B8673" t="str">
        <f t="shared" si="480"/>
        <v>1</v>
      </c>
      <c r="C8673" t="str">
        <f t="shared" si="482"/>
        <v>174</v>
      </c>
      <c r="D8673" t="str">
        <f>"42"</f>
        <v>42</v>
      </c>
      <c r="E8673" t="str">
        <f>"1-174-42"</f>
        <v>1-174-42</v>
      </c>
      <c r="F8673" t="s">
        <v>65</v>
      </c>
      <c r="G8673" t="s">
        <v>66</v>
      </c>
      <c r="H8673" t="s">
        <v>67</v>
      </c>
      <c r="S8673">
        <v>0</v>
      </c>
      <c r="T8673">
        <v>1</v>
      </c>
      <c r="U8673">
        <v>0</v>
      </c>
      <c r="V8673">
        <v>0</v>
      </c>
      <c r="W8673">
        <v>1</v>
      </c>
      <c r="X8673">
        <v>0</v>
      </c>
      <c r="Y8673">
        <v>1</v>
      </c>
      <c r="Z8673">
        <v>0</v>
      </c>
      <c r="AA8673">
        <v>1</v>
      </c>
      <c r="AB8673">
        <v>0</v>
      </c>
      <c r="AC8673">
        <v>0</v>
      </c>
      <c r="AD8673">
        <v>1</v>
      </c>
      <c r="AE8673">
        <v>1</v>
      </c>
      <c r="AF8673">
        <v>1</v>
      </c>
      <c r="AG8673">
        <v>1</v>
      </c>
      <c r="AH8673">
        <v>1</v>
      </c>
      <c r="AI8673">
        <v>1</v>
      </c>
      <c r="AJ8673">
        <v>1</v>
      </c>
      <c r="AK8673">
        <v>1</v>
      </c>
      <c r="AL8673">
        <v>1</v>
      </c>
      <c r="AM8673">
        <v>1</v>
      </c>
    </row>
    <row r="8674" spans="1:39" x14ac:dyDescent="0.2">
      <c r="A8674" t="str">
        <f>"8670"</f>
        <v>8670</v>
      </c>
      <c r="B8674" t="str">
        <f t="shared" si="480"/>
        <v>1</v>
      </c>
      <c r="C8674" t="str">
        <f t="shared" si="482"/>
        <v>174</v>
      </c>
      <c r="D8674" t="str">
        <f>"34"</f>
        <v>34</v>
      </c>
      <c r="E8674" t="str">
        <f>"1-174-34"</f>
        <v>1-174-34</v>
      </c>
      <c r="F8674" t="s">
        <v>65</v>
      </c>
      <c r="G8674" t="s">
        <v>66</v>
      </c>
      <c r="H8674" t="s">
        <v>67</v>
      </c>
      <c r="S8674">
        <v>0</v>
      </c>
      <c r="T8674">
        <v>1</v>
      </c>
      <c r="U8674">
        <v>0</v>
      </c>
      <c r="V8674">
        <v>0</v>
      </c>
      <c r="W8674">
        <v>1</v>
      </c>
      <c r="X8674">
        <v>0</v>
      </c>
      <c r="Y8674">
        <v>0</v>
      </c>
      <c r="Z8674">
        <v>1</v>
      </c>
      <c r="AA8674">
        <v>0</v>
      </c>
      <c r="AB8674">
        <v>0</v>
      </c>
      <c r="AC8674">
        <v>1</v>
      </c>
      <c r="AD8674">
        <v>1</v>
      </c>
      <c r="AE8674">
        <v>1</v>
      </c>
      <c r="AF8674">
        <v>1</v>
      </c>
      <c r="AG8674">
        <v>1</v>
      </c>
      <c r="AH8674">
        <v>1</v>
      </c>
      <c r="AI8674">
        <v>1</v>
      </c>
      <c r="AJ8674">
        <v>1</v>
      </c>
      <c r="AK8674">
        <v>1</v>
      </c>
      <c r="AL8674">
        <v>1</v>
      </c>
      <c r="AM8674">
        <v>1</v>
      </c>
    </row>
    <row r="8675" spans="1:39" x14ac:dyDescent="0.2">
      <c r="A8675" t="str">
        <f>"8671"</f>
        <v>8671</v>
      </c>
      <c r="B8675" t="str">
        <f t="shared" si="480"/>
        <v>1</v>
      </c>
      <c r="C8675" t="str">
        <f t="shared" si="482"/>
        <v>174</v>
      </c>
      <c r="D8675" t="str">
        <f>"19"</f>
        <v>19</v>
      </c>
      <c r="E8675" t="str">
        <f>"1-174-19"</f>
        <v>1-174-19</v>
      </c>
      <c r="F8675" t="s">
        <v>65</v>
      </c>
      <c r="G8675" t="s">
        <v>66</v>
      </c>
      <c r="H8675" t="s">
        <v>67</v>
      </c>
      <c r="S8675">
        <v>1</v>
      </c>
      <c r="T8675">
        <v>0</v>
      </c>
      <c r="U8675">
        <v>0</v>
      </c>
      <c r="V8675">
        <v>0</v>
      </c>
      <c r="W8675">
        <v>1</v>
      </c>
      <c r="X8675">
        <v>0</v>
      </c>
      <c r="Y8675">
        <v>0</v>
      </c>
      <c r="Z8675">
        <v>1</v>
      </c>
      <c r="AA8675">
        <v>1</v>
      </c>
      <c r="AB8675">
        <v>0</v>
      </c>
      <c r="AC8675">
        <v>0</v>
      </c>
      <c r="AD8675">
        <v>1</v>
      </c>
      <c r="AE8675">
        <v>1</v>
      </c>
      <c r="AF8675">
        <v>1</v>
      </c>
      <c r="AG8675">
        <v>1</v>
      </c>
      <c r="AH8675">
        <v>1</v>
      </c>
      <c r="AI8675">
        <v>1</v>
      </c>
      <c r="AJ8675">
        <v>1</v>
      </c>
      <c r="AK8675">
        <v>1</v>
      </c>
      <c r="AL8675">
        <v>1</v>
      </c>
      <c r="AM8675">
        <v>1</v>
      </c>
    </row>
    <row r="8676" spans="1:39" x14ac:dyDescent="0.2">
      <c r="A8676" t="str">
        <f>"8672"</f>
        <v>8672</v>
      </c>
      <c r="B8676" t="str">
        <f t="shared" si="480"/>
        <v>1</v>
      </c>
      <c r="C8676" t="str">
        <f t="shared" si="482"/>
        <v>174</v>
      </c>
      <c r="D8676" t="str">
        <f>"12"</f>
        <v>12</v>
      </c>
      <c r="E8676" t="str">
        <f>"1-174-12"</f>
        <v>1-174-12</v>
      </c>
      <c r="F8676" t="s">
        <v>65</v>
      </c>
      <c r="G8676" t="s">
        <v>66</v>
      </c>
      <c r="H8676" t="s">
        <v>67</v>
      </c>
      <c r="S8676">
        <v>1</v>
      </c>
      <c r="T8676">
        <v>0</v>
      </c>
      <c r="U8676">
        <v>0</v>
      </c>
      <c r="V8676">
        <v>0</v>
      </c>
      <c r="W8676">
        <v>1</v>
      </c>
      <c r="X8676">
        <v>0</v>
      </c>
      <c r="Y8676">
        <v>0</v>
      </c>
      <c r="Z8676">
        <v>1</v>
      </c>
      <c r="AA8676">
        <v>0</v>
      </c>
      <c r="AB8676">
        <v>0</v>
      </c>
      <c r="AC8676">
        <v>1</v>
      </c>
      <c r="AD8676">
        <v>1</v>
      </c>
      <c r="AE8676">
        <v>1</v>
      </c>
      <c r="AF8676">
        <v>1</v>
      </c>
      <c r="AG8676">
        <v>1</v>
      </c>
      <c r="AH8676">
        <v>1</v>
      </c>
      <c r="AI8676">
        <v>1</v>
      </c>
      <c r="AJ8676">
        <v>1</v>
      </c>
      <c r="AK8676">
        <v>1</v>
      </c>
      <c r="AL8676">
        <v>1</v>
      </c>
      <c r="AM8676">
        <v>1</v>
      </c>
    </row>
    <row r="8677" spans="1:39" x14ac:dyDescent="0.2">
      <c r="A8677" t="str">
        <f>"8673"</f>
        <v>8673</v>
      </c>
      <c r="B8677" t="str">
        <f t="shared" si="480"/>
        <v>1</v>
      </c>
      <c r="C8677" t="str">
        <f t="shared" si="482"/>
        <v>174</v>
      </c>
      <c r="D8677" t="str">
        <f>"37"</f>
        <v>37</v>
      </c>
      <c r="E8677" t="str">
        <f>"1-174-37"</f>
        <v>1-174-37</v>
      </c>
      <c r="F8677" t="s">
        <v>65</v>
      </c>
      <c r="G8677" t="s">
        <v>66</v>
      </c>
      <c r="H8677" t="s">
        <v>68</v>
      </c>
      <c r="I8677">
        <v>1</v>
      </c>
      <c r="J8677">
        <v>0</v>
      </c>
      <c r="K8677">
        <v>0</v>
      </c>
      <c r="L8677">
        <v>1</v>
      </c>
      <c r="M8677">
        <v>1</v>
      </c>
      <c r="N8677">
        <v>1</v>
      </c>
      <c r="O8677">
        <v>1</v>
      </c>
      <c r="P8677">
        <v>1</v>
      </c>
      <c r="Q8677">
        <v>1</v>
      </c>
      <c r="R8677">
        <v>1</v>
      </c>
    </row>
    <row r="8678" spans="1:39" x14ac:dyDescent="0.2">
      <c r="A8678" t="str">
        <f>"8674"</f>
        <v>8674</v>
      </c>
      <c r="B8678" t="str">
        <f t="shared" si="480"/>
        <v>1</v>
      </c>
      <c r="C8678" t="str">
        <f t="shared" si="482"/>
        <v>174</v>
      </c>
      <c r="D8678" t="str">
        <f>"20"</f>
        <v>20</v>
      </c>
      <c r="E8678" t="str">
        <f>"1-174-20"</f>
        <v>1-174-20</v>
      </c>
      <c r="F8678" t="s">
        <v>65</v>
      </c>
      <c r="G8678" t="s">
        <v>66</v>
      </c>
      <c r="H8678" t="s">
        <v>67</v>
      </c>
      <c r="S8678">
        <v>1</v>
      </c>
      <c r="T8678">
        <v>0</v>
      </c>
      <c r="U8678">
        <v>0</v>
      </c>
      <c r="V8678">
        <v>0</v>
      </c>
      <c r="W8678">
        <v>0</v>
      </c>
      <c r="X8678">
        <v>1</v>
      </c>
      <c r="Y8678">
        <v>1</v>
      </c>
      <c r="Z8678">
        <v>0</v>
      </c>
      <c r="AA8678">
        <v>0</v>
      </c>
      <c r="AB8678">
        <v>1</v>
      </c>
      <c r="AC8678">
        <v>0</v>
      </c>
      <c r="AD8678">
        <v>1</v>
      </c>
      <c r="AE8678">
        <v>1</v>
      </c>
      <c r="AF8678">
        <v>1</v>
      </c>
      <c r="AG8678">
        <v>1</v>
      </c>
      <c r="AH8678">
        <v>1</v>
      </c>
      <c r="AI8678">
        <v>1</v>
      </c>
      <c r="AJ8678">
        <v>1</v>
      </c>
      <c r="AK8678">
        <v>1</v>
      </c>
      <c r="AL8678">
        <v>1</v>
      </c>
      <c r="AM8678">
        <v>1</v>
      </c>
    </row>
    <row r="8679" spans="1:39" x14ac:dyDescent="0.2">
      <c r="A8679" t="str">
        <f>"8675"</f>
        <v>8675</v>
      </c>
      <c r="B8679" t="str">
        <f t="shared" si="480"/>
        <v>1</v>
      </c>
      <c r="C8679" t="str">
        <f t="shared" si="482"/>
        <v>174</v>
      </c>
      <c r="D8679" t="str">
        <f>"2"</f>
        <v>2</v>
      </c>
      <c r="E8679" t="str">
        <f>"1-174-2"</f>
        <v>1-174-2</v>
      </c>
      <c r="F8679" t="s">
        <v>65</v>
      </c>
      <c r="G8679" t="s">
        <v>66</v>
      </c>
      <c r="H8679" t="s">
        <v>68</v>
      </c>
      <c r="I8679">
        <v>1</v>
      </c>
      <c r="J8679">
        <v>0</v>
      </c>
      <c r="K8679">
        <v>0</v>
      </c>
      <c r="L8679">
        <v>0</v>
      </c>
      <c r="M8679">
        <v>1</v>
      </c>
      <c r="N8679">
        <v>1</v>
      </c>
      <c r="O8679">
        <v>1</v>
      </c>
      <c r="P8679">
        <v>1</v>
      </c>
      <c r="Q8679">
        <v>1</v>
      </c>
      <c r="R8679">
        <v>1</v>
      </c>
    </row>
    <row r="8680" spans="1:39" x14ac:dyDescent="0.2">
      <c r="A8680" t="str">
        <f>"8676"</f>
        <v>8676</v>
      </c>
      <c r="B8680" t="str">
        <f t="shared" si="480"/>
        <v>1</v>
      </c>
      <c r="C8680" t="str">
        <f t="shared" si="482"/>
        <v>174</v>
      </c>
      <c r="D8680" t="str">
        <f>"23"</f>
        <v>23</v>
      </c>
      <c r="E8680" t="str">
        <f>"1-174-23"</f>
        <v>1-174-23</v>
      </c>
      <c r="F8680" t="s">
        <v>65</v>
      </c>
      <c r="G8680" t="s">
        <v>66</v>
      </c>
      <c r="H8680" t="s">
        <v>67</v>
      </c>
      <c r="S8680">
        <v>0</v>
      </c>
      <c r="T8680">
        <v>1</v>
      </c>
      <c r="U8680">
        <v>0</v>
      </c>
      <c r="V8680">
        <v>0</v>
      </c>
      <c r="W8680">
        <v>0</v>
      </c>
      <c r="X8680">
        <v>1</v>
      </c>
      <c r="Y8680">
        <v>0</v>
      </c>
      <c r="Z8680">
        <v>1</v>
      </c>
      <c r="AA8680">
        <v>0</v>
      </c>
      <c r="AB8680">
        <v>1</v>
      </c>
      <c r="AC8680">
        <v>0</v>
      </c>
      <c r="AD8680">
        <v>1</v>
      </c>
      <c r="AE8680">
        <v>1</v>
      </c>
      <c r="AF8680">
        <v>1</v>
      </c>
      <c r="AG8680">
        <v>1</v>
      </c>
      <c r="AH8680">
        <v>1</v>
      </c>
      <c r="AI8680">
        <v>1</v>
      </c>
      <c r="AJ8680">
        <v>1</v>
      </c>
      <c r="AK8680">
        <v>1</v>
      </c>
      <c r="AL8680">
        <v>1</v>
      </c>
      <c r="AM8680">
        <v>1</v>
      </c>
    </row>
    <row r="8681" spans="1:39" x14ac:dyDescent="0.2">
      <c r="A8681" t="str">
        <f>"8677"</f>
        <v>8677</v>
      </c>
      <c r="B8681" t="str">
        <f t="shared" si="480"/>
        <v>1</v>
      </c>
      <c r="C8681" t="str">
        <f t="shared" si="482"/>
        <v>174</v>
      </c>
      <c r="D8681" t="str">
        <f>"3"</f>
        <v>3</v>
      </c>
      <c r="E8681" t="str">
        <f>"1-174-3"</f>
        <v>1-174-3</v>
      </c>
      <c r="F8681" t="s">
        <v>65</v>
      </c>
      <c r="G8681" t="s">
        <v>66</v>
      </c>
      <c r="H8681" t="s">
        <v>67</v>
      </c>
      <c r="S8681">
        <v>0</v>
      </c>
      <c r="T8681">
        <v>1</v>
      </c>
      <c r="U8681">
        <v>0</v>
      </c>
      <c r="V8681">
        <v>0</v>
      </c>
      <c r="W8681">
        <v>1</v>
      </c>
      <c r="X8681">
        <v>0</v>
      </c>
      <c r="Y8681">
        <v>0</v>
      </c>
      <c r="Z8681">
        <v>1</v>
      </c>
      <c r="AA8681">
        <v>1</v>
      </c>
      <c r="AB8681">
        <v>0</v>
      </c>
      <c r="AC8681">
        <v>0</v>
      </c>
      <c r="AD8681">
        <v>1</v>
      </c>
      <c r="AE8681">
        <v>1</v>
      </c>
      <c r="AF8681">
        <v>1</v>
      </c>
      <c r="AG8681">
        <v>1</v>
      </c>
      <c r="AH8681">
        <v>1</v>
      </c>
      <c r="AI8681">
        <v>1</v>
      </c>
      <c r="AJ8681">
        <v>1</v>
      </c>
      <c r="AK8681">
        <v>1</v>
      </c>
      <c r="AL8681">
        <v>1</v>
      </c>
      <c r="AM8681">
        <v>1</v>
      </c>
    </row>
    <row r="8682" spans="1:39" x14ac:dyDescent="0.2">
      <c r="A8682" t="str">
        <f>"8678"</f>
        <v>8678</v>
      </c>
      <c r="B8682" t="str">
        <f t="shared" si="480"/>
        <v>1</v>
      </c>
      <c r="C8682" t="str">
        <f t="shared" si="482"/>
        <v>174</v>
      </c>
      <c r="D8682" t="str">
        <f>"24"</f>
        <v>24</v>
      </c>
      <c r="E8682" t="str">
        <f>"1-174-24"</f>
        <v>1-174-24</v>
      </c>
      <c r="F8682" t="s">
        <v>65</v>
      </c>
      <c r="G8682" t="s">
        <v>66</v>
      </c>
      <c r="H8682" t="s">
        <v>67</v>
      </c>
      <c r="S8682">
        <v>1</v>
      </c>
      <c r="T8682">
        <v>0</v>
      </c>
      <c r="U8682">
        <v>0</v>
      </c>
      <c r="V8682">
        <v>0</v>
      </c>
      <c r="W8682">
        <v>1</v>
      </c>
      <c r="X8682">
        <v>0</v>
      </c>
      <c r="Y8682">
        <v>0</v>
      </c>
      <c r="Z8682">
        <v>1</v>
      </c>
      <c r="AA8682">
        <v>0</v>
      </c>
      <c r="AB8682">
        <v>1</v>
      </c>
      <c r="AC8682">
        <v>0</v>
      </c>
      <c r="AD8682">
        <v>1</v>
      </c>
      <c r="AE8682">
        <v>1</v>
      </c>
      <c r="AF8682">
        <v>1</v>
      </c>
      <c r="AG8682">
        <v>1</v>
      </c>
      <c r="AH8682">
        <v>1</v>
      </c>
      <c r="AI8682">
        <v>1</v>
      </c>
      <c r="AJ8682">
        <v>1</v>
      </c>
      <c r="AK8682">
        <v>1</v>
      </c>
      <c r="AL8682">
        <v>1</v>
      </c>
      <c r="AM8682">
        <v>1</v>
      </c>
    </row>
    <row r="8683" spans="1:39" x14ac:dyDescent="0.2">
      <c r="A8683" t="str">
        <f>"8679"</f>
        <v>8679</v>
      </c>
      <c r="B8683" t="str">
        <f t="shared" si="480"/>
        <v>1</v>
      </c>
      <c r="C8683" t="str">
        <f t="shared" si="482"/>
        <v>174</v>
      </c>
      <c r="D8683" t="str">
        <f>"5"</f>
        <v>5</v>
      </c>
      <c r="E8683" t="str">
        <f>"1-174-5"</f>
        <v>1-174-5</v>
      </c>
      <c r="F8683" t="s">
        <v>65</v>
      </c>
      <c r="G8683" t="s">
        <v>66</v>
      </c>
      <c r="H8683" t="s">
        <v>67</v>
      </c>
      <c r="S8683">
        <v>1</v>
      </c>
      <c r="T8683">
        <v>0</v>
      </c>
      <c r="U8683">
        <v>0</v>
      </c>
      <c r="V8683">
        <v>0</v>
      </c>
      <c r="W8683">
        <v>1</v>
      </c>
      <c r="X8683">
        <v>0</v>
      </c>
      <c r="Y8683">
        <v>1</v>
      </c>
      <c r="Z8683">
        <v>0</v>
      </c>
      <c r="AA8683">
        <v>0</v>
      </c>
      <c r="AB8683">
        <v>1</v>
      </c>
      <c r="AC8683">
        <v>0</v>
      </c>
      <c r="AD8683">
        <v>1</v>
      </c>
      <c r="AE8683">
        <v>1</v>
      </c>
      <c r="AF8683">
        <v>1</v>
      </c>
      <c r="AG8683">
        <v>1</v>
      </c>
      <c r="AH8683">
        <v>1</v>
      </c>
      <c r="AI8683">
        <v>1</v>
      </c>
      <c r="AJ8683">
        <v>1</v>
      </c>
      <c r="AK8683">
        <v>1</v>
      </c>
      <c r="AL8683">
        <v>1</v>
      </c>
      <c r="AM8683">
        <v>1</v>
      </c>
    </row>
    <row r="8684" spans="1:39" x14ac:dyDescent="0.2">
      <c r="A8684" t="str">
        <f>"8680"</f>
        <v>8680</v>
      </c>
      <c r="B8684" t="str">
        <f t="shared" si="480"/>
        <v>1</v>
      </c>
      <c r="C8684" t="str">
        <f t="shared" si="482"/>
        <v>174</v>
      </c>
      <c r="D8684" t="str">
        <f>"25"</f>
        <v>25</v>
      </c>
      <c r="E8684" t="str">
        <f>"1-174-25"</f>
        <v>1-174-25</v>
      </c>
      <c r="F8684" t="s">
        <v>65</v>
      </c>
      <c r="G8684" t="s">
        <v>66</v>
      </c>
      <c r="H8684" t="s">
        <v>67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1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</row>
    <row r="8685" spans="1:39" x14ac:dyDescent="0.2">
      <c r="A8685" t="str">
        <f>"8681"</f>
        <v>8681</v>
      </c>
      <c r="B8685" t="str">
        <f t="shared" si="480"/>
        <v>1</v>
      </c>
      <c r="C8685" t="str">
        <f t="shared" si="482"/>
        <v>174</v>
      </c>
      <c r="D8685" t="str">
        <f>"14"</f>
        <v>14</v>
      </c>
      <c r="E8685" t="str">
        <f>"1-174-14"</f>
        <v>1-174-14</v>
      </c>
      <c r="F8685" t="s">
        <v>65</v>
      </c>
      <c r="G8685" t="s">
        <v>66</v>
      </c>
      <c r="H8685" t="s">
        <v>67</v>
      </c>
      <c r="S8685">
        <v>0</v>
      </c>
      <c r="T8685">
        <v>1</v>
      </c>
      <c r="U8685">
        <v>0</v>
      </c>
      <c r="V8685">
        <v>0</v>
      </c>
      <c r="W8685">
        <v>0</v>
      </c>
      <c r="X8685">
        <v>1</v>
      </c>
      <c r="Y8685">
        <v>0</v>
      </c>
      <c r="Z8685">
        <v>1</v>
      </c>
      <c r="AA8685">
        <v>0</v>
      </c>
      <c r="AB8685">
        <v>0</v>
      </c>
      <c r="AC8685">
        <v>1</v>
      </c>
      <c r="AD8685">
        <v>0</v>
      </c>
      <c r="AE8685">
        <v>0</v>
      </c>
      <c r="AF8685">
        <v>0</v>
      </c>
      <c r="AG8685">
        <v>1</v>
      </c>
      <c r="AH8685">
        <v>1</v>
      </c>
      <c r="AI8685">
        <v>1</v>
      </c>
      <c r="AJ8685">
        <v>1</v>
      </c>
      <c r="AK8685">
        <v>1</v>
      </c>
      <c r="AL8685">
        <v>0</v>
      </c>
      <c r="AM8685">
        <v>1</v>
      </c>
    </row>
    <row r="8686" spans="1:39" x14ac:dyDescent="0.2">
      <c r="A8686" t="str">
        <f>"8682"</f>
        <v>8682</v>
      </c>
      <c r="B8686" t="str">
        <f t="shared" si="480"/>
        <v>1</v>
      </c>
      <c r="C8686" t="str">
        <f t="shared" si="482"/>
        <v>174</v>
      </c>
      <c r="D8686" t="str">
        <f>"46"</f>
        <v>46</v>
      </c>
      <c r="E8686" t="str">
        <f>"1-174-46"</f>
        <v>1-174-46</v>
      </c>
      <c r="F8686" t="s">
        <v>65</v>
      </c>
      <c r="G8686" t="s">
        <v>66</v>
      </c>
      <c r="H8686" t="s">
        <v>67</v>
      </c>
      <c r="S8686">
        <v>0</v>
      </c>
      <c r="T8686">
        <v>1</v>
      </c>
      <c r="U8686">
        <v>0</v>
      </c>
      <c r="V8686">
        <v>0</v>
      </c>
      <c r="W8686">
        <v>1</v>
      </c>
      <c r="X8686">
        <v>0</v>
      </c>
      <c r="Y8686">
        <v>1</v>
      </c>
      <c r="Z8686">
        <v>0</v>
      </c>
      <c r="AA8686">
        <v>0</v>
      </c>
      <c r="AB8686">
        <v>1</v>
      </c>
      <c r="AC8686">
        <v>0</v>
      </c>
      <c r="AD8686">
        <v>1</v>
      </c>
      <c r="AE8686">
        <v>1</v>
      </c>
      <c r="AF8686">
        <v>1</v>
      </c>
      <c r="AG8686">
        <v>0</v>
      </c>
      <c r="AH8686">
        <v>1</v>
      </c>
      <c r="AI8686">
        <v>1</v>
      </c>
      <c r="AJ8686">
        <v>1</v>
      </c>
      <c r="AK8686">
        <v>1</v>
      </c>
      <c r="AL8686">
        <v>1</v>
      </c>
      <c r="AM8686">
        <v>1</v>
      </c>
    </row>
    <row r="8687" spans="1:39" x14ac:dyDescent="0.2">
      <c r="A8687" t="str">
        <f>"8683"</f>
        <v>8683</v>
      </c>
      <c r="B8687" t="str">
        <f t="shared" si="480"/>
        <v>1</v>
      </c>
      <c r="C8687" t="str">
        <f t="shared" ref="C8687:C8704" si="483">"174"</f>
        <v>174</v>
      </c>
      <c r="D8687" t="str">
        <f>"26"</f>
        <v>26</v>
      </c>
      <c r="E8687" t="str">
        <f>"1-174-26"</f>
        <v>1-174-26</v>
      </c>
      <c r="F8687" t="s">
        <v>65</v>
      </c>
      <c r="G8687" t="s">
        <v>66</v>
      </c>
      <c r="H8687" t="s">
        <v>67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1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</row>
    <row r="8688" spans="1:39" x14ac:dyDescent="0.2">
      <c r="A8688" t="str">
        <f>"8684"</f>
        <v>8684</v>
      </c>
      <c r="B8688" t="str">
        <f t="shared" si="480"/>
        <v>1</v>
      </c>
      <c r="C8688" t="str">
        <f t="shared" si="483"/>
        <v>174</v>
      </c>
      <c r="D8688" t="str">
        <f>"13"</f>
        <v>13</v>
      </c>
      <c r="E8688" t="str">
        <f>"1-174-13"</f>
        <v>1-174-13</v>
      </c>
      <c r="F8688" t="s">
        <v>65</v>
      </c>
      <c r="G8688" t="s">
        <v>66</v>
      </c>
      <c r="H8688" t="s">
        <v>67</v>
      </c>
      <c r="S8688">
        <v>0</v>
      </c>
      <c r="T8688">
        <v>1</v>
      </c>
      <c r="U8688">
        <v>0</v>
      </c>
      <c r="V8688">
        <v>0</v>
      </c>
      <c r="W8688">
        <v>0</v>
      </c>
      <c r="X8688">
        <v>1</v>
      </c>
      <c r="Y8688">
        <v>0</v>
      </c>
      <c r="Z8688">
        <v>1</v>
      </c>
      <c r="AA8688">
        <v>0</v>
      </c>
      <c r="AB8688">
        <v>0</v>
      </c>
      <c r="AC8688">
        <v>1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</row>
    <row r="8689" spans="1:39" x14ac:dyDescent="0.2">
      <c r="A8689" t="str">
        <f>"8685"</f>
        <v>8685</v>
      </c>
      <c r="B8689" t="str">
        <f t="shared" si="480"/>
        <v>1</v>
      </c>
      <c r="C8689" t="str">
        <f t="shared" si="483"/>
        <v>174</v>
      </c>
      <c r="D8689" t="str">
        <f>"44"</f>
        <v>44</v>
      </c>
      <c r="E8689" t="str">
        <f>"1-174-44"</f>
        <v>1-174-44</v>
      </c>
      <c r="F8689" t="s">
        <v>65</v>
      </c>
      <c r="G8689" t="s">
        <v>66</v>
      </c>
      <c r="H8689" t="s">
        <v>67</v>
      </c>
      <c r="S8689">
        <v>0</v>
      </c>
      <c r="T8689">
        <v>1</v>
      </c>
      <c r="U8689">
        <v>0</v>
      </c>
      <c r="V8689">
        <v>0</v>
      </c>
      <c r="W8689">
        <v>1</v>
      </c>
      <c r="X8689">
        <v>0</v>
      </c>
      <c r="Y8689">
        <v>0</v>
      </c>
      <c r="Z8689">
        <v>1</v>
      </c>
      <c r="AA8689">
        <v>0</v>
      </c>
      <c r="AB8689">
        <v>1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</row>
    <row r="8690" spans="1:39" x14ac:dyDescent="0.2">
      <c r="A8690" t="str">
        <f>"8686"</f>
        <v>8686</v>
      </c>
      <c r="B8690" t="str">
        <f t="shared" si="480"/>
        <v>1</v>
      </c>
      <c r="C8690" t="str">
        <f t="shared" si="483"/>
        <v>174</v>
      </c>
      <c r="D8690" t="str">
        <f>"27"</f>
        <v>27</v>
      </c>
      <c r="E8690" t="str">
        <f>"1-174-27"</f>
        <v>1-174-27</v>
      </c>
      <c r="F8690" t="s">
        <v>65</v>
      </c>
      <c r="G8690" t="s">
        <v>66</v>
      </c>
      <c r="H8690" t="s">
        <v>67</v>
      </c>
      <c r="S8690">
        <v>1</v>
      </c>
      <c r="T8690">
        <v>0</v>
      </c>
      <c r="U8690">
        <v>0</v>
      </c>
      <c r="V8690">
        <v>0</v>
      </c>
      <c r="W8690">
        <v>1</v>
      </c>
      <c r="X8690">
        <v>0</v>
      </c>
      <c r="Y8690">
        <v>0</v>
      </c>
      <c r="Z8690">
        <v>1</v>
      </c>
      <c r="AA8690">
        <v>1</v>
      </c>
      <c r="AB8690">
        <v>0</v>
      </c>
      <c r="AC8690">
        <v>0</v>
      </c>
      <c r="AD8690">
        <v>1</v>
      </c>
      <c r="AE8690">
        <v>1</v>
      </c>
      <c r="AF8690">
        <v>1</v>
      </c>
      <c r="AG8690">
        <v>1</v>
      </c>
      <c r="AH8690">
        <v>1</v>
      </c>
      <c r="AI8690">
        <v>1</v>
      </c>
      <c r="AJ8690">
        <v>1</v>
      </c>
      <c r="AK8690">
        <v>1</v>
      </c>
      <c r="AL8690">
        <v>1</v>
      </c>
      <c r="AM8690">
        <v>1</v>
      </c>
    </row>
    <row r="8691" spans="1:39" x14ac:dyDescent="0.2">
      <c r="A8691" t="str">
        <f>"8687"</f>
        <v>8687</v>
      </c>
      <c r="B8691" t="str">
        <f t="shared" si="480"/>
        <v>1</v>
      </c>
      <c r="C8691" t="str">
        <f t="shared" si="483"/>
        <v>174</v>
      </c>
      <c r="D8691" t="str">
        <f>"7"</f>
        <v>7</v>
      </c>
      <c r="E8691" t="str">
        <f>"1-174-7"</f>
        <v>1-174-7</v>
      </c>
      <c r="F8691" t="s">
        <v>65</v>
      </c>
      <c r="G8691" t="s">
        <v>66</v>
      </c>
      <c r="H8691" t="s">
        <v>67</v>
      </c>
      <c r="S8691">
        <v>0</v>
      </c>
      <c r="T8691">
        <v>1</v>
      </c>
      <c r="U8691">
        <v>0</v>
      </c>
      <c r="V8691">
        <v>0</v>
      </c>
      <c r="W8691">
        <v>0</v>
      </c>
      <c r="X8691">
        <v>1</v>
      </c>
      <c r="Y8691">
        <v>0</v>
      </c>
      <c r="Z8691">
        <v>0</v>
      </c>
      <c r="AA8691">
        <v>0</v>
      </c>
      <c r="AB8691">
        <v>1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</row>
    <row r="8692" spans="1:39" x14ac:dyDescent="0.2">
      <c r="A8692" t="str">
        <f>"8688"</f>
        <v>8688</v>
      </c>
      <c r="B8692" t="str">
        <f t="shared" si="480"/>
        <v>1</v>
      </c>
      <c r="C8692" t="str">
        <f t="shared" si="483"/>
        <v>174</v>
      </c>
      <c r="D8692" t="str">
        <f>"45"</f>
        <v>45</v>
      </c>
      <c r="E8692" t="str">
        <f>"1-174-45"</f>
        <v>1-174-45</v>
      </c>
      <c r="F8692" t="s">
        <v>65</v>
      </c>
      <c r="G8692" t="s">
        <v>66</v>
      </c>
      <c r="H8692" t="s">
        <v>67</v>
      </c>
      <c r="S8692">
        <v>0</v>
      </c>
      <c r="T8692">
        <v>1</v>
      </c>
      <c r="U8692">
        <v>0</v>
      </c>
      <c r="V8692">
        <v>0</v>
      </c>
      <c r="W8692">
        <v>1</v>
      </c>
      <c r="X8692">
        <v>0</v>
      </c>
      <c r="Y8692">
        <v>1</v>
      </c>
      <c r="Z8692">
        <v>0</v>
      </c>
      <c r="AA8692">
        <v>0</v>
      </c>
      <c r="AB8692">
        <v>1</v>
      </c>
      <c r="AC8692">
        <v>0</v>
      </c>
      <c r="AD8692">
        <v>1</v>
      </c>
      <c r="AE8692">
        <v>1</v>
      </c>
      <c r="AF8692">
        <v>1</v>
      </c>
      <c r="AG8692">
        <v>1</v>
      </c>
      <c r="AH8692">
        <v>1</v>
      </c>
      <c r="AI8692">
        <v>1</v>
      </c>
      <c r="AJ8692">
        <v>1</v>
      </c>
      <c r="AK8692">
        <v>1</v>
      </c>
      <c r="AL8692">
        <v>1</v>
      </c>
      <c r="AM8692">
        <v>1</v>
      </c>
    </row>
    <row r="8693" spans="1:39" x14ac:dyDescent="0.2">
      <c r="A8693" t="str">
        <f>"8689"</f>
        <v>8689</v>
      </c>
      <c r="B8693" t="str">
        <f t="shared" si="480"/>
        <v>1</v>
      </c>
      <c r="C8693" t="str">
        <f t="shared" si="483"/>
        <v>174</v>
      </c>
      <c r="D8693" t="str">
        <f>"28"</f>
        <v>28</v>
      </c>
      <c r="E8693" t="str">
        <f>"1-174-28"</f>
        <v>1-174-28</v>
      </c>
      <c r="F8693" t="s">
        <v>65</v>
      </c>
      <c r="G8693" t="s">
        <v>66</v>
      </c>
      <c r="H8693" t="s">
        <v>67</v>
      </c>
      <c r="S8693">
        <v>1</v>
      </c>
      <c r="T8693">
        <v>0</v>
      </c>
      <c r="U8693">
        <v>0</v>
      </c>
      <c r="V8693">
        <v>0</v>
      </c>
      <c r="W8693">
        <v>1</v>
      </c>
      <c r="X8693">
        <v>0</v>
      </c>
      <c r="Y8693">
        <v>1</v>
      </c>
      <c r="Z8693">
        <v>0</v>
      </c>
      <c r="AA8693">
        <v>0</v>
      </c>
      <c r="AB8693">
        <v>1</v>
      </c>
      <c r="AC8693">
        <v>0</v>
      </c>
      <c r="AD8693">
        <v>1</v>
      </c>
      <c r="AE8693">
        <v>1</v>
      </c>
      <c r="AF8693">
        <v>1</v>
      </c>
      <c r="AG8693">
        <v>1</v>
      </c>
      <c r="AH8693">
        <v>1</v>
      </c>
      <c r="AI8693">
        <v>1</v>
      </c>
      <c r="AJ8693">
        <v>1</v>
      </c>
      <c r="AK8693">
        <v>1</v>
      </c>
      <c r="AL8693">
        <v>1</v>
      </c>
      <c r="AM8693">
        <v>1</v>
      </c>
    </row>
    <row r="8694" spans="1:39" x14ac:dyDescent="0.2">
      <c r="A8694" t="str">
        <f>"8690"</f>
        <v>8690</v>
      </c>
      <c r="B8694" t="str">
        <f t="shared" si="480"/>
        <v>1</v>
      </c>
      <c r="C8694" t="str">
        <f t="shared" si="483"/>
        <v>174</v>
      </c>
      <c r="D8694" t="str">
        <f>"8"</f>
        <v>8</v>
      </c>
      <c r="E8694" t="str">
        <f>"1-174-8"</f>
        <v>1-174-8</v>
      </c>
      <c r="F8694" t="s">
        <v>65</v>
      </c>
      <c r="G8694" t="s">
        <v>66</v>
      </c>
      <c r="H8694" t="s">
        <v>67</v>
      </c>
      <c r="S8694">
        <v>0</v>
      </c>
      <c r="T8694">
        <v>1</v>
      </c>
      <c r="U8694">
        <v>0</v>
      </c>
      <c r="V8694">
        <v>0</v>
      </c>
      <c r="W8694">
        <v>1</v>
      </c>
      <c r="X8694">
        <v>0</v>
      </c>
      <c r="Y8694">
        <v>1</v>
      </c>
      <c r="Z8694">
        <v>0</v>
      </c>
      <c r="AA8694">
        <v>1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1</v>
      </c>
      <c r="AJ8694">
        <v>1</v>
      </c>
      <c r="AK8694">
        <v>0</v>
      </c>
      <c r="AL8694">
        <v>0</v>
      </c>
      <c r="AM8694">
        <v>0</v>
      </c>
    </row>
    <row r="8695" spans="1:39" x14ac:dyDescent="0.2">
      <c r="A8695" t="str">
        <f>"8691"</f>
        <v>8691</v>
      </c>
      <c r="B8695" t="str">
        <f t="shared" ref="B8695:B8758" si="484">"1"</f>
        <v>1</v>
      </c>
      <c r="C8695" t="str">
        <f t="shared" si="483"/>
        <v>174</v>
      </c>
      <c r="D8695" t="str">
        <f>"29"</f>
        <v>29</v>
      </c>
      <c r="E8695" t="str">
        <f>"1-174-29"</f>
        <v>1-174-29</v>
      </c>
      <c r="F8695" t="s">
        <v>65</v>
      </c>
      <c r="G8695" t="s">
        <v>66</v>
      </c>
      <c r="H8695" t="s">
        <v>67</v>
      </c>
      <c r="S8695">
        <v>0</v>
      </c>
      <c r="T8695">
        <v>0</v>
      </c>
      <c r="U8695">
        <v>0</v>
      </c>
      <c r="V8695">
        <v>0</v>
      </c>
      <c r="W8695">
        <v>1</v>
      </c>
      <c r="X8695">
        <v>0</v>
      </c>
      <c r="Y8695">
        <v>1</v>
      </c>
      <c r="Z8695">
        <v>0</v>
      </c>
      <c r="AA8695">
        <v>0</v>
      </c>
      <c r="AB8695">
        <v>1</v>
      </c>
      <c r="AC8695">
        <v>0</v>
      </c>
      <c r="AD8695">
        <v>1</v>
      </c>
      <c r="AE8695">
        <v>1</v>
      </c>
      <c r="AF8695">
        <v>1</v>
      </c>
      <c r="AG8695">
        <v>1</v>
      </c>
      <c r="AH8695">
        <v>1</v>
      </c>
      <c r="AI8695">
        <v>1</v>
      </c>
      <c r="AJ8695">
        <v>1</v>
      </c>
      <c r="AK8695">
        <v>1</v>
      </c>
      <c r="AL8695">
        <v>1</v>
      </c>
      <c r="AM8695">
        <v>1</v>
      </c>
    </row>
    <row r="8696" spans="1:39" x14ac:dyDescent="0.2">
      <c r="A8696" t="str">
        <f>"8692"</f>
        <v>8692</v>
      </c>
      <c r="B8696" t="str">
        <f t="shared" si="484"/>
        <v>1</v>
      </c>
      <c r="C8696" t="str">
        <f t="shared" si="483"/>
        <v>174</v>
      </c>
      <c r="D8696" t="str">
        <f>"10"</f>
        <v>10</v>
      </c>
      <c r="E8696" t="str">
        <f>"1-174-10"</f>
        <v>1-174-10</v>
      </c>
      <c r="F8696" t="s">
        <v>65</v>
      </c>
      <c r="G8696" t="s">
        <v>66</v>
      </c>
      <c r="H8696" t="s">
        <v>67</v>
      </c>
      <c r="S8696">
        <v>1</v>
      </c>
      <c r="T8696">
        <v>0</v>
      </c>
      <c r="U8696">
        <v>0</v>
      </c>
      <c r="V8696">
        <v>0</v>
      </c>
      <c r="W8696">
        <v>1</v>
      </c>
      <c r="X8696">
        <v>0</v>
      </c>
      <c r="Y8696">
        <v>1</v>
      </c>
      <c r="Z8696">
        <v>0</v>
      </c>
      <c r="AA8696">
        <v>1</v>
      </c>
      <c r="AB8696">
        <v>0</v>
      </c>
      <c r="AC8696">
        <v>0</v>
      </c>
      <c r="AD8696">
        <v>1</v>
      </c>
      <c r="AE8696">
        <v>1</v>
      </c>
      <c r="AF8696">
        <v>1</v>
      </c>
      <c r="AG8696">
        <v>1</v>
      </c>
      <c r="AH8696">
        <v>1</v>
      </c>
      <c r="AI8696">
        <v>1</v>
      </c>
      <c r="AJ8696">
        <v>1</v>
      </c>
      <c r="AK8696">
        <v>1</v>
      </c>
      <c r="AL8696">
        <v>1</v>
      </c>
      <c r="AM8696">
        <v>1</v>
      </c>
    </row>
    <row r="8697" spans="1:39" x14ac:dyDescent="0.2">
      <c r="A8697" t="str">
        <f>"8693"</f>
        <v>8693</v>
      </c>
      <c r="B8697" t="str">
        <f t="shared" si="484"/>
        <v>1</v>
      </c>
      <c r="C8697" t="str">
        <f t="shared" si="483"/>
        <v>174</v>
      </c>
      <c r="D8697" t="str">
        <f>"47"</f>
        <v>47</v>
      </c>
      <c r="E8697" t="str">
        <f>"1-174-47"</f>
        <v>1-174-47</v>
      </c>
      <c r="F8697" t="s">
        <v>65</v>
      </c>
      <c r="G8697" t="s">
        <v>66</v>
      </c>
      <c r="H8697" t="s">
        <v>67</v>
      </c>
      <c r="S8697">
        <v>0</v>
      </c>
      <c r="T8697">
        <v>0</v>
      </c>
      <c r="U8697">
        <v>0</v>
      </c>
      <c r="V8697">
        <v>0</v>
      </c>
      <c r="W8697">
        <v>1</v>
      </c>
      <c r="X8697">
        <v>0</v>
      </c>
      <c r="Y8697">
        <v>1</v>
      </c>
      <c r="Z8697">
        <v>0</v>
      </c>
      <c r="AA8697">
        <v>1</v>
      </c>
      <c r="AB8697">
        <v>0</v>
      </c>
      <c r="AC8697">
        <v>0</v>
      </c>
      <c r="AD8697">
        <v>1</v>
      </c>
      <c r="AE8697">
        <v>1</v>
      </c>
      <c r="AF8697">
        <v>1</v>
      </c>
      <c r="AG8697">
        <v>1</v>
      </c>
      <c r="AH8697">
        <v>1</v>
      </c>
      <c r="AI8697">
        <v>1</v>
      </c>
      <c r="AJ8697">
        <v>1</v>
      </c>
      <c r="AK8697">
        <v>1</v>
      </c>
      <c r="AL8697">
        <v>1</v>
      </c>
      <c r="AM8697">
        <v>1</v>
      </c>
    </row>
    <row r="8698" spans="1:39" x14ac:dyDescent="0.2">
      <c r="A8698" t="str">
        <f>"8694"</f>
        <v>8694</v>
      </c>
      <c r="B8698" t="str">
        <f t="shared" si="484"/>
        <v>1</v>
      </c>
      <c r="C8698" t="str">
        <f t="shared" si="483"/>
        <v>174</v>
      </c>
      <c r="D8698" t="str">
        <f>"31"</f>
        <v>31</v>
      </c>
      <c r="E8698" t="str">
        <f>"1-174-31"</f>
        <v>1-174-31</v>
      </c>
      <c r="F8698" t="s">
        <v>65</v>
      </c>
      <c r="G8698" t="s">
        <v>66</v>
      </c>
      <c r="H8698" t="s">
        <v>67</v>
      </c>
      <c r="S8698">
        <v>1</v>
      </c>
      <c r="T8698">
        <v>0</v>
      </c>
      <c r="U8698">
        <v>0</v>
      </c>
      <c r="V8698">
        <v>0</v>
      </c>
      <c r="W8698">
        <v>1</v>
      </c>
      <c r="X8698">
        <v>0</v>
      </c>
      <c r="Y8698">
        <v>0</v>
      </c>
      <c r="Z8698">
        <v>1</v>
      </c>
      <c r="AA8698">
        <v>1</v>
      </c>
      <c r="AB8698">
        <v>0</v>
      </c>
      <c r="AC8698">
        <v>0</v>
      </c>
      <c r="AD8698">
        <v>1</v>
      </c>
      <c r="AE8698">
        <v>1</v>
      </c>
      <c r="AF8698">
        <v>1</v>
      </c>
      <c r="AG8698">
        <v>1</v>
      </c>
      <c r="AH8698">
        <v>1</v>
      </c>
      <c r="AI8698">
        <v>1</v>
      </c>
      <c r="AJ8698">
        <v>1</v>
      </c>
      <c r="AK8698">
        <v>1</v>
      </c>
      <c r="AL8698">
        <v>1</v>
      </c>
      <c r="AM8698">
        <v>1</v>
      </c>
    </row>
    <row r="8699" spans="1:39" x14ac:dyDescent="0.2">
      <c r="A8699" t="str">
        <f>"8695"</f>
        <v>8695</v>
      </c>
      <c r="B8699" t="str">
        <f t="shared" si="484"/>
        <v>1</v>
      </c>
      <c r="C8699" t="str">
        <f t="shared" si="483"/>
        <v>174</v>
      </c>
      <c r="D8699" t="str">
        <f>"11"</f>
        <v>11</v>
      </c>
      <c r="E8699" t="str">
        <f>"1-174-11"</f>
        <v>1-174-11</v>
      </c>
      <c r="F8699" t="s">
        <v>65</v>
      </c>
      <c r="G8699" t="s">
        <v>66</v>
      </c>
      <c r="H8699" t="s">
        <v>67</v>
      </c>
      <c r="S8699">
        <v>0</v>
      </c>
      <c r="T8699">
        <v>1</v>
      </c>
      <c r="U8699">
        <v>0</v>
      </c>
      <c r="V8699">
        <v>0</v>
      </c>
      <c r="W8699">
        <v>1</v>
      </c>
      <c r="X8699">
        <v>0</v>
      </c>
      <c r="Y8699">
        <v>0</v>
      </c>
      <c r="Z8699">
        <v>1</v>
      </c>
      <c r="AA8699">
        <v>0</v>
      </c>
      <c r="AB8699">
        <v>0</v>
      </c>
      <c r="AC8699">
        <v>1</v>
      </c>
      <c r="AD8699">
        <v>1</v>
      </c>
      <c r="AE8699">
        <v>1</v>
      </c>
      <c r="AF8699">
        <v>1</v>
      </c>
      <c r="AG8699">
        <v>1</v>
      </c>
      <c r="AH8699">
        <v>1</v>
      </c>
      <c r="AI8699">
        <v>1</v>
      </c>
      <c r="AJ8699">
        <v>1</v>
      </c>
      <c r="AK8699">
        <v>1</v>
      </c>
      <c r="AL8699">
        <v>1</v>
      </c>
      <c r="AM8699">
        <v>1</v>
      </c>
    </row>
    <row r="8700" spans="1:39" x14ac:dyDescent="0.2">
      <c r="A8700" t="str">
        <f>"8696"</f>
        <v>8696</v>
      </c>
      <c r="B8700" t="str">
        <f t="shared" si="484"/>
        <v>1</v>
      </c>
      <c r="C8700" t="str">
        <f t="shared" si="483"/>
        <v>174</v>
      </c>
      <c r="D8700" t="str">
        <f>"48"</f>
        <v>48</v>
      </c>
      <c r="E8700" t="str">
        <f>"1-174-48"</f>
        <v>1-174-48</v>
      </c>
      <c r="F8700" t="s">
        <v>65</v>
      </c>
      <c r="G8700" t="s">
        <v>66</v>
      </c>
      <c r="H8700" t="s">
        <v>67</v>
      </c>
      <c r="S8700">
        <v>1</v>
      </c>
      <c r="T8700">
        <v>0</v>
      </c>
      <c r="U8700">
        <v>0</v>
      </c>
      <c r="V8700">
        <v>0</v>
      </c>
      <c r="W8700">
        <v>1</v>
      </c>
      <c r="X8700">
        <v>0</v>
      </c>
      <c r="Y8700">
        <v>1</v>
      </c>
      <c r="Z8700">
        <v>0</v>
      </c>
      <c r="AA8700">
        <v>0</v>
      </c>
      <c r="AB8700">
        <v>1</v>
      </c>
      <c r="AC8700">
        <v>0</v>
      </c>
      <c r="AD8700">
        <v>1</v>
      </c>
      <c r="AE8700">
        <v>0</v>
      </c>
      <c r="AF8700">
        <v>1</v>
      </c>
      <c r="AG8700">
        <v>1</v>
      </c>
      <c r="AH8700">
        <v>1</v>
      </c>
      <c r="AI8700">
        <v>1</v>
      </c>
      <c r="AJ8700">
        <v>0</v>
      </c>
      <c r="AK8700">
        <v>1</v>
      </c>
      <c r="AL8700">
        <v>1</v>
      </c>
      <c r="AM8700">
        <v>1</v>
      </c>
    </row>
    <row r="8701" spans="1:39" x14ac:dyDescent="0.2">
      <c r="A8701" t="str">
        <f>"8697"</f>
        <v>8697</v>
      </c>
      <c r="B8701" t="str">
        <f t="shared" si="484"/>
        <v>1</v>
      </c>
      <c r="C8701" t="str">
        <f t="shared" si="483"/>
        <v>174</v>
      </c>
      <c r="D8701" t="str">
        <f>"32"</f>
        <v>32</v>
      </c>
      <c r="E8701" t="str">
        <f>"1-174-32"</f>
        <v>1-174-32</v>
      </c>
      <c r="F8701" t="s">
        <v>65</v>
      </c>
      <c r="G8701" t="s">
        <v>66</v>
      </c>
      <c r="H8701" t="s">
        <v>67</v>
      </c>
      <c r="S8701">
        <v>1</v>
      </c>
      <c r="T8701">
        <v>0</v>
      </c>
      <c r="U8701">
        <v>0</v>
      </c>
      <c r="V8701">
        <v>0</v>
      </c>
      <c r="W8701">
        <v>1</v>
      </c>
      <c r="X8701">
        <v>0</v>
      </c>
      <c r="Y8701">
        <v>0</v>
      </c>
      <c r="Z8701">
        <v>1</v>
      </c>
      <c r="AA8701">
        <v>1</v>
      </c>
      <c r="AB8701">
        <v>0</v>
      </c>
      <c r="AC8701">
        <v>0</v>
      </c>
      <c r="AD8701">
        <v>0</v>
      </c>
      <c r="AE8701">
        <v>0</v>
      </c>
      <c r="AF8701">
        <v>1</v>
      </c>
      <c r="AG8701">
        <v>0</v>
      </c>
      <c r="AH8701">
        <v>0</v>
      </c>
      <c r="AI8701">
        <v>1</v>
      </c>
      <c r="AJ8701">
        <v>1</v>
      </c>
      <c r="AK8701">
        <v>1</v>
      </c>
      <c r="AL8701">
        <v>1</v>
      </c>
      <c r="AM8701">
        <v>0</v>
      </c>
    </row>
    <row r="8702" spans="1:39" x14ac:dyDescent="0.2">
      <c r="A8702" t="str">
        <f>"8698"</f>
        <v>8698</v>
      </c>
      <c r="B8702" t="str">
        <f t="shared" si="484"/>
        <v>1</v>
      </c>
      <c r="C8702" t="str">
        <f t="shared" si="483"/>
        <v>174</v>
      </c>
      <c r="D8702" t="str">
        <f>"9"</f>
        <v>9</v>
      </c>
      <c r="E8702" t="str">
        <f>"1-174-9"</f>
        <v>1-174-9</v>
      </c>
      <c r="F8702" t="s">
        <v>65</v>
      </c>
      <c r="G8702" t="s">
        <v>66</v>
      </c>
      <c r="H8702" t="s">
        <v>67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1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</row>
    <row r="8703" spans="1:39" x14ac:dyDescent="0.2">
      <c r="A8703" t="str">
        <f>"8699"</f>
        <v>8699</v>
      </c>
      <c r="B8703" t="str">
        <f t="shared" si="484"/>
        <v>1</v>
      </c>
      <c r="C8703" t="str">
        <f t="shared" si="483"/>
        <v>174</v>
      </c>
      <c r="D8703" t="str">
        <f>"49"</f>
        <v>49</v>
      </c>
      <c r="E8703" t="str">
        <f>"1-174-49"</f>
        <v>1-174-49</v>
      </c>
      <c r="F8703" t="s">
        <v>65</v>
      </c>
      <c r="G8703" t="s">
        <v>66</v>
      </c>
      <c r="H8703" t="s">
        <v>67</v>
      </c>
      <c r="S8703">
        <v>0</v>
      </c>
      <c r="T8703">
        <v>1</v>
      </c>
      <c r="U8703">
        <v>0</v>
      </c>
      <c r="V8703">
        <v>0</v>
      </c>
      <c r="W8703">
        <v>1</v>
      </c>
      <c r="X8703">
        <v>0</v>
      </c>
      <c r="Y8703">
        <v>0</v>
      </c>
      <c r="Z8703">
        <v>1</v>
      </c>
      <c r="AA8703">
        <v>0</v>
      </c>
      <c r="AB8703">
        <v>1</v>
      </c>
      <c r="AC8703">
        <v>0</v>
      </c>
      <c r="AD8703">
        <v>1</v>
      </c>
      <c r="AE8703">
        <v>1</v>
      </c>
      <c r="AF8703">
        <v>1</v>
      </c>
      <c r="AG8703">
        <v>1</v>
      </c>
      <c r="AH8703">
        <v>1</v>
      </c>
      <c r="AI8703">
        <v>1</v>
      </c>
      <c r="AJ8703">
        <v>1</v>
      </c>
      <c r="AK8703">
        <v>1</v>
      </c>
      <c r="AL8703">
        <v>1</v>
      </c>
      <c r="AM8703">
        <v>1</v>
      </c>
    </row>
    <row r="8704" spans="1:39" x14ac:dyDescent="0.2">
      <c r="A8704" t="str">
        <f>"8700"</f>
        <v>8700</v>
      </c>
      <c r="B8704" t="str">
        <f t="shared" si="484"/>
        <v>1</v>
      </c>
      <c r="C8704" t="str">
        <f t="shared" si="483"/>
        <v>174</v>
      </c>
      <c r="D8704" t="str">
        <f>"50"</f>
        <v>50</v>
      </c>
      <c r="E8704" t="str">
        <f>"1-174-50"</f>
        <v>1-174-50</v>
      </c>
      <c r="F8704" t="s">
        <v>65</v>
      </c>
      <c r="G8704" t="s">
        <v>66</v>
      </c>
      <c r="H8704" t="s">
        <v>67</v>
      </c>
      <c r="S8704">
        <v>1</v>
      </c>
      <c r="T8704">
        <v>0</v>
      </c>
      <c r="U8704">
        <v>0</v>
      </c>
      <c r="V8704">
        <v>0</v>
      </c>
      <c r="W8704">
        <v>1</v>
      </c>
      <c r="X8704">
        <v>0</v>
      </c>
      <c r="Y8704">
        <v>1</v>
      </c>
      <c r="Z8704">
        <v>0</v>
      </c>
      <c r="AA8704">
        <v>1</v>
      </c>
      <c r="AB8704">
        <v>0</v>
      </c>
      <c r="AC8704">
        <v>0</v>
      </c>
      <c r="AD8704">
        <v>1</v>
      </c>
      <c r="AE8704">
        <v>1</v>
      </c>
      <c r="AF8704">
        <v>1</v>
      </c>
      <c r="AG8704">
        <v>1</v>
      </c>
      <c r="AH8704">
        <v>1</v>
      </c>
      <c r="AI8704">
        <v>1</v>
      </c>
      <c r="AJ8704">
        <v>1</v>
      </c>
      <c r="AK8704">
        <v>1</v>
      </c>
      <c r="AL8704">
        <v>1</v>
      </c>
      <c r="AM8704">
        <v>1</v>
      </c>
    </row>
    <row r="8705" spans="1:39" x14ac:dyDescent="0.2">
      <c r="A8705" t="str">
        <f>"8701"</f>
        <v>8701</v>
      </c>
      <c r="B8705" t="str">
        <f t="shared" si="484"/>
        <v>1</v>
      </c>
      <c r="C8705" t="str">
        <f t="shared" ref="C8705:C8736" si="485">"175"</f>
        <v>175</v>
      </c>
      <c r="D8705" t="str">
        <f>"38"</f>
        <v>38</v>
      </c>
      <c r="E8705" t="str">
        <f>"1-175-38"</f>
        <v>1-175-38</v>
      </c>
      <c r="F8705" t="s">
        <v>65</v>
      </c>
      <c r="G8705" t="s">
        <v>66</v>
      </c>
      <c r="H8705" t="s">
        <v>67</v>
      </c>
      <c r="S8705">
        <v>0</v>
      </c>
      <c r="T8705">
        <v>1</v>
      </c>
      <c r="U8705">
        <v>0</v>
      </c>
      <c r="V8705">
        <v>0</v>
      </c>
      <c r="W8705">
        <v>1</v>
      </c>
      <c r="X8705">
        <v>0</v>
      </c>
      <c r="Y8705">
        <v>0</v>
      </c>
      <c r="Z8705">
        <v>1</v>
      </c>
      <c r="AA8705">
        <v>1</v>
      </c>
      <c r="AB8705">
        <v>0</v>
      </c>
      <c r="AC8705">
        <v>0</v>
      </c>
      <c r="AD8705">
        <v>1</v>
      </c>
      <c r="AE8705">
        <v>1</v>
      </c>
      <c r="AF8705">
        <v>1</v>
      </c>
      <c r="AG8705">
        <v>1</v>
      </c>
      <c r="AH8705">
        <v>1</v>
      </c>
      <c r="AI8705">
        <v>1</v>
      </c>
      <c r="AJ8705">
        <v>1</v>
      </c>
      <c r="AK8705">
        <v>1</v>
      </c>
      <c r="AL8705">
        <v>1</v>
      </c>
      <c r="AM8705">
        <v>1</v>
      </c>
    </row>
    <row r="8706" spans="1:39" x14ac:dyDescent="0.2">
      <c r="A8706" t="str">
        <f>"8702"</f>
        <v>8702</v>
      </c>
      <c r="B8706" t="str">
        <f t="shared" si="484"/>
        <v>1</v>
      </c>
      <c r="C8706" t="str">
        <f t="shared" si="485"/>
        <v>175</v>
      </c>
      <c r="D8706" t="str">
        <f>"37"</f>
        <v>37</v>
      </c>
      <c r="E8706" t="str">
        <f>"1-175-37"</f>
        <v>1-175-37</v>
      </c>
      <c r="F8706" t="s">
        <v>65</v>
      </c>
      <c r="G8706" t="s">
        <v>66</v>
      </c>
      <c r="H8706" t="s">
        <v>67</v>
      </c>
      <c r="S8706">
        <v>0</v>
      </c>
      <c r="T8706">
        <v>1</v>
      </c>
      <c r="U8706">
        <v>0</v>
      </c>
      <c r="V8706">
        <v>0</v>
      </c>
      <c r="W8706">
        <v>0</v>
      </c>
      <c r="X8706">
        <v>1</v>
      </c>
      <c r="Y8706">
        <v>0</v>
      </c>
      <c r="Z8706">
        <v>1</v>
      </c>
      <c r="AA8706">
        <v>0</v>
      </c>
      <c r="AB8706">
        <v>0</v>
      </c>
      <c r="AC8706">
        <v>0</v>
      </c>
      <c r="AD8706">
        <v>1</v>
      </c>
      <c r="AE8706">
        <v>1</v>
      </c>
      <c r="AF8706">
        <v>1</v>
      </c>
      <c r="AG8706">
        <v>1</v>
      </c>
      <c r="AH8706">
        <v>1</v>
      </c>
      <c r="AI8706">
        <v>1</v>
      </c>
      <c r="AJ8706">
        <v>1</v>
      </c>
      <c r="AK8706">
        <v>1</v>
      </c>
      <c r="AL8706">
        <v>1</v>
      </c>
      <c r="AM8706">
        <v>1</v>
      </c>
    </row>
    <row r="8707" spans="1:39" x14ac:dyDescent="0.2">
      <c r="A8707" t="str">
        <f>"8703"</f>
        <v>8703</v>
      </c>
      <c r="B8707" t="str">
        <f t="shared" si="484"/>
        <v>1</v>
      </c>
      <c r="C8707" t="str">
        <f t="shared" si="485"/>
        <v>175</v>
      </c>
      <c r="D8707" t="str">
        <f>"22"</f>
        <v>22</v>
      </c>
      <c r="E8707" t="str">
        <f>"1-175-22"</f>
        <v>1-175-22</v>
      </c>
      <c r="F8707" t="s">
        <v>65</v>
      </c>
      <c r="G8707" t="s">
        <v>66</v>
      </c>
      <c r="H8707" t="s">
        <v>67</v>
      </c>
      <c r="S8707">
        <v>0</v>
      </c>
      <c r="T8707">
        <v>1</v>
      </c>
      <c r="U8707">
        <v>0</v>
      </c>
      <c r="V8707">
        <v>0</v>
      </c>
      <c r="W8707">
        <v>0</v>
      </c>
      <c r="X8707">
        <v>1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</row>
    <row r="8708" spans="1:39" x14ac:dyDescent="0.2">
      <c r="A8708" t="str">
        <f>"8704"</f>
        <v>8704</v>
      </c>
      <c r="B8708" t="str">
        <f t="shared" si="484"/>
        <v>1</v>
      </c>
      <c r="C8708" t="str">
        <f t="shared" si="485"/>
        <v>175</v>
      </c>
      <c r="D8708" t="str">
        <f>"21"</f>
        <v>21</v>
      </c>
      <c r="E8708" t="str">
        <f>"1-175-21"</f>
        <v>1-175-21</v>
      </c>
      <c r="F8708" t="s">
        <v>65</v>
      </c>
      <c r="G8708" t="s">
        <v>66</v>
      </c>
      <c r="H8708" t="s">
        <v>67</v>
      </c>
      <c r="S8708">
        <v>0</v>
      </c>
      <c r="T8708">
        <v>1</v>
      </c>
      <c r="U8708">
        <v>0</v>
      </c>
      <c r="V8708">
        <v>0</v>
      </c>
      <c r="W8708">
        <v>0</v>
      </c>
      <c r="X8708">
        <v>1</v>
      </c>
      <c r="Y8708">
        <v>0</v>
      </c>
      <c r="Z8708">
        <v>1</v>
      </c>
      <c r="AA8708">
        <v>0</v>
      </c>
      <c r="AB8708">
        <v>1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</row>
    <row r="8709" spans="1:39" x14ac:dyDescent="0.2">
      <c r="A8709" t="str">
        <f>"8705"</f>
        <v>8705</v>
      </c>
      <c r="B8709" t="str">
        <f t="shared" si="484"/>
        <v>1</v>
      </c>
      <c r="C8709" t="str">
        <f t="shared" si="485"/>
        <v>175</v>
      </c>
      <c r="D8709" t="str">
        <f>"18"</f>
        <v>18</v>
      </c>
      <c r="E8709" t="str">
        <f>"1-175-18"</f>
        <v>1-175-18</v>
      </c>
      <c r="F8709" t="s">
        <v>65</v>
      </c>
      <c r="G8709" t="s">
        <v>66</v>
      </c>
      <c r="H8709" t="s">
        <v>67</v>
      </c>
      <c r="S8709">
        <v>1</v>
      </c>
      <c r="T8709">
        <v>0</v>
      </c>
      <c r="U8709">
        <v>0</v>
      </c>
      <c r="V8709">
        <v>0</v>
      </c>
      <c r="W8709">
        <v>0</v>
      </c>
      <c r="X8709">
        <v>1</v>
      </c>
      <c r="Y8709">
        <v>1</v>
      </c>
      <c r="Z8709">
        <v>0</v>
      </c>
      <c r="AA8709">
        <v>0</v>
      </c>
      <c r="AB8709">
        <v>1</v>
      </c>
      <c r="AC8709">
        <v>0</v>
      </c>
      <c r="AD8709">
        <v>1</v>
      </c>
      <c r="AE8709">
        <v>1</v>
      </c>
      <c r="AF8709">
        <v>0</v>
      </c>
      <c r="AG8709">
        <v>0</v>
      </c>
      <c r="AH8709">
        <v>0</v>
      </c>
      <c r="AI8709">
        <v>1</v>
      </c>
      <c r="AJ8709">
        <v>1</v>
      </c>
      <c r="AK8709">
        <v>0</v>
      </c>
      <c r="AL8709">
        <v>0</v>
      </c>
      <c r="AM8709">
        <v>0</v>
      </c>
    </row>
    <row r="8710" spans="1:39" x14ac:dyDescent="0.2">
      <c r="A8710" t="str">
        <f>"8706"</f>
        <v>8706</v>
      </c>
      <c r="B8710" t="str">
        <f t="shared" si="484"/>
        <v>1</v>
      </c>
      <c r="C8710" t="str">
        <f t="shared" si="485"/>
        <v>175</v>
      </c>
      <c r="D8710" t="str">
        <f>"15"</f>
        <v>15</v>
      </c>
      <c r="E8710" t="str">
        <f>"1-175-15"</f>
        <v>1-175-15</v>
      </c>
      <c r="F8710" t="s">
        <v>65</v>
      </c>
      <c r="G8710" t="s">
        <v>66</v>
      </c>
      <c r="H8710" t="s">
        <v>67</v>
      </c>
      <c r="S8710">
        <v>1</v>
      </c>
      <c r="T8710">
        <v>0</v>
      </c>
      <c r="U8710">
        <v>0</v>
      </c>
      <c r="V8710">
        <v>0</v>
      </c>
      <c r="W8710">
        <v>1</v>
      </c>
      <c r="X8710">
        <v>0</v>
      </c>
      <c r="Y8710">
        <v>0</v>
      </c>
      <c r="Z8710">
        <v>1</v>
      </c>
      <c r="AA8710">
        <v>1</v>
      </c>
      <c r="AB8710">
        <v>0</v>
      </c>
      <c r="AC8710">
        <v>0</v>
      </c>
      <c r="AD8710">
        <v>1</v>
      </c>
      <c r="AE8710">
        <v>1</v>
      </c>
      <c r="AF8710">
        <v>1</v>
      </c>
      <c r="AG8710">
        <v>1</v>
      </c>
      <c r="AH8710">
        <v>1</v>
      </c>
      <c r="AI8710">
        <v>1</v>
      </c>
      <c r="AJ8710">
        <v>1</v>
      </c>
      <c r="AK8710">
        <v>1</v>
      </c>
      <c r="AL8710">
        <v>1</v>
      </c>
      <c r="AM8710">
        <v>1</v>
      </c>
    </row>
    <row r="8711" spans="1:39" x14ac:dyDescent="0.2">
      <c r="A8711" t="str">
        <f>"8707"</f>
        <v>8707</v>
      </c>
      <c r="B8711" t="str">
        <f t="shared" si="484"/>
        <v>1</v>
      </c>
      <c r="C8711" t="str">
        <f t="shared" si="485"/>
        <v>175</v>
      </c>
      <c r="D8711" t="str">
        <f>"1"</f>
        <v>1</v>
      </c>
      <c r="E8711" t="str">
        <f>"1-175-1"</f>
        <v>1-175-1</v>
      </c>
      <c r="F8711" t="s">
        <v>65</v>
      </c>
      <c r="G8711" t="s">
        <v>66</v>
      </c>
      <c r="H8711" t="s">
        <v>67</v>
      </c>
      <c r="S8711">
        <v>1</v>
      </c>
      <c r="T8711">
        <v>0</v>
      </c>
      <c r="U8711">
        <v>0</v>
      </c>
      <c r="V8711">
        <v>0</v>
      </c>
      <c r="W8711">
        <v>1</v>
      </c>
      <c r="X8711">
        <v>0</v>
      </c>
      <c r="Y8711">
        <v>1</v>
      </c>
      <c r="Z8711">
        <v>0</v>
      </c>
      <c r="AA8711">
        <v>0</v>
      </c>
      <c r="AB8711">
        <v>1</v>
      </c>
      <c r="AC8711">
        <v>0</v>
      </c>
      <c r="AD8711">
        <v>1</v>
      </c>
      <c r="AE8711">
        <v>1</v>
      </c>
      <c r="AF8711">
        <v>1</v>
      </c>
      <c r="AG8711">
        <v>1</v>
      </c>
      <c r="AH8711">
        <v>1</v>
      </c>
      <c r="AI8711">
        <v>1</v>
      </c>
      <c r="AJ8711">
        <v>1</v>
      </c>
      <c r="AK8711">
        <v>1</v>
      </c>
      <c r="AL8711">
        <v>1</v>
      </c>
      <c r="AM8711">
        <v>1</v>
      </c>
    </row>
    <row r="8712" spans="1:39" x14ac:dyDescent="0.2">
      <c r="A8712" t="str">
        <f>"8708"</f>
        <v>8708</v>
      </c>
      <c r="B8712" t="str">
        <f t="shared" si="484"/>
        <v>1</v>
      </c>
      <c r="C8712" t="str">
        <f t="shared" si="485"/>
        <v>175</v>
      </c>
      <c r="D8712" t="str">
        <f>"36"</f>
        <v>36</v>
      </c>
      <c r="E8712" t="str">
        <f>"1-175-36"</f>
        <v>1-175-36</v>
      </c>
      <c r="F8712" t="s">
        <v>65</v>
      </c>
      <c r="G8712" t="s">
        <v>66</v>
      </c>
      <c r="H8712" t="s">
        <v>67</v>
      </c>
      <c r="S8712">
        <v>0</v>
      </c>
      <c r="T8712">
        <v>1</v>
      </c>
      <c r="U8712">
        <v>0</v>
      </c>
      <c r="V8712">
        <v>0</v>
      </c>
      <c r="W8712">
        <v>0</v>
      </c>
      <c r="X8712">
        <v>1</v>
      </c>
      <c r="Y8712">
        <v>0</v>
      </c>
      <c r="Z8712">
        <v>1</v>
      </c>
      <c r="AA8712">
        <v>0</v>
      </c>
      <c r="AB8712">
        <v>0</v>
      </c>
      <c r="AC8712">
        <v>1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</row>
    <row r="8713" spans="1:39" x14ac:dyDescent="0.2">
      <c r="A8713" t="str">
        <f>"8709"</f>
        <v>8709</v>
      </c>
      <c r="B8713" t="str">
        <f t="shared" si="484"/>
        <v>1</v>
      </c>
      <c r="C8713" t="str">
        <f t="shared" si="485"/>
        <v>175</v>
      </c>
      <c r="D8713" t="str">
        <f>"35"</f>
        <v>35</v>
      </c>
      <c r="E8713" t="str">
        <f>"1-175-35"</f>
        <v>1-175-35</v>
      </c>
      <c r="F8713" t="s">
        <v>65</v>
      </c>
      <c r="G8713" t="s">
        <v>66</v>
      </c>
      <c r="H8713" t="s">
        <v>67</v>
      </c>
      <c r="S8713">
        <v>0</v>
      </c>
      <c r="T8713">
        <v>1</v>
      </c>
      <c r="U8713">
        <v>0</v>
      </c>
      <c r="V8713">
        <v>0</v>
      </c>
      <c r="W8713">
        <v>1</v>
      </c>
      <c r="X8713">
        <v>0</v>
      </c>
      <c r="Y8713">
        <v>1</v>
      </c>
      <c r="Z8713">
        <v>0</v>
      </c>
      <c r="AA8713">
        <v>1</v>
      </c>
      <c r="AB8713">
        <v>0</v>
      </c>
      <c r="AC8713">
        <v>0</v>
      </c>
      <c r="AD8713">
        <v>1</v>
      </c>
      <c r="AE8713">
        <v>1</v>
      </c>
      <c r="AF8713">
        <v>1</v>
      </c>
      <c r="AG8713">
        <v>1</v>
      </c>
      <c r="AH8713">
        <v>1</v>
      </c>
      <c r="AI8713">
        <v>1</v>
      </c>
      <c r="AJ8713">
        <v>1</v>
      </c>
      <c r="AK8713">
        <v>1</v>
      </c>
      <c r="AL8713">
        <v>1</v>
      </c>
      <c r="AM8713">
        <v>1</v>
      </c>
    </row>
    <row r="8714" spans="1:39" x14ac:dyDescent="0.2">
      <c r="A8714" t="str">
        <f>"8710"</f>
        <v>8710</v>
      </c>
      <c r="B8714" t="str">
        <f t="shared" si="484"/>
        <v>1</v>
      </c>
      <c r="C8714" t="str">
        <f t="shared" si="485"/>
        <v>175</v>
      </c>
      <c r="D8714" t="str">
        <f>"24"</f>
        <v>24</v>
      </c>
      <c r="E8714" t="str">
        <f>"1-175-24"</f>
        <v>1-175-24</v>
      </c>
      <c r="F8714" t="s">
        <v>65</v>
      </c>
      <c r="G8714" t="s">
        <v>66</v>
      </c>
      <c r="H8714" t="s">
        <v>67</v>
      </c>
      <c r="S8714">
        <v>0</v>
      </c>
      <c r="T8714">
        <v>1</v>
      </c>
      <c r="U8714">
        <v>0</v>
      </c>
      <c r="V8714">
        <v>0</v>
      </c>
      <c r="W8714">
        <v>0</v>
      </c>
      <c r="X8714">
        <v>1</v>
      </c>
      <c r="Y8714">
        <v>0</v>
      </c>
      <c r="Z8714">
        <v>1</v>
      </c>
      <c r="AA8714">
        <v>0</v>
      </c>
      <c r="AB8714">
        <v>1</v>
      </c>
      <c r="AC8714">
        <v>0</v>
      </c>
      <c r="AD8714">
        <v>1</v>
      </c>
      <c r="AE8714">
        <v>1</v>
      </c>
      <c r="AF8714">
        <v>1</v>
      </c>
      <c r="AG8714">
        <v>1</v>
      </c>
      <c r="AH8714">
        <v>1</v>
      </c>
      <c r="AI8714">
        <v>1</v>
      </c>
      <c r="AJ8714">
        <v>1</v>
      </c>
      <c r="AK8714">
        <v>1</v>
      </c>
      <c r="AL8714">
        <v>1</v>
      </c>
      <c r="AM8714">
        <v>1</v>
      </c>
    </row>
    <row r="8715" spans="1:39" x14ac:dyDescent="0.2">
      <c r="A8715" t="str">
        <f>"8711"</f>
        <v>8711</v>
      </c>
      <c r="B8715" t="str">
        <f t="shared" si="484"/>
        <v>1</v>
      </c>
      <c r="C8715" t="str">
        <f t="shared" si="485"/>
        <v>175</v>
      </c>
      <c r="D8715" t="str">
        <f>"16"</f>
        <v>16</v>
      </c>
      <c r="E8715" t="str">
        <f>"1-175-16"</f>
        <v>1-175-16</v>
      </c>
      <c r="F8715" t="s">
        <v>65</v>
      </c>
      <c r="G8715" t="s">
        <v>66</v>
      </c>
      <c r="H8715" t="s">
        <v>67</v>
      </c>
      <c r="S8715">
        <v>1</v>
      </c>
      <c r="T8715">
        <v>0</v>
      </c>
      <c r="U8715">
        <v>0</v>
      </c>
      <c r="V8715">
        <v>0</v>
      </c>
      <c r="W8715">
        <v>1</v>
      </c>
      <c r="X8715">
        <v>0</v>
      </c>
      <c r="Y8715">
        <v>0</v>
      </c>
      <c r="Z8715">
        <v>1</v>
      </c>
      <c r="AA8715">
        <v>0</v>
      </c>
      <c r="AB8715">
        <v>0</v>
      </c>
      <c r="AC8715">
        <v>1</v>
      </c>
      <c r="AD8715">
        <v>1</v>
      </c>
      <c r="AE8715">
        <v>1</v>
      </c>
      <c r="AF8715">
        <v>1</v>
      </c>
      <c r="AG8715">
        <v>1</v>
      </c>
      <c r="AH8715">
        <v>1</v>
      </c>
      <c r="AI8715">
        <v>1</v>
      </c>
      <c r="AJ8715">
        <v>1</v>
      </c>
      <c r="AK8715">
        <v>1</v>
      </c>
      <c r="AL8715">
        <v>1</v>
      </c>
      <c r="AM8715">
        <v>1</v>
      </c>
    </row>
    <row r="8716" spans="1:39" x14ac:dyDescent="0.2">
      <c r="A8716" t="str">
        <f>"8712"</f>
        <v>8712</v>
      </c>
      <c r="B8716" t="str">
        <f t="shared" si="484"/>
        <v>1</v>
      </c>
      <c r="C8716" t="str">
        <f t="shared" si="485"/>
        <v>175</v>
      </c>
      <c r="D8716" t="str">
        <f>"4"</f>
        <v>4</v>
      </c>
      <c r="E8716" t="str">
        <f>"1-175-4"</f>
        <v>1-175-4</v>
      </c>
      <c r="F8716" t="s">
        <v>65</v>
      </c>
      <c r="G8716" t="s">
        <v>66</v>
      </c>
      <c r="H8716" t="s">
        <v>67</v>
      </c>
      <c r="S8716">
        <v>0</v>
      </c>
      <c r="T8716">
        <v>1</v>
      </c>
      <c r="U8716">
        <v>0</v>
      </c>
      <c r="V8716">
        <v>0</v>
      </c>
      <c r="W8716">
        <v>0</v>
      </c>
      <c r="X8716">
        <v>1</v>
      </c>
      <c r="Y8716">
        <v>0</v>
      </c>
      <c r="Z8716">
        <v>1</v>
      </c>
      <c r="AA8716">
        <v>0</v>
      </c>
      <c r="AB8716">
        <v>0</v>
      </c>
      <c r="AC8716">
        <v>1</v>
      </c>
      <c r="AD8716">
        <v>1</v>
      </c>
      <c r="AE8716">
        <v>1</v>
      </c>
      <c r="AF8716">
        <v>1</v>
      </c>
      <c r="AG8716">
        <v>1</v>
      </c>
      <c r="AH8716">
        <v>1</v>
      </c>
      <c r="AI8716">
        <v>1</v>
      </c>
      <c r="AJ8716">
        <v>1</v>
      </c>
      <c r="AK8716">
        <v>1</v>
      </c>
      <c r="AL8716">
        <v>1</v>
      </c>
      <c r="AM8716">
        <v>1</v>
      </c>
    </row>
    <row r="8717" spans="1:39" x14ac:dyDescent="0.2">
      <c r="A8717" t="str">
        <f>"8713"</f>
        <v>8713</v>
      </c>
      <c r="B8717" t="str">
        <f t="shared" si="484"/>
        <v>1</v>
      </c>
      <c r="C8717" t="str">
        <f t="shared" si="485"/>
        <v>175</v>
      </c>
      <c r="D8717" t="str">
        <f>"43"</f>
        <v>43</v>
      </c>
      <c r="E8717" t="str">
        <f>"1-175-43"</f>
        <v>1-175-43</v>
      </c>
      <c r="F8717" t="s">
        <v>65</v>
      </c>
      <c r="G8717" t="s">
        <v>66</v>
      </c>
      <c r="H8717" t="s">
        <v>67</v>
      </c>
      <c r="S8717">
        <v>1</v>
      </c>
      <c r="T8717">
        <v>0</v>
      </c>
      <c r="U8717">
        <v>0</v>
      </c>
      <c r="V8717">
        <v>0</v>
      </c>
      <c r="W8717">
        <v>1</v>
      </c>
      <c r="X8717">
        <v>0</v>
      </c>
      <c r="Y8717">
        <v>0</v>
      </c>
      <c r="Z8717">
        <v>1</v>
      </c>
      <c r="AA8717">
        <v>0</v>
      </c>
      <c r="AB8717">
        <v>1</v>
      </c>
      <c r="AC8717">
        <v>0</v>
      </c>
      <c r="AD8717">
        <v>1</v>
      </c>
      <c r="AE8717">
        <v>1</v>
      </c>
      <c r="AF8717">
        <v>1</v>
      </c>
      <c r="AG8717">
        <v>1</v>
      </c>
      <c r="AH8717">
        <v>1</v>
      </c>
      <c r="AI8717">
        <v>1</v>
      </c>
      <c r="AJ8717">
        <v>1</v>
      </c>
      <c r="AK8717">
        <v>1</v>
      </c>
      <c r="AL8717">
        <v>1</v>
      </c>
      <c r="AM8717">
        <v>1</v>
      </c>
    </row>
    <row r="8718" spans="1:39" x14ac:dyDescent="0.2">
      <c r="A8718" t="str">
        <f>"8714"</f>
        <v>8714</v>
      </c>
      <c r="B8718" t="str">
        <f t="shared" si="484"/>
        <v>1</v>
      </c>
      <c r="C8718" t="str">
        <f t="shared" si="485"/>
        <v>175</v>
      </c>
      <c r="D8718" t="str">
        <f>"42"</f>
        <v>42</v>
      </c>
      <c r="E8718" t="str">
        <f>"1-175-42"</f>
        <v>1-175-42</v>
      </c>
      <c r="F8718" t="s">
        <v>65</v>
      </c>
      <c r="G8718" t="s">
        <v>66</v>
      </c>
      <c r="H8718" t="s">
        <v>67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1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</row>
    <row r="8719" spans="1:39" x14ac:dyDescent="0.2">
      <c r="A8719" t="str">
        <f>"8715"</f>
        <v>8715</v>
      </c>
      <c r="B8719" t="str">
        <f t="shared" si="484"/>
        <v>1</v>
      </c>
      <c r="C8719" t="str">
        <f t="shared" si="485"/>
        <v>175</v>
      </c>
      <c r="D8719" t="str">
        <f>"34"</f>
        <v>34</v>
      </c>
      <c r="E8719" t="str">
        <f>"1-175-34"</f>
        <v>1-175-34</v>
      </c>
      <c r="F8719" t="s">
        <v>65</v>
      </c>
      <c r="G8719" t="s">
        <v>66</v>
      </c>
      <c r="H8719" t="s">
        <v>67</v>
      </c>
      <c r="S8719">
        <v>1</v>
      </c>
      <c r="T8719">
        <v>0</v>
      </c>
      <c r="U8719">
        <v>0</v>
      </c>
      <c r="V8719">
        <v>0</v>
      </c>
      <c r="W8719">
        <v>1</v>
      </c>
      <c r="X8719">
        <v>0</v>
      </c>
      <c r="Y8719">
        <v>1</v>
      </c>
      <c r="Z8719">
        <v>0</v>
      </c>
      <c r="AA8719">
        <v>1</v>
      </c>
      <c r="AB8719">
        <v>0</v>
      </c>
      <c r="AC8719">
        <v>0</v>
      </c>
      <c r="AD8719">
        <v>1</v>
      </c>
      <c r="AE8719">
        <v>1</v>
      </c>
      <c r="AF8719">
        <v>1</v>
      </c>
      <c r="AG8719">
        <v>1</v>
      </c>
      <c r="AH8719">
        <v>1</v>
      </c>
      <c r="AI8719">
        <v>1</v>
      </c>
      <c r="AJ8719">
        <v>1</v>
      </c>
      <c r="AK8719">
        <v>1</v>
      </c>
      <c r="AL8719">
        <v>1</v>
      </c>
      <c r="AM8719">
        <v>1</v>
      </c>
    </row>
    <row r="8720" spans="1:39" x14ac:dyDescent="0.2">
      <c r="A8720" t="str">
        <f>"8716"</f>
        <v>8716</v>
      </c>
      <c r="B8720" t="str">
        <f t="shared" si="484"/>
        <v>1</v>
      </c>
      <c r="C8720" t="str">
        <f t="shared" si="485"/>
        <v>175</v>
      </c>
      <c r="D8720" t="str">
        <f>"17"</f>
        <v>17</v>
      </c>
      <c r="E8720" t="str">
        <f>"1-175-17"</f>
        <v>1-175-17</v>
      </c>
      <c r="F8720" t="s">
        <v>65</v>
      </c>
      <c r="G8720" t="s">
        <v>66</v>
      </c>
      <c r="H8720" t="s">
        <v>67</v>
      </c>
      <c r="S8720">
        <v>1</v>
      </c>
      <c r="T8720">
        <v>0</v>
      </c>
      <c r="U8720">
        <v>0</v>
      </c>
      <c r="V8720">
        <v>0</v>
      </c>
      <c r="W8720">
        <v>0</v>
      </c>
      <c r="X8720">
        <v>1</v>
      </c>
      <c r="Y8720">
        <v>0</v>
      </c>
      <c r="Z8720">
        <v>1</v>
      </c>
      <c r="AA8720">
        <v>0</v>
      </c>
      <c r="AB8720">
        <v>1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</row>
    <row r="8721" spans="1:39" x14ac:dyDescent="0.2">
      <c r="A8721" t="str">
        <f>"8717"</f>
        <v>8717</v>
      </c>
      <c r="B8721" t="str">
        <f t="shared" si="484"/>
        <v>1</v>
      </c>
      <c r="C8721" t="str">
        <f t="shared" si="485"/>
        <v>175</v>
      </c>
      <c r="D8721" t="str">
        <f>"5"</f>
        <v>5</v>
      </c>
      <c r="E8721" t="str">
        <f>"1-175-5"</f>
        <v>1-175-5</v>
      </c>
      <c r="F8721" t="s">
        <v>65</v>
      </c>
      <c r="G8721" t="s">
        <v>66</v>
      </c>
      <c r="H8721" t="s">
        <v>67</v>
      </c>
      <c r="S8721">
        <v>0</v>
      </c>
      <c r="T8721">
        <v>1</v>
      </c>
      <c r="U8721">
        <v>0</v>
      </c>
      <c r="V8721">
        <v>0</v>
      </c>
      <c r="W8721">
        <v>0</v>
      </c>
      <c r="X8721">
        <v>1</v>
      </c>
      <c r="Y8721">
        <v>1</v>
      </c>
      <c r="Z8721">
        <v>0</v>
      </c>
      <c r="AA8721">
        <v>0</v>
      </c>
      <c r="AB8721">
        <v>0</v>
      </c>
      <c r="AC8721">
        <v>1</v>
      </c>
      <c r="AD8721">
        <v>0</v>
      </c>
      <c r="AE8721">
        <v>0</v>
      </c>
      <c r="AF8721">
        <v>0</v>
      </c>
      <c r="AG8721">
        <v>1</v>
      </c>
      <c r="AH8721">
        <v>1</v>
      </c>
      <c r="AI8721">
        <v>0</v>
      </c>
      <c r="AJ8721">
        <v>0</v>
      </c>
      <c r="AK8721">
        <v>0</v>
      </c>
      <c r="AL8721">
        <v>0</v>
      </c>
      <c r="AM8721">
        <v>0</v>
      </c>
    </row>
    <row r="8722" spans="1:39" x14ac:dyDescent="0.2">
      <c r="A8722" t="str">
        <f>"8718"</f>
        <v>8718</v>
      </c>
      <c r="B8722" t="str">
        <f t="shared" si="484"/>
        <v>1</v>
      </c>
      <c r="C8722" t="str">
        <f t="shared" si="485"/>
        <v>175</v>
      </c>
      <c r="D8722" t="str">
        <f>"45"</f>
        <v>45</v>
      </c>
      <c r="E8722" t="str">
        <f>"1-175-45"</f>
        <v>1-175-45</v>
      </c>
      <c r="F8722" t="s">
        <v>65</v>
      </c>
      <c r="G8722" t="s">
        <v>66</v>
      </c>
      <c r="H8722" t="s">
        <v>67</v>
      </c>
      <c r="S8722">
        <v>1</v>
      </c>
      <c r="T8722">
        <v>0</v>
      </c>
      <c r="U8722">
        <v>0</v>
      </c>
      <c r="V8722">
        <v>0</v>
      </c>
      <c r="W8722">
        <v>1</v>
      </c>
      <c r="X8722">
        <v>0</v>
      </c>
      <c r="Y8722">
        <v>1</v>
      </c>
      <c r="Z8722">
        <v>0</v>
      </c>
      <c r="AA8722">
        <v>1</v>
      </c>
      <c r="AB8722">
        <v>0</v>
      </c>
      <c r="AC8722">
        <v>0</v>
      </c>
      <c r="AD8722">
        <v>1</v>
      </c>
      <c r="AE8722">
        <v>1</v>
      </c>
      <c r="AF8722">
        <v>1</v>
      </c>
      <c r="AG8722">
        <v>1</v>
      </c>
      <c r="AH8722">
        <v>1</v>
      </c>
      <c r="AI8722">
        <v>1</v>
      </c>
      <c r="AJ8722">
        <v>1</v>
      </c>
      <c r="AK8722">
        <v>1</v>
      </c>
      <c r="AL8722">
        <v>1</v>
      </c>
      <c r="AM8722">
        <v>1</v>
      </c>
    </row>
    <row r="8723" spans="1:39" x14ac:dyDescent="0.2">
      <c r="A8723" t="str">
        <f>"8719"</f>
        <v>8719</v>
      </c>
      <c r="B8723" t="str">
        <f t="shared" si="484"/>
        <v>1</v>
      </c>
      <c r="C8723" t="str">
        <f t="shared" si="485"/>
        <v>175</v>
      </c>
      <c r="D8723" t="str">
        <f>"44"</f>
        <v>44</v>
      </c>
      <c r="E8723" t="str">
        <f>"1-175-44"</f>
        <v>1-175-44</v>
      </c>
      <c r="F8723" t="s">
        <v>65</v>
      </c>
      <c r="G8723" t="s">
        <v>66</v>
      </c>
      <c r="H8723" t="s">
        <v>67</v>
      </c>
      <c r="S8723">
        <v>1</v>
      </c>
      <c r="T8723">
        <v>0</v>
      </c>
      <c r="U8723">
        <v>0</v>
      </c>
      <c r="V8723">
        <v>0</v>
      </c>
      <c r="W8723">
        <v>1</v>
      </c>
      <c r="X8723">
        <v>0</v>
      </c>
      <c r="Y8723">
        <v>1</v>
      </c>
      <c r="Z8723">
        <v>0</v>
      </c>
      <c r="AA8723">
        <v>1</v>
      </c>
      <c r="AB8723">
        <v>0</v>
      </c>
      <c r="AC8723">
        <v>0</v>
      </c>
      <c r="AD8723">
        <v>1</v>
      </c>
      <c r="AE8723">
        <v>1</v>
      </c>
      <c r="AF8723">
        <v>1</v>
      </c>
      <c r="AG8723">
        <v>1</v>
      </c>
      <c r="AH8723">
        <v>1</v>
      </c>
      <c r="AI8723">
        <v>1</v>
      </c>
      <c r="AJ8723">
        <v>1</v>
      </c>
      <c r="AK8723">
        <v>1</v>
      </c>
      <c r="AL8723">
        <v>1</v>
      </c>
      <c r="AM8723">
        <v>1</v>
      </c>
    </row>
    <row r="8724" spans="1:39" x14ac:dyDescent="0.2">
      <c r="A8724" t="str">
        <f>"8720"</f>
        <v>8720</v>
      </c>
      <c r="B8724" t="str">
        <f t="shared" si="484"/>
        <v>1</v>
      </c>
      <c r="C8724" t="str">
        <f t="shared" si="485"/>
        <v>175</v>
      </c>
      <c r="D8724" t="str">
        <f>"33"</f>
        <v>33</v>
      </c>
      <c r="E8724" t="str">
        <f>"1-175-33"</f>
        <v>1-175-33</v>
      </c>
      <c r="F8724" t="s">
        <v>65</v>
      </c>
      <c r="G8724" t="s">
        <v>66</v>
      </c>
      <c r="H8724" t="s">
        <v>67</v>
      </c>
      <c r="S8724">
        <v>0</v>
      </c>
      <c r="T8724">
        <v>1</v>
      </c>
      <c r="U8724">
        <v>0</v>
      </c>
      <c r="V8724">
        <v>0</v>
      </c>
      <c r="W8724">
        <v>0</v>
      </c>
      <c r="X8724">
        <v>1</v>
      </c>
      <c r="Y8724">
        <v>0</v>
      </c>
      <c r="Z8724">
        <v>1</v>
      </c>
      <c r="AA8724">
        <v>0</v>
      </c>
      <c r="AB8724">
        <v>0</v>
      </c>
      <c r="AC8724">
        <v>1</v>
      </c>
      <c r="AD8724">
        <v>0</v>
      </c>
      <c r="AE8724">
        <v>0</v>
      </c>
      <c r="AF8724">
        <v>0</v>
      </c>
      <c r="AG8724">
        <v>1</v>
      </c>
      <c r="AH8724">
        <v>0</v>
      </c>
      <c r="AI8724">
        <v>1</v>
      </c>
      <c r="AJ8724">
        <v>1</v>
      </c>
      <c r="AK8724">
        <v>1</v>
      </c>
      <c r="AL8724">
        <v>1</v>
      </c>
      <c r="AM8724">
        <v>0</v>
      </c>
    </row>
    <row r="8725" spans="1:39" x14ac:dyDescent="0.2">
      <c r="A8725" t="str">
        <f>"8721"</f>
        <v>8721</v>
      </c>
      <c r="B8725" t="str">
        <f t="shared" si="484"/>
        <v>1</v>
      </c>
      <c r="C8725" t="str">
        <f t="shared" si="485"/>
        <v>175</v>
      </c>
      <c r="D8725" t="str">
        <f>"19"</f>
        <v>19</v>
      </c>
      <c r="E8725" t="str">
        <f>"1-175-19"</f>
        <v>1-175-19</v>
      </c>
      <c r="F8725" t="s">
        <v>65</v>
      </c>
      <c r="G8725" t="s">
        <v>66</v>
      </c>
      <c r="H8725" t="s">
        <v>67</v>
      </c>
      <c r="S8725">
        <v>0</v>
      </c>
      <c r="T8725">
        <v>1</v>
      </c>
      <c r="U8725">
        <v>0</v>
      </c>
      <c r="V8725">
        <v>0</v>
      </c>
      <c r="W8725">
        <v>0</v>
      </c>
      <c r="X8725">
        <v>1</v>
      </c>
      <c r="Y8725">
        <v>0</v>
      </c>
      <c r="Z8725">
        <v>1</v>
      </c>
      <c r="AA8725">
        <v>0</v>
      </c>
      <c r="AB8725">
        <v>1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</row>
    <row r="8726" spans="1:39" x14ac:dyDescent="0.2">
      <c r="A8726" t="str">
        <f>"8722"</f>
        <v>8722</v>
      </c>
      <c r="B8726" t="str">
        <f t="shared" si="484"/>
        <v>1</v>
      </c>
      <c r="C8726" t="str">
        <f t="shared" si="485"/>
        <v>175</v>
      </c>
      <c r="D8726" t="str">
        <f>"12"</f>
        <v>12</v>
      </c>
      <c r="E8726" t="str">
        <f>"1-175-12"</f>
        <v>1-175-12</v>
      </c>
      <c r="F8726" t="s">
        <v>65</v>
      </c>
      <c r="G8726" t="s">
        <v>66</v>
      </c>
      <c r="H8726" t="s">
        <v>67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1</v>
      </c>
      <c r="Y8726">
        <v>1</v>
      </c>
      <c r="Z8726">
        <v>0</v>
      </c>
      <c r="AA8726">
        <v>0</v>
      </c>
      <c r="AB8726">
        <v>1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</row>
    <row r="8727" spans="1:39" x14ac:dyDescent="0.2">
      <c r="A8727" t="str">
        <f>"8723"</f>
        <v>8723</v>
      </c>
      <c r="B8727" t="str">
        <f t="shared" si="484"/>
        <v>1</v>
      </c>
      <c r="C8727" t="str">
        <f t="shared" si="485"/>
        <v>175</v>
      </c>
      <c r="D8727" t="str">
        <f>"39"</f>
        <v>39</v>
      </c>
      <c r="E8727" t="str">
        <f>"1-175-39"</f>
        <v>1-175-39</v>
      </c>
      <c r="F8727" t="s">
        <v>65</v>
      </c>
      <c r="G8727" t="s">
        <v>66</v>
      </c>
      <c r="H8727" t="s">
        <v>68</v>
      </c>
      <c r="I8727">
        <v>1</v>
      </c>
      <c r="J8727">
        <v>0</v>
      </c>
      <c r="K8727">
        <v>0</v>
      </c>
      <c r="L8727">
        <v>1</v>
      </c>
      <c r="M8727">
        <v>1</v>
      </c>
      <c r="N8727">
        <v>1</v>
      </c>
      <c r="O8727">
        <v>1</v>
      </c>
      <c r="P8727">
        <v>1</v>
      </c>
      <c r="Q8727">
        <v>1</v>
      </c>
      <c r="R8727">
        <v>1</v>
      </c>
    </row>
    <row r="8728" spans="1:39" x14ac:dyDescent="0.2">
      <c r="A8728" t="str">
        <f>"8724"</f>
        <v>8724</v>
      </c>
      <c r="B8728" t="str">
        <f t="shared" si="484"/>
        <v>1</v>
      </c>
      <c r="C8728" t="str">
        <f t="shared" si="485"/>
        <v>175</v>
      </c>
      <c r="D8728" t="str">
        <f>"20"</f>
        <v>20</v>
      </c>
      <c r="E8728" t="str">
        <f>"1-175-20"</f>
        <v>1-175-20</v>
      </c>
      <c r="F8728" t="s">
        <v>65</v>
      </c>
      <c r="G8728" t="s">
        <v>66</v>
      </c>
      <c r="H8728" t="s">
        <v>67</v>
      </c>
      <c r="S8728">
        <v>1</v>
      </c>
      <c r="T8728">
        <v>0</v>
      </c>
      <c r="U8728">
        <v>0</v>
      </c>
      <c r="V8728">
        <v>0</v>
      </c>
      <c r="W8728">
        <v>1</v>
      </c>
      <c r="X8728">
        <v>0</v>
      </c>
      <c r="Y8728">
        <v>1</v>
      </c>
      <c r="Z8728">
        <v>0</v>
      </c>
      <c r="AA8728">
        <v>1</v>
      </c>
      <c r="AB8728">
        <v>0</v>
      </c>
      <c r="AC8728">
        <v>0</v>
      </c>
      <c r="AD8728">
        <v>1</v>
      </c>
      <c r="AE8728">
        <v>1</v>
      </c>
      <c r="AF8728">
        <v>1</v>
      </c>
      <c r="AG8728">
        <v>1</v>
      </c>
      <c r="AH8728">
        <v>1</v>
      </c>
      <c r="AI8728">
        <v>1</v>
      </c>
      <c r="AJ8728">
        <v>1</v>
      </c>
      <c r="AK8728">
        <v>1</v>
      </c>
      <c r="AL8728">
        <v>1</v>
      </c>
      <c r="AM8728">
        <v>1</v>
      </c>
    </row>
    <row r="8729" spans="1:39" x14ac:dyDescent="0.2">
      <c r="A8729" t="str">
        <f>"8725"</f>
        <v>8725</v>
      </c>
      <c r="B8729" t="str">
        <f t="shared" si="484"/>
        <v>1</v>
      </c>
      <c r="C8729" t="str">
        <f t="shared" si="485"/>
        <v>175</v>
      </c>
      <c r="D8729" t="str">
        <f>"14"</f>
        <v>14</v>
      </c>
      <c r="E8729" t="str">
        <f>"1-175-14"</f>
        <v>1-175-14</v>
      </c>
      <c r="F8729" t="s">
        <v>65</v>
      </c>
      <c r="G8729" t="s">
        <v>66</v>
      </c>
      <c r="H8729" t="s">
        <v>68</v>
      </c>
      <c r="I8729">
        <v>0</v>
      </c>
      <c r="J8729">
        <v>0</v>
      </c>
      <c r="K8729">
        <v>0</v>
      </c>
      <c r="L8729">
        <v>1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</row>
    <row r="8730" spans="1:39" x14ac:dyDescent="0.2">
      <c r="A8730" t="str">
        <f>"8726"</f>
        <v>8726</v>
      </c>
      <c r="B8730" t="str">
        <f t="shared" si="484"/>
        <v>1</v>
      </c>
      <c r="C8730" t="str">
        <f t="shared" si="485"/>
        <v>175</v>
      </c>
      <c r="D8730" t="str">
        <f>"40"</f>
        <v>40</v>
      </c>
      <c r="E8730" t="str">
        <f>"1-175-40"</f>
        <v>1-175-40</v>
      </c>
      <c r="F8730" t="s">
        <v>65</v>
      </c>
      <c r="G8730" t="s">
        <v>66</v>
      </c>
      <c r="H8730" t="s">
        <v>67</v>
      </c>
      <c r="S8730">
        <v>1</v>
      </c>
      <c r="T8730">
        <v>0</v>
      </c>
      <c r="U8730">
        <v>0</v>
      </c>
      <c r="V8730">
        <v>0</v>
      </c>
      <c r="W8730">
        <v>0</v>
      </c>
      <c r="X8730">
        <v>1</v>
      </c>
      <c r="Y8730">
        <v>0</v>
      </c>
      <c r="Z8730">
        <v>1</v>
      </c>
      <c r="AA8730">
        <v>0</v>
      </c>
      <c r="AB8730">
        <v>0</v>
      </c>
      <c r="AC8730">
        <v>1</v>
      </c>
      <c r="AD8730">
        <v>0</v>
      </c>
      <c r="AE8730">
        <v>0</v>
      </c>
      <c r="AF8730">
        <v>0</v>
      </c>
      <c r="AG8730">
        <v>1</v>
      </c>
      <c r="AH8730">
        <v>1</v>
      </c>
      <c r="AI8730">
        <v>1</v>
      </c>
      <c r="AJ8730">
        <v>1</v>
      </c>
      <c r="AK8730">
        <v>1</v>
      </c>
      <c r="AL8730">
        <v>1</v>
      </c>
      <c r="AM8730">
        <v>1</v>
      </c>
    </row>
    <row r="8731" spans="1:39" x14ac:dyDescent="0.2">
      <c r="A8731" t="str">
        <f>"8727"</f>
        <v>8727</v>
      </c>
      <c r="B8731" t="str">
        <f t="shared" si="484"/>
        <v>1</v>
      </c>
      <c r="C8731" t="str">
        <f t="shared" si="485"/>
        <v>175</v>
      </c>
      <c r="D8731" t="str">
        <f>"23"</f>
        <v>23</v>
      </c>
      <c r="E8731" t="str">
        <f>"1-175-23"</f>
        <v>1-175-23</v>
      </c>
      <c r="F8731" t="s">
        <v>65</v>
      </c>
      <c r="G8731" t="s">
        <v>66</v>
      </c>
      <c r="H8731" t="s">
        <v>67</v>
      </c>
      <c r="S8731">
        <v>0</v>
      </c>
      <c r="T8731">
        <v>1</v>
      </c>
      <c r="U8731">
        <v>0</v>
      </c>
      <c r="V8731">
        <v>0</v>
      </c>
      <c r="W8731">
        <v>0</v>
      </c>
      <c r="X8731">
        <v>1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</row>
    <row r="8732" spans="1:39" x14ac:dyDescent="0.2">
      <c r="A8732" t="str">
        <f>"8728"</f>
        <v>8728</v>
      </c>
      <c r="B8732" t="str">
        <f t="shared" si="484"/>
        <v>1</v>
      </c>
      <c r="C8732" t="str">
        <f t="shared" si="485"/>
        <v>175</v>
      </c>
      <c r="D8732" t="str">
        <f>"7"</f>
        <v>7</v>
      </c>
      <c r="E8732" t="str">
        <f>"1-175-7"</f>
        <v>1-175-7</v>
      </c>
      <c r="F8732" t="s">
        <v>65</v>
      </c>
      <c r="G8732" t="s">
        <v>66</v>
      </c>
      <c r="H8732" t="s">
        <v>67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1</v>
      </c>
      <c r="Y8732">
        <v>0</v>
      </c>
      <c r="Z8732">
        <v>1</v>
      </c>
      <c r="AA8732">
        <v>0</v>
      </c>
      <c r="AB8732">
        <v>0</v>
      </c>
      <c r="AC8732">
        <v>1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</row>
    <row r="8733" spans="1:39" x14ac:dyDescent="0.2">
      <c r="A8733" t="str">
        <f>"8729"</f>
        <v>8729</v>
      </c>
      <c r="B8733" t="str">
        <f t="shared" si="484"/>
        <v>1</v>
      </c>
      <c r="C8733" t="str">
        <f t="shared" si="485"/>
        <v>175</v>
      </c>
      <c r="D8733" t="str">
        <f>"48"</f>
        <v>48</v>
      </c>
      <c r="E8733" t="str">
        <f>"1-175-48"</f>
        <v>1-175-48</v>
      </c>
      <c r="F8733" t="s">
        <v>65</v>
      </c>
      <c r="G8733" t="s">
        <v>66</v>
      </c>
      <c r="H8733" t="s">
        <v>67</v>
      </c>
      <c r="S8733">
        <v>0</v>
      </c>
      <c r="T8733">
        <v>1</v>
      </c>
      <c r="U8733">
        <v>0</v>
      </c>
      <c r="V8733">
        <v>0</v>
      </c>
      <c r="W8733">
        <v>0</v>
      </c>
      <c r="X8733">
        <v>1</v>
      </c>
      <c r="Y8733">
        <v>0</v>
      </c>
      <c r="Z8733">
        <v>1</v>
      </c>
      <c r="AA8733">
        <v>0</v>
      </c>
      <c r="AB8733">
        <v>0</v>
      </c>
      <c r="AC8733">
        <v>1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</row>
    <row r="8734" spans="1:39" x14ac:dyDescent="0.2">
      <c r="A8734" t="str">
        <f>"8730"</f>
        <v>8730</v>
      </c>
      <c r="B8734" t="str">
        <f t="shared" si="484"/>
        <v>1</v>
      </c>
      <c r="C8734" t="str">
        <f t="shared" si="485"/>
        <v>175</v>
      </c>
      <c r="D8734" t="str">
        <f>"25"</f>
        <v>25</v>
      </c>
      <c r="E8734" t="str">
        <f>"1-175-25"</f>
        <v>1-175-25</v>
      </c>
      <c r="F8734" t="s">
        <v>65</v>
      </c>
      <c r="G8734" t="s">
        <v>66</v>
      </c>
      <c r="H8734" t="s">
        <v>67</v>
      </c>
      <c r="S8734">
        <v>0</v>
      </c>
      <c r="T8734">
        <v>1</v>
      </c>
      <c r="U8734">
        <v>0</v>
      </c>
      <c r="V8734">
        <v>0</v>
      </c>
      <c r="W8734">
        <v>1</v>
      </c>
      <c r="X8734">
        <v>0</v>
      </c>
      <c r="Y8734">
        <v>0</v>
      </c>
      <c r="Z8734">
        <v>1</v>
      </c>
      <c r="AA8734">
        <v>0</v>
      </c>
      <c r="AB8734">
        <v>0</v>
      </c>
      <c r="AC8734">
        <v>1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1</v>
      </c>
      <c r="AM8734">
        <v>0</v>
      </c>
    </row>
    <row r="8735" spans="1:39" x14ac:dyDescent="0.2">
      <c r="A8735" t="str">
        <f>"8731"</f>
        <v>8731</v>
      </c>
      <c r="B8735" t="str">
        <f t="shared" si="484"/>
        <v>1</v>
      </c>
      <c r="C8735" t="str">
        <f t="shared" si="485"/>
        <v>175</v>
      </c>
      <c r="D8735" t="str">
        <f>"8"</f>
        <v>8</v>
      </c>
      <c r="E8735" t="str">
        <f>"1-175-8"</f>
        <v>1-175-8</v>
      </c>
      <c r="F8735" t="s">
        <v>65</v>
      </c>
      <c r="G8735" t="s">
        <v>66</v>
      </c>
      <c r="H8735" t="s">
        <v>67</v>
      </c>
      <c r="S8735">
        <v>0</v>
      </c>
      <c r="T8735">
        <v>1</v>
      </c>
      <c r="U8735">
        <v>0</v>
      </c>
      <c r="V8735">
        <v>0</v>
      </c>
      <c r="W8735">
        <v>1</v>
      </c>
      <c r="X8735">
        <v>0</v>
      </c>
      <c r="Y8735">
        <v>1</v>
      </c>
      <c r="Z8735">
        <v>0</v>
      </c>
      <c r="AA8735">
        <v>0</v>
      </c>
      <c r="AB8735">
        <v>0</v>
      </c>
      <c r="AC8735">
        <v>1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</row>
    <row r="8736" spans="1:39" x14ac:dyDescent="0.2">
      <c r="A8736" t="str">
        <f>"8732"</f>
        <v>8732</v>
      </c>
      <c r="B8736" t="str">
        <f t="shared" si="484"/>
        <v>1</v>
      </c>
      <c r="C8736" t="str">
        <f t="shared" si="485"/>
        <v>175</v>
      </c>
      <c r="D8736" t="str">
        <f>"46"</f>
        <v>46</v>
      </c>
      <c r="E8736" t="str">
        <f>"1-175-46"</f>
        <v>1-175-46</v>
      </c>
      <c r="F8736" t="s">
        <v>65</v>
      </c>
      <c r="G8736" t="s">
        <v>66</v>
      </c>
      <c r="H8736" t="s">
        <v>67</v>
      </c>
      <c r="S8736">
        <v>0</v>
      </c>
      <c r="T8736">
        <v>1</v>
      </c>
      <c r="U8736">
        <v>0</v>
      </c>
      <c r="V8736">
        <v>0</v>
      </c>
      <c r="W8736">
        <v>1</v>
      </c>
      <c r="X8736">
        <v>0</v>
      </c>
      <c r="Y8736">
        <v>1</v>
      </c>
      <c r="Z8736">
        <v>0</v>
      </c>
      <c r="AA8736">
        <v>1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1</v>
      </c>
      <c r="AH8736">
        <v>0</v>
      </c>
      <c r="AI8736">
        <v>1</v>
      </c>
      <c r="AJ8736">
        <v>1</v>
      </c>
      <c r="AK8736">
        <v>1</v>
      </c>
      <c r="AL8736">
        <v>1</v>
      </c>
      <c r="AM8736">
        <v>0</v>
      </c>
    </row>
    <row r="8737" spans="1:39" x14ac:dyDescent="0.2">
      <c r="A8737" t="str">
        <f>"8733"</f>
        <v>8733</v>
      </c>
      <c r="B8737" t="str">
        <f t="shared" si="484"/>
        <v>1</v>
      </c>
      <c r="C8737" t="str">
        <f t="shared" ref="C8737:C8754" si="486">"175"</f>
        <v>175</v>
      </c>
      <c r="D8737" t="str">
        <f>"26"</f>
        <v>26</v>
      </c>
      <c r="E8737" t="str">
        <f>"1-175-26"</f>
        <v>1-175-26</v>
      </c>
      <c r="F8737" t="s">
        <v>65</v>
      </c>
      <c r="G8737" t="s">
        <v>66</v>
      </c>
      <c r="H8737" t="s">
        <v>67</v>
      </c>
      <c r="S8737">
        <v>0</v>
      </c>
      <c r="T8737">
        <v>1</v>
      </c>
      <c r="U8737">
        <v>0</v>
      </c>
      <c r="V8737">
        <v>0</v>
      </c>
      <c r="W8737">
        <v>1</v>
      </c>
      <c r="X8737">
        <v>0</v>
      </c>
      <c r="Y8737">
        <v>0</v>
      </c>
      <c r="Z8737">
        <v>1</v>
      </c>
      <c r="AA8737">
        <v>0</v>
      </c>
      <c r="AB8737">
        <v>0</v>
      </c>
      <c r="AC8737">
        <v>1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1</v>
      </c>
      <c r="AJ8737">
        <v>1</v>
      </c>
      <c r="AK8737">
        <v>0</v>
      </c>
      <c r="AL8737">
        <v>1</v>
      </c>
      <c r="AM8737">
        <v>0</v>
      </c>
    </row>
    <row r="8738" spans="1:39" x14ac:dyDescent="0.2">
      <c r="A8738" t="str">
        <f>"8734"</f>
        <v>8734</v>
      </c>
      <c r="B8738" t="str">
        <f t="shared" si="484"/>
        <v>1</v>
      </c>
      <c r="C8738" t="str">
        <f t="shared" si="486"/>
        <v>175</v>
      </c>
      <c r="D8738" t="str">
        <f>"6"</f>
        <v>6</v>
      </c>
      <c r="E8738" t="str">
        <f>"1-175-6"</f>
        <v>1-175-6</v>
      </c>
      <c r="F8738" t="s">
        <v>65</v>
      </c>
      <c r="G8738" t="s">
        <v>66</v>
      </c>
      <c r="H8738" t="s">
        <v>67</v>
      </c>
      <c r="S8738">
        <v>1</v>
      </c>
      <c r="T8738">
        <v>0</v>
      </c>
      <c r="U8738">
        <v>0</v>
      </c>
      <c r="V8738">
        <v>0</v>
      </c>
      <c r="W8738">
        <v>1</v>
      </c>
      <c r="X8738">
        <v>0</v>
      </c>
      <c r="Y8738">
        <v>0</v>
      </c>
      <c r="Z8738">
        <v>1</v>
      </c>
      <c r="AA8738">
        <v>0</v>
      </c>
      <c r="AB8738">
        <v>1</v>
      </c>
      <c r="AC8738">
        <v>0</v>
      </c>
      <c r="AD8738">
        <v>1</v>
      </c>
      <c r="AE8738">
        <v>1</v>
      </c>
      <c r="AF8738">
        <v>1</v>
      </c>
      <c r="AG8738">
        <v>1</v>
      </c>
      <c r="AH8738">
        <v>1</v>
      </c>
      <c r="AI8738">
        <v>1</v>
      </c>
      <c r="AJ8738">
        <v>1</v>
      </c>
      <c r="AK8738">
        <v>1</v>
      </c>
      <c r="AL8738">
        <v>1</v>
      </c>
      <c r="AM8738">
        <v>1</v>
      </c>
    </row>
    <row r="8739" spans="1:39" x14ac:dyDescent="0.2">
      <c r="A8739" t="str">
        <f>"8735"</f>
        <v>8735</v>
      </c>
      <c r="B8739" t="str">
        <f t="shared" si="484"/>
        <v>1</v>
      </c>
      <c r="C8739" t="str">
        <f t="shared" si="486"/>
        <v>175</v>
      </c>
      <c r="D8739" t="str">
        <f>"50"</f>
        <v>50</v>
      </c>
      <c r="E8739" t="str">
        <f>"1-175-50"</f>
        <v>1-175-50</v>
      </c>
      <c r="F8739" t="s">
        <v>65</v>
      </c>
      <c r="G8739" t="s">
        <v>66</v>
      </c>
      <c r="H8739" t="s">
        <v>67</v>
      </c>
      <c r="S8739">
        <v>1</v>
      </c>
      <c r="T8739">
        <v>0</v>
      </c>
      <c r="U8739">
        <v>0</v>
      </c>
      <c r="V8739">
        <v>0</v>
      </c>
      <c r="W8739">
        <v>1</v>
      </c>
      <c r="X8739">
        <v>0</v>
      </c>
      <c r="Y8739">
        <v>1</v>
      </c>
      <c r="Z8739">
        <v>0</v>
      </c>
      <c r="AA8739">
        <v>1</v>
      </c>
      <c r="AB8739">
        <v>0</v>
      </c>
      <c r="AC8739">
        <v>0</v>
      </c>
      <c r="AD8739">
        <v>1</v>
      </c>
      <c r="AE8739">
        <v>1</v>
      </c>
      <c r="AF8739">
        <v>1</v>
      </c>
      <c r="AG8739">
        <v>1</v>
      </c>
      <c r="AH8739">
        <v>1</v>
      </c>
      <c r="AI8739">
        <v>1</v>
      </c>
      <c r="AJ8739">
        <v>1</v>
      </c>
      <c r="AK8739">
        <v>1</v>
      </c>
      <c r="AL8739">
        <v>1</v>
      </c>
      <c r="AM8739">
        <v>1</v>
      </c>
    </row>
    <row r="8740" spans="1:39" x14ac:dyDescent="0.2">
      <c r="A8740" t="str">
        <f>"8736"</f>
        <v>8736</v>
      </c>
      <c r="B8740" t="str">
        <f t="shared" si="484"/>
        <v>1</v>
      </c>
      <c r="C8740" t="str">
        <f t="shared" si="486"/>
        <v>175</v>
      </c>
      <c r="D8740" t="str">
        <f>"27"</f>
        <v>27</v>
      </c>
      <c r="E8740" t="str">
        <f>"1-175-27"</f>
        <v>1-175-27</v>
      </c>
      <c r="F8740" t="s">
        <v>65</v>
      </c>
      <c r="G8740" t="s">
        <v>66</v>
      </c>
      <c r="H8740" t="s">
        <v>67</v>
      </c>
      <c r="S8740">
        <v>0</v>
      </c>
      <c r="T8740">
        <v>1</v>
      </c>
      <c r="U8740">
        <v>0</v>
      </c>
      <c r="V8740">
        <v>0</v>
      </c>
      <c r="W8740">
        <v>1</v>
      </c>
      <c r="X8740">
        <v>0</v>
      </c>
      <c r="Y8740">
        <v>0</v>
      </c>
      <c r="Z8740">
        <v>1</v>
      </c>
      <c r="AA8740">
        <v>0</v>
      </c>
      <c r="AB8740">
        <v>1</v>
      </c>
      <c r="AC8740">
        <v>0</v>
      </c>
      <c r="AD8740">
        <v>1</v>
      </c>
      <c r="AE8740">
        <v>1</v>
      </c>
      <c r="AF8740">
        <v>1</v>
      </c>
      <c r="AG8740">
        <v>1</v>
      </c>
      <c r="AH8740">
        <v>1</v>
      </c>
      <c r="AI8740">
        <v>1</v>
      </c>
      <c r="AJ8740">
        <v>1</v>
      </c>
      <c r="AK8740">
        <v>1</v>
      </c>
      <c r="AL8740">
        <v>1</v>
      </c>
      <c r="AM8740">
        <v>1</v>
      </c>
    </row>
    <row r="8741" spans="1:39" x14ac:dyDescent="0.2">
      <c r="A8741" t="str">
        <f>"8737"</f>
        <v>8737</v>
      </c>
      <c r="B8741" t="str">
        <f t="shared" si="484"/>
        <v>1</v>
      </c>
      <c r="C8741" t="str">
        <f t="shared" si="486"/>
        <v>175</v>
      </c>
      <c r="D8741" t="str">
        <f>"11"</f>
        <v>11</v>
      </c>
      <c r="E8741" t="str">
        <f>"1-175-11"</f>
        <v>1-175-11</v>
      </c>
      <c r="F8741" t="s">
        <v>65</v>
      </c>
      <c r="G8741" t="s">
        <v>66</v>
      </c>
      <c r="H8741" t="s">
        <v>67</v>
      </c>
      <c r="S8741">
        <v>1</v>
      </c>
      <c r="T8741">
        <v>0</v>
      </c>
      <c r="U8741">
        <v>0</v>
      </c>
      <c r="V8741">
        <v>0</v>
      </c>
      <c r="W8741">
        <v>1</v>
      </c>
      <c r="X8741">
        <v>0</v>
      </c>
      <c r="Y8741">
        <v>0</v>
      </c>
      <c r="Z8741">
        <v>0</v>
      </c>
      <c r="AA8741">
        <v>1</v>
      </c>
      <c r="AB8741">
        <v>0</v>
      </c>
      <c r="AC8741">
        <v>0</v>
      </c>
      <c r="AD8741">
        <v>1</v>
      </c>
      <c r="AE8741">
        <v>1</v>
      </c>
      <c r="AF8741">
        <v>1</v>
      </c>
      <c r="AG8741">
        <v>1</v>
      </c>
      <c r="AH8741">
        <v>1</v>
      </c>
      <c r="AI8741">
        <v>1</v>
      </c>
      <c r="AJ8741">
        <v>1</v>
      </c>
      <c r="AK8741">
        <v>1</v>
      </c>
      <c r="AL8741">
        <v>1</v>
      </c>
      <c r="AM8741">
        <v>1</v>
      </c>
    </row>
    <row r="8742" spans="1:39" x14ac:dyDescent="0.2">
      <c r="A8742" t="str">
        <f>"8738"</f>
        <v>8738</v>
      </c>
      <c r="B8742" t="str">
        <f t="shared" si="484"/>
        <v>1</v>
      </c>
      <c r="C8742" t="str">
        <f t="shared" si="486"/>
        <v>175</v>
      </c>
      <c r="D8742" t="str">
        <f>"49"</f>
        <v>49</v>
      </c>
      <c r="E8742" t="str">
        <f>"1-175-49"</f>
        <v>1-175-49</v>
      </c>
      <c r="F8742" t="s">
        <v>65</v>
      </c>
      <c r="G8742" t="s">
        <v>66</v>
      </c>
      <c r="H8742" t="s">
        <v>67</v>
      </c>
      <c r="S8742">
        <v>1</v>
      </c>
      <c r="T8742">
        <v>0</v>
      </c>
      <c r="U8742">
        <v>0</v>
      </c>
      <c r="V8742">
        <v>0</v>
      </c>
      <c r="W8742">
        <v>1</v>
      </c>
      <c r="X8742">
        <v>0</v>
      </c>
      <c r="Y8742">
        <v>1</v>
      </c>
      <c r="Z8742">
        <v>0</v>
      </c>
      <c r="AA8742">
        <v>1</v>
      </c>
      <c r="AB8742">
        <v>0</v>
      </c>
      <c r="AC8742">
        <v>0</v>
      </c>
      <c r="AD8742">
        <v>1</v>
      </c>
      <c r="AE8742">
        <v>1</v>
      </c>
      <c r="AF8742">
        <v>1</v>
      </c>
      <c r="AG8742">
        <v>1</v>
      </c>
      <c r="AH8742">
        <v>1</v>
      </c>
      <c r="AI8742">
        <v>1</v>
      </c>
      <c r="AJ8742">
        <v>1</v>
      </c>
      <c r="AK8742">
        <v>1</v>
      </c>
      <c r="AL8742">
        <v>1</v>
      </c>
      <c r="AM8742">
        <v>1</v>
      </c>
    </row>
    <row r="8743" spans="1:39" x14ac:dyDescent="0.2">
      <c r="A8743" t="str">
        <f>"8739"</f>
        <v>8739</v>
      </c>
      <c r="B8743" t="str">
        <f t="shared" si="484"/>
        <v>1</v>
      </c>
      <c r="C8743" t="str">
        <f t="shared" si="486"/>
        <v>175</v>
      </c>
      <c r="D8743" t="str">
        <f>"28"</f>
        <v>28</v>
      </c>
      <c r="E8743" t="str">
        <f>"1-175-28"</f>
        <v>1-175-28</v>
      </c>
      <c r="F8743" t="s">
        <v>65</v>
      </c>
      <c r="G8743" t="s">
        <v>66</v>
      </c>
      <c r="H8743" t="s">
        <v>67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1</v>
      </c>
      <c r="Y8743">
        <v>0</v>
      </c>
      <c r="Z8743">
        <v>0</v>
      </c>
      <c r="AA8743">
        <v>0</v>
      </c>
      <c r="AB8743">
        <v>0</v>
      </c>
      <c r="AC8743">
        <v>1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</row>
    <row r="8744" spans="1:39" x14ac:dyDescent="0.2">
      <c r="A8744" t="str">
        <f>"8740"</f>
        <v>8740</v>
      </c>
      <c r="B8744" t="str">
        <f t="shared" si="484"/>
        <v>1</v>
      </c>
      <c r="C8744" t="str">
        <f t="shared" si="486"/>
        <v>175</v>
      </c>
      <c r="D8744" t="str">
        <f>"3"</f>
        <v>3</v>
      </c>
      <c r="E8744" t="str">
        <f>"1-175-3"</f>
        <v>1-175-3</v>
      </c>
      <c r="F8744" t="s">
        <v>65</v>
      </c>
      <c r="G8744" t="s">
        <v>66</v>
      </c>
      <c r="H8744" t="s">
        <v>67</v>
      </c>
      <c r="S8744">
        <v>1</v>
      </c>
      <c r="T8744">
        <v>0</v>
      </c>
      <c r="U8744">
        <v>0</v>
      </c>
      <c r="V8744">
        <v>0</v>
      </c>
      <c r="W8744">
        <v>0</v>
      </c>
      <c r="X8744">
        <v>1</v>
      </c>
      <c r="Y8744">
        <v>1</v>
      </c>
      <c r="Z8744">
        <v>0</v>
      </c>
      <c r="AA8744">
        <v>0</v>
      </c>
      <c r="AB8744">
        <v>0</v>
      </c>
      <c r="AC8744">
        <v>1</v>
      </c>
      <c r="AD8744">
        <v>1</v>
      </c>
      <c r="AE8744">
        <v>1</v>
      </c>
      <c r="AF8744">
        <v>1</v>
      </c>
      <c r="AG8744">
        <v>1</v>
      </c>
      <c r="AH8744">
        <v>1</v>
      </c>
      <c r="AI8744">
        <v>1</v>
      </c>
      <c r="AJ8744">
        <v>1</v>
      </c>
      <c r="AK8744">
        <v>1</v>
      </c>
      <c r="AL8744">
        <v>1</v>
      </c>
      <c r="AM8744">
        <v>1</v>
      </c>
    </row>
    <row r="8745" spans="1:39" x14ac:dyDescent="0.2">
      <c r="A8745" t="str">
        <f>"8741"</f>
        <v>8741</v>
      </c>
      <c r="B8745" t="str">
        <f t="shared" si="484"/>
        <v>1</v>
      </c>
      <c r="C8745" t="str">
        <f t="shared" si="486"/>
        <v>175</v>
      </c>
      <c r="D8745" t="str">
        <f>"47"</f>
        <v>47</v>
      </c>
      <c r="E8745" t="str">
        <f>"1-175-47"</f>
        <v>1-175-47</v>
      </c>
      <c r="F8745" t="s">
        <v>65</v>
      </c>
      <c r="G8745" t="s">
        <v>66</v>
      </c>
      <c r="H8745" t="s">
        <v>67</v>
      </c>
      <c r="S8745">
        <v>0</v>
      </c>
      <c r="T8745">
        <v>1</v>
      </c>
      <c r="U8745">
        <v>0</v>
      </c>
      <c r="V8745">
        <v>0</v>
      </c>
      <c r="W8745">
        <v>0</v>
      </c>
      <c r="X8745">
        <v>1</v>
      </c>
      <c r="Y8745">
        <v>0</v>
      </c>
      <c r="Z8745">
        <v>1</v>
      </c>
      <c r="AA8745">
        <v>0</v>
      </c>
      <c r="AB8745">
        <v>0</v>
      </c>
      <c r="AC8745">
        <v>1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</row>
    <row r="8746" spans="1:39" x14ac:dyDescent="0.2">
      <c r="A8746" t="str">
        <f>"8742"</f>
        <v>8742</v>
      </c>
      <c r="B8746" t="str">
        <f t="shared" si="484"/>
        <v>1</v>
      </c>
      <c r="C8746" t="str">
        <f t="shared" si="486"/>
        <v>175</v>
      </c>
      <c r="D8746" t="str">
        <f>"29"</f>
        <v>29</v>
      </c>
      <c r="E8746" t="str">
        <f>"1-175-29"</f>
        <v>1-175-29</v>
      </c>
      <c r="F8746" t="s">
        <v>65</v>
      </c>
      <c r="G8746" t="s">
        <v>66</v>
      </c>
      <c r="H8746" t="s">
        <v>67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1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</row>
    <row r="8747" spans="1:39" x14ac:dyDescent="0.2">
      <c r="A8747" t="str">
        <f>"8743"</f>
        <v>8743</v>
      </c>
      <c r="B8747" t="str">
        <f t="shared" si="484"/>
        <v>1</v>
      </c>
      <c r="C8747" t="str">
        <f t="shared" si="486"/>
        <v>175</v>
      </c>
      <c r="D8747" t="str">
        <f>"10"</f>
        <v>10</v>
      </c>
      <c r="E8747" t="str">
        <f>"1-175-10"</f>
        <v>1-175-10</v>
      </c>
      <c r="F8747" t="s">
        <v>65</v>
      </c>
      <c r="G8747" t="s">
        <v>66</v>
      </c>
      <c r="H8747" t="s">
        <v>67</v>
      </c>
      <c r="S8747">
        <v>0</v>
      </c>
      <c r="T8747">
        <v>1</v>
      </c>
      <c r="U8747">
        <v>0</v>
      </c>
      <c r="V8747">
        <v>0</v>
      </c>
      <c r="W8747">
        <v>1</v>
      </c>
      <c r="X8747">
        <v>0</v>
      </c>
      <c r="Y8747">
        <v>0</v>
      </c>
      <c r="Z8747">
        <v>1</v>
      </c>
      <c r="AA8747">
        <v>1</v>
      </c>
      <c r="AB8747">
        <v>0</v>
      </c>
      <c r="AC8747">
        <v>0</v>
      </c>
      <c r="AD8747">
        <v>1</v>
      </c>
      <c r="AE8747">
        <v>1</v>
      </c>
      <c r="AF8747">
        <v>1</v>
      </c>
      <c r="AG8747">
        <v>1</v>
      </c>
      <c r="AH8747">
        <v>1</v>
      </c>
      <c r="AI8747">
        <v>1</v>
      </c>
      <c r="AJ8747">
        <v>1</v>
      </c>
      <c r="AK8747">
        <v>1</v>
      </c>
      <c r="AL8747">
        <v>1</v>
      </c>
      <c r="AM8747">
        <v>1</v>
      </c>
    </row>
    <row r="8748" spans="1:39" x14ac:dyDescent="0.2">
      <c r="A8748" t="str">
        <f>"8744"</f>
        <v>8744</v>
      </c>
      <c r="B8748" t="str">
        <f t="shared" si="484"/>
        <v>1</v>
      </c>
      <c r="C8748" t="str">
        <f t="shared" si="486"/>
        <v>175</v>
      </c>
      <c r="D8748" t="str">
        <f>"30"</f>
        <v>30</v>
      </c>
      <c r="E8748" t="str">
        <f>"1-175-30"</f>
        <v>1-175-30</v>
      </c>
      <c r="F8748" t="s">
        <v>65</v>
      </c>
      <c r="G8748" t="s">
        <v>66</v>
      </c>
      <c r="H8748" t="s">
        <v>67</v>
      </c>
      <c r="S8748">
        <v>0</v>
      </c>
      <c r="T8748">
        <v>1</v>
      </c>
      <c r="U8748">
        <v>0</v>
      </c>
      <c r="V8748">
        <v>0</v>
      </c>
      <c r="W8748">
        <v>0</v>
      </c>
      <c r="X8748">
        <v>1</v>
      </c>
      <c r="Y8748">
        <v>0</v>
      </c>
      <c r="Z8748">
        <v>1</v>
      </c>
      <c r="AA8748">
        <v>0</v>
      </c>
      <c r="AB8748">
        <v>0</v>
      </c>
      <c r="AC8748">
        <v>1</v>
      </c>
      <c r="AD8748">
        <v>1</v>
      </c>
      <c r="AE8748">
        <v>1</v>
      </c>
      <c r="AF8748">
        <v>1</v>
      </c>
      <c r="AG8748">
        <v>1</v>
      </c>
      <c r="AH8748">
        <v>1</v>
      </c>
      <c r="AI8748">
        <v>1</v>
      </c>
      <c r="AJ8748">
        <v>1</v>
      </c>
      <c r="AK8748">
        <v>1</v>
      </c>
      <c r="AL8748">
        <v>1</v>
      </c>
      <c r="AM8748">
        <v>1</v>
      </c>
    </row>
    <row r="8749" spans="1:39" x14ac:dyDescent="0.2">
      <c r="A8749" t="str">
        <f>"8745"</f>
        <v>8745</v>
      </c>
      <c r="B8749" t="str">
        <f t="shared" si="484"/>
        <v>1</v>
      </c>
      <c r="C8749" t="str">
        <f t="shared" si="486"/>
        <v>175</v>
      </c>
      <c r="D8749" t="str">
        <f>"9"</f>
        <v>9</v>
      </c>
      <c r="E8749" t="str">
        <f>"1-175-9"</f>
        <v>1-175-9</v>
      </c>
      <c r="F8749" t="s">
        <v>65</v>
      </c>
      <c r="G8749" t="s">
        <v>66</v>
      </c>
      <c r="H8749" t="s">
        <v>67</v>
      </c>
      <c r="S8749">
        <v>0</v>
      </c>
      <c r="T8749">
        <v>1</v>
      </c>
      <c r="U8749">
        <v>0</v>
      </c>
      <c r="V8749">
        <v>0</v>
      </c>
      <c r="W8749">
        <v>0</v>
      </c>
      <c r="X8749">
        <v>1</v>
      </c>
      <c r="Y8749">
        <v>0</v>
      </c>
      <c r="Z8749">
        <v>1</v>
      </c>
      <c r="AA8749">
        <v>0</v>
      </c>
      <c r="AB8749">
        <v>0</v>
      </c>
      <c r="AC8749">
        <v>1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</row>
    <row r="8750" spans="1:39" x14ac:dyDescent="0.2">
      <c r="A8750" t="str">
        <f>"8746"</f>
        <v>8746</v>
      </c>
      <c r="B8750" t="str">
        <f t="shared" si="484"/>
        <v>1</v>
      </c>
      <c r="C8750" t="str">
        <f t="shared" si="486"/>
        <v>175</v>
      </c>
      <c r="D8750" t="str">
        <f>"41"</f>
        <v>41</v>
      </c>
      <c r="E8750" t="str">
        <f>"1-175-41"</f>
        <v>1-175-41</v>
      </c>
      <c r="F8750" t="s">
        <v>65</v>
      </c>
      <c r="G8750" t="s">
        <v>66</v>
      </c>
      <c r="H8750" t="s">
        <v>67</v>
      </c>
      <c r="S8750">
        <v>1</v>
      </c>
      <c r="T8750">
        <v>0</v>
      </c>
      <c r="U8750">
        <v>0</v>
      </c>
      <c r="V8750">
        <v>0</v>
      </c>
      <c r="W8750">
        <v>0</v>
      </c>
      <c r="X8750">
        <v>1</v>
      </c>
      <c r="Y8750">
        <v>0</v>
      </c>
      <c r="Z8750">
        <v>1</v>
      </c>
      <c r="AA8750">
        <v>1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</row>
    <row r="8751" spans="1:39" x14ac:dyDescent="0.2">
      <c r="A8751" t="str">
        <f>"8747"</f>
        <v>8747</v>
      </c>
      <c r="B8751" t="str">
        <f t="shared" si="484"/>
        <v>1</v>
      </c>
      <c r="C8751" t="str">
        <f t="shared" si="486"/>
        <v>175</v>
      </c>
      <c r="D8751" t="str">
        <f>"31"</f>
        <v>31</v>
      </c>
      <c r="E8751" t="str">
        <f>"1-175-31"</f>
        <v>1-175-31</v>
      </c>
      <c r="F8751" t="s">
        <v>65</v>
      </c>
      <c r="G8751" t="s">
        <v>66</v>
      </c>
      <c r="H8751" t="s">
        <v>68</v>
      </c>
      <c r="I8751">
        <v>1</v>
      </c>
      <c r="J8751">
        <v>1</v>
      </c>
      <c r="K8751">
        <v>0</v>
      </c>
      <c r="L8751">
        <v>0</v>
      </c>
      <c r="M8751">
        <v>1</v>
      </c>
      <c r="N8751">
        <v>1</v>
      </c>
      <c r="O8751">
        <v>1</v>
      </c>
      <c r="P8751">
        <v>1</v>
      </c>
      <c r="Q8751">
        <v>1</v>
      </c>
      <c r="R8751">
        <v>1</v>
      </c>
    </row>
    <row r="8752" spans="1:39" x14ac:dyDescent="0.2">
      <c r="A8752" t="str">
        <f>"8748"</f>
        <v>8748</v>
      </c>
      <c r="B8752" t="str">
        <f t="shared" si="484"/>
        <v>1</v>
      </c>
      <c r="C8752" t="str">
        <f t="shared" si="486"/>
        <v>175</v>
      </c>
      <c r="D8752" t="str">
        <f>"13"</f>
        <v>13</v>
      </c>
      <c r="E8752" t="str">
        <f>"1-175-13"</f>
        <v>1-175-13</v>
      </c>
      <c r="F8752" t="s">
        <v>65</v>
      </c>
      <c r="G8752" t="s">
        <v>66</v>
      </c>
      <c r="H8752" t="s">
        <v>67</v>
      </c>
      <c r="S8752">
        <v>1</v>
      </c>
      <c r="T8752">
        <v>0</v>
      </c>
      <c r="U8752">
        <v>0</v>
      </c>
      <c r="V8752">
        <v>0</v>
      </c>
      <c r="W8752">
        <v>1</v>
      </c>
      <c r="X8752">
        <v>0</v>
      </c>
      <c r="Y8752">
        <v>0</v>
      </c>
      <c r="Z8752">
        <v>1</v>
      </c>
      <c r="AA8752">
        <v>0</v>
      </c>
      <c r="AB8752">
        <v>0</v>
      </c>
      <c r="AC8752">
        <v>1</v>
      </c>
      <c r="AD8752">
        <v>1</v>
      </c>
      <c r="AE8752">
        <v>1</v>
      </c>
      <c r="AF8752">
        <v>1</v>
      </c>
      <c r="AG8752">
        <v>1</v>
      </c>
      <c r="AH8752">
        <v>1</v>
      </c>
      <c r="AI8752">
        <v>1</v>
      </c>
      <c r="AJ8752">
        <v>1</v>
      </c>
      <c r="AK8752">
        <v>1</v>
      </c>
      <c r="AL8752">
        <v>1</v>
      </c>
      <c r="AM8752">
        <v>1</v>
      </c>
    </row>
    <row r="8753" spans="1:39" x14ac:dyDescent="0.2">
      <c r="A8753" t="str">
        <f>"8749"</f>
        <v>8749</v>
      </c>
      <c r="B8753" t="str">
        <f t="shared" si="484"/>
        <v>1</v>
      </c>
      <c r="C8753" t="str">
        <f t="shared" si="486"/>
        <v>175</v>
      </c>
      <c r="D8753" t="str">
        <f>"32"</f>
        <v>32</v>
      </c>
      <c r="E8753" t="str">
        <f>"1-175-32"</f>
        <v>1-175-32</v>
      </c>
      <c r="F8753" t="s">
        <v>65</v>
      </c>
      <c r="G8753" t="s">
        <v>66</v>
      </c>
      <c r="H8753" t="s">
        <v>67</v>
      </c>
      <c r="S8753">
        <v>0</v>
      </c>
      <c r="T8753">
        <v>1</v>
      </c>
      <c r="U8753">
        <v>0</v>
      </c>
      <c r="V8753">
        <v>0</v>
      </c>
      <c r="W8753">
        <v>0</v>
      </c>
      <c r="X8753">
        <v>1</v>
      </c>
      <c r="Y8753">
        <v>0</v>
      </c>
      <c r="Z8753">
        <v>1</v>
      </c>
      <c r="AA8753">
        <v>0</v>
      </c>
      <c r="AB8753">
        <v>0</v>
      </c>
      <c r="AC8753">
        <v>1</v>
      </c>
      <c r="AD8753">
        <v>0</v>
      </c>
      <c r="AE8753">
        <v>0</v>
      </c>
      <c r="AF8753">
        <v>0</v>
      </c>
      <c r="AG8753">
        <v>1</v>
      </c>
      <c r="AH8753">
        <v>0</v>
      </c>
      <c r="AI8753">
        <v>1</v>
      </c>
      <c r="AJ8753">
        <v>1</v>
      </c>
      <c r="AK8753">
        <v>1</v>
      </c>
      <c r="AL8753">
        <v>1</v>
      </c>
      <c r="AM8753">
        <v>0</v>
      </c>
    </row>
    <row r="8754" spans="1:39" x14ac:dyDescent="0.2">
      <c r="A8754" t="str">
        <f>"8750"</f>
        <v>8750</v>
      </c>
      <c r="B8754" t="str">
        <f t="shared" si="484"/>
        <v>1</v>
      </c>
      <c r="C8754" t="str">
        <f t="shared" si="486"/>
        <v>175</v>
      </c>
      <c r="D8754" t="str">
        <f>"2"</f>
        <v>2</v>
      </c>
      <c r="E8754" t="str">
        <f>"1-175-2"</f>
        <v>1-175-2</v>
      </c>
      <c r="F8754" t="s">
        <v>65</v>
      </c>
      <c r="G8754" t="s">
        <v>66</v>
      </c>
      <c r="H8754" t="s">
        <v>67</v>
      </c>
      <c r="S8754">
        <v>1</v>
      </c>
      <c r="T8754">
        <v>0</v>
      </c>
      <c r="U8754">
        <v>0</v>
      </c>
      <c r="V8754">
        <v>0</v>
      </c>
      <c r="W8754">
        <v>1</v>
      </c>
      <c r="X8754">
        <v>0</v>
      </c>
      <c r="Y8754">
        <v>1</v>
      </c>
      <c r="Z8754">
        <v>0</v>
      </c>
      <c r="AA8754">
        <v>1</v>
      </c>
      <c r="AB8754">
        <v>0</v>
      </c>
      <c r="AC8754">
        <v>0</v>
      </c>
      <c r="AD8754">
        <v>1</v>
      </c>
      <c r="AE8754">
        <v>1</v>
      </c>
      <c r="AF8754">
        <v>1</v>
      </c>
      <c r="AG8754">
        <v>1</v>
      </c>
      <c r="AH8754">
        <v>1</v>
      </c>
      <c r="AI8754">
        <v>1</v>
      </c>
      <c r="AJ8754">
        <v>1</v>
      </c>
      <c r="AK8754">
        <v>1</v>
      </c>
      <c r="AL8754">
        <v>1</v>
      </c>
      <c r="AM8754">
        <v>1</v>
      </c>
    </row>
    <row r="8755" spans="1:39" x14ac:dyDescent="0.2">
      <c r="A8755" t="str">
        <f>"8751"</f>
        <v>8751</v>
      </c>
      <c r="B8755" t="str">
        <f t="shared" si="484"/>
        <v>1</v>
      </c>
      <c r="C8755" t="str">
        <f t="shared" ref="C8755:C8786" si="487">"176"</f>
        <v>176</v>
      </c>
      <c r="D8755" t="str">
        <f>"38"</f>
        <v>38</v>
      </c>
      <c r="E8755" t="str">
        <f>"1-176-38"</f>
        <v>1-176-38</v>
      </c>
      <c r="F8755" t="s">
        <v>65</v>
      </c>
      <c r="G8755" t="s">
        <v>66</v>
      </c>
      <c r="H8755" t="s">
        <v>67</v>
      </c>
      <c r="S8755">
        <v>0</v>
      </c>
      <c r="T8755">
        <v>1</v>
      </c>
      <c r="U8755">
        <v>0</v>
      </c>
      <c r="V8755">
        <v>0</v>
      </c>
      <c r="W8755">
        <v>0</v>
      </c>
      <c r="X8755">
        <v>1</v>
      </c>
      <c r="Y8755">
        <v>0</v>
      </c>
      <c r="Z8755">
        <v>1</v>
      </c>
      <c r="AA8755">
        <v>0</v>
      </c>
      <c r="AB8755">
        <v>1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1</v>
      </c>
      <c r="AL8755">
        <v>0</v>
      </c>
      <c r="AM8755">
        <v>0</v>
      </c>
    </row>
    <row r="8756" spans="1:39" x14ac:dyDescent="0.2">
      <c r="A8756" t="str">
        <f>"8752"</f>
        <v>8752</v>
      </c>
      <c r="B8756" t="str">
        <f t="shared" si="484"/>
        <v>1</v>
      </c>
      <c r="C8756" t="str">
        <f t="shared" si="487"/>
        <v>176</v>
      </c>
      <c r="D8756" t="str">
        <f>"37"</f>
        <v>37</v>
      </c>
      <c r="E8756" t="str">
        <f>"1-176-37"</f>
        <v>1-176-37</v>
      </c>
      <c r="F8756" t="s">
        <v>65</v>
      </c>
      <c r="G8756" t="s">
        <v>66</v>
      </c>
      <c r="H8756" t="s">
        <v>67</v>
      </c>
      <c r="S8756">
        <v>0</v>
      </c>
      <c r="T8756">
        <v>1</v>
      </c>
      <c r="U8756">
        <v>0</v>
      </c>
      <c r="V8756">
        <v>0</v>
      </c>
      <c r="W8756">
        <v>0</v>
      </c>
      <c r="X8756">
        <v>1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</row>
    <row r="8757" spans="1:39" x14ac:dyDescent="0.2">
      <c r="A8757" t="str">
        <f>"8753"</f>
        <v>8753</v>
      </c>
      <c r="B8757" t="str">
        <f t="shared" si="484"/>
        <v>1</v>
      </c>
      <c r="C8757" t="str">
        <f t="shared" si="487"/>
        <v>176</v>
      </c>
      <c r="D8757" t="str">
        <f>"27"</f>
        <v>27</v>
      </c>
      <c r="E8757" t="str">
        <f>"1-176-27"</f>
        <v>1-176-27</v>
      </c>
      <c r="F8757" t="s">
        <v>65</v>
      </c>
      <c r="G8757" t="s">
        <v>66</v>
      </c>
      <c r="H8757" t="s">
        <v>67</v>
      </c>
      <c r="S8757">
        <v>0</v>
      </c>
      <c r="T8757">
        <v>0</v>
      </c>
      <c r="U8757">
        <v>0</v>
      </c>
      <c r="V8757">
        <v>0</v>
      </c>
      <c r="W8757">
        <v>1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1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</row>
    <row r="8758" spans="1:39" x14ac:dyDescent="0.2">
      <c r="A8758" t="str">
        <f>"8754"</f>
        <v>8754</v>
      </c>
      <c r="B8758" t="str">
        <f t="shared" si="484"/>
        <v>1</v>
      </c>
      <c r="C8758" t="str">
        <f t="shared" si="487"/>
        <v>176</v>
      </c>
      <c r="D8758" t="str">
        <f>"15"</f>
        <v>15</v>
      </c>
      <c r="E8758" t="str">
        <f>"1-176-15"</f>
        <v>1-176-15</v>
      </c>
      <c r="F8758" t="s">
        <v>65</v>
      </c>
      <c r="G8758" t="s">
        <v>66</v>
      </c>
      <c r="H8758" t="s">
        <v>67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1</v>
      </c>
      <c r="Y8758">
        <v>0</v>
      </c>
      <c r="Z8758">
        <v>1</v>
      </c>
      <c r="AA8758">
        <v>0</v>
      </c>
      <c r="AB8758">
        <v>1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1</v>
      </c>
      <c r="AI8758">
        <v>0</v>
      </c>
      <c r="AJ8758">
        <v>0</v>
      </c>
      <c r="AK8758">
        <v>0</v>
      </c>
      <c r="AL8758">
        <v>0</v>
      </c>
      <c r="AM8758">
        <v>0</v>
      </c>
    </row>
    <row r="8759" spans="1:39" x14ac:dyDescent="0.2">
      <c r="A8759" t="str">
        <f>"8755"</f>
        <v>8755</v>
      </c>
      <c r="B8759" t="str">
        <f t="shared" ref="B8759:B8822" si="488">"1"</f>
        <v>1</v>
      </c>
      <c r="C8759" t="str">
        <f t="shared" si="487"/>
        <v>176</v>
      </c>
      <c r="D8759" t="str">
        <f>"3"</f>
        <v>3</v>
      </c>
      <c r="E8759" t="str">
        <f>"1-176-3"</f>
        <v>1-176-3</v>
      </c>
      <c r="F8759" t="s">
        <v>65</v>
      </c>
      <c r="G8759" t="s">
        <v>66</v>
      </c>
      <c r="H8759" t="s">
        <v>67</v>
      </c>
      <c r="S8759">
        <v>0</v>
      </c>
      <c r="T8759">
        <v>1</v>
      </c>
      <c r="U8759">
        <v>0</v>
      </c>
      <c r="V8759">
        <v>0</v>
      </c>
      <c r="W8759">
        <v>1</v>
      </c>
      <c r="X8759">
        <v>0</v>
      </c>
      <c r="Y8759">
        <v>1</v>
      </c>
      <c r="Z8759">
        <v>0</v>
      </c>
      <c r="AA8759">
        <v>0</v>
      </c>
      <c r="AB8759">
        <v>1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</row>
    <row r="8760" spans="1:39" x14ac:dyDescent="0.2">
      <c r="A8760" t="str">
        <f>"8756"</f>
        <v>8756</v>
      </c>
      <c r="B8760" t="str">
        <f t="shared" si="488"/>
        <v>1</v>
      </c>
      <c r="C8760" t="str">
        <f t="shared" si="487"/>
        <v>176</v>
      </c>
      <c r="D8760" t="str">
        <f>"36"</f>
        <v>36</v>
      </c>
      <c r="E8760" t="str">
        <f>"1-176-36"</f>
        <v>1-176-36</v>
      </c>
      <c r="F8760" t="s">
        <v>65</v>
      </c>
      <c r="G8760" t="s">
        <v>66</v>
      </c>
      <c r="H8760" t="s">
        <v>68</v>
      </c>
      <c r="I8760">
        <v>1</v>
      </c>
      <c r="J8760">
        <v>1</v>
      </c>
      <c r="K8760">
        <v>0</v>
      </c>
      <c r="L8760">
        <v>0</v>
      </c>
      <c r="M8760">
        <v>1</v>
      </c>
      <c r="N8760">
        <v>1</v>
      </c>
      <c r="O8760">
        <v>1</v>
      </c>
      <c r="P8760">
        <v>1</v>
      </c>
      <c r="Q8760">
        <v>1</v>
      </c>
      <c r="R8760">
        <v>1</v>
      </c>
    </row>
    <row r="8761" spans="1:39" x14ac:dyDescent="0.2">
      <c r="A8761" t="str">
        <f>"8757"</f>
        <v>8757</v>
      </c>
      <c r="B8761" t="str">
        <f t="shared" si="488"/>
        <v>1</v>
      </c>
      <c r="C8761" t="str">
        <f t="shared" si="487"/>
        <v>176</v>
      </c>
      <c r="D8761" t="str">
        <f>"35"</f>
        <v>35</v>
      </c>
      <c r="E8761" t="str">
        <f>"1-176-35"</f>
        <v>1-176-35</v>
      </c>
      <c r="F8761" t="s">
        <v>65</v>
      </c>
      <c r="G8761" t="s">
        <v>66</v>
      </c>
      <c r="H8761" t="s">
        <v>67</v>
      </c>
      <c r="S8761">
        <v>0</v>
      </c>
      <c r="T8761">
        <v>1</v>
      </c>
      <c r="U8761">
        <v>0</v>
      </c>
      <c r="V8761">
        <v>0</v>
      </c>
      <c r="W8761">
        <v>0</v>
      </c>
      <c r="X8761">
        <v>1</v>
      </c>
      <c r="Y8761">
        <v>0</v>
      </c>
      <c r="Z8761">
        <v>1</v>
      </c>
      <c r="AA8761">
        <v>0</v>
      </c>
      <c r="AB8761">
        <v>0</v>
      </c>
      <c r="AC8761">
        <v>1</v>
      </c>
      <c r="AD8761">
        <v>1</v>
      </c>
      <c r="AE8761">
        <v>1</v>
      </c>
      <c r="AF8761">
        <v>0</v>
      </c>
      <c r="AG8761">
        <v>1</v>
      </c>
      <c r="AH8761">
        <v>1</v>
      </c>
      <c r="AI8761">
        <v>1</v>
      </c>
      <c r="AJ8761">
        <v>1</v>
      </c>
      <c r="AK8761">
        <v>1</v>
      </c>
      <c r="AL8761">
        <v>0</v>
      </c>
      <c r="AM8761">
        <v>1</v>
      </c>
    </row>
    <row r="8762" spans="1:39" x14ac:dyDescent="0.2">
      <c r="A8762" t="str">
        <f>"8758"</f>
        <v>8758</v>
      </c>
      <c r="B8762" t="str">
        <f t="shared" si="488"/>
        <v>1</v>
      </c>
      <c r="C8762" t="str">
        <f t="shared" si="487"/>
        <v>176</v>
      </c>
      <c r="D8762" t="str">
        <f>"21"</f>
        <v>21</v>
      </c>
      <c r="E8762" t="str">
        <f>"1-176-21"</f>
        <v>1-176-21</v>
      </c>
      <c r="F8762" t="s">
        <v>65</v>
      </c>
      <c r="G8762" t="s">
        <v>66</v>
      </c>
      <c r="H8762" t="s">
        <v>67</v>
      </c>
      <c r="S8762">
        <v>1</v>
      </c>
      <c r="T8762">
        <v>0</v>
      </c>
      <c r="U8762">
        <v>0</v>
      </c>
      <c r="V8762">
        <v>0</v>
      </c>
      <c r="W8762">
        <v>1</v>
      </c>
      <c r="X8762">
        <v>0</v>
      </c>
      <c r="Y8762">
        <v>1</v>
      </c>
      <c r="Z8762">
        <v>0</v>
      </c>
      <c r="AA8762">
        <v>0</v>
      </c>
      <c r="AB8762">
        <v>1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</row>
    <row r="8763" spans="1:39" x14ac:dyDescent="0.2">
      <c r="A8763" t="str">
        <f>"8759"</f>
        <v>8759</v>
      </c>
      <c r="B8763" t="str">
        <f t="shared" si="488"/>
        <v>1</v>
      </c>
      <c r="C8763" t="str">
        <f t="shared" si="487"/>
        <v>176</v>
      </c>
      <c r="D8763" t="str">
        <f>"16"</f>
        <v>16</v>
      </c>
      <c r="E8763" t="str">
        <f>"1-176-16"</f>
        <v>1-176-16</v>
      </c>
      <c r="F8763" t="s">
        <v>65</v>
      </c>
      <c r="G8763" t="s">
        <v>66</v>
      </c>
      <c r="H8763" t="s">
        <v>67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1</v>
      </c>
      <c r="Y8763">
        <v>0</v>
      </c>
      <c r="Z8763">
        <v>1</v>
      </c>
      <c r="AA8763">
        <v>0</v>
      </c>
      <c r="AB8763">
        <v>0</v>
      </c>
      <c r="AC8763">
        <v>1</v>
      </c>
      <c r="AD8763">
        <v>0</v>
      </c>
      <c r="AE8763">
        <v>0</v>
      </c>
      <c r="AF8763">
        <v>0</v>
      </c>
      <c r="AG8763">
        <v>1</v>
      </c>
      <c r="AH8763">
        <v>1</v>
      </c>
      <c r="AI8763">
        <v>1</v>
      </c>
      <c r="AJ8763">
        <v>1</v>
      </c>
      <c r="AK8763">
        <v>1</v>
      </c>
      <c r="AL8763">
        <v>1</v>
      </c>
      <c r="AM8763">
        <v>0</v>
      </c>
    </row>
    <row r="8764" spans="1:39" x14ac:dyDescent="0.2">
      <c r="A8764" t="str">
        <f>"8760"</f>
        <v>8760</v>
      </c>
      <c r="B8764" t="str">
        <f t="shared" si="488"/>
        <v>1</v>
      </c>
      <c r="C8764" t="str">
        <f t="shared" si="487"/>
        <v>176</v>
      </c>
      <c r="D8764" t="str">
        <f>"2"</f>
        <v>2</v>
      </c>
      <c r="E8764" t="str">
        <f>"1-176-2"</f>
        <v>1-176-2</v>
      </c>
      <c r="F8764" t="s">
        <v>65</v>
      </c>
      <c r="G8764" t="s">
        <v>66</v>
      </c>
      <c r="H8764" t="s">
        <v>67</v>
      </c>
      <c r="S8764">
        <v>0</v>
      </c>
      <c r="T8764">
        <v>1</v>
      </c>
      <c r="U8764">
        <v>0</v>
      </c>
      <c r="V8764">
        <v>0</v>
      </c>
      <c r="W8764">
        <v>0</v>
      </c>
      <c r="X8764">
        <v>1</v>
      </c>
      <c r="Y8764">
        <v>0</v>
      </c>
      <c r="Z8764">
        <v>1</v>
      </c>
      <c r="AA8764">
        <v>0</v>
      </c>
      <c r="AB8764">
        <v>0</v>
      </c>
      <c r="AC8764">
        <v>1</v>
      </c>
      <c r="AD8764">
        <v>1</v>
      </c>
      <c r="AE8764">
        <v>1</v>
      </c>
      <c r="AF8764">
        <v>1</v>
      </c>
      <c r="AG8764">
        <v>1</v>
      </c>
      <c r="AH8764">
        <v>1</v>
      </c>
      <c r="AI8764">
        <v>1</v>
      </c>
      <c r="AJ8764">
        <v>1</v>
      </c>
      <c r="AK8764">
        <v>1</v>
      </c>
      <c r="AL8764">
        <v>1</v>
      </c>
      <c r="AM8764">
        <v>1</v>
      </c>
    </row>
    <row r="8765" spans="1:39" x14ac:dyDescent="0.2">
      <c r="A8765" t="str">
        <f>"8761"</f>
        <v>8761</v>
      </c>
      <c r="B8765" t="str">
        <f t="shared" si="488"/>
        <v>1</v>
      </c>
      <c r="C8765" t="str">
        <f t="shared" si="487"/>
        <v>176</v>
      </c>
      <c r="D8765" t="str">
        <f>"41"</f>
        <v>41</v>
      </c>
      <c r="E8765" t="str">
        <f>"1-176-41"</f>
        <v>1-176-41</v>
      </c>
      <c r="F8765" t="s">
        <v>65</v>
      </c>
      <c r="G8765" t="s">
        <v>66</v>
      </c>
      <c r="H8765" t="s">
        <v>67</v>
      </c>
      <c r="S8765">
        <v>1</v>
      </c>
      <c r="T8765">
        <v>0</v>
      </c>
      <c r="U8765">
        <v>0</v>
      </c>
      <c r="V8765">
        <v>0</v>
      </c>
      <c r="W8765">
        <v>0</v>
      </c>
      <c r="X8765">
        <v>1</v>
      </c>
      <c r="Y8765">
        <v>0</v>
      </c>
      <c r="Z8765">
        <v>1</v>
      </c>
      <c r="AA8765">
        <v>1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</row>
    <row r="8766" spans="1:39" x14ac:dyDescent="0.2">
      <c r="A8766" t="str">
        <f>"8762"</f>
        <v>8762</v>
      </c>
      <c r="B8766" t="str">
        <f t="shared" si="488"/>
        <v>1</v>
      </c>
      <c r="C8766" t="str">
        <f t="shared" si="487"/>
        <v>176</v>
      </c>
      <c r="D8766" t="str">
        <f>"40"</f>
        <v>40</v>
      </c>
      <c r="E8766" t="str">
        <f>"1-176-40"</f>
        <v>1-176-40</v>
      </c>
      <c r="F8766" t="s">
        <v>65</v>
      </c>
      <c r="G8766" t="s">
        <v>66</v>
      </c>
      <c r="H8766" t="s">
        <v>67</v>
      </c>
      <c r="S8766">
        <v>1</v>
      </c>
      <c r="T8766">
        <v>0</v>
      </c>
      <c r="U8766">
        <v>0</v>
      </c>
      <c r="V8766">
        <v>0</v>
      </c>
      <c r="W8766">
        <v>0</v>
      </c>
      <c r="X8766">
        <v>1</v>
      </c>
      <c r="Y8766">
        <v>0</v>
      </c>
      <c r="Z8766">
        <v>1</v>
      </c>
      <c r="AA8766">
        <v>1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</row>
    <row r="8767" spans="1:39" x14ac:dyDescent="0.2">
      <c r="A8767" t="str">
        <f>"8763"</f>
        <v>8763</v>
      </c>
      <c r="B8767" t="str">
        <f t="shared" si="488"/>
        <v>1</v>
      </c>
      <c r="C8767" t="str">
        <f t="shared" si="487"/>
        <v>176</v>
      </c>
      <c r="D8767" t="str">
        <f>"31"</f>
        <v>31</v>
      </c>
      <c r="E8767" t="str">
        <f>"1-176-31"</f>
        <v>1-176-31</v>
      </c>
      <c r="F8767" t="s">
        <v>65</v>
      </c>
      <c r="G8767" t="s">
        <v>66</v>
      </c>
      <c r="H8767" t="s">
        <v>67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1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</row>
    <row r="8768" spans="1:39" x14ac:dyDescent="0.2">
      <c r="A8768" t="str">
        <f>"8764"</f>
        <v>8764</v>
      </c>
      <c r="B8768" t="str">
        <f t="shared" si="488"/>
        <v>1</v>
      </c>
      <c r="C8768" t="str">
        <f t="shared" si="487"/>
        <v>176</v>
      </c>
      <c r="D8768" t="str">
        <f>"17"</f>
        <v>17</v>
      </c>
      <c r="E8768" t="str">
        <f>"1-176-17"</f>
        <v>1-176-17</v>
      </c>
      <c r="F8768" t="s">
        <v>65</v>
      </c>
      <c r="G8768" t="s">
        <v>66</v>
      </c>
      <c r="H8768" t="s">
        <v>67</v>
      </c>
      <c r="S8768">
        <v>0</v>
      </c>
      <c r="T8768">
        <v>1</v>
      </c>
      <c r="U8768">
        <v>0</v>
      </c>
      <c r="V8768">
        <v>0</v>
      </c>
      <c r="W8768">
        <v>0</v>
      </c>
      <c r="X8768">
        <v>1</v>
      </c>
      <c r="Y8768">
        <v>0</v>
      </c>
      <c r="Z8768">
        <v>1</v>
      </c>
      <c r="AA8768">
        <v>0</v>
      </c>
      <c r="AB8768">
        <v>1</v>
      </c>
      <c r="AC8768">
        <v>0</v>
      </c>
      <c r="AD8768">
        <v>1</v>
      </c>
      <c r="AE8768">
        <v>1</v>
      </c>
      <c r="AF8768">
        <v>1</v>
      </c>
      <c r="AG8768">
        <v>1</v>
      </c>
      <c r="AH8768">
        <v>1</v>
      </c>
      <c r="AI8768">
        <v>1</v>
      </c>
      <c r="AJ8768">
        <v>1</v>
      </c>
      <c r="AK8768">
        <v>1</v>
      </c>
      <c r="AL8768">
        <v>1</v>
      </c>
      <c r="AM8768">
        <v>1</v>
      </c>
    </row>
    <row r="8769" spans="1:39" x14ac:dyDescent="0.2">
      <c r="A8769" t="str">
        <f>"8765"</f>
        <v>8765</v>
      </c>
      <c r="B8769" t="str">
        <f t="shared" si="488"/>
        <v>1</v>
      </c>
      <c r="C8769" t="str">
        <f t="shared" si="487"/>
        <v>176</v>
      </c>
      <c r="D8769" t="str">
        <f>"1"</f>
        <v>1</v>
      </c>
      <c r="E8769" t="str">
        <f>"1-176-1"</f>
        <v>1-176-1</v>
      </c>
      <c r="F8769" t="s">
        <v>65</v>
      </c>
      <c r="G8769" t="s">
        <v>66</v>
      </c>
      <c r="H8769" t="s">
        <v>67</v>
      </c>
      <c r="S8769">
        <v>0</v>
      </c>
      <c r="T8769">
        <v>1</v>
      </c>
      <c r="U8769">
        <v>0</v>
      </c>
      <c r="V8769">
        <v>0</v>
      </c>
      <c r="W8769">
        <v>0</v>
      </c>
      <c r="X8769">
        <v>1</v>
      </c>
      <c r="Y8769">
        <v>0</v>
      </c>
      <c r="Z8769">
        <v>1</v>
      </c>
      <c r="AA8769">
        <v>0</v>
      </c>
      <c r="AB8769">
        <v>1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</row>
    <row r="8770" spans="1:39" x14ac:dyDescent="0.2">
      <c r="A8770" t="str">
        <f>"8766"</f>
        <v>8766</v>
      </c>
      <c r="B8770" t="str">
        <f t="shared" si="488"/>
        <v>1</v>
      </c>
      <c r="C8770" t="str">
        <f t="shared" si="487"/>
        <v>176</v>
      </c>
      <c r="D8770" t="str">
        <f>"43"</f>
        <v>43</v>
      </c>
      <c r="E8770" t="str">
        <f>"1-176-43"</f>
        <v>1-176-43</v>
      </c>
      <c r="F8770" t="s">
        <v>65</v>
      </c>
      <c r="G8770" t="s">
        <v>66</v>
      </c>
      <c r="H8770" t="s">
        <v>67</v>
      </c>
      <c r="S8770">
        <v>0</v>
      </c>
      <c r="T8770">
        <v>1</v>
      </c>
      <c r="U8770">
        <v>0</v>
      </c>
      <c r="V8770">
        <v>0</v>
      </c>
      <c r="W8770">
        <v>0</v>
      </c>
      <c r="X8770">
        <v>1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1</v>
      </c>
      <c r="AE8770">
        <v>1</v>
      </c>
      <c r="AF8770">
        <v>1</v>
      </c>
      <c r="AG8770">
        <v>1</v>
      </c>
      <c r="AH8770">
        <v>1</v>
      </c>
      <c r="AI8770">
        <v>1</v>
      </c>
      <c r="AJ8770">
        <v>1</v>
      </c>
      <c r="AK8770">
        <v>1</v>
      </c>
      <c r="AL8770">
        <v>1</v>
      </c>
      <c r="AM8770">
        <v>1</v>
      </c>
    </row>
    <row r="8771" spans="1:39" x14ac:dyDescent="0.2">
      <c r="A8771" t="str">
        <f>"8767"</f>
        <v>8767</v>
      </c>
      <c r="B8771" t="str">
        <f t="shared" si="488"/>
        <v>1</v>
      </c>
      <c r="C8771" t="str">
        <f t="shared" si="487"/>
        <v>176</v>
      </c>
      <c r="D8771" t="str">
        <f>"42"</f>
        <v>42</v>
      </c>
      <c r="E8771" t="str">
        <f>"1-176-42"</f>
        <v>1-176-42</v>
      </c>
      <c r="F8771" t="s">
        <v>65</v>
      </c>
      <c r="G8771" t="s">
        <v>66</v>
      </c>
      <c r="H8771" t="s">
        <v>67</v>
      </c>
      <c r="S8771">
        <v>0</v>
      </c>
      <c r="T8771">
        <v>1</v>
      </c>
      <c r="U8771">
        <v>0</v>
      </c>
      <c r="V8771">
        <v>0</v>
      </c>
      <c r="W8771">
        <v>0</v>
      </c>
      <c r="X8771">
        <v>1</v>
      </c>
      <c r="Y8771">
        <v>0</v>
      </c>
      <c r="Z8771">
        <v>1</v>
      </c>
      <c r="AA8771">
        <v>0</v>
      </c>
      <c r="AB8771">
        <v>0</v>
      </c>
      <c r="AC8771">
        <v>1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</row>
    <row r="8772" spans="1:39" x14ac:dyDescent="0.2">
      <c r="A8772" t="str">
        <f>"8768"</f>
        <v>8768</v>
      </c>
      <c r="B8772" t="str">
        <f t="shared" si="488"/>
        <v>1</v>
      </c>
      <c r="C8772" t="str">
        <f t="shared" si="487"/>
        <v>176</v>
      </c>
      <c r="D8772" t="str">
        <f>"32"</f>
        <v>32</v>
      </c>
      <c r="E8772" t="str">
        <f>"1-176-32"</f>
        <v>1-176-32</v>
      </c>
      <c r="F8772" t="s">
        <v>65</v>
      </c>
      <c r="G8772" t="s">
        <v>66</v>
      </c>
      <c r="H8772" t="s">
        <v>67</v>
      </c>
      <c r="S8772">
        <v>0</v>
      </c>
      <c r="T8772">
        <v>1</v>
      </c>
      <c r="U8772">
        <v>0</v>
      </c>
      <c r="V8772">
        <v>0</v>
      </c>
      <c r="W8772">
        <v>0</v>
      </c>
      <c r="X8772">
        <v>1</v>
      </c>
      <c r="Y8772">
        <v>0</v>
      </c>
      <c r="Z8772">
        <v>1</v>
      </c>
      <c r="AA8772">
        <v>0</v>
      </c>
      <c r="AB8772">
        <v>1</v>
      </c>
      <c r="AC8772">
        <v>0</v>
      </c>
      <c r="AD8772">
        <v>0</v>
      </c>
      <c r="AE8772">
        <v>0</v>
      </c>
      <c r="AF8772">
        <v>0</v>
      </c>
      <c r="AG8772">
        <v>1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</row>
    <row r="8773" spans="1:39" x14ac:dyDescent="0.2">
      <c r="A8773" t="str">
        <f>"8769"</f>
        <v>8769</v>
      </c>
      <c r="B8773" t="str">
        <f t="shared" si="488"/>
        <v>1</v>
      </c>
      <c r="C8773" t="str">
        <f t="shared" si="487"/>
        <v>176</v>
      </c>
      <c r="D8773" t="str">
        <f>"18"</f>
        <v>18</v>
      </c>
      <c r="E8773" t="str">
        <f>"1-176-18"</f>
        <v>1-176-18</v>
      </c>
      <c r="F8773" t="s">
        <v>65</v>
      </c>
      <c r="G8773" t="s">
        <v>66</v>
      </c>
      <c r="H8773" t="s">
        <v>67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1</v>
      </c>
      <c r="Y8773">
        <v>0</v>
      </c>
      <c r="Z8773">
        <v>0</v>
      </c>
      <c r="AA8773">
        <v>0</v>
      </c>
      <c r="AB8773">
        <v>1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</row>
    <row r="8774" spans="1:39" x14ac:dyDescent="0.2">
      <c r="A8774" t="str">
        <f>"8770"</f>
        <v>8770</v>
      </c>
      <c r="B8774" t="str">
        <f t="shared" si="488"/>
        <v>1</v>
      </c>
      <c r="C8774" t="str">
        <f t="shared" si="487"/>
        <v>176</v>
      </c>
      <c r="D8774" t="str">
        <f>"14"</f>
        <v>14</v>
      </c>
      <c r="E8774" t="str">
        <f>"1-176-14"</f>
        <v>1-176-14</v>
      </c>
      <c r="F8774" t="s">
        <v>65</v>
      </c>
      <c r="G8774" t="s">
        <v>66</v>
      </c>
      <c r="H8774" t="s">
        <v>67</v>
      </c>
      <c r="S8774">
        <v>0</v>
      </c>
      <c r="T8774">
        <v>1</v>
      </c>
      <c r="U8774">
        <v>0</v>
      </c>
      <c r="V8774">
        <v>0</v>
      </c>
      <c r="W8774">
        <v>1</v>
      </c>
      <c r="X8774">
        <v>0</v>
      </c>
      <c r="Y8774">
        <v>0</v>
      </c>
      <c r="Z8774">
        <v>1</v>
      </c>
      <c r="AA8774">
        <v>0</v>
      </c>
      <c r="AB8774">
        <v>1</v>
      </c>
      <c r="AC8774">
        <v>0</v>
      </c>
      <c r="AD8774">
        <v>1</v>
      </c>
      <c r="AE8774">
        <v>1</v>
      </c>
      <c r="AF8774">
        <v>1</v>
      </c>
      <c r="AG8774">
        <v>1</v>
      </c>
      <c r="AH8774">
        <v>1</v>
      </c>
      <c r="AI8774">
        <v>1</v>
      </c>
      <c r="AJ8774">
        <v>1</v>
      </c>
      <c r="AK8774">
        <v>1</v>
      </c>
      <c r="AL8774">
        <v>1</v>
      </c>
      <c r="AM8774">
        <v>1</v>
      </c>
    </row>
    <row r="8775" spans="1:39" x14ac:dyDescent="0.2">
      <c r="A8775" t="str">
        <f>"8771"</f>
        <v>8771</v>
      </c>
      <c r="B8775" t="str">
        <f t="shared" si="488"/>
        <v>1</v>
      </c>
      <c r="C8775" t="str">
        <f t="shared" si="487"/>
        <v>176</v>
      </c>
      <c r="D8775" t="str">
        <f>"50"</f>
        <v>50</v>
      </c>
      <c r="E8775" t="str">
        <f>"1-176-50"</f>
        <v>1-176-50</v>
      </c>
      <c r="F8775" t="s">
        <v>65</v>
      </c>
      <c r="G8775" t="s">
        <v>66</v>
      </c>
      <c r="H8775" t="s">
        <v>67</v>
      </c>
      <c r="S8775">
        <v>0</v>
      </c>
      <c r="T8775">
        <v>1</v>
      </c>
      <c r="U8775">
        <v>0</v>
      </c>
      <c r="V8775">
        <v>0</v>
      </c>
      <c r="W8775">
        <v>0</v>
      </c>
      <c r="X8775">
        <v>1</v>
      </c>
      <c r="Y8775">
        <v>0</v>
      </c>
      <c r="Z8775">
        <v>1</v>
      </c>
      <c r="AA8775">
        <v>0</v>
      </c>
      <c r="AB8775">
        <v>0</v>
      </c>
      <c r="AC8775">
        <v>1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</row>
    <row r="8776" spans="1:39" x14ac:dyDescent="0.2">
      <c r="A8776" t="str">
        <f>"8772"</f>
        <v>8772</v>
      </c>
      <c r="B8776" t="str">
        <f t="shared" si="488"/>
        <v>1</v>
      </c>
      <c r="C8776" t="str">
        <f t="shared" si="487"/>
        <v>176</v>
      </c>
      <c r="D8776" t="str">
        <f>"49"</f>
        <v>49</v>
      </c>
      <c r="E8776" t="str">
        <f>"1-176-49"</f>
        <v>1-176-49</v>
      </c>
      <c r="F8776" t="s">
        <v>65</v>
      </c>
      <c r="G8776" t="s">
        <v>66</v>
      </c>
      <c r="H8776" t="s">
        <v>67</v>
      </c>
      <c r="S8776">
        <v>0</v>
      </c>
      <c r="T8776">
        <v>1</v>
      </c>
      <c r="U8776">
        <v>0</v>
      </c>
      <c r="V8776">
        <v>0</v>
      </c>
      <c r="W8776">
        <v>0</v>
      </c>
      <c r="X8776">
        <v>1</v>
      </c>
      <c r="Y8776">
        <v>0</v>
      </c>
      <c r="Z8776">
        <v>1</v>
      </c>
      <c r="AA8776">
        <v>0</v>
      </c>
      <c r="AB8776">
        <v>0</v>
      </c>
      <c r="AC8776">
        <v>1</v>
      </c>
      <c r="AD8776">
        <v>1</v>
      </c>
      <c r="AE8776">
        <v>1</v>
      </c>
      <c r="AF8776">
        <v>1</v>
      </c>
      <c r="AG8776">
        <v>1</v>
      </c>
      <c r="AH8776">
        <v>1</v>
      </c>
      <c r="AI8776">
        <v>1</v>
      </c>
      <c r="AJ8776">
        <v>1</v>
      </c>
      <c r="AK8776">
        <v>1</v>
      </c>
      <c r="AL8776">
        <v>1</v>
      </c>
      <c r="AM8776">
        <v>1</v>
      </c>
    </row>
    <row r="8777" spans="1:39" x14ac:dyDescent="0.2">
      <c r="A8777" t="str">
        <f>"8773"</f>
        <v>8773</v>
      </c>
      <c r="B8777" t="str">
        <f t="shared" si="488"/>
        <v>1</v>
      </c>
      <c r="C8777" t="str">
        <f t="shared" si="487"/>
        <v>176</v>
      </c>
      <c r="D8777" t="str">
        <f>"33"</f>
        <v>33</v>
      </c>
      <c r="E8777" t="str">
        <f>"1-176-33"</f>
        <v>1-176-33</v>
      </c>
      <c r="F8777" t="s">
        <v>65</v>
      </c>
      <c r="G8777" t="s">
        <v>66</v>
      </c>
      <c r="H8777" t="s">
        <v>67</v>
      </c>
      <c r="S8777">
        <v>1</v>
      </c>
      <c r="T8777">
        <v>0</v>
      </c>
      <c r="U8777">
        <v>0</v>
      </c>
      <c r="V8777">
        <v>0</v>
      </c>
      <c r="W8777">
        <v>1</v>
      </c>
      <c r="X8777">
        <v>0</v>
      </c>
      <c r="Y8777">
        <v>1</v>
      </c>
      <c r="Z8777">
        <v>0</v>
      </c>
      <c r="AA8777">
        <v>1</v>
      </c>
      <c r="AB8777">
        <v>0</v>
      </c>
      <c r="AC8777">
        <v>0</v>
      </c>
      <c r="AD8777">
        <v>1</v>
      </c>
      <c r="AE8777">
        <v>1</v>
      </c>
      <c r="AF8777">
        <v>1</v>
      </c>
      <c r="AG8777">
        <v>1</v>
      </c>
      <c r="AH8777">
        <v>1</v>
      </c>
      <c r="AI8777">
        <v>1</v>
      </c>
      <c r="AJ8777">
        <v>1</v>
      </c>
      <c r="AK8777">
        <v>1</v>
      </c>
      <c r="AL8777">
        <v>1</v>
      </c>
      <c r="AM8777">
        <v>1</v>
      </c>
    </row>
    <row r="8778" spans="1:39" x14ac:dyDescent="0.2">
      <c r="A8778" t="str">
        <f>"8774"</f>
        <v>8774</v>
      </c>
      <c r="B8778" t="str">
        <f t="shared" si="488"/>
        <v>1</v>
      </c>
      <c r="C8778" t="str">
        <f t="shared" si="487"/>
        <v>176</v>
      </c>
      <c r="D8778" t="str">
        <f>"19"</f>
        <v>19</v>
      </c>
      <c r="E8778" t="str">
        <f>"1-176-19"</f>
        <v>1-176-19</v>
      </c>
      <c r="F8778" t="s">
        <v>65</v>
      </c>
      <c r="G8778" t="s">
        <v>66</v>
      </c>
      <c r="H8778" t="s">
        <v>67</v>
      </c>
      <c r="S8778">
        <v>1</v>
      </c>
      <c r="T8778">
        <v>0</v>
      </c>
      <c r="U8778">
        <v>0</v>
      </c>
      <c r="V8778">
        <v>0</v>
      </c>
      <c r="W8778">
        <v>1</v>
      </c>
      <c r="X8778">
        <v>0</v>
      </c>
      <c r="Y8778">
        <v>1</v>
      </c>
      <c r="Z8778">
        <v>0</v>
      </c>
      <c r="AA8778">
        <v>1</v>
      </c>
      <c r="AB8778">
        <v>0</v>
      </c>
      <c r="AC8778">
        <v>0</v>
      </c>
      <c r="AD8778">
        <v>1</v>
      </c>
      <c r="AE8778">
        <v>1</v>
      </c>
      <c r="AF8778">
        <v>1</v>
      </c>
      <c r="AG8778">
        <v>1</v>
      </c>
      <c r="AH8778">
        <v>1</v>
      </c>
      <c r="AI8778">
        <v>1</v>
      </c>
      <c r="AJ8778">
        <v>1</v>
      </c>
      <c r="AK8778">
        <v>1</v>
      </c>
      <c r="AL8778">
        <v>1</v>
      </c>
      <c r="AM8778">
        <v>1</v>
      </c>
    </row>
    <row r="8779" spans="1:39" x14ac:dyDescent="0.2">
      <c r="A8779" t="str">
        <f>"8775"</f>
        <v>8775</v>
      </c>
      <c r="B8779" t="str">
        <f t="shared" si="488"/>
        <v>1</v>
      </c>
      <c r="C8779" t="str">
        <f t="shared" si="487"/>
        <v>176</v>
      </c>
      <c r="D8779" t="str">
        <f>"9"</f>
        <v>9</v>
      </c>
      <c r="E8779" t="str">
        <f>"1-176-9"</f>
        <v>1-176-9</v>
      </c>
      <c r="F8779" t="s">
        <v>65</v>
      </c>
      <c r="G8779" t="s">
        <v>66</v>
      </c>
      <c r="H8779" t="s">
        <v>67</v>
      </c>
      <c r="S8779">
        <v>1</v>
      </c>
      <c r="T8779">
        <v>0</v>
      </c>
      <c r="U8779">
        <v>0</v>
      </c>
      <c r="V8779">
        <v>0</v>
      </c>
      <c r="W8779">
        <v>1</v>
      </c>
      <c r="X8779">
        <v>0</v>
      </c>
      <c r="Y8779">
        <v>1</v>
      </c>
      <c r="Z8779">
        <v>0</v>
      </c>
      <c r="AA8779">
        <v>1</v>
      </c>
      <c r="AB8779">
        <v>0</v>
      </c>
      <c r="AC8779">
        <v>0</v>
      </c>
      <c r="AD8779">
        <v>1</v>
      </c>
      <c r="AE8779">
        <v>1</v>
      </c>
      <c r="AF8779">
        <v>1</v>
      </c>
      <c r="AG8779">
        <v>1</v>
      </c>
      <c r="AH8779">
        <v>1</v>
      </c>
      <c r="AI8779">
        <v>1</v>
      </c>
      <c r="AJ8779">
        <v>1</v>
      </c>
      <c r="AK8779">
        <v>1</v>
      </c>
      <c r="AL8779">
        <v>1</v>
      </c>
      <c r="AM8779">
        <v>1</v>
      </c>
    </row>
    <row r="8780" spans="1:39" x14ac:dyDescent="0.2">
      <c r="A8780" t="str">
        <f>"8776"</f>
        <v>8776</v>
      </c>
      <c r="B8780" t="str">
        <f t="shared" si="488"/>
        <v>1</v>
      </c>
      <c r="C8780" t="str">
        <f t="shared" si="487"/>
        <v>176</v>
      </c>
      <c r="D8780" t="str">
        <f>"48"</f>
        <v>48</v>
      </c>
      <c r="E8780" t="str">
        <f>"1-176-48"</f>
        <v>1-176-48</v>
      </c>
      <c r="F8780" t="s">
        <v>65</v>
      </c>
      <c r="G8780" t="s">
        <v>66</v>
      </c>
      <c r="H8780" t="s">
        <v>67</v>
      </c>
      <c r="S8780">
        <v>0</v>
      </c>
      <c r="T8780">
        <v>1</v>
      </c>
      <c r="U8780">
        <v>0</v>
      </c>
      <c r="V8780">
        <v>0</v>
      </c>
      <c r="W8780">
        <v>0</v>
      </c>
      <c r="X8780">
        <v>1</v>
      </c>
      <c r="Y8780">
        <v>0</v>
      </c>
      <c r="Z8780">
        <v>1</v>
      </c>
      <c r="AA8780">
        <v>0</v>
      </c>
      <c r="AB8780">
        <v>0</v>
      </c>
      <c r="AC8780">
        <v>1</v>
      </c>
      <c r="AD8780">
        <v>1</v>
      </c>
      <c r="AE8780">
        <v>1</v>
      </c>
      <c r="AF8780">
        <v>1</v>
      </c>
      <c r="AG8780">
        <v>1</v>
      </c>
      <c r="AH8780">
        <v>1</v>
      </c>
      <c r="AI8780">
        <v>1</v>
      </c>
      <c r="AJ8780">
        <v>1</v>
      </c>
      <c r="AK8780">
        <v>1</v>
      </c>
      <c r="AL8780">
        <v>1</v>
      </c>
      <c r="AM8780">
        <v>1</v>
      </c>
    </row>
    <row r="8781" spans="1:39" x14ac:dyDescent="0.2">
      <c r="A8781" t="str">
        <f>"8777"</f>
        <v>8777</v>
      </c>
      <c r="B8781" t="str">
        <f t="shared" si="488"/>
        <v>1</v>
      </c>
      <c r="C8781" t="str">
        <f t="shared" si="487"/>
        <v>176</v>
      </c>
      <c r="D8781" t="str">
        <f>"47"</f>
        <v>47</v>
      </c>
      <c r="E8781" t="str">
        <f>"1-176-47"</f>
        <v>1-176-47</v>
      </c>
      <c r="F8781" t="s">
        <v>65</v>
      </c>
      <c r="G8781" t="s">
        <v>66</v>
      </c>
      <c r="H8781" t="s">
        <v>67</v>
      </c>
      <c r="S8781">
        <v>0</v>
      </c>
      <c r="T8781">
        <v>1</v>
      </c>
      <c r="U8781">
        <v>0</v>
      </c>
      <c r="V8781">
        <v>0</v>
      </c>
      <c r="W8781">
        <v>0</v>
      </c>
      <c r="X8781">
        <v>1</v>
      </c>
      <c r="Y8781">
        <v>0</v>
      </c>
      <c r="Z8781">
        <v>1</v>
      </c>
      <c r="AA8781">
        <v>0</v>
      </c>
      <c r="AB8781">
        <v>0</v>
      </c>
      <c r="AC8781">
        <v>1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</row>
    <row r="8782" spans="1:39" x14ac:dyDescent="0.2">
      <c r="A8782" t="str">
        <f>"8778"</f>
        <v>8778</v>
      </c>
      <c r="B8782" t="str">
        <f t="shared" si="488"/>
        <v>1</v>
      </c>
      <c r="C8782" t="str">
        <f t="shared" si="487"/>
        <v>176</v>
      </c>
      <c r="D8782" t="str">
        <f>"34"</f>
        <v>34</v>
      </c>
      <c r="E8782" t="str">
        <f>"1-176-34"</f>
        <v>1-176-34</v>
      </c>
      <c r="F8782" t="s">
        <v>65</v>
      </c>
      <c r="G8782" t="s">
        <v>66</v>
      </c>
      <c r="H8782" t="s">
        <v>67</v>
      </c>
      <c r="S8782">
        <v>1</v>
      </c>
      <c r="T8782">
        <v>0</v>
      </c>
      <c r="U8782">
        <v>0</v>
      </c>
      <c r="V8782">
        <v>0</v>
      </c>
      <c r="W8782">
        <v>1</v>
      </c>
      <c r="X8782">
        <v>0</v>
      </c>
      <c r="Y8782">
        <v>1</v>
      </c>
      <c r="Z8782">
        <v>0</v>
      </c>
      <c r="AA8782">
        <v>1</v>
      </c>
      <c r="AB8782">
        <v>0</v>
      </c>
      <c r="AC8782">
        <v>0</v>
      </c>
      <c r="AD8782">
        <v>1</v>
      </c>
      <c r="AE8782">
        <v>1</v>
      </c>
      <c r="AF8782">
        <v>1</v>
      </c>
      <c r="AG8782">
        <v>1</v>
      </c>
      <c r="AH8782">
        <v>1</v>
      </c>
      <c r="AI8782">
        <v>1</v>
      </c>
      <c r="AJ8782">
        <v>1</v>
      </c>
      <c r="AK8782">
        <v>1</v>
      </c>
      <c r="AL8782">
        <v>1</v>
      </c>
      <c r="AM8782">
        <v>1</v>
      </c>
    </row>
    <row r="8783" spans="1:39" x14ac:dyDescent="0.2">
      <c r="A8783" t="str">
        <f>"8779"</f>
        <v>8779</v>
      </c>
      <c r="B8783" t="str">
        <f t="shared" si="488"/>
        <v>1</v>
      </c>
      <c r="C8783" t="str">
        <f t="shared" si="487"/>
        <v>176</v>
      </c>
      <c r="D8783" t="str">
        <f>"20"</f>
        <v>20</v>
      </c>
      <c r="E8783" t="str">
        <f>"1-176-20"</f>
        <v>1-176-20</v>
      </c>
      <c r="F8783" t="s">
        <v>65</v>
      </c>
      <c r="G8783" t="s">
        <v>66</v>
      </c>
      <c r="H8783" t="s">
        <v>67</v>
      </c>
      <c r="S8783">
        <v>0</v>
      </c>
      <c r="T8783">
        <v>1</v>
      </c>
      <c r="U8783">
        <v>0</v>
      </c>
      <c r="V8783">
        <v>0</v>
      </c>
      <c r="W8783">
        <v>1</v>
      </c>
      <c r="X8783">
        <v>0</v>
      </c>
      <c r="Y8783">
        <v>0</v>
      </c>
      <c r="Z8783">
        <v>1</v>
      </c>
      <c r="AA8783">
        <v>0</v>
      </c>
      <c r="AB8783">
        <v>1</v>
      </c>
      <c r="AC8783">
        <v>0</v>
      </c>
      <c r="AD8783">
        <v>1</v>
      </c>
      <c r="AE8783">
        <v>1</v>
      </c>
      <c r="AF8783">
        <v>1</v>
      </c>
      <c r="AG8783">
        <v>1</v>
      </c>
      <c r="AH8783">
        <v>1</v>
      </c>
      <c r="AI8783">
        <v>1</v>
      </c>
      <c r="AJ8783">
        <v>1</v>
      </c>
      <c r="AK8783">
        <v>1</v>
      </c>
      <c r="AL8783">
        <v>1</v>
      </c>
      <c r="AM8783">
        <v>1</v>
      </c>
    </row>
    <row r="8784" spans="1:39" x14ac:dyDescent="0.2">
      <c r="A8784" t="str">
        <f>"8780"</f>
        <v>8780</v>
      </c>
      <c r="B8784" t="str">
        <f t="shared" si="488"/>
        <v>1</v>
      </c>
      <c r="C8784" t="str">
        <f t="shared" si="487"/>
        <v>176</v>
      </c>
      <c r="D8784" t="str">
        <f>"8"</f>
        <v>8</v>
      </c>
      <c r="E8784" t="str">
        <f>"1-176-8"</f>
        <v>1-176-8</v>
      </c>
      <c r="F8784" t="s">
        <v>65</v>
      </c>
      <c r="G8784" t="s">
        <v>66</v>
      </c>
      <c r="H8784" t="s">
        <v>67</v>
      </c>
      <c r="S8784">
        <v>0</v>
      </c>
      <c r="T8784">
        <v>1</v>
      </c>
      <c r="U8784">
        <v>0</v>
      </c>
      <c r="V8784">
        <v>0</v>
      </c>
      <c r="W8784">
        <v>1</v>
      </c>
      <c r="X8784">
        <v>0</v>
      </c>
      <c r="Y8784">
        <v>0</v>
      </c>
      <c r="Z8784">
        <v>1</v>
      </c>
      <c r="AA8784">
        <v>0</v>
      </c>
      <c r="AB8784">
        <v>1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</row>
    <row r="8785" spans="1:39" x14ac:dyDescent="0.2">
      <c r="A8785" t="str">
        <f>"8781"</f>
        <v>8781</v>
      </c>
      <c r="B8785" t="str">
        <f t="shared" si="488"/>
        <v>1</v>
      </c>
      <c r="C8785" t="str">
        <f t="shared" si="487"/>
        <v>176</v>
      </c>
      <c r="D8785" t="str">
        <f>"46"</f>
        <v>46</v>
      </c>
      <c r="E8785" t="str">
        <f>"1-176-46"</f>
        <v>1-176-46</v>
      </c>
      <c r="F8785" t="s">
        <v>65</v>
      </c>
      <c r="G8785" t="s">
        <v>66</v>
      </c>
      <c r="H8785" t="s">
        <v>67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1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</row>
    <row r="8786" spans="1:39" x14ac:dyDescent="0.2">
      <c r="A8786" t="str">
        <f>"8782"</f>
        <v>8782</v>
      </c>
      <c r="B8786" t="str">
        <f t="shared" si="488"/>
        <v>1</v>
      </c>
      <c r="C8786" t="str">
        <f t="shared" si="487"/>
        <v>176</v>
      </c>
      <c r="D8786" t="str">
        <f>"22"</f>
        <v>22</v>
      </c>
      <c r="E8786" t="str">
        <f>"1-176-22"</f>
        <v>1-176-22</v>
      </c>
      <c r="F8786" t="s">
        <v>65</v>
      </c>
      <c r="G8786" t="s">
        <v>66</v>
      </c>
      <c r="H8786" t="s">
        <v>67</v>
      </c>
      <c r="S8786">
        <v>1</v>
      </c>
      <c r="T8786">
        <v>0</v>
      </c>
      <c r="U8786">
        <v>0</v>
      </c>
      <c r="V8786">
        <v>0</v>
      </c>
      <c r="W8786">
        <v>1</v>
      </c>
      <c r="X8786">
        <v>0</v>
      </c>
      <c r="Y8786">
        <v>1</v>
      </c>
      <c r="Z8786">
        <v>0</v>
      </c>
      <c r="AA8786">
        <v>1</v>
      </c>
      <c r="AB8786">
        <v>0</v>
      </c>
      <c r="AC8786">
        <v>0</v>
      </c>
      <c r="AD8786">
        <v>1</v>
      </c>
      <c r="AE8786">
        <v>1</v>
      </c>
      <c r="AF8786">
        <v>1</v>
      </c>
      <c r="AG8786">
        <v>1</v>
      </c>
      <c r="AH8786">
        <v>1</v>
      </c>
      <c r="AI8786">
        <v>1</v>
      </c>
      <c r="AJ8786">
        <v>1</v>
      </c>
      <c r="AK8786">
        <v>1</v>
      </c>
      <c r="AL8786">
        <v>1</v>
      </c>
      <c r="AM8786">
        <v>1</v>
      </c>
    </row>
    <row r="8787" spans="1:39" x14ac:dyDescent="0.2">
      <c r="A8787" t="str">
        <f>"8783"</f>
        <v>8783</v>
      </c>
      <c r="B8787" t="str">
        <f t="shared" si="488"/>
        <v>1</v>
      </c>
      <c r="C8787" t="str">
        <f t="shared" ref="C8787:C8804" si="489">"176"</f>
        <v>176</v>
      </c>
      <c r="D8787" t="str">
        <f>"11"</f>
        <v>11</v>
      </c>
      <c r="E8787" t="str">
        <f>"1-176-11"</f>
        <v>1-176-11</v>
      </c>
      <c r="F8787" t="s">
        <v>65</v>
      </c>
      <c r="G8787" t="s">
        <v>66</v>
      </c>
      <c r="H8787" t="s">
        <v>67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1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</row>
    <row r="8788" spans="1:39" x14ac:dyDescent="0.2">
      <c r="A8788" t="str">
        <f>"8784"</f>
        <v>8784</v>
      </c>
      <c r="B8788" t="str">
        <f t="shared" si="488"/>
        <v>1</v>
      </c>
      <c r="C8788" t="str">
        <f t="shared" si="489"/>
        <v>176</v>
      </c>
      <c r="D8788" t="str">
        <f>"23"</f>
        <v>23</v>
      </c>
      <c r="E8788" t="str">
        <f>"1-176-23"</f>
        <v>1-176-23</v>
      </c>
      <c r="F8788" t="s">
        <v>65</v>
      </c>
      <c r="G8788" t="s">
        <v>66</v>
      </c>
      <c r="H8788" t="s">
        <v>67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1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</row>
    <row r="8789" spans="1:39" x14ac:dyDescent="0.2">
      <c r="A8789" t="str">
        <f>"8785"</f>
        <v>8785</v>
      </c>
      <c r="B8789" t="str">
        <f t="shared" si="488"/>
        <v>1</v>
      </c>
      <c r="C8789" t="str">
        <f t="shared" si="489"/>
        <v>176</v>
      </c>
      <c r="D8789" t="str">
        <f>"7"</f>
        <v>7</v>
      </c>
      <c r="E8789" t="str">
        <f>"1-176-7"</f>
        <v>1-176-7</v>
      </c>
      <c r="F8789" t="s">
        <v>65</v>
      </c>
      <c r="G8789" t="s">
        <v>66</v>
      </c>
      <c r="H8789" t="s">
        <v>67</v>
      </c>
      <c r="S8789">
        <v>1</v>
      </c>
      <c r="T8789">
        <v>0</v>
      </c>
      <c r="U8789">
        <v>0</v>
      </c>
      <c r="V8789">
        <v>0</v>
      </c>
      <c r="W8789">
        <v>1</v>
      </c>
      <c r="X8789">
        <v>0</v>
      </c>
      <c r="Y8789">
        <v>1</v>
      </c>
      <c r="Z8789">
        <v>0</v>
      </c>
      <c r="AA8789">
        <v>1</v>
      </c>
      <c r="AB8789">
        <v>0</v>
      </c>
      <c r="AC8789">
        <v>0</v>
      </c>
      <c r="AD8789">
        <v>1</v>
      </c>
      <c r="AE8789">
        <v>1</v>
      </c>
      <c r="AF8789">
        <v>1</v>
      </c>
      <c r="AG8789">
        <v>1</v>
      </c>
      <c r="AH8789">
        <v>1</v>
      </c>
      <c r="AI8789">
        <v>1</v>
      </c>
      <c r="AJ8789">
        <v>1</v>
      </c>
      <c r="AK8789">
        <v>1</v>
      </c>
      <c r="AL8789">
        <v>1</v>
      </c>
      <c r="AM8789">
        <v>1</v>
      </c>
    </row>
    <row r="8790" spans="1:39" x14ac:dyDescent="0.2">
      <c r="A8790" t="str">
        <f>"8786"</f>
        <v>8786</v>
      </c>
      <c r="B8790" t="str">
        <f t="shared" si="488"/>
        <v>1</v>
      </c>
      <c r="C8790" t="str">
        <f t="shared" si="489"/>
        <v>176</v>
      </c>
      <c r="D8790" t="str">
        <f>"45"</f>
        <v>45</v>
      </c>
      <c r="E8790" t="str">
        <f>"1-176-45"</f>
        <v>1-176-45</v>
      </c>
      <c r="F8790" t="s">
        <v>65</v>
      </c>
      <c r="G8790" t="s">
        <v>66</v>
      </c>
      <c r="H8790" t="s">
        <v>67</v>
      </c>
      <c r="S8790">
        <v>1</v>
      </c>
      <c r="T8790">
        <v>0</v>
      </c>
      <c r="U8790">
        <v>0</v>
      </c>
      <c r="V8790">
        <v>0</v>
      </c>
      <c r="W8790">
        <v>1</v>
      </c>
      <c r="X8790">
        <v>0</v>
      </c>
      <c r="Y8790">
        <v>1</v>
      </c>
      <c r="Z8790">
        <v>0</v>
      </c>
      <c r="AA8790">
        <v>1</v>
      </c>
      <c r="AB8790">
        <v>0</v>
      </c>
      <c r="AC8790">
        <v>0</v>
      </c>
      <c r="AD8790">
        <v>1</v>
      </c>
      <c r="AE8790">
        <v>1</v>
      </c>
      <c r="AF8790">
        <v>1</v>
      </c>
      <c r="AG8790">
        <v>1</v>
      </c>
      <c r="AH8790">
        <v>1</v>
      </c>
      <c r="AI8790">
        <v>1</v>
      </c>
      <c r="AJ8790">
        <v>1</v>
      </c>
      <c r="AK8790">
        <v>1</v>
      </c>
      <c r="AL8790">
        <v>1</v>
      </c>
      <c r="AM8790">
        <v>1</v>
      </c>
    </row>
    <row r="8791" spans="1:39" x14ac:dyDescent="0.2">
      <c r="A8791" t="str">
        <f>"8787"</f>
        <v>8787</v>
      </c>
      <c r="B8791" t="str">
        <f t="shared" si="488"/>
        <v>1</v>
      </c>
      <c r="C8791" t="str">
        <f t="shared" si="489"/>
        <v>176</v>
      </c>
      <c r="D8791" t="str">
        <f>"24"</f>
        <v>24</v>
      </c>
      <c r="E8791" t="str">
        <f>"1-176-24"</f>
        <v>1-176-24</v>
      </c>
      <c r="F8791" t="s">
        <v>65</v>
      </c>
      <c r="G8791" t="s">
        <v>66</v>
      </c>
      <c r="H8791" t="s">
        <v>67</v>
      </c>
      <c r="S8791">
        <v>1</v>
      </c>
      <c r="T8791">
        <v>0</v>
      </c>
      <c r="U8791">
        <v>0</v>
      </c>
      <c r="V8791">
        <v>0</v>
      </c>
      <c r="W8791">
        <v>1</v>
      </c>
      <c r="X8791">
        <v>0</v>
      </c>
      <c r="Y8791">
        <v>1</v>
      </c>
      <c r="Z8791">
        <v>0</v>
      </c>
      <c r="AA8791">
        <v>1</v>
      </c>
      <c r="AB8791">
        <v>0</v>
      </c>
      <c r="AC8791">
        <v>0</v>
      </c>
      <c r="AD8791">
        <v>1</v>
      </c>
      <c r="AE8791">
        <v>1</v>
      </c>
      <c r="AF8791">
        <v>1</v>
      </c>
      <c r="AG8791">
        <v>1</v>
      </c>
      <c r="AH8791">
        <v>1</v>
      </c>
      <c r="AI8791">
        <v>1</v>
      </c>
      <c r="AJ8791">
        <v>1</v>
      </c>
      <c r="AK8791">
        <v>1</v>
      </c>
      <c r="AL8791">
        <v>1</v>
      </c>
      <c r="AM8791">
        <v>1</v>
      </c>
    </row>
    <row r="8792" spans="1:39" x14ac:dyDescent="0.2">
      <c r="A8792" t="str">
        <f>"8788"</f>
        <v>8788</v>
      </c>
      <c r="B8792" t="str">
        <f t="shared" si="488"/>
        <v>1</v>
      </c>
      <c r="C8792" t="str">
        <f t="shared" si="489"/>
        <v>176</v>
      </c>
      <c r="D8792" t="str">
        <f>"4"</f>
        <v>4</v>
      </c>
      <c r="E8792" t="str">
        <f>"1-176-4"</f>
        <v>1-176-4</v>
      </c>
      <c r="F8792" t="s">
        <v>65</v>
      </c>
      <c r="G8792" t="s">
        <v>66</v>
      </c>
      <c r="H8792" t="s">
        <v>67</v>
      </c>
      <c r="S8792">
        <v>0</v>
      </c>
      <c r="T8792">
        <v>1</v>
      </c>
      <c r="U8792">
        <v>0</v>
      </c>
      <c r="V8792">
        <v>0</v>
      </c>
      <c r="W8792">
        <v>0</v>
      </c>
      <c r="X8792">
        <v>1</v>
      </c>
      <c r="Y8792">
        <v>0</v>
      </c>
      <c r="Z8792">
        <v>1</v>
      </c>
      <c r="AA8792">
        <v>0</v>
      </c>
      <c r="AB8792">
        <v>0</v>
      </c>
      <c r="AC8792">
        <v>1</v>
      </c>
      <c r="AD8792">
        <v>1</v>
      </c>
      <c r="AE8792">
        <v>1</v>
      </c>
      <c r="AF8792">
        <v>1</v>
      </c>
      <c r="AG8792">
        <v>1</v>
      </c>
      <c r="AH8792">
        <v>1</v>
      </c>
      <c r="AI8792">
        <v>1</v>
      </c>
      <c r="AJ8792">
        <v>1</v>
      </c>
      <c r="AK8792">
        <v>1</v>
      </c>
      <c r="AL8792">
        <v>1</v>
      </c>
      <c r="AM8792">
        <v>1</v>
      </c>
    </row>
    <row r="8793" spans="1:39" x14ac:dyDescent="0.2">
      <c r="A8793" t="str">
        <f>"8789"</f>
        <v>8789</v>
      </c>
      <c r="B8793" t="str">
        <f t="shared" si="488"/>
        <v>1</v>
      </c>
      <c r="C8793" t="str">
        <f t="shared" si="489"/>
        <v>176</v>
      </c>
      <c r="D8793" t="str">
        <f>"39"</f>
        <v>39</v>
      </c>
      <c r="E8793" t="str">
        <f>"1-176-39"</f>
        <v>1-176-39</v>
      </c>
      <c r="F8793" t="s">
        <v>65</v>
      </c>
      <c r="G8793" t="s">
        <v>66</v>
      </c>
      <c r="H8793" t="s">
        <v>67</v>
      </c>
      <c r="S8793">
        <v>0</v>
      </c>
      <c r="T8793">
        <v>1</v>
      </c>
      <c r="U8793">
        <v>0</v>
      </c>
      <c r="V8793">
        <v>0</v>
      </c>
      <c r="W8793">
        <v>0</v>
      </c>
      <c r="X8793">
        <v>1</v>
      </c>
      <c r="Y8793">
        <v>0</v>
      </c>
      <c r="Z8793">
        <v>1</v>
      </c>
      <c r="AA8793">
        <v>0</v>
      </c>
      <c r="AB8793">
        <v>0</v>
      </c>
      <c r="AC8793">
        <v>1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1</v>
      </c>
      <c r="AL8793">
        <v>0</v>
      </c>
      <c r="AM8793">
        <v>0</v>
      </c>
    </row>
    <row r="8794" spans="1:39" x14ac:dyDescent="0.2">
      <c r="A8794" t="str">
        <f>"8790"</f>
        <v>8790</v>
      </c>
      <c r="B8794" t="str">
        <f t="shared" si="488"/>
        <v>1</v>
      </c>
      <c r="C8794" t="str">
        <f t="shared" si="489"/>
        <v>176</v>
      </c>
      <c r="D8794" t="str">
        <f>"25"</f>
        <v>25</v>
      </c>
      <c r="E8794" t="str">
        <f>"1-176-25"</f>
        <v>1-176-25</v>
      </c>
      <c r="F8794" t="s">
        <v>65</v>
      </c>
      <c r="G8794" t="s">
        <v>66</v>
      </c>
      <c r="H8794" t="s">
        <v>68</v>
      </c>
      <c r="I8794">
        <v>1</v>
      </c>
      <c r="J8794">
        <v>0</v>
      </c>
      <c r="K8794">
        <v>1</v>
      </c>
      <c r="L8794">
        <v>0</v>
      </c>
      <c r="M8794">
        <v>1</v>
      </c>
      <c r="N8794">
        <v>1</v>
      </c>
      <c r="O8794">
        <v>1</v>
      </c>
      <c r="P8794">
        <v>1</v>
      </c>
      <c r="Q8794">
        <v>1</v>
      </c>
      <c r="R8794">
        <v>1</v>
      </c>
    </row>
    <row r="8795" spans="1:39" x14ac:dyDescent="0.2">
      <c r="A8795" t="str">
        <f>"8791"</f>
        <v>8791</v>
      </c>
      <c r="B8795" t="str">
        <f t="shared" si="488"/>
        <v>1</v>
      </c>
      <c r="C8795" t="str">
        <f t="shared" si="489"/>
        <v>176</v>
      </c>
      <c r="D8795" t="str">
        <f>"5"</f>
        <v>5</v>
      </c>
      <c r="E8795" t="str">
        <f>"1-176-5"</f>
        <v>1-176-5</v>
      </c>
      <c r="F8795" t="s">
        <v>65</v>
      </c>
      <c r="G8795" t="s">
        <v>66</v>
      </c>
      <c r="H8795" t="s">
        <v>67</v>
      </c>
      <c r="S8795">
        <v>0</v>
      </c>
      <c r="T8795">
        <v>1</v>
      </c>
      <c r="U8795">
        <v>0</v>
      </c>
      <c r="V8795">
        <v>0</v>
      </c>
      <c r="W8795">
        <v>0</v>
      </c>
      <c r="X8795">
        <v>1</v>
      </c>
      <c r="Y8795">
        <v>0</v>
      </c>
      <c r="Z8795">
        <v>1</v>
      </c>
      <c r="AA8795">
        <v>0</v>
      </c>
      <c r="AB8795">
        <v>0</v>
      </c>
      <c r="AC8795">
        <v>1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</row>
    <row r="8796" spans="1:39" x14ac:dyDescent="0.2">
      <c r="A8796" t="str">
        <f>"8792"</f>
        <v>8792</v>
      </c>
      <c r="B8796" t="str">
        <f t="shared" si="488"/>
        <v>1</v>
      </c>
      <c r="C8796" t="str">
        <f t="shared" si="489"/>
        <v>176</v>
      </c>
      <c r="D8796" t="str">
        <f>"44"</f>
        <v>44</v>
      </c>
      <c r="E8796" t="str">
        <f>"1-176-44"</f>
        <v>1-176-44</v>
      </c>
      <c r="F8796" t="s">
        <v>65</v>
      </c>
      <c r="G8796" t="s">
        <v>66</v>
      </c>
      <c r="H8796" t="s">
        <v>67</v>
      </c>
      <c r="S8796">
        <v>0</v>
      </c>
      <c r="T8796">
        <v>1</v>
      </c>
      <c r="U8796">
        <v>0</v>
      </c>
      <c r="V8796">
        <v>0</v>
      </c>
      <c r="W8796">
        <v>0</v>
      </c>
      <c r="X8796">
        <v>1</v>
      </c>
      <c r="Y8796">
        <v>0</v>
      </c>
      <c r="Z8796">
        <v>1</v>
      </c>
      <c r="AA8796">
        <v>0</v>
      </c>
      <c r="AB8796">
        <v>1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</row>
    <row r="8797" spans="1:39" x14ac:dyDescent="0.2">
      <c r="A8797" t="str">
        <f>"8793"</f>
        <v>8793</v>
      </c>
      <c r="B8797" t="str">
        <f t="shared" si="488"/>
        <v>1</v>
      </c>
      <c r="C8797" t="str">
        <f t="shared" si="489"/>
        <v>176</v>
      </c>
      <c r="D8797" t="str">
        <f>"26"</f>
        <v>26</v>
      </c>
      <c r="E8797" t="str">
        <f>"1-176-26"</f>
        <v>1-176-26</v>
      </c>
      <c r="F8797" t="s">
        <v>65</v>
      </c>
      <c r="G8797" t="s">
        <v>66</v>
      </c>
      <c r="H8797" t="s">
        <v>68</v>
      </c>
      <c r="I8797">
        <v>1</v>
      </c>
      <c r="J8797">
        <v>0</v>
      </c>
      <c r="K8797">
        <v>1</v>
      </c>
      <c r="L8797">
        <v>0</v>
      </c>
      <c r="M8797">
        <v>1</v>
      </c>
      <c r="N8797">
        <v>1</v>
      </c>
      <c r="O8797">
        <v>1</v>
      </c>
      <c r="P8797">
        <v>1</v>
      </c>
      <c r="Q8797">
        <v>1</v>
      </c>
      <c r="R8797">
        <v>1</v>
      </c>
    </row>
    <row r="8798" spans="1:39" x14ac:dyDescent="0.2">
      <c r="A8798" t="str">
        <f>"8794"</f>
        <v>8794</v>
      </c>
      <c r="B8798" t="str">
        <f t="shared" si="488"/>
        <v>1</v>
      </c>
      <c r="C8798" t="str">
        <f t="shared" si="489"/>
        <v>176</v>
      </c>
      <c r="D8798" t="str">
        <f>"6"</f>
        <v>6</v>
      </c>
      <c r="E8798" t="str">
        <f>"1-176-6"</f>
        <v>1-176-6</v>
      </c>
      <c r="F8798" t="s">
        <v>65</v>
      </c>
      <c r="G8798" t="s">
        <v>66</v>
      </c>
      <c r="H8798" t="s">
        <v>67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1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1</v>
      </c>
      <c r="AE8798">
        <v>1</v>
      </c>
      <c r="AF8798">
        <v>1</v>
      </c>
      <c r="AG8798">
        <v>1</v>
      </c>
      <c r="AH8798">
        <v>1</v>
      </c>
      <c r="AI8798">
        <v>1</v>
      </c>
      <c r="AJ8798">
        <v>1</v>
      </c>
      <c r="AK8798">
        <v>1</v>
      </c>
      <c r="AL8798">
        <v>1</v>
      </c>
      <c r="AM8798">
        <v>1</v>
      </c>
    </row>
    <row r="8799" spans="1:39" x14ac:dyDescent="0.2">
      <c r="A8799" t="str">
        <f>"8795"</f>
        <v>8795</v>
      </c>
      <c r="B8799" t="str">
        <f t="shared" si="488"/>
        <v>1</v>
      </c>
      <c r="C8799" t="str">
        <f t="shared" si="489"/>
        <v>176</v>
      </c>
      <c r="D8799" t="str">
        <f>"28"</f>
        <v>28</v>
      </c>
      <c r="E8799" t="str">
        <f>"1-176-28"</f>
        <v>1-176-28</v>
      </c>
      <c r="F8799" t="s">
        <v>65</v>
      </c>
      <c r="G8799" t="s">
        <v>66</v>
      </c>
      <c r="H8799" t="s">
        <v>67</v>
      </c>
      <c r="S8799">
        <v>0</v>
      </c>
      <c r="T8799">
        <v>1</v>
      </c>
      <c r="U8799">
        <v>0</v>
      </c>
      <c r="V8799">
        <v>0</v>
      </c>
      <c r="W8799">
        <v>0</v>
      </c>
      <c r="X8799">
        <v>1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1</v>
      </c>
      <c r="AI8799">
        <v>1</v>
      </c>
      <c r="AJ8799">
        <v>1</v>
      </c>
      <c r="AK8799">
        <v>1</v>
      </c>
      <c r="AL8799">
        <v>1</v>
      </c>
      <c r="AM8799">
        <v>1</v>
      </c>
    </row>
    <row r="8800" spans="1:39" x14ac:dyDescent="0.2">
      <c r="A8800" t="str">
        <f>"8796"</f>
        <v>8796</v>
      </c>
      <c r="B8800" t="str">
        <f t="shared" si="488"/>
        <v>1</v>
      </c>
      <c r="C8800" t="str">
        <f t="shared" si="489"/>
        <v>176</v>
      </c>
      <c r="D8800" t="str">
        <f>"12"</f>
        <v>12</v>
      </c>
      <c r="E8800" t="str">
        <f>"1-176-12"</f>
        <v>1-176-12</v>
      </c>
      <c r="F8800" t="s">
        <v>65</v>
      </c>
      <c r="G8800" t="s">
        <v>66</v>
      </c>
      <c r="H8800" t="s">
        <v>67</v>
      </c>
      <c r="S8800">
        <v>0</v>
      </c>
      <c r="T8800">
        <v>1</v>
      </c>
      <c r="U8800">
        <v>0</v>
      </c>
      <c r="V8800">
        <v>0</v>
      </c>
      <c r="W8800">
        <v>0</v>
      </c>
      <c r="X8800">
        <v>1</v>
      </c>
      <c r="Y8800">
        <v>0</v>
      </c>
      <c r="Z8800">
        <v>1</v>
      </c>
      <c r="AA8800">
        <v>0</v>
      </c>
      <c r="AB8800">
        <v>0</v>
      </c>
      <c r="AC8800">
        <v>0</v>
      </c>
      <c r="AD8800">
        <v>1</v>
      </c>
      <c r="AE8800">
        <v>1</v>
      </c>
      <c r="AF8800">
        <v>1</v>
      </c>
      <c r="AG8800">
        <v>1</v>
      </c>
      <c r="AH8800">
        <v>1</v>
      </c>
      <c r="AI8800">
        <v>1</v>
      </c>
      <c r="AJ8800">
        <v>1</v>
      </c>
      <c r="AK8800">
        <v>1</v>
      </c>
      <c r="AL8800">
        <v>1</v>
      </c>
      <c r="AM8800">
        <v>1</v>
      </c>
    </row>
    <row r="8801" spans="1:39" x14ac:dyDescent="0.2">
      <c r="A8801" t="str">
        <f>"8797"</f>
        <v>8797</v>
      </c>
      <c r="B8801" t="str">
        <f t="shared" si="488"/>
        <v>1</v>
      </c>
      <c r="C8801" t="str">
        <f t="shared" si="489"/>
        <v>176</v>
      </c>
      <c r="D8801" t="str">
        <f>"29"</f>
        <v>29</v>
      </c>
      <c r="E8801" t="str">
        <f>"1-176-29"</f>
        <v>1-176-29</v>
      </c>
      <c r="F8801" t="s">
        <v>65</v>
      </c>
      <c r="G8801" t="s">
        <v>66</v>
      </c>
      <c r="H8801" t="s">
        <v>67</v>
      </c>
      <c r="S8801">
        <v>0</v>
      </c>
      <c r="T8801">
        <v>0</v>
      </c>
      <c r="U8801">
        <v>0</v>
      </c>
      <c r="V8801">
        <v>0</v>
      </c>
      <c r="W8801">
        <v>1</v>
      </c>
      <c r="X8801">
        <v>0</v>
      </c>
      <c r="Y8801">
        <v>0</v>
      </c>
      <c r="Z8801">
        <v>1</v>
      </c>
      <c r="AA8801">
        <v>0</v>
      </c>
      <c r="AB8801">
        <v>1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</row>
    <row r="8802" spans="1:39" x14ac:dyDescent="0.2">
      <c r="A8802" t="str">
        <f>"8798"</f>
        <v>8798</v>
      </c>
      <c r="B8802" t="str">
        <f t="shared" si="488"/>
        <v>1</v>
      </c>
      <c r="C8802" t="str">
        <f t="shared" si="489"/>
        <v>176</v>
      </c>
      <c r="D8802" t="str">
        <f>"13"</f>
        <v>13</v>
      </c>
      <c r="E8802" t="str">
        <f>"1-176-13"</f>
        <v>1-176-13</v>
      </c>
      <c r="F8802" t="s">
        <v>65</v>
      </c>
      <c r="G8802" t="s">
        <v>66</v>
      </c>
      <c r="H8802" t="s">
        <v>67</v>
      </c>
      <c r="S8802">
        <v>1</v>
      </c>
      <c r="T8802">
        <v>0</v>
      </c>
      <c r="U8802">
        <v>0</v>
      </c>
      <c r="V8802">
        <v>0</v>
      </c>
      <c r="W8802">
        <v>1</v>
      </c>
      <c r="X8802">
        <v>0</v>
      </c>
      <c r="Y8802">
        <v>1</v>
      </c>
      <c r="Z8802">
        <v>0</v>
      </c>
      <c r="AA8802">
        <v>1</v>
      </c>
      <c r="AB8802">
        <v>0</v>
      </c>
      <c r="AC8802">
        <v>0</v>
      </c>
      <c r="AD8802">
        <v>1</v>
      </c>
      <c r="AE8802">
        <v>1</v>
      </c>
      <c r="AF8802">
        <v>1</v>
      </c>
      <c r="AG8802">
        <v>1</v>
      </c>
      <c r="AH8802">
        <v>1</v>
      </c>
      <c r="AI8802">
        <v>1</v>
      </c>
      <c r="AJ8802">
        <v>1</v>
      </c>
      <c r="AK8802">
        <v>1</v>
      </c>
      <c r="AL8802">
        <v>1</v>
      </c>
      <c r="AM8802">
        <v>1</v>
      </c>
    </row>
    <row r="8803" spans="1:39" x14ac:dyDescent="0.2">
      <c r="A8803" t="str">
        <f>"8799"</f>
        <v>8799</v>
      </c>
      <c r="B8803" t="str">
        <f t="shared" si="488"/>
        <v>1</v>
      </c>
      <c r="C8803" t="str">
        <f t="shared" si="489"/>
        <v>176</v>
      </c>
      <c r="D8803" t="str">
        <f>"30"</f>
        <v>30</v>
      </c>
      <c r="E8803" t="str">
        <f>"1-176-30"</f>
        <v>1-176-30</v>
      </c>
      <c r="F8803" t="s">
        <v>65</v>
      </c>
      <c r="G8803" t="s">
        <v>66</v>
      </c>
      <c r="H8803" t="s">
        <v>67</v>
      </c>
      <c r="S8803">
        <v>1</v>
      </c>
      <c r="T8803">
        <v>0</v>
      </c>
      <c r="U8803">
        <v>0</v>
      </c>
      <c r="V8803">
        <v>0</v>
      </c>
      <c r="W8803">
        <v>0</v>
      </c>
      <c r="X8803">
        <v>1</v>
      </c>
      <c r="Y8803">
        <v>0</v>
      </c>
      <c r="Z8803">
        <v>1</v>
      </c>
      <c r="AA8803">
        <v>0</v>
      </c>
      <c r="AB8803">
        <v>1</v>
      </c>
      <c r="AC8803">
        <v>0</v>
      </c>
      <c r="AD8803">
        <v>1</v>
      </c>
      <c r="AE8803">
        <v>1</v>
      </c>
      <c r="AF8803">
        <v>1</v>
      </c>
      <c r="AG8803">
        <v>1</v>
      </c>
      <c r="AH8803">
        <v>1</v>
      </c>
      <c r="AI8803">
        <v>1</v>
      </c>
      <c r="AJ8803">
        <v>1</v>
      </c>
      <c r="AK8803">
        <v>1</v>
      </c>
      <c r="AL8803">
        <v>1</v>
      </c>
      <c r="AM8803">
        <v>1</v>
      </c>
    </row>
    <row r="8804" spans="1:39" x14ac:dyDescent="0.2">
      <c r="A8804" t="str">
        <f>"8800"</f>
        <v>8800</v>
      </c>
      <c r="B8804" t="str">
        <f t="shared" si="488"/>
        <v>1</v>
      </c>
      <c r="C8804" t="str">
        <f t="shared" si="489"/>
        <v>176</v>
      </c>
      <c r="D8804" t="str">
        <f>"10"</f>
        <v>10</v>
      </c>
      <c r="E8804" t="str">
        <f>"1-176-10"</f>
        <v>1-176-10</v>
      </c>
      <c r="F8804" t="s">
        <v>65</v>
      </c>
      <c r="G8804" t="s">
        <v>66</v>
      </c>
      <c r="H8804" t="s">
        <v>67</v>
      </c>
      <c r="S8804">
        <v>1</v>
      </c>
      <c r="T8804">
        <v>0</v>
      </c>
      <c r="U8804">
        <v>0</v>
      </c>
      <c r="V8804">
        <v>0</v>
      </c>
      <c r="W8804">
        <v>1</v>
      </c>
      <c r="X8804">
        <v>0</v>
      </c>
      <c r="Y8804">
        <v>0</v>
      </c>
      <c r="Z8804">
        <v>1</v>
      </c>
      <c r="AA8804">
        <v>1</v>
      </c>
      <c r="AB8804">
        <v>0</v>
      </c>
      <c r="AC8804">
        <v>0</v>
      </c>
      <c r="AD8804">
        <v>1</v>
      </c>
      <c r="AE8804">
        <v>1</v>
      </c>
      <c r="AF8804">
        <v>1</v>
      </c>
      <c r="AG8804">
        <v>1</v>
      </c>
      <c r="AH8804">
        <v>1</v>
      </c>
      <c r="AI8804">
        <v>1</v>
      </c>
      <c r="AJ8804">
        <v>1</v>
      </c>
      <c r="AK8804">
        <v>1</v>
      </c>
      <c r="AL8804">
        <v>1</v>
      </c>
      <c r="AM8804">
        <v>0</v>
      </c>
    </row>
    <row r="8805" spans="1:39" x14ac:dyDescent="0.2">
      <c r="A8805" t="str">
        <f>"8801"</f>
        <v>8801</v>
      </c>
      <c r="B8805" t="str">
        <f t="shared" si="488"/>
        <v>1</v>
      </c>
      <c r="C8805" t="str">
        <f t="shared" ref="C8805:C8836" si="490">"177"</f>
        <v>177</v>
      </c>
      <c r="D8805" t="str">
        <f>"38"</f>
        <v>38</v>
      </c>
      <c r="E8805" t="str">
        <f>"1-177-38"</f>
        <v>1-177-38</v>
      </c>
      <c r="F8805" t="s">
        <v>65</v>
      </c>
      <c r="G8805" t="s">
        <v>66</v>
      </c>
      <c r="H8805" t="s">
        <v>67</v>
      </c>
      <c r="S8805">
        <v>0</v>
      </c>
      <c r="T8805">
        <v>0</v>
      </c>
      <c r="U8805">
        <v>0</v>
      </c>
      <c r="V8805">
        <v>0</v>
      </c>
      <c r="W8805">
        <v>1</v>
      </c>
      <c r="X8805">
        <v>0</v>
      </c>
      <c r="Y8805">
        <v>0</v>
      </c>
      <c r="Z8805">
        <v>1</v>
      </c>
      <c r="AA8805">
        <v>1</v>
      </c>
      <c r="AB8805">
        <v>0</v>
      </c>
      <c r="AC8805">
        <v>0</v>
      </c>
      <c r="AD8805">
        <v>1</v>
      </c>
      <c r="AE8805">
        <v>1</v>
      </c>
      <c r="AF8805">
        <v>1</v>
      </c>
      <c r="AG8805">
        <v>1</v>
      </c>
      <c r="AH8805">
        <v>1</v>
      </c>
      <c r="AI8805">
        <v>1</v>
      </c>
      <c r="AJ8805">
        <v>1</v>
      </c>
      <c r="AK8805">
        <v>1</v>
      </c>
      <c r="AL8805">
        <v>1</v>
      </c>
      <c r="AM8805">
        <v>1</v>
      </c>
    </row>
    <row r="8806" spans="1:39" x14ac:dyDescent="0.2">
      <c r="A8806" t="str">
        <f>"8802"</f>
        <v>8802</v>
      </c>
      <c r="B8806" t="str">
        <f t="shared" si="488"/>
        <v>1</v>
      </c>
      <c r="C8806" t="str">
        <f t="shared" si="490"/>
        <v>177</v>
      </c>
      <c r="D8806" t="str">
        <f>"37"</f>
        <v>37</v>
      </c>
      <c r="E8806" t="str">
        <f>"1-177-37"</f>
        <v>1-177-37</v>
      </c>
      <c r="F8806" t="s">
        <v>65</v>
      </c>
      <c r="G8806" t="s">
        <v>66</v>
      </c>
      <c r="H8806" t="s">
        <v>67</v>
      </c>
      <c r="S8806">
        <v>1</v>
      </c>
      <c r="T8806">
        <v>0</v>
      </c>
      <c r="U8806">
        <v>0</v>
      </c>
      <c r="V8806">
        <v>0</v>
      </c>
      <c r="W8806">
        <v>1</v>
      </c>
      <c r="X8806">
        <v>0</v>
      </c>
      <c r="Y8806">
        <v>0</v>
      </c>
      <c r="Z8806">
        <v>0</v>
      </c>
      <c r="AA8806">
        <v>1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</row>
    <row r="8807" spans="1:39" x14ac:dyDescent="0.2">
      <c r="A8807" t="str">
        <f>"8803"</f>
        <v>8803</v>
      </c>
      <c r="B8807" t="str">
        <f t="shared" si="488"/>
        <v>1</v>
      </c>
      <c r="C8807" t="str">
        <f t="shared" si="490"/>
        <v>177</v>
      </c>
      <c r="D8807" t="str">
        <f>"25"</f>
        <v>25</v>
      </c>
      <c r="E8807" t="str">
        <f>"1-177-25"</f>
        <v>1-177-25</v>
      </c>
      <c r="F8807" t="s">
        <v>65</v>
      </c>
      <c r="G8807" t="s">
        <v>66</v>
      </c>
      <c r="H8807" t="s">
        <v>67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1</v>
      </c>
      <c r="Y8807">
        <v>0</v>
      </c>
      <c r="Z8807">
        <v>0</v>
      </c>
      <c r="AA8807">
        <v>1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1</v>
      </c>
      <c r="AJ8807">
        <v>0</v>
      </c>
      <c r="AK8807">
        <v>0</v>
      </c>
      <c r="AL8807">
        <v>0</v>
      </c>
      <c r="AM8807">
        <v>0</v>
      </c>
    </row>
    <row r="8808" spans="1:39" x14ac:dyDescent="0.2">
      <c r="A8808" t="str">
        <f>"8804"</f>
        <v>8804</v>
      </c>
      <c r="B8808" t="str">
        <f t="shared" si="488"/>
        <v>1</v>
      </c>
      <c r="C8808" t="str">
        <f t="shared" si="490"/>
        <v>177</v>
      </c>
      <c r="D8808" t="str">
        <f>"15"</f>
        <v>15</v>
      </c>
      <c r="E8808" t="str">
        <f>"1-177-15"</f>
        <v>1-177-15</v>
      </c>
      <c r="F8808" t="s">
        <v>65</v>
      </c>
      <c r="G8808" t="s">
        <v>66</v>
      </c>
      <c r="H8808" t="s">
        <v>67</v>
      </c>
      <c r="S8808">
        <v>0</v>
      </c>
      <c r="T8808">
        <v>1</v>
      </c>
      <c r="U8808">
        <v>0</v>
      </c>
      <c r="V8808">
        <v>0</v>
      </c>
      <c r="W8808">
        <v>0</v>
      </c>
      <c r="X8808">
        <v>1</v>
      </c>
      <c r="Y8808">
        <v>0</v>
      </c>
      <c r="Z8808">
        <v>1</v>
      </c>
      <c r="AA8808">
        <v>0</v>
      </c>
      <c r="AB8808">
        <v>0</v>
      </c>
      <c r="AC8808">
        <v>1</v>
      </c>
      <c r="AD8808">
        <v>1</v>
      </c>
      <c r="AE8808">
        <v>1</v>
      </c>
      <c r="AF8808">
        <v>1</v>
      </c>
      <c r="AG8808">
        <v>1</v>
      </c>
      <c r="AH8808">
        <v>1</v>
      </c>
      <c r="AI8808">
        <v>1</v>
      </c>
      <c r="AJ8808">
        <v>1</v>
      </c>
      <c r="AK8808">
        <v>1</v>
      </c>
      <c r="AL8808">
        <v>1</v>
      </c>
      <c r="AM8808">
        <v>1</v>
      </c>
    </row>
    <row r="8809" spans="1:39" x14ac:dyDescent="0.2">
      <c r="A8809" t="str">
        <f>"8805"</f>
        <v>8805</v>
      </c>
      <c r="B8809" t="str">
        <f t="shared" si="488"/>
        <v>1</v>
      </c>
      <c r="C8809" t="str">
        <f t="shared" si="490"/>
        <v>177</v>
      </c>
      <c r="D8809" t="str">
        <f>"6"</f>
        <v>6</v>
      </c>
      <c r="E8809" t="str">
        <f>"1-177-6"</f>
        <v>1-177-6</v>
      </c>
      <c r="F8809" t="s">
        <v>65</v>
      </c>
      <c r="G8809" t="s">
        <v>66</v>
      </c>
      <c r="H8809" t="s">
        <v>67</v>
      </c>
      <c r="S8809">
        <v>0</v>
      </c>
      <c r="T8809">
        <v>1</v>
      </c>
      <c r="U8809">
        <v>0</v>
      </c>
      <c r="V8809">
        <v>0</v>
      </c>
      <c r="W8809">
        <v>0</v>
      </c>
      <c r="X8809">
        <v>1</v>
      </c>
      <c r="Y8809">
        <v>0</v>
      </c>
      <c r="Z8809">
        <v>1</v>
      </c>
      <c r="AA8809">
        <v>0</v>
      </c>
      <c r="AB8809">
        <v>0</v>
      </c>
      <c r="AC8809">
        <v>1</v>
      </c>
      <c r="AD8809">
        <v>1</v>
      </c>
      <c r="AE8809">
        <v>1</v>
      </c>
      <c r="AF8809">
        <v>1</v>
      </c>
      <c r="AG8809">
        <v>1</v>
      </c>
      <c r="AH8809">
        <v>1</v>
      </c>
      <c r="AI8809">
        <v>1</v>
      </c>
      <c r="AJ8809">
        <v>1</v>
      </c>
      <c r="AK8809">
        <v>1</v>
      </c>
      <c r="AL8809">
        <v>1</v>
      </c>
      <c r="AM8809">
        <v>1</v>
      </c>
    </row>
    <row r="8810" spans="1:39" x14ac:dyDescent="0.2">
      <c r="A8810" t="str">
        <f>"8806"</f>
        <v>8806</v>
      </c>
      <c r="B8810" t="str">
        <f t="shared" si="488"/>
        <v>1</v>
      </c>
      <c r="C8810" t="str">
        <f t="shared" si="490"/>
        <v>177</v>
      </c>
      <c r="D8810" t="str">
        <f>"36"</f>
        <v>36</v>
      </c>
      <c r="E8810" t="str">
        <f>"1-177-36"</f>
        <v>1-177-36</v>
      </c>
      <c r="F8810" t="s">
        <v>65</v>
      </c>
      <c r="G8810" t="s">
        <v>66</v>
      </c>
      <c r="H8810" t="s">
        <v>68</v>
      </c>
      <c r="I8810">
        <v>1</v>
      </c>
      <c r="J8810">
        <v>1</v>
      </c>
      <c r="K8810">
        <v>0</v>
      </c>
      <c r="L8810">
        <v>0</v>
      </c>
      <c r="M8810">
        <v>1</v>
      </c>
      <c r="N8810">
        <v>1</v>
      </c>
      <c r="O8810">
        <v>1</v>
      </c>
      <c r="P8810">
        <v>1</v>
      </c>
      <c r="Q8810">
        <v>1</v>
      </c>
      <c r="R8810">
        <v>1</v>
      </c>
    </row>
    <row r="8811" spans="1:39" x14ac:dyDescent="0.2">
      <c r="A8811" t="str">
        <f>"8807"</f>
        <v>8807</v>
      </c>
      <c r="B8811" t="str">
        <f t="shared" si="488"/>
        <v>1</v>
      </c>
      <c r="C8811" t="str">
        <f t="shared" si="490"/>
        <v>177</v>
      </c>
      <c r="D8811" t="str">
        <f>"35"</f>
        <v>35</v>
      </c>
      <c r="E8811" t="str">
        <f>"1-177-35"</f>
        <v>1-177-35</v>
      </c>
      <c r="F8811" t="s">
        <v>65</v>
      </c>
      <c r="G8811" t="s">
        <v>66</v>
      </c>
      <c r="H8811" t="s">
        <v>67</v>
      </c>
      <c r="S8811">
        <v>0</v>
      </c>
      <c r="T8811">
        <v>1</v>
      </c>
      <c r="U8811">
        <v>0</v>
      </c>
      <c r="V8811">
        <v>0</v>
      </c>
      <c r="W8811">
        <v>0</v>
      </c>
      <c r="X8811">
        <v>1</v>
      </c>
      <c r="Y8811">
        <v>0</v>
      </c>
      <c r="Z8811">
        <v>1</v>
      </c>
      <c r="AA8811">
        <v>0</v>
      </c>
      <c r="AB8811">
        <v>0</v>
      </c>
      <c r="AC8811">
        <v>1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</row>
    <row r="8812" spans="1:39" x14ac:dyDescent="0.2">
      <c r="A8812" t="str">
        <f>"8808"</f>
        <v>8808</v>
      </c>
      <c r="B8812" t="str">
        <f t="shared" si="488"/>
        <v>1</v>
      </c>
      <c r="C8812" t="str">
        <f t="shared" si="490"/>
        <v>177</v>
      </c>
      <c r="D8812" t="str">
        <f>"22"</f>
        <v>22</v>
      </c>
      <c r="E8812" t="str">
        <f>"1-177-22"</f>
        <v>1-177-22</v>
      </c>
      <c r="F8812" t="s">
        <v>65</v>
      </c>
      <c r="G8812" t="s">
        <v>66</v>
      </c>
      <c r="H8812" t="s">
        <v>67</v>
      </c>
      <c r="S8812">
        <v>1</v>
      </c>
      <c r="T8812">
        <v>0</v>
      </c>
      <c r="U8812">
        <v>0</v>
      </c>
      <c r="V8812">
        <v>0</v>
      </c>
      <c r="W8812">
        <v>1</v>
      </c>
      <c r="X8812">
        <v>0</v>
      </c>
      <c r="Y8812">
        <v>1</v>
      </c>
      <c r="Z8812">
        <v>0</v>
      </c>
      <c r="AA8812">
        <v>1</v>
      </c>
      <c r="AB8812">
        <v>0</v>
      </c>
      <c r="AC8812">
        <v>0</v>
      </c>
      <c r="AD8812">
        <v>1</v>
      </c>
      <c r="AE8812">
        <v>1</v>
      </c>
      <c r="AF8812">
        <v>1</v>
      </c>
      <c r="AG8812">
        <v>1</v>
      </c>
      <c r="AH8812">
        <v>1</v>
      </c>
      <c r="AI8812">
        <v>1</v>
      </c>
      <c r="AJ8812">
        <v>1</v>
      </c>
      <c r="AK8812">
        <v>1</v>
      </c>
      <c r="AL8812">
        <v>1</v>
      </c>
      <c r="AM8812">
        <v>1</v>
      </c>
    </row>
    <row r="8813" spans="1:39" x14ac:dyDescent="0.2">
      <c r="A8813" t="str">
        <f>"8809"</f>
        <v>8809</v>
      </c>
      <c r="B8813" t="str">
        <f t="shared" si="488"/>
        <v>1</v>
      </c>
      <c r="C8813" t="str">
        <f t="shared" si="490"/>
        <v>177</v>
      </c>
      <c r="D8813" t="str">
        <f>"16"</f>
        <v>16</v>
      </c>
      <c r="E8813" t="str">
        <f>"1-177-16"</f>
        <v>1-177-16</v>
      </c>
      <c r="F8813" t="s">
        <v>65</v>
      </c>
      <c r="G8813" t="s">
        <v>66</v>
      </c>
      <c r="H8813" t="s">
        <v>67</v>
      </c>
      <c r="S8813">
        <v>0</v>
      </c>
      <c r="T8813">
        <v>1</v>
      </c>
      <c r="U8813">
        <v>0</v>
      </c>
      <c r="V8813">
        <v>0</v>
      </c>
      <c r="W8813">
        <v>0</v>
      </c>
      <c r="X8813">
        <v>1</v>
      </c>
      <c r="Y8813">
        <v>1</v>
      </c>
      <c r="Z8813">
        <v>0</v>
      </c>
      <c r="AA8813">
        <v>0</v>
      </c>
      <c r="AB8813">
        <v>0</v>
      </c>
      <c r="AC8813">
        <v>1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</row>
    <row r="8814" spans="1:39" x14ac:dyDescent="0.2">
      <c r="A8814" t="str">
        <f>"8810"</f>
        <v>8810</v>
      </c>
      <c r="B8814" t="str">
        <f t="shared" si="488"/>
        <v>1</v>
      </c>
      <c r="C8814" t="str">
        <f t="shared" si="490"/>
        <v>177</v>
      </c>
      <c r="D8814" t="str">
        <f>"5"</f>
        <v>5</v>
      </c>
      <c r="E8814" t="str">
        <f>"1-177-5"</f>
        <v>1-177-5</v>
      </c>
      <c r="F8814" t="s">
        <v>65</v>
      </c>
      <c r="G8814" t="s">
        <v>66</v>
      </c>
      <c r="H8814" t="s">
        <v>67</v>
      </c>
      <c r="S8814">
        <v>0</v>
      </c>
      <c r="T8814">
        <v>1</v>
      </c>
      <c r="U8814">
        <v>0</v>
      </c>
      <c r="V8814">
        <v>0</v>
      </c>
      <c r="W8814">
        <v>1</v>
      </c>
      <c r="X8814">
        <v>0</v>
      </c>
      <c r="Y8814">
        <v>0</v>
      </c>
      <c r="Z8814">
        <v>1</v>
      </c>
      <c r="AA8814">
        <v>0</v>
      </c>
      <c r="AB8814">
        <v>0</v>
      </c>
      <c r="AC8814">
        <v>1</v>
      </c>
      <c r="AD8814">
        <v>1</v>
      </c>
      <c r="AE8814">
        <v>1</v>
      </c>
      <c r="AF8814">
        <v>1</v>
      </c>
      <c r="AG8814">
        <v>1</v>
      </c>
      <c r="AH8814">
        <v>1</v>
      </c>
      <c r="AI8814">
        <v>1</v>
      </c>
      <c r="AJ8814">
        <v>1</v>
      </c>
      <c r="AK8814">
        <v>1</v>
      </c>
      <c r="AL8814">
        <v>1</v>
      </c>
      <c r="AM8814">
        <v>1</v>
      </c>
    </row>
    <row r="8815" spans="1:39" x14ac:dyDescent="0.2">
      <c r="A8815" t="str">
        <f>"8811"</f>
        <v>8811</v>
      </c>
      <c r="B8815" t="str">
        <f t="shared" si="488"/>
        <v>1</v>
      </c>
      <c r="C8815" t="str">
        <f t="shared" si="490"/>
        <v>177</v>
      </c>
      <c r="D8815" t="str">
        <f>"40"</f>
        <v>40</v>
      </c>
      <c r="E8815" t="str">
        <f>"1-177-40"</f>
        <v>1-177-40</v>
      </c>
      <c r="F8815" t="s">
        <v>65</v>
      </c>
      <c r="G8815" t="s">
        <v>66</v>
      </c>
      <c r="H8815" t="s">
        <v>67</v>
      </c>
      <c r="S8815">
        <v>0</v>
      </c>
      <c r="T8815">
        <v>1</v>
      </c>
      <c r="U8815">
        <v>0</v>
      </c>
      <c r="V8815">
        <v>0</v>
      </c>
      <c r="W8815">
        <v>0</v>
      </c>
      <c r="X8815">
        <v>1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</row>
    <row r="8816" spans="1:39" x14ac:dyDescent="0.2">
      <c r="A8816" t="str">
        <f>"8812"</f>
        <v>8812</v>
      </c>
      <c r="B8816" t="str">
        <f t="shared" si="488"/>
        <v>1</v>
      </c>
      <c r="C8816" t="str">
        <f t="shared" si="490"/>
        <v>177</v>
      </c>
      <c r="D8816" t="str">
        <f>"39"</f>
        <v>39</v>
      </c>
      <c r="E8816" t="str">
        <f>"1-177-39"</f>
        <v>1-177-39</v>
      </c>
      <c r="F8816" t="s">
        <v>65</v>
      </c>
      <c r="G8816" t="s">
        <v>66</v>
      </c>
      <c r="H8816" t="s">
        <v>67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1</v>
      </c>
      <c r="Y8816">
        <v>0</v>
      </c>
      <c r="Z8816">
        <v>0</v>
      </c>
      <c r="AA8816">
        <v>0</v>
      </c>
      <c r="AB8816">
        <v>0</v>
      </c>
      <c r="AC8816">
        <v>1</v>
      </c>
      <c r="AD8816">
        <v>0</v>
      </c>
      <c r="AE8816">
        <v>0</v>
      </c>
      <c r="AF8816">
        <v>0</v>
      </c>
      <c r="AG8816">
        <v>1</v>
      </c>
      <c r="AH8816">
        <v>1</v>
      </c>
      <c r="AI8816">
        <v>1</v>
      </c>
      <c r="AJ8816">
        <v>1</v>
      </c>
      <c r="AK8816">
        <v>1</v>
      </c>
      <c r="AL8816">
        <v>1</v>
      </c>
      <c r="AM8816">
        <v>1</v>
      </c>
    </row>
    <row r="8817" spans="1:39" x14ac:dyDescent="0.2">
      <c r="A8817" t="str">
        <f>"8813"</f>
        <v>8813</v>
      </c>
      <c r="B8817" t="str">
        <f t="shared" si="488"/>
        <v>1</v>
      </c>
      <c r="C8817" t="str">
        <f t="shared" si="490"/>
        <v>177</v>
      </c>
      <c r="D8817" t="str">
        <f>"27"</f>
        <v>27</v>
      </c>
      <c r="E8817" t="str">
        <f>"1-177-27"</f>
        <v>1-177-27</v>
      </c>
      <c r="F8817" t="s">
        <v>65</v>
      </c>
      <c r="G8817" t="s">
        <v>66</v>
      </c>
      <c r="H8817" t="s">
        <v>67</v>
      </c>
      <c r="S8817">
        <v>0</v>
      </c>
      <c r="T8817">
        <v>1</v>
      </c>
      <c r="U8817">
        <v>0</v>
      </c>
      <c r="V8817">
        <v>0</v>
      </c>
      <c r="W8817">
        <v>0</v>
      </c>
      <c r="X8817">
        <v>1</v>
      </c>
      <c r="Y8817">
        <v>0</v>
      </c>
      <c r="Z8817">
        <v>1</v>
      </c>
      <c r="AA8817">
        <v>0</v>
      </c>
      <c r="AB8817">
        <v>0</v>
      </c>
      <c r="AC8817">
        <v>0</v>
      </c>
      <c r="AD8817">
        <v>0</v>
      </c>
      <c r="AE8817">
        <v>1</v>
      </c>
      <c r="AF8817">
        <v>1</v>
      </c>
      <c r="AG8817">
        <v>1</v>
      </c>
      <c r="AH8817">
        <v>1</v>
      </c>
      <c r="AI8817">
        <v>1</v>
      </c>
      <c r="AJ8817">
        <v>1</v>
      </c>
      <c r="AK8817">
        <v>1</v>
      </c>
      <c r="AL8817">
        <v>1</v>
      </c>
      <c r="AM8817">
        <v>1</v>
      </c>
    </row>
    <row r="8818" spans="1:39" x14ac:dyDescent="0.2">
      <c r="A8818" t="str">
        <f>"8814"</f>
        <v>8814</v>
      </c>
      <c r="B8818" t="str">
        <f t="shared" si="488"/>
        <v>1</v>
      </c>
      <c r="C8818" t="str">
        <f t="shared" si="490"/>
        <v>177</v>
      </c>
      <c r="D8818" t="str">
        <f>"17"</f>
        <v>17</v>
      </c>
      <c r="E8818" t="str">
        <f>"1-177-17"</f>
        <v>1-177-17</v>
      </c>
      <c r="F8818" t="s">
        <v>65</v>
      </c>
      <c r="G8818" t="s">
        <v>66</v>
      </c>
      <c r="H8818" t="s">
        <v>68</v>
      </c>
      <c r="I8818">
        <v>1</v>
      </c>
      <c r="J8818">
        <v>0</v>
      </c>
      <c r="K8818">
        <v>0</v>
      </c>
      <c r="L8818">
        <v>0</v>
      </c>
      <c r="M8818">
        <v>1</v>
      </c>
      <c r="N8818">
        <v>1</v>
      </c>
      <c r="O8818">
        <v>1</v>
      </c>
      <c r="P8818">
        <v>1</v>
      </c>
      <c r="Q8818">
        <v>1</v>
      </c>
      <c r="R8818">
        <v>1</v>
      </c>
    </row>
    <row r="8819" spans="1:39" x14ac:dyDescent="0.2">
      <c r="A8819" t="str">
        <f>"8815"</f>
        <v>8815</v>
      </c>
      <c r="B8819" t="str">
        <f t="shared" si="488"/>
        <v>1</v>
      </c>
      <c r="C8819" t="str">
        <f t="shared" si="490"/>
        <v>177</v>
      </c>
      <c r="D8819" t="str">
        <f>"1"</f>
        <v>1</v>
      </c>
      <c r="E8819" t="str">
        <f>"1-177-1"</f>
        <v>1-177-1</v>
      </c>
      <c r="F8819" t="s">
        <v>65</v>
      </c>
      <c r="G8819" t="s">
        <v>66</v>
      </c>
      <c r="H8819" t="s">
        <v>67</v>
      </c>
      <c r="S8819">
        <v>0</v>
      </c>
      <c r="T8819">
        <v>1</v>
      </c>
      <c r="U8819">
        <v>0</v>
      </c>
      <c r="V8819">
        <v>0</v>
      </c>
      <c r="W8819">
        <v>0</v>
      </c>
      <c r="X8819">
        <v>1</v>
      </c>
      <c r="Y8819">
        <v>0</v>
      </c>
      <c r="Z8819">
        <v>1</v>
      </c>
      <c r="AA8819">
        <v>0</v>
      </c>
      <c r="AB8819">
        <v>0</v>
      </c>
      <c r="AC8819">
        <v>1</v>
      </c>
      <c r="AD8819">
        <v>1</v>
      </c>
      <c r="AE8819">
        <v>1</v>
      </c>
      <c r="AF8819">
        <v>1</v>
      </c>
      <c r="AG8819">
        <v>1</v>
      </c>
      <c r="AH8819">
        <v>1</v>
      </c>
      <c r="AI8819">
        <v>1</v>
      </c>
      <c r="AJ8819">
        <v>1</v>
      </c>
      <c r="AK8819">
        <v>1</v>
      </c>
      <c r="AL8819">
        <v>1</v>
      </c>
      <c r="AM8819">
        <v>1</v>
      </c>
    </row>
    <row r="8820" spans="1:39" x14ac:dyDescent="0.2">
      <c r="A8820" t="str">
        <f>"8816"</f>
        <v>8816</v>
      </c>
      <c r="B8820" t="str">
        <f t="shared" si="488"/>
        <v>1</v>
      </c>
      <c r="C8820" t="str">
        <f t="shared" si="490"/>
        <v>177</v>
      </c>
      <c r="D8820" t="str">
        <f>"44"</f>
        <v>44</v>
      </c>
      <c r="E8820" t="str">
        <f>"1-177-44"</f>
        <v>1-177-44</v>
      </c>
      <c r="F8820" t="s">
        <v>65</v>
      </c>
      <c r="G8820" t="s">
        <v>66</v>
      </c>
      <c r="H8820" t="s">
        <v>67</v>
      </c>
      <c r="S8820">
        <v>0</v>
      </c>
      <c r="T8820">
        <v>1</v>
      </c>
      <c r="U8820">
        <v>0</v>
      </c>
      <c r="V8820">
        <v>0</v>
      </c>
      <c r="W8820">
        <v>0</v>
      </c>
      <c r="X8820">
        <v>1</v>
      </c>
      <c r="Y8820">
        <v>1</v>
      </c>
      <c r="Z8820">
        <v>0</v>
      </c>
      <c r="AA8820">
        <v>0</v>
      </c>
      <c r="AB8820">
        <v>1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</row>
    <row r="8821" spans="1:39" x14ac:dyDescent="0.2">
      <c r="A8821" t="str">
        <f>"8817"</f>
        <v>8817</v>
      </c>
      <c r="B8821" t="str">
        <f t="shared" si="488"/>
        <v>1</v>
      </c>
      <c r="C8821" t="str">
        <f t="shared" si="490"/>
        <v>177</v>
      </c>
      <c r="D8821" t="str">
        <f>"43"</f>
        <v>43</v>
      </c>
      <c r="E8821" t="str">
        <f>"1-177-43"</f>
        <v>1-177-43</v>
      </c>
      <c r="F8821" t="s">
        <v>65</v>
      </c>
      <c r="G8821" t="s">
        <v>66</v>
      </c>
      <c r="H8821" t="s">
        <v>67</v>
      </c>
      <c r="S8821">
        <v>0</v>
      </c>
      <c r="T8821">
        <v>1</v>
      </c>
      <c r="U8821">
        <v>0</v>
      </c>
      <c r="V8821">
        <v>0</v>
      </c>
      <c r="W8821">
        <v>0</v>
      </c>
      <c r="X8821">
        <v>1</v>
      </c>
      <c r="Y8821">
        <v>0</v>
      </c>
      <c r="Z8821">
        <v>1</v>
      </c>
      <c r="AA8821">
        <v>0</v>
      </c>
      <c r="AB8821">
        <v>0</v>
      </c>
      <c r="AC8821">
        <v>1</v>
      </c>
      <c r="AD8821">
        <v>1</v>
      </c>
      <c r="AE8821">
        <v>1</v>
      </c>
      <c r="AF8821">
        <v>1</v>
      </c>
      <c r="AG8821">
        <v>1</v>
      </c>
      <c r="AH8821">
        <v>1</v>
      </c>
      <c r="AI8821">
        <v>1</v>
      </c>
      <c r="AJ8821">
        <v>1</v>
      </c>
      <c r="AK8821">
        <v>1</v>
      </c>
      <c r="AL8821">
        <v>1</v>
      </c>
      <c r="AM8821">
        <v>1</v>
      </c>
    </row>
    <row r="8822" spans="1:39" x14ac:dyDescent="0.2">
      <c r="A8822" t="str">
        <f>"8818"</f>
        <v>8818</v>
      </c>
      <c r="B8822" t="str">
        <f t="shared" si="488"/>
        <v>1</v>
      </c>
      <c r="C8822" t="str">
        <f t="shared" si="490"/>
        <v>177</v>
      </c>
      <c r="D8822" t="str">
        <f>"32"</f>
        <v>32</v>
      </c>
      <c r="E8822" t="str">
        <f>"1-177-32"</f>
        <v>1-177-32</v>
      </c>
      <c r="F8822" t="s">
        <v>65</v>
      </c>
      <c r="G8822" t="s">
        <v>66</v>
      </c>
      <c r="H8822" t="s">
        <v>67</v>
      </c>
      <c r="S8822">
        <v>0</v>
      </c>
      <c r="T8822">
        <v>1</v>
      </c>
      <c r="U8822">
        <v>0</v>
      </c>
      <c r="V8822">
        <v>0</v>
      </c>
      <c r="W8822">
        <v>0</v>
      </c>
      <c r="X8822">
        <v>1</v>
      </c>
      <c r="Y8822">
        <v>0</v>
      </c>
      <c r="Z8822">
        <v>1</v>
      </c>
      <c r="AA8822">
        <v>0</v>
      </c>
      <c r="AB8822">
        <v>0</v>
      </c>
      <c r="AC8822">
        <v>1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</row>
    <row r="8823" spans="1:39" x14ac:dyDescent="0.2">
      <c r="A8823" t="str">
        <f>"8819"</f>
        <v>8819</v>
      </c>
      <c r="B8823" t="str">
        <f t="shared" ref="B8823:B8886" si="491">"1"</f>
        <v>1</v>
      </c>
      <c r="C8823" t="str">
        <f t="shared" si="490"/>
        <v>177</v>
      </c>
      <c r="D8823" t="str">
        <f>"18"</f>
        <v>18</v>
      </c>
      <c r="E8823" t="str">
        <f>"1-177-18"</f>
        <v>1-177-18</v>
      </c>
      <c r="F8823" t="s">
        <v>65</v>
      </c>
      <c r="G8823" t="s">
        <v>66</v>
      </c>
      <c r="H8823" t="s">
        <v>67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1</v>
      </c>
      <c r="Y8823">
        <v>0</v>
      </c>
      <c r="Z8823">
        <v>1</v>
      </c>
      <c r="AA8823">
        <v>0</v>
      </c>
      <c r="AB8823">
        <v>1</v>
      </c>
      <c r="AC8823">
        <v>0</v>
      </c>
      <c r="AD8823">
        <v>1</v>
      </c>
      <c r="AE8823">
        <v>1</v>
      </c>
      <c r="AF8823">
        <v>1</v>
      </c>
      <c r="AG8823">
        <v>1</v>
      </c>
      <c r="AH8823">
        <v>1</v>
      </c>
      <c r="AI8823">
        <v>1</v>
      </c>
      <c r="AJ8823">
        <v>1</v>
      </c>
      <c r="AK8823">
        <v>1</v>
      </c>
      <c r="AL8823">
        <v>1</v>
      </c>
      <c r="AM8823">
        <v>1</v>
      </c>
    </row>
    <row r="8824" spans="1:39" x14ac:dyDescent="0.2">
      <c r="A8824" t="str">
        <f>"8820"</f>
        <v>8820</v>
      </c>
      <c r="B8824" t="str">
        <f t="shared" si="491"/>
        <v>1</v>
      </c>
      <c r="C8824" t="str">
        <f t="shared" si="490"/>
        <v>177</v>
      </c>
      <c r="D8824" t="str">
        <f>"11"</f>
        <v>11</v>
      </c>
      <c r="E8824" t="str">
        <f>"1-177-11"</f>
        <v>1-177-11</v>
      </c>
      <c r="F8824" t="s">
        <v>65</v>
      </c>
      <c r="G8824" t="s">
        <v>66</v>
      </c>
      <c r="H8824" t="s">
        <v>67</v>
      </c>
      <c r="S8824">
        <v>1</v>
      </c>
      <c r="T8824">
        <v>0</v>
      </c>
      <c r="U8824">
        <v>0</v>
      </c>
      <c r="V8824">
        <v>0</v>
      </c>
      <c r="W8824">
        <v>0</v>
      </c>
      <c r="X8824">
        <v>1</v>
      </c>
      <c r="Y8824">
        <v>0</v>
      </c>
      <c r="Z8824">
        <v>1</v>
      </c>
      <c r="AA8824">
        <v>0</v>
      </c>
      <c r="AB8824">
        <v>0</v>
      </c>
      <c r="AC8824">
        <v>1</v>
      </c>
      <c r="AD8824">
        <v>1</v>
      </c>
      <c r="AE8824">
        <v>1</v>
      </c>
      <c r="AF8824">
        <v>1</v>
      </c>
      <c r="AG8824">
        <v>1</v>
      </c>
      <c r="AH8824">
        <v>1</v>
      </c>
      <c r="AI8824">
        <v>1</v>
      </c>
      <c r="AJ8824">
        <v>1</v>
      </c>
      <c r="AK8824">
        <v>1</v>
      </c>
      <c r="AL8824">
        <v>1</v>
      </c>
      <c r="AM8824">
        <v>1</v>
      </c>
    </row>
    <row r="8825" spans="1:39" x14ac:dyDescent="0.2">
      <c r="A8825" t="str">
        <f>"8821"</f>
        <v>8821</v>
      </c>
      <c r="B8825" t="str">
        <f t="shared" si="491"/>
        <v>1</v>
      </c>
      <c r="C8825" t="str">
        <f t="shared" si="490"/>
        <v>177</v>
      </c>
      <c r="D8825" t="str">
        <f>"48"</f>
        <v>48</v>
      </c>
      <c r="E8825" t="str">
        <f>"1-177-48"</f>
        <v>1-177-48</v>
      </c>
      <c r="F8825" t="s">
        <v>65</v>
      </c>
      <c r="G8825" t="s">
        <v>66</v>
      </c>
      <c r="H8825" t="s">
        <v>67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1</v>
      </c>
      <c r="Y8825">
        <v>1</v>
      </c>
      <c r="Z8825">
        <v>0</v>
      </c>
      <c r="AA8825">
        <v>0</v>
      </c>
      <c r="AB8825">
        <v>0</v>
      </c>
      <c r="AC8825">
        <v>1</v>
      </c>
      <c r="AD8825">
        <v>1</v>
      </c>
      <c r="AE8825">
        <v>1</v>
      </c>
      <c r="AF8825">
        <v>1</v>
      </c>
      <c r="AG8825">
        <v>1</v>
      </c>
      <c r="AH8825">
        <v>1</v>
      </c>
      <c r="AI8825">
        <v>1</v>
      </c>
      <c r="AJ8825">
        <v>1</v>
      </c>
      <c r="AK8825">
        <v>1</v>
      </c>
      <c r="AL8825">
        <v>1</v>
      </c>
      <c r="AM8825">
        <v>1</v>
      </c>
    </row>
    <row r="8826" spans="1:39" x14ac:dyDescent="0.2">
      <c r="A8826" t="str">
        <f>"8822"</f>
        <v>8822</v>
      </c>
      <c r="B8826" t="str">
        <f t="shared" si="491"/>
        <v>1</v>
      </c>
      <c r="C8826" t="str">
        <f t="shared" si="490"/>
        <v>177</v>
      </c>
      <c r="D8826" t="str">
        <f>"47"</f>
        <v>47</v>
      </c>
      <c r="E8826" t="str">
        <f>"1-177-47"</f>
        <v>1-177-47</v>
      </c>
      <c r="F8826" t="s">
        <v>65</v>
      </c>
      <c r="G8826" t="s">
        <v>66</v>
      </c>
      <c r="H8826" t="s">
        <v>67</v>
      </c>
      <c r="S8826">
        <v>0</v>
      </c>
      <c r="T8826">
        <v>0</v>
      </c>
      <c r="U8826">
        <v>0</v>
      </c>
      <c r="V8826">
        <v>0</v>
      </c>
      <c r="W8826">
        <v>1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1</v>
      </c>
      <c r="AJ8826">
        <v>0</v>
      </c>
      <c r="AK8826">
        <v>0</v>
      </c>
      <c r="AL8826">
        <v>1</v>
      </c>
      <c r="AM8826">
        <v>0</v>
      </c>
    </row>
    <row r="8827" spans="1:39" x14ac:dyDescent="0.2">
      <c r="A8827" t="str">
        <f>"8823"</f>
        <v>8823</v>
      </c>
      <c r="B8827" t="str">
        <f t="shared" si="491"/>
        <v>1</v>
      </c>
      <c r="C8827" t="str">
        <f t="shared" si="490"/>
        <v>177</v>
      </c>
      <c r="D8827" t="str">
        <f>"34"</f>
        <v>34</v>
      </c>
      <c r="E8827" t="str">
        <f>"1-177-34"</f>
        <v>1-177-34</v>
      </c>
      <c r="F8827" t="s">
        <v>65</v>
      </c>
      <c r="G8827" t="s">
        <v>66</v>
      </c>
      <c r="H8827" t="s">
        <v>67</v>
      </c>
      <c r="S8827">
        <v>1</v>
      </c>
      <c r="T8827">
        <v>0</v>
      </c>
      <c r="U8827">
        <v>0</v>
      </c>
      <c r="V8827">
        <v>0</v>
      </c>
      <c r="W8827">
        <v>1</v>
      </c>
      <c r="X8827">
        <v>0</v>
      </c>
      <c r="Y8827">
        <v>1</v>
      </c>
      <c r="Z8827">
        <v>0</v>
      </c>
      <c r="AA8827">
        <v>0</v>
      </c>
      <c r="AB8827">
        <v>0</v>
      </c>
      <c r="AC8827">
        <v>1</v>
      </c>
      <c r="AD8827">
        <v>1</v>
      </c>
      <c r="AE8827">
        <v>1</v>
      </c>
      <c r="AF8827">
        <v>1</v>
      </c>
      <c r="AG8827">
        <v>1</v>
      </c>
      <c r="AH8827">
        <v>1</v>
      </c>
      <c r="AI8827">
        <v>1</v>
      </c>
      <c r="AJ8827">
        <v>1</v>
      </c>
      <c r="AK8827">
        <v>1</v>
      </c>
      <c r="AL8827">
        <v>1</v>
      </c>
      <c r="AM8827">
        <v>1</v>
      </c>
    </row>
    <row r="8828" spans="1:39" x14ac:dyDescent="0.2">
      <c r="A8828" t="str">
        <f>"8824"</f>
        <v>8824</v>
      </c>
      <c r="B8828" t="str">
        <f t="shared" si="491"/>
        <v>1</v>
      </c>
      <c r="C8828" t="str">
        <f t="shared" si="490"/>
        <v>177</v>
      </c>
      <c r="D8828" t="str">
        <f>"19"</f>
        <v>19</v>
      </c>
      <c r="E8828" t="str">
        <f>"1-177-19"</f>
        <v>1-177-19</v>
      </c>
      <c r="F8828" t="s">
        <v>65</v>
      </c>
      <c r="G8828" t="s">
        <v>66</v>
      </c>
      <c r="H8828" t="s">
        <v>67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1</v>
      </c>
      <c r="Y8828">
        <v>0</v>
      </c>
      <c r="Z8828">
        <v>0</v>
      </c>
      <c r="AA8828">
        <v>0</v>
      </c>
      <c r="AB8828">
        <v>0</v>
      </c>
      <c r="AC8828">
        <v>1</v>
      </c>
      <c r="AD8828">
        <v>0</v>
      </c>
      <c r="AE8828">
        <v>0</v>
      </c>
      <c r="AF8828">
        <v>0</v>
      </c>
      <c r="AG8828">
        <v>1</v>
      </c>
      <c r="AH8828">
        <v>1</v>
      </c>
      <c r="AI8828">
        <v>1</v>
      </c>
      <c r="AJ8828">
        <v>1</v>
      </c>
      <c r="AK8828">
        <v>1</v>
      </c>
      <c r="AL8828">
        <v>1</v>
      </c>
      <c r="AM8828">
        <v>1</v>
      </c>
    </row>
    <row r="8829" spans="1:39" x14ac:dyDescent="0.2">
      <c r="A8829" t="str">
        <f>"8825"</f>
        <v>8825</v>
      </c>
      <c r="B8829" t="str">
        <f t="shared" si="491"/>
        <v>1</v>
      </c>
      <c r="C8829" t="str">
        <f t="shared" si="490"/>
        <v>177</v>
      </c>
      <c r="D8829" t="str">
        <f>"33"</f>
        <v>33</v>
      </c>
      <c r="E8829" t="str">
        <f>"1-177-33"</f>
        <v>1-177-33</v>
      </c>
      <c r="F8829" t="s">
        <v>65</v>
      </c>
      <c r="G8829" t="s">
        <v>66</v>
      </c>
      <c r="H8829" t="s">
        <v>67</v>
      </c>
      <c r="S8829">
        <v>0</v>
      </c>
      <c r="T8829">
        <v>1</v>
      </c>
      <c r="U8829">
        <v>0</v>
      </c>
      <c r="V8829">
        <v>0</v>
      </c>
      <c r="W8829">
        <v>0</v>
      </c>
      <c r="X8829">
        <v>1</v>
      </c>
      <c r="Y8829">
        <v>0</v>
      </c>
      <c r="Z8829">
        <v>1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1</v>
      </c>
      <c r="AJ8829">
        <v>1</v>
      </c>
      <c r="AK8829">
        <v>0</v>
      </c>
      <c r="AL8829">
        <v>0</v>
      </c>
      <c r="AM8829">
        <v>0</v>
      </c>
    </row>
    <row r="8830" spans="1:39" x14ac:dyDescent="0.2">
      <c r="A8830" t="str">
        <f>"8826"</f>
        <v>8826</v>
      </c>
      <c r="B8830" t="str">
        <f t="shared" si="491"/>
        <v>1</v>
      </c>
      <c r="C8830" t="str">
        <f t="shared" si="490"/>
        <v>177</v>
      </c>
      <c r="D8830" t="str">
        <f>"20"</f>
        <v>20</v>
      </c>
      <c r="E8830" t="str">
        <f>"1-177-20"</f>
        <v>1-177-20</v>
      </c>
      <c r="F8830" t="s">
        <v>65</v>
      </c>
      <c r="G8830" t="s">
        <v>66</v>
      </c>
      <c r="H8830" t="s">
        <v>67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1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1</v>
      </c>
      <c r="AH8830">
        <v>1</v>
      </c>
      <c r="AI8830">
        <v>1</v>
      </c>
      <c r="AJ8830">
        <v>1</v>
      </c>
      <c r="AK8830">
        <v>1</v>
      </c>
      <c r="AL8830">
        <v>1</v>
      </c>
      <c r="AM8830">
        <v>1</v>
      </c>
    </row>
    <row r="8831" spans="1:39" x14ac:dyDescent="0.2">
      <c r="A8831" t="str">
        <f>"8827"</f>
        <v>8827</v>
      </c>
      <c r="B8831" t="str">
        <f t="shared" si="491"/>
        <v>1</v>
      </c>
      <c r="C8831" t="str">
        <f t="shared" si="490"/>
        <v>177</v>
      </c>
      <c r="D8831" t="str">
        <f>"12"</f>
        <v>12</v>
      </c>
      <c r="E8831" t="str">
        <f>"1-177-12"</f>
        <v>1-177-12</v>
      </c>
      <c r="F8831" t="s">
        <v>65</v>
      </c>
      <c r="G8831" t="s">
        <v>66</v>
      </c>
      <c r="H8831" t="s">
        <v>67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1</v>
      </c>
      <c r="Y8831">
        <v>0</v>
      </c>
      <c r="Z8831">
        <v>0</v>
      </c>
      <c r="AA8831">
        <v>0</v>
      </c>
      <c r="AB8831">
        <v>1</v>
      </c>
      <c r="AC8831">
        <v>0</v>
      </c>
      <c r="AD8831">
        <v>0</v>
      </c>
      <c r="AE8831">
        <v>0</v>
      </c>
      <c r="AF8831">
        <v>0</v>
      </c>
      <c r="AG8831">
        <v>1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</row>
    <row r="8832" spans="1:39" x14ac:dyDescent="0.2">
      <c r="A8832" t="str">
        <f>"8828"</f>
        <v>8828</v>
      </c>
      <c r="B8832" t="str">
        <f t="shared" si="491"/>
        <v>1</v>
      </c>
      <c r="C8832" t="str">
        <f t="shared" si="490"/>
        <v>177</v>
      </c>
      <c r="D8832" t="str">
        <f>"41"</f>
        <v>41</v>
      </c>
      <c r="E8832" t="str">
        <f>"1-177-41"</f>
        <v>1-177-41</v>
      </c>
      <c r="F8832" t="s">
        <v>65</v>
      </c>
      <c r="G8832" t="s">
        <v>66</v>
      </c>
      <c r="H8832" t="s">
        <v>67</v>
      </c>
      <c r="S8832">
        <v>0</v>
      </c>
      <c r="T8832">
        <v>1</v>
      </c>
      <c r="U8832">
        <v>0</v>
      </c>
      <c r="V8832">
        <v>0</v>
      </c>
      <c r="W8832">
        <v>1</v>
      </c>
      <c r="X8832">
        <v>0</v>
      </c>
      <c r="Y8832">
        <v>0</v>
      </c>
      <c r="Z8832">
        <v>1</v>
      </c>
      <c r="AA8832">
        <v>0</v>
      </c>
      <c r="AB8832">
        <v>1</v>
      </c>
      <c r="AC8832">
        <v>0</v>
      </c>
      <c r="AD8832">
        <v>1</v>
      </c>
      <c r="AE8832">
        <v>1</v>
      </c>
      <c r="AF8832">
        <v>1</v>
      </c>
      <c r="AG8832">
        <v>1</v>
      </c>
      <c r="AH8832">
        <v>1</v>
      </c>
      <c r="AI8832">
        <v>1</v>
      </c>
      <c r="AJ8832">
        <v>1</v>
      </c>
      <c r="AK8832">
        <v>1</v>
      </c>
      <c r="AL8832">
        <v>1</v>
      </c>
      <c r="AM8832">
        <v>1</v>
      </c>
    </row>
    <row r="8833" spans="1:39" x14ac:dyDescent="0.2">
      <c r="A8833" t="str">
        <f>"8829"</f>
        <v>8829</v>
      </c>
      <c r="B8833" t="str">
        <f t="shared" si="491"/>
        <v>1</v>
      </c>
      <c r="C8833" t="str">
        <f t="shared" si="490"/>
        <v>177</v>
      </c>
      <c r="D8833" t="str">
        <f>"21"</f>
        <v>21</v>
      </c>
      <c r="E8833" t="str">
        <f>"1-177-21"</f>
        <v>1-177-21</v>
      </c>
      <c r="F8833" t="s">
        <v>65</v>
      </c>
      <c r="G8833" t="s">
        <v>66</v>
      </c>
      <c r="H8833" t="s">
        <v>67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1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1</v>
      </c>
      <c r="AJ8833">
        <v>0</v>
      </c>
      <c r="AK8833">
        <v>0</v>
      </c>
      <c r="AL8833">
        <v>0</v>
      </c>
      <c r="AM8833">
        <v>0</v>
      </c>
    </row>
    <row r="8834" spans="1:39" x14ac:dyDescent="0.2">
      <c r="A8834" t="str">
        <f>"8830"</f>
        <v>8830</v>
      </c>
      <c r="B8834" t="str">
        <f t="shared" si="491"/>
        <v>1</v>
      </c>
      <c r="C8834" t="str">
        <f t="shared" si="490"/>
        <v>177</v>
      </c>
      <c r="D8834" t="str">
        <f>"13"</f>
        <v>13</v>
      </c>
      <c r="E8834" t="str">
        <f>"1-177-13"</f>
        <v>1-177-13</v>
      </c>
      <c r="F8834" t="s">
        <v>65</v>
      </c>
      <c r="G8834" t="s">
        <v>66</v>
      </c>
      <c r="H8834" t="s">
        <v>67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1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</row>
    <row r="8835" spans="1:39" x14ac:dyDescent="0.2">
      <c r="A8835" t="str">
        <f>"8831"</f>
        <v>8831</v>
      </c>
      <c r="B8835" t="str">
        <f t="shared" si="491"/>
        <v>1</v>
      </c>
      <c r="C8835" t="str">
        <f t="shared" si="490"/>
        <v>177</v>
      </c>
      <c r="D8835" t="str">
        <f>"42"</f>
        <v>42</v>
      </c>
      <c r="E8835" t="str">
        <f>"1-177-42"</f>
        <v>1-177-42</v>
      </c>
      <c r="F8835" t="s">
        <v>65</v>
      </c>
      <c r="G8835" t="s">
        <v>66</v>
      </c>
      <c r="H8835" t="s">
        <v>67</v>
      </c>
      <c r="S8835">
        <v>0</v>
      </c>
      <c r="T8835">
        <v>1</v>
      </c>
      <c r="U8835">
        <v>0</v>
      </c>
      <c r="V8835">
        <v>0</v>
      </c>
      <c r="W8835">
        <v>1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1</v>
      </c>
      <c r="AH8835">
        <v>0</v>
      </c>
      <c r="AI8835">
        <v>0</v>
      </c>
      <c r="AJ8835">
        <v>1</v>
      </c>
      <c r="AK8835">
        <v>0</v>
      </c>
      <c r="AL8835">
        <v>1</v>
      </c>
      <c r="AM8835">
        <v>0</v>
      </c>
    </row>
    <row r="8836" spans="1:39" x14ac:dyDescent="0.2">
      <c r="A8836" t="str">
        <f>"8832"</f>
        <v>8832</v>
      </c>
      <c r="B8836" t="str">
        <f t="shared" si="491"/>
        <v>1</v>
      </c>
      <c r="C8836" t="str">
        <f t="shared" si="490"/>
        <v>177</v>
      </c>
      <c r="D8836" t="str">
        <f>"23"</f>
        <v>23</v>
      </c>
      <c r="E8836" t="str">
        <f>"1-177-23"</f>
        <v>1-177-23</v>
      </c>
      <c r="F8836" t="s">
        <v>65</v>
      </c>
      <c r="G8836" t="s">
        <v>66</v>
      </c>
      <c r="H8836" t="s">
        <v>67</v>
      </c>
      <c r="S8836">
        <v>0</v>
      </c>
      <c r="T8836">
        <v>1</v>
      </c>
      <c r="U8836">
        <v>0</v>
      </c>
      <c r="V8836">
        <v>0</v>
      </c>
      <c r="W8836">
        <v>0</v>
      </c>
      <c r="X8836">
        <v>1</v>
      </c>
      <c r="Y8836">
        <v>0</v>
      </c>
      <c r="Z8836">
        <v>1</v>
      </c>
      <c r="AA8836">
        <v>0</v>
      </c>
      <c r="AB8836">
        <v>1</v>
      </c>
      <c r="AC8836">
        <v>0</v>
      </c>
      <c r="AD8836">
        <v>1</v>
      </c>
      <c r="AE8836">
        <v>1</v>
      </c>
      <c r="AF8836">
        <v>1</v>
      </c>
      <c r="AG8836">
        <v>1</v>
      </c>
      <c r="AH8836">
        <v>1</v>
      </c>
      <c r="AI8836">
        <v>1</v>
      </c>
      <c r="AJ8836">
        <v>1</v>
      </c>
      <c r="AK8836">
        <v>1</v>
      </c>
      <c r="AL8836">
        <v>1</v>
      </c>
      <c r="AM8836">
        <v>1</v>
      </c>
    </row>
    <row r="8837" spans="1:39" x14ac:dyDescent="0.2">
      <c r="A8837" t="str">
        <f>"8833"</f>
        <v>8833</v>
      </c>
      <c r="B8837" t="str">
        <f t="shared" si="491"/>
        <v>1</v>
      </c>
      <c r="C8837" t="str">
        <f t="shared" ref="C8837:C8854" si="492">"177"</f>
        <v>177</v>
      </c>
      <c r="D8837" t="str">
        <f>"9"</f>
        <v>9</v>
      </c>
      <c r="E8837" t="str">
        <f>"1-177-9"</f>
        <v>1-177-9</v>
      </c>
      <c r="F8837" t="s">
        <v>65</v>
      </c>
      <c r="G8837" t="s">
        <v>66</v>
      </c>
      <c r="H8837" t="s">
        <v>67</v>
      </c>
      <c r="S8837">
        <v>0</v>
      </c>
      <c r="T8837">
        <v>1</v>
      </c>
      <c r="U8837">
        <v>0</v>
      </c>
      <c r="V8837">
        <v>0</v>
      </c>
      <c r="W8837">
        <v>0</v>
      </c>
      <c r="X8837">
        <v>1</v>
      </c>
      <c r="Y8837">
        <v>0</v>
      </c>
      <c r="Z8837">
        <v>1</v>
      </c>
      <c r="AA8837">
        <v>0</v>
      </c>
      <c r="AB8837">
        <v>1</v>
      </c>
      <c r="AC8837">
        <v>0</v>
      </c>
      <c r="AD8837">
        <v>1</v>
      </c>
      <c r="AE8837">
        <v>1</v>
      </c>
      <c r="AF8837">
        <v>1</v>
      </c>
      <c r="AG8837">
        <v>1</v>
      </c>
      <c r="AH8837">
        <v>1</v>
      </c>
      <c r="AI8837">
        <v>1</v>
      </c>
      <c r="AJ8837">
        <v>1</v>
      </c>
      <c r="AK8837">
        <v>0</v>
      </c>
      <c r="AL8837">
        <v>1</v>
      </c>
      <c r="AM8837">
        <v>1</v>
      </c>
    </row>
    <row r="8838" spans="1:39" x14ac:dyDescent="0.2">
      <c r="A8838" t="str">
        <f>"8834"</f>
        <v>8834</v>
      </c>
      <c r="B8838" t="str">
        <f t="shared" si="491"/>
        <v>1</v>
      </c>
      <c r="C8838" t="str">
        <f t="shared" si="492"/>
        <v>177</v>
      </c>
      <c r="D8838" t="str">
        <f>"45"</f>
        <v>45</v>
      </c>
      <c r="E8838" t="str">
        <f>"1-177-45"</f>
        <v>1-177-45</v>
      </c>
      <c r="F8838" t="s">
        <v>65</v>
      </c>
      <c r="G8838" t="s">
        <v>66</v>
      </c>
      <c r="H8838" t="s">
        <v>68</v>
      </c>
      <c r="I8838">
        <v>0</v>
      </c>
      <c r="J8838">
        <v>0</v>
      </c>
      <c r="K8838">
        <v>1</v>
      </c>
      <c r="L8838">
        <v>0</v>
      </c>
      <c r="M8838">
        <v>1</v>
      </c>
      <c r="N8838">
        <v>0</v>
      </c>
      <c r="O8838">
        <v>0</v>
      </c>
      <c r="P8838">
        <v>0</v>
      </c>
      <c r="Q8838">
        <v>1</v>
      </c>
      <c r="R8838">
        <v>0</v>
      </c>
    </row>
    <row r="8839" spans="1:39" x14ac:dyDescent="0.2">
      <c r="A8839" t="str">
        <f>"8835"</f>
        <v>8835</v>
      </c>
      <c r="B8839" t="str">
        <f t="shared" si="491"/>
        <v>1</v>
      </c>
      <c r="C8839" t="str">
        <f t="shared" si="492"/>
        <v>177</v>
      </c>
      <c r="D8839" t="str">
        <f>"24"</f>
        <v>24</v>
      </c>
      <c r="E8839" t="str">
        <f>"1-177-24"</f>
        <v>1-177-24</v>
      </c>
      <c r="F8839" t="s">
        <v>65</v>
      </c>
      <c r="G8839" t="s">
        <v>66</v>
      </c>
      <c r="H8839" t="s">
        <v>67</v>
      </c>
      <c r="S8839">
        <v>0</v>
      </c>
      <c r="T8839">
        <v>1</v>
      </c>
      <c r="U8839">
        <v>0</v>
      </c>
      <c r="V8839">
        <v>0</v>
      </c>
      <c r="W8839">
        <v>0</v>
      </c>
      <c r="X8839">
        <v>1</v>
      </c>
      <c r="Y8839">
        <v>0</v>
      </c>
      <c r="Z8839">
        <v>1</v>
      </c>
      <c r="AA8839">
        <v>0</v>
      </c>
      <c r="AB8839">
        <v>0</v>
      </c>
      <c r="AC8839">
        <v>1</v>
      </c>
      <c r="AD8839">
        <v>1</v>
      </c>
      <c r="AE8839">
        <v>1</v>
      </c>
      <c r="AF8839">
        <v>1</v>
      </c>
      <c r="AG8839">
        <v>1</v>
      </c>
      <c r="AH8839">
        <v>1</v>
      </c>
      <c r="AI8839">
        <v>1</v>
      </c>
      <c r="AJ8839">
        <v>1</v>
      </c>
      <c r="AK8839">
        <v>1</v>
      </c>
      <c r="AL8839">
        <v>1</v>
      </c>
      <c r="AM8839">
        <v>1</v>
      </c>
    </row>
    <row r="8840" spans="1:39" x14ac:dyDescent="0.2">
      <c r="A8840" t="str">
        <f>"8836"</f>
        <v>8836</v>
      </c>
      <c r="B8840" t="str">
        <f t="shared" si="491"/>
        <v>1</v>
      </c>
      <c r="C8840" t="str">
        <f t="shared" si="492"/>
        <v>177</v>
      </c>
      <c r="D8840" t="str">
        <f>"8"</f>
        <v>8</v>
      </c>
      <c r="E8840" t="str">
        <f>"1-177-8"</f>
        <v>1-177-8</v>
      </c>
      <c r="F8840" t="s">
        <v>65</v>
      </c>
      <c r="G8840" t="s">
        <v>66</v>
      </c>
      <c r="H8840" t="s">
        <v>67</v>
      </c>
      <c r="S8840">
        <v>0</v>
      </c>
      <c r="T8840">
        <v>1</v>
      </c>
      <c r="U8840">
        <v>0</v>
      </c>
      <c r="V8840">
        <v>0</v>
      </c>
      <c r="W8840">
        <v>0</v>
      </c>
      <c r="X8840">
        <v>1</v>
      </c>
      <c r="Y8840">
        <v>0</v>
      </c>
      <c r="Z8840">
        <v>1</v>
      </c>
      <c r="AA8840">
        <v>0</v>
      </c>
      <c r="AB8840">
        <v>0</v>
      </c>
      <c r="AC8840">
        <v>1</v>
      </c>
      <c r="AD8840">
        <v>1</v>
      </c>
      <c r="AE8840">
        <v>1</v>
      </c>
      <c r="AF8840">
        <v>1</v>
      </c>
      <c r="AG8840">
        <v>1</v>
      </c>
      <c r="AH8840">
        <v>1</v>
      </c>
      <c r="AI8840">
        <v>1</v>
      </c>
      <c r="AJ8840">
        <v>1</v>
      </c>
      <c r="AK8840">
        <v>1</v>
      </c>
      <c r="AL8840">
        <v>1</v>
      </c>
      <c r="AM8840">
        <v>1</v>
      </c>
    </row>
    <row r="8841" spans="1:39" x14ac:dyDescent="0.2">
      <c r="A8841" t="str">
        <f>"8837"</f>
        <v>8837</v>
      </c>
      <c r="B8841" t="str">
        <f t="shared" si="491"/>
        <v>1</v>
      </c>
      <c r="C8841" t="str">
        <f t="shared" si="492"/>
        <v>177</v>
      </c>
      <c r="D8841" t="str">
        <f>"46"</f>
        <v>46</v>
      </c>
      <c r="E8841" t="str">
        <f>"1-177-46"</f>
        <v>1-177-46</v>
      </c>
      <c r="F8841" t="s">
        <v>65</v>
      </c>
      <c r="G8841" t="s">
        <v>66</v>
      </c>
      <c r="H8841" t="s">
        <v>67</v>
      </c>
      <c r="S8841">
        <v>0</v>
      </c>
      <c r="T8841">
        <v>1</v>
      </c>
      <c r="U8841">
        <v>0</v>
      </c>
      <c r="V8841">
        <v>0</v>
      </c>
      <c r="W8841">
        <v>1</v>
      </c>
      <c r="X8841">
        <v>0</v>
      </c>
      <c r="Y8841">
        <v>0</v>
      </c>
      <c r="Z8841">
        <v>1</v>
      </c>
      <c r="AA8841">
        <v>0</v>
      </c>
      <c r="AB8841">
        <v>0</v>
      </c>
      <c r="AC8841">
        <v>1</v>
      </c>
      <c r="AD8841">
        <v>1</v>
      </c>
      <c r="AE8841">
        <v>1</v>
      </c>
      <c r="AF8841">
        <v>0</v>
      </c>
      <c r="AG8841">
        <v>1</v>
      </c>
      <c r="AH8841">
        <v>1</v>
      </c>
      <c r="AI8841">
        <v>1</v>
      </c>
      <c r="AJ8841">
        <v>1</v>
      </c>
      <c r="AK8841">
        <v>1</v>
      </c>
      <c r="AL8841">
        <v>0</v>
      </c>
      <c r="AM8841">
        <v>1</v>
      </c>
    </row>
    <row r="8842" spans="1:39" x14ac:dyDescent="0.2">
      <c r="A8842" t="str">
        <f>"8838"</f>
        <v>8838</v>
      </c>
      <c r="B8842" t="str">
        <f t="shared" si="491"/>
        <v>1</v>
      </c>
      <c r="C8842" t="str">
        <f t="shared" si="492"/>
        <v>177</v>
      </c>
      <c r="D8842" t="str">
        <f>"26"</f>
        <v>26</v>
      </c>
      <c r="E8842" t="str">
        <f>"1-177-26"</f>
        <v>1-177-26</v>
      </c>
      <c r="F8842" t="s">
        <v>65</v>
      </c>
      <c r="G8842" t="s">
        <v>66</v>
      </c>
      <c r="H8842" t="s">
        <v>67</v>
      </c>
      <c r="S8842">
        <v>0</v>
      </c>
      <c r="T8842">
        <v>1</v>
      </c>
      <c r="U8842">
        <v>0</v>
      </c>
      <c r="V8842">
        <v>0</v>
      </c>
      <c r="W8842">
        <v>1</v>
      </c>
      <c r="X8842">
        <v>0</v>
      </c>
      <c r="Y8842">
        <v>0</v>
      </c>
      <c r="Z8842">
        <v>1</v>
      </c>
      <c r="AA8842">
        <v>0</v>
      </c>
      <c r="AB8842">
        <v>0</v>
      </c>
      <c r="AC8842">
        <v>1</v>
      </c>
      <c r="AD8842">
        <v>1</v>
      </c>
      <c r="AE8842">
        <v>1</v>
      </c>
      <c r="AF8842">
        <v>1</v>
      </c>
      <c r="AG8842">
        <v>1</v>
      </c>
      <c r="AH8842">
        <v>1</v>
      </c>
      <c r="AI8842">
        <v>1</v>
      </c>
      <c r="AJ8842">
        <v>1</v>
      </c>
      <c r="AK8842">
        <v>1</v>
      </c>
      <c r="AL8842">
        <v>1</v>
      </c>
      <c r="AM8842">
        <v>1</v>
      </c>
    </row>
    <row r="8843" spans="1:39" x14ac:dyDescent="0.2">
      <c r="A8843" t="str">
        <f>"8839"</f>
        <v>8839</v>
      </c>
      <c r="B8843" t="str">
        <f t="shared" si="491"/>
        <v>1</v>
      </c>
      <c r="C8843" t="str">
        <f t="shared" si="492"/>
        <v>177</v>
      </c>
      <c r="D8843" t="str">
        <f>"4"</f>
        <v>4</v>
      </c>
      <c r="E8843" t="str">
        <f>"1-177-4"</f>
        <v>1-177-4</v>
      </c>
      <c r="F8843" t="s">
        <v>65</v>
      </c>
      <c r="G8843" t="s">
        <v>66</v>
      </c>
      <c r="H8843" t="s">
        <v>67</v>
      </c>
      <c r="S8843">
        <v>0</v>
      </c>
      <c r="T8843">
        <v>1</v>
      </c>
      <c r="U8843">
        <v>0</v>
      </c>
      <c r="V8843">
        <v>0</v>
      </c>
      <c r="W8843">
        <v>0</v>
      </c>
      <c r="X8843">
        <v>1</v>
      </c>
      <c r="Y8843">
        <v>0</v>
      </c>
      <c r="Z8843">
        <v>0</v>
      </c>
      <c r="AA8843">
        <v>0</v>
      </c>
      <c r="AB8843">
        <v>0</v>
      </c>
      <c r="AC8843">
        <v>1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</row>
    <row r="8844" spans="1:39" x14ac:dyDescent="0.2">
      <c r="A8844" t="str">
        <f>"8840"</f>
        <v>8840</v>
      </c>
      <c r="B8844" t="str">
        <f t="shared" si="491"/>
        <v>1</v>
      </c>
      <c r="C8844" t="str">
        <f t="shared" si="492"/>
        <v>177</v>
      </c>
      <c r="D8844" t="str">
        <f>"49"</f>
        <v>49</v>
      </c>
      <c r="E8844" t="str">
        <f>"1-177-49"</f>
        <v>1-177-49</v>
      </c>
      <c r="F8844" t="s">
        <v>65</v>
      </c>
      <c r="G8844" t="s">
        <v>66</v>
      </c>
      <c r="H8844" t="s">
        <v>67</v>
      </c>
      <c r="S8844">
        <v>1</v>
      </c>
      <c r="T8844">
        <v>0</v>
      </c>
      <c r="U8844">
        <v>0</v>
      </c>
      <c r="V8844">
        <v>0</v>
      </c>
      <c r="W8844">
        <v>0</v>
      </c>
      <c r="X8844">
        <v>1</v>
      </c>
      <c r="Y8844">
        <v>1</v>
      </c>
      <c r="Z8844">
        <v>0</v>
      </c>
      <c r="AA8844">
        <v>1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</row>
    <row r="8845" spans="1:39" x14ac:dyDescent="0.2">
      <c r="A8845" t="str">
        <f>"8841"</f>
        <v>8841</v>
      </c>
      <c r="B8845" t="str">
        <f t="shared" si="491"/>
        <v>1</v>
      </c>
      <c r="C8845" t="str">
        <f t="shared" si="492"/>
        <v>177</v>
      </c>
      <c r="D8845" t="str">
        <f>"28"</f>
        <v>28</v>
      </c>
      <c r="E8845" t="str">
        <f>"1-177-28"</f>
        <v>1-177-28</v>
      </c>
      <c r="F8845" t="s">
        <v>65</v>
      </c>
      <c r="G8845" t="s">
        <v>66</v>
      </c>
      <c r="H8845" t="s">
        <v>67</v>
      </c>
      <c r="S8845">
        <v>0</v>
      </c>
      <c r="T8845">
        <v>1</v>
      </c>
      <c r="U8845">
        <v>0</v>
      </c>
      <c r="V8845">
        <v>0</v>
      </c>
      <c r="W8845">
        <v>1</v>
      </c>
      <c r="X8845">
        <v>0</v>
      </c>
      <c r="Y8845">
        <v>1</v>
      </c>
      <c r="Z8845">
        <v>0</v>
      </c>
      <c r="AA8845">
        <v>0</v>
      </c>
      <c r="AB8845">
        <v>1</v>
      </c>
      <c r="AC8845">
        <v>0</v>
      </c>
      <c r="AD8845">
        <v>1</v>
      </c>
      <c r="AE8845">
        <v>1</v>
      </c>
      <c r="AF8845">
        <v>1</v>
      </c>
      <c r="AG8845">
        <v>1</v>
      </c>
      <c r="AH8845">
        <v>1</v>
      </c>
      <c r="AI8845">
        <v>1</v>
      </c>
      <c r="AJ8845">
        <v>1</v>
      </c>
      <c r="AK8845">
        <v>1</v>
      </c>
      <c r="AL8845">
        <v>1</v>
      </c>
      <c r="AM8845">
        <v>1</v>
      </c>
    </row>
    <row r="8846" spans="1:39" x14ac:dyDescent="0.2">
      <c r="A8846" t="str">
        <f>"8842"</f>
        <v>8842</v>
      </c>
      <c r="B8846" t="str">
        <f t="shared" si="491"/>
        <v>1</v>
      </c>
      <c r="C8846" t="str">
        <f t="shared" si="492"/>
        <v>177</v>
      </c>
      <c r="D8846" t="str">
        <f>"2"</f>
        <v>2</v>
      </c>
      <c r="E8846" t="str">
        <f>"1-177-2"</f>
        <v>1-177-2</v>
      </c>
      <c r="F8846" t="s">
        <v>65</v>
      </c>
      <c r="G8846" t="s">
        <v>66</v>
      </c>
      <c r="H8846" t="s">
        <v>67</v>
      </c>
      <c r="S8846">
        <v>0</v>
      </c>
      <c r="T8846">
        <v>1</v>
      </c>
      <c r="U8846">
        <v>0</v>
      </c>
      <c r="V8846">
        <v>0</v>
      </c>
      <c r="W8846">
        <v>0</v>
      </c>
      <c r="X8846">
        <v>1</v>
      </c>
      <c r="Y8846">
        <v>0</v>
      </c>
      <c r="Z8846">
        <v>1</v>
      </c>
      <c r="AA8846">
        <v>0</v>
      </c>
      <c r="AB8846">
        <v>0</v>
      </c>
      <c r="AC8846">
        <v>1</v>
      </c>
      <c r="AD8846">
        <v>0</v>
      </c>
      <c r="AE8846">
        <v>0</v>
      </c>
      <c r="AF8846">
        <v>0</v>
      </c>
      <c r="AG8846">
        <v>1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</row>
    <row r="8847" spans="1:39" x14ac:dyDescent="0.2">
      <c r="A8847" t="str">
        <f>"8843"</f>
        <v>8843</v>
      </c>
      <c r="B8847" t="str">
        <f t="shared" si="491"/>
        <v>1</v>
      </c>
      <c r="C8847" t="str">
        <f t="shared" si="492"/>
        <v>177</v>
      </c>
      <c r="D8847" t="str">
        <f>"29"</f>
        <v>29</v>
      </c>
      <c r="E8847" t="str">
        <f>"1-177-29"</f>
        <v>1-177-29</v>
      </c>
      <c r="F8847" t="s">
        <v>65</v>
      </c>
      <c r="G8847" t="s">
        <v>66</v>
      </c>
      <c r="H8847" t="s">
        <v>67</v>
      </c>
      <c r="S8847">
        <v>0</v>
      </c>
      <c r="T8847">
        <v>1</v>
      </c>
      <c r="U8847">
        <v>0</v>
      </c>
      <c r="V8847">
        <v>0</v>
      </c>
      <c r="W8847">
        <v>0</v>
      </c>
      <c r="X8847">
        <v>1</v>
      </c>
      <c r="Y8847">
        <v>1</v>
      </c>
      <c r="Z8847">
        <v>0</v>
      </c>
      <c r="AA8847">
        <v>0</v>
      </c>
      <c r="AB8847">
        <v>0</v>
      </c>
      <c r="AC8847">
        <v>1</v>
      </c>
      <c r="AD8847">
        <v>1</v>
      </c>
      <c r="AE8847">
        <v>1</v>
      </c>
      <c r="AF8847">
        <v>0</v>
      </c>
      <c r="AG8847">
        <v>1</v>
      </c>
      <c r="AH8847">
        <v>1</v>
      </c>
      <c r="AI8847">
        <v>0</v>
      </c>
      <c r="AJ8847">
        <v>1</v>
      </c>
      <c r="AK8847">
        <v>0</v>
      </c>
      <c r="AL8847">
        <v>1</v>
      </c>
      <c r="AM8847">
        <v>1</v>
      </c>
    </row>
    <row r="8848" spans="1:39" x14ac:dyDescent="0.2">
      <c r="A8848" t="str">
        <f>"8844"</f>
        <v>8844</v>
      </c>
      <c r="B8848" t="str">
        <f t="shared" si="491"/>
        <v>1</v>
      </c>
      <c r="C8848" t="str">
        <f t="shared" si="492"/>
        <v>177</v>
      </c>
      <c r="D8848" t="str">
        <f>"7"</f>
        <v>7</v>
      </c>
      <c r="E8848" t="str">
        <f>"1-177-7"</f>
        <v>1-177-7</v>
      </c>
      <c r="F8848" t="s">
        <v>65</v>
      </c>
      <c r="G8848" t="s">
        <v>66</v>
      </c>
      <c r="H8848" t="s">
        <v>67</v>
      </c>
      <c r="S8848">
        <v>1</v>
      </c>
      <c r="T8848">
        <v>0</v>
      </c>
      <c r="U8848">
        <v>0</v>
      </c>
      <c r="V8848">
        <v>0</v>
      </c>
      <c r="W8848">
        <v>1</v>
      </c>
      <c r="X8848">
        <v>0</v>
      </c>
      <c r="Y8848">
        <v>0</v>
      </c>
      <c r="Z8848">
        <v>1</v>
      </c>
      <c r="AA8848">
        <v>1</v>
      </c>
      <c r="AB8848">
        <v>0</v>
      </c>
      <c r="AC8848">
        <v>0</v>
      </c>
      <c r="AD8848">
        <v>1</v>
      </c>
      <c r="AE8848">
        <v>1</v>
      </c>
      <c r="AF8848">
        <v>1</v>
      </c>
      <c r="AG8848">
        <v>1</v>
      </c>
      <c r="AH8848">
        <v>1</v>
      </c>
      <c r="AI8848">
        <v>1</v>
      </c>
      <c r="AJ8848">
        <v>1</v>
      </c>
      <c r="AK8848">
        <v>1</v>
      </c>
      <c r="AL8848">
        <v>1</v>
      </c>
      <c r="AM8848">
        <v>1</v>
      </c>
    </row>
    <row r="8849" spans="1:39" x14ac:dyDescent="0.2">
      <c r="A8849" t="str">
        <f>"8845"</f>
        <v>8845</v>
      </c>
      <c r="B8849" t="str">
        <f t="shared" si="491"/>
        <v>1</v>
      </c>
      <c r="C8849" t="str">
        <f t="shared" si="492"/>
        <v>177</v>
      </c>
      <c r="D8849" t="str">
        <f>"50"</f>
        <v>50</v>
      </c>
      <c r="E8849" t="str">
        <f>"1-177-50"</f>
        <v>1-177-50</v>
      </c>
      <c r="F8849" t="s">
        <v>65</v>
      </c>
      <c r="G8849" t="s">
        <v>66</v>
      </c>
      <c r="H8849" t="s">
        <v>67</v>
      </c>
      <c r="S8849">
        <v>0</v>
      </c>
      <c r="T8849">
        <v>1</v>
      </c>
      <c r="U8849">
        <v>0</v>
      </c>
      <c r="V8849">
        <v>0</v>
      </c>
      <c r="W8849">
        <v>1</v>
      </c>
      <c r="X8849">
        <v>0</v>
      </c>
      <c r="Y8849">
        <v>0</v>
      </c>
      <c r="Z8849">
        <v>1</v>
      </c>
      <c r="AA8849">
        <v>0</v>
      </c>
      <c r="AB8849">
        <v>0</v>
      </c>
      <c r="AC8849">
        <v>1</v>
      </c>
      <c r="AD8849">
        <v>1</v>
      </c>
      <c r="AE8849">
        <v>1</v>
      </c>
      <c r="AF8849">
        <v>1</v>
      </c>
      <c r="AG8849">
        <v>1</v>
      </c>
      <c r="AH8849">
        <v>1</v>
      </c>
      <c r="AI8849">
        <v>1</v>
      </c>
      <c r="AJ8849">
        <v>1</v>
      </c>
      <c r="AK8849">
        <v>1</v>
      </c>
      <c r="AL8849">
        <v>1</v>
      </c>
      <c r="AM8849">
        <v>1</v>
      </c>
    </row>
    <row r="8850" spans="1:39" x14ac:dyDescent="0.2">
      <c r="A8850" t="str">
        <f>"8846"</f>
        <v>8846</v>
      </c>
      <c r="B8850" t="str">
        <f t="shared" si="491"/>
        <v>1</v>
      </c>
      <c r="C8850" t="str">
        <f t="shared" si="492"/>
        <v>177</v>
      </c>
      <c r="D8850" t="str">
        <f>"30"</f>
        <v>30</v>
      </c>
      <c r="E8850" t="str">
        <f>"1-177-30"</f>
        <v>1-177-30</v>
      </c>
      <c r="F8850" t="s">
        <v>65</v>
      </c>
      <c r="G8850" t="s">
        <v>66</v>
      </c>
      <c r="H8850" t="s">
        <v>67</v>
      </c>
      <c r="S8850">
        <v>0</v>
      </c>
      <c r="T8850">
        <v>1</v>
      </c>
      <c r="U8850">
        <v>0</v>
      </c>
      <c r="V8850">
        <v>0</v>
      </c>
      <c r="W8850">
        <v>0</v>
      </c>
      <c r="X8850">
        <v>1</v>
      </c>
      <c r="Y8850">
        <v>1</v>
      </c>
      <c r="Z8850">
        <v>0</v>
      </c>
      <c r="AA8850">
        <v>0</v>
      </c>
      <c r="AB8850">
        <v>0</v>
      </c>
      <c r="AC8850">
        <v>1</v>
      </c>
      <c r="AD8850">
        <v>1</v>
      </c>
      <c r="AE8850">
        <v>1</v>
      </c>
      <c r="AF8850">
        <v>0</v>
      </c>
      <c r="AG8850">
        <v>1</v>
      </c>
      <c r="AH8850">
        <v>1</v>
      </c>
      <c r="AI8850">
        <v>0</v>
      </c>
      <c r="AJ8850">
        <v>0</v>
      </c>
      <c r="AK8850">
        <v>0</v>
      </c>
      <c r="AL8850">
        <v>0</v>
      </c>
      <c r="AM8850">
        <v>0</v>
      </c>
    </row>
    <row r="8851" spans="1:39" x14ac:dyDescent="0.2">
      <c r="A8851" t="str">
        <f>"8847"</f>
        <v>8847</v>
      </c>
      <c r="B8851" t="str">
        <f t="shared" si="491"/>
        <v>1</v>
      </c>
      <c r="C8851" t="str">
        <f t="shared" si="492"/>
        <v>177</v>
      </c>
      <c r="D8851" t="str">
        <f>"10"</f>
        <v>10</v>
      </c>
      <c r="E8851" t="str">
        <f>"1-177-10"</f>
        <v>1-177-10</v>
      </c>
      <c r="F8851" t="s">
        <v>65</v>
      </c>
      <c r="G8851" t="s">
        <v>66</v>
      </c>
      <c r="H8851" t="s">
        <v>67</v>
      </c>
      <c r="S8851">
        <v>1</v>
      </c>
      <c r="T8851">
        <v>0</v>
      </c>
      <c r="U8851">
        <v>0</v>
      </c>
      <c r="V8851">
        <v>0</v>
      </c>
      <c r="W8851">
        <v>1</v>
      </c>
      <c r="X8851">
        <v>0</v>
      </c>
      <c r="Y8851">
        <v>1</v>
      </c>
      <c r="Z8851">
        <v>0</v>
      </c>
      <c r="AA8851">
        <v>0</v>
      </c>
      <c r="AB8851">
        <v>1</v>
      </c>
      <c r="AC8851">
        <v>0</v>
      </c>
      <c r="AD8851">
        <v>1</v>
      </c>
      <c r="AE8851">
        <v>1</v>
      </c>
      <c r="AF8851">
        <v>1</v>
      </c>
      <c r="AG8851">
        <v>1</v>
      </c>
      <c r="AH8851">
        <v>1</v>
      </c>
      <c r="AI8851">
        <v>1</v>
      </c>
      <c r="AJ8851">
        <v>1</v>
      </c>
      <c r="AK8851">
        <v>1</v>
      </c>
      <c r="AL8851">
        <v>1</v>
      </c>
      <c r="AM8851">
        <v>1</v>
      </c>
    </row>
    <row r="8852" spans="1:39" x14ac:dyDescent="0.2">
      <c r="A8852" t="str">
        <f>"8848"</f>
        <v>8848</v>
      </c>
      <c r="B8852" t="str">
        <f t="shared" si="491"/>
        <v>1</v>
      </c>
      <c r="C8852" t="str">
        <f t="shared" si="492"/>
        <v>177</v>
      </c>
      <c r="D8852" t="str">
        <f>"31"</f>
        <v>31</v>
      </c>
      <c r="E8852" t="str">
        <f>"1-177-31"</f>
        <v>1-177-31</v>
      </c>
      <c r="F8852" t="s">
        <v>65</v>
      </c>
      <c r="G8852" t="s">
        <v>66</v>
      </c>
      <c r="H8852" t="s">
        <v>67</v>
      </c>
      <c r="S8852">
        <v>0</v>
      </c>
      <c r="T8852">
        <v>1</v>
      </c>
      <c r="U8852">
        <v>0</v>
      </c>
      <c r="V8852">
        <v>0</v>
      </c>
      <c r="W8852">
        <v>0</v>
      </c>
      <c r="X8852">
        <v>1</v>
      </c>
      <c r="Y8852">
        <v>0</v>
      </c>
      <c r="Z8852">
        <v>1</v>
      </c>
      <c r="AA8852">
        <v>0</v>
      </c>
      <c r="AB8852">
        <v>1</v>
      </c>
      <c r="AC8852">
        <v>0</v>
      </c>
      <c r="AD8852">
        <v>1</v>
      </c>
      <c r="AE8852">
        <v>1</v>
      </c>
      <c r="AF8852">
        <v>1</v>
      </c>
      <c r="AG8852">
        <v>1</v>
      </c>
      <c r="AH8852">
        <v>1</v>
      </c>
      <c r="AI8852">
        <v>1</v>
      </c>
      <c r="AJ8852">
        <v>1</v>
      </c>
      <c r="AK8852">
        <v>1</v>
      </c>
      <c r="AL8852">
        <v>1</v>
      </c>
      <c r="AM8852">
        <v>1</v>
      </c>
    </row>
    <row r="8853" spans="1:39" x14ac:dyDescent="0.2">
      <c r="A8853" t="str">
        <f>"8849"</f>
        <v>8849</v>
      </c>
      <c r="B8853" t="str">
        <f t="shared" si="491"/>
        <v>1</v>
      </c>
      <c r="C8853" t="str">
        <f t="shared" si="492"/>
        <v>177</v>
      </c>
      <c r="D8853" t="str">
        <f>"14"</f>
        <v>14</v>
      </c>
      <c r="E8853" t="str">
        <f>"1-177-14"</f>
        <v>1-177-14</v>
      </c>
      <c r="F8853" t="s">
        <v>65</v>
      </c>
      <c r="G8853" t="s">
        <v>66</v>
      </c>
      <c r="H8853" t="s">
        <v>67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1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1</v>
      </c>
      <c r="AH8853">
        <v>0</v>
      </c>
      <c r="AI8853">
        <v>1</v>
      </c>
      <c r="AJ8853">
        <v>0</v>
      </c>
      <c r="AK8853">
        <v>0</v>
      </c>
      <c r="AL8853">
        <v>0</v>
      </c>
      <c r="AM8853">
        <v>0</v>
      </c>
    </row>
    <row r="8854" spans="1:39" x14ac:dyDescent="0.2">
      <c r="A8854" t="str">
        <f>"8850"</f>
        <v>8850</v>
      </c>
      <c r="B8854" t="str">
        <f t="shared" si="491"/>
        <v>1</v>
      </c>
      <c r="C8854" t="str">
        <f t="shared" si="492"/>
        <v>177</v>
      </c>
      <c r="D8854" t="str">
        <f>"3"</f>
        <v>3</v>
      </c>
      <c r="E8854" t="str">
        <f>"1-177-3"</f>
        <v>1-177-3</v>
      </c>
      <c r="F8854" t="s">
        <v>65</v>
      </c>
      <c r="G8854" t="s">
        <v>66</v>
      </c>
      <c r="H8854" t="s">
        <v>67</v>
      </c>
      <c r="S8854">
        <v>1</v>
      </c>
      <c r="T8854">
        <v>0</v>
      </c>
      <c r="U8854">
        <v>0</v>
      </c>
      <c r="V8854">
        <v>0</v>
      </c>
      <c r="W8854">
        <v>1</v>
      </c>
      <c r="X8854">
        <v>0</v>
      </c>
      <c r="Y8854">
        <v>1</v>
      </c>
      <c r="Z8854">
        <v>0</v>
      </c>
      <c r="AA8854">
        <v>0</v>
      </c>
      <c r="AB8854">
        <v>1</v>
      </c>
      <c r="AC8854">
        <v>0</v>
      </c>
      <c r="AD8854">
        <v>1</v>
      </c>
      <c r="AE8854">
        <v>1</v>
      </c>
      <c r="AF8854">
        <v>1</v>
      </c>
      <c r="AG8854">
        <v>1</v>
      </c>
      <c r="AH8854">
        <v>1</v>
      </c>
      <c r="AI8854">
        <v>1</v>
      </c>
      <c r="AJ8854">
        <v>1</v>
      </c>
      <c r="AK8854">
        <v>1</v>
      </c>
      <c r="AL8854">
        <v>0</v>
      </c>
      <c r="AM8854">
        <v>1</v>
      </c>
    </row>
    <row r="8855" spans="1:39" x14ac:dyDescent="0.2">
      <c r="A8855" t="str">
        <f>"8851"</f>
        <v>8851</v>
      </c>
      <c r="B8855" t="str">
        <f t="shared" si="491"/>
        <v>1</v>
      </c>
      <c r="C8855" t="str">
        <f t="shared" ref="C8855:C8886" si="493">"178"</f>
        <v>178</v>
      </c>
      <c r="D8855" t="str">
        <f>"36"</f>
        <v>36</v>
      </c>
      <c r="E8855" t="str">
        <f>"1-178-36"</f>
        <v>1-178-36</v>
      </c>
      <c r="F8855" t="s">
        <v>65</v>
      </c>
      <c r="G8855" t="s">
        <v>66</v>
      </c>
      <c r="H8855" t="s">
        <v>67</v>
      </c>
      <c r="S8855">
        <v>0</v>
      </c>
      <c r="T8855">
        <v>1</v>
      </c>
      <c r="U8855">
        <v>0</v>
      </c>
      <c r="V8855">
        <v>0</v>
      </c>
      <c r="W8855">
        <v>0</v>
      </c>
      <c r="X8855">
        <v>1</v>
      </c>
      <c r="Y8855">
        <v>0</v>
      </c>
      <c r="Z8855">
        <v>1</v>
      </c>
      <c r="AA8855">
        <v>0</v>
      </c>
      <c r="AB8855">
        <v>0</v>
      </c>
      <c r="AC8855">
        <v>1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</row>
    <row r="8856" spans="1:39" x14ac:dyDescent="0.2">
      <c r="A8856" t="str">
        <f>"8852"</f>
        <v>8852</v>
      </c>
      <c r="B8856" t="str">
        <f t="shared" si="491"/>
        <v>1</v>
      </c>
      <c r="C8856" t="str">
        <f t="shared" si="493"/>
        <v>178</v>
      </c>
      <c r="D8856" t="str">
        <f>"35"</f>
        <v>35</v>
      </c>
      <c r="E8856" t="str">
        <f>"1-178-35"</f>
        <v>1-178-35</v>
      </c>
      <c r="F8856" t="s">
        <v>65</v>
      </c>
      <c r="G8856" t="s">
        <v>66</v>
      </c>
      <c r="H8856" t="s">
        <v>67</v>
      </c>
      <c r="S8856">
        <v>0</v>
      </c>
      <c r="T8856">
        <v>1</v>
      </c>
      <c r="U8856">
        <v>0</v>
      </c>
      <c r="V8856">
        <v>0</v>
      </c>
      <c r="W8856">
        <v>0</v>
      </c>
      <c r="X8856">
        <v>1</v>
      </c>
      <c r="Y8856">
        <v>0</v>
      </c>
      <c r="Z8856">
        <v>1</v>
      </c>
      <c r="AA8856">
        <v>0</v>
      </c>
      <c r="AB8856">
        <v>1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</row>
    <row r="8857" spans="1:39" x14ac:dyDescent="0.2">
      <c r="A8857" t="str">
        <f>"8853"</f>
        <v>8853</v>
      </c>
      <c r="B8857" t="str">
        <f t="shared" si="491"/>
        <v>1</v>
      </c>
      <c r="C8857" t="str">
        <f t="shared" si="493"/>
        <v>178</v>
      </c>
      <c r="D8857" t="str">
        <f>"23"</f>
        <v>23</v>
      </c>
      <c r="E8857" t="str">
        <f>"1-178-23"</f>
        <v>1-178-23</v>
      </c>
      <c r="F8857" t="s">
        <v>65</v>
      </c>
      <c r="G8857" t="s">
        <v>66</v>
      </c>
      <c r="H8857" t="s">
        <v>68</v>
      </c>
      <c r="I8857">
        <v>1</v>
      </c>
      <c r="J8857">
        <v>0</v>
      </c>
      <c r="K8857">
        <v>0</v>
      </c>
      <c r="L8857">
        <v>1</v>
      </c>
      <c r="M8857">
        <v>1</v>
      </c>
      <c r="N8857">
        <v>1</v>
      </c>
      <c r="O8857">
        <v>1</v>
      </c>
      <c r="P8857">
        <v>1</v>
      </c>
      <c r="Q8857">
        <v>1</v>
      </c>
      <c r="R8857">
        <v>1</v>
      </c>
    </row>
    <row r="8858" spans="1:39" x14ac:dyDescent="0.2">
      <c r="A8858" t="str">
        <f>"8854"</f>
        <v>8854</v>
      </c>
      <c r="B8858" t="str">
        <f t="shared" si="491"/>
        <v>1</v>
      </c>
      <c r="C8858" t="str">
        <f t="shared" si="493"/>
        <v>178</v>
      </c>
      <c r="D8858" t="str">
        <f>"15"</f>
        <v>15</v>
      </c>
      <c r="E8858" t="str">
        <f>"1-178-15"</f>
        <v>1-178-15</v>
      </c>
      <c r="F8858" t="s">
        <v>65</v>
      </c>
      <c r="G8858" t="s">
        <v>66</v>
      </c>
      <c r="H8858" t="s">
        <v>67</v>
      </c>
      <c r="S8858">
        <v>1</v>
      </c>
      <c r="T8858">
        <v>0</v>
      </c>
      <c r="U8858">
        <v>0</v>
      </c>
      <c r="V8858">
        <v>0</v>
      </c>
      <c r="W8858">
        <v>1</v>
      </c>
      <c r="X8858">
        <v>0</v>
      </c>
      <c r="Y8858">
        <v>1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</row>
    <row r="8859" spans="1:39" x14ac:dyDescent="0.2">
      <c r="A8859" t="str">
        <f>"8855"</f>
        <v>8855</v>
      </c>
      <c r="B8859" t="str">
        <f t="shared" si="491"/>
        <v>1</v>
      </c>
      <c r="C8859" t="str">
        <f t="shared" si="493"/>
        <v>178</v>
      </c>
      <c r="D8859" t="str">
        <f>"2"</f>
        <v>2</v>
      </c>
      <c r="E8859" t="str">
        <f>"1-178-2"</f>
        <v>1-178-2</v>
      </c>
      <c r="F8859" t="s">
        <v>65</v>
      </c>
      <c r="G8859" t="s">
        <v>66</v>
      </c>
      <c r="H8859" t="s">
        <v>67</v>
      </c>
      <c r="S8859">
        <v>1</v>
      </c>
      <c r="T8859">
        <v>0</v>
      </c>
      <c r="U8859">
        <v>0</v>
      </c>
      <c r="V8859">
        <v>0</v>
      </c>
      <c r="W8859">
        <v>0</v>
      </c>
      <c r="X8859">
        <v>1</v>
      </c>
      <c r="Y8859">
        <v>1</v>
      </c>
      <c r="Z8859">
        <v>0</v>
      </c>
      <c r="AA8859">
        <v>1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</row>
    <row r="8860" spans="1:39" x14ac:dyDescent="0.2">
      <c r="A8860" t="str">
        <f>"8856"</f>
        <v>8856</v>
      </c>
      <c r="B8860" t="str">
        <f t="shared" si="491"/>
        <v>1</v>
      </c>
      <c r="C8860" t="str">
        <f t="shared" si="493"/>
        <v>178</v>
      </c>
      <c r="D8860" t="str">
        <f>"38"</f>
        <v>38</v>
      </c>
      <c r="E8860" t="str">
        <f>"1-178-38"</f>
        <v>1-178-38</v>
      </c>
      <c r="F8860" t="s">
        <v>65</v>
      </c>
      <c r="G8860" t="s">
        <v>66</v>
      </c>
      <c r="H8860" t="s">
        <v>67</v>
      </c>
      <c r="S8860">
        <v>0</v>
      </c>
      <c r="T8860">
        <v>1</v>
      </c>
      <c r="U8860">
        <v>0</v>
      </c>
      <c r="V8860">
        <v>0</v>
      </c>
      <c r="W8860">
        <v>0</v>
      </c>
      <c r="X8860">
        <v>1</v>
      </c>
      <c r="Y8860">
        <v>0</v>
      </c>
      <c r="Z8860">
        <v>1</v>
      </c>
      <c r="AA8860">
        <v>0</v>
      </c>
      <c r="AB8860">
        <v>0</v>
      </c>
      <c r="AC8860">
        <v>1</v>
      </c>
      <c r="AD8860">
        <v>1</v>
      </c>
      <c r="AE8860">
        <v>1</v>
      </c>
      <c r="AF8860">
        <v>1</v>
      </c>
      <c r="AG8860">
        <v>1</v>
      </c>
      <c r="AH8860">
        <v>1</v>
      </c>
      <c r="AI8860">
        <v>1</v>
      </c>
      <c r="AJ8860">
        <v>1</v>
      </c>
      <c r="AK8860">
        <v>1</v>
      </c>
      <c r="AL8860">
        <v>1</v>
      </c>
      <c r="AM8860">
        <v>1</v>
      </c>
    </row>
    <row r="8861" spans="1:39" x14ac:dyDescent="0.2">
      <c r="A8861" t="str">
        <f>"8857"</f>
        <v>8857</v>
      </c>
      <c r="B8861" t="str">
        <f t="shared" si="491"/>
        <v>1</v>
      </c>
      <c r="C8861" t="str">
        <f t="shared" si="493"/>
        <v>178</v>
      </c>
      <c r="D8861" t="str">
        <f>"37"</f>
        <v>37</v>
      </c>
      <c r="E8861" t="str">
        <f>"1-178-37"</f>
        <v>1-178-37</v>
      </c>
      <c r="F8861" t="s">
        <v>65</v>
      </c>
      <c r="G8861" t="s">
        <v>66</v>
      </c>
      <c r="H8861" t="s">
        <v>67</v>
      </c>
      <c r="S8861">
        <v>1</v>
      </c>
      <c r="T8861">
        <v>0</v>
      </c>
      <c r="U8861">
        <v>0</v>
      </c>
      <c r="V8861">
        <v>0</v>
      </c>
      <c r="W8861">
        <v>1</v>
      </c>
      <c r="X8861">
        <v>0</v>
      </c>
      <c r="Y8861">
        <v>1</v>
      </c>
      <c r="Z8861">
        <v>0</v>
      </c>
      <c r="AA8861">
        <v>1</v>
      </c>
      <c r="AB8861">
        <v>0</v>
      </c>
      <c r="AC8861">
        <v>0</v>
      </c>
      <c r="AD8861">
        <v>1</v>
      </c>
      <c r="AE8861">
        <v>1</v>
      </c>
      <c r="AF8861">
        <v>1</v>
      </c>
      <c r="AG8861">
        <v>1</v>
      </c>
      <c r="AH8861">
        <v>1</v>
      </c>
      <c r="AI8861">
        <v>1</v>
      </c>
      <c r="AJ8861">
        <v>1</v>
      </c>
      <c r="AK8861">
        <v>1</v>
      </c>
      <c r="AL8861">
        <v>1</v>
      </c>
      <c r="AM8861">
        <v>1</v>
      </c>
    </row>
    <row r="8862" spans="1:39" x14ac:dyDescent="0.2">
      <c r="A8862" t="str">
        <f>"8858"</f>
        <v>8858</v>
      </c>
      <c r="B8862" t="str">
        <f t="shared" si="491"/>
        <v>1</v>
      </c>
      <c r="C8862" t="str">
        <f t="shared" si="493"/>
        <v>178</v>
      </c>
      <c r="D8862" t="str">
        <f>"30"</f>
        <v>30</v>
      </c>
      <c r="E8862" t="str">
        <f>"1-178-30"</f>
        <v>1-178-30</v>
      </c>
      <c r="F8862" t="s">
        <v>65</v>
      </c>
      <c r="G8862" t="s">
        <v>66</v>
      </c>
      <c r="H8862" t="s">
        <v>67</v>
      </c>
      <c r="S8862">
        <v>1</v>
      </c>
      <c r="T8862">
        <v>0</v>
      </c>
      <c r="U8862">
        <v>0</v>
      </c>
      <c r="V8862">
        <v>0</v>
      </c>
      <c r="W8862">
        <v>1</v>
      </c>
      <c r="X8862">
        <v>0</v>
      </c>
      <c r="Y8862">
        <v>1</v>
      </c>
      <c r="Z8862">
        <v>0</v>
      </c>
      <c r="AA8862">
        <v>1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</row>
    <row r="8863" spans="1:39" x14ac:dyDescent="0.2">
      <c r="A8863" t="str">
        <f>"8859"</f>
        <v>8859</v>
      </c>
      <c r="B8863" t="str">
        <f t="shared" si="491"/>
        <v>1</v>
      </c>
      <c r="C8863" t="str">
        <f t="shared" si="493"/>
        <v>178</v>
      </c>
      <c r="D8863" t="str">
        <f>"16"</f>
        <v>16</v>
      </c>
      <c r="E8863" t="str">
        <f>"1-178-16"</f>
        <v>1-178-16</v>
      </c>
      <c r="F8863" t="s">
        <v>65</v>
      </c>
      <c r="G8863" t="s">
        <v>66</v>
      </c>
      <c r="H8863" t="s">
        <v>67</v>
      </c>
      <c r="S8863">
        <v>1</v>
      </c>
      <c r="T8863">
        <v>0</v>
      </c>
      <c r="U8863">
        <v>0</v>
      </c>
      <c r="V8863">
        <v>0</v>
      </c>
      <c r="W8863">
        <v>0</v>
      </c>
      <c r="X8863">
        <v>1</v>
      </c>
      <c r="Y8863">
        <v>1</v>
      </c>
      <c r="Z8863">
        <v>0</v>
      </c>
      <c r="AA8863">
        <v>0</v>
      </c>
      <c r="AB8863">
        <v>0</v>
      </c>
      <c r="AC8863">
        <v>1</v>
      </c>
      <c r="AD8863">
        <v>1</v>
      </c>
      <c r="AE8863">
        <v>1</v>
      </c>
      <c r="AF8863">
        <v>1</v>
      </c>
      <c r="AG8863">
        <v>1</v>
      </c>
      <c r="AH8863">
        <v>1</v>
      </c>
      <c r="AI8863">
        <v>1</v>
      </c>
      <c r="AJ8863">
        <v>1</v>
      </c>
      <c r="AK8863">
        <v>1</v>
      </c>
      <c r="AL8863">
        <v>1</v>
      </c>
      <c r="AM8863">
        <v>1</v>
      </c>
    </row>
    <row r="8864" spans="1:39" x14ac:dyDescent="0.2">
      <c r="A8864" t="str">
        <f>"8860"</f>
        <v>8860</v>
      </c>
      <c r="B8864" t="str">
        <f t="shared" si="491"/>
        <v>1</v>
      </c>
      <c r="C8864" t="str">
        <f t="shared" si="493"/>
        <v>178</v>
      </c>
      <c r="D8864" t="str">
        <f>"4"</f>
        <v>4</v>
      </c>
      <c r="E8864" t="str">
        <f>"1-178-4"</f>
        <v>1-178-4</v>
      </c>
      <c r="F8864" t="s">
        <v>65</v>
      </c>
      <c r="G8864" t="s">
        <v>66</v>
      </c>
      <c r="H8864" t="s">
        <v>67</v>
      </c>
      <c r="S8864">
        <v>1</v>
      </c>
      <c r="T8864">
        <v>0</v>
      </c>
      <c r="U8864">
        <v>0</v>
      </c>
      <c r="V8864">
        <v>0</v>
      </c>
      <c r="W8864">
        <v>0</v>
      </c>
      <c r="X8864">
        <v>1</v>
      </c>
      <c r="Y8864">
        <v>0</v>
      </c>
      <c r="Z8864">
        <v>1</v>
      </c>
      <c r="AA8864">
        <v>1</v>
      </c>
      <c r="AB8864">
        <v>0</v>
      </c>
      <c r="AC8864">
        <v>0</v>
      </c>
      <c r="AD8864">
        <v>1</v>
      </c>
      <c r="AE8864">
        <v>1</v>
      </c>
      <c r="AF8864">
        <v>1</v>
      </c>
      <c r="AG8864">
        <v>1</v>
      </c>
      <c r="AH8864">
        <v>1</v>
      </c>
      <c r="AI8864">
        <v>1</v>
      </c>
      <c r="AJ8864">
        <v>1</v>
      </c>
      <c r="AK8864">
        <v>1</v>
      </c>
      <c r="AL8864">
        <v>1</v>
      </c>
      <c r="AM8864">
        <v>1</v>
      </c>
    </row>
    <row r="8865" spans="1:39" x14ac:dyDescent="0.2">
      <c r="A8865" t="str">
        <f>"8861"</f>
        <v>8861</v>
      </c>
      <c r="B8865" t="str">
        <f t="shared" si="491"/>
        <v>1</v>
      </c>
      <c r="C8865" t="str">
        <f t="shared" si="493"/>
        <v>178</v>
      </c>
      <c r="D8865" t="str">
        <f>"40"</f>
        <v>40</v>
      </c>
      <c r="E8865" t="str">
        <f>"1-178-40"</f>
        <v>1-178-40</v>
      </c>
      <c r="F8865" t="s">
        <v>65</v>
      </c>
      <c r="G8865" t="s">
        <v>66</v>
      </c>
      <c r="H8865" t="s">
        <v>67</v>
      </c>
      <c r="S8865">
        <v>0</v>
      </c>
      <c r="T8865">
        <v>1</v>
      </c>
      <c r="U8865">
        <v>0</v>
      </c>
      <c r="V8865">
        <v>0</v>
      </c>
      <c r="W8865">
        <v>0</v>
      </c>
      <c r="X8865">
        <v>1</v>
      </c>
      <c r="Y8865">
        <v>0</v>
      </c>
      <c r="Z8865">
        <v>1</v>
      </c>
      <c r="AA8865">
        <v>0</v>
      </c>
      <c r="AB8865">
        <v>0</v>
      </c>
      <c r="AC8865">
        <v>1</v>
      </c>
      <c r="AD8865">
        <v>1</v>
      </c>
      <c r="AE8865">
        <v>1</v>
      </c>
      <c r="AF8865">
        <v>1</v>
      </c>
      <c r="AG8865">
        <v>1</v>
      </c>
      <c r="AH8865">
        <v>1</v>
      </c>
      <c r="AI8865">
        <v>1</v>
      </c>
      <c r="AJ8865">
        <v>1</v>
      </c>
      <c r="AK8865">
        <v>1</v>
      </c>
      <c r="AL8865">
        <v>1</v>
      </c>
      <c r="AM8865">
        <v>1</v>
      </c>
    </row>
    <row r="8866" spans="1:39" x14ac:dyDescent="0.2">
      <c r="A8866" t="str">
        <f>"8862"</f>
        <v>8862</v>
      </c>
      <c r="B8866" t="str">
        <f t="shared" si="491"/>
        <v>1</v>
      </c>
      <c r="C8866" t="str">
        <f t="shared" si="493"/>
        <v>178</v>
      </c>
      <c r="D8866" t="str">
        <f>"39"</f>
        <v>39</v>
      </c>
      <c r="E8866" t="str">
        <f>"1-178-39"</f>
        <v>1-178-39</v>
      </c>
      <c r="F8866" t="s">
        <v>65</v>
      </c>
      <c r="G8866" t="s">
        <v>66</v>
      </c>
      <c r="H8866" t="s">
        <v>68</v>
      </c>
      <c r="I8866">
        <v>1</v>
      </c>
      <c r="J8866">
        <v>0</v>
      </c>
      <c r="K8866">
        <v>0</v>
      </c>
      <c r="L8866">
        <v>1</v>
      </c>
      <c r="M8866">
        <v>1</v>
      </c>
      <c r="N8866">
        <v>1</v>
      </c>
      <c r="O8866">
        <v>1</v>
      </c>
      <c r="P8866">
        <v>1</v>
      </c>
      <c r="Q8866">
        <v>1</v>
      </c>
      <c r="R8866">
        <v>1</v>
      </c>
    </row>
    <row r="8867" spans="1:39" x14ac:dyDescent="0.2">
      <c r="A8867" t="str">
        <f>"8863"</f>
        <v>8863</v>
      </c>
      <c r="B8867" t="str">
        <f t="shared" si="491"/>
        <v>1</v>
      </c>
      <c r="C8867" t="str">
        <f t="shared" si="493"/>
        <v>178</v>
      </c>
      <c r="D8867" t="str">
        <f>"31"</f>
        <v>31</v>
      </c>
      <c r="E8867" t="str">
        <f>"1-178-31"</f>
        <v>1-178-31</v>
      </c>
      <c r="F8867" t="s">
        <v>65</v>
      </c>
      <c r="G8867" t="s">
        <v>66</v>
      </c>
      <c r="H8867" t="s">
        <v>68</v>
      </c>
      <c r="I8867">
        <v>1</v>
      </c>
      <c r="J8867">
        <v>1</v>
      </c>
      <c r="K8867">
        <v>0</v>
      </c>
      <c r="L8867">
        <v>0</v>
      </c>
      <c r="M8867">
        <v>1</v>
      </c>
      <c r="N8867">
        <v>1</v>
      </c>
      <c r="O8867">
        <v>1</v>
      </c>
      <c r="P8867">
        <v>1</v>
      </c>
      <c r="Q8867">
        <v>1</v>
      </c>
      <c r="R8867">
        <v>1</v>
      </c>
    </row>
    <row r="8868" spans="1:39" x14ac:dyDescent="0.2">
      <c r="A8868" t="str">
        <f>"8864"</f>
        <v>8864</v>
      </c>
      <c r="B8868" t="str">
        <f t="shared" si="491"/>
        <v>1</v>
      </c>
      <c r="C8868" t="str">
        <f t="shared" si="493"/>
        <v>178</v>
      </c>
      <c r="D8868" t="str">
        <f>"17"</f>
        <v>17</v>
      </c>
      <c r="E8868" t="str">
        <f>"1-178-17"</f>
        <v>1-178-17</v>
      </c>
      <c r="F8868" t="s">
        <v>65</v>
      </c>
      <c r="G8868" t="s">
        <v>66</v>
      </c>
      <c r="H8868" t="s">
        <v>67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1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</row>
    <row r="8869" spans="1:39" x14ac:dyDescent="0.2">
      <c r="A8869" t="str">
        <f>"8865"</f>
        <v>8865</v>
      </c>
      <c r="B8869" t="str">
        <f t="shared" si="491"/>
        <v>1</v>
      </c>
      <c r="C8869" t="str">
        <f t="shared" si="493"/>
        <v>178</v>
      </c>
      <c r="D8869" t="str">
        <f>"1"</f>
        <v>1</v>
      </c>
      <c r="E8869" t="str">
        <f>"1-178-1"</f>
        <v>1-178-1</v>
      </c>
      <c r="F8869" t="s">
        <v>65</v>
      </c>
      <c r="G8869" t="s">
        <v>66</v>
      </c>
      <c r="H8869" t="s">
        <v>67</v>
      </c>
      <c r="S8869">
        <v>1</v>
      </c>
      <c r="T8869">
        <v>0</v>
      </c>
      <c r="U8869">
        <v>0</v>
      </c>
      <c r="V8869">
        <v>0</v>
      </c>
      <c r="W8869">
        <v>1</v>
      </c>
      <c r="X8869">
        <v>0</v>
      </c>
      <c r="Y8869">
        <v>1</v>
      </c>
      <c r="Z8869">
        <v>0</v>
      </c>
      <c r="AA8869">
        <v>1</v>
      </c>
      <c r="AB8869">
        <v>0</v>
      </c>
      <c r="AC8869">
        <v>0</v>
      </c>
      <c r="AD8869">
        <v>1</v>
      </c>
      <c r="AE8869">
        <v>1</v>
      </c>
      <c r="AF8869">
        <v>1</v>
      </c>
      <c r="AG8869">
        <v>1</v>
      </c>
      <c r="AH8869">
        <v>0</v>
      </c>
      <c r="AI8869">
        <v>1</v>
      </c>
      <c r="AJ8869">
        <v>1</v>
      </c>
      <c r="AK8869">
        <v>1</v>
      </c>
      <c r="AL8869">
        <v>1</v>
      </c>
      <c r="AM8869">
        <v>1</v>
      </c>
    </row>
    <row r="8870" spans="1:39" x14ac:dyDescent="0.2">
      <c r="A8870" t="str">
        <f>"8866"</f>
        <v>8866</v>
      </c>
      <c r="B8870" t="str">
        <f t="shared" si="491"/>
        <v>1</v>
      </c>
      <c r="C8870" t="str">
        <f t="shared" si="493"/>
        <v>178</v>
      </c>
      <c r="D8870" t="str">
        <f>"42"</f>
        <v>42</v>
      </c>
      <c r="E8870" t="str">
        <f>"1-178-42"</f>
        <v>1-178-42</v>
      </c>
      <c r="F8870" t="s">
        <v>65</v>
      </c>
      <c r="G8870" t="s">
        <v>66</v>
      </c>
      <c r="H8870" t="s">
        <v>68</v>
      </c>
      <c r="I8870">
        <v>1</v>
      </c>
      <c r="J8870">
        <v>1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</row>
    <row r="8871" spans="1:39" x14ac:dyDescent="0.2">
      <c r="A8871" t="str">
        <f>"8867"</f>
        <v>8867</v>
      </c>
      <c r="B8871" t="str">
        <f t="shared" si="491"/>
        <v>1</v>
      </c>
      <c r="C8871" t="str">
        <f t="shared" si="493"/>
        <v>178</v>
      </c>
      <c r="D8871" t="str">
        <f>"41"</f>
        <v>41</v>
      </c>
      <c r="E8871" t="str">
        <f>"1-178-41"</f>
        <v>1-178-41</v>
      </c>
      <c r="F8871" t="s">
        <v>65</v>
      </c>
      <c r="G8871" t="s">
        <v>66</v>
      </c>
      <c r="H8871" t="s">
        <v>67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1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1</v>
      </c>
      <c r="AE8871">
        <v>1</v>
      </c>
      <c r="AF8871">
        <v>1</v>
      </c>
      <c r="AG8871">
        <v>1</v>
      </c>
      <c r="AH8871">
        <v>1</v>
      </c>
      <c r="AI8871">
        <v>1</v>
      </c>
      <c r="AJ8871">
        <v>1</v>
      </c>
      <c r="AK8871">
        <v>1</v>
      </c>
      <c r="AL8871">
        <v>1</v>
      </c>
      <c r="AM8871">
        <v>1</v>
      </c>
    </row>
    <row r="8872" spans="1:39" x14ac:dyDescent="0.2">
      <c r="A8872" t="str">
        <f>"8868"</f>
        <v>8868</v>
      </c>
      <c r="B8872" t="str">
        <f t="shared" si="491"/>
        <v>1</v>
      </c>
      <c r="C8872" t="str">
        <f t="shared" si="493"/>
        <v>178</v>
      </c>
      <c r="D8872" t="str">
        <f>"32"</f>
        <v>32</v>
      </c>
      <c r="E8872" t="str">
        <f>"1-178-32"</f>
        <v>1-178-32</v>
      </c>
      <c r="F8872" t="s">
        <v>65</v>
      </c>
      <c r="G8872" t="s">
        <v>66</v>
      </c>
      <c r="H8872" t="s">
        <v>68</v>
      </c>
      <c r="I8872">
        <v>1</v>
      </c>
      <c r="J8872">
        <v>1</v>
      </c>
      <c r="K8872">
        <v>0</v>
      </c>
      <c r="L8872">
        <v>0</v>
      </c>
      <c r="M8872">
        <v>1</v>
      </c>
      <c r="N8872">
        <v>1</v>
      </c>
      <c r="O8872">
        <v>1</v>
      </c>
      <c r="P8872">
        <v>1</v>
      </c>
      <c r="Q8872">
        <v>1</v>
      </c>
      <c r="R8872">
        <v>1</v>
      </c>
    </row>
    <row r="8873" spans="1:39" x14ac:dyDescent="0.2">
      <c r="A8873" t="str">
        <f>"8869"</f>
        <v>8869</v>
      </c>
      <c r="B8873" t="str">
        <f t="shared" si="491"/>
        <v>1</v>
      </c>
      <c r="C8873" t="str">
        <f t="shared" si="493"/>
        <v>178</v>
      </c>
      <c r="D8873" t="str">
        <f>"18"</f>
        <v>18</v>
      </c>
      <c r="E8873" t="str">
        <f>"1-178-18"</f>
        <v>1-178-18</v>
      </c>
      <c r="F8873" t="s">
        <v>65</v>
      </c>
      <c r="G8873" t="s">
        <v>66</v>
      </c>
      <c r="H8873" t="s">
        <v>67</v>
      </c>
      <c r="S8873">
        <v>1</v>
      </c>
      <c r="T8873">
        <v>0</v>
      </c>
      <c r="U8873">
        <v>0</v>
      </c>
      <c r="V8873">
        <v>0</v>
      </c>
      <c r="W8873">
        <v>1</v>
      </c>
      <c r="X8873">
        <v>0</v>
      </c>
      <c r="Y8873">
        <v>0</v>
      </c>
      <c r="Z8873">
        <v>1</v>
      </c>
      <c r="AA8873">
        <v>1</v>
      </c>
      <c r="AB8873">
        <v>0</v>
      </c>
      <c r="AC8873">
        <v>0</v>
      </c>
      <c r="AD8873">
        <v>1</v>
      </c>
      <c r="AE8873">
        <v>1</v>
      </c>
      <c r="AF8873">
        <v>1</v>
      </c>
      <c r="AG8873">
        <v>1</v>
      </c>
      <c r="AH8873">
        <v>1</v>
      </c>
      <c r="AI8873">
        <v>1</v>
      </c>
      <c r="AJ8873">
        <v>1</v>
      </c>
      <c r="AK8873">
        <v>1</v>
      </c>
      <c r="AL8873">
        <v>1</v>
      </c>
      <c r="AM8873">
        <v>1</v>
      </c>
    </row>
    <row r="8874" spans="1:39" x14ac:dyDescent="0.2">
      <c r="A8874" t="str">
        <f>"8870"</f>
        <v>8870</v>
      </c>
      <c r="B8874" t="str">
        <f t="shared" si="491"/>
        <v>1</v>
      </c>
      <c r="C8874" t="str">
        <f t="shared" si="493"/>
        <v>178</v>
      </c>
      <c r="D8874" t="str">
        <f>"12"</f>
        <v>12</v>
      </c>
      <c r="E8874" t="str">
        <f>"1-178-12"</f>
        <v>1-178-12</v>
      </c>
      <c r="F8874" t="s">
        <v>65</v>
      </c>
      <c r="G8874" t="s">
        <v>66</v>
      </c>
      <c r="H8874" t="s">
        <v>67</v>
      </c>
      <c r="S8874">
        <v>0</v>
      </c>
      <c r="T8874">
        <v>1</v>
      </c>
      <c r="U8874">
        <v>0</v>
      </c>
      <c r="V8874">
        <v>0</v>
      </c>
      <c r="W8874">
        <v>0</v>
      </c>
      <c r="X8874">
        <v>1</v>
      </c>
      <c r="Y8874">
        <v>0</v>
      </c>
      <c r="Z8874">
        <v>1</v>
      </c>
      <c r="AA8874">
        <v>0</v>
      </c>
      <c r="AB8874">
        <v>1</v>
      </c>
      <c r="AC8874">
        <v>0</v>
      </c>
      <c r="AD8874">
        <v>1</v>
      </c>
      <c r="AE8874">
        <v>1</v>
      </c>
      <c r="AF8874">
        <v>1</v>
      </c>
      <c r="AG8874">
        <v>1</v>
      </c>
      <c r="AH8874">
        <v>1</v>
      </c>
      <c r="AI8874">
        <v>1</v>
      </c>
      <c r="AJ8874">
        <v>1</v>
      </c>
      <c r="AK8874">
        <v>1</v>
      </c>
      <c r="AL8874">
        <v>1</v>
      </c>
      <c r="AM8874">
        <v>1</v>
      </c>
    </row>
    <row r="8875" spans="1:39" x14ac:dyDescent="0.2">
      <c r="A8875" t="str">
        <f>"8871"</f>
        <v>8871</v>
      </c>
      <c r="B8875" t="str">
        <f t="shared" si="491"/>
        <v>1</v>
      </c>
      <c r="C8875" t="str">
        <f t="shared" si="493"/>
        <v>178</v>
      </c>
      <c r="D8875" t="str">
        <f>"47"</f>
        <v>47</v>
      </c>
      <c r="E8875" t="str">
        <f>"1-178-47"</f>
        <v>1-178-47</v>
      </c>
      <c r="F8875" t="s">
        <v>65</v>
      </c>
      <c r="G8875" t="s">
        <v>66</v>
      </c>
      <c r="H8875" t="s">
        <v>67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1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1</v>
      </c>
      <c r="AJ8875">
        <v>1</v>
      </c>
      <c r="AK8875">
        <v>1</v>
      </c>
      <c r="AL8875">
        <v>1</v>
      </c>
      <c r="AM8875">
        <v>1</v>
      </c>
    </row>
    <row r="8876" spans="1:39" x14ac:dyDescent="0.2">
      <c r="A8876" t="str">
        <f>"8872"</f>
        <v>8872</v>
      </c>
      <c r="B8876" t="str">
        <f t="shared" si="491"/>
        <v>1</v>
      </c>
      <c r="C8876" t="str">
        <f t="shared" si="493"/>
        <v>178</v>
      </c>
      <c r="D8876" t="str">
        <f>"46"</f>
        <v>46</v>
      </c>
      <c r="E8876" t="str">
        <f>"1-178-46"</f>
        <v>1-178-46</v>
      </c>
      <c r="F8876" t="s">
        <v>65</v>
      </c>
      <c r="G8876" t="s">
        <v>66</v>
      </c>
      <c r="H8876" t="s">
        <v>67</v>
      </c>
      <c r="S8876">
        <v>0</v>
      </c>
      <c r="T8876">
        <v>1</v>
      </c>
      <c r="U8876">
        <v>0</v>
      </c>
      <c r="V8876">
        <v>0</v>
      </c>
      <c r="W8876">
        <v>0</v>
      </c>
      <c r="X8876">
        <v>1</v>
      </c>
      <c r="Y8876">
        <v>0</v>
      </c>
      <c r="Z8876">
        <v>1</v>
      </c>
      <c r="AA8876">
        <v>0</v>
      </c>
      <c r="AB8876">
        <v>0</v>
      </c>
      <c r="AC8876">
        <v>1</v>
      </c>
      <c r="AD8876">
        <v>1</v>
      </c>
      <c r="AE8876">
        <v>1</v>
      </c>
      <c r="AF8876">
        <v>1</v>
      </c>
      <c r="AG8876">
        <v>1</v>
      </c>
      <c r="AH8876">
        <v>1</v>
      </c>
      <c r="AI8876">
        <v>1</v>
      </c>
      <c r="AJ8876">
        <v>1</v>
      </c>
      <c r="AK8876">
        <v>1</v>
      </c>
      <c r="AL8876">
        <v>1</v>
      </c>
      <c r="AM8876">
        <v>1</v>
      </c>
    </row>
    <row r="8877" spans="1:39" x14ac:dyDescent="0.2">
      <c r="A8877" t="str">
        <f>"8873"</f>
        <v>8873</v>
      </c>
      <c r="B8877" t="str">
        <f t="shared" si="491"/>
        <v>1</v>
      </c>
      <c r="C8877" t="str">
        <f t="shared" si="493"/>
        <v>178</v>
      </c>
      <c r="D8877" t="str">
        <f>"34"</f>
        <v>34</v>
      </c>
      <c r="E8877" t="str">
        <f>"1-178-34"</f>
        <v>1-178-34</v>
      </c>
      <c r="F8877" t="s">
        <v>65</v>
      </c>
      <c r="G8877" t="s">
        <v>66</v>
      </c>
      <c r="H8877" t="s">
        <v>67</v>
      </c>
      <c r="S8877">
        <v>0</v>
      </c>
      <c r="T8877">
        <v>1</v>
      </c>
      <c r="U8877">
        <v>0</v>
      </c>
      <c r="V8877">
        <v>0</v>
      </c>
      <c r="W8877">
        <v>0</v>
      </c>
      <c r="X8877">
        <v>1</v>
      </c>
      <c r="Y8877">
        <v>0</v>
      </c>
      <c r="Z8877">
        <v>1</v>
      </c>
      <c r="AA8877">
        <v>0</v>
      </c>
      <c r="AB8877">
        <v>1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</row>
    <row r="8878" spans="1:39" x14ac:dyDescent="0.2">
      <c r="A8878" t="str">
        <f>"8874"</f>
        <v>8874</v>
      </c>
      <c r="B8878" t="str">
        <f t="shared" si="491"/>
        <v>1</v>
      </c>
      <c r="C8878" t="str">
        <f t="shared" si="493"/>
        <v>178</v>
      </c>
      <c r="D8878" t="str">
        <f>"19"</f>
        <v>19</v>
      </c>
      <c r="E8878" t="str">
        <f>"1-178-19"</f>
        <v>1-178-19</v>
      </c>
      <c r="F8878" t="s">
        <v>65</v>
      </c>
      <c r="G8878" t="s">
        <v>66</v>
      </c>
      <c r="H8878" t="s">
        <v>67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1</v>
      </c>
      <c r="Y8878">
        <v>0</v>
      </c>
      <c r="Z8878">
        <v>0</v>
      </c>
      <c r="AA8878">
        <v>0</v>
      </c>
      <c r="AB8878">
        <v>0</v>
      </c>
      <c r="AC8878">
        <v>1</v>
      </c>
      <c r="AD8878">
        <v>0</v>
      </c>
      <c r="AE8878">
        <v>0</v>
      </c>
      <c r="AF8878">
        <v>0</v>
      </c>
      <c r="AG8878">
        <v>1</v>
      </c>
      <c r="AH8878">
        <v>1</v>
      </c>
      <c r="AI8878">
        <v>1</v>
      </c>
      <c r="AJ8878">
        <v>1</v>
      </c>
      <c r="AK8878">
        <v>1</v>
      </c>
      <c r="AL8878">
        <v>1</v>
      </c>
      <c r="AM8878">
        <v>0</v>
      </c>
    </row>
    <row r="8879" spans="1:39" x14ac:dyDescent="0.2">
      <c r="A8879" t="str">
        <f>"8875"</f>
        <v>8875</v>
      </c>
      <c r="B8879" t="str">
        <f t="shared" si="491"/>
        <v>1</v>
      </c>
      <c r="C8879" t="str">
        <f t="shared" si="493"/>
        <v>178</v>
      </c>
      <c r="D8879" t="str">
        <f>"6"</f>
        <v>6</v>
      </c>
      <c r="E8879" t="str">
        <f>"1-178-6"</f>
        <v>1-178-6</v>
      </c>
      <c r="F8879" t="s">
        <v>65</v>
      </c>
      <c r="G8879" t="s">
        <v>66</v>
      </c>
      <c r="H8879" t="s">
        <v>67</v>
      </c>
      <c r="S8879">
        <v>1</v>
      </c>
      <c r="T8879">
        <v>0</v>
      </c>
      <c r="U8879">
        <v>0</v>
      </c>
      <c r="V8879">
        <v>0</v>
      </c>
      <c r="W8879">
        <v>1</v>
      </c>
      <c r="X8879">
        <v>0</v>
      </c>
      <c r="Y8879">
        <v>0</v>
      </c>
      <c r="Z8879">
        <v>1</v>
      </c>
      <c r="AA8879">
        <v>0</v>
      </c>
      <c r="AB8879">
        <v>0</v>
      </c>
      <c r="AC8879">
        <v>1</v>
      </c>
      <c r="AD8879">
        <v>1</v>
      </c>
      <c r="AE8879">
        <v>1</v>
      </c>
      <c r="AF8879">
        <v>1</v>
      </c>
      <c r="AG8879">
        <v>1</v>
      </c>
      <c r="AH8879">
        <v>1</v>
      </c>
      <c r="AI8879">
        <v>1</v>
      </c>
      <c r="AJ8879">
        <v>1</v>
      </c>
      <c r="AK8879">
        <v>1</v>
      </c>
      <c r="AL8879">
        <v>1</v>
      </c>
      <c r="AM8879">
        <v>1</v>
      </c>
    </row>
    <row r="8880" spans="1:39" x14ac:dyDescent="0.2">
      <c r="A8880" t="str">
        <f>"8876"</f>
        <v>8876</v>
      </c>
      <c r="B8880" t="str">
        <f t="shared" si="491"/>
        <v>1</v>
      </c>
      <c r="C8880" t="str">
        <f t="shared" si="493"/>
        <v>178</v>
      </c>
      <c r="D8880" t="str">
        <f>"49"</f>
        <v>49</v>
      </c>
      <c r="E8880" t="str">
        <f>"1-178-49"</f>
        <v>1-178-49</v>
      </c>
      <c r="F8880" t="s">
        <v>65</v>
      </c>
      <c r="G8880" t="s">
        <v>66</v>
      </c>
      <c r="H8880" t="s">
        <v>67</v>
      </c>
      <c r="S8880">
        <v>0</v>
      </c>
      <c r="T8880">
        <v>1</v>
      </c>
      <c r="U8880">
        <v>0</v>
      </c>
      <c r="V8880">
        <v>0</v>
      </c>
      <c r="W8880">
        <v>0</v>
      </c>
      <c r="X8880">
        <v>1</v>
      </c>
      <c r="Y8880">
        <v>0</v>
      </c>
      <c r="Z8880">
        <v>1</v>
      </c>
      <c r="AA8880">
        <v>0</v>
      </c>
      <c r="AB8880">
        <v>0</v>
      </c>
      <c r="AC8880">
        <v>1</v>
      </c>
      <c r="AD8880">
        <v>1</v>
      </c>
      <c r="AE8880">
        <v>1</v>
      </c>
      <c r="AF8880">
        <v>1</v>
      </c>
      <c r="AG8880">
        <v>1</v>
      </c>
      <c r="AH8880">
        <v>1</v>
      </c>
      <c r="AI8880">
        <v>1</v>
      </c>
      <c r="AJ8880">
        <v>1</v>
      </c>
      <c r="AK8880">
        <v>1</v>
      </c>
      <c r="AL8880">
        <v>1</v>
      </c>
      <c r="AM8880">
        <v>1</v>
      </c>
    </row>
    <row r="8881" spans="1:39" x14ac:dyDescent="0.2">
      <c r="A8881" t="str">
        <f>"8877"</f>
        <v>8877</v>
      </c>
      <c r="B8881" t="str">
        <f t="shared" si="491"/>
        <v>1</v>
      </c>
      <c r="C8881" t="str">
        <f t="shared" si="493"/>
        <v>178</v>
      </c>
      <c r="D8881" t="str">
        <f>"33"</f>
        <v>33</v>
      </c>
      <c r="E8881" t="str">
        <f>"1-178-33"</f>
        <v>1-178-33</v>
      </c>
      <c r="F8881" t="s">
        <v>65</v>
      </c>
      <c r="G8881" t="s">
        <v>66</v>
      </c>
      <c r="H8881" t="s">
        <v>67</v>
      </c>
      <c r="S8881">
        <v>0</v>
      </c>
      <c r="T8881">
        <v>1</v>
      </c>
      <c r="U8881">
        <v>0</v>
      </c>
      <c r="V8881">
        <v>0</v>
      </c>
      <c r="W8881">
        <v>0</v>
      </c>
      <c r="X8881">
        <v>1</v>
      </c>
      <c r="Y8881">
        <v>0</v>
      </c>
      <c r="Z8881">
        <v>1</v>
      </c>
      <c r="AA8881">
        <v>0</v>
      </c>
      <c r="AB8881">
        <v>0</v>
      </c>
      <c r="AC8881">
        <v>1</v>
      </c>
      <c r="AD8881">
        <v>0</v>
      </c>
      <c r="AE8881">
        <v>0</v>
      </c>
      <c r="AF8881">
        <v>0</v>
      </c>
      <c r="AG8881">
        <v>0</v>
      </c>
      <c r="AH8881">
        <v>1</v>
      </c>
      <c r="AI8881">
        <v>0</v>
      </c>
      <c r="AJ8881">
        <v>0</v>
      </c>
      <c r="AK8881">
        <v>0</v>
      </c>
      <c r="AL8881">
        <v>1</v>
      </c>
      <c r="AM8881">
        <v>0</v>
      </c>
    </row>
    <row r="8882" spans="1:39" x14ac:dyDescent="0.2">
      <c r="A8882" t="str">
        <f>"8878"</f>
        <v>8878</v>
      </c>
      <c r="B8882" t="str">
        <f t="shared" si="491"/>
        <v>1</v>
      </c>
      <c r="C8882" t="str">
        <f t="shared" si="493"/>
        <v>178</v>
      </c>
      <c r="D8882" t="str">
        <f>"20"</f>
        <v>20</v>
      </c>
      <c r="E8882" t="str">
        <f>"1-178-20"</f>
        <v>1-178-20</v>
      </c>
      <c r="F8882" t="s">
        <v>65</v>
      </c>
      <c r="G8882" t="s">
        <v>66</v>
      </c>
      <c r="H8882" t="s">
        <v>67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1</v>
      </c>
      <c r="Y8882">
        <v>0</v>
      </c>
      <c r="Z8882">
        <v>0</v>
      </c>
      <c r="AA8882">
        <v>0</v>
      </c>
      <c r="AB8882">
        <v>0</v>
      </c>
      <c r="AC8882">
        <v>1</v>
      </c>
      <c r="AD8882">
        <v>0</v>
      </c>
      <c r="AE8882">
        <v>0</v>
      </c>
      <c r="AF8882">
        <v>0</v>
      </c>
      <c r="AG8882">
        <v>1</v>
      </c>
      <c r="AH8882">
        <v>1</v>
      </c>
      <c r="AI8882">
        <v>1</v>
      </c>
      <c r="AJ8882">
        <v>1</v>
      </c>
      <c r="AK8882">
        <v>1</v>
      </c>
      <c r="AL8882">
        <v>1</v>
      </c>
      <c r="AM8882">
        <v>0</v>
      </c>
    </row>
    <row r="8883" spans="1:39" x14ac:dyDescent="0.2">
      <c r="A8883" t="str">
        <f>"8879"</f>
        <v>8879</v>
      </c>
      <c r="B8883" t="str">
        <f t="shared" si="491"/>
        <v>1</v>
      </c>
      <c r="C8883" t="str">
        <f t="shared" si="493"/>
        <v>178</v>
      </c>
      <c r="D8883" t="str">
        <f>"3"</f>
        <v>3</v>
      </c>
      <c r="E8883" t="str">
        <f>"1-178-3"</f>
        <v>1-178-3</v>
      </c>
      <c r="F8883" t="s">
        <v>65</v>
      </c>
      <c r="G8883" t="s">
        <v>66</v>
      </c>
      <c r="H8883" t="s">
        <v>67</v>
      </c>
      <c r="S8883">
        <v>1</v>
      </c>
      <c r="T8883">
        <v>0</v>
      </c>
      <c r="U8883">
        <v>0</v>
      </c>
      <c r="V8883">
        <v>0</v>
      </c>
      <c r="W8883">
        <v>0</v>
      </c>
      <c r="X8883">
        <v>1</v>
      </c>
      <c r="Y8883">
        <v>0</v>
      </c>
      <c r="Z8883">
        <v>1</v>
      </c>
      <c r="AA8883">
        <v>1</v>
      </c>
      <c r="AB8883">
        <v>0</v>
      </c>
      <c r="AC8883">
        <v>0</v>
      </c>
      <c r="AD8883">
        <v>1</v>
      </c>
      <c r="AE8883">
        <v>1</v>
      </c>
      <c r="AF8883">
        <v>1</v>
      </c>
      <c r="AG8883">
        <v>1</v>
      </c>
      <c r="AH8883">
        <v>1</v>
      </c>
      <c r="AI8883">
        <v>1</v>
      </c>
      <c r="AJ8883">
        <v>1</v>
      </c>
      <c r="AK8883">
        <v>1</v>
      </c>
      <c r="AL8883">
        <v>1</v>
      </c>
      <c r="AM8883">
        <v>1</v>
      </c>
    </row>
    <row r="8884" spans="1:39" x14ac:dyDescent="0.2">
      <c r="A8884" t="str">
        <f>"8880"</f>
        <v>8880</v>
      </c>
      <c r="B8884" t="str">
        <f t="shared" si="491"/>
        <v>1</v>
      </c>
      <c r="C8884" t="str">
        <f t="shared" si="493"/>
        <v>178</v>
      </c>
      <c r="D8884" t="str">
        <f>"43"</f>
        <v>43</v>
      </c>
      <c r="E8884" t="str">
        <f>"1-178-43"</f>
        <v>1-178-43</v>
      </c>
      <c r="F8884" t="s">
        <v>65</v>
      </c>
      <c r="G8884" t="s">
        <v>66</v>
      </c>
      <c r="H8884" t="s">
        <v>67</v>
      </c>
      <c r="S8884">
        <v>0</v>
      </c>
      <c r="T8884">
        <v>1</v>
      </c>
      <c r="U8884">
        <v>0</v>
      </c>
      <c r="V8884">
        <v>0</v>
      </c>
      <c r="W8884">
        <v>1</v>
      </c>
      <c r="X8884">
        <v>0</v>
      </c>
      <c r="Y8884">
        <v>0</v>
      </c>
      <c r="Z8884">
        <v>1</v>
      </c>
      <c r="AA8884">
        <v>0</v>
      </c>
      <c r="AB8884">
        <v>0</v>
      </c>
      <c r="AC8884">
        <v>1</v>
      </c>
      <c r="AD8884">
        <v>1</v>
      </c>
      <c r="AE8884">
        <v>1</v>
      </c>
      <c r="AF8884">
        <v>1</v>
      </c>
      <c r="AG8884">
        <v>1</v>
      </c>
      <c r="AH8884">
        <v>1</v>
      </c>
      <c r="AI8884">
        <v>1</v>
      </c>
      <c r="AJ8884">
        <v>1</v>
      </c>
      <c r="AK8884">
        <v>1</v>
      </c>
      <c r="AL8884">
        <v>1</v>
      </c>
      <c r="AM8884">
        <v>1</v>
      </c>
    </row>
    <row r="8885" spans="1:39" x14ac:dyDescent="0.2">
      <c r="A8885" t="str">
        <f>"8881"</f>
        <v>8881</v>
      </c>
      <c r="B8885" t="str">
        <f t="shared" si="491"/>
        <v>1</v>
      </c>
      <c r="C8885" t="str">
        <f t="shared" si="493"/>
        <v>178</v>
      </c>
      <c r="D8885" t="str">
        <f>"21"</f>
        <v>21</v>
      </c>
      <c r="E8885" t="str">
        <f>"1-178-21"</f>
        <v>1-178-21</v>
      </c>
      <c r="F8885" t="s">
        <v>65</v>
      </c>
      <c r="G8885" t="s">
        <v>66</v>
      </c>
      <c r="H8885" t="s">
        <v>67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1</v>
      </c>
      <c r="Y8885">
        <v>0</v>
      </c>
      <c r="Z8885">
        <v>0</v>
      </c>
      <c r="AA8885">
        <v>0</v>
      </c>
      <c r="AB8885">
        <v>0</v>
      </c>
      <c r="AC8885">
        <v>1</v>
      </c>
      <c r="AD8885">
        <v>1</v>
      </c>
      <c r="AE8885">
        <v>1</v>
      </c>
      <c r="AF8885">
        <v>1</v>
      </c>
      <c r="AG8885">
        <v>1</v>
      </c>
      <c r="AH8885">
        <v>1</v>
      </c>
      <c r="AI8885">
        <v>1</v>
      </c>
      <c r="AJ8885">
        <v>1</v>
      </c>
      <c r="AK8885">
        <v>1</v>
      </c>
      <c r="AL8885">
        <v>1</v>
      </c>
      <c r="AM8885">
        <v>0</v>
      </c>
    </row>
    <row r="8886" spans="1:39" x14ac:dyDescent="0.2">
      <c r="A8886" t="str">
        <f>"8882"</f>
        <v>8882</v>
      </c>
      <c r="B8886" t="str">
        <f t="shared" si="491"/>
        <v>1</v>
      </c>
      <c r="C8886" t="str">
        <f t="shared" si="493"/>
        <v>178</v>
      </c>
      <c r="D8886" t="str">
        <f>"10"</f>
        <v>10</v>
      </c>
      <c r="E8886" t="str">
        <f>"1-178-10"</f>
        <v>1-178-10</v>
      </c>
      <c r="F8886" t="s">
        <v>65</v>
      </c>
      <c r="G8886" t="s">
        <v>66</v>
      </c>
      <c r="H8886" t="s">
        <v>67</v>
      </c>
      <c r="S8886">
        <v>0</v>
      </c>
      <c r="T8886">
        <v>1</v>
      </c>
      <c r="U8886">
        <v>0</v>
      </c>
      <c r="V8886">
        <v>0</v>
      </c>
      <c r="W8886">
        <v>1</v>
      </c>
      <c r="X8886">
        <v>0</v>
      </c>
      <c r="Y8886">
        <v>0</v>
      </c>
      <c r="Z8886">
        <v>1</v>
      </c>
      <c r="AA8886">
        <v>1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</row>
    <row r="8887" spans="1:39" x14ac:dyDescent="0.2">
      <c r="A8887" t="str">
        <f>"8883"</f>
        <v>8883</v>
      </c>
      <c r="B8887" t="str">
        <f t="shared" ref="B8887:B8950" si="494">"1"</f>
        <v>1</v>
      </c>
      <c r="C8887" t="str">
        <f t="shared" ref="C8887:C8904" si="495">"178"</f>
        <v>178</v>
      </c>
      <c r="D8887" t="str">
        <f>"48"</f>
        <v>48</v>
      </c>
      <c r="E8887" t="str">
        <f>"1-178-48"</f>
        <v>1-178-48</v>
      </c>
      <c r="F8887" t="s">
        <v>65</v>
      </c>
      <c r="G8887" t="s">
        <v>66</v>
      </c>
      <c r="H8887" t="s">
        <v>68</v>
      </c>
      <c r="I8887">
        <v>1</v>
      </c>
      <c r="J8887">
        <v>1</v>
      </c>
      <c r="K8887">
        <v>0</v>
      </c>
      <c r="L8887">
        <v>0</v>
      </c>
      <c r="M8887">
        <v>1</v>
      </c>
      <c r="N8887">
        <v>1</v>
      </c>
      <c r="O8887">
        <v>1</v>
      </c>
      <c r="P8887">
        <v>1</v>
      </c>
      <c r="Q8887">
        <v>1</v>
      </c>
      <c r="R8887">
        <v>1</v>
      </c>
    </row>
    <row r="8888" spans="1:39" x14ac:dyDescent="0.2">
      <c r="A8888" t="str">
        <f>"8884"</f>
        <v>8884</v>
      </c>
      <c r="B8888" t="str">
        <f t="shared" si="494"/>
        <v>1</v>
      </c>
      <c r="C8888" t="str">
        <f t="shared" si="495"/>
        <v>178</v>
      </c>
      <c r="D8888" t="str">
        <f>"22"</f>
        <v>22</v>
      </c>
      <c r="E8888" t="str">
        <f>"1-178-22"</f>
        <v>1-178-22</v>
      </c>
      <c r="F8888" t="s">
        <v>65</v>
      </c>
      <c r="G8888" t="s">
        <v>66</v>
      </c>
      <c r="H8888" t="s">
        <v>67</v>
      </c>
      <c r="S8888">
        <v>1</v>
      </c>
      <c r="T8888">
        <v>0</v>
      </c>
      <c r="U8888">
        <v>0</v>
      </c>
      <c r="V8888">
        <v>0</v>
      </c>
      <c r="W8888">
        <v>1</v>
      </c>
      <c r="X8888">
        <v>0</v>
      </c>
      <c r="Y8888">
        <v>1</v>
      </c>
      <c r="Z8888">
        <v>0</v>
      </c>
      <c r="AA8888">
        <v>1</v>
      </c>
      <c r="AB8888">
        <v>0</v>
      </c>
      <c r="AC8888">
        <v>0</v>
      </c>
      <c r="AD8888">
        <v>1</v>
      </c>
      <c r="AE8888">
        <v>1</v>
      </c>
      <c r="AF8888">
        <v>1</v>
      </c>
      <c r="AG8888">
        <v>1</v>
      </c>
      <c r="AH8888">
        <v>1</v>
      </c>
      <c r="AI8888">
        <v>1</v>
      </c>
      <c r="AJ8888">
        <v>1</v>
      </c>
      <c r="AK8888">
        <v>1</v>
      </c>
      <c r="AL8888">
        <v>1</v>
      </c>
      <c r="AM8888">
        <v>1</v>
      </c>
    </row>
    <row r="8889" spans="1:39" x14ac:dyDescent="0.2">
      <c r="A8889" t="str">
        <f>"8885"</f>
        <v>8885</v>
      </c>
      <c r="B8889" t="str">
        <f t="shared" si="494"/>
        <v>1</v>
      </c>
      <c r="C8889" t="str">
        <f t="shared" si="495"/>
        <v>178</v>
      </c>
      <c r="D8889" t="str">
        <f>"5"</f>
        <v>5</v>
      </c>
      <c r="E8889" t="str">
        <f>"1-178-5"</f>
        <v>1-178-5</v>
      </c>
      <c r="F8889" t="s">
        <v>65</v>
      </c>
      <c r="G8889" t="s">
        <v>66</v>
      </c>
      <c r="H8889" t="s">
        <v>67</v>
      </c>
      <c r="S8889">
        <v>0</v>
      </c>
      <c r="T8889">
        <v>1</v>
      </c>
      <c r="U8889">
        <v>0</v>
      </c>
      <c r="V8889">
        <v>0</v>
      </c>
      <c r="W8889">
        <v>0</v>
      </c>
      <c r="X8889">
        <v>1</v>
      </c>
      <c r="Y8889">
        <v>0</v>
      </c>
      <c r="Z8889">
        <v>1</v>
      </c>
      <c r="AA8889">
        <v>0</v>
      </c>
      <c r="AB8889">
        <v>0</v>
      </c>
      <c r="AC8889">
        <v>1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</row>
    <row r="8890" spans="1:39" x14ac:dyDescent="0.2">
      <c r="A8890" t="str">
        <f>"8886"</f>
        <v>8886</v>
      </c>
      <c r="B8890" t="str">
        <f t="shared" si="494"/>
        <v>1</v>
      </c>
      <c r="C8890" t="str">
        <f t="shared" si="495"/>
        <v>178</v>
      </c>
      <c r="D8890" t="str">
        <f>"45"</f>
        <v>45</v>
      </c>
      <c r="E8890" t="str">
        <f>"1-178-45"</f>
        <v>1-178-45</v>
      </c>
      <c r="F8890" t="s">
        <v>65</v>
      </c>
      <c r="G8890" t="s">
        <v>66</v>
      </c>
      <c r="H8890" t="s">
        <v>67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1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1</v>
      </c>
      <c r="AH8890">
        <v>1</v>
      </c>
      <c r="AI8890">
        <v>0</v>
      </c>
      <c r="AJ8890">
        <v>0</v>
      </c>
      <c r="AK8890">
        <v>0</v>
      </c>
      <c r="AL8890">
        <v>1</v>
      </c>
      <c r="AM8890">
        <v>1</v>
      </c>
    </row>
    <row r="8891" spans="1:39" x14ac:dyDescent="0.2">
      <c r="A8891" t="str">
        <f>"8887"</f>
        <v>8887</v>
      </c>
      <c r="B8891" t="str">
        <f t="shared" si="494"/>
        <v>1</v>
      </c>
      <c r="C8891" t="str">
        <f t="shared" si="495"/>
        <v>178</v>
      </c>
      <c r="D8891" t="str">
        <f>"24"</f>
        <v>24</v>
      </c>
      <c r="E8891" t="str">
        <f>"1-178-24"</f>
        <v>1-178-24</v>
      </c>
      <c r="F8891" t="s">
        <v>65</v>
      </c>
      <c r="G8891" t="s">
        <v>66</v>
      </c>
      <c r="H8891" t="s">
        <v>67</v>
      </c>
      <c r="S8891">
        <v>0</v>
      </c>
      <c r="T8891">
        <v>1</v>
      </c>
      <c r="U8891">
        <v>0</v>
      </c>
      <c r="V8891">
        <v>0</v>
      </c>
      <c r="W8891">
        <v>0</v>
      </c>
      <c r="X8891">
        <v>1</v>
      </c>
      <c r="Y8891">
        <v>0</v>
      </c>
      <c r="Z8891">
        <v>1</v>
      </c>
      <c r="AA8891">
        <v>0</v>
      </c>
      <c r="AB8891">
        <v>0</v>
      </c>
      <c r="AC8891">
        <v>1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</row>
    <row r="8892" spans="1:39" x14ac:dyDescent="0.2">
      <c r="A8892" t="str">
        <f>"8888"</f>
        <v>8888</v>
      </c>
      <c r="B8892" t="str">
        <f t="shared" si="494"/>
        <v>1</v>
      </c>
      <c r="C8892" t="str">
        <f t="shared" si="495"/>
        <v>178</v>
      </c>
      <c r="D8892" t="str">
        <f>"14"</f>
        <v>14</v>
      </c>
      <c r="E8892" t="str">
        <f>"1-178-14"</f>
        <v>1-178-14</v>
      </c>
      <c r="F8892" t="s">
        <v>65</v>
      </c>
      <c r="G8892" t="s">
        <v>66</v>
      </c>
      <c r="H8892" t="s">
        <v>67</v>
      </c>
      <c r="S8892">
        <v>1</v>
      </c>
      <c r="T8892">
        <v>0</v>
      </c>
      <c r="U8892">
        <v>0</v>
      </c>
      <c r="V8892">
        <v>0</v>
      </c>
      <c r="W8892">
        <v>1</v>
      </c>
      <c r="X8892">
        <v>0</v>
      </c>
      <c r="Y8892">
        <v>1</v>
      </c>
      <c r="Z8892">
        <v>0</v>
      </c>
      <c r="AA8892">
        <v>1</v>
      </c>
      <c r="AB8892">
        <v>0</v>
      </c>
      <c r="AC8892">
        <v>0</v>
      </c>
      <c r="AD8892">
        <v>1</v>
      </c>
      <c r="AE8892">
        <v>1</v>
      </c>
      <c r="AF8892">
        <v>1</v>
      </c>
      <c r="AG8892">
        <v>1</v>
      </c>
      <c r="AH8892">
        <v>1</v>
      </c>
      <c r="AI8892">
        <v>1</v>
      </c>
      <c r="AJ8892">
        <v>1</v>
      </c>
      <c r="AK8892">
        <v>1</v>
      </c>
      <c r="AL8892">
        <v>1</v>
      </c>
      <c r="AM8892">
        <v>1</v>
      </c>
    </row>
    <row r="8893" spans="1:39" x14ac:dyDescent="0.2">
      <c r="A8893" t="str">
        <f>"8889"</f>
        <v>8889</v>
      </c>
      <c r="B8893" t="str">
        <f t="shared" si="494"/>
        <v>1</v>
      </c>
      <c r="C8893" t="str">
        <f t="shared" si="495"/>
        <v>178</v>
      </c>
      <c r="D8893" t="str">
        <f>"44"</f>
        <v>44</v>
      </c>
      <c r="E8893" t="str">
        <f>"1-178-44"</f>
        <v>1-178-44</v>
      </c>
      <c r="F8893" t="s">
        <v>65</v>
      </c>
      <c r="G8893" t="s">
        <v>66</v>
      </c>
      <c r="H8893" t="s">
        <v>67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1</v>
      </c>
      <c r="Y8893">
        <v>0</v>
      </c>
      <c r="Z8893">
        <v>0</v>
      </c>
      <c r="AA8893">
        <v>0</v>
      </c>
      <c r="AB8893">
        <v>0</v>
      </c>
      <c r="AC8893">
        <v>1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</row>
    <row r="8894" spans="1:39" x14ac:dyDescent="0.2">
      <c r="A8894" t="str">
        <f>"8890"</f>
        <v>8890</v>
      </c>
      <c r="B8894" t="str">
        <f t="shared" si="494"/>
        <v>1</v>
      </c>
      <c r="C8894" t="str">
        <f t="shared" si="495"/>
        <v>178</v>
      </c>
      <c r="D8894" t="str">
        <f>"25"</f>
        <v>25</v>
      </c>
      <c r="E8894" t="str">
        <f>"1-178-25"</f>
        <v>1-178-25</v>
      </c>
      <c r="F8894" t="s">
        <v>65</v>
      </c>
      <c r="G8894" t="s">
        <v>66</v>
      </c>
      <c r="H8894" t="s">
        <v>67</v>
      </c>
      <c r="S8894">
        <v>0</v>
      </c>
      <c r="T8894">
        <v>1</v>
      </c>
      <c r="U8894">
        <v>0</v>
      </c>
      <c r="V8894">
        <v>0</v>
      </c>
      <c r="W8894">
        <v>0</v>
      </c>
      <c r="X8894">
        <v>1</v>
      </c>
      <c r="Y8894">
        <v>0</v>
      </c>
      <c r="Z8894">
        <v>1</v>
      </c>
      <c r="AA8894">
        <v>0</v>
      </c>
      <c r="AB8894">
        <v>0</v>
      </c>
      <c r="AC8894">
        <v>1</v>
      </c>
      <c r="AD8894">
        <v>1</v>
      </c>
      <c r="AE8894">
        <v>1</v>
      </c>
      <c r="AF8894">
        <v>1</v>
      </c>
      <c r="AG8894">
        <v>1</v>
      </c>
      <c r="AH8894">
        <v>1</v>
      </c>
      <c r="AI8894">
        <v>1</v>
      </c>
      <c r="AJ8894">
        <v>1</v>
      </c>
      <c r="AK8894">
        <v>1</v>
      </c>
      <c r="AL8894">
        <v>1</v>
      </c>
      <c r="AM8894">
        <v>1</v>
      </c>
    </row>
    <row r="8895" spans="1:39" x14ac:dyDescent="0.2">
      <c r="A8895" t="str">
        <f>"8891"</f>
        <v>8891</v>
      </c>
      <c r="B8895" t="str">
        <f t="shared" si="494"/>
        <v>1</v>
      </c>
      <c r="C8895" t="str">
        <f t="shared" si="495"/>
        <v>178</v>
      </c>
      <c r="D8895" t="str">
        <f>"11"</f>
        <v>11</v>
      </c>
      <c r="E8895" t="str">
        <f>"1-178-11"</f>
        <v>1-178-11</v>
      </c>
      <c r="F8895" t="s">
        <v>65</v>
      </c>
      <c r="G8895" t="s">
        <v>66</v>
      </c>
      <c r="H8895" t="s">
        <v>67</v>
      </c>
      <c r="S8895">
        <v>0</v>
      </c>
      <c r="T8895">
        <v>1</v>
      </c>
      <c r="U8895">
        <v>0</v>
      </c>
      <c r="V8895">
        <v>0</v>
      </c>
      <c r="W8895">
        <v>1</v>
      </c>
      <c r="X8895">
        <v>0</v>
      </c>
      <c r="Y8895">
        <v>0</v>
      </c>
      <c r="Z8895">
        <v>1</v>
      </c>
      <c r="AA8895">
        <v>0</v>
      </c>
      <c r="AB8895">
        <v>0</v>
      </c>
      <c r="AC8895">
        <v>1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</row>
    <row r="8896" spans="1:39" x14ac:dyDescent="0.2">
      <c r="A8896" t="str">
        <f>"8892"</f>
        <v>8892</v>
      </c>
      <c r="B8896" t="str">
        <f t="shared" si="494"/>
        <v>1</v>
      </c>
      <c r="C8896" t="str">
        <f t="shared" si="495"/>
        <v>178</v>
      </c>
      <c r="D8896" t="str">
        <f>"26"</f>
        <v>26</v>
      </c>
      <c r="E8896" t="str">
        <f>"1-178-26"</f>
        <v>1-178-26</v>
      </c>
      <c r="F8896" t="s">
        <v>65</v>
      </c>
      <c r="G8896" t="s">
        <v>66</v>
      </c>
      <c r="H8896" t="s">
        <v>67</v>
      </c>
      <c r="S8896">
        <v>1</v>
      </c>
      <c r="T8896">
        <v>0</v>
      </c>
      <c r="U8896">
        <v>0</v>
      </c>
      <c r="V8896">
        <v>0</v>
      </c>
      <c r="W8896">
        <v>1</v>
      </c>
      <c r="X8896">
        <v>0</v>
      </c>
      <c r="Y8896">
        <v>1</v>
      </c>
      <c r="Z8896">
        <v>0</v>
      </c>
      <c r="AA8896">
        <v>1</v>
      </c>
      <c r="AB8896">
        <v>0</v>
      </c>
      <c r="AC8896">
        <v>0</v>
      </c>
      <c r="AD8896">
        <v>1</v>
      </c>
      <c r="AE8896">
        <v>1</v>
      </c>
      <c r="AF8896">
        <v>1</v>
      </c>
      <c r="AG8896">
        <v>1</v>
      </c>
      <c r="AH8896">
        <v>1</v>
      </c>
      <c r="AI8896">
        <v>1</v>
      </c>
      <c r="AJ8896">
        <v>1</v>
      </c>
      <c r="AK8896">
        <v>1</v>
      </c>
      <c r="AL8896">
        <v>1</v>
      </c>
      <c r="AM8896">
        <v>1</v>
      </c>
    </row>
    <row r="8897" spans="1:39" x14ac:dyDescent="0.2">
      <c r="A8897" t="str">
        <f>"8893"</f>
        <v>8893</v>
      </c>
      <c r="B8897" t="str">
        <f t="shared" si="494"/>
        <v>1</v>
      </c>
      <c r="C8897" t="str">
        <f t="shared" si="495"/>
        <v>178</v>
      </c>
      <c r="D8897" t="str">
        <f>"13"</f>
        <v>13</v>
      </c>
      <c r="E8897" t="str">
        <f>"1-178-13"</f>
        <v>1-178-13</v>
      </c>
      <c r="F8897" t="s">
        <v>65</v>
      </c>
      <c r="G8897" t="s">
        <v>66</v>
      </c>
      <c r="H8897" t="s">
        <v>67</v>
      </c>
      <c r="S8897">
        <v>0</v>
      </c>
      <c r="T8897">
        <v>1</v>
      </c>
      <c r="U8897">
        <v>0</v>
      </c>
      <c r="V8897">
        <v>0</v>
      </c>
      <c r="W8897">
        <v>0</v>
      </c>
      <c r="X8897">
        <v>1</v>
      </c>
      <c r="Y8897">
        <v>0</v>
      </c>
      <c r="Z8897">
        <v>1</v>
      </c>
      <c r="AA8897">
        <v>0</v>
      </c>
      <c r="AB8897">
        <v>1</v>
      </c>
      <c r="AC8897">
        <v>0</v>
      </c>
      <c r="AD8897">
        <v>1</v>
      </c>
      <c r="AE8897">
        <v>1</v>
      </c>
      <c r="AF8897">
        <v>1</v>
      </c>
      <c r="AG8897">
        <v>1</v>
      </c>
      <c r="AH8897">
        <v>1</v>
      </c>
      <c r="AI8897">
        <v>1</v>
      </c>
      <c r="AJ8897">
        <v>1</v>
      </c>
      <c r="AK8897">
        <v>1</v>
      </c>
      <c r="AL8897">
        <v>1</v>
      </c>
      <c r="AM8897">
        <v>1</v>
      </c>
    </row>
    <row r="8898" spans="1:39" x14ac:dyDescent="0.2">
      <c r="A8898" t="str">
        <f>"8894"</f>
        <v>8894</v>
      </c>
      <c r="B8898" t="str">
        <f t="shared" si="494"/>
        <v>1</v>
      </c>
      <c r="C8898" t="str">
        <f t="shared" si="495"/>
        <v>178</v>
      </c>
      <c r="D8898" t="str">
        <f>"27"</f>
        <v>27</v>
      </c>
      <c r="E8898" t="str">
        <f>"1-178-27"</f>
        <v>1-178-27</v>
      </c>
      <c r="F8898" t="s">
        <v>65</v>
      </c>
      <c r="G8898" t="s">
        <v>66</v>
      </c>
      <c r="H8898" t="s">
        <v>67</v>
      </c>
      <c r="S8898">
        <v>0</v>
      </c>
      <c r="T8898">
        <v>1</v>
      </c>
      <c r="U8898">
        <v>0</v>
      </c>
      <c r="V8898">
        <v>0</v>
      </c>
      <c r="W8898">
        <v>0</v>
      </c>
      <c r="X8898">
        <v>1</v>
      </c>
      <c r="Y8898">
        <v>0</v>
      </c>
      <c r="Z8898">
        <v>1</v>
      </c>
      <c r="AA8898">
        <v>0</v>
      </c>
      <c r="AB8898">
        <v>0</v>
      </c>
      <c r="AC8898">
        <v>1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</row>
    <row r="8899" spans="1:39" x14ac:dyDescent="0.2">
      <c r="A8899" t="str">
        <f>"8895"</f>
        <v>8895</v>
      </c>
      <c r="B8899" t="str">
        <f t="shared" si="494"/>
        <v>1</v>
      </c>
      <c r="C8899" t="str">
        <f t="shared" si="495"/>
        <v>178</v>
      </c>
      <c r="D8899" t="str">
        <f>"7"</f>
        <v>7</v>
      </c>
      <c r="E8899" t="str">
        <f>"1-178-7"</f>
        <v>1-178-7</v>
      </c>
      <c r="F8899" t="s">
        <v>65</v>
      </c>
      <c r="G8899" t="s">
        <v>66</v>
      </c>
      <c r="H8899" t="s">
        <v>67</v>
      </c>
      <c r="S8899">
        <v>1</v>
      </c>
      <c r="T8899">
        <v>0</v>
      </c>
      <c r="U8899">
        <v>0</v>
      </c>
      <c r="V8899">
        <v>0</v>
      </c>
      <c r="W8899">
        <v>1</v>
      </c>
      <c r="X8899">
        <v>0</v>
      </c>
      <c r="Y8899">
        <v>0</v>
      </c>
      <c r="Z8899">
        <v>1</v>
      </c>
      <c r="AA8899">
        <v>0</v>
      </c>
      <c r="AB8899">
        <v>0</v>
      </c>
      <c r="AC8899">
        <v>1</v>
      </c>
      <c r="AD8899">
        <v>1</v>
      </c>
      <c r="AE8899">
        <v>1</v>
      </c>
      <c r="AF8899">
        <v>1</v>
      </c>
      <c r="AG8899">
        <v>1</v>
      </c>
      <c r="AH8899">
        <v>1</v>
      </c>
      <c r="AI8899">
        <v>1</v>
      </c>
      <c r="AJ8899">
        <v>1</v>
      </c>
      <c r="AK8899">
        <v>1</v>
      </c>
      <c r="AL8899">
        <v>1</v>
      </c>
      <c r="AM8899">
        <v>1</v>
      </c>
    </row>
    <row r="8900" spans="1:39" x14ac:dyDescent="0.2">
      <c r="A8900" t="str">
        <f>"8896"</f>
        <v>8896</v>
      </c>
      <c r="B8900" t="str">
        <f t="shared" si="494"/>
        <v>1</v>
      </c>
      <c r="C8900" t="str">
        <f t="shared" si="495"/>
        <v>178</v>
      </c>
      <c r="D8900" t="str">
        <f>"28"</f>
        <v>28</v>
      </c>
      <c r="E8900" t="str">
        <f>"1-178-28"</f>
        <v>1-178-28</v>
      </c>
      <c r="F8900" t="s">
        <v>65</v>
      </c>
      <c r="G8900" t="s">
        <v>66</v>
      </c>
      <c r="H8900" t="s">
        <v>67</v>
      </c>
      <c r="S8900">
        <v>0</v>
      </c>
      <c r="T8900">
        <v>1</v>
      </c>
      <c r="U8900">
        <v>0</v>
      </c>
      <c r="V8900">
        <v>0</v>
      </c>
      <c r="W8900">
        <v>0</v>
      </c>
      <c r="X8900">
        <v>1</v>
      </c>
      <c r="Y8900">
        <v>0</v>
      </c>
      <c r="Z8900">
        <v>1</v>
      </c>
      <c r="AA8900">
        <v>0</v>
      </c>
      <c r="AB8900">
        <v>0</v>
      </c>
      <c r="AC8900">
        <v>1</v>
      </c>
      <c r="AD8900">
        <v>1</v>
      </c>
      <c r="AE8900">
        <v>1</v>
      </c>
      <c r="AF8900">
        <v>1</v>
      </c>
      <c r="AG8900">
        <v>1</v>
      </c>
      <c r="AH8900">
        <v>1</v>
      </c>
      <c r="AI8900">
        <v>1</v>
      </c>
      <c r="AJ8900">
        <v>1</v>
      </c>
      <c r="AK8900">
        <v>1</v>
      </c>
      <c r="AL8900">
        <v>1</v>
      </c>
      <c r="AM8900">
        <v>1</v>
      </c>
    </row>
    <row r="8901" spans="1:39" x14ac:dyDescent="0.2">
      <c r="A8901" t="str">
        <f>"8897"</f>
        <v>8897</v>
      </c>
      <c r="B8901" t="str">
        <f t="shared" si="494"/>
        <v>1</v>
      </c>
      <c r="C8901" t="str">
        <f t="shared" si="495"/>
        <v>178</v>
      </c>
      <c r="D8901" t="str">
        <f>"8"</f>
        <v>8</v>
      </c>
      <c r="E8901" t="str">
        <f>"1-178-8"</f>
        <v>1-178-8</v>
      </c>
      <c r="F8901" t="s">
        <v>65</v>
      </c>
      <c r="G8901" t="s">
        <v>66</v>
      </c>
      <c r="H8901" t="s">
        <v>67</v>
      </c>
      <c r="S8901">
        <v>1</v>
      </c>
      <c r="T8901">
        <v>0</v>
      </c>
      <c r="U8901">
        <v>0</v>
      </c>
      <c r="V8901">
        <v>0</v>
      </c>
      <c r="W8901">
        <v>1</v>
      </c>
      <c r="X8901">
        <v>0</v>
      </c>
      <c r="Y8901">
        <v>1</v>
      </c>
      <c r="Z8901">
        <v>0</v>
      </c>
      <c r="AA8901">
        <v>0</v>
      </c>
      <c r="AB8901">
        <v>0</v>
      </c>
      <c r="AC8901">
        <v>1</v>
      </c>
      <c r="AD8901">
        <v>1</v>
      </c>
      <c r="AE8901">
        <v>1</v>
      </c>
      <c r="AF8901">
        <v>1</v>
      </c>
      <c r="AG8901">
        <v>1</v>
      </c>
      <c r="AH8901">
        <v>1</v>
      </c>
      <c r="AI8901">
        <v>1</v>
      </c>
      <c r="AJ8901">
        <v>1</v>
      </c>
      <c r="AK8901">
        <v>1</v>
      </c>
      <c r="AL8901">
        <v>1</v>
      </c>
      <c r="AM8901">
        <v>1</v>
      </c>
    </row>
    <row r="8902" spans="1:39" x14ac:dyDescent="0.2">
      <c r="A8902" t="str">
        <f>"8898"</f>
        <v>8898</v>
      </c>
      <c r="B8902" t="str">
        <f t="shared" si="494"/>
        <v>1</v>
      </c>
      <c r="C8902" t="str">
        <f t="shared" si="495"/>
        <v>178</v>
      </c>
      <c r="D8902" t="str">
        <f>"29"</f>
        <v>29</v>
      </c>
      <c r="E8902" t="str">
        <f>"1-178-29"</f>
        <v>1-178-29</v>
      </c>
      <c r="F8902" t="s">
        <v>65</v>
      </c>
      <c r="G8902" t="s">
        <v>66</v>
      </c>
      <c r="H8902" t="s">
        <v>67</v>
      </c>
      <c r="S8902">
        <v>0</v>
      </c>
      <c r="T8902">
        <v>1</v>
      </c>
      <c r="U8902">
        <v>0</v>
      </c>
      <c r="V8902">
        <v>0</v>
      </c>
      <c r="W8902">
        <v>0</v>
      </c>
      <c r="X8902">
        <v>1</v>
      </c>
      <c r="Y8902">
        <v>0</v>
      </c>
      <c r="Z8902">
        <v>1</v>
      </c>
      <c r="AA8902">
        <v>0</v>
      </c>
      <c r="AB8902">
        <v>0</v>
      </c>
      <c r="AC8902">
        <v>1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</row>
    <row r="8903" spans="1:39" x14ac:dyDescent="0.2">
      <c r="A8903" t="str">
        <f>"8899"</f>
        <v>8899</v>
      </c>
      <c r="B8903" t="str">
        <f t="shared" si="494"/>
        <v>1</v>
      </c>
      <c r="C8903" t="str">
        <f t="shared" si="495"/>
        <v>178</v>
      </c>
      <c r="D8903" t="str">
        <f>"9"</f>
        <v>9</v>
      </c>
      <c r="E8903" t="str">
        <f>"1-178-9"</f>
        <v>1-178-9</v>
      </c>
      <c r="F8903" t="s">
        <v>65</v>
      </c>
      <c r="G8903" t="s">
        <v>66</v>
      </c>
      <c r="H8903" t="s">
        <v>67</v>
      </c>
      <c r="S8903">
        <v>0</v>
      </c>
      <c r="T8903">
        <v>1</v>
      </c>
      <c r="U8903">
        <v>0</v>
      </c>
      <c r="V8903">
        <v>0</v>
      </c>
      <c r="W8903">
        <v>0</v>
      </c>
      <c r="X8903">
        <v>1</v>
      </c>
      <c r="Y8903">
        <v>0</v>
      </c>
      <c r="Z8903">
        <v>1</v>
      </c>
      <c r="AA8903">
        <v>0</v>
      </c>
      <c r="AB8903">
        <v>0</v>
      </c>
      <c r="AC8903">
        <v>1</v>
      </c>
      <c r="AD8903">
        <v>1</v>
      </c>
      <c r="AE8903">
        <v>1</v>
      </c>
      <c r="AF8903">
        <v>1</v>
      </c>
      <c r="AG8903">
        <v>1</v>
      </c>
      <c r="AH8903">
        <v>1</v>
      </c>
      <c r="AI8903">
        <v>1</v>
      </c>
      <c r="AJ8903">
        <v>1</v>
      </c>
      <c r="AK8903">
        <v>1</v>
      </c>
      <c r="AL8903">
        <v>1</v>
      </c>
      <c r="AM8903">
        <v>0</v>
      </c>
    </row>
    <row r="8904" spans="1:39" x14ac:dyDescent="0.2">
      <c r="A8904" t="str">
        <f>"8900"</f>
        <v>8900</v>
      </c>
      <c r="B8904" t="str">
        <f t="shared" si="494"/>
        <v>1</v>
      </c>
      <c r="C8904" t="str">
        <f t="shared" si="495"/>
        <v>178</v>
      </c>
      <c r="D8904" t="str">
        <f>"50"</f>
        <v>50</v>
      </c>
      <c r="E8904" t="str">
        <f>"1-178-50"</f>
        <v>1-178-50</v>
      </c>
      <c r="F8904" t="s">
        <v>65</v>
      </c>
      <c r="G8904" t="s">
        <v>66</v>
      </c>
      <c r="H8904" t="s">
        <v>67</v>
      </c>
      <c r="S8904">
        <v>1</v>
      </c>
      <c r="T8904">
        <v>0</v>
      </c>
      <c r="U8904">
        <v>0</v>
      </c>
      <c r="V8904">
        <v>0</v>
      </c>
      <c r="W8904">
        <v>1</v>
      </c>
      <c r="X8904">
        <v>0</v>
      </c>
      <c r="Y8904">
        <v>1</v>
      </c>
      <c r="Z8904">
        <v>0</v>
      </c>
      <c r="AA8904">
        <v>0</v>
      </c>
      <c r="AB8904">
        <v>1</v>
      </c>
      <c r="AC8904">
        <v>0</v>
      </c>
      <c r="AD8904">
        <v>0</v>
      </c>
      <c r="AE8904">
        <v>0</v>
      </c>
      <c r="AF8904">
        <v>0</v>
      </c>
      <c r="AG8904">
        <v>1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</row>
    <row r="8905" spans="1:39" x14ac:dyDescent="0.2">
      <c r="A8905" t="str">
        <f>"8901"</f>
        <v>8901</v>
      </c>
      <c r="B8905" t="str">
        <f t="shared" si="494"/>
        <v>1</v>
      </c>
      <c r="C8905" t="str">
        <f t="shared" ref="C8905:C8936" si="496">"179"</f>
        <v>179</v>
      </c>
      <c r="D8905" t="str">
        <f>"36"</f>
        <v>36</v>
      </c>
      <c r="E8905" t="str">
        <f>"1-179-36"</f>
        <v>1-179-36</v>
      </c>
      <c r="F8905" t="s">
        <v>65</v>
      </c>
      <c r="G8905" t="s">
        <v>66</v>
      </c>
      <c r="H8905" t="s">
        <v>67</v>
      </c>
      <c r="S8905">
        <v>1</v>
      </c>
      <c r="T8905">
        <v>0</v>
      </c>
      <c r="U8905">
        <v>0</v>
      </c>
      <c r="V8905">
        <v>0</v>
      </c>
      <c r="W8905">
        <v>0</v>
      </c>
      <c r="X8905">
        <v>1</v>
      </c>
      <c r="Y8905">
        <v>1</v>
      </c>
      <c r="Z8905">
        <v>0</v>
      </c>
      <c r="AA8905">
        <v>0</v>
      </c>
      <c r="AB8905">
        <v>0</v>
      </c>
      <c r="AC8905">
        <v>1</v>
      </c>
      <c r="AD8905">
        <v>1</v>
      </c>
      <c r="AE8905">
        <v>1</v>
      </c>
      <c r="AF8905">
        <v>1</v>
      </c>
      <c r="AG8905">
        <v>1</v>
      </c>
      <c r="AH8905">
        <v>1</v>
      </c>
      <c r="AI8905">
        <v>1</v>
      </c>
      <c r="AJ8905">
        <v>1</v>
      </c>
      <c r="AK8905">
        <v>1</v>
      </c>
      <c r="AL8905">
        <v>1</v>
      </c>
      <c r="AM8905">
        <v>0</v>
      </c>
    </row>
    <row r="8906" spans="1:39" x14ac:dyDescent="0.2">
      <c r="A8906" t="str">
        <f>"8902"</f>
        <v>8902</v>
      </c>
      <c r="B8906" t="str">
        <f t="shared" si="494"/>
        <v>1</v>
      </c>
      <c r="C8906" t="str">
        <f t="shared" si="496"/>
        <v>179</v>
      </c>
      <c r="D8906" t="str">
        <f>"35"</f>
        <v>35</v>
      </c>
      <c r="E8906" t="str">
        <f>"1-179-35"</f>
        <v>1-179-35</v>
      </c>
      <c r="F8906" t="s">
        <v>65</v>
      </c>
      <c r="G8906" t="s">
        <v>66</v>
      </c>
      <c r="H8906" t="s">
        <v>67</v>
      </c>
      <c r="S8906">
        <v>0</v>
      </c>
      <c r="T8906">
        <v>1</v>
      </c>
      <c r="U8906">
        <v>0</v>
      </c>
      <c r="V8906">
        <v>0</v>
      </c>
      <c r="W8906">
        <v>0</v>
      </c>
      <c r="X8906">
        <v>1</v>
      </c>
      <c r="Y8906">
        <v>1</v>
      </c>
      <c r="Z8906">
        <v>0</v>
      </c>
      <c r="AA8906">
        <v>0</v>
      </c>
      <c r="AB8906">
        <v>0</v>
      </c>
      <c r="AC8906">
        <v>1</v>
      </c>
      <c r="AD8906">
        <v>1</v>
      </c>
      <c r="AE8906">
        <v>1</v>
      </c>
      <c r="AF8906">
        <v>1</v>
      </c>
      <c r="AG8906">
        <v>1</v>
      </c>
      <c r="AH8906">
        <v>1</v>
      </c>
      <c r="AI8906">
        <v>1</v>
      </c>
      <c r="AJ8906">
        <v>1</v>
      </c>
      <c r="AK8906">
        <v>1</v>
      </c>
      <c r="AL8906">
        <v>1</v>
      </c>
      <c r="AM8906">
        <v>1</v>
      </c>
    </row>
    <row r="8907" spans="1:39" x14ac:dyDescent="0.2">
      <c r="A8907" t="str">
        <f>"8903"</f>
        <v>8903</v>
      </c>
      <c r="B8907" t="str">
        <f t="shared" si="494"/>
        <v>1</v>
      </c>
      <c r="C8907" t="str">
        <f t="shared" si="496"/>
        <v>179</v>
      </c>
      <c r="D8907" t="str">
        <f>"21"</f>
        <v>21</v>
      </c>
      <c r="E8907" t="str">
        <f>"1-179-21"</f>
        <v>1-179-21</v>
      </c>
      <c r="F8907" t="s">
        <v>65</v>
      </c>
      <c r="G8907" t="s">
        <v>66</v>
      </c>
      <c r="H8907" t="s">
        <v>67</v>
      </c>
      <c r="S8907">
        <v>0</v>
      </c>
      <c r="T8907">
        <v>1</v>
      </c>
      <c r="U8907">
        <v>0</v>
      </c>
      <c r="V8907">
        <v>0</v>
      </c>
      <c r="W8907">
        <v>0</v>
      </c>
      <c r="X8907">
        <v>1</v>
      </c>
      <c r="Y8907">
        <v>0</v>
      </c>
      <c r="Z8907">
        <v>1</v>
      </c>
      <c r="AA8907">
        <v>0</v>
      </c>
      <c r="AB8907">
        <v>0</v>
      </c>
      <c r="AC8907">
        <v>1</v>
      </c>
      <c r="AD8907">
        <v>0</v>
      </c>
      <c r="AE8907">
        <v>0</v>
      </c>
      <c r="AF8907">
        <v>0</v>
      </c>
      <c r="AG8907">
        <v>1</v>
      </c>
      <c r="AH8907">
        <v>1</v>
      </c>
      <c r="AI8907">
        <v>1</v>
      </c>
      <c r="AJ8907">
        <v>1</v>
      </c>
      <c r="AK8907">
        <v>1</v>
      </c>
      <c r="AL8907">
        <v>1</v>
      </c>
      <c r="AM8907">
        <v>1</v>
      </c>
    </row>
    <row r="8908" spans="1:39" x14ac:dyDescent="0.2">
      <c r="A8908" t="str">
        <f>"8904"</f>
        <v>8904</v>
      </c>
      <c r="B8908" t="str">
        <f t="shared" si="494"/>
        <v>1</v>
      </c>
      <c r="C8908" t="str">
        <f t="shared" si="496"/>
        <v>179</v>
      </c>
      <c r="D8908" t="str">
        <f>"15"</f>
        <v>15</v>
      </c>
      <c r="E8908" t="str">
        <f>"1-179-15"</f>
        <v>1-179-15</v>
      </c>
      <c r="F8908" t="s">
        <v>65</v>
      </c>
      <c r="G8908" t="s">
        <v>66</v>
      </c>
      <c r="H8908" t="s">
        <v>67</v>
      </c>
      <c r="S8908">
        <v>0</v>
      </c>
      <c r="T8908">
        <v>1</v>
      </c>
      <c r="U8908">
        <v>0</v>
      </c>
      <c r="V8908">
        <v>0</v>
      </c>
      <c r="W8908">
        <v>0</v>
      </c>
      <c r="X8908">
        <v>1</v>
      </c>
      <c r="Y8908">
        <v>0</v>
      </c>
      <c r="Z8908">
        <v>1</v>
      </c>
      <c r="AA8908">
        <v>0</v>
      </c>
      <c r="AB8908">
        <v>0</v>
      </c>
      <c r="AC8908">
        <v>1</v>
      </c>
      <c r="AD8908">
        <v>0</v>
      </c>
      <c r="AE8908">
        <v>0</v>
      </c>
      <c r="AF8908">
        <v>0</v>
      </c>
      <c r="AG8908">
        <v>0</v>
      </c>
      <c r="AH8908">
        <v>1</v>
      </c>
      <c r="AI8908">
        <v>1</v>
      </c>
      <c r="AJ8908">
        <v>1</v>
      </c>
      <c r="AK8908">
        <v>1</v>
      </c>
      <c r="AL8908">
        <v>1</v>
      </c>
      <c r="AM8908">
        <v>0</v>
      </c>
    </row>
    <row r="8909" spans="1:39" x14ac:dyDescent="0.2">
      <c r="A8909" t="str">
        <f>"8905"</f>
        <v>8905</v>
      </c>
      <c r="B8909" t="str">
        <f t="shared" si="494"/>
        <v>1</v>
      </c>
      <c r="C8909" t="str">
        <f t="shared" si="496"/>
        <v>179</v>
      </c>
      <c r="D8909" t="str">
        <f>"4"</f>
        <v>4</v>
      </c>
      <c r="E8909" t="str">
        <f>"1-179-4"</f>
        <v>1-179-4</v>
      </c>
      <c r="F8909" t="s">
        <v>65</v>
      </c>
      <c r="G8909" t="s">
        <v>66</v>
      </c>
      <c r="H8909" t="s">
        <v>67</v>
      </c>
      <c r="S8909">
        <v>0</v>
      </c>
      <c r="T8909">
        <v>1</v>
      </c>
      <c r="U8909">
        <v>0</v>
      </c>
      <c r="V8909">
        <v>0</v>
      </c>
      <c r="W8909">
        <v>0</v>
      </c>
      <c r="X8909">
        <v>1</v>
      </c>
      <c r="Y8909">
        <v>0</v>
      </c>
      <c r="Z8909">
        <v>1</v>
      </c>
      <c r="AA8909">
        <v>0</v>
      </c>
      <c r="AB8909">
        <v>0</v>
      </c>
      <c r="AC8909">
        <v>1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</row>
    <row r="8910" spans="1:39" x14ac:dyDescent="0.2">
      <c r="A8910" t="str">
        <f>"8906"</f>
        <v>8906</v>
      </c>
      <c r="B8910" t="str">
        <f t="shared" si="494"/>
        <v>1</v>
      </c>
      <c r="C8910" t="str">
        <f t="shared" si="496"/>
        <v>179</v>
      </c>
      <c r="D8910" t="str">
        <f>"38"</f>
        <v>38</v>
      </c>
      <c r="E8910" t="str">
        <f>"1-179-38"</f>
        <v>1-179-38</v>
      </c>
      <c r="F8910" t="s">
        <v>65</v>
      </c>
      <c r="G8910" t="s">
        <v>66</v>
      </c>
      <c r="H8910" t="s">
        <v>67</v>
      </c>
      <c r="S8910">
        <v>1</v>
      </c>
      <c r="T8910">
        <v>0</v>
      </c>
      <c r="U8910">
        <v>0</v>
      </c>
      <c r="V8910">
        <v>0</v>
      </c>
      <c r="W8910">
        <v>1</v>
      </c>
      <c r="X8910">
        <v>0</v>
      </c>
      <c r="Y8910">
        <v>1</v>
      </c>
      <c r="Z8910">
        <v>0</v>
      </c>
      <c r="AA8910">
        <v>1</v>
      </c>
      <c r="AB8910">
        <v>0</v>
      </c>
      <c r="AC8910">
        <v>0</v>
      </c>
      <c r="AD8910">
        <v>1</v>
      </c>
      <c r="AE8910">
        <v>1</v>
      </c>
      <c r="AF8910">
        <v>1</v>
      </c>
      <c r="AG8910">
        <v>1</v>
      </c>
      <c r="AH8910">
        <v>1</v>
      </c>
      <c r="AI8910">
        <v>1</v>
      </c>
      <c r="AJ8910">
        <v>1</v>
      </c>
      <c r="AK8910">
        <v>1</v>
      </c>
      <c r="AL8910">
        <v>1</v>
      </c>
      <c r="AM8910">
        <v>1</v>
      </c>
    </row>
    <row r="8911" spans="1:39" x14ac:dyDescent="0.2">
      <c r="A8911" t="str">
        <f>"8907"</f>
        <v>8907</v>
      </c>
      <c r="B8911" t="str">
        <f t="shared" si="494"/>
        <v>1</v>
      </c>
      <c r="C8911" t="str">
        <f t="shared" si="496"/>
        <v>179</v>
      </c>
      <c r="D8911" t="str">
        <f>"37"</f>
        <v>37</v>
      </c>
      <c r="E8911" t="str">
        <f>"1-179-37"</f>
        <v>1-179-37</v>
      </c>
      <c r="F8911" t="s">
        <v>65</v>
      </c>
      <c r="G8911" t="s">
        <v>66</v>
      </c>
      <c r="H8911" t="s">
        <v>67</v>
      </c>
      <c r="S8911">
        <v>1</v>
      </c>
      <c r="T8911">
        <v>0</v>
      </c>
      <c r="U8911">
        <v>0</v>
      </c>
      <c r="V8911">
        <v>0</v>
      </c>
      <c r="W8911">
        <v>1</v>
      </c>
      <c r="X8911">
        <v>0</v>
      </c>
      <c r="Y8911">
        <v>1</v>
      </c>
      <c r="Z8911">
        <v>0</v>
      </c>
      <c r="AA8911">
        <v>0</v>
      </c>
      <c r="AB8911">
        <v>1</v>
      </c>
      <c r="AC8911">
        <v>0</v>
      </c>
      <c r="AD8911">
        <v>1</v>
      </c>
      <c r="AE8911">
        <v>1</v>
      </c>
      <c r="AF8911">
        <v>1</v>
      </c>
      <c r="AG8911">
        <v>1</v>
      </c>
      <c r="AH8911">
        <v>1</v>
      </c>
      <c r="AI8911">
        <v>0</v>
      </c>
      <c r="AJ8911">
        <v>1</v>
      </c>
      <c r="AK8911">
        <v>1</v>
      </c>
      <c r="AL8911">
        <v>1</v>
      </c>
      <c r="AM8911">
        <v>1</v>
      </c>
    </row>
    <row r="8912" spans="1:39" x14ac:dyDescent="0.2">
      <c r="A8912" t="str">
        <f>"8908"</f>
        <v>8908</v>
      </c>
      <c r="B8912" t="str">
        <f t="shared" si="494"/>
        <v>1</v>
      </c>
      <c r="C8912" t="str">
        <f t="shared" si="496"/>
        <v>179</v>
      </c>
      <c r="D8912" t="str">
        <f>"23"</f>
        <v>23</v>
      </c>
      <c r="E8912" t="str">
        <f>"1-179-23"</f>
        <v>1-179-23</v>
      </c>
      <c r="F8912" t="s">
        <v>65</v>
      </c>
      <c r="G8912" t="s">
        <v>66</v>
      </c>
      <c r="H8912" t="s">
        <v>67</v>
      </c>
      <c r="S8912">
        <v>0</v>
      </c>
      <c r="T8912">
        <v>1</v>
      </c>
      <c r="U8912">
        <v>0</v>
      </c>
      <c r="V8912">
        <v>0</v>
      </c>
      <c r="W8912">
        <v>0</v>
      </c>
      <c r="X8912">
        <v>1</v>
      </c>
      <c r="Y8912">
        <v>1</v>
      </c>
      <c r="Z8912">
        <v>0</v>
      </c>
      <c r="AA8912">
        <v>0</v>
      </c>
      <c r="AB8912">
        <v>1</v>
      </c>
      <c r="AC8912">
        <v>0</v>
      </c>
      <c r="AD8912">
        <v>1</v>
      </c>
      <c r="AE8912">
        <v>1</v>
      </c>
      <c r="AF8912">
        <v>1</v>
      </c>
      <c r="AG8912">
        <v>1</v>
      </c>
      <c r="AH8912">
        <v>1</v>
      </c>
      <c r="AI8912">
        <v>1</v>
      </c>
      <c r="AJ8912">
        <v>1</v>
      </c>
      <c r="AK8912">
        <v>1</v>
      </c>
      <c r="AL8912">
        <v>1</v>
      </c>
      <c r="AM8912">
        <v>1</v>
      </c>
    </row>
    <row r="8913" spans="1:39" x14ac:dyDescent="0.2">
      <c r="A8913" t="str">
        <f>"8909"</f>
        <v>8909</v>
      </c>
      <c r="B8913" t="str">
        <f t="shared" si="494"/>
        <v>1</v>
      </c>
      <c r="C8913" t="str">
        <f t="shared" si="496"/>
        <v>179</v>
      </c>
      <c r="D8913" t="str">
        <f>"16"</f>
        <v>16</v>
      </c>
      <c r="E8913" t="str">
        <f>"1-179-16"</f>
        <v>1-179-16</v>
      </c>
      <c r="F8913" t="s">
        <v>65</v>
      </c>
      <c r="G8913" t="s">
        <v>66</v>
      </c>
      <c r="H8913" t="s">
        <v>67</v>
      </c>
      <c r="S8913">
        <v>1</v>
      </c>
      <c r="T8913">
        <v>0</v>
      </c>
      <c r="U8913">
        <v>0</v>
      </c>
      <c r="V8913">
        <v>0</v>
      </c>
      <c r="W8913">
        <v>1</v>
      </c>
      <c r="X8913">
        <v>0</v>
      </c>
      <c r="Y8913">
        <v>1</v>
      </c>
      <c r="Z8913">
        <v>0</v>
      </c>
      <c r="AA8913">
        <v>1</v>
      </c>
      <c r="AB8913">
        <v>0</v>
      </c>
      <c r="AC8913">
        <v>0</v>
      </c>
      <c r="AD8913">
        <v>1</v>
      </c>
      <c r="AE8913">
        <v>1</v>
      </c>
      <c r="AF8913">
        <v>1</v>
      </c>
      <c r="AG8913">
        <v>0</v>
      </c>
      <c r="AH8913">
        <v>0</v>
      </c>
      <c r="AI8913">
        <v>1</v>
      </c>
      <c r="AJ8913">
        <v>1</v>
      </c>
      <c r="AK8913">
        <v>1</v>
      </c>
      <c r="AL8913">
        <v>1</v>
      </c>
      <c r="AM8913">
        <v>0</v>
      </c>
    </row>
    <row r="8914" spans="1:39" x14ac:dyDescent="0.2">
      <c r="A8914" t="str">
        <f>"8910"</f>
        <v>8910</v>
      </c>
      <c r="B8914" t="str">
        <f t="shared" si="494"/>
        <v>1</v>
      </c>
      <c r="C8914" t="str">
        <f t="shared" si="496"/>
        <v>179</v>
      </c>
      <c r="D8914" t="str">
        <f>"3"</f>
        <v>3</v>
      </c>
      <c r="E8914" t="str">
        <f>"1-179-3"</f>
        <v>1-179-3</v>
      </c>
      <c r="F8914" t="s">
        <v>65</v>
      </c>
      <c r="G8914" t="s">
        <v>66</v>
      </c>
      <c r="H8914" t="s">
        <v>67</v>
      </c>
      <c r="S8914">
        <v>0</v>
      </c>
      <c r="T8914">
        <v>1</v>
      </c>
      <c r="U8914">
        <v>0</v>
      </c>
      <c r="V8914">
        <v>0</v>
      </c>
      <c r="W8914">
        <v>0</v>
      </c>
      <c r="X8914">
        <v>1</v>
      </c>
      <c r="Y8914">
        <v>0</v>
      </c>
      <c r="Z8914">
        <v>1</v>
      </c>
      <c r="AA8914">
        <v>0</v>
      </c>
      <c r="AB8914">
        <v>0</v>
      </c>
      <c r="AC8914">
        <v>1</v>
      </c>
      <c r="AD8914">
        <v>1</v>
      </c>
      <c r="AE8914">
        <v>1</v>
      </c>
      <c r="AF8914">
        <v>1</v>
      </c>
      <c r="AG8914">
        <v>1</v>
      </c>
      <c r="AH8914">
        <v>1</v>
      </c>
      <c r="AI8914">
        <v>0</v>
      </c>
      <c r="AJ8914">
        <v>0</v>
      </c>
      <c r="AK8914">
        <v>0</v>
      </c>
      <c r="AL8914">
        <v>0</v>
      </c>
      <c r="AM8914">
        <v>0</v>
      </c>
    </row>
    <row r="8915" spans="1:39" x14ac:dyDescent="0.2">
      <c r="A8915" t="str">
        <f>"8911"</f>
        <v>8911</v>
      </c>
      <c r="B8915" t="str">
        <f t="shared" si="494"/>
        <v>1</v>
      </c>
      <c r="C8915" t="str">
        <f t="shared" si="496"/>
        <v>179</v>
      </c>
      <c r="D8915" t="str">
        <f>"41"</f>
        <v>41</v>
      </c>
      <c r="E8915" t="str">
        <f>"1-179-41"</f>
        <v>1-179-41</v>
      </c>
      <c r="F8915" t="s">
        <v>65</v>
      </c>
      <c r="G8915" t="s">
        <v>66</v>
      </c>
      <c r="H8915" t="s">
        <v>67</v>
      </c>
      <c r="S8915">
        <v>1</v>
      </c>
      <c r="T8915">
        <v>0</v>
      </c>
      <c r="U8915">
        <v>0</v>
      </c>
      <c r="V8915">
        <v>0</v>
      </c>
      <c r="W8915">
        <v>1</v>
      </c>
      <c r="X8915">
        <v>0</v>
      </c>
      <c r="Y8915">
        <v>0</v>
      </c>
      <c r="Z8915">
        <v>0</v>
      </c>
      <c r="AA8915">
        <v>1</v>
      </c>
      <c r="AB8915">
        <v>0</v>
      </c>
      <c r="AC8915">
        <v>0</v>
      </c>
      <c r="AD8915">
        <v>1</v>
      </c>
      <c r="AE8915">
        <v>1</v>
      </c>
      <c r="AF8915">
        <v>1</v>
      </c>
      <c r="AG8915">
        <v>1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</row>
    <row r="8916" spans="1:39" x14ac:dyDescent="0.2">
      <c r="A8916" t="str">
        <f>"8912"</f>
        <v>8912</v>
      </c>
      <c r="B8916" t="str">
        <f t="shared" si="494"/>
        <v>1</v>
      </c>
      <c r="C8916" t="str">
        <f t="shared" si="496"/>
        <v>179</v>
      </c>
      <c r="D8916" t="str">
        <f>"40"</f>
        <v>40</v>
      </c>
      <c r="E8916" t="str">
        <f>"1-179-40"</f>
        <v>1-179-40</v>
      </c>
      <c r="F8916" t="s">
        <v>65</v>
      </c>
      <c r="G8916" t="s">
        <v>66</v>
      </c>
      <c r="H8916" t="s">
        <v>67</v>
      </c>
      <c r="S8916">
        <v>0</v>
      </c>
      <c r="T8916">
        <v>1</v>
      </c>
      <c r="U8916">
        <v>0</v>
      </c>
      <c r="V8916">
        <v>0</v>
      </c>
      <c r="W8916">
        <v>0</v>
      </c>
      <c r="X8916">
        <v>1</v>
      </c>
      <c r="Y8916">
        <v>0</v>
      </c>
      <c r="Z8916">
        <v>1</v>
      </c>
      <c r="AA8916">
        <v>0</v>
      </c>
      <c r="AB8916">
        <v>0</v>
      </c>
      <c r="AC8916">
        <v>1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</row>
    <row r="8917" spans="1:39" x14ac:dyDescent="0.2">
      <c r="A8917" t="str">
        <f>"8913"</f>
        <v>8913</v>
      </c>
      <c r="B8917" t="str">
        <f t="shared" si="494"/>
        <v>1</v>
      </c>
      <c r="C8917" t="str">
        <f t="shared" si="496"/>
        <v>179</v>
      </c>
      <c r="D8917" t="str">
        <f>"31"</f>
        <v>31</v>
      </c>
      <c r="E8917" t="str">
        <f>"1-179-31"</f>
        <v>1-179-31</v>
      </c>
      <c r="F8917" t="s">
        <v>65</v>
      </c>
      <c r="G8917" t="s">
        <v>66</v>
      </c>
      <c r="H8917" t="s">
        <v>67</v>
      </c>
      <c r="S8917">
        <v>1</v>
      </c>
      <c r="T8917">
        <v>0</v>
      </c>
      <c r="U8917">
        <v>0</v>
      </c>
      <c r="V8917">
        <v>0</v>
      </c>
      <c r="W8917">
        <v>1</v>
      </c>
      <c r="X8917">
        <v>0</v>
      </c>
      <c r="Y8917">
        <v>0</v>
      </c>
      <c r="Z8917">
        <v>1</v>
      </c>
      <c r="AA8917">
        <v>0</v>
      </c>
      <c r="AB8917">
        <v>1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1</v>
      </c>
      <c r="AM8917">
        <v>0</v>
      </c>
    </row>
    <row r="8918" spans="1:39" x14ac:dyDescent="0.2">
      <c r="A8918" t="str">
        <f>"8914"</f>
        <v>8914</v>
      </c>
      <c r="B8918" t="str">
        <f t="shared" si="494"/>
        <v>1</v>
      </c>
      <c r="C8918" t="str">
        <f t="shared" si="496"/>
        <v>179</v>
      </c>
      <c r="D8918" t="str">
        <f>"17"</f>
        <v>17</v>
      </c>
      <c r="E8918" t="str">
        <f>"1-179-17"</f>
        <v>1-179-17</v>
      </c>
      <c r="F8918" t="s">
        <v>65</v>
      </c>
      <c r="G8918" t="s">
        <v>66</v>
      </c>
      <c r="H8918" t="s">
        <v>67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1</v>
      </c>
      <c r="Y8918">
        <v>0</v>
      </c>
      <c r="Z8918">
        <v>0</v>
      </c>
      <c r="AA8918">
        <v>0</v>
      </c>
      <c r="AB8918">
        <v>0</v>
      </c>
      <c r="AC8918">
        <v>1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</row>
    <row r="8919" spans="1:39" x14ac:dyDescent="0.2">
      <c r="A8919" t="str">
        <f>"8915"</f>
        <v>8915</v>
      </c>
      <c r="B8919" t="str">
        <f t="shared" si="494"/>
        <v>1</v>
      </c>
      <c r="C8919" t="str">
        <f t="shared" si="496"/>
        <v>179</v>
      </c>
      <c r="D8919" t="str">
        <f>"1"</f>
        <v>1</v>
      </c>
      <c r="E8919" t="str">
        <f>"1-179-1"</f>
        <v>1-179-1</v>
      </c>
      <c r="F8919" t="s">
        <v>65</v>
      </c>
      <c r="G8919" t="s">
        <v>66</v>
      </c>
      <c r="H8919" t="s">
        <v>67</v>
      </c>
      <c r="S8919">
        <v>0</v>
      </c>
      <c r="T8919">
        <v>1</v>
      </c>
      <c r="U8919">
        <v>0</v>
      </c>
      <c r="V8919">
        <v>0</v>
      </c>
      <c r="W8919">
        <v>0</v>
      </c>
      <c r="X8919">
        <v>1</v>
      </c>
      <c r="Y8919">
        <v>0</v>
      </c>
      <c r="Z8919">
        <v>1</v>
      </c>
      <c r="AA8919">
        <v>0</v>
      </c>
      <c r="AB8919">
        <v>1</v>
      </c>
      <c r="AC8919">
        <v>0</v>
      </c>
      <c r="AD8919">
        <v>1</v>
      </c>
      <c r="AE8919">
        <v>1</v>
      </c>
      <c r="AF8919">
        <v>0</v>
      </c>
      <c r="AG8919">
        <v>1</v>
      </c>
      <c r="AH8919">
        <v>1</v>
      </c>
      <c r="AI8919">
        <v>1</v>
      </c>
      <c r="AJ8919">
        <v>1</v>
      </c>
      <c r="AK8919">
        <v>1</v>
      </c>
      <c r="AL8919">
        <v>1</v>
      </c>
      <c r="AM8919">
        <v>1</v>
      </c>
    </row>
    <row r="8920" spans="1:39" x14ac:dyDescent="0.2">
      <c r="A8920" t="str">
        <f>"8916"</f>
        <v>8916</v>
      </c>
      <c r="B8920" t="str">
        <f t="shared" si="494"/>
        <v>1</v>
      </c>
      <c r="C8920" t="str">
        <f t="shared" si="496"/>
        <v>179</v>
      </c>
      <c r="D8920" t="str">
        <f>"46"</f>
        <v>46</v>
      </c>
      <c r="E8920" t="str">
        <f>"1-179-46"</f>
        <v>1-179-46</v>
      </c>
      <c r="F8920" t="s">
        <v>65</v>
      </c>
      <c r="G8920" t="s">
        <v>66</v>
      </c>
      <c r="H8920" t="s">
        <v>67</v>
      </c>
      <c r="S8920">
        <v>0</v>
      </c>
      <c r="T8920">
        <v>1</v>
      </c>
      <c r="U8920">
        <v>0</v>
      </c>
      <c r="V8920">
        <v>0</v>
      </c>
      <c r="W8920">
        <v>1</v>
      </c>
      <c r="X8920">
        <v>0</v>
      </c>
      <c r="Y8920">
        <v>1</v>
      </c>
      <c r="Z8920">
        <v>0</v>
      </c>
      <c r="AA8920">
        <v>0</v>
      </c>
      <c r="AB8920">
        <v>0</v>
      </c>
      <c r="AC8920">
        <v>1</v>
      </c>
      <c r="AD8920">
        <v>1</v>
      </c>
      <c r="AE8920">
        <v>1</v>
      </c>
      <c r="AF8920">
        <v>1</v>
      </c>
      <c r="AG8920">
        <v>1</v>
      </c>
      <c r="AH8920">
        <v>1</v>
      </c>
      <c r="AI8920">
        <v>1</v>
      </c>
      <c r="AJ8920">
        <v>1</v>
      </c>
      <c r="AK8920">
        <v>1</v>
      </c>
      <c r="AL8920">
        <v>1</v>
      </c>
      <c r="AM8920">
        <v>1</v>
      </c>
    </row>
    <row r="8921" spans="1:39" x14ac:dyDescent="0.2">
      <c r="A8921" t="str">
        <f>"8917"</f>
        <v>8917</v>
      </c>
      <c r="B8921" t="str">
        <f t="shared" si="494"/>
        <v>1</v>
      </c>
      <c r="C8921" t="str">
        <f t="shared" si="496"/>
        <v>179</v>
      </c>
      <c r="D8921" t="str">
        <f>"45"</f>
        <v>45</v>
      </c>
      <c r="E8921" t="str">
        <f>"1-179-45"</f>
        <v>1-179-45</v>
      </c>
      <c r="F8921" t="s">
        <v>65</v>
      </c>
      <c r="G8921" t="s">
        <v>66</v>
      </c>
      <c r="H8921" t="s">
        <v>67</v>
      </c>
      <c r="S8921">
        <v>1</v>
      </c>
      <c r="T8921">
        <v>0</v>
      </c>
      <c r="U8921">
        <v>0</v>
      </c>
      <c r="V8921">
        <v>0</v>
      </c>
      <c r="W8921">
        <v>1</v>
      </c>
      <c r="X8921">
        <v>0</v>
      </c>
      <c r="Y8921">
        <v>0</v>
      </c>
      <c r="Z8921">
        <v>1</v>
      </c>
      <c r="AA8921">
        <v>0</v>
      </c>
      <c r="AB8921">
        <v>0</v>
      </c>
      <c r="AC8921">
        <v>1</v>
      </c>
      <c r="AD8921">
        <v>1</v>
      </c>
      <c r="AE8921">
        <v>1</v>
      </c>
      <c r="AF8921">
        <v>1</v>
      </c>
      <c r="AG8921">
        <v>1</v>
      </c>
      <c r="AH8921">
        <v>1</v>
      </c>
      <c r="AI8921">
        <v>1</v>
      </c>
      <c r="AJ8921">
        <v>1</v>
      </c>
      <c r="AK8921">
        <v>0</v>
      </c>
      <c r="AL8921">
        <v>1</v>
      </c>
      <c r="AM8921">
        <v>1</v>
      </c>
    </row>
    <row r="8922" spans="1:39" x14ac:dyDescent="0.2">
      <c r="A8922" t="str">
        <f>"8918"</f>
        <v>8918</v>
      </c>
      <c r="B8922" t="str">
        <f t="shared" si="494"/>
        <v>1</v>
      </c>
      <c r="C8922" t="str">
        <f t="shared" si="496"/>
        <v>179</v>
      </c>
      <c r="D8922" t="str">
        <f>"32"</f>
        <v>32</v>
      </c>
      <c r="E8922" t="str">
        <f>"1-179-32"</f>
        <v>1-179-32</v>
      </c>
      <c r="F8922" t="s">
        <v>65</v>
      </c>
      <c r="G8922" t="s">
        <v>66</v>
      </c>
      <c r="H8922" t="s">
        <v>67</v>
      </c>
      <c r="S8922">
        <v>1</v>
      </c>
      <c r="T8922">
        <v>0</v>
      </c>
      <c r="U8922">
        <v>0</v>
      </c>
      <c r="V8922">
        <v>0</v>
      </c>
      <c r="W8922">
        <v>0</v>
      </c>
      <c r="X8922">
        <v>1</v>
      </c>
      <c r="Y8922">
        <v>0</v>
      </c>
      <c r="Z8922">
        <v>1</v>
      </c>
      <c r="AA8922">
        <v>1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</row>
    <row r="8923" spans="1:39" x14ac:dyDescent="0.2">
      <c r="A8923" t="str">
        <f>"8919"</f>
        <v>8919</v>
      </c>
      <c r="B8923" t="str">
        <f t="shared" si="494"/>
        <v>1</v>
      </c>
      <c r="C8923" t="str">
        <f t="shared" si="496"/>
        <v>179</v>
      </c>
      <c r="D8923" t="str">
        <f>"18"</f>
        <v>18</v>
      </c>
      <c r="E8923" t="str">
        <f>"1-179-18"</f>
        <v>1-179-18</v>
      </c>
      <c r="F8923" t="s">
        <v>65</v>
      </c>
      <c r="G8923" t="s">
        <v>66</v>
      </c>
      <c r="H8923" t="s">
        <v>67</v>
      </c>
      <c r="S8923">
        <v>1</v>
      </c>
      <c r="T8923">
        <v>0</v>
      </c>
      <c r="U8923">
        <v>0</v>
      </c>
      <c r="V8923">
        <v>0</v>
      </c>
      <c r="W8923">
        <v>1</v>
      </c>
      <c r="X8923">
        <v>0</v>
      </c>
      <c r="Y8923">
        <v>0</v>
      </c>
      <c r="Z8923">
        <v>1</v>
      </c>
      <c r="AA8923">
        <v>1</v>
      </c>
      <c r="AB8923">
        <v>0</v>
      </c>
      <c r="AC8923">
        <v>0</v>
      </c>
      <c r="AD8923">
        <v>1</v>
      </c>
      <c r="AE8923">
        <v>1</v>
      </c>
      <c r="AF8923">
        <v>1</v>
      </c>
      <c r="AG8923">
        <v>1</v>
      </c>
      <c r="AH8923">
        <v>1</v>
      </c>
      <c r="AI8923">
        <v>1</v>
      </c>
      <c r="AJ8923">
        <v>1</v>
      </c>
      <c r="AK8923">
        <v>1</v>
      </c>
      <c r="AL8923">
        <v>1</v>
      </c>
      <c r="AM8923">
        <v>0</v>
      </c>
    </row>
    <row r="8924" spans="1:39" x14ac:dyDescent="0.2">
      <c r="A8924" t="str">
        <f>"8920"</f>
        <v>8920</v>
      </c>
      <c r="B8924" t="str">
        <f t="shared" si="494"/>
        <v>1</v>
      </c>
      <c r="C8924" t="str">
        <f t="shared" si="496"/>
        <v>179</v>
      </c>
      <c r="D8924" t="str">
        <f>"10"</f>
        <v>10</v>
      </c>
      <c r="E8924" t="str">
        <f>"1-179-10"</f>
        <v>1-179-10</v>
      </c>
      <c r="F8924" t="s">
        <v>65</v>
      </c>
      <c r="G8924" t="s">
        <v>66</v>
      </c>
      <c r="H8924" t="s">
        <v>67</v>
      </c>
      <c r="S8924">
        <v>1</v>
      </c>
      <c r="T8924">
        <v>0</v>
      </c>
      <c r="U8924">
        <v>0</v>
      </c>
      <c r="V8924">
        <v>0</v>
      </c>
      <c r="W8924">
        <v>1</v>
      </c>
      <c r="X8924">
        <v>0</v>
      </c>
      <c r="Y8924">
        <v>1</v>
      </c>
      <c r="Z8924">
        <v>0</v>
      </c>
      <c r="AA8924">
        <v>1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1</v>
      </c>
      <c r="AI8924">
        <v>1</v>
      </c>
      <c r="AJ8924">
        <v>1</v>
      </c>
      <c r="AK8924">
        <v>0</v>
      </c>
      <c r="AL8924">
        <v>1</v>
      </c>
      <c r="AM8924">
        <v>1</v>
      </c>
    </row>
    <row r="8925" spans="1:39" x14ac:dyDescent="0.2">
      <c r="A8925" t="str">
        <f>"8921"</f>
        <v>8921</v>
      </c>
      <c r="B8925" t="str">
        <f t="shared" si="494"/>
        <v>1</v>
      </c>
      <c r="C8925" t="str">
        <f t="shared" si="496"/>
        <v>179</v>
      </c>
      <c r="D8925" t="str">
        <f>"34"</f>
        <v>34</v>
      </c>
      <c r="E8925" t="str">
        <f>"1-179-34"</f>
        <v>1-179-34</v>
      </c>
      <c r="F8925" t="s">
        <v>65</v>
      </c>
      <c r="G8925" t="s">
        <v>66</v>
      </c>
      <c r="H8925" t="s">
        <v>67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1</v>
      </c>
      <c r="Y8925">
        <v>0</v>
      </c>
      <c r="Z8925">
        <v>1</v>
      </c>
      <c r="AA8925">
        <v>0</v>
      </c>
      <c r="AB8925">
        <v>1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1</v>
      </c>
      <c r="AJ8925">
        <v>0</v>
      </c>
      <c r="AK8925">
        <v>0</v>
      </c>
      <c r="AL8925">
        <v>1</v>
      </c>
      <c r="AM8925">
        <v>0</v>
      </c>
    </row>
    <row r="8926" spans="1:39" x14ac:dyDescent="0.2">
      <c r="A8926" t="str">
        <f>"8922"</f>
        <v>8922</v>
      </c>
      <c r="B8926" t="str">
        <f t="shared" si="494"/>
        <v>1</v>
      </c>
      <c r="C8926" t="str">
        <f t="shared" si="496"/>
        <v>179</v>
      </c>
      <c r="D8926" t="str">
        <f>"19"</f>
        <v>19</v>
      </c>
      <c r="E8926" t="str">
        <f>"1-179-19"</f>
        <v>1-179-19</v>
      </c>
      <c r="F8926" t="s">
        <v>65</v>
      </c>
      <c r="G8926" t="s">
        <v>66</v>
      </c>
      <c r="H8926" t="s">
        <v>67</v>
      </c>
      <c r="S8926">
        <v>1</v>
      </c>
      <c r="T8926">
        <v>0</v>
      </c>
      <c r="U8926">
        <v>0</v>
      </c>
      <c r="V8926">
        <v>0</v>
      </c>
      <c r="W8926">
        <v>1</v>
      </c>
      <c r="X8926">
        <v>0</v>
      </c>
      <c r="Y8926">
        <v>1</v>
      </c>
      <c r="Z8926">
        <v>0</v>
      </c>
      <c r="AA8926">
        <v>0</v>
      </c>
      <c r="AB8926">
        <v>1</v>
      </c>
      <c r="AC8926">
        <v>0</v>
      </c>
      <c r="AD8926">
        <v>1</v>
      </c>
      <c r="AE8926">
        <v>1</v>
      </c>
      <c r="AF8926">
        <v>1</v>
      </c>
      <c r="AG8926">
        <v>1</v>
      </c>
      <c r="AH8926">
        <v>1</v>
      </c>
      <c r="AI8926">
        <v>1</v>
      </c>
      <c r="AJ8926">
        <v>1</v>
      </c>
      <c r="AK8926">
        <v>1</v>
      </c>
      <c r="AL8926">
        <v>1</v>
      </c>
      <c r="AM8926">
        <v>1</v>
      </c>
    </row>
    <row r="8927" spans="1:39" x14ac:dyDescent="0.2">
      <c r="A8927" t="str">
        <f>"8923"</f>
        <v>8923</v>
      </c>
      <c r="B8927" t="str">
        <f t="shared" si="494"/>
        <v>1</v>
      </c>
      <c r="C8927" t="str">
        <f t="shared" si="496"/>
        <v>179</v>
      </c>
      <c r="D8927" t="str">
        <f>"6"</f>
        <v>6</v>
      </c>
      <c r="E8927" t="str">
        <f>"1-179-6"</f>
        <v>1-179-6</v>
      </c>
      <c r="F8927" t="s">
        <v>65</v>
      </c>
      <c r="G8927" t="s">
        <v>66</v>
      </c>
      <c r="H8927" t="s">
        <v>67</v>
      </c>
      <c r="S8927">
        <v>0</v>
      </c>
      <c r="T8927">
        <v>1</v>
      </c>
      <c r="U8927">
        <v>0</v>
      </c>
      <c r="V8927">
        <v>0</v>
      </c>
      <c r="W8927">
        <v>0</v>
      </c>
      <c r="X8927">
        <v>1</v>
      </c>
      <c r="Y8927">
        <v>0</v>
      </c>
      <c r="Z8927">
        <v>0</v>
      </c>
      <c r="AA8927">
        <v>0</v>
      </c>
      <c r="AB8927">
        <v>0</v>
      </c>
      <c r="AC8927">
        <v>1</v>
      </c>
      <c r="AD8927">
        <v>0</v>
      </c>
      <c r="AE8927">
        <v>0</v>
      </c>
      <c r="AF8927">
        <v>0</v>
      </c>
      <c r="AG8927">
        <v>0</v>
      </c>
      <c r="AH8927">
        <v>1</v>
      </c>
      <c r="AI8927">
        <v>1</v>
      </c>
      <c r="AJ8927">
        <v>1</v>
      </c>
      <c r="AK8927">
        <v>1</v>
      </c>
      <c r="AL8927">
        <v>1</v>
      </c>
      <c r="AM8927">
        <v>1</v>
      </c>
    </row>
    <row r="8928" spans="1:39" x14ac:dyDescent="0.2">
      <c r="A8928" t="str">
        <f>"8924"</f>
        <v>8924</v>
      </c>
      <c r="B8928" t="str">
        <f t="shared" si="494"/>
        <v>1</v>
      </c>
      <c r="C8928" t="str">
        <f t="shared" si="496"/>
        <v>179</v>
      </c>
      <c r="D8928" t="str">
        <f>"44"</f>
        <v>44</v>
      </c>
      <c r="E8928" t="str">
        <f>"1-179-44"</f>
        <v>1-179-44</v>
      </c>
      <c r="F8928" t="s">
        <v>65</v>
      </c>
      <c r="G8928" t="s">
        <v>66</v>
      </c>
      <c r="H8928" t="s">
        <v>67</v>
      </c>
      <c r="S8928">
        <v>1</v>
      </c>
      <c r="T8928">
        <v>0</v>
      </c>
      <c r="U8928">
        <v>0</v>
      </c>
      <c r="V8928">
        <v>0</v>
      </c>
      <c r="W8928">
        <v>1</v>
      </c>
      <c r="X8928">
        <v>0</v>
      </c>
      <c r="Y8928">
        <v>0</v>
      </c>
      <c r="Z8928">
        <v>1</v>
      </c>
      <c r="AA8928">
        <v>0</v>
      </c>
      <c r="AB8928">
        <v>0</v>
      </c>
      <c r="AC8928">
        <v>1</v>
      </c>
      <c r="AD8928">
        <v>1</v>
      </c>
      <c r="AE8928">
        <v>1</v>
      </c>
      <c r="AF8928">
        <v>1</v>
      </c>
      <c r="AG8928">
        <v>1</v>
      </c>
      <c r="AH8928">
        <v>1</v>
      </c>
      <c r="AI8928">
        <v>1</v>
      </c>
      <c r="AJ8928">
        <v>1</v>
      </c>
      <c r="AK8928">
        <v>0</v>
      </c>
      <c r="AL8928">
        <v>1</v>
      </c>
      <c r="AM8928">
        <v>1</v>
      </c>
    </row>
    <row r="8929" spans="1:39" x14ac:dyDescent="0.2">
      <c r="A8929" t="str">
        <f>"8925"</f>
        <v>8925</v>
      </c>
      <c r="B8929" t="str">
        <f t="shared" si="494"/>
        <v>1</v>
      </c>
      <c r="C8929" t="str">
        <f t="shared" si="496"/>
        <v>179</v>
      </c>
      <c r="D8929" t="str">
        <f>"43"</f>
        <v>43</v>
      </c>
      <c r="E8929" t="str">
        <f>"1-179-43"</f>
        <v>1-179-43</v>
      </c>
      <c r="F8929" t="s">
        <v>65</v>
      </c>
      <c r="G8929" t="s">
        <v>66</v>
      </c>
      <c r="H8929" t="s">
        <v>67</v>
      </c>
      <c r="S8929">
        <v>1</v>
      </c>
      <c r="T8929">
        <v>0</v>
      </c>
      <c r="U8929">
        <v>0</v>
      </c>
      <c r="V8929">
        <v>0</v>
      </c>
      <c r="W8929">
        <v>1</v>
      </c>
      <c r="X8929">
        <v>0</v>
      </c>
      <c r="Y8929">
        <v>1</v>
      </c>
      <c r="Z8929">
        <v>0</v>
      </c>
      <c r="AA8929">
        <v>0</v>
      </c>
      <c r="AB8929">
        <v>1</v>
      </c>
      <c r="AC8929">
        <v>0</v>
      </c>
      <c r="AD8929">
        <v>1</v>
      </c>
      <c r="AE8929">
        <v>1</v>
      </c>
      <c r="AF8929">
        <v>1</v>
      </c>
      <c r="AG8929">
        <v>1</v>
      </c>
      <c r="AH8929">
        <v>1</v>
      </c>
      <c r="AI8929">
        <v>1</v>
      </c>
      <c r="AJ8929">
        <v>1</v>
      </c>
      <c r="AK8929">
        <v>1</v>
      </c>
      <c r="AL8929">
        <v>1</v>
      </c>
      <c r="AM8929">
        <v>1</v>
      </c>
    </row>
    <row r="8930" spans="1:39" x14ac:dyDescent="0.2">
      <c r="A8930" t="str">
        <f>"8926"</f>
        <v>8926</v>
      </c>
      <c r="B8930" t="str">
        <f t="shared" si="494"/>
        <v>1</v>
      </c>
      <c r="C8930" t="str">
        <f t="shared" si="496"/>
        <v>179</v>
      </c>
      <c r="D8930" t="str">
        <f>"33"</f>
        <v>33</v>
      </c>
      <c r="E8930" t="str">
        <f>"1-179-33"</f>
        <v>1-179-33</v>
      </c>
      <c r="F8930" t="s">
        <v>65</v>
      </c>
      <c r="G8930" t="s">
        <v>66</v>
      </c>
      <c r="H8930" t="s">
        <v>67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1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</row>
    <row r="8931" spans="1:39" x14ac:dyDescent="0.2">
      <c r="A8931" t="str">
        <f>"8927"</f>
        <v>8927</v>
      </c>
      <c r="B8931" t="str">
        <f t="shared" si="494"/>
        <v>1</v>
      </c>
      <c r="C8931" t="str">
        <f t="shared" si="496"/>
        <v>179</v>
      </c>
      <c r="D8931" t="str">
        <f>"20"</f>
        <v>20</v>
      </c>
      <c r="E8931" t="str">
        <f>"1-179-20"</f>
        <v>1-179-20</v>
      </c>
      <c r="F8931" t="s">
        <v>65</v>
      </c>
      <c r="G8931" t="s">
        <v>66</v>
      </c>
      <c r="H8931" t="s">
        <v>67</v>
      </c>
      <c r="S8931">
        <v>0</v>
      </c>
      <c r="T8931">
        <v>1</v>
      </c>
      <c r="U8931">
        <v>0</v>
      </c>
      <c r="V8931">
        <v>0</v>
      </c>
      <c r="W8931">
        <v>0</v>
      </c>
      <c r="X8931">
        <v>1</v>
      </c>
      <c r="Y8931">
        <v>0</v>
      </c>
      <c r="Z8931">
        <v>1</v>
      </c>
      <c r="AA8931">
        <v>0</v>
      </c>
      <c r="AB8931">
        <v>0</v>
      </c>
      <c r="AC8931">
        <v>1</v>
      </c>
      <c r="AD8931">
        <v>1</v>
      </c>
      <c r="AE8931">
        <v>1</v>
      </c>
      <c r="AF8931">
        <v>1</v>
      </c>
      <c r="AG8931">
        <v>1</v>
      </c>
      <c r="AH8931">
        <v>1</v>
      </c>
      <c r="AI8931">
        <v>1</v>
      </c>
      <c r="AJ8931">
        <v>1</v>
      </c>
      <c r="AK8931">
        <v>1</v>
      </c>
      <c r="AL8931">
        <v>1</v>
      </c>
      <c r="AM8931">
        <v>1</v>
      </c>
    </row>
    <row r="8932" spans="1:39" x14ac:dyDescent="0.2">
      <c r="A8932" t="str">
        <f>"8928"</f>
        <v>8928</v>
      </c>
      <c r="B8932" t="str">
        <f t="shared" si="494"/>
        <v>1</v>
      </c>
      <c r="C8932" t="str">
        <f t="shared" si="496"/>
        <v>179</v>
      </c>
      <c r="D8932" t="str">
        <f>"5"</f>
        <v>5</v>
      </c>
      <c r="E8932" t="str">
        <f>"1-179-5"</f>
        <v>1-179-5</v>
      </c>
      <c r="F8932" t="s">
        <v>65</v>
      </c>
      <c r="G8932" t="s">
        <v>66</v>
      </c>
      <c r="H8932" t="s">
        <v>67</v>
      </c>
      <c r="S8932">
        <v>1</v>
      </c>
      <c r="T8932">
        <v>0</v>
      </c>
      <c r="U8932">
        <v>0</v>
      </c>
      <c r="V8932">
        <v>0</v>
      </c>
      <c r="W8932">
        <v>1</v>
      </c>
      <c r="X8932">
        <v>0</v>
      </c>
      <c r="Y8932">
        <v>0</v>
      </c>
      <c r="Z8932">
        <v>1</v>
      </c>
      <c r="AA8932">
        <v>1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1</v>
      </c>
      <c r="AM8932">
        <v>1</v>
      </c>
    </row>
    <row r="8933" spans="1:39" x14ac:dyDescent="0.2">
      <c r="A8933" t="str">
        <f>"8929"</f>
        <v>8929</v>
      </c>
      <c r="B8933" t="str">
        <f t="shared" si="494"/>
        <v>1</v>
      </c>
      <c r="C8933" t="str">
        <f t="shared" si="496"/>
        <v>179</v>
      </c>
      <c r="D8933" t="str">
        <f>"42"</f>
        <v>42</v>
      </c>
      <c r="E8933" t="str">
        <f>"1-179-42"</f>
        <v>1-179-42</v>
      </c>
      <c r="F8933" t="s">
        <v>65</v>
      </c>
      <c r="G8933" t="s">
        <v>66</v>
      </c>
      <c r="H8933" t="s">
        <v>67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1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</row>
    <row r="8934" spans="1:39" x14ac:dyDescent="0.2">
      <c r="A8934" t="str">
        <f>"8930"</f>
        <v>8930</v>
      </c>
      <c r="B8934" t="str">
        <f t="shared" si="494"/>
        <v>1</v>
      </c>
      <c r="C8934" t="str">
        <f t="shared" si="496"/>
        <v>179</v>
      </c>
      <c r="D8934" t="str">
        <f>"22"</f>
        <v>22</v>
      </c>
      <c r="E8934" t="str">
        <f>"1-179-22"</f>
        <v>1-179-22</v>
      </c>
      <c r="F8934" t="s">
        <v>65</v>
      </c>
      <c r="G8934" t="s">
        <v>66</v>
      </c>
      <c r="H8934" t="s">
        <v>67</v>
      </c>
      <c r="S8934">
        <v>1</v>
      </c>
      <c r="T8934">
        <v>0</v>
      </c>
      <c r="U8934">
        <v>0</v>
      </c>
      <c r="V8934">
        <v>0</v>
      </c>
      <c r="W8934">
        <v>0</v>
      </c>
      <c r="X8934">
        <v>1</v>
      </c>
      <c r="Y8934">
        <v>1</v>
      </c>
      <c r="Z8934">
        <v>0</v>
      </c>
      <c r="AA8934">
        <v>1</v>
      </c>
      <c r="AB8934">
        <v>0</v>
      </c>
      <c r="AC8934">
        <v>0</v>
      </c>
      <c r="AD8934">
        <v>1</v>
      </c>
      <c r="AE8934">
        <v>1</v>
      </c>
      <c r="AF8934">
        <v>1</v>
      </c>
      <c r="AG8934">
        <v>1</v>
      </c>
      <c r="AH8934">
        <v>1</v>
      </c>
      <c r="AI8934">
        <v>1</v>
      </c>
      <c r="AJ8934">
        <v>1</v>
      </c>
      <c r="AK8934">
        <v>1</v>
      </c>
      <c r="AL8934">
        <v>1</v>
      </c>
      <c r="AM8934">
        <v>1</v>
      </c>
    </row>
    <row r="8935" spans="1:39" x14ac:dyDescent="0.2">
      <c r="A8935" t="str">
        <f>"8931"</f>
        <v>8931</v>
      </c>
      <c r="B8935" t="str">
        <f t="shared" si="494"/>
        <v>1</v>
      </c>
      <c r="C8935" t="str">
        <f t="shared" si="496"/>
        <v>179</v>
      </c>
      <c r="D8935" t="str">
        <f>"7"</f>
        <v>7</v>
      </c>
      <c r="E8935" t="str">
        <f>"1-179-7"</f>
        <v>1-179-7</v>
      </c>
      <c r="F8935" t="s">
        <v>65</v>
      </c>
      <c r="G8935" t="s">
        <v>66</v>
      </c>
      <c r="H8935" t="s">
        <v>67</v>
      </c>
      <c r="S8935">
        <v>1</v>
      </c>
      <c r="T8935">
        <v>0</v>
      </c>
      <c r="U8935">
        <v>0</v>
      </c>
      <c r="V8935">
        <v>0</v>
      </c>
      <c r="W8935">
        <v>1</v>
      </c>
      <c r="X8935">
        <v>0</v>
      </c>
      <c r="Y8935">
        <v>0</v>
      </c>
      <c r="Z8935">
        <v>1</v>
      </c>
      <c r="AA8935">
        <v>0</v>
      </c>
      <c r="AB8935">
        <v>0</v>
      </c>
      <c r="AC8935">
        <v>1</v>
      </c>
      <c r="AD8935">
        <v>1</v>
      </c>
      <c r="AE8935">
        <v>1</v>
      </c>
      <c r="AF8935">
        <v>1</v>
      </c>
      <c r="AG8935">
        <v>1</v>
      </c>
      <c r="AH8935">
        <v>1</v>
      </c>
      <c r="AI8935">
        <v>1</v>
      </c>
      <c r="AJ8935">
        <v>1</v>
      </c>
      <c r="AK8935">
        <v>1</v>
      </c>
      <c r="AL8935">
        <v>1</v>
      </c>
      <c r="AM8935">
        <v>1</v>
      </c>
    </row>
    <row r="8936" spans="1:39" x14ac:dyDescent="0.2">
      <c r="A8936" t="str">
        <f>"8932"</f>
        <v>8932</v>
      </c>
      <c r="B8936" t="str">
        <f t="shared" si="494"/>
        <v>1</v>
      </c>
      <c r="C8936" t="str">
        <f t="shared" si="496"/>
        <v>179</v>
      </c>
      <c r="D8936" t="str">
        <f>"39"</f>
        <v>39</v>
      </c>
      <c r="E8936" t="str">
        <f>"1-179-39"</f>
        <v>1-179-39</v>
      </c>
      <c r="F8936" t="s">
        <v>65</v>
      </c>
      <c r="G8936" t="s">
        <v>66</v>
      </c>
      <c r="H8936" t="s">
        <v>67</v>
      </c>
      <c r="S8936">
        <v>1</v>
      </c>
      <c r="T8936">
        <v>0</v>
      </c>
      <c r="U8936">
        <v>0</v>
      </c>
      <c r="V8936">
        <v>0</v>
      </c>
      <c r="W8936">
        <v>1</v>
      </c>
      <c r="X8936">
        <v>0</v>
      </c>
      <c r="Y8936">
        <v>1</v>
      </c>
      <c r="Z8936">
        <v>0</v>
      </c>
      <c r="AA8936">
        <v>0</v>
      </c>
      <c r="AB8936">
        <v>0</v>
      </c>
      <c r="AC8936">
        <v>1</v>
      </c>
      <c r="AD8936">
        <v>1</v>
      </c>
      <c r="AE8936">
        <v>1</v>
      </c>
      <c r="AF8936">
        <v>1</v>
      </c>
      <c r="AG8936">
        <v>1</v>
      </c>
      <c r="AH8936">
        <v>1</v>
      </c>
      <c r="AI8936">
        <v>1</v>
      </c>
      <c r="AJ8936">
        <v>1</v>
      </c>
      <c r="AK8936">
        <v>1</v>
      </c>
      <c r="AL8936">
        <v>1</v>
      </c>
      <c r="AM8936">
        <v>1</v>
      </c>
    </row>
    <row r="8937" spans="1:39" x14ac:dyDescent="0.2">
      <c r="A8937" t="str">
        <f>"8933"</f>
        <v>8933</v>
      </c>
      <c r="B8937" t="str">
        <f t="shared" si="494"/>
        <v>1</v>
      </c>
      <c r="C8937" t="str">
        <f t="shared" ref="C8937:C8954" si="497">"179"</f>
        <v>179</v>
      </c>
      <c r="D8937" t="str">
        <f>"24"</f>
        <v>24</v>
      </c>
      <c r="E8937" t="str">
        <f>"1-179-24"</f>
        <v>1-179-24</v>
      </c>
      <c r="F8937" t="s">
        <v>65</v>
      </c>
      <c r="G8937" t="s">
        <v>66</v>
      </c>
      <c r="H8937" t="s">
        <v>67</v>
      </c>
      <c r="S8937">
        <v>0</v>
      </c>
      <c r="T8937">
        <v>1</v>
      </c>
      <c r="U8937">
        <v>0</v>
      </c>
      <c r="V8937">
        <v>0</v>
      </c>
      <c r="W8937">
        <v>0</v>
      </c>
      <c r="X8937">
        <v>1</v>
      </c>
      <c r="Y8937">
        <v>1</v>
      </c>
      <c r="Z8937">
        <v>0</v>
      </c>
      <c r="AA8937">
        <v>0</v>
      </c>
      <c r="AB8937">
        <v>0</v>
      </c>
      <c r="AC8937">
        <v>1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</row>
    <row r="8938" spans="1:39" x14ac:dyDescent="0.2">
      <c r="A8938" t="str">
        <f>"8934"</f>
        <v>8934</v>
      </c>
      <c r="B8938" t="str">
        <f t="shared" si="494"/>
        <v>1</v>
      </c>
      <c r="C8938" t="str">
        <f t="shared" si="497"/>
        <v>179</v>
      </c>
      <c r="D8938" t="str">
        <f>"14"</f>
        <v>14</v>
      </c>
      <c r="E8938" t="str">
        <f>"1-179-14"</f>
        <v>1-179-14</v>
      </c>
      <c r="F8938" t="s">
        <v>65</v>
      </c>
      <c r="G8938" t="s">
        <v>66</v>
      </c>
      <c r="H8938" t="s">
        <v>67</v>
      </c>
      <c r="S8938">
        <v>1</v>
      </c>
      <c r="T8938">
        <v>0</v>
      </c>
      <c r="U8938">
        <v>0</v>
      </c>
      <c r="V8938">
        <v>0</v>
      </c>
      <c r="W8938">
        <v>1</v>
      </c>
      <c r="X8938">
        <v>0</v>
      </c>
      <c r="Y8938">
        <v>1</v>
      </c>
      <c r="Z8938">
        <v>0</v>
      </c>
      <c r="AA8938">
        <v>0</v>
      </c>
      <c r="AB8938">
        <v>1</v>
      </c>
      <c r="AC8938">
        <v>0</v>
      </c>
      <c r="AD8938">
        <v>1</v>
      </c>
      <c r="AE8938">
        <v>1</v>
      </c>
      <c r="AF8938">
        <v>1</v>
      </c>
      <c r="AG8938">
        <v>1</v>
      </c>
      <c r="AH8938">
        <v>1</v>
      </c>
      <c r="AI8938">
        <v>1</v>
      </c>
      <c r="AJ8938">
        <v>1</v>
      </c>
      <c r="AK8938">
        <v>1</v>
      </c>
      <c r="AL8938">
        <v>1</v>
      </c>
      <c r="AM8938">
        <v>1</v>
      </c>
    </row>
    <row r="8939" spans="1:39" x14ac:dyDescent="0.2">
      <c r="A8939" t="str">
        <f>"8935"</f>
        <v>8935</v>
      </c>
      <c r="B8939" t="str">
        <f t="shared" si="494"/>
        <v>1</v>
      </c>
      <c r="C8939" t="str">
        <f t="shared" si="497"/>
        <v>179</v>
      </c>
      <c r="D8939" t="str">
        <f>"25"</f>
        <v>25</v>
      </c>
      <c r="E8939" t="str">
        <f>"1-179-25"</f>
        <v>1-179-25</v>
      </c>
      <c r="F8939" t="s">
        <v>65</v>
      </c>
      <c r="G8939" t="s">
        <v>66</v>
      </c>
      <c r="H8939" t="s">
        <v>67</v>
      </c>
      <c r="S8939">
        <v>0</v>
      </c>
      <c r="T8939">
        <v>1</v>
      </c>
      <c r="U8939">
        <v>0</v>
      </c>
      <c r="V8939">
        <v>0</v>
      </c>
      <c r="W8939">
        <v>0</v>
      </c>
      <c r="X8939">
        <v>1</v>
      </c>
      <c r="Y8939">
        <v>0</v>
      </c>
      <c r="Z8939">
        <v>1</v>
      </c>
      <c r="AA8939">
        <v>0</v>
      </c>
      <c r="AB8939">
        <v>0</v>
      </c>
      <c r="AC8939">
        <v>1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</row>
    <row r="8940" spans="1:39" x14ac:dyDescent="0.2">
      <c r="A8940" t="str">
        <f>"8936"</f>
        <v>8936</v>
      </c>
      <c r="B8940" t="str">
        <f t="shared" si="494"/>
        <v>1</v>
      </c>
      <c r="C8940" t="str">
        <f t="shared" si="497"/>
        <v>179</v>
      </c>
      <c r="D8940" t="str">
        <f>"13"</f>
        <v>13</v>
      </c>
      <c r="E8940" t="str">
        <f>"1-179-13"</f>
        <v>1-179-13</v>
      </c>
      <c r="F8940" t="s">
        <v>65</v>
      </c>
      <c r="G8940" t="s">
        <v>66</v>
      </c>
      <c r="H8940" t="s">
        <v>67</v>
      </c>
      <c r="S8940">
        <v>1</v>
      </c>
      <c r="T8940">
        <v>0</v>
      </c>
      <c r="U8940">
        <v>0</v>
      </c>
      <c r="V8940">
        <v>0</v>
      </c>
      <c r="W8940">
        <v>1</v>
      </c>
      <c r="X8940">
        <v>0</v>
      </c>
      <c r="Y8940">
        <v>1</v>
      </c>
      <c r="Z8940">
        <v>0</v>
      </c>
      <c r="AA8940">
        <v>1</v>
      </c>
      <c r="AB8940">
        <v>0</v>
      </c>
      <c r="AC8940">
        <v>0</v>
      </c>
      <c r="AD8940">
        <v>1</v>
      </c>
      <c r="AE8940">
        <v>1</v>
      </c>
      <c r="AF8940">
        <v>1</v>
      </c>
      <c r="AG8940">
        <v>1</v>
      </c>
      <c r="AH8940">
        <v>1</v>
      </c>
      <c r="AI8940">
        <v>1</v>
      </c>
      <c r="AJ8940">
        <v>1</v>
      </c>
      <c r="AK8940">
        <v>1</v>
      </c>
      <c r="AL8940">
        <v>1</v>
      </c>
      <c r="AM8940">
        <v>1</v>
      </c>
    </row>
    <row r="8941" spans="1:39" x14ac:dyDescent="0.2">
      <c r="A8941" t="str">
        <f>"8937"</f>
        <v>8937</v>
      </c>
      <c r="B8941" t="str">
        <f t="shared" si="494"/>
        <v>1</v>
      </c>
      <c r="C8941" t="str">
        <f t="shared" si="497"/>
        <v>179</v>
      </c>
      <c r="D8941" t="str">
        <f>"26"</f>
        <v>26</v>
      </c>
      <c r="E8941" t="str">
        <f>"1-179-26"</f>
        <v>1-179-26</v>
      </c>
      <c r="F8941" t="s">
        <v>65</v>
      </c>
      <c r="G8941" t="s">
        <v>66</v>
      </c>
      <c r="H8941" t="s">
        <v>67</v>
      </c>
      <c r="S8941">
        <v>1</v>
      </c>
      <c r="T8941">
        <v>0</v>
      </c>
      <c r="U8941">
        <v>0</v>
      </c>
      <c r="V8941">
        <v>0</v>
      </c>
      <c r="W8941">
        <v>0</v>
      </c>
      <c r="X8941">
        <v>1</v>
      </c>
      <c r="Y8941">
        <v>0</v>
      </c>
      <c r="Z8941">
        <v>1</v>
      </c>
      <c r="AA8941">
        <v>0</v>
      </c>
      <c r="AB8941">
        <v>1</v>
      </c>
      <c r="AC8941">
        <v>0</v>
      </c>
      <c r="AD8941">
        <v>1</v>
      </c>
      <c r="AE8941">
        <v>1</v>
      </c>
      <c r="AF8941">
        <v>1</v>
      </c>
      <c r="AG8941">
        <v>1</v>
      </c>
      <c r="AH8941">
        <v>1</v>
      </c>
      <c r="AI8941">
        <v>1</v>
      </c>
      <c r="AJ8941">
        <v>1</v>
      </c>
      <c r="AK8941">
        <v>1</v>
      </c>
      <c r="AL8941">
        <v>1</v>
      </c>
      <c r="AM8941">
        <v>1</v>
      </c>
    </row>
    <row r="8942" spans="1:39" x14ac:dyDescent="0.2">
      <c r="A8942" t="str">
        <f>"8938"</f>
        <v>8938</v>
      </c>
      <c r="B8942" t="str">
        <f t="shared" si="494"/>
        <v>1</v>
      </c>
      <c r="C8942" t="str">
        <f t="shared" si="497"/>
        <v>179</v>
      </c>
      <c r="D8942" t="str">
        <f>"9"</f>
        <v>9</v>
      </c>
      <c r="E8942" t="str">
        <f>"1-179-9"</f>
        <v>1-179-9</v>
      </c>
      <c r="F8942" t="s">
        <v>65</v>
      </c>
      <c r="G8942" t="s">
        <v>66</v>
      </c>
      <c r="H8942" t="s">
        <v>67</v>
      </c>
      <c r="S8942">
        <v>1</v>
      </c>
      <c r="T8942">
        <v>0</v>
      </c>
      <c r="U8942">
        <v>0</v>
      </c>
      <c r="V8942">
        <v>0</v>
      </c>
      <c r="W8942">
        <v>0</v>
      </c>
      <c r="X8942">
        <v>1</v>
      </c>
      <c r="Y8942">
        <v>0</v>
      </c>
      <c r="Z8942">
        <v>1</v>
      </c>
      <c r="AA8942">
        <v>0</v>
      </c>
      <c r="AB8942">
        <v>0</v>
      </c>
      <c r="AC8942">
        <v>1</v>
      </c>
      <c r="AD8942">
        <v>0</v>
      </c>
      <c r="AE8942">
        <v>0</v>
      </c>
      <c r="AF8942">
        <v>0</v>
      </c>
      <c r="AG8942">
        <v>1</v>
      </c>
      <c r="AH8942">
        <v>0</v>
      </c>
      <c r="AI8942">
        <v>1</v>
      </c>
      <c r="AJ8942">
        <v>1</v>
      </c>
      <c r="AK8942">
        <v>0</v>
      </c>
      <c r="AL8942">
        <v>1</v>
      </c>
      <c r="AM8942">
        <v>0</v>
      </c>
    </row>
    <row r="8943" spans="1:39" x14ac:dyDescent="0.2">
      <c r="A8943" t="str">
        <f>"8939"</f>
        <v>8939</v>
      </c>
      <c r="B8943" t="str">
        <f t="shared" si="494"/>
        <v>1</v>
      </c>
      <c r="C8943" t="str">
        <f t="shared" si="497"/>
        <v>179</v>
      </c>
      <c r="D8943" t="str">
        <f>"47"</f>
        <v>47</v>
      </c>
      <c r="E8943" t="str">
        <f>"1-179-47"</f>
        <v>1-179-47</v>
      </c>
      <c r="F8943" t="s">
        <v>65</v>
      </c>
      <c r="G8943" t="s">
        <v>66</v>
      </c>
      <c r="H8943" t="s">
        <v>68</v>
      </c>
      <c r="I8943">
        <v>1</v>
      </c>
      <c r="J8943">
        <v>0</v>
      </c>
      <c r="K8943">
        <v>1</v>
      </c>
      <c r="L8943">
        <v>0</v>
      </c>
      <c r="M8943">
        <v>1</v>
      </c>
      <c r="N8943">
        <v>1</v>
      </c>
      <c r="O8943">
        <v>0</v>
      </c>
      <c r="P8943">
        <v>0</v>
      </c>
      <c r="Q8943">
        <v>1</v>
      </c>
      <c r="R8943">
        <v>0</v>
      </c>
    </row>
    <row r="8944" spans="1:39" x14ac:dyDescent="0.2">
      <c r="A8944" t="str">
        <f>"8940"</f>
        <v>8940</v>
      </c>
      <c r="B8944" t="str">
        <f t="shared" si="494"/>
        <v>1</v>
      </c>
      <c r="C8944" t="str">
        <f t="shared" si="497"/>
        <v>179</v>
      </c>
      <c r="D8944" t="str">
        <f>"27"</f>
        <v>27</v>
      </c>
      <c r="E8944" t="str">
        <f>"1-179-27"</f>
        <v>1-179-27</v>
      </c>
      <c r="F8944" t="s">
        <v>65</v>
      </c>
      <c r="G8944" t="s">
        <v>66</v>
      </c>
      <c r="H8944" t="s">
        <v>67</v>
      </c>
      <c r="S8944">
        <v>0</v>
      </c>
      <c r="T8944">
        <v>1</v>
      </c>
      <c r="U8944">
        <v>0</v>
      </c>
      <c r="V8944">
        <v>0</v>
      </c>
      <c r="W8944">
        <v>0</v>
      </c>
      <c r="X8944">
        <v>1</v>
      </c>
      <c r="Y8944">
        <v>0</v>
      </c>
      <c r="Z8944">
        <v>1</v>
      </c>
      <c r="AA8944">
        <v>0</v>
      </c>
      <c r="AB8944">
        <v>0</v>
      </c>
      <c r="AC8944">
        <v>1</v>
      </c>
      <c r="AD8944">
        <v>1</v>
      </c>
      <c r="AE8944">
        <v>1</v>
      </c>
      <c r="AF8944">
        <v>1</v>
      </c>
      <c r="AG8944">
        <v>1</v>
      </c>
      <c r="AH8944">
        <v>1</v>
      </c>
      <c r="AI8944">
        <v>1</v>
      </c>
      <c r="AJ8944">
        <v>1</v>
      </c>
      <c r="AK8944">
        <v>1</v>
      </c>
      <c r="AL8944">
        <v>1</v>
      </c>
      <c r="AM8944">
        <v>1</v>
      </c>
    </row>
    <row r="8945" spans="1:39" x14ac:dyDescent="0.2">
      <c r="A8945" t="str">
        <f>"8941"</f>
        <v>8941</v>
      </c>
      <c r="B8945" t="str">
        <f t="shared" si="494"/>
        <v>1</v>
      </c>
      <c r="C8945" t="str">
        <f t="shared" si="497"/>
        <v>179</v>
      </c>
      <c r="D8945" t="str">
        <f>"2"</f>
        <v>2</v>
      </c>
      <c r="E8945" t="str">
        <f>"1-179-2"</f>
        <v>1-179-2</v>
      </c>
      <c r="F8945" t="s">
        <v>65</v>
      </c>
      <c r="G8945" t="s">
        <v>66</v>
      </c>
      <c r="H8945" t="s">
        <v>67</v>
      </c>
      <c r="S8945">
        <v>0</v>
      </c>
      <c r="T8945">
        <v>0</v>
      </c>
      <c r="U8945">
        <v>0</v>
      </c>
      <c r="V8945">
        <v>0</v>
      </c>
      <c r="W8945">
        <v>1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1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</row>
    <row r="8946" spans="1:39" x14ac:dyDescent="0.2">
      <c r="A8946" t="str">
        <f>"8942"</f>
        <v>8942</v>
      </c>
      <c r="B8946" t="str">
        <f t="shared" si="494"/>
        <v>1</v>
      </c>
      <c r="C8946" t="str">
        <f t="shared" si="497"/>
        <v>179</v>
      </c>
      <c r="D8946" t="str">
        <f>"28"</f>
        <v>28</v>
      </c>
      <c r="E8946" t="str">
        <f>"1-179-28"</f>
        <v>1-179-28</v>
      </c>
      <c r="F8946" t="s">
        <v>65</v>
      </c>
      <c r="G8946" t="s">
        <v>66</v>
      </c>
      <c r="H8946" t="s">
        <v>67</v>
      </c>
      <c r="S8946">
        <v>0</v>
      </c>
      <c r="T8946">
        <v>1</v>
      </c>
      <c r="U8946">
        <v>0</v>
      </c>
      <c r="V8946">
        <v>0</v>
      </c>
      <c r="W8946">
        <v>0</v>
      </c>
      <c r="X8946">
        <v>1</v>
      </c>
      <c r="Y8946">
        <v>1</v>
      </c>
      <c r="Z8946">
        <v>0</v>
      </c>
      <c r="AA8946">
        <v>0</v>
      </c>
      <c r="AB8946">
        <v>1</v>
      </c>
      <c r="AC8946">
        <v>0</v>
      </c>
      <c r="AD8946">
        <v>1</v>
      </c>
      <c r="AE8946">
        <v>1</v>
      </c>
      <c r="AF8946">
        <v>1</v>
      </c>
      <c r="AG8946">
        <v>1</v>
      </c>
      <c r="AH8946">
        <v>1</v>
      </c>
      <c r="AI8946">
        <v>1</v>
      </c>
      <c r="AJ8946">
        <v>1</v>
      </c>
      <c r="AK8946">
        <v>1</v>
      </c>
      <c r="AL8946">
        <v>1</v>
      </c>
      <c r="AM8946">
        <v>0</v>
      </c>
    </row>
    <row r="8947" spans="1:39" x14ac:dyDescent="0.2">
      <c r="A8947" t="str">
        <f>"8943"</f>
        <v>8943</v>
      </c>
      <c r="B8947" t="str">
        <f t="shared" si="494"/>
        <v>1</v>
      </c>
      <c r="C8947" t="str">
        <f t="shared" si="497"/>
        <v>179</v>
      </c>
      <c r="D8947" t="str">
        <f>"8"</f>
        <v>8</v>
      </c>
      <c r="E8947" t="str">
        <f>"1-179-8"</f>
        <v>1-179-8</v>
      </c>
      <c r="F8947" t="s">
        <v>65</v>
      </c>
      <c r="G8947" t="s">
        <v>66</v>
      </c>
      <c r="H8947" t="s">
        <v>67</v>
      </c>
      <c r="S8947">
        <v>1</v>
      </c>
      <c r="T8947">
        <v>0</v>
      </c>
      <c r="U8947">
        <v>0</v>
      </c>
      <c r="V8947">
        <v>0</v>
      </c>
      <c r="W8947">
        <v>0</v>
      </c>
      <c r="X8947">
        <v>1</v>
      </c>
      <c r="Y8947">
        <v>0</v>
      </c>
      <c r="Z8947">
        <v>1</v>
      </c>
      <c r="AA8947">
        <v>0</v>
      </c>
      <c r="AB8947">
        <v>1</v>
      </c>
      <c r="AC8947">
        <v>0</v>
      </c>
      <c r="AD8947">
        <v>1</v>
      </c>
      <c r="AE8947">
        <v>1</v>
      </c>
      <c r="AF8947">
        <v>1</v>
      </c>
      <c r="AG8947">
        <v>1</v>
      </c>
      <c r="AH8947">
        <v>1</v>
      </c>
      <c r="AI8947">
        <v>1</v>
      </c>
      <c r="AJ8947">
        <v>1</v>
      </c>
      <c r="AK8947">
        <v>1</v>
      </c>
      <c r="AL8947">
        <v>1</v>
      </c>
      <c r="AM8947">
        <v>1</v>
      </c>
    </row>
    <row r="8948" spans="1:39" x14ac:dyDescent="0.2">
      <c r="A8948" t="str">
        <f>"8944"</f>
        <v>8944</v>
      </c>
      <c r="B8948" t="str">
        <f t="shared" si="494"/>
        <v>1</v>
      </c>
      <c r="C8948" t="str">
        <f t="shared" si="497"/>
        <v>179</v>
      </c>
      <c r="D8948" t="str">
        <f>"29"</f>
        <v>29</v>
      </c>
      <c r="E8948" t="str">
        <f>"1-179-29"</f>
        <v>1-179-29</v>
      </c>
      <c r="F8948" t="s">
        <v>65</v>
      </c>
      <c r="G8948" t="s">
        <v>66</v>
      </c>
      <c r="H8948" t="s">
        <v>67</v>
      </c>
      <c r="S8948">
        <v>0</v>
      </c>
      <c r="T8948">
        <v>1</v>
      </c>
      <c r="U8948">
        <v>0</v>
      </c>
      <c r="V8948">
        <v>0</v>
      </c>
      <c r="W8948">
        <v>0</v>
      </c>
      <c r="X8948">
        <v>1</v>
      </c>
      <c r="Y8948">
        <v>0</v>
      </c>
      <c r="Z8948">
        <v>1</v>
      </c>
      <c r="AA8948">
        <v>0</v>
      </c>
      <c r="AB8948">
        <v>0</v>
      </c>
      <c r="AC8948">
        <v>1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</row>
    <row r="8949" spans="1:39" x14ac:dyDescent="0.2">
      <c r="A8949" t="str">
        <f>"8945"</f>
        <v>8945</v>
      </c>
      <c r="B8949" t="str">
        <f t="shared" si="494"/>
        <v>1</v>
      </c>
      <c r="C8949" t="str">
        <f t="shared" si="497"/>
        <v>179</v>
      </c>
      <c r="D8949" t="str">
        <f>"11"</f>
        <v>11</v>
      </c>
      <c r="E8949" t="str">
        <f>"1-179-11"</f>
        <v>1-179-11</v>
      </c>
      <c r="F8949" t="s">
        <v>65</v>
      </c>
      <c r="G8949" t="s">
        <v>66</v>
      </c>
      <c r="H8949" t="s">
        <v>67</v>
      </c>
      <c r="S8949">
        <v>0</v>
      </c>
      <c r="T8949">
        <v>1</v>
      </c>
      <c r="U8949">
        <v>0</v>
      </c>
      <c r="V8949">
        <v>0</v>
      </c>
      <c r="W8949">
        <v>0</v>
      </c>
      <c r="X8949">
        <v>1</v>
      </c>
      <c r="Y8949">
        <v>0</v>
      </c>
      <c r="Z8949">
        <v>1</v>
      </c>
      <c r="AA8949">
        <v>0</v>
      </c>
      <c r="AB8949">
        <v>0</v>
      </c>
      <c r="AC8949">
        <v>1</v>
      </c>
      <c r="AD8949">
        <v>0</v>
      </c>
      <c r="AE8949">
        <v>0</v>
      </c>
      <c r="AF8949">
        <v>0</v>
      </c>
      <c r="AG8949">
        <v>0</v>
      </c>
      <c r="AH8949">
        <v>1</v>
      </c>
      <c r="AI8949">
        <v>1</v>
      </c>
      <c r="AJ8949">
        <v>1</v>
      </c>
      <c r="AK8949">
        <v>1</v>
      </c>
      <c r="AL8949">
        <v>1</v>
      </c>
      <c r="AM8949">
        <v>0</v>
      </c>
    </row>
    <row r="8950" spans="1:39" x14ac:dyDescent="0.2">
      <c r="A8950" t="str">
        <f>"8946"</f>
        <v>8946</v>
      </c>
      <c r="B8950" t="str">
        <f t="shared" si="494"/>
        <v>1</v>
      </c>
      <c r="C8950" t="str">
        <f t="shared" si="497"/>
        <v>179</v>
      </c>
      <c r="D8950" t="str">
        <f>"30"</f>
        <v>30</v>
      </c>
      <c r="E8950" t="str">
        <f>"1-179-30"</f>
        <v>1-179-30</v>
      </c>
      <c r="F8950" t="s">
        <v>65</v>
      </c>
      <c r="G8950" t="s">
        <v>66</v>
      </c>
      <c r="H8950" t="s">
        <v>67</v>
      </c>
      <c r="S8950">
        <v>1</v>
      </c>
      <c r="T8950">
        <v>0</v>
      </c>
      <c r="U8950">
        <v>0</v>
      </c>
      <c r="V8950">
        <v>0</v>
      </c>
      <c r="W8950">
        <v>1</v>
      </c>
      <c r="X8950">
        <v>0</v>
      </c>
      <c r="Y8950">
        <v>1</v>
      </c>
      <c r="Z8950">
        <v>0</v>
      </c>
      <c r="AA8950">
        <v>1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</row>
    <row r="8951" spans="1:39" x14ac:dyDescent="0.2">
      <c r="A8951" t="str">
        <f>"8947"</f>
        <v>8947</v>
      </c>
      <c r="B8951" t="str">
        <f t="shared" ref="B8951:B9014" si="498">"1"</f>
        <v>1</v>
      </c>
      <c r="C8951" t="str">
        <f t="shared" si="497"/>
        <v>179</v>
      </c>
      <c r="D8951" t="str">
        <f>"12"</f>
        <v>12</v>
      </c>
      <c r="E8951" t="str">
        <f>"1-179-12"</f>
        <v>1-179-12</v>
      </c>
      <c r="F8951" t="s">
        <v>65</v>
      </c>
      <c r="G8951" t="s">
        <v>66</v>
      </c>
      <c r="H8951" t="s">
        <v>67</v>
      </c>
      <c r="S8951">
        <v>0</v>
      </c>
      <c r="T8951">
        <v>1</v>
      </c>
      <c r="U8951">
        <v>0</v>
      </c>
      <c r="V8951">
        <v>0</v>
      </c>
      <c r="W8951">
        <v>0</v>
      </c>
      <c r="X8951">
        <v>1</v>
      </c>
      <c r="Y8951">
        <v>0</v>
      </c>
      <c r="Z8951">
        <v>1</v>
      </c>
      <c r="AA8951">
        <v>0</v>
      </c>
      <c r="AB8951">
        <v>0</v>
      </c>
      <c r="AC8951">
        <v>1</v>
      </c>
      <c r="AD8951">
        <v>0</v>
      </c>
      <c r="AE8951">
        <v>0</v>
      </c>
      <c r="AF8951">
        <v>0</v>
      </c>
      <c r="AG8951">
        <v>1</v>
      </c>
      <c r="AH8951">
        <v>0</v>
      </c>
      <c r="AI8951">
        <v>0</v>
      </c>
      <c r="AJ8951">
        <v>0</v>
      </c>
      <c r="AK8951">
        <v>0</v>
      </c>
      <c r="AL8951">
        <v>1</v>
      </c>
      <c r="AM8951">
        <v>0</v>
      </c>
    </row>
    <row r="8952" spans="1:39" x14ac:dyDescent="0.2">
      <c r="A8952" t="str">
        <f>"8948"</f>
        <v>8948</v>
      </c>
      <c r="B8952" t="str">
        <f t="shared" si="498"/>
        <v>1</v>
      </c>
      <c r="C8952" t="str">
        <f t="shared" si="497"/>
        <v>179</v>
      </c>
      <c r="D8952" t="str">
        <f>"48"</f>
        <v>48</v>
      </c>
      <c r="E8952" t="str">
        <f>"1-179-48"</f>
        <v>1-179-48</v>
      </c>
      <c r="F8952" t="s">
        <v>65</v>
      </c>
      <c r="G8952" t="s">
        <v>66</v>
      </c>
      <c r="H8952" t="s">
        <v>67</v>
      </c>
      <c r="S8952">
        <v>1</v>
      </c>
      <c r="T8952">
        <v>0</v>
      </c>
      <c r="U8952">
        <v>0</v>
      </c>
      <c r="V8952">
        <v>0</v>
      </c>
      <c r="W8952">
        <v>1</v>
      </c>
      <c r="X8952">
        <v>0</v>
      </c>
      <c r="Y8952">
        <v>1</v>
      </c>
      <c r="Z8952">
        <v>0</v>
      </c>
      <c r="AA8952">
        <v>1</v>
      </c>
      <c r="AB8952">
        <v>0</v>
      </c>
      <c r="AC8952">
        <v>0</v>
      </c>
      <c r="AD8952">
        <v>1</v>
      </c>
      <c r="AE8952">
        <v>1</v>
      </c>
      <c r="AF8952">
        <v>1</v>
      </c>
      <c r="AG8952">
        <v>1</v>
      </c>
      <c r="AH8952">
        <v>1</v>
      </c>
      <c r="AI8952">
        <v>1</v>
      </c>
      <c r="AJ8952">
        <v>1</v>
      </c>
      <c r="AK8952">
        <v>1</v>
      </c>
      <c r="AL8952">
        <v>1</v>
      </c>
      <c r="AM8952">
        <v>1</v>
      </c>
    </row>
    <row r="8953" spans="1:39" x14ac:dyDescent="0.2">
      <c r="A8953" t="str">
        <f>"8949"</f>
        <v>8949</v>
      </c>
      <c r="B8953" t="str">
        <f t="shared" si="498"/>
        <v>1</v>
      </c>
      <c r="C8953" t="str">
        <f t="shared" si="497"/>
        <v>179</v>
      </c>
      <c r="D8953" t="str">
        <f>"50"</f>
        <v>50</v>
      </c>
      <c r="E8953" t="str">
        <f>"1-179-50"</f>
        <v>1-179-50</v>
      </c>
      <c r="F8953" t="s">
        <v>65</v>
      </c>
      <c r="G8953" t="s">
        <v>66</v>
      </c>
      <c r="H8953" t="s">
        <v>67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1</v>
      </c>
      <c r="Y8953">
        <v>0</v>
      </c>
      <c r="Z8953">
        <v>1</v>
      </c>
      <c r="AA8953">
        <v>0</v>
      </c>
      <c r="AB8953">
        <v>0</v>
      </c>
      <c r="AC8953">
        <v>1</v>
      </c>
      <c r="AD8953">
        <v>1</v>
      </c>
      <c r="AE8953">
        <v>1</v>
      </c>
      <c r="AF8953">
        <v>1</v>
      </c>
      <c r="AG8953">
        <v>1</v>
      </c>
      <c r="AH8953">
        <v>1</v>
      </c>
      <c r="AI8953">
        <v>1</v>
      </c>
      <c r="AJ8953">
        <v>1</v>
      </c>
      <c r="AK8953">
        <v>1</v>
      </c>
      <c r="AL8953">
        <v>1</v>
      </c>
      <c r="AM8953">
        <v>1</v>
      </c>
    </row>
    <row r="8954" spans="1:39" x14ac:dyDescent="0.2">
      <c r="A8954" t="str">
        <f>"8950"</f>
        <v>8950</v>
      </c>
      <c r="B8954" t="str">
        <f t="shared" si="498"/>
        <v>1</v>
      </c>
      <c r="C8954" t="str">
        <f t="shared" si="497"/>
        <v>179</v>
      </c>
      <c r="D8954" t="str">
        <f>"49"</f>
        <v>49</v>
      </c>
      <c r="E8954" t="str">
        <f>"1-179-49"</f>
        <v>1-179-49</v>
      </c>
      <c r="F8954" t="s">
        <v>65</v>
      </c>
      <c r="G8954" t="s">
        <v>66</v>
      </c>
      <c r="H8954" t="s">
        <v>67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1</v>
      </c>
      <c r="Y8954">
        <v>0</v>
      </c>
      <c r="Z8954">
        <v>1</v>
      </c>
      <c r="AA8954">
        <v>0</v>
      </c>
      <c r="AB8954">
        <v>0</v>
      </c>
      <c r="AC8954">
        <v>1</v>
      </c>
      <c r="AD8954">
        <v>1</v>
      </c>
      <c r="AE8954">
        <v>1</v>
      </c>
      <c r="AF8954">
        <v>1</v>
      </c>
      <c r="AG8954">
        <v>1</v>
      </c>
      <c r="AH8954">
        <v>1</v>
      </c>
      <c r="AI8954">
        <v>1</v>
      </c>
      <c r="AJ8954">
        <v>1</v>
      </c>
      <c r="AK8954">
        <v>1</v>
      </c>
      <c r="AL8954">
        <v>1</v>
      </c>
      <c r="AM8954">
        <v>1</v>
      </c>
    </row>
    <row r="8955" spans="1:39" x14ac:dyDescent="0.2">
      <c r="A8955" t="str">
        <f>"8951"</f>
        <v>8951</v>
      </c>
      <c r="B8955" t="str">
        <f t="shared" si="498"/>
        <v>1</v>
      </c>
      <c r="C8955" t="str">
        <f t="shared" ref="C8955:C8986" si="499">"180"</f>
        <v>180</v>
      </c>
      <c r="D8955" t="str">
        <f>"42"</f>
        <v>42</v>
      </c>
      <c r="E8955" t="str">
        <f>"1-180-42"</f>
        <v>1-180-42</v>
      </c>
      <c r="F8955" t="s">
        <v>65</v>
      </c>
      <c r="G8955" t="s">
        <v>66</v>
      </c>
      <c r="H8955" t="s">
        <v>67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1</v>
      </c>
      <c r="Y8955">
        <v>0</v>
      </c>
      <c r="Z8955">
        <v>1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1</v>
      </c>
      <c r="AJ8955">
        <v>0</v>
      </c>
      <c r="AK8955">
        <v>0</v>
      </c>
      <c r="AL8955">
        <v>1</v>
      </c>
      <c r="AM8955">
        <v>0</v>
      </c>
    </row>
    <row r="8956" spans="1:39" x14ac:dyDescent="0.2">
      <c r="A8956" t="str">
        <f>"8952"</f>
        <v>8952</v>
      </c>
      <c r="B8956" t="str">
        <f t="shared" si="498"/>
        <v>1</v>
      </c>
      <c r="C8956" t="str">
        <f t="shared" si="499"/>
        <v>180</v>
      </c>
      <c r="D8956" t="str">
        <f>"41"</f>
        <v>41</v>
      </c>
      <c r="E8956" t="str">
        <f>"1-180-41"</f>
        <v>1-180-41</v>
      </c>
      <c r="F8956" t="s">
        <v>65</v>
      </c>
      <c r="G8956" t="s">
        <v>66</v>
      </c>
      <c r="H8956" t="s">
        <v>67</v>
      </c>
      <c r="S8956">
        <v>1</v>
      </c>
      <c r="T8956">
        <v>0</v>
      </c>
      <c r="U8956">
        <v>0</v>
      </c>
      <c r="V8956">
        <v>0</v>
      </c>
      <c r="W8956">
        <v>1</v>
      </c>
      <c r="X8956">
        <v>0</v>
      </c>
      <c r="Y8956">
        <v>1</v>
      </c>
      <c r="Z8956">
        <v>0</v>
      </c>
      <c r="AA8956">
        <v>1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1</v>
      </c>
      <c r="AH8956">
        <v>0</v>
      </c>
      <c r="AI8956">
        <v>0</v>
      </c>
      <c r="AJ8956">
        <v>0</v>
      </c>
      <c r="AK8956">
        <v>0</v>
      </c>
      <c r="AL8956">
        <v>1</v>
      </c>
      <c r="AM8956">
        <v>0</v>
      </c>
    </row>
    <row r="8957" spans="1:39" x14ac:dyDescent="0.2">
      <c r="A8957" t="str">
        <f>"8953"</f>
        <v>8953</v>
      </c>
      <c r="B8957" t="str">
        <f t="shared" si="498"/>
        <v>1</v>
      </c>
      <c r="C8957" t="str">
        <f t="shared" si="499"/>
        <v>180</v>
      </c>
      <c r="D8957" t="str">
        <f>"31"</f>
        <v>31</v>
      </c>
      <c r="E8957" t="str">
        <f>"1-180-31"</f>
        <v>1-180-31</v>
      </c>
      <c r="F8957" t="s">
        <v>65</v>
      </c>
      <c r="G8957" t="s">
        <v>66</v>
      </c>
      <c r="H8957" t="s">
        <v>67</v>
      </c>
      <c r="S8957">
        <v>0</v>
      </c>
      <c r="T8957">
        <v>1</v>
      </c>
      <c r="U8957">
        <v>0</v>
      </c>
      <c r="V8957">
        <v>0</v>
      </c>
      <c r="W8957">
        <v>1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</row>
    <row r="8958" spans="1:39" x14ac:dyDescent="0.2">
      <c r="A8958" t="str">
        <f>"8954"</f>
        <v>8954</v>
      </c>
      <c r="B8958" t="str">
        <f t="shared" si="498"/>
        <v>1</v>
      </c>
      <c r="C8958" t="str">
        <f t="shared" si="499"/>
        <v>180</v>
      </c>
      <c r="D8958" t="str">
        <f>"30"</f>
        <v>30</v>
      </c>
      <c r="E8958" t="str">
        <f>"1-180-30"</f>
        <v>1-180-30</v>
      </c>
      <c r="F8958" t="s">
        <v>65</v>
      </c>
      <c r="G8958" t="s">
        <v>66</v>
      </c>
      <c r="H8958" t="s">
        <v>67</v>
      </c>
      <c r="S8958">
        <v>1</v>
      </c>
      <c r="T8958">
        <v>0</v>
      </c>
      <c r="U8958">
        <v>0</v>
      </c>
      <c r="V8958">
        <v>0</v>
      </c>
      <c r="W8958">
        <v>1</v>
      </c>
      <c r="X8958">
        <v>0</v>
      </c>
      <c r="Y8958">
        <v>1</v>
      </c>
      <c r="Z8958">
        <v>0</v>
      </c>
      <c r="AA8958">
        <v>0</v>
      </c>
      <c r="AB8958">
        <v>1</v>
      </c>
      <c r="AC8958">
        <v>0</v>
      </c>
      <c r="AD8958">
        <v>1</v>
      </c>
      <c r="AE8958">
        <v>1</v>
      </c>
      <c r="AF8958">
        <v>1</v>
      </c>
      <c r="AG8958">
        <v>1</v>
      </c>
      <c r="AH8958">
        <v>1</v>
      </c>
      <c r="AI8958">
        <v>1</v>
      </c>
      <c r="AJ8958">
        <v>1</v>
      </c>
      <c r="AK8958">
        <v>1</v>
      </c>
      <c r="AL8958">
        <v>1</v>
      </c>
      <c r="AM8958">
        <v>1</v>
      </c>
    </row>
    <row r="8959" spans="1:39" x14ac:dyDescent="0.2">
      <c r="A8959" t="str">
        <f>"8955"</f>
        <v>8955</v>
      </c>
      <c r="B8959" t="str">
        <f t="shared" si="498"/>
        <v>1</v>
      </c>
      <c r="C8959" t="str">
        <f t="shared" si="499"/>
        <v>180</v>
      </c>
      <c r="D8959" t="str">
        <f>"22"</f>
        <v>22</v>
      </c>
      <c r="E8959" t="str">
        <f>"1-180-22"</f>
        <v>1-180-22</v>
      </c>
      <c r="F8959" t="s">
        <v>65</v>
      </c>
      <c r="G8959" t="s">
        <v>66</v>
      </c>
      <c r="H8959" t="s">
        <v>67</v>
      </c>
      <c r="S8959">
        <v>0</v>
      </c>
      <c r="T8959">
        <v>1</v>
      </c>
      <c r="U8959">
        <v>0</v>
      </c>
      <c r="V8959">
        <v>0</v>
      </c>
      <c r="W8959">
        <v>0</v>
      </c>
      <c r="X8959">
        <v>1</v>
      </c>
      <c r="Y8959">
        <v>0</v>
      </c>
      <c r="Z8959">
        <v>1</v>
      </c>
      <c r="AA8959">
        <v>0</v>
      </c>
      <c r="AB8959">
        <v>0</v>
      </c>
      <c r="AC8959">
        <v>1</v>
      </c>
      <c r="AD8959">
        <v>0</v>
      </c>
      <c r="AE8959">
        <v>0</v>
      </c>
      <c r="AF8959">
        <v>0</v>
      </c>
      <c r="AG8959">
        <v>0</v>
      </c>
      <c r="AH8959">
        <v>1</v>
      </c>
      <c r="AI8959">
        <v>1</v>
      </c>
      <c r="AJ8959">
        <v>1</v>
      </c>
      <c r="AK8959">
        <v>0</v>
      </c>
      <c r="AL8959">
        <v>0</v>
      </c>
      <c r="AM8959">
        <v>1</v>
      </c>
    </row>
    <row r="8960" spans="1:39" x14ac:dyDescent="0.2">
      <c r="A8960" t="str">
        <f>"8956"</f>
        <v>8956</v>
      </c>
      <c r="B8960" t="str">
        <f t="shared" si="498"/>
        <v>1</v>
      </c>
      <c r="C8960" t="str">
        <f t="shared" si="499"/>
        <v>180</v>
      </c>
      <c r="D8960" t="str">
        <f>"15"</f>
        <v>15</v>
      </c>
      <c r="E8960" t="str">
        <f>"1-180-15"</f>
        <v>1-180-15</v>
      </c>
      <c r="F8960" t="s">
        <v>65</v>
      </c>
      <c r="G8960" t="s">
        <v>66</v>
      </c>
      <c r="H8960" t="s">
        <v>68</v>
      </c>
      <c r="I8960">
        <v>1</v>
      </c>
      <c r="J8960">
        <v>0</v>
      </c>
      <c r="K8960">
        <v>0</v>
      </c>
      <c r="L8960">
        <v>1</v>
      </c>
      <c r="M8960">
        <v>1</v>
      </c>
      <c r="N8960">
        <v>1</v>
      </c>
      <c r="O8960">
        <v>1</v>
      </c>
      <c r="P8960">
        <v>1</v>
      </c>
      <c r="Q8960">
        <v>1</v>
      </c>
      <c r="R8960">
        <v>1</v>
      </c>
    </row>
    <row r="8961" spans="1:39" x14ac:dyDescent="0.2">
      <c r="A8961" t="str">
        <f>"8957"</f>
        <v>8957</v>
      </c>
      <c r="B8961" t="str">
        <f t="shared" si="498"/>
        <v>1</v>
      </c>
      <c r="C8961" t="str">
        <f t="shared" si="499"/>
        <v>180</v>
      </c>
      <c r="D8961" t="str">
        <f>"1"</f>
        <v>1</v>
      </c>
      <c r="E8961" t="str">
        <f>"1-180-1"</f>
        <v>1-180-1</v>
      </c>
      <c r="F8961" t="s">
        <v>65</v>
      </c>
      <c r="G8961" t="s">
        <v>66</v>
      </c>
      <c r="H8961" t="s">
        <v>67</v>
      </c>
      <c r="S8961">
        <v>0</v>
      </c>
      <c r="T8961">
        <v>1</v>
      </c>
      <c r="U8961">
        <v>0</v>
      </c>
      <c r="V8961">
        <v>0</v>
      </c>
      <c r="W8961">
        <v>0</v>
      </c>
      <c r="X8961">
        <v>1</v>
      </c>
      <c r="Y8961">
        <v>0</v>
      </c>
      <c r="Z8961">
        <v>1</v>
      </c>
      <c r="AA8961">
        <v>0</v>
      </c>
      <c r="AB8961">
        <v>1</v>
      </c>
      <c r="AC8961">
        <v>0</v>
      </c>
      <c r="AD8961">
        <v>1</v>
      </c>
      <c r="AE8961">
        <v>1</v>
      </c>
      <c r="AF8961">
        <v>1</v>
      </c>
      <c r="AG8961">
        <v>1</v>
      </c>
      <c r="AH8961">
        <v>1</v>
      </c>
      <c r="AI8961">
        <v>1</v>
      </c>
      <c r="AJ8961">
        <v>1</v>
      </c>
      <c r="AK8961">
        <v>1</v>
      </c>
      <c r="AL8961">
        <v>1</v>
      </c>
      <c r="AM8961">
        <v>1</v>
      </c>
    </row>
    <row r="8962" spans="1:39" x14ac:dyDescent="0.2">
      <c r="A8962" t="str">
        <f>"8958"</f>
        <v>8958</v>
      </c>
      <c r="B8962" t="str">
        <f t="shared" si="498"/>
        <v>1</v>
      </c>
      <c r="C8962" t="str">
        <f t="shared" si="499"/>
        <v>180</v>
      </c>
      <c r="D8962" t="str">
        <f>"35"</f>
        <v>35</v>
      </c>
      <c r="E8962" t="str">
        <f>"1-180-35"</f>
        <v>1-180-35</v>
      </c>
      <c r="F8962" t="s">
        <v>65</v>
      </c>
      <c r="G8962" t="s">
        <v>66</v>
      </c>
      <c r="H8962" t="s">
        <v>67</v>
      </c>
      <c r="S8962">
        <v>0</v>
      </c>
      <c r="T8962">
        <v>1</v>
      </c>
      <c r="U8962">
        <v>0</v>
      </c>
      <c r="V8962">
        <v>0</v>
      </c>
      <c r="W8962">
        <v>0</v>
      </c>
      <c r="X8962">
        <v>1</v>
      </c>
      <c r="Y8962">
        <v>1</v>
      </c>
      <c r="Z8962">
        <v>0</v>
      </c>
      <c r="AA8962">
        <v>0</v>
      </c>
      <c r="AB8962">
        <v>1</v>
      </c>
      <c r="AC8962">
        <v>0</v>
      </c>
      <c r="AD8962">
        <v>1</v>
      </c>
      <c r="AE8962">
        <v>1</v>
      </c>
      <c r="AF8962">
        <v>1</v>
      </c>
      <c r="AG8962">
        <v>1</v>
      </c>
      <c r="AH8962">
        <v>1</v>
      </c>
      <c r="AI8962">
        <v>1</v>
      </c>
      <c r="AJ8962">
        <v>1</v>
      </c>
      <c r="AK8962">
        <v>1</v>
      </c>
      <c r="AL8962">
        <v>1</v>
      </c>
      <c r="AM8962">
        <v>1</v>
      </c>
    </row>
    <row r="8963" spans="1:39" x14ac:dyDescent="0.2">
      <c r="A8963" t="str">
        <f>"8959"</f>
        <v>8959</v>
      </c>
      <c r="B8963" t="str">
        <f t="shared" si="498"/>
        <v>1</v>
      </c>
      <c r="C8963" t="str">
        <f t="shared" si="499"/>
        <v>180</v>
      </c>
      <c r="D8963" t="str">
        <f>"34"</f>
        <v>34</v>
      </c>
      <c r="E8963" t="str">
        <f>"1-180-34"</f>
        <v>1-180-34</v>
      </c>
      <c r="F8963" t="s">
        <v>65</v>
      </c>
      <c r="G8963" t="s">
        <v>66</v>
      </c>
      <c r="H8963" t="s">
        <v>67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1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</row>
    <row r="8964" spans="1:39" x14ac:dyDescent="0.2">
      <c r="A8964" t="str">
        <f>"8960"</f>
        <v>8960</v>
      </c>
      <c r="B8964" t="str">
        <f t="shared" si="498"/>
        <v>1</v>
      </c>
      <c r="C8964" t="str">
        <f t="shared" si="499"/>
        <v>180</v>
      </c>
      <c r="D8964" t="str">
        <f>"23"</f>
        <v>23</v>
      </c>
      <c r="E8964" t="str">
        <f>"1-180-23"</f>
        <v>1-180-23</v>
      </c>
      <c r="F8964" t="s">
        <v>65</v>
      </c>
      <c r="G8964" t="s">
        <v>66</v>
      </c>
      <c r="H8964" t="s">
        <v>67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1</v>
      </c>
      <c r="Y8964">
        <v>0</v>
      </c>
      <c r="Z8964">
        <v>1</v>
      </c>
      <c r="AA8964">
        <v>0</v>
      </c>
      <c r="AB8964">
        <v>0</v>
      </c>
      <c r="AC8964">
        <v>1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</row>
    <row r="8965" spans="1:39" x14ac:dyDescent="0.2">
      <c r="A8965" t="str">
        <f>"8961"</f>
        <v>8961</v>
      </c>
      <c r="B8965" t="str">
        <f t="shared" si="498"/>
        <v>1</v>
      </c>
      <c r="C8965" t="str">
        <f t="shared" si="499"/>
        <v>180</v>
      </c>
      <c r="D8965" t="str">
        <f>"16"</f>
        <v>16</v>
      </c>
      <c r="E8965" t="str">
        <f>"1-180-16"</f>
        <v>1-180-16</v>
      </c>
      <c r="F8965" t="s">
        <v>65</v>
      </c>
      <c r="G8965" t="s">
        <v>66</v>
      </c>
      <c r="H8965" t="s">
        <v>68</v>
      </c>
      <c r="I8965">
        <v>1</v>
      </c>
      <c r="J8965">
        <v>0</v>
      </c>
      <c r="K8965">
        <v>0</v>
      </c>
      <c r="L8965">
        <v>1</v>
      </c>
      <c r="M8965">
        <v>1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39" x14ac:dyDescent="0.2">
      <c r="A8966" t="str">
        <f>"8962"</f>
        <v>8962</v>
      </c>
      <c r="B8966" t="str">
        <f t="shared" si="498"/>
        <v>1</v>
      </c>
      <c r="C8966" t="str">
        <f t="shared" si="499"/>
        <v>180</v>
      </c>
      <c r="D8966" t="str">
        <f>"2"</f>
        <v>2</v>
      </c>
      <c r="E8966" t="str">
        <f>"1-180-2"</f>
        <v>1-180-2</v>
      </c>
      <c r="F8966" t="s">
        <v>65</v>
      </c>
      <c r="G8966" t="s">
        <v>66</v>
      </c>
      <c r="H8966" t="s">
        <v>67</v>
      </c>
      <c r="S8966">
        <v>0</v>
      </c>
      <c r="T8966">
        <v>1</v>
      </c>
      <c r="U8966">
        <v>0</v>
      </c>
      <c r="V8966">
        <v>0</v>
      </c>
      <c r="W8966">
        <v>0</v>
      </c>
      <c r="X8966">
        <v>1</v>
      </c>
      <c r="Y8966">
        <v>0</v>
      </c>
      <c r="Z8966">
        <v>1</v>
      </c>
      <c r="AA8966">
        <v>0</v>
      </c>
      <c r="AB8966">
        <v>0</v>
      </c>
      <c r="AC8966">
        <v>1</v>
      </c>
      <c r="AD8966">
        <v>0</v>
      </c>
      <c r="AE8966">
        <v>0</v>
      </c>
      <c r="AF8966">
        <v>0</v>
      </c>
      <c r="AG8966">
        <v>1</v>
      </c>
      <c r="AH8966">
        <v>1</v>
      </c>
      <c r="AI8966">
        <v>1</v>
      </c>
      <c r="AJ8966">
        <v>1</v>
      </c>
      <c r="AK8966">
        <v>1</v>
      </c>
      <c r="AL8966">
        <v>1</v>
      </c>
      <c r="AM8966">
        <v>1</v>
      </c>
    </row>
    <row r="8967" spans="1:39" x14ac:dyDescent="0.2">
      <c r="A8967" t="str">
        <f>"8963"</f>
        <v>8963</v>
      </c>
      <c r="B8967" t="str">
        <f t="shared" si="498"/>
        <v>1</v>
      </c>
      <c r="C8967" t="str">
        <f t="shared" si="499"/>
        <v>180</v>
      </c>
      <c r="D8967" t="str">
        <f>"47"</f>
        <v>47</v>
      </c>
      <c r="E8967" t="str">
        <f>"1-180-47"</f>
        <v>1-180-47</v>
      </c>
      <c r="F8967" t="s">
        <v>65</v>
      </c>
      <c r="G8967" t="s">
        <v>66</v>
      </c>
      <c r="H8967" t="s">
        <v>67</v>
      </c>
      <c r="S8967">
        <v>1</v>
      </c>
      <c r="T8967">
        <v>0</v>
      </c>
      <c r="U8967">
        <v>0</v>
      </c>
      <c r="V8967">
        <v>0</v>
      </c>
      <c r="W8967">
        <v>1</v>
      </c>
      <c r="X8967">
        <v>0</v>
      </c>
      <c r="Y8967">
        <v>0</v>
      </c>
      <c r="Z8967">
        <v>1</v>
      </c>
      <c r="AA8967">
        <v>1</v>
      </c>
      <c r="AB8967">
        <v>0</v>
      </c>
      <c r="AC8967">
        <v>0</v>
      </c>
      <c r="AD8967">
        <v>1</v>
      </c>
      <c r="AE8967">
        <v>1</v>
      </c>
      <c r="AF8967">
        <v>1</v>
      </c>
      <c r="AG8967">
        <v>1</v>
      </c>
      <c r="AH8967">
        <v>1</v>
      </c>
      <c r="AI8967">
        <v>1</v>
      </c>
      <c r="AJ8967">
        <v>1</v>
      </c>
      <c r="AK8967">
        <v>1</v>
      </c>
      <c r="AL8967">
        <v>1</v>
      </c>
      <c r="AM8967">
        <v>1</v>
      </c>
    </row>
    <row r="8968" spans="1:39" x14ac:dyDescent="0.2">
      <c r="A8968" t="str">
        <f>"8964"</f>
        <v>8964</v>
      </c>
      <c r="B8968" t="str">
        <f t="shared" si="498"/>
        <v>1</v>
      </c>
      <c r="C8968" t="str">
        <f t="shared" si="499"/>
        <v>180</v>
      </c>
      <c r="D8968" t="str">
        <f>"46"</f>
        <v>46</v>
      </c>
      <c r="E8968" t="str">
        <f>"1-180-46"</f>
        <v>1-180-46</v>
      </c>
      <c r="F8968" t="s">
        <v>65</v>
      </c>
      <c r="G8968" t="s">
        <v>66</v>
      </c>
      <c r="H8968" t="s">
        <v>67</v>
      </c>
      <c r="S8968">
        <v>0</v>
      </c>
      <c r="T8968">
        <v>1</v>
      </c>
      <c r="U8968">
        <v>0</v>
      </c>
      <c r="V8968">
        <v>0</v>
      </c>
      <c r="W8968">
        <v>0</v>
      </c>
      <c r="X8968">
        <v>1</v>
      </c>
      <c r="Y8968">
        <v>1</v>
      </c>
      <c r="Z8968">
        <v>0</v>
      </c>
      <c r="AA8968">
        <v>0</v>
      </c>
      <c r="AB8968">
        <v>0</v>
      </c>
      <c r="AC8968">
        <v>1</v>
      </c>
      <c r="AD8968">
        <v>1</v>
      </c>
      <c r="AE8968">
        <v>1</v>
      </c>
      <c r="AF8968">
        <v>1</v>
      </c>
      <c r="AG8968">
        <v>1</v>
      </c>
      <c r="AH8968">
        <v>1</v>
      </c>
      <c r="AI8968">
        <v>1</v>
      </c>
      <c r="AJ8968">
        <v>1</v>
      </c>
      <c r="AK8968">
        <v>1</v>
      </c>
      <c r="AL8968">
        <v>1</v>
      </c>
      <c r="AM8968">
        <v>1</v>
      </c>
    </row>
    <row r="8969" spans="1:39" x14ac:dyDescent="0.2">
      <c r="A8969" t="str">
        <f>"8965"</f>
        <v>8965</v>
      </c>
      <c r="B8969" t="str">
        <f t="shared" si="498"/>
        <v>1</v>
      </c>
      <c r="C8969" t="str">
        <f t="shared" si="499"/>
        <v>180</v>
      </c>
      <c r="D8969" t="str">
        <f>"36"</f>
        <v>36</v>
      </c>
      <c r="E8969" t="str">
        <f>"1-180-36"</f>
        <v>1-180-36</v>
      </c>
      <c r="F8969" t="s">
        <v>65</v>
      </c>
      <c r="G8969" t="s">
        <v>66</v>
      </c>
      <c r="H8969" t="s">
        <v>67</v>
      </c>
      <c r="S8969">
        <v>0</v>
      </c>
      <c r="T8969">
        <v>1</v>
      </c>
      <c r="U8969">
        <v>0</v>
      </c>
      <c r="V8969">
        <v>0</v>
      </c>
      <c r="W8969">
        <v>0</v>
      </c>
      <c r="X8969">
        <v>1</v>
      </c>
      <c r="Y8969">
        <v>0</v>
      </c>
      <c r="Z8969">
        <v>1</v>
      </c>
      <c r="AA8969">
        <v>0</v>
      </c>
      <c r="AB8969">
        <v>0</v>
      </c>
      <c r="AC8969">
        <v>1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</row>
    <row r="8970" spans="1:39" x14ac:dyDescent="0.2">
      <c r="A8970" t="str">
        <f>"8966"</f>
        <v>8966</v>
      </c>
      <c r="B8970" t="str">
        <f t="shared" si="498"/>
        <v>1</v>
      </c>
      <c r="C8970" t="str">
        <f t="shared" si="499"/>
        <v>180</v>
      </c>
      <c r="D8970" t="str">
        <f>"17"</f>
        <v>17</v>
      </c>
      <c r="E8970" t="str">
        <f>"1-180-17"</f>
        <v>1-180-17</v>
      </c>
      <c r="F8970" t="s">
        <v>65</v>
      </c>
      <c r="G8970" t="s">
        <v>66</v>
      </c>
      <c r="H8970" t="s">
        <v>67</v>
      </c>
      <c r="S8970">
        <v>1</v>
      </c>
      <c r="T8970">
        <v>0</v>
      </c>
      <c r="U8970">
        <v>0</v>
      </c>
      <c r="V8970">
        <v>0</v>
      </c>
      <c r="W8970">
        <v>0</v>
      </c>
      <c r="X8970">
        <v>1</v>
      </c>
      <c r="Y8970">
        <v>1</v>
      </c>
      <c r="Z8970">
        <v>0</v>
      </c>
      <c r="AA8970">
        <v>0</v>
      </c>
      <c r="AB8970">
        <v>0</v>
      </c>
      <c r="AC8970">
        <v>1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</row>
    <row r="8971" spans="1:39" x14ac:dyDescent="0.2">
      <c r="A8971" t="str">
        <f>"8967"</f>
        <v>8967</v>
      </c>
      <c r="B8971" t="str">
        <f t="shared" si="498"/>
        <v>1</v>
      </c>
      <c r="C8971" t="str">
        <f t="shared" si="499"/>
        <v>180</v>
      </c>
      <c r="D8971" t="str">
        <f>"5"</f>
        <v>5</v>
      </c>
      <c r="E8971" t="str">
        <f>"1-180-5"</f>
        <v>1-180-5</v>
      </c>
      <c r="F8971" t="s">
        <v>65</v>
      </c>
      <c r="G8971" t="s">
        <v>66</v>
      </c>
      <c r="H8971" t="s">
        <v>67</v>
      </c>
      <c r="S8971">
        <v>0</v>
      </c>
      <c r="T8971">
        <v>1</v>
      </c>
      <c r="U8971">
        <v>0</v>
      </c>
      <c r="V8971">
        <v>0</v>
      </c>
      <c r="W8971">
        <v>1</v>
      </c>
      <c r="X8971">
        <v>0</v>
      </c>
      <c r="Y8971">
        <v>0</v>
      </c>
      <c r="Z8971">
        <v>1</v>
      </c>
      <c r="AA8971">
        <v>0</v>
      </c>
      <c r="AB8971">
        <v>0</v>
      </c>
      <c r="AC8971">
        <v>1</v>
      </c>
      <c r="AD8971">
        <v>1</v>
      </c>
      <c r="AE8971">
        <v>1</v>
      </c>
      <c r="AF8971">
        <v>1</v>
      </c>
      <c r="AG8971">
        <v>1</v>
      </c>
      <c r="AH8971">
        <v>1</v>
      </c>
      <c r="AI8971">
        <v>1</v>
      </c>
      <c r="AJ8971">
        <v>1</v>
      </c>
      <c r="AK8971">
        <v>1</v>
      </c>
      <c r="AL8971">
        <v>1</v>
      </c>
      <c r="AM8971">
        <v>1</v>
      </c>
    </row>
    <row r="8972" spans="1:39" x14ac:dyDescent="0.2">
      <c r="A8972" t="str">
        <f>"8968"</f>
        <v>8968</v>
      </c>
      <c r="B8972" t="str">
        <f t="shared" si="498"/>
        <v>1</v>
      </c>
      <c r="C8972" t="str">
        <f t="shared" si="499"/>
        <v>180</v>
      </c>
      <c r="D8972" t="str">
        <f>"33"</f>
        <v>33</v>
      </c>
      <c r="E8972" t="str">
        <f>"1-180-33"</f>
        <v>1-180-33</v>
      </c>
      <c r="F8972" t="s">
        <v>65</v>
      </c>
      <c r="G8972" t="s">
        <v>66</v>
      </c>
      <c r="H8972" t="s">
        <v>67</v>
      </c>
      <c r="S8972">
        <v>0</v>
      </c>
      <c r="T8972">
        <v>1</v>
      </c>
      <c r="U8972">
        <v>0</v>
      </c>
      <c r="V8972">
        <v>0</v>
      </c>
      <c r="W8972">
        <v>0</v>
      </c>
      <c r="X8972">
        <v>1</v>
      </c>
      <c r="Y8972">
        <v>1</v>
      </c>
      <c r="Z8972">
        <v>0</v>
      </c>
      <c r="AA8972">
        <v>0</v>
      </c>
      <c r="AB8972">
        <v>0</v>
      </c>
      <c r="AC8972">
        <v>1</v>
      </c>
      <c r="AD8972">
        <v>1</v>
      </c>
      <c r="AE8972">
        <v>1</v>
      </c>
      <c r="AF8972">
        <v>1</v>
      </c>
      <c r="AG8972">
        <v>1</v>
      </c>
      <c r="AH8972">
        <v>1</v>
      </c>
      <c r="AI8972">
        <v>1</v>
      </c>
      <c r="AJ8972">
        <v>1</v>
      </c>
      <c r="AK8972">
        <v>1</v>
      </c>
      <c r="AL8972">
        <v>1</v>
      </c>
      <c r="AM8972">
        <v>1</v>
      </c>
    </row>
    <row r="8973" spans="1:39" x14ac:dyDescent="0.2">
      <c r="A8973" t="str">
        <f>"8969"</f>
        <v>8969</v>
      </c>
      <c r="B8973" t="str">
        <f t="shared" si="498"/>
        <v>1</v>
      </c>
      <c r="C8973" t="str">
        <f t="shared" si="499"/>
        <v>180</v>
      </c>
      <c r="D8973" t="str">
        <f>"18"</f>
        <v>18</v>
      </c>
      <c r="E8973" t="str">
        <f>"1-180-18"</f>
        <v>1-180-18</v>
      </c>
      <c r="F8973" t="s">
        <v>65</v>
      </c>
      <c r="G8973" t="s">
        <v>66</v>
      </c>
      <c r="H8973" t="s">
        <v>67</v>
      </c>
      <c r="S8973">
        <v>1</v>
      </c>
      <c r="T8973">
        <v>0</v>
      </c>
      <c r="U8973">
        <v>0</v>
      </c>
      <c r="V8973">
        <v>0</v>
      </c>
      <c r="W8973">
        <v>1</v>
      </c>
      <c r="X8973">
        <v>0</v>
      </c>
      <c r="Y8973">
        <v>1</v>
      </c>
      <c r="Z8973">
        <v>0</v>
      </c>
      <c r="AA8973">
        <v>0</v>
      </c>
      <c r="AB8973">
        <v>0</v>
      </c>
      <c r="AC8973">
        <v>1</v>
      </c>
      <c r="AD8973">
        <v>1</v>
      </c>
      <c r="AE8973">
        <v>1</v>
      </c>
      <c r="AF8973">
        <v>1</v>
      </c>
      <c r="AG8973">
        <v>1</v>
      </c>
      <c r="AH8973">
        <v>1</v>
      </c>
      <c r="AI8973">
        <v>1</v>
      </c>
      <c r="AJ8973">
        <v>1</v>
      </c>
      <c r="AK8973">
        <v>1</v>
      </c>
      <c r="AL8973">
        <v>1</v>
      </c>
      <c r="AM8973">
        <v>1</v>
      </c>
    </row>
    <row r="8974" spans="1:39" x14ac:dyDescent="0.2">
      <c r="A8974" t="str">
        <f>"8970"</f>
        <v>8970</v>
      </c>
      <c r="B8974" t="str">
        <f t="shared" si="498"/>
        <v>1</v>
      </c>
      <c r="C8974" t="str">
        <f t="shared" si="499"/>
        <v>180</v>
      </c>
      <c r="D8974" t="str">
        <f>"9"</f>
        <v>9</v>
      </c>
      <c r="E8974" t="str">
        <f>"1-180-9"</f>
        <v>1-180-9</v>
      </c>
      <c r="F8974" t="s">
        <v>65</v>
      </c>
      <c r="G8974" t="s">
        <v>66</v>
      </c>
      <c r="H8974" t="s">
        <v>67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1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</row>
    <row r="8975" spans="1:39" x14ac:dyDescent="0.2">
      <c r="A8975" t="str">
        <f>"8971"</f>
        <v>8971</v>
      </c>
      <c r="B8975" t="str">
        <f t="shared" si="498"/>
        <v>1</v>
      </c>
      <c r="C8975" t="str">
        <f t="shared" si="499"/>
        <v>180</v>
      </c>
      <c r="D8975" t="str">
        <f>"39"</f>
        <v>39</v>
      </c>
      <c r="E8975" t="str">
        <f>"1-180-39"</f>
        <v>1-180-39</v>
      </c>
      <c r="F8975" t="s">
        <v>65</v>
      </c>
      <c r="G8975" t="s">
        <v>66</v>
      </c>
      <c r="H8975" t="s">
        <v>67</v>
      </c>
      <c r="S8975">
        <v>1</v>
      </c>
      <c r="T8975">
        <v>0</v>
      </c>
      <c r="U8975">
        <v>0</v>
      </c>
      <c r="V8975">
        <v>0</v>
      </c>
      <c r="W8975">
        <v>1</v>
      </c>
      <c r="X8975">
        <v>0</v>
      </c>
      <c r="Y8975">
        <v>1</v>
      </c>
      <c r="Z8975">
        <v>0</v>
      </c>
      <c r="AA8975">
        <v>1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1</v>
      </c>
      <c r="AH8975">
        <v>0</v>
      </c>
      <c r="AI8975">
        <v>0</v>
      </c>
      <c r="AJ8975">
        <v>0</v>
      </c>
      <c r="AK8975">
        <v>0</v>
      </c>
      <c r="AL8975">
        <v>1</v>
      </c>
      <c r="AM8975">
        <v>0</v>
      </c>
    </row>
    <row r="8976" spans="1:39" x14ac:dyDescent="0.2">
      <c r="A8976" t="str">
        <f>"8972"</f>
        <v>8972</v>
      </c>
      <c r="B8976" t="str">
        <f t="shared" si="498"/>
        <v>1</v>
      </c>
      <c r="C8976" t="str">
        <f t="shared" si="499"/>
        <v>180</v>
      </c>
      <c r="D8976" t="str">
        <f>"19"</f>
        <v>19</v>
      </c>
      <c r="E8976" t="str">
        <f>"1-180-19"</f>
        <v>1-180-19</v>
      </c>
      <c r="F8976" t="s">
        <v>65</v>
      </c>
      <c r="G8976" t="s">
        <v>66</v>
      </c>
      <c r="H8976" t="s">
        <v>67</v>
      </c>
      <c r="S8976">
        <v>0</v>
      </c>
      <c r="T8976">
        <v>1</v>
      </c>
      <c r="U8976">
        <v>0</v>
      </c>
      <c r="V8976">
        <v>0</v>
      </c>
      <c r="W8976">
        <v>0</v>
      </c>
      <c r="X8976">
        <v>1</v>
      </c>
      <c r="Y8976">
        <v>0</v>
      </c>
      <c r="Z8976">
        <v>1</v>
      </c>
      <c r="AA8976">
        <v>0</v>
      </c>
      <c r="AB8976">
        <v>0</v>
      </c>
      <c r="AC8976">
        <v>1</v>
      </c>
      <c r="AD8976">
        <v>1</v>
      </c>
      <c r="AE8976">
        <v>1</v>
      </c>
      <c r="AF8976">
        <v>0</v>
      </c>
      <c r="AG8976">
        <v>1</v>
      </c>
      <c r="AH8976">
        <v>1</v>
      </c>
      <c r="AI8976">
        <v>1</v>
      </c>
      <c r="AJ8976">
        <v>1</v>
      </c>
      <c r="AK8976">
        <v>1</v>
      </c>
      <c r="AL8976">
        <v>1</v>
      </c>
      <c r="AM8976">
        <v>1</v>
      </c>
    </row>
    <row r="8977" spans="1:39" x14ac:dyDescent="0.2">
      <c r="A8977" t="str">
        <f>"8973"</f>
        <v>8973</v>
      </c>
      <c r="B8977" t="str">
        <f t="shared" si="498"/>
        <v>1</v>
      </c>
      <c r="C8977" t="str">
        <f t="shared" si="499"/>
        <v>180</v>
      </c>
      <c r="D8977" t="str">
        <f>"4"</f>
        <v>4</v>
      </c>
      <c r="E8977" t="str">
        <f>"1-180-4"</f>
        <v>1-180-4</v>
      </c>
      <c r="F8977" t="s">
        <v>65</v>
      </c>
      <c r="G8977" t="s">
        <v>66</v>
      </c>
      <c r="H8977" t="s">
        <v>68</v>
      </c>
      <c r="I8977">
        <v>1</v>
      </c>
      <c r="J8977">
        <v>0</v>
      </c>
      <c r="K8977">
        <v>0</v>
      </c>
      <c r="L8977">
        <v>1</v>
      </c>
      <c r="M8977">
        <v>1</v>
      </c>
      <c r="N8977">
        <v>1</v>
      </c>
      <c r="O8977">
        <v>1</v>
      </c>
      <c r="P8977">
        <v>1</v>
      </c>
      <c r="Q8977">
        <v>1</v>
      </c>
      <c r="R8977">
        <v>1</v>
      </c>
    </row>
    <row r="8978" spans="1:39" x14ac:dyDescent="0.2">
      <c r="A8978" t="str">
        <f>"8974"</f>
        <v>8974</v>
      </c>
      <c r="B8978" t="str">
        <f t="shared" si="498"/>
        <v>1</v>
      </c>
      <c r="C8978" t="str">
        <f t="shared" si="499"/>
        <v>180</v>
      </c>
      <c r="D8978" t="str">
        <f>"40"</f>
        <v>40</v>
      </c>
      <c r="E8978" t="str">
        <f>"1-180-40"</f>
        <v>1-180-40</v>
      </c>
      <c r="F8978" t="s">
        <v>65</v>
      </c>
      <c r="G8978" t="s">
        <v>66</v>
      </c>
      <c r="H8978" t="s">
        <v>67</v>
      </c>
      <c r="S8978">
        <v>1</v>
      </c>
      <c r="T8978">
        <v>0</v>
      </c>
      <c r="U8978">
        <v>0</v>
      </c>
      <c r="V8978">
        <v>0</v>
      </c>
      <c r="W8978">
        <v>1</v>
      </c>
      <c r="X8978">
        <v>0</v>
      </c>
      <c r="Y8978">
        <v>1</v>
      </c>
      <c r="Z8978">
        <v>0</v>
      </c>
      <c r="AA8978">
        <v>1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1</v>
      </c>
      <c r="AH8978">
        <v>0</v>
      </c>
      <c r="AI8978">
        <v>0</v>
      </c>
      <c r="AJ8978">
        <v>0</v>
      </c>
      <c r="AK8978">
        <v>0</v>
      </c>
      <c r="AL8978">
        <v>1</v>
      </c>
      <c r="AM8978">
        <v>0</v>
      </c>
    </row>
    <row r="8979" spans="1:39" x14ac:dyDescent="0.2">
      <c r="A8979" t="str">
        <f>"8975"</f>
        <v>8975</v>
      </c>
      <c r="B8979" t="str">
        <f t="shared" si="498"/>
        <v>1</v>
      </c>
      <c r="C8979" t="str">
        <f t="shared" si="499"/>
        <v>180</v>
      </c>
      <c r="D8979" t="str">
        <f>"20"</f>
        <v>20</v>
      </c>
      <c r="E8979" t="str">
        <f>"1-180-20"</f>
        <v>1-180-20</v>
      </c>
      <c r="F8979" t="s">
        <v>65</v>
      </c>
      <c r="G8979" t="s">
        <v>66</v>
      </c>
      <c r="H8979" t="s">
        <v>67</v>
      </c>
      <c r="S8979">
        <v>1</v>
      </c>
      <c r="T8979">
        <v>0</v>
      </c>
      <c r="U8979">
        <v>0</v>
      </c>
      <c r="V8979">
        <v>0</v>
      </c>
      <c r="W8979">
        <v>0</v>
      </c>
      <c r="X8979">
        <v>1</v>
      </c>
      <c r="Y8979">
        <v>1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</row>
    <row r="8980" spans="1:39" x14ac:dyDescent="0.2">
      <c r="A8980" t="str">
        <f>"8976"</f>
        <v>8976</v>
      </c>
      <c r="B8980" t="str">
        <f t="shared" si="498"/>
        <v>1</v>
      </c>
      <c r="C8980" t="str">
        <f t="shared" si="499"/>
        <v>180</v>
      </c>
      <c r="D8980" t="str">
        <f>"7"</f>
        <v>7</v>
      </c>
      <c r="E8980" t="str">
        <f>"1-180-7"</f>
        <v>1-180-7</v>
      </c>
      <c r="F8980" t="s">
        <v>65</v>
      </c>
      <c r="G8980" t="s">
        <v>66</v>
      </c>
      <c r="H8980" t="s">
        <v>68</v>
      </c>
      <c r="I8980">
        <v>1</v>
      </c>
      <c r="J8980">
        <v>0</v>
      </c>
      <c r="K8980">
        <v>1</v>
      </c>
      <c r="L8980">
        <v>0</v>
      </c>
      <c r="M8980">
        <v>1</v>
      </c>
      <c r="N8980">
        <v>1</v>
      </c>
      <c r="O8980">
        <v>1</v>
      </c>
      <c r="P8980">
        <v>1</v>
      </c>
      <c r="Q8980">
        <v>1</v>
      </c>
      <c r="R8980">
        <v>1</v>
      </c>
    </row>
    <row r="8981" spans="1:39" x14ac:dyDescent="0.2">
      <c r="A8981" t="str">
        <f>"8977"</f>
        <v>8977</v>
      </c>
      <c r="B8981" t="str">
        <f t="shared" si="498"/>
        <v>1</v>
      </c>
      <c r="C8981" t="str">
        <f t="shared" si="499"/>
        <v>180</v>
      </c>
      <c r="D8981" t="str">
        <f>"37"</f>
        <v>37</v>
      </c>
      <c r="E8981" t="str">
        <f>"1-180-37"</f>
        <v>1-180-37</v>
      </c>
      <c r="F8981" t="s">
        <v>65</v>
      </c>
      <c r="G8981" t="s">
        <v>66</v>
      </c>
      <c r="H8981" t="s">
        <v>67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1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</row>
    <row r="8982" spans="1:39" x14ac:dyDescent="0.2">
      <c r="A8982" t="str">
        <f>"8978"</f>
        <v>8978</v>
      </c>
      <c r="B8982" t="str">
        <f t="shared" si="498"/>
        <v>1</v>
      </c>
      <c r="C8982" t="str">
        <f t="shared" si="499"/>
        <v>180</v>
      </c>
      <c r="D8982" t="str">
        <f>"21"</f>
        <v>21</v>
      </c>
      <c r="E8982" t="str">
        <f>"1-180-21"</f>
        <v>1-180-21</v>
      </c>
      <c r="F8982" t="s">
        <v>65</v>
      </c>
      <c r="G8982" t="s">
        <v>66</v>
      </c>
      <c r="H8982" t="s">
        <v>67</v>
      </c>
      <c r="S8982">
        <v>0</v>
      </c>
      <c r="T8982">
        <v>1</v>
      </c>
      <c r="U8982">
        <v>0</v>
      </c>
      <c r="V8982">
        <v>0</v>
      </c>
      <c r="W8982">
        <v>0</v>
      </c>
      <c r="X8982">
        <v>1</v>
      </c>
      <c r="Y8982">
        <v>0</v>
      </c>
      <c r="Z8982">
        <v>1</v>
      </c>
      <c r="AA8982">
        <v>1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</row>
    <row r="8983" spans="1:39" x14ac:dyDescent="0.2">
      <c r="A8983" t="str">
        <f>"8979"</f>
        <v>8979</v>
      </c>
      <c r="B8983" t="str">
        <f t="shared" si="498"/>
        <v>1</v>
      </c>
      <c r="C8983" t="str">
        <f t="shared" si="499"/>
        <v>180</v>
      </c>
      <c r="D8983" t="str">
        <f>"8"</f>
        <v>8</v>
      </c>
      <c r="E8983" t="str">
        <f>"1-180-8"</f>
        <v>1-180-8</v>
      </c>
      <c r="F8983" t="s">
        <v>65</v>
      </c>
      <c r="G8983" t="s">
        <v>66</v>
      </c>
      <c r="H8983" t="s">
        <v>68</v>
      </c>
      <c r="I8983">
        <v>1</v>
      </c>
      <c r="J8983">
        <v>0</v>
      </c>
      <c r="K8983">
        <v>1</v>
      </c>
      <c r="L8983">
        <v>0</v>
      </c>
      <c r="M8983">
        <v>1</v>
      </c>
      <c r="N8983">
        <v>1</v>
      </c>
      <c r="O8983">
        <v>1</v>
      </c>
      <c r="P8983">
        <v>1</v>
      </c>
      <c r="Q8983">
        <v>1</v>
      </c>
      <c r="R8983">
        <v>1</v>
      </c>
    </row>
    <row r="8984" spans="1:39" x14ac:dyDescent="0.2">
      <c r="A8984" t="str">
        <f>"8980"</f>
        <v>8980</v>
      </c>
      <c r="B8984" t="str">
        <f t="shared" si="498"/>
        <v>1</v>
      </c>
      <c r="C8984" t="str">
        <f t="shared" si="499"/>
        <v>180</v>
      </c>
      <c r="D8984" t="str">
        <f>"50"</f>
        <v>50</v>
      </c>
      <c r="E8984" t="str">
        <f>"1-180-50"</f>
        <v>1-180-50</v>
      </c>
      <c r="F8984" t="s">
        <v>65</v>
      </c>
      <c r="G8984" t="s">
        <v>66</v>
      </c>
      <c r="H8984" t="s">
        <v>67</v>
      </c>
      <c r="S8984">
        <v>0</v>
      </c>
      <c r="T8984">
        <v>1</v>
      </c>
      <c r="U8984">
        <v>0</v>
      </c>
      <c r="V8984">
        <v>0</v>
      </c>
      <c r="W8984">
        <v>0</v>
      </c>
      <c r="X8984">
        <v>1</v>
      </c>
      <c r="Y8984">
        <v>0</v>
      </c>
      <c r="Z8984">
        <v>1</v>
      </c>
      <c r="AA8984">
        <v>0</v>
      </c>
      <c r="AB8984">
        <v>1</v>
      </c>
      <c r="AC8984">
        <v>0</v>
      </c>
      <c r="AD8984">
        <v>1</v>
      </c>
      <c r="AE8984">
        <v>1</v>
      </c>
      <c r="AF8984">
        <v>1</v>
      </c>
      <c r="AG8984">
        <v>1</v>
      </c>
      <c r="AH8984">
        <v>1</v>
      </c>
      <c r="AI8984">
        <v>1</v>
      </c>
      <c r="AJ8984">
        <v>1</v>
      </c>
      <c r="AK8984">
        <v>1</v>
      </c>
      <c r="AL8984">
        <v>1</v>
      </c>
      <c r="AM8984">
        <v>1</v>
      </c>
    </row>
    <row r="8985" spans="1:39" x14ac:dyDescent="0.2">
      <c r="A8985" t="str">
        <f>"8981"</f>
        <v>8981</v>
      </c>
      <c r="B8985" t="str">
        <f t="shared" si="498"/>
        <v>1</v>
      </c>
      <c r="C8985" t="str">
        <f t="shared" si="499"/>
        <v>180</v>
      </c>
      <c r="D8985" t="str">
        <f>"24"</f>
        <v>24</v>
      </c>
      <c r="E8985" t="str">
        <f>"1-180-24"</f>
        <v>1-180-24</v>
      </c>
      <c r="F8985" t="s">
        <v>65</v>
      </c>
      <c r="G8985" t="s">
        <v>66</v>
      </c>
      <c r="H8985" t="s">
        <v>67</v>
      </c>
      <c r="S8985">
        <v>1</v>
      </c>
      <c r="T8985">
        <v>0</v>
      </c>
      <c r="U8985">
        <v>0</v>
      </c>
      <c r="V8985">
        <v>0</v>
      </c>
      <c r="W8985">
        <v>1</v>
      </c>
      <c r="X8985">
        <v>0</v>
      </c>
      <c r="Y8985">
        <v>0</v>
      </c>
      <c r="Z8985">
        <v>1</v>
      </c>
      <c r="AA8985">
        <v>1</v>
      </c>
      <c r="AB8985">
        <v>0</v>
      </c>
      <c r="AC8985">
        <v>0</v>
      </c>
      <c r="AD8985">
        <v>1</v>
      </c>
      <c r="AE8985">
        <v>1</v>
      </c>
      <c r="AF8985">
        <v>1</v>
      </c>
      <c r="AG8985">
        <v>1</v>
      </c>
      <c r="AH8985">
        <v>1</v>
      </c>
      <c r="AI8985">
        <v>1</v>
      </c>
      <c r="AJ8985">
        <v>1</v>
      </c>
      <c r="AK8985">
        <v>1</v>
      </c>
      <c r="AL8985">
        <v>1</v>
      </c>
      <c r="AM8985">
        <v>1</v>
      </c>
    </row>
    <row r="8986" spans="1:39" x14ac:dyDescent="0.2">
      <c r="A8986" t="str">
        <f>"8982"</f>
        <v>8982</v>
      </c>
      <c r="B8986" t="str">
        <f t="shared" si="498"/>
        <v>1</v>
      </c>
      <c r="C8986" t="str">
        <f t="shared" si="499"/>
        <v>180</v>
      </c>
      <c r="D8986" t="str">
        <f>"10"</f>
        <v>10</v>
      </c>
      <c r="E8986" t="str">
        <f>"1-180-10"</f>
        <v>1-180-10</v>
      </c>
      <c r="F8986" t="s">
        <v>65</v>
      </c>
      <c r="G8986" t="s">
        <v>66</v>
      </c>
      <c r="H8986" t="s">
        <v>67</v>
      </c>
      <c r="S8986">
        <v>1</v>
      </c>
      <c r="T8986">
        <v>0</v>
      </c>
      <c r="U8986">
        <v>0</v>
      </c>
      <c r="V8986">
        <v>0</v>
      </c>
      <c r="W8986">
        <v>1</v>
      </c>
      <c r="X8986">
        <v>0</v>
      </c>
      <c r="Y8986">
        <v>1</v>
      </c>
      <c r="Z8986">
        <v>0</v>
      </c>
      <c r="AA8986">
        <v>0</v>
      </c>
      <c r="AB8986">
        <v>1</v>
      </c>
      <c r="AC8986">
        <v>0</v>
      </c>
      <c r="AD8986">
        <v>1</v>
      </c>
      <c r="AE8986">
        <v>1</v>
      </c>
      <c r="AF8986">
        <v>1</v>
      </c>
      <c r="AG8986">
        <v>1</v>
      </c>
      <c r="AH8986">
        <v>1</v>
      </c>
      <c r="AI8986">
        <v>1</v>
      </c>
      <c r="AJ8986">
        <v>1</v>
      </c>
      <c r="AK8986">
        <v>1</v>
      </c>
      <c r="AL8986">
        <v>1</v>
      </c>
      <c r="AM8986">
        <v>0</v>
      </c>
    </row>
    <row r="8987" spans="1:39" x14ac:dyDescent="0.2">
      <c r="A8987" t="str">
        <f>"8983"</f>
        <v>8983</v>
      </c>
      <c r="B8987" t="str">
        <f t="shared" si="498"/>
        <v>1</v>
      </c>
      <c r="C8987" t="str">
        <f t="shared" ref="C8987:C9004" si="500">"180"</f>
        <v>180</v>
      </c>
      <c r="D8987" t="str">
        <f>"44"</f>
        <v>44</v>
      </c>
      <c r="E8987" t="str">
        <f>"1-180-44"</f>
        <v>1-180-44</v>
      </c>
      <c r="F8987" t="s">
        <v>65</v>
      </c>
      <c r="G8987" t="s">
        <v>66</v>
      </c>
      <c r="H8987" t="s">
        <v>67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1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</row>
    <row r="8988" spans="1:39" x14ac:dyDescent="0.2">
      <c r="A8988" t="str">
        <f>"8984"</f>
        <v>8984</v>
      </c>
      <c r="B8988" t="str">
        <f t="shared" si="498"/>
        <v>1</v>
      </c>
      <c r="C8988" t="str">
        <f t="shared" si="500"/>
        <v>180</v>
      </c>
      <c r="D8988" t="str">
        <f>"25"</f>
        <v>25</v>
      </c>
      <c r="E8988" t="str">
        <f>"1-180-25"</f>
        <v>1-180-25</v>
      </c>
      <c r="F8988" t="s">
        <v>65</v>
      </c>
      <c r="G8988" t="s">
        <v>66</v>
      </c>
      <c r="H8988" t="s">
        <v>67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1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1</v>
      </c>
      <c r="AJ8988">
        <v>0</v>
      </c>
      <c r="AK8988">
        <v>0</v>
      </c>
      <c r="AL8988">
        <v>0</v>
      </c>
      <c r="AM8988">
        <v>0</v>
      </c>
    </row>
    <row r="8989" spans="1:39" x14ac:dyDescent="0.2">
      <c r="A8989" t="str">
        <f>"8985"</f>
        <v>8985</v>
      </c>
      <c r="B8989" t="str">
        <f t="shared" si="498"/>
        <v>1</v>
      </c>
      <c r="C8989" t="str">
        <f t="shared" si="500"/>
        <v>180</v>
      </c>
      <c r="D8989" t="str">
        <f>"13"</f>
        <v>13</v>
      </c>
      <c r="E8989" t="str">
        <f>"1-180-13"</f>
        <v>1-180-13</v>
      </c>
      <c r="F8989" t="s">
        <v>65</v>
      </c>
      <c r="G8989" t="s">
        <v>66</v>
      </c>
      <c r="H8989" t="s">
        <v>67</v>
      </c>
      <c r="S8989">
        <v>1</v>
      </c>
      <c r="T8989">
        <v>0</v>
      </c>
      <c r="U8989">
        <v>0</v>
      </c>
      <c r="V8989">
        <v>0</v>
      </c>
      <c r="W8989">
        <v>0</v>
      </c>
      <c r="X8989">
        <v>1</v>
      </c>
      <c r="Y8989">
        <v>0</v>
      </c>
      <c r="Z8989">
        <v>1</v>
      </c>
      <c r="AA8989">
        <v>0</v>
      </c>
      <c r="AB8989">
        <v>0</v>
      </c>
      <c r="AC8989">
        <v>0</v>
      </c>
      <c r="AD8989">
        <v>1</v>
      </c>
      <c r="AE8989">
        <v>1</v>
      </c>
      <c r="AF8989">
        <v>1</v>
      </c>
      <c r="AG8989">
        <v>1</v>
      </c>
      <c r="AH8989">
        <v>1</v>
      </c>
      <c r="AI8989">
        <v>1</v>
      </c>
      <c r="AJ8989">
        <v>1</v>
      </c>
      <c r="AK8989">
        <v>1</v>
      </c>
      <c r="AL8989">
        <v>1</v>
      </c>
      <c r="AM8989">
        <v>1</v>
      </c>
    </row>
    <row r="8990" spans="1:39" x14ac:dyDescent="0.2">
      <c r="A8990" t="str">
        <f>"8986"</f>
        <v>8986</v>
      </c>
      <c r="B8990" t="str">
        <f t="shared" si="498"/>
        <v>1</v>
      </c>
      <c r="C8990" t="str">
        <f t="shared" si="500"/>
        <v>180</v>
      </c>
      <c r="D8990" t="str">
        <f>"43"</f>
        <v>43</v>
      </c>
      <c r="E8990" t="str">
        <f>"1-180-43"</f>
        <v>1-180-43</v>
      </c>
      <c r="F8990" t="s">
        <v>65</v>
      </c>
      <c r="G8990" t="s">
        <v>66</v>
      </c>
      <c r="H8990" t="s">
        <v>67</v>
      </c>
      <c r="S8990">
        <v>1</v>
      </c>
      <c r="T8990">
        <v>0</v>
      </c>
      <c r="U8990">
        <v>0</v>
      </c>
      <c r="V8990">
        <v>0</v>
      </c>
      <c r="W8990">
        <v>0</v>
      </c>
      <c r="X8990">
        <v>1</v>
      </c>
      <c r="Y8990">
        <v>0</v>
      </c>
      <c r="Z8990">
        <v>1</v>
      </c>
      <c r="AA8990">
        <v>0</v>
      </c>
      <c r="AB8990">
        <v>0</v>
      </c>
      <c r="AC8990">
        <v>1</v>
      </c>
      <c r="AD8990">
        <v>1</v>
      </c>
      <c r="AE8990">
        <v>1</v>
      </c>
      <c r="AF8990">
        <v>1</v>
      </c>
      <c r="AG8990">
        <v>1</v>
      </c>
      <c r="AH8990">
        <v>1</v>
      </c>
      <c r="AI8990">
        <v>1</v>
      </c>
      <c r="AJ8990">
        <v>1</v>
      </c>
      <c r="AK8990">
        <v>1</v>
      </c>
      <c r="AL8990">
        <v>1</v>
      </c>
      <c r="AM8990">
        <v>1</v>
      </c>
    </row>
    <row r="8991" spans="1:39" x14ac:dyDescent="0.2">
      <c r="A8991" t="str">
        <f>"8987"</f>
        <v>8987</v>
      </c>
      <c r="B8991" t="str">
        <f t="shared" si="498"/>
        <v>1</v>
      </c>
      <c r="C8991" t="str">
        <f t="shared" si="500"/>
        <v>180</v>
      </c>
      <c r="D8991" t="str">
        <f>"26"</f>
        <v>26</v>
      </c>
      <c r="E8991" t="str">
        <f>"1-180-26"</f>
        <v>1-180-26</v>
      </c>
      <c r="F8991" t="s">
        <v>65</v>
      </c>
      <c r="G8991" t="s">
        <v>66</v>
      </c>
      <c r="H8991" t="s">
        <v>67</v>
      </c>
      <c r="S8991">
        <v>0</v>
      </c>
      <c r="T8991">
        <v>1</v>
      </c>
      <c r="U8991">
        <v>0</v>
      </c>
      <c r="V8991">
        <v>0</v>
      </c>
      <c r="W8991">
        <v>1</v>
      </c>
      <c r="X8991">
        <v>0</v>
      </c>
      <c r="Y8991">
        <v>1</v>
      </c>
      <c r="Z8991">
        <v>0</v>
      </c>
      <c r="AA8991">
        <v>1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</row>
    <row r="8992" spans="1:39" x14ac:dyDescent="0.2">
      <c r="A8992" t="str">
        <f>"8988"</f>
        <v>8988</v>
      </c>
      <c r="B8992" t="str">
        <f t="shared" si="498"/>
        <v>1</v>
      </c>
      <c r="C8992" t="str">
        <f t="shared" si="500"/>
        <v>180</v>
      </c>
      <c r="D8992" t="str">
        <f>"14"</f>
        <v>14</v>
      </c>
      <c r="E8992" t="str">
        <f>"1-180-14"</f>
        <v>1-180-14</v>
      </c>
      <c r="F8992" t="s">
        <v>65</v>
      </c>
      <c r="G8992" t="s">
        <v>66</v>
      </c>
      <c r="H8992" t="s">
        <v>67</v>
      </c>
      <c r="S8992">
        <v>1</v>
      </c>
      <c r="T8992">
        <v>0</v>
      </c>
      <c r="U8992">
        <v>0</v>
      </c>
      <c r="V8992">
        <v>0</v>
      </c>
      <c r="W8992">
        <v>1</v>
      </c>
      <c r="X8992">
        <v>0</v>
      </c>
      <c r="Y8992">
        <v>1</v>
      </c>
      <c r="Z8992">
        <v>0</v>
      </c>
      <c r="AA8992">
        <v>1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</row>
    <row r="8993" spans="1:39" x14ac:dyDescent="0.2">
      <c r="A8993" t="str">
        <f>"8989"</f>
        <v>8989</v>
      </c>
      <c r="B8993" t="str">
        <f t="shared" si="498"/>
        <v>1</v>
      </c>
      <c r="C8993" t="str">
        <f t="shared" si="500"/>
        <v>180</v>
      </c>
      <c r="D8993" t="str">
        <f>"38"</f>
        <v>38</v>
      </c>
      <c r="E8993" t="str">
        <f>"1-180-38"</f>
        <v>1-180-38</v>
      </c>
      <c r="F8993" t="s">
        <v>65</v>
      </c>
      <c r="G8993" t="s">
        <v>66</v>
      </c>
      <c r="H8993" t="s">
        <v>67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1</v>
      </c>
      <c r="Y8993">
        <v>0</v>
      </c>
      <c r="Z8993">
        <v>0</v>
      </c>
      <c r="AA8993">
        <v>0</v>
      </c>
      <c r="AB8993">
        <v>1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</row>
    <row r="8994" spans="1:39" x14ac:dyDescent="0.2">
      <c r="A8994" t="str">
        <f>"8990"</f>
        <v>8990</v>
      </c>
      <c r="B8994" t="str">
        <f t="shared" si="498"/>
        <v>1</v>
      </c>
      <c r="C8994" t="str">
        <f t="shared" si="500"/>
        <v>180</v>
      </c>
      <c r="D8994" t="str">
        <f>"27"</f>
        <v>27</v>
      </c>
      <c r="E8994" t="str">
        <f>"1-180-27"</f>
        <v>1-180-27</v>
      </c>
      <c r="F8994" t="s">
        <v>65</v>
      </c>
      <c r="G8994" t="s">
        <v>66</v>
      </c>
      <c r="H8994" t="s">
        <v>68</v>
      </c>
      <c r="I8994">
        <v>1</v>
      </c>
      <c r="J8994">
        <v>0</v>
      </c>
      <c r="K8994">
        <v>0</v>
      </c>
      <c r="L8994">
        <v>1</v>
      </c>
      <c r="M8994">
        <v>1</v>
      </c>
      <c r="N8994">
        <v>1</v>
      </c>
      <c r="O8994">
        <v>1</v>
      </c>
      <c r="P8994">
        <v>1</v>
      </c>
      <c r="Q8994">
        <v>1</v>
      </c>
      <c r="R8994">
        <v>1</v>
      </c>
    </row>
    <row r="8995" spans="1:39" x14ac:dyDescent="0.2">
      <c r="A8995" t="str">
        <f>"8991"</f>
        <v>8991</v>
      </c>
      <c r="B8995" t="str">
        <f t="shared" si="498"/>
        <v>1</v>
      </c>
      <c r="C8995" t="str">
        <f t="shared" si="500"/>
        <v>180</v>
      </c>
      <c r="D8995" t="str">
        <f>"6"</f>
        <v>6</v>
      </c>
      <c r="E8995" t="str">
        <f>"1-180-6"</f>
        <v>1-180-6</v>
      </c>
      <c r="F8995" t="s">
        <v>65</v>
      </c>
      <c r="G8995" t="s">
        <v>66</v>
      </c>
      <c r="H8995" t="s">
        <v>67</v>
      </c>
      <c r="S8995">
        <v>0</v>
      </c>
      <c r="T8995">
        <v>1</v>
      </c>
      <c r="U8995">
        <v>0</v>
      </c>
      <c r="V8995">
        <v>0</v>
      </c>
      <c r="W8995">
        <v>0</v>
      </c>
      <c r="X8995">
        <v>1</v>
      </c>
      <c r="Y8995">
        <v>0</v>
      </c>
      <c r="Z8995">
        <v>1</v>
      </c>
      <c r="AA8995">
        <v>0</v>
      </c>
      <c r="AB8995">
        <v>0</v>
      </c>
      <c r="AC8995">
        <v>1</v>
      </c>
      <c r="AD8995">
        <v>1</v>
      </c>
      <c r="AE8995">
        <v>1</v>
      </c>
      <c r="AF8995">
        <v>1</v>
      </c>
      <c r="AG8995">
        <v>1</v>
      </c>
      <c r="AH8995">
        <v>1</v>
      </c>
      <c r="AI8995">
        <v>1</v>
      </c>
      <c r="AJ8995">
        <v>1</v>
      </c>
      <c r="AK8995">
        <v>1</v>
      </c>
      <c r="AL8995">
        <v>1</v>
      </c>
      <c r="AM8995">
        <v>1</v>
      </c>
    </row>
    <row r="8996" spans="1:39" x14ac:dyDescent="0.2">
      <c r="A8996" t="str">
        <f>"8992"</f>
        <v>8992</v>
      </c>
      <c r="B8996" t="str">
        <f t="shared" si="498"/>
        <v>1</v>
      </c>
      <c r="C8996" t="str">
        <f t="shared" si="500"/>
        <v>180</v>
      </c>
      <c r="D8996" t="str">
        <f>"45"</f>
        <v>45</v>
      </c>
      <c r="E8996" t="str">
        <f>"1-180-45"</f>
        <v>1-180-45</v>
      </c>
      <c r="F8996" t="s">
        <v>65</v>
      </c>
      <c r="G8996" t="s">
        <v>66</v>
      </c>
      <c r="H8996" t="s">
        <v>67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1</v>
      </c>
      <c r="Y8996">
        <v>1</v>
      </c>
      <c r="Z8996">
        <v>0</v>
      </c>
      <c r="AA8996">
        <v>1</v>
      </c>
      <c r="AB8996">
        <v>0</v>
      </c>
      <c r="AC8996">
        <v>0</v>
      </c>
      <c r="AD8996">
        <v>0</v>
      </c>
      <c r="AE8996">
        <v>0</v>
      </c>
      <c r="AF8996">
        <v>1</v>
      </c>
      <c r="AG8996">
        <v>0</v>
      </c>
      <c r="AH8996">
        <v>0</v>
      </c>
      <c r="AI8996">
        <v>1</v>
      </c>
      <c r="AJ8996">
        <v>1</v>
      </c>
      <c r="AK8996">
        <v>1</v>
      </c>
      <c r="AL8996">
        <v>1</v>
      </c>
      <c r="AM8996">
        <v>0</v>
      </c>
    </row>
    <row r="8997" spans="1:39" x14ac:dyDescent="0.2">
      <c r="A8997" t="str">
        <f>"8993"</f>
        <v>8993</v>
      </c>
      <c r="B8997" t="str">
        <f t="shared" si="498"/>
        <v>1</v>
      </c>
      <c r="C8997" t="str">
        <f t="shared" si="500"/>
        <v>180</v>
      </c>
      <c r="D8997" t="str">
        <f>"28"</f>
        <v>28</v>
      </c>
      <c r="E8997" t="str">
        <f>"1-180-28"</f>
        <v>1-180-28</v>
      </c>
      <c r="F8997" t="s">
        <v>65</v>
      </c>
      <c r="G8997" t="s">
        <v>66</v>
      </c>
      <c r="H8997" t="s">
        <v>67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1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</row>
    <row r="8998" spans="1:39" x14ac:dyDescent="0.2">
      <c r="A8998" t="str">
        <f>"8994"</f>
        <v>8994</v>
      </c>
      <c r="B8998" t="str">
        <f t="shared" si="498"/>
        <v>1</v>
      </c>
      <c r="C8998" t="str">
        <f t="shared" si="500"/>
        <v>180</v>
      </c>
      <c r="D8998" t="str">
        <f>"12"</f>
        <v>12</v>
      </c>
      <c r="E8998" t="str">
        <f>"1-180-12"</f>
        <v>1-180-12</v>
      </c>
      <c r="F8998" t="s">
        <v>65</v>
      </c>
      <c r="G8998" t="s">
        <v>66</v>
      </c>
      <c r="H8998" t="s">
        <v>67</v>
      </c>
      <c r="S8998">
        <v>0</v>
      </c>
      <c r="T8998">
        <v>1</v>
      </c>
      <c r="U8998">
        <v>0</v>
      </c>
      <c r="V8998">
        <v>0</v>
      </c>
      <c r="W8998">
        <v>0</v>
      </c>
      <c r="X8998">
        <v>1</v>
      </c>
      <c r="Y8998">
        <v>0</v>
      </c>
      <c r="Z8998">
        <v>1</v>
      </c>
      <c r="AA8998">
        <v>0</v>
      </c>
      <c r="AB8998">
        <v>0</v>
      </c>
      <c r="AC8998">
        <v>1</v>
      </c>
      <c r="AD8998">
        <v>1</v>
      </c>
      <c r="AE8998">
        <v>1</v>
      </c>
      <c r="AF8998">
        <v>1</v>
      </c>
      <c r="AG8998">
        <v>1</v>
      </c>
      <c r="AH8998">
        <v>1</v>
      </c>
      <c r="AI8998">
        <v>1</v>
      </c>
      <c r="AJ8998">
        <v>1</v>
      </c>
      <c r="AK8998">
        <v>1</v>
      </c>
      <c r="AL8998">
        <v>1</v>
      </c>
      <c r="AM8998">
        <v>1</v>
      </c>
    </row>
    <row r="8999" spans="1:39" x14ac:dyDescent="0.2">
      <c r="A8999" t="str">
        <f>"8995"</f>
        <v>8995</v>
      </c>
      <c r="B8999" t="str">
        <f t="shared" si="498"/>
        <v>1</v>
      </c>
      <c r="C8999" t="str">
        <f t="shared" si="500"/>
        <v>180</v>
      </c>
      <c r="D8999" t="str">
        <f>"48"</f>
        <v>48</v>
      </c>
      <c r="E8999" t="str">
        <f>"1-180-48"</f>
        <v>1-180-48</v>
      </c>
      <c r="F8999" t="s">
        <v>65</v>
      </c>
      <c r="G8999" t="s">
        <v>66</v>
      </c>
      <c r="H8999" t="s">
        <v>67</v>
      </c>
      <c r="S8999">
        <v>0</v>
      </c>
      <c r="T8999">
        <v>1</v>
      </c>
      <c r="U8999">
        <v>0</v>
      </c>
      <c r="V8999">
        <v>0</v>
      </c>
      <c r="W8999">
        <v>1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</row>
    <row r="9000" spans="1:39" x14ac:dyDescent="0.2">
      <c r="A9000" t="str">
        <f>"8996"</f>
        <v>8996</v>
      </c>
      <c r="B9000" t="str">
        <f t="shared" si="498"/>
        <v>1</v>
      </c>
      <c r="C9000" t="str">
        <f t="shared" si="500"/>
        <v>180</v>
      </c>
      <c r="D9000" t="str">
        <f>"29"</f>
        <v>29</v>
      </c>
      <c r="E9000" t="str">
        <f>"1-180-29"</f>
        <v>1-180-29</v>
      </c>
      <c r="F9000" t="s">
        <v>65</v>
      </c>
      <c r="G9000" t="s">
        <v>66</v>
      </c>
      <c r="H9000" t="s">
        <v>67</v>
      </c>
      <c r="S9000">
        <v>0</v>
      </c>
      <c r="T9000">
        <v>1</v>
      </c>
      <c r="U9000">
        <v>0</v>
      </c>
      <c r="V9000">
        <v>0</v>
      </c>
      <c r="W9000">
        <v>0</v>
      </c>
      <c r="X9000">
        <v>1</v>
      </c>
      <c r="Y9000">
        <v>0</v>
      </c>
      <c r="Z9000">
        <v>1</v>
      </c>
      <c r="AA9000">
        <v>0</v>
      </c>
      <c r="AB9000">
        <v>0</v>
      </c>
      <c r="AC9000">
        <v>1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</row>
    <row r="9001" spans="1:39" x14ac:dyDescent="0.2">
      <c r="A9001" t="str">
        <f>"8997"</f>
        <v>8997</v>
      </c>
      <c r="B9001" t="str">
        <f t="shared" si="498"/>
        <v>1</v>
      </c>
      <c r="C9001" t="str">
        <f t="shared" si="500"/>
        <v>180</v>
      </c>
      <c r="D9001" t="str">
        <f>"3"</f>
        <v>3</v>
      </c>
      <c r="E9001" t="str">
        <f>"1-180-3"</f>
        <v>1-180-3</v>
      </c>
      <c r="F9001" t="s">
        <v>65</v>
      </c>
      <c r="G9001" t="s">
        <v>66</v>
      </c>
      <c r="H9001" t="s">
        <v>67</v>
      </c>
      <c r="S9001">
        <v>1</v>
      </c>
      <c r="T9001">
        <v>0</v>
      </c>
      <c r="U9001">
        <v>0</v>
      </c>
      <c r="V9001">
        <v>0</v>
      </c>
      <c r="W9001">
        <v>1</v>
      </c>
      <c r="X9001">
        <v>0</v>
      </c>
      <c r="Y9001">
        <v>0</v>
      </c>
      <c r="Z9001">
        <v>1</v>
      </c>
      <c r="AA9001">
        <v>1</v>
      </c>
      <c r="AB9001">
        <v>0</v>
      </c>
      <c r="AC9001">
        <v>0</v>
      </c>
      <c r="AD9001">
        <v>1</v>
      </c>
      <c r="AE9001">
        <v>1</v>
      </c>
      <c r="AF9001">
        <v>1</v>
      </c>
      <c r="AG9001">
        <v>1</v>
      </c>
      <c r="AH9001">
        <v>1</v>
      </c>
      <c r="AI9001">
        <v>0</v>
      </c>
      <c r="AJ9001">
        <v>0</v>
      </c>
      <c r="AK9001">
        <v>0</v>
      </c>
      <c r="AL9001">
        <v>0</v>
      </c>
      <c r="AM9001">
        <v>0</v>
      </c>
    </row>
    <row r="9002" spans="1:39" x14ac:dyDescent="0.2">
      <c r="A9002" t="str">
        <f>"8998"</f>
        <v>8998</v>
      </c>
      <c r="B9002" t="str">
        <f t="shared" si="498"/>
        <v>1</v>
      </c>
      <c r="C9002" t="str">
        <f t="shared" si="500"/>
        <v>180</v>
      </c>
      <c r="D9002" t="str">
        <f>"49"</f>
        <v>49</v>
      </c>
      <c r="E9002" t="str">
        <f>"1-180-49"</f>
        <v>1-180-49</v>
      </c>
      <c r="F9002" t="s">
        <v>65</v>
      </c>
      <c r="G9002" t="s">
        <v>66</v>
      </c>
      <c r="H9002" t="s">
        <v>67</v>
      </c>
      <c r="S9002">
        <v>1</v>
      </c>
      <c r="T9002">
        <v>0</v>
      </c>
      <c r="U9002">
        <v>0</v>
      </c>
      <c r="V9002">
        <v>0</v>
      </c>
      <c r="W9002">
        <v>0</v>
      </c>
      <c r="X9002">
        <v>1</v>
      </c>
      <c r="Y9002">
        <v>0</v>
      </c>
      <c r="Z9002">
        <v>0</v>
      </c>
      <c r="AA9002">
        <v>0</v>
      </c>
      <c r="AB9002">
        <v>0</v>
      </c>
      <c r="AC9002">
        <v>1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1</v>
      </c>
      <c r="AJ9002">
        <v>0</v>
      </c>
      <c r="AK9002">
        <v>0</v>
      </c>
      <c r="AL9002">
        <v>0</v>
      </c>
      <c r="AM9002">
        <v>0</v>
      </c>
    </row>
    <row r="9003" spans="1:39" x14ac:dyDescent="0.2">
      <c r="A9003" t="str">
        <f>"8999"</f>
        <v>8999</v>
      </c>
      <c r="B9003" t="str">
        <f t="shared" si="498"/>
        <v>1</v>
      </c>
      <c r="C9003" t="str">
        <f t="shared" si="500"/>
        <v>180</v>
      </c>
      <c r="D9003" t="str">
        <f>"32"</f>
        <v>32</v>
      </c>
      <c r="E9003" t="str">
        <f>"1-180-32"</f>
        <v>1-180-32</v>
      </c>
      <c r="F9003" t="s">
        <v>65</v>
      </c>
      <c r="G9003" t="s">
        <v>66</v>
      </c>
      <c r="H9003" t="s">
        <v>67</v>
      </c>
      <c r="S9003">
        <v>0</v>
      </c>
      <c r="T9003">
        <v>1</v>
      </c>
      <c r="U9003">
        <v>0</v>
      </c>
      <c r="V9003">
        <v>0</v>
      </c>
      <c r="W9003">
        <v>0</v>
      </c>
      <c r="X9003">
        <v>1</v>
      </c>
      <c r="Y9003">
        <v>1</v>
      </c>
      <c r="Z9003">
        <v>0</v>
      </c>
      <c r="AA9003">
        <v>0</v>
      </c>
      <c r="AB9003">
        <v>0</v>
      </c>
      <c r="AC9003">
        <v>1</v>
      </c>
      <c r="AD9003">
        <v>1</v>
      </c>
      <c r="AE9003">
        <v>1</v>
      </c>
      <c r="AF9003">
        <v>1</v>
      </c>
      <c r="AG9003">
        <v>1</v>
      </c>
      <c r="AH9003">
        <v>1</v>
      </c>
      <c r="AI9003">
        <v>1</v>
      </c>
      <c r="AJ9003">
        <v>1</v>
      </c>
      <c r="AK9003">
        <v>1</v>
      </c>
      <c r="AL9003">
        <v>1</v>
      </c>
      <c r="AM9003">
        <v>1</v>
      </c>
    </row>
    <row r="9004" spans="1:39" x14ac:dyDescent="0.2">
      <c r="A9004" t="str">
        <f>"9000"</f>
        <v>9000</v>
      </c>
      <c r="B9004" t="str">
        <f t="shared" si="498"/>
        <v>1</v>
      </c>
      <c r="C9004" t="str">
        <f t="shared" si="500"/>
        <v>180</v>
      </c>
      <c r="D9004" t="str">
        <f>"11"</f>
        <v>11</v>
      </c>
      <c r="E9004" t="str">
        <f>"1-180-11"</f>
        <v>1-180-11</v>
      </c>
      <c r="F9004" t="s">
        <v>65</v>
      </c>
      <c r="G9004" t="s">
        <v>66</v>
      </c>
      <c r="H9004" t="s">
        <v>67</v>
      </c>
      <c r="S9004">
        <v>0</v>
      </c>
      <c r="T9004">
        <v>1</v>
      </c>
      <c r="U9004">
        <v>0</v>
      </c>
      <c r="V9004">
        <v>0</v>
      </c>
      <c r="W9004">
        <v>0</v>
      </c>
      <c r="X9004">
        <v>1</v>
      </c>
      <c r="Y9004">
        <v>0</v>
      </c>
      <c r="Z9004">
        <v>1</v>
      </c>
      <c r="AA9004">
        <v>0</v>
      </c>
      <c r="AB9004">
        <v>0</v>
      </c>
      <c r="AC9004">
        <v>1</v>
      </c>
      <c r="AD9004">
        <v>1</v>
      </c>
      <c r="AE9004">
        <v>1</v>
      </c>
      <c r="AF9004">
        <v>1</v>
      </c>
      <c r="AG9004">
        <v>1</v>
      </c>
      <c r="AH9004">
        <v>1</v>
      </c>
      <c r="AI9004">
        <v>1</v>
      </c>
      <c r="AJ9004">
        <v>1</v>
      </c>
      <c r="AK9004">
        <v>1</v>
      </c>
      <c r="AL9004">
        <v>1</v>
      </c>
      <c r="AM9004">
        <v>1</v>
      </c>
    </row>
    <row r="9005" spans="1:39" x14ac:dyDescent="0.2">
      <c r="A9005" t="str">
        <f>"9001"</f>
        <v>9001</v>
      </c>
      <c r="B9005" t="str">
        <f t="shared" si="498"/>
        <v>1</v>
      </c>
      <c r="C9005" t="str">
        <f t="shared" ref="C9005:C9036" si="501">"181"</f>
        <v>181</v>
      </c>
      <c r="D9005" t="str">
        <f>"36"</f>
        <v>36</v>
      </c>
      <c r="E9005" t="str">
        <f>"1-181-36"</f>
        <v>1-181-36</v>
      </c>
      <c r="F9005" t="s">
        <v>65</v>
      </c>
      <c r="G9005" t="s">
        <v>66</v>
      </c>
      <c r="H9005" t="s">
        <v>68</v>
      </c>
      <c r="I9005">
        <v>1</v>
      </c>
      <c r="J9005">
        <v>0</v>
      </c>
      <c r="K9005">
        <v>0</v>
      </c>
      <c r="L9005">
        <v>1</v>
      </c>
      <c r="M9005">
        <v>1</v>
      </c>
      <c r="N9005">
        <v>1</v>
      </c>
      <c r="O9005">
        <v>1</v>
      </c>
      <c r="P9005">
        <v>1</v>
      </c>
      <c r="Q9005">
        <v>1</v>
      </c>
      <c r="R9005">
        <v>1</v>
      </c>
    </row>
    <row r="9006" spans="1:39" x14ac:dyDescent="0.2">
      <c r="A9006" t="str">
        <f>"9002"</f>
        <v>9002</v>
      </c>
      <c r="B9006" t="str">
        <f t="shared" si="498"/>
        <v>1</v>
      </c>
      <c r="C9006" t="str">
        <f t="shared" si="501"/>
        <v>181</v>
      </c>
      <c r="D9006" t="str">
        <f>"35"</f>
        <v>35</v>
      </c>
      <c r="E9006" t="str">
        <f>"1-181-35"</f>
        <v>1-181-35</v>
      </c>
      <c r="F9006" t="s">
        <v>65</v>
      </c>
      <c r="G9006" t="s">
        <v>66</v>
      </c>
      <c r="H9006" t="s">
        <v>67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1</v>
      </c>
      <c r="Y9006">
        <v>0</v>
      </c>
      <c r="Z9006">
        <v>0</v>
      </c>
      <c r="AA9006">
        <v>0</v>
      </c>
      <c r="AB9006">
        <v>0</v>
      </c>
      <c r="AC9006">
        <v>1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</row>
    <row r="9007" spans="1:39" x14ac:dyDescent="0.2">
      <c r="A9007" t="str">
        <f>"9003"</f>
        <v>9003</v>
      </c>
      <c r="B9007" t="str">
        <f t="shared" si="498"/>
        <v>1</v>
      </c>
      <c r="C9007" t="str">
        <f t="shared" si="501"/>
        <v>181</v>
      </c>
      <c r="D9007" t="str">
        <f>"27"</f>
        <v>27</v>
      </c>
      <c r="E9007" t="str">
        <f>"1-181-27"</f>
        <v>1-181-27</v>
      </c>
      <c r="F9007" t="s">
        <v>65</v>
      </c>
      <c r="G9007" t="s">
        <v>66</v>
      </c>
      <c r="H9007" t="s">
        <v>67</v>
      </c>
      <c r="S9007">
        <v>0</v>
      </c>
      <c r="T9007">
        <v>1</v>
      </c>
      <c r="U9007">
        <v>0</v>
      </c>
      <c r="V9007">
        <v>0</v>
      </c>
      <c r="W9007">
        <v>0</v>
      </c>
      <c r="X9007">
        <v>1</v>
      </c>
      <c r="Y9007">
        <v>0</v>
      </c>
      <c r="Z9007">
        <v>1</v>
      </c>
      <c r="AA9007">
        <v>0</v>
      </c>
      <c r="AB9007">
        <v>0</v>
      </c>
      <c r="AC9007">
        <v>1</v>
      </c>
      <c r="AD9007">
        <v>1</v>
      </c>
      <c r="AE9007">
        <v>1</v>
      </c>
      <c r="AF9007">
        <v>0</v>
      </c>
      <c r="AG9007">
        <v>1</v>
      </c>
      <c r="AH9007">
        <v>1</v>
      </c>
      <c r="AI9007">
        <v>1</v>
      </c>
      <c r="AJ9007">
        <v>1</v>
      </c>
      <c r="AK9007">
        <v>1</v>
      </c>
      <c r="AL9007">
        <v>1</v>
      </c>
      <c r="AM9007">
        <v>1</v>
      </c>
    </row>
    <row r="9008" spans="1:39" x14ac:dyDescent="0.2">
      <c r="A9008" t="str">
        <f>"9004"</f>
        <v>9004</v>
      </c>
      <c r="B9008" t="str">
        <f t="shared" si="498"/>
        <v>1</v>
      </c>
      <c r="C9008" t="str">
        <f t="shared" si="501"/>
        <v>181</v>
      </c>
      <c r="D9008" t="str">
        <f>"15"</f>
        <v>15</v>
      </c>
      <c r="E9008" t="str">
        <f>"1-181-15"</f>
        <v>1-181-15</v>
      </c>
      <c r="F9008" t="s">
        <v>65</v>
      </c>
      <c r="G9008" t="s">
        <v>66</v>
      </c>
      <c r="H9008" t="s">
        <v>67</v>
      </c>
      <c r="S9008">
        <v>1</v>
      </c>
      <c r="T9008">
        <v>0</v>
      </c>
      <c r="U9008">
        <v>0</v>
      </c>
      <c r="V9008">
        <v>0</v>
      </c>
      <c r="W9008">
        <v>1</v>
      </c>
      <c r="X9008">
        <v>0</v>
      </c>
      <c r="Y9008">
        <v>1</v>
      </c>
      <c r="Z9008">
        <v>0</v>
      </c>
      <c r="AA9008">
        <v>0</v>
      </c>
      <c r="AB9008">
        <v>1</v>
      </c>
      <c r="AC9008">
        <v>0</v>
      </c>
      <c r="AD9008">
        <v>1</v>
      </c>
      <c r="AE9008">
        <v>1</v>
      </c>
      <c r="AF9008">
        <v>1</v>
      </c>
      <c r="AG9008">
        <v>1</v>
      </c>
      <c r="AH9008">
        <v>1</v>
      </c>
      <c r="AI9008">
        <v>1</v>
      </c>
      <c r="AJ9008">
        <v>1</v>
      </c>
      <c r="AK9008">
        <v>1</v>
      </c>
      <c r="AL9008">
        <v>1</v>
      </c>
      <c r="AM9008">
        <v>1</v>
      </c>
    </row>
    <row r="9009" spans="1:39" x14ac:dyDescent="0.2">
      <c r="A9009" t="str">
        <f>"9005"</f>
        <v>9005</v>
      </c>
      <c r="B9009" t="str">
        <f t="shared" si="498"/>
        <v>1</v>
      </c>
      <c r="C9009" t="str">
        <f t="shared" si="501"/>
        <v>181</v>
      </c>
      <c r="D9009" t="str">
        <f>"10"</f>
        <v>10</v>
      </c>
      <c r="E9009" t="str">
        <f>"1-181-10"</f>
        <v>1-181-10</v>
      </c>
      <c r="F9009" t="s">
        <v>65</v>
      </c>
      <c r="G9009" t="s">
        <v>66</v>
      </c>
      <c r="H9009" t="s">
        <v>67</v>
      </c>
      <c r="S9009">
        <v>0</v>
      </c>
      <c r="T9009">
        <v>1</v>
      </c>
      <c r="U9009">
        <v>0</v>
      </c>
      <c r="V9009">
        <v>0</v>
      </c>
      <c r="W9009">
        <v>0</v>
      </c>
      <c r="X9009">
        <v>1</v>
      </c>
      <c r="Y9009">
        <v>1</v>
      </c>
      <c r="Z9009">
        <v>0</v>
      </c>
      <c r="AA9009">
        <v>0</v>
      </c>
      <c r="AB9009">
        <v>0</v>
      </c>
      <c r="AC9009">
        <v>1</v>
      </c>
      <c r="AD9009">
        <v>1</v>
      </c>
      <c r="AE9009">
        <v>1</v>
      </c>
      <c r="AF9009">
        <v>1</v>
      </c>
      <c r="AG9009">
        <v>1</v>
      </c>
      <c r="AH9009">
        <v>1</v>
      </c>
      <c r="AI9009">
        <v>1</v>
      </c>
      <c r="AJ9009">
        <v>1</v>
      </c>
      <c r="AK9009">
        <v>1</v>
      </c>
      <c r="AL9009">
        <v>1</v>
      </c>
      <c r="AM9009">
        <v>1</v>
      </c>
    </row>
    <row r="9010" spans="1:39" x14ac:dyDescent="0.2">
      <c r="A9010" t="str">
        <f>"9006"</f>
        <v>9006</v>
      </c>
      <c r="B9010" t="str">
        <f t="shared" si="498"/>
        <v>1</v>
      </c>
      <c r="C9010" t="str">
        <f t="shared" si="501"/>
        <v>181</v>
      </c>
      <c r="D9010" t="str">
        <f>"38"</f>
        <v>38</v>
      </c>
      <c r="E9010" t="str">
        <f>"1-181-38"</f>
        <v>1-181-38</v>
      </c>
      <c r="F9010" t="s">
        <v>65</v>
      </c>
      <c r="G9010" t="s">
        <v>66</v>
      </c>
      <c r="H9010" t="s">
        <v>68</v>
      </c>
      <c r="I9010">
        <v>1</v>
      </c>
      <c r="J9010">
        <v>1</v>
      </c>
      <c r="K9010">
        <v>0</v>
      </c>
      <c r="L9010">
        <v>0</v>
      </c>
      <c r="M9010">
        <v>1</v>
      </c>
      <c r="N9010">
        <v>1</v>
      </c>
      <c r="O9010">
        <v>1</v>
      </c>
      <c r="P9010">
        <v>1</v>
      </c>
      <c r="Q9010">
        <v>1</v>
      </c>
      <c r="R9010">
        <v>0</v>
      </c>
    </row>
    <row r="9011" spans="1:39" x14ac:dyDescent="0.2">
      <c r="A9011" t="str">
        <f>"9007"</f>
        <v>9007</v>
      </c>
      <c r="B9011" t="str">
        <f t="shared" si="498"/>
        <v>1</v>
      </c>
      <c r="C9011" t="str">
        <f t="shared" si="501"/>
        <v>181</v>
      </c>
      <c r="D9011" t="str">
        <f>"37"</f>
        <v>37</v>
      </c>
      <c r="E9011" t="str">
        <f>"1-181-37"</f>
        <v>1-181-37</v>
      </c>
      <c r="F9011" t="s">
        <v>65</v>
      </c>
      <c r="G9011" t="s">
        <v>66</v>
      </c>
      <c r="H9011" t="s">
        <v>67</v>
      </c>
      <c r="S9011">
        <v>0</v>
      </c>
      <c r="T9011">
        <v>1</v>
      </c>
      <c r="U9011">
        <v>0</v>
      </c>
      <c r="V9011">
        <v>0</v>
      </c>
      <c r="W9011">
        <v>1</v>
      </c>
      <c r="X9011">
        <v>0</v>
      </c>
      <c r="Y9011">
        <v>1</v>
      </c>
      <c r="Z9011">
        <v>0</v>
      </c>
      <c r="AA9011">
        <v>0</v>
      </c>
      <c r="AB9011">
        <v>1</v>
      </c>
      <c r="AC9011">
        <v>0</v>
      </c>
      <c r="AD9011">
        <v>1</v>
      </c>
      <c r="AE9011">
        <v>1</v>
      </c>
      <c r="AF9011">
        <v>1</v>
      </c>
      <c r="AG9011">
        <v>1</v>
      </c>
      <c r="AH9011">
        <v>1</v>
      </c>
      <c r="AI9011">
        <v>1</v>
      </c>
      <c r="AJ9011">
        <v>1</v>
      </c>
      <c r="AK9011">
        <v>1</v>
      </c>
      <c r="AL9011">
        <v>1</v>
      </c>
      <c r="AM9011">
        <v>1</v>
      </c>
    </row>
    <row r="9012" spans="1:39" x14ac:dyDescent="0.2">
      <c r="A9012" t="str">
        <f>"9008"</f>
        <v>9008</v>
      </c>
      <c r="B9012" t="str">
        <f t="shared" si="498"/>
        <v>1</v>
      </c>
      <c r="C9012" t="str">
        <f t="shared" si="501"/>
        <v>181</v>
      </c>
      <c r="D9012" t="str">
        <f>"28"</f>
        <v>28</v>
      </c>
      <c r="E9012" t="str">
        <f>"1-181-28"</f>
        <v>1-181-28</v>
      </c>
      <c r="F9012" t="s">
        <v>65</v>
      </c>
      <c r="G9012" t="s">
        <v>66</v>
      </c>
      <c r="H9012" t="s">
        <v>67</v>
      </c>
      <c r="S9012">
        <v>0</v>
      </c>
      <c r="T9012">
        <v>1</v>
      </c>
      <c r="U9012">
        <v>0</v>
      </c>
      <c r="V9012">
        <v>0</v>
      </c>
      <c r="W9012">
        <v>0</v>
      </c>
      <c r="X9012">
        <v>1</v>
      </c>
      <c r="Y9012">
        <v>0</v>
      </c>
      <c r="Z9012">
        <v>1</v>
      </c>
      <c r="AA9012">
        <v>0</v>
      </c>
      <c r="AB9012">
        <v>0</v>
      </c>
      <c r="AC9012">
        <v>1</v>
      </c>
      <c r="AD9012">
        <v>1</v>
      </c>
      <c r="AE9012">
        <v>1</v>
      </c>
      <c r="AF9012">
        <v>0</v>
      </c>
      <c r="AG9012">
        <v>1</v>
      </c>
      <c r="AH9012">
        <v>1</v>
      </c>
      <c r="AI9012">
        <v>1</v>
      </c>
      <c r="AJ9012">
        <v>1</v>
      </c>
      <c r="AK9012">
        <v>1</v>
      </c>
      <c r="AL9012">
        <v>1</v>
      </c>
      <c r="AM9012">
        <v>1</v>
      </c>
    </row>
    <row r="9013" spans="1:39" x14ac:dyDescent="0.2">
      <c r="A9013" t="str">
        <f>"9009"</f>
        <v>9009</v>
      </c>
      <c r="B9013" t="str">
        <f t="shared" si="498"/>
        <v>1</v>
      </c>
      <c r="C9013" t="str">
        <f t="shared" si="501"/>
        <v>181</v>
      </c>
      <c r="D9013" t="str">
        <f>"16"</f>
        <v>16</v>
      </c>
      <c r="E9013" t="str">
        <f>"1-181-16"</f>
        <v>1-181-16</v>
      </c>
      <c r="F9013" t="s">
        <v>65</v>
      </c>
      <c r="G9013" t="s">
        <v>66</v>
      </c>
      <c r="H9013" t="s">
        <v>68</v>
      </c>
      <c r="I9013">
        <v>1</v>
      </c>
      <c r="J9013">
        <v>0</v>
      </c>
      <c r="K9013">
        <v>0</v>
      </c>
      <c r="L9013">
        <v>1</v>
      </c>
      <c r="M9013">
        <v>1</v>
      </c>
      <c r="N9013">
        <v>1</v>
      </c>
      <c r="O9013">
        <v>1</v>
      </c>
      <c r="P9013">
        <v>1</v>
      </c>
      <c r="Q9013">
        <v>1</v>
      </c>
      <c r="R9013">
        <v>1</v>
      </c>
    </row>
    <row r="9014" spans="1:39" x14ac:dyDescent="0.2">
      <c r="A9014" t="str">
        <f>"9010"</f>
        <v>9010</v>
      </c>
      <c r="B9014" t="str">
        <f t="shared" si="498"/>
        <v>1</v>
      </c>
      <c r="C9014" t="str">
        <f t="shared" si="501"/>
        <v>181</v>
      </c>
      <c r="D9014" t="str">
        <f>"4"</f>
        <v>4</v>
      </c>
      <c r="E9014" t="str">
        <f>"1-181-4"</f>
        <v>1-181-4</v>
      </c>
      <c r="F9014" t="s">
        <v>65</v>
      </c>
      <c r="G9014" t="s">
        <v>66</v>
      </c>
      <c r="H9014" t="s">
        <v>67</v>
      </c>
      <c r="S9014">
        <v>0</v>
      </c>
      <c r="T9014">
        <v>1</v>
      </c>
      <c r="U9014">
        <v>0</v>
      </c>
      <c r="V9014">
        <v>0</v>
      </c>
      <c r="W9014">
        <v>1</v>
      </c>
      <c r="X9014">
        <v>0</v>
      </c>
      <c r="Y9014">
        <v>1</v>
      </c>
      <c r="Z9014">
        <v>0</v>
      </c>
      <c r="AA9014">
        <v>0</v>
      </c>
      <c r="AB9014">
        <v>0</v>
      </c>
      <c r="AC9014">
        <v>1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</row>
    <row r="9015" spans="1:39" x14ac:dyDescent="0.2">
      <c r="A9015" t="str">
        <f>"9011"</f>
        <v>9011</v>
      </c>
      <c r="B9015" t="str">
        <f t="shared" ref="B9015:B9078" si="502">"1"</f>
        <v>1</v>
      </c>
      <c r="C9015" t="str">
        <f t="shared" si="501"/>
        <v>181</v>
      </c>
      <c r="D9015" t="str">
        <f>"41"</f>
        <v>41</v>
      </c>
      <c r="E9015" t="str">
        <f>"1-181-41"</f>
        <v>1-181-41</v>
      </c>
      <c r="F9015" t="s">
        <v>65</v>
      </c>
      <c r="G9015" t="s">
        <v>66</v>
      </c>
      <c r="H9015" t="s">
        <v>67</v>
      </c>
      <c r="S9015">
        <v>0</v>
      </c>
      <c r="T9015">
        <v>1</v>
      </c>
      <c r="U9015">
        <v>0</v>
      </c>
      <c r="V9015">
        <v>0</v>
      </c>
      <c r="W9015">
        <v>0</v>
      </c>
      <c r="X9015">
        <v>1</v>
      </c>
      <c r="Y9015">
        <v>0</v>
      </c>
      <c r="Z9015">
        <v>1</v>
      </c>
      <c r="AA9015">
        <v>0</v>
      </c>
      <c r="AB9015">
        <v>0</v>
      </c>
      <c r="AC9015">
        <v>1</v>
      </c>
      <c r="AD9015">
        <v>1</v>
      </c>
      <c r="AE9015">
        <v>1</v>
      </c>
      <c r="AF9015">
        <v>1</v>
      </c>
      <c r="AG9015">
        <v>1</v>
      </c>
      <c r="AH9015">
        <v>1</v>
      </c>
      <c r="AI9015">
        <v>1</v>
      </c>
      <c r="AJ9015">
        <v>1</v>
      </c>
      <c r="AK9015">
        <v>1</v>
      </c>
      <c r="AL9015">
        <v>1</v>
      </c>
      <c r="AM9015">
        <v>1</v>
      </c>
    </row>
    <row r="9016" spans="1:39" x14ac:dyDescent="0.2">
      <c r="A9016" t="str">
        <f>"9012"</f>
        <v>9012</v>
      </c>
      <c r="B9016" t="str">
        <f t="shared" si="502"/>
        <v>1</v>
      </c>
      <c r="C9016" t="str">
        <f t="shared" si="501"/>
        <v>181</v>
      </c>
      <c r="D9016" t="str">
        <f>"40"</f>
        <v>40</v>
      </c>
      <c r="E9016" t="str">
        <f>"1-181-40"</f>
        <v>1-181-40</v>
      </c>
      <c r="F9016" t="s">
        <v>65</v>
      </c>
      <c r="G9016" t="s">
        <v>66</v>
      </c>
      <c r="H9016" t="s">
        <v>67</v>
      </c>
      <c r="S9016">
        <v>0</v>
      </c>
      <c r="T9016">
        <v>1</v>
      </c>
      <c r="U9016">
        <v>0</v>
      </c>
      <c r="V9016">
        <v>0</v>
      </c>
      <c r="W9016">
        <v>0</v>
      </c>
      <c r="X9016">
        <v>1</v>
      </c>
      <c r="Y9016">
        <v>0</v>
      </c>
      <c r="Z9016">
        <v>1</v>
      </c>
      <c r="AA9016">
        <v>0</v>
      </c>
      <c r="AB9016">
        <v>0</v>
      </c>
      <c r="AC9016">
        <v>1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</row>
    <row r="9017" spans="1:39" x14ac:dyDescent="0.2">
      <c r="A9017" t="str">
        <f>"9013"</f>
        <v>9013</v>
      </c>
      <c r="B9017" t="str">
        <f t="shared" si="502"/>
        <v>1</v>
      </c>
      <c r="C9017" t="str">
        <f t="shared" si="501"/>
        <v>181</v>
      </c>
      <c r="D9017" t="str">
        <f>"32"</f>
        <v>32</v>
      </c>
      <c r="E9017" t="str">
        <f>"1-181-32"</f>
        <v>1-181-32</v>
      </c>
      <c r="F9017" t="s">
        <v>65</v>
      </c>
      <c r="G9017" t="s">
        <v>66</v>
      </c>
      <c r="H9017" t="s">
        <v>67</v>
      </c>
      <c r="S9017">
        <v>1</v>
      </c>
      <c r="T9017">
        <v>0</v>
      </c>
      <c r="U9017">
        <v>0</v>
      </c>
      <c r="V9017">
        <v>0</v>
      </c>
      <c r="W9017">
        <v>1</v>
      </c>
      <c r="X9017">
        <v>0</v>
      </c>
      <c r="Y9017">
        <v>1</v>
      </c>
      <c r="Z9017">
        <v>0</v>
      </c>
      <c r="AA9017">
        <v>1</v>
      </c>
      <c r="AB9017">
        <v>0</v>
      </c>
      <c r="AC9017">
        <v>0</v>
      </c>
      <c r="AD9017">
        <v>1</v>
      </c>
      <c r="AE9017">
        <v>1</v>
      </c>
      <c r="AF9017">
        <v>1</v>
      </c>
      <c r="AG9017">
        <v>1</v>
      </c>
      <c r="AH9017">
        <v>1</v>
      </c>
      <c r="AI9017">
        <v>1</v>
      </c>
      <c r="AJ9017">
        <v>1</v>
      </c>
      <c r="AK9017">
        <v>1</v>
      </c>
      <c r="AL9017">
        <v>1</v>
      </c>
      <c r="AM9017">
        <v>1</v>
      </c>
    </row>
    <row r="9018" spans="1:39" x14ac:dyDescent="0.2">
      <c r="A9018" t="str">
        <f>"9014"</f>
        <v>9014</v>
      </c>
      <c r="B9018" t="str">
        <f t="shared" si="502"/>
        <v>1</v>
      </c>
      <c r="C9018" t="str">
        <f t="shared" si="501"/>
        <v>181</v>
      </c>
      <c r="D9018" t="str">
        <f>"17"</f>
        <v>17</v>
      </c>
      <c r="E9018" t="str">
        <f>"1-181-17"</f>
        <v>1-181-17</v>
      </c>
      <c r="F9018" t="s">
        <v>65</v>
      </c>
      <c r="G9018" t="s">
        <v>66</v>
      </c>
      <c r="H9018" t="s">
        <v>67</v>
      </c>
      <c r="S9018">
        <v>0</v>
      </c>
      <c r="T9018">
        <v>1</v>
      </c>
      <c r="U9018">
        <v>0</v>
      </c>
      <c r="V9018">
        <v>0</v>
      </c>
      <c r="W9018">
        <v>0</v>
      </c>
      <c r="X9018">
        <v>1</v>
      </c>
      <c r="Y9018">
        <v>0</v>
      </c>
      <c r="Z9018">
        <v>1</v>
      </c>
      <c r="AA9018">
        <v>0</v>
      </c>
      <c r="AB9018">
        <v>0</v>
      </c>
      <c r="AC9018">
        <v>1</v>
      </c>
      <c r="AD9018">
        <v>1</v>
      </c>
      <c r="AE9018">
        <v>1</v>
      </c>
      <c r="AF9018">
        <v>1</v>
      </c>
      <c r="AG9018">
        <v>1</v>
      </c>
      <c r="AH9018">
        <v>1</v>
      </c>
      <c r="AI9018">
        <v>1</v>
      </c>
      <c r="AJ9018">
        <v>1</v>
      </c>
      <c r="AK9018">
        <v>1</v>
      </c>
      <c r="AL9018">
        <v>1</v>
      </c>
      <c r="AM9018">
        <v>1</v>
      </c>
    </row>
    <row r="9019" spans="1:39" x14ac:dyDescent="0.2">
      <c r="A9019" t="str">
        <f>"9015"</f>
        <v>9015</v>
      </c>
      <c r="B9019" t="str">
        <f t="shared" si="502"/>
        <v>1</v>
      </c>
      <c r="C9019" t="str">
        <f t="shared" si="501"/>
        <v>181</v>
      </c>
      <c r="D9019" t="str">
        <f>"1"</f>
        <v>1</v>
      </c>
      <c r="E9019" t="str">
        <f>"1-181-1"</f>
        <v>1-181-1</v>
      </c>
      <c r="F9019" t="s">
        <v>65</v>
      </c>
      <c r="G9019" t="s">
        <v>66</v>
      </c>
      <c r="H9019" t="s">
        <v>67</v>
      </c>
      <c r="S9019">
        <v>1</v>
      </c>
      <c r="T9019">
        <v>0</v>
      </c>
      <c r="U9019">
        <v>0</v>
      </c>
      <c r="V9019">
        <v>0</v>
      </c>
      <c r="W9019">
        <v>1</v>
      </c>
      <c r="X9019">
        <v>0</v>
      </c>
      <c r="Y9019">
        <v>1</v>
      </c>
      <c r="Z9019">
        <v>0</v>
      </c>
      <c r="AA9019">
        <v>1</v>
      </c>
      <c r="AB9019">
        <v>0</v>
      </c>
      <c r="AC9019">
        <v>0</v>
      </c>
      <c r="AD9019">
        <v>1</v>
      </c>
      <c r="AE9019">
        <v>1</v>
      </c>
      <c r="AF9019">
        <v>1</v>
      </c>
      <c r="AG9019">
        <v>1</v>
      </c>
      <c r="AH9019">
        <v>1</v>
      </c>
      <c r="AI9019">
        <v>1</v>
      </c>
      <c r="AJ9019">
        <v>1</v>
      </c>
      <c r="AK9019">
        <v>1</v>
      </c>
      <c r="AL9019">
        <v>1</v>
      </c>
      <c r="AM9019">
        <v>1</v>
      </c>
    </row>
    <row r="9020" spans="1:39" x14ac:dyDescent="0.2">
      <c r="A9020" t="str">
        <f>"9016"</f>
        <v>9016</v>
      </c>
      <c r="B9020" t="str">
        <f t="shared" si="502"/>
        <v>1</v>
      </c>
      <c r="C9020" t="str">
        <f t="shared" si="501"/>
        <v>181</v>
      </c>
      <c r="D9020" t="str">
        <f>"48"</f>
        <v>48</v>
      </c>
      <c r="E9020" t="str">
        <f>"1-181-48"</f>
        <v>1-181-48</v>
      </c>
      <c r="F9020" t="s">
        <v>65</v>
      </c>
      <c r="G9020" t="s">
        <v>66</v>
      </c>
      <c r="H9020" t="s">
        <v>68</v>
      </c>
      <c r="I9020">
        <v>1</v>
      </c>
      <c r="J9020">
        <v>0</v>
      </c>
      <c r="K9020">
        <v>1</v>
      </c>
      <c r="L9020">
        <v>0</v>
      </c>
      <c r="M9020">
        <v>1</v>
      </c>
      <c r="N9020">
        <v>1</v>
      </c>
      <c r="O9020">
        <v>1</v>
      </c>
      <c r="P9020">
        <v>1</v>
      </c>
      <c r="Q9020">
        <v>1</v>
      </c>
      <c r="R9020">
        <v>1</v>
      </c>
    </row>
    <row r="9021" spans="1:39" x14ac:dyDescent="0.2">
      <c r="A9021" t="str">
        <f>"9017"</f>
        <v>9017</v>
      </c>
      <c r="B9021" t="str">
        <f t="shared" si="502"/>
        <v>1</v>
      </c>
      <c r="C9021" t="str">
        <f t="shared" si="501"/>
        <v>181</v>
      </c>
      <c r="D9021" t="str">
        <f>"47"</f>
        <v>47</v>
      </c>
      <c r="E9021" t="str">
        <f>"1-181-47"</f>
        <v>1-181-47</v>
      </c>
      <c r="F9021" t="s">
        <v>65</v>
      </c>
      <c r="G9021" t="s">
        <v>66</v>
      </c>
      <c r="H9021" t="s">
        <v>67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1</v>
      </c>
      <c r="Y9021">
        <v>0</v>
      </c>
      <c r="Z9021">
        <v>1</v>
      </c>
      <c r="AA9021">
        <v>0</v>
      </c>
      <c r="AB9021">
        <v>0</v>
      </c>
      <c r="AC9021">
        <v>0</v>
      </c>
      <c r="AD9021">
        <v>1</v>
      </c>
      <c r="AE9021">
        <v>1</v>
      </c>
      <c r="AF9021">
        <v>1</v>
      </c>
      <c r="AG9021">
        <v>1</v>
      </c>
      <c r="AH9021">
        <v>1</v>
      </c>
      <c r="AI9021">
        <v>1</v>
      </c>
      <c r="AJ9021">
        <v>1</v>
      </c>
      <c r="AK9021">
        <v>1</v>
      </c>
      <c r="AL9021">
        <v>1</v>
      </c>
      <c r="AM9021">
        <v>0</v>
      </c>
    </row>
    <row r="9022" spans="1:39" x14ac:dyDescent="0.2">
      <c r="A9022" t="str">
        <f>"9018"</f>
        <v>9018</v>
      </c>
      <c r="B9022" t="str">
        <f t="shared" si="502"/>
        <v>1</v>
      </c>
      <c r="C9022" t="str">
        <f t="shared" si="501"/>
        <v>181</v>
      </c>
      <c r="D9022" t="str">
        <f>"33"</f>
        <v>33</v>
      </c>
      <c r="E9022" t="str">
        <f>"1-181-33"</f>
        <v>1-181-33</v>
      </c>
      <c r="F9022" t="s">
        <v>65</v>
      </c>
      <c r="G9022" t="s">
        <v>66</v>
      </c>
      <c r="H9022" t="s">
        <v>67</v>
      </c>
      <c r="S9022">
        <v>0</v>
      </c>
      <c r="T9022">
        <v>1</v>
      </c>
      <c r="U9022">
        <v>0</v>
      </c>
      <c r="V9022">
        <v>0</v>
      </c>
      <c r="W9022">
        <v>0</v>
      </c>
      <c r="X9022">
        <v>1</v>
      </c>
      <c r="Y9022">
        <v>0</v>
      </c>
      <c r="Z9022">
        <v>1</v>
      </c>
      <c r="AA9022">
        <v>0</v>
      </c>
      <c r="AB9022">
        <v>0</v>
      </c>
      <c r="AC9022">
        <v>1</v>
      </c>
      <c r="AD9022">
        <v>1</v>
      </c>
      <c r="AE9022">
        <v>1</v>
      </c>
      <c r="AF9022">
        <v>1</v>
      </c>
      <c r="AG9022">
        <v>1</v>
      </c>
      <c r="AH9022">
        <v>1</v>
      </c>
      <c r="AI9022">
        <v>1</v>
      </c>
      <c r="AJ9022">
        <v>1</v>
      </c>
      <c r="AK9022">
        <v>1</v>
      </c>
      <c r="AL9022">
        <v>1</v>
      </c>
      <c r="AM9022">
        <v>1</v>
      </c>
    </row>
    <row r="9023" spans="1:39" x14ac:dyDescent="0.2">
      <c r="A9023" t="str">
        <f>"9019"</f>
        <v>9019</v>
      </c>
      <c r="B9023" t="str">
        <f t="shared" si="502"/>
        <v>1</v>
      </c>
      <c r="C9023" t="str">
        <f t="shared" si="501"/>
        <v>181</v>
      </c>
      <c r="D9023" t="str">
        <f>"18"</f>
        <v>18</v>
      </c>
      <c r="E9023" t="str">
        <f>"1-181-18"</f>
        <v>1-181-18</v>
      </c>
      <c r="F9023" t="s">
        <v>65</v>
      </c>
      <c r="G9023" t="s">
        <v>66</v>
      </c>
      <c r="H9023" t="s">
        <v>67</v>
      </c>
      <c r="S9023">
        <v>1</v>
      </c>
      <c r="T9023">
        <v>0</v>
      </c>
      <c r="U9023">
        <v>0</v>
      </c>
      <c r="V9023">
        <v>0</v>
      </c>
      <c r="W9023">
        <v>0</v>
      </c>
      <c r="X9023">
        <v>1</v>
      </c>
      <c r="Y9023">
        <v>0</v>
      </c>
      <c r="Z9023">
        <v>1</v>
      </c>
      <c r="AA9023">
        <v>0</v>
      </c>
      <c r="AB9023">
        <v>0</v>
      </c>
      <c r="AC9023">
        <v>1</v>
      </c>
      <c r="AD9023">
        <v>1</v>
      </c>
      <c r="AE9023">
        <v>1</v>
      </c>
      <c r="AF9023">
        <v>1</v>
      </c>
      <c r="AG9023">
        <v>1</v>
      </c>
      <c r="AH9023">
        <v>1</v>
      </c>
      <c r="AI9023">
        <v>1</v>
      </c>
      <c r="AJ9023">
        <v>1</v>
      </c>
      <c r="AK9023">
        <v>1</v>
      </c>
      <c r="AL9023">
        <v>1</v>
      </c>
      <c r="AM9023">
        <v>1</v>
      </c>
    </row>
    <row r="9024" spans="1:39" x14ac:dyDescent="0.2">
      <c r="A9024" t="str">
        <f>"9020"</f>
        <v>9020</v>
      </c>
      <c r="B9024" t="str">
        <f t="shared" si="502"/>
        <v>1</v>
      </c>
      <c r="C9024" t="str">
        <f t="shared" si="501"/>
        <v>181</v>
      </c>
      <c r="D9024" t="str">
        <f>"12"</f>
        <v>12</v>
      </c>
      <c r="E9024" t="str">
        <f>"1-181-12"</f>
        <v>1-181-12</v>
      </c>
      <c r="F9024" t="s">
        <v>65</v>
      </c>
      <c r="G9024" t="s">
        <v>66</v>
      </c>
      <c r="H9024" t="s">
        <v>68</v>
      </c>
      <c r="I9024">
        <v>1</v>
      </c>
      <c r="J9024">
        <v>1</v>
      </c>
      <c r="K9024">
        <v>0</v>
      </c>
      <c r="L9024">
        <v>0</v>
      </c>
      <c r="M9024">
        <v>1</v>
      </c>
      <c r="N9024">
        <v>1</v>
      </c>
      <c r="O9024">
        <v>1</v>
      </c>
      <c r="P9024">
        <v>1</v>
      </c>
      <c r="Q9024">
        <v>1</v>
      </c>
      <c r="R9024">
        <v>1</v>
      </c>
    </row>
    <row r="9025" spans="1:39" x14ac:dyDescent="0.2">
      <c r="A9025" t="str">
        <f>"9021"</f>
        <v>9021</v>
      </c>
      <c r="B9025" t="str">
        <f t="shared" si="502"/>
        <v>1</v>
      </c>
      <c r="C9025" t="str">
        <f t="shared" si="501"/>
        <v>181</v>
      </c>
      <c r="D9025" t="str">
        <f>"46"</f>
        <v>46</v>
      </c>
      <c r="E9025" t="str">
        <f>"1-181-46"</f>
        <v>1-181-46</v>
      </c>
      <c r="F9025" t="s">
        <v>65</v>
      </c>
      <c r="G9025" t="s">
        <v>66</v>
      </c>
      <c r="H9025" t="s">
        <v>67</v>
      </c>
      <c r="S9025">
        <v>0</v>
      </c>
      <c r="T9025">
        <v>0</v>
      </c>
      <c r="U9025">
        <v>0</v>
      </c>
      <c r="V9025">
        <v>0</v>
      </c>
      <c r="W9025">
        <v>1</v>
      </c>
      <c r="X9025">
        <v>0</v>
      </c>
      <c r="Y9025">
        <v>1</v>
      </c>
      <c r="Z9025">
        <v>0</v>
      </c>
      <c r="AA9025">
        <v>1</v>
      </c>
      <c r="AB9025">
        <v>0</v>
      </c>
      <c r="AC9025">
        <v>0</v>
      </c>
      <c r="AD9025">
        <v>1</v>
      </c>
      <c r="AE9025">
        <v>1</v>
      </c>
      <c r="AF9025">
        <v>1</v>
      </c>
      <c r="AG9025">
        <v>1</v>
      </c>
      <c r="AH9025">
        <v>1</v>
      </c>
      <c r="AI9025">
        <v>1</v>
      </c>
      <c r="AJ9025">
        <v>1</v>
      </c>
      <c r="AK9025">
        <v>1</v>
      </c>
      <c r="AL9025">
        <v>1</v>
      </c>
      <c r="AM9025">
        <v>0</v>
      </c>
    </row>
    <row r="9026" spans="1:39" x14ac:dyDescent="0.2">
      <c r="A9026" t="str">
        <f>"9022"</f>
        <v>9022</v>
      </c>
      <c r="B9026" t="str">
        <f t="shared" si="502"/>
        <v>1</v>
      </c>
      <c r="C9026" t="str">
        <f t="shared" si="501"/>
        <v>181</v>
      </c>
      <c r="D9026" t="str">
        <f>"45"</f>
        <v>45</v>
      </c>
      <c r="E9026" t="str">
        <f>"1-181-45"</f>
        <v>1-181-45</v>
      </c>
      <c r="F9026" t="s">
        <v>65</v>
      </c>
      <c r="G9026" t="s">
        <v>66</v>
      </c>
      <c r="H9026" t="s">
        <v>67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1</v>
      </c>
      <c r="Y9026">
        <v>0</v>
      </c>
      <c r="Z9026">
        <v>0</v>
      </c>
      <c r="AA9026">
        <v>0</v>
      </c>
      <c r="AB9026">
        <v>1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1</v>
      </c>
      <c r="AJ9026">
        <v>0</v>
      </c>
      <c r="AK9026">
        <v>0</v>
      </c>
      <c r="AL9026">
        <v>1</v>
      </c>
      <c r="AM9026">
        <v>0</v>
      </c>
    </row>
    <row r="9027" spans="1:39" x14ac:dyDescent="0.2">
      <c r="A9027" t="str">
        <f>"9023"</f>
        <v>9023</v>
      </c>
      <c r="B9027" t="str">
        <f t="shared" si="502"/>
        <v>1</v>
      </c>
      <c r="C9027" t="str">
        <f t="shared" si="501"/>
        <v>181</v>
      </c>
      <c r="D9027" t="str">
        <f>"34"</f>
        <v>34</v>
      </c>
      <c r="E9027" t="str">
        <f>"1-181-34"</f>
        <v>1-181-34</v>
      </c>
      <c r="F9027" t="s">
        <v>65</v>
      </c>
      <c r="G9027" t="s">
        <v>66</v>
      </c>
      <c r="H9027" t="s">
        <v>67</v>
      </c>
      <c r="S9027">
        <v>1</v>
      </c>
      <c r="T9027">
        <v>0</v>
      </c>
      <c r="U9027">
        <v>0</v>
      </c>
      <c r="V9027">
        <v>0</v>
      </c>
      <c r="W9027">
        <v>1</v>
      </c>
      <c r="X9027">
        <v>0</v>
      </c>
      <c r="Y9027">
        <v>1</v>
      </c>
      <c r="Z9027">
        <v>0</v>
      </c>
      <c r="AA9027">
        <v>1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</row>
    <row r="9028" spans="1:39" x14ac:dyDescent="0.2">
      <c r="A9028" t="str">
        <f>"9024"</f>
        <v>9024</v>
      </c>
      <c r="B9028" t="str">
        <f t="shared" si="502"/>
        <v>1</v>
      </c>
      <c r="C9028" t="str">
        <f t="shared" si="501"/>
        <v>181</v>
      </c>
      <c r="D9028" t="str">
        <f>"19"</f>
        <v>19</v>
      </c>
      <c r="E9028" t="str">
        <f>"1-181-19"</f>
        <v>1-181-19</v>
      </c>
      <c r="F9028" t="s">
        <v>65</v>
      </c>
      <c r="G9028" t="s">
        <v>66</v>
      </c>
      <c r="H9028" t="s">
        <v>67</v>
      </c>
      <c r="S9028">
        <v>0</v>
      </c>
      <c r="T9028">
        <v>1</v>
      </c>
      <c r="U9028">
        <v>0</v>
      </c>
      <c r="V9028">
        <v>0</v>
      </c>
      <c r="W9028">
        <v>1</v>
      </c>
      <c r="X9028">
        <v>0</v>
      </c>
      <c r="Y9028">
        <v>0</v>
      </c>
      <c r="Z9028">
        <v>1</v>
      </c>
      <c r="AA9028">
        <v>1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1</v>
      </c>
      <c r="AJ9028">
        <v>0</v>
      </c>
      <c r="AK9028">
        <v>0</v>
      </c>
      <c r="AL9028">
        <v>0</v>
      </c>
      <c r="AM9028">
        <v>0</v>
      </c>
    </row>
    <row r="9029" spans="1:39" x14ac:dyDescent="0.2">
      <c r="A9029" t="str">
        <f>"9025"</f>
        <v>9025</v>
      </c>
      <c r="B9029" t="str">
        <f t="shared" si="502"/>
        <v>1</v>
      </c>
      <c r="C9029" t="str">
        <f t="shared" si="501"/>
        <v>181</v>
      </c>
      <c r="D9029" t="str">
        <f>"5"</f>
        <v>5</v>
      </c>
      <c r="E9029" t="str">
        <f>"1-181-5"</f>
        <v>1-181-5</v>
      </c>
      <c r="F9029" t="s">
        <v>65</v>
      </c>
      <c r="G9029" t="s">
        <v>66</v>
      </c>
      <c r="H9029" t="s">
        <v>67</v>
      </c>
      <c r="S9029">
        <v>0</v>
      </c>
      <c r="T9029">
        <v>1</v>
      </c>
      <c r="U9029">
        <v>0</v>
      </c>
      <c r="V9029">
        <v>0</v>
      </c>
      <c r="W9029">
        <v>0</v>
      </c>
      <c r="X9029">
        <v>1</v>
      </c>
      <c r="Y9029">
        <v>0</v>
      </c>
      <c r="Z9029">
        <v>1</v>
      </c>
      <c r="AA9029">
        <v>0</v>
      </c>
      <c r="AB9029">
        <v>0</v>
      </c>
      <c r="AC9029">
        <v>1</v>
      </c>
      <c r="AD9029">
        <v>1</v>
      </c>
      <c r="AE9029">
        <v>1</v>
      </c>
      <c r="AF9029">
        <v>1</v>
      </c>
      <c r="AG9029">
        <v>1</v>
      </c>
      <c r="AH9029">
        <v>1</v>
      </c>
      <c r="AI9029">
        <v>1</v>
      </c>
      <c r="AJ9029">
        <v>1</v>
      </c>
      <c r="AK9029">
        <v>1</v>
      </c>
      <c r="AL9029">
        <v>1</v>
      </c>
      <c r="AM9029">
        <v>1</v>
      </c>
    </row>
    <row r="9030" spans="1:39" x14ac:dyDescent="0.2">
      <c r="A9030" t="str">
        <f>"9026"</f>
        <v>9026</v>
      </c>
      <c r="B9030" t="str">
        <f t="shared" si="502"/>
        <v>1</v>
      </c>
      <c r="C9030" t="str">
        <f t="shared" si="501"/>
        <v>181</v>
      </c>
      <c r="D9030" t="str">
        <f>"50"</f>
        <v>50</v>
      </c>
      <c r="E9030" t="str">
        <f>"1-181-50"</f>
        <v>1-181-50</v>
      </c>
      <c r="F9030" t="s">
        <v>65</v>
      </c>
      <c r="G9030" t="s">
        <v>66</v>
      </c>
      <c r="H9030" t="s">
        <v>67</v>
      </c>
      <c r="S9030">
        <v>0</v>
      </c>
      <c r="T9030">
        <v>1</v>
      </c>
      <c r="U9030">
        <v>0</v>
      </c>
      <c r="V9030">
        <v>0</v>
      </c>
      <c r="W9030">
        <v>0</v>
      </c>
      <c r="X9030">
        <v>1</v>
      </c>
      <c r="Y9030">
        <v>0</v>
      </c>
      <c r="Z9030">
        <v>1</v>
      </c>
      <c r="AA9030">
        <v>0</v>
      </c>
      <c r="AB9030">
        <v>0</v>
      </c>
      <c r="AC9030">
        <v>1</v>
      </c>
      <c r="AD9030">
        <v>1</v>
      </c>
      <c r="AE9030">
        <v>1</v>
      </c>
      <c r="AF9030">
        <v>1</v>
      </c>
      <c r="AG9030">
        <v>1</v>
      </c>
      <c r="AH9030">
        <v>1</v>
      </c>
      <c r="AI9030">
        <v>1</v>
      </c>
      <c r="AJ9030">
        <v>1</v>
      </c>
      <c r="AK9030">
        <v>1</v>
      </c>
      <c r="AL9030">
        <v>1</v>
      </c>
      <c r="AM9030">
        <v>1</v>
      </c>
    </row>
    <row r="9031" spans="1:39" x14ac:dyDescent="0.2">
      <c r="A9031" t="str">
        <f>"9027"</f>
        <v>9027</v>
      </c>
      <c r="B9031" t="str">
        <f t="shared" si="502"/>
        <v>1</v>
      </c>
      <c r="C9031" t="str">
        <f t="shared" si="501"/>
        <v>181</v>
      </c>
      <c r="D9031" t="str">
        <f>"31"</f>
        <v>31</v>
      </c>
      <c r="E9031" t="str">
        <f>"1-181-31"</f>
        <v>1-181-31</v>
      </c>
      <c r="F9031" t="s">
        <v>65</v>
      </c>
      <c r="G9031" t="s">
        <v>66</v>
      </c>
      <c r="H9031" t="s">
        <v>67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1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</row>
    <row r="9032" spans="1:39" x14ac:dyDescent="0.2">
      <c r="A9032" t="str">
        <f>"9028"</f>
        <v>9028</v>
      </c>
      <c r="B9032" t="str">
        <f t="shared" si="502"/>
        <v>1</v>
      </c>
      <c r="C9032" t="str">
        <f t="shared" si="501"/>
        <v>181</v>
      </c>
      <c r="D9032" t="str">
        <f>"20"</f>
        <v>20</v>
      </c>
      <c r="E9032" t="str">
        <f>"1-181-20"</f>
        <v>1-181-20</v>
      </c>
      <c r="F9032" t="s">
        <v>65</v>
      </c>
      <c r="G9032" t="s">
        <v>66</v>
      </c>
      <c r="H9032" t="s">
        <v>68</v>
      </c>
      <c r="I9032">
        <v>1</v>
      </c>
      <c r="J9032">
        <v>0</v>
      </c>
      <c r="K9032">
        <v>1</v>
      </c>
      <c r="L9032">
        <v>0</v>
      </c>
      <c r="M9032">
        <v>1</v>
      </c>
      <c r="N9032">
        <v>1</v>
      </c>
      <c r="O9032">
        <v>0</v>
      </c>
      <c r="P9032">
        <v>0</v>
      </c>
      <c r="Q9032">
        <v>0</v>
      </c>
      <c r="R9032">
        <v>0</v>
      </c>
    </row>
    <row r="9033" spans="1:39" x14ac:dyDescent="0.2">
      <c r="A9033" t="str">
        <f>"9029"</f>
        <v>9029</v>
      </c>
      <c r="B9033" t="str">
        <f t="shared" si="502"/>
        <v>1</v>
      </c>
      <c r="C9033" t="str">
        <f t="shared" si="501"/>
        <v>181</v>
      </c>
      <c r="D9033" t="str">
        <f>"14"</f>
        <v>14</v>
      </c>
      <c r="E9033" t="str">
        <f>"1-181-14"</f>
        <v>1-181-14</v>
      </c>
      <c r="F9033" t="s">
        <v>65</v>
      </c>
      <c r="G9033" t="s">
        <v>66</v>
      </c>
      <c r="H9033" t="s">
        <v>67</v>
      </c>
      <c r="S9033">
        <v>0</v>
      </c>
      <c r="T9033">
        <v>1</v>
      </c>
      <c r="U9033">
        <v>0</v>
      </c>
      <c r="V9033">
        <v>0</v>
      </c>
      <c r="W9033">
        <v>1</v>
      </c>
      <c r="X9033">
        <v>0</v>
      </c>
      <c r="Y9033">
        <v>1</v>
      </c>
      <c r="Z9033">
        <v>0</v>
      </c>
      <c r="AA9033">
        <v>0</v>
      </c>
      <c r="AB9033">
        <v>1</v>
      </c>
      <c r="AC9033">
        <v>0</v>
      </c>
      <c r="AD9033">
        <v>1</v>
      </c>
      <c r="AE9033">
        <v>1</v>
      </c>
      <c r="AF9033">
        <v>1</v>
      </c>
      <c r="AG9033">
        <v>1</v>
      </c>
      <c r="AH9033">
        <v>1</v>
      </c>
      <c r="AI9033">
        <v>1</v>
      </c>
      <c r="AJ9033">
        <v>1</v>
      </c>
      <c r="AK9033">
        <v>1</v>
      </c>
      <c r="AL9033">
        <v>1</v>
      </c>
      <c r="AM9033">
        <v>1</v>
      </c>
    </row>
    <row r="9034" spans="1:39" x14ac:dyDescent="0.2">
      <c r="A9034" t="str">
        <f>"9030"</f>
        <v>9030</v>
      </c>
      <c r="B9034" t="str">
        <f t="shared" si="502"/>
        <v>1</v>
      </c>
      <c r="C9034" t="str">
        <f t="shared" si="501"/>
        <v>181</v>
      </c>
      <c r="D9034" t="str">
        <f>"39"</f>
        <v>39</v>
      </c>
      <c r="E9034" t="str">
        <f>"1-181-39"</f>
        <v>1-181-39</v>
      </c>
      <c r="F9034" t="s">
        <v>65</v>
      </c>
      <c r="G9034" t="s">
        <v>66</v>
      </c>
      <c r="H9034" t="s">
        <v>67</v>
      </c>
      <c r="S9034">
        <v>0</v>
      </c>
      <c r="T9034">
        <v>0</v>
      </c>
      <c r="U9034">
        <v>0</v>
      </c>
      <c r="V9034">
        <v>0</v>
      </c>
      <c r="W9034">
        <v>1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</row>
    <row r="9035" spans="1:39" x14ac:dyDescent="0.2">
      <c r="A9035" t="str">
        <f>"9031"</f>
        <v>9031</v>
      </c>
      <c r="B9035" t="str">
        <f t="shared" si="502"/>
        <v>1</v>
      </c>
      <c r="C9035" t="str">
        <f t="shared" si="501"/>
        <v>181</v>
      </c>
      <c r="D9035" t="str">
        <f>"21"</f>
        <v>21</v>
      </c>
      <c r="E9035" t="str">
        <f>"1-181-21"</f>
        <v>1-181-21</v>
      </c>
      <c r="F9035" t="s">
        <v>65</v>
      </c>
      <c r="G9035" t="s">
        <v>66</v>
      </c>
      <c r="H9035" t="s">
        <v>68</v>
      </c>
      <c r="I9035">
        <v>1</v>
      </c>
      <c r="J9035">
        <v>0</v>
      </c>
      <c r="K9035">
        <v>0</v>
      </c>
      <c r="L9035">
        <v>1</v>
      </c>
      <c r="M9035">
        <v>1</v>
      </c>
      <c r="N9035">
        <v>1</v>
      </c>
      <c r="O9035">
        <v>1</v>
      </c>
      <c r="P9035">
        <v>1</v>
      </c>
      <c r="Q9035">
        <v>1</v>
      </c>
      <c r="R9035">
        <v>1</v>
      </c>
    </row>
    <row r="9036" spans="1:39" x14ac:dyDescent="0.2">
      <c r="A9036" t="str">
        <f>"9032"</f>
        <v>9032</v>
      </c>
      <c r="B9036" t="str">
        <f t="shared" si="502"/>
        <v>1</v>
      </c>
      <c r="C9036" t="str">
        <f t="shared" si="501"/>
        <v>181</v>
      </c>
      <c r="D9036" t="str">
        <f>"2"</f>
        <v>2</v>
      </c>
      <c r="E9036" t="str">
        <f>"1-181-2"</f>
        <v>1-181-2</v>
      </c>
      <c r="F9036" t="s">
        <v>65</v>
      </c>
      <c r="G9036" t="s">
        <v>66</v>
      </c>
      <c r="H9036" t="s">
        <v>67</v>
      </c>
      <c r="S9036">
        <v>0</v>
      </c>
      <c r="T9036">
        <v>0</v>
      </c>
      <c r="U9036">
        <v>0</v>
      </c>
      <c r="V9036">
        <v>0</v>
      </c>
      <c r="W9036">
        <v>1</v>
      </c>
      <c r="X9036">
        <v>0</v>
      </c>
      <c r="Y9036">
        <v>0</v>
      </c>
      <c r="Z9036">
        <v>1</v>
      </c>
      <c r="AA9036">
        <v>1</v>
      </c>
      <c r="AB9036">
        <v>0</v>
      </c>
      <c r="AC9036">
        <v>0</v>
      </c>
      <c r="AD9036">
        <v>1</v>
      </c>
      <c r="AE9036">
        <v>1</v>
      </c>
      <c r="AF9036">
        <v>1</v>
      </c>
      <c r="AG9036">
        <v>1</v>
      </c>
      <c r="AH9036">
        <v>1</v>
      </c>
      <c r="AI9036">
        <v>1</v>
      </c>
      <c r="AJ9036">
        <v>1</v>
      </c>
      <c r="AK9036">
        <v>1</v>
      </c>
      <c r="AL9036">
        <v>1</v>
      </c>
      <c r="AM9036">
        <v>1</v>
      </c>
    </row>
    <row r="9037" spans="1:39" x14ac:dyDescent="0.2">
      <c r="A9037" t="str">
        <f>"9033"</f>
        <v>9033</v>
      </c>
      <c r="B9037" t="str">
        <f t="shared" si="502"/>
        <v>1</v>
      </c>
      <c r="C9037" t="str">
        <f t="shared" ref="C9037:C9054" si="503">"181"</f>
        <v>181</v>
      </c>
      <c r="D9037" t="str">
        <f>"22"</f>
        <v>22</v>
      </c>
      <c r="E9037" t="str">
        <f>"1-181-22"</f>
        <v>1-181-22</v>
      </c>
      <c r="F9037" t="s">
        <v>65</v>
      </c>
      <c r="G9037" t="s">
        <v>66</v>
      </c>
      <c r="H9037" t="s">
        <v>67</v>
      </c>
      <c r="S9037">
        <v>0</v>
      </c>
      <c r="T9037">
        <v>1</v>
      </c>
      <c r="U9037">
        <v>0</v>
      </c>
      <c r="V9037">
        <v>0</v>
      </c>
      <c r="W9037">
        <v>1</v>
      </c>
      <c r="X9037">
        <v>0</v>
      </c>
      <c r="Y9037">
        <v>1</v>
      </c>
      <c r="Z9037">
        <v>0</v>
      </c>
      <c r="AA9037">
        <v>0</v>
      </c>
      <c r="AB9037">
        <v>0</v>
      </c>
      <c r="AC9037">
        <v>1</v>
      </c>
      <c r="AD9037">
        <v>1</v>
      </c>
      <c r="AE9037">
        <v>1</v>
      </c>
      <c r="AF9037">
        <v>1</v>
      </c>
      <c r="AG9037">
        <v>1</v>
      </c>
      <c r="AH9037">
        <v>1</v>
      </c>
      <c r="AI9037">
        <v>1</v>
      </c>
      <c r="AJ9037">
        <v>1</v>
      </c>
      <c r="AK9037">
        <v>1</v>
      </c>
      <c r="AL9037">
        <v>1</v>
      </c>
      <c r="AM9037">
        <v>1</v>
      </c>
    </row>
    <row r="9038" spans="1:39" x14ac:dyDescent="0.2">
      <c r="A9038" t="str">
        <f>"9034"</f>
        <v>9034</v>
      </c>
      <c r="B9038" t="str">
        <f t="shared" si="502"/>
        <v>1</v>
      </c>
      <c r="C9038" t="str">
        <f t="shared" si="503"/>
        <v>181</v>
      </c>
      <c r="D9038" t="str">
        <f>"7"</f>
        <v>7</v>
      </c>
      <c r="E9038" t="str">
        <f>"1-181-7"</f>
        <v>1-181-7</v>
      </c>
      <c r="F9038" t="s">
        <v>65</v>
      </c>
      <c r="G9038" t="s">
        <v>66</v>
      </c>
      <c r="H9038" t="s">
        <v>67</v>
      </c>
      <c r="S9038">
        <v>0</v>
      </c>
      <c r="T9038">
        <v>1</v>
      </c>
      <c r="U9038">
        <v>0</v>
      </c>
      <c r="V9038">
        <v>0</v>
      </c>
      <c r="W9038">
        <v>0</v>
      </c>
      <c r="X9038">
        <v>1</v>
      </c>
      <c r="Y9038">
        <v>1</v>
      </c>
      <c r="Z9038">
        <v>0</v>
      </c>
      <c r="AA9038">
        <v>0</v>
      </c>
      <c r="AB9038">
        <v>1</v>
      </c>
      <c r="AC9038">
        <v>0</v>
      </c>
      <c r="AD9038">
        <v>1</v>
      </c>
      <c r="AE9038">
        <v>1</v>
      </c>
      <c r="AF9038">
        <v>1</v>
      </c>
      <c r="AG9038">
        <v>1</v>
      </c>
      <c r="AH9038">
        <v>1</v>
      </c>
      <c r="AI9038">
        <v>1</v>
      </c>
      <c r="AJ9038">
        <v>1</v>
      </c>
      <c r="AK9038">
        <v>1</v>
      </c>
      <c r="AL9038">
        <v>1</v>
      </c>
      <c r="AM9038">
        <v>1</v>
      </c>
    </row>
    <row r="9039" spans="1:39" x14ac:dyDescent="0.2">
      <c r="A9039" t="str">
        <f>"9035"</f>
        <v>9035</v>
      </c>
      <c r="B9039" t="str">
        <f t="shared" si="502"/>
        <v>1</v>
      </c>
      <c r="C9039" t="str">
        <f t="shared" si="503"/>
        <v>181</v>
      </c>
      <c r="D9039" t="str">
        <f>"43"</f>
        <v>43</v>
      </c>
      <c r="E9039" t="str">
        <f>"1-181-43"</f>
        <v>1-181-43</v>
      </c>
      <c r="F9039" t="s">
        <v>65</v>
      </c>
      <c r="G9039" t="s">
        <v>66</v>
      </c>
      <c r="H9039" t="s">
        <v>67</v>
      </c>
      <c r="S9039">
        <v>0</v>
      </c>
      <c r="T9039">
        <v>1</v>
      </c>
      <c r="U9039">
        <v>0</v>
      </c>
      <c r="V9039">
        <v>0</v>
      </c>
      <c r="W9039">
        <v>0</v>
      </c>
      <c r="X9039">
        <v>1</v>
      </c>
      <c r="Y9039">
        <v>0</v>
      </c>
      <c r="Z9039">
        <v>1</v>
      </c>
      <c r="AA9039">
        <v>0</v>
      </c>
      <c r="AB9039">
        <v>0</v>
      </c>
      <c r="AC9039">
        <v>1</v>
      </c>
      <c r="AD9039">
        <v>0</v>
      </c>
      <c r="AE9039">
        <v>0</v>
      </c>
      <c r="AF9039">
        <v>0</v>
      </c>
      <c r="AG9039">
        <v>0</v>
      </c>
      <c r="AH9039">
        <v>1</v>
      </c>
      <c r="AI9039">
        <v>1</v>
      </c>
      <c r="AJ9039">
        <v>0</v>
      </c>
      <c r="AK9039">
        <v>0</v>
      </c>
      <c r="AL9039">
        <v>0</v>
      </c>
      <c r="AM9039">
        <v>0</v>
      </c>
    </row>
    <row r="9040" spans="1:39" x14ac:dyDescent="0.2">
      <c r="A9040" t="str">
        <f>"9036"</f>
        <v>9036</v>
      </c>
      <c r="B9040" t="str">
        <f t="shared" si="502"/>
        <v>1</v>
      </c>
      <c r="C9040" t="str">
        <f t="shared" si="503"/>
        <v>181</v>
      </c>
      <c r="D9040" t="str">
        <f>"23"</f>
        <v>23</v>
      </c>
      <c r="E9040" t="str">
        <f>"1-181-23"</f>
        <v>1-181-23</v>
      </c>
      <c r="F9040" t="s">
        <v>65</v>
      </c>
      <c r="G9040" t="s">
        <v>66</v>
      </c>
      <c r="H9040" t="s">
        <v>67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1</v>
      </c>
      <c r="Y9040">
        <v>0</v>
      </c>
      <c r="Z9040">
        <v>1</v>
      </c>
      <c r="AA9040">
        <v>0</v>
      </c>
      <c r="AB9040">
        <v>1</v>
      </c>
      <c r="AC9040">
        <v>0</v>
      </c>
      <c r="AD9040">
        <v>1</v>
      </c>
      <c r="AE9040">
        <v>1</v>
      </c>
      <c r="AF9040">
        <v>1</v>
      </c>
      <c r="AG9040">
        <v>1</v>
      </c>
      <c r="AH9040">
        <v>1</v>
      </c>
      <c r="AI9040">
        <v>1</v>
      </c>
      <c r="AJ9040">
        <v>1</v>
      </c>
      <c r="AK9040">
        <v>1</v>
      </c>
      <c r="AL9040">
        <v>1</v>
      </c>
      <c r="AM9040">
        <v>1</v>
      </c>
    </row>
    <row r="9041" spans="1:39" x14ac:dyDescent="0.2">
      <c r="A9041" t="str">
        <f>"9037"</f>
        <v>9037</v>
      </c>
      <c r="B9041" t="str">
        <f t="shared" si="502"/>
        <v>1</v>
      </c>
      <c r="C9041" t="str">
        <f t="shared" si="503"/>
        <v>181</v>
      </c>
      <c r="D9041" t="str">
        <f>"3"</f>
        <v>3</v>
      </c>
      <c r="E9041" t="str">
        <f>"1-181-3"</f>
        <v>1-181-3</v>
      </c>
      <c r="F9041" t="s">
        <v>65</v>
      </c>
      <c r="G9041" t="s">
        <v>66</v>
      </c>
      <c r="H9041" t="s">
        <v>67</v>
      </c>
      <c r="S9041">
        <v>0</v>
      </c>
      <c r="T9041">
        <v>1</v>
      </c>
      <c r="U9041">
        <v>0</v>
      </c>
      <c r="V9041">
        <v>0</v>
      </c>
      <c r="W9041">
        <v>0</v>
      </c>
      <c r="X9041">
        <v>1</v>
      </c>
      <c r="Y9041">
        <v>0</v>
      </c>
      <c r="Z9041">
        <v>0</v>
      </c>
      <c r="AA9041">
        <v>0</v>
      </c>
      <c r="AB9041">
        <v>1</v>
      </c>
      <c r="AC9041">
        <v>0</v>
      </c>
      <c r="AD9041">
        <v>1</v>
      </c>
      <c r="AE9041">
        <v>1</v>
      </c>
      <c r="AF9041">
        <v>1</v>
      </c>
      <c r="AG9041">
        <v>1</v>
      </c>
      <c r="AH9041">
        <v>1</v>
      </c>
      <c r="AI9041">
        <v>1</v>
      </c>
      <c r="AJ9041">
        <v>1</v>
      </c>
      <c r="AK9041">
        <v>1</v>
      </c>
      <c r="AL9041">
        <v>1</v>
      </c>
      <c r="AM9041">
        <v>1</v>
      </c>
    </row>
    <row r="9042" spans="1:39" x14ac:dyDescent="0.2">
      <c r="A9042" t="str">
        <f>"9038"</f>
        <v>9038</v>
      </c>
      <c r="B9042" t="str">
        <f t="shared" si="502"/>
        <v>1</v>
      </c>
      <c r="C9042" t="str">
        <f t="shared" si="503"/>
        <v>181</v>
      </c>
      <c r="D9042" t="str">
        <f>"24"</f>
        <v>24</v>
      </c>
      <c r="E9042" t="str">
        <f>"1-181-24"</f>
        <v>1-181-24</v>
      </c>
      <c r="F9042" t="s">
        <v>65</v>
      </c>
      <c r="G9042" t="s">
        <v>66</v>
      </c>
      <c r="H9042" t="s">
        <v>67</v>
      </c>
      <c r="S9042">
        <v>0</v>
      </c>
      <c r="T9042">
        <v>1</v>
      </c>
      <c r="U9042">
        <v>0</v>
      </c>
      <c r="V9042">
        <v>0</v>
      </c>
      <c r="W9042">
        <v>1</v>
      </c>
      <c r="X9042">
        <v>0</v>
      </c>
      <c r="Y9042">
        <v>1</v>
      </c>
      <c r="Z9042">
        <v>0</v>
      </c>
      <c r="AA9042">
        <v>0</v>
      </c>
      <c r="AB9042">
        <v>0</v>
      </c>
      <c r="AC9042">
        <v>1</v>
      </c>
      <c r="AD9042">
        <v>1</v>
      </c>
      <c r="AE9042">
        <v>1</v>
      </c>
      <c r="AF9042">
        <v>1</v>
      </c>
      <c r="AG9042">
        <v>1</v>
      </c>
      <c r="AH9042">
        <v>1</v>
      </c>
      <c r="AI9042">
        <v>1</v>
      </c>
      <c r="AJ9042">
        <v>1</v>
      </c>
      <c r="AK9042">
        <v>1</v>
      </c>
      <c r="AL9042">
        <v>1</v>
      </c>
      <c r="AM9042">
        <v>1</v>
      </c>
    </row>
    <row r="9043" spans="1:39" x14ac:dyDescent="0.2">
      <c r="A9043" t="str">
        <f>"9039"</f>
        <v>9039</v>
      </c>
      <c r="B9043" t="str">
        <f t="shared" si="502"/>
        <v>1</v>
      </c>
      <c r="C9043" t="str">
        <f t="shared" si="503"/>
        <v>181</v>
      </c>
      <c r="D9043" t="str">
        <f>"9"</f>
        <v>9</v>
      </c>
      <c r="E9043" t="str">
        <f>"1-181-9"</f>
        <v>1-181-9</v>
      </c>
      <c r="F9043" t="s">
        <v>65</v>
      </c>
      <c r="G9043" t="s">
        <v>66</v>
      </c>
      <c r="H9043" t="s">
        <v>67</v>
      </c>
      <c r="S9043">
        <v>1</v>
      </c>
      <c r="T9043">
        <v>0</v>
      </c>
      <c r="U9043">
        <v>0</v>
      </c>
      <c r="V9043">
        <v>0</v>
      </c>
      <c r="W9043">
        <v>1</v>
      </c>
      <c r="X9043">
        <v>0</v>
      </c>
      <c r="Y9043">
        <v>1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</row>
    <row r="9044" spans="1:39" x14ac:dyDescent="0.2">
      <c r="A9044" t="str">
        <f>"9040"</f>
        <v>9040</v>
      </c>
      <c r="B9044" t="str">
        <f t="shared" si="502"/>
        <v>1</v>
      </c>
      <c r="C9044" t="str">
        <f t="shared" si="503"/>
        <v>181</v>
      </c>
      <c r="D9044" t="str">
        <f>"44"</f>
        <v>44</v>
      </c>
      <c r="E9044" t="str">
        <f>"1-181-44"</f>
        <v>1-181-44</v>
      </c>
      <c r="F9044" t="s">
        <v>65</v>
      </c>
      <c r="G9044" t="s">
        <v>66</v>
      </c>
      <c r="H9044" t="s">
        <v>67</v>
      </c>
      <c r="S9044">
        <v>0</v>
      </c>
      <c r="T9044">
        <v>1</v>
      </c>
      <c r="U9044">
        <v>0</v>
      </c>
      <c r="V9044">
        <v>0</v>
      </c>
      <c r="W9044">
        <v>1</v>
      </c>
      <c r="X9044">
        <v>0</v>
      </c>
      <c r="Y9044">
        <v>1</v>
      </c>
      <c r="Z9044">
        <v>0</v>
      </c>
      <c r="AA9044">
        <v>0</v>
      </c>
      <c r="AB9044">
        <v>1</v>
      </c>
      <c r="AC9044">
        <v>0</v>
      </c>
      <c r="AD9044">
        <v>1</v>
      </c>
      <c r="AE9044">
        <v>1</v>
      </c>
      <c r="AF9044">
        <v>1</v>
      </c>
      <c r="AG9044">
        <v>1</v>
      </c>
      <c r="AH9044">
        <v>1</v>
      </c>
      <c r="AI9044">
        <v>1</v>
      </c>
      <c r="AJ9044">
        <v>1</v>
      </c>
      <c r="AK9044">
        <v>1</v>
      </c>
      <c r="AL9044">
        <v>1</v>
      </c>
      <c r="AM9044">
        <v>1</v>
      </c>
    </row>
    <row r="9045" spans="1:39" x14ac:dyDescent="0.2">
      <c r="A9045" t="str">
        <f>"9041"</f>
        <v>9041</v>
      </c>
      <c r="B9045" t="str">
        <f t="shared" si="502"/>
        <v>1</v>
      </c>
      <c r="C9045" t="str">
        <f t="shared" si="503"/>
        <v>181</v>
      </c>
      <c r="D9045" t="str">
        <f>"25"</f>
        <v>25</v>
      </c>
      <c r="E9045" t="str">
        <f>"1-181-25"</f>
        <v>1-181-25</v>
      </c>
      <c r="F9045" t="s">
        <v>65</v>
      </c>
      <c r="G9045" t="s">
        <v>66</v>
      </c>
      <c r="H9045" t="s">
        <v>67</v>
      </c>
      <c r="S9045">
        <v>0</v>
      </c>
      <c r="T9045">
        <v>1</v>
      </c>
      <c r="U9045">
        <v>0</v>
      </c>
      <c r="V9045">
        <v>0</v>
      </c>
      <c r="W9045">
        <v>0</v>
      </c>
      <c r="X9045">
        <v>1</v>
      </c>
      <c r="Y9045">
        <v>0</v>
      </c>
      <c r="Z9045">
        <v>1</v>
      </c>
      <c r="AA9045">
        <v>0</v>
      </c>
      <c r="AB9045">
        <v>0</v>
      </c>
      <c r="AC9045">
        <v>1</v>
      </c>
      <c r="AD9045">
        <v>1</v>
      </c>
      <c r="AE9045">
        <v>1</v>
      </c>
      <c r="AF9045">
        <v>1</v>
      </c>
      <c r="AG9045">
        <v>1</v>
      </c>
      <c r="AH9045">
        <v>1</v>
      </c>
      <c r="AI9045">
        <v>1</v>
      </c>
      <c r="AJ9045">
        <v>1</v>
      </c>
      <c r="AK9045">
        <v>1</v>
      </c>
      <c r="AL9045">
        <v>1</v>
      </c>
      <c r="AM9045">
        <v>1</v>
      </c>
    </row>
    <row r="9046" spans="1:39" x14ac:dyDescent="0.2">
      <c r="A9046" t="str">
        <f>"9042"</f>
        <v>9042</v>
      </c>
      <c r="B9046" t="str">
        <f t="shared" si="502"/>
        <v>1</v>
      </c>
      <c r="C9046" t="str">
        <f t="shared" si="503"/>
        <v>181</v>
      </c>
      <c r="D9046" t="str">
        <f>"8"</f>
        <v>8</v>
      </c>
      <c r="E9046" t="str">
        <f>"1-181-8"</f>
        <v>1-181-8</v>
      </c>
      <c r="F9046" t="s">
        <v>65</v>
      </c>
      <c r="G9046" t="s">
        <v>66</v>
      </c>
      <c r="H9046" t="s">
        <v>67</v>
      </c>
      <c r="S9046">
        <v>0</v>
      </c>
      <c r="T9046">
        <v>1</v>
      </c>
      <c r="U9046">
        <v>0</v>
      </c>
      <c r="V9046">
        <v>0</v>
      </c>
      <c r="W9046">
        <v>0</v>
      </c>
      <c r="X9046">
        <v>1</v>
      </c>
      <c r="Y9046">
        <v>0</v>
      </c>
      <c r="Z9046">
        <v>1</v>
      </c>
      <c r="AA9046">
        <v>0</v>
      </c>
      <c r="AB9046">
        <v>1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</row>
    <row r="9047" spans="1:39" x14ac:dyDescent="0.2">
      <c r="A9047" t="str">
        <f>"9043"</f>
        <v>9043</v>
      </c>
      <c r="B9047" t="str">
        <f t="shared" si="502"/>
        <v>1</v>
      </c>
      <c r="C9047" t="str">
        <f t="shared" si="503"/>
        <v>181</v>
      </c>
      <c r="D9047" t="str">
        <f>"26"</f>
        <v>26</v>
      </c>
      <c r="E9047" t="str">
        <f>"1-181-26"</f>
        <v>1-181-26</v>
      </c>
      <c r="F9047" t="s">
        <v>65</v>
      </c>
      <c r="G9047" t="s">
        <v>66</v>
      </c>
      <c r="H9047" t="s">
        <v>67</v>
      </c>
      <c r="S9047">
        <v>1</v>
      </c>
      <c r="T9047">
        <v>0</v>
      </c>
      <c r="U9047">
        <v>0</v>
      </c>
      <c r="V9047">
        <v>0</v>
      </c>
      <c r="W9047">
        <v>1</v>
      </c>
      <c r="X9047">
        <v>0</v>
      </c>
      <c r="Y9047">
        <v>1</v>
      </c>
      <c r="Z9047">
        <v>0</v>
      </c>
      <c r="AA9047">
        <v>1</v>
      </c>
      <c r="AB9047">
        <v>0</v>
      </c>
      <c r="AC9047">
        <v>0</v>
      </c>
      <c r="AD9047">
        <v>1</v>
      </c>
      <c r="AE9047">
        <v>1</v>
      </c>
      <c r="AF9047">
        <v>1</v>
      </c>
      <c r="AG9047">
        <v>1</v>
      </c>
      <c r="AH9047">
        <v>1</v>
      </c>
      <c r="AI9047">
        <v>0</v>
      </c>
      <c r="AJ9047">
        <v>0</v>
      </c>
      <c r="AK9047">
        <v>0</v>
      </c>
      <c r="AL9047">
        <v>0</v>
      </c>
      <c r="AM9047">
        <v>0</v>
      </c>
    </row>
    <row r="9048" spans="1:39" x14ac:dyDescent="0.2">
      <c r="A9048" t="str">
        <f>"9044"</f>
        <v>9044</v>
      </c>
      <c r="B9048" t="str">
        <f t="shared" si="502"/>
        <v>1</v>
      </c>
      <c r="C9048" t="str">
        <f t="shared" si="503"/>
        <v>181</v>
      </c>
      <c r="D9048" t="str">
        <f>"13"</f>
        <v>13</v>
      </c>
      <c r="E9048" t="str">
        <f>"1-181-13"</f>
        <v>1-181-13</v>
      </c>
      <c r="F9048" t="s">
        <v>65</v>
      </c>
      <c r="G9048" t="s">
        <v>66</v>
      </c>
      <c r="H9048" t="s">
        <v>67</v>
      </c>
      <c r="S9048">
        <v>0</v>
      </c>
      <c r="T9048">
        <v>1</v>
      </c>
      <c r="U9048">
        <v>0</v>
      </c>
      <c r="V9048">
        <v>0</v>
      </c>
      <c r="W9048">
        <v>0</v>
      </c>
      <c r="X9048">
        <v>1</v>
      </c>
      <c r="Y9048">
        <v>1</v>
      </c>
      <c r="Z9048">
        <v>0</v>
      </c>
      <c r="AA9048">
        <v>0</v>
      </c>
      <c r="AB9048">
        <v>1</v>
      </c>
      <c r="AC9048">
        <v>0</v>
      </c>
      <c r="AD9048">
        <v>1</v>
      </c>
      <c r="AE9048">
        <v>1</v>
      </c>
      <c r="AF9048">
        <v>1</v>
      </c>
      <c r="AG9048">
        <v>1</v>
      </c>
      <c r="AH9048">
        <v>1</v>
      </c>
      <c r="AI9048">
        <v>1</v>
      </c>
      <c r="AJ9048">
        <v>1</v>
      </c>
      <c r="AK9048">
        <v>1</v>
      </c>
      <c r="AL9048">
        <v>1</v>
      </c>
      <c r="AM9048">
        <v>1</v>
      </c>
    </row>
    <row r="9049" spans="1:39" x14ac:dyDescent="0.2">
      <c r="A9049" t="str">
        <f>"9045"</f>
        <v>9045</v>
      </c>
      <c r="B9049" t="str">
        <f t="shared" si="502"/>
        <v>1</v>
      </c>
      <c r="C9049" t="str">
        <f t="shared" si="503"/>
        <v>181</v>
      </c>
      <c r="D9049" t="str">
        <f>"29"</f>
        <v>29</v>
      </c>
      <c r="E9049" t="str">
        <f>"1-181-29"</f>
        <v>1-181-29</v>
      </c>
      <c r="F9049" t="s">
        <v>65</v>
      </c>
      <c r="G9049" t="s">
        <v>66</v>
      </c>
      <c r="H9049" t="s">
        <v>68</v>
      </c>
      <c r="I9049">
        <v>1</v>
      </c>
      <c r="J9049">
        <v>1</v>
      </c>
      <c r="K9049">
        <v>0</v>
      </c>
      <c r="L9049">
        <v>0</v>
      </c>
      <c r="M9049">
        <v>1</v>
      </c>
      <c r="N9049">
        <v>1</v>
      </c>
      <c r="O9049">
        <v>1</v>
      </c>
      <c r="P9049">
        <v>1</v>
      </c>
      <c r="Q9049">
        <v>1</v>
      </c>
      <c r="R9049">
        <v>1</v>
      </c>
    </row>
    <row r="9050" spans="1:39" x14ac:dyDescent="0.2">
      <c r="A9050" t="str">
        <f>"9046"</f>
        <v>9046</v>
      </c>
      <c r="B9050" t="str">
        <f t="shared" si="502"/>
        <v>1</v>
      </c>
      <c r="C9050" t="str">
        <f t="shared" si="503"/>
        <v>181</v>
      </c>
      <c r="D9050" t="str">
        <f>"6"</f>
        <v>6</v>
      </c>
      <c r="E9050" t="str">
        <f>"1-181-6"</f>
        <v>1-181-6</v>
      </c>
      <c r="F9050" t="s">
        <v>65</v>
      </c>
      <c r="G9050" t="s">
        <v>66</v>
      </c>
      <c r="H9050" t="s">
        <v>67</v>
      </c>
      <c r="S9050">
        <v>1</v>
      </c>
      <c r="T9050">
        <v>0</v>
      </c>
      <c r="U9050">
        <v>0</v>
      </c>
      <c r="V9050">
        <v>0</v>
      </c>
      <c r="W9050">
        <v>0</v>
      </c>
      <c r="X9050">
        <v>1</v>
      </c>
      <c r="Y9050">
        <v>0</v>
      </c>
      <c r="Z9050">
        <v>1</v>
      </c>
      <c r="AA9050">
        <v>1</v>
      </c>
      <c r="AB9050">
        <v>0</v>
      </c>
      <c r="AC9050">
        <v>0</v>
      </c>
      <c r="AD9050">
        <v>1</v>
      </c>
      <c r="AE9050">
        <v>1</v>
      </c>
      <c r="AF9050">
        <v>1</v>
      </c>
      <c r="AG9050">
        <v>1</v>
      </c>
      <c r="AH9050">
        <v>1</v>
      </c>
      <c r="AI9050">
        <v>1</v>
      </c>
      <c r="AJ9050">
        <v>1</v>
      </c>
      <c r="AK9050">
        <v>1</v>
      </c>
      <c r="AL9050">
        <v>1</v>
      </c>
      <c r="AM9050">
        <v>1</v>
      </c>
    </row>
    <row r="9051" spans="1:39" x14ac:dyDescent="0.2">
      <c r="A9051" t="str">
        <f>"9047"</f>
        <v>9047</v>
      </c>
      <c r="B9051" t="str">
        <f t="shared" si="502"/>
        <v>1</v>
      </c>
      <c r="C9051" t="str">
        <f t="shared" si="503"/>
        <v>181</v>
      </c>
      <c r="D9051" t="str">
        <f>"42"</f>
        <v>42</v>
      </c>
      <c r="E9051" t="str">
        <f>"1-181-42"</f>
        <v>1-181-42</v>
      </c>
      <c r="F9051" t="s">
        <v>65</v>
      </c>
      <c r="G9051" t="s">
        <v>66</v>
      </c>
      <c r="H9051" t="s">
        <v>67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1</v>
      </c>
      <c r="Y9051">
        <v>0</v>
      </c>
      <c r="Z9051">
        <v>0</v>
      </c>
      <c r="AA9051">
        <v>0</v>
      </c>
      <c r="AB9051">
        <v>0</v>
      </c>
      <c r="AC9051">
        <v>1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</row>
    <row r="9052" spans="1:39" x14ac:dyDescent="0.2">
      <c r="A9052" t="str">
        <f>"9048"</f>
        <v>9048</v>
      </c>
      <c r="B9052" t="str">
        <f t="shared" si="502"/>
        <v>1</v>
      </c>
      <c r="C9052" t="str">
        <f t="shared" si="503"/>
        <v>181</v>
      </c>
      <c r="D9052" t="str">
        <f>"30"</f>
        <v>30</v>
      </c>
      <c r="E9052" t="str">
        <f>"1-181-30"</f>
        <v>1-181-30</v>
      </c>
      <c r="F9052" t="s">
        <v>65</v>
      </c>
      <c r="G9052" t="s">
        <v>66</v>
      </c>
      <c r="H9052" t="s">
        <v>68</v>
      </c>
      <c r="I9052">
        <v>1</v>
      </c>
      <c r="J9052">
        <v>0</v>
      </c>
      <c r="K9052">
        <v>0</v>
      </c>
      <c r="L9052">
        <v>1</v>
      </c>
      <c r="M9052">
        <v>1</v>
      </c>
      <c r="N9052">
        <v>1</v>
      </c>
      <c r="O9052">
        <v>1</v>
      </c>
      <c r="P9052">
        <v>1</v>
      </c>
      <c r="Q9052">
        <v>1</v>
      </c>
      <c r="R9052">
        <v>1</v>
      </c>
    </row>
    <row r="9053" spans="1:39" x14ac:dyDescent="0.2">
      <c r="A9053" t="str">
        <f>"9049"</f>
        <v>9049</v>
      </c>
      <c r="B9053" t="str">
        <f t="shared" si="502"/>
        <v>1</v>
      </c>
      <c r="C9053" t="str">
        <f t="shared" si="503"/>
        <v>181</v>
      </c>
      <c r="D9053" t="str">
        <f>"11"</f>
        <v>11</v>
      </c>
      <c r="E9053" t="str">
        <f>"1-181-11"</f>
        <v>1-181-11</v>
      </c>
      <c r="F9053" t="s">
        <v>65</v>
      </c>
      <c r="G9053" t="s">
        <v>66</v>
      </c>
      <c r="H9053" t="s">
        <v>67</v>
      </c>
      <c r="S9053">
        <v>1</v>
      </c>
      <c r="T9053">
        <v>0</v>
      </c>
      <c r="U9053">
        <v>0</v>
      </c>
      <c r="V9053">
        <v>0</v>
      </c>
      <c r="W9053">
        <v>0</v>
      </c>
      <c r="X9053">
        <v>1</v>
      </c>
      <c r="Y9053">
        <v>1</v>
      </c>
      <c r="Z9053">
        <v>0</v>
      </c>
      <c r="AA9053">
        <v>0</v>
      </c>
      <c r="AB9053">
        <v>1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1</v>
      </c>
      <c r="AJ9053">
        <v>0</v>
      </c>
      <c r="AK9053">
        <v>0</v>
      </c>
      <c r="AL9053">
        <v>0</v>
      </c>
      <c r="AM9053">
        <v>0</v>
      </c>
    </row>
    <row r="9054" spans="1:39" x14ac:dyDescent="0.2">
      <c r="A9054" t="str">
        <f>"9050"</f>
        <v>9050</v>
      </c>
      <c r="B9054" t="str">
        <f t="shared" si="502"/>
        <v>1</v>
      </c>
      <c r="C9054" t="str">
        <f t="shared" si="503"/>
        <v>181</v>
      </c>
      <c r="D9054" t="str">
        <f>"49"</f>
        <v>49</v>
      </c>
      <c r="E9054" t="str">
        <f>"1-181-49"</f>
        <v>1-181-49</v>
      </c>
      <c r="F9054" t="s">
        <v>65</v>
      </c>
      <c r="G9054" t="s">
        <v>66</v>
      </c>
      <c r="H9054" t="s">
        <v>67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</row>
    <row r="9055" spans="1:39" x14ac:dyDescent="0.2">
      <c r="A9055" t="str">
        <f>"9051"</f>
        <v>9051</v>
      </c>
      <c r="B9055" t="str">
        <f t="shared" si="502"/>
        <v>1</v>
      </c>
      <c r="C9055" t="str">
        <f t="shared" ref="C9055:C9086" si="504">"182"</f>
        <v>182</v>
      </c>
      <c r="D9055" t="str">
        <f>"42"</f>
        <v>42</v>
      </c>
      <c r="E9055" t="str">
        <f>"1-182-42"</f>
        <v>1-182-42</v>
      </c>
      <c r="F9055" t="s">
        <v>65</v>
      </c>
      <c r="G9055" t="s">
        <v>66</v>
      </c>
      <c r="H9055" t="s">
        <v>67</v>
      </c>
      <c r="S9055">
        <v>1</v>
      </c>
      <c r="T9055">
        <v>0</v>
      </c>
      <c r="U9055">
        <v>0</v>
      </c>
      <c r="V9055">
        <v>0</v>
      </c>
      <c r="W9055">
        <v>1</v>
      </c>
      <c r="X9055">
        <v>0</v>
      </c>
      <c r="Y9055">
        <v>1</v>
      </c>
      <c r="Z9055">
        <v>0</v>
      </c>
      <c r="AA9055">
        <v>1</v>
      </c>
      <c r="AB9055">
        <v>0</v>
      </c>
      <c r="AC9055">
        <v>0</v>
      </c>
      <c r="AD9055">
        <v>1</v>
      </c>
      <c r="AE9055">
        <v>1</v>
      </c>
      <c r="AF9055">
        <v>1</v>
      </c>
      <c r="AG9055">
        <v>1</v>
      </c>
      <c r="AH9055">
        <v>1</v>
      </c>
      <c r="AI9055">
        <v>1</v>
      </c>
      <c r="AJ9055">
        <v>1</v>
      </c>
      <c r="AK9055">
        <v>1</v>
      </c>
      <c r="AL9055">
        <v>1</v>
      </c>
      <c r="AM9055">
        <v>1</v>
      </c>
    </row>
    <row r="9056" spans="1:39" x14ac:dyDescent="0.2">
      <c r="A9056" t="str">
        <f>"9052"</f>
        <v>9052</v>
      </c>
      <c r="B9056" t="str">
        <f t="shared" si="502"/>
        <v>1</v>
      </c>
      <c r="C9056" t="str">
        <f t="shared" si="504"/>
        <v>182</v>
      </c>
      <c r="D9056" t="str">
        <f>"41"</f>
        <v>41</v>
      </c>
      <c r="E9056" t="str">
        <f>"1-182-41"</f>
        <v>1-182-41</v>
      </c>
      <c r="F9056" t="s">
        <v>65</v>
      </c>
      <c r="G9056" t="s">
        <v>66</v>
      </c>
      <c r="H9056" t="s">
        <v>67</v>
      </c>
      <c r="S9056">
        <v>1</v>
      </c>
      <c r="T9056">
        <v>0</v>
      </c>
      <c r="U9056">
        <v>0</v>
      </c>
      <c r="V9056">
        <v>0</v>
      </c>
      <c r="W9056">
        <v>1</v>
      </c>
      <c r="X9056">
        <v>0</v>
      </c>
      <c r="Y9056">
        <v>0</v>
      </c>
      <c r="Z9056">
        <v>1</v>
      </c>
      <c r="AA9056">
        <v>1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</row>
    <row r="9057" spans="1:39" x14ac:dyDescent="0.2">
      <c r="A9057" t="str">
        <f>"9053"</f>
        <v>9053</v>
      </c>
      <c r="B9057" t="str">
        <f t="shared" si="502"/>
        <v>1</v>
      </c>
      <c r="C9057" t="str">
        <f t="shared" si="504"/>
        <v>182</v>
      </c>
      <c r="D9057" t="str">
        <f>"21"</f>
        <v>21</v>
      </c>
      <c r="E9057" t="str">
        <f>"1-182-21"</f>
        <v>1-182-21</v>
      </c>
      <c r="F9057" t="s">
        <v>65</v>
      </c>
      <c r="G9057" t="s">
        <v>66</v>
      </c>
      <c r="H9057" t="s">
        <v>67</v>
      </c>
      <c r="S9057">
        <v>1</v>
      </c>
      <c r="T9057">
        <v>0</v>
      </c>
      <c r="U9057">
        <v>0</v>
      </c>
      <c r="V9057">
        <v>0</v>
      </c>
      <c r="W9057">
        <v>1</v>
      </c>
      <c r="X9057">
        <v>0</v>
      </c>
      <c r="Y9057">
        <v>1</v>
      </c>
      <c r="Z9057">
        <v>0</v>
      </c>
      <c r="AA9057">
        <v>1</v>
      </c>
      <c r="AB9057">
        <v>0</v>
      </c>
      <c r="AC9057">
        <v>0</v>
      </c>
      <c r="AD9057">
        <v>1</v>
      </c>
      <c r="AE9057">
        <v>1</v>
      </c>
      <c r="AF9057">
        <v>1</v>
      </c>
      <c r="AG9057">
        <v>1</v>
      </c>
      <c r="AH9057">
        <v>1</v>
      </c>
      <c r="AI9057">
        <v>1</v>
      </c>
      <c r="AJ9057">
        <v>1</v>
      </c>
      <c r="AK9057">
        <v>1</v>
      </c>
      <c r="AL9057">
        <v>1</v>
      </c>
      <c r="AM9057">
        <v>1</v>
      </c>
    </row>
    <row r="9058" spans="1:39" x14ac:dyDescent="0.2">
      <c r="A9058" t="str">
        <f>"9054"</f>
        <v>9054</v>
      </c>
      <c r="B9058" t="str">
        <f t="shared" si="502"/>
        <v>1</v>
      </c>
      <c r="C9058" t="str">
        <f t="shared" si="504"/>
        <v>182</v>
      </c>
      <c r="D9058" t="str">
        <f>"15"</f>
        <v>15</v>
      </c>
      <c r="E9058" t="str">
        <f>"1-182-15"</f>
        <v>1-182-15</v>
      </c>
      <c r="F9058" t="s">
        <v>65</v>
      </c>
      <c r="G9058" t="s">
        <v>66</v>
      </c>
      <c r="H9058" t="s">
        <v>67</v>
      </c>
      <c r="S9058">
        <v>1</v>
      </c>
      <c r="T9058">
        <v>0</v>
      </c>
      <c r="U9058">
        <v>0</v>
      </c>
      <c r="V9058">
        <v>0</v>
      </c>
      <c r="W9058">
        <v>1</v>
      </c>
      <c r="X9058">
        <v>0</v>
      </c>
      <c r="Y9058">
        <v>1</v>
      </c>
      <c r="Z9058">
        <v>0</v>
      </c>
      <c r="AA9058">
        <v>1</v>
      </c>
      <c r="AB9058">
        <v>0</v>
      </c>
      <c r="AC9058">
        <v>0</v>
      </c>
      <c r="AD9058">
        <v>1</v>
      </c>
      <c r="AE9058">
        <v>1</v>
      </c>
      <c r="AF9058">
        <v>1</v>
      </c>
      <c r="AG9058">
        <v>1</v>
      </c>
      <c r="AH9058">
        <v>1</v>
      </c>
      <c r="AI9058">
        <v>1</v>
      </c>
      <c r="AJ9058">
        <v>1</v>
      </c>
      <c r="AK9058">
        <v>1</v>
      </c>
      <c r="AL9058">
        <v>1</v>
      </c>
      <c r="AM9058">
        <v>1</v>
      </c>
    </row>
    <row r="9059" spans="1:39" x14ac:dyDescent="0.2">
      <c r="A9059" t="str">
        <f>"9055"</f>
        <v>9055</v>
      </c>
      <c r="B9059" t="str">
        <f t="shared" si="502"/>
        <v>1</v>
      </c>
      <c r="C9059" t="str">
        <f t="shared" si="504"/>
        <v>182</v>
      </c>
      <c r="D9059" t="str">
        <f>"1"</f>
        <v>1</v>
      </c>
      <c r="E9059" t="str">
        <f>"1-182-1"</f>
        <v>1-182-1</v>
      </c>
      <c r="F9059" t="s">
        <v>65</v>
      </c>
      <c r="G9059" t="s">
        <v>66</v>
      </c>
      <c r="H9059" t="s">
        <v>67</v>
      </c>
      <c r="S9059">
        <v>1</v>
      </c>
      <c r="T9059">
        <v>0</v>
      </c>
      <c r="U9059">
        <v>0</v>
      </c>
      <c r="V9059">
        <v>0</v>
      </c>
      <c r="W9059">
        <v>1</v>
      </c>
      <c r="X9059">
        <v>0</v>
      </c>
      <c r="Y9059">
        <v>0</v>
      </c>
      <c r="Z9059">
        <v>1</v>
      </c>
      <c r="AA9059">
        <v>0</v>
      </c>
      <c r="AB9059">
        <v>0</v>
      </c>
      <c r="AC9059">
        <v>0</v>
      </c>
      <c r="AD9059">
        <v>1</v>
      </c>
      <c r="AE9059">
        <v>1</v>
      </c>
      <c r="AF9059">
        <v>0</v>
      </c>
      <c r="AG9059">
        <v>1</v>
      </c>
      <c r="AH9059">
        <v>1</v>
      </c>
      <c r="AI9059">
        <v>1</v>
      </c>
      <c r="AJ9059">
        <v>1</v>
      </c>
      <c r="AK9059">
        <v>1</v>
      </c>
      <c r="AL9059">
        <v>1</v>
      </c>
      <c r="AM9059">
        <v>1</v>
      </c>
    </row>
    <row r="9060" spans="1:39" x14ac:dyDescent="0.2">
      <c r="A9060" t="str">
        <f>"9056"</f>
        <v>9056</v>
      </c>
      <c r="B9060" t="str">
        <f t="shared" si="502"/>
        <v>1</v>
      </c>
      <c r="C9060" t="str">
        <f t="shared" si="504"/>
        <v>182</v>
      </c>
      <c r="D9060" t="str">
        <f>"34"</f>
        <v>34</v>
      </c>
      <c r="E9060" t="str">
        <f>"1-182-34"</f>
        <v>1-182-34</v>
      </c>
      <c r="F9060" t="s">
        <v>65</v>
      </c>
      <c r="G9060" t="s">
        <v>66</v>
      </c>
      <c r="H9060" t="s">
        <v>67</v>
      </c>
      <c r="S9060">
        <v>1</v>
      </c>
      <c r="T9060">
        <v>0</v>
      </c>
      <c r="U9060">
        <v>0</v>
      </c>
      <c r="V9060">
        <v>0</v>
      </c>
      <c r="W9060">
        <v>1</v>
      </c>
      <c r="X9060">
        <v>0</v>
      </c>
      <c r="Y9060">
        <v>1</v>
      </c>
      <c r="Z9060">
        <v>0</v>
      </c>
      <c r="AA9060">
        <v>1</v>
      </c>
      <c r="AB9060">
        <v>0</v>
      </c>
      <c r="AC9060">
        <v>0</v>
      </c>
      <c r="AD9060">
        <v>1</v>
      </c>
      <c r="AE9060">
        <v>1</v>
      </c>
      <c r="AF9060">
        <v>1</v>
      </c>
      <c r="AG9060">
        <v>1</v>
      </c>
      <c r="AH9060">
        <v>1</v>
      </c>
      <c r="AI9060">
        <v>1</v>
      </c>
      <c r="AJ9060">
        <v>0</v>
      </c>
      <c r="AK9060">
        <v>1</v>
      </c>
      <c r="AL9060">
        <v>1</v>
      </c>
      <c r="AM9060">
        <v>1</v>
      </c>
    </row>
    <row r="9061" spans="1:39" x14ac:dyDescent="0.2">
      <c r="A9061" t="str">
        <f>"9057"</f>
        <v>9057</v>
      </c>
      <c r="B9061" t="str">
        <f t="shared" si="502"/>
        <v>1</v>
      </c>
      <c r="C9061" t="str">
        <f t="shared" si="504"/>
        <v>182</v>
      </c>
      <c r="D9061" t="str">
        <f>"33"</f>
        <v>33</v>
      </c>
      <c r="E9061" t="str">
        <f>"1-182-33"</f>
        <v>1-182-33</v>
      </c>
      <c r="F9061" t="s">
        <v>65</v>
      </c>
      <c r="G9061" t="s">
        <v>66</v>
      </c>
      <c r="H9061" t="s">
        <v>67</v>
      </c>
      <c r="S9061">
        <v>1</v>
      </c>
      <c r="T9061">
        <v>0</v>
      </c>
      <c r="U9061">
        <v>0</v>
      </c>
      <c r="V9061">
        <v>0</v>
      </c>
      <c r="W9061">
        <v>0</v>
      </c>
      <c r="X9061">
        <v>1</v>
      </c>
      <c r="Y9061">
        <v>1</v>
      </c>
      <c r="Z9061">
        <v>0</v>
      </c>
      <c r="AA9061">
        <v>1</v>
      </c>
      <c r="AB9061">
        <v>0</v>
      </c>
      <c r="AC9061">
        <v>0</v>
      </c>
      <c r="AD9061">
        <v>1</v>
      </c>
      <c r="AE9061">
        <v>1</v>
      </c>
      <c r="AF9061">
        <v>1</v>
      </c>
      <c r="AG9061">
        <v>1</v>
      </c>
      <c r="AH9061">
        <v>1</v>
      </c>
      <c r="AI9061">
        <v>1</v>
      </c>
      <c r="AJ9061">
        <v>1</v>
      </c>
      <c r="AK9061">
        <v>1</v>
      </c>
      <c r="AL9061">
        <v>1</v>
      </c>
      <c r="AM9061">
        <v>1</v>
      </c>
    </row>
    <row r="9062" spans="1:39" x14ac:dyDescent="0.2">
      <c r="A9062" t="str">
        <f>"9058"</f>
        <v>9058</v>
      </c>
      <c r="B9062" t="str">
        <f t="shared" si="502"/>
        <v>1</v>
      </c>
      <c r="C9062" t="str">
        <f t="shared" si="504"/>
        <v>182</v>
      </c>
      <c r="D9062" t="str">
        <f>"25"</f>
        <v>25</v>
      </c>
      <c r="E9062" t="str">
        <f>"1-182-25"</f>
        <v>1-182-25</v>
      </c>
      <c r="F9062" t="s">
        <v>65</v>
      </c>
      <c r="G9062" t="s">
        <v>66</v>
      </c>
      <c r="H9062" t="s">
        <v>67</v>
      </c>
      <c r="S9062">
        <v>1</v>
      </c>
      <c r="T9062">
        <v>0</v>
      </c>
      <c r="U9062">
        <v>0</v>
      </c>
      <c r="V9062">
        <v>0</v>
      </c>
      <c r="W9062">
        <v>1</v>
      </c>
      <c r="X9062">
        <v>0</v>
      </c>
      <c r="Y9062">
        <v>0</v>
      </c>
      <c r="Z9062">
        <v>1</v>
      </c>
      <c r="AA9062">
        <v>1</v>
      </c>
      <c r="AB9062">
        <v>0</v>
      </c>
      <c r="AC9062">
        <v>0</v>
      </c>
      <c r="AD9062">
        <v>1</v>
      </c>
      <c r="AE9062">
        <v>1</v>
      </c>
      <c r="AF9062">
        <v>1</v>
      </c>
      <c r="AG9062">
        <v>1</v>
      </c>
      <c r="AH9062">
        <v>1</v>
      </c>
      <c r="AI9062">
        <v>1</v>
      </c>
      <c r="AJ9062">
        <v>1</v>
      </c>
      <c r="AK9062">
        <v>1</v>
      </c>
      <c r="AL9062">
        <v>1</v>
      </c>
      <c r="AM9062">
        <v>1</v>
      </c>
    </row>
    <row r="9063" spans="1:39" x14ac:dyDescent="0.2">
      <c r="A9063" t="str">
        <f>"9059"</f>
        <v>9059</v>
      </c>
      <c r="B9063" t="str">
        <f t="shared" si="502"/>
        <v>1</v>
      </c>
      <c r="C9063" t="str">
        <f t="shared" si="504"/>
        <v>182</v>
      </c>
      <c r="D9063" t="str">
        <f>"16"</f>
        <v>16</v>
      </c>
      <c r="E9063" t="str">
        <f>"1-182-16"</f>
        <v>1-182-16</v>
      </c>
      <c r="F9063" t="s">
        <v>65</v>
      </c>
      <c r="G9063" t="s">
        <v>66</v>
      </c>
      <c r="H9063" t="s">
        <v>67</v>
      </c>
      <c r="S9063">
        <v>0</v>
      </c>
      <c r="T9063">
        <v>1</v>
      </c>
      <c r="U9063">
        <v>0</v>
      </c>
      <c r="V9063">
        <v>0</v>
      </c>
      <c r="W9063">
        <v>1</v>
      </c>
      <c r="X9063">
        <v>0</v>
      </c>
      <c r="Y9063">
        <v>0</v>
      </c>
      <c r="Z9063">
        <v>1</v>
      </c>
      <c r="AA9063">
        <v>0</v>
      </c>
      <c r="AB9063">
        <v>0</v>
      </c>
      <c r="AC9063">
        <v>1</v>
      </c>
      <c r="AD9063">
        <v>1</v>
      </c>
      <c r="AE9063">
        <v>1</v>
      </c>
      <c r="AF9063">
        <v>1</v>
      </c>
      <c r="AG9063">
        <v>1</v>
      </c>
      <c r="AH9063">
        <v>1</v>
      </c>
      <c r="AI9063">
        <v>1</v>
      </c>
      <c r="AJ9063">
        <v>1</v>
      </c>
      <c r="AK9063">
        <v>1</v>
      </c>
      <c r="AL9063">
        <v>1</v>
      </c>
      <c r="AM9063">
        <v>1</v>
      </c>
    </row>
    <row r="9064" spans="1:39" x14ac:dyDescent="0.2">
      <c r="A9064" t="str">
        <f>"9060"</f>
        <v>9060</v>
      </c>
      <c r="B9064" t="str">
        <f t="shared" si="502"/>
        <v>1</v>
      </c>
      <c r="C9064" t="str">
        <f t="shared" si="504"/>
        <v>182</v>
      </c>
      <c r="D9064" t="str">
        <f>"12"</f>
        <v>12</v>
      </c>
      <c r="E9064" t="str">
        <f>"1-182-12"</f>
        <v>1-182-12</v>
      </c>
      <c r="F9064" t="s">
        <v>65</v>
      </c>
      <c r="G9064" t="s">
        <v>66</v>
      </c>
      <c r="H9064" t="s">
        <v>67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1</v>
      </c>
      <c r="Y9064">
        <v>0</v>
      </c>
      <c r="Z9064">
        <v>1</v>
      </c>
      <c r="AA9064">
        <v>0</v>
      </c>
      <c r="AB9064">
        <v>0</v>
      </c>
      <c r="AC9064">
        <v>1</v>
      </c>
      <c r="AD9064">
        <v>1</v>
      </c>
      <c r="AE9064">
        <v>1</v>
      </c>
      <c r="AF9064">
        <v>1</v>
      </c>
      <c r="AG9064">
        <v>1</v>
      </c>
      <c r="AH9064">
        <v>1</v>
      </c>
      <c r="AI9064">
        <v>1</v>
      </c>
      <c r="AJ9064">
        <v>1</v>
      </c>
      <c r="AK9064">
        <v>1</v>
      </c>
      <c r="AL9064">
        <v>1</v>
      </c>
      <c r="AM9064">
        <v>1</v>
      </c>
    </row>
    <row r="9065" spans="1:39" x14ac:dyDescent="0.2">
      <c r="A9065" t="str">
        <f>"9061"</f>
        <v>9061</v>
      </c>
      <c r="B9065" t="str">
        <f t="shared" si="502"/>
        <v>1</v>
      </c>
      <c r="C9065" t="str">
        <f t="shared" si="504"/>
        <v>182</v>
      </c>
      <c r="D9065" t="str">
        <f>"37"</f>
        <v>37</v>
      </c>
      <c r="E9065" t="str">
        <f>"1-182-37"</f>
        <v>1-182-37</v>
      </c>
      <c r="F9065" t="s">
        <v>65</v>
      </c>
      <c r="G9065" t="s">
        <v>66</v>
      </c>
      <c r="H9065" t="s">
        <v>67</v>
      </c>
      <c r="S9065">
        <v>1</v>
      </c>
      <c r="T9065">
        <v>0</v>
      </c>
      <c r="U9065">
        <v>0</v>
      </c>
      <c r="V9065">
        <v>0</v>
      </c>
      <c r="W9065">
        <v>1</v>
      </c>
      <c r="X9065">
        <v>0</v>
      </c>
      <c r="Y9065">
        <v>1</v>
      </c>
      <c r="Z9065">
        <v>0</v>
      </c>
      <c r="AA9065">
        <v>1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1</v>
      </c>
      <c r="AH9065">
        <v>1</v>
      </c>
      <c r="AI9065">
        <v>1</v>
      </c>
      <c r="AJ9065">
        <v>1</v>
      </c>
      <c r="AK9065">
        <v>1</v>
      </c>
      <c r="AL9065">
        <v>1</v>
      </c>
      <c r="AM9065">
        <v>1</v>
      </c>
    </row>
    <row r="9066" spans="1:39" x14ac:dyDescent="0.2">
      <c r="A9066" t="str">
        <f>"9062"</f>
        <v>9062</v>
      </c>
      <c r="B9066" t="str">
        <f t="shared" si="502"/>
        <v>1</v>
      </c>
      <c r="C9066" t="str">
        <f t="shared" si="504"/>
        <v>182</v>
      </c>
      <c r="D9066" t="str">
        <f>"36"</f>
        <v>36</v>
      </c>
      <c r="E9066" t="str">
        <f>"1-182-36"</f>
        <v>1-182-36</v>
      </c>
      <c r="F9066" t="s">
        <v>65</v>
      </c>
      <c r="G9066" t="s">
        <v>66</v>
      </c>
      <c r="H9066" t="s">
        <v>67</v>
      </c>
      <c r="S9066">
        <v>0</v>
      </c>
      <c r="T9066">
        <v>1</v>
      </c>
      <c r="U9066">
        <v>0</v>
      </c>
      <c r="V9066">
        <v>0</v>
      </c>
      <c r="W9066">
        <v>1</v>
      </c>
      <c r="X9066">
        <v>0</v>
      </c>
      <c r="Y9066">
        <v>0</v>
      </c>
      <c r="Z9066">
        <v>1</v>
      </c>
      <c r="AA9066">
        <v>1</v>
      </c>
      <c r="AB9066">
        <v>0</v>
      </c>
      <c r="AC9066">
        <v>0</v>
      </c>
      <c r="AD9066">
        <v>1</v>
      </c>
      <c r="AE9066">
        <v>1</v>
      </c>
      <c r="AF9066">
        <v>1</v>
      </c>
      <c r="AG9066">
        <v>0</v>
      </c>
      <c r="AH9066">
        <v>1</v>
      </c>
      <c r="AI9066">
        <v>1</v>
      </c>
      <c r="AJ9066">
        <v>1</v>
      </c>
      <c r="AK9066">
        <v>1</v>
      </c>
      <c r="AL9066">
        <v>1</v>
      </c>
      <c r="AM9066">
        <v>1</v>
      </c>
    </row>
    <row r="9067" spans="1:39" x14ac:dyDescent="0.2">
      <c r="A9067" t="str">
        <f>"9063"</f>
        <v>9063</v>
      </c>
      <c r="B9067" t="str">
        <f t="shared" si="502"/>
        <v>1</v>
      </c>
      <c r="C9067" t="str">
        <f t="shared" si="504"/>
        <v>182</v>
      </c>
      <c r="D9067" t="str">
        <f>"22"</f>
        <v>22</v>
      </c>
      <c r="E9067" t="str">
        <f>"1-182-22"</f>
        <v>1-182-22</v>
      </c>
      <c r="F9067" t="s">
        <v>65</v>
      </c>
      <c r="G9067" t="s">
        <v>66</v>
      </c>
      <c r="H9067" t="s">
        <v>67</v>
      </c>
      <c r="S9067">
        <v>1</v>
      </c>
      <c r="T9067">
        <v>0</v>
      </c>
      <c r="U9067">
        <v>0</v>
      </c>
      <c r="V9067">
        <v>0</v>
      </c>
      <c r="W9067">
        <v>1</v>
      </c>
      <c r="X9067">
        <v>0</v>
      </c>
      <c r="Y9067">
        <v>1</v>
      </c>
      <c r="Z9067">
        <v>0</v>
      </c>
      <c r="AA9067">
        <v>1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1</v>
      </c>
      <c r="AJ9067">
        <v>0</v>
      </c>
      <c r="AK9067">
        <v>0</v>
      </c>
      <c r="AL9067">
        <v>0</v>
      </c>
      <c r="AM9067">
        <v>0</v>
      </c>
    </row>
    <row r="9068" spans="1:39" x14ac:dyDescent="0.2">
      <c r="A9068" t="str">
        <f>"9064"</f>
        <v>9064</v>
      </c>
      <c r="B9068" t="str">
        <f t="shared" si="502"/>
        <v>1</v>
      </c>
      <c r="C9068" t="str">
        <f t="shared" si="504"/>
        <v>182</v>
      </c>
      <c r="D9068" t="str">
        <f>"17"</f>
        <v>17</v>
      </c>
      <c r="E9068" t="str">
        <f>"1-182-17"</f>
        <v>1-182-17</v>
      </c>
      <c r="F9068" t="s">
        <v>65</v>
      </c>
      <c r="G9068" t="s">
        <v>66</v>
      </c>
      <c r="H9068" t="s">
        <v>67</v>
      </c>
      <c r="S9068">
        <v>1</v>
      </c>
      <c r="T9068">
        <v>0</v>
      </c>
      <c r="U9068">
        <v>0</v>
      </c>
      <c r="V9068">
        <v>0</v>
      </c>
      <c r="W9068">
        <v>1</v>
      </c>
      <c r="X9068">
        <v>0</v>
      </c>
      <c r="Y9068">
        <v>0</v>
      </c>
      <c r="Z9068">
        <v>1</v>
      </c>
      <c r="AA9068">
        <v>1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1</v>
      </c>
      <c r="AI9068">
        <v>1</v>
      </c>
      <c r="AJ9068">
        <v>1</v>
      </c>
      <c r="AK9068">
        <v>1</v>
      </c>
      <c r="AL9068">
        <v>1</v>
      </c>
      <c r="AM9068">
        <v>1</v>
      </c>
    </row>
    <row r="9069" spans="1:39" x14ac:dyDescent="0.2">
      <c r="A9069" t="str">
        <f>"9065"</f>
        <v>9065</v>
      </c>
      <c r="B9069" t="str">
        <f t="shared" si="502"/>
        <v>1</v>
      </c>
      <c r="C9069" t="str">
        <f t="shared" si="504"/>
        <v>182</v>
      </c>
      <c r="D9069" t="str">
        <f>"6"</f>
        <v>6</v>
      </c>
      <c r="E9069" t="str">
        <f>"1-182-6"</f>
        <v>1-182-6</v>
      </c>
      <c r="F9069" t="s">
        <v>65</v>
      </c>
      <c r="G9069" t="s">
        <v>66</v>
      </c>
      <c r="H9069" t="s">
        <v>67</v>
      </c>
      <c r="S9069">
        <v>1</v>
      </c>
      <c r="T9069">
        <v>0</v>
      </c>
      <c r="U9069">
        <v>0</v>
      </c>
      <c r="V9069">
        <v>0</v>
      </c>
      <c r="W9069">
        <v>1</v>
      </c>
      <c r="X9069">
        <v>0</v>
      </c>
      <c r="Y9069">
        <v>0</v>
      </c>
      <c r="Z9069">
        <v>1</v>
      </c>
      <c r="AA9069">
        <v>1</v>
      </c>
      <c r="AB9069">
        <v>0</v>
      </c>
      <c r="AC9069">
        <v>0</v>
      </c>
      <c r="AD9069">
        <v>1</v>
      </c>
      <c r="AE9069">
        <v>1</v>
      </c>
      <c r="AF9069">
        <v>1</v>
      </c>
      <c r="AG9069">
        <v>1</v>
      </c>
      <c r="AH9069">
        <v>1</v>
      </c>
      <c r="AI9069">
        <v>1</v>
      </c>
      <c r="AJ9069">
        <v>1</v>
      </c>
      <c r="AK9069">
        <v>1</v>
      </c>
      <c r="AL9069">
        <v>1</v>
      </c>
      <c r="AM9069">
        <v>1</v>
      </c>
    </row>
    <row r="9070" spans="1:39" x14ac:dyDescent="0.2">
      <c r="A9070" t="str">
        <f>"9066"</f>
        <v>9066</v>
      </c>
      <c r="B9070" t="str">
        <f t="shared" si="502"/>
        <v>1</v>
      </c>
      <c r="C9070" t="str">
        <f t="shared" si="504"/>
        <v>182</v>
      </c>
      <c r="D9070" t="str">
        <f>"40"</f>
        <v>40</v>
      </c>
      <c r="E9070" t="str">
        <f>"1-182-40"</f>
        <v>1-182-40</v>
      </c>
      <c r="F9070" t="s">
        <v>65</v>
      </c>
      <c r="G9070" t="s">
        <v>66</v>
      </c>
      <c r="H9070" t="s">
        <v>67</v>
      </c>
      <c r="S9070">
        <v>1</v>
      </c>
      <c r="T9070">
        <v>0</v>
      </c>
      <c r="U9070">
        <v>0</v>
      </c>
      <c r="V9070">
        <v>0</v>
      </c>
      <c r="W9070">
        <v>0</v>
      </c>
      <c r="X9070">
        <v>1</v>
      </c>
      <c r="Y9070">
        <v>1</v>
      </c>
      <c r="Z9070">
        <v>0</v>
      </c>
      <c r="AA9070">
        <v>1</v>
      </c>
      <c r="AB9070">
        <v>0</v>
      </c>
      <c r="AC9070">
        <v>0</v>
      </c>
      <c r="AD9070">
        <v>1</v>
      </c>
      <c r="AE9070">
        <v>1</v>
      </c>
      <c r="AF9070">
        <v>1</v>
      </c>
      <c r="AG9070">
        <v>1</v>
      </c>
      <c r="AH9070">
        <v>1</v>
      </c>
      <c r="AI9070">
        <v>1</v>
      </c>
      <c r="AJ9070">
        <v>1</v>
      </c>
      <c r="AK9070">
        <v>1</v>
      </c>
      <c r="AL9070">
        <v>1</v>
      </c>
      <c r="AM9070">
        <v>1</v>
      </c>
    </row>
    <row r="9071" spans="1:39" x14ac:dyDescent="0.2">
      <c r="A9071" t="str">
        <f>"9067"</f>
        <v>9067</v>
      </c>
      <c r="B9071" t="str">
        <f t="shared" si="502"/>
        <v>1</v>
      </c>
      <c r="C9071" t="str">
        <f t="shared" si="504"/>
        <v>182</v>
      </c>
      <c r="D9071" t="str">
        <f>"39"</f>
        <v>39</v>
      </c>
      <c r="E9071" t="str">
        <f>"1-182-39"</f>
        <v>1-182-39</v>
      </c>
      <c r="F9071" t="s">
        <v>65</v>
      </c>
      <c r="G9071" t="s">
        <v>66</v>
      </c>
      <c r="H9071" t="s">
        <v>67</v>
      </c>
      <c r="S9071">
        <v>1</v>
      </c>
      <c r="T9071">
        <v>0</v>
      </c>
      <c r="U9071">
        <v>0</v>
      </c>
      <c r="V9071">
        <v>0</v>
      </c>
      <c r="W9071">
        <v>1</v>
      </c>
      <c r="X9071">
        <v>0</v>
      </c>
      <c r="Y9071">
        <v>1</v>
      </c>
      <c r="Z9071">
        <v>0</v>
      </c>
      <c r="AA9071">
        <v>1</v>
      </c>
      <c r="AB9071">
        <v>0</v>
      </c>
      <c r="AC9071">
        <v>0</v>
      </c>
      <c r="AD9071">
        <v>0</v>
      </c>
      <c r="AE9071">
        <v>1</v>
      </c>
      <c r="AF9071">
        <v>1</v>
      </c>
      <c r="AG9071">
        <v>1</v>
      </c>
      <c r="AH9071">
        <v>1</v>
      </c>
      <c r="AI9071">
        <v>1</v>
      </c>
      <c r="AJ9071">
        <v>1</v>
      </c>
      <c r="AK9071">
        <v>1</v>
      </c>
      <c r="AL9071">
        <v>1</v>
      </c>
      <c r="AM9071">
        <v>1</v>
      </c>
    </row>
    <row r="9072" spans="1:39" x14ac:dyDescent="0.2">
      <c r="A9072" t="str">
        <f>"9068"</f>
        <v>9068</v>
      </c>
      <c r="B9072" t="str">
        <f t="shared" si="502"/>
        <v>1</v>
      </c>
      <c r="C9072" t="str">
        <f t="shared" si="504"/>
        <v>182</v>
      </c>
      <c r="D9072" t="str">
        <f>"24"</f>
        <v>24</v>
      </c>
      <c r="E9072" t="str">
        <f>"1-182-24"</f>
        <v>1-182-24</v>
      </c>
      <c r="F9072" t="s">
        <v>65</v>
      </c>
      <c r="G9072" t="s">
        <v>66</v>
      </c>
      <c r="H9072" t="s">
        <v>67</v>
      </c>
      <c r="S9072">
        <v>1</v>
      </c>
      <c r="T9072">
        <v>0</v>
      </c>
      <c r="U9072">
        <v>0</v>
      </c>
      <c r="V9072">
        <v>0</v>
      </c>
      <c r="W9072">
        <v>1</v>
      </c>
      <c r="X9072">
        <v>0</v>
      </c>
      <c r="Y9072">
        <v>0</v>
      </c>
      <c r="Z9072">
        <v>1</v>
      </c>
      <c r="AA9072">
        <v>1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1</v>
      </c>
      <c r="AJ9072">
        <v>1</v>
      </c>
      <c r="AK9072">
        <v>1</v>
      </c>
      <c r="AL9072">
        <v>1</v>
      </c>
      <c r="AM9072">
        <v>0</v>
      </c>
    </row>
    <row r="9073" spans="1:39" x14ac:dyDescent="0.2">
      <c r="A9073" t="str">
        <f>"9069"</f>
        <v>9069</v>
      </c>
      <c r="B9073" t="str">
        <f t="shared" si="502"/>
        <v>1</v>
      </c>
      <c r="C9073" t="str">
        <f t="shared" si="504"/>
        <v>182</v>
      </c>
      <c r="D9073" t="str">
        <f>"18"</f>
        <v>18</v>
      </c>
      <c r="E9073" t="str">
        <f>"1-182-18"</f>
        <v>1-182-18</v>
      </c>
      <c r="F9073" t="s">
        <v>65</v>
      </c>
      <c r="G9073" t="s">
        <v>66</v>
      </c>
      <c r="H9073" t="s">
        <v>67</v>
      </c>
      <c r="S9073">
        <v>0</v>
      </c>
      <c r="T9073">
        <v>1</v>
      </c>
      <c r="U9073">
        <v>0</v>
      </c>
      <c r="V9073">
        <v>0</v>
      </c>
      <c r="W9073">
        <v>1</v>
      </c>
      <c r="X9073">
        <v>0</v>
      </c>
      <c r="Y9073">
        <v>1</v>
      </c>
      <c r="Z9073">
        <v>0</v>
      </c>
      <c r="AA9073">
        <v>1</v>
      </c>
      <c r="AB9073">
        <v>0</v>
      </c>
      <c r="AC9073">
        <v>0</v>
      </c>
      <c r="AD9073">
        <v>1</v>
      </c>
      <c r="AE9073">
        <v>1</v>
      </c>
      <c r="AF9073">
        <v>1</v>
      </c>
      <c r="AG9073">
        <v>1</v>
      </c>
      <c r="AH9073">
        <v>1</v>
      </c>
      <c r="AI9073">
        <v>1</v>
      </c>
      <c r="AJ9073">
        <v>1</v>
      </c>
      <c r="AK9073">
        <v>1</v>
      </c>
      <c r="AL9073">
        <v>1</v>
      </c>
      <c r="AM9073">
        <v>1</v>
      </c>
    </row>
    <row r="9074" spans="1:39" x14ac:dyDescent="0.2">
      <c r="A9074" t="str">
        <f>"9070"</f>
        <v>9070</v>
      </c>
      <c r="B9074" t="str">
        <f t="shared" si="502"/>
        <v>1</v>
      </c>
      <c r="C9074" t="str">
        <f t="shared" si="504"/>
        <v>182</v>
      </c>
      <c r="D9074" t="str">
        <f>"11"</f>
        <v>11</v>
      </c>
      <c r="E9074" t="str">
        <f>"1-182-11"</f>
        <v>1-182-11</v>
      </c>
      <c r="F9074" t="s">
        <v>65</v>
      </c>
      <c r="G9074" t="s">
        <v>66</v>
      </c>
      <c r="H9074" t="s">
        <v>67</v>
      </c>
      <c r="S9074">
        <v>0</v>
      </c>
      <c r="T9074">
        <v>1</v>
      </c>
      <c r="U9074">
        <v>0</v>
      </c>
      <c r="V9074">
        <v>0</v>
      </c>
      <c r="W9074">
        <v>1</v>
      </c>
      <c r="X9074">
        <v>0</v>
      </c>
      <c r="Y9074">
        <v>0</v>
      </c>
      <c r="Z9074">
        <v>1</v>
      </c>
      <c r="AA9074">
        <v>1</v>
      </c>
      <c r="AB9074">
        <v>0</v>
      </c>
      <c r="AC9074">
        <v>0</v>
      </c>
      <c r="AD9074">
        <v>1</v>
      </c>
      <c r="AE9074">
        <v>1</v>
      </c>
      <c r="AF9074">
        <v>1</v>
      </c>
      <c r="AG9074">
        <v>0</v>
      </c>
      <c r="AH9074">
        <v>1</v>
      </c>
      <c r="AI9074">
        <v>0</v>
      </c>
      <c r="AJ9074">
        <v>1</v>
      </c>
      <c r="AK9074">
        <v>1</v>
      </c>
      <c r="AL9074">
        <v>1</v>
      </c>
      <c r="AM9074">
        <v>1</v>
      </c>
    </row>
    <row r="9075" spans="1:39" x14ac:dyDescent="0.2">
      <c r="A9075" t="str">
        <f>"9071"</f>
        <v>9071</v>
      </c>
      <c r="B9075" t="str">
        <f t="shared" si="502"/>
        <v>1</v>
      </c>
      <c r="C9075" t="str">
        <f t="shared" si="504"/>
        <v>182</v>
      </c>
      <c r="D9075" t="str">
        <f>"38"</f>
        <v>38</v>
      </c>
      <c r="E9075" t="str">
        <f>"1-182-38"</f>
        <v>1-182-38</v>
      </c>
      <c r="F9075" t="s">
        <v>65</v>
      </c>
      <c r="G9075" t="s">
        <v>66</v>
      </c>
      <c r="H9075" t="s">
        <v>67</v>
      </c>
      <c r="S9075">
        <v>0</v>
      </c>
      <c r="T9075">
        <v>1</v>
      </c>
      <c r="U9075">
        <v>0</v>
      </c>
      <c r="V9075">
        <v>0</v>
      </c>
      <c r="W9075">
        <v>1</v>
      </c>
      <c r="X9075">
        <v>0</v>
      </c>
      <c r="Y9075">
        <v>1</v>
      </c>
      <c r="Z9075">
        <v>0</v>
      </c>
      <c r="AA9075">
        <v>0</v>
      </c>
      <c r="AB9075">
        <v>0</v>
      </c>
      <c r="AC9075">
        <v>1</v>
      </c>
      <c r="AD9075">
        <v>1</v>
      </c>
      <c r="AE9075">
        <v>1</v>
      </c>
      <c r="AF9075">
        <v>1</v>
      </c>
      <c r="AG9075">
        <v>1</v>
      </c>
      <c r="AH9075">
        <v>1</v>
      </c>
      <c r="AI9075">
        <v>1</v>
      </c>
      <c r="AJ9075">
        <v>1</v>
      </c>
      <c r="AK9075">
        <v>1</v>
      </c>
      <c r="AL9075">
        <v>1</v>
      </c>
      <c r="AM9075">
        <v>1</v>
      </c>
    </row>
    <row r="9076" spans="1:39" x14ac:dyDescent="0.2">
      <c r="A9076" t="str">
        <f>"9072"</f>
        <v>9072</v>
      </c>
      <c r="B9076" t="str">
        <f t="shared" si="502"/>
        <v>1</v>
      </c>
      <c r="C9076" t="str">
        <f t="shared" si="504"/>
        <v>182</v>
      </c>
      <c r="D9076" t="str">
        <f>"19"</f>
        <v>19</v>
      </c>
      <c r="E9076" t="str">
        <f>"1-182-19"</f>
        <v>1-182-19</v>
      </c>
      <c r="F9076" t="s">
        <v>65</v>
      </c>
      <c r="G9076" t="s">
        <v>66</v>
      </c>
      <c r="H9076" t="s">
        <v>67</v>
      </c>
      <c r="S9076">
        <v>0</v>
      </c>
      <c r="T9076">
        <v>1</v>
      </c>
      <c r="U9076">
        <v>0</v>
      </c>
      <c r="V9076">
        <v>0</v>
      </c>
      <c r="W9076">
        <v>1</v>
      </c>
      <c r="X9076">
        <v>0</v>
      </c>
      <c r="Y9076">
        <v>1</v>
      </c>
      <c r="Z9076">
        <v>0</v>
      </c>
      <c r="AA9076">
        <v>0</v>
      </c>
      <c r="AB9076">
        <v>0</v>
      </c>
      <c r="AC9076">
        <v>1</v>
      </c>
      <c r="AD9076">
        <v>1</v>
      </c>
      <c r="AE9076">
        <v>1</v>
      </c>
      <c r="AF9076">
        <v>1</v>
      </c>
      <c r="AG9076">
        <v>1</v>
      </c>
      <c r="AH9076">
        <v>1</v>
      </c>
      <c r="AI9076">
        <v>1</v>
      </c>
      <c r="AJ9076">
        <v>1</v>
      </c>
      <c r="AK9076">
        <v>1</v>
      </c>
      <c r="AL9076">
        <v>1</v>
      </c>
      <c r="AM9076">
        <v>1</v>
      </c>
    </row>
    <row r="9077" spans="1:39" x14ac:dyDescent="0.2">
      <c r="A9077" t="str">
        <f>"9073"</f>
        <v>9073</v>
      </c>
      <c r="B9077" t="str">
        <f t="shared" si="502"/>
        <v>1</v>
      </c>
      <c r="C9077" t="str">
        <f t="shared" si="504"/>
        <v>182</v>
      </c>
      <c r="D9077" t="str">
        <f>"3"</f>
        <v>3</v>
      </c>
      <c r="E9077" t="str">
        <f>"1-182-3"</f>
        <v>1-182-3</v>
      </c>
      <c r="F9077" t="s">
        <v>65</v>
      </c>
      <c r="G9077" t="s">
        <v>66</v>
      </c>
      <c r="H9077" t="s">
        <v>67</v>
      </c>
      <c r="S9077">
        <v>1</v>
      </c>
      <c r="T9077">
        <v>0</v>
      </c>
      <c r="U9077">
        <v>0</v>
      </c>
      <c r="V9077">
        <v>0</v>
      </c>
      <c r="W9077">
        <v>1</v>
      </c>
      <c r="X9077">
        <v>0</v>
      </c>
      <c r="Y9077">
        <v>1</v>
      </c>
      <c r="Z9077">
        <v>0</v>
      </c>
      <c r="AA9077">
        <v>0</v>
      </c>
      <c r="AB9077">
        <v>1</v>
      </c>
      <c r="AC9077">
        <v>0</v>
      </c>
      <c r="AD9077">
        <v>1</v>
      </c>
      <c r="AE9077">
        <v>1</v>
      </c>
      <c r="AF9077">
        <v>1</v>
      </c>
      <c r="AG9077">
        <v>1</v>
      </c>
      <c r="AH9077">
        <v>1</v>
      </c>
      <c r="AI9077">
        <v>1</v>
      </c>
      <c r="AJ9077">
        <v>1</v>
      </c>
      <c r="AK9077">
        <v>1</v>
      </c>
      <c r="AL9077">
        <v>1</v>
      </c>
      <c r="AM9077">
        <v>1</v>
      </c>
    </row>
    <row r="9078" spans="1:39" x14ac:dyDescent="0.2">
      <c r="A9078" t="str">
        <f>"9074"</f>
        <v>9074</v>
      </c>
      <c r="B9078" t="str">
        <f t="shared" si="502"/>
        <v>1</v>
      </c>
      <c r="C9078" t="str">
        <f t="shared" si="504"/>
        <v>182</v>
      </c>
      <c r="D9078" t="str">
        <f>"50"</f>
        <v>50</v>
      </c>
      <c r="E9078" t="str">
        <f>"1-182-50"</f>
        <v>1-182-50</v>
      </c>
      <c r="F9078" t="s">
        <v>65</v>
      </c>
      <c r="G9078" t="s">
        <v>66</v>
      </c>
      <c r="H9078" t="s">
        <v>67</v>
      </c>
      <c r="S9078">
        <v>0</v>
      </c>
      <c r="T9078">
        <v>1</v>
      </c>
      <c r="U9078">
        <v>0</v>
      </c>
      <c r="V9078">
        <v>0</v>
      </c>
      <c r="W9078">
        <v>1</v>
      </c>
      <c r="X9078">
        <v>0</v>
      </c>
      <c r="Y9078">
        <v>1</v>
      </c>
      <c r="Z9078">
        <v>0</v>
      </c>
      <c r="AA9078">
        <v>0</v>
      </c>
      <c r="AB9078">
        <v>1</v>
      </c>
      <c r="AC9078">
        <v>0</v>
      </c>
      <c r="AD9078">
        <v>1</v>
      </c>
      <c r="AE9078">
        <v>1</v>
      </c>
      <c r="AF9078">
        <v>1</v>
      </c>
      <c r="AG9078">
        <v>1</v>
      </c>
      <c r="AH9078">
        <v>1</v>
      </c>
      <c r="AI9078">
        <v>1</v>
      </c>
      <c r="AJ9078">
        <v>1</v>
      </c>
      <c r="AK9078">
        <v>1</v>
      </c>
      <c r="AL9078">
        <v>1</v>
      </c>
      <c r="AM9078">
        <v>1</v>
      </c>
    </row>
    <row r="9079" spans="1:39" x14ac:dyDescent="0.2">
      <c r="A9079" t="str">
        <f>"9075"</f>
        <v>9075</v>
      </c>
      <c r="B9079" t="str">
        <f t="shared" ref="B9079:B9142" si="505">"1"</f>
        <v>1</v>
      </c>
      <c r="C9079" t="str">
        <f t="shared" si="504"/>
        <v>182</v>
      </c>
      <c r="D9079" t="str">
        <f>"35"</f>
        <v>35</v>
      </c>
      <c r="E9079" t="str">
        <f>"1-182-35"</f>
        <v>1-182-35</v>
      </c>
      <c r="F9079" t="s">
        <v>65</v>
      </c>
      <c r="G9079" t="s">
        <v>66</v>
      </c>
      <c r="H9079" t="s">
        <v>67</v>
      </c>
      <c r="S9079">
        <v>0</v>
      </c>
      <c r="T9079">
        <v>1</v>
      </c>
      <c r="U9079">
        <v>0</v>
      </c>
      <c r="V9079">
        <v>0</v>
      </c>
      <c r="W9079">
        <v>1</v>
      </c>
      <c r="X9079">
        <v>0</v>
      </c>
      <c r="Y9079">
        <v>0</v>
      </c>
      <c r="Z9079">
        <v>1</v>
      </c>
      <c r="AA9079">
        <v>1</v>
      </c>
      <c r="AB9079">
        <v>0</v>
      </c>
      <c r="AC9079">
        <v>0</v>
      </c>
      <c r="AD9079">
        <v>1</v>
      </c>
      <c r="AE9079">
        <v>1</v>
      </c>
      <c r="AF9079">
        <v>1</v>
      </c>
      <c r="AG9079">
        <v>1</v>
      </c>
      <c r="AH9079">
        <v>1</v>
      </c>
      <c r="AI9079">
        <v>1</v>
      </c>
      <c r="AJ9079">
        <v>1</v>
      </c>
      <c r="AK9079">
        <v>1</v>
      </c>
      <c r="AL9079">
        <v>1</v>
      </c>
      <c r="AM9079">
        <v>1</v>
      </c>
    </row>
    <row r="9080" spans="1:39" x14ac:dyDescent="0.2">
      <c r="A9080" t="str">
        <f>"9076"</f>
        <v>9076</v>
      </c>
      <c r="B9080" t="str">
        <f t="shared" si="505"/>
        <v>1</v>
      </c>
      <c r="C9080" t="str">
        <f t="shared" si="504"/>
        <v>182</v>
      </c>
      <c r="D9080" t="str">
        <f>"20"</f>
        <v>20</v>
      </c>
      <c r="E9080" t="str">
        <f>"1-182-20"</f>
        <v>1-182-20</v>
      </c>
      <c r="F9080" t="s">
        <v>65</v>
      </c>
      <c r="G9080" t="s">
        <v>66</v>
      </c>
      <c r="H9080" t="s">
        <v>67</v>
      </c>
      <c r="S9080">
        <v>1</v>
      </c>
      <c r="T9080">
        <v>0</v>
      </c>
      <c r="U9080">
        <v>0</v>
      </c>
      <c r="V9080">
        <v>0</v>
      </c>
      <c r="W9080">
        <v>1</v>
      </c>
      <c r="X9080">
        <v>0</v>
      </c>
      <c r="Y9080">
        <v>1</v>
      </c>
      <c r="Z9080">
        <v>0</v>
      </c>
      <c r="AA9080">
        <v>0</v>
      </c>
      <c r="AB9080">
        <v>0</v>
      </c>
      <c r="AC9080">
        <v>1</v>
      </c>
      <c r="AD9080">
        <v>1</v>
      </c>
      <c r="AE9080">
        <v>1</v>
      </c>
      <c r="AF9080">
        <v>1</v>
      </c>
      <c r="AG9080">
        <v>1</v>
      </c>
      <c r="AH9080">
        <v>1</v>
      </c>
      <c r="AI9080">
        <v>1</v>
      </c>
      <c r="AJ9080">
        <v>1</v>
      </c>
      <c r="AK9080">
        <v>1</v>
      </c>
      <c r="AL9080">
        <v>1</v>
      </c>
      <c r="AM9080">
        <v>1</v>
      </c>
    </row>
    <row r="9081" spans="1:39" x14ac:dyDescent="0.2">
      <c r="A9081" t="str">
        <f>"9077"</f>
        <v>9077</v>
      </c>
      <c r="B9081" t="str">
        <f t="shared" si="505"/>
        <v>1</v>
      </c>
      <c r="C9081" t="str">
        <f t="shared" si="504"/>
        <v>182</v>
      </c>
      <c r="D9081" t="str">
        <f>"13"</f>
        <v>13</v>
      </c>
      <c r="E9081" t="str">
        <f>"1-182-13"</f>
        <v>1-182-13</v>
      </c>
      <c r="F9081" t="s">
        <v>65</v>
      </c>
      <c r="G9081" t="s">
        <v>66</v>
      </c>
      <c r="H9081" t="s">
        <v>67</v>
      </c>
      <c r="S9081">
        <v>1</v>
      </c>
      <c r="T9081">
        <v>0</v>
      </c>
      <c r="U9081">
        <v>0</v>
      </c>
      <c r="V9081">
        <v>0</v>
      </c>
      <c r="W9081">
        <v>1</v>
      </c>
      <c r="X9081">
        <v>0</v>
      </c>
      <c r="Y9081">
        <v>0</v>
      </c>
      <c r="Z9081">
        <v>1</v>
      </c>
      <c r="AA9081">
        <v>1</v>
      </c>
      <c r="AB9081">
        <v>0</v>
      </c>
      <c r="AC9081">
        <v>0</v>
      </c>
      <c r="AD9081">
        <v>1</v>
      </c>
      <c r="AE9081">
        <v>1</v>
      </c>
      <c r="AF9081">
        <v>1</v>
      </c>
      <c r="AG9081">
        <v>1</v>
      </c>
      <c r="AH9081">
        <v>1</v>
      </c>
      <c r="AI9081">
        <v>1</v>
      </c>
      <c r="AJ9081">
        <v>1</v>
      </c>
      <c r="AK9081">
        <v>1</v>
      </c>
      <c r="AL9081">
        <v>1</v>
      </c>
      <c r="AM9081">
        <v>1</v>
      </c>
    </row>
    <row r="9082" spans="1:39" x14ac:dyDescent="0.2">
      <c r="A9082" t="str">
        <f>"9078"</f>
        <v>9078</v>
      </c>
      <c r="B9082" t="str">
        <f t="shared" si="505"/>
        <v>1</v>
      </c>
      <c r="C9082" t="str">
        <f t="shared" si="504"/>
        <v>182</v>
      </c>
      <c r="D9082" t="str">
        <f>"43"</f>
        <v>43</v>
      </c>
      <c r="E9082" t="str">
        <f>"1-182-43"</f>
        <v>1-182-43</v>
      </c>
      <c r="F9082" t="s">
        <v>65</v>
      </c>
      <c r="G9082" t="s">
        <v>66</v>
      </c>
      <c r="H9082" t="s">
        <v>67</v>
      </c>
      <c r="S9082">
        <v>1</v>
      </c>
      <c r="T9082">
        <v>0</v>
      </c>
      <c r="U9082">
        <v>0</v>
      </c>
      <c r="V9082">
        <v>0</v>
      </c>
      <c r="W9082">
        <v>1</v>
      </c>
      <c r="X9082">
        <v>0</v>
      </c>
      <c r="Y9082">
        <v>1</v>
      </c>
      <c r="Z9082">
        <v>0</v>
      </c>
      <c r="AA9082">
        <v>1</v>
      </c>
      <c r="AB9082">
        <v>0</v>
      </c>
      <c r="AC9082">
        <v>0</v>
      </c>
      <c r="AD9082">
        <v>1</v>
      </c>
      <c r="AE9082">
        <v>1</v>
      </c>
      <c r="AF9082">
        <v>1</v>
      </c>
      <c r="AG9082">
        <v>1</v>
      </c>
      <c r="AH9082">
        <v>1</v>
      </c>
      <c r="AI9082">
        <v>1</v>
      </c>
      <c r="AJ9082">
        <v>1</v>
      </c>
      <c r="AK9082">
        <v>1</v>
      </c>
      <c r="AL9082">
        <v>1</v>
      </c>
      <c r="AM9082">
        <v>1</v>
      </c>
    </row>
    <row r="9083" spans="1:39" x14ac:dyDescent="0.2">
      <c r="A9083" t="str">
        <f>"9079"</f>
        <v>9079</v>
      </c>
      <c r="B9083" t="str">
        <f t="shared" si="505"/>
        <v>1</v>
      </c>
      <c r="C9083" t="str">
        <f t="shared" si="504"/>
        <v>182</v>
      </c>
      <c r="D9083" t="str">
        <f>"23"</f>
        <v>23</v>
      </c>
      <c r="E9083" t="str">
        <f>"1-182-23"</f>
        <v>1-182-23</v>
      </c>
      <c r="F9083" t="s">
        <v>65</v>
      </c>
      <c r="G9083" t="s">
        <v>66</v>
      </c>
      <c r="H9083" t="s">
        <v>67</v>
      </c>
      <c r="S9083">
        <v>1</v>
      </c>
      <c r="T9083">
        <v>0</v>
      </c>
      <c r="U9083">
        <v>0</v>
      </c>
      <c r="V9083">
        <v>0</v>
      </c>
      <c r="W9083">
        <v>1</v>
      </c>
      <c r="X9083">
        <v>0</v>
      </c>
      <c r="Y9083">
        <v>1</v>
      </c>
      <c r="Z9083">
        <v>0</v>
      </c>
      <c r="AA9083">
        <v>1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1</v>
      </c>
      <c r="AJ9083">
        <v>0</v>
      </c>
      <c r="AK9083">
        <v>0</v>
      </c>
      <c r="AL9083">
        <v>0</v>
      </c>
      <c r="AM9083">
        <v>0</v>
      </c>
    </row>
    <row r="9084" spans="1:39" x14ac:dyDescent="0.2">
      <c r="A9084" t="str">
        <f>"9080"</f>
        <v>9080</v>
      </c>
      <c r="B9084" t="str">
        <f t="shared" si="505"/>
        <v>1</v>
      </c>
      <c r="C9084" t="str">
        <f t="shared" si="504"/>
        <v>182</v>
      </c>
      <c r="D9084" t="str">
        <f>"10"</f>
        <v>10</v>
      </c>
      <c r="E9084" t="str">
        <f>"1-182-10"</f>
        <v>1-182-10</v>
      </c>
      <c r="F9084" t="s">
        <v>65</v>
      </c>
      <c r="G9084" t="s">
        <v>66</v>
      </c>
      <c r="H9084" t="s">
        <v>67</v>
      </c>
      <c r="S9084">
        <v>1</v>
      </c>
      <c r="T9084">
        <v>0</v>
      </c>
      <c r="U9084">
        <v>0</v>
      </c>
      <c r="V9084">
        <v>0</v>
      </c>
      <c r="W9084">
        <v>1</v>
      </c>
      <c r="X9084">
        <v>0</v>
      </c>
      <c r="Y9084">
        <v>1</v>
      </c>
      <c r="Z9084">
        <v>0</v>
      </c>
      <c r="AA9084">
        <v>1</v>
      </c>
      <c r="AB9084">
        <v>0</v>
      </c>
      <c r="AC9084">
        <v>0</v>
      </c>
      <c r="AD9084">
        <v>1</v>
      </c>
      <c r="AE9084">
        <v>1</v>
      </c>
      <c r="AF9084">
        <v>1</v>
      </c>
      <c r="AG9084">
        <v>1</v>
      </c>
      <c r="AH9084">
        <v>1</v>
      </c>
      <c r="AI9084">
        <v>1</v>
      </c>
      <c r="AJ9084">
        <v>1</v>
      </c>
      <c r="AK9084">
        <v>1</v>
      </c>
      <c r="AL9084">
        <v>1</v>
      </c>
      <c r="AM9084">
        <v>1</v>
      </c>
    </row>
    <row r="9085" spans="1:39" x14ac:dyDescent="0.2">
      <c r="A9085" t="str">
        <f>"9081"</f>
        <v>9081</v>
      </c>
      <c r="B9085" t="str">
        <f t="shared" si="505"/>
        <v>1</v>
      </c>
      <c r="C9085" t="str">
        <f t="shared" si="504"/>
        <v>182</v>
      </c>
      <c r="D9085" t="str">
        <f>"44"</f>
        <v>44</v>
      </c>
      <c r="E9085" t="str">
        <f>"1-182-44"</f>
        <v>1-182-44</v>
      </c>
      <c r="F9085" t="s">
        <v>65</v>
      </c>
      <c r="G9085" t="s">
        <v>66</v>
      </c>
      <c r="H9085" t="s">
        <v>67</v>
      </c>
      <c r="S9085">
        <v>1</v>
      </c>
      <c r="T9085">
        <v>0</v>
      </c>
      <c r="U9085">
        <v>0</v>
      </c>
      <c r="V9085">
        <v>0</v>
      </c>
      <c r="W9085">
        <v>1</v>
      </c>
      <c r="X9085">
        <v>0</v>
      </c>
      <c r="Y9085">
        <v>1</v>
      </c>
      <c r="Z9085">
        <v>0</v>
      </c>
      <c r="AA9085">
        <v>1</v>
      </c>
      <c r="AB9085">
        <v>0</v>
      </c>
      <c r="AC9085">
        <v>0</v>
      </c>
      <c r="AD9085">
        <v>1</v>
      </c>
      <c r="AE9085">
        <v>1</v>
      </c>
      <c r="AF9085">
        <v>1</v>
      </c>
      <c r="AG9085">
        <v>1</v>
      </c>
      <c r="AH9085">
        <v>1</v>
      </c>
      <c r="AI9085">
        <v>1</v>
      </c>
      <c r="AJ9085">
        <v>1</v>
      </c>
      <c r="AK9085">
        <v>1</v>
      </c>
      <c r="AL9085">
        <v>1</v>
      </c>
      <c r="AM9085">
        <v>1</v>
      </c>
    </row>
    <row r="9086" spans="1:39" x14ac:dyDescent="0.2">
      <c r="A9086" t="str">
        <f>"9082"</f>
        <v>9082</v>
      </c>
      <c r="B9086" t="str">
        <f t="shared" si="505"/>
        <v>1</v>
      </c>
      <c r="C9086" t="str">
        <f t="shared" si="504"/>
        <v>182</v>
      </c>
      <c r="D9086" t="str">
        <f>"26"</f>
        <v>26</v>
      </c>
      <c r="E9086" t="str">
        <f>"1-182-26"</f>
        <v>1-182-26</v>
      </c>
      <c r="F9086" t="s">
        <v>65</v>
      </c>
      <c r="G9086" t="s">
        <v>66</v>
      </c>
      <c r="H9086" t="s">
        <v>67</v>
      </c>
      <c r="S9086">
        <v>1</v>
      </c>
      <c r="T9086">
        <v>0</v>
      </c>
      <c r="U9086">
        <v>0</v>
      </c>
      <c r="V9086">
        <v>0</v>
      </c>
      <c r="W9086">
        <v>1</v>
      </c>
      <c r="X9086">
        <v>0</v>
      </c>
      <c r="Y9086">
        <v>0</v>
      </c>
      <c r="Z9086">
        <v>1</v>
      </c>
      <c r="AA9086">
        <v>1</v>
      </c>
      <c r="AB9086">
        <v>0</v>
      </c>
      <c r="AC9086">
        <v>0</v>
      </c>
      <c r="AD9086">
        <v>1</v>
      </c>
      <c r="AE9086">
        <v>1</v>
      </c>
      <c r="AF9086">
        <v>1</v>
      </c>
      <c r="AG9086">
        <v>1</v>
      </c>
      <c r="AH9086">
        <v>0</v>
      </c>
      <c r="AI9086">
        <v>0</v>
      </c>
      <c r="AJ9086">
        <v>1</v>
      </c>
      <c r="AK9086">
        <v>1</v>
      </c>
      <c r="AL9086">
        <v>1</v>
      </c>
      <c r="AM9086">
        <v>0</v>
      </c>
    </row>
    <row r="9087" spans="1:39" x14ac:dyDescent="0.2">
      <c r="A9087" t="str">
        <f>"9083"</f>
        <v>9083</v>
      </c>
      <c r="B9087" t="str">
        <f t="shared" si="505"/>
        <v>1</v>
      </c>
      <c r="C9087" t="str">
        <f t="shared" ref="C9087:C9104" si="506">"182"</f>
        <v>182</v>
      </c>
      <c r="D9087" t="str">
        <f>"9"</f>
        <v>9</v>
      </c>
      <c r="E9087" t="str">
        <f>"1-182-9"</f>
        <v>1-182-9</v>
      </c>
      <c r="F9087" t="s">
        <v>65</v>
      </c>
      <c r="G9087" t="s">
        <v>66</v>
      </c>
      <c r="H9087" t="s">
        <v>67</v>
      </c>
      <c r="S9087">
        <v>1</v>
      </c>
      <c r="T9087">
        <v>0</v>
      </c>
      <c r="U9087">
        <v>0</v>
      </c>
      <c r="V9087">
        <v>0</v>
      </c>
      <c r="W9087">
        <v>1</v>
      </c>
      <c r="X9087">
        <v>0</v>
      </c>
      <c r="Y9087">
        <v>1</v>
      </c>
      <c r="Z9087">
        <v>0</v>
      </c>
      <c r="AA9087">
        <v>1</v>
      </c>
      <c r="AB9087">
        <v>0</v>
      </c>
      <c r="AC9087">
        <v>0</v>
      </c>
      <c r="AD9087">
        <v>1</v>
      </c>
      <c r="AE9087">
        <v>1</v>
      </c>
      <c r="AF9087">
        <v>1</v>
      </c>
      <c r="AG9087">
        <v>1</v>
      </c>
      <c r="AH9087">
        <v>1</v>
      </c>
      <c r="AI9087">
        <v>1</v>
      </c>
      <c r="AJ9087">
        <v>1</v>
      </c>
      <c r="AK9087">
        <v>1</v>
      </c>
      <c r="AL9087">
        <v>1</v>
      </c>
      <c r="AM9087">
        <v>1</v>
      </c>
    </row>
    <row r="9088" spans="1:39" x14ac:dyDescent="0.2">
      <c r="A9088" t="str">
        <f>"9084"</f>
        <v>9084</v>
      </c>
      <c r="B9088" t="str">
        <f t="shared" si="505"/>
        <v>1</v>
      </c>
      <c r="C9088" t="str">
        <f t="shared" si="506"/>
        <v>182</v>
      </c>
      <c r="D9088" t="str">
        <f>"45"</f>
        <v>45</v>
      </c>
      <c r="E9088" t="str">
        <f>"1-182-45"</f>
        <v>1-182-45</v>
      </c>
      <c r="F9088" t="s">
        <v>65</v>
      </c>
      <c r="G9088" t="s">
        <v>66</v>
      </c>
      <c r="H9088" t="s">
        <v>67</v>
      </c>
      <c r="S9088">
        <v>1</v>
      </c>
      <c r="T9088">
        <v>0</v>
      </c>
      <c r="U9088">
        <v>0</v>
      </c>
      <c r="V9088">
        <v>0</v>
      </c>
      <c r="W9088">
        <v>1</v>
      </c>
      <c r="X9088">
        <v>0</v>
      </c>
      <c r="Y9088">
        <v>1</v>
      </c>
      <c r="Z9088">
        <v>0</v>
      </c>
      <c r="AA9088">
        <v>1</v>
      </c>
      <c r="AB9088">
        <v>0</v>
      </c>
      <c r="AC9088">
        <v>0</v>
      </c>
      <c r="AD9088">
        <v>1</v>
      </c>
      <c r="AE9088">
        <v>1</v>
      </c>
      <c r="AF9088">
        <v>1</v>
      </c>
      <c r="AG9088">
        <v>1</v>
      </c>
      <c r="AH9088">
        <v>1</v>
      </c>
      <c r="AI9088">
        <v>1</v>
      </c>
      <c r="AJ9088">
        <v>1</v>
      </c>
      <c r="AK9088">
        <v>1</v>
      </c>
      <c r="AL9088">
        <v>1</v>
      </c>
      <c r="AM9088">
        <v>1</v>
      </c>
    </row>
    <row r="9089" spans="1:39" x14ac:dyDescent="0.2">
      <c r="A9089" t="str">
        <f>"9085"</f>
        <v>9085</v>
      </c>
      <c r="B9089" t="str">
        <f t="shared" si="505"/>
        <v>1</v>
      </c>
      <c r="C9089" t="str">
        <f t="shared" si="506"/>
        <v>182</v>
      </c>
      <c r="D9089" t="str">
        <f>"27"</f>
        <v>27</v>
      </c>
      <c r="E9089" t="str">
        <f>"1-182-27"</f>
        <v>1-182-27</v>
      </c>
      <c r="F9089" t="s">
        <v>65</v>
      </c>
      <c r="G9089" t="s">
        <v>66</v>
      </c>
      <c r="H9089" t="s">
        <v>67</v>
      </c>
      <c r="S9089">
        <v>1</v>
      </c>
      <c r="T9089">
        <v>0</v>
      </c>
      <c r="U9089">
        <v>0</v>
      </c>
      <c r="V9089">
        <v>0</v>
      </c>
      <c r="W9089">
        <v>1</v>
      </c>
      <c r="X9089">
        <v>0</v>
      </c>
      <c r="Y9089">
        <v>0</v>
      </c>
      <c r="Z9089">
        <v>1</v>
      </c>
      <c r="AA9089">
        <v>1</v>
      </c>
      <c r="AB9089">
        <v>0</v>
      </c>
      <c r="AC9089">
        <v>0</v>
      </c>
      <c r="AD9089">
        <v>1</v>
      </c>
      <c r="AE9089">
        <v>1</v>
      </c>
      <c r="AF9089">
        <v>1</v>
      </c>
      <c r="AG9089">
        <v>1</v>
      </c>
      <c r="AH9089">
        <v>1</v>
      </c>
      <c r="AI9089">
        <v>1</v>
      </c>
      <c r="AJ9089">
        <v>1</v>
      </c>
      <c r="AK9089">
        <v>1</v>
      </c>
      <c r="AL9089">
        <v>1</v>
      </c>
      <c r="AM9089">
        <v>0</v>
      </c>
    </row>
    <row r="9090" spans="1:39" x14ac:dyDescent="0.2">
      <c r="A9090" t="str">
        <f>"9086"</f>
        <v>9086</v>
      </c>
      <c r="B9090" t="str">
        <f t="shared" si="505"/>
        <v>1</v>
      </c>
      <c r="C9090" t="str">
        <f t="shared" si="506"/>
        <v>182</v>
      </c>
      <c r="D9090" t="str">
        <f>"5"</f>
        <v>5</v>
      </c>
      <c r="E9090" t="str">
        <f>"1-182-5"</f>
        <v>1-182-5</v>
      </c>
      <c r="F9090" t="s">
        <v>65</v>
      </c>
      <c r="G9090" t="s">
        <v>66</v>
      </c>
      <c r="H9090" t="s">
        <v>67</v>
      </c>
      <c r="S9090">
        <v>1</v>
      </c>
      <c r="T9090">
        <v>0</v>
      </c>
      <c r="U9090">
        <v>0</v>
      </c>
      <c r="V9090">
        <v>0</v>
      </c>
      <c r="W9090">
        <v>1</v>
      </c>
      <c r="X9090">
        <v>0</v>
      </c>
      <c r="Y9090">
        <v>0</v>
      </c>
      <c r="Z9090">
        <v>1</v>
      </c>
      <c r="AA9090">
        <v>1</v>
      </c>
      <c r="AB9090">
        <v>0</v>
      </c>
      <c r="AC9090">
        <v>0</v>
      </c>
      <c r="AD9090">
        <v>1</v>
      </c>
      <c r="AE9090">
        <v>1</v>
      </c>
      <c r="AF9090">
        <v>1</v>
      </c>
      <c r="AG9090">
        <v>1</v>
      </c>
      <c r="AH9090">
        <v>1</v>
      </c>
      <c r="AI9090">
        <v>1</v>
      </c>
      <c r="AJ9090">
        <v>1</v>
      </c>
      <c r="AK9090">
        <v>1</v>
      </c>
      <c r="AL9090">
        <v>1</v>
      </c>
      <c r="AM9090">
        <v>1</v>
      </c>
    </row>
    <row r="9091" spans="1:39" x14ac:dyDescent="0.2">
      <c r="A9091" t="str">
        <f>"9087"</f>
        <v>9087</v>
      </c>
      <c r="B9091" t="str">
        <f t="shared" si="505"/>
        <v>1</v>
      </c>
      <c r="C9091" t="str">
        <f t="shared" si="506"/>
        <v>182</v>
      </c>
      <c r="D9091" t="str">
        <f>"28"</f>
        <v>28</v>
      </c>
      <c r="E9091" t="str">
        <f>"1-182-28"</f>
        <v>1-182-28</v>
      </c>
      <c r="F9091" t="s">
        <v>65</v>
      </c>
      <c r="G9091" t="s">
        <v>66</v>
      </c>
      <c r="H9091" t="s">
        <v>67</v>
      </c>
      <c r="S9091">
        <v>0</v>
      </c>
      <c r="T9091">
        <v>1</v>
      </c>
      <c r="U9091">
        <v>0</v>
      </c>
      <c r="V9091">
        <v>0</v>
      </c>
      <c r="W9091">
        <v>1</v>
      </c>
      <c r="X9091">
        <v>0</v>
      </c>
      <c r="Y9091">
        <v>1</v>
      </c>
      <c r="Z9091">
        <v>0</v>
      </c>
      <c r="AA9091">
        <v>1</v>
      </c>
      <c r="AB9091">
        <v>0</v>
      </c>
      <c r="AC9091">
        <v>0</v>
      </c>
      <c r="AD9091">
        <v>1</v>
      </c>
      <c r="AE9091">
        <v>1</v>
      </c>
      <c r="AF9091">
        <v>1</v>
      </c>
      <c r="AG9091">
        <v>1</v>
      </c>
      <c r="AH9091">
        <v>1</v>
      </c>
      <c r="AI9091">
        <v>1</v>
      </c>
      <c r="AJ9091">
        <v>1</v>
      </c>
      <c r="AK9091">
        <v>1</v>
      </c>
      <c r="AL9091">
        <v>1</v>
      </c>
      <c r="AM9091">
        <v>1</v>
      </c>
    </row>
    <row r="9092" spans="1:39" x14ac:dyDescent="0.2">
      <c r="A9092" t="str">
        <f>"9088"</f>
        <v>9088</v>
      </c>
      <c r="B9092" t="str">
        <f t="shared" si="505"/>
        <v>1</v>
      </c>
      <c r="C9092" t="str">
        <f t="shared" si="506"/>
        <v>182</v>
      </c>
      <c r="D9092" t="str">
        <f>"4"</f>
        <v>4</v>
      </c>
      <c r="E9092" t="str">
        <f>"1-182-4"</f>
        <v>1-182-4</v>
      </c>
      <c r="F9092" t="s">
        <v>65</v>
      </c>
      <c r="G9092" t="s">
        <v>66</v>
      </c>
      <c r="H9092" t="s">
        <v>67</v>
      </c>
      <c r="S9092">
        <v>1</v>
      </c>
      <c r="T9092">
        <v>0</v>
      </c>
      <c r="U9092">
        <v>0</v>
      </c>
      <c r="V9092">
        <v>0</v>
      </c>
      <c r="W9092">
        <v>1</v>
      </c>
      <c r="X9092">
        <v>0</v>
      </c>
      <c r="Y9092">
        <v>1</v>
      </c>
      <c r="Z9092">
        <v>0</v>
      </c>
      <c r="AA9092">
        <v>0</v>
      </c>
      <c r="AB9092">
        <v>0</v>
      </c>
      <c r="AC9092">
        <v>1</v>
      </c>
      <c r="AD9092">
        <v>1</v>
      </c>
      <c r="AE9092">
        <v>1</v>
      </c>
      <c r="AF9092">
        <v>1</v>
      </c>
      <c r="AG9092">
        <v>1</v>
      </c>
      <c r="AH9092">
        <v>1</v>
      </c>
      <c r="AI9092">
        <v>1</v>
      </c>
      <c r="AJ9092">
        <v>1</v>
      </c>
      <c r="AK9092">
        <v>1</v>
      </c>
      <c r="AL9092">
        <v>1</v>
      </c>
      <c r="AM9092">
        <v>1</v>
      </c>
    </row>
    <row r="9093" spans="1:39" x14ac:dyDescent="0.2">
      <c r="A9093" t="str">
        <f>"9089"</f>
        <v>9089</v>
      </c>
      <c r="B9093" t="str">
        <f t="shared" si="505"/>
        <v>1</v>
      </c>
      <c r="C9093" t="str">
        <f t="shared" si="506"/>
        <v>182</v>
      </c>
      <c r="D9093" t="str">
        <f>"29"</f>
        <v>29</v>
      </c>
      <c r="E9093" t="str">
        <f>"1-182-29"</f>
        <v>1-182-29</v>
      </c>
      <c r="F9093" t="s">
        <v>65</v>
      </c>
      <c r="G9093" t="s">
        <v>66</v>
      </c>
      <c r="H9093" t="s">
        <v>67</v>
      </c>
      <c r="S9093">
        <v>1</v>
      </c>
      <c r="T9093">
        <v>0</v>
      </c>
      <c r="U9093">
        <v>0</v>
      </c>
      <c r="V9093">
        <v>0</v>
      </c>
      <c r="W9093">
        <v>1</v>
      </c>
      <c r="X9093">
        <v>0</v>
      </c>
      <c r="Y9093">
        <v>0</v>
      </c>
      <c r="Z9093">
        <v>1</v>
      </c>
      <c r="AA9093">
        <v>1</v>
      </c>
      <c r="AB9093">
        <v>0</v>
      </c>
      <c r="AC9093">
        <v>0</v>
      </c>
      <c r="AD9093">
        <v>1</v>
      </c>
      <c r="AE9093">
        <v>1</v>
      </c>
      <c r="AF9093">
        <v>1</v>
      </c>
      <c r="AG9093">
        <v>1</v>
      </c>
      <c r="AH9093">
        <v>1</v>
      </c>
      <c r="AI9093">
        <v>1</v>
      </c>
      <c r="AJ9093">
        <v>1</v>
      </c>
      <c r="AK9093">
        <v>1</v>
      </c>
      <c r="AL9093">
        <v>1</v>
      </c>
      <c r="AM9093">
        <v>1</v>
      </c>
    </row>
    <row r="9094" spans="1:39" x14ac:dyDescent="0.2">
      <c r="A9094" t="str">
        <f>"9090"</f>
        <v>9090</v>
      </c>
      <c r="B9094" t="str">
        <f t="shared" si="505"/>
        <v>1</v>
      </c>
      <c r="C9094" t="str">
        <f t="shared" si="506"/>
        <v>182</v>
      </c>
      <c r="D9094" t="str">
        <f>"2"</f>
        <v>2</v>
      </c>
      <c r="E9094" t="str">
        <f>"1-182-2"</f>
        <v>1-182-2</v>
      </c>
      <c r="F9094" t="s">
        <v>65</v>
      </c>
      <c r="G9094" t="s">
        <v>66</v>
      </c>
      <c r="H9094" t="s">
        <v>67</v>
      </c>
      <c r="S9094">
        <v>1</v>
      </c>
      <c r="T9094">
        <v>0</v>
      </c>
      <c r="U9094">
        <v>0</v>
      </c>
      <c r="V9094">
        <v>0</v>
      </c>
      <c r="W9094">
        <v>1</v>
      </c>
      <c r="X9094">
        <v>0</v>
      </c>
      <c r="Y9094">
        <v>1</v>
      </c>
      <c r="Z9094">
        <v>0</v>
      </c>
      <c r="AA9094">
        <v>1</v>
      </c>
      <c r="AB9094">
        <v>0</v>
      </c>
      <c r="AC9094">
        <v>0</v>
      </c>
      <c r="AD9094">
        <v>0</v>
      </c>
      <c r="AE9094">
        <v>1</v>
      </c>
      <c r="AF9094">
        <v>1</v>
      </c>
      <c r="AG9094">
        <v>1</v>
      </c>
      <c r="AH9094">
        <v>1</v>
      </c>
      <c r="AI9094">
        <v>1</v>
      </c>
      <c r="AJ9094">
        <v>1</v>
      </c>
      <c r="AK9094">
        <v>1</v>
      </c>
      <c r="AL9094">
        <v>1</v>
      </c>
      <c r="AM9094">
        <v>1</v>
      </c>
    </row>
    <row r="9095" spans="1:39" x14ac:dyDescent="0.2">
      <c r="A9095" t="str">
        <f>"9091"</f>
        <v>9091</v>
      </c>
      <c r="B9095" t="str">
        <f t="shared" si="505"/>
        <v>1</v>
      </c>
      <c r="C9095" t="str">
        <f t="shared" si="506"/>
        <v>182</v>
      </c>
      <c r="D9095" t="str">
        <f>"47"</f>
        <v>47</v>
      </c>
      <c r="E9095" t="str">
        <f>"1-182-47"</f>
        <v>1-182-47</v>
      </c>
      <c r="F9095" t="s">
        <v>65</v>
      </c>
      <c r="G9095" t="s">
        <v>66</v>
      </c>
      <c r="H9095" t="s">
        <v>67</v>
      </c>
      <c r="S9095">
        <v>0</v>
      </c>
      <c r="T9095">
        <v>0</v>
      </c>
      <c r="U9095">
        <v>0</v>
      </c>
      <c r="V9095">
        <v>0</v>
      </c>
      <c r="W9095">
        <v>1</v>
      </c>
      <c r="X9095">
        <v>0</v>
      </c>
      <c r="Y9095">
        <v>0</v>
      </c>
      <c r="Z9095">
        <v>0</v>
      </c>
      <c r="AA9095">
        <v>1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1</v>
      </c>
      <c r="AH9095">
        <v>0</v>
      </c>
      <c r="AI9095">
        <v>0</v>
      </c>
      <c r="AJ9095">
        <v>0</v>
      </c>
      <c r="AK9095">
        <v>0</v>
      </c>
      <c r="AL9095">
        <v>1</v>
      </c>
      <c r="AM9095">
        <v>0</v>
      </c>
    </row>
    <row r="9096" spans="1:39" x14ac:dyDescent="0.2">
      <c r="A9096" t="str">
        <f>"9092"</f>
        <v>9092</v>
      </c>
      <c r="B9096" t="str">
        <f t="shared" si="505"/>
        <v>1</v>
      </c>
      <c r="C9096" t="str">
        <f t="shared" si="506"/>
        <v>182</v>
      </c>
      <c r="D9096" t="str">
        <f>"30"</f>
        <v>30</v>
      </c>
      <c r="E9096" t="str">
        <f>"1-182-30"</f>
        <v>1-182-30</v>
      </c>
      <c r="F9096" t="s">
        <v>65</v>
      </c>
      <c r="G9096" t="s">
        <v>66</v>
      </c>
      <c r="H9096" t="s">
        <v>67</v>
      </c>
      <c r="S9096">
        <v>1</v>
      </c>
      <c r="T9096">
        <v>0</v>
      </c>
      <c r="U9096">
        <v>0</v>
      </c>
      <c r="V9096">
        <v>0</v>
      </c>
      <c r="W9096">
        <v>1</v>
      </c>
      <c r="X9096">
        <v>0</v>
      </c>
      <c r="Y9096">
        <v>0</v>
      </c>
      <c r="Z9096">
        <v>1</v>
      </c>
      <c r="AA9096">
        <v>0</v>
      </c>
      <c r="AB9096">
        <v>1</v>
      </c>
      <c r="AC9096">
        <v>0</v>
      </c>
      <c r="AD9096">
        <v>1</v>
      </c>
      <c r="AE9096">
        <v>1</v>
      </c>
      <c r="AF9096">
        <v>1</v>
      </c>
      <c r="AG9096">
        <v>1</v>
      </c>
      <c r="AH9096">
        <v>1</v>
      </c>
      <c r="AI9096">
        <v>1</v>
      </c>
      <c r="AJ9096">
        <v>1</v>
      </c>
      <c r="AK9096">
        <v>1</v>
      </c>
      <c r="AL9096">
        <v>1</v>
      </c>
      <c r="AM9096">
        <v>1</v>
      </c>
    </row>
    <row r="9097" spans="1:39" x14ac:dyDescent="0.2">
      <c r="A9097" t="str">
        <f>"9093"</f>
        <v>9093</v>
      </c>
      <c r="B9097" t="str">
        <f t="shared" si="505"/>
        <v>1</v>
      </c>
      <c r="C9097" t="str">
        <f t="shared" si="506"/>
        <v>182</v>
      </c>
      <c r="D9097" t="str">
        <f>"7"</f>
        <v>7</v>
      </c>
      <c r="E9097" t="str">
        <f>"1-182-7"</f>
        <v>1-182-7</v>
      </c>
      <c r="F9097" t="s">
        <v>65</v>
      </c>
      <c r="G9097" t="s">
        <v>66</v>
      </c>
      <c r="H9097" t="s">
        <v>67</v>
      </c>
      <c r="S9097">
        <v>0</v>
      </c>
      <c r="T9097">
        <v>1</v>
      </c>
      <c r="U9097">
        <v>0</v>
      </c>
      <c r="V9097">
        <v>0</v>
      </c>
      <c r="W9097">
        <v>0</v>
      </c>
      <c r="X9097">
        <v>1</v>
      </c>
      <c r="Y9097">
        <v>0</v>
      </c>
      <c r="Z9097">
        <v>1</v>
      </c>
      <c r="AA9097">
        <v>0</v>
      </c>
      <c r="AB9097">
        <v>0</v>
      </c>
      <c r="AC9097">
        <v>1</v>
      </c>
      <c r="AD9097">
        <v>1</v>
      </c>
      <c r="AE9097">
        <v>1</v>
      </c>
      <c r="AF9097">
        <v>1</v>
      </c>
      <c r="AG9097">
        <v>1</v>
      </c>
      <c r="AH9097">
        <v>1</v>
      </c>
      <c r="AI9097">
        <v>1</v>
      </c>
      <c r="AJ9097">
        <v>1</v>
      </c>
      <c r="AK9097">
        <v>1</v>
      </c>
      <c r="AL9097">
        <v>1</v>
      </c>
      <c r="AM9097">
        <v>1</v>
      </c>
    </row>
    <row r="9098" spans="1:39" x14ac:dyDescent="0.2">
      <c r="A9098" t="str">
        <f>"9094"</f>
        <v>9094</v>
      </c>
      <c r="B9098" t="str">
        <f t="shared" si="505"/>
        <v>1</v>
      </c>
      <c r="C9098" t="str">
        <f t="shared" si="506"/>
        <v>182</v>
      </c>
      <c r="D9098" t="str">
        <f>"46"</f>
        <v>46</v>
      </c>
      <c r="E9098" t="str">
        <f>"1-182-46"</f>
        <v>1-182-46</v>
      </c>
      <c r="F9098" t="s">
        <v>65</v>
      </c>
      <c r="G9098" t="s">
        <v>66</v>
      </c>
      <c r="H9098" t="s">
        <v>67</v>
      </c>
      <c r="S9098">
        <v>0</v>
      </c>
      <c r="T9098">
        <v>1</v>
      </c>
      <c r="U9098">
        <v>0</v>
      </c>
      <c r="V9098">
        <v>0</v>
      </c>
      <c r="W9098">
        <v>1</v>
      </c>
      <c r="X9098">
        <v>0</v>
      </c>
      <c r="Y9098">
        <v>1</v>
      </c>
      <c r="Z9098">
        <v>0</v>
      </c>
      <c r="AA9098">
        <v>1</v>
      </c>
      <c r="AB9098">
        <v>0</v>
      </c>
      <c r="AC9098">
        <v>0</v>
      </c>
      <c r="AD9098">
        <v>1</v>
      </c>
      <c r="AE9098">
        <v>1</v>
      </c>
      <c r="AF9098">
        <v>1</v>
      </c>
      <c r="AG9098">
        <v>1</v>
      </c>
      <c r="AH9098">
        <v>1</v>
      </c>
      <c r="AI9098">
        <v>1</v>
      </c>
      <c r="AJ9098">
        <v>1</v>
      </c>
      <c r="AK9098">
        <v>1</v>
      </c>
      <c r="AL9098">
        <v>1</v>
      </c>
      <c r="AM9098">
        <v>1</v>
      </c>
    </row>
    <row r="9099" spans="1:39" x14ac:dyDescent="0.2">
      <c r="A9099" t="str">
        <f>"9095"</f>
        <v>9095</v>
      </c>
      <c r="B9099" t="str">
        <f t="shared" si="505"/>
        <v>1</v>
      </c>
      <c r="C9099" t="str">
        <f t="shared" si="506"/>
        <v>182</v>
      </c>
      <c r="D9099" t="str">
        <f>"31"</f>
        <v>31</v>
      </c>
      <c r="E9099" t="str">
        <f>"1-182-31"</f>
        <v>1-182-31</v>
      </c>
      <c r="F9099" t="s">
        <v>65</v>
      </c>
      <c r="G9099" t="s">
        <v>66</v>
      </c>
      <c r="H9099" t="s">
        <v>67</v>
      </c>
      <c r="S9099">
        <v>0</v>
      </c>
      <c r="T9099">
        <v>1</v>
      </c>
      <c r="U9099">
        <v>0</v>
      </c>
      <c r="V9099">
        <v>0</v>
      </c>
      <c r="W9099">
        <v>0</v>
      </c>
      <c r="X9099">
        <v>1</v>
      </c>
      <c r="Y9099">
        <v>0</v>
      </c>
      <c r="Z9099">
        <v>1</v>
      </c>
      <c r="AA9099">
        <v>0</v>
      </c>
      <c r="AB9099">
        <v>1</v>
      </c>
      <c r="AC9099">
        <v>0</v>
      </c>
      <c r="AD9099">
        <v>1</v>
      </c>
      <c r="AE9099">
        <v>1</v>
      </c>
      <c r="AF9099">
        <v>1</v>
      </c>
      <c r="AG9099">
        <v>1</v>
      </c>
      <c r="AH9099">
        <v>1</v>
      </c>
      <c r="AI9099">
        <v>1</v>
      </c>
      <c r="AJ9099">
        <v>1</v>
      </c>
      <c r="AK9099">
        <v>1</v>
      </c>
      <c r="AL9099">
        <v>1</v>
      </c>
      <c r="AM9099">
        <v>1</v>
      </c>
    </row>
    <row r="9100" spans="1:39" x14ac:dyDescent="0.2">
      <c r="A9100" t="str">
        <f>"9096"</f>
        <v>9096</v>
      </c>
      <c r="B9100" t="str">
        <f t="shared" si="505"/>
        <v>1</v>
      </c>
      <c r="C9100" t="str">
        <f t="shared" si="506"/>
        <v>182</v>
      </c>
      <c r="D9100" t="str">
        <f>"8"</f>
        <v>8</v>
      </c>
      <c r="E9100" t="str">
        <f>"1-182-8"</f>
        <v>1-182-8</v>
      </c>
      <c r="F9100" t="s">
        <v>65</v>
      </c>
      <c r="G9100" t="s">
        <v>66</v>
      </c>
      <c r="H9100" t="s">
        <v>67</v>
      </c>
      <c r="S9100">
        <v>0</v>
      </c>
      <c r="T9100">
        <v>1</v>
      </c>
      <c r="U9100">
        <v>0</v>
      </c>
      <c r="V9100">
        <v>0</v>
      </c>
      <c r="W9100">
        <v>1</v>
      </c>
      <c r="X9100">
        <v>0</v>
      </c>
      <c r="Y9100">
        <v>1</v>
      </c>
      <c r="Z9100">
        <v>0</v>
      </c>
      <c r="AA9100">
        <v>1</v>
      </c>
      <c r="AB9100">
        <v>0</v>
      </c>
      <c r="AC9100">
        <v>0</v>
      </c>
      <c r="AD9100">
        <v>1</v>
      </c>
      <c r="AE9100">
        <v>1</v>
      </c>
      <c r="AF9100">
        <v>1</v>
      </c>
      <c r="AG9100">
        <v>1</v>
      </c>
      <c r="AH9100">
        <v>1</v>
      </c>
      <c r="AI9100">
        <v>1</v>
      </c>
      <c r="AJ9100">
        <v>0</v>
      </c>
      <c r="AK9100">
        <v>1</v>
      </c>
      <c r="AL9100">
        <v>1</v>
      </c>
      <c r="AM9100">
        <v>1</v>
      </c>
    </row>
    <row r="9101" spans="1:39" x14ac:dyDescent="0.2">
      <c r="A9101" t="str">
        <f>"9097"</f>
        <v>9097</v>
      </c>
      <c r="B9101" t="str">
        <f t="shared" si="505"/>
        <v>1</v>
      </c>
      <c r="C9101" t="str">
        <f t="shared" si="506"/>
        <v>182</v>
      </c>
      <c r="D9101" t="str">
        <f>"32"</f>
        <v>32</v>
      </c>
      <c r="E9101" t="str">
        <f>"1-182-32"</f>
        <v>1-182-32</v>
      </c>
      <c r="F9101" t="s">
        <v>65</v>
      </c>
      <c r="G9101" t="s">
        <v>66</v>
      </c>
      <c r="H9101" t="s">
        <v>67</v>
      </c>
      <c r="S9101">
        <v>1</v>
      </c>
      <c r="T9101">
        <v>0</v>
      </c>
      <c r="U9101">
        <v>0</v>
      </c>
      <c r="V9101">
        <v>0</v>
      </c>
      <c r="W9101">
        <v>1</v>
      </c>
      <c r="X9101">
        <v>0</v>
      </c>
      <c r="Y9101">
        <v>1</v>
      </c>
      <c r="Z9101">
        <v>0</v>
      </c>
      <c r="AA9101">
        <v>0</v>
      </c>
      <c r="AB9101">
        <v>0</v>
      </c>
      <c r="AC9101">
        <v>1</v>
      </c>
      <c r="AD9101">
        <v>1</v>
      </c>
      <c r="AE9101">
        <v>1</v>
      </c>
      <c r="AF9101">
        <v>1</v>
      </c>
      <c r="AG9101">
        <v>1</v>
      </c>
      <c r="AH9101">
        <v>1</v>
      </c>
      <c r="AI9101">
        <v>1</v>
      </c>
      <c r="AJ9101">
        <v>1</v>
      </c>
      <c r="AK9101">
        <v>1</v>
      </c>
      <c r="AL9101">
        <v>1</v>
      </c>
      <c r="AM9101">
        <v>1</v>
      </c>
    </row>
    <row r="9102" spans="1:39" x14ac:dyDescent="0.2">
      <c r="A9102" t="str">
        <f>"9098"</f>
        <v>9098</v>
      </c>
      <c r="B9102" t="str">
        <f t="shared" si="505"/>
        <v>1</v>
      </c>
      <c r="C9102" t="str">
        <f t="shared" si="506"/>
        <v>182</v>
      </c>
      <c r="D9102" t="str">
        <f>"14"</f>
        <v>14</v>
      </c>
      <c r="E9102" t="str">
        <f>"1-182-14"</f>
        <v>1-182-14</v>
      </c>
      <c r="F9102" t="s">
        <v>65</v>
      </c>
      <c r="G9102" t="s">
        <v>66</v>
      </c>
      <c r="H9102" t="s">
        <v>67</v>
      </c>
      <c r="S9102">
        <v>1</v>
      </c>
      <c r="T9102">
        <v>0</v>
      </c>
      <c r="U9102">
        <v>0</v>
      </c>
      <c r="V9102">
        <v>0</v>
      </c>
      <c r="W9102">
        <v>1</v>
      </c>
      <c r="X9102">
        <v>0</v>
      </c>
      <c r="Y9102">
        <v>0</v>
      </c>
      <c r="Z9102">
        <v>1</v>
      </c>
      <c r="AA9102">
        <v>1</v>
      </c>
      <c r="AB9102">
        <v>0</v>
      </c>
      <c r="AC9102">
        <v>0</v>
      </c>
      <c r="AD9102">
        <v>1</v>
      </c>
      <c r="AE9102">
        <v>1</v>
      </c>
      <c r="AF9102">
        <v>1</v>
      </c>
      <c r="AG9102">
        <v>1</v>
      </c>
      <c r="AH9102">
        <v>1</v>
      </c>
      <c r="AI9102">
        <v>1</v>
      </c>
      <c r="AJ9102">
        <v>1</v>
      </c>
      <c r="AK9102">
        <v>1</v>
      </c>
      <c r="AL9102">
        <v>1</v>
      </c>
      <c r="AM9102">
        <v>1</v>
      </c>
    </row>
    <row r="9103" spans="1:39" x14ac:dyDescent="0.2">
      <c r="A9103" t="str">
        <f>"9099"</f>
        <v>9099</v>
      </c>
      <c r="B9103" t="str">
        <f t="shared" si="505"/>
        <v>1</v>
      </c>
      <c r="C9103" t="str">
        <f t="shared" si="506"/>
        <v>182</v>
      </c>
      <c r="D9103" t="str">
        <f>"48"</f>
        <v>48</v>
      </c>
      <c r="E9103" t="str">
        <f>"1-182-48"</f>
        <v>1-182-48</v>
      </c>
      <c r="F9103" t="s">
        <v>65</v>
      </c>
      <c r="G9103" t="s">
        <v>66</v>
      </c>
      <c r="H9103" t="s">
        <v>67</v>
      </c>
      <c r="S9103">
        <v>1</v>
      </c>
      <c r="T9103">
        <v>0</v>
      </c>
      <c r="U9103">
        <v>0</v>
      </c>
      <c r="V9103">
        <v>0</v>
      </c>
      <c r="W9103">
        <v>1</v>
      </c>
      <c r="X9103">
        <v>0</v>
      </c>
      <c r="Y9103">
        <v>1</v>
      </c>
      <c r="Z9103">
        <v>0</v>
      </c>
      <c r="AA9103">
        <v>1</v>
      </c>
      <c r="AB9103">
        <v>0</v>
      </c>
      <c r="AC9103">
        <v>0</v>
      </c>
      <c r="AD9103">
        <v>1</v>
      </c>
      <c r="AE9103">
        <v>1</v>
      </c>
      <c r="AF9103">
        <v>1</v>
      </c>
      <c r="AG9103">
        <v>1</v>
      </c>
      <c r="AH9103">
        <v>1</v>
      </c>
      <c r="AI9103">
        <v>1</v>
      </c>
      <c r="AJ9103">
        <v>1</v>
      </c>
      <c r="AK9103">
        <v>1</v>
      </c>
      <c r="AL9103">
        <v>1</v>
      </c>
      <c r="AM9103">
        <v>1</v>
      </c>
    </row>
    <row r="9104" spans="1:39" x14ac:dyDescent="0.2">
      <c r="A9104" t="str">
        <f>"9100"</f>
        <v>9100</v>
      </c>
      <c r="B9104" t="str">
        <f t="shared" si="505"/>
        <v>1</v>
      </c>
      <c r="C9104" t="str">
        <f t="shared" si="506"/>
        <v>182</v>
      </c>
      <c r="D9104" t="str">
        <f>"49"</f>
        <v>49</v>
      </c>
      <c r="E9104" t="str">
        <f>"1-182-49"</f>
        <v>1-182-49</v>
      </c>
      <c r="F9104" t="s">
        <v>65</v>
      </c>
      <c r="G9104" t="s">
        <v>66</v>
      </c>
      <c r="H9104" t="s">
        <v>67</v>
      </c>
      <c r="S9104">
        <v>1</v>
      </c>
      <c r="T9104">
        <v>0</v>
      </c>
      <c r="U9104">
        <v>0</v>
      </c>
      <c r="V9104">
        <v>0</v>
      </c>
      <c r="W9104">
        <v>1</v>
      </c>
      <c r="X9104">
        <v>0</v>
      </c>
      <c r="Y9104">
        <v>1</v>
      </c>
      <c r="Z9104">
        <v>0</v>
      </c>
      <c r="AA9104">
        <v>1</v>
      </c>
      <c r="AB9104">
        <v>0</v>
      </c>
      <c r="AC9104">
        <v>0</v>
      </c>
      <c r="AD9104">
        <v>1</v>
      </c>
      <c r="AE9104">
        <v>1</v>
      </c>
      <c r="AF9104">
        <v>1</v>
      </c>
      <c r="AG9104">
        <v>1</v>
      </c>
      <c r="AH9104">
        <v>1</v>
      </c>
      <c r="AI9104">
        <v>1</v>
      </c>
      <c r="AJ9104">
        <v>1</v>
      </c>
      <c r="AK9104">
        <v>1</v>
      </c>
      <c r="AL9104">
        <v>1</v>
      </c>
      <c r="AM9104">
        <v>1</v>
      </c>
    </row>
    <row r="9105" spans="1:39" x14ac:dyDescent="0.2">
      <c r="A9105" t="str">
        <f>"9101"</f>
        <v>9101</v>
      </c>
      <c r="B9105" t="str">
        <f t="shared" si="505"/>
        <v>1</v>
      </c>
      <c r="C9105" t="str">
        <f t="shared" ref="C9105:C9136" si="507">"183"</f>
        <v>183</v>
      </c>
      <c r="D9105" t="str">
        <f>"38"</f>
        <v>38</v>
      </c>
      <c r="E9105" t="str">
        <f>"1-183-38"</f>
        <v>1-183-38</v>
      </c>
      <c r="F9105" t="s">
        <v>65</v>
      </c>
      <c r="G9105" t="s">
        <v>66</v>
      </c>
      <c r="H9105" t="s">
        <v>67</v>
      </c>
      <c r="S9105">
        <v>0</v>
      </c>
      <c r="T9105">
        <v>1</v>
      </c>
      <c r="U9105">
        <v>0</v>
      </c>
      <c r="V9105">
        <v>0</v>
      </c>
      <c r="W9105">
        <v>1</v>
      </c>
      <c r="X9105">
        <v>0</v>
      </c>
      <c r="Y9105">
        <v>1</v>
      </c>
      <c r="Z9105">
        <v>0</v>
      </c>
      <c r="AA9105">
        <v>1</v>
      </c>
      <c r="AB9105">
        <v>0</v>
      </c>
      <c r="AC9105">
        <v>0</v>
      </c>
      <c r="AD9105">
        <v>1</v>
      </c>
      <c r="AE9105">
        <v>1</v>
      </c>
      <c r="AF9105">
        <v>1</v>
      </c>
      <c r="AG9105">
        <v>1</v>
      </c>
      <c r="AH9105">
        <v>1</v>
      </c>
      <c r="AI9105">
        <v>1</v>
      </c>
      <c r="AJ9105">
        <v>1</v>
      </c>
      <c r="AK9105">
        <v>1</v>
      </c>
      <c r="AL9105">
        <v>1</v>
      </c>
      <c r="AM9105">
        <v>1</v>
      </c>
    </row>
    <row r="9106" spans="1:39" x14ac:dyDescent="0.2">
      <c r="A9106" t="str">
        <f>"9102"</f>
        <v>9102</v>
      </c>
      <c r="B9106" t="str">
        <f t="shared" si="505"/>
        <v>1</v>
      </c>
      <c r="C9106" t="str">
        <f t="shared" si="507"/>
        <v>183</v>
      </c>
      <c r="D9106" t="str">
        <f>"37"</f>
        <v>37</v>
      </c>
      <c r="E9106" t="str">
        <f>"1-183-37"</f>
        <v>1-183-37</v>
      </c>
      <c r="F9106" t="s">
        <v>65</v>
      </c>
      <c r="G9106" t="s">
        <v>66</v>
      </c>
      <c r="H9106" t="s">
        <v>67</v>
      </c>
      <c r="S9106">
        <v>1</v>
      </c>
      <c r="T9106">
        <v>0</v>
      </c>
      <c r="U9106">
        <v>0</v>
      </c>
      <c r="V9106">
        <v>0</v>
      </c>
      <c r="W9106">
        <v>1</v>
      </c>
      <c r="X9106">
        <v>0</v>
      </c>
      <c r="Y9106">
        <v>1</v>
      </c>
      <c r="Z9106">
        <v>0</v>
      </c>
      <c r="AA9106">
        <v>1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1</v>
      </c>
      <c r="AH9106">
        <v>1</v>
      </c>
      <c r="AI9106">
        <v>0</v>
      </c>
      <c r="AJ9106">
        <v>0</v>
      </c>
      <c r="AK9106">
        <v>0</v>
      </c>
      <c r="AL9106">
        <v>1</v>
      </c>
      <c r="AM9106">
        <v>0</v>
      </c>
    </row>
    <row r="9107" spans="1:39" x14ac:dyDescent="0.2">
      <c r="A9107" t="str">
        <f>"9103"</f>
        <v>9103</v>
      </c>
      <c r="B9107" t="str">
        <f t="shared" si="505"/>
        <v>1</v>
      </c>
      <c r="C9107" t="str">
        <f t="shared" si="507"/>
        <v>183</v>
      </c>
      <c r="D9107" t="str">
        <f>"35"</f>
        <v>35</v>
      </c>
      <c r="E9107" t="str">
        <f>"1-183-35"</f>
        <v>1-183-35</v>
      </c>
      <c r="F9107" t="s">
        <v>65</v>
      </c>
      <c r="G9107" t="s">
        <v>66</v>
      </c>
      <c r="H9107" t="s">
        <v>67</v>
      </c>
      <c r="S9107">
        <v>0</v>
      </c>
      <c r="T9107">
        <v>1</v>
      </c>
      <c r="U9107">
        <v>0</v>
      </c>
      <c r="V9107">
        <v>0</v>
      </c>
      <c r="W9107">
        <v>1</v>
      </c>
      <c r="X9107">
        <v>0</v>
      </c>
      <c r="Y9107">
        <v>0</v>
      </c>
      <c r="Z9107">
        <v>1</v>
      </c>
      <c r="AA9107">
        <v>0</v>
      </c>
      <c r="AB9107">
        <v>1</v>
      </c>
      <c r="AC9107">
        <v>0</v>
      </c>
      <c r="AD9107">
        <v>0</v>
      </c>
      <c r="AE9107">
        <v>1</v>
      </c>
      <c r="AF9107">
        <v>0</v>
      </c>
      <c r="AG9107">
        <v>0</v>
      </c>
      <c r="AH9107">
        <v>0</v>
      </c>
      <c r="AI9107">
        <v>0</v>
      </c>
      <c r="AJ9107">
        <v>1</v>
      </c>
      <c r="AK9107">
        <v>0</v>
      </c>
      <c r="AL9107">
        <v>0</v>
      </c>
      <c r="AM9107">
        <v>0</v>
      </c>
    </row>
    <row r="9108" spans="1:39" x14ac:dyDescent="0.2">
      <c r="A9108" t="str">
        <f>"9104"</f>
        <v>9104</v>
      </c>
      <c r="B9108" t="str">
        <f t="shared" si="505"/>
        <v>1</v>
      </c>
      <c r="C9108" t="str">
        <f t="shared" si="507"/>
        <v>183</v>
      </c>
      <c r="D9108" t="str">
        <f>"34"</f>
        <v>34</v>
      </c>
      <c r="E9108" t="str">
        <f>"1-183-34"</f>
        <v>1-183-34</v>
      </c>
      <c r="F9108" t="s">
        <v>65</v>
      </c>
      <c r="G9108" t="s">
        <v>66</v>
      </c>
      <c r="H9108" t="s">
        <v>67</v>
      </c>
      <c r="S9108">
        <v>1</v>
      </c>
      <c r="T9108">
        <v>0</v>
      </c>
      <c r="U9108">
        <v>0</v>
      </c>
      <c r="V9108">
        <v>0</v>
      </c>
      <c r="W9108">
        <v>1</v>
      </c>
      <c r="X9108">
        <v>0</v>
      </c>
      <c r="Y9108">
        <v>1</v>
      </c>
      <c r="Z9108">
        <v>0</v>
      </c>
      <c r="AA9108">
        <v>0</v>
      </c>
      <c r="AB9108">
        <v>1</v>
      </c>
      <c r="AC9108">
        <v>0</v>
      </c>
      <c r="AD9108">
        <v>1</v>
      </c>
      <c r="AE9108">
        <v>1</v>
      </c>
      <c r="AF9108">
        <v>1</v>
      </c>
      <c r="AG9108">
        <v>1</v>
      </c>
      <c r="AH9108">
        <v>1</v>
      </c>
      <c r="AI9108">
        <v>1</v>
      </c>
      <c r="AJ9108">
        <v>1</v>
      </c>
      <c r="AK9108">
        <v>1</v>
      </c>
      <c r="AL9108">
        <v>1</v>
      </c>
      <c r="AM9108">
        <v>1</v>
      </c>
    </row>
    <row r="9109" spans="1:39" x14ac:dyDescent="0.2">
      <c r="A9109" t="str">
        <f>"9105"</f>
        <v>9105</v>
      </c>
      <c r="B9109" t="str">
        <f t="shared" si="505"/>
        <v>1</v>
      </c>
      <c r="C9109" t="str">
        <f t="shared" si="507"/>
        <v>183</v>
      </c>
      <c r="D9109" t="str">
        <f>"19"</f>
        <v>19</v>
      </c>
      <c r="E9109" t="str">
        <f>"1-183-19"</f>
        <v>1-183-19</v>
      </c>
      <c r="F9109" t="s">
        <v>65</v>
      </c>
      <c r="G9109" t="s">
        <v>66</v>
      </c>
      <c r="H9109" t="s">
        <v>67</v>
      </c>
      <c r="S9109">
        <v>0</v>
      </c>
      <c r="T9109">
        <v>1</v>
      </c>
      <c r="U9109">
        <v>0</v>
      </c>
      <c r="V9109">
        <v>0</v>
      </c>
      <c r="W9109">
        <v>0</v>
      </c>
      <c r="X9109">
        <v>1</v>
      </c>
      <c r="Y9109">
        <v>0</v>
      </c>
      <c r="Z9109">
        <v>1</v>
      </c>
      <c r="AA9109">
        <v>0</v>
      </c>
      <c r="AB9109">
        <v>0</v>
      </c>
      <c r="AC9109">
        <v>1</v>
      </c>
      <c r="AD9109">
        <v>1</v>
      </c>
      <c r="AE9109">
        <v>1</v>
      </c>
      <c r="AF9109">
        <v>1</v>
      </c>
      <c r="AG9109">
        <v>1</v>
      </c>
      <c r="AH9109">
        <v>1</v>
      </c>
      <c r="AI9109">
        <v>1</v>
      </c>
      <c r="AJ9109">
        <v>1</v>
      </c>
      <c r="AK9109">
        <v>1</v>
      </c>
      <c r="AL9109">
        <v>1</v>
      </c>
      <c r="AM9109">
        <v>1</v>
      </c>
    </row>
    <row r="9110" spans="1:39" x14ac:dyDescent="0.2">
      <c r="A9110" t="str">
        <f>"9106"</f>
        <v>9106</v>
      </c>
      <c r="B9110" t="str">
        <f t="shared" si="505"/>
        <v>1</v>
      </c>
      <c r="C9110" t="str">
        <f t="shared" si="507"/>
        <v>183</v>
      </c>
      <c r="D9110" t="str">
        <f>"18"</f>
        <v>18</v>
      </c>
      <c r="E9110" t="str">
        <f>"1-183-18"</f>
        <v>1-183-18</v>
      </c>
      <c r="F9110" t="s">
        <v>65</v>
      </c>
      <c r="G9110" t="s">
        <v>66</v>
      </c>
      <c r="H9110" t="s">
        <v>67</v>
      </c>
      <c r="S9110">
        <v>1</v>
      </c>
      <c r="T9110">
        <v>0</v>
      </c>
      <c r="U9110">
        <v>0</v>
      </c>
      <c r="V9110">
        <v>0</v>
      </c>
      <c r="W9110">
        <v>1</v>
      </c>
      <c r="X9110">
        <v>0</v>
      </c>
      <c r="Y9110">
        <v>1</v>
      </c>
      <c r="Z9110">
        <v>0</v>
      </c>
      <c r="AA9110">
        <v>1</v>
      </c>
      <c r="AB9110">
        <v>0</v>
      </c>
      <c r="AC9110">
        <v>0</v>
      </c>
      <c r="AD9110">
        <v>1</v>
      </c>
      <c r="AE9110">
        <v>1</v>
      </c>
      <c r="AF9110">
        <v>1</v>
      </c>
      <c r="AG9110">
        <v>1</v>
      </c>
      <c r="AH9110">
        <v>1</v>
      </c>
      <c r="AI9110">
        <v>1</v>
      </c>
      <c r="AJ9110">
        <v>1</v>
      </c>
      <c r="AK9110">
        <v>1</v>
      </c>
      <c r="AL9110">
        <v>1</v>
      </c>
      <c r="AM9110">
        <v>1</v>
      </c>
    </row>
    <row r="9111" spans="1:39" x14ac:dyDescent="0.2">
      <c r="A9111" t="str">
        <f>"9107"</f>
        <v>9107</v>
      </c>
      <c r="B9111" t="str">
        <f t="shared" si="505"/>
        <v>1</v>
      </c>
      <c r="C9111" t="str">
        <f t="shared" si="507"/>
        <v>183</v>
      </c>
      <c r="D9111" t="str">
        <f>"17"</f>
        <v>17</v>
      </c>
      <c r="E9111" t="str">
        <f>"1-183-17"</f>
        <v>1-183-17</v>
      </c>
      <c r="F9111" t="s">
        <v>65</v>
      </c>
      <c r="G9111" t="s">
        <v>66</v>
      </c>
      <c r="H9111" t="s">
        <v>67</v>
      </c>
      <c r="S9111">
        <v>1</v>
      </c>
      <c r="T9111">
        <v>0</v>
      </c>
      <c r="U9111">
        <v>0</v>
      </c>
      <c r="V9111">
        <v>0</v>
      </c>
      <c r="W9111">
        <v>0</v>
      </c>
      <c r="X9111">
        <v>1</v>
      </c>
      <c r="Y9111">
        <v>0</v>
      </c>
      <c r="Z9111">
        <v>1</v>
      </c>
      <c r="AA9111">
        <v>0</v>
      </c>
      <c r="AB9111">
        <v>1</v>
      </c>
      <c r="AC9111">
        <v>0</v>
      </c>
      <c r="AD9111">
        <v>1</v>
      </c>
      <c r="AE9111">
        <v>1</v>
      </c>
      <c r="AF9111">
        <v>1</v>
      </c>
      <c r="AG9111">
        <v>1</v>
      </c>
      <c r="AH9111">
        <v>1</v>
      </c>
      <c r="AI9111">
        <v>1</v>
      </c>
      <c r="AJ9111">
        <v>1</v>
      </c>
      <c r="AK9111">
        <v>1</v>
      </c>
      <c r="AL9111">
        <v>1</v>
      </c>
      <c r="AM9111">
        <v>1</v>
      </c>
    </row>
    <row r="9112" spans="1:39" x14ac:dyDescent="0.2">
      <c r="A9112" t="str">
        <f>"9108"</f>
        <v>9108</v>
      </c>
      <c r="B9112" t="str">
        <f t="shared" si="505"/>
        <v>1</v>
      </c>
      <c r="C9112" t="str">
        <f t="shared" si="507"/>
        <v>183</v>
      </c>
      <c r="D9112" t="str">
        <f>"15"</f>
        <v>15</v>
      </c>
      <c r="E9112" t="str">
        <f>"1-183-15"</f>
        <v>1-183-15</v>
      </c>
      <c r="F9112" t="s">
        <v>65</v>
      </c>
      <c r="G9112" t="s">
        <v>66</v>
      </c>
      <c r="H9112" t="s">
        <v>67</v>
      </c>
      <c r="S9112">
        <v>1</v>
      </c>
      <c r="T9112">
        <v>0</v>
      </c>
      <c r="U9112">
        <v>0</v>
      </c>
      <c r="V9112">
        <v>0</v>
      </c>
      <c r="W9112">
        <v>1</v>
      </c>
      <c r="X9112">
        <v>0</v>
      </c>
      <c r="Y9112">
        <v>1</v>
      </c>
      <c r="Z9112">
        <v>0</v>
      </c>
      <c r="AA9112">
        <v>0</v>
      </c>
      <c r="AB9112">
        <v>0</v>
      </c>
      <c r="AC9112">
        <v>1</v>
      </c>
      <c r="AD9112">
        <v>0</v>
      </c>
      <c r="AE9112">
        <v>0</v>
      </c>
      <c r="AF9112">
        <v>0</v>
      </c>
      <c r="AG9112">
        <v>1</v>
      </c>
      <c r="AH9112">
        <v>1</v>
      </c>
      <c r="AI9112">
        <v>1</v>
      </c>
      <c r="AJ9112">
        <v>1</v>
      </c>
      <c r="AK9112">
        <v>1</v>
      </c>
      <c r="AL9112">
        <v>1</v>
      </c>
      <c r="AM9112">
        <v>1</v>
      </c>
    </row>
    <row r="9113" spans="1:39" x14ac:dyDescent="0.2">
      <c r="A9113" t="str">
        <f>"9109"</f>
        <v>9109</v>
      </c>
      <c r="B9113" t="str">
        <f t="shared" si="505"/>
        <v>1</v>
      </c>
      <c r="C9113" t="str">
        <f t="shared" si="507"/>
        <v>183</v>
      </c>
      <c r="D9113" t="str">
        <f>"1"</f>
        <v>1</v>
      </c>
      <c r="E9113" t="str">
        <f>"1-183-1"</f>
        <v>1-183-1</v>
      </c>
      <c r="F9113" t="s">
        <v>65</v>
      </c>
      <c r="G9113" t="s">
        <v>66</v>
      </c>
      <c r="H9113" t="s">
        <v>67</v>
      </c>
      <c r="S9113">
        <v>0</v>
      </c>
      <c r="T9113">
        <v>1</v>
      </c>
      <c r="U9113">
        <v>0</v>
      </c>
      <c r="V9113">
        <v>0</v>
      </c>
      <c r="W9113">
        <v>1</v>
      </c>
      <c r="X9113">
        <v>0</v>
      </c>
      <c r="Y9113">
        <v>0</v>
      </c>
      <c r="Z9113">
        <v>1</v>
      </c>
      <c r="AA9113">
        <v>1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1</v>
      </c>
      <c r="AH9113">
        <v>1</v>
      </c>
      <c r="AI9113">
        <v>0</v>
      </c>
      <c r="AJ9113">
        <v>0</v>
      </c>
      <c r="AK9113">
        <v>0</v>
      </c>
      <c r="AL9113">
        <v>1</v>
      </c>
      <c r="AM9113">
        <v>0</v>
      </c>
    </row>
    <row r="9114" spans="1:39" x14ac:dyDescent="0.2">
      <c r="A9114" t="str">
        <f>"9110"</f>
        <v>9110</v>
      </c>
      <c r="B9114" t="str">
        <f t="shared" si="505"/>
        <v>1</v>
      </c>
      <c r="C9114" t="str">
        <f t="shared" si="507"/>
        <v>183</v>
      </c>
      <c r="D9114" t="str">
        <f>"41"</f>
        <v>41</v>
      </c>
      <c r="E9114" t="str">
        <f>"1-183-41"</f>
        <v>1-183-41</v>
      </c>
      <c r="F9114" t="s">
        <v>65</v>
      </c>
      <c r="G9114" t="s">
        <v>66</v>
      </c>
      <c r="H9114" t="s">
        <v>67</v>
      </c>
      <c r="S9114">
        <v>0</v>
      </c>
      <c r="T9114">
        <v>1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1</v>
      </c>
      <c r="AA9114">
        <v>1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1</v>
      </c>
      <c r="AJ9114">
        <v>1</v>
      </c>
      <c r="AK9114">
        <v>1</v>
      </c>
      <c r="AL9114">
        <v>1</v>
      </c>
      <c r="AM9114">
        <v>0</v>
      </c>
    </row>
    <row r="9115" spans="1:39" x14ac:dyDescent="0.2">
      <c r="A9115" t="str">
        <f>"9111"</f>
        <v>9111</v>
      </c>
      <c r="B9115" t="str">
        <f t="shared" si="505"/>
        <v>1</v>
      </c>
      <c r="C9115" t="str">
        <f t="shared" si="507"/>
        <v>183</v>
      </c>
      <c r="D9115" t="str">
        <f>"40"</f>
        <v>40</v>
      </c>
      <c r="E9115" t="str">
        <f>"1-183-40"</f>
        <v>1-183-40</v>
      </c>
      <c r="F9115" t="s">
        <v>65</v>
      </c>
      <c r="G9115" t="s">
        <v>66</v>
      </c>
      <c r="H9115" t="s">
        <v>67</v>
      </c>
      <c r="S9115">
        <v>1</v>
      </c>
      <c r="T9115">
        <v>0</v>
      </c>
      <c r="U9115">
        <v>0</v>
      </c>
      <c r="V9115">
        <v>0</v>
      </c>
      <c r="W9115">
        <v>1</v>
      </c>
      <c r="X9115">
        <v>0</v>
      </c>
      <c r="Y9115">
        <v>1</v>
      </c>
      <c r="Z9115">
        <v>0</v>
      </c>
      <c r="AA9115">
        <v>1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1</v>
      </c>
      <c r="AI9115">
        <v>0</v>
      </c>
      <c r="AJ9115">
        <v>0</v>
      </c>
      <c r="AK9115">
        <v>0</v>
      </c>
      <c r="AL9115">
        <v>1</v>
      </c>
      <c r="AM9115">
        <v>1</v>
      </c>
    </row>
    <row r="9116" spans="1:39" x14ac:dyDescent="0.2">
      <c r="A9116" t="str">
        <f>"9112"</f>
        <v>9112</v>
      </c>
      <c r="B9116" t="str">
        <f t="shared" si="505"/>
        <v>1</v>
      </c>
      <c r="C9116" t="str">
        <f t="shared" si="507"/>
        <v>183</v>
      </c>
      <c r="D9116" t="str">
        <f>"29"</f>
        <v>29</v>
      </c>
      <c r="E9116" t="str">
        <f>"1-183-29"</f>
        <v>1-183-29</v>
      </c>
      <c r="F9116" t="s">
        <v>65</v>
      </c>
      <c r="G9116" t="s">
        <v>66</v>
      </c>
      <c r="H9116" t="s">
        <v>67</v>
      </c>
      <c r="S9116">
        <v>1</v>
      </c>
      <c r="T9116">
        <v>0</v>
      </c>
      <c r="U9116">
        <v>0</v>
      </c>
      <c r="V9116">
        <v>0</v>
      </c>
      <c r="W9116">
        <v>1</v>
      </c>
      <c r="X9116">
        <v>0</v>
      </c>
      <c r="Y9116">
        <v>1</v>
      </c>
      <c r="Z9116">
        <v>0</v>
      </c>
      <c r="AA9116">
        <v>1</v>
      </c>
      <c r="AB9116">
        <v>0</v>
      </c>
      <c r="AC9116">
        <v>0</v>
      </c>
      <c r="AD9116">
        <v>1</v>
      </c>
      <c r="AE9116">
        <v>1</v>
      </c>
      <c r="AF9116">
        <v>1</v>
      </c>
      <c r="AG9116">
        <v>1</v>
      </c>
      <c r="AH9116">
        <v>1</v>
      </c>
      <c r="AI9116">
        <v>1</v>
      </c>
      <c r="AJ9116">
        <v>1</v>
      </c>
      <c r="AK9116">
        <v>1</v>
      </c>
      <c r="AL9116">
        <v>1</v>
      </c>
      <c r="AM9116">
        <v>1</v>
      </c>
    </row>
    <row r="9117" spans="1:39" x14ac:dyDescent="0.2">
      <c r="A9117" t="str">
        <f>"9113"</f>
        <v>9113</v>
      </c>
      <c r="B9117" t="str">
        <f t="shared" si="505"/>
        <v>1</v>
      </c>
      <c r="C9117" t="str">
        <f t="shared" si="507"/>
        <v>183</v>
      </c>
      <c r="D9117" t="str">
        <f>"28"</f>
        <v>28</v>
      </c>
      <c r="E9117" t="str">
        <f>"1-183-28"</f>
        <v>1-183-28</v>
      </c>
      <c r="F9117" t="s">
        <v>65</v>
      </c>
      <c r="G9117" t="s">
        <v>66</v>
      </c>
      <c r="H9117" t="s">
        <v>67</v>
      </c>
      <c r="S9117">
        <v>1</v>
      </c>
      <c r="T9117">
        <v>0</v>
      </c>
      <c r="U9117">
        <v>0</v>
      </c>
      <c r="V9117">
        <v>0</v>
      </c>
      <c r="W9117">
        <v>1</v>
      </c>
      <c r="X9117">
        <v>0</v>
      </c>
      <c r="Y9117">
        <v>0</v>
      </c>
      <c r="Z9117">
        <v>1</v>
      </c>
      <c r="AA9117">
        <v>1</v>
      </c>
      <c r="AB9117">
        <v>0</v>
      </c>
      <c r="AC9117">
        <v>0</v>
      </c>
      <c r="AD9117">
        <v>1</v>
      </c>
      <c r="AE9117">
        <v>1</v>
      </c>
      <c r="AF9117">
        <v>1</v>
      </c>
      <c r="AG9117">
        <v>1</v>
      </c>
      <c r="AH9117">
        <v>1</v>
      </c>
      <c r="AI9117">
        <v>1</v>
      </c>
      <c r="AJ9117">
        <v>1</v>
      </c>
      <c r="AK9117">
        <v>1</v>
      </c>
      <c r="AL9117">
        <v>1</v>
      </c>
      <c r="AM9117">
        <v>1</v>
      </c>
    </row>
    <row r="9118" spans="1:39" x14ac:dyDescent="0.2">
      <c r="A9118" t="str">
        <f>"9114"</f>
        <v>9114</v>
      </c>
      <c r="B9118" t="str">
        <f t="shared" si="505"/>
        <v>1</v>
      </c>
      <c r="C9118" t="str">
        <f t="shared" si="507"/>
        <v>183</v>
      </c>
      <c r="D9118" t="str">
        <f>"20"</f>
        <v>20</v>
      </c>
      <c r="E9118" t="str">
        <f>"1-183-20"</f>
        <v>1-183-20</v>
      </c>
      <c r="F9118" t="s">
        <v>65</v>
      </c>
      <c r="G9118" t="s">
        <v>66</v>
      </c>
      <c r="H9118" t="s">
        <v>67</v>
      </c>
      <c r="S9118">
        <v>1</v>
      </c>
      <c r="T9118">
        <v>0</v>
      </c>
      <c r="U9118">
        <v>0</v>
      </c>
      <c r="V9118">
        <v>0</v>
      </c>
      <c r="W9118">
        <v>1</v>
      </c>
      <c r="X9118">
        <v>0</v>
      </c>
      <c r="Y9118">
        <v>1</v>
      </c>
      <c r="Z9118">
        <v>0</v>
      </c>
      <c r="AA9118">
        <v>0</v>
      </c>
      <c r="AB9118">
        <v>1</v>
      </c>
      <c r="AC9118">
        <v>0</v>
      </c>
      <c r="AD9118">
        <v>1</v>
      </c>
      <c r="AE9118">
        <v>1</v>
      </c>
      <c r="AF9118">
        <v>1</v>
      </c>
      <c r="AG9118">
        <v>1</v>
      </c>
      <c r="AH9118">
        <v>1</v>
      </c>
      <c r="AI9118">
        <v>1</v>
      </c>
      <c r="AJ9118">
        <v>1</v>
      </c>
      <c r="AK9118">
        <v>1</v>
      </c>
      <c r="AL9118">
        <v>1</v>
      </c>
      <c r="AM9118">
        <v>1</v>
      </c>
    </row>
    <row r="9119" spans="1:39" x14ac:dyDescent="0.2">
      <c r="A9119" t="str">
        <f>"9115"</f>
        <v>9115</v>
      </c>
      <c r="B9119" t="str">
        <f t="shared" si="505"/>
        <v>1</v>
      </c>
      <c r="C9119" t="str">
        <f t="shared" si="507"/>
        <v>183</v>
      </c>
      <c r="D9119" t="str">
        <f>"16"</f>
        <v>16</v>
      </c>
      <c r="E9119" t="str">
        <f>"1-183-16"</f>
        <v>1-183-16</v>
      </c>
      <c r="F9119" t="s">
        <v>65</v>
      </c>
      <c r="G9119" t="s">
        <v>66</v>
      </c>
      <c r="H9119" t="s">
        <v>67</v>
      </c>
      <c r="S9119">
        <v>0</v>
      </c>
      <c r="T9119">
        <v>1</v>
      </c>
      <c r="U9119">
        <v>0</v>
      </c>
      <c r="V9119">
        <v>0</v>
      </c>
      <c r="W9119">
        <v>1</v>
      </c>
      <c r="X9119">
        <v>0</v>
      </c>
      <c r="Y9119">
        <v>1</v>
      </c>
      <c r="Z9119">
        <v>0</v>
      </c>
      <c r="AA9119">
        <v>1</v>
      </c>
      <c r="AB9119">
        <v>0</v>
      </c>
      <c r="AC9119">
        <v>0</v>
      </c>
      <c r="AD9119">
        <v>1</v>
      </c>
      <c r="AE9119">
        <v>1</v>
      </c>
      <c r="AF9119">
        <v>1</v>
      </c>
      <c r="AG9119">
        <v>1</v>
      </c>
      <c r="AH9119">
        <v>1</v>
      </c>
      <c r="AI9119">
        <v>1</v>
      </c>
      <c r="AJ9119">
        <v>1</v>
      </c>
      <c r="AK9119">
        <v>1</v>
      </c>
      <c r="AL9119">
        <v>1</v>
      </c>
      <c r="AM9119">
        <v>1</v>
      </c>
    </row>
    <row r="9120" spans="1:39" x14ac:dyDescent="0.2">
      <c r="A9120" t="str">
        <f>"9116"</f>
        <v>9116</v>
      </c>
      <c r="B9120" t="str">
        <f t="shared" si="505"/>
        <v>1</v>
      </c>
      <c r="C9120" t="str">
        <f t="shared" si="507"/>
        <v>183</v>
      </c>
      <c r="D9120" t="str">
        <f>"2"</f>
        <v>2</v>
      </c>
      <c r="E9120" t="str">
        <f>"1-183-2"</f>
        <v>1-183-2</v>
      </c>
      <c r="F9120" t="s">
        <v>65</v>
      </c>
      <c r="G9120" t="s">
        <v>66</v>
      </c>
      <c r="H9120" t="s">
        <v>67</v>
      </c>
      <c r="S9120">
        <v>0</v>
      </c>
      <c r="T9120">
        <v>1</v>
      </c>
      <c r="U9120">
        <v>0</v>
      </c>
      <c r="V9120">
        <v>0</v>
      </c>
      <c r="W9120">
        <v>1</v>
      </c>
      <c r="X9120">
        <v>0</v>
      </c>
      <c r="Y9120">
        <v>1</v>
      </c>
      <c r="Z9120">
        <v>0</v>
      </c>
      <c r="AA9120">
        <v>1</v>
      </c>
      <c r="AB9120">
        <v>0</v>
      </c>
      <c r="AC9120">
        <v>0</v>
      </c>
      <c r="AD9120">
        <v>1</v>
      </c>
      <c r="AE9120">
        <v>1</v>
      </c>
      <c r="AF9120">
        <v>1</v>
      </c>
      <c r="AG9120">
        <v>1</v>
      </c>
      <c r="AH9120">
        <v>1</v>
      </c>
      <c r="AI9120">
        <v>1</v>
      </c>
      <c r="AJ9120">
        <v>1</v>
      </c>
      <c r="AK9120">
        <v>1</v>
      </c>
      <c r="AL9120">
        <v>1</v>
      </c>
      <c r="AM9120">
        <v>1</v>
      </c>
    </row>
    <row r="9121" spans="1:39" x14ac:dyDescent="0.2">
      <c r="A9121" t="str">
        <f>"9117"</f>
        <v>9117</v>
      </c>
      <c r="B9121" t="str">
        <f t="shared" si="505"/>
        <v>1</v>
      </c>
      <c r="C9121" t="str">
        <f t="shared" si="507"/>
        <v>183</v>
      </c>
      <c r="D9121" t="str">
        <f>"44"</f>
        <v>44</v>
      </c>
      <c r="E9121" t="str">
        <f>"1-183-44"</f>
        <v>1-183-44</v>
      </c>
      <c r="F9121" t="s">
        <v>65</v>
      </c>
      <c r="G9121" t="s">
        <v>66</v>
      </c>
      <c r="H9121" t="s">
        <v>67</v>
      </c>
      <c r="S9121">
        <v>0</v>
      </c>
      <c r="T9121">
        <v>1</v>
      </c>
      <c r="U9121">
        <v>0</v>
      </c>
      <c r="V9121">
        <v>0</v>
      </c>
      <c r="W9121">
        <v>1</v>
      </c>
      <c r="X9121">
        <v>0</v>
      </c>
      <c r="Y9121">
        <v>1</v>
      </c>
      <c r="Z9121">
        <v>0</v>
      </c>
      <c r="AA9121">
        <v>1</v>
      </c>
      <c r="AB9121">
        <v>0</v>
      </c>
      <c r="AC9121">
        <v>0</v>
      </c>
      <c r="AD9121">
        <v>0</v>
      </c>
      <c r="AE9121">
        <v>1</v>
      </c>
      <c r="AF9121">
        <v>0</v>
      </c>
      <c r="AG9121">
        <v>1</v>
      </c>
      <c r="AH9121">
        <v>1</v>
      </c>
      <c r="AI9121">
        <v>1</v>
      </c>
      <c r="AJ9121">
        <v>0</v>
      </c>
      <c r="AK9121">
        <v>0</v>
      </c>
      <c r="AL9121">
        <v>1</v>
      </c>
      <c r="AM9121">
        <v>0</v>
      </c>
    </row>
    <row r="9122" spans="1:39" x14ac:dyDescent="0.2">
      <c r="A9122" t="str">
        <f>"9118"</f>
        <v>9118</v>
      </c>
      <c r="B9122" t="str">
        <f t="shared" si="505"/>
        <v>1</v>
      </c>
      <c r="C9122" t="str">
        <f t="shared" si="507"/>
        <v>183</v>
      </c>
      <c r="D9122" t="str">
        <f>"21"</f>
        <v>21</v>
      </c>
      <c r="E9122" t="str">
        <f>"1-183-21"</f>
        <v>1-183-21</v>
      </c>
      <c r="F9122" t="s">
        <v>65</v>
      </c>
      <c r="G9122" t="s">
        <v>66</v>
      </c>
      <c r="H9122" t="s">
        <v>67</v>
      </c>
      <c r="S9122">
        <v>1</v>
      </c>
      <c r="T9122">
        <v>0</v>
      </c>
      <c r="U9122">
        <v>0</v>
      </c>
      <c r="V9122">
        <v>0</v>
      </c>
      <c r="W9122">
        <v>1</v>
      </c>
      <c r="X9122">
        <v>0</v>
      </c>
      <c r="Y9122">
        <v>1</v>
      </c>
      <c r="Z9122">
        <v>0</v>
      </c>
      <c r="AA9122">
        <v>1</v>
      </c>
      <c r="AB9122">
        <v>0</v>
      </c>
      <c r="AC9122">
        <v>0</v>
      </c>
      <c r="AD9122">
        <v>1</v>
      </c>
      <c r="AE9122">
        <v>1</v>
      </c>
      <c r="AF9122">
        <v>1</v>
      </c>
      <c r="AG9122">
        <v>1</v>
      </c>
      <c r="AH9122">
        <v>1</v>
      </c>
      <c r="AI9122">
        <v>1</v>
      </c>
      <c r="AJ9122">
        <v>1</v>
      </c>
      <c r="AK9122">
        <v>1</v>
      </c>
      <c r="AL9122">
        <v>1</v>
      </c>
      <c r="AM9122">
        <v>1</v>
      </c>
    </row>
    <row r="9123" spans="1:39" x14ac:dyDescent="0.2">
      <c r="A9123" t="str">
        <f>"9119"</f>
        <v>9119</v>
      </c>
      <c r="B9123" t="str">
        <f t="shared" si="505"/>
        <v>1</v>
      </c>
      <c r="C9123" t="str">
        <f t="shared" si="507"/>
        <v>183</v>
      </c>
      <c r="D9123" t="str">
        <f>"9"</f>
        <v>9</v>
      </c>
      <c r="E9123" t="str">
        <f>"1-183-9"</f>
        <v>1-183-9</v>
      </c>
      <c r="F9123" t="s">
        <v>65</v>
      </c>
      <c r="G9123" t="s">
        <v>66</v>
      </c>
      <c r="H9123" t="s">
        <v>67</v>
      </c>
      <c r="S9123">
        <v>0</v>
      </c>
      <c r="T9123">
        <v>1</v>
      </c>
      <c r="U9123">
        <v>0</v>
      </c>
      <c r="V9123">
        <v>0</v>
      </c>
      <c r="W9123">
        <v>1</v>
      </c>
      <c r="X9123">
        <v>0</v>
      </c>
      <c r="Y9123">
        <v>0</v>
      </c>
      <c r="Z9123">
        <v>1</v>
      </c>
      <c r="AA9123">
        <v>0</v>
      </c>
      <c r="AB9123">
        <v>1</v>
      </c>
      <c r="AC9123">
        <v>0</v>
      </c>
      <c r="AD9123">
        <v>1</v>
      </c>
      <c r="AE9123">
        <v>1</v>
      </c>
      <c r="AF9123">
        <v>1</v>
      </c>
      <c r="AG9123">
        <v>1</v>
      </c>
      <c r="AH9123">
        <v>1</v>
      </c>
      <c r="AI9123">
        <v>1</v>
      </c>
      <c r="AJ9123">
        <v>1</v>
      </c>
      <c r="AK9123">
        <v>1</v>
      </c>
      <c r="AL9123">
        <v>1</v>
      </c>
      <c r="AM9123">
        <v>1</v>
      </c>
    </row>
    <row r="9124" spans="1:39" x14ac:dyDescent="0.2">
      <c r="A9124" t="str">
        <f>"9120"</f>
        <v>9120</v>
      </c>
      <c r="B9124" t="str">
        <f t="shared" si="505"/>
        <v>1</v>
      </c>
      <c r="C9124" t="str">
        <f t="shared" si="507"/>
        <v>183</v>
      </c>
      <c r="D9124" t="str">
        <f>"39"</f>
        <v>39</v>
      </c>
      <c r="E9124" t="str">
        <f>"1-183-39"</f>
        <v>1-183-39</v>
      </c>
      <c r="F9124" t="s">
        <v>65</v>
      </c>
      <c r="G9124" t="s">
        <v>66</v>
      </c>
      <c r="H9124" t="s">
        <v>67</v>
      </c>
      <c r="S9124">
        <v>0</v>
      </c>
      <c r="T9124">
        <v>1</v>
      </c>
      <c r="U9124">
        <v>0</v>
      </c>
      <c r="V9124">
        <v>0</v>
      </c>
      <c r="W9124">
        <v>1</v>
      </c>
      <c r="X9124">
        <v>0</v>
      </c>
      <c r="Y9124">
        <v>1</v>
      </c>
      <c r="Z9124">
        <v>0</v>
      </c>
      <c r="AA9124">
        <v>1</v>
      </c>
      <c r="AB9124">
        <v>0</v>
      </c>
      <c r="AC9124">
        <v>0</v>
      </c>
      <c r="AD9124">
        <v>1</v>
      </c>
      <c r="AE9124">
        <v>1</v>
      </c>
      <c r="AF9124">
        <v>1</v>
      </c>
      <c r="AG9124">
        <v>1</v>
      </c>
      <c r="AH9124">
        <v>1</v>
      </c>
      <c r="AI9124">
        <v>1</v>
      </c>
      <c r="AJ9124">
        <v>1</v>
      </c>
      <c r="AK9124">
        <v>1</v>
      </c>
      <c r="AL9124">
        <v>1</v>
      </c>
      <c r="AM9124">
        <v>1</v>
      </c>
    </row>
    <row r="9125" spans="1:39" x14ac:dyDescent="0.2">
      <c r="A9125" t="str">
        <f>"9121"</f>
        <v>9121</v>
      </c>
      <c r="B9125" t="str">
        <f t="shared" si="505"/>
        <v>1</v>
      </c>
      <c r="C9125" t="str">
        <f t="shared" si="507"/>
        <v>183</v>
      </c>
      <c r="D9125" t="str">
        <f>"22"</f>
        <v>22</v>
      </c>
      <c r="E9125" t="str">
        <f>"1-183-22"</f>
        <v>1-183-22</v>
      </c>
      <c r="F9125" t="s">
        <v>65</v>
      </c>
      <c r="G9125" t="s">
        <v>66</v>
      </c>
      <c r="H9125" t="s">
        <v>67</v>
      </c>
      <c r="S9125">
        <v>0</v>
      </c>
      <c r="T9125">
        <v>0</v>
      </c>
      <c r="U9125">
        <v>0</v>
      </c>
      <c r="V9125">
        <v>0</v>
      </c>
      <c r="W9125">
        <v>1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</row>
    <row r="9126" spans="1:39" x14ac:dyDescent="0.2">
      <c r="A9126" t="str">
        <f>"9122"</f>
        <v>9122</v>
      </c>
      <c r="B9126" t="str">
        <f t="shared" si="505"/>
        <v>1</v>
      </c>
      <c r="C9126" t="str">
        <f t="shared" si="507"/>
        <v>183</v>
      </c>
      <c r="D9126" t="str">
        <f>"13"</f>
        <v>13</v>
      </c>
      <c r="E9126" t="str">
        <f>"1-183-13"</f>
        <v>1-183-13</v>
      </c>
      <c r="F9126" t="s">
        <v>65</v>
      </c>
      <c r="G9126" t="s">
        <v>66</v>
      </c>
      <c r="H9126" t="s">
        <v>67</v>
      </c>
      <c r="S9126">
        <v>1</v>
      </c>
      <c r="T9126">
        <v>0</v>
      </c>
      <c r="U9126">
        <v>0</v>
      </c>
      <c r="V9126">
        <v>0</v>
      </c>
      <c r="W9126">
        <v>1</v>
      </c>
      <c r="X9126">
        <v>0</v>
      </c>
      <c r="Y9126">
        <v>1</v>
      </c>
      <c r="Z9126">
        <v>0</v>
      </c>
      <c r="AA9126">
        <v>1</v>
      </c>
      <c r="AB9126">
        <v>0</v>
      </c>
      <c r="AC9126">
        <v>0</v>
      </c>
      <c r="AD9126">
        <v>1</v>
      </c>
      <c r="AE9126">
        <v>1</v>
      </c>
      <c r="AF9126">
        <v>1</v>
      </c>
      <c r="AG9126">
        <v>1</v>
      </c>
      <c r="AH9126">
        <v>1</v>
      </c>
      <c r="AI9126">
        <v>1</v>
      </c>
      <c r="AJ9126">
        <v>1</v>
      </c>
      <c r="AK9126">
        <v>1</v>
      </c>
      <c r="AL9126">
        <v>1</v>
      </c>
      <c r="AM9126">
        <v>1</v>
      </c>
    </row>
    <row r="9127" spans="1:39" x14ac:dyDescent="0.2">
      <c r="A9127" t="str">
        <f>"9123"</f>
        <v>9123</v>
      </c>
      <c r="B9127" t="str">
        <f t="shared" si="505"/>
        <v>1</v>
      </c>
      <c r="C9127" t="str">
        <f t="shared" si="507"/>
        <v>183</v>
      </c>
      <c r="D9127" t="str">
        <f>"23"</f>
        <v>23</v>
      </c>
      <c r="E9127" t="str">
        <f>"1-183-23"</f>
        <v>1-183-23</v>
      </c>
      <c r="F9127" t="s">
        <v>65</v>
      </c>
      <c r="G9127" t="s">
        <v>66</v>
      </c>
      <c r="H9127" t="s">
        <v>67</v>
      </c>
      <c r="S9127">
        <v>1</v>
      </c>
      <c r="T9127">
        <v>0</v>
      </c>
      <c r="U9127">
        <v>0</v>
      </c>
      <c r="V9127">
        <v>0</v>
      </c>
      <c r="W9127">
        <v>1</v>
      </c>
      <c r="X9127">
        <v>0</v>
      </c>
      <c r="Y9127">
        <v>0</v>
      </c>
      <c r="Z9127">
        <v>1</v>
      </c>
      <c r="AA9127">
        <v>1</v>
      </c>
      <c r="AB9127">
        <v>0</v>
      </c>
      <c r="AC9127">
        <v>0</v>
      </c>
      <c r="AD9127">
        <v>1</v>
      </c>
      <c r="AE9127">
        <v>1</v>
      </c>
      <c r="AF9127">
        <v>1</v>
      </c>
      <c r="AG9127">
        <v>1</v>
      </c>
      <c r="AH9127">
        <v>1</v>
      </c>
      <c r="AI9127">
        <v>1</v>
      </c>
      <c r="AJ9127">
        <v>1</v>
      </c>
      <c r="AK9127">
        <v>1</v>
      </c>
      <c r="AL9127">
        <v>1</v>
      </c>
      <c r="AM9127">
        <v>1</v>
      </c>
    </row>
    <row r="9128" spans="1:39" x14ac:dyDescent="0.2">
      <c r="A9128" t="str">
        <f>"9124"</f>
        <v>9124</v>
      </c>
      <c r="B9128" t="str">
        <f t="shared" si="505"/>
        <v>1</v>
      </c>
      <c r="C9128" t="str">
        <f t="shared" si="507"/>
        <v>183</v>
      </c>
      <c r="D9128" t="str">
        <f>"6"</f>
        <v>6</v>
      </c>
      <c r="E9128" t="str">
        <f>"1-183-6"</f>
        <v>1-183-6</v>
      </c>
      <c r="F9128" t="s">
        <v>65</v>
      </c>
      <c r="G9128" t="s">
        <v>66</v>
      </c>
      <c r="H9128" t="s">
        <v>67</v>
      </c>
      <c r="S9128">
        <v>1</v>
      </c>
      <c r="T9128">
        <v>0</v>
      </c>
      <c r="U9128">
        <v>0</v>
      </c>
      <c r="V9128">
        <v>0</v>
      </c>
      <c r="W9128">
        <v>1</v>
      </c>
      <c r="X9128">
        <v>0</v>
      </c>
      <c r="Y9128">
        <v>0</v>
      </c>
      <c r="Z9128">
        <v>1</v>
      </c>
      <c r="AA9128">
        <v>1</v>
      </c>
      <c r="AB9128">
        <v>0</v>
      </c>
      <c r="AC9128">
        <v>0</v>
      </c>
      <c r="AD9128">
        <v>1</v>
      </c>
      <c r="AE9128">
        <v>1</v>
      </c>
      <c r="AF9128">
        <v>1</v>
      </c>
      <c r="AG9128">
        <v>1</v>
      </c>
      <c r="AH9128">
        <v>1</v>
      </c>
      <c r="AI9128">
        <v>1</v>
      </c>
      <c r="AJ9128">
        <v>1</v>
      </c>
      <c r="AK9128">
        <v>1</v>
      </c>
      <c r="AL9128">
        <v>1</v>
      </c>
      <c r="AM9128">
        <v>1</v>
      </c>
    </row>
    <row r="9129" spans="1:39" x14ac:dyDescent="0.2">
      <c r="A9129" t="str">
        <f>"9125"</f>
        <v>9125</v>
      </c>
      <c r="B9129" t="str">
        <f t="shared" si="505"/>
        <v>1</v>
      </c>
      <c r="C9129" t="str">
        <f t="shared" si="507"/>
        <v>183</v>
      </c>
      <c r="D9129" t="str">
        <f>"42"</f>
        <v>42</v>
      </c>
      <c r="E9129" t="str">
        <f>"1-183-42"</f>
        <v>1-183-42</v>
      </c>
      <c r="F9129" t="s">
        <v>65</v>
      </c>
      <c r="G9129" t="s">
        <v>66</v>
      </c>
      <c r="H9129" t="s">
        <v>67</v>
      </c>
      <c r="S9129">
        <v>1</v>
      </c>
      <c r="T9129">
        <v>0</v>
      </c>
      <c r="U9129">
        <v>0</v>
      </c>
      <c r="V9129">
        <v>0</v>
      </c>
      <c r="W9129">
        <v>1</v>
      </c>
      <c r="X9129">
        <v>0</v>
      </c>
      <c r="Y9129">
        <v>1</v>
      </c>
      <c r="Z9129">
        <v>0</v>
      </c>
      <c r="AA9129">
        <v>1</v>
      </c>
      <c r="AB9129">
        <v>0</v>
      </c>
      <c r="AC9129">
        <v>0</v>
      </c>
      <c r="AD9129">
        <v>1</v>
      </c>
      <c r="AE9129">
        <v>1</v>
      </c>
      <c r="AF9129">
        <v>1</v>
      </c>
      <c r="AG9129">
        <v>1</v>
      </c>
      <c r="AH9129">
        <v>1</v>
      </c>
      <c r="AI9129">
        <v>1</v>
      </c>
      <c r="AJ9129">
        <v>1</v>
      </c>
      <c r="AK9129">
        <v>1</v>
      </c>
      <c r="AL9129">
        <v>1</v>
      </c>
      <c r="AM9129">
        <v>1</v>
      </c>
    </row>
    <row r="9130" spans="1:39" x14ac:dyDescent="0.2">
      <c r="A9130" t="str">
        <f>"9126"</f>
        <v>9126</v>
      </c>
      <c r="B9130" t="str">
        <f t="shared" si="505"/>
        <v>1</v>
      </c>
      <c r="C9130" t="str">
        <f t="shared" si="507"/>
        <v>183</v>
      </c>
      <c r="D9130" t="str">
        <f>"24"</f>
        <v>24</v>
      </c>
      <c r="E9130" t="str">
        <f>"1-183-24"</f>
        <v>1-183-24</v>
      </c>
      <c r="F9130" t="s">
        <v>65</v>
      </c>
      <c r="G9130" t="s">
        <v>66</v>
      </c>
      <c r="H9130" t="s">
        <v>67</v>
      </c>
      <c r="S9130">
        <v>1</v>
      </c>
      <c r="T9130">
        <v>0</v>
      </c>
      <c r="U9130">
        <v>0</v>
      </c>
      <c r="V9130">
        <v>0</v>
      </c>
      <c r="W9130">
        <v>1</v>
      </c>
      <c r="X9130">
        <v>0</v>
      </c>
      <c r="Y9130">
        <v>1</v>
      </c>
      <c r="Z9130">
        <v>0</v>
      </c>
      <c r="AA9130">
        <v>0</v>
      </c>
      <c r="AB9130">
        <v>1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</row>
    <row r="9131" spans="1:39" x14ac:dyDescent="0.2">
      <c r="A9131" t="str">
        <f>"9127"</f>
        <v>9127</v>
      </c>
      <c r="B9131" t="str">
        <f t="shared" si="505"/>
        <v>1</v>
      </c>
      <c r="C9131" t="str">
        <f t="shared" si="507"/>
        <v>183</v>
      </c>
      <c r="D9131" t="str">
        <f>"12"</f>
        <v>12</v>
      </c>
      <c r="E9131" t="str">
        <f>"1-183-12"</f>
        <v>1-183-12</v>
      </c>
      <c r="F9131" t="s">
        <v>65</v>
      </c>
      <c r="G9131" t="s">
        <v>66</v>
      </c>
      <c r="H9131" t="s">
        <v>67</v>
      </c>
      <c r="S9131">
        <v>1</v>
      </c>
      <c r="T9131">
        <v>0</v>
      </c>
      <c r="U9131">
        <v>0</v>
      </c>
      <c r="V9131">
        <v>0</v>
      </c>
      <c r="W9131">
        <v>1</v>
      </c>
      <c r="X9131">
        <v>0</v>
      </c>
      <c r="Y9131">
        <v>0</v>
      </c>
      <c r="Z9131">
        <v>1</v>
      </c>
      <c r="AA9131">
        <v>1</v>
      </c>
      <c r="AB9131">
        <v>0</v>
      </c>
      <c r="AC9131">
        <v>0</v>
      </c>
      <c r="AD9131">
        <v>1</v>
      </c>
      <c r="AE9131">
        <v>1</v>
      </c>
      <c r="AF9131">
        <v>1</v>
      </c>
      <c r="AG9131">
        <v>1</v>
      </c>
      <c r="AH9131">
        <v>1</v>
      </c>
      <c r="AI9131">
        <v>1</v>
      </c>
      <c r="AJ9131">
        <v>1</v>
      </c>
      <c r="AK9131">
        <v>1</v>
      </c>
      <c r="AL9131">
        <v>1</v>
      </c>
      <c r="AM9131">
        <v>1</v>
      </c>
    </row>
    <row r="9132" spans="1:39" x14ac:dyDescent="0.2">
      <c r="A9132" t="str">
        <f>"9128"</f>
        <v>9128</v>
      </c>
      <c r="B9132" t="str">
        <f t="shared" si="505"/>
        <v>1</v>
      </c>
      <c r="C9132" t="str">
        <f t="shared" si="507"/>
        <v>183</v>
      </c>
      <c r="D9132" t="str">
        <f>"45"</f>
        <v>45</v>
      </c>
      <c r="E9132" t="str">
        <f>"1-183-45"</f>
        <v>1-183-45</v>
      </c>
      <c r="F9132" t="s">
        <v>65</v>
      </c>
      <c r="G9132" t="s">
        <v>66</v>
      </c>
      <c r="H9132" t="s">
        <v>67</v>
      </c>
      <c r="S9132">
        <v>0</v>
      </c>
      <c r="T9132">
        <v>1</v>
      </c>
      <c r="U9132">
        <v>0</v>
      </c>
      <c r="V9132">
        <v>0</v>
      </c>
      <c r="W9132">
        <v>0</v>
      </c>
      <c r="X9132">
        <v>1</v>
      </c>
      <c r="Y9132">
        <v>0</v>
      </c>
      <c r="Z9132">
        <v>1</v>
      </c>
      <c r="AA9132">
        <v>0</v>
      </c>
      <c r="AB9132">
        <v>0</v>
      </c>
      <c r="AC9132">
        <v>1</v>
      </c>
      <c r="AD9132">
        <v>0</v>
      </c>
      <c r="AE9132">
        <v>0</v>
      </c>
      <c r="AF9132">
        <v>0</v>
      </c>
      <c r="AG9132">
        <v>1</v>
      </c>
      <c r="AH9132">
        <v>0</v>
      </c>
      <c r="AI9132">
        <v>1</v>
      </c>
      <c r="AJ9132">
        <v>0</v>
      </c>
      <c r="AK9132">
        <v>0</v>
      </c>
      <c r="AL9132">
        <v>1</v>
      </c>
      <c r="AM9132">
        <v>0</v>
      </c>
    </row>
    <row r="9133" spans="1:39" x14ac:dyDescent="0.2">
      <c r="A9133" t="str">
        <f>"9129"</f>
        <v>9129</v>
      </c>
      <c r="B9133" t="str">
        <f t="shared" si="505"/>
        <v>1</v>
      </c>
      <c r="C9133" t="str">
        <f t="shared" si="507"/>
        <v>183</v>
      </c>
      <c r="D9133" t="str">
        <f>"25"</f>
        <v>25</v>
      </c>
      <c r="E9133" t="str">
        <f>"1-183-25"</f>
        <v>1-183-25</v>
      </c>
      <c r="F9133" t="s">
        <v>65</v>
      </c>
      <c r="G9133" t="s">
        <v>66</v>
      </c>
      <c r="H9133" t="s">
        <v>67</v>
      </c>
      <c r="S9133">
        <v>1</v>
      </c>
      <c r="T9133">
        <v>0</v>
      </c>
      <c r="U9133">
        <v>0</v>
      </c>
      <c r="V9133">
        <v>0</v>
      </c>
      <c r="W9133">
        <v>1</v>
      </c>
      <c r="X9133">
        <v>0</v>
      </c>
      <c r="Y9133">
        <v>1</v>
      </c>
      <c r="Z9133">
        <v>0</v>
      </c>
      <c r="AA9133">
        <v>1</v>
      </c>
      <c r="AB9133">
        <v>0</v>
      </c>
      <c r="AC9133">
        <v>0</v>
      </c>
      <c r="AD9133">
        <v>1</v>
      </c>
      <c r="AE9133">
        <v>1</v>
      </c>
      <c r="AF9133">
        <v>1</v>
      </c>
      <c r="AG9133">
        <v>1</v>
      </c>
      <c r="AH9133">
        <v>1</v>
      </c>
      <c r="AI9133">
        <v>1</v>
      </c>
      <c r="AJ9133">
        <v>1</v>
      </c>
      <c r="AK9133">
        <v>1</v>
      </c>
      <c r="AL9133">
        <v>1</v>
      </c>
      <c r="AM9133">
        <v>1</v>
      </c>
    </row>
    <row r="9134" spans="1:39" x14ac:dyDescent="0.2">
      <c r="A9134" t="str">
        <f>"9130"</f>
        <v>9130</v>
      </c>
      <c r="B9134" t="str">
        <f t="shared" si="505"/>
        <v>1</v>
      </c>
      <c r="C9134" t="str">
        <f t="shared" si="507"/>
        <v>183</v>
      </c>
      <c r="D9134" t="str">
        <f>"4"</f>
        <v>4</v>
      </c>
      <c r="E9134" t="str">
        <f>"1-183-4"</f>
        <v>1-183-4</v>
      </c>
      <c r="F9134" t="s">
        <v>65</v>
      </c>
      <c r="G9134" t="s">
        <v>66</v>
      </c>
      <c r="H9134" t="s">
        <v>67</v>
      </c>
      <c r="S9134">
        <v>1</v>
      </c>
      <c r="T9134">
        <v>0</v>
      </c>
      <c r="U9134">
        <v>0</v>
      </c>
      <c r="V9134">
        <v>0</v>
      </c>
      <c r="W9134">
        <v>1</v>
      </c>
      <c r="X9134">
        <v>0</v>
      </c>
      <c r="Y9134">
        <v>1</v>
      </c>
      <c r="Z9134">
        <v>0</v>
      </c>
      <c r="AA9134">
        <v>1</v>
      </c>
      <c r="AB9134">
        <v>0</v>
      </c>
      <c r="AC9134">
        <v>0</v>
      </c>
      <c r="AD9134">
        <v>1</v>
      </c>
      <c r="AE9134">
        <v>1</v>
      </c>
      <c r="AF9134">
        <v>1</v>
      </c>
      <c r="AG9134">
        <v>1</v>
      </c>
      <c r="AH9134">
        <v>1</v>
      </c>
      <c r="AI9134">
        <v>1</v>
      </c>
      <c r="AJ9134">
        <v>1</v>
      </c>
      <c r="AK9134">
        <v>1</v>
      </c>
      <c r="AL9134">
        <v>1</v>
      </c>
      <c r="AM9134">
        <v>1</v>
      </c>
    </row>
    <row r="9135" spans="1:39" x14ac:dyDescent="0.2">
      <c r="A9135" t="str">
        <f>"9131"</f>
        <v>9131</v>
      </c>
      <c r="B9135" t="str">
        <f t="shared" si="505"/>
        <v>1</v>
      </c>
      <c r="C9135" t="str">
        <f t="shared" si="507"/>
        <v>183</v>
      </c>
      <c r="D9135" t="str">
        <f>"43"</f>
        <v>43</v>
      </c>
      <c r="E9135" t="str">
        <f>"1-183-43"</f>
        <v>1-183-43</v>
      </c>
      <c r="F9135" t="s">
        <v>65</v>
      </c>
      <c r="G9135" t="s">
        <v>66</v>
      </c>
      <c r="H9135" t="s">
        <v>67</v>
      </c>
      <c r="S9135">
        <v>0</v>
      </c>
      <c r="T9135">
        <v>1</v>
      </c>
      <c r="U9135">
        <v>0</v>
      </c>
      <c r="V9135">
        <v>0</v>
      </c>
      <c r="W9135">
        <v>1</v>
      </c>
      <c r="X9135">
        <v>0</v>
      </c>
      <c r="Y9135">
        <v>1</v>
      </c>
      <c r="Z9135">
        <v>0</v>
      </c>
      <c r="AA9135">
        <v>1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1</v>
      </c>
      <c r="AL9135">
        <v>0</v>
      </c>
      <c r="AM9135">
        <v>0</v>
      </c>
    </row>
    <row r="9136" spans="1:39" x14ac:dyDescent="0.2">
      <c r="A9136" t="str">
        <f>"9132"</f>
        <v>9132</v>
      </c>
      <c r="B9136" t="str">
        <f t="shared" si="505"/>
        <v>1</v>
      </c>
      <c r="C9136" t="str">
        <f t="shared" si="507"/>
        <v>183</v>
      </c>
      <c r="D9136" t="str">
        <f>"26"</f>
        <v>26</v>
      </c>
      <c r="E9136" t="str">
        <f>"1-183-26"</f>
        <v>1-183-26</v>
      </c>
      <c r="F9136" t="s">
        <v>65</v>
      </c>
      <c r="G9136" t="s">
        <v>66</v>
      </c>
      <c r="H9136" t="s">
        <v>67</v>
      </c>
      <c r="S9136">
        <v>1</v>
      </c>
      <c r="T9136">
        <v>0</v>
      </c>
      <c r="U9136">
        <v>0</v>
      </c>
      <c r="V9136">
        <v>0</v>
      </c>
      <c r="W9136">
        <v>1</v>
      </c>
      <c r="X9136">
        <v>0</v>
      </c>
      <c r="Y9136">
        <v>1</v>
      </c>
      <c r="Z9136">
        <v>0</v>
      </c>
      <c r="AA9136">
        <v>0</v>
      </c>
      <c r="AB9136">
        <v>1</v>
      </c>
      <c r="AC9136">
        <v>0</v>
      </c>
      <c r="AD9136">
        <v>1</v>
      </c>
      <c r="AE9136">
        <v>1</v>
      </c>
      <c r="AF9136">
        <v>1</v>
      </c>
      <c r="AG9136">
        <v>1</v>
      </c>
      <c r="AH9136">
        <v>1</v>
      </c>
      <c r="AI9136">
        <v>1</v>
      </c>
      <c r="AJ9136">
        <v>1</v>
      </c>
      <c r="AK9136">
        <v>1</v>
      </c>
      <c r="AL9136">
        <v>1</v>
      </c>
      <c r="AM9136">
        <v>1</v>
      </c>
    </row>
    <row r="9137" spans="1:39" x14ac:dyDescent="0.2">
      <c r="A9137" t="str">
        <f>"9133"</f>
        <v>9133</v>
      </c>
      <c r="B9137" t="str">
        <f t="shared" si="505"/>
        <v>1</v>
      </c>
      <c r="C9137" t="str">
        <f t="shared" ref="C9137:C9154" si="508">"183"</f>
        <v>183</v>
      </c>
      <c r="D9137" t="str">
        <f>"5"</f>
        <v>5</v>
      </c>
      <c r="E9137" t="str">
        <f>"1-183-5"</f>
        <v>1-183-5</v>
      </c>
      <c r="F9137" t="s">
        <v>65</v>
      </c>
      <c r="G9137" t="s">
        <v>66</v>
      </c>
      <c r="H9137" t="s">
        <v>67</v>
      </c>
      <c r="S9137">
        <v>1</v>
      </c>
      <c r="T9137">
        <v>0</v>
      </c>
      <c r="U9137">
        <v>0</v>
      </c>
      <c r="V9137">
        <v>0</v>
      </c>
      <c r="W9137">
        <v>1</v>
      </c>
      <c r="X9137">
        <v>0</v>
      </c>
      <c r="Y9137">
        <v>1</v>
      </c>
      <c r="Z9137">
        <v>0</v>
      </c>
      <c r="AA9137">
        <v>0</v>
      </c>
      <c r="AB9137">
        <v>1</v>
      </c>
      <c r="AC9137">
        <v>0</v>
      </c>
      <c r="AD9137">
        <v>1</v>
      </c>
      <c r="AE9137">
        <v>1</v>
      </c>
      <c r="AF9137">
        <v>1</v>
      </c>
      <c r="AG9137">
        <v>1</v>
      </c>
      <c r="AH9137">
        <v>1</v>
      </c>
      <c r="AI9137">
        <v>1</v>
      </c>
      <c r="AJ9137">
        <v>1</v>
      </c>
      <c r="AK9137">
        <v>1</v>
      </c>
      <c r="AL9137">
        <v>1</v>
      </c>
      <c r="AM9137">
        <v>1</v>
      </c>
    </row>
    <row r="9138" spans="1:39" x14ac:dyDescent="0.2">
      <c r="A9138" t="str">
        <f>"9134"</f>
        <v>9134</v>
      </c>
      <c r="B9138" t="str">
        <f t="shared" si="505"/>
        <v>1</v>
      </c>
      <c r="C9138" t="str">
        <f t="shared" si="508"/>
        <v>183</v>
      </c>
      <c r="D9138" t="str">
        <f>"27"</f>
        <v>27</v>
      </c>
      <c r="E9138" t="str">
        <f>"1-183-27"</f>
        <v>1-183-27</v>
      </c>
      <c r="F9138" t="s">
        <v>65</v>
      </c>
      <c r="G9138" t="s">
        <v>66</v>
      </c>
      <c r="H9138" t="s">
        <v>67</v>
      </c>
      <c r="S9138">
        <v>1</v>
      </c>
      <c r="T9138">
        <v>0</v>
      </c>
      <c r="U9138">
        <v>0</v>
      </c>
      <c r="V9138">
        <v>0</v>
      </c>
      <c r="W9138">
        <v>1</v>
      </c>
      <c r="X9138">
        <v>0</v>
      </c>
      <c r="Y9138">
        <v>0</v>
      </c>
      <c r="Z9138">
        <v>1</v>
      </c>
      <c r="AA9138">
        <v>1</v>
      </c>
      <c r="AB9138">
        <v>0</v>
      </c>
      <c r="AC9138">
        <v>0</v>
      </c>
      <c r="AD9138">
        <v>1</v>
      </c>
      <c r="AE9138">
        <v>1</v>
      </c>
      <c r="AF9138">
        <v>1</v>
      </c>
      <c r="AG9138">
        <v>1</v>
      </c>
      <c r="AH9138">
        <v>1</v>
      </c>
      <c r="AI9138">
        <v>1</v>
      </c>
      <c r="AJ9138">
        <v>1</v>
      </c>
      <c r="AK9138">
        <v>1</v>
      </c>
      <c r="AL9138">
        <v>1</v>
      </c>
      <c r="AM9138">
        <v>1</v>
      </c>
    </row>
    <row r="9139" spans="1:39" x14ac:dyDescent="0.2">
      <c r="A9139" t="str">
        <f>"9135"</f>
        <v>9135</v>
      </c>
      <c r="B9139" t="str">
        <f t="shared" si="505"/>
        <v>1</v>
      </c>
      <c r="C9139" t="str">
        <f t="shared" si="508"/>
        <v>183</v>
      </c>
      <c r="D9139" t="str">
        <f>"10"</f>
        <v>10</v>
      </c>
      <c r="E9139" t="str">
        <f>"1-183-10"</f>
        <v>1-183-10</v>
      </c>
      <c r="F9139" t="s">
        <v>65</v>
      </c>
      <c r="G9139" t="s">
        <v>66</v>
      </c>
      <c r="H9139" t="s">
        <v>67</v>
      </c>
      <c r="S9139">
        <v>0</v>
      </c>
      <c r="T9139">
        <v>1</v>
      </c>
      <c r="U9139">
        <v>0</v>
      </c>
      <c r="V9139">
        <v>0</v>
      </c>
      <c r="W9139">
        <v>1</v>
      </c>
      <c r="X9139">
        <v>0</v>
      </c>
      <c r="Y9139">
        <v>0</v>
      </c>
      <c r="Z9139">
        <v>1</v>
      </c>
      <c r="AA9139">
        <v>0</v>
      </c>
      <c r="AB9139">
        <v>1</v>
      </c>
      <c r="AC9139">
        <v>0</v>
      </c>
      <c r="AD9139">
        <v>1</v>
      </c>
      <c r="AE9139">
        <v>1</v>
      </c>
      <c r="AF9139">
        <v>1</v>
      </c>
      <c r="AG9139">
        <v>1</v>
      </c>
      <c r="AH9139">
        <v>1</v>
      </c>
      <c r="AI9139">
        <v>1</v>
      </c>
      <c r="AJ9139">
        <v>1</v>
      </c>
      <c r="AK9139">
        <v>1</v>
      </c>
      <c r="AL9139">
        <v>1</v>
      </c>
      <c r="AM9139">
        <v>1</v>
      </c>
    </row>
    <row r="9140" spans="1:39" x14ac:dyDescent="0.2">
      <c r="A9140" t="str">
        <f>"9136"</f>
        <v>9136</v>
      </c>
      <c r="B9140" t="str">
        <f t="shared" si="505"/>
        <v>1</v>
      </c>
      <c r="C9140" t="str">
        <f t="shared" si="508"/>
        <v>183</v>
      </c>
      <c r="D9140" t="str">
        <f>"46"</f>
        <v>46</v>
      </c>
      <c r="E9140" t="str">
        <f>"1-183-46"</f>
        <v>1-183-46</v>
      </c>
      <c r="F9140" t="s">
        <v>65</v>
      </c>
      <c r="G9140" t="s">
        <v>66</v>
      </c>
      <c r="H9140" t="s">
        <v>67</v>
      </c>
      <c r="S9140">
        <v>1</v>
      </c>
      <c r="T9140">
        <v>0</v>
      </c>
      <c r="U9140">
        <v>0</v>
      </c>
      <c r="V9140">
        <v>0</v>
      </c>
      <c r="W9140">
        <v>1</v>
      </c>
      <c r="X9140">
        <v>0</v>
      </c>
      <c r="Y9140">
        <v>1</v>
      </c>
      <c r="Z9140">
        <v>0</v>
      </c>
      <c r="AA9140">
        <v>1</v>
      </c>
      <c r="AB9140">
        <v>0</v>
      </c>
      <c r="AC9140">
        <v>0</v>
      </c>
      <c r="AD9140">
        <v>1</v>
      </c>
      <c r="AE9140">
        <v>1</v>
      </c>
      <c r="AF9140">
        <v>1</v>
      </c>
      <c r="AG9140">
        <v>1</v>
      </c>
      <c r="AH9140">
        <v>1</v>
      </c>
      <c r="AI9140">
        <v>1</v>
      </c>
      <c r="AJ9140">
        <v>1</v>
      </c>
      <c r="AK9140">
        <v>1</v>
      </c>
      <c r="AL9140">
        <v>1</v>
      </c>
      <c r="AM9140">
        <v>1</v>
      </c>
    </row>
    <row r="9141" spans="1:39" x14ac:dyDescent="0.2">
      <c r="A9141" t="str">
        <f>"9137"</f>
        <v>9137</v>
      </c>
      <c r="B9141" t="str">
        <f t="shared" si="505"/>
        <v>1</v>
      </c>
      <c r="C9141" t="str">
        <f t="shared" si="508"/>
        <v>183</v>
      </c>
      <c r="D9141" t="str">
        <f>"30"</f>
        <v>30</v>
      </c>
      <c r="E9141" t="str">
        <f>"1-183-30"</f>
        <v>1-183-30</v>
      </c>
      <c r="F9141" t="s">
        <v>65</v>
      </c>
      <c r="G9141" t="s">
        <v>66</v>
      </c>
      <c r="H9141" t="s">
        <v>67</v>
      </c>
      <c r="S9141">
        <v>1</v>
      </c>
      <c r="T9141">
        <v>0</v>
      </c>
      <c r="U9141">
        <v>0</v>
      </c>
      <c r="V9141">
        <v>0</v>
      </c>
      <c r="W9141">
        <v>1</v>
      </c>
      <c r="X9141">
        <v>0</v>
      </c>
      <c r="Y9141">
        <v>1</v>
      </c>
      <c r="Z9141">
        <v>0</v>
      </c>
      <c r="AA9141">
        <v>0</v>
      </c>
      <c r="AB9141">
        <v>0</v>
      </c>
      <c r="AC9141">
        <v>1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</row>
    <row r="9142" spans="1:39" x14ac:dyDescent="0.2">
      <c r="A9142" t="str">
        <f>"9138"</f>
        <v>9138</v>
      </c>
      <c r="B9142" t="str">
        <f t="shared" si="505"/>
        <v>1</v>
      </c>
      <c r="C9142" t="str">
        <f t="shared" si="508"/>
        <v>183</v>
      </c>
      <c r="D9142" t="str">
        <f>"11"</f>
        <v>11</v>
      </c>
      <c r="E9142" t="str">
        <f>"1-183-11"</f>
        <v>1-183-11</v>
      </c>
      <c r="F9142" t="s">
        <v>65</v>
      </c>
      <c r="G9142" t="s">
        <v>66</v>
      </c>
      <c r="H9142" t="s">
        <v>67</v>
      </c>
      <c r="S9142">
        <v>1</v>
      </c>
      <c r="T9142">
        <v>0</v>
      </c>
      <c r="U9142">
        <v>0</v>
      </c>
      <c r="V9142">
        <v>0</v>
      </c>
      <c r="W9142">
        <v>1</v>
      </c>
      <c r="X9142">
        <v>0</v>
      </c>
      <c r="Y9142">
        <v>0</v>
      </c>
      <c r="Z9142">
        <v>1</v>
      </c>
      <c r="AA9142">
        <v>1</v>
      </c>
      <c r="AB9142">
        <v>0</v>
      </c>
      <c r="AC9142">
        <v>0</v>
      </c>
      <c r="AD9142">
        <v>1</v>
      </c>
      <c r="AE9142">
        <v>1</v>
      </c>
      <c r="AF9142">
        <v>1</v>
      </c>
      <c r="AG9142">
        <v>1</v>
      </c>
      <c r="AH9142">
        <v>1</v>
      </c>
      <c r="AI9142">
        <v>1</v>
      </c>
      <c r="AJ9142">
        <v>1</v>
      </c>
      <c r="AK9142">
        <v>1</v>
      </c>
      <c r="AL9142">
        <v>1</v>
      </c>
      <c r="AM9142">
        <v>1</v>
      </c>
    </row>
    <row r="9143" spans="1:39" x14ac:dyDescent="0.2">
      <c r="A9143" t="str">
        <f>"9139"</f>
        <v>9139</v>
      </c>
      <c r="B9143" t="str">
        <f t="shared" ref="B9143:B9206" si="509">"1"</f>
        <v>1</v>
      </c>
      <c r="C9143" t="str">
        <f t="shared" si="508"/>
        <v>183</v>
      </c>
      <c r="D9143" t="str">
        <f>"31"</f>
        <v>31</v>
      </c>
      <c r="E9143" t="str">
        <f>"1-183-31"</f>
        <v>1-183-31</v>
      </c>
      <c r="F9143" t="s">
        <v>65</v>
      </c>
      <c r="G9143" t="s">
        <v>66</v>
      </c>
      <c r="H9143" t="s">
        <v>67</v>
      </c>
      <c r="S9143">
        <v>0</v>
      </c>
      <c r="T9143">
        <v>1</v>
      </c>
      <c r="U9143">
        <v>0</v>
      </c>
      <c r="V9143">
        <v>0</v>
      </c>
      <c r="W9143">
        <v>0</v>
      </c>
      <c r="X9143">
        <v>1</v>
      </c>
      <c r="Y9143">
        <v>0</v>
      </c>
      <c r="Z9143">
        <v>1</v>
      </c>
      <c r="AA9143">
        <v>0</v>
      </c>
      <c r="AB9143">
        <v>0</v>
      </c>
      <c r="AC9143">
        <v>1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</row>
    <row r="9144" spans="1:39" x14ac:dyDescent="0.2">
      <c r="A9144" t="str">
        <f>"9140"</f>
        <v>9140</v>
      </c>
      <c r="B9144" t="str">
        <f t="shared" si="509"/>
        <v>1</v>
      </c>
      <c r="C9144" t="str">
        <f t="shared" si="508"/>
        <v>183</v>
      </c>
      <c r="D9144" t="str">
        <f>"7"</f>
        <v>7</v>
      </c>
      <c r="E9144" t="str">
        <f>"1-183-7"</f>
        <v>1-183-7</v>
      </c>
      <c r="F9144" t="s">
        <v>65</v>
      </c>
      <c r="G9144" t="s">
        <v>66</v>
      </c>
      <c r="H9144" t="s">
        <v>67</v>
      </c>
      <c r="S9144">
        <v>1</v>
      </c>
      <c r="T9144">
        <v>0</v>
      </c>
      <c r="U9144">
        <v>0</v>
      </c>
      <c r="V9144">
        <v>0</v>
      </c>
      <c r="W9144">
        <v>1</v>
      </c>
      <c r="X9144">
        <v>0</v>
      </c>
      <c r="Y9144">
        <v>0</v>
      </c>
      <c r="Z9144">
        <v>1</v>
      </c>
      <c r="AA9144">
        <v>1</v>
      </c>
      <c r="AB9144">
        <v>0</v>
      </c>
      <c r="AC9144">
        <v>0</v>
      </c>
      <c r="AD9144">
        <v>1</v>
      </c>
      <c r="AE9144">
        <v>1</v>
      </c>
      <c r="AF9144">
        <v>1</v>
      </c>
      <c r="AG9144">
        <v>1</v>
      </c>
      <c r="AH9144">
        <v>1</v>
      </c>
      <c r="AI9144">
        <v>1</v>
      </c>
      <c r="AJ9144">
        <v>1</v>
      </c>
      <c r="AK9144">
        <v>1</v>
      </c>
      <c r="AL9144">
        <v>1</v>
      </c>
      <c r="AM9144">
        <v>1</v>
      </c>
    </row>
    <row r="9145" spans="1:39" x14ac:dyDescent="0.2">
      <c r="A9145" t="str">
        <f>"9141"</f>
        <v>9141</v>
      </c>
      <c r="B9145" t="str">
        <f t="shared" si="509"/>
        <v>1</v>
      </c>
      <c r="C9145" t="str">
        <f t="shared" si="508"/>
        <v>183</v>
      </c>
      <c r="D9145" t="str">
        <f>"47"</f>
        <v>47</v>
      </c>
      <c r="E9145" t="str">
        <f>"1-183-47"</f>
        <v>1-183-47</v>
      </c>
      <c r="F9145" t="s">
        <v>65</v>
      </c>
      <c r="G9145" t="s">
        <v>66</v>
      </c>
      <c r="H9145" t="s">
        <v>67</v>
      </c>
      <c r="S9145">
        <v>0</v>
      </c>
      <c r="T9145">
        <v>1</v>
      </c>
      <c r="U9145">
        <v>0</v>
      </c>
      <c r="V9145">
        <v>0</v>
      </c>
      <c r="W9145">
        <v>0</v>
      </c>
      <c r="X9145">
        <v>1</v>
      </c>
      <c r="Y9145">
        <v>0</v>
      </c>
      <c r="Z9145">
        <v>0</v>
      </c>
      <c r="AA9145">
        <v>0</v>
      </c>
      <c r="AB9145">
        <v>0</v>
      </c>
      <c r="AC9145">
        <v>1</v>
      </c>
      <c r="AD9145">
        <v>0</v>
      </c>
      <c r="AE9145">
        <v>0</v>
      </c>
      <c r="AF9145">
        <v>0</v>
      </c>
      <c r="AG9145">
        <v>1</v>
      </c>
      <c r="AH9145">
        <v>1</v>
      </c>
      <c r="AI9145">
        <v>1</v>
      </c>
      <c r="AJ9145">
        <v>1</v>
      </c>
      <c r="AK9145">
        <v>1</v>
      </c>
      <c r="AL9145">
        <v>1</v>
      </c>
      <c r="AM9145">
        <v>1</v>
      </c>
    </row>
    <row r="9146" spans="1:39" x14ac:dyDescent="0.2">
      <c r="A9146" t="str">
        <f>"9142"</f>
        <v>9142</v>
      </c>
      <c r="B9146" t="str">
        <f t="shared" si="509"/>
        <v>1</v>
      </c>
      <c r="C9146" t="str">
        <f t="shared" si="508"/>
        <v>183</v>
      </c>
      <c r="D9146" t="str">
        <f>"32"</f>
        <v>32</v>
      </c>
      <c r="E9146" t="str">
        <f>"1-183-32"</f>
        <v>1-183-32</v>
      </c>
      <c r="F9146" t="s">
        <v>65</v>
      </c>
      <c r="G9146" t="s">
        <v>66</v>
      </c>
      <c r="H9146" t="s">
        <v>67</v>
      </c>
      <c r="S9146">
        <v>1</v>
      </c>
      <c r="T9146">
        <v>0</v>
      </c>
      <c r="U9146">
        <v>0</v>
      </c>
      <c r="V9146">
        <v>0</v>
      </c>
      <c r="W9146">
        <v>1</v>
      </c>
      <c r="X9146">
        <v>0</v>
      </c>
      <c r="Y9146">
        <v>1</v>
      </c>
      <c r="Z9146">
        <v>0</v>
      </c>
      <c r="AA9146">
        <v>1</v>
      </c>
      <c r="AB9146">
        <v>0</v>
      </c>
      <c r="AC9146">
        <v>0</v>
      </c>
      <c r="AD9146">
        <v>1</v>
      </c>
      <c r="AE9146">
        <v>1</v>
      </c>
      <c r="AF9146">
        <v>1</v>
      </c>
      <c r="AG9146">
        <v>1</v>
      </c>
      <c r="AH9146">
        <v>1</v>
      </c>
      <c r="AI9146">
        <v>1</v>
      </c>
      <c r="AJ9146">
        <v>1</v>
      </c>
      <c r="AK9146">
        <v>1</v>
      </c>
      <c r="AL9146">
        <v>1</v>
      </c>
      <c r="AM9146">
        <v>1</v>
      </c>
    </row>
    <row r="9147" spans="1:39" x14ac:dyDescent="0.2">
      <c r="A9147" t="str">
        <f>"9143"</f>
        <v>9143</v>
      </c>
      <c r="B9147" t="str">
        <f t="shared" si="509"/>
        <v>1</v>
      </c>
      <c r="C9147" t="str">
        <f t="shared" si="508"/>
        <v>183</v>
      </c>
      <c r="D9147" t="str">
        <f>"3"</f>
        <v>3</v>
      </c>
      <c r="E9147" t="str">
        <f>"1-183-3"</f>
        <v>1-183-3</v>
      </c>
      <c r="F9147" t="s">
        <v>65</v>
      </c>
      <c r="G9147" t="s">
        <v>66</v>
      </c>
      <c r="H9147" t="s">
        <v>67</v>
      </c>
      <c r="S9147">
        <v>0</v>
      </c>
      <c r="T9147">
        <v>1</v>
      </c>
      <c r="U9147">
        <v>0</v>
      </c>
      <c r="V9147">
        <v>0</v>
      </c>
      <c r="W9147">
        <v>1</v>
      </c>
      <c r="X9147">
        <v>0</v>
      </c>
      <c r="Y9147">
        <v>1</v>
      </c>
      <c r="Z9147">
        <v>0</v>
      </c>
      <c r="AA9147">
        <v>1</v>
      </c>
      <c r="AB9147">
        <v>0</v>
      </c>
      <c r="AC9147">
        <v>0</v>
      </c>
      <c r="AD9147">
        <v>1</v>
      </c>
      <c r="AE9147">
        <v>1</v>
      </c>
      <c r="AF9147">
        <v>1</v>
      </c>
      <c r="AG9147">
        <v>1</v>
      </c>
      <c r="AH9147">
        <v>1</v>
      </c>
      <c r="AI9147">
        <v>1</v>
      </c>
      <c r="AJ9147">
        <v>1</v>
      </c>
      <c r="AK9147">
        <v>1</v>
      </c>
      <c r="AL9147">
        <v>1</v>
      </c>
      <c r="AM9147">
        <v>1</v>
      </c>
    </row>
    <row r="9148" spans="1:39" x14ac:dyDescent="0.2">
      <c r="A9148" t="str">
        <f>"9144"</f>
        <v>9144</v>
      </c>
      <c r="B9148" t="str">
        <f t="shared" si="509"/>
        <v>1</v>
      </c>
      <c r="C9148" t="str">
        <f t="shared" si="508"/>
        <v>183</v>
      </c>
      <c r="D9148" t="str">
        <f>"48"</f>
        <v>48</v>
      </c>
      <c r="E9148" t="str">
        <f>"1-183-48"</f>
        <v>1-183-48</v>
      </c>
      <c r="F9148" t="s">
        <v>65</v>
      </c>
      <c r="G9148" t="s">
        <v>66</v>
      </c>
      <c r="H9148" t="s">
        <v>67</v>
      </c>
      <c r="S9148">
        <v>1</v>
      </c>
      <c r="T9148">
        <v>0</v>
      </c>
      <c r="U9148">
        <v>0</v>
      </c>
      <c r="V9148">
        <v>0</v>
      </c>
      <c r="W9148">
        <v>1</v>
      </c>
      <c r="X9148">
        <v>0</v>
      </c>
      <c r="Y9148">
        <v>0</v>
      </c>
      <c r="Z9148">
        <v>1</v>
      </c>
      <c r="AA9148">
        <v>1</v>
      </c>
      <c r="AB9148">
        <v>0</v>
      </c>
      <c r="AC9148">
        <v>0</v>
      </c>
      <c r="AD9148">
        <v>1</v>
      </c>
      <c r="AE9148">
        <v>1</v>
      </c>
      <c r="AF9148">
        <v>1</v>
      </c>
      <c r="AG9148">
        <v>1</v>
      </c>
      <c r="AH9148">
        <v>1</v>
      </c>
      <c r="AI9148">
        <v>1</v>
      </c>
      <c r="AJ9148">
        <v>1</v>
      </c>
      <c r="AK9148">
        <v>1</v>
      </c>
      <c r="AL9148">
        <v>1</v>
      </c>
      <c r="AM9148">
        <v>0</v>
      </c>
    </row>
    <row r="9149" spans="1:39" x14ac:dyDescent="0.2">
      <c r="A9149" t="str">
        <f>"9145"</f>
        <v>9145</v>
      </c>
      <c r="B9149" t="str">
        <f t="shared" si="509"/>
        <v>1</v>
      </c>
      <c r="C9149" t="str">
        <f t="shared" si="508"/>
        <v>183</v>
      </c>
      <c r="D9149" t="str">
        <f>"33"</f>
        <v>33</v>
      </c>
      <c r="E9149" t="str">
        <f>"1-183-33"</f>
        <v>1-183-33</v>
      </c>
      <c r="F9149" t="s">
        <v>65</v>
      </c>
      <c r="G9149" t="s">
        <v>66</v>
      </c>
      <c r="H9149" t="s">
        <v>67</v>
      </c>
      <c r="S9149">
        <v>1</v>
      </c>
      <c r="T9149">
        <v>0</v>
      </c>
      <c r="U9149">
        <v>0</v>
      </c>
      <c r="V9149">
        <v>0</v>
      </c>
      <c r="W9149">
        <v>1</v>
      </c>
      <c r="X9149">
        <v>0</v>
      </c>
      <c r="Y9149">
        <v>1</v>
      </c>
      <c r="Z9149">
        <v>0</v>
      </c>
      <c r="AA9149">
        <v>1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1</v>
      </c>
      <c r="AJ9149">
        <v>0</v>
      </c>
      <c r="AK9149">
        <v>0</v>
      </c>
      <c r="AL9149">
        <v>0</v>
      </c>
      <c r="AM9149">
        <v>0</v>
      </c>
    </row>
    <row r="9150" spans="1:39" x14ac:dyDescent="0.2">
      <c r="A9150" t="str">
        <f>"9146"</f>
        <v>9146</v>
      </c>
      <c r="B9150" t="str">
        <f t="shared" si="509"/>
        <v>1</v>
      </c>
      <c r="C9150" t="str">
        <f t="shared" si="508"/>
        <v>183</v>
      </c>
      <c r="D9150" t="str">
        <f>"8"</f>
        <v>8</v>
      </c>
      <c r="E9150" t="str">
        <f>"1-183-8"</f>
        <v>1-183-8</v>
      </c>
      <c r="F9150" t="s">
        <v>65</v>
      </c>
      <c r="G9150" t="s">
        <v>66</v>
      </c>
      <c r="H9150" t="s">
        <v>67</v>
      </c>
      <c r="S9150">
        <v>0</v>
      </c>
      <c r="T9150">
        <v>0</v>
      </c>
      <c r="U9150">
        <v>0</v>
      </c>
      <c r="V9150">
        <v>0</v>
      </c>
      <c r="W9150">
        <v>1</v>
      </c>
      <c r="X9150">
        <v>0</v>
      </c>
      <c r="Y9150">
        <v>0</v>
      </c>
      <c r="Z9150">
        <v>1</v>
      </c>
      <c r="AA9150">
        <v>1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1</v>
      </c>
      <c r="AM9150">
        <v>0</v>
      </c>
    </row>
    <row r="9151" spans="1:39" x14ac:dyDescent="0.2">
      <c r="A9151" t="str">
        <f>"9147"</f>
        <v>9147</v>
      </c>
      <c r="B9151" t="str">
        <f t="shared" si="509"/>
        <v>1</v>
      </c>
      <c r="C9151" t="str">
        <f t="shared" si="508"/>
        <v>183</v>
      </c>
      <c r="D9151" t="str">
        <f>"36"</f>
        <v>36</v>
      </c>
      <c r="E9151" t="str">
        <f>"1-183-36"</f>
        <v>1-183-36</v>
      </c>
      <c r="F9151" t="s">
        <v>65</v>
      </c>
      <c r="G9151" t="s">
        <v>66</v>
      </c>
      <c r="H9151" t="s">
        <v>67</v>
      </c>
      <c r="S9151">
        <v>0</v>
      </c>
      <c r="T9151">
        <v>1</v>
      </c>
      <c r="U9151">
        <v>0</v>
      </c>
      <c r="V9151">
        <v>0</v>
      </c>
      <c r="W9151">
        <v>1</v>
      </c>
      <c r="X9151">
        <v>0</v>
      </c>
      <c r="Y9151">
        <v>1</v>
      </c>
      <c r="Z9151">
        <v>0</v>
      </c>
      <c r="AA9151">
        <v>1</v>
      </c>
      <c r="AB9151">
        <v>0</v>
      </c>
      <c r="AC9151">
        <v>0</v>
      </c>
      <c r="AD9151">
        <v>1</v>
      </c>
      <c r="AE9151">
        <v>1</v>
      </c>
      <c r="AF9151">
        <v>1</v>
      </c>
      <c r="AG9151">
        <v>1</v>
      </c>
      <c r="AH9151">
        <v>1</v>
      </c>
      <c r="AI9151">
        <v>1</v>
      </c>
      <c r="AJ9151">
        <v>1</v>
      </c>
      <c r="AK9151">
        <v>1</v>
      </c>
      <c r="AL9151">
        <v>1</v>
      </c>
      <c r="AM9151">
        <v>1</v>
      </c>
    </row>
    <row r="9152" spans="1:39" x14ac:dyDescent="0.2">
      <c r="A9152" t="str">
        <f>"9148"</f>
        <v>9148</v>
      </c>
      <c r="B9152" t="str">
        <f t="shared" si="509"/>
        <v>1</v>
      </c>
      <c r="C9152" t="str">
        <f t="shared" si="508"/>
        <v>183</v>
      </c>
      <c r="D9152" t="str">
        <f>"14"</f>
        <v>14</v>
      </c>
      <c r="E9152" t="str">
        <f>"1-183-14"</f>
        <v>1-183-14</v>
      </c>
      <c r="F9152" t="s">
        <v>65</v>
      </c>
      <c r="G9152" t="s">
        <v>66</v>
      </c>
      <c r="H9152" t="s">
        <v>67</v>
      </c>
      <c r="S9152">
        <v>0</v>
      </c>
      <c r="T9152">
        <v>1</v>
      </c>
      <c r="U9152">
        <v>0</v>
      </c>
      <c r="V9152">
        <v>0</v>
      </c>
      <c r="W9152">
        <v>0</v>
      </c>
      <c r="X9152">
        <v>1</v>
      </c>
      <c r="Y9152">
        <v>0</v>
      </c>
      <c r="Z9152">
        <v>1</v>
      </c>
      <c r="AA9152">
        <v>0</v>
      </c>
      <c r="AB9152">
        <v>0</v>
      </c>
      <c r="AC9152">
        <v>1</v>
      </c>
      <c r="AD9152">
        <v>1</v>
      </c>
      <c r="AE9152">
        <v>1</v>
      </c>
      <c r="AF9152">
        <v>1</v>
      </c>
      <c r="AG9152">
        <v>1</v>
      </c>
      <c r="AH9152">
        <v>1</v>
      </c>
      <c r="AI9152">
        <v>1</v>
      </c>
      <c r="AJ9152">
        <v>1</v>
      </c>
      <c r="AK9152">
        <v>1</v>
      </c>
      <c r="AL9152">
        <v>1</v>
      </c>
      <c r="AM9152">
        <v>1</v>
      </c>
    </row>
    <row r="9153" spans="1:39" x14ac:dyDescent="0.2">
      <c r="A9153" t="str">
        <f>"9149"</f>
        <v>9149</v>
      </c>
      <c r="B9153" t="str">
        <f t="shared" si="509"/>
        <v>1</v>
      </c>
      <c r="C9153" t="str">
        <f t="shared" si="508"/>
        <v>183</v>
      </c>
      <c r="D9153" t="str">
        <f>"49"</f>
        <v>49</v>
      </c>
      <c r="E9153" t="str">
        <f>"1-183-49"</f>
        <v>1-183-49</v>
      </c>
      <c r="F9153" t="s">
        <v>65</v>
      </c>
      <c r="G9153" t="s">
        <v>66</v>
      </c>
      <c r="H9153" t="s">
        <v>67</v>
      </c>
      <c r="S9153">
        <v>1</v>
      </c>
      <c r="T9153">
        <v>0</v>
      </c>
      <c r="U9153">
        <v>0</v>
      </c>
      <c r="V9153">
        <v>0</v>
      </c>
      <c r="W9153">
        <v>1</v>
      </c>
      <c r="X9153">
        <v>0</v>
      </c>
      <c r="Y9153">
        <v>0</v>
      </c>
      <c r="Z9153">
        <v>1</v>
      </c>
      <c r="AA9153">
        <v>1</v>
      </c>
      <c r="AB9153">
        <v>0</v>
      </c>
      <c r="AC9153">
        <v>0</v>
      </c>
      <c r="AD9153">
        <v>1</v>
      </c>
      <c r="AE9153">
        <v>1</v>
      </c>
      <c r="AF9153">
        <v>1</v>
      </c>
      <c r="AG9153">
        <v>1</v>
      </c>
      <c r="AH9153">
        <v>1</v>
      </c>
      <c r="AI9153">
        <v>1</v>
      </c>
      <c r="AJ9153">
        <v>1</v>
      </c>
      <c r="AK9153">
        <v>1</v>
      </c>
      <c r="AL9153">
        <v>1</v>
      </c>
      <c r="AM9153">
        <v>1</v>
      </c>
    </row>
    <row r="9154" spans="1:39" x14ac:dyDescent="0.2">
      <c r="A9154" t="str">
        <f>"9150"</f>
        <v>9150</v>
      </c>
      <c r="B9154" t="str">
        <f t="shared" si="509"/>
        <v>1</v>
      </c>
      <c r="C9154" t="str">
        <f t="shared" si="508"/>
        <v>183</v>
      </c>
      <c r="D9154" t="str">
        <f>"50"</f>
        <v>50</v>
      </c>
      <c r="E9154" t="str">
        <f>"1-183-50"</f>
        <v>1-183-50</v>
      </c>
      <c r="F9154" t="s">
        <v>65</v>
      </c>
      <c r="G9154" t="s">
        <v>66</v>
      </c>
      <c r="H9154" t="s">
        <v>67</v>
      </c>
      <c r="S9154">
        <v>0</v>
      </c>
      <c r="T9154">
        <v>1</v>
      </c>
      <c r="U9154">
        <v>0</v>
      </c>
      <c r="V9154">
        <v>0</v>
      </c>
      <c r="W9154">
        <v>0</v>
      </c>
      <c r="X9154">
        <v>1</v>
      </c>
      <c r="Y9154">
        <v>1</v>
      </c>
      <c r="Z9154">
        <v>0</v>
      </c>
      <c r="AA9154">
        <v>0</v>
      </c>
      <c r="AB9154">
        <v>0</v>
      </c>
      <c r="AC9154">
        <v>1</v>
      </c>
      <c r="AD9154">
        <v>0</v>
      </c>
      <c r="AE9154">
        <v>0</v>
      </c>
      <c r="AF9154">
        <v>0</v>
      </c>
      <c r="AG9154">
        <v>1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</row>
    <row r="9155" spans="1:39" x14ac:dyDescent="0.2">
      <c r="A9155" t="str">
        <f>"9151"</f>
        <v>9151</v>
      </c>
      <c r="B9155" t="str">
        <f t="shared" si="509"/>
        <v>1</v>
      </c>
      <c r="C9155" t="str">
        <f t="shared" ref="C9155:C9186" si="510">"184"</f>
        <v>184</v>
      </c>
      <c r="D9155" t="str">
        <f>"34"</f>
        <v>34</v>
      </c>
      <c r="E9155" t="str">
        <f>"1-184-34"</f>
        <v>1-184-34</v>
      </c>
      <c r="F9155" t="s">
        <v>65</v>
      </c>
      <c r="G9155" t="s">
        <v>66</v>
      </c>
      <c r="H9155" t="s">
        <v>67</v>
      </c>
      <c r="S9155">
        <v>1</v>
      </c>
      <c r="T9155">
        <v>0</v>
      </c>
      <c r="U9155">
        <v>0</v>
      </c>
      <c r="V9155">
        <v>0</v>
      </c>
      <c r="W9155">
        <v>1</v>
      </c>
      <c r="X9155">
        <v>0</v>
      </c>
      <c r="Y9155">
        <v>1</v>
      </c>
      <c r="Z9155">
        <v>0</v>
      </c>
      <c r="AA9155">
        <v>1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</row>
    <row r="9156" spans="1:39" x14ac:dyDescent="0.2">
      <c r="A9156" t="str">
        <f>"9152"</f>
        <v>9152</v>
      </c>
      <c r="B9156" t="str">
        <f t="shared" si="509"/>
        <v>1</v>
      </c>
      <c r="C9156" t="str">
        <f t="shared" si="510"/>
        <v>184</v>
      </c>
      <c r="D9156" t="str">
        <f>"33"</f>
        <v>33</v>
      </c>
      <c r="E9156" t="str">
        <f>"1-184-33"</f>
        <v>1-184-33</v>
      </c>
      <c r="F9156" t="s">
        <v>65</v>
      </c>
      <c r="G9156" t="s">
        <v>66</v>
      </c>
      <c r="H9156" t="s">
        <v>67</v>
      </c>
      <c r="S9156">
        <v>1</v>
      </c>
      <c r="T9156">
        <v>0</v>
      </c>
      <c r="U9156">
        <v>0</v>
      </c>
      <c r="V9156">
        <v>0</v>
      </c>
      <c r="W9156">
        <v>1</v>
      </c>
      <c r="X9156">
        <v>0</v>
      </c>
      <c r="Y9156">
        <v>1</v>
      </c>
      <c r="Z9156">
        <v>0</v>
      </c>
      <c r="AA9156">
        <v>1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1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</row>
    <row r="9157" spans="1:39" x14ac:dyDescent="0.2">
      <c r="A9157" t="str">
        <f>"9153"</f>
        <v>9153</v>
      </c>
      <c r="B9157" t="str">
        <f t="shared" si="509"/>
        <v>1</v>
      </c>
      <c r="C9157" t="str">
        <f t="shared" si="510"/>
        <v>184</v>
      </c>
      <c r="D9157" t="str">
        <f>"21"</f>
        <v>21</v>
      </c>
      <c r="E9157" t="str">
        <f>"1-184-21"</f>
        <v>1-184-21</v>
      </c>
      <c r="F9157" t="s">
        <v>65</v>
      </c>
      <c r="G9157" t="s">
        <v>66</v>
      </c>
      <c r="H9157" t="s">
        <v>67</v>
      </c>
      <c r="S9157">
        <v>0</v>
      </c>
      <c r="T9157">
        <v>1</v>
      </c>
      <c r="U9157">
        <v>0</v>
      </c>
      <c r="V9157">
        <v>0</v>
      </c>
      <c r="W9157">
        <v>1</v>
      </c>
      <c r="X9157">
        <v>0</v>
      </c>
      <c r="Y9157">
        <v>0</v>
      </c>
      <c r="Z9157">
        <v>1</v>
      </c>
      <c r="AA9157">
        <v>1</v>
      </c>
      <c r="AB9157">
        <v>0</v>
      </c>
      <c r="AC9157">
        <v>0</v>
      </c>
      <c r="AD9157">
        <v>1</v>
      </c>
      <c r="AE9157">
        <v>1</v>
      </c>
      <c r="AF9157">
        <v>1</v>
      </c>
      <c r="AG9157">
        <v>1</v>
      </c>
      <c r="AH9157">
        <v>1</v>
      </c>
      <c r="AI9157">
        <v>1</v>
      </c>
      <c r="AJ9157">
        <v>1</v>
      </c>
      <c r="AK9157">
        <v>1</v>
      </c>
      <c r="AL9157">
        <v>1</v>
      </c>
      <c r="AM9157">
        <v>1</v>
      </c>
    </row>
    <row r="9158" spans="1:39" x14ac:dyDescent="0.2">
      <c r="A9158" t="str">
        <f>"9154"</f>
        <v>9154</v>
      </c>
      <c r="B9158" t="str">
        <f t="shared" si="509"/>
        <v>1</v>
      </c>
      <c r="C9158" t="str">
        <f t="shared" si="510"/>
        <v>184</v>
      </c>
      <c r="D9158" t="str">
        <f>"15"</f>
        <v>15</v>
      </c>
      <c r="E9158" t="str">
        <f>"1-184-15"</f>
        <v>1-184-15</v>
      </c>
      <c r="F9158" t="s">
        <v>65</v>
      </c>
      <c r="G9158" t="s">
        <v>66</v>
      </c>
      <c r="H9158" t="s">
        <v>67</v>
      </c>
      <c r="S9158">
        <v>0</v>
      </c>
      <c r="T9158">
        <v>1</v>
      </c>
      <c r="U9158">
        <v>0</v>
      </c>
      <c r="V9158">
        <v>0</v>
      </c>
      <c r="W9158">
        <v>1</v>
      </c>
      <c r="X9158">
        <v>0</v>
      </c>
      <c r="Y9158">
        <v>0</v>
      </c>
      <c r="Z9158">
        <v>1</v>
      </c>
      <c r="AA9158">
        <v>0</v>
      </c>
      <c r="AB9158">
        <v>1</v>
      </c>
      <c r="AC9158">
        <v>0</v>
      </c>
      <c r="AD9158">
        <v>1</v>
      </c>
      <c r="AE9158">
        <v>1</v>
      </c>
      <c r="AF9158">
        <v>1</v>
      </c>
      <c r="AG9158">
        <v>1</v>
      </c>
      <c r="AH9158">
        <v>1</v>
      </c>
      <c r="AI9158">
        <v>1</v>
      </c>
      <c r="AJ9158">
        <v>1</v>
      </c>
      <c r="AK9158">
        <v>1</v>
      </c>
      <c r="AL9158">
        <v>1</v>
      </c>
      <c r="AM9158">
        <v>1</v>
      </c>
    </row>
    <row r="9159" spans="1:39" x14ac:dyDescent="0.2">
      <c r="A9159" t="str">
        <f>"9155"</f>
        <v>9155</v>
      </c>
      <c r="B9159" t="str">
        <f t="shared" si="509"/>
        <v>1</v>
      </c>
      <c r="C9159" t="str">
        <f t="shared" si="510"/>
        <v>184</v>
      </c>
      <c r="D9159" t="str">
        <f>"1"</f>
        <v>1</v>
      </c>
      <c r="E9159" t="str">
        <f>"1-184-1"</f>
        <v>1-184-1</v>
      </c>
      <c r="F9159" t="s">
        <v>65</v>
      </c>
      <c r="G9159" t="s">
        <v>66</v>
      </c>
      <c r="H9159" t="s">
        <v>67</v>
      </c>
      <c r="S9159">
        <v>1</v>
      </c>
      <c r="T9159">
        <v>0</v>
      </c>
      <c r="U9159">
        <v>0</v>
      </c>
      <c r="V9159">
        <v>0</v>
      </c>
      <c r="W9159">
        <v>1</v>
      </c>
      <c r="X9159">
        <v>0</v>
      </c>
      <c r="Y9159">
        <v>0</v>
      </c>
      <c r="Z9159">
        <v>1</v>
      </c>
      <c r="AA9159">
        <v>0</v>
      </c>
      <c r="AB9159">
        <v>0</v>
      </c>
      <c r="AC9159">
        <v>1</v>
      </c>
      <c r="AD9159">
        <v>1</v>
      </c>
      <c r="AE9159">
        <v>1</v>
      </c>
      <c r="AF9159">
        <v>1</v>
      </c>
      <c r="AG9159">
        <v>1</v>
      </c>
      <c r="AH9159">
        <v>1</v>
      </c>
      <c r="AI9159">
        <v>1</v>
      </c>
      <c r="AJ9159">
        <v>1</v>
      </c>
      <c r="AK9159">
        <v>0</v>
      </c>
      <c r="AL9159">
        <v>1</v>
      </c>
      <c r="AM9159">
        <v>0</v>
      </c>
    </row>
    <row r="9160" spans="1:39" x14ac:dyDescent="0.2">
      <c r="A9160" t="str">
        <f>"9156"</f>
        <v>9156</v>
      </c>
      <c r="B9160" t="str">
        <f t="shared" si="509"/>
        <v>1</v>
      </c>
      <c r="C9160" t="str">
        <f t="shared" si="510"/>
        <v>184</v>
      </c>
      <c r="D9160" t="str">
        <f>"37"</f>
        <v>37</v>
      </c>
      <c r="E9160" t="str">
        <f>"1-184-37"</f>
        <v>1-184-37</v>
      </c>
      <c r="F9160" t="s">
        <v>65</v>
      </c>
      <c r="G9160" t="s">
        <v>66</v>
      </c>
      <c r="H9160" t="s">
        <v>67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1</v>
      </c>
      <c r="Y9160">
        <v>1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1</v>
      </c>
      <c r="AI9160">
        <v>0</v>
      </c>
      <c r="AJ9160">
        <v>1</v>
      </c>
      <c r="AK9160">
        <v>0</v>
      </c>
      <c r="AL9160">
        <v>0</v>
      </c>
      <c r="AM9160">
        <v>0</v>
      </c>
    </row>
    <row r="9161" spans="1:39" x14ac:dyDescent="0.2">
      <c r="A9161" t="str">
        <f>"9157"</f>
        <v>9157</v>
      </c>
      <c r="B9161" t="str">
        <f t="shared" si="509"/>
        <v>1</v>
      </c>
      <c r="C9161" t="str">
        <f t="shared" si="510"/>
        <v>184</v>
      </c>
      <c r="D9161" t="str">
        <f>"36"</f>
        <v>36</v>
      </c>
      <c r="E9161" t="str">
        <f>"1-184-36"</f>
        <v>1-184-36</v>
      </c>
      <c r="F9161" t="s">
        <v>65</v>
      </c>
      <c r="G9161" t="s">
        <v>66</v>
      </c>
      <c r="H9161" t="s">
        <v>67</v>
      </c>
      <c r="S9161">
        <v>1</v>
      </c>
      <c r="T9161">
        <v>0</v>
      </c>
      <c r="U9161">
        <v>0</v>
      </c>
      <c r="V9161">
        <v>0</v>
      </c>
      <c r="W9161">
        <v>1</v>
      </c>
      <c r="X9161">
        <v>0</v>
      </c>
      <c r="Y9161">
        <v>0</v>
      </c>
      <c r="Z9161">
        <v>1</v>
      </c>
      <c r="AA9161">
        <v>0</v>
      </c>
      <c r="AB9161">
        <v>1</v>
      </c>
      <c r="AC9161">
        <v>0</v>
      </c>
      <c r="AD9161">
        <v>1</v>
      </c>
      <c r="AE9161">
        <v>1</v>
      </c>
      <c r="AF9161">
        <v>1</v>
      </c>
      <c r="AG9161">
        <v>1</v>
      </c>
      <c r="AH9161">
        <v>1</v>
      </c>
      <c r="AI9161">
        <v>1</v>
      </c>
      <c r="AJ9161">
        <v>1</v>
      </c>
      <c r="AK9161">
        <v>1</v>
      </c>
      <c r="AL9161">
        <v>1</v>
      </c>
      <c r="AM9161">
        <v>1</v>
      </c>
    </row>
    <row r="9162" spans="1:39" x14ac:dyDescent="0.2">
      <c r="A9162" t="str">
        <f>"9158"</f>
        <v>9158</v>
      </c>
      <c r="B9162" t="str">
        <f t="shared" si="509"/>
        <v>1</v>
      </c>
      <c r="C9162" t="str">
        <f t="shared" si="510"/>
        <v>184</v>
      </c>
      <c r="D9162" t="str">
        <f>"22"</f>
        <v>22</v>
      </c>
      <c r="E9162" t="str">
        <f>"1-184-22"</f>
        <v>1-184-22</v>
      </c>
      <c r="F9162" t="s">
        <v>65</v>
      </c>
      <c r="G9162" t="s">
        <v>66</v>
      </c>
      <c r="H9162" t="s">
        <v>67</v>
      </c>
      <c r="S9162">
        <v>1</v>
      </c>
      <c r="T9162">
        <v>0</v>
      </c>
      <c r="U9162">
        <v>0</v>
      </c>
      <c r="V9162">
        <v>0</v>
      </c>
      <c r="W9162">
        <v>1</v>
      </c>
      <c r="X9162">
        <v>0</v>
      </c>
      <c r="Y9162">
        <v>1</v>
      </c>
      <c r="Z9162">
        <v>0</v>
      </c>
      <c r="AA9162">
        <v>1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1</v>
      </c>
      <c r="AH9162">
        <v>1</v>
      </c>
      <c r="AI9162">
        <v>0</v>
      </c>
      <c r="AJ9162">
        <v>0</v>
      </c>
      <c r="AK9162">
        <v>0</v>
      </c>
      <c r="AL9162">
        <v>1</v>
      </c>
      <c r="AM9162">
        <v>0</v>
      </c>
    </row>
    <row r="9163" spans="1:39" x14ac:dyDescent="0.2">
      <c r="A9163" t="str">
        <f>"9159"</f>
        <v>9159</v>
      </c>
      <c r="B9163" t="str">
        <f t="shared" si="509"/>
        <v>1</v>
      </c>
      <c r="C9163" t="str">
        <f t="shared" si="510"/>
        <v>184</v>
      </c>
      <c r="D9163" t="str">
        <f>"16"</f>
        <v>16</v>
      </c>
      <c r="E9163" t="str">
        <f>"1-184-16"</f>
        <v>1-184-16</v>
      </c>
      <c r="F9163" t="s">
        <v>65</v>
      </c>
      <c r="G9163" t="s">
        <v>66</v>
      </c>
      <c r="H9163" t="s">
        <v>67</v>
      </c>
      <c r="S9163">
        <v>0</v>
      </c>
      <c r="T9163">
        <v>1</v>
      </c>
      <c r="U9163">
        <v>0</v>
      </c>
      <c r="V9163">
        <v>0</v>
      </c>
      <c r="W9163">
        <v>0</v>
      </c>
      <c r="X9163">
        <v>1</v>
      </c>
      <c r="Y9163">
        <v>0</v>
      </c>
      <c r="Z9163">
        <v>1</v>
      </c>
      <c r="AA9163">
        <v>0</v>
      </c>
      <c r="AB9163">
        <v>0</v>
      </c>
      <c r="AC9163">
        <v>1</v>
      </c>
      <c r="AD9163">
        <v>0</v>
      </c>
      <c r="AE9163">
        <v>0</v>
      </c>
      <c r="AF9163">
        <v>0</v>
      </c>
      <c r="AG9163">
        <v>1</v>
      </c>
      <c r="AH9163">
        <v>1</v>
      </c>
      <c r="AI9163">
        <v>1</v>
      </c>
      <c r="AJ9163">
        <v>1</v>
      </c>
      <c r="AK9163">
        <v>1</v>
      </c>
      <c r="AL9163">
        <v>1</v>
      </c>
      <c r="AM9163">
        <v>1</v>
      </c>
    </row>
    <row r="9164" spans="1:39" x14ac:dyDescent="0.2">
      <c r="A9164" t="str">
        <f>"9160"</f>
        <v>9160</v>
      </c>
      <c r="B9164" t="str">
        <f t="shared" si="509"/>
        <v>1</v>
      </c>
      <c r="C9164" t="str">
        <f t="shared" si="510"/>
        <v>184</v>
      </c>
      <c r="D9164" t="str">
        <f>"2"</f>
        <v>2</v>
      </c>
      <c r="E9164" t="str">
        <f>"1-184-2"</f>
        <v>1-184-2</v>
      </c>
      <c r="F9164" t="s">
        <v>65</v>
      </c>
      <c r="G9164" t="s">
        <v>66</v>
      </c>
      <c r="H9164" t="s">
        <v>67</v>
      </c>
      <c r="S9164">
        <v>1</v>
      </c>
      <c r="T9164">
        <v>0</v>
      </c>
      <c r="U9164">
        <v>0</v>
      </c>
      <c r="V9164">
        <v>0</v>
      </c>
      <c r="W9164">
        <v>1</v>
      </c>
      <c r="X9164">
        <v>0</v>
      </c>
      <c r="Y9164">
        <v>1</v>
      </c>
      <c r="Z9164">
        <v>0</v>
      </c>
      <c r="AA9164">
        <v>1</v>
      </c>
      <c r="AB9164">
        <v>0</v>
      </c>
      <c r="AC9164">
        <v>0</v>
      </c>
      <c r="AD9164">
        <v>1</v>
      </c>
      <c r="AE9164">
        <v>1</v>
      </c>
      <c r="AF9164">
        <v>1</v>
      </c>
      <c r="AG9164">
        <v>1</v>
      </c>
      <c r="AH9164">
        <v>1</v>
      </c>
      <c r="AI9164">
        <v>1</v>
      </c>
      <c r="AJ9164">
        <v>1</v>
      </c>
      <c r="AK9164">
        <v>1</v>
      </c>
      <c r="AL9164">
        <v>1</v>
      </c>
      <c r="AM9164">
        <v>1</v>
      </c>
    </row>
    <row r="9165" spans="1:39" x14ac:dyDescent="0.2">
      <c r="A9165" t="str">
        <f>"9161"</f>
        <v>9161</v>
      </c>
      <c r="B9165" t="str">
        <f t="shared" si="509"/>
        <v>1</v>
      </c>
      <c r="C9165" t="str">
        <f t="shared" si="510"/>
        <v>184</v>
      </c>
      <c r="D9165" t="str">
        <f>"40"</f>
        <v>40</v>
      </c>
      <c r="E9165" t="str">
        <f>"1-184-40"</f>
        <v>1-184-40</v>
      </c>
      <c r="F9165" t="s">
        <v>65</v>
      </c>
      <c r="G9165" t="s">
        <v>66</v>
      </c>
      <c r="H9165" t="s">
        <v>67</v>
      </c>
      <c r="S9165">
        <v>1</v>
      </c>
      <c r="T9165">
        <v>0</v>
      </c>
      <c r="U9165">
        <v>0</v>
      </c>
      <c r="V9165">
        <v>0</v>
      </c>
      <c r="W9165">
        <v>1</v>
      </c>
      <c r="X9165">
        <v>0</v>
      </c>
      <c r="Y9165">
        <v>1</v>
      </c>
      <c r="Z9165">
        <v>0</v>
      </c>
      <c r="AA9165">
        <v>0</v>
      </c>
      <c r="AB9165">
        <v>0</v>
      </c>
      <c r="AC9165">
        <v>1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</row>
    <row r="9166" spans="1:39" x14ac:dyDescent="0.2">
      <c r="A9166" t="str">
        <f>"9162"</f>
        <v>9162</v>
      </c>
      <c r="B9166" t="str">
        <f t="shared" si="509"/>
        <v>1</v>
      </c>
      <c r="C9166" t="str">
        <f t="shared" si="510"/>
        <v>184</v>
      </c>
      <c r="D9166" t="str">
        <f>"39"</f>
        <v>39</v>
      </c>
      <c r="E9166" t="str">
        <f>"1-184-39"</f>
        <v>1-184-39</v>
      </c>
      <c r="F9166" t="s">
        <v>65</v>
      </c>
      <c r="G9166" t="s">
        <v>66</v>
      </c>
      <c r="H9166" t="s">
        <v>67</v>
      </c>
      <c r="S9166">
        <v>1</v>
      </c>
      <c r="T9166">
        <v>0</v>
      </c>
      <c r="U9166">
        <v>0</v>
      </c>
      <c r="V9166">
        <v>0</v>
      </c>
      <c r="W9166">
        <v>1</v>
      </c>
      <c r="X9166">
        <v>0</v>
      </c>
      <c r="Y9166">
        <v>0</v>
      </c>
      <c r="Z9166">
        <v>1</v>
      </c>
      <c r="AA9166">
        <v>0</v>
      </c>
      <c r="AB9166">
        <v>0</v>
      </c>
      <c r="AC9166">
        <v>1</v>
      </c>
      <c r="AD9166">
        <v>1</v>
      </c>
      <c r="AE9166">
        <v>1</v>
      </c>
      <c r="AF9166">
        <v>1</v>
      </c>
      <c r="AG9166">
        <v>1</v>
      </c>
      <c r="AH9166">
        <v>1</v>
      </c>
      <c r="AI9166">
        <v>1</v>
      </c>
      <c r="AJ9166">
        <v>1</v>
      </c>
      <c r="AK9166">
        <v>1</v>
      </c>
      <c r="AL9166">
        <v>1</v>
      </c>
      <c r="AM9166">
        <v>1</v>
      </c>
    </row>
    <row r="9167" spans="1:39" x14ac:dyDescent="0.2">
      <c r="A9167" t="str">
        <f>"9163"</f>
        <v>9163</v>
      </c>
      <c r="B9167" t="str">
        <f t="shared" si="509"/>
        <v>1</v>
      </c>
      <c r="C9167" t="str">
        <f t="shared" si="510"/>
        <v>184</v>
      </c>
      <c r="D9167" t="str">
        <f>"26"</f>
        <v>26</v>
      </c>
      <c r="E9167" t="str">
        <f>"1-184-26"</f>
        <v>1-184-26</v>
      </c>
      <c r="F9167" t="s">
        <v>65</v>
      </c>
      <c r="G9167" t="s">
        <v>66</v>
      </c>
      <c r="H9167" t="s">
        <v>67</v>
      </c>
      <c r="S9167">
        <v>0</v>
      </c>
      <c r="T9167">
        <v>1</v>
      </c>
      <c r="U9167">
        <v>0</v>
      </c>
      <c r="V9167">
        <v>0</v>
      </c>
      <c r="W9167">
        <v>1</v>
      </c>
      <c r="X9167">
        <v>0</v>
      </c>
      <c r="Y9167">
        <v>1</v>
      </c>
      <c r="Z9167">
        <v>0</v>
      </c>
      <c r="AA9167">
        <v>1</v>
      </c>
      <c r="AB9167">
        <v>0</v>
      </c>
      <c r="AC9167">
        <v>0</v>
      </c>
      <c r="AD9167">
        <v>1</v>
      </c>
      <c r="AE9167">
        <v>1</v>
      </c>
      <c r="AF9167">
        <v>1</v>
      </c>
      <c r="AG9167">
        <v>1</v>
      </c>
      <c r="AH9167">
        <v>1</v>
      </c>
      <c r="AI9167">
        <v>1</v>
      </c>
      <c r="AJ9167">
        <v>1</v>
      </c>
      <c r="AK9167">
        <v>1</v>
      </c>
      <c r="AL9167">
        <v>1</v>
      </c>
      <c r="AM9167">
        <v>1</v>
      </c>
    </row>
    <row r="9168" spans="1:39" x14ac:dyDescent="0.2">
      <c r="A9168" t="str">
        <f>"9164"</f>
        <v>9164</v>
      </c>
      <c r="B9168" t="str">
        <f t="shared" si="509"/>
        <v>1</v>
      </c>
      <c r="C9168" t="str">
        <f t="shared" si="510"/>
        <v>184</v>
      </c>
      <c r="D9168" t="str">
        <f>"17"</f>
        <v>17</v>
      </c>
      <c r="E9168" t="str">
        <f>"1-184-17"</f>
        <v>1-184-17</v>
      </c>
      <c r="F9168" t="s">
        <v>65</v>
      </c>
      <c r="G9168" t="s">
        <v>66</v>
      </c>
      <c r="H9168" t="s">
        <v>67</v>
      </c>
      <c r="S9168">
        <v>0</v>
      </c>
      <c r="T9168">
        <v>1</v>
      </c>
      <c r="U9168">
        <v>0</v>
      </c>
      <c r="V9168">
        <v>0</v>
      </c>
      <c r="W9168">
        <v>0</v>
      </c>
      <c r="X9168">
        <v>1</v>
      </c>
      <c r="Y9168">
        <v>0</v>
      </c>
      <c r="Z9168">
        <v>1</v>
      </c>
      <c r="AA9168">
        <v>0</v>
      </c>
      <c r="AB9168">
        <v>0</v>
      </c>
      <c r="AC9168">
        <v>1</v>
      </c>
      <c r="AD9168">
        <v>1</v>
      </c>
      <c r="AE9168">
        <v>1</v>
      </c>
      <c r="AF9168">
        <v>1</v>
      </c>
      <c r="AG9168">
        <v>1</v>
      </c>
      <c r="AH9168">
        <v>1</v>
      </c>
      <c r="AI9168">
        <v>1</v>
      </c>
      <c r="AJ9168">
        <v>1</v>
      </c>
      <c r="AK9168">
        <v>1</v>
      </c>
      <c r="AL9168">
        <v>1</v>
      </c>
      <c r="AM9168">
        <v>1</v>
      </c>
    </row>
    <row r="9169" spans="1:39" x14ac:dyDescent="0.2">
      <c r="A9169" t="str">
        <f>"9165"</f>
        <v>9165</v>
      </c>
      <c r="B9169" t="str">
        <f t="shared" si="509"/>
        <v>1</v>
      </c>
      <c r="C9169" t="str">
        <f t="shared" si="510"/>
        <v>184</v>
      </c>
      <c r="D9169" t="str">
        <f>"3"</f>
        <v>3</v>
      </c>
      <c r="E9169" t="str">
        <f>"1-184-3"</f>
        <v>1-184-3</v>
      </c>
      <c r="F9169" t="s">
        <v>65</v>
      </c>
      <c r="G9169" t="s">
        <v>66</v>
      </c>
      <c r="H9169" t="s">
        <v>67</v>
      </c>
      <c r="S9169">
        <v>1</v>
      </c>
      <c r="T9169">
        <v>0</v>
      </c>
      <c r="U9169">
        <v>0</v>
      </c>
      <c r="V9169">
        <v>0</v>
      </c>
      <c r="W9169">
        <v>1</v>
      </c>
      <c r="X9169">
        <v>0</v>
      </c>
      <c r="Y9169">
        <v>1</v>
      </c>
      <c r="Z9169">
        <v>0</v>
      </c>
      <c r="AA9169">
        <v>0</v>
      </c>
      <c r="AB9169">
        <v>0</v>
      </c>
      <c r="AC9169">
        <v>1</v>
      </c>
      <c r="AD9169">
        <v>0</v>
      </c>
      <c r="AE9169">
        <v>0</v>
      </c>
      <c r="AF9169">
        <v>0</v>
      </c>
      <c r="AG9169">
        <v>1</v>
      </c>
      <c r="AH9169">
        <v>0</v>
      </c>
      <c r="AI9169">
        <v>1</v>
      </c>
      <c r="AJ9169">
        <v>1</v>
      </c>
      <c r="AK9169">
        <v>0</v>
      </c>
      <c r="AL9169">
        <v>1</v>
      </c>
      <c r="AM9169">
        <v>1</v>
      </c>
    </row>
    <row r="9170" spans="1:39" x14ac:dyDescent="0.2">
      <c r="A9170" t="str">
        <f>"9166"</f>
        <v>9166</v>
      </c>
      <c r="B9170" t="str">
        <f t="shared" si="509"/>
        <v>1</v>
      </c>
      <c r="C9170" t="str">
        <f t="shared" si="510"/>
        <v>184</v>
      </c>
      <c r="D9170" t="str">
        <f>"42"</f>
        <v>42</v>
      </c>
      <c r="E9170" t="str">
        <f>"1-184-42"</f>
        <v>1-184-42</v>
      </c>
      <c r="F9170" t="s">
        <v>65</v>
      </c>
      <c r="G9170" t="s">
        <v>66</v>
      </c>
      <c r="H9170" t="s">
        <v>67</v>
      </c>
      <c r="S9170">
        <v>1</v>
      </c>
      <c r="T9170">
        <v>0</v>
      </c>
      <c r="U9170">
        <v>0</v>
      </c>
      <c r="V9170">
        <v>0</v>
      </c>
      <c r="W9170">
        <v>1</v>
      </c>
      <c r="X9170">
        <v>0</v>
      </c>
      <c r="Y9170">
        <v>0</v>
      </c>
      <c r="Z9170">
        <v>1</v>
      </c>
      <c r="AA9170">
        <v>1</v>
      </c>
      <c r="AB9170">
        <v>0</v>
      </c>
      <c r="AC9170">
        <v>0</v>
      </c>
      <c r="AD9170">
        <v>1</v>
      </c>
      <c r="AE9170">
        <v>1</v>
      </c>
      <c r="AF9170">
        <v>1</v>
      </c>
      <c r="AG9170">
        <v>1</v>
      </c>
      <c r="AH9170">
        <v>1</v>
      </c>
      <c r="AI9170">
        <v>1</v>
      </c>
      <c r="AJ9170">
        <v>1</v>
      </c>
      <c r="AK9170">
        <v>1</v>
      </c>
      <c r="AL9170">
        <v>1</v>
      </c>
      <c r="AM9170">
        <v>0</v>
      </c>
    </row>
    <row r="9171" spans="1:39" x14ac:dyDescent="0.2">
      <c r="A9171" t="str">
        <f>"9167"</f>
        <v>9167</v>
      </c>
      <c r="B9171" t="str">
        <f t="shared" si="509"/>
        <v>1</v>
      </c>
      <c r="C9171" t="str">
        <f t="shared" si="510"/>
        <v>184</v>
      </c>
      <c r="D9171" t="str">
        <f>"41"</f>
        <v>41</v>
      </c>
      <c r="E9171" t="str">
        <f>"1-184-41"</f>
        <v>1-184-41</v>
      </c>
      <c r="F9171" t="s">
        <v>65</v>
      </c>
      <c r="G9171" t="s">
        <v>66</v>
      </c>
      <c r="H9171" t="s">
        <v>67</v>
      </c>
      <c r="S9171">
        <v>1</v>
      </c>
      <c r="T9171">
        <v>0</v>
      </c>
      <c r="U9171">
        <v>0</v>
      </c>
      <c r="V9171">
        <v>0</v>
      </c>
      <c r="W9171">
        <v>1</v>
      </c>
      <c r="X9171">
        <v>0</v>
      </c>
      <c r="Y9171">
        <v>1</v>
      </c>
      <c r="Z9171">
        <v>0</v>
      </c>
      <c r="AA9171">
        <v>0</v>
      </c>
      <c r="AB9171">
        <v>0</v>
      </c>
      <c r="AC9171">
        <v>1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</row>
    <row r="9172" spans="1:39" x14ac:dyDescent="0.2">
      <c r="A9172" t="str">
        <f>"9168"</f>
        <v>9168</v>
      </c>
      <c r="B9172" t="str">
        <f t="shared" si="509"/>
        <v>1</v>
      </c>
      <c r="C9172" t="str">
        <f t="shared" si="510"/>
        <v>184</v>
      </c>
      <c r="D9172" t="str">
        <f>"29"</f>
        <v>29</v>
      </c>
      <c r="E9172" t="str">
        <f>"1-184-29"</f>
        <v>1-184-29</v>
      </c>
      <c r="F9172" t="s">
        <v>65</v>
      </c>
      <c r="G9172" t="s">
        <v>66</v>
      </c>
      <c r="H9172" t="s">
        <v>67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1</v>
      </c>
      <c r="Y9172">
        <v>0</v>
      </c>
      <c r="Z9172">
        <v>0</v>
      </c>
      <c r="AA9172">
        <v>0</v>
      </c>
      <c r="AB9172">
        <v>0</v>
      </c>
      <c r="AC9172">
        <v>1</v>
      </c>
      <c r="AD9172">
        <v>1</v>
      </c>
      <c r="AE9172">
        <v>1</v>
      </c>
      <c r="AF9172">
        <v>1</v>
      </c>
      <c r="AG9172">
        <v>1</v>
      </c>
      <c r="AH9172">
        <v>1</v>
      </c>
      <c r="AI9172">
        <v>1</v>
      </c>
      <c r="AJ9172">
        <v>1</v>
      </c>
      <c r="AK9172">
        <v>1</v>
      </c>
      <c r="AL9172">
        <v>1</v>
      </c>
      <c r="AM9172">
        <v>1</v>
      </c>
    </row>
    <row r="9173" spans="1:39" x14ac:dyDescent="0.2">
      <c r="A9173" t="str">
        <f>"9169"</f>
        <v>9169</v>
      </c>
      <c r="B9173" t="str">
        <f t="shared" si="509"/>
        <v>1</v>
      </c>
      <c r="C9173" t="str">
        <f t="shared" si="510"/>
        <v>184</v>
      </c>
      <c r="D9173" t="str">
        <f>"18"</f>
        <v>18</v>
      </c>
      <c r="E9173" t="str">
        <f>"1-184-18"</f>
        <v>1-184-18</v>
      </c>
      <c r="F9173" t="s">
        <v>65</v>
      </c>
      <c r="G9173" t="s">
        <v>66</v>
      </c>
      <c r="H9173" t="s">
        <v>67</v>
      </c>
      <c r="S9173">
        <v>1</v>
      </c>
      <c r="T9173">
        <v>0</v>
      </c>
      <c r="U9173">
        <v>0</v>
      </c>
      <c r="V9173">
        <v>0</v>
      </c>
      <c r="W9173">
        <v>1</v>
      </c>
      <c r="X9173">
        <v>0</v>
      </c>
      <c r="Y9173">
        <v>1</v>
      </c>
      <c r="Z9173">
        <v>0</v>
      </c>
      <c r="AA9173">
        <v>0</v>
      </c>
      <c r="AB9173">
        <v>1</v>
      </c>
      <c r="AC9173">
        <v>0</v>
      </c>
      <c r="AD9173">
        <v>1</v>
      </c>
      <c r="AE9173">
        <v>1</v>
      </c>
      <c r="AF9173">
        <v>1</v>
      </c>
      <c r="AG9173">
        <v>1</v>
      </c>
      <c r="AH9173">
        <v>1</v>
      </c>
      <c r="AI9173">
        <v>1</v>
      </c>
      <c r="AJ9173">
        <v>1</v>
      </c>
      <c r="AK9173">
        <v>1</v>
      </c>
      <c r="AL9173">
        <v>1</v>
      </c>
      <c r="AM9173">
        <v>1</v>
      </c>
    </row>
    <row r="9174" spans="1:39" x14ac:dyDescent="0.2">
      <c r="A9174" t="str">
        <f>"9170"</f>
        <v>9170</v>
      </c>
      <c r="B9174" t="str">
        <f t="shared" si="509"/>
        <v>1</v>
      </c>
      <c r="C9174" t="str">
        <f t="shared" si="510"/>
        <v>184</v>
      </c>
      <c r="D9174" t="str">
        <f>"11"</f>
        <v>11</v>
      </c>
      <c r="E9174" t="str">
        <f>"1-184-11"</f>
        <v>1-184-11</v>
      </c>
      <c r="F9174" t="s">
        <v>65</v>
      </c>
      <c r="G9174" t="s">
        <v>66</v>
      </c>
      <c r="H9174" t="s">
        <v>67</v>
      </c>
      <c r="S9174">
        <v>0</v>
      </c>
      <c r="T9174">
        <v>1</v>
      </c>
      <c r="U9174">
        <v>0</v>
      </c>
      <c r="V9174">
        <v>0</v>
      </c>
      <c r="W9174">
        <v>1</v>
      </c>
      <c r="X9174">
        <v>0</v>
      </c>
      <c r="Y9174">
        <v>0</v>
      </c>
      <c r="Z9174">
        <v>1</v>
      </c>
      <c r="AA9174">
        <v>0</v>
      </c>
      <c r="AB9174">
        <v>0</v>
      </c>
      <c r="AC9174">
        <v>1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</row>
    <row r="9175" spans="1:39" x14ac:dyDescent="0.2">
      <c r="A9175" t="str">
        <f>"9171"</f>
        <v>9171</v>
      </c>
      <c r="B9175" t="str">
        <f t="shared" si="509"/>
        <v>1</v>
      </c>
      <c r="C9175" t="str">
        <f t="shared" si="510"/>
        <v>184</v>
      </c>
      <c r="D9175" t="str">
        <f>"35"</f>
        <v>35</v>
      </c>
      <c r="E9175" t="str">
        <f>"1-184-35"</f>
        <v>1-184-35</v>
      </c>
      <c r="F9175" t="s">
        <v>65</v>
      </c>
      <c r="G9175" t="s">
        <v>66</v>
      </c>
      <c r="H9175" t="s">
        <v>67</v>
      </c>
      <c r="S9175">
        <v>1</v>
      </c>
      <c r="T9175">
        <v>0</v>
      </c>
      <c r="U9175">
        <v>0</v>
      </c>
      <c r="V9175">
        <v>0</v>
      </c>
      <c r="W9175">
        <v>1</v>
      </c>
      <c r="X9175">
        <v>0</v>
      </c>
      <c r="Y9175">
        <v>0</v>
      </c>
      <c r="Z9175">
        <v>1</v>
      </c>
      <c r="AA9175">
        <v>0</v>
      </c>
      <c r="AB9175">
        <v>1</v>
      </c>
      <c r="AC9175">
        <v>0</v>
      </c>
      <c r="AD9175">
        <v>1</v>
      </c>
      <c r="AE9175">
        <v>1</v>
      </c>
      <c r="AF9175">
        <v>1</v>
      </c>
      <c r="AG9175">
        <v>1</v>
      </c>
      <c r="AH9175">
        <v>1</v>
      </c>
      <c r="AI9175">
        <v>1</v>
      </c>
      <c r="AJ9175">
        <v>1</v>
      </c>
      <c r="AK9175">
        <v>1</v>
      </c>
      <c r="AL9175">
        <v>1</v>
      </c>
      <c r="AM9175">
        <v>1</v>
      </c>
    </row>
    <row r="9176" spans="1:39" x14ac:dyDescent="0.2">
      <c r="A9176" t="str">
        <f>"9172"</f>
        <v>9172</v>
      </c>
      <c r="B9176" t="str">
        <f t="shared" si="509"/>
        <v>1</v>
      </c>
      <c r="C9176" t="str">
        <f t="shared" si="510"/>
        <v>184</v>
      </c>
      <c r="D9176" t="str">
        <f>"19"</f>
        <v>19</v>
      </c>
      <c r="E9176" t="str">
        <f>"1-184-19"</f>
        <v>1-184-19</v>
      </c>
      <c r="F9176" t="s">
        <v>65</v>
      </c>
      <c r="G9176" t="s">
        <v>66</v>
      </c>
      <c r="H9176" t="s">
        <v>67</v>
      </c>
      <c r="S9176">
        <v>1</v>
      </c>
      <c r="T9176">
        <v>0</v>
      </c>
      <c r="U9176">
        <v>0</v>
      </c>
      <c r="V9176">
        <v>0</v>
      </c>
      <c r="W9176">
        <v>1</v>
      </c>
      <c r="X9176">
        <v>0</v>
      </c>
      <c r="Y9176">
        <v>1</v>
      </c>
      <c r="Z9176">
        <v>0</v>
      </c>
      <c r="AA9176">
        <v>1</v>
      </c>
      <c r="AB9176">
        <v>0</v>
      </c>
      <c r="AC9176">
        <v>0</v>
      </c>
      <c r="AD9176">
        <v>1</v>
      </c>
      <c r="AE9176">
        <v>1</v>
      </c>
      <c r="AF9176">
        <v>1</v>
      </c>
      <c r="AG9176">
        <v>1</v>
      </c>
      <c r="AH9176">
        <v>1</v>
      </c>
      <c r="AI9176">
        <v>1</v>
      </c>
      <c r="AJ9176">
        <v>1</v>
      </c>
      <c r="AK9176">
        <v>1</v>
      </c>
      <c r="AL9176">
        <v>1</v>
      </c>
      <c r="AM9176">
        <v>1</v>
      </c>
    </row>
    <row r="9177" spans="1:39" x14ac:dyDescent="0.2">
      <c r="A9177" t="str">
        <f>"9173"</f>
        <v>9173</v>
      </c>
      <c r="B9177" t="str">
        <f t="shared" si="509"/>
        <v>1</v>
      </c>
      <c r="C9177" t="str">
        <f t="shared" si="510"/>
        <v>184</v>
      </c>
      <c r="D9177" t="str">
        <f>"38"</f>
        <v>38</v>
      </c>
      <c r="E9177" t="str">
        <f>"1-184-38"</f>
        <v>1-184-38</v>
      </c>
      <c r="F9177" t="s">
        <v>65</v>
      </c>
      <c r="G9177" t="s">
        <v>66</v>
      </c>
      <c r="H9177" t="s">
        <v>67</v>
      </c>
      <c r="S9177">
        <v>1</v>
      </c>
      <c r="T9177">
        <v>0</v>
      </c>
      <c r="U9177">
        <v>0</v>
      </c>
      <c r="V9177">
        <v>0</v>
      </c>
      <c r="W9177">
        <v>1</v>
      </c>
      <c r="X9177">
        <v>0</v>
      </c>
      <c r="Y9177">
        <v>1</v>
      </c>
      <c r="Z9177">
        <v>0</v>
      </c>
      <c r="AA9177">
        <v>1</v>
      </c>
      <c r="AB9177">
        <v>0</v>
      </c>
      <c r="AC9177">
        <v>0</v>
      </c>
      <c r="AD9177">
        <v>1</v>
      </c>
      <c r="AE9177">
        <v>1</v>
      </c>
      <c r="AF9177">
        <v>1</v>
      </c>
      <c r="AG9177">
        <v>1</v>
      </c>
      <c r="AH9177">
        <v>1</v>
      </c>
      <c r="AI9177">
        <v>1</v>
      </c>
      <c r="AJ9177">
        <v>1</v>
      </c>
      <c r="AK9177">
        <v>1</v>
      </c>
      <c r="AL9177">
        <v>1</v>
      </c>
      <c r="AM9177">
        <v>1</v>
      </c>
    </row>
    <row r="9178" spans="1:39" x14ac:dyDescent="0.2">
      <c r="A9178" t="str">
        <f>"9174"</f>
        <v>9174</v>
      </c>
      <c r="B9178" t="str">
        <f t="shared" si="509"/>
        <v>1</v>
      </c>
      <c r="C9178" t="str">
        <f t="shared" si="510"/>
        <v>184</v>
      </c>
      <c r="D9178" t="str">
        <f>"20"</f>
        <v>20</v>
      </c>
      <c r="E9178" t="str">
        <f>"1-184-20"</f>
        <v>1-184-20</v>
      </c>
      <c r="F9178" t="s">
        <v>65</v>
      </c>
      <c r="G9178" t="s">
        <v>66</v>
      </c>
      <c r="H9178" t="s">
        <v>67</v>
      </c>
      <c r="S9178">
        <v>0</v>
      </c>
      <c r="T9178">
        <v>1</v>
      </c>
      <c r="U9178">
        <v>0</v>
      </c>
      <c r="V9178">
        <v>0</v>
      </c>
      <c r="W9178">
        <v>1</v>
      </c>
      <c r="X9178">
        <v>0</v>
      </c>
      <c r="Y9178">
        <v>0</v>
      </c>
      <c r="Z9178">
        <v>1</v>
      </c>
      <c r="AA9178">
        <v>1</v>
      </c>
      <c r="AB9178">
        <v>0</v>
      </c>
      <c r="AC9178">
        <v>0</v>
      </c>
      <c r="AD9178">
        <v>1</v>
      </c>
      <c r="AE9178">
        <v>1</v>
      </c>
      <c r="AF9178">
        <v>1</v>
      </c>
      <c r="AG9178">
        <v>1</v>
      </c>
      <c r="AH9178">
        <v>1</v>
      </c>
      <c r="AI9178">
        <v>1</v>
      </c>
      <c r="AJ9178">
        <v>1</v>
      </c>
      <c r="AK9178">
        <v>1</v>
      </c>
      <c r="AL9178">
        <v>1</v>
      </c>
      <c r="AM9178">
        <v>1</v>
      </c>
    </row>
    <row r="9179" spans="1:39" x14ac:dyDescent="0.2">
      <c r="A9179" t="str">
        <f>"9175"</f>
        <v>9175</v>
      </c>
      <c r="B9179" t="str">
        <f t="shared" si="509"/>
        <v>1</v>
      </c>
      <c r="C9179" t="str">
        <f t="shared" si="510"/>
        <v>184</v>
      </c>
      <c r="D9179" t="str">
        <f>"12"</f>
        <v>12</v>
      </c>
      <c r="E9179" t="str">
        <f>"1-184-12"</f>
        <v>1-184-12</v>
      </c>
      <c r="F9179" t="s">
        <v>65</v>
      </c>
      <c r="G9179" t="s">
        <v>66</v>
      </c>
      <c r="H9179" t="s">
        <v>67</v>
      </c>
      <c r="S9179">
        <v>0</v>
      </c>
      <c r="T9179">
        <v>1</v>
      </c>
      <c r="U9179">
        <v>0</v>
      </c>
      <c r="V9179">
        <v>0</v>
      </c>
      <c r="W9179">
        <v>1</v>
      </c>
      <c r="X9179">
        <v>0</v>
      </c>
      <c r="Y9179">
        <v>0</v>
      </c>
      <c r="Z9179">
        <v>1</v>
      </c>
      <c r="AA9179">
        <v>0</v>
      </c>
      <c r="AB9179">
        <v>1</v>
      </c>
      <c r="AC9179">
        <v>0</v>
      </c>
      <c r="AD9179">
        <v>1</v>
      </c>
      <c r="AE9179">
        <v>1</v>
      </c>
      <c r="AF9179">
        <v>1</v>
      </c>
      <c r="AG9179">
        <v>1</v>
      </c>
      <c r="AH9179">
        <v>1</v>
      </c>
      <c r="AI9179">
        <v>1</v>
      </c>
      <c r="AJ9179">
        <v>1</v>
      </c>
      <c r="AK9179">
        <v>1</v>
      </c>
      <c r="AL9179">
        <v>1</v>
      </c>
      <c r="AM9179">
        <v>1</v>
      </c>
    </row>
    <row r="9180" spans="1:39" x14ac:dyDescent="0.2">
      <c r="A9180" t="str">
        <f>"9176"</f>
        <v>9176</v>
      </c>
      <c r="B9180" t="str">
        <f t="shared" si="509"/>
        <v>1</v>
      </c>
      <c r="C9180" t="str">
        <f t="shared" si="510"/>
        <v>184</v>
      </c>
      <c r="D9180" t="str">
        <f>"49"</f>
        <v>49</v>
      </c>
      <c r="E9180" t="str">
        <f>"1-184-49"</f>
        <v>1-184-49</v>
      </c>
      <c r="F9180" t="s">
        <v>65</v>
      </c>
      <c r="G9180" t="s">
        <v>66</v>
      </c>
      <c r="H9180" t="s">
        <v>67</v>
      </c>
      <c r="S9180">
        <v>1</v>
      </c>
      <c r="T9180">
        <v>0</v>
      </c>
      <c r="U9180">
        <v>0</v>
      </c>
      <c r="V9180">
        <v>0</v>
      </c>
      <c r="W9180">
        <v>1</v>
      </c>
      <c r="X9180">
        <v>0</v>
      </c>
      <c r="Y9180">
        <v>1</v>
      </c>
      <c r="Z9180">
        <v>0</v>
      </c>
      <c r="AA9180">
        <v>1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1</v>
      </c>
      <c r="AH9180">
        <v>0</v>
      </c>
      <c r="AI9180">
        <v>1</v>
      </c>
      <c r="AJ9180">
        <v>1</v>
      </c>
      <c r="AK9180">
        <v>1</v>
      </c>
      <c r="AL9180">
        <v>1</v>
      </c>
      <c r="AM9180">
        <v>0</v>
      </c>
    </row>
    <row r="9181" spans="1:39" x14ac:dyDescent="0.2">
      <c r="A9181" t="str">
        <f>"9177"</f>
        <v>9177</v>
      </c>
      <c r="B9181" t="str">
        <f t="shared" si="509"/>
        <v>1</v>
      </c>
      <c r="C9181" t="str">
        <f t="shared" si="510"/>
        <v>184</v>
      </c>
      <c r="D9181" t="str">
        <f>"23"</f>
        <v>23</v>
      </c>
      <c r="E9181" t="str">
        <f>"1-184-23"</f>
        <v>1-184-23</v>
      </c>
      <c r="F9181" t="s">
        <v>65</v>
      </c>
      <c r="G9181" t="s">
        <v>66</v>
      </c>
      <c r="H9181" t="s">
        <v>67</v>
      </c>
      <c r="S9181">
        <v>1</v>
      </c>
      <c r="T9181">
        <v>0</v>
      </c>
      <c r="U9181">
        <v>0</v>
      </c>
      <c r="V9181">
        <v>0</v>
      </c>
      <c r="W9181">
        <v>1</v>
      </c>
      <c r="X9181">
        <v>0</v>
      </c>
      <c r="Y9181">
        <v>1</v>
      </c>
      <c r="Z9181">
        <v>0</v>
      </c>
      <c r="AA9181">
        <v>1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1</v>
      </c>
      <c r="AH9181">
        <v>0</v>
      </c>
      <c r="AI9181">
        <v>1</v>
      </c>
      <c r="AJ9181">
        <v>1</v>
      </c>
      <c r="AK9181">
        <v>1</v>
      </c>
      <c r="AL9181">
        <v>1</v>
      </c>
      <c r="AM9181">
        <v>1</v>
      </c>
    </row>
    <row r="9182" spans="1:39" x14ac:dyDescent="0.2">
      <c r="A9182" t="str">
        <f>"9178"</f>
        <v>9178</v>
      </c>
      <c r="B9182" t="str">
        <f t="shared" si="509"/>
        <v>1</v>
      </c>
      <c r="C9182" t="str">
        <f t="shared" si="510"/>
        <v>184</v>
      </c>
      <c r="D9182" t="str">
        <f>"13"</f>
        <v>13</v>
      </c>
      <c r="E9182" t="str">
        <f>"1-184-13"</f>
        <v>1-184-13</v>
      </c>
      <c r="F9182" t="s">
        <v>65</v>
      </c>
      <c r="G9182" t="s">
        <v>66</v>
      </c>
      <c r="H9182" t="s">
        <v>67</v>
      </c>
      <c r="S9182">
        <v>1</v>
      </c>
      <c r="T9182">
        <v>0</v>
      </c>
      <c r="U9182">
        <v>0</v>
      </c>
      <c r="V9182">
        <v>0</v>
      </c>
      <c r="W9182">
        <v>1</v>
      </c>
      <c r="X9182">
        <v>0</v>
      </c>
      <c r="Y9182">
        <v>1</v>
      </c>
      <c r="Z9182">
        <v>0</v>
      </c>
      <c r="AA9182">
        <v>0</v>
      </c>
      <c r="AB9182">
        <v>1</v>
      </c>
      <c r="AC9182">
        <v>0</v>
      </c>
      <c r="AD9182">
        <v>1</v>
      </c>
      <c r="AE9182">
        <v>1</v>
      </c>
      <c r="AF9182">
        <v>1</v>
      </c>
      <c r="AG9182">
        <v>1</v>
      </c>
      <c r="AH9182">
        <v>1</v>
      </c>
      <c r="AI9182">
        <v>1</v>
      </c>
      <c r="AJ9182">
        <v>1</v>
      </c>
      <c r="AK9182">
        <v>1</v>
      </c>
      <c r="AL9182">
        <v>1</v>
      </c>
      <c r="AM9182">
        <v>1</v>
      </c>
    </row>
    <row r="9183" spans="1:39" x14ac:dyDescent="0.2">
      <c r="A9183" t="str">
        <f>"9179"</f>
        <v>9179</v>
      </c>
      <c r="B9183" t="str">
        <f t="shared" si="509"/>
        <v>1</v>
      </c>
      <c r="C9183" t="str">
        <f t="shared" si="510"/>
        <v>184</v>
      </c>
      <c r="D9183" t="str">
        <f>"43"</f>
        <v>43</v>
      </c>
      <c r="E9183" t="str">
        <f>"1-184-43"</f>
        <v>1-184-43</v>
      </c>
      <c r="F9183" t="s">
        <v>65</v>
      </c>
      <c r="G9183" t="s">
        <v>66</v>
      </c>
      <c r="H9183" t="s">
        <v>67</v>
      </c>
      <c r="S9183">
        <v>0</v>
      </c>
      <c r="T9183">
        <v>1</v>
      </c>
      <c r="U9183">
        <v>0</v>
      </c>
      <c r="V9183">
        <v>0</v>
      </c>
      <c r="W9183">
        <v>0</v>
      </c>
      <c r="X9183">
        <v>1</v>
      </c>
      <c r="Y9183">
        <v>0</v>
      </c>
      <c r="Z9183">
        <v>1</v>
      </c>
      <c r="AA9183">
        <v>0</v>
      </c>
      <c r="AB9183">
        <v>0</v>
      </c>
      <c r="AC9183">
        <v>1</v>
      </c>
      <c r="AD9183">
        <v>1</v>
      </c>
      <c r="AE9183">
        <v>1</v>
      </c>
      <c r="AF9183">
        <v>1</v>
      </c>
      <c r="AG9183">
        <v>1</v>
      </c>
      <c r="AH9183">
        <v>1</v>
      </c>
      <c r="AI9183">
        <v>1</v>
      </c>
      <c r="AJ9183">
        <v>1</v>
      </c>
      <c r="AK9183">
        <v>1</v>
      </c>
      <c r="AL9183">
        <v>1</v>
      </c>
      <c r="AM9183">
        <v>1</v>
      </c>
    </row>
    <row r="9184" spans="1:39" x14ac:dyDescent="0.2">
      <c r="A9184" t="str">
        <f>"9180"</f>
        <v>9180</v>
      </c>
      <c r="B9184" t="str">
        <f t="shared" si="509"/>
        <v>1</v>
      </c>
      <c r="C9184" t="str">
        <f t="shared" si="510"/>
        <v>184</v>
      </c>
      <c r="D9184" t="str">
        <f>"24"</f>
        <v>24</v>
      </c>
      <c r="E9184" t="str">
        <f>"1-184-24"</f>
        <v>1-184-24</v>
      </c>
      <c r="F9184" t="s">
        <v>65</v>
      </c>
      <c r="G9184" t="s">
        <v>66</v>
      </c>
      <c r="H9184" t="s">
        <v>67</v>
      </c>
      <c r="S9184">
        <v>1</v>
      </c>
      <c r="T9184">
        <v>0</v>
      </c>
      <c r="U9184">
        <v>0</v>
      </c>
      <c r="V9184">
        <v>0</v>
      </c>
      <c r="W9184">
        <v>1</v>
      </c>
      <c r="X9184">
        <v>0</v>
      </c>
      <c r="Y9184">
        <v>1</v>
      </c>
      <c r="Z9184">
        <v>0</v>
      </c>
      <c r="AA9184">
        <v>1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1</v>
      </c>
      <c r="AH9184">
        <v>0</v>
      </c>
      <c r="AI9184">
        <v>1</v>
      </c>
      <c r="AJ9184">
        <v>1</v>
      </c>
      <c r="AK9184">
        <v>1</v>
      </c>
      <c r="AL9184">
        <v>1</v>
      </c>
      <c r="AM9184">
        <v>1</v>
      </c>
    </row>
    <row r="9185" spans="1:39" x14ac:dyDescent="0.2">
      <c r="A9185" t="str">
        <f>"9181"</f>
        <v>9181</v>
      </c>
      <c r="B9185" t="str">
        <f t="shared" si="509"/>
        <v>1</v>
      </c>
      <c r="C9185" t="str">
        <f t="shared" si="510"/>
        <v>184</v>
      </c>
      <c r="D9185" t="str">
        <f>"7"</f>
        <v>7</v>
      </c>
      <c r="E9185" t="str">
        <f>"1-184-7"</f>
        <v>1-184-7</v>
      </c>
      <c r="F9185" t="s">
        <v>65</v>
      </c>
      <c r="G9185" t="s">
        <v>66</v>
      </c>
      <c r="H9185" t="s">
        <v>67</v>
      </c>
      <c r="S9185">
        <v>0</v>
      </c>
      <c r="T9185">
        <v>1</v>
      </c>
      <c r="U9185">
        <v>0</v>
      </c>
      <c r="V9185">
        <v>0</v>
      </c>
      <c r="W9185">
        <v>0</v>
      </c>
      <c r="X9185">
        <v>1</v>
      </c>
      <c r="Y9185">
        <v>0</v>
      </c>
      <c r="Z9185">
        <v>1</v>
      </c>
      <c r="AA9185">
        <v>0</v>
      </c>
      <c r="AB9185">
        <v>1</v>
      </c>
      <c r="AC9185">
        <v>0</v>
      </c>
      <c r="AD9185">
        <v>1</v>
      </c>
      <c r="AE9185">
        <v>1</v>
      </c>
      <c r="AF9185">
        <v>1</v>
      </c>
      <c r="AG9185">
        <v>1</v>
      </c>
      <c r="AH9185">
        <v>1</v>
      </c>
      <c r="AI9185">
        <v>1</v>
      </c>
      <c r="AJ9185">
        <v>1</v>
      </c>
      <c r="AK9185">
        <v>1</v>
      </c>
      <c r="AL9185">
        <v>1</v>
      </c>
      <c r="AM9185">
        <v>1</v>
      </c>
    </row>
    <row r="9186" spans="1:39" x14ac:dyDescent="0.2">
      <c r="A9186" t="str">
        <f>"9182"</f>
        <v>9182</v>
      </c>
      <c r="B9186" t="str">
        <f t="shared" si="509"/>
        <v>1</v>
      </c>
      <c r="C9186" t="str">
        <f t="shared" si="510"/>
        <v>184</v>
      </c>
      <c r="D9186" t="str">
        <f>"46"</f>
        <v>46</v>
      </c>
      <c r="E9186" t="str">
        <f>"1-184-46"</f>
        <v>1-184-46</v>
      </c>
      <c r="F9186" t="s">
        <v>65</v>
      </c>
      <c r="G9186" t="s">
        <v>66</v>
      </c>
      <c r="H9186" t="s">
        <v>67</v>
      </c>
      <c r="S9186">
        <v>1</v>
      </c>
      <c r="T9186">
        <v>0</v>
      </c>
      <c r="U9186">
        <v>0</v>
      </c>
      <c r="V9186">
        <v>0</v>
      </c>
      <c r="W9186">
        <v>1</v>
      </c>
      <c r="X9186">
        <v>0</v>
      </c>
      <c r="Y9186">
        <v>1</v>
      </c>
      <c r="Z9186">
        <v>0</v>
      </c>
      <c r="AA9186">
        <v>1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</row>
    <row r="9187" spans="1:39" x14ac:dyDescent="0.2">
      <c r="A9187" t="str">
        <f>"9183"</f>
        <v>9183</v>
      </c>
      <c r="B9187" t="str">
        <f t="shared" si="509"/>
        <v>1</v>
      </c>
      <c r="C9187" t="str">
        <f t="shared" ref="C9187:C9204" si="511">"184"</f>
        <v>184</v>
      </c>
      <c r="D9187" t="str">
        <f>"25"</f>
        <v>25</v>
      </c>
      <c r="E9187" t="str">
        <f>"1-184-25"</f>
        <v>1-184-25</v>
      </c>
      <c r="F9187" t="s">
        <v>65</v>
      </c>
      <c r="G9187" t="s">
        <v>66</v>
      </c>
      <c r="H9187" t="s">
        <v>67</v>
      </c>
      <c r="S9187">
        <v>1</v>
      </c>
      <c r="T9187">
        <v>0</v>
      </c>
      <c r="U9187">
        <v>0</v>
      </c>
      <c r="V9187">
        <v>0</v>
      </c>
      <c r="W9187">
        <v>1</v>
      </c>
      <c r="X9187">
        <v>0</v>
      </c>
      <c r="Y9187">
        <v>1</v>
      </c>
      <c r="Z9187">
        <v>0</v>
      </c>
      <c r="AA9187">
        <v>1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1</v>
      </c>
      <c r="AH9187">
        <v>0</v>
      </c>
      <c r="AI9187">
        <v>1</v>
      </c>
      <c r="AJ9187">
        <v>1</v>
      </c>
      <c r="AK9187">
        <v>1</v>
      </c>
      <c r="AL9187">
        <v>1</v>
      </c>
      <c r="AM9187">
        <v>1</v>
      </c>
    </row>
    <row r="9188" spans="1:39" x14ac:dyDescent="0.2">
      <c r="A9188" t="str">
        <f>"9184"</f>
        <v>9184</v>
      </c>
      <c r="B9188" t="str">
        <f t="shared" si="509"/>
        <v>1</v>
      </c>
      <c r="C9188" t="str">
        <f t="shared" si="511"/>
        <v>184</v>
      </c>
      <c r="D9188" t="str">
        <f>"8"</f>
        <v>8</v>
      </c>
      <c r="E9188" t="str">
        <f>"1-184-8"</f>
        <v>1-184-8</v>
      </c>
      <c r="F9188" t="s">
        <v>65</v>
      </c>
      <c r="G9188" t="s">
        <v>66</v>
      </c>
      <c r="H9188" t="s">
        <v>67</v>
      </c>
      <c r="S9188">
        <v>0</v>
      </c>
      <c r="T9188">
        <v>1</v>
      </c>
      <c r="U9188">
        <v>0</v>
      </c>
      <c r="V9188">
        <v>0</v>
      </c>
      <c r="W9188">
        <v>1</v>
      </c>
      <c r="X9188">
        <v>0</v>
      </c>
      <c r="Y9188">
        <v>0</v>
      </c>
      <c r="Z9188">
        <v>1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</row>
    <row r="9189" spans="1:39" x14ac:dyDescent="0.2">
      <c r="A9189" t="str">
        <f>"9185"</f>
        <v>9185</v>
      </c>
      <c r="B9189" t="str">
        <f t="shared" si="509"/>
        <v>1</v>
      </c>
      <c r="C9189" t="str">
        <f t="shared" si="511"/>
        <v>184</v>
      </c>
      <c r="D9189" t="str">
        <f>"44"</f>
        <v>44</v>
      </c>
      <c r="E9189" t="str">
        <f>"1-184-44"</f>
        <v>1-184-44</v>
      </c>
      <c r="F9189" t="s">
        <v>65</v>
      </c>
      <c r="G9189" t="s">
        <v>66</v>
      </c>
      <c r="H9189" t="s">
        <v>67</v>
      </c>
      <c r="S9189">
        <v>0</v>
      </c>
      <c r="T9189">
        <v>1</v>
      </c>
      <c r="U9189">
        <v>0</v>
      </c>
      <c r="V9189">
        <v>0</v>
      </c>
      <c r="W9189">
        <v>0</v>
      </c>
      <c r="X9189">
        <v>1</v>
      </c>
      <c r="Y9189">
        <v>0</v>
      </c>
      <c r="Z9189">
        <v>1</v>
      </c>
      <c r="AA9189">
        <v>0</v>
      </c>
      <c r="AB9189">
        <v>0</v>
      </c>
      <c r="AC9189">
        <v>1</v>
      </c>
      <c r="AD9189">
        <v>1</v>
      </c>
      <c r="AE9189">
        <v>1</v>
      </c>
      <c r="AF9189">
        <v>1</v>
      </c>
      <c r="AG9189">
        <v>1</v>
      </c>
      <c r="AH9189">
        <v>1</v>
      </c>
      <c r="AI9189">
        <v>1</v>
      </c>
      <c r="AJ9189">
        <v>1</v>
      </c>
      <c r="AK9189">
        <v>1</v>
      </c>
      <c r="AL9189">
        <v>1</v>
      </c>
      <c r="AM9189">
        <v>1</v>
      </c>
    </row>
    <row r="9190" spans="1:39" x14ac:dyDescent="0.2">
      <c r="A9190" t="str">
        <f>"9186"</f>
        <v>9186</v>
      </c>
      <c r="B9190" t="str">
        <f t="shared" si="509"/>
        <v>1</v>
      </c>
      <c r="C9190" t="str">
        <f t="shared" si="511"/>
        <v>184</v>
      </c>
      <c r="D9190" t="str">
        <f>"27"</f>
        <v>27</v>
      </c>
      <c r="E9190" t="str">
        <f>"1-184-27"</f>
        <v>1-184-27</v>
      </c>
      <c r="F9190" t="s">
        <v>65</v>
      </c>
      <c r="G9190" t="s">
        <v>66</v>
      </c>
      <c r="H9190" t="s">
        <v>67</v>
      </c>
      <c r="S9190">
        <v>0</v>
      </c>
      <c r="T9190">
        <v>1</v>
      </c>
      <c r="U9190">
        <v>0</v>
      </c>
      <c r="V9190">
        <v>0</v>
      </c>
      <c r="W9190">
        <v>0</v>
      </c>
      <c r="X9190">
        <v>1</v>
      </c>
      <c r="Y9190">
        <v>0</v>
      </c>
      <c r="Z9190">
        <v>1</v>
      </c>
      <c r="AA9190">
        <v>0</v>
      </c>
      <c r="AB9190">
        <v>0</v>
      </c>
      <c r="AC9190">
        <v>1</v>
      </c>
      <c r="AD9190">
        <v>1</v>
      </c>
      <c r="AE9190">
        <v>1</v>
      </c>
      <c r="AF9190">
        <v>1</v>
      </c>
      <c r="AG9190">
        <v>1</v>
      </c>
      <c r="AH9190">
        <v>1</v>
      </c>
      <c r="AI9190">
        <v>1</v>
      </c>
      <c r="AJ9190">
        <v>1</v>
      </c>
      <c r="AK9190">
        <v>1</v>
      </c>
      <c r="AL9190">
        <v>1</v>
      </c>
      <c r="AM9190">
        <v>1</v>
      </c>
    </row>
    <row r="9191" spans="1:39" x14ac:dyDescent="0.2">
      <c r="A9191" t="str">
        <f>"9187"</f>
        <v>9187</v>
      </c>
      <c r="B9191" t="str">
        <f t="shared" si="509"/>
        <v>1</v>
      </c>
      <c r="C9191" t="str">
        <f t="shared" si="511"/>
        <v>184</v>
      </c>
      <c r="D9191" t="str">
        <f>"14"</f>
        <v>14</v>
      </c>
      <c r="E9191" t="str">
        <f>"1-184-14"</f>
        <v>1-184-14</v>
      </c>
      <c r="F9191" t="s">
        <v>65</v>
      </c>
      <c r="G9191" t="s">
        <v>66</v>
      </c>
      <c r="H9191" t="s">
        <v>67</v>
      </c>
      <c r="S9191">
        <v>1</v>
      </c>
      <c r="T9191">
        <v>0</v>
      </c>
      <c r="U9191">
        <v>0</v>
      </c>
      <c r="V9191">
        <v>0</v>
      </c>
      <c r="W9191">
        <v>1</v>
      </c>
      <c r="X9191">
        <v>0</v>
      </c>
      <c r="Y9191">
        <v>0</v>
      </c>
      <c r="Z9191">
        <v>1</v>
      </c>
      <c r="AA9191">
        <v>1</v>
      </c>
      <c r="AB9191">
        <v>0</v>
      </c>
      <c r="AC9191">
        <v>0</v>
      </c>
      <c r="AD9191">
        <v>1</v>
      </c>
      <c r="AE9191">
        <v>1</v>
      </c>
      <c r="AF9191">
        <v>1</v>
      </c>
      <c r="AG9191">
        <v>1</v>
      </c>
      <c r="AH9191">
        <v>1</v>
      </c>
      <c r="AI9191">
        <v>1</v>
      </c>
      <c r="AJ9191">
        <v>1</v>
      </c>
      <c r="AK9191">
        <v>1</v>
      </c>
      <c r="AL9191">
        <v>1</v>
      </c>
      <c r="AM9191">
        <v>1</v>
      </c>
    </row>
    <row r="9192" spans="1:39" x14ac:dyDescent="0.2">
      <c r="A9192" t="str">
        <f>"9188"</f>
        <v>9188</v>
      </c>
      <c r="B9192" t="str">
        <f t="shared" si="509"/>
        <v>1</v>
      </c>
      <c r="C9192" t="str">
        <f t="shared" si="511"/>
        <v>184</v>
      </c>
      <c r="D9192" t="str">
        <f>"28"</f>
        <v>28</v>
      </c>
      <c r="E9192" t="str">
        <f>"1-184-28"</f>
        <v>1-184-28</v>
      </c>
      <c r="F9192" t="s">
        <v>65</v>
      </c>
      <c r="G9192" t="s">
        <v>66</v>
      </c>
      <c r="H9192" t="s">
        <v>67</v>
      </c>
      <c r="S9192">
        <v>0</v>
      </c>
      <c r="T9192">
        <v>1</v>
      </c>
      <c r="U9192">
        <v>0</v>
      </c>
      <c r="V9192">
        <v>0</v>
      </c>
      <c r="W9192">
        <v>1</v>
      </c>
      <c r="X9192">
        <v>0</v>
      </c>
      <c r="Y9192">
        <v>0</v>
      </c>
      <c r="Z9192">
        <v>1</v>
      </c>
      <c r="AA9192">
        <v>0</v>
      </c>
      <c r="AB9192">
        <v>0</v>
      </c>
      <c r="AC9192">
        <v>1</v>
      </c>
      <c r="AD9192">
        <v>1</v>
      </c>
      <c r="AE9192">
        <v>1</v>
      </c>
      <c r="AF9192">
        <v>1</v>
      </c>
      <c r="AG9192">
        <v>1</v>
      </c>
      <c r="AH9192">
        <v>1</v>
      </c>
      <c r="AI9192">
        <v>1</v>
      </c>
      <c r="AJ9192">
        <v>1</v>
      </c>
      <c r="AK9192">
        <v>1</v>
      </c>
      <c r="AL9192">
        <v>1</v>
      </c>
      <c r="AM9192">
        <v>1</v>
      </c>
    </row>
    <row r="9193" spans="1:39" x14ac:dyDescent="0.2">
      <c r="A9193" t="str">
        <f>"9189"</f>
        <v>9189</v>
      </c>
      <c r="B9193" t="str">
        <f t="shared" si="509"/>
        <v>1</v>
      </c>
      <c r="C9193" t="str">
        <f t="shared" si="511"/>
        <v>184</v>
      </c>
      <c r="D9193" t="str">
        <f>"6"</f>
        <v>6</v>
      </c>
      <c r="E9193" t="str">
        <f>"1-184-6"</f>
        <v>1-184-6</v>
      </c>
      <c r="F9193" t="s">
        <v>65</v>
      </c>
      <c r="G9193" t="s">
        <v>66</v>
      </c>
      <c r="H9193" t="s">
        <v>67</v>
      </c>
      <c r="S9193">
        <v>1</v>
      </c>
      <c r="T9193">
        <v>0</v>
      </c>
      <c r="U9193">
        <v>0</v>
      </c>
      <c r="V9193">
        <v>0</v>
      </c>
      <c r="W9193">
        <v>1</v>
      </c>
      <c r="X9193">
        <v>0</v>
      </c>
      <c r="Y9193">
        <v>1</v>
      </c>
      <c r="Z9193">
        <v>0</v>
      </c>
      <c r="AA9193">
        <v>0</v>
      </c>
      <c r="AB9193">
        <v>1</v>
      </c>
      <c r="AC9193">
        <v>0</v>
      </c>
      <c r="AD9193">
        <v>1</v>
      </c>
      <c r="AE9193">
        <v>1</v>
      </c>
      <c r="AF9193">
        <v>1</v>
      </c>
      <c r="AG9193">
        <v>1</v>
      </c>
      <c r="AH9193">
        <v>1</v>
      </c>
      <c r="AI9193">
        <v>1</v>
      </c>
      <c r="AJ9193">
        <v>1</v>
      </c>
      <c r="AK9193">
        <v>1</v>
      </c>
      <c r="AL9193">
        <v>1</v>
      </c>
      <c r="AM9193">
        <v>1</v>
      </c>
    </row>
    <row r="9194" spans="1:39" x14ac:dyDescent="0.2">
      <c r="A9194" t="str">
        <f>"9190"</f>
        <v>9190</v>
      </c>
      <c r="B9194" t="str">
        <f t="shared" si="509"/>
        <v>1</v>
      </c>
      <c r="C9194" t="str">
        <f t="shared" si="511"/>
        <v>184</v>
      </c>
      <c r="D9194" t="str">
        <f>"45"</f>
        <v>45</v>
      </c>
      <c r="E9194" t="str">
        <f>"1-184-45"</f>
        <v>1-184-45</v>
      </c>
      <c r="F9194" t="s">
        <v>65</v>
      </c>
      <c r="G9194" t="s">
        <v>66</v>
      </c>
      <c r="H9194" t="s">
        <v>67</v>
      </c>
      <c r="S9194">
        <v>1</v>
      </c>
      <c r="T9194">
        <v>0</v>
      </c>
      <c r="U9194">
        <v>0</v>
      </c>
      <c r="V9194">
        <v>0</v>
      </c>
      <c r="W9194">
        <v>1</v>
      </c>
      <c r="X9194">
        <v>0</v>
      </c>
      <c r="Y9194">
        <v>1</v>
      </c>
      <c r="Z9194">
        <v>0</v>
      </c>
      <c r="AA9194">
        <v>0</v>
      </c>
      <c r="AB9194">
        <v>0</v>
      </c>
      <c r="AC9194">
        <v>1</v>
      </c>
      <c r="AD9194">
        <v>0</v>
      </c>
      <c r="AE9194">
        <v>0</v>
      </c>
      <c r="AF9194">
        <v>0</v>
      </c>
      <c r="AG9194">
        <v>1</v>
      </c>
      <c r="AH9194">
        <v>1</v>
      </c>
      <c r="AI9194">
        <v>1</v>
      </c>
      <c r="AJ9194">
        <v>1</v>
      </c>
      <c r="AK9194">
        <v>1</v>
      </c>
      <c r="AL9194">
        <v>1</v>
      </c>
      <c r="AM9194">
        <v>1</v>
      </c>
    </row>
    <row r="9195" spans="1:39" x14ac:dyDescent="0.2">
      <c r="A9195" t="str">
        <f>"9191"</f>
        <v>9191</v>
      </c>
      <c r="B9195" t="str">
        <f t="shared" si="509"/>
        <v>1</v>
      </c>
      <c r="C9195" t="str">
        <f t="shared" si="511"/>
        <v>184</v>
      </c>
      <c r="D9195" t="str">
        <f>"30"</f>
        <v>30</v>
      </c>
      <c r="E9195" t="str">
        <f>"1-184-30"</f>
        <v>1-184-30</v>
      </c>
      <c r="F9195" t="s">
        <v>65</v>
      </c>
      <c r="G9195" t="s">
        <v>66</v>
      </c>
      <c r="H9195" t="s">
        <v>67</v>
      </c>
      <c r="S9195">
        <v>1</v>
      </c>
      <c r="T9195">
        <v>0</v>
      </c>
      <c r="U9195">
        <v>0</v>
      </c>
      <c r="V9195">
        <v>0</v>
      </c>
      <c r="W9195">
        <v>0</v>
      </c>
      <c r="X9195">
        <v>1</v>
      </c>
      <c r="Y9195">
        <v>1</v>
      </c>
      <c r="Z9195">
        <v>0</v>
      </c>
      <c r="AA9195">
        <v>1</v>
      </c>
      <c r="AB9195">
        <v>0</v>
      </c>
      <c r="AC9195">
        <v>0</v>
      </c>
      <c r="AD9195">
        <v>1</v>
      </c>
      <c r="AE9195">
        <v>1</v>
      </c>
      <c r="AF9195">
        <v>1</v>
      </c>
      <c r="AG9195">
        <v>1</v>
      </c>
      <c r="AH9195">
        <v>1</v>
      </c>
      <c r="AI9195">
        <v>1</v>
      </c>
      <c r="AJ9195">
        <v>1</v>
      </c>
      <c r="AK9195">
        <v>1</v>
      </c>
      <c r="AL9195">
        <v>1</v>
      </c>
      <c r="AM9195">
        <v>1</v>
      </c>
    </row>
    <row r="9196" spans="1:39" x14ac:dyDescent="0.2">
      <c r="A9196" t="str">
        <f>"9192"</f>
        <v>9192</v>
      </c>
      <c r="B9196" t="str">
        <f t="shared" si="509"/>
        <v>1</v>
      </c>
      <c r="C9196" t="str">
        <f t="shared" si="511"/>
        <v>184</v>
      </c>
      <c r="D9196" t="str">
        <f>"5"</f>
        <v>5</v>
      </c>
      <c r="E9196" t="str">
        <f>"1-184-5"</f>
        <v>1-184-5</v>
      </c>
      <c r="F9196" t="s">
        <v>65</v>
      </c>
      <c r="G9196" t="s">
        <v>66</v>
      </c>
      <c r="H9196" t="s">
        <v>67</v>
      </c>
      <c r="S9196">
        <v>0</v>
      </c>
      <c r="T9196">
        <v>1</v>
      </c>
      <c r="U9196">
        <v>0</v>
      </c>
      <c r="V9196">
        <v>0</v>
      </c>
      <c r="W9196">
        <v>1</v>
      </c>
      <c r="X9196">
        <v>0</v>
      </c>
      <c r="Y9196">
        <v>0</v>
      </c>
      <c r="Z9196">
        <v>1</v>
      </c>
      <c r="AA9196">
        <v>0</v>
      </c>
      <c r="AB9196">
        <v>0</v>
      </c>
      <c r="AC9196">
        <v>1</v>
      </c>
      <c r="AD9196">
        <v>1</v>
      </c>
      <c r="AE9196">
        <v>1</v>
      </c>
      <c r="AF9196">
        <v>1</v>
      </c>
      <c r="AG9196">
        <v>1</v>
      </c>
      <c r="AH9196">
        <v>1</v>
      </c>
      <c r="AI9196">
        <v>1</v>
      </c>
      <c r="AJ9196">
        <v>1</v>
      </c>
      <c r="AK9196">
        <v>1</v>
      </c>
      <c r="AL9196">
        <v>1</v>
      </c>
      <c r="AM9196">
        <v>1</v>
      </c>
    </row>
    <row r="9197" spans="1:39" x14ac:dyDescent="0.2">
      <c r="A9197" t="str">
        <f>"9193"</f>
        <v>9193</v>
      </c>
      <c r="B9197" t="str">
        <f t="shared" si="509"/>
        <v>1</v>
      </c>
      <c r="C9197" t="str">
        <f t="shared" si="511"/>
        <v>184</v>
      </c>
      <c r="D9197" t="str">
        <f>"31"</f>
        <v>31</v>
      </c>
      <c r="E9197" t="str">
        <f>"1-184-31"</f>
        <v>1-184-31</v>
      </c>
      <c r="F9197" t="s">
        <v>65</v>
      </c>
      <c r="G9197" t="s">
        <v>66</v>
      </c>
      <c r="H9197" t="s">
        <v>67</v>
      </c>
      <c r="S9197">
        <v>1</v>
      </c>
      <c r="T9197">
        <v>0</v>
      </c>
      <c r="U9197">
        <v>0</v>
      </c>
      <c r="V9197">
        <v>0</v>
      </c>
      <c r="W9197">
        <v>0</v>
      </c>
      <c r="X9197">
        <v>1</v>
      </c>
      <c r="Y9197">
        <v>1</v>
      </c>
      <c r="Z9197">
        <v>0</v>
      </c>
      <c r="AA9197">
        <v>1</v>
      </c>
      <c r="AB9197">
        <v>0</v>
      </c>
      <c r="AC9197">
        <v>0</v>
      </c>
      <c r="AD9197">
        <v>1</v>
      </c>
      <c r="AE9197">
        <v>1</v>
      </c>
      <c r="AF9197">
        <v>1</v>
      </c>
      <c r="AG9197">
        <v>1</v>
      </c>
      <c r="AH9197">
        <v>1</v>
      </c>
      <c r="AI9197">
        <v>1</v>
      </c>
      <c r="AJ9197">
        <v>1</v>
      </c>
      <c r="AK9197">
        <v>1</v>
      </c>
      <c r="AL9197">
        <v>1</v>
      </c>
      <c r="AM9197">
        <v>1</v>
      </c>
    </row>
    <row r="9198" spans="1:39" x14ac:dyDescent="0.2">
      <c r="A9198" t="str">
        <f>"9194"</f>
        <v>9194</v>
      </c>
      <c r="B9198" t="str">
        <f t="shared" si="509"/>
        <v>1</v>
      </c>
      <c r="C9198" t="str">
        <f t="shared" si="511"/>
        <v>184</v>
      </c>
      <c r="D9198" t="str">
        <f>"9"</f>
        <v>9</v>
      </c>
      <c r="E9198" t="str">
        <f>"1-184-9"</f>
        <v>1-184-9</v>
      </c>
      <c r="F9198" t="s">
        <v>65</v>
      </c>
      <c r="G9198" t="s">
        <v>66</v>
      </c>
      <c r="H9198" t="s">
        <v>67</v>
      </c>
      <c r="S9198">
        <v>1</v>
      </c>
      <c r="T9198">
        <v>0</v>
      </c>
      <c r="U9198">
        <v>0</v>
      </c>
      <c r="V9198">
        <v>0</v>
      </c>
      <c r="W9198">
        <v>1</v>
      </c>
      <c r="X9198">
        <v>0</v>
      </c>
      <c r="Y9198">
        <v>1</v>
      </c>
      <c r="Z9198">
        <v>0</v>
      </c>
      <c r="AA9198">
        <v>1</v>
      </c>
      <c r="AB9198">
        <v>0</v>
      </c>
      <c r="AC9198">
        <v>0</v>
      </c>
      <c r="AD9198">
        <v>1</v>
      </c>
      <c r="AE9198">
        <v>1</v>
      </c>
      <c r="AF9198">
        <v>1</v>
      </c>
      <c r="AG9198">
        <v>1</v>
      </c>
      <c r="AH9198">
        <v>1</v>
      </c>
      <c r="AI9198">
        <v>1</v>
      </c>
      <c r="AJ9198">
        <v>1</v>
      </c>
      <c r="AK9198">
        <v>1</v>
      </c>
      <c r="AL9198">
        <v>1</v>
      </c>
      <c r="AM9198">
        <v>1</v>
      </c>
    </row>
    <row r="9199" spans="1:39" x14ac:dyDescent="0.2">
      <c r="A9199" t="str">
        <f>"9195"</f>
        <v>9195</v>
      </c>
      <c r="B9199" t="str">
        <f t="shared" si="509"/>
        <v>1</v>
      </c>
      <c r="C9199" t="str">
        <f t="shared" si="511"/>
        <v>184</v>
      </c>
      <c r="D9199" t="str">
        <f>"47"</f>
        <v>47</v>
      </c>
      <c r="E9199" t="str">
        <f>"1-184-47"</f>
        <v>1-184-47</v>
      </c>
      <c r="F9199" t="s">
        <v>65</v>
      </c>
      <c r="G9199" t="s">
        <v>66</v>
      </c>
      <c r="H9199" t="s">
        <v>67</v>
      </c>
      <c r="S9199">
        <v>0</v>
      </c>
      <c r="T9199">
        <v>1</v>
      </c>
      <c r="U9199">
        <v>0</v>
      </c>
      <c r="V9199">
        <v>0</v>
      </c>
      <c r="W9199">
        <v>0</v>
      </c>
      <c r="X9199">
        <v>1</v>
      </c>
      <c r="Y9199">
        <v>0</v>
      </c>
      <c r="Z9199">
        <v>1</v>
      </c>
      <c r="AA9199">
        <v>0</v>
      </c>
      <c r="AB9199">
        <v>0</v>
      </c>
      <c r="AC9199">
        <v>1</v>
      </c>
      <c r="AD9199">
        <v>0</v>
      </c>
      <c r="AE9199">
        <v>0</v>
      </c>
      <c r="AF9199">
        <v>0</v>
      </c>
      <c r="AG9199">
        <v>1</v>
      </c>
      <c r="AH9199">
        <v>1</v>
      </c>
      <c r="AI9199">
        <v>1</v>
      </c>
      <c r="AJ9199">
        <v>1</v>
      </c>
      <c r="AK9199">
        <v>1</v>
      </c>
      <c r="AL9199">
        <v>1</v>
      </c>
      <c r="AM9199">
        <v>1</v>
      </c>
    </row>
    <row r="9200" spans="1:39" x14ac:dyDescent="0.2">
      <c r="A9200" t="str">
        <f>"9196"</f>
        <v>9196</v>
      </c>
      <c r="B9200" t="str">
        <f t="shared" si="509"/>
        <v>1</v>
      </c>
      <c r="C9200" t="str">
        <f t="shared" si="511"/>
        <v>184</v>
      </c>
      <c r="D9200" t="str">
        <f>"32"</f>
        <v>32</v>
      </c>
      <c r="E9200" t="str">
        <f>"1-184-32"</f>
        <v>1-184-32</v>
      </c>
      <c r="F9200" t="s">
        <v>65</v>
      </c>
      <c r="G9200" t="s">
        <v>66</v>
      </c>
      <c r="H9200" t="s">
        <v>67</v>
      </c>
      <c r="S9200">
        <v>0</v>
      </c>
      <c r="T9200">
        <v>1</v>
      </c>
      <c r="U9200">
        <v>0</v>
      </c>
      <c r="V9200">
        <v>0</v>
      </c>
      <c r="W9200">
        <v>1</v>
      </c>
      <c r="X9200">
        <v>0</v>
      </c>
      <c r="Y9200">
        <v>1</v>
      </c>
      <c r="Z9200">
        <v>0</v>
      </c>
      <c r="AA9200">
        <v>0</v>
      </c>
      <c r="AB9200">
        <v>1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</row>
    <row r="9201" spans="1:39" x14ac:dyDescent="0.2">
      <c r="A9201" t="str">
        <f>"9197"</f>
        <v>9197</v>
      </c>
      <c r="B9201" t="str">
        <f t="shared" si="509"/>
        <v>1</v>
      </c>
      <c r="C9201" t="str">
        <f t="shared" si="511"/>
        <v>184</v>
      </c>
      <c r="D9201" t="str">
        <f>"10"</f>
        <v>10</v>
      </c>
      <c r="E9201" t="str">
        <f>"1-184-10"</f>
        <v>1-184-10</v>
      </c>
      <c r="F9201" t="s">
        <v>65</v>
      </c>
      <c r="G9201" t="s">
        <v>66</v>
      </c>
      <c r="H9201" t="s">
        <v>67</v>
      </c>
      <c r="S9201">
        <v>0</v>
      </c>
      <c r="T9201">
        <v>1</v>
      </c>
      <c r="U9201">
        <v>0</v>
      </c>
      <c r="V9201">
        <v>0</v>
      </c>
      <c r="W9201">
        <v>1</v>
      </c>
      <c r="X9201">
        <v>0</v>
      </c>
      <c r="Y9201">
        <v>0</v>
      </c>
      <c r="Z9201">
        <v>1</v>
      </c>
      <c r="AA9201">
        <v>0</v>
      </c>
      <c r="AB9201">
        <v>1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1</v>
      </c>
      <c r="AM9201">
        <v>0</v>
      </c>
    </row>
    <row r="9202" spans="1:39" x14ac:dyDescent="0.2">
      <c r="A9202" t="str">
        <f>"9198"</f>
        <v>9198</v>
      </c>
      <c r="B9202" t="str">
        <f t="shared" si="509"/>
        <v>1</v>
      </c>
      <c r="C9202" t="str">
        <f t="shared" si="511"/>
        <v>184</v>
      </c>
      <c r="D9202" t="str">
        <f>"4"</f>
        <v>4</v>
      </c>
      <c r="E9202" t="str">
        <f>"1-184-4"</f>
        <v>1-184-4</v>
      </c>
      <c r="F9202" t="s">
        <v>65</v>
      </c>
      <c r="G9202" t="s">
        <v>66</v>
      </c>
      <c r="H9202" t="s">
        <v>67</v>
      </c>
      <c r="S9202">
        <v>0</v>
      </c>
      <c r="T9202">
        <v>1</v>
      </c>
      <c r="U9202">
        <v>0</v>
      </c>
      <c r="V9202">
        <v>0</v>
      </c>
      <c r="W9202">
        <v>1</v>
      </c>
      <c r="X9202">
        <v>0</v>
      </c>
      <c r="Y9202">
        <v>0</v>
      </c>
      <c r="Z9202">
        <v>1</v>
      </c>
      <c r="AA9202">
        <v>1</v>
      </c>
      <c r="AB9202">
        <v>0</v>
      </c>
      <c r="AC9202">
        <v>0</v>
      </c>
      <c r="AD9202">
        <v>1</v>
      </c>
      <c r="AE9202">
        <v>1</v>
      </c>
      <c r="AF9202">
        <v>1</v>
      </c>
      <c r="AG9202">
        <v>1</v>
      </c>
      <c r="AH9202">
        <v>1</v>
      </c>
      <c r="AI9202">
        <v>1</v>
      </c>
      <c r="AJ9202">
        <v>1</v>
      </c>
      <c r="AK9202">
        <v>1</v>
      </c>
      <c r="AL9202">
        <v>1</v>
      </c>
      <c r="AM9202">
        <v>1</v>
      </c>
    </row>
    <row r="9203" spans="1:39" x14ac:dyDescent="0.2">
      <c r="A9203" t="str">
        <f>"9199"</f>
        <v>9199</v>
      </c>
      <c r="B9203" t="str">
        <f t="shared" si="509"/>
        <v>1</v>
      </c>
      <c r="C9203" t="str">
        <f t="shared" si="511"/>
        <v>184</v>
      </c>
      <c r="D9203" t="str">
        <f>"50"</f>
        <v>50</v>
      </c>
      <c r="E9203" t="str">
        <f>"1-184-50"</f>
        <v>1-184-50</v>
      </c>
      <c r="F9203" t="s">
        <v>65</v>
      </c>
      <c r="G9203" t="s">
        <v>66</v>
      </c>
      <c r="H9203" t="s">
        <v>67</v>
      </c>
      <c r="S9203">
        <v>1</v>
      </c>
      <c r="T9203">
        <v>0</v>
      </c>
      <c r="U9203">
        <v>0</v>
      </c>
      <c r="V9203">
        <v>0</v>
      </c>
      <c r="W9203">
        <v>0</v>
      </c>
      <c r="X9203">
        <v>1</v>
      </c>
      <c r="Y9203">
        <v>1</v>
      </c>
      <c r="Z9203">
        <v>0</v>
      </c>
      <c r="AA9203">
        <v>0</v>
      </c>
      <c r="AB9203">
        <v>1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1</v>
      </c>
      <c r="AI9203">
        <v>1</v>
      </c>
      <c r="AJ9203">
        <v>1</v>
      </c>
      <c r="AK9203">
        <v>1</v>
      </c>
      <c r="AL9203">
        <v>1</v>
      </c>
      <c r="AM9203">
        <v>0</v>
      </c>
    </row>
    <row r="9204" spans="1:39" x14ac:dyDescent="0.2">
      <c r="A9204" t="str">
        <f>"9200"</f>
        <v>9200</v>
      </c>
      <c r="B9204" t="str">
        <f t="shared" si="509"/>
        <v>1</v>
      </c>
      <c r="C9204" t="str">
        <f t="shared" si="511"/>
        <v>184</v>
      </c>
      <c r="D9204" t="str">
        <f>"48"</f>
        <v>48</v>
      </c>
      <c r="E9204" t="str">
        <f>"1-184-48"</f>
        <v>1-184-48</v>
      </c>
      <c r="F9204" t="s">
        <v>65</v>
      </c>
      <c r="G9204" t="s">
        <v>66</v>
      </c>
      <c r="H9204" t="s">
        <v>67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1</v>
      </c>
      <c r="Y9204">
        <v>0</v>
      </c>
      <c r="Z9204">
        <v>0</v>
      </c>
      <c r="AA9204">
        <v>0</v>
      </c>
      <c r="AB9204">
        <v>0</v>
      </c>
      <c r="AC9204">
        <v>1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</row>
    <row r="9205" spans="1:39" x14ac:dyDescent="0.2">
      <c r="A9205" t="str">
        <f>"9201"</f>
        <v>9201</v>
      </c>
      <c r="B9205" t="str">
        <f t="shared" si="509"/>
        <v>1</v>
      </c>
      <c r="C9205" t="str">
        <f t="shared" ref="C9205:C9236" si="512">"185"</f>
        <v>185</v>
      </c>
      <c r="D9205" t="str">
        <f>"34"</f>
        <v>34</v>
      </c>
      <c r="E9205" t="str">
        <f>"1-185-34"</f>
        <v>1-185-34</v>
      </c>
      <c r="F9205" t="s">
        <v>65</v>
      </c>
      <c r="G9205" t="s">
        <v>66</v>
      </c>
      <c r="H9205" t="s">
        <v>67</v>
      </c>
      <c r="S9205">
        <v>0</v>
      </c>
      <c r="T9205">
        <v>1</v>
      </c>
      <c r="U9205">
        <v>0</v>
      </c>
      <c r="V9205">
        <v>0</v>
      </c>
      <c r="W9205">
        <v>1</v>
      </c>
      <c r="X9205">
        <v>0</v>
      </c>
      <c r="Y9205">
        <v>1</v>
      </c>
      <c r="Z9205">
        <v>0</v>
      </c>
      <c r="AA9205">
        <v>0</v>
      </c>
      <c r="AB9205">
        <v>0</v>
      </c>
      <c r="AC9205">
        <v>1</v>
      </c>
      <c r="AD9205">
        <v>0</v>
      </c>
      <c r="AE9205">
        <v>0</v>
      </c>
      <c r="AF9205">
        <v>0</v>
      </c>
      <c r="AG9205">
        <v>1</v>
      </c>
      <c r="AH9205">
        <v>1</v>
      </c>
      <c r="AI9205">
        <v>1</v>
      </c>
      <c r="AJ9205">
        <v>1</v>
      </c>
      <c r="AK9205">
        <v>1</v>
      </c>
      <c r="AL9205">
        <v>1</v>
      </c>
      <c r="AM9205">
        <v>0</v>
      </c>
    </row>
    <row r="9206" spans="1:39" x14ac:dyDescent="0.2">
      <c r="A9206" t="str">
        <f>"9202"</f>
        <v>9202</v>
      </c>
      <c r="B9206" t="str">
        <f t="shared" si="509"/>
        <v>1</v>
      </c>
      <c r="C9206" t="str">
        <f t="shared" si="512"/>
        <v>185</v>
      </c>
      <c r="D9206" t="str">
        <f>"33"</f>
        <v>33</v>
      </c>
      <c r="E9206" t="str">
        <f>"1-185-33"</f>
        <v>1-185-33</v>
      </c>
      <c r="F9206" t="s">
        <v>65</v>
      </c>
      <c r="G9206" t="s">
        <v>66</v>
      </c>
      <c r="H9206" t="s">
        <v>67</v>
      </c>
      <c r="S9206">
        <v>1</v>
      </c>
      <c r="T9206">
        <v>0</v>
      </c>
      <c r="U9206">
        <v>0</v>
      </c>
      <c r="V9206">
        <v>0</v>
      </c>
      <c r="W9206">
        <v>1</v>
      </c>
      <c r="X9206">
        <v>0</v>
      </c>
      <c r="Y9206">
        <v>0</v>
      </c>
      <c r="Z9206">
        <v>1</v>
      </c>
      <c r="AA9206">
        <v>1</v>
      </c>
      <c r="AB9206">
        <v>0</v>
      </c>
      <c r="AC9206">
        <v>0</v>
      </c>
      <c r="AD9206">
        <v>1</v>
      </c>
      <c r="AE9206">
        <v>1</v>
      </c>
      <c r="AF9206">
        <v>1</v>
      </c>
      <c r="AG9206">
        <v>1</v>
      </c>
      <c r="AH9206">
        <v>1</v>
      </c>
      <c r="AI9206">
        <v>1</v>
      </c>
      <c r="AJ9206">
        <v>1</v>
      </c>
      <c r="AK9206">
        <v>1</v>
      </c>
      <c r="AL9206">
        <v>1</v>
      </c>
      <c r="AM9206">
        <v>1</v>
      </c>
    </row>
    <row r="9207" spans="1:39" x14ac:dyDescent="0.2">
      <c r="A9207" t="str">
        <f>"9203"</f>
        <v>9203</v>
      </c>
      <c r="B9207" t="str">
        <f t="shared" ref="B9207:B9270" si="513">"1"</f>
        <v>1</v>
      </c>
      <c r="C9207" t="str">
        <f t="shared" si="512"/>
        <v>185</v>
      </c>
      <c r="D9207" t="str">
        <f>"23"</f>
        <v>23</v>
      </c>
      <c r="E9207" t="str">
        <f>"1-185-23"</f>
        <v>1-185-23</v>
      </c>
      <c r="F9207" t="s">
        <v>65</v>
      </c>
      <c r="G9207" t="s">
        <v>66</v>
      </c>
      <c r="H9207" t="s">
        <v>67</v>
      </c>
      <c r="S9207">
        <v>0</v>
      </c>
      <c r="T9207">
        <v>1</v>
      </c>
      <c r="U9207">
        <v>0</v>
      </c>
      <c r="V9207">
        <v>0</v>
      </c>
      <c r="W9207">
        <v>1</v>
      </c>
      <c r="X9207">
        <v>0</v>
      </c>
      <c r="Y9207">
        <v>0</v>
      </c>
      <c r="Z9207">
        <v>1</v>
      </c>
      <c r="AA9207">
        <v>0</v>
      </c>
      <c r="AB9207">
        <v>1</v>
      </c>
      <c r="AC9207">
        <v>0</v>
      </c>
      <c r="AD9207">
        <v>1</v>
      </c>
      <c r="AE9207">
        <v>1</v>
      </c>
      <c r="AF9207">
        <v>1</v>
      </c>
      <c r="AG9207">
        <v>1</v>
      </c>
      <c r="AH9207">
        <v>1</v>
      </c>
      <c r="AI9207">
        <v>1</v>
      </c>
      <c r="AJ9207">
        <v>1</v>
      </c>
      <c r="AK9207">
        <v>1</v>
      </c>
      <c r="AL9207">
        <v>1</v>
      </c>
      <c r="AM9207">
        <v>1</v>
      </c>
    </row>
    <row r="9208" spans="1:39" x14ac:dyDescent="0.2">
      <c r="A9208" t="str">
        <f>"9204"</f>
        <v>9204</v>
      </c>
      <c r="B9208" t="str">
        <f t="shared" si="513"/>
        <v>1</v>
      </c>
      <c r="C9208" t="str">
        <f t="shared" si="512"/>
        <v>185</v>
      </c>
      <c r="D9208" t="str">
        <f>"15"</f>
        <v>15</v>
      </c>
      <c r="E9208" t="str">
        <f>"1-185-15"</f>
        <v>1-185-15</v>
      </c>
      <c r="F9208" t="s">
        <v>65</v>
      </c>
      <c r="G9208" t="s">
        <v>66</v>
      </c>
      <c r="H9208" t="s">
        <v>67</v>
      </c>
      <c r="S9208">
        <v>0</v>
      </c>
      <c r="T9208">
        <v>1</v>
      </c>
      <c r="U9208">
        <v>0</v>
      </c>
      <c r="V9208">
        <v>0</v>
      </c>
      <c r="W9208">
        <v>1</v>
      </c>
      <c r="X9208">
        <v>0</v>
      </c>
      <c r="Y9208">
        <v>0</v>
      </c>
      <c r="Z9208">
        <v>1</v>
      </c>
      <c r="AA9208">
        <v>0</v>
      </c>
      <c r="AB9208">
        <v>1</v>
      </c>
      <c r="AC9208">
        <v>0</v>
      </c>
      <c r="AD9208">
        <v>1</v>
      </c>
      <c r="AE9208">
        <v>1</v>
      </c>
      <c r="AF9208">
        <v>1</v>
      </c>
      <c r="AG9208">
        <v>1</v>
      </c>
      <c r="AH9208">
        <v>1</v>
      </c>
      <c r="AI9208">
        <v>1</v>
      </c>
      <c r="AJ9208">
        <v>1</v>
      </c>
      <c r="AK9208">
        <v>1</v>
      </c>
      <c r="AL9208">
        <v>1</v>
      </c>
      <c r="AM9208">
        <v>1</v>
      </c>
    </row>
    <row r="9209" spans="1:39" x14ac:dyDescent="0.2">
      <c r="A9209" t="str">
        <f>"9205"</f>
        <v>9205</v>
      </c>
      <c r="B9209" t="str">
        <f t="shared" si="513"/>
        <v>1</v>
      </c>
      <c r="C9209" t="str">
        <f t="shared" si="512"/>
        <v>185</v>
      </c>
      <c r="D9209" t="str">
        <f>"1"</f>
        <v>1</v>
      </c>
      <c r="E9209" t="str">
        <f>"1-185-1"</f>
        <v>1-185-1</v>
      </c>
      <c r="F9209" t="s">
        <v>65</v>
      </c>
      <c r="G9209" t="s">
        <v>66</v>
      </c>
      <c r="H9209" t="s">
        <v>67</v>
      </c>
      <c r="S9209">
        <v>0</v>
      </c>
      <c r="T9209">
        <v>1</v>
      </c>
      <c r="U9209">
        <v>0</v>
      </c>
      <c r="V9209">
        <v>0</v>
      </c>
      <c r="W9209">
        <v>0</v>
      </c>
      <c r="X9209">
        <v>1</v>
      </c>
      <c r="Y9209">
        <v>0</v>
      </c>
      <c r="Z9209">
        <v>1</v>
      </c>
      <c r="AA9209">
        <v>0</v>
      </c>
      <c r="AB9209">
        <v>0</v>
      </c>
      <c r="AC9209">
        <v>1</v>
      </c>
      <c r="AD9209">
        <v>0</v>
      </c>
      <c r="AE9209">
        <v>0</v>
      </c>
      <c r="AF9209">
        <v>0</v>
      </c>
      <c r="AG9209">
        <v>1</v>
      </c>
      <c r="AH9209">
        <v>1</v>
      </c>
      <c r="AI9209">
        <v>1</v>
      </c>
      <c r="AJ9209">
        <v>1</v>
      </c>
      <c r="AK9209">
        <v>1</v>
      </c>
      <c r="AL9209">
        <v>1</v>
      </c>
      <c r="AM9209">
        <v>1</v>
      </c>
    </row>
    <row r="9210" spans="1:39" x14ac:dyDescent="0.2">
      <c r="A9210" t="str">
        <f>"9206"</f>
        <v>9206</v>
      </c>
      <c r="B9210" t="str">
        <f t="shared" si="513"/>
        <v>1</v>
      </c>
      <c r="C9210" t="str">
        <f t="shared" si="512"/>
        <v>185</v>
      </c>
      <c r="D9210" t="str">
        <f>"37"</f>
        <v>37</v>
      </c>
      <c r="E9210" t="str">
        <f>"1-185-37"</f>
        <v>1-185-37</v>
      </c>
      <c r="F9210" t="s">
        <v>65</v>
      </c>
      <c r="G9210" t="s">
        <v>66</v>
      </c>
      <c r="H9210" t="s">
        <v>67</v>
      </c>
      <c r="S9210">
        <v>1</v>
      </c>
      <c r="T9210">
        <v>0</v>
      </c>
      <c r="U9210">
        <v>0</v>
      </c>
      <c r="V9210">
        <v>0</v>
      </c>
      <c r="W9210">
        <v>1</v>
      </c>
      <c r="X9210">
        <v>0</v>
      </c>
      <c r="Y9210">
        <v>1</v>
      </c>
      <c r="Z9210">
        <v>0</v>
      </c>
      <c r="AA9210">
        <v>1</v>
      </c>
      <c r="AB9210">
        <v>0</v>
      </c>
      <c r="AC9210">
        <v>0</v>
      </c>
      <c r="AD9210">
        <v>1</v>
      </c>
      <c r="AE9210">
        <v>1</v>
      </c>
      <c r="AF9210">
        <v>1</v>
      </c>
      <c r="AG9210">
        <v>1</v>
      </c>
      <c r="AH9210">
        <v>1</v>
      </c>
      <c r="AI9210">
        <v>1</v>
      </c>
      <c r="AJ9210">
        <v>1</v>
      </c>
      <c r="AK9210">
        <v>1</v>
      </c>
      <c r="AL9210">
        <v>1</v>
      </c>
      <c r="AM9210">
        <v>1</v>
      </c>
    </row>
    <row r="9211" spans="1:39" x14ac:dyDescent="0.2">
      <c r="A9211" t="str">
        <f>"9207"</f>
        <v>9207</v>
      </c>
      <c r="B9211" t="str">
        <f t="shared" si="513"/>
        <v>1</v>
      </c>
      <c r="C9211" t="str">
        <f t="shared" si="512"/>
        <v>185</v>
      </c>
      <c r="D9211" t="str">
        <f>"36"</f>
        <v>36</v>
      </c>
      <c r="E9211" t="str">
        <f>"1-185-36"</f>
        <v>1-185-36</v>
      </c>
      <c r="F9211" t="s">
        <v>65</v>
      </c>
      <c r="G9211" t="s">
        <v>66</v>
      </c>
      <c r="H9211" t="s">
        <v>67</v>
      </c>
      <c r="S9211">
        <v>1</v>
      </c>
      <c r="T9211">
        <v>0</v>
      </c>
      <c r="U9211">
        <v>0</v>
      </c>
      <c r="V9211">
        <v>0</v>
      </c>
      <c r="W9211">
        <v>0</v>
      </c>
      <c r="X9211">
        <v>1</v>
      </c>
      <c r="Y9211">
        <v>0</v>
      </c>
      <c r="Z9211">
        <v>1</v>
      </c>
      <c r="AA9211">
        <v>1</v>
      </c>
      <c r="AB9211">
        <v>0</v>
      </c>
      <c r="AC9211">
        <v>0</v>
      </c>
      <c r="AD9211">
        <v>1</v>
      </c>
      <c r="AE9211">
        <v>1</v>
      </c>
      <c r="AF9211">
        <v>1</v>
      </c>
      <c r="AG9211">
        <v>1</v>
      </c>
      <c r="AH9211">
        <v>1</v>
      </c>
      <c r="AI9211">
        <v>1</v>
      </c>
      <c r="AJ9211">
        <v>1</v>
      </c>
      <c r="AK9211">
        <v>1</v>
      </c>
      <c r="AL9211">
        <v>1</v>
      </c>
      <c r="AM9211">
        <v>1</v>
      </c>
    </row>
    <row r="9212" spans="1:39" x14ac:dyDescent="0.2">
      <c r="A9212" t="str">
        <f>"9208"</f>
        <v>9208</v>
      </c>
      <c r="B9212" t="str">
        <f t="shared" si="513"/>
        <v>1</v>
      </c>
      <c r="C9212" t="str">
        <f t="shared" si="512"/>
        <v>185</v>
      </c>
      <c r="D9212" t="str">
        <f>"28"</f>
        <v>28</v>
      </c>
      <c r="E9212" t="str">
        <f>"1-185-28"</f>
        <v>1-185-28</v>
      </c>
      <c r="F9212" t="s">
        <v>65</v>
      </c>
      <c r="G9212" t="s">
        <v>66</v>
      </c>
      <c r="H9212" t="s">
        <v>67</v>
      </c>
      <c r="S9212">
        <v>0</v>
      </c>
      <c r="T9212">
        <v>1</v>
      </c>
      <c r="U9212">
        <v>0</v>
      </c>
      <c r="V9212">
        <v>0</v>
      </c>
      <c r="W9212">
        <v>0</v>
      </c>
      <c r="X9212">
        <v>1</v>
      </c>
      <c r="Y9212">
        <v>0</v>
      </c>
      <c r="Z9212">
        <v>1</v>
      </c>
      <c r="AA9212">
        <v>0</v>
      </c>
      <c r="AB9212">
        <v>0</v>
      </c>
      <c r="AC9212">
        <v>1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</row>
    <row r="9213" spans="1:39" x14ac:dyDescent="0.2">
      <c r="A9213" t="str">
        <f>"9209"</f>
        <v>9209</v>
      </c>
      <c r="B9213" t="str">
        <f t="shared" si="513"/>
        <v>1</v>
      </c>
      <c r="C9213" t="str">
        <f t="shared" si="512"/>
        <v>185</v>
      </c>
      <c r="D9213" t="str">
        <f>"16"</f>
        <v>16</v>
      </c>
      <c r="E9213" t="str">
        <f>"1-185-16"</f>
        <v>1-185-16</v>
      </c>
      <c r="F9213" t="s">
        <v>65</v>
      </c>
      <c r="G9213" t="s">
        <v>66</v>
      </c>
      <c r="H9213" t="s">
        <v>67</v>
      </c>
      <c r="S9213">
        <v>1</v>
      </c>
      <c r="T9213">
        <v>0</v>
      </c>
      <c r="U9213">
        <v>0</v>
      </c>
      <c r="V9213">
        <v>0</v>
      </c>
      <c r="W9213">
        <v>1</v>
      </c>
      <c r="X9213">
        <v>0</v>
      </c>
      <c r="Y9213">
        <v>1</v>
      </c>
      <c r="Z9213">
        <v>0</v>
      </c>
      <c r="AA9213">
        <v>0</v>
      </c>
      <c r="AB9213">
        <v>0</v>
      </c>
      <c r="AC9213">
        <v>1</v>
      </c>
      <c r="AD9213">
        <v>1</v>
      </c>
      <c r="AE9213">
        <v>1</v>
      </c>
      <c r="AF9213">
        <v>1</v>
      </c>
      <c r="AG9213">
        <v>1</v>
      </c>
      <c r="AH9213">
        <v>1</v>
      </c>
      <c r="AI9213">
        <v>1</v>
      </c>
      <c r="AJ9213">
        <v>1</v>
      </c>
      <c r="AK9213">
        <v>1</v>
      </c>
      <c r="AL9213">
        <v>1</v>
      </c>
      <c r="AM9213">
        <v>1</v>
      </c>
    </row>
    <row r="9214" spans="1:39" x14ac:dyDescent="0.2">
      <c r="A9214" t="str">
        <f>"9210"</f>
        <v>9210</v>
      </c>
      <c r="B9214" t="str">
        <f t="shared" si="513"/>
        <v>1</v>
      </c>
      <c r="C9214" t="str">
        <f t="shared" si="512"/>
        <v>185</v>
      </c>
      <c r="D9214" t="str">
        <f>"9"</f>
        <v>9</v>
      </c>
      <c r="E9214" t="str">
        <f>"1-185-9"</f>
        <v>1-185-9</v>
      </c>
      <c r="F9214" t="s">
        <v>65</v>
      </c>
      <c r="G9214" t="s">
        <v>66</v>
      </c>
      <c r="H9214" t="s">
        <v>67</v>
      </c>
      <c r="S9214">
        <v>1</v>
      </c>
      <c r="T9214">
        <v>0</v>
      </c>
      <c r="U9214">
        <v>0</v>
      </c>
      <c r="V9214">
        <v>0</v>
      </c>
      <c r="W9214">
        <v>0</v>
      </c>
      <c r="X9214">
        <v>1</v>
      </c>
      <c r="Y9214">
        <v>1</v>
      </c>
      <c r="Z9214">
        <v>0</v>
      </c>
      <c r="AA9214">
        <v>0</v>
      </c>
      <c r="AB9214">
        <v>1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</row>
    <row r="9215" spans="1:39" x14ac:dyDescent="0.2">
      <c r="A9215" t="str">
        <f>"9211"</f>
        <v>9211</v>
      </c>
      <c r="B9215" t="str">
        <f t="shared" si="513"/>
        <v>1</v>
      </c>
      <c r="C9215" t="str">
        <f t="shared" si="512"/>
        <v>185</v>
      </c>
      <c r="D9215" t="str">
        <f>"40"</f>
        <v>40</v>
      </c>
      <c r="E9215" t="str">
        <f>"1-185-40"</f>
        <v>1-185-40</v>
      </c>
      <c r="F9215" t="s">
        <v>65</v>
      </c>
      <c r="G9215" t="s">
        <v>66</v>
      </c>
      <c r="H9215" t="s">
        <v>67</v>
      </c>
      <c r="S9215">
        <v>1</v>
      </c>
      <c r="T9215">
        <v>0</v>
      </c>
      <c r="U9215">
        <v>0</v>
      </c>
      <c r="V9215">
        <v>0</v>
      </c>
      <c r="W9215">
        <v>1</v>
      </c>
      <c r="X9215">
        <v>0</v>
      </c>
      <c r="Y9215">
        <v>1</v>
      </c>
      <c r="Z9215">
        <v>0</v>
      </c>
      <c r="AA9215">
        <v>1</v>
      </c>
      <c r="AB9215">
        <v>0</v>
      </c>
      <c r="AC9215">
        <v>0</v>
      </c>
      <c r="AD9215">
        <v>1</v>
      </c>
      <c r="AE9215">
        <v>1</v>
      </c>
      <c r="AF9215">
        <v>1</v>
      </c>
      <c r="AG9215">
        <v>1</v>
      </c>
      <c r="AH9215">
        <v>1</v>
      </c>
      <c r="AI9215">
        <v>1</v>
      </c>
      <c r="AJ9215">
        <v>1</v>
      </c>
      <c r="AK9215">
        <v>1</v>
      </c>
      <c r="AL9215">
        <v>1</v>
      </c>
      <c r="AM9215">
        <v>1</v>
      </c>
    </row>
    <row r="9216" spans="1:39" x14ac:dyDescent="0.2">
      <c r="A9216" t="str">
        <f>"9212"</f>
        <v>9212</v>
      </c>
      <c r="B9216" t="str">
        <f t="shared" si="513"/>
        <v>1</v>
      </c>
      <c r="C9216" t="str">
        <f t="shared" si="512"/>
        <v>185</v>
      </c>
      <c r="D9216" t="str">
        <f>"39"</f>
        <v>39</v>
      </c>
      <c r="E9216" t="str">
        <f>"1-185-39"</f>
        <v>1-185-39</v>
      </c>
      <c r="F9216" t="s">
        <v>65</v>
      </c>
      <c r="G9216" t="s">
        <v>66</v>
      </c>
      <c r="H9216" t="s">
        <v>67</v>
      </c>
      <c r="S9216">
        <v>1</v>
      </c>
      <c r="T9216">
        <v>0</v>
      </c>
      <c r="U9216">
        <v>0</v>
      </c>
      <c r="V9216">
        <v>0</v>
      </c>
      <c r="W9216">
        <v>1</v>
      </c>
      <c r="X9216">
        <v>0</v>
      </c>
      <c r="Y9216">
        <v>1</v>
      </c>
      <c r="Z9216">
        <v>0</v>
      </c>
      <c r="AA9216">
        <v>1</v>
      </c>
      <c r="AB9216">
        <v>0</v>
      </c>
      <c r="AC9216">
        <v>0</v>
      </c>
      <c r="AD9216">
        <v>1</v>
      </c>
      <c r="AE9216">
        <v>1</v>
      </c>
      <c r="AF9216">
        <v>1</v>
      </c>
      <c r="AG9216">
        <v>1</v>
      </c>
      <c r="AH9216">
        <v>1</v>
      </c>
      <c r="AI9216">
        <v>1</v>
      </c>
      <c r="AJ9216">
        <v>1</v>
      </c>
      <c r="AK9216">
        <v>1</v>
      </c>
      <c r="AL9216">
        <v>1</v>
      </c>
      <c r="AM9216">
        <v>1</v>
      </c>
    </row>
    <row r="9217" spans="1:39" x14ac:dyDescent="0.2">
      <c r="A9217" t="str">
        <f>"9213"</f>
        <v>9213</v>
      </c>
      <c r="B9217" t="str">
        <f t="shared" si="513"/>
        <v>1</v>
      </c>
      <c r="C9217" t="str">
        <f t="shared" si="512"/>
        <v>185</v>
      </c>
      <c r="D9217" t="str">
        <f>"27"</f>
        <v>27</v>
      </c>
      <c r="E9217" t="str">
        <f>"1-185-27"</f>
        <v>1-185-27</v>
      </c>
      <c r="F9217" t="s">
        <v>65</v>
      </c>
      <c r="G9217" t="s">
        <v>66</v>
      </c>
      <c r="H9217" t="s">
        <v>67</v>
      </c>
      <c r="S9217">
        <v>1</v>
      </c>
      <c r="T9217">
        <v>0</v>
      </c>
      <c r="U9217">
        <v>0</v>
      </c>
      <c r="V9217">
        <v>0</v>
      </c>
      <c r="W9217">
        <v>1</v>
      </c>
      <c r="X9217">
        <v>0</v>
      </c>
      <c r="Y9217">
        <v>0</v>
      </c>
      <c r="Z9217">
        <v>1</v>
      </c>
      <c r="AA9217">
        <v>0</v>
      </c>
      <c r="AB9217">
        <v>0</v>
      </c>
      <c r="AC9217">
        <v>1</v>
      </c>
      <c r="AD9217">
        <v>1</v>
      </c>
      <c r="AE9217">
        <v>1</v>
      </c>
      <c r="AF9217">
        <v>1</v>
      </c>
      <c r="AG9217">
        <v>1</v>
      </c>
      <c r="AH9217">
        <v>1</v>
      </c>
      <c r="AI9217">
        <v>1</v>
      </c>
      <c r="AJ9217">
        <v>1</v>
      </c>
      <c r="AK9217">
        <v>1</v>
      </c>
      <c r="AL9217">
        <v>1</v>
      </c>
      <c r="AM9217">
        <v>1</v>
      </c>
    </row>
    <row r="9218" spans="1:39" x14ac:dyDescent="0.2">
      <c r="A9218" t="str">
        <f>"9214"</f>
        <v>9214</v>
      </c>
      <c r="B9218" t="str">
        <f t="shared" si="513"/>
        <v>1</v>
      </c>
      <c r="C9218" t="str">
        <f t="shared" si="512"/>
        <v>185</v>
      </c>
      <c r="D9218" t="str">
        <f>"17"</f>
        <v>17</v>
      </c>
      <c r="E9218" t="str">
        <f>"1-185-17"</f>
        <v>1-185-17</v>
      </c>
      <c r="F9218" t="s">
        <v>65</v>
      </c>
      <c r="G9218" t="s">
        <v>66</v>
      </c>
      <c r="H9218" t="s">
        <v>67</v>
      </c>
      <c r="S9218">
        <v>1</v>
      </c>
      <c r="T9218">
        <v>0</v>
      </c>
      <c r="U9218">
        <v>0</v>
      </c>
      <c r="V9218">
        <v>0</v>
      </c>
      <c r="W9218">
        <v>1</v>
      </c>
      <c r="X9218">
        <v>0</v>
      </c>
      <c r="Y9218">
        <v>0</v>
      </c>
      <c r="Z9218">
        <v>1</v>
      </c>
      <c r="AA9218">
        <v>0</v>
      </c>
      <c r="AB9218">
        <v>1</v>
      </c>
      <c r="AC9218">
        <v>0</v>
      </c>
      <c r="AD9218">
        <v>1</v>
      </c>
      <c r="AE9218">
        <v>1</v>
      </c>
      <c r="AF9218">
        <v>1</v>
      </c>
      <c r="AG9218">
        <v>0</v>
      </c>
      <c r="AH9218">
        <v>1</v>
      </c>
      <c r="AI9218">
        <v>1</v>
      </c>
      <c r="AJ9218">
        <v>0</v>
      </c>
      <c r="AK9218">
        <v>1</v>
      </c>
      <c r="AL9218">
        <v>1</v>
      </c>
      <c r="AM9218">
        <v>0</v>
      </c>
    </row>
    <row r="9219" spans="1:39" x14ac:dyDescent="0.2">
      <c r="A9219" t="str">
        <f>"9215"</f>
        <v>9215</v>
      </c>
      <c r="B9219" t="str">
        <f t="shared" si="513"/>
        <v>1</v>
      </c>
      <c r="C9219" t="str">
        <f t="shared" si="512"/>
        <v>185</v>
      </c>
      <c r="D9219" t="str">
        <f>"10"</f>
        <v>10</v>
      </c>
      <c r="E9219" t="str">
        <f>"1-185-10"</f>
        <v>1-185-10</v>
      </c>
      <c r="F9219" t="s">
        <v>65</v>
      </c>
      <c r="G9219" t="s">
        <v>66</v>
      </c>
      <c r="H9219" t="s">
        <v>67</v>
      </c>
      <c r="S9219">
        <v>1</v>
      </c>
      <c r="T9219">
        <v>0</v>
      </c>
      <c r="U9219">
        <v>0</v>
      </c>
      <c r="V9219">
        <v>0</v>
      </c>
      <c r="W9219">
        <v>1</v>
      </c>
      <c r="X9219">
        <v>0</v>
      </c>
      <c r="Y9219">
        <v>1</v>
      </c>
      <c r="Z9219">
        <v>0</v>
      </c>
      <c r="AA9219">
        <v>1</v>
      </c>
      <c r="AB9219">
        <v>0</v>
      </c>
      <c r="AC9219">
        <v>0</v>
      </c>
      <c r="AD9219">
        <v>1</v>
      </c>
      <c r="AE9219">
        <v>1</v>
      </c>
      <c r="AF9219">
        <v>1</v>
      </c>
      <c r="AG9219">
        <v>1</v>
      </c>
      <c r="AH9219">
        <v>1</v>
      </c>
      <c r="AI9219">
        <v>1</v>
      </c>
      <c r="AJ9219">
        <v>1</v>
      </c>
      <c r="AK9219">
        <v>1</v>
      </c>
      <c r="AL9219">
        <v>1</v>
      </c>
      <c r="AM9219">
        <v>1</v>
      </c>
    </row>
    <row r="9220" spans="1:39" x14ac:dyDescent="0.2">
      <c r="A9220" t="str">
        <f>"9216"</f>
        <v>9216</v>
      </c>
      <c r="B9220" t="str">
        <f t="shared" si="513"/>
        <v>1</v>
      </c>
      <c r="C9220" t="str">
        <f t="shared" si="512"/>
        <v>185</v>
      </c>
      <c r="D9220" t="str">
        <f>"29"</f>
        <v>29</v>
      </c>
      <c r="E9220" t="str">
        <f>"1-185-29"</f>
        <v>1-185-29</v>
      </c>
      <c r="F9220" t="s">
        <v>65</v>
      </c>
      <c r="G9220" t="s">
        <v>66</v>
      </c>
      <c r="H9220" t="s">
        <v>67</v>
      </c>
      <c r="S9220">
        <v>1</v>
      </c>
      <c r="T9220">
        <v>0</v>
      </c>
      <c r="U9220">
        <v>0</v>
      </c>
      <c r="V9220">
        <v>0</v>
      </c>
      <c r="W9220">
        <v>1</v>
      </c>
      <c r="X9220">
        <v>0</v>
      </c>
      <c r="Y9220">
        <v>0</v>
      </c>
      <c r="Z9220">
        <v>1</v>
      </c>
      <c r="AA9220">
        <v>0</v>
      </c>
      <c r="AB9220">
        <v>0</v>
      </c>
      <c r="AC9220">
        <v>1</v>
      </c>
      <c r="AD9220">
        <v>1</v>
      </c>
      <c r="AE9220">
        <v>1</v>
      </c>
      <c r="AF9220">
        <v>1</v>
      </c>
      <c r="AG9220">
        <v>1</v>
      </c>
      <c r="AH9220">
        <v>1</v>
      </c>
      <c r="AI9220">
        <v>1</v>
      </c>
      <c r="AJ9220">
        <v>1</v>
      </c>
      <c r="AK9220">
        <v>1</v>
      </c>
      <c r="AL9220">
        <v>1</v>
      </c>
      <c r="AM9220">
        <v>1</v>
      </c>
    </row>
    <row r="9221" spans="1:39" x14ac:dyDescent="0.2">
      <c r="A9221" t="str">
        <f>"9217"</f>
        <v>9217</v>
      </c>
      <c r="B9221" t="str">
        <f t="shared" si="513"/>
        <v>1</v>
      </c>
      <c r="C9221" t="str">
        <f t="shared" si="512"/>
        <v>185</v>
      </c>
      <c r="D9221" t="str">
        <f>"18"</f>
        <v>18</v>
      </c>
      <c r="E9221" t="str">
        <f>"1-185-18"</f>
        <v>1-185-18</v>
      </c>
      <c r="F9221" t="s">
        <v>65</v>
      </c>
      <c r="G9221" t="s">
        <v>66</v>
      </c>
      <c r="H9221" t="s">
        <v>67</v>
      </c>
      <c r="S9221">
        <v>1</v>
      </c>
      <c r="T9221">
        <v>0</v>
      </c>
      <c r="U9221">
        <v>0</v>
      </c>
      <c r="V9221">
        <v>0</v>
      </c>
      <c r="W9221">
        <v>1</v>
      </c>
      <c r="X9221">
        <v>0</v>
      </c>
      <c r="Y9221">
        <v>1</v>
      </c>
      <c r="Z9221">
        <v>0</v>
      </c>
      <c r="AA9221">
        <v>0</v>
      </c>
      <c r="AB9221">
        <v>1</v>
      </c>
      <c r="AC9221">
        <v>0</v>
      </c>
      <c r="AD9221">
        <v>1</v>
      </c>
      <c r="AE9221">
        <v>1</v>
      </c>
      <c r="AF9221">
        <v>1</v>
      </c>
      <c r="AG9221">
        <v>1</v>
      </c>
      <c r="AH9221">
        <v>1</v>
      </c>
      <c r="AI9221">
        <v>1</v>
      </c>
      <c r="AJ9221">
        <v>1</v>
      </c>
      <c r="AK9221">
        <v>1</v>
      </c>
      <c r="AL9221">
        <v>1</v>
      </c>
      <c r="AM9221">
        <v>1</v>
      </c>
    </row>
    <row r="9222" spans="1:39" x14ac:dyDescent="0.2">
      <c r="A9222" t="str">
        <f>"9218"</f>
        <v>9218</v>
      </c>
      <c r="B9222" t="str">
        <f t="shared" si="513"/>
        <v>1</v>
      </c>
      <c r="C9222" t="str">
        <f t="shared" si="512"/>
        <v>185</v>
      </c>
      <c r="D9222" t="str">
        <f>"7"</f>
        <v>7</v>
      </c>
      <c r="E9222" t="str">
        <f>"1-185-7"</f>
        <v>1-185-7</v>
      </c>
      <c r="F9222" t="s">
        <v>65</v>
      </c>
      <c r="G9222" t="s">
        <v>66</v>
      </c>
      <c r="H9222" t="s">
        <v>67</v>
      </c>
      <c r="S9222">
        <v>1</v>
      </c>
      <c r="T9222">
        <v>0</v>
      </c>
      <c r="U9222">
        <v>0</v>
      </c>
      <c r="V9222">
        <v>0</v>
      </c>
      <c r="W9222">
        <v>1</v>
      </c>
      <c r="X9222">
        <v>0</v>
      </c>
      <c r="Y9222">
        <v>1</v>
      </c>
      <c r="Z9222">
        <v>0</v>
      </c>
      <c r="AA9222">
        <v>1</v>
      </c>
      <c r="AB9222">
        <v>0</v>
      </c>
      <c r="AC9222">
        <v>0</v>
      </c>
      <c r="AD9222">
        <v>1</v>
      </c>
      <c r="AE9222">
        <v>1</v>
      </c>
      <c r="AF9222">
        <v>1</v>
      </c>
      <c r="AG9222">
        <v>1</v>
      </c>
      <c r="AH9222">
        <v>1</v>
      </c>
      <c r="AI9222">
        <v>1</v>
      </c>
      <c r="AJ9222">
        <v>1</v>
      </c>
      <c r="AK9222">
        <v>1</v>
      </c>
      <c r="AL9222">
        <v>1</v>
      </c>
      <c r="AM9222">
        <v>1</v>
      </c>
    </row>
    <row r="9223" spans="1:39" x14ac:dyDescent="0.2">
      <c r="A9223" t="str">
        <f>"9219"</f>
        <v>9219</v>
      </c>
      <c r="B9223" t="str">
        <f t="shared" si="513"/>
        <v>1</v>
      </c>
      <c r="C9223" t="str">
        <f t="shared" si="512"/>
        <v>185</v>
      </c>
      <c r="D9223" t="str">
        <f>"35"</f>
        <v>35</v>
      </c>
      <c r="E9223" t="str">
        <f>"1-185-35"</f>
        <v>1-185-35</v>
      </c>
      <c r="F9223" t="s">
        <v>65</v>
      </c>
      <c r="G9223" t="s">
        <v>66</v>
      </c>
      <c r="H9223" t="s">
        <v>67</v>
      </c>
      <c r="S9223">
        <v>0</v>
      </c>
      <c r="T9223">
        <v>1</v>
      </c>
      <c r="U9223">
        <v>0</v>
      </c>
      <c r="V9223">
        <v>0</v>
      </c>
      <c r="W9223">
        <v>1</v>
      </c>
      <c r="X9223">
        <v>0</v>
      </c>
      <c r="Y9223">
        <v>1</v>
      </c>
      <c r="Z9223">
        <v>0</v>
      </c>
      <c r="AA9223">
        <v>0</v>
      </c>
      <c r="AB9223">
        <v>1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</row>
    <row r="9224" spans="1:39" x14ac:dyDescent="0.2">
      <c r="A9224" t="str">
        <f>"9220"</f>
        <v>9220</v>
      </c>
      <c r="B9224" t="str">
        <f t="shared" si="513"/>
        <v>1</v>
      </c>
      <c r="C9224" t="str">
        <f t="shared" si="512"/>
        <v>185</v>
      </c>
      <c r="D9224" t="str">
        <f>"19"</f>
        <v>19</v>
      </c>
      <c r="E9224" t="str">
        <f>"1-185-19"</f>
        <v>1-185-19</v>
      </c>
      <c r="F9224" t="s">
        <v>65</v>
      </c>
      <c r="G9224" t="s">
        <v>66</v>
      </c>
      <c r="H9224" t="s">
        <v>67</v>
      </c>
      <c r="S9224">
        <v>0</v>
      </c>
      <c r="T9224">
        <v>1</v>
      </c>
      <c r="U9224">
        <v>0</v>
      </c>
      <c r="V9224">
        <v>0</v>
      </c>
      <c r="W9224">
        <v>0</v>
      </c>
      <c r="X9224">
        <v>1</v>
      </c>
      <c r="Y9224">
        <v>1</v>
      </c>
      <c r="Z9224">
        <v>0</v>
      </c>
      <c r="AA9224">
        <v>1</v>
      </c>
      <c r="AB9224">
        <v>0</v>
      </c>
      <c r="AC9224">
        <v>0</v>
      </c>
      <c r="AD9224">
        <v>1</v>
      </c>
      <c r="AE9224">
        <v>1</v>
      </c>
      <c r="AF9224">
        <v>1</v>
      </c>
      <c r="AG9224">
        <v>1</v>
      </c>
      <c r="AH9224">
        <v>1</v>
      </c>
      <c r="AI9224">
        <v>1</v>
      </c>
      <c r="AJ9224">
        <v>1</v>
      </c>
      <c r="AK9224">
        <v>1</v>
      </c>
      <c r="AL9224">
        <v>1</v>
      </c>
      <c r="AM9224">
        <v>1</v>
      </c>
    </row>
    <row r="9225" spans="1:39" x14ac:dyDescent="0.2">
      <c r="A9225" t="str">
        <f>"9221"</f>
        <v>9221</v>
      </c>
      <c r="B9225" t="str">
        <f t="shared" si="513"/>
        <v>1</v>
      </c>
      <c r="C9225" t="str">
        <f t="shared" si="512"/>
        <v>185</v>
      </c>
      <c r="D9225" t="str">
        <f>"4"</f>
        <v>4</v>
      </c>
      <c r="E9225" t="str">
        <f>"1-185-4"</f>
        <v>1-185-4</v>
      </c>
      <c r="F9225" t="s">
        <v>65</v>
      </c>
      <c r="G9225" t="s">
        <v>66</v>
      </c>
      <c r="H9225" t="s">
        <v>67</v>
      </c>
      <c r="S9225">
        <v>1</v>
      </c>
      <c r="T9225">
        <v>0</v>
      </c>
      <c r="U9225">
        <v>0</v>
      </c>
      <c r="V9225">
        <v>0</v>
      </c>
      <c r="W9225">
        <v>1</v>
      </c>
      <c r="X9225">
        <v>0</v>
      </c>
      <c r="Y9225">
        <v>0</v>
      </c>
      <c r="Z9225">
        <v>1</v>
      </c>
      <c r="AA9225">
        <v>0</v>
      </c>
      <c r="AB9225">
        <v>1</v>
      </c>
      <c r="AC9225">
        <v>0</v>
      </c>
      <c r="AD9225">
        <v>1</v>
      </c>
      <c r="AE9225">
        <v>1</v>
      </c>
      <c r="AF9225">
        <v>1</v>
      </c>
      <c r="AG9225">
        <v>1</v>
      </c>
      <c r="AH9225">
        <v>1</v>
      </c>
      <c r="AI9225">
        <v>1</v>
      </c>
      <c r="AJ9225">
        <v>1</v>
      </c>
      <c r="AK9225">
        <v>1</v>
      </c>
      <c r="AL9225">
        <v>1</v>
      </c>
      <c r="AM9225">
        <v>1</v>
      </c>
    </row>
    <row r="9226" spans="1:39" x14ac:dyDescent="0.2">
      <c r="A9226" t="str">
        <f>"9222"</f>
        <v>9222</v>
      </c>
      <c r="B9226" t="str">
        <f t="shared" si="513"/>
        <v>1</v>
      </c>
      <c r="C9226" t="str">
        <f t="shared" si="512"/>
        <v>185</v>
      </c>
      <c r="D9226" t="str">
        <f>"38"</f>
        <v>38</v>
      </c>
      <c r="E9226" t="str">
        <f>"1-185-38"</f>
        <v>1-185-38</v>
      </c>
      <c r="F9226" t="s">
        <v>65</v>
      </c>
      <c r="G9226" t="s">
        <v>66</v>
      </c>
      <c r="H9226" t="s">
        <v>67</v>
      </c>
      <c r="S9226">
        <v>1</v>
      </c>
      <c r="T9226">
        <v>0</v>
      </c>
      <c r="U9226">
        <v>0</v>
      </c>
      <c r="V9226">
        <v>0</v>
      </c>
      <c r="W9226">
        <v>1</v>
      </c>
      <c r="X9226">
        <v>0</v>
      </c>
      <c r="Y9226">
        <v>1</v>
      </c>
      <c r="Z9226">
        <v>0</v>
      </c>
      <c r="AA9226">
        <v>1</v>
      </c>
      <c r="AB9226">
        <v>0</v>
      </c>
      <c r="AC9226">
        <v>0</v>
      </c>
      <c r="AD9226">
        <v>1</v>
      </c>
      <c r="AE9226">
        <v>1</v>
      </c>
      <c r="AF9226">
        <v>1</v>
      </c>
      <c r="AG9226">
        <v>1</v>
      </c>
      <c r="AH9226">
        <v>1</v>
      </c>
      <c r="AI9226">
        <v>1</v>
      </c>
      <c r="AJ9226">
        <v>1</v>
      </c>
      <c r="AK9226">
        <v>1</v>
      </c>
      <c r="AL9226">
        <v>1</v>
      </c>
      <c r="AM9226">
        <v>1</v>
      </c>
    </row>
    <row r="9227" spans="1:39" x14ac:dyDescent="0.2">
      <c r="A9227" t="str">
        <f>"9223"</f>
        <v>9223</v>
      </c>
      <c r="B9227" t="str">
        <f t="shared" si="513"/>
        <v>1</v>
      </c>
      <c r="C9227" t="str">
        <f t="shared" si="512"/>
        <v>185</v>
      </c>
      <c r="D9227" t="str">
        <f>"20"</f>
        <v>20</v>
      </c>
      <c r="E9227" t="str">
        <f>"1-185-20"</f>
        <v>1-185-20</v>
      </c>
      <c r="F9227" t="s">
        <v>65</v>
      </c>
      <c r="G9227" t="s">
        <v>66</v>
      </c>
      <c r="H9227" t="s">
        <v>67</v>
      </c>
      <c r="S9227">
        <v>1</v>
      </c>
      <c r="T9227">
        <v>0</v>
      </c>
      <c r="U9227">
        <v>0</v>
      </c>
      <c r="V9227">
        <v>0</v>
      </c>
      <c r="W9227">
        <v>1</v>
      </c>
      <c r="X9227">
        <v>0</v>
      </c>
      <c r="Y9227">
        <v>1</v>
      </c>
      <c r="Z9227">
        <v>0</v>
      </c>
      <c r="AA9227">
        <v>1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</row>
    <row r="9228" spans="1:39" x14ac:dyDescent="0.2">
      <c r="A9228" t="str">
        <f>"9224"</f>
        <v>9224</v>
      </c>
      <c r="B9228" t="str">
        <f t="shared" si="513"/>
        <v>1</v>
      </c>
      <c r="C9228" t="str">
        <f t="shared" si="512"/>
        <v>185</v>
      </c>
      <c r="D9228" t="str">
        <f>"11"</f>
        <v>11</v>
      </c>
      <c r="E9228" t="str">
        <f>"1-185-11"</f>
        <v>1-185-11</v>
      </c>
      <c r="F9228" t="s">
        <v>65</v>
      </c>
      <c r="G9228" t="s">
        <v>66</v>
      </c>
      <c r="H9228" t="s">
        <v>67</v>
      </c>
      <c r="S9228">
        <v>0</v>
      </c>
      <c r="T9228">
        <v>1</v>
      </c>
      <c r="U9228">
        <v>0</v>
      </c>
      <c r="V9228">
        <v>0</v>
      </c>
      <c r="W9228">
        <v>1</v>
      </c>
      <c r="X9228">
        <v>0</v>
      </c>
      <c r="Y9228">
        <v>1</v>
      </c>
      <c r="Z9228">
        <v>0</v>
      </c>
      <c r="AA9228">
        <v>1</v>
      </c>
      <c r="AB9228">
        <v>0</v>
      </c>
      <c r="AC9228">
        <v>0</v>
      </c>
      <c r="AD9228">
        <v>1</v>
      </c>
      <c r="AE9228">
        <v>1</v>
      </c>
      <c r="AF9228">
        <v>1</v>
      </c>
      <c r="AG9228">
        <v>1</v>
      </c>
      <c r="AH9228">
        <v>1</v>
      </c>
      <c r="AI9228">
        <v>1</v>
      </c>
      <c r="AJ9228">
        <v>1</v>
      </c>
      <c r="AK9228">
        <v>1</v>
      </c>
      <c r="AL9228">
        <v>1</v>
      </c>
      <c r="AM9228">
        <v>1</v>
      </c>
    </row>
    <row r="9229" spans="1:39" x14ac:dyDescent="0.2">
      <c r="A9229" t="str">
        <f>"9225"</f>
        <v>9225</v>
      </c>
      <c r="B9229" t="str">
        <f t="shared" si="513"/>
        <v>1</v>
      </c>
      <c r="C9229" t="str">
        <f t="shared" si="512"/>
        <v>185</v>
      </c>
      <c r="D9229" t="str">
        <f>"42"</f>
        <v>42</v>
      </c>
      <c r="E9229" t="str">
        <f>"1-185-42"</f>
        <v>1-185-42</v>
      </c>
      <c r="F9229" t="s">
        <v>65</v>
      </c>
      <c r="G9229" t="s">
        <v>66</v>
      </c>
      <c r="H9229" t="s">
        <v>67</v>
      </c>
      <c r="S9229">
        <v>0</v>
      </c>
      <c r="T9229">
        <v>1</v>
      </c>
      <c r="U9229">
        <v>0</v>
      </c>
      <c r="V9229">
        <v>0</v>
      </c>
      <c r="W9229">
        <v>0</v>
      </c>
      <c r="X9229">
        <v>1</v>
      </c>
      <c r="Y9229">
        <v>0</v>
      </c>
      <c r="Z9229">
        <v>1</v>
      </c>
      <c r="AA9229">
        <v>0</v>
      </c>
      <c r="AB9229">
        <v>0</v>
      </c>
      <c r="AC9229">
        <v>1</v>
      </c>
      <c r="AD9229">
        <v>1</v>
      </c>
      <c r="AE9229">
        <v>1</v>
      </c>
      <c r="AF9229">
        <v>1</v>
      </c>
      <c r="AG9229">
        <v>1</v>
      </c>
      <c r="AH9229">
        <v>1</v>
      </c>
      <c r="AI9229">
        <v>1</v>
      </c>
      <c r="AJ9229">
        <v>1</v>
      </c>
      <c r="AK9229">
        <v>1</v>
      </c>
      <c r="AL9229">
        <v>1</v>
      </c>
      <c r="AM9229">
        <v>1</v>
      </c>
    </row>
    <row r="9230" spans="1:39" x14ac:dyDescent="0.2">
      <c r="A9230" t="str">
        <f>"9226"</f>
        <v>9226</v>
      </c>
      <c r="B9230" t="str">
        <f t="shared" si="513"/>
        <v>1</v>
      </c>
      <c r="C9230" t="str">
        <f t="shared" si="512"/>
        <v>185</v>
      </c>
      <c r="D9230" t="str">
        <f>"21"</f>
        <v>21</v>
      </c>
      <c r="E9230" t="str">
        <f>"1-185-21"</f>
        <v>1-185-21</v>
      </c>
      <c r="F9230" t="s">
        <v>65</v>
      </c>
      <c r="G9230" t="s">
        <v>66</v>
      </c>
      <c r="H9230" t="s">
        <v>67</v>
      </c>
      <c r="S9230">
        <v>1</v>
      </c>
      <c r="T9230">
        <v>0</v>
      </c>
      <c r="U9230">
        <v>0</v>
      </c>
      <c r="V9230">
        <v>0</v>
      </c>
      <c r="W9230">
        <v>1</v>
      </c>
      <c r="X9230">
        <v>0</v>
      </c>
      <c r="Y9230">
        <v>1</v>
      </c>
      <c r="Z9230">
        <v>0</v>
      </c>
      <c r="AA9230">
        <v>0</v>
      </c>
      <c r="AB9230">
        <v>1</v>
      </c>
      <c r="AC9230">
        <v>0</v>
      </c>
      <c r="AD9230">
        <v>1</v>
      </c>
      <c r="AE9230">
        <v>1</v>
      </c>
      <c r="AF9230">
        <v>1</v>
      </c>
      <c r="AG9230">
        <v>0</v>
      </c>
      <c r="AH9230">
        <v>1</v>
      </c>
      <c r="AI9230">
        <v>1</v>
      </c>
      <c r="AJ9230">
        <v>0</v>
      </c>
      <c r="AK9230">
        <v>0</v>
      </c>
      <c r="AL9230">
        <v>1</v>
      </c>
      <c r="AM9230">
        <v>0</v>
      </c>
    </row>
    <row r="9231" spans="1:39" x14ac:dyDescent="0.2">
      <c r="A9231" t="str">
        <f>"9227"</f>
        <v>9227</v>
      </c>
      <c r="B9231" t="str">
        <f t="shared" si="513"/>
        <v>1</v>
      </c>
      <c r="C9231" t="str">
        <f t="shared" si="512"/>
        <v>185</v>
      </c>
      <c r="D9231" t="str">
        <f>"13"</f>
        <v>13</v>
      </c>
      <c r="E9231" t="str">
        <f>"1-185-13"</f>
        <v>1-185-13</v>
      </c>
      <c r="F9231" t="s">
        <v>65</v>
      </c>
      <c r="G9231" t="s">
        <v>66</v>
      </c>
      <c r="H9231" t="s">
        <v>67</v>
      </c>
      <c r="S9231">
        <v>1</v>
      </c>
      <c r="T9231">
        <v>0</v>
      </c>
      <c r="U9231">
        <v>0</v>
      </c>
      <c r="V9231">
        <v>0</v>
      </c>
      <c r="W9231">
        <v>1</v>
      </c>
      <c r="X9231">
        <v>0</v>
      </c>
      <c r="Y9231">
        <v>1</v>
      </c>
      <c r="Z9231">
        <v>0</v>
      </c>
      <c r="AA9231">
        <v>1</v>
      </c>
      <c r="AB9231">
        <v>0</v>
      </c>
      <c r="AC9231">
        <v>0</v>
      </c>
      <c r="AD9231">
        <v>1</v>
      </c>
      <c r="AE9231">
        <v>1</v>
      </c>
      <c r="AF9231">
        <v>1</v>
      </c>
      <c r="AG9231">
        <v>1</v>
      </c>
      <c r="AH9231">
        <v>1</v>
      </c>
      <c r="AI9231">
        <v>1</v>
      </c>
      <c r="AJ9231">
        <v>1</v>
      </c>
      <c r="AK9231">
        <v>1</v>
      </c>
      <c r="AL9231">
        <v>1</v>
      </c>
      <c r="AM9231">
        <v>1</v>
      </c>
    </row>
    <row r="9232" spans="1:39" x14ac:dyDescent="0.2">
      <c r="A9232" t="str">
        <f>"9228"</f>
        <v>9228</v>
      </c>
      <c r="B9232" t="str">
        <f t="shared" si="513"/>
        <v>1</v>
      </c>
      <c r="C9232" t="str">
        <f t="shared" si="512"/>
        <v>185</v>
      </c>
      <c r="D9232" t="str">
        <f>"41"</f>
        <v>41</v>
      </c>
      <c r="E9232" t="str">
        <f>"1-185-41"</f>
        <v>1-185-41</v>
      </c>
      <c r="F9232" t="s">
        <v>65</v>
      </c>
      <c r="G9232" t="s">
        <v>66</v>
      </c>
      <c r="H9232" t="s">
        <v>67</v>
      </c>
      <c r="S9232">
        <v>0</v>
      </c>
      <c r="T9232">
        <v>1</v>
      </c>
      <c r="U9232">
        <v>0</v>
      </c>
      <c r="V9232">
        <v>0</v>
      </c>
      <c r="W9232">
        <v>0</v>
      </c>
      <c r="X9232">
        <v>1</v>
      </c>
      <c r="Y9232">
        <v>1</v>
      </c>
      <c r="Z9232">
        <v>0</v>
      </c>
      <c r="AA9232">
        <v>0</v>
      </c>
      <c r="AB9232">
        <v>1</v>
      </c>
      <c r="AC9232">
        <v>0</v>
      </c>
      <c r="AD9232">
        <v>1</v>
      </c>
      <c r="AE9232">
        <v>1</v>
      </c>
      <c r="AF9232">
        <v>1</v>
      </c>
      <c r="AG9232">
        <v>1</v>
      </c>
      <c r="AH9232">
        <v>0</v>
      </c>
      <c r="AI9232">
        <v>1</v>
      </c>
      <c r="AJ9232">
        <v>1</v>
      </c>
      <c r="AK9232">
        <v>1</v>
      </c>
      <c r="AL9232">
        <v>1</v>
      </c>
      <c r="AM9232">
        <v>1</v>
      </c>
    </row>
    <row r="9233" spans="1:39" x14ac:dyDescent="0.2">
      <c r="A9233" t="str">
        <f>"9229"</f>
        <v>9229</v>
      </c>
      <c r="B9233" t="str">
        <f t="shared" si="513"/>
        <v>1</v>
      </c>
      <c r="C9233" t="str">
        <f t="shared" si="512"/>
        <v>185</v>
      </c>
      <c r="D9233" t="str">
        <f>"22"</f>
        <v>22</v>
      </c>
      <c r="E9233" t="str">
        <f>"1-185-22"</f>
        <v>1-185-22</v>
      </c>
      <c r="F9233" t="s">
        <v>65</v>
      </c>
      <c r="G9233" t="s">
        <v>66</v>
      </c>
      <c r="H9233" t="s">
        <v>67</v>
      </c>
      <c r="S9233">
        <v>1</v>
      </c>
      <c r="T9233">
        <v>0</v>
      </c>
      <c r="U9233">
        <v>0</v>
      </c>
      <c r="V9233">
        <v>0</v>
      </c>
      <c r="W9233">
        <v>1</v>
      </c>
      <c r="X9233">
        <v>0</v>
      </c>
      <c r="Y9233">
        <v>1</v>
      </c>
      <c r="Z9233">
        <v>0</v>
      </c>
      <c r="AA9233">
        <v>0</v>
      </c>
      <c r="AB9233">
        <v>1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</row>
    <row r="9234" spans="1:39" x14ac:dyDescent="0.2">
      <c r="A9234" t="str">
        <f>"9230"</f>
        <v>9230</v>
      </c>
      <c r="B9234" t="str">
        <f t="shared" si="513"/>
        <v>1</v>
      </c>
      <c r="C9234" t="str">
        <f t="shared" si="512"/>
        <v>185</v>
      </c>
      <c r="D9234" t="str">
        <f>"2"</f>
        <v>2</v>
      </c>
      <c r="E9234" t="str">
        <f>"1-185-2"</f>
        <v>1-185-2</v>
      </c>
      <c r="F9234" t="s">
        <v>65</v>
      </c>
      <c r="G9234" t="s">
        <v>66</v>
      </c>
      <c r="H9234" t="s">
        <v>67</v>
      </c>
      <c r="S9234">
        <v>1</v>
      </c>
      <c r="T9234">
        <v>0</v>
      </c>
      <c r="U9234">
        <v>0</v>
      </c>
      <c r="V9234">
        <v>0</v>
      </c>
      <c r="W9234">
        <v>0</v>
      </c>
      <c r="X9234">
        <v>1</v>
      </c>
      <c r="Y9234">
        <v>1</v>
      </c>
      <c r="Z9234">
        <v>0</v>
      </c>
      <c r="AA9234">
        <v>0</v>
      </c>
      <c r="AB9234">
        <v>1</v>
      </c>
      <c r="AC9234">
        <v>0</v>
      </c>
      <c r="AD9234">
        <v>1</v>
      </c>
      <c r="AE9234">
        <v>1</v>
      </c>
      <c r="AF9234">
        <v>1</v>
      </c>
      <c r="AG9234">
        <v>1</v>
      </c>
      <c r="AH9234">
        <v>1</v>
      </c>
      <c r="AI9234">
        <v>1</v>
      </c>
      <c r="AJ9234">
        <v>1</v>
      </c>
      <c r="AK9234">
        <v>1</v>
      </c>
      <c r="AL9234">
        <v>1</v>
      </c>
      <c r="AM9234">
        <v>1</v>
      </c>
    </row>
    <row r="9235" spans="1:39" x14ac:dyDescent="0.2">
      <c r="A9235" t="str">
        <f>"9231"</f>
        <v>9231</v>
      </c>
      <c r="B9235" t="str">
        <f t="shared" si="513"/>
        <v>1</v>
      </c>
      <c r="C9235" t="str">
        <f t="shared" si="512"/>
        <v>185</v>
      </c>
      <c r="D9235" t="str">
        <f>"45"</f>
        <v>45</v>
      </c>
      <c r="E9235" t="str">
        <f>"1-185-45"</f>
        <v>1-185-45</v>
      </c>
      <c r="F9235" t="s">
        <v>65</v>
      </c>
      <c r="G9235" t="s">
        <v>66</v>
      </c>
      <c r="H9235" t="s">
        <v>67</v>
      </c>
      <c r="S9235">
        <v>0</v>
      </c>
      <c r="T9235">
        <v>1</v>
      </c>
      <c r="U9235">
        <v>0</v>
      </c>
      <c r="V9235">
        <v>0</v>
      </c>
      <c r="W9235">
        <v>1</v>
      </c>
      <c r="X9235">
        <v>0</v>
      </c>
      <c r="Y9235">
        <v>1</v>
      </c>
      <c r="Z9235">
        <v>0</v>
      </c>
      <c r="AA9235">
        <v>0</v>
      </c>
      <c r="AB9235">
        <v>1</v>
      </c>
      <c r="AC9235">
        <v>0</v>
      </c>
      <c r="AD9235">
        <v>1</v>
      </c>
      <c r="AE9235">
        <v>1</v>
      </c>
      <c r="AF9235">
        <v>1</v>
      </c>
      <c r="AG9235">
        <v>1</v>
      </c>
      <c r="AH9235">
        <v>1</v>
      </c>
      <c r="AI9235">
        <v>1</v>
      </c>
      <c r="AJ9235">
        <v>1</v>
      </c>
      <c r="AK9235">
        <v>1</v>
      </c>
      <c r="AL9235">
        <v>1</v>
      </c>
      <c r="AM9235">
        <v>1</v>
      </c>
    </row>
    <row r="9236" spans="1:39" x14ac:dyDescent="0.2">
      <c r="A9236" t="str">
        <f>"9232"</f>
        <v>9232</v>
      </c>
      <c r="B9236" t="str">
        <f t="shared" si="513"/>
        <v>1</v>
      </c>
      <c r="C9236" t="str">
        <f t="shared" si="512"/>
        <v>185</v>
      </c>
      <c r="D9236" t="str">
        <f>"24"</f>
        <v>24</v>
      </c>
      <c r="E9236" t="str">
        <f>"1-185-24"</f>
        <v>1-185-24</v>
      </c>
      <c r="F9236" t="s">
        <v>65</v>
      </c>
      <c r="G9236" t="s">
        <v>66</v>
      </c>
      <c r="H9236" t="s">
        <v>67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1</v>
      </c>
      <c r="Y9236">
        <v>0</v>
      </c>
      <c r="Z9236">
        <v>0</v>
      </c>
      <c r="AA9236">
        <v>0</v>
      </c>
      <c r="AB9236">
        <v>0</v>
      </c>
      <c r="AC9236">
        <v>1</v>
      </c>
      <c r="AD9236">
        <v>0</v>
      </c>
      <c r="AE9236">
        <v>0</v>
      </c>
      <c r="AF9236">
        <v>0</v>
      </c>
      <c r="AG9236">
        <v>0</v>
      </c>
      <c r="AH9236">
        <v>1</v>
      </c>
      <c r="AI9236">
        <v>1</v>
      </c>
      <c r="AJ9236">
        <v>1</v>
      </c>
      <c r="AK9236">
        <v>1</v>
      </c>
      <c r="AL9236">
        <v>1</v>
      </c>
      <c r="AM9236">
        <v>0</v>
      </c>
    </row>
    <row r="9237" spans="1:39" x14ac:dyDescent="0.2">
      <c r="A9237" t="str">
        <f>"9233"</f>
        <v>9233</v>
      </c>
      <c r="B9237" t="str">
        <f t="shared" si="513"/>
        <v>1</v>
      </c>
      <c r="C9237" t="str">
        <f t="shared" ref="C9237:C9254" si="514">"185"</f>
        <v>185</v>
      </c>
      <c r="D9237" t="str">
        <f>"3"</f>
        <v>3</v>
      </c>
      <c r="E9237" t="str">
        <f>"1-185-3"</f>
        <v>1-185-3</v>
      </c>
      <c r="F9237" t="s">
        <v>65</v>
      </c>
      <c r="G9237" t="s">
        <v>66</v>
      </c>
      <c r="H9237" t="s">
        <v>67</v>
      </c>
      <c r="S9237">
        <v>0</v>
      </c>
      <c r="T9237">
        <v>1</v>
      </c>
      <c r="U9237">
        <v>0</v>
      </c>
      <c r="V9237">
        <v>0</v>
      </c>
      <c r="W9237">
        <v>1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1</v>
      </c>
      <c r="AD9237">
        <v>1</v>
      </c>
      <c r="AE9237">
        <v>1</v>
      </c>
      <c r="AF9237">
        <v>1</v>
      </c>
      <c r="AG9237">
        <v>1</v>
      </c>
      <c r="AH9237">
        <v>1</v>
      </c>
      <c r="AI9237">
        <v>1</v>
      </c>
      <c r="AJ9237">
        <v>1</v>
      </c>
      <c r="AK9237">
        <v>1</v>
      </c>
      <c r="AL9237">
        <v>1</v>
      </c>
      <c r="AM9237">
        <v>1</v>
      </c>
    </row>
    <row r="9238" spans="1:39" x14ac:dyDescent="0.2">
      <c r="A9238" t="str">
        <f>"9234"</f>
        <v>9234</v>
      </c>
      <c r="B9238" t="str">
        <f t="shared" si="513"/>
        <v>1</v>
      </c>
      <c r="C9238" t="str">
        <f t="shared" si="514"/>
        <v>185</v>
      </c>
      <c r="D9238" t="str">
        <f>"43"</f>
        <v>43</v>
      </c>
      <c r="E9238" t="str">
        <f>"1-185-43"</f>
        <v>1-185-43</v>
      </c>
      <c r="F9238" t="s">
        <v>65</v>
      </c>
      <c r="G9238" t="s">
        <v>66</v>
      </c>
      <c r="H9238" t="s">
        <v>67</v>
      </c>
      <c r="S9238">
        <v>1</v>
      </c>
      <c r="T9238">
        <v>0</v>
      </c>
      <c r="U9238">
        <v>0</v>
      </c>
      <c r="V9238">
        <v>0</v>
      </c>
      <c r="W9238">
        <v>0</v>
      </c>
      <c r="X9238">
        <v>1</v>
      </c>
      <c r="Y9238">
        <v>1</v>
      </c>
      <c r="Z9238">
        <v>0</v>
      </c>
      <c r="AA9238">
        <v>1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1</v>
      </c>
      <c r="AH9238">
        <v>1</v>
      </c>
      <c r="AI9238">
        <v>0</v>
      </c>
      <c r="AJ9238">
        <v>0</v>
      </c>
      <c r="AK9238">
        <v>0</v>
      </c>
      <c r="AL9238">
        <v>0</v>
      </c>
      <c r="AM9238">
        <v>0</v>
      </c>
    </row>
    <row r="9239" spans="1:39" x14ac:dyDescent="0.2">
      <c r="A9239" t="str">
        <f>"9235"</f>
        <v>9235</v>
      </c>
      <c r="B9239" t="str">
        <f t="shared" si="513"/>
        <v>1</v>
      </c>
      <c r="C9239" t="str">
        <f t="shared" si="514"/>
        <v>185</v>
      </c>
      <c r="D9239" t="str">
        <f>"25"</f>
        <v>25</v>
      </c>
      <c r="E9239" t="str">
        <f>"1-185-25"</f>
        <v>1-185-25</v>
      </c>
      <c r="F9239" t="s">
        <v>65</v>
      </c>
      <c r="G9239" t="s">
        <v>66</v>
      </c>
      <c r="H9239" t="s">
        <v>67</v>
      </c>
      <c r="S9239">
        <v>0</v>
      </c>
      <c r="T9239">
        <v>1</v>
      </c>
      <c r="U9239">
        <v>0</v>
      </c>
      <c r="V9239">
        <v>0</v>
      </c>
      <c r="W9239">
        <v>0</v>
      </c>
      <c r="X9239">
        <v>1</v>
      </c>
      <c r="Y9239">
        <v>0</v>
      </c>
      <c r="Z9239">
        <v>1</v>
      </c>
      <c r="AA9239">
        <v>0</v>
      </c>
      <c r="AB9239">
        <v>1</v>
      </c>
      <c r="AC9239">
        <v>0</v>
      </c>
      <c r="AD9239">
        <v>1</v>
      </c>
      <c r="AE9239">
        <v>1</v>
      </c>
      <c r="AF9239">
        <v>1</v>
      </c>
      <c r="AG9239">
        <v>1</v>
      </c>
      <c r="AH9239">
        <v>1</v>
      </c>
      <c r="AI9239">
        <v>1</v>
      </c>
      <c r="AJ9239">
        <v>1</v>
      </c>
      <c r="AK9239">
        <v>1</v>
      </c>
      <c r="AL9239">
        <v>1</v>
      </c>
      <c r="AM9239">
        <v>1</v>
      </c>
    </row>
    <row r="9240" spans="1:39" x14ac:dyDescent="0.2">
      <c r="A9240" t="str">
        <f>"9236"</f>
        <v>9236</v>
      </c>
      <c r="B9240" t="str">
        <f t="shared" si="513"/>
        <v>1</v>
      </c>
      <c r="C9240" t="str">
        <f t="shared" si="514"/>
        <v>185</v>
      </c>
      <c r="D9240" t="str">
        <f>"8"</f>
        <v>8</v>
      </c>
      <c r="E9240" t="str">
        <f>"1-185-8"</f>
        <v>1-185-8</v>
      </c>
      <c r="F9240" t="s">
        <v>65</v>
      </c>
      <c r="G9240" t="s">
        <v>66</v>
      </c>
      <c r="H9240" t="s">
        <v>67</v>
      </c>
      <c r="S9240">
        <v>0</v>
      </c>
      <c r="T9240">
        <v>1</v>
      </c>
      <c r="U9240">
        <v>0</v>
      </c>
      <c r="V9240">
        <v>0</v>
      </c>
      <c r="W9240">
        <v>0</v>
      </c>
      <c r="X9240">
        <v>1</v>
      </c>
      <c r="Y9240">
        <v>0</v>
      </c>
      <c r="Z9240">
        <v>1</v>
      </c>
      <c r="AA9240">
        <v>0</v>
      </c>
      <c r="AB9240">
        <v>0</v>
      </c>
      <c r="AC9240">
        <v>1</v>
      </c>
      <c r="AD9240">
        <v>1</v>
      </c>
      <c r="AE9240">
        <v>1</v>
      </c>
      <c r="AF9240">
        <v>1</v>
      </c>
      <c r="AG9240">
        <v>1</v>
      </c>
      <c r="AH9240">
        <v>1</v>
      </c>
      <c r="AI9240">
        <v>1</v>
      </c>
      <c r="AJ9240">
        <v>1</v>
      </c>
      <c r="AK9240">
        <v>1</v>
      </c>
      <c r="AL9240">
        <v>1</v>
      </c>
      <c r="AM9240">
        <v>1</v>
      </c>
    </row>
    <row r="9241" spans="1:39" x14ac:dyDescent="0.2">
      <c r="A9241" t="str">
        <f>"9237"</f>
        <v>9237</v>
      </c>
      <c r="B9241" t="str">
        <f t="shared" si="513"/>
        <v>1</v>
      </c>
      <c r="C9241" t="str">
        <f t="shared" si="514"/>
        <v>185</v>
      </c>
      <c r="D9241" t="str">
        <f>"44"</f>
        <v>44</v>
      </c>
      <c r="E9241" t="str">
        <f>"1-185-44"</f>
        <v>1-185-44</v>
      </c>
      <c r="F9241" t="s">
        <v>65</v>
      </c>
      <c r="G9241" t="s">
        <v>66</v>
      </c>
      <c r="H9241" t="s">
        <v>67</v>
      </c>
      <c r="S9241">
        <v>1</v>
      </c>
      <c r="T9241">
        <v>0</v>
      </c>
      <c r="U9241">
        <v>0</v>
      </c>
      <c r="V9241">
        <v>0</v>
      </c>
      <c r="W9241">
        <v>1</v>
      </c>
      <c r="X9241">
        <v>0</v>
      </c>
      <c r="Y9241">
        <v>1</v>
      </c>
      <c r="Z9241">
        <v>0</v>
      </c>
      <c r="AA9241">
        <v>1</v>
      </c>
      <c r="AB9241">
        <v>0</v>
      </c>
      <c r="AC9241">
        <v>0</v>
      </c>
      <c r="AD9241">
        <v>1</v>
      </c>
      <c r="AE9241">
        <v>1</v>
      </c>
      <c r="AF9241">
        <v>1</v>
      </c>
      <c r="AG9241">
        <v>1</v>
      </c>
      <c r="AH9241">
        <v>1</v>
      </c>
      <c r="AI9241">
        <v>1</v>
      </c>
      <c r="AJ9241">
        <v>1</v>
      </c>
      <c r="AK9241">
        <v>1</v>
      </c>
      <c r="AL9241">
        <v>1</v>
      </c>
      <c r="AM9241">
        <v>1</v>
      </c>
    </row>
    <row r="9242" spans="1:39" x14ac:dyDescent="0.2">
      <c r="A9242" t="str">
        <f>"9238"</f>
        <v>9238</v>
      </c>
      <c r="B9242" t="str">
        <f t="shared" si="513"/>
        <v>1</v>
      </c>
      <c r="C9242" t="str">
        <f t="shared" si="514"/>
        <v>185</v>
      </c>
      <c r="D9242" t="str">
        <f>"26"</f>
        <v>26</v>
      </c>
      <c r="E9242" t="str">
        <f>"1-185-26"</f>
        <v>1-185-26</v>
      </c>
      <c r="F9242" t="s">
        <v>65</v>
      </c>
      <c r="G9242" t="s">
        <v>66</v>
      </c>
      <c r="H9242" t="s">
        <v>67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1</v>
      </c>
      <c r="Y9242">
        <v>0</v>
      </c>
      <c r="Z9242">
        <v>1</v>
      </c>
      <c r="AA9242">
        <v>0</v>
      </c>
      <c r="AB9242">
        <v>0</v>
      </c>
      <c r="AC9242">
        <v>1</v>
      </c>
      <c r="AD9242">
        <v>1</v>
      </c>
      <c r="AE9242">
        <v>1</v>
      </c>
      <c r="AF9242">
        <v>1</v>
      </c>
      <c r="AG9242">
        <v>1</v>
      </c>
      <c r="AH9242">
        <v>0</v>
      </c>
      <c r="AI9242">
        <v>1</v>
      </c>
      <c r="AJ9242">
        <v>1</v>
      </c>
      <c r="AK9242">
        <v>1</v>
      </c>
      <c r="AL9242">
        <v>1</v>
      </c>
      <c r="AM9242">
        <v>1</v>
      </c>
    </row>
    <row r="9243" spans="1:39" x14ac:dyDescent="0.2">
      <c r="A9243" t="str">
        <f>"9239"</f>
        <v>9239</v>
      </c>
      <c r="B9243" t="str">
        <f t="shared" si="513"/>
        <v>1</v>
      </c>
      <c r="C9243" t="str">
        <f t="shared" si="514"/>
        <v>185</v>
      </c>
      <c r="D9243" t="str">
        <f>"5"</f>
        <v>5</v>
      </c>
      <c r="E9243" t="str">
        <f>"1-185-5"</f>
        <v>1-185-5</v>
      </c>
      <c r="F9243" t="s">
        <v>65</v>
      </c>
      <c r="G9243" t="s">
        <v>66</v>
      </c>
      <c r="H9243" t="s">
        <v>67</v>
      </c>
      <c r="S9243">
        <v>1</v>
      </c>
      <c r="T9243">
        <v>0</v>
      </c>
      <c r="U9243">
        <v>0</v>
      </c>
      <c r="V9243">
        <v>0</v>
      </c>
      <c r="W9243">
        <v>1</v>
      </c>
      <c r="X9243">
        <v>0</v>
      </c>
      <c r="Y9243">
        <v>0</v>
      </c>
      <c r="Z9243">
        <v>1</v>
      </c>
      <c r="AA9243">
        <v>1</v>
      </c>
      <c r="AB9243">
        <v>0</v>
      </c>
      <c r="AC9243">
        <v>0</v>
      </c>
      <c r="AD9243">
        <v>1</v>
      </c>
      <c r="AE9243">
        <v>1</v>
      </c>
      <c r="AF9243">
        <v>1</v>
      </c>
      <c r="AG9243">
        <v>1</v>
      </c>
      <c r="AH9243">
        <v>1</v>
      </c>
      <c r="AI9243">
        <v>1</v>
      </c>
      <c r="AJ9243">
        <v>1</v>
      </c>
      <c r="AK9243">
        <v>1</v>
      </c>
      <c r="AL9243">
        <v>1</v>
      </c>
      <c r="AM9243">
        <v>1</v>
      </c>
    </row>
    <row r="9244" spans="1:39" x14ac:dyDescent="0.2">
      <c r="A9244" t="str">
        <f>"9240"</f>
        <v>9240</v>
      </c>
      <c r="B9244" t="str">
        <f t="shared" si="513"/>
        <v>1</v>
      </c>
      <c r="C9244" t="str">
        <f t="shared" si="514"/>
        <v>185</v>
      </c>
      <c r="D9244" t="str">
        <f>"46"</f>
        <v>46</v>
      </c>
      <c r="E9244" t="str">
        <f>"1-185-46"</f>
        <v>1-185-46</v>
      </c>
      <c r="F9244" t="s">
        <v>65</v>
      </c>
      <c r="G9244" t="s">
        <v>66</v>
      </c>
      <c r="H9244" t="s">
        <v>67</v>
      </c>
      <c r="S9244">
        <v>0</v>
      </c>
      <c r="T9244">
        <v>1</v>
      </c>
      <c r="U9244">
        <v>0</v>
      </c>
      <c r="V9244">
        <v>0</v>
      </c>
      <c r="W9244">
        <v>0</v>
      </c>
      <c r="X9244">
        <v>1</v>
      </c>
      <c r="Y9244">
        <v>0</v>
      </c>
      <c r="Z9244">
        <v>1</v>
      </c>
      <c r="AA9244">
        <v>0</v>
      </c>
      <c r="AB9244">
        <v>0</v>
      </c>
      <c r="AC9244">
        <v>1</v>
      </c>
      <c r="AD9244">
        <v>1</v>
      </c>
      <c r="AE9244">
        <v>1</v>
      </c>
      <c r="AF9244">
        <v>1</v>
      </c>
      <c r="AG9244">
        <v>1</v>
      </c>
      <c r="AH9244">
        <v>1</v>
      </c>
      <c r="AI9244">
        <v>1</v>
      </c>
      <c r="AJ9244">
        <v>1</v>
      </c>
      <c r="AK9244">
        <v>1</v>
      </c>
      <c r="AL9244">
        <v>1</v>
      </c>
      <c r="AM9244">
        <v>1</v>
      </c>
    </row>
    <row r="9245" spans="1:39" x14ac:dyDescent="0.2">
      <c r="A9245" t="str">
        <f>"9241"</f>
        <v>9241</v>
      </c>
      <c r="B9245" t="str">
        <f t="shared" si="513"/>
        <v>1</v>
      </c>
      <c r="C9245" t="str">
        <f t="shared" si="514"/>
        <v>185</v>
      </c>
      <c r="D9245" t="str">
        <f>"30"</f>
        <v>30</v>
      </c>
      <c r="E9245" t="str">
        <f>"1-185-30"</f>
        <v>1-185-30</v>
      </c>
      <c r="F9245" t="s">
        <v>65</v>
      </c>
      <c r="G9245" t="s">
        <v>66</v>
      </c>
      <c r="H9245" t="s">
        <v>67</v>
      </c>
      <c r="S9245">
        <v>1</v>
      </c>
      <c r="T9245">
        <v>0</v>
      </c>
      <c r="U9245">
        <v>0</v>
      </c>
      <c r="V9245">
        <v>0</v>
      </c>
      <c r="W9245">
        <v>1</v>
      </c>
      <c r="X9245">
        <v>0</v>
      </c>
      <c r="Y9245">
        <v>1</v>
      </c>
      <c r="Z9245">
        <v>0</v>
      </c>
      <c r="AA9245">
        <v>0</v>
      </c>
      <c r="AB9245">
        <v>0</v>
      </c>
      <c r="AC9245">
        <v>1</v>
      </c>
      <c r="AD9245">
        <v>1</v>
      </c>
      <c r="AE9245">
        <v>1</v>
      </c>
      <c r="AF9245">
        <v>1</v>
      </c>
      <c r="AG9245">
        <v>1</v>
      </c>
      <c r="AH9245">
        <v>1</v>
      </c>
      <c r="AI9245">
        <v>1</v>
      </c>
      <c r="AJ9245">
        <v>1</v>
      </c>
      <c r="AK9245">
        <v>1</v>
      </c>
      <c r="AL9245">
        <v>1</v>
      </c>
      <c r="AM9245">
        <v>1</v>
      </c>
    </row>
    <row r="9246" spans="1:39" x14ac:dyDescent="0.2">
      <c r="A9246" t="str">
        <f>"9242"</f>
        <v>9242</v>
      </c>
      <c r="B9246" t="str">
        <f t="shared" si="513"/>
        <v>1</v>
      </c>
      <c r="C9246" t="str">
        <f t="shared" si="514"/>
        <v>185</v>
      </c>
      <c r="D9246" t="str">
        <f>"6"</f>
        <v>6</v>
      </c>
      <c r="E9246" t="str">
        <f>"1-185-6"</f>
        <v>1-185-6</v>
      </c>
      <c r="F9246" t="s">
        <v>65</v>
      </c>
      <c r="G9246" t="s">
        <v>66</v>
      </c>
      <c r="H9246" t="s">
        <v>67</v>
      </c>
      <c r="S9246">
        <v>0</v>
      </c>
      <c r="T9246">
        <v>1</v>
      </c>
      <c r="U9246">
        <v>0</v>
      </c>
      <c r="V9246">
        <v>0</v>
      </c>
      <c r="W9246">
        <v>1</v>
      </c>
      <c r="X9246">
        <v>0</v>
      </c>
      <c r="Y9246">
        <v>1</v>
      </c>
      <c r="Z9246">
        <v>0</v>
      </c>
      <c r="AA9246">
        <v>1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1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</row>
    <row r="9247" spans="1:39" x14ac:dyDescent="0.2">
      <c r="A9247" t="str">
        <f>"9243"</f>
        <v>9243</v>
      </c>
      <c r="B9247" t="str">
        <f t="shared" si="513"/>
        <v>1</v>
      </c>
      <c r="C9247" t="str">
        <f t="shared" si="514"/>
        <v>185</v>
      </c>
      <c r="D9247" t="str">
        <f>"31"</f>
        <v>31</v>
      </c>
      <c r="E9247" t="str">
        <f>"1-185-31"</f>
        <v>1-185-31</v>
      </c>
      <c r="F9247" t="s">
        <v>65</v>
      </c>
      <c r="G9247" t="s">
        <v>66</v>
      </c>
      <c r="H9247" t="s">
        <v>67</v>
      </c>
      <c r="S9247">
        <v>1</v>
      </c>
      <c r="T9247">
        <v>0</v>
      </c>
      <c r="U9247">
        <v>0</v>
      </c>
      <c r="V9247">
        <v>0</v>
      </c>
      <c r="W9247">
        <v>1</v>
      </c>
      <c r="X9247">
        <v>0</v>
      </c>
      <c r="Y9247">
        <v>1</v>
      </c>
      <c r="Z9247">
        <v>0</v>
      </c>
      <c r="AA9247">
        <v>1</v>
      </c>
      <c r="AB9247">
        <v>0</v>
      </c>
      <c r="AC9247">
        <v>0</v>
      </c>
      <c r="AD9247">
        <v>1</v>
      </c>
      <c r="AE9247">
        <v>1</v>
      </c>
      <c r="AF9247">
        <v>1</v>
      </c>
      <c r="AG9247">
        <v>1</v>
      </c>
      <c r="AH9247">
        <v>1</v>
      </c>
      <c r="AI9247">
        <v>1</v>
      </c>
      <c r="AJ9247">
        <v>1</v>
      </c>
      <c r="AK9247">
        <v>1</v>
      </c>
      <c r="AL9247">
        <v>1</v>
      </c>
      <c r="AM9247">
        <v>1</v>
      </c>
    </row>
    <row r="9248" spans="1:39" x14ac:dyDescent="0.2">
      <c r="A9248" t="str">
        <f>"9244"</f>
        <v>9244</v>
      </c>
      <c r="B9248" t="str">
        <f t="shared" si="513"/>
        <v>1</v>
      </c>
      <c r="C9248" t="str">
        <f t="shared" si="514"/>
        <v>185</v>
      </c>
      <c r="D9248" t="str">
        <f>"14"</f>
        <v>14</v>
      </c>
      <c r="E9248" t="str">
        <f>"1-185-14"</f>
        <v>1-185-14</v>
      </c>
      <c r="F9248" t="s">
        <v>65</v>
      </c>
      <c r="G9248" t="s">
        <v>66</v>
      </c>
      <c r="H9248" t="s">
        <v>67</v>
      </c>
      <c r="S9248">
        <v>1</v>
      </c>
      <c r="T9248">
        <v>0</v>
      </c>
      <c r="U9248">
        <v>0</v>
      </c>
      <c r="V9248">
        <v>0</v>
      </c>
      <c r="W9248">
        <v>1</v>
      </c>
      <c r="X9248">
        <v>0</v>
      </c>
      <c r="Y9248">
        <v>0</v>
      </c>
      <c r="Z9248">
        <v>1</v>
      </c>
      <c r="AA9248">
        <v>1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1</v>
      </c>
      <c r="AH9248">
        <v>1</v>
      </c>
      <c r="AI9248">
        <v>1</v>
      </c>
      <c r="AJ9248">
        <v>1</v>
      </c>
      <c r="AK9248">
        <v>0</v>
      </c>
      <c r="AL9248">
        <v>1</v>
      </c>
      <c r="AM9248">
        <v>1</v>
      </c>
    </row>
    <row r="9249" spans="1:39" x14ac:dyDescent="0.2">
      <c r="A9249" t="str">
        <f>"9245"</f>
        <v>9245</v>
      </c>
      <c r="B9249" t="str">
        <f t="shared" si="513"/>
        <v>1</v>
      </c>
      <c r="C9249" t="str">
        <f t="shared" si="514"/>
        <v>185</v>
      </c>
      <c r="D9249" t="str">
        <f>"32"</f>
        <v>32</v>
      </c>
      <c r="E9249" t="str">
        <f>"1-185-32"</f>
        <v>1-185-32</v>
      </c>
      <c r="F9249" t="s">
        <v>65</v>
      </c>
      <c r="G9249" t="s">
        <v>66</v>
      </c>
      <c r="H9249" t="s">
        <v>67</v>
      </c>
      <c r="S9249">
        <v>0</v>
      </c>
      <c r="T9249">
        <v>1</v>
      </c>
      <c r="U9249">
        <v>0</v>
      </c>
      <c r="V9249">
        <v>0</v>
      </c>
      <c r="W9249">
        <v>0</v>
      </c>
      <c r="X9249">
        <v>1</v>
      </c>
      <c r="Y9249">
        <v>0</v>
      </c>
      <c r="Z9249">
        <v>1</v>
      </c>
      <c r="AA9249">
        <v>0</v>
      </c>
      <c r="AB9249">
        <v>0</v>
      </c>
      <c r="AC9249">
        <v>1</v>
      </c>
      <c r="AD9249">
        <v>0</v>
      </c>
      <c r="AE9249">
        <v>0</v>
      </c>
      <c r="AF9249">
        <v>0</v>
      </c>
      <c r="AG9249">
        <v>0</v>
      </c>
      <c r="AH9249">
        <v>1</v>
      </c>
      <c r="AI9249">
        <v>0</v>
      </c>
      <c r="AJ9249">
        <v>0</v>
      </c>
      <c r="AK9249">
        <v>0</v>
      </c>
      <c r="AL9249">
        <v>1</v>
      </c>
      <c r="AM9249">
        <v>0</v>
      </c>
    </row>
    <row r="9250" spans="1:39" x14ac:dyDescent="0.2">
      <c r="A9250" t="str">
        <f>"9246"</f>
        <v>9246</v>
      </c>
      <c r="B9250" t="str">
        <f t="shared" si="513"/>
        <v>1</v>
      </c>
      <c r="C9250" t="str">
        <f t="shared" si="514"/>
        <v>185</v>
      </c>
      <c r="D9250" t="str">
        <f>"12"</f>
        <v>12</v>
      </c>
      <c r="E9250" t="str">
        <f>"1-185-12"</f>
        <v>1-185-12</v>
      </c>
      <c r="F9250" t="s">
        <v>65</v>
      </c>
      <c r="G9250" t="s">
        <v>66</v>
      </c>
      <c r="H9250" t="s">
        <v>67</v>
      </c>
      <c r="S9250">
        <v>0</v>
      </c>
      <c r="T9250">
        <v>1</v>
      </c>
      <c r="U9250">
        <v>0</v>
      </c>
      <c r="V9250">
        <v>0</v>
      </c>
      <c r="W9250">
        <v>1</v>
      </c>
      <c r="X9250">
        <v>0</v>
      </c>
      <c r="Y9250">
        <v>1</v>
      </c>
      <c r="Z9250">
        <v>0</v>
      </c>
      <c r="AA9250">
        <v>1</v>
      </c>
      <c r="AB9250">
        <v>0</v>
      </c>
      <c r="AC9250">
        <v>0</v>
      </c>
      <c r="AD9250">
        <v>1</v>
      </c>
      <c r="AE9250">
        <v>1</v>
      </c>
      <c r="AF9250">
        <v>1</v>
      </c>
      <c r="AG9250">
        <v>1</v>
      </c>
      <c r="AH9250">
        <v>1</v>
      </c>
      <c r="AI9250">
        <v>1</v>
      </c>
      <c r="AJ9250">
        <v>1</v>
      </c>
      <c r="AK9250">
        <v>1</v>
      </c>
      <c r="AL9250">
        <v>1</v>
      </c>
      <c r="AM9250">
        <v>1</v>
      </c>
    </row>
    <row r="9251" spans="1:39" x14ac:dyDescent="0.2">
      <c r="A9251" t="str">
        <f>"9247"</f>
        <v>9247</v>
      </c>
      <c r="B9251" t="str">
        <f t="shared" si="513"/>
        <v>1</v>
      </c>
      <c r="C9251" t="str">
        <f t="shared" si="514"/>
        <v>185</v>
      </c>
      <c r="D9251" t="str">
        <f>"49"</f>
        <v>49</v>
      </c>
      <c r="E9251" t="str">
        <f>"1-185-49"</f>
        <v>1-185-49</v>
      </c>
      <c r="F9251" t="s">
        <v>65</v>
      </c>
      <c r="G9251" t="s">
        <v>66</v>
      </c>
      <c r="H9251" t="s">
        <v>67</v>
      </c>
      <c r="S9251">
        <v>1</v>
      </c>
      <c r="T9251">
        <v>0</v>
      </c>
      <c r="U9251">
        <v>0</v>
      </c>
      <c r="V9251">
        <v>0</v>
      </c>
      <c r="W9251">
        <v>1</v>
      </c>
      <c r="X9251">
        <v>0</v>
      </c>
      <c r="Y9251">
        <v>1</v>
      </c>
      <c r="Z9251">
        <v>0</v>
      </c>
      <c r="AA9251">
        <v>1</v>
      </c>
      <c r="AB9251">
        <v>0</v>
      </c>
      <c r="AC9251">
        <v>0</v>
      </c>
      <c r="AD9251">
        <v>1</v>
      </c>
      <c r="AE9251">
        <v>1</v>
      </c>
      <c r="AF9251">
        <v>1</v>
      </c>
      <c r="AG9251">
        <v>1</v>
      </c>
      <c r="AH9251">
        <v>1</v>
      </c>
      <c r="AI9251">
        <v>1</v>
      </c>
      <c r="AJ9251">
        <v>1</v>
      </c>
      <c r="AK9251">
        <v>1</v>
      </c>
      <c r="AL9251">
        <v>1</v>
      </c>
      <c r="AM9251">
        <v>1</v>
      </c>
    </row>
    <row r="9252" spans="1:39" x14ac:dyDescent="0.2">
      <c r="A9252" t="str">
        <f>"9248"</f>
        <v>9248</v>
      </c>
      <c r="B9252" t="str">
        <f t="shared" si="513"/>
        <v>1</v>
      </c>
      <c r="C9252" t="str">
        <f t="shared" si="514"/>
        <v>185</v>
      </c>
      <c r="D9252" t="str">
        <f>"47"</f>
        <v>47</v>
      </c>
      <c r="E9252" t="str">
        <f>"1-185-47"</f>
        <v>1-185-47</v>
      </c>
      <c r="F9252" t="s">
        <v>65</v>
      </c>
      <c r="G9252" t="s">
        <v>66</v>
      </c>
      <c r="H9252" t="s">
        <v>67</v>
      </c>
      <c r="S9252">
        <v>0</v>
      </c>
      <c r="T9252">
        <v>1</v>
      </c>
      <c r="U9252">
        <v>0</v>
      </c>
      <c r="V9252">
        <v>0</v>
      </c>
      <c r="W9252">
        <v>1</v>
      </c>
      <c r="X9252">
        <v>0</v>
      </c>
      <c r="Y9252">
        <v>1</v>
      </c>
      <c r="Z9252">
        <v>0</v>
      </c>
      <c r="AA9252">
        <v>1</v>
      </c>
      <c r="AB9252">
        <v>0</v>
      </c>
      <c r="AC9252">
        <v>0</v>
      </c>
      <c r="AD9252">
        <v>1</v>
      </c>
      <c r="AE9252">
        <v>1</v>
      </c>
      <c r="AF9252">
        <v>1</v>
      </c>
      <c r="AG9252">
        <v>1</v>
      </c>
      <c r="AH9252">
        <v>1</v>
      </c>
      <c r="AI9252">
        <v>1</v>
      </c>
      <c r="AJ9252">
        <v>1</v>
      </c>
      <c r="AK9252">
        <v>1</v>
      </c>
      <c r="AL9252">
        <v>1</v>
      </c>
      <c r="AM9252">
        <v>1</v>
      </c>
    </row>
    <row r="9253" spans="1:39" x14ac:dyDescent="0.2">
      <c r="A9253" t="str">
        <f>"9249"</f>
        <v>9249</v>
      </c>
      <c r="B9253" t="str">
        <f t="shared" si="513"/>
        <v>1</v>
      </c>
      <c r="C9253" t="str">
        <f t="shared" si="514"/>
        <v>185</v>
      </c>
      <c r="D9253" t="str">
        <f>"50"</f>
        <v>50</v>
      </c>
      <c r="E9253" t="str">
        <f>"1-185-50"</f>
        <v>1-185-50</v>
      </c>
      <c r="F9253" t="s">
        <v>65</v>
      </c>
      <c r="G9253" t="s">
        <v>66</v>
      </c>
      <c r="H9253" t="s">
        <v>67</v>
      </c>
      <c r="S9253">
        <v>1</v>
      </c>
      <c r="T9253">
        <v>0</v>
      </c>
      <c r="U9253">
        <v>0</v>
      </c>
      <c r="V9253">
        <v>0</v>
      </c>
      <c r="W9253">
        <v>1</v>
      </c>
      <c r="X9253">
        <v>0</v>
      </c>
      <c r="Y9253">
        <v>1</v>
      </c>
      <c r="Z9253">
        <v>0</v>
      </c>
      <c r="AA9253">
        <v>0</v>
      </c>
      <c r="AB9253">
        <v>1</v>
      </c>
      <c r="AC9253">
        <v>0</v>
      </c>
      <c r="AD9253">
        <v>1</v>
      </c>
      <c r="AE9253">
        <v>1</v>
      </c>
      <c r="AF9253">
        <v>1</v>
      </c>
      <c r="AG9253">
        <v>1</v>
      </c>
      <c r="AH9253">
        <v>1</v>
      </c>
      <c r="AI9253">
        <v>1</v>
      </c>
      <c r="AJ9253">
        <v>1</v>
      </c>
      <c r="AK9253">
        <v>1</v>
      </c>
      <c r="AL9253">
        <v>1</v>
      </c>
      <c r="AM9253">
        <v>1</v>
      </c>
    </row>
    <row r="9254" spans="1:39" x14ac:dyDescent="0.2">
      <c r="A9254" t="str">
        <f>"9250"</f>
        <v>9250</v>
      </c>
      <c r="B9254" t="str">
        <f t="shared" si="513"/>
        <v>1</v>
      </c>
      <c r="C9254" t="str">
        <f t="shared" si="514"/>
        <v>185</v>
      </c>
      <c r="D9254" t="str">
        <f>"48"</f>
        <v>48</v>
      </c>
      <c r="E9254" t="str">
        <f>"1-185-48"</f>
        <v>1-185-48</v>
      </c>
      <c r="F9254" t="s">
        <v>65</v>
      </c>
      <c r="G9254" t="s">
        <v>66</v>
      </c>
      <c r="H9254" t="s">
        <v>67</v>
      </c>
      <c r="S9254">
        <v>0</v>
      </c>
      <c r="T9254">
        <v>1</v>
      </c>
      <c r="U9254">
        <v>0</v>
      </c>
      <c r="V9254">
        <v>0</v>
      </c>
      <c r="W9254">
        <v>0</v>
      </c>
      <c r="X9254">
        <v>1</v>
      </c>
      <c r="Y9254">
        <v>0</v>
      </c>
      <c r="Z9254">
        <v>1</v>
      </c>
      <c r="AA9254">
        <v>0</v>
      </c>
      <c r="AB9254">
        <v>0</v>
      </c>
      <c r="AC9254">
        <v>1</v>
      </c>
      <c r="AD9254">
        <v>1</v>
      </c>
      <c r="AE9254">
        <v>1</v>
      </c>
      <c r="AF9254">
        <v>1</v>
      </c>
      <c r="AG9254">
        <v>1</v>
      </c>
      <c r="AH9254">
        <v>1</v>
      </c>
      <c r="AI9254">
        <v>1</v>
      </c>
      <c r="AJ9254">
        <v>1</v>
      </c>
      <c r="AK9254">
        <v>1</v>
      </c>
      <c r="AL9254">
        <v>1</v>
      </c>
      <c r="AM9254">
        <v>1</v>
      </c>
    </row>
    <row r="9255" spans="1:39" x14ac:dyDescent="0.2">
      <c r="A9255" t="str">
        <f>"9251"</f>
        <v>9251</v>
      </c>
      <c r="B9255" t="str">
        <f t="shared" si="513"/>
        <v>1</v>
      </c>
      <c r="C9255" t="str">
        <f t="shared" ref="C9255:C9286" si="515">"186"</f>
        <v>186</v>
      </c>
      <c r="D9255" t="str">
        <f>"36"</f>
        <v>36</v>
      </c>
      <c r="E9255" t="str">
        <f>"1-186-36"</f>
        <v>1-186-36</v>
      </c>
      <c r="F9255" t="s">
        <v>65</v>
      </c>
      <c r="G9255" t="s">
        <v>66</v>
      </c>
      <c r="H9255" t="s">
        <v>67</v>
      </c>
      <c r="S9255">
        <v>1</v>
      </c>
      <c r="T9255">
        <v>0</v>
      </c>
      <c r="U9255">
        <v>0</v>
      </c>
      <c r="V9255">
        <v>0</v>
      </c>
      <c r="W9255">
        <v>1</v>
      </c>
      <c r="X9255">
        <v>0</v>
      </c>
      <c r="Y9255">
        <v>1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1</v>
      </c>
      <c r="AI9255">
        <v>1</v>
      </c>
      <c r="AJ9255">
        <v>0</v>
      </c>
      <c r="AK9255">
        <v>0</v>
      </c>
      <c r="AL9255">
        <v>1</v>
      </c>
      <c r="AM9255">
        <v>0</v>
      </c>
    </row>
    <row r="9256" spans="1:39" x14ac:dyDescent="0.2">
      <c r="A9256" t="str">
        <f>"9252"</f>
        <v>9252</v>
      </c>
      <c r="B9256" t="str">
        <f t="shared" si="513"/>
        <v>1</v>
      </c>
      <c r="C9256" t="str">
        <f t="shared" si="515"/>
        <v>186</v>
      </c>
      <c r="D9256" t="str">
        <f>"35"</f>
        <v>35</v>
      </c>
      <c r="E9256" t="str">
        <f>"1-186-35"</f>
        <v>1-186-35</v>
      </c>
      <c r="F9256" t="s">
        <v>65</v>
      </c>
      <c r="G9256" t="s">
        <v>66</v>
      </c>
      <c r="H9256" t="s">
        <v>67</v>
      </c>
      <c r="S9256">
        <v>0</v>
      </c>
      <c r="T9256">
        <v>1</v>
      </c>
      <c r="U9256">
        <v>0</v>
      </c>
      <c r="V9256">
        <v>0</v>
      </c>
      <c r="W9256">
        <v>1</v>
      </c>
      <c r="X9256">
        <v>0</v>
      </c>
      <c r="Y9256">
        <v>1</v>
      </c>
      <c r="Z9256">
        <v>0</v>
      </c>
      <c r="AA9256">
        <v>0</v>
      </c>
      <c r="AB9256">
        <v>1</v>
      </c>
      <c r="AC9256">
        <v>0</v>
      </c>
      <c r="AD9256">
        <v>1</v>
      </c>
      <c r="AE9256">
        <v>1</v>
      </c>
      <c r="AF9256">
        <v>1</v>
      </c>
      <c r="AG9256">
        <v>1</v>
      </c>
      <c r="AH9256">
        <v>1</v>
      </c>
      <c r="AI9256">
        <v>1</v>
      </c>
      <c r="AJ9256">
        <v>1</v>
      </c>
      <c r="AK9256">
        <v>1</v>
      </c>
      <c r="AL9256">
        <v>1</v>
      </c>
      <c r="AM9256">
        <v>1</v>
      </c>
    </row>
    <row r="9257" spans="1:39" x14ac:dyDescent="0.2">
      <c r="A9257" t="str">
        <f>"9253"</f>
        <v>9253</v>
      </c>
      <c r="B9257" t="str">
        <f t="shared" si="513"/>
        <v>1</v>
      </c>
      <c r="C9257" t="str">
        <f t="shared" si="515"/>
        <v>186</v>
      </c>
      <c r="D9257" t="str">
        <f>"24"</f>
        <v>24</v>
      </c>
      <c r="E9257" t="str">
        <f>"1-186-24"</f>
        <v>1-186-24</v>
      </c>
      <c r="F9257" t="s">
        <v>65</v>
      </c>
      <c r="G9257" t="s">
        <v>66</v>
      </c>
      <c r="H9257" t="s">
        <v>67</v>
      </c>
      <c r="S9257">
        <v>1</v>
      </c>
      <c r="T9257">
        <v>0</v>
      </c>
      <c r="U9257">
        <v>0</v>
      </c>
      <c r="V9257">
        <v>0</v>
      </c>
      <c r="W9257">
        <v>1</v>
      </c>
      <c r="X9257">
        <v>0</v>
      </c>
      <c r="Y9257">
        <v>0</v>
      </c>
      <c r="Z9257">
        <v>1</v>
      </c>
      <c r="AA9257">
        <v>1</v>
      </c>
      <c r="AB9257">
        <v>0</v>
      </c>
      <c r="AC9257">
        <v>0</v>
      </c>
      <c r="AD9257">
        <v>1</v>
      </c>
      <c r="AE9257">
        <v>1</v>
      </c>
      <c r="AF9257">
        <v>1</v>
      </c>
      <c r="AG9257">
        <v>1</v>
      </c>
      <c r="AH9257">
        <v>1</v>
      </c>
      <c r="AI9257">
        <v>1</v>
      </c>
      <c r="AJ9257">
        <v>1</v>
      </c>
      <c r="AK9257">
        <v>1</v>
      </c>
      <c r="AL9257">
        <v>1</v>
      </c>
      <c r="AM9257">
        <v>1</v>
      </c>
    </row>
    <row r="9258" spans="1:39" x14ac:dyDescent="0.2">
      <c r="A9258" t="str">
        <f>"9254"</f>
        <v>9254</v>
      </c>
      <c r="B9258" t="str">
        <f t="shared" si="513"/>
        <v>1</v>
      </c>
      <c r="C9258" t="str">
        <f t="shared" si="515"/>
        <v>186</v>
      </c>
      <c r="D9258" t="str">
        <f>"15"</f>
        <v>15</v>
      </c>
      <c r="E9258" t="str">
        <f>"1-186-15"</f>
        <v>1-186-15</v>
      </c>
      <c r="F9258" t="s">
        <v>65</v>
      </c>
      <c r="G9258" t="s">
        <v>66</v>
      </c>
      <c r="H9258" t="s">
        <v>67</v>
      </c>
      <c r="S9258">
        <v>0</v>
      </c>
      <c r="T9258">
        <v>0</v>
      </c>
      <c r="U9258">
        <v>0</v>
      </c>
      <c r="V9258">
        <v>0</v>
      </c>
      <c r="W9258">
        <v>1</v>
      </c>
      <c r="X9258">
        <v>0</v>
      </c>
      <c r="Y9258">
        <v>1</v>
      </c>
      <c r="Z9258">
        <v>0</v>
      </c>
      <c r="AA9258">
        <v>1</v>
      </c>
      <c r="AB9258">
        <v>0</v>
      </c>
      <c r="AC9258">
        <v>0</v>
      </c>
      <c r="AD9258">
        <v>1</v>
      </c>
      <c r="AE9258">
        <v>1</v>
      </c>
      <c r="AF9258">
        <v>1</v>
      </c>
      <c r="AG9258">
        <v>1</v>
      </c>
      <c r="AH9258">
        <v>1</v>
      </c>
      <c r="AI9258">
        <v>1</v>
      </c>
      <c r="AJ9258">
        <v>0</v>
      </c>
      <c r="AK9258">
        <v>1</v>
      </c>
      <c r="AL9258">
        <v>1</v>
      </c>
      <c r="AM9258">
        <v>1</v>
      </c>
    </row>
    <row r="9259" spans="1:39" x14ac:dyDescent="0.2">
      <c r="A9259" t="str">
        <f>"9255"</f>
        <v>9255</v>
      </c>
      <c r="B9259" t="str">
        <f t="shared" si="513"/>
        <v>1</v>
      </c>
      <c r="C9259" t="str">
        <f t="shared" si="515"/>
        <v>186</v>
      </c>
      <c r="D9259" t="str">
        <f>"1"</f>
        <v>1</v>
      </c>
      <c r="E9259" t="str">
        <f>"1-186-1"</f>
        <v>1-186-1</v>
      </c>
      <c r="F9259" t="s">
        <v>65</v>
      </c>
      <c r="G9259" t="s">
        <v>66</v>
      </c>
      <c r="H9259" t="s">
        <v>67</v>
      </c>
      <c r="S9259">
        <v>1</v>
      </c>
      <c r="T9259">
        <v>0</v>
      </c>
      <c r="U9259">
        <v>0</v>
      </c>
      <c r="V9259">
        <v>0</v>
      </c>
      <c r="W9259">
        <v>0</v>
      </c>
      <c r="X9259">
        <v>1</v>
      </c>
      <c r="Y9259">
        <v>1</v>
      </c>
      <c r="Z9259">
        <v>0</v>
      </c>
      <c r="AA9259">
        <v>0</v>
      </c>
      <c r="AB9259">
        <v>0</v>
      </c>
      <c r="AC9259">
        <v>1</v>
      </c>
      <c r="AD9259">
        <v>1</v>
      </c>
      <c r="AE9259">
        <v>1</v>
      </c>
      <c r="AF9259">
        <v>1</v>
      </c>
      <c r="AG9259">
        <v>1</v>
      </c>
      <c r="AH9259">
        <v>1</v>
      </c>
      <c r="AI9259">
        <v>1</v>
      </c>
      <c r="AJ9259">
        <v>1</v>
      </c>
      <c r="AK9259">
        <v>1</v>
      </c>
      <c r="AL9259">
        <v>1</v>
      </c>
      <c r="AM9259">
        <v>1</v>
      </c>
    </row>
    <row r="9260" spans="1:39" x14ac:dyDescent="0.2">
      <c r="A9260" t="str">
        <f>"9256"</f>
        <v>9256</v>
      </c>
      <c r="B9260" t="str">
        <f t="shared" si="513"/>
        <v>1</v>
      </c>
      <c r="C9260" t="str">
        <f t="shared" si="515"/>
        <v>186</v>
      </c>
      <c r="D9260" t="str">
        <f>"34"</f>
        <v>34</v>
      </c>
      <c r="E9260" t="str">
        <f>"1-186-34"</f>
        <v>1-186-34</v>
      </c>
      <c r="F9260" t="s">
        <v>65</v>
      </c>
      <c r="G9260" t="s">
        <v>66</v>
      </c>
      <c r="H9260" t="s">
        <v>67</v>
      </c>
      <c r="S9260">
        <v>1</v>
      </c>
      <c r="T9260">
        <v>0</v>
      </c>
      <c r="U9260">
        <v>0</v>
      </c>
      <c r="V9260">
        <v>0</v>
      </c>
      <c r="W9260">
        <v>1</v>
      </c>
      <c r="X9260">
        <v>0</v>
      </c>
      <c r="Y9260">
        <v>1</v>
      </c>
      <c r="Z9260">
        <v>0</v>
      </c>
      <c r="AA9260">
        <v>1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1</v>
      </c>
      <c r="AH9260">
        <v>1</v>
      </c>
      <c r="AI9260">
        <v>1</v>
      </c>
      <c r="AJ9260">
        <v>0</v>
      </c>
      <c r="AK9260">
        <v>1</v>
      </c>
      <c r="AL9260">
        <v>1</v>
      </c>
      <c r="AM9260">
        <v>1</v>
      </c>
    </row>
    <row r="9261" spans="1:39" x14ac:dyDescent="0.2">
      <c r="A9261" t="str">
        <f>"9257"</f>
        <v>9257</v>
      </c>
      <c r="B9261" t="str">
        <f t="shared" si="513"/>
        <v>1</v>
      </c>
      <c r="C9261" t="str">
        <f t="shared" si="515"/>
        <v>186</v>
      </c>
      <c r="D9261" t="str">
        <f>"33"</f>
        <v>33</v>
      </c>
      <c r="E9261" t="str">
        <f>"1-186-33"</f>
        <v>1-186-33</v>
      </c>
      <c r="F9261" t="s">
        <v>65</v>
      </c>
      <c r="G9261" t="s">
        <v>66</v>
      </c>
      <c r="H9261" t="s">
        <v>67</v>
      </c>
      <c r="S9261">
        <v>1</v>
      </c>
      <c r="T9261">
        <v>0</v>
      </c>
      <c r="U9261">
        <v>0</v>
      </c>
      <c r="V9261">
        <v>0</v>
      </c>
      <c r="W9261">
        <v>1</v>
      </c>
      <c r="X9261">
        <v>0</v>
      </c>
      <c r="Y9261">
        <v>1</v>
      </c>
      <c r="Z9261">
        <v>0</v>
      </c>
      <c r="AA9261">
        <v>0</v>
      </c>
      <c r="AB9261">
        <v>1</v>
      </c>
      <c r="AC9261">
        <v>0</v>
      </c>
      <c r="AD9261">
        <v>1</v>
      </c>
      <c r="AE9261">
        <v>1</v>
      </c>
      <c r="AF9261">
        <v>1</v>
      </c>
      <c r="AG9261">
        <v>1</v>
      </c>
      <c r="AH9261">
        <v>1</v>
      </c>
      <c r="AI9261">
        <v>1</v>
      </c>
      <c r="AJ9261">
        <v>1</v>
      </c>
      <c r="AK9261">
        <v>1</v>
      </c>
      <c r="AL9261">
        <v>1</v>
      </c>
      <c r="AM9261">
        <v>1</v>
      </c>
    </row>
    <row r="9262" spans="1:39" x14ac:dyDescent="0.2">
      <c r="A9262" t="str">
        <f>"9258"</f>
        <v>9258</v>
      </c>
      <c r="B9262" t="str">
        <f t="shared" si="513"/>
        <v>1</v>
      </c>
      <c r="C9262" t="str">
        <f t="shared" si="515"/>
        <v>186</v>
      </c>
      <c r="D9262" t="str">
        <f>"21"</f>
        <v>21</v>
      </c>
      <c r="E9262" t="str">
        <f>"1-186-21"</f>
        <v>1-186-21</v>
      </c>
      <c r="F9262" t="s">
        <v>65</v>
      </c>
      <c r="G9262" t="s">
        <v>66</v>
      </c>
      <c r="H9262" t="s">
        <v>67</v>
      </c>
      <c r="S9262">
        <v>1</v>
      </c>
      <c r="T9262">
        <v>0</v>
      </c>
      <c r="U9262">
        <v>0</v>
      </c>
      <c r="V9262">
        <v>0</v>
      </c>
      <c r="W9262">
        <v>1</v>
      </c>
      <c r="X9262">
        <v>0</v>
      </c>
      <c r="Y9262">
        <v>0</v>
      </c>
      <c r="Z9262">
        <v>1</v>
      </c>
      <c r="AA9262">
        <v>1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1</v>
      </c>
      <c r="AJ9262">
        <v>1</v>
      </c>
      <c r="AK9262">
        <v>1</v>
      </c>
      <c r="AL9262">
        <v>0</v>
      </c>
      <c r="AM9262">
        <v>0</v>
      </c>
    </row>
    <row r="9263" spans="1:39" x14ac:dyDescent="0.2">
      <c r="A9263" t="str">
        <f>"9259"</f>
        <v>9259</v>
      </c>
      <c r="B9263" t="str">
        <f t="shared" si="513"/>
        <v>1</v>
      </c>
      <c r="C9263" t="str">
        <f t="shared" si="515"/>
        <v>186</v>
      </c>
      <c r="D9263" t="str">
        <f>"16"</f>
        <v>16</v>
      </c>
      <c r="E9263" t="str">
        <f>"1-186-16"</f>
        <v>1-186-16</v>
      </c>
      <c r="F9263" t="s">
        <v>65</v>
      </c>
      <c r="G9263" t="s">
        <v>66</v>
      </c>
      <c r="H9263" t="s">
        <v>67</v>
      </c>
      <c r="S9263">
        <v>1</v>
      </c>
      <c r="T9263">
        <v>0</v>
      </c>
      <c r="U9263">
        <v>0</v>
      </c>
      <c r="V9263">
        <v>0</v>
      </c>
      <c r="W9263">
        <v>1</v>
      </c>
      <c r="X9263">
        <v>0</v>
      </c>
      <c r="Y9263">
        <v>1</v>
      </c>
      <c r="Z9263">
        <v>0</v>
      </c>
      <c r="AA9263">
        <v>1</v>
      </c>
      <c r="AB9263">
        <v>0</v>
      </c>
      <c r="AC9263">
        <v>0</v>
      </c>
      <c r="AD9263">
        <v>1</v>
      </c>
      <c r="AE9263">
        <v>1</v>
      </c>
      <c r="AF9263">
        <v>1</v>
      </c>
      <c r="AG9263">
        <v>1</v>
      </c>
      <c r="AH9263">
        <v>1</v>
      </c>
      <c r="AI9263">
        <v>1</v>
      </c>
      <c r="AJ9263">
        <v>1</v>
      </c>
      <c r="AK9263">
        <v>1</v>
      </c>
      <c r="AL9263">
        <v>1</v>
      </c>
      <c r="AM9263">
        <v>1</v>
      </c>
    </row>
    <row r="9264" spans="1:39" x14ac:dyDescent="0.2">
      <c r="A9264" t="str">
        <f>"9260"</f>
        <v>9260</v>
      </c>
      <c r="B9264" t="str">
        <f t="shared" si="513"/>
        <v>1</v>
      </c>
      <c r="C9264" t="str">
        <f t="shared" si="515"/>
        <v>186</v>
      </c>
      <c r="D9264" t="str">
        <f>"4"</f>
        <v>4</v>
      </c>
      <c r="E9264" t="str">
        <f>"1-186-4"</f>
        <v>1-186-4</v>
      </c>
      <c r="F9264" t="s">
        <v>65</v>
      </c>
      <c r="G9264" t="s">
        <v>66</v>
      </c>
      <c r="H9264" t="s">
        <v>67</v>
      </c>
      <c r="S9264">
        <v>0</v>
      </c>
      <c r="T9264">
        <v>1</v>
      </c>
      <c r="U9264">
        <v>0</v>
      </c>
      <c r="V9264">
        <v>0</v>
      </c>
      <c r="W9264">
        <v>1</v>
      </c>
      <c r="X9264">
        <v>0</v>
      </c>
      <c r="Y9264">
        <v>1</v>
      </c>
      <c r="Z9264">
        <v>0</v>
      </c>
      <c r="AA9264">
        <v>0</v>
      </c>
      <c r="AB9264">
        <v>1</v>
      </c>
      <c r="AC9264">
        <v>0</v>
      </c>
      <c r="AD9264">
        <v>1</v>
      </c>
      <c r="AE9264">
        <v>1</v>
      </c>
      <c r="AF9264">
        <v>1</v>
      </c>
      <c r="AG9264">
        <v>1</v>
      </c>
      <c r="AH9264">
        <v>1</v>
      </c>
      <c r="AI9264">
        <v>1</v>
      </c>
      <c r="AJ9264">
        <v>1</v>
      </c>
      <c r="AK9264">
        <v>1</v>
      </c>
      <c r="AL9264">
        <v>1</v>
      </c>
      <c r="AM9264">
        <v>1</v>
      </c>
    </row>
    <row r="9265" spans="1:39" x14ac:dyDescent="0.2">
      <c r="A9265" t="str">
        <f>"9261"</f>
        <v>9261</v>
      </c>
      <c r="B9265" t="str">
        <f t="shared" si="513"/>
        <v>1</v>
      </c>
      <c r="C9265" t="str">
        <f t="shared" si="515"/>
        <v>186</v>
      </c>
      <c r="D9265" t="str">
        <f>"39"</f>
        <v>39</v>
      </c>
      <c r="E9265" t="str">
        <f>"1-186-39"</f>
        <v>1-186-39</v>
      </c>
      <c r="F9265" t="s">
        <v>65</v>
      </c>
      <c r="G9265" t="s">
        <v>66</v>
      </c>
      <c r="H9265" t="s">
        <v>67</v>
      </c>
      <c r="S9265">
        <v>1</v>
      </c>
      <c r="T9265">
        <v>0</v>
      </c>
      <c r="U9265">
        <v>0</v>
      </c>
      <c r="V9265">
        <v>0</v>
      </c>
      <c r="W9265">
        <v>1</v>
      </c>
      <c r="X9265">
        <v>0</v>
      </c>
      <c r="Y9265">
        <v>0</v>
      </c>
      <c r="Z9265">
        <v>1</v>
      </c>
      <c r="AA9265">
        <v>0</v>
      </c>
      <c r="AB9265">
        <v>0</v>
      </c>
      <c r="AC9265">
        <v>1</v>
      </c>
      <c r="AD9265">
        <v>1</v>
      </c>
      <c r="AE9265">
        <v>1</v>
      </c>
      <c r="AF9265">
        <v>1</v>
      </c>
      <c r="AG9265">
        <v>1</v>
      </c>
      <c r="AH9265">
        <v>1</v>
      </c>
      <c r="AI9265">
        <v>1</v>
      </c>
      <c r="AJ9265">
        <v>1</v>
      </c>
      <c r="AK9265">
        <v>1</v>
      </c>
      <c r="AL9265">
        <v>1</v>
      </c>
      <c r="AM9265">
        <v>1</v>
      </c>
    </row>
    <row r="9266" spans="1:39" x14ac:dyDescent="0.2">
      <c r="A9266" t="str">
        <f>"9262"</f>
        <v>9262</v>
      </c>
      <c r="B9266" t="str">
        <f t="shared" si="513"/>
        <v>1</v>
      </c>
      <c r="C9266" t="str">
        <f t="shared" si="515"/>
        <v>186</v>
      </c>
      <c r="D9266" t="str">
        <f>"38"</f>
        <v>38</v>
      </c>
      <c r="E9266" t="str">
        <f>"1-186-38"</f>
        <v>1-186-38</v>
      </c>
      <c r="F9266" t="s">
        <v>65</v>
      </c>
      <c r="G9266" t="s">
        <v>66</v>
      </c>
      <c r="H9266" t="s">
        <v>67</v>
      </c>
      <c r="S9266">
        <v>1</v>
      </c>
      <c r="T9266">
        <v>0</v>
      </c>
      <c r="U9266">
        <v>0</v>
      </c>
      <c r="V9266">
        <v>0</v>
      </c>
      <c r="W9266">
        <v>1</v>
      </c>
      <c r="X9266">
        <v>0</v>
      </c>
      <c r="Y9266">
        <v>1</v>
      </c>
      <c r="Z9266">
        <v>0</v>
      </c>
      <c r="AA9266">
        <v>1</v>
      </c>
      <c r="AB9266">
        <v>0</v>
      </c>
      <c r="AC9266">
        <v>0</v>
      </c>
      <c r="AD9266">
        <v>1</v>
      </c>
      <c r="AE9266">
        <v>1</v>
      </c>
      <c r="AF9266">
        <v>1</v>
      </c>
      <c r="AG9266">
        <v>1</v>
      </c>
      <c r="AH9266">
        <v>1</v>
      </c>
      <c r="AI9266">
        <v>1</v>
      </c>
      <c r="AJ9266">
        <v>1</v>
      </c>
      <c r="AK9266">
        <v>1</v>
      </c>
      <c r="AL9266">
        <v>1</v>
      </c>
      <c r="AM9266">
        <v>1</v>
      </c>
    </row>
    <row r="9267" spans="1:39" x14ac:dyDescent="0.2">
      <c r="A9267" t="str">
        <f>"9263"</f>
        <v>9263</v>
      </c>
      <c r="B9267" t="str">
        <f t="shared" si="513"/>
        <v>1</v>
      </c>
      <c r="C9267" t="str">
        <f t="shared" si="515"/>
        <v>186</v>
      </c>
      <c r="D9267" t="str">
        <f>"26"</f>
        <v>26</v>
      </c>
      <c r="E9267" t="str">
        <f>"1-186-26"</f>
        <v>1-186-26</v>
      </c>
      <c r="F9267" t="s">
        <v>65</v>
      </c>
      <c r="G9267" t="s">
        <v>66</v>
      </c>
      <c r="H9267" t="s">
        <v>67</v>
      </c>
      <c r="S9267">
        <v>1</v>
      </c>
      <c r="T9267">
        <v>0</v>
      </c>
      <c r="U9267">
        <v>0</v>
      </c>
      <c r="V9267">
        <v>0</v>
      </c>
      <c r="W9267">
        <v>1</v>
      </c>
      <c r="X9267">
        <v>0</v>
      </c>
      <c r="Y9267">
        <v>0</v>
      </c>
      <c r="Z9267">
        <v>1</v>
      </c>
      <c r="AA9267">
        <v>0</v>
      </c>
      <c r="AB9267">
        <v>1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1</v>
      </c>
      <c r="AM9267">
        <v>0</v>
      </c>
    </row>
    <row r="9268" spans="1:39" x14ac:dyDescent="0.2">
      <c r="A9268" t="str">
        <f>"9264"</f>
        <v>9264</v>
      </c>
      <c r="B9268" t="str">
        <f t="shared" si="513"/>
        <v>1</v>
      </c>
      <c r="C9268" t="str">
        <f t="shared" si="515"/>
        <v>186</v>
      </c>
      <c r="D9268" t="str">
        <f>"17"</f>
        <v>17</v>
      </c>
      <c r="E9268" t="str">
        <f>"1-186-17"</f>
        <v>1-186-17</v>
      </c>
      <c r="F9268" t="s">
        <v>65</v>
      </c>
      <c r="G9268" t="s">
        <v>66</v>
      </c>
      <c r="H9268" t="s">
        <v>67</v>
      </c>
      <c r="S9268">
        <v>0</v>
      </c>
      <c r="T9268">
        <v>1</v>
      </c>
      <c r="U9268">
        <v>0</v>
      </c>
      <c r="V9268">
        <v>0</v>
      </c>
      <c r="W9268">
        <v>1</v>
      </c>
      <c r="X9268">
        <v>0</v>
      </c>
      <c r="Y9268">
        <v>0</v>
      </c>
      <c r="Z9268">
        <v>1</v>
      </c>
      <c r="AA9268">
        <v>0</v>
      </c>
      <c r="AB9268">
        <v>1</v>
      </c>
      <c r="AC9268">
        <v>0</v>
      </c>
      <c r="AD9268">
        <v>1</v>
      </c>
      <c r="AE9268">
        <v>1</v>
      </c>
      <c r="AF9268">
        <v>1</v>
      </c>
      <c r="AG9268">
        <v>1</v>
      </c>
      <c r="AH9268">
        <v>1</v>
      </c>
      <c r="AI9268">
        <v>1</v>
      </c>
      <c r="AJ9268">
        <v>1</v>
      </c>
      <c r="AK9268">
        <v>1</v>
      </c>
      <c r="AL9268">
        <v>1</v>
      </c>
      <c r="AM9268">
        <v>1</v>
      </c>
    </row>
    <row r="9269" spans="1:39" x14ac:dyDescent="0.2">
      <c r="A9269" t="str">
        <f>"9265"</f>
        <v>9265</v>
      </c>
      <c r="B9269" t="str">
        <f t="shared" si="513"/>
        <v>1</v>
      </c>
      <c r="C9269" t="str">
        <f t="shared" si="515"/>
        <v>186</v>
      </c>
      <c r="D9269" t="str">
        <f>"5"</f>
        <v>5</v>
      </c>
      <c r="E9269" t="str">
        <f>"1-186-5"</f>
        <v>1-186-5</v>
      </c>
      <c r="F9269" t="s">
        <v>65</v>
      </c>
      <c r="G9269" t="s">
        <v>66</v>
      </c>
      <c r="H9269" t="s">
        <v>67</v>
      </c>
      <c r="S9269">
        <v>1</v>
      </c>
      <c r="T9269">
        <v>0</v>
      </c>
      <c r="U9269">
        <v>0</v>
      </c>
      <c r="V9269">
        <v>0</v>
      </c>
      <c r="W9269">
        <v>1</v>
      </c>
      <c r="X9269">
        <v>0</v>
      </c>
      <c r="Y9269">
        <v>1</v>
      </c>
      <c r="Z9269">
        <v>0</v>
      </c>
      <c r="AA9269">
        <v>1</v>
      </c>
      <c r="AB9269">
        <v>0</v>
      </c>
      <c r="AC9269">
        <v>0</v>
      </c>
      <c r="AD9269">
        <v>1</v>
      </c>
      <c r="AE9269">
        <v>1</v>
      </c>
      <c r="AF9269">
        <v>1</v>
      </c>
      <c r="AG9269">
        <v>1</v>
      </c>
      <c r="AH9269">
        <v>0</v>
      </c>
      <c r="AI9269">
        <v>0</v>
      </c>
      <c r="AJ9269">
        <v>1</v>
      </c>
      <c r="AK9269">
        <v>1</v>
      </c>
      <c r="AL9269">
        <v>1</v>
      </c>
      <c r="AM9269">
        <v>1</v>
      </c>
    </row>
    <row r="9270" spans="1:39" x14ac:dyDescent="0.2">
      <c r="A9270" t="str">
        <f>"9266"</f>
        <v>9266</v>
      </c>
      <c r="B9270" t="str">
        <f t="shared" si="513"/>
        <v>1</v>
      </c>
      <c r="C9270" t="str">
        <f t="shared" si="515"/>
        <v>186</v>
      </c>
      <c r="D9270" t="str">
        <f>"42"</f>
        <v>42</v>
      </c>
      <c r="E9270" t="str">
        <f>"1-186-42"</f>
        <v>1-186-42</v>
      </c>
      <c r="F9270" t="s">
        <v>65</v>
      </c>
      <c r="G9270" t="s">
        <v>66</v>
      </c>
      <c r="H9270" t="s">
        <v>67</v>
      </c>
      <c r="S9270">
        <v>0</v>
      </c>
      <c r="T9270">
        <v>1</v>
      </c>
      <c r="U9270">
        <v>0</v>
      </c>
      <c r="V9270">
        <v>0</v>
      </c>
      <c r="W9270">
        <v>1</v>
      </c>
      <c r="X9270">
        <v>0</v>
      </c>
      <c r="Y9270">
        <v>0</v>
      </c>
      <c r="Z9270">
        <v>1</v>
      </c>
      <c r="AA9270">
        <v>1</v>
      </c>
      <c r="AB9270">
        <v>0</v>
      </c>
      <c r="AC9270">
        <v>0</v>
      </c>
      <c r="AD9270">
        <v>1</v>
      </c>
      <c r="AE9270">
        <v>1</v>
      </c>
      <c r="AF9270">
        <v>1</v>
      </c>
      <c r="AG9270">
        <v>1</v>
      </c>
      <c r="AH9270">
        <v>1</v>
      </c>
      <c r="AI9270">
        <v>1</v>
      </c>
      <c r="AJ9270">
        <v>1</v>
      </c>
      <c r="AK9270">
        <v>1</v>
      </c>
      <c r="AL9270">
        <v>1</v>
      </c>
      <c r="AM9270">
        <v>1</v>
      </c>
    </row>
    <row r="9271" spans="1:39" x14ac:dyDescent="0.2">
      <c r="A9271" t="str">
        <f>"9267"</f>
        <v>9267</v>
      </c>
      <c r="B9271" t="str">
        <f t="shared" ref="B9271:B9334" si="516">"1"</f>
        <v>1</v>
      </c>
      <c r="C9271" t="str">
        <f t="shared" si="515"/>
        <v>186</v>
      </c>
      <c r="D9271" t="str">
        <f>"41"</f>
        <v>41</v>
      </c>
      <c r="E9271" t="str">
        <f>"1-186-41"</f>
        <v>1-186-41</v>
      </c>
      <c r="F9271" t="s">
        <v>65</v>
      </c>
      <c r="G9271" t="s">
        <v>66</v>
      </c>
      <c r="H9271" t="s">
        <v>67</v>
      </c>
      <c r="S9271">
        <v>1</v>
      </c>
      <c r="T9271">
        <v>0</v>
      </c>
      <c r="U9271">
        <v>0</v>
      </c>
      <c r="V9271">
        <v>0</v>
      </c>
      <c r="W9271">
        <v>1</v>
      </c>
      <c r="X9271">
        <v>0</v>
      </c>
      <c r="Y9271">
        <v>1</v>
      </c>
      <c r="Z9271">
        <v>0</v>
      </c>
      <c r="AA9271">
        <v>1</v>
      </c>
      <c r="AB9271">
        <v>0</v>
      </c>
      <c r="AC9271">
        <v>0</v>
      </c>
      <c r="AD9271">
        <v>1</v>
      </c>
      <c r="AE9271">
        <v>1</v>
      </c>
      <c r="AF9271">
        <v>0</v>
      </c>
      <c r="AG9271">
        <v>1</v>
      </c>
      <c r="AH9271">
        <v>1</v>
      </c>
      <c r="AI9271">
        <v>1</v>
      </c>
      <c r="AJ9271">
        <v>1</v>
      </c>
      <c r="AK9271">
        <v>1</v>
      </c>
      <c r="AL9271">
        <v>1</v>
      </c>
      <c r="AM9271">
        <v>1</v>
      </c>
    </row>
    <row r="9272" spans="1:39" x14ac:dyDescent="0.2">
      <c r="A9272" t="str">
        <f>"9268"</f>
        <v>9268</v>
      </c>
      <c r="B9272" t="str">
        <f t="shared" si="516"/>
        <v>1</v>
      </c>
      <c r="C9272" t="str">
        <f t="shared" si="515"/>
        <v>186</v>
      </c>
      <c r="D9272" t="str">
        <f>"29"</f>
        <v>29</v>
      </c>
      <c r="E9272" t="str">
        <f>"1-186-29"</f>
        <v>1-186-29</v>
      </c>
      <c r="F9272" t="s">
        <v>65</v>
      </c>
      <c r="G9272" t="s">
        <v>66</v>
      </c>
      <c r="H9272" t="s">
        <v>67</v>
      </c>
      <c r="S9272">
        <v>1</v>
      </c>
      <c r="T9272">
        <v>0</v>
      </c>
      <c r="U9272">
        <v>0</v>
      </c>
      <c r="V9272">
        <v>0</v>
      </c>
      <c r="W9272">
        <v>1</v>
      </c>
      <c r="X9272">
        <v>0</v>
      </c>
      <c r="Y9272">
        <v>1</v>
      </c>
      <c r="Z9272">
        <v>0</v>
      </c>
      <c r="AA9272">
        <v>0</v>
      </c>
      <c r="AB9272">
        <v>1</v>
      </c>
      <c r="AC9272">
        <v>0</v>
      </c>
      <c r="AD9272">
        <v>1</v>
      </c>
      <c r="AE9272">
        <v>1</v>
      </c>
      <c r="AF9272">
        <v>1</v>
      </c>
      <c r="AG9272">
        <v>1</v>
      </c>
      <c r="AH9272">
        <v>1</v>
      </c>
      <c r="AI9272">
        <v>1</v>
      </c>
      <c r="AJ9272">
        <v>1</v>
      </c>
      <c r="AK9272">
        <v>1</v>
      </c>
      <c r="AL9272">
        <v>1</v>
      </c>
      <c r="AM9272">
        <v>1</v>
      </c>
    </row>
    <row r="9273" spans="1:39" x14ac:dyDescent="0.2">
      <c r="A9273" t="str">
        <f>"9269"</f>
        <v>9269</v>
      </c>
      <c r="B9273" t="str">
        <f t="shared" si="516"/>
        <v>1</v>
      </c>
      <c r="C9273" t="str">
        <f t="shared" si="515"/>
        <v>186</v>
      </c>
      <c r="D9273" t="str">
        <f>"18"</f>
        <v>18</v>
      </c>
      <c r="E9273" t="str">
        <f>"1-186-18"</f>
        <v>1-186-18</v>
      </c>
      <c r="F9273" t="s">
        <v>65</v>
      </c>
      <c r="G9273" t="s">
        <v>66</v>
      </c>
      <c r="H9273" t="s">
        <v>67</v>
      </c>
      <c r="S9273">
        <v>0</v>
      </c>
      <c r="T9273">
        <v>1</v>
      </c>
      <c r="U9273">
        <v>0</v>
      </c>
      <c r="V9273">
        <v>0</v>
      </c>
      <c r="W9273">
        <v>1</v>
      </c>
      <c r="X9273">
        <v>0</v>
      </c>
      <c r="Y9273">
        <v>1</v>
      </c>
      <c r="Z9273">
        <v>0</v>
      </c>
      <c r="AA9273">
        <v>0</v>
      </c>
      <c r="AB9273">
        <v>0</v>
      </c>
      <c r="AC9273">
        <v>1</v>
      </c>
      <c r="AD9273">
        <v>1</v>
      </c>
      <c r="AE9273">
        <v>1</v>
      </c>
      <c r="AF9273">
        <v>1</v>
      </c>
      <c r="AG9273">
        <v>1</v>
      </c>
      <c r="AH9273">
        <v>1</v>
      </c>
      <c r="AI9273">
        <v>1</v>
      </c>
      <c r="AJ9273">
        <v>1</v>
      </c>
      <c r="AK9273">
        <v>1</v>
      </c>
      <c r="AL9273">
        <v>1</v>
      </c>
      <c r="AM9273">
        <v>1</v>
      </c>
    </row>
    <row r="9274" spans="1:39" x14ac:dyDescent="0.2">
      <c r="A9274" t="str">
        <f>"9270"</f>
        <v>9270</v>
      </c>
      <c r="B9274" t="str">
        <f t="shared" si="516"/>
        <v>1</v>
      </c>
      <c r="C9274" t="str">
        <f t="shared" si="515"/>
        <v>186</v>
      </c>
      <c r="D9274" t="str">
        <f>"10"</f>
        <v>10</v>
      </c>
      <c r="E9274" t="str">
        <f>"1-186-10"</f>
        <v>1-186-10</v>
      </c>
      <c r="F9274" t="s">
        <v>65</v>
      </c>
      <c r="G9274" t="s">
        <v>66</v>
      </c>
      <c r="H9274" t="s">
        <v>67</v>
      </c>
      <c r="S9274">
        <v>0</v>
      </c>
      <c r="T9274">
        <v>1</v>
      </c>
      <c r="U9274">
        <v>0</v>
      </c>
      <c r="V9274">
        <v>0</v>
      </c>
      <c r="W9274">
        <v>0</v>
      </c>
      <c r="X9274">
        <v>1</v>
      </c>
      <c r="Y9274">
        <v>1</v>
      </c>
      <c r="Z9274">
        <v>0</v>
      </c>
      <c r="AA9274">
        <v>0</v>
      </c>
      <c r="AB9274">
        <v>0</v>
      </c>
      <c r="AC9274">
        <v>0</v>
      </c>
      <c r="AD9274">
        <v>1</v>
      </c>
      <c r="AE9274">
        <v>1</v>
      </c>
      <c r="AF9274">
        <v>1</v>
      </c>
      <c r="AG9274">
        <v>1</v>
      </c>
      <c r="AH9274">
        <v>1</v>
      </c>
      <c r="AI9274">
        <v>1</v>
      </c>
      <c r="AJ9274">
        <v>1</v>
      </c>
      <c r="AK9274">
        <v>1</v>
      </c>
      <c r="AL9274">
        <v>1</v>
      </c>
      <c r="AM9274">
        <v>0</v>
      </c>
    </row>
    <row r="9275" spans="1:39" x14ac:dyDescent="0.2">
      <c r="A9275" t="str">
        <f>"9271"</f>
        <v>9271</v>
      </c>
      <c r="B9275" t="str">
        <f t="shared" si="516"/>
        <v>1</v>
      </c>
      <c r="C9275" t="str">
        <f t="shared" si="515"/>
        <v>186</v>
      </c>
      <c r="D9275" t="str">
        <f>"37"</f>
        <v>37</v>
      </c>
      <c r="E9275" t="str">
        <f>"1-186-37"</f>
        <v>1-186-37</v>
      </c>
      <c r="F9275" t="s">
        <v>65</v>
      </c>
      <c r="G9275" t="s">
        <v>66</v>
      </c>
      <c r="H9275" t="s">
        <v>67</v>
      </c>
      <c r="S9275">
        <v>1</v>
      </c>
      <c r="T9275">
        <v>0</v>
      </c>
      <c r="U9275">
        <v>0</v>
      </c>
      <c r="V9275">
        <v>0</v>
      </c>
      <c r="W9275">
        <v>1</v>
      </c>
      <c r="X9275">
        <v>0</v>
      </c>
      <c r="Y9275">
        <v>1</v>
      </c>
      <c r="Z9275">
        <v>0</v>
      </c>
      <c r="AA9275">
        <v>1</v>
      </c>
      <c r="AB9275">
        <v>0</v>
      </c>
      <c r="AC9275">
        <v>0</v>
      </c>
      <c r="AD9275">
        <v>1</v>
      </c>
      <c r="AE9275">
        <v>1</v>
      </c>
      <c r="AF9275">
        <v>1</v>
      </c>
      <c r="AG9275">
        <v>1</v>
      </c>
      <c r="AH9275">
        <v>1</v>
      </c>
      <c r="AI9275">
        <v>1</v>
      </c>
      <c r="AJ9275">
        <v>1</v>
      </c>
      <c r="AK9275">
        <v>1</v>
      </c>
      <c r="AL9275">
        <v>1</v>
      </c>
      <c r="AM9275">
        <v>1</v>
      </c>
    </row>
    <row r="9276" spans="1:39" x14ac:dyDescent="0.2">
      <c r="A9276" t="str">
        <f>"9272"</f>
        <v>9272</v>
      </c>
      <c r="B9276" t="str">
        <f t="shared" si="516"/>
        <v>1</v>
      </c>
      <c r="C9276" t="str">
        <f t="shared" si="515"/>
        <v>186</v>
      </c>
      <c r="D9276" t="str">
        <f>"19"</f>
        <v>19</v>
      </c>
      <c r="E9276" t="str">
        <f>"1-186-19"</f>
        <v>1-186-19</v>
      </c>
      <c r="F9276" t="s">
        <v>65</v>
      </c>
      <c r="G9276" t="s">
        <v>66</v>
      </c>
      <c r="H9276" t="s">
        <v>67</v>
      </c>
      <c r="S9276">
        <v>1</v>
      </c>
      <c r="T9276">
        <v>0</v>
      </c>
      <c r="U9276">
        <v>0</v>
      </c>
      <c r="V9276">
        <v>0</v>
      </c>
      <c r="W9276">
        <v>1</v>
      </c>
      <c r="X9276">
        <v>0</v>
      </c>
      <c r="Y9276">
        <v>0</v>
      </c>
      <c r="Z9276">
        <v>1</v>
      </c>
      <c r="AA9276">
        <v>0</v>
      </c>
      <c r="AB9276">
        <v>1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</row>
    <row r="9277" spans="1:39" x14ac:dyDescent="0.2">
      <c r="A9277" t="str">
        <f>"9273"</f>
        <v>9273</v>
      </c>
      <c r="B9277" t="str">
        <f t="shared" si="516"/>
        <v>1</v>
      </c>
      <c r="C9277" t="str">
        <f t="shared" si="515"/>
        <v>186</v>
      </c>
      <c r="D9277" t="str">
        <f>"8"</f>
        <v>8</v>
      </c>
      <c r="E9277" t="str">
        <f>"1-186-8"</f>
        <v>1-186-8</v>
      </c>
      <c r="F9277" t="s">
        <v>65</v>
      </c>
      <c r="G9277" t="s">
        <v>66</v>
      </c>
      <c r="H9277" t="s">
        <v>67</v>
      </c>
      <c r="S9277">
        <v>1</v>
      </c>
      <c r="T9277">
        <v>0</v>
      </c>
      <c r="U9277">
        <v>0</v>
      </c>
      <c r="V9277">
        <v>0</v>
      </c>
      <c r="W9277">
        <v>1</v>
      </c>
      <c r="X9277">
        <v>0</v>
      </c>
      <c r="Y9277">
        <v>1</v>
      </c>
      <c r="Z9277">
        <v>0</v>
      </c>
      <c r="AA9277">
        <v>1</v>
      </c>
      <c r="AB9277">
        <v>0</v>
      </c>
      <c r="AC9277">
        <v>0</v>
      </c>
      <c r="AD9277">
        <v>1</v>
      </c>
      <c r="AE9277">
        <v>1</v>
      </c>
      <c r="AF9277">
        <v>1</v>
      </c>
      <c r="AG9277">
        <v>1</v>
      </c>
      <c r="AH9277">
        <v>1</v>
      </c>
      <c r="AI9277">
        <v>1</v>
      </c>
      <c r="AJ9277">
        <v>1</v>
      </c>
      <c r="AK9277">
        <v>1</v>
      </c>
      <c r="AL9277">
        <v>1</v>
      </c>
      <c r="AM9277">
        <v>1</v>
      </c>
    </row>
    <row r="9278" spans="1:39" x14ac:dyDescent="0.2">
      <c r="A9278" t="str">
        <f>"9274"</f>
        <v>9274</v>
      </c>
      <c r="B9278" t="str">
        <f t="shared" si="516"/>
        <v>1</v>
      </c>
      <c r="C9278" t="str">
        <f t="shared" si="515"/>
        <v>186</v>
      </c>
      <c r="D9278" t="str">
        <f>"20"</f>
        <v>20</v>
      </c>
      <c r="E9278" t="str">
        <f>"1-186-20"</f>
        <v>1-186-20</v>
      </c>
      <c r="F9278" t="s">
        <v>65</v>
      </c>
      <c r="G9278" t="s">
        <v>66</v>
      </c>
      <c r="H9278" t="s">
        <v>67</v>
      </c>
      <c r="S9278">
        <v>1</v>
      </c>
      <c r="T9278">
        <v>0</v>
      </c>
      <c r="U9278">
        <v>0</v>
      </c>
      <c r="V9278">
        <v>0</v>
      </c>
      <c r="W9278">
        <v>0</v>
      </c>
      <c r="X9278">
        <v>1</v>
      </c>
      <c r="Y9278">
        <v>0</v>
      </c>
      <c r="Z9278">
        <v>1</v>
      </c>
      <c r="AA9278">
        <v>0</v>
      </c>
      <c r="AB9278">
        <v>0</v>
      </c>
      <c r="AC9278">
        <v>1</v>
      </c>
      <c r="AD9278">
        <v>1</v>
      </c>
      <c r="AE9278">
        <v>1</v>
      </c>
      <c r="AF9278">
        <v>1</v>
      </c>
      <c r="AG9278">
        <v>1</v>
      </c>
      <c r="AH9278">
        <v>1</v>
      </c>
      <c r="AI9278">
        <v>1</v>
      </c>
      <c r="AJ9278">
        <v>1</v>
      </c>
      <c r="AK9278">
        <v>1</v>
      </c>
      <c r="AL9278">
        <v>1</v>
      </c>
      <c r="AM9278">
        <v>1</v>
      </c>
    </row>
    <row r="9279" spans="1:39" x14ac:dyDescent="0.2">
      <c r="A9279" t="str">
        <f>"9275"</f>
        <v>9275</v>
      </c>
      <c r="B9279" t="str">
        <f t="shared" si="516"/>
        <v>1</v>
      </c>
      <c r="C9279" t="str">
        <f t="shared" si="515"/>
        <v>186</v>
      </c>
      <c r="D9279" t="str">
        <f>"6"</f>
        <v>6</v>
      </c>
      <c r="E9279" t="str">
        <f>"1-186-6"</f>
        <v>1-186-6</v>
      </c>
      <c r="F9279" t="s">
        <v>65</v>
      </c>
      <c r="G9279" t="s">
        <v>66</v>
      </c>
      <c r="H9279" t="s">
        <v>67</v>
      </c>
      <c r="S9279">
        <v>1</v>
      </c>
      <c r="T9279">
        <v>0</v>
      </c>
      <c r="U9279">
        <v>0</v>
      </c>
      <c r="V9279">
        <v>0</v>
      </c>
      <c r="W9279">
        <v>1</v>
      </c>
      <c r="X9279">
        <v>0</v>
      </c>
      <c r="Y9279">
        <v>1</v>
      </c>
      <c r="Z9279">
        <v>0</v>
      </c>
      <c r="AA9279">
        <v>1</v>
      </c>
      <c r="AB9279">
        <v>0</v>
      </c>
      <c r="AC9279">
        <v>0</v>
      </c>
      <c r="AD9279">
        <v>1</v>
      </c>
      <c r="AE9279">
        <v>1</v>
      </c>
      <c r="AF9279">
        <v>1</v>
      </c>
      <c r="AG9279">
        <v>1</v>
      </c>
      <c r="AH9279">
        <v>0</v>
      </c>
      <c r="AI9279">
        <v>0</v>
      </c>
      <c r="AJ9279">
        <v>0</v>
      </c>
      <c r="AK9279">
        <v>1</v>
      </c>
      <c r="AL9279">
        <v>1</v>
      </c>
      <c r="AM9279">
        <v>1</v>
      </c>
    </row>
    <row r="9280" spans="1:39" x14ac:dyDescent="0.2">
      <c r="A9280" t="str">
        <f>"9276"</f>
        <v>9276</v>
      </c>
      <c r="B9280" t="str">
        <f t="shared" si="516"/>
        <v>1</v>
      </c>
      <c r="C9280" t="str">
        <f t="shared" si="515"/>
        <v>186</v>
      </c>
      <c r="D9280" t="str">
        <f>"43"</f>
        <v>43</v>
      </c>
      <c r="E9280" t="str">
        <f>"1-186-43"</f>
        <v>1-186-43</v>
      </c>
      <c r="F9280" t="s">
        <v>65</v>
      </c>
      <c r="G9280" t="s">
        <v>66</v>
      </c>
      <c r="H9280" t="s">
        <v>67</v>
      </c>
      <c r="S9280">
        <v>1</v>
      </c>
      <c r="T9280">
        <v>0</v>
      </c>
      <c r="U9280">
        <v>0</v>
      </c>
      <c r="V9280">
        <v>0</v>
      </c>
      <c r="W9280">
        <v>1</v>
      </c>
      <c r="X9280">
        <v>0</v>
      </c>
      <c r="Y9280">
        <v>1</v>
      </c>
      <c r="Z9280">
        <v>0</v>
      </c>
      <c r="AA9280">
        <v>1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</row>
    <row r="9281" spans="1:39" x14ac:dyDescent="0.2">
      <c r="A9281" t="str">
        <f>"9277"</f>
        <v>9277</v>
      </c>
      <c r="B9281" t="str">
        <f t="shared" si="516"/>
        <v>1</v>
      </c>
      <c r="C9281" t="str">
        <f t="shared" si="515"/>
        <v>186</v>
      </c>
      <c r="D9281" t="str">
        <f>"22"</f>
        <v>22</v>
      </c>
      <c r="E9281" t="str">
        <f>"1-186-22"</f>
        <v>1-186-22</v>
      </c>
      <c r="F9281" t="s">
        <v>65</v>
      </c>
      <c r="G9281" t="s">
        <v>66</v>
      </c>
      <c r="H9281" t="s">
        <v>67</v>
      </c>
      <c r="S9281">
        <v>1</v>
      </c>
      <c r="T9281">
        <v>0</v>
      </c>
      <c r="U9281">
        <v>0</v>
      </c>
      <c r="V9281">
        <v>0</v>
      </c>
      <c r="W9281">
        <v>1</v>
      </c>
      <c r="X9281">
        <v>0</v>
      </c>
      <c r="Y9281">
        <v>1</v>
      </c>
      <c r="Z9281">
        <v>0</v>
      </c>
      <c r="AA9281">
        <v>1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1</v>
      </c>
      <c r="AI9281">
        <v>1</v>
      </c>
      <c r="AJ9281">
        <v>1</v>
      </c>
      <c r="AK9281">
        <v>1</v>
      </c>
      <c r="AL9281">
        <v>1</v>
      </c>
      <c r="AM9281">
        <v>0</v>
      </c>
    </row>
    <row r="9282" spans="1:39" x14ac:dyDescent="0.2">
      <c r="A9282" t="str">
        <f>"9278"</f>
        <v>9278</v>
      </c>
      <c r="B9282" t="str">
        <f t="shared" si="516"/>
        <v>1</v>
      </c>
      <c r="C9282" t="str">
        <f t="shared" si="515"/>
        <v>186</v>
      </c>
      <c r="D9282" t="str">
        <f>"44"</f>
        <v>44</v>
      </c>
      <c r="E9282" t="str">
        <f>"1-186-44"</f>
        <v>1-186-44</v>
      </c>
      <c r="F9282" t="s">
        <v>65</v>
      </c>
      <c r="G9282" t="s">
        <v>66</v>
      </c>
      <c r="H9282" t="s">
        <v>67</v>
      </c>
      <c r="S9282">
        <v>1</v>
      </c>
      <c r="T9282">
        <v>0</v>
      </c>
      <c r="U9282">
        <v>0</v>
      </c>
      <c r="V9282">
        <v>0</v>
      </c>
      <c r="W9282">
        <v>1</v>
      </c>
      <c r="X9282">
        <v>0</v>
      </c>
      <c r="Y9282">
        <v>1</v>
      </c>
      <c r="Z9282">
        <v>0</v>
      </c>
      <c r="AA9282">
        <v>0</v>
      </c>
      <c r="AB9282">
        <v>0</v>
      </c>
      <c r="AC9282">
        <v>1</v>
      </c>
      <c r="AD9282">
        <v>1</v>
      </c>
      <c r="AE9282">
        <v>1</v>
      </c>
      <c r="AF9282">
        <v>1</v>
      </c>
      <c r="AG9282">
        <v>1</v>
      </c>
      <c r="AH9282">
        <v>1</v>
      </c>
      <c r="AI9282">
        <v>1</v>
      </c>
      <c r="AJ9282">
        <v>1</v>
      </c>
      <c r="AK9282">
        <v>1</v>
      </c>
      <c r="AL9282">
        <v>1</v>
      </c>
      <c r="AM9282">
        <v>1</v>
      </c>
    </row>
    <row r="9283" spans="1:39" x14ac:dyDescent="0.2">
      <c r="A9283" t="str">
        <f>"9279"</f>
        <v>9279</v>
      </c>
      <c r="B9283" t="str">
        <f t="shared" si="516"/>
        <v>1</v>
      </c>
      <c r="C9283" t="str">
        <f t="shared" si="515"/>
        <v>186</v>
      </c>
      <c r="D9283" t="str">
        <f>"23"</f>
        <v>23</v>
      </c>
      <c r="E9283" t="str">
        <f>"1-186-23"</f>
        <v>1-186-23</v>
      </c>
      <c r="F9283" t="s">
        <v>65</v>
      </c>
      <c r="G9283" t="s">
        <v>66</v>
      </c>
      <c r="H9283" t="s">
        <v>67</v>
      </c>
      <c r="S9283">
        <v>1</v>
      </c>
      <c r="T9283">
        <v>0</v>
      </c>
      <c r="U9283">
        <v>0</v>
      </c>
      <c r="V9283">
        <v>0</v>
      </c>
      <c r="W9283">
        <v>1</v>
      </c>
      <c r="X9283">
        <v>0</v>
      </c>
      <c r="Y9283">
        <v>1</v>
      </c>
      <c r="Z9283">
        <v>0</v>
      </c>
      <c r="AA9283">
        <v>0</v>
      </c>
      <c r="AB9283">
        <v>1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</row>
    <row r="9284" spans="1:39" x14ac:dyDescent="0.2">
      <c r="A9284" t="str">
        <f>"9280"</f>
        <v>9280</v>
      </c>
      <c r="B9284" t="str">
        <f t="shared" si="516"/>
        <v>1</v>
      </c>
      <c r="C9284" t="str">
        <f t="shared" si="515"/>
        <v>186</v>
      </c>
      <c r="D9284" t="str">
        <f>"12"</f>
        <v>12</v>
      </c>
      <c r="E9284" t="str">
        <f>"1-186-12"</f>
        <v>1-186-12</v>
      </c>
      <c r="F9284" t="s">
        <v>65</v>
      </c>
      <c r="G9284" t="s">
        <v>66</v>
      </c>
      <c r="H9284" t="s">
        <v>67</v>
      </c>
      <c r="S9284">
        <v>1</v>
      </c>
      <c r="T9284">
        <v>0</v>
      </c>
      <c r="U9284">
        <v>0</v>
      </c>
      <c r="V9284">
        <v>0</v>
      </c>
      <c r="W9284">
        <v>1</v>
      </c>
      <c r="X9284">
        <v>0</v>
      </c>
      <c r="Y9284">
        <v>1</v>
      </c>
      <c r="Z9284">
        <v>0</v>
      </c>
      <c r="AA9284">
        <v>0</v>
      </c>
      <c r="AB9284">
        <v>1</v>
      </c>
      <c r="AC9284">
        <v>0</v>
      </c>
      <c r="AD9284">
        <v>1</v>
      </c>
      <c r="AE9284">
        <v>1</v>
      </c>
      <c r="AF9284">
        <v>1</v>
      </c>
      <c r="AG9284">
        <v>1</v>
      </c>
      <c r="AH9284">
        <v>1</v>
      </c>
      <c r="AI9284">
        <v>1</v>
      </c>
      <c r="AJ9284">
        <v>1</v>
      </c>
      <c r="AK9284">
        <v>1</v>
      </c>
      <c r="AL9284">
        <v>1</v>
      </c>
      <c r="AM9284">
        <v>1</v>
      </c>
    </row>
    <row r="9285" spans="1:39" x14ac:dyDescent="0.2">
      <c r="A9285" t="str">
        <f>"9281"</f>
        <v>9281</v>
      </c>
      <c r="B9285" t="str">
        <f t="shared" si="516"/>
        <v>1</v>
      </c>
      <c r="C9285" t="str">
        <f t="shared" si="515"/>
        <v>186</v>
      </c>
      <c r="D9285" t="str">
        <f>"45"</f>
        <v>45</v>
      </c>
      <c r="E9285" t="str">
        <f>"1-186-45"</f>
        <v>1-186-45</v>
      </c>
      <c r="F9285" t="s">
        <v>65</v>
      </c>
      <c r="G9285" t="s">
        <v>66</v>
      </c>
      <c r="H9285" t="s">
        <v>67</v>
      </c>
      <c r="S9285">
        <v>1</v>
      </c>
      <c r="T9285">
        <v>0</v>
      </c>
      <c r="U9285">
        <v>0</v>
      </c>
      <c r="V9285">
        <v>0</v>
      </c>
      <c r="W9285">
        <v>1</v>
      </c>
      <c r="X9285">
        <v>0</v>
      </c>
      <c r="Y9285">
        <v>1</v>
      </c>
      <c r="Z9285">
        <v>0</v>
      </c>
      <c r="AA9285">
        <v>0</v>
      </c>
      <c r="AB9285">
        <v>0</v>
      </c>
      <c r="AC9285">
        <v>1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</row>
    <row r="9286" spans="1:39" x14ac:dyDescent="0.2">
      <c r="A9286" t="str">
        <f>"9282"</f>
        <v>9282</v>
      </c>
      <c r="B9286" t="str">
        <f t="shared" si="516"/>
        <v>1</v>
      </c>
      <c r="C9286" t="str">
        <f t="shared" si="515"/>
        <v>186</v>
      </c>
      <c r="D9286" t="str">
        <f>"25"</f>
        <v>25</v>
      </c>
      <c r="E9286" t="str">
        <f>"1-186-25"</f>
        <v>1-186-25</v>
      </c>
      <c r="F9286" t="s">
        <v>65</v>
      </c>
      <c r="G9286" t="s">
        <v>66</v>
      </c>
      <c r="H9286" t="s">
        <v>67</v>
      </c>
      <c r="S9286">
        <v>0</v>
      </c>
      <c r="T9286">
        <v>0</v>
      </c>
      <c r="U9286">
        <v>0</v>
      </c>
      <c r="V9286">
        <v>0</v>
      </c>
      <c r="W9286">
        <v>1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1</v>
      </c>
      <c r="AE9286">
        <v>0</v>
      </c>
      <c r="AF9286">
        <v>1</v>
      </c>
      <c r="AG9286">
        <v>1</v>
      </c>
      <c r="AH9286">
        <v>1</v>
      </c>
      <c r="AI9286">
        <v>1</v>
      </c>
      <c r="AJ9286">
        <v>1</v>
      </c>
      <c r="AK9286">
        <v>0</v>
      </c>
      <c r="AL9286">
        <v>0</v>
      </c>
      <c r="AM9286">
        <v>0</v>
      </c>
    </row>
    <row r="9287" spans="1:39" x14ac:dyDescent="0.2">
      <c r="A9287" t="str">
        <f>"9283"</f>
        <v>9283</v>
      </c>
      <c r="B9287" t="str">
        <f t="shared" si="516"/>
        <v>1</v>
      </c>
      <c r="C9287" t="str">
        <f t="shared" ref="C9287:C9304" si="517">"186"</f>
        <v>186</v>
      </c>
      <c r="D9287" t="str">
        <f>"14"</f>
        <v>14</v>
      </c>
      <c r="E9287" t="str">
        <f>"1-186-14"</f>
        <v>1-186-14</v>
      </c>
      <c r="F9287" t="s">
        <v>65</v>
      </c>
      <c r="G9287" t="s">
        <v>66</v>
      </c>
      <c r="H9287" t="s">
        <v>67</v>
      </c>
      <c r="S9287">
        <v>0</v>
      </c>
      <c r="T9287">
        <v>0</v>
      </c>
      <c r="U9287">
        <v>0</v>
      </c>
      <c r="V9287">
        <v>0</v>
      </c>
      <c r="W9287">
        <v>1</v>
      </c>
      <c r="X9287">
        <v>0</v>
      </c>
      <c r="Y9287">
        <v>1</v>
      </c>
      <c r="Z9287">
        <v>0</v>
      </c>
      <c r="AA9287">
        <v>1</v>
      </c>
      <c r="AB9287">
        <v>0</v>
      </c>
      <c r="AC9287">
        <v>0</v>
      </c>
      <c r="AD9287">
        <v>1</v>
      </c>
      <c r="AE9287">
        <v>1</v>
      </c>
      <c r="AF9287">
        <v>1</v>
      </c>
      <c r="AG9287">
        <v>1</v>
      </c>
      <c r="AH9287">
        <v>1</v>
      </c>
      <c r="AI9287">
        <v>1</v>
      </c>
      <c r="AJ9287">
        <v>1</v>
      </c>
      <c r="AK9287">
        <v>1</v>
      </c>
      <c r="AL9287">
        <v>1</v>
      </c>
      <c r="AM9287">
        <v>1</v>
      </c>
    </row>
    <row r="9288" spans="1:39" x14ac:dyDescent="0.2">
      <c r="A9288" t="str">
        <f>"9284"</f>
        <v>9284</v>
      </c>
      <c r="B9288" t="str">
        <f t="shared" si="516"/>
        <v>1</v>
      </c>
      <c r="C9288" t="str">
        <f t="shared" si="517"/>
        <v>186</v>
      </c>
      <c r="D9288" t="str">
        <f>"46"</f>
        <v>46</v>
      </c>
      <c r="E9288" t="str">
        <f>"1-186-46"</f>
        <v>1-186-46</v>
      </c>
      <c r="F9288" t="s">
        <v>65</v>
      </c>
      <c r="G9288" t="s">
        <v>66</v>
      </c>
      <c r="H9288" t="s">
        <v>67</v>
      </c>
      <c r="S9288">
        <v>1</v>
      </c>
      <c r="T9288">
        <v>0</v>
      </c>
      <c r="U9288">
        <v>0</v>
      </c>
      <c r="V9288">
        <v>0</v>
      </c>
      <c r="W9288">
        <v>1</v>
      </c>
      <c r="X9288">
        <v>0</v>
      </c>
      <c r="Y9288">
        <v>1</v>
      </c>
      <c r="Z9288">
        <v>0</v>
      </c>
      <c r="AA9288">
        <v>1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1</v>
      </c>
      <c r="AH9288">
        <v>1</v>
      </c>
      <c r="AI9288">
        <v>1</v>
      </c>
      <c r="AJ9288">
        <v>1</v>
      </c>
      <c r="AK9288">
        <v>1</v>
      </c>
      <c r="AL9288">
        <v>1</v>
      </c>
      <c r="AM9288">
        <v>1</v>
      </c>
    </row>
    <row r="9289" spans="1:39" x14ac:dyDescent="0.2">
      <c r="A9289" t="str">
        <f>"9285"</f>
        <v>9285</v>
      </c>
      <c r="B9289" t="str">
        <f t="shared" si="516"/>
        <v>1</v>
      </c>
      <c r="C9289" t="str">
        <f t="shared" si="517"/>
        <v>186</v>
      </c>
      <c r="D9289" t="str">
        <f>"7"</f>
        <v>7</v>
      </c>
      <c r="E9289" t="str">
        <f>"1-186-7"</f>
        <v>1-186-7</v>
      </c>
      <c r="F9289" t="s">
        <v>65</v>
      </c>
      <c r="G9289" t="s">
        <v>66</v>
      </c>
      <c r="H9289" t="s">
        <v>67</v>
      </c>
      <c r="S9289">
        <v>1</v>
      </c>
      <c r="T9289">
        <v>0</v>
      </c>
      <c r="U9289">
        <v>0</v>
      </c>
      <c r="V9289">
        <v>0</v>
      </c>
      <c r="W9289">
        <v>1</v>
      </c>
      <c r="X9289">
        <v>0</v>
      </c>
      <c r="Y9289">
        <v>1</v>
      </c>
      <c r="Z9289">
        <v>0</v>
      </c>
      <c r="AA9289">
        <v>1</v>
      </c>
      <c r="AB9289">
        <v>0</v>
      </c>
      <c r="AC9289">
        <v>0</v>
      </c>
      <c r="AD9289">
        <v>1</v>
      </c>
      <c r="AE9289">
        <v>1</v>
      </c>
      <c r="AF9289">
        <v>1</v>
      </c>
      <c r="AG9289">
        <v>1</v>
      </c>
      <c r="AH9289">
        <v>1</v>
      </c>
      <c r="AI9289">
        <v>1</v>
      </c>
      <c r="AJ9289">
        <v>1</v>
      </c>
      <c r="AK9289">
        <v>1</v>
      </c>
      <c r="AL9289">
        <v>1</v>
      </c>
      <c r="AM9289">
        <v>1</v>
      </c>
    </row>
    <row r="9290" spans="1:39" x14ac:dyDescent="0.2">
      <c r="A9290" t="str">
        <f>"9286"</f>
        <v>9286</v>
      </c>
      <c r="B9290" t="str">
        <f t="shared" si="516"/>
        <v>1</v>
      </c>
      <c r="C9290" t="str">
        <f t="shared" si="517"/>
        <v>186</v>
      </c>
      <c r="D9290" t="str">
        <f>"50"</f>
        <v>50</v>
      </c>
      <c r="E9290" t="str">
        <f>"1-186-50"</f>
        <v>1-186-50</v>
      </c>
      <c r="F9290" t="s">
        <v>65</v>
      </c>
      <c r="G9290" t="s">
        <v>66</v>
      </c>
      <c r="H9290" t="s">
        <v>67</v>
      </c>
      <c r="S9290">
        <v>1</v>
      </c>
      <c r="T9290">
        <v>0</v>
      </c>
      <c r="U9290">
        <v>0</v>
      </c>
      <c r="V9290">
        <v>0</v>
      </c>
      <c r="W9290">
        <v>1</v>
      </c>
      <c r="X9290">
        <v>0</v>
      </c>
      <c r="Y9290">
        <v>0</v>
      </c>
      <c r="Z9290">
        <v>1</v>
      </c>
      <c r="AA9290">
        <v>1</v>
      </c>
      <c r="AB9290">
        <v>0</v>
      </c>
      <c r="AC9290">
        <v>0</v>
      </c>
      <c r="AD9290">
        <v>1</v>
      </c>
      <c r="AE9290">
        <v>1</v>
      </c>
      <c r="AF9290">
        <v>1</v>
      </c>
      <c r="AG9290">
        <v>1</v>
      </c>
      <c r="AH9290">
        <v>1</v>
      </c>
      <c r="AI9290">
        <v>1</v>
      </c>
      <c r="AJ9290">
        <v>1</v>
      </c>
      <c r="AK9290">
        <v>1</v>
      </c>
      <c r="AL9290">
        <v>1</v>
      </c>
      <c r="AM9290">
        <v>1</v>
      </c>
    </row>
    <row r="9291" spans="1:39" x14ac:dyDescent="0.2">
      <c r="A9291" t="str">
        <f>"9287"</f>
        <v>9287</v>
      </c>
      <c r="B9291" t="str">
        <f t="shared" si="516"/>
        <v>1</v>
      </c>
      <c r="C9291" t="str">
        <f t="shared" si="517"/>
        <v>186</v>
      </c>
      <c r="D9291" t="str">
        <f>"28"</f>
        <v>28</v>
      </c>
      <c r="E9291" t="str">
        <f>"1-186-28"</f>
        <v>1-186-28</v>
      </c>
      <c r="F9291" t="s">
        <v>65</v>
      </c>
      <c r="G9291" t="s">
        <v>66</v>
      </c>
      <c r="H9291" t="s">
        <v>67</v>
      </c>
      <c r="S9291">
        <v>1</v>
      </c>
      <c r="T9291">
        <v>0</v>
      </c>
      <c r="U9291">
        <v>0</v>
      </c>
      <c r="V9291">
        <v>0</v>
      </c>
      <c r="W9291">
        <v>1</v>
      </c>
      <c r="X9291">
        <v>0</v>
      </c>
      <c r="Y9291">
        <v>1</v>
      </c>
      <c r="Z9291">
        <v>0</v>
      </c>
      <c r="AA9291">
        <v>0</v>
      </c>
      <c r="AB9291">
        <v>0</v>
      </c>
      <c r="AC9291">
        <v>1</v>
      </c>
      <c r="AD9291">
        <v>1</v>
      </c>
      <c r="AE9291">
        <v>1</v>
      </c>
      <c r="AF9291">
        <v>1</v>
      </c>
      <c r="AG9291">
        <v>1</v>
      </c>
      <c r="AH9291">
        <v>1</v>
      </c>
      <c r="AI9291">
        <v>1</v>
      </c>
      <c r="AJ9291">
        <v>1</v>
      </c>
      <c r="AK9291">
        <v>1</v>
      </c>
      <c r="AL9291">
        <v>1</v>
      </c>
      <c r="AM9291">
        <v>1</v>
      </c>
    </row>
    <row r="9292" spans="1:39" x14ac:dyDescent="0.2">
      <c r="A9292" t="str">
        <f>"9288"</f>
        <v>9288</v>
      </c>
      <c r="B9292" t="str">
        <f t="shared" si="516"/>
        <v>1</v>
      </c>
      <c r="C9292" t="str">
        <f t="shared" si="517"/>
        <v>186</v>
      </c>
      <c r="D9292" t="str">
        <f>"13"</f>
        <v>13</v>
      </c>
      <c r="E9292" t="str">
        <f>"1-186-13"</f>
        <v>1-186-13</v>
      </c>
      <c r="F9292" t="s">
        <v>65</v>
      </c>
      <c r="G9292" t="s">
        <v>66</v>
      </c>
      <c r="H9292" t="s">
        <v>67</v>
      </c>
      <c r="S9292">
        <v>0</v>
      </c>
      <c r="T9292">
        <v>1</v>
      </c>
      <c r="U9292">
        <v>0</v>
      </c>
      <c r="V9292">
        <v>0</v>
      </c>
      <c r="W9292">
        <v>0</v>
      </c>
      <c r="X9292">
        <v>1</v>
      </c>
      <c r="Y9292">
        <v>0</v>
      </c>
      <c r="Z9292">
        <v>0</v>
      </c>
      <c r="AA9292">
        <v>0</v>
      </c>
      <c r="AB9292">
        <v>0</v>
      </c>
      <c r="AC9292">
        <v>1</v>
      </c>
      <c r="AD9292">
        <v>1</v>
      </c>
      <c r="AE9292">
        <v>1</v>
      </c>
      <c r="AF9292">
        <v>1</v>
      </c>
      <c r="AG9292">
        <v>1</v>
      </c>
      <c r="AH9292">
        <v>1</v>
      </c>
      <c r="AI9292">
        <v>1</v>
      </c>
      <c r="AJ9292">
        <v>1</v>
      </c>
      <c r="AK9292">
        <v>1</v>
      </c>
      <c r="AL9292">
        <v>1</v>
      </c>
      <c r="AM9292">
        <v>1</v>
      </c>
    </row>
    <row r="9293" spans="1:39" x14ac:dyDescent="0.2">
      <c r="A9293" t="str">
        <f>"9289"</f>
        <v>9289</v>
      </c>
      <c r="B9293" t="str">
        <f t="shared" si="516"/>
        <v>1</v>
      </c>
      <c r="C9293" t="str">
        <f t="shared" si="517"/>
        <v>186</v>
      </c>
      <c r="D9293" t="str">
        <f>"47"</f>
        <v>47</v>
      </c>
      <c r="E9293" t="str">
        <f>"1-186-47"</f>
        <v>1-186-47</v>
      </c>
      <c r="F9293" t="s">
        <v>65</v>
      </c>
      <c r="G9293" t="s">
        <v>66</v>
      </c>
      <c r="H9293" t="s">
        <v>67</v>
      </c>
      <c r="S9293">
        <v>1</v>
      </c>
      <c r="T9293">
        <v>0</v>
      </c>
      <c r="U9293">
        <v>0</v>
      </c>
      <c r="V9293">
        <v>0</v>
      </c>
      <c r="W9293">
        <v>1</v>
      </c>
      <c r="X9293">
        <v>0</v>
      </c>
      <c r="Y9293">
        <v>0</v>
      </c>
      <c r="Z9293">
        <v>1</v>
      </c>
      <c r="AA9293">
        <v>1</v>
      </c>
      <c r="AB9293">
        <v>0</v>
      </c>
      <c r="AC9293">
        <v>0</v>
      </c>
      <c r="AD9293">
        <v>1</v>
      </c>
      <c r="AE9293">
        <v>1</v>
      </c>
      <c r="AF9293">
        <v>1</v>
      </c>
      <c r="AG9293">
        <v>1</v>
      </c>
      <c r="AH9293">
        <v>1</v>
      </c>
      <c r="AI9293">
        <v>1</v>
      </c>
      <c r="AJ9293">
        <v>1</v>
      </c>
      <c r="AK9293">
        <v>1</v>
      </c>
      <c r="AL9293">
        <v>1</v>
      </c>
      <c r="AM9293">
        <v>1</v>
      </c>
    </row>
    <row r="9294" spans="1:39" x14ac:dyDescent="0.2">
      <c r="A9294" t="str">
        <f>"9290"</f>
        <v>9290</v>
      </c>
      <c r="B9294" t="str">
        <f t="shared" si="516"/>
        <v>1</v>
      </c>
      <c r="C9294" t="str">
        <f t="shared" si="517"/>
        <v>186</v>
      </c>
      <c r="D9294" t="str">
        <f>"30"</f>
        <v>30</v>
      </c>
      <c r="E9294" t="str">
        <f>"1-186-30"</f>
        <v>1-186-30</v>
      </c>
      <c r="F9294" t="s">
        <v>65</v>
      </c>
      <c r="G9294" t="s">
        <v>66</v>
      </c>
      <c r="H9294" t="s">
        <v>67</v>
      </c>
      <c r="S9294">
        <v>0</v>
      </c>
      <c r="T9294">
        <v>1</v>
      </c>
      <c r="U9294">
        <v>0</v>
      </c>
      <c r="V9294">
        <v>0</v>
      </c>
      <c r="W9294">
        <v>1</v>
      </c>
      <c r="X9294">
        <v>0</v>
      </c>
      <c r="Y9294">
        <v>1</v>
      </c>
      <c r="Z9294">
        <v>0</v>
      </c>
      <c r="AA9294">
        <v>0</v>
      </c>
      <c r="AB9294">
        <v>1</v>
      </c>
      <c r="AC9294">
        <v>0</v>
      </c>
      <c r="AD9294">
        <v>1</v>
      </c>
      <c r="AE9294">
        <v>1</v>
      </c>
      <c r="AF9294">
        <v>1</v>
      </c>
      <c r="AG9294">
        <v>1</v>
      </c>
      <c r="AH9294">
        <v>1</v>
      </c>
      <c r="AI9294">
        <v>1</v>
      </c>
      <c r="AJ9294">
        <v>1</v>
      </c>
      <c r="AK9294">
        <v>1</v>
      </c>
      <c r="AL9294">
        <v>1</v>
      </c>
      <c r="AM9294">
        <v>1</v>
      </c>
    </row>
    <row r="9295" spans="1:39" x14ac:dyDescent="0.2">
      <c r="A9295" t="str">
        <f>"9291"</f>
        <v>9291</v>
      </c>
      <c r="B9295" t="str">
        <f t="shared" si="516"/>
        <v>1</v>
      </c>
      <c r="C9295" t="str">
        <f t="shared" si="517"/>
        <v>186</v>
      </c>
      <c r="D9295" t="str">
        <f>"11"</f>
        <v>11</v>
      </c>
      <c r="E9295" t="str">
        <f>"1-186-11"</f>
        <v>1-186-11</v>
      </c>
      <c r="F9295" t="s">
        <v>65</v>
      </c>
      <c r="G9295" t="s">
        <v>66</v>
      </c>
      <c r="H9295" t="s">
        <v>67</v>
      </c>
      <c r="S9295">
        <v>1</v>
      </c>
      <c r="T9295">
        <v>0</v>
      </c>
      <c r="U9295">
        <v>0</v>
      </c>
      <c r="V9295">
        <v>0</v>
      </c>
      <c r="W9295">
        <v>1</v>
      </c>
      <c r="X9295">
        <v>0</v>
      </c>
      <c r="Y9295">
        <v>1</v>
      </c>
      <c r="Z9295">
        <v>0</v>
      </c>
      <c r="AA9295">
        <v>0</v>
      </c>
      <c r="AB9295">
        <v>1</v>
      </c>
      <c r="AC9295">
        <v>0</v>
      </c>
      <c r="AD9295">
        <v>1</v>
      </c>
      <c r="AE9295">
        <v>1</v>
      </c>
      <c r="AF9295">
        <v>1</v>
      </c>
      <c r="AG9295">
        <v>1</v>
      </c>
      <c r="AH9295">
        <v>1</v>
      </c>
      <c r="AI9295">
        <v>0</v>
      </c>
      <c r="AJ9295">
        <v>1</v>
      </c>
      <c r="AK9295">
        <v>1</v>
      </c>
      <c r="AL9295">
        <v>1</v>
      </c>
      <c r="AM9295">
        <v>1</v>
      </c>
    </row>
    <row r="9296" spans="1:39" x14ac:dyDescent="0.2">
      <c r="A9296" t="str">
        <f>"9292"</f>
        <v>9292</v>
      </c>
      <c r="B9296" t="str">
        <f t="shared" si="516"/>
        <v>1</v>
      </c>
      <c r="C9296" t="str">
        <f t="shared" si="517"/>
        <v>186</v>
      </c>
      <c r="D9296" t="str">
        <f>"48"</f>
        <v>48</v>
      </c>
      <c r="E9296" t="str">
        <f>"1-186-48"</f>
        <v>1-186-48</v>
      </c>
      <c r="F9296" t="s">
        <v>65</v>
      </c>
      <c r="G9296" t="s">
        <v>66</v>
      </c>
      <c r="H9296" t="s">
        <v>67</v>
      </c>
      <c r="S9296">
        <v>1</v>
      </c>
      <c r="T9296">
        <v>0</v>
      </c>
      <c r="U9296">
        <v>0</v>
      </c>
      <c r="V9296">
        <v>0</v>
      </c>
      <c r="W9296">
        <v>1</v>
      </c>
      <c r="X9296">
        <v>0</v>
      </c>
      <c r="Y9296">
        <v>0</v>
      </c>
      <c r="Z9296">
        <v>1</v>
      </c>
      <c r="AA9296">
        <v>0</v>
      </c>
      <c r="AB9296">
        <v>0</v>
      </c>
      <c r="AC9296">
        <v>1</v>
      </c>
      <c r="AD9296">
        <v>1</v>
      </c>
      <c r="AE9296">
        <v>1</v>
      </c>
      <c r="AF9296">
        <v>1</v>
      </c>
      <c r="AG9296">
        <v>1</v>
      </c>
      <c r="AH9296">
        <v>1</v>
      </c>
      <c r="AI9296">
        <v>1</v>
      </c>
      <c r="AJ9296">
        <v>1</v>
      </c>
      <c r="AK9296">
        <v>1</v>
      </c>
      <c r="AL9296">
        <v>1</v>
      </c>
      <c r="AM9296">
        <v>1</v>
      </c>
    </row>
    <row r="9297" spans="1:39" x14ac:dyDescent="0.2">
      <c r="A9297" t="str">
        <f>"9293"</f>
        <v>9293</v>
      </c>
      <c r="B9297" t="str">
        <f t="shared" si="516"/>
        <v>1</v>
      </c>
      <c r="C9297" t="str">
        <f t="shared" si="517"/>
        <v>186</v>
      </c>
      <c r="D9297" t="str">
        <f>"3"</f>
        <v>3</v>
      </c>
      <c r="E9297" t="str">
        <f>"1-186-3"</f>
        <v>1-186-3</v>
      </c>
      <c r="F9297" t="s">
        <v>65</v>
      </c>
      <c r="G9297" t="s">
        <v>66</v>
      </c>
      <c r="H9297" t="s">
        <v>67</v>
      </c>
      <c r="S9297">
        <v>1</v>
      </c>
      <c r="T9297">
        <v>0</v>
      </c>
      <c r="U9297">
        <v>0</v>
      </c>
      <c r="V9297">
        <v>0</v>
      </c>
      <c r="W9297">
        <v>1</v>
      </c>
      <c r="X9297">
        <v>0</v>
      </c>
      <c r="Y9297">
        <v>0</v>
      </c>
      <c r="Z9297">
        <v>1</v>
      </c>
      <c r="AA9297">
        <v>0</v>
      </c>
      <c r="AB9297">
        <v>0</v>
      </c>
      <c r="AC9297">
        <v>1</v>
      </c>
      <c r="AD9297">
        <v>1</v>
      </c>
      <c r="AE9297">
        <v>1</v>
      </c>
      <c r="AF9297">
        <v>1</v>
      </c>
      <c r="AG9297">
        <v>1</v>
      </c>
      <c r="AH9297">
        <v>1</v>
      </c>
      <c r="AI9297">
        <v>1</v>
      </c>
      <c r="AJ9297">
        <v>1</v>
      </c>
      <c r="AK9297">
        <v>0</v>
      </c>
      <c r="AL9297">
        <v>1</v>
      </c>
      <c r="AM9297">
        <v>1</v>
      </c>
    </row>
    <row r="9298" spans="1:39" x14ac:dyDescent="0.2">
      <c r="A9298" t="str">
        <f>"9294"</f>
        <v>9294</v>
      </c>
      <c r="B9298" t="str">
        <f t="shared" si="516"/>
        <v>1</v>
      </c>
      <c r="C9298" t="str">
        <f t="shared" si="517"/>
        <v>186</v>
      </c>
      <c r="D9298" t="str">
        <f>"49"</f>
        <v>49</v>
      </c>
      <c r="E9298" t="str">
        <f>"1-186-49"</f>
        <v>1-186-49</v>
      </c>
      <c r="F9298" t="s">
        <v>65</v>
      </c>
      <c r="G9298" t="s">
        <v>66</v>
      </c>
      <c r="H9298" t="s">
        <v>67</v>
      </c>
      <c r="S9298">
        <v>1</v>
      </c>
      <c r="T9298">
        <v>0</v>
      </c>
      <c r="U9298">
        <v>0</v>
      </c>
      <c r="V9298">
        <v>0</v>
      </c>
      <c r="W9298">
        <v>1</v>
      </c>
      <c r="X9298">
        <v>0</v>
      </c>
      <c r="Y9298">
        <v>0</v>
      </c>
      <c r="Z9298">
        <v>1</v>
      </c>
      <c r="AA9298">
        <v>0</v>
      </c>
      <c r="AB9298">
        <v>1</v>
      </c>
      <c r="AC9298">
        <v>0</v>
      </c>
      <c r="AD9298">
        <v>1</v>
      </c>
      <c r="AE9298">
        <v>1</v>
      </c>
      <c r="AF9298">
        <v>1</v>
      </c>
      <c r="AG9298">
        <v>1</v>
      </c>
      <c r="AH9298">
        <v>1</v>
      </c>
      <c r="AI9298">
        <v>1</v>
      </c>
      <c r="AJ9298">
        <v>1</v>
      </c>
      <c r="AK9298">
        <v>1</v>
      </c>
      <c r="AL9298">
        <v>1</v>
      </c>
      <c r="AM9298">
        <v>1</v>
      </c>
    </row>
    <row r="9299" spans="1:39" x14ac:dyDescent="0.2">
      <c r="A9299" t="str">
        <f>"9295"</f>
        <v>9295</v>
      </c>
      <c r="B9299" t="str">
        <f t="shared" si="516"/>
        <v>1</v>
      </c>
      <c r="C9299" t="str">
        <f t="shared" si="517"/>
        <v>186</v>
      </c>
      <c r="D9299" t="str">
        <f>"32"</f>
        <v>32</v>
      </c>
      <c r="E9299" t="str">
        <f>"1-186-32"</f>
        <v>1-186-32</v>
      </c>
      <c r="F9299" t="s">
        <v>65</v>
      </c>
      <c r="G9299" t="s">
        <v>66</v>
      </c>
      <c r="H9299" t="s">
        <v>67</v>
      </c>
      <c r="S9299">
        <v>1</v>
      </c>
      <c r="T9299">
        <v>0</v>
      </c>
      <c r="U9299">
        <v>0</v>
      </c>
      <c r="V9299">
        <v>0</v>
      </c>
      <c r="W9299">
        <v>1</v>
      </c>
      <c r="X9299">
        <v>0</v>
      </c>
      <c r="Y9299">
        <v>1</v>
      </c>
      <c r="Z9299">
        <v>0</v>
      </c>
      <c r="AA9299">
        <v>0</v>
      </c>
      <c r="AB9299">
        <v>1</v>
      </c>
      <c r="AC9299">
        <v>0</v>
      </c>
      <c r="AD9299">
        <v>1</v>
      </c>
      <c r="AE9299">
        <v>1</v>
      </c>
      <c r="AF9299">
        <v>1</v>
      </c>
      <c r="AG9299">
        <v>1</v>
      </c>
      <c r="AH9299">
        <v>1</v>
      </c>
      <c r="AI9299">
        <v>1</v>
      </c>
      <c r="AJ9299">
        <v>1</v>
      </c>
      <c r="AK9299">
        <v>1</v>
      </c>
      <c r="AL9299">
        <v>1</v>
      </c>
      <c r="AM9299">
        <v>1</v>
      </c>
    </row>
    <row r="9300" spans="1:39" x14ac:dyDescent="0.2">
      <c r="A9300" t="str">
        <f>"9296"</f>
        <v>9296</v>
      </c>
      <c r="B9300" t="str">
        <f t="shared" si="516"/>
        <v>1</v>
      </c>
      <c r="C9300" t="str">
        <f t="shared" si="517"/>
        <v>186</v>
      </c>
      <c r="D9300" t="str">
        <f>"9"</f>
        <v>9</v>
      </c>
      <c r="E9300" t="str">
        <f>"1-186-9"</f>
        <v>1-186-9</v>
      </c>
      <c r="F9300" t="s">
        <v>65</v>
      </c>
      <c r="G9300" t="s">
        <v>66</v>
      </c>
      <c r="H9300" t="s">
        <v>67</v>
      </c>
      <c r="S9300">
        <v>1</v>
      </c>
      <c r="T9300">
        <v>0</v>
      </c>
      <c r="U9300">
        <v>0</v>
      </c>
      <c r="V9300">
        <v>0</v>
      </c>
      <c r="W9300">
        <v>1</v>
      </c>
      <c r="X9300">
        <v>0</v>
      </c>
      <c r="Y9300">
        <v>1</v>
      </c>
      <c r="Z9300">
        <v>0</v>
      </c>
      <c r="AA9300">
        <v>1</v>
      </c>
      <c r="AB9300">
        <v>0</v>
      </c>
      <c r="AC9300">
        <v>0</v>
      </c>
      <c r="AD9300">
        <v>1</v>
      </c>
      <c r="AE9300">
        <v>1</v>
      </c>
      <c r="AF9300">
        <v>1</v>
      </c>
      <c r="AG9300">
        <v>1</v>
      </c>
      <c r="AH9300">
        <v>1</v>
      </c>
      <c r="AI9300">
        <v>1</v>
      </c>
      <c r="AJ9300">
        <v>1</v>
      </c>
      <c r="AK9300">
        <v>1</v>
      </c>
      <c r="AL9300">
        <v>1</v>
      </c>
      <c r="AM9300">
        <v>1</v>
      </c>
    </row>
    <row r="9301" spans="1:39" x14ac:dyDescent="0.2">
      <c r="A9301" t="str">
        <f>"9297"</f>
        <v>9297</v>
      </c>
      <c r="B9301" t="str">
        <f t="shared" si="516"/>
        <v>1</v>
      </c>
      <c r="C9301" t="str">
        <f t="shared" si="517"/>
        <v>186</v>
      </c>
      <c r="D9301" t="str">
        <f>"2"</f>
        <v>2</v>
      </c>
      <c r="E9301" t="str">
        <f>"1-186-2"</f>
        <v>1-186-2</v>
      </c>
      <c r="F9301" t="s">
        <v>65</v>
      </c>
      <c r="G9301" t="s">
        <v>66</v>
      </c>
      <c r="H9301" t="s">
        <v>67</v>
      </c>
      <c r="S9301">
        <v>0</v>
      </c>
      <c r="T9301">
        <v>0</v>
      </c>
      <c r="U9301">
        <v>0</v>
      </c>
      <c r="V9301">
        <v>0</v>
      </c>
      <c r="W9301">
        <v>1</v>
      </c>
      <c r="X9301">
        <v>0</v>
      </c>
      <c r="Y9301">
        <v>1</v>
      </c>
      <c r="Z9301">
        <v>0</v>
      </c>
      <c r="AA9301">
        <v>0</v>
      </c>
      <c r="AB9301">
        <v>0</v>
      </c>
      <c r="AC9301">
        <v>1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</row>
    <row r="9302" spans="1:39" x14ac:dyDescent="0.2">
      <c r="A9302" t="str">
        <f>"9298"</f>
        <v>9298</v>
      </c>
      <c r="B9302" t="str">
        <f t="shared" si="516"/>
        <v>1</v>
      </c>
      <c r="C9302" t="str">
        <f t="shared" si="517"/>
        <v>186</v>
      </c>
      <c r="D9302" t="str">
        <f>"40"</f>
        <v>40</v>
      </c>
      <c r="E9302" t="str">
        <f>"1-186-40"</f>
        <v>1-186-40</v>
      </c>
      <c r="F9302" t="s">
        <v>65</v>
      </c>
      <c r="G9302" t="s">
        <v>66</v>
      </c>
      <c r="H9302" t="s">
        <v>67</v>
      </c>
      <c r="S9302">
        <v>1</v>
      </c>
      <c r="T9302">
        <v>0</v>
      </c>
      <c r="U9302">
        <v>0</v>
      </c>
      <c r="V9302">
        <v>0</v>
      </c>
      <c r="W9302">
        <v>1</v>
      </c>
      <c r="X9302">
        <v>0</v>
      </c>
      <c r="Y9302">
        <v>0</v>
      </c>
      <c r="Z9302">
        <v>1</v>
      </c>
      <c r="AA9302">
        <v>0</v>
      </c>
      <c r="AB9302">
        <v>0</v>
      </c>
      <c r="AC9302">
        <v>1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1</v>
      </c>
      <c r="AK9302">
        <v>1</v>
      </c>
      <c r="AL9302">
        <v>0</v>
      </c>
      <c r="AM9302">
        <v>0</v>
      </c>
    </row>
    <row r="9303" spans="1:39" x14ac:dyDescent="0.2">
      <c r="A9303" t="str">
        <f>"9299"</f>
        <v>9299</v>
      </c>
      <c r="B9303" t="str">
        <f t="shared" si="516"/>
        <v>1</v>
      </c>
      <c r="C9303" t="str">
        <f t="shared" si="517"/>
        <v>186</v>
      </c>
      <c r="D9303" t="str">
        <f>"27"</f>
        <v>27</v>
      </c>
      <c r="E9303" t="str">
        <f>"1-186-27"</f>
        <v>1-186-27</v>
      </c>
      <c r="F9303" t="s">
        <v>65</v>
      </c>
      <c r="G9303" t="s">
        <v>66</v>
      </c>
      <c r="H9303" t="s">
        <v>67</v>
      </c>
      <c r="S9303">
        <v>1</v>
      </c>
      <c r="T9303">
        <v>0</v>
      </c>
      <c r="U9303">
        <v>0</v>
      </c>
      <c r="V9303">
        <v>0</v>
      </c>
      <c r="W9303">
        <v>1</v>
      </c>
      <c r="X9303">
        <v>0</v>
      </c>
      <c r="Y9303">
        <v>1</v>
      </c>
      <c r="Z9303">
        <v>0</v>
      </c>
      <c r="AA9303">
        <v>0</v>
      </c>
      <c r="AB9303">
        <v>1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</row>
    <row r="9304" spans="1:39" x14ac:dyDescent="0.2">
      <c r="A9304" t="str">
        <f>"9300"</f>
        <v>9300</v>
      </c>
      <c r="B9304" t="str">
        <f t="shared" si="516"/>
        <v>1</v>
      </c>
      <c r="C9304" t="str">
        <f t="shared" si="517"/>
        <v>186</v>
      </c>
      <c r="D9304" t="str">
        <f>"31"</f>
        <v>31</v>
      </c>
      <c r="E9304" t="str">
        <f>"1-186-31"</f>
        <v>1-186-31</v>
      </c>
      <c r="F9304" t="s">
        <v>65</v>
      </c>
      <c r="G9304" t="s">
        <v>66</v>
      </c>
      <c r="H9304" t="s">
        <v>67</v>
      </c>
      <c r="S9304">
        <v>1</v>
      </c>
      <c r="T9304">
        <v>0</v>
      </c>
      <c r="U9304">
        <v>0</v>
      </c>
      <c r="V9304">
        <v>0</v>
      </c>
      <c r="W9304">
        <v>1</v>
      </c>
      <c r="X9304">
        <v>0</v>
      </c>
      <c r="Y9304">
        <v>1</v>
      </c>
      <c r="Z9304">
        <v>0</v>
      </c>
      <c r="AA9304">
        <v>1</v>
      </c>
      <c r="AB9304">
        <v>0</v>
      </c>
      <c r="AC9304">
        <v>0</v>
      </c>
      <c r="AD9304">
        <v>1</v>
      </c>
      <c r="AE9304">
        <v>1</v>
      </c>
      <c r="AF9304">
        <v>1</v>
      </c>
      <c r="AG9304">
        <v>1</v>
      </c>
      <c r="AH9304">
        <v>1</v>
      </c>
      <c r="AI9304">
        <v>1</v>
      </c>
      <c r="AJ9304">
        <v>1</v>
      </c>
      <c r="AK9304">
        <v>1</v>
      </c>
      <c r="AL9304">
        <v>1</v>
      </c>
      <c r="AM9304">
        <v>1</v>
      </c>
    </row>
    <row r="9305" spans="1:39" x14ac:dyDescent="0.2">
      <c r="A9305" t="str">
        <f>"9301"</f>
        <v>9301</v>
      </c>
      <c r="B9305" t="str">
        <f t="shared" si="516"/>
        <v>1</v>
      </c>
      <c r="C9305" t="str">
        <f t="shared" ref="C9305:C9336" si="518">"187"</f>
        <v>187</v>
      </c>
      <c r="D9305" t="str">
        <f>"38"</f>
        <v>38</v>
      </c>
      <c r="E9305" t="str">
        <f>"1-187-38"</f>
        <v>1-187-38</v>
      </c>
      <c r="F9305" t="s">
        <v>65</v>
      </c>
      <c r="G9305" t="s">
        <v>66</v>
      </c>
      <c r="H9305" t="s">
        <v>67</v>
      </c>
      <c r="S9305">
        <v>1</v>
      </c>
      <c r="T9305">
        <v>0</v>
      </c>
      <c r="U9305">
        <v>0</v>
      </c>
      <c r="V9305">
        <v>0</v>
      </c>
      <c r="W9305">
        <v>1</v>
      </c>
      <c r="X9305">
        <v>0</v>
      </c>
      <c r="Y9305">
        <v>1</v>
      </c>
      <c r="Z9305">
        <v>0</v>
      </c>
      <c r="AA9305">
        <v>0</v>
      </c>
      <c r="AB9305">
        <v>0</v>
      </c>
      <c r="AC9305">
        <v>1</v>
      </c>
      <c r="AD9305">
        <v>1</v>
      </c>
      <c r="AE9305">
        <v>1</v>
      </c>
      <c r="AF9305">
        <v>1</v>
      </c>
      <c r="AG9305">
        <v>1</v>
      </c>
      <c r="AH9305">
        <v>1</v>
      </c>
      <c r="AI9305">
        <v>1</v>
      </c>
      <c r="AJ9305">
        <v>1</v>
      </c>
      <c r="AK9305">
        <v>1</v>
      </c>
      <c r="AL9305">
        <v>1</v>
      </c>
      <c r="AM9305">
        <v>1</v>
      </c>
    </row>
    <row r="9306" spans="1:39" x14ac:dyDescent="0.2">
      <c r="A9306" t="str">
        <f>"9302"</f>
        <v>9302</v>
      </c>
      <c r="B9306" t="str">
        <f t="shared" si="516"/>
        <v>1</v>
      </c>
      <c r="C9306" t="str">
        <f t="shared" si="518"/>
        <v>187</v>
      </c>
      <c r="D9306" t="str">
        <f>"37"</f>
        <v>37</v>
      </c>
      <c r="E9306" t="str">
        <f>"1-187-37"</f>
        <v>1-187-37</v>
      </c>
      <c r="F9306" t="s">
        <v>65</v>
      </c>
      <c r="G9306" t="s">
        <v>66</v>
      </c>
      <c r="H9306" t="s">
        <v>67</v>
      </c>
      <c r="S9306">
        <v>0</v>
      </c>
      <c r="T9306">
        <v>1</v>
      </c>
      <c r="U9306">
        <v>0</v>
      </c>
      <c r="V9306">
        <v>0</v>
      </c>
      <c r="W9306">
        <v>1</v>
      </c>
      <c r="X9306">
        <v>0</v>
      </c>
      <c r="Y9306">
        <v>0</v>
      </c>
      <c r="Z9306">
        <v>1</v>
      </c>
      <c r="AA9306">
        <v>1</v>
      </c>
      <c r="AB9306">
        <v>0</v>
      </c>
      <c r="AC9306">
        <v>0</v>
      </c>
      <c r="AD9306">
        <v>1</v>
      </c>
      <c r="AE9306">
        <v>1</v>
      </c>
      <c r="AF9306">
        <v>1</v>
      </c>
      <c r="AG9306">
        <v>1</v>
      </c>
      <c r="AH9306">
        <v>1</v>
      </c>
      <c r="AI9306">
        <v>1</v>
      </c>
      <c r="AJ9306">
        <v>1</v>
      </c>
      <c r="AK9306">
        <v>1</v>
      </c>
      <c r="AL9306">
        <v>1</v>
      </c>
      <c r="AM9306">
        <v>1</v>
      </c>
    </row>
    <row r="9307" spans="1:39" x14ac:dyDescent="0.2">
      <c r="A9307" t="str">
        <f>"9303"</f>
        <v>9303</v>
      </c>
      <c r="B9307" t="str">
        <f t="shared" si="516"/>
        <v>1</v>
      </c>
      <c r="C9307" t="str">
        <f t="shared" si="518"/>
        <v>187</v>
      </c>
      <c r="D9307" t="str">
        <f>"23"</f>
        <v>23</v>
      </c>
      <c r="E9307" t="str">
        <f>"1-187-23"</f>
        <v>1-187-23</v>
      </c>
      <c r="F9307" t="s">
        <v>65</v>
      </c>
      <c r="G9307" t="s">
        <v>66</v>
      </c>
      <c r="H9307" t="s">
        <v>67</v>
      </c>
      <c r="S9307">
        <v>0</v>
      </c>
      <c r="T9307">
        <v>1</v>
      </c>
      <c r="U9307">
        <v>0</v>
      </c>
      <c r="V9307">
        <v>0</v>
      </c>
      <c r="W9307">
        <v>1</v>
      </c>
      <c r="X9307">
        <v>0</v>
      </c>
      <c r="Y9307">
        <v>1</v>
      </c>
      <c r="Z9307">
        <v>0</v>
      </c>
      <c r="AA9307">
        <v>1</v>
      </c>
      <c r="AB9307">
        <v>0</v>
      </c>
      <c r="AC9307">
        <v>0</v>
      </c>
      <c r="AD9307">
        <v>1</v>
      </c>
      <c r="AE9307">
        <v>1</v>
      </c>
      <c r="AF9307">
        <v>1</v>
      </c>
      <c r="AG9307">
        <v>1</v>
      </c>
      <c r="AH9307">
        <v>1</v>
      </c>
      <c r="AI9307">
        <v>1</v>
      </c>
      <c r="AJ9307">
        <v>1</v>
      </c>
      <c r="AK9307">
        <v>1</v>
      </c>
      <c r="AL9307">
        <v>1</v>
      </c>
      <c r="AM9307">
        <v>1</v>
      </c>
    </row>
    <row r="9308" spans="1:39" x14ac:dyDescent="0.2">
      <c r="A9308" t="str">
        <f>"9304"</f>
        <v>9304</v>
      </c>
      <c r="B9308" t="str">
        <f t="shared" si="516"/>
        <v>1</v>
      </c>
      <c r="C9308" t="str">
        <f t="shared" si="518"/>
        <v>187</v>
      </c>
      <c r="D9308" t="str">
        <f>"15"</f>
        <v>15</v>
      </c>
      <c r="E9308" t="str">
        <f>"1-187-15"</f>
        <v>1-187-15</v>
      </c>
      <c r="F9308" t="s">
        <v>65</v>
      </c>
      <c r="G9308" t="s">
        <v>66</v>
      </c>
      <c r="H9308" t="s">
        <v>67</v>
      </c>
      <c r="S9308">
        <v>1</v>
      </c>
      <c r="T9308">
        <v>0</v>
      </c>
      <c r="U9308">
        <v>0</v>
      </c>
      <c r="V9308">
        <v>0</v>
      </c>
      <c r="W9308">
        <v>1</v>
      </c>
      <c r="X9308">
        <v>0</v>
      </c>
      <c r="Y9308">
        <v>0</v>
      </c>
      <c r="Z9308">
        <v>1</v>
      </c>
      <c r="AA9308">
        <v>0</v>
      </c>
      <c r="AB9308">
        <v>1</v>
      </c>
      <c r="AC9308">
        <v>0</v>
      </c>
      <c r="AD9308">
        <v>1</v>
      </c>
      <c r="AE9308">
        <v>1</v>
      </c>
      <c r="AF9308">
        <v>1</v>
      </c>
      <c r="AG9308">
        <v>1</v>
      </c>
      <c r="AH9308">
        <v>1</v>
      </c>
      <c r="AI9308">
        <v>1</v>
      </c>
      <c r="AJ9308">
        <v>1</v>
      </c>
      <c r="AK9308">
        <v>1</v>
      </c>
      <c r="AL9308">
        <v>1</v>
      </c>
      <c r="AM9308">
        <v>1</v>
      </c>
    </row>
    <row r="9309" spans="1:39" x14ac:dyDescent="0.2">
      <c r="A9309" t="str">
        <f>"9305"</f>
        <v>9305</v>
      </c>
      <c r="B9309" t="str">
        <f t="shared" si="516"/>
        <v>1</v>
      </c>
      <c r="C9309" t="str">
        <f t="shared" si="518"/>
        <v>187</v>
      </c>
      <c r="D9309" t="str">
        <f>"1"</f>
        <v>1</v>
      </c>
      <c r="E9309" t="str">
        <f>"1-187-1"</f>
        <v>1-187-1</v>
      </c>
      <c r="F9309" t="s">
        <v>65</v>
      </c>
      <c r="G9309" t="s">
        <v>66</v>
      </c>
      <c r="H9309" t="s">
        <v>67</v>
      </c>
      <c r="S9309">
        <v>1</v>
      </c>
      <c r="T9309">
        <v>0</v>
      </c>
      <c r="U9309">
        <v>0</v>
      </c>
      <c r="V9309">
        <v>0</v>
      </c>
      <c r="W9309">
        <v>1</v>
      </c>
      <c r="X9309">
        <v>0</v>
      </c>
      <c r="Y9309">
        <v>1</v>
      </c>
      <c r="Z9309">
        <v>0</v>
      </c>
      <c r="AA9309">
        <v>0</v>
      </c>
      <c r="AB9309">
        <v>0</v>
      </c>
      <c r="AC9309">
        <v>1</v>
      </c>
      <c r="AD9309">
        <v>1</v>
      </c>
      <c r="AE9309">
        <v>1</v>
      </c>
      <c r="AF9309">
        <v>1</v>
      </c>
      <c r="AG9309">
        <v>1</v>
      </c>
      <c r="AH9309">
        <v>1</v>
      </c>
      <c r="AI9309">
        <v>1</v>
      </c>
      <c r="AJ9309">
        <v>1</v>
      </c>
      <c r="AK9309">
        <v>1</v>
      </c>
      <c r="AL9309">
        <v>0</v>
      </c>
      <c r="AM9309">
        <v>1</v>
      </c>
    </row>
    <row r="9310" spans="1:39" x14ac:dyDescent="0.2">
      <c r="A9310" t="str">
        <f>"9306"</f>
        <v>9306</v>
      </c>
      <c r="B9310" t="str">
        <f t="shared" si="516"/>
        <v>1</v>
      </c>
      <c r="C9310" t="str">
        <f t="shared" si="518"/>
        <v>187</v>
      </c>
      <c r="D9310" t="str">
        <f>"42"</f>
        <v>42</v>
      </c>
      <c r="E9310" t="str">
        <f>"1-187-42"</f>
        <v>1-187-42</v>
      </c>
      <c r="F9310" t="s">
        <v>65</v>
      </c>
      <c r="G9310" t="s">
        <v>66</v>
      </c>
      <c r="H9310" t="s">
        <v>67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1</v>
      </c>
      <c r="Y9310">
        <v>0</v>
      </c>
      <c r="Z9310">
        <v>1</v>
      </c>
      <c r="AA9310">
        <v>0</v>
      </c>
      <c r="AB9310">
        <v>1</v>
      </c>
      <c r="AC9310">
        <v>0</v>
      </c>
      <c r="AD9310">
        <v>1</v>
      </c>
      <c r="AE9310">
        <v>1</v>
      </c>
      <c r="AF9310">
        <v>1</v>
      </c>
      <c r="AG9310">
        <v>1</v>
      </c>
      <c r="AH9310">
        <v>1</v>
      </c>
      <c r="AI9310">
        <v>1</v>
      </c>
      <c r="AJ9310">
        <v>1</v>
      </c>
      <c r="AK9310">
        <v>1</v>
      </c>
      <c r="AL9310">
        <v>1</v>
      </c>
      <c r="AM9310">
        <v>0</v>
      </c>
    </row>
    <row r="9311" spans="1:39" x14ac:dyDescent="0.2">
      <c r="A9311" t="str">
        <f>"9307"</f>
        <v>9307</v>
      </c>
      <c r="B9311" t="str">
        <f t="shared" si="516"/>
        <v>1</v>
      </c>
      <c r="C9311" t="str">
        <f t="shared" si="518"/>
        <v>187</v>
      </c>
      <c r="D9311" t="str">
        <f>"41"</f>
        <v>41</v>
      </c>
      <c r="E9311" t="str">
        <f>"1-187-41"</f>
        <v>1-187-41</v>
      </c>
      <c r="F9311" t="s">
        <v>65</v>
      </c>
      <c r="G9311" t="s">
        <v>66</v>
      </c>
      <c r="H9311" t="s">
        <v>67</v>
      </c>
      <c r="S9311">
        <v>1</v>
      </c>
      <c r="T9311">
        <v>0</v>
      </c>
      <c r="U9311">
        <v>0</v>
      </c>
      <c r="V9311">
        <v>0</v>
      </c>
      <c r="W9311">
        <v>1</v>
      </c>
      <c r="X9311">
        <v>0</v>
      </c>
      <c r="Y9311">
        <v>1</v>
      </c>
      <c r="Z9311">
        <v>0</v>
      </c>
      <c r="AA9311">
        <v>1</v>
      </c>
      <c r="AB9311">
        <v>0</v>
      </c>
      <c r="AC9311">
        <v>0</v>
      </c>
      <c r="AD9311">
        <v>1</v>
      </c>
      <c r="AE9311">
        <v>1</v>
      </c>
      <c r="AF9311">
        <v>1</v>
      </c>
      <c r="AG9311">
        <v>1</v>
      </c>
      <c r="AH9311">
        <v>1</v>
      </c>
      <c r="AI9311">
        <v>1</v>
      </c>
      <c r="AJ9311">
        <v>1</v>
      </c>
      <c r="AK9311">
        <v>1</v>
      </c>
      <c r="AL9311">
        <v>1</v>
      </c>
      <c r="AM9311">
        <v>1</v>
      </c>
    </row>
    <row r="9312" spans="1:39" x14ac:dyDescent="0.2">
      <c r="A9312" t="str">
        <f>"9308"</f>
        <v>9308</v>
      </c>
      <c r="B9312" t="str">
        <f t="shared" si="516"/>
        <v>1</v>
      </c>
      <c r="C9312" t="str">
        <f t="shared" si="518"/>
        <v>187</v>
      </c>
      <c r="D9312" t="str">
        <f>"28"</f>
        <v>28</v>
      </c>
      <c r="E9312" t="str">
        <f>"1-187-28"</f>
        <v>1-187-28</v>
      </c>
      <c r="F9312" t="s">
        <v>65</v>
      </c>
      <c r="G9312" t="s">
        <v>66</v>
      </c>
      <c r="H9312" t="s">
        <v>67</v>
      </c>
      <c r="S9312">
        <v>1</v>
      </c>
      <c r="T9312">
        <v>0</v>
      </c>
      <c r="U9312">
        <v>0</v>
      </c>
      <c r="V9312">
        <v>0</v>
      </c>
      <c r="W9312">
        <v>1</v>
      </c>
      <c r="X9312">
        <v>0</v>
      </c>
      <c r="Y9312">
        <v>1</v>
      </c>
      <c r="Z9312">
        <v>0</v>
      </c>
      <c r="AA9312">
        <v>1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1</v>
      </c>
      <c r="AJ9312">
        <v>0</v>
      </c>
      <c r="AK9312">
        <v>1</v>
      </c>
      <c r="AL9312">
        <v>1</v>
      </c>
      <c r="AM9312">
        <v>0</v>
      </c>
    </row>
    <row r="9313" spans="1:39" x14ac:dyDescent="0.2">
      <c r="A9313" t="str">
        <f>"9309"</f>
        <v>9309</v>
      </c>
      <c r="B9313" t="str">
        <f t="shared" si="516"/>
        <v>1</v>
      </c>
      <c r="C9313" t="str">
        <f t="shared" si="518"/>
        <v>187</v>
      </c>
      <c r="D9313" t="str">
        <f>"16"</f>
        <v>16</v>
      </c>
      <c r="E9313" t="str">
        <f>"1-187-16"</f>
        <v>1-187-16</v>
      </c>
      <c r="F9313" t="s">
        <v>65</v>
      </c>
      <c r="G9313" t="s">
        <v>66</v>
      </c>
      <c r="H9313" t="s">
        <v>67</v>
      </c>
      <c r="S9313">
        <v>0</v>
      </c>
      <c r="T9313">
        <v>0</v>
      </c>
      <c r="U9313">
        <v>0</v>
      </c>
      <c r="V9313">
        <v>0</v>
      </c>
      <c r="W9313">
        <v>1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1</v>
      </c>
      <c r="AK9313">
        <v>0</v>
      </c>
      <c r="AL9313">
        <v>1</v>
      </c>
      <c r="AM9313">
        <v>0</v>
      </c>
    </row>
    <row r="9314" spans="1:39" x14ac:dyDescent="0.2">
      <c r="A9314" t="str">
        <f>"9310"</f>
        <v>9310</v>
      </c>
      <c r="B9314" t="str">
        <f t="shared" si="516"/>
        <v>1</v>
      </c>
      <c r="C9314" t="str">
        <f t="shared" si="518"/>
        <v>187</v>
      </c>
      <c r="D9314" t="str">
        <f>"2"</f>
        <v>2</v>
      </c>
      <c r="E9314" t="str">
        <f>"1-187-2"</f>
        <v>1-187-2</v>
      </c>
      <c r="F9314" t="s">
        <v>65</v>
      </c>
      <c r="G9314" t="s">
        <v>66</v>
      </c>
      <c r="H9314" t="s">
        <v>67</v>
      </c>
      <c r="S9314">
        <v>0</v>
      </c>
      <c r="T9314">
        <v>1</v>
      </c>
      <c r="U9314">
        <v>0</v>
      </c>
      <c r="V9314">
        <v>0</v>
      </c>
      <c r="W9314">
        <v>0</v>
      </c>
      <c r="X9314">
        <v>1</v>
      </c>
      <c r="Y9314">
        <v>0</v>
      </c>
      <c r="Z9314">
        <v>0</v>
      </c>
      <c r="AA9314">
        <v>0</v>
      </c>
      <c r="AB9314">
        <v>0</v>
      </c>
      <c r="AC9314">
        <v>1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</row>
    <row r="9315" spans="1:39" x14ac:dyDescent="0.2">
      <c r="A9315" t="str">
        <f>"9311"</f>
        <v>9311</v>
      </c>
      <c r="B9315" t="str">
        <f t="shared" si="516"/>
        <v>1</v>
      </c>
      <c r="C9315" t="str">
        <f t="shared" si="518"/>
        <v>187</v>
      </c>
      <c r="D9315" t="str">
        <f>"40"</f>
        <v>40</v>
      </c>
      <c r="E9315" t="str">
        <f>"1-187-40"</f>
        <v>1-187-40</v>
      </c>
      <c r="F9315" t="s">
        <v>65</v>
      </c>
      <c r="G9315" t="s">
        <v>66</v>
      </c>
      <c r="H9315" t="s">
        <v>67</v>
      </c>
      <c r="S9315">
        <v>1</v>
      </c>
      <c r="T9315">
        <v>0</v>
      </c>
      <c r="U9315">
        <v>0</v>
      </c>
      <c r="V9315">
        <v>0</v>
      </c>
      <c r="W9315">
        <v>1</v>
      </c>
      <c r="X9315">
        <v>0</v>
      </c>
      <c r="Y9315">
        <v>1</v>
      </c>
      <c r="Z9315">
        <v>0</v>
      </c>
      <c r="AA9315">
        <v>1</v>
      </c>
      <c r="AB9315">
        <v>0</v>
      </c>
      <c r="AC9315">
        <v>0</v>
      </c>
      <c r="AD9315">
        <v>1</v>
      </c>
      <c r="AE9315">
        <v>1</v>
      </c>
      <c r="AF9315">
        <v>1</v>
      </c>
      <c r="AG9315">
        <v>1</v>
      </c>
      <c r="AH9315">
        <v>1</v>
      </c>
      <c r="AI9315">
        <v>1</v>
      </c>
      <c r="AJ9315">
        <v>1</v>
      </c>
      <c r="AK9315">
        <v>1</v>
      </c>
      <c r="AL9315">
        <v>1</v>
      </c>
      <c r="AM9315">
        <v>1</v>
      </c>
    </row>
    <row r="9316" spans="1:39" x14ac:dyDescent="0.2">
      <c r="A9316" t="str">
        <f>"9312"</f>
        <v>9312</v>
      </c>
      <c r="B9316" t="str">
        <f t="shared" si="516"/>
        <v>1</v>
      </c>
      <c r="C9316" t="str">
        <f t="shared" si="518"/>
        <v>187</v>
      </c>
      <c r="D9316" t="str">
        <f>"39"</f>
        <v>39</v>
      </c>
      <c r="E9316" t="str">
        <f>"1-187-39"</f>
        <v>1-187-39</v>
      </c>
      <c r="F9316" t="s">
        <v>65</v>
      </c>
      <c r="G9316" t="s">
        <v>66</v>
      </c>
      <c r="H9316" t="s">
        <v>67</v>
      </c>
      <c r="S9316">
        <v>0</v>
      </c>
      <c r="T9316">
        <v>1</v>
      </c>
      <c r="U9316">
        <v>0</v>
      </c>
      <c r="V9316">
        <v>0</v>
      </c>
      <c r="W9316">
        <v>1</v>
      </c>
      <c r="X9316">
        <v>0</v>
      </c>
      <c r="Y9316">
        <v>1</v>
      </c>
      <c r="Z9316">
        <v>0</v>
      </c>
      <c r="AA9316">
        <v>1</v>
      </c>
      <c r="AB9316">
        <v>0</v>
      </c>
      <c r="AC9316">
        <v>0</v>
      </c>
      <c r="AD9316">
        <v>1</v>
      </c>
      <c r="AE9316">
        <v>1</v>
      </c>
      <c r="AF9316">
        <v>1</v>
      </c>
      <c r="AG9316">
        <v>1</v>
      </c>
      <c r="AH9316">
        <v>1</v>
      </c>
      <c r="AI9316">
        <v>1</v>
      </c>
      <c r="AJ9316">
        <v>1</v>
      </c>
      <c r="AK9316">
        <v>1</v>
      </c>
      <c r="AL9316">
        <v>1</v>
      </c>
      <c r="AM9316">
        <v>1</v>
      </c>
    </row>
    <row r="9317" spans="1:39" x14ac:dyDescent="0.2">
      <c r="A9317" t="str">
        <f>"9313"</f>
        <v>9313</v>
      </c>
      <c r="B9317" t="str">
        <f t="shared" si="516"/>
        <v>1</v>
      </c>
      <c r="C9317" t="str">
        <f t="shared" si="518"/>
        <v>187</v>
      </c>
      <c r="D9317" t="str">
        <f>"27"</f>
        <v>27</v>
      </c>
      <c r="E9317" t="str">
        <f>"1-187-27"</f>
        <v>1-187-27</v>
      </c>
      <c r="F9317" t="s">
        <v>65</v>
      </c>
      <c r="G9317" t="s">
        <v>66</v>
      </c>
      <c r="H9317" t="s">
        <v>67</v>
      </c>
      <c r="S9317">
        <v>1</v>
      </c>
      <c r="T9317">
        <v>0</v>
      </c>
      <c r="U9317">
        <v>0</v>
      </c>
      <c r="V9317">
        <v>0</v>
      </c>
      <c r="W9317">
        <v>0</v>
      </c>
      <c r="X9317">
        <v>1</v>
      </c>
      <c r="Y9317">
        <v>0</v>
      </c>
      <c r="Z9317">
        <v>1</v>
      </c>
      <c r="AA9317">
        <v>0</v>
      </c>
      <c r="AB9317">
        <v>1</v>
      </c>
      <c r="AC9317">
        <v>0</v>
      </c>
      <c r="AD9317">
        <v>1</v>
      </c>
      <c r="AE9317">
        <v>1</v>
      </c>
      <c r="AF9317">
        <v>1</v>
      </c>
      <c r="AG9317">
        <v>0</v>
      </c>
      <c r="AH9317">
        <v>1</v>
      </c>
      <c r="AI9317">
        <v>1</v>
      </c>
      <c r="AJ9317">
        <v>1</v>
      </c>
      <c r="AK9317">
        <v>1</v>
      </c>
      <c r="AL9317">
        <v>1</v>
      </c>
      <c r="AM9317">
        <v>1</v>
      </c>
    </row>
    <row r="9318" spans="1:39" x14ac:dyDescent="0.2">
      <c r="A9318" t="str">
        <f>"9314"</f>
        <v>9314</v>
      </c>
      <c r="B9318" t="str">
        <f t="shared" si="516"/>
        <v>1</v>
      </c>
      <c r="C9318" t="str">
        <f t="shared" si="518"/>
        <v>187</v>
      </c>
      <c r="D9318" t="str">
        <f>"17"</f>
        <v>17</v>
      </c>
      <c r="E9318" t="str">
        <f>"1-187-17"</f>
        <v>1-187-17</v>
      </c>
      <c r="F9318" t="s">
        <v>65</v>
      </c>
      <c r="G9318" t="s">
        <v>66</v>
      </c>
      <c r="H9318" t="s">
        <v>67</v>
      </c>
      <c r="S9318">
        <v>0</v>
      </c>
      <c r="T9318">
        <v>0</v>
      </c>
      <c r="U9318">
        <v>0</v>
      </c>
      <c r="V9318">
        <v>0</v>
      </c>
      <c r="W9318">
        <v>1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1</v>
      </c>
      <c r="AK9318">
        <v>0</v>
      </c>
      <c r="AL9318">
        <v>1</v>
      </c>
      <c r="AM9318">
        <v>0</v>
      </c>
    </row>
    <row r="9319" spans="1:39" x14ac:dyDescent="0.2">
      <c r="A9319" t="str">
        <f>"9315"</f>
        <v>9315</v>
      </c>
      <c r="B9319" t="str">
        <f t="shared" si="516"/>
        <v>1</v>
      </c>
      <c r="C9319" t="str">
        <f t="shared" si="518"/>
        <v>187</v>
      </c>
      <c r="D9319" t="str">
        <f>"10"</f>
        <v>10</v>
      </c>
      <c r="E9319" t="str">
        <f>"1-187-10"</f>
        <v>1-187-10</v>
      </c>
      <c r="F9319" t="s">
        <v>65</v>
      </c>
      <c r="G9319" t="s">
        <v>66</v>
      </c>
      <c r="H9319" t="s">
        <v>67</v>
      </c>
      <c r="S9319">
        <v>0</v>
      </c>
      <c r="T9319">
        <v>1</v>
      </c>
      <c r="U9319">
        <v>0</v>
      </c>
      <c r="V9319">
        <v>0</v>
      </c>
      <c r="W9319">
        <v>1</v>
      </c>
      <c r="X9319">
        <v>0</v>
      </c>
      <c r="Y9319">
        <v>0</v>
      </c>
      <c r="Z9319">
        <v>1</v>
      </c>
      <c r="AA9319">
        <v>0</v>
      </c>
      <c r="AB9319">
        <v>0</v>
      </c>
      <c r="AC9319">
        <v>1</v>
      </c>
      <c r="AD9319">
        <v>1</v>
      </c>
      <c r="AE9319">
        <v>1</v>
      </c>
      <c r="AF9319">
        <v>1</v>
      </c>
      <c r="AG9319">
        <v>1</v>
      </c>
      <c r="AH9319">
        <v>1</v>
      </c>
      <c r="AI9319">
        <v>1</v>
      </c>
      <c r="AJ9319">
        <v>1</v>
      </c>
      <c r="AK9319">
        <v>1</v>
      </c>
      <c r="AL9319">
        <v>1</v>
      </c>
      <c r="AM9319">
        <v>1</v>
      </c>
    </row>
    <row r="9320" spans="1:39" x14ac:dyDescent="0.2">
      <c r="A9320" t="str">
        <f>"9316"</f>
        <v>9316</v>
      </c>
      <c r="B9320" t="str">
        <f t="shared" si="516"/>
        <v>1</v>
      </c>
      <c r="C9320" t="str">
        <f t="shared" si="518"/>
        <v>187</v>
      </c>
      <c r="D9320" t="str">
        <f>"36"</f>
        <v>36</v>
      </c>
      <c r="E9320" t="str">
        <f>"1-187-36"</f>
        <v>1-187-36</v>
      </c>
      <c r="F9320" t="s">
        <v>65</v>
      </c>
      <c r="G9320" t="s">
        <v>66</v>
      </c>
      <c r="H9320" t="s">
        <v>67</v>
      </c>
      <c r="S9320">
        <v>0</v>
      </c>
      <c r="T9320">
        <v>1</v>
      </c>
      <c r="U9320">
        <v>0</v>
      </c>
      <c r="V9320">
        <v>0</v>
      </c>
      <c r="W9320">
        <v>1</v>
      </c>
      <c r="X9320">
        <v>0</v>
      </c>
      <c r="Y9320">
        <v>0</v>
      </c>
      <c r="Z9320">
        <v>1</v>
      </c>
      <c r="AA9320">
        <v>1</v>
      </c>
      <c r="AB9320">
        <v>0</v>
      </c>
      <c r="AC9320">
        <v>0</v>
      </c>
      <c r="AD9320">
        <v>1</v>
      </c>
      <c r="AE9320">
        <v>1</v>
      </c>
      <c r="AF9320">
        <v>1</v>
      </c>
      <c r="AG9320">
        <v>1</v>
      </c>
      <c r="AH9320">
        <v>1</v>
      </c>
      <c r="AI9320">
        <v>1</v>
      </c>
      <c r="AJ9320">
        <v>1</v>
      </c>
      <c r="AK9320">
        <v>1</v>
      </c>
      <c r="AL9320">
        <v>1</v>
      </c>
      <c r="AM9320">
        <v>1</v>
      </c>
    </row>
    <row r="9321" spans="1:39" x14ac:dyDescent="0.2">
      <c r="A9321" t="str">
        <f>"9317"</f>
        <v>9317</v>
      </c>
      <c r="B9321" t="str">
        <f t="shared" si="516"/>
        <v>1</v>
      </c>
      <c r="C9321" t="str">
        <f t="shared" si="518"/>
        <v>187</v>
      </c>
      <c r="D9321" t="str">
        <f>"35"</f>
        <v>35</v>
      </c>
      <c r="E9321" t="str">
        <f>"1-187-35"</f>
        <v>1-187-35</v>
      </c>
      <c r="F9321" t="s">
        <v>65</v>
      </c>
      <c r="G9321" t="s">
        <v>66</v>
      </c>
      <c r="H9321" t="s">
        <v>67</v>
      </c>
      <c r="S9321">
        <v>0</v>
      </c>
      <c r="T9321">
        <v>1</v>
      </c>
      <c r="U9321">
        <v>0</v>
      </c>
      <c r="V9321">
        <v>0</v>
      </c>
      <c r="W9321">
        <v>0</v>
      </c>
      <c r="X9321">
        <v>1</v>
      </c>
      <c r="Y9321">
        <v>1</v>
      </c>
      <c r="Z9321">
        <v>0</v>
      </c>
      <c r="AA9321">
        <v>0</v>
      </c>
      <c r="AB9321">
        <v>0</v>
      </c>
      <c r="AC9321">
        <v>1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</row>
    <row r="9322" spans="1:39" x14ac:dyDescent="0.2">
      <c r="A9322" t="str">
        <f>"9318"</f>
        <v>9318</v>
      </c>
      <c r="B9322" t="str">
        <f t="shared" si="516"/>
        <v>1</v>
      </c>
      <c r="C9322" t="str">
        <f t="shared" si="518"/>
        <v>187</v>
      </c>
      <c r="D9322" t="str">
        <f>"21"</f>
        <v>21</v>
      </c>
      <c r="E9322" t="str">
        <f>"1-187-21"</f>
        <v>1-187-21</v>
      </c>
      <c r="F9322" t="s">
        <v>65</v>
      </c>
      <c r="G9322" t="s">
        <v>66</v>
      </c>
      <c r="H9322" t="s">
        <v>67</v>
      </c>
      <c r="S9322">
        <v>0</v>
      </c>
      <c r="T9322">
        <v>1</v>
      </c>
      <c r="U9322">
        <v>0</v>
      </c>
      <c r="V9322">
        <v>0</v>
      </c>
      <c r="W9322">
        <v>1</v>
      </c>
      <c r="X9322">
        <v>0</v>
      </c>
      <c r="Y9322">
        <v>1</v>
      </c>
      <c r="Z9322">
        <v>0</v>
      </c>
      <c r="AA9322">
        <v>1</v>
      </c>
      <c r="AB9322">
        <v>0</v>
      </c>
      <c r="AC9322">
        <v>0</v>
      </c>
      <c r="AD9322">
        <v>1</v>
      </c>
      <c r="AE9322">
        <v>1</v>
      </c>
      <c r="AF9322">
        <v>1</v>
      </c>
      <c r="AG9322">
        <v>1</v>
      </c>
      <c r="AH9322">
        <v>1</v>
      </c>
      <c r="AI9322">
        <v>1</v>
      </c>
      <c r="AJ9322">
        <v>1</v>
      </c>
      <c r="AK9322">
        <v>1</v>
      </c>
      <c r="AL9322">
        <v>1</v>
      </c>
      <c r="AM9322">
        <v>1</v>
      </c>
    </row>
    <row r="9323" spans="1:39" x14ac:dyDescent="0.2">
      <c r="A9323" t="str">
        <f>"9319"</f>
        <v>9319</v>
      </c>
      <c r="B9323" t="str">
        <f t="shared" si="516"/>
        <v>1</v>
      </c>
      <c r="C9323" t="str">
        <f t="shared" si="518"/>
        <v>187</v>
      </c>
      <c r="D9323" t="str">
        <f>"18"</f>
        <v>18</v>
      </c>
      <c r="E9323" t="str">
        <f>"1-187-18"</f>
        <v>1-187-18</v>
      </c>
      <c r="F9323" t="s">
        <v>65</v>
      </c>
      <c r="G9323" t="s">
        <v>66</v>
      </c>
      <c r="H9323" t="s">
        <v>67</v>
      </c>
      <c r="S9323">
        <v>0</v>
      </c>
      <c r="T9323">
        <v>1</v>
      </c>
      <c r="U9323">
        <v>0</v>
      </c>
      <c r="V9323">
        <v>0</v>
      </c>
      <c r="W9323">
        <v>1</v>
      </c>
      <c r="X9323">
        <v>0</v>
      </c>
      <c r="Y9323">
        <v>1</v>
      </c>
      <c r="Z9323">
        <v>0</v>
      </c>
      <c r="AA9323">
        <v>0</v>
      </c>
      <c r="AB9323">
        <v>0</v>
      </c>
      <c r="AC9323">
        <v>1</v>
      </c>
      <c r="AD9323">
        <v>1</v>
      </c>
      <c r="AE9323">
        <v>1</v>
      </c>
      <c r="AF9323">
        <v>1</v>
      </c>
      <c r="AG9323">
        <v>1</v>
      </c>
      <c r="AH9323">
        <v>1</v>
      </c>
      <c r="AI9323">
        <v>1</v>
      </c>
      <c r="AJ9323">
        <v>1</v>
      </c>
      <c r="AK9323">
        <v>1</v>
      </c>
      <c r="AL9323">
        <v>1</v>
      </c>
      <c r="AM9323">
        <v>1</v>
      </c>
    </row>
    <row r="9324" spans="1:39" x14ac:dyDescent="0.2">
      <c r="A9324" t="str">
        <f>"9320"</f>
        <v>9320</v>
      </c>
      <c r="B9324" t="str">
        <f t="shared" si="516"/>
        <v>1</v>
      </c>
      <c r="C9324" t="str">
        <f t="shared" si="518"/>
        <v>187</v>
      </c>
      <c r="D9324" t="str">
        <f>"4"</f>
        <v>4</v>
      </c>
      <c r="E9324" t="str">
        <f>"1-187-4"</f>
        <v>1-187-4</v>
      </c>
      <c r="F9324" t="s">
        <v>65</v>
      </c>
      <c r="G9324" t="s">
        <v>66</v>
      </c>
      <c r="H9324" t="s">
        <v>67</v>
      </c>
      <c r="S9324">
        <v>0</v>
      </c>
      <c r="T9324">
        <v>1</v>
      </c>
      <c r="U9324">
        <v>0</v>
      </c>
      <c r="V9324">
        <v>0</v>
      </c>
      <c r="W9324">
        <v>1</v>
      </c>
      <c r="X9324">
        <v>0</v>
      </c>
      <c r="Y9324">
        <v>0</v>
      </c>
      <c r="Z9324">
        <v>1</v>
      </c>
      <c r="AA9324">
        <v>1</v>
      </c>
      <c r="AB9324">
        <v>0</v>
      </c>
      <c r="AC9324">
        <v>0</v>
      </c>
      <c r="AD9324">
        <v>1</v>
      </c>
      <c r="AE9324">
        <v>1</v>
      </c>
      <c r="AF9324">
        <v>1</v>
      </c>
      <c r="AG9324">
        <v>1</v>
      </c>
      <c r="AH9324">
        <v>1</v>
      </c>
      <c r="AI9324">
        <v>1</v>
      </c>
      <c r="AJ9324">
        <v>1</v>
      </c>
      <c r="AK9324">
        <v>1</v>
      </c>
      <c r="AL9324">
        <v>1</v>
      </c>
      <c r="AM9324">
        <v>1</v>
      </c>
    </row>
    <row r="9325" spans="1:39" x14ac:dyDescent="0.2">
      <c r="A9325" t="str">
        <f>"9321"</f>
        <v>9321</v>
      </c>
      <c r="B9325" t="str">
        <f t="shared" si="516"/>
        <v>1</v>
      </c>
      <c r="C9325" t="str">
        <f t="shared" si="518"/>
        <v>187</v>
      </c>
      <c r="D9325" t="str">
        <f>"33"</f>
        <v>33</v>
      </c>
      <c r="E9325" t="str">
        <f>"1-187-33"</f>
        <v>1-187-33</v>
      </c>
      <c r="F9325" t="s">
        <v>65</v>
      </c>
      <c r="G9325" t="s">
        <v>66</v>
      </c>
      <c r="H9325" t="s">
        <v>67</v>
      </c>
      <c r="S9325">
        <v>1</v>
      </c>
      <c r="T9325">
        <v>0</v>
      </c>
      <c r="U9325">
        <v>0</v>
      </c>
      <c r="V9325">
        <v>0</v>
      </c>
      <c r="W9325">
        <v>1</v>
      </c>
      <c r="X9325">
        <v>0</v>
      </c>
      <c r="Y9325">
        <v>1</v>
      </c>
      <c r="Z9325">
        <v>0</v>
      </c>
      <c r="AA9325">
        <v>0</v>
      </c>
      <c r="AB9325">
        <v>0</v>
      </c>
      <c r="AC9325">
        <v>1</v>
      </c>
      <c r="AD9325">
        <v>1</v>
      </c>
      <c r="AE9325">
        <v>1</v>
      </c>
      <c r="AF9325">
        <v>1</v>
      </c>
      <c r="AG9325">
        <v>1</v>
      </c>
      <c r="AH9325">
        <v>1</v>
      </c>
      <c r="AI9325">
        <v>1</v>
      </c>
      <c r="AJ9325">
        <v>1</v>
      </c>
      <c r="AK9325">
        <v>1</v>
      </c>
      <c r="AL9325">
        <v>1</v>
      </c>
      <c r="AM9325">
        <v>1</v>
      </c>
    </row>
    <row r="9326" spans="1:39" x14ac:dyDescent="0.2">
      <c r="A9326" t="str">
        <f>"9322"</f>
        <v>9322</v>
      </c>
      <c r="B9326" t="str">
        <f t="shared" si="516"/>
        <v>1</v>
      </c>
      <c r="C9326" t="str">
        <f t="shared" si="518"/>
        <v>187</v>
      </c>
      <c r="D9326" t="str">
        <f>"19"</f>
        <v>19</v>
      </c>
      <c r="E9326" t="str">
        <f>"1-187-19"</f>
        <v>1-187-19</v>
      </c>
      <c r="F9326" t="s">
        <v>65</v>
      </c>
      <c r="G9326" t="s">
        <v>66</v>
      </c>
      <c r="H9326" t="s">
        <v>67</v>
      </c>
      <c r="S9326">
        <v>1</v>
      </c>
      <c r="T9326">
        <v>0</v>
      </c>
      <c r="U9326">
        <v>0</v>
      </c>
      <c r="V9326">
        <v>0</v>
      </c>
      <c r="W9326">
        <v>1</v>
      </c>
      <c r="X9326">
        <v>0</v>
      </c>
      <c r="Y9326">
        <v>1</v>
      </c>
      <c r="Z9326">
        <v>0</v>
      </c>
      <c r="AA9326">
        <v>0</v>
      </c>
      <c r="AB9326">
        <v>0</v>
      </c>
      <c r="AC9326">
        <v>1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</row>
    <row r="9327" spans="1:39" x14ac:dyDescent="0.2">
      <c r="A9327" t="str">
        <f>"9323"</f>
        <v>9323</v>
      </c>
      <c r="B9327" t="str">
        <f t="shared" si="516"/>
        <v>1</v>
      </c>
      <c r="C9327" t="str">
        <f t="shared" si="518"/>
        <v>187</v>
      </c>
      <c r="D9327" t="str">
        <f>"5"</f>
        <v>5</v>
      </c>
      <c r="E9327" t="str">
        <f>"1-187-5"</f>
        <v>1-187-5</v>
      </c>
      <c r="F9327" t="s">
        <v>65</v>
      </c>
      <c r="G9327" t="s">
        <v>66</v>
      </c>
      <c r="H9327" t="s">
        <v>67</v>
      </c>
      <c r="S9327">
        <v>1</v>
      </c>
      <c r="T9327">
        <v>0</v>
      </c>
      <c r="U9327">
        <v>0</v>
      </c>
      <c r="V9327">
        <v>0</v>
      </c>
      <c r="W9327">
        <v>1</v>
      </c>
      <c r="X9327">
        <v>0</v>
      </c>
      <c r="Y9327">
        <v>0</v>
      </c>
      <c r="Z9327">
        <v>1</v>
      </c>
      <c r="AA9327">
        <v>1</v>
      </c>
      <c r="AB9327">
        <v>0</v>
      </c>
      <c r="AC9327">
        <v>0</v>
      </c>
      <c r="AD9327">
        <v>1</v>
      </c>
      <c r="AE9327">
        <v>1</v>
      </c>
      <c r="AF9327">
        <v>1</v>
      </c>
      <c r="AG9327">
        <v>1</v>
      </c>
      <c r="AH9327">
        <v>1</v>
      </c>
      <c r="AI9327">
        <v>1</v>
      </c>
      <c r="AJ9327">
        <v>1</v>
      </c>
      <c r="AK9327">
        <v>1</v>
      </c>
      <c r="AL9327">
        <v>1</v>
      </c>
      <c r="AM9327">
        <v>1</v>
      </c>
    </row>
    <row r="9328" spans="1:39" x14ac:dyDescent="0.2">
      <c r="A9328" t="str">
        <f>"9324"</f>
        <v>9324</v>
      </c>
      <c r="B9328" t="str">
        <f t="shared" si="516"/>
        <v>1</v>
      </c>
      <c r="C9328" t="str">
        <f t="shared" si="518"/>
        <v>187</v>
      </c>
      <c r="D9328" t="str">
        <f>"34"</f>
        <v>34</v>
      </c>
      <c r="E9328" t="str">
        <f>"1-187-34"</f>
        <v>1-187-34</v>
      </c>
      <c r="F9328" t="s">
        <v>65</v>
      </c>
      <c r="G9328" t="s">
        <v>66</v>
      </c>
      <c r="H9328" t="s">
        <v>67</v>
      </c>
      <c r="S9328">
        <v>1</v>
      </c>
      <c r="T9328">
        <v>0</v>
      </c>
      <c r="U9328">
        <v>0</v>
      </c>
      <c r="V9328">
        <v>0</v>
      </c>
      <c r="W9328">
        <v>1</v>
      </c>
      <c r="X9328">
        <v>0</v>
      </c>
      <c r="Y9328">
        <v>1</v>
      </c>
      <c r="Z9328">
        <v>0</v>
      </c>
      <c r="AA9328">
        <v>1</v>
      </c>
      <c r="AB9328">
        <v>0</v>
      </c>
      <c r="AC9328">
        <v>0</v>
      </c>
      <c r="AD9328">
        <v>1</v>
      </c>
      <c r="AE9328">
        <v>1</v>
      </c>
      <c r="AF9328">
        <v>0</v>
      </c>
      <c r="AG9328">
        <v>0</v>
      </c>
      <c r="AH9328">
        <v>0</v>
      </c>
      <c r="AI9328">
        <v>1</v>
      </c>
      <c r="AJ9328">
        <v>0</v>
      </c>
      <c r="AK9328">
        <v>0</v>
      </c>
      <c r="AL9328">
        <v>1</v>
      </c>
      <c r="AM9328">
        <v>0</v>
      </c>
    </row>
    <row r="9329" spans="1:39" x14ac:dyDescent="0.2">
      <c r="A9329" t="str">
        <f>"9325"</f>
        <v>9325</v>
      </c>
      <c r="B9329" t="str">
        <f t="shared" si="516"/>
        <v>1</v>
      </c>
      <c r="C9329" t="str">
        <f t="shared" si="518"/>
        <v>187</v>
      </c>
      <c r="D9329" t="str">
        <f>"20"</f>
        <v>20</v>
      </c>
      <c r="E9329" t="str">
        <f>"1-187-20"</f>
        <v>1-187-20</v>
      </c>
      <c r="F9329" t="s">
        <v>65</v>
      </c>
      <c r="G9329" t="s">
        <v>66</v>
      </c>
      <c r="H9329" t="s">
        <v>67</v>
      </c>
      <c r="S9329">
        <v>1</v>
      </c>
      <c r="T9329">
        <v>0</v>
      </c>
      <c r="U9329">
        <v>0</v>
      </c>
      <c r="V9329">
        <v>0</v>
      </c>
      <c r="W9329">
        <v>1</v>
      </c>
      <c r="X9329">
        <v>0</v>
      </c>
      <c r="Y9329">
        <v>1</v>
      </c>
      <c r="Z9329">
        <v>0</v>
      </c>
      <c r="AA9329">
        <v>0</v>
      </c>
      <c r="AB9329">
        <v>0</v>
      </c>
      <c r="AC9329">
        <v>1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</row>
    <row r="9330" spans="1:39" x14ac:dyDescent="0.2">
      <c r="A9330" t="str">
        <f>"9326"</f>
        <v>9326</v>
      </c>
      <c r="B9330" t="str">
        <f t="shared" si="516"/>
        <v>1</v>
      </c>
      <c r="C9330" t="str">
        <f t="shared" si="518"/>
        <v>187</v>
      </c>
      <c r="D9330" t="str">
        <f>"12"</f>
        <v>12</v>
      </c>
      <c r="E9330" t="str">
        <f>"1-187-12"</f>
        <v>1-187-12</v>
      </c>
      <c r="F9330" t="s">
        <v>65</v>
      </c>
      <c r="G9330" t="s">
        <v>66</v>
      </c>
      <c r="H9330" t="s">
        <v>67</v>
      </c>
      <c r="S9330">
        <v>1</v>
      </c>
      <c r="T9330">
        <v>0</v>
      </c>
      <c r="U9330">
        <v>0</v>
      </c>
      <c r="V9330">
        <v>0</v>
      </c>
      <c r="W9330">
        <v>0</v>
      </c>
      <c r="X9330">
        <v>1</v>
      </c>
      <c r="Y9330">
        <v>1</v>
      </c>
      <c r="Z9330">
        <v>0</v>
      </c>
      <c r="AA9330">
        <v>0</v>
      </c>
      <c r="AB9330">
        <v>0</v>
      </c>
      <c r="AC9330">
        <v>1</v>
      </c>
      <c r="AD9330">
        <v>1</v>
      </c>
      <c r="AE9330">
        <v>1</v>
      </c>
      <c r="AF9330">
        <v>1</v>
      </c>
      <c r="AG9330">
        <v>1</v>
      </c>
      <c r="AH9330">
        <v>1</v>
      </c>
      <c r="AI9330">
        <v>1</v>
      </c>
      <c r="AJ9330">
        <v>1</v>
      </c>
      <c r="AK9330">
        <v>1</v>
      </c>
      <c r="AL9330">
        <v>1</v>
      </c>
      <c r="AM9330">
        <v>1</v>
      </c>
    </row>
    <row r="9331" spans="1:39" x14ac:dyDescent="0.2">
      <c r="A9331" t="str">
        <f>"9327"</f>
        <v>9327</v>
      </c>
      <c r="B9331" t="str">
        <f t="shared" si="516"/>
        <v>1</v>
      </c>
      <c r="C9331" t="str">
        <f t="shared" si="518"/>
        <v>187</v>
      </c>
      <c r="D9331" t="str">
        <f>"43"</f>
        <v>43</v>
      </c>
      <c r="E9331" t="str">
        <f>"1-187-43"</f>
        <v>1-187-43</v>
      </c>
      <c r="F9331" t="s">
        <v>65</v>
      </c>
      <c r="G9331" t="s">
        <v>66</v>
      </c>
      <c r="H9331" t="s">
        <v>67</v>
      </c>
      <c r="S9331">
        <v>0</v>
      </c>
      <c r="T9331">
        <v>1</v>
      </c>
      <c r="U9331">
        <v>0</v>
      </c>
      <c r="V9331">
        <v>0</v>
      </c>
      <c r="W9331">
        <v>0</v>
      </c>
      <c r="X9331">
        <v>1</v>
      </c>
      <c r="Y9331">
        <v>0</v>
      </c>
      <c r="Z9331">
        <v>1</v>
      </c>
      <c r="AA9331">
        <v>0</v>
      </c>
      <c r="AB9331">
        <v>0</v>
      </c>
      <c r="AC9331">
        <v>1</v>
      </c>
      <c r="AD9331">
        <v>1</v>
      </c>
      <c r="AE9331">
        <v>1</v>
      </c>
      <c r="AF9331">
        <v>1</v>
      </c>
      <c r="AG9331">
        <v>1</v>
      </c>
      <c r="AH9331">
        <v>1</v>
      </c>
      <c r="AI9331">
        <v>1</v>
      </c>
      <c r="AJ9331">
        <v>1</v>
      </c>
      <c r="AK9331">
        <v>1</v>
      </c>
      <c r="AL9331">
        <v>1</v>
      </c>
      <c r="AM9331">
        <v>1</v>
      </c>
    </row>
    <row r="9332" spans="1:39" x14ac:dyDescent="0.2">
      <c r="A9332" t="str">
        <f>"9328"</f>
        <v>9328</v>
      </c>
      <c r="B9332" t="str">
        <f t="shared" si="516"/>
        <v>1</v>
      </c>
      <c r="C9332" t="str">
        <f t="shared" si="518"/>
        <v>187</v>
      </c>
      <c r="D9332" t="str">
        <f>"14"</f>
        <v>14</v>
      </c>
      <c r="E9332" t="str">
        <f>"1-187-14"</f>
        <v>1-187-14</v>
      </c>
      <c r="F9332" t="s">
        <v>65</v>
      </c>
      <c r="G9332" t="s">
        <v>66</v>
      </c>
      <c r="H9332" t="s">
        <v>67</v>
      </c>
      <c r="S9332">
        <v>0</v>
      </c>
      <c r="T9332">
        <v>1</v>
      </c>
      <c r="U9332">
        <v>0</v>
      </c>
      <c r="V9332">
        <v>0</v>
      </c>
      <c r="W9332">
        <v>1</v>
      </c>
      <c r="X9332">
        <v>0</v>
      </c>
      <c r="Y9332">
        <v>1</v>
      </c>
      <c r="Z9332">
        <v>0</v>
      </c>
      <c r="AA9332">
        <v>0</v>
      </c>
      <c r="AB9332">
        <v>0</v>
      </c>
      <c r="AC9332">
        <v>1</v>
      </c>
      <c r="AD9332">
        <v>1</v>
      </c>
      <c r="AE9332">
        <v>1</v>
      </c>
      <c r="AF9332">
        <v>1</v>
      </c>
      <c r="AG9332">
        <v>1</v>
      </c>
      <c r="AH9332">
        <v>1</v>
      </c>
      <c r="AI9332">
        <v>1</v>
      </c>
      <c r="AJ9332">
        <v>1</v>
      </c>
      <c r="AK9332">
        <v>1</v>
      </c>
      <c r="AL9332">
        <v>1</v>
      </c>
      <c r="AM9332">
        <v>1</v>
      </c>
    </row>
    <row r="9333" spans="1:39" x14ac:dyDescent="0.2">
      <c r="A9333" t="str">
        <f>"9329"</f>
        <v>9329</v>
      </c>
      <c r="B9333" t="str">
        <f t="shared" si="516"/>
        <v>1</v>
      </c>
      <c r="C9333" t="str">
        <f t="shared" si="518"/>
        <v>187</v>
      </c>
      <c r="D9333" t="str">
        <f>"44"</f>
        <v>44</v>
      </c>
      <c r="E9333" t="str">
        <f>"1-187-44"</f>
        <v>1-187-44</v>
      </c>
      <c r="F9333" t="s">
        <v>65</v>
      </c>
      <c r="G9333" t="s">
        <v>66</v>
      </c>
      <c r="H9333" t="s">
        <v>67</v>
      </c>
      <c r="S9333">
        <v>0</v>
      </c>
      <c r="T9333">
        <v>1</v>
      </c>
      <c r="U9333">
        <v>0</v>
      </c>
      <c r="V9333">
        <v>0</v>
      </c>
      <c r="W9333">
        <v>1</v>
      </c>
      <c r="X9333">
        <v>0</v>
      </c>
      <c r="Y9333">
        <v>0</v>
      </c>
      <c r="Z9333">
        <v>1</v>
      </c>
      <c r="AA9333">
        <v>0</v>
      </c>
      <c r="AB9333">
        <v>0</v>
      </c>
      <c r="AC9333">
        <v>1</v>
      </c>
      <c r="AD9333">
        <v>1</v>
      </c>
      <c r="AE9333">
        <v>1</v>
      </c>
      <c r="AF9333">
        <v>1</v>
      </c>
      <c r="AG9333">
        <v>1</v>
      </c>
      <c r="AH9333">
        <v>1</v>
      </c>
      <c r="AI9333">
        <v>1</v>
      </c>
      <c r="AJ9333">
        <v>1</v>
      </c>
      <c r="AK9333">
        <v>1</v>
      </c>
      <c r="AL9333">
        <v>1</v>
      </c>
      <c r="AM9333">
        <v>1</v>
      </c>
    </row>
    <row r="9334" spans="1:39" x14ac:dyDescent="0.2">
      <c r="A9334" t="str">
        <f>"9330"</f>
        <v>9330</v>
      </c>
      <c r="B9334" t="str">
        <f t="shared" si="516"/>
        <v>1</v>
      </c>
      <c r="C9334" t="str">
        <f t="shared" si="518"/>
        <v>187</v>
      </c>
      <c r="D9334" t="str">
        <f>"24"</f>
        <v>24</v>
      </c>
      <c r="E9334" t="str">
        <f>"1-187-24"</f>
        <v>1-187-24</v>
      </c>
      <c r="F9334" t="s">
        <v>65</v>
      </c>
      <c r="G9334" t="s">
        <v>66</v>
      </c>
      <c r="H9334" t="s">
        <v>67</v>
      </c>
      <c r="S9334">
        <v>0</v>
      </c>
      <c r="T9334">
        <v>1</v>
      </c>
      <c r="U9334">
        <v>0</v>
      </c>
      <c r="V9334">
        <v>0</v>
      </c>
      <c r="W9334">
        <v>1</v>
      </c>
      <c r="X9334">
        <v>0</v>
      </c>
      <c r="Y9334">
        <v>0</v>
      </c>
      <c r="Z9334">
        <v>1</v>
      </c>
      <c r="AA9334">
        <v>1</v>
      </c>
      <c r="AB9334">
        <v>0</v>
      </c>
      <c r="AC9334">
        <v>0</v>
      </c>
      <c r="AD9334">
        <v>1</v>
      </c>
      <c r="AE9334">
        <v>1</v>
      </c>
      <c r="AF9334">
        <v>1</v>
      </c>
      <c r="AG9334">
        <v>1</v>
      </c>
      <c r="AH9334">
        <v>1</v>
      </c>
      <c r="AI9334">
        <v>1</v>
      </c>
      <c r="AJ9334">
        <v>1</v>
      </c>
      <c r="AK9334">
        <v>1</v>
      </c>
      <c r="AL9334">
        <v>1</v>
      </c>
      <c r="AM9334">
        <v>1</v>
      </c>
    </row>
    <row r="9335" spans="1:39" x14ac:dyDescent="0.2">
      <c r="A9335" t="str">
        <f>"9331"</f>
        <v>9331</v>
      </c>
      <c r="B9335" t="str">
        <f t="shared" ref="B9335:B9398" si="519">"1"</f>
        <v>1</v>
      </c>
      <c r="C9335" t="str">
        <f t="shared" si="518"/>
        <v>187</v>
      </c>
      <c r="D9335" t="str">
        <f>"6"</f>
        <v>6</v>
      </c>
      <c r="E9335" t="str">
        <f>"1-187-6"</f>
        <v>1-187-6</v>
      </c>
      <c r="F9335" t="s">
        <v>65</v>
      </c>
      <c r="G9335" t="s">
        <v>66</v>
      </c>
      <c r="H9335" t="s">
        <v>67</v>
      </c>
      <c r="S9335">
        <v>1</v>
      </c>
      <c r="T9335">
        <v>0</v>
      </c>
      <c r="U9335">
        <v>0</v>
      </c>
      <c r="V9335">
        <v>0</v>
      </c>
      <c r="W9335">
        <v>0</v>
      </c>
      <c r="X9335">
        <v>1</v>
      </c>
      <c r="Y9335">
        <v>0</v>
      </c>
      <c r="Z9335">
        <v>1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1</v>
      </c>
      <c r="AK9335">
        <v>1</v>
      </c>
      <c r="AL9335">
        <v>0</v>
      </c>
      <c r="AM9335">
        <v>0</v>
      </c>
    </row>
    <row r="9336" spans="1:39" x14ac:dyDescent="0.2">
      <c r="A9336" t="str">
        <f>"9332"</f>
        <v>9332</v>
      </c>
      <c r="B9336" t="str">
        <f t="shared" si="519"/>
        <v>1</v>
      </c>
      <c r="C9336" t="str">
        <f t="shared" si="518"/>
        <v>187</v>
      </c>
      <c r="D9336" t="str">
        <f>"50"</f>
        <v>50</v>
      </c>
      <c r="E9336" t="str">
        <f>"1-187-50"</f>
        <v>1-187-50</v>
      </c>
      <c r="F9336" t="s">
        <v>65</v>
      </c>
      <c r="G9336" t="s">
        <v>66</v>
      </c>
      <c r="H9336" t="s">
        <v>67</v>
      </c>
      <c r="S9336">
        <v>1</v>
      </c>
      <c r="T9336">
        <v>0</v>
      </c>
      <c r="U9336">
        <v>0</v>
      </c>
      <c r="V9336">
        <v>0</v>
      </c>
      <c r="W9336">
        <v>1</v>
      </c>
      <c r="X9336">
        <v>0</v>
      </c>
      <c r="Y9336">
        <v>0</v>
      </c>
      <c r="Z9336">
        <v>1</v>
      </c>
      <c r="AA9336">
        <v>0</v>
      </c>
      <c r="AB9336">
        <v>0</v>
      </c>
      <c r="AC9336">
        <v>1</v>
      </c>
      <c r="AD9336">
        <v>1</v>
      </c>
      <c r="AE9336">
        <v>1</v>
      </c>
      <c r="AF9336">
        <v>1</v>
      </c>
      <c r="AG9336">
        <v>1</v>
      </c>
      <c r="AH9336">
        <v>1</v>
      </c>
      <c r="AI9336">
        <v>1</v>
      </c>
      <c r="AJ9336">
        <v>1</v>
      </c>
      <c r="AK9336">
        <v>1</v>
      </c>
      <c r="AL9336">
        <v>1</v>
      </c>
      <c r="AM9336">
        <v>1</v>
      </c>
    </row>
    <row r="9337" spans="1:39" x14ac:dyDescent="0.2">
      <c r="A9337" t="str">
        <f>"9333"</f>
        <v>9333</v>
      </c>
      <c r="B9337" t="str">
        <f t="shared" si="519"/>
        <v>1</v>
      </c>
      <c r="C9337" t="str">
        <f t="shared" ref="C9337:C9354" si="520">"187"</f>
        <v>187</v>
      </c>
      <c r="D9337" t="str">
        <f>"25"</f>
        <v>25</v>
      </c>
      <c r="E9337" t="str">
        <f>"1-187-25"</f>
        <v>1-187-25</v>
      </c>
      <c r="F9337" t="s">
        <v>65</v>
      </c>
      <c r="G9337" t="s">
        <v>66</v>
      </c>
      <c r="H9337" t="s">
        <v>67</v>
      </c>
      <c r="S9337">
        <v>0</v>
      </c>
      <c r="T9337">
        <v>1</v>
      </c>
      <c r="U9337">
        <v>0</v>
      </c>
      <c r="V9337">
        <v>0</v>
      </c>
      <c r="W9337">
        <v>1</v>
      </c>
      <c r="X9337">
        <v>0</v>
      </c>
      <c r="Y9337">
        <v>0</v>
      </c>
      <c r="Z9337">
        <v>1</v>
      </c>
      <c r="AA9337">
        <v>1</v>
      </c>
      <c r="AB9337">
        <v>0</v>
      </c>
      <c r="AC9337">
        <v>0</v>
      </c>
      <c r="AD9337">
        <v>1</v>
      </c>
      <c r="AE9337">
        <v>1</v>
      </c>
      <c r="AF9337">
        <v>1</v>
      </c>
      <c r="AG9337">
        <v>1</v>
      </c>
      <c r="AH9337">
        <v>1</v>
      </c>
      <c r="AI9337">
        <v>1</v>
      </c>
      <c r="AJ9337">
        <v>1</v>
      </c>
      <c r="AK9337">
        <v>1</v>
      </c>
      <c r="AL9337">
        <v>1</v>
      </c>
      <c r="AM9337">
        <v>1</v>
      </c>
    </row>
    <row r="9338" spans="1:39" x14ac:dyDescent="0.2">
      <c r="A9338" t="str">
        <f>"9334"</f>
        <v>9334</v>
      </c>
      <c r="B9338" t="str">
        <f t="shared" si="519"/>
        <v>1</v>
      </c>
      <c r="C9338" t="str">
        <f t="shared" si="520"/>
        <v>187</v>
      </c>
      <c r="D9338" t="str">
        <f>"7"</f>
        <v>7</v>
      </c>
      <c r="E9338" t="str">
        <f>"1-187-7"</f>
        <v>1-187-7</v>
      </c>
      <c r="F9338" t="s">
        <v>65</v>
      </c>
      <c r="G9338" t="s">
        <v>66</v>
      </c>
      <c r="H9338" t="s">
        <v>67</v>
      </c>
      <c r="S9338">
        <v>1</v>
      </c>
      <c r="T9338">
        <v>0</v>
      </c>
      <c r="U9338">
        <v>0</v>
      </c>
      <c r="V9338">
        <v>0</v>
      </c>
      <c r="W9338">
        <v>1</v>
      </c>
      <c r="X9338">
        <v>0</v>
      </c>
      <c r="Y9338">
        <v>1</v>
      </c>
      <c r="Z9338">
        <v>0</v>
      </c>
      <c r="AA9338">
        <v>0</v>
      </c>
      <c r="AB9338">
        <v>0</v>
      </c>
      <c r="AC9338">
        <v>1</v>
      </c>
      <c r="AD9338">
        <v>1</v>
      </c>
      <c r="AE9338">
        <v>1</v>
      </c>
      <c r="AF9338">
        <v>1</v>
      </c>
      <c r="AG9338">
        <v>1</v>
      </c>
      <c r="AH9338">
        <v>1</v>
      </c>
      <c r="AI9338">
        <v>1</v>
      </c>
      <c r="AJ9338">
        <v>1</v>
      </c>
      <c r="AK9338">
        <v>1</v>
      </c>
      <c r="AL9338">
        <v>1</v>
      </c>
      <c r="AM9338">
        <v>1</v>
      </c>
    </row>
    <row r="9339" spans="1:39" x14ac:dyDescent="0.2">
      <c r="A9339" t="str">
        <f>"9335"</f>
        <v>9335</v>
      </c>
      <c r="B9339" t="str">
        <f t="shared" si="519"/>
        <v>1</v>
      </c>
      <c r="C9339" t="str">
        <f t="shared" si="520"/>
        <v>187</v>
      </c>
      <c r="D9339" t="str">
        <f>"45"</f>
        <v>45</v>
      </c>
      <c r="E9339" t="str">
        <f>"1-187-45"</f>
        <v>1-187-45</v>
      </c>
      <c r="F9339" t="s">
        <v>65</v>
      </c>
      <c r="G9339" t="s">
        <v>66</v>
      </c>
      <c r="H9339" t="s">
        <v>67</v>
      </c>
      <c r="S9339">
        <v>0</v>
      </c>
      <c r="T9339">
        <v>1</v>
      </c>
      <c r="U9339">
        <v>0</v>
      </c>
      <c r="V9339">
        <v>0</v>
      </c>
      <c r="W9339">
        <v>1</v>
      </c>
      <c r="X9339">
        <v>0</v>
      </c>
      <c r="Y9339">
        <v>0</v>
      </c>
      <c r="Z9339">
        <v>1</v>
      </c>
      <c r="AA9339">
        <v>0</v>
      </c>
      <c r="AB9339">
        <v>0</v>
      </c>
      <c r="AC9339">
        <v>1</v>
      </c>
      <c r="AD9339">
        <v>1</v>
      </c>
      <c r="AE9339">
        <v>1</v>
      </c>
      <c r="AF9339">
        <v>1</v>
      </c>
      <c r="AG9339">
        <v>1</v>
      </c>
      <c r="AH9339">
        <v>1</v>
      </c>
      <c r="AI9339">
        <v>1</v>
      </c>
      <c r="AJ9339">
        <v>1</v>
      </c>
      <c r="AK9339">
        <v>1</v>
      </c>
      <c r="AL9339">
        <v>1</v>
      </c>
      <c r="AM9339">
        <v>1</v>
      </c>
    </row>
    <row r="9340" spans="1:39" x14ac:dyDescent="0.2">
      <c r="A9340" t="str">
        <f>"9336"</f>
        <v>9336</v>
      </c>
      <c r="B9340" t="str">
        <f t="shared" si="519"/>
        <v>1</v>
      </c>
      <c r="C9340" t="str">
        <f t="shared" si="520"/>
        <v>187</v>
      </c>
      <c r="D9340" t="str">
        <f>"26"</f>
        <v>26</v>
      </c>
      <c r="E9340" t="str">
        <f>"1-187-26"</f>
        <v>1-187-26</v>
      </c>
      <c r="F9340" t="s">
        <v>65</v>
      </c>
      <c r="G9340" t="s">
        <v>66</v>
      </c>
      <c r="H9340" t="s">
        <v>67</v>
      </c>
      <c r="S9340">
        <v>1</v>
      </c>
      <c r="T9340">
        <v>0</v>
      </c>
      <c r="U9340">
        <v>0</v>
      </c>
      <c r="V9340">
        <v>0</v>
      </c>
      <c r="W9340">
        <v>1</v>
      </c>
      <c r="X9340">
        <v>0</v>
      </c>
      <c r="Y9340">
        <v>0</v>
      </c>
      <c r="Z9340">
        <v>1</v>
      </c>
      <c r="AA9340">
        <v>1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1</v>
      </c>
      <c r="AM9340">
        <v>1</v>
      </c>
    </row>
    <row r="9341" spans="1:39" x14ac:dyDescent="0.2">
      <c r="A9341" t="str">
        <f>"9337"</f>
        <v>9337</v>
      </c>
      <c r="B9341" t="str">
        <f t="shared" si="519"/>
        <v>1</v>
      </c>
      <c r="C9341" t="str">
        <f t="shared" si="520"/>
        <v>187</v>
      </c>
      <c r="D9341" t="str">
        <f>"8"</f>
        <v>8</v>
      </c>
      <c r="E9341" t="str">
        <f>"1-187-8"</f>
        <v>1-187-8</v>
      </c>
      <c r="F9341" t="s">
        <v>65</v>
      </c>
      <c r="G9341" t="s">
        <v>66</v>
      </c>
      <c r="H9341" t="s">
        <v>67</v>
      </c>
      <c r="S9341">
        <v>0</v>
      </c>
      <c r="T9341">
        <v>1</v>
      </c>
      <c r="U9341">
        <v>0</v>
      </c>
      <c r="V9341">
        <v>0</v>
      </c>
      <c r="W9341">
        <v>1</v>
      </c>
      <c r="X9341">
        <v>0</v>
      </c>
      <c r="Y9341">
        <v>0</v>
      </c>
      <c r="Z9341">
        <v>0</v>
      </c>
      <c r="AA9341">
        <v>1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</row>
    <row r="9342" spans="1:39" x14ac:dyDescent="0.2">
      <c r="A9342" t="str">
        <f>"9338"</f>
        <v>9338</v>
      </c>
      <c r="B9342" t="str">
        <f t="shared" si="519"/>
        <v>1</v>
      </c>
      <c r="C9342" t="str">
        <f t="shared" si="520"/>
        <v>187</v>
      </c>
      <c r="D9342" t="str">
        <f>"46"</f>
        <v>46</v>
      </c>
      <c r="E9342" t="str">
        <f>"1-187-46"</f>
        <v>1-187-46</v>
      </c>
      <c r="F9342" t="s">
        <v>65</v>
      </c>
      <c r="G9342" t="s">
        <v>66</v>
      </c>
      <c r="H9342" t="s">
        <v>67</v>
      </c>
      <c r="S9342">
        <v>0</v>
      </c>
      <c r="T9342">
        <v>1</v>
      </c>
      <c r="U9342">
        <v>0</v>
      </c>
      <c r="V9342">
        <v>0</v>
      </c>
      <c r="W9342">
        <v>0</v>
      </c>
      <c r="X9342">
        <v>1</v>
      </c>
      <c r="Y9342">
        <v>0</v>
      </c>
      <c r="Z9342">
        <v>1</v>
      </c>
      <c r="AA9342">
        <v>0</v>
      </c>
      <c r="AB9342">
        <v>0</v>
      </c>
      <c r="AC9342">
        <v>1</v>
      </c>
      <c r="AD9342">
        <v>1</v>
      </c>
      <c r="AE9342">
        <v>1</v>
      </c>
      <c r="AF9342">
        <v>1</v>
      </c>
      <c r="AG9342">
        <v>1</v>
      </c>
      <c r="AH9342">
        <v>1</v>
      </c>
      <c r="AI9342">
        <v>1</v>
      </c>
      <c r="AJ9342">
        <v>1</v>
      </c>
      <c r="AK9342">
        <v>1</v>
      </c>
      <c r="AL9342">
        <v>1</v>
      </c>
      <c r="AM9342">
        <v>1</v>
      </c>
    </row>
    <row r="9343" spans="1:39" x14ac:dyDescent="0.2">
      <c r="A9343" t="str">
        <f>"9339"</f>
        <v>9339</v>
      </c>
      <c r="B9343" t="str">
        <f t="shared" si="519"/>
        <v>1</v>
      </c>
      <c r="C9343" t="str">
        <f t="shared" si="520"/>
        <v>187</v>
      </c>
      <c r="D9343" t="str">
        <f>"29"</f>
        <v>29</v>
      </c>
      <c r="E9343" t="str">
        <f>"1-187-29"</f>
        <v>1-187-29</v>
      </c>
      <c r="F9343" t="s">
        <v>65</v>
      </c>
      <c r="G9343" t="s">
        <v>66</v>
      </c>
      <c r="H9343" t="s">
        <v>67</v>
      </c>
      <c r="S9343">
        <v>0</v>
      </c>
      <c r="T9343">
        <v>1</v>
      </c>
      <c r="U9343">
        <v>0</v>
      </c>
      <c r="V9343">
        <v>0</v>
      </c>
      <c r="W9343">
        <v>1</v>
      </c>
      <c r="X9343">
        <v>0</v>
      </c>
      <c r="Y9343">
        <v>0</v>
      </c>
      <c r="Z9343">
        <v>1</v>
      </c>
      <c r="AA9343">
        <v>1</v>
      </c>
      <c r="AB9343">
        <v>0</v>
      </c>
      <c r="AC9343">
        <v>0</v>
      </c>
      <c r="AD9343">
        <v>1</v>
      </c>
      <c r="AE9343">
        <v>1</v>
      </c>
      <c r="AF9343">
        <v>1</v>
      </c>
      <c r="AG9343">
        <v>1</v>
      </c>
      <c r="AH9343">
        <v>1</v>
      </c>
      <c r="AI9343">
        <v>1</v>
      </c>
      <c r="AJ9343">
        <v>1</v>
      </c>
      <c r="AK9343">
        <v>1</v>
      </c>
      <c r="AL9343">
        <v>1</v>
      </c>
      <c r="AM9343">
        <v>1</v>
      </c>
    </row>
    <row r="9344" spans="1:39" x14ac:dyDescent="0.2">
      <c r="A9344" t="str">
        <f>"9340"</f>
        <v>9340</v>
      </c>
      <c r="B9344" t="str">
        <f t="shared" si="519"/>
        <v>1</v>
      </c>
      <c r="C9344" t="str">
        <f t="shared" si="520"/>
        <v>187</v>
      </c>
      <c r="D9344" t="str">
        <f>"3"</f>
        <v>3</v>
      </c>
      <c r="E9344" t="str">
        <f>"1-187-3"</f>
        <v>1-187-3</v>
      </c>
      <c r="F9344" t="s">
        <v>65</v>
      </c>
      <c r="G9344" t="s">
        <v>66</v>
      </c>
      <c r="H9344" t="s">
        <v>67</v>
      </c>
      <c r="S9344">
        <v>1</v>
      </c>
      <c r="T9344">
        <v>0</v>
      </c>
      <c r="U9344">
        <v>0</v>
      </c>
      <c r="V9344">
        <v>0</v>
      </c>
      <c r="W9344">
        <v>1</v>
      </c>
      <c r="X9344">
        <v>0</v>
      </c>
      <c r="Y9344">
        <v>1</v>
      </c>
      <c r="Z9344">
        <v>0</v>
      </c>
      <c r="AA9344">
        <v>0</v>
      </c>
      <c r="AB9344">
        <v>0</v>
      </c>
      <c r="AC9344">
        <v>0</v>
      </c>
      <c r="AD9344">
        <v>1</v>
      </c>
      <c r="AE9344">
        <v>1</v>
      </c>
      <c r="AF9344">
        <v>1</v>
      </c>
      <c r="AG9344">
        <v>1</v>
      </c>
      <c r="AH9344">
        <v>1</v>
      </c>
      <c r="AI9344">
        <v>1</v>
      </c>
      <c r="AJ9344">
        <v>1</v>
      </c>
      <c r="AK9344">
        <v>1</v>
      </c>
      <c r="AL9344">
        <v>1</v>
      </c>
      <c r="AM9344">
        <v>1</v>
      </c>
    </row>
    <row r="9345" spans="1:39" x14ac:dyDescent="0.2">
      <c r="A9345" t="str">
        <f>"9341"</f>
        <v>9341</v>
      </c>
      <c r="B9345" t="str">
        <f t="shared" si="519"/>
        <v>1</v>
      </c>
      <c r="C9345" t="str">
        <f t="shared" si="520"/>
        <v>187</v>
      </c>
      <c r="D9345" t="str">
        <f>"49"</f>
        <v>49</v>
      </c>
      <c r="E9345" t="str">
        <f>"1-187-49"</f>
        <v>1-187-49</v>
      </c>
      <c r="F9345" t="s">
        <v>65</v>
      </c>
      <c r="G9345" t="s">
        <v>66</v>
      </c>
      <c r="H9345" t="s">
        <v>67</v>
      </c>
      <c r="S9345">
        <v>1</v>
      </c>
      <c r="T9345">
        <v>0</v>
      </c>
      <c r="U9345">
        <v>0</v>
      </c>
      <c r="V9345">
        <v>0</v>
      </c>
      <c r="W9345">
        <v>0</v>
      </c>
      <c r="X9345">
        <v>1</v>
      </c>
      <c r="Y9345">
        <v>1</v>
      </c>
      <c r="Z9345">
        <v>0</v>
      </c>
      <c r="AA9345">
        <v>0</v>
      </c>
      <c r="AB9345">
        <v>1</v>
      </c>
      <c r="AC9345">
        <v>0</v>
      </c>
      <c r="AD9345">
        <v>1</v>
      </c>
      <c r="AE9345">
        <v>1</v>
      </c>
      <c r="AF9345">
        <v>1</v>
      </c>
      <c r="AG9345">
        <v>1</v>
      </c>
      <c r="AH9345">
        <v>1</v>
      </c>
      <c r="AI9345">
        <v>1</v>
      </c>
      <c r="AJ9345">
        <v>1</v>
      </c>
      <c r="AK9345">
        <v>1</v>
      </c>
      <c r="AL9345">
        <v>1</v>
      </c>
      <c r="AM9345">
        <v>1</v>
      </c>
    </row>
    <row r="9346" spans="1:39" x14ac:dyDescent="0.2">
      <c r="A9346" t="str">
        <f>"9342"</f>
        <v>9342</v>
      </c>
      <c r="B9346" t="str">
        <f t="shared" si="519"/>
        <v>1</v>
      </c>
      <c r="C9346" t="str">
        <f t="shared" si="520"/>
        <v>187</v>
      </c>
      <c r="D9346" t="str">
        <f>"30"</f>
        <v>30</v>
      </c>
      <c r="E9346" t="str">
        <f>"1-187-30"</f>
        <v>1-187-30</v>
      </c>
      <c r="F9346" t="s">
        <v>65</v>
      </c>
      <c r="G9346" t="s">
        <v>66</v>
      </c>
      <c r="H9346" t="s">
        <v>67</v>
      </c>
      <c r="S9346">
        <v>1</v>
      </c>
      <c r="T9346">
        <v>0</v>
      </c>
      <c r="U9346">
        <v>0</v>
      </c>
      <c r="V9346">
        <v>0</v>
      </c>
      <c r="W9346">
        <v>1</v>
      </c>
      <c r="X9346">
        <v>0</v>
      </c>
      <c r="Y9346">
        <v>1</v>
      </c>
      <c r="Z9346">
        <v>0</v>
      </c>
      <c r="AA9346">
        <v>1</v>
      </c>
      <c r="AB9346">
        <v>0</v>
      </c>
      <c r="AC9346">
        <v>0</v>
      </c>
      <c r="AD9346">
        <v>1</v>
      </c>
      <c r="AE9346">
        <v>1</v>
      </c>
      <c r="AF9346">
        <v>1</v>
      </c>
      <c r="AG9346">
        <v>1</v>
      </c>
      <c r="AH9346">
        <v>1</v>
      </c>
      <c r="AI9346">
        <v>1</v>
      </c>
      <c r="AJ9346">
        <v>1</v>
      </c>
      <c r="AK9346">
        <v>1</v>
      </c>
      <c r="AL9346">
        <v>1</v>
      </c>
      <c r="AM9346">
        <v>1</v>
      </c>
    </row>
    <row r="9347" spans="1:39" x14ac:dyDescent="0.2">
      <c r="A9347" t="str">
        <f>"9343"</f>
        <v>9343</v>
      </c>
      <c r="B9347" t="str">
        <f t="shared" si="519"/>
        <v>1</v>
      </c>
      <c r="C9347" t="str">
        <f t="shared" si="520"/>
        <v>187</v>
      </c>
      <c r="D9347" t="str">
        <f>"11"</f>
        <v>11</v>
      </c>
      <c r="E9347" t="str">
        <f>"1-187-11"</f>
        <v>1-187-11</v>
      </c>
      <c r="F9347" t="s">
        <v>65</v>
      </c>
      <c r="G9347" t="s">
        <v>66</v>
      </c>
      <c r="H9347" t="s">
        <v>67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1</v>
      </c>
      <c r="AE9347">
        <v>1</v>
      </c>
      <c r="AF9347">
        <v>1</v>
      </c>
      <c r="AG9347">
        <v>1</v>
      </c>
      <c r="AH9347">
        <v>0</v>
      </c>
      <c r="AI9347">
        <v>1</v>
      </c>
      <c r="AJ9347">
        <v>1</v>
      </c>
      <c r="AK9347">
        <v>1</v>
      </c>
      <c r="AL9347">
        <v>1</v>
      </c>
      <c r="AM9347">
        <v>1</v>
      </c>
    </row>
    <row r="9348" spans="1:39" x14ac:dyDescent="0.2">
      <c r="A9348" t="str">
        <f>"9344"</f>
        <v>9344</v>
      </c>
      <c r="B9348" t="str">
        <f t="shared" si="519"/>
        <v>1</v>
      </c>
      <c r="C9348" t="str">
        <f t="shared" si="520"/>
        <v>187</v>
      </c>
      <c r="D9348" t="str">
        <f>"47"</f>
        <v>47</v>
      </c>
      <c r="E9348" t="str">
        <f>"1-187-47"</f>
        <v>1-187-47</v>
      </c>
      <c r="F9348" t="s">
        <v>65</v>
      </c>
      <c r="G9348" t="s">
        <v>66</v>
      </c>
      <c r="H9348" t="s">
        <v>67</v>
      </c>
      <c r="S9348">
        <v>1</v>
      </c>
      <c r="T9348">
        <v>0</v>
      </c>
      <c r="U9348">
        <v>0</v>
      </c>
      <c r="V9348">
        <v>0</v>
      </c>
      <c r="W9348">
        <v>1</v>
      </c>
      <c r="X9348">
        <v>0</v>
      </c>
      <c r="Y9348">
        <v>1</v>
      </c>
      <c r="Z9348">
        <v>0</v>
      </c>
      <c r="AA9348">
        <v>1</v>
      </c>
      <c r="AB9348">
        <v>0</v>
      </c>
      <c r="AC9348">
        <v>0</v>
      </c>
      <c r="AD9348">
        <v>1</v>
      </c>
      <c r="AE9348">
        <v>1</v>
      </c>
      <c r="AF9348">
        <v>1</v>
      </c>
      <c r="AG9348">
        <v>1</v>
      </c>
      <c r="AH9348">
        <v>1</v>
      </c>
      <c r="AI9348">
        <v>1</v>
      </c>
      <c r="AJ9348">
        <v>1</v>
      </c>
      <c r="AK9348">
        <v>1</v>
      </c>
      <c r="AL9348">
        <v>1</v>
      </c>
      <c r="AM9348">
        <v>1</v>
      </c>
    </row>
    <row r="9349" spans="1:39" x14ac:dyDescent="0.2">
      <c r="A9349" t="str">
        <f>"9345"</f>
        <v>9345</v>
      </c>
      <c r="B9349" t="str">
        <f t="shared" si="519"/>
        <v>1</v>
      </c>
      <c r="C9349" t="str">
        <f t="shared" si="520"/>
        <v>187</v>
      </c>
      <c r="D9349" t="str">
        <f>"9"</f>
        <v>9</v>
      </c>
      <c r="E9349" t="str">
        <f>"1-187-9"</f>
        <v>1-187-9</v>
      </c>
      <c r="F9349" t="s">
        <v>65</v>
      </c>
      <c r="G9349" t="s">
        <v>66</v>
      </c>
      <c r="H9349" t="s">
        <v>67</v>
      </c>
      <c r="S9349">
        <v>0</v>
      </c>
      <c r="T9349">
        <v>1</v>
      </c>
      <c r="U9349">
        <v>0</v>
      </c>
      <c r="V9349">
        <v>0</v>
      </c>
      <c r="W9349">
        <v>1</v>
      </c>
      <c r="X9349">
        <v>0</v>
      </c>
      <c r="Y9349">
        <v>0</v>
      </c>
      <c r="Z9349">
        <v>0</v>
      </c>
      <c r="AA9349">
        <v>1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</row>
    <row r="9350" spans="1:39" x14ac:dyDescent="0.2">
      <c r="A9350" t="str">
        <f>"9346"</f>
        <v>9346</v>
      </c>
      <c r="B9350" t="str">
        <f t="shared" si="519"/>
        <v>1</v>
      </c>
      <c r="C9350" t="str">
        <f t="shared" si="520"/>
        <v>187</v>
      </c>
      <c r="D9350" t="str">
        <f>"48"</f>
        <v>48</v>
      </c>
      <c r="E9350" t="str">
        <f>"1-187-48"</f>
        <v>1-187-48</v>
      </c>
      <c r="F9350" t="s">
        <v>65</v>
      </c>
      <c r="G9350" t="s">
        <v>66</v>
      </c>
      <c r="H9350" t="s">
        <v>67</v>
      </c>
      <c r="S9350">
        <v>0</v>
      </c>
      <c r="T9350">
        <v>1</v>
      </c>
      <c r="U9350">
        <v>0</v>
      </c>
      <c r="V9350">
        <v>0</v>
      </c>
      <c r="W9350">
        <v>0</v>
      </c>
      <c r="X9350">
        <v>1</v>
      </c>
      <c r="Y9350">
        <v>0</v>
      </c>
      <c r="Z9350">
        <v>1</v>
      </c>
      <c r="AA9350">
        <v>0</v>
      </c>
      <c r="AB9350">
        <v>0</v>
      </c>
      <c r="AC9350">
        <v>1</v>
      </c>
      <c r="AD9350">
        <v>0</v>
      </c>
      <c r="AE9350">
        <v>0</v>
      </c>
      <c r="AF9350">
        <v>0</v>
      </c>
      <c r="AG9350">
        <v>1</v>
      </c>
      <c r="AH9350">
        <v>1</v>
      </c>
      <c r="AI9350">
        <v>1</v>
      </c>
      <c r="AJ9350">
        <v>1</v>
      </c>
      <c r="AK9350">
        <v>1</v>
      </c>
      <c r="AL9350">
        <v>1</v>
      </c>
      <c r="AM9350">
        <v>1</v>
      </c>
    </row>
    <row r="9351" spans="1:39" x14ac:dyDescent="0.2">
      <c r="A9351" t="str">
        <f>"9347"</f>
        <v>9347</v>
      </c>
      <c r="B9351" t="str">
        <f t="shared" si="519"/>
        <v>1</v>
      </c>
      <c r="C9351" t="str">
        <f t="shared" si="520"/>
        <v>187</v>
      </c>
      <c r="D9351" t="str">
        <f>"32"</f>
        <v>32</v>
      </c>
      <c r="E9351" t="str">
        <f>"1-187-32"</f>
        <v>1-187-32</v>
      </c>
      <c r="F9351" t="s">
        <v>65</v>
      </c>
      <c r="G9351" t="s">
        <v>66</v>
      </c>
      <c r="H9351" t="s">
        <v>67</v>
      </c>
      <c r="S9351">
        <v>1</v>
      </c>
      <c r="T9351">
        <v>0</v>
      </c>
      <c r="U9351">
        <v>0</v>
      </c>
      <c r="V9351">
        <v>0</v>
      </c>
      <c r="W9351">
        <v>1</v>
      </c>
      <c r="X9351">
        <v>0</v>
      </c>
      <c r="Y9351">
        <v>1</v>
      </c>
      <c r="Z9351">
        <v>0</v>
      </c>
      <c r="AA9351">
        <v>1</v>
      </c>
      <c r="AB9351">
        <v>0</v>
      </c>
      <c r="AC9351">
        <v>0</v>
      </c>
      <c r="AD9351">
        <v>1</v>
      </c>
      <c r="AE9351">
        <v>1</v>
      </c>
      <c r="AF9351">
        <v>1</v>
      </c>
      <c r="AG9351">
        <v>1</v>
      </c>
      <c r="AH9351">
        <v>1</v>
      </c>
      <c r="AI9351">
        <v>1</v>
      </c>
      <c r="AJ9351">
        <v>1</v>
      </c>
      <c r="AK9351">
        <v>1</v>
      </c>
      <c r="AL9351">
        <v>1</v>
      </c>
      <c r="AM9351">
        <v>1</v>
      </c>
    </row>
    <row r="9352" spans="1:39" x14ac:dyDescent="0.2">
      <c r="A9352" t="str">
        <f>"9348"</f>
        <v>9348</v>
      </c>
      <c r="B9352" t="str">
        <f t="shared" si="519"/>
        <v>1</v>
      </c>
      <c r="C9352" t="str">
        <f t="shared" si="520"/>
        <v>187</v>
      </c>
      <c r="D9352" t="str">
        <f>"13"</f>
        <v>13</v>
      </c>
      <c r="E9352" t="str">
        <f>"1-187-13"</f>
        <v>1-187-13</v>
      </c>
      <c r="F9352" t="s">
        <v>65</v>
      </c>
      <c r="G9352" t="s">
        <v>66</v>
      </c>
      <c r="H9352" t="s">
        <v>67</v>
      </c>
      <c r="S9352">
        <v>1</v>
      </c>
      <c r="T9352">
        <v>0</v>
      </c>
      <c r="U9352">
        <v>0</v>
      </c>
      <c r="V9352">
        <v>0</v>
      </c>
      <c r="W9352">
        <v>1</v>
      </c>
      <c r="X9352">
        <v>0</v>
      </c>
      <c r="Y9352">
        <v>1</v>
      </c>
      <c r="Z9352">
        <v>0</v>
      </c>
      <c r="AA9352">
        <v>0</v>
      </c>
      <c r="AB9352">
        <v>1</v>
      </c>
      <c r="AC9352">
        <v>0</v>
      </c>
      <c r="AD9352">
        <v>1</v>
      </c>
      <c r="AE9352">
        <v>1</v>
      </c>
      <c r="AF9352">
        <v>1</v>
      </c>
      <c r="AG9352">
        <v>1</v>
      </c>
      <c r="AH9352">
        <v>1</v>
      </c>
      <c r="AI9352">
        <v>1</v>
      </c>
      <c r="AJ9352">
        <v>1</v>
      </c>
      <c r="AK9352">
        <v>1</v>
      </c>
      <c r="AL9352">
        <v>1</v>
      </c>
      <c r="AM9352">
        <v>1</v>
      </c>
    </row>
    <row r="9353" spans="1:39" x14ac:dyDescent="0.2">
      <c r="A9353" t="str">
        <f>"9349"</f>
        <v>9349</v>
      </c>
      <c r="B9353" t="str">
        <f t="shared" si="519"/>
        <v>1</v>
      </c>
      <c r="C9353" t="str">
        <f t="shared" si="520"/>
        <v>187</v>
      </c>
      <c r="D9353" t="str">
        <f>"22"</f>
        <v>22</v>
      </c>
      <c r="E9353" t="str">
        <f>"1-187-22"</f>
        <v>1-187-22</v>
      </c>
      <c r="F9353" t="s">
        <v>65</v>
      </c>
      <c r="G9353" t="s">
        <v>66</v>
      </c>
      <c r="H9353" t="s">
        <v>67</v>
      </c>
      <c r="S9353">
        <v>0</v>
      </c>
      <c r="T9353">
        <v>1</v>
      </c>
      <c r="U9353">
        <v>0</v>
      </c>
      <c r="V9353">
        <v>0</v>
      </c>
      <c r="W9353">
        <v>0</v>
      </c>
      <c r="X9353">
        <v>1</v>
      </c>
      <c r="Y9353">
        <v>0</v>
      </c>
      <c r="Z9353">
        <v>0</v>
      </c>
      <c r="AA9353">
        <v>0</v>
      </c>
      <c r="AB9353">
        <v>0</v>
      </c>
      <c r="AC9353">
        <v>1</v>
      </c>
      <c r="AD9353">
        <v>1</v>
      </c>
      <c r="AE9353">
        <v>1</v>
      </c>
      <c r="AF9353">
        <v>1</v>
      </c>
      <c r="AG9353">
        <v>1</v>
      </c>
      <c r="AH9353">
        <v>1</v>
      </c>
      <c r="AI9353">
        <v>1</v>
      </c>
      <c r="AJ9353">
        <v>1</v>
      </c>
      <c r="AK9353">
        <v>1</v>
      </c>
      <c r="AL9353">
        <v>1</v>
      </c>
      <c r="AM9353">
        <v>1</v>
      </c>
    </row>
    <row r="9354" spans="1:39" x14ac:dyDescent="0.2">
      <c r="A9354" t="str">
        <f>"9350"</f>
        <v>9350</v>
      </c>
      <c r="B9354" t="str">
        <f t="shared" si="519"/>
        <v>1</v>
      </c>
      <c r="C9354" t="str">
        <f t="shared" si="520"/>
        <v>187</v>
      </c>
      <c r="D9354" t="str">
        <f>"31"</f>
        <v>31</v>
      </c>
      <c r="E9354" t="str">
        <f>"1-187-31"</f>
        <v>1-187-31</v>
      </c>
      <c r="F9354" t="s">
        <v>65</v>
      </c>
      <c r="G9354" t="s">
        <v>66</v>
      </c>
      <c r="H9354" t="s">
        <v>67</v>
      </c>
      <c r="S9354">
        <v>1</v>
      </c>
      <c r="T9354">
        <v>0</v>
      </c>
      <c r="U9354">
        <v>0</v>
      </c>
      <c r="V9354">
        <v>0</v>
      </c>
      <c r="W9354">
        <v>1</v>
      </c>
      <c r="X9354">
        <v>0</v>
      </c>
      <c r="Y9354">
        <v>1</v>
      </c>
      <c r="Z9354">
        <v>0</v>
      </c>
      <c r="AA9354">
        <v>1</v>
      </c>
      <c r="AB9354">
        <v>0</v>
      </c>
      <c r="AC9354">
        <v>0</v>
      </c>
      <c r="AD9354">
        <v>1</v>
      </c>
      <c r="AE9354">
        <v>1</v>
      </c>
      <c r="AF9354">
        <v>1</v>
      </c>
      <c r="AG9354">
        <v>1</v>
      </c>
      <c r="AH9354">
        <v>1</v>
      </c>
      <c r="AI9354">
        <v>1</v>
      </c>
      <c r="AJ9354">
        <v>1</v>
      </c>
      <c r="AK9354">
        <v>1</v>
      </c>
      <c r="AL9354">
        <v>1</v>
      </c>
      <c r="AM9354">
        <v>1</v>
      </c>
    </row>
    <row r="9355" spans="1:39" x14ac:dyDescent="0.2">
      <c r="A9355" t="str">
        <f>"9351"</f>
        <v>9351</v>
      </c>
      <c r="B9355" t="str">
        <f t="shared" si="519"/>
        <v>1</v>
      </c>
      <c r="C9355" t="str">
        <f t="shared" ref="C9355:C9386" si="521">"188"</f>
        <v>188</v>
      </c>
      <c r="D9355" t="str">
        <f>"34"</f>
        <v>34</v>
      </c>
      <c r="E9355" t="str">
        <f>"1-188-34"</f>
        <v>1-188-34</v>
      </c>
      <c r="F9355" t="s">
        <v>65</v>
      </c>
      <c r="G9355" t="s">
        <v>66</v>
      </c>
      <c r="H9355" t="s">
        <v>67</v>
      </c>
      <c r="S9355">
        <v>1</v>
      </c>
      <c r="T9355">
        <v>0</v>
      </c>
      <c r="U9355">
        <v>0</v>
      </c>
      <c r="V9355">
        <v>0</v>
      </c>
      <c r="W9355">
        <v>1</v>
      </c>
      <c r="X9355">
        <v>0</v>
      </c>
      <c r="Y9355">
        <v>1</v>
      </c>
      <c r="Z9355">
        <v>0</v>
      </c>
      <c r="AA9355">
        <v>1</v>
      </c>
      <c r="AB9355">
        <v>0</v>
      </c>
      <c r="AC9355">
        <v>0</v>
      </c>
      <c r="AD9355">
        <v>1</v>
      </c>
      <c r="AE9355">
        <v>1</v>
      </c>
      <c r="AF9355">
        <v>1</v>
      </c>
      <c r="AG9355">
        <v>1</v>
      </c>
      <c r="AH9355">
        <v>1</v>
      </c>
      <c r="AI9355">
        <v>1</v>
      </c>
      <c r="AJ9355">
        <v>1</v>
      </c>
      <c r="AK9355">
        <v>1</v>
      </c>
      <c r="AL9355">
        <v>1</v>
      </c>
      <c r="AM9355">
        <v>1</v>
      </c>
    </row>
    <row r="9356" spans="1:39" x14ac:dyDescent="0.2">
      <c r="A9356" t="str">
        <f>"9352"</f>
        <v>9352</v>
      </c>
      <c r="B9356" t="str">
        <f t="shared" si="519"/>
        <v>1</v>
      </c>
      <c r="C9356" t="str">
        <f t="shared" si="521"/>
        <v>188</v>
      </c>
      <c r="D9356" t="str">
        <f>"33"</f>
        <v>33</v>
      </c>
      <c r="E9356" t="str">
        <f>"1-188-33"</f>
        <v>1-188-33</v>
      </c>
      <c r="F9356" t="s">
        <v>65</v>
      </c>
      <c r="G9356" t="s">
        <v>66</v>
      </c>
      <c r="H9356" t="s">
        <v>67</v>
      </c>
      <c r="S9356">
        <v>1</v>
      </c>
      <c r="T9356">
        <v>0</v>
      </c>
      <c r="U9356">
        <v>0</v>
      </c>
      <c r="V9356">
        <v>0</v>
      </c>
      <c r="W9356">
        <v>1</v>
      </c>
      <c r="X9356">
        <v>0</v>
      </c>
      <c r="Y9356">
        <v>1</v>
      </c>
      <c r="Z9356">
        <v>0</v>
      </c>
      <c r="AA9356">
        <v>1</v>
      </c>
      <c r="AB9356">
        <v>0</v>
      </c>
      <c r="AC9356">
        <v>0</v>
      </c>
      <c r="AD9356">
        <v>1</v>
      </c>
      <c r="AE9356">
        <v>1</v>
      </c>
      <c r="AF9356">
        <v>1</v>
      </c>
      <c r="AG9356">
        <v>1</v>
      </c>
      <c r="AH9356">
        <v>1</v>
      </c>
      <c r="AI9356">
        <v>1</v>
      </c>
      <c r="AJ9356">
        <v>1</v>
      </c>
      <c r="AK9356">
        <v>1</v>
      </c>
      <c r="AL9356">
        <v>1</v>
      </c>
      <c r="AM9356">
        <v>1</v>
      </c>
    </row>
    <row r="9357" spans="1:39" x14ac:dyDescent="0.2">
      <c r="A9357" t="str">
        <f>"9353"</f>
        <v>9353</v>
      </c>
      <c r="B9357" t="str">
        <f t="shared" si="519"/>
        <v>1</v>
      </c>
      <c r="C9357" t="str">
        <f t="shared" si="521"/>
        <v>188</v>
      </c>
      <c r="D9357" t="str">
        <f>"21"</f>
        <v>21</v>
      </c>
      <c r="E9357" t="str">
        <f>"1-188-21"</f>
        <v>1-188-21</v>
      </c>
      <c r="F9357" t="s">
        <v>65</v>
      </c>
      <c r="G9357" t="s">
        <v>66</v>
      </c>
      <c r="H9357" t="s">
        <v>67</v>
      </c>
      <c r="S9357">
        <v>0</v>
      </c>
      <c r="T9357">
        <v>1</v>
      </c>
      <c r="U9357">
        <v>0</v>
      </c>
      <c r="V9357">
        <v>0</v>
      </c>
      <c r="W9357">
        <v>1</v>
      </c>
      <c r="X9357">
        <v>0</v>
      </c>
      <c r="Y9357">
        <v>1</v>
      </c>
      <c r="Z9357">
        <v>0</v>
      </c>
      <c r="AA9357">
        <v>0</v>
      </c>
      <c r="AB9357">
        <v>1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1</v>
      </c>
      <c r="AI9357">
        <v>1</v>
      </c>
      <c r="AJ9357">
        <v>1</v>
      </c>
      <c r="AK9357">
        <v>0</v>
      </c>
      <c r="AL9357">
        <v>0</v>
      </c>
      <c r="AM9357">
        <v>0</v>
      </c>
    </row>
    <row r="9358" spans="1:39" x14ac:dyDescent="0.2">
      <c r="A9358" t="str">
        <f>"9354"</f>
        <v>9354</v>
      </c>
      <c r="B9358" t="str">
        <f t="shared" si="519"/>
        <v>1</v>
      </c>
      <c r="C9358" t="str">
        <f t="shared" si="521"/>
        <v>188</v>
      </c>
      <c r="D9358" t="str">
        <f>"15"</f>
        <v>15</v>
      </c>
      <c r="E9358" t="str">
        <f>"1-188-15"</f>
        <v>1-188-15</v>
      </c>
      <c r="F9358" t="s">
        <v>65</v>
      </c>
      <c r="G9358" t="s">
        <v>66</v>
      </c>
      <c r="H9358" t="s">
        <v>67</v>
      </c>
      <c r="S9358">
        <v>1</v>
      </c>
      <c r="T9358">
        <v>0</v>
      </c>
      <c r="U9358">
        <v>0</v>
      </c>
      <c r="V9358">
        <v>0</v>
      </c>
      <c r="W9358">
        <v>1</v>
      </c>
      <c r="X9358">
        <v>0</v>
      </c>
      <c r="Y9358">
        <v>1</v>
      </c>
      <c r="Z9358">
        <v>0</v>
      </c>
      <c r="AA9358">
        <v>0</v>
      </c>
      <c r="AB9358">
        <v>1</v>
      </c>
      <c r="AC9358">
        <v>0</v>
      </c>
      <c r="AD9358">
        <v>1</v>
      </c>
      <c r="AE9358">
        <v>1</v>
      </c>
      <c r="AF9358">
        <v>1</v>
      </c>
      <c r="AG9358">
        <v>1</v>
      </c>
      <c r="AH9358">
        <v>1</v>
      </c>
      <c r="AI9358">
        <v>1</v>
      </c>
      <c r="AJ9358">
        <v>1</v>
      </c>
      <c r="AK9358">
        <v>1</v>
      </c>
      <c r="AL9358">
        <v>1</v>
      </c>
      <c r="AM9358">
        <v>1</v>
      </c>
    </row>
    <row r="9359" spans="1:39" x14ac:dyDescent="0.2">
      <c r="A9359" t="str">
        <f>"9355"</f>
        <v>9355</v>
      </c>
      <c r="B9359" t="str">
        <f t="shared" si="519"/>
        <v>1</v>
      </c>
      <c r="C9359" t="str">
        <f t="shared" si="521"/>
        <v>188</v>
      </c>
      <c r="D9359" t="str">
        <f>"1"</f>
        <v>1</v>
      </c>
      <c r="E9359" t="str">
        <f>"1-188-1"</f>
        <v>1-188-1</v>
      </c>
      <c r="F9359" t="s">
        <v>65</v>
      </c>
      <c r="G9359" t="s">
        <v>66</v>
      </c>
      <c r="H9359" t="s">
        <v>67</v>
      </c>
      <c r="S9359">
        <v>0</v>
      </c>
      <c r="T9359">
        <v>1</v>
      </c>
      <c r="U9359">
        <v>0</v>
      </c>
      <c r="V9359">
        <v>0</v>
      </c>
      <c r="W9359">
        <v>0</v>
      </c>
      <c r="X9359">
        <v>1</v>
      </c>
      <c r="Y9359">
        <v>0</v>
      </c>
      <c r="Z9359">
        <v>1</v>
      </c>
      <c r="AA9359">
        <v>0</v>
      </c>
      <c r="AB9359">
        <v>0</v>
      </c>
      <c r="AC9359">
        <v>0</v>
      </c>
      <c r="AD9359">
        <v>0</v>
      </c>
      <c r="AE9359">
        <v>1</v>
      </c>
      <c r="AF9359">
        <v>1</v>
      </c>
      <c r="AG9359">
        <v>0</v>
      </c>
      <c r="AH9359">
        <v>1</v>
      </c>
      <c r="AI9359">
        <v>1</v>
      </c>
      <c r="AJ9359">
        <v>0</v>
      </c>
      <c r="AK9359">
        <v>1</v>
      </c>
      <c r="AL9359">
        <v>1</v>
      </c>
      <c r="AM9359">
        <v>0</v>
      </c>
    </row>
    <row r="9360" spans="1:39" x14ac:dyDescent="0.2">
      <c r="A9360" t="str">
        <f>"9356"</f>
        <v>9356</v>
      </c>
      <c r="B9360" t="str">
        <f t="shared" si="519"/>
        <v>1</v>
      </c>
      <c r="C9360" t="str">
        <f t="shared" si="521"/>
        <v>188</v>
      </c>
      <c r="D9360" t="str">
        <f>"40"</f>
        <v>40</v>
      </c>
      <c r="E9360" t="str">
        <f>"1-188-40"</f>
        <v>1-188-40</v>
      </c>
      <c r="F9360" t="s">
        <v>65</v>
      </c>
      <c r="G9360" t="s">
        <v>66</v>
      </c>
      <c r="H9360" t="s">
        <v>67</v>
      </c>
      <c r="S9360">
        <v>1</v>
      </c>
      <c r="T9360">
        <v>0</v>
      </c>
      <c r="U9360">
        <v>0</v>
      </c>
      <c r="V9360">
        <v>0</v>
      </c>
      <c r="W9360">
        <v>1</v>
      </c>
      <c r="X9360">
        <v>0</v>
      </c>
      <c r="Y9360">
        <v>1</v>
      </c>
      <c r="Z9360">
        <v>0</v>
      </c>
      <c r="AA9360">
        <v>1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1</v>
      </c>
      <c r="AM9360">
        <v>1</v>
      </c>
    </row>
    <row r="9361" spans="1:39" x14ac:dyDescent="0.2">
      <c r="A9361" t="str">
        <f>"9357"</f>
        <v>9357</v>
      </c>
      <c r="B9361" t="str">
        <f t="shared" si="519"/>
        <v>1</v>
      </c>
      <c r="C9361" t="str">
        <f t="shared" si="521"/>
        <v>188</v>
      </c>
      <c r="D9361" t="str">
        <f>"39"</f>
        <v>39</v>
      </c>
      <c r="E9361" t="str">
        <f>"1-188-39"</f>
        <v>1-188-39</v>
      </c>
      <c r="F9361" t="s">
        <v>65</v>
      </c>
      <c r="G9361" t="s">
        <v>66</v>
      </c>
      <c r="H9361" t="s">
        <v>67</v>
      </c>
      <c r="S9361">
        <v>1</v>
      </c>
      <c r="T9361">
        <v>0</v>
      </c>
      <c r="U9361">
        <v>0</v>
      </c>
      <c r="V9361">
        <v>0</v>
      </c>
      <c r="W9361">
        <v>1</v>
      </c>
      <c r="X9361">
        <v>0</v>
      </c>
      <c r="Y9361">
        <v>1</v>
      </c>
      <c r="Z9361">
        <v>0</v>
      </c>
      <c r="AA9361">
        <v>0</v>
      </c>
      <c r="AB9361">
        <v>1</v>
      </c>
      <c r="AC9361">
        <v>0</v>
      </c>
      <c r="AD9361">
        <v>1</v>
      </c>
      <c r="AE9361">
        <v>1</v>
      </c>
      <c r="AF9361">
        <v>1</v>
      </c>
      <c r="AG9361">
        <v>1</v>
      </c>
      <c r="AH9361">
        <v>1</v>
      </c>
      <c r="AI9361">
        <v>1</v>
      </c>
      <c r="AJ9361">
        <v>1</v>
      </c>
      <c r="AK9361">
        <v>1</v>
      </c>
      <c r="AL9361">
        <v>1</v>
      </c>
      <c r="AM9361">
        <v>1</v>
      </c>
    </row>
    <row r="9362" spans="1:39" x14ac:dyDescent="0.2">
      <c r="A9362" t="str">
        <f>"9358"</f>
        <v>9358</v>
      </c>
      <c r="B9362" t="str">
        <f t="shared" si="519"/>
        <v>1</v>
      </c>
      <c r="C9362" t="str">
        <f t="shared" si="521"/>
        <v>188</v>
      </c>
      <c r="D9362" t="str">
        <f>"23"</f>
        <v>23</v>
      </c>
      <c r="E9362" t="str">
        <f>"1-188-23"</f>
        <v>1-188-23</v>
      </c>
      <c r="F9362" t="s">
        <v>65</v>
      </c>
      <c r="G9362" t="s">
        <v>66</v>
      </c>
      <c r="H9362" t="s">
        <v>67</v>
      </c>
      <c r="S9362">
        <v>0</v>
      </c>
      <c r="T9362">
        <v>1</v>
      </c>
      <c r="U9362">
        <v>0</v>
      </c>
      <c r="V9362">
        <v>0</v>
      </c>
      <c r="W9362">
        <v>1</v>
      </c>
      <c r="X9362">
        <v>0</v>
      </c>
      <c r="Y9362">
        <v>1</v>
      </c>
      <c r="Z9362">
        <v>0</v>
      </c>
      <c r="AA9362">
        <v>1</v>
      </c>
      <c r="AB9362">
        <v>0</v>
      </c>
      <c r="AC9362">
        <v>0</v>
      </c>
      <c r="AD9362">
        <v>1</v>
      </c>
      <c r="AE9362">
        <v>1</v>
      </c>
      <c r="AF9362">
        <v>1</v>
      </c>
      <c r="AG9362">
        <v>1</v>
      </c>
      <c r="AH9362">
        <v>1</v>
      </c>
      <c r="AI9362">
        <v>1</v>
      </c>
      <c r="AJ9362">
        <v>1</v>
      </c>
      <c r="AK9362">
        <v>1</v>
      </c>
      <c r="AL9362">
        <v>1</v>
      </c>
      <c r="AM9362">
        <v>1</v>
      </c>
    </row>
    <row r="9363" spans="1:39" x14ac:dyDescent="0.2">
      <c r="A9363" t="str">
        <f>"9359"</f>
        <v>9359</v>
      </c>
      <c r="B9363" t="str">
        <f t="shared" si="519"/>
        <v>1</v>
      </c>
      <c r="C9363" t="str">
        <f t="shared" si="521"/>
        <v>188</v>
      </c>
      <c r="D9363" t="str">
        <f>"16"</f>
        <v>16</v>
      </c>
      <c r="E9363" t="str">
        <f>"1-188-16"</f>
        <v>1-188-16</v>
      </c>
      <c r="F9363" t="s">
        <v>65</v>
      </c>
      <c r="G9363" t="s">
        <v>66</v>
      </c>
      <c r="H9363" t="s">
        <v>67</v>
      </c>
      <c r="S9363">
        <v>0</v>
      </c>
      <c r="T9363">
        <v>1</v>
      </c>
      <c r="U9363">
        <v>0</v>
      </c>
      <c r="V9363">
        <v>0</v>
      </c>
      <c r="W9363">
        <v>1</v>
      </c>
      <c r="X9363">
        <v>0</v>
      </c>
      <c r="Y9363">
        <v>0</v>
      </c>
      <c r="Z9363">
        <v>1</v>
      </c>
      <c r="AA9363">
        <v>1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</row>
    <row r="9364" spans="1:39" x14ac:dyDescent="0.2">
      <c r="A9364" t="str">
        <f>"9360"</f>
        <v>9360</v>
      </c>
      <c r="B9364" t="str">
        <f t="shared" si="519"/>
        <v>1</v>
      </c>
      <c r="C9364" t="str">
        <f t="shared" si="521"/>
        <v>188</v>
      </c>
      <c r="D9364" t="str">
        <f>"5"</f>
        <v>5</v>
      </c>
      <c r="E9364" t="str">
        <f>"1-188-5"</f>
        <v>1-188-5</v>
      </c>
      <c r="F9364" t="s">
        <v>65</v>
      </c>
      <c r="G9364" t="s">
        <v>66</v>
      </c>
      <c r="H9364" t="s">
        <v>67</v>
      </c>
      <c r="S9364">
        <v>0</v>
      </c>
      <c r="T9364">
        <v>1</v>
      </c>
      <c r="U9364">
        <v>0</v>
      </c>
      <c r="V9364">
        <v>0</v>
      </c>
      <c r="W9364">
        <v>1</v>
      </c>
      <c r="X9364">
        <v>0</v>
      </c>
      <c r="Y9364">
        <v>1</v>
      </c>
      <c r="Z9364">
        <v>0</v>
      </c>
      <c r="AA9364">
        <v>0</v>
      </c>
      <c r="AB9364">
        <v>0</v>
      </c>
      <c r="AC9364">
        <v>1</v>
      </c>
      <c r="AD9364">
        <v>1</v>
      </c>
      <c r="AE9364">
        <v>1</v>
      </c>
      <c r="AF9364">
        <v>1</v>
      </c>
      <c r="AG9364">
        <v>1</v>
      </c>
      <c r="AH9364">
        <v>1</v>
      </c>
      <c r="AI9364">
        <v>1</v>
      </c>
      <c r="AJ9364">
        <v>1</v>
      </c>
      <c r="AK9364">
        <v>1</v>
      </c>
      <c r="AL9364">
        <v>1</v>
      </c>
      <c r="AM9364">
        <v>1</v>
      </c>
    </row>
    <row r="9365" spans="1:39" x14ac:dyDescent="0.2">
      <c r="A9365" t="str">
        <f>"9361"</f>
        <v>9361</v>
      </c>
      <c r="B9365" t="str">
        <f t="shared" si="519"/>
        <v>1</v>
      </c>
      <c r="C9365" t="str">
        <f t="shared" si="521"/>
        <v>188</v>
      </c>
      <c r="D9365" t="str">
        <f>"36"</f>
        <v>36</v>
      </c>
      <c r="E9365" t="str">
        <f>"1-188-36"</f>
        <v>1-188-36</v>
      </c>
      <c r="F9365" t="s">
        <v>65</v>
      </c>
      <c r="G9365" t="s">
        <v>66</v>
      </c>
      <c r="H9365" t="s">
        <v>67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1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1</v>
      </c>
      <c r="AH9365">
        <v>1</v>
      </c>
      <c r="AI9365">
        <v>1</v>
      </c>
      <c r="AJ9365">
        <v>1</v>
      </c>
      <c r="AK9365">
        <v>1</v>
      </c>
      <c r="AL9365">
        <v>0</v>
      </c>
      <c r="AM9365">
        <v>0</v>
      </c>
    </row>
    <row r="9366" spans="1:39" x14ac:dyDescent="0.2">
      <c r="A9366" t="str">
        <f>"9362"</f>
        <v>9362</v>
      </c>
      <c r="B9366" t="str">
        <f t="shared" si="519"/>
        <v>1</v>
      </c>
      <c r="C9366" t="str">
        <f t="shared" si="521"/>
        <v>188</v>
      </c>
      <c r="D9366" t="str">
        <f>"35"</f>
        <v>35</v>
      </c>
      <c r="E9366" t="str">
        <f>"1-188-35"</f>
        <v>1-188-35</v>
      </c>
      <c r="F9366" t="s">
        <v>65</v>
      </c>
      <c r="G9366" t="s">
        <v>66</v>
      </c>
      <c r="H9366" t="s">
        <v>67</v>
      </c>
      <c r="S9366">
        <v>0</v>
      </c>
      <c r="T9366">
        <v>1</v>
      </c>
      <c r="U9366">
        <v>0</v>
      </c>
      <c r="V9366">
        <v>0</v>
      </c>
      <c r="W9366">
        <v>0</v>
      </c>
      <c r="X9366">
        <v>1</v>
      </c>
      <c r="Y9366">
        <v>0</v>
      </c>
      <c r="Z9366">
        <v>1</v>
      </c>
      <c r="AA9366">
        <v>0</v>
      </c>
      <c r="AB9366">
        <v>0</v>
      </c>
      <c r="AC9366">
        <v>1</v>
      </c>
      <c r="AD9366">
        <v>1</v>
      </c>
      <c r="AE9366">
        <v>1</v>
      </c>
      <c r="AF9366">
        <v>1</v>
      </c>
      <c r="AG9366">
        <v>1</v>
      </c>
      <c r="AH9366">
        <v>1</v>
      </c>
      <c r="AI9366">
        <v>1</v>
      </c>
      <c r="AJ9366">
        <v>1</v>
      </c>
      <c r="AK9366">
        <v>1</v>
      </c>
      <c r="AL9366">
        <v>1</v>
      </c>
      <c r="AM9366">
        <v>1</v>
      </c>
    </row>
    <row r="9367" spans="1:39" x14ac:dyDescent="0.2">
      <c r="A9367" t="str">
        <f>"9363"</f>
        <v>9363</v>
      </c>
      <c r="B9367" t="str">
        <f t="shared" si="519"/>
        <v>1</v>
      </c>
      <c r="C9367" t="str">
        <f t="shared" si="521"/>
        <v>188</v>
      </c>
      <c r="D9367" t="str">
        <f>"24"</f>
        <v>24</v>
      </c>
      <c r="E9367" t="str">
        <f>"1-188-24"</f>
        <v>1-188-24</v>
      </c>
      <c r="F9367" t="s">
        <v>65</v>
      </c>
      <c r="G9367" t="s">
        <v>66</v>
      </c>
      <c r="H9367" t="s">
        <v>67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1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</row>
    <row r="9368" spans="1:39" x14ac:dyDescent="0.2">
      <c r="A9368" t="str">
        <f>"9364"</f>
        <v>9364</v>
      </c>
      <c r="B9368" t="str">
        <f t="shared" si="519"/>
        <v>1</v>
      </c>
      <c r="C9368" t="str">
        <f t="shared" si="521"/>
        <v>188</v>
      </c>
      <c r="D9368" t="str">
        <f>"17"</f>
        <v>17</v>
      </c>
      <c r="E9368" t="str">
        <f>"1-188-17"</f>
        <v>1-188-17</v>
      </c>
      <c r="F9368" t="s">
        <v>65</v>
      </c>
      <c r="G9368" t="s">
        <v>66</v>
      </c>
      <c r="H9368" t="s">
        <v>67</v>
      </c>
      <c r="S9368">
        <v>1</v>
      </c>
      <c r="T9368">
        <v>0</v>
      </c>
      <c r="U9368">
        <v>0</v>
      </c>
      <c r="V9368">
        <v>0</v>
      </c>
      <c r="W9368">
        <v>0</v>
      </c>
      <c r="X9368">
        <v>1</v>
      </c>
      <c r="Y9368">
        <v>1</v>
      </c>
      <c r="Z9368">
        <v>0</v>
      </c>
      <c r="AA9368">
        <v>0</v>
      </c>
      <c r="AB9368">
        <v>0</v>
      </c>
      <c r="AC9368">
        <v>1</v>
      </c>
      <c r="AD9368">
        <v>1</v>
      </c>
      <c r="AE9368">
        <v>1</v>
      </c>
      <c r="AF9368">
        <v>1</v>
      </c>
      <c r="AG9368">
        <v>1</v>
      </c>
      <c r="AH9368">
        <v>1</v>
      </c>
      <c r="AI9368">
        <v>1</v>
      </c>
      <c r="AJ9368">
        <v>1</v>
      </c>
      <c r="AK9368">
        <v>1</v>
      </c>
      <c r="AL9368">
        <v>1</v>
      </c>
      <c r="AM9368">
        <v>1</v>
      </c>
    </row>
    <row r="9369" spans="1:39" x14ac:dyDescent="0.2">
      <c r="A9369" t="str">
        <f>"9365"</f>
        <v>9365</v>
      </c>
      <c r="B9369" t="str">
        <f t="shared" si="519"/>
        <v>1</v>
      </c>
      <c r="C9369" t="str">
        <f t="shared" si="521"/>
        <v>188</v>
      </c>
      <c r="D9369" t="str">
        <f>"14"</f>
        <v>14</v>
      </c>
      <c r="E9369" t="str">
        <f>"1-188-14"</f>
        <v>1-188-14</v>
      </c>
      <c r="F9369" t="s">
        <v>65</v>
      </c>
      <c r="G9369" t="s">
        <v>66</v>
      </c>
      <c r="H9369" t="s">
        <v>67</v>
      </c>
      <c r="S9369">
        <v>0</v>
      </c>
      <c r="T9369">
        <v>1</v>
      </c>
      <c r="U9369">
        <v>0</v>
      </c>
      <c r="V9369">
        <v>0</v>
      </c>
      <c r="W9369">
        <v>0</v>
      </c>
      <c r="X9369">
        <v>1</v>
      </c>
      <c r="Y9369">
        <v>0</v>
      </c>
      <c r="Z9369">
        <v>1</v>
      </c>
      <c r="AA9369">
        <v>0</v>
      </c>
      <c r="AB9369">
        <v>0</v>
      </c>
      <c r="AC9369">
        <v>1</v>
      </c>
      <c r="AD9369">
        <v>1</v>
      </c>
      <c r="AE9369">
        <v>1</v>
      </c>
      <c r="AF9369">
        <v>0</v>
      </c>
      <c r="AG9369">
        <v>1</v>
      </c>
      <c r="AH9369">
        <v>1</v>
      </c>
      <c r="AI9369">
        <v>1</v>
      </c>
      <c r="AJ9369">
        <v>1</v>
      </c>
      <c r="AK9369">
        <v>1</v>
      </c>
      <c r="AL9369">
        <v>1</v>
      </c>
      <c r="AM9369">
        <v>1</v>
      </c>
    </row>
    <row r="9370" spans="1:39" x14ac:dyDescent="0.2">
      <c r="A9370" t="str">
        <f>"9366"</f>
        <v>9366</v>
      </c>
      <c r="B9370" t="str">
        <f t="shared" si="519"/>
        <v>1</v>
      </c>
      <c r="C9370" t="str">
        <f t="shared" si="521"/>
        <v>188</v>
      </c>
      <c r="D9370" t="str">
        <f>"38"</f>
        <v>38</v>
      </c>
      <c r="E9370" t="str">
        <f>"1-188-38"</f>
        <v>1-188-38</v>
      </c>
      <c r="F9370" t="s">
        <v>65</v>
      </c>
      <c r="G9370" t="s">
        <v>66</v>
      </c>
      <c r="H9370" t="s">
        <v>67</v>
      </c>
      <c r="S9370">
        <v>1</v>
      </c>
      <c r="T9370">
        <v>0</v>
      </c>
      <c r="U9370">
        <v>0</v>
      </c>
      <c r="V9370">
        <v>0</v>
      </c>
      <c r="W9370">
        <v>1</v>
      </c>
      <c r="X9370">
        <v>0</v>
      </c>
      <c r="Y9370">
        <v>0</v>
      </c>
      <c r="Z9370">
        <v>1</v>
      </c>
      <c r="AA9370">
        <v>1</v>
      </c>
      <c r="AB9370">
        <v>0</v>
      </c>
      <c r="AC9370">
        <v>0</v>
      </c>
      <c r="AD9370">
        <v>1</v>
      </c>
      <c r="AE9370">
        <v>1</v>
      </c>
      <c r="AF9370">
        <v>1</v>
      </c>
      <c r="AG9370">
        <v>1</v>
      </c>
      <c r="AH9370">
        <v>1</v>
      </c>
      <c r="AI9370">
        <v>1</v>
      </c>
      <c r="AJ9370">
        <v>1</v>
      </c>
      <c r="AK9370">
        <v>1</v>
      </c>
      <c r="AL9370">
        <v>1</v>
      </c>
      <c r="AM9370">
        <v>1</v>
      </c>
    </row>
    <row r="9371" spans="1:39" x14ac:dyDescent="0.2">
      <c r="A9371" t="str">
        <f>"9367"</f>
        <v>9367</v>
      </c>
      <c r="B9371" t="str">
        <f t="shared" si="519"/>
        <v>1</v>
      </c>
      <c r="C9371" t="str">
        <f t="shared" si="521"/>
        <v>188</v>
      </c>
      <c r="D9371" t="str">
        <f>"37"</f>
        <v>37</v>
      </c>
      <c r="E9371" t="str">
        <f>"1-188-37"</f>
        <v>1-188-37</v>
      </c>
      <c r="F9371" t="s">
        <v>65</v>
      </c>
      <c r="G9371" t="s">
        <v>66</v>
      </c>
      <c r="H9371" t="s">
        <v>67</v>
      </c>
      <c r="S9371">
        <v>1</v>
      </c>
      <c r="T9371">
        <v>0</v>
      </c>
      <c r="U9371">
        <v>0</v>
      </c>
      <c r="V9371">
        <v>0</v>
      </c>
      <c r="W9371">
        <v>0</v>
      </c>
      <c r="X9371">
        <v>1</v>
      </c>
      <c r="Y9371">
        <v>1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1</v>
      </c>
      <c r="AH9371">
        <v>1</v>
      </c>
      <c r="AI9371">
        <v>1</v>
      </c>
      <c r="AJ9371">
        <v>1</v>
      </c>
      <c r="AK9371">
        <v>1</v>
      </c>
      <c r="AL9371">
        <v>0</v>
      </c>
      <c r="AM9371">
        <v>1</v>
      </c>
    </row>
    <row r="9372" spans="1:39" x14ac:dyDescent="0.2">
      <c r="A9372" t="str">
        <f>"9368"</f>
        <v>9368</v>
      </c>
      <c r="B9372" t="str">
        <f t="shared" si="519"/>
        <v>1</v>
      </c>
      <c r="C9372" t="str">
        <f t="shared" si="521"/>
        <v>188</v>
      </c>
      <c r="D9372" t="str">
        <f>"25"</f>
        <v>25</v>
      </c>
      <c r="E9372" t="str">
        <f>"1-188-25"</f>
        <v>1-188-25</v>
      </c>
      <c r="F9372" t="s">
        <v>65</v>
      </c>
      <c r="G9372" t="s">
        <v>66</v>
      </c>
      <c r="H9372" t="s">
        <v>67</v>
      </c>
      <c r="S9372">
        <v>1</v>
      </c>
      <c r="T9372">
        <v>0</v>
      </c>
      <c r="U9372">
        <v>0</v>
      </c>
      <c r="V9372">
        <v>0</v>
      </c>
      <c r="W9372">
        <v>1</v>
      </c>
      <c r="X9372">
        <v>0</v>
      </c>
      <c r="Y9372">
        <v>1</v>
      </c>
      <c r="Z9372">
        <v>0</v>
      </c>
      <c r="AA9372">
        <v>0</v>
      </c>
      <c r="AB9372">
        <v>1</v>
      </c>
      <c r="AC9372">
        <v>0</v>
      </c>
      <c r="AD9372">
        <v>1</v>
      </c>
      <c r="AE9372">
        <v>1</v>
      </c>
      <c r="AF9372">
        <v>1</v>
      </c>
      <c r="AG9372">
        <v>1</v>
      </c>
      <c r="AH9372">
        <v>1</v>
      </c>
      <c r="AI9372">
        <v>1</v>
      </c>
      <c r="AJ9372">
        <v>1</v>
      </c>
      <c r="AK9372">
        <v>1</v>
      </c>
      <c r="AL9372">
        <v>1</v>
      </c>
      <c r="AM9372">
        <v>1</v>
      </c>
    </row>
    <row r="9373" spans="1:39" x14ac:dyDescent="0.2">
      <c r="A9373" t="str">
        <f>"9369"</f>
        <v>9369</v>
      </c>
      <c r="B9373" t="str">
        <f t="shared" si="519"/>
        <v>1</v>
      </c>
      <c r="C9373" t="str">
        <f t="shared" si="521"/>
        <v>188</v>
      </c>
      <c r="D9373" t="str">
        <f>"18"</f>
        <v>18</v>
      </c>
      <c r="E9373" t="str">
        <f>"1-188-18"</f>
        <v>1-188-18</v>
      </c>
      <c r="F9373" t="s">
        <v>65</v>
      </c>
      <c r="G9373" t="s">
        <v>66</v>
      </c>
      <c r="H9373" t="s">
        <v>67</v>
      </c>
      <c r="S9373">
        <v>0</v>
      </c>
      <c r="T9373">
        <v>1</v>
      </c>
      <c r="U9373">
        <v>0</v>
      </c>
      <c r="V9373">
        <v>0</v>
      </c>
      <c r="W9373">
        <v>0</v>
      </c>
      <c r="X9373">
        <v>1</v>
      </c>
      <c r="Y9373">
        <v>0</v>
      </c>
      <c r="Z9373">
        <v>1</v>
      </c>
      <c r="AA9373">
        <v>1</v>
      </c>
      <c r="AB9373">
        <v>0</v>
      </c>
      <c r="AC9373">
        <v>0</v>
      </c>
      <c r="AD9373">
        <v>1</v>
      </c>
      <c r="AE9373">
        <v>1</v>
      </c>
      <c r="AF9373">
        <v>1</v>
      </c>
      <c r="AG9373">
        <v>1</v>
      </c>
      <c r="AH9373">
        <v>1</v>
      </c>
      <c r="AI9373">
        <v>1</v>
      </c>
      <c r="AJ9373">
        <v>1</v>
      </c>
      <c r="AK9373">
        <v>1</v>
      </c>
      <c r="AL9373">
        <v>1</v>
      </c>
      <c r="AM9373">
        <v>1</v>
      </c>
    </row>
    <row r="9374" spans="1:39" x14ac:dyDescent="0.2">
      <c r="A9374" t="str">
        <f>"9370"</f>
        <v>9370</v>
      </c>
      <c r="B9374" t="str">
        <f t="shared" si="519"/>
        <v>1</v>
      </c>
      <c r="C9374" t="str">
        <f t="shared" si="521"/>
        <v>188</v>
      </c>
      <c r="D9374" t="str">
        <f>"4"</f>
        <v>4</v>
      </c>
      <c r="E9374" t="str">
        <f>"1-188-4"</f>
        <v>1-188-4</v>
      </c>
      <c r="F9374" t="s">
        <v>65</v>
      </c>
      <c r="G9374" t="s">
        <v>66</v>
      </c>
      <c r="H9374" t="s">
        <v>67</v>
      </c>
      <c r="S9374">
        <v>1</v>
      </c>
      <c r="T9374">
        <v>0</v>
      </c>
      <c r="U9374">
        <v>0</v>
      </c>
      <c r="V9374">
        <v>0</v>
      </c>
      <c r="W9374">
        <v>1</v>
      </c>
      <c r="X9374">
        <v>0</v>
      </c>
      <c r="Y9374">
        <v>1</v>
      </c>
      <c r="Z9374">
        <v>0</v>
      </c>
      <c r="AA9374">
        <v>1</v>
      </c>
      <c r="AB9374">
        <v>0</v>
      </c>
      <c r="AC9374">
        <v>0</v>
      </c>
      <c r="AD9374">
        <v>1</v>
      </c>
      <c r="AE9374">
        <v>1</v>
      </c>
      <c r="AF9374">
        <v>1</v>
      </c>
      <c r="AG9374">
        <v>1</v>
      </c>
      <c r="AH9374">
        <v>1</v>
      </c>
      <c r="AI9374">
        <v>1</v>
      </c>
      <c r="AJ9374">
        <v>1</v>
      </c>
      <c r="AK9374">
        <v>1</v>
      </c>
      <c r="AL9374">
        <v>1</v>
      </c>
      <c r="AM9374">
        <v>1</v>
      </c>
    </row>
    <row r="9375" spans="1:39" x14ac:dyDescent="0.2">
      <c r="A9375" t="str">
        <f>"9371"</f>
        <v>9371</v>
      </c>
      <c r="B9375" t="str">
        <f t="shared" si="519"/>
        <v>1</v>
      </c>
      <c r="C9375" t="str">
        <f t="shared" si="521"/>
        <v>188</v>
      </c>
      <c r="D9375" t="str">
        <f>"42"</f>
        <v>42</v>
      </c>
      <c r="E9375" t="str">
        <f>"1-188-42"</f>
        <v>1-188-42</v>
      </c>
      <c r="F9375" t="s">
        <v>65</v>
      </c>
      <c r="G9375" t="s">
        <v>66</v>
      </c>
      <c r="H9375" t="s">
        <v>67</v>
      </c>
      <c r="S9375">
        <v>0</v>
      </c>
      <c r="T9375">
        <v>1</v>
      </c>
      <c r="U9375">
        <v>0</v>
      </c>
      <c r="V9375">
        <v>0</v>
      </c>
      <c r="W9375">
        <v>0</v>
      </c>
      <c r="X9375">
        <v>1</v>
      </c>
      <c r="Y9375">
        <v>1</v>
      </c>
      <c r="Z9375">
        <v>0</v>
      </c>
      <c r="AA9375">
        <v>0</v>
      </c>
      <c r="AB9375">
        <v>0</v>
      </c>
      <c r="AC9375">
        <v>1</v>
      </c>
      <c r="AD9375">
        <v>1</v>
      </c>
      <c r="AE9375">
        <v>1</v>
      </c>
      <c r="AF9375">
        <v>1</v>
      </c>
      <c r="AG9375">
        <v>1</v>
      </c>
      <c r="AH9375">
        <v>1</v>
      </c>
      <c r="AI9375">
        <v>1</v>
      </c>
      <c r="AJ9375">
        <v>1</v>
      </c>
      <c r="AK9375">
        <v>1</v>
      </c>
      <c r="AL9375">
        <v>1</v>
      </c>
      <c r="AM9375">
        <v>1</v>
      </c>
    </row>
    <row r="9376" spans="1:39" x14ac:dyDescent="0.2">
      <c r="A9376" t="str">
        <f>"9372"</f>
        <v>9372</v>
      </c>
      <c r="B9376" t="str">
        <f t="shared" si="519"/>
        <v>1</v>
      </c>
      <c r="C9376" t="str">
        <f t="shared" si="521"/>
        <v>188</v>
      </c>
      <c r="D9376" t="str">
        <f>"19"</f>
        <v>19</v>
      </c>
      <c r="E9376" t="str">
        <f>"1-188-19"</f>
        <v>1-188-19</v>
      </c>
      <c r="F9376" t="s">
        <v>65</v>
      </c>
      <c r="G9376" t="s">
        <v>66</v>
      </c>
      <c r="H9376" t="s">
        <v>67</v>
      </c>
      <c r="S9376">
        <v>0</v>
      </c>
      <c r="T9376">
        <v>1</v>
      </c>
      <c r="U9376">
        <v>0</v>
      </c>
      <c r="V9376">
        <v>0</v>
      </c>
      <c r="W9376">
        <v>0</v>
      </c>
      <c r="X9376">
        <v>1</v>
      </c>
      <c r="Y9376">
        <v>0</v>
      </c>
      <c r="Z9376">
        <v>1</v>
      </c>
      <c r="AA9376">
        <v>1</v>
      </c>
      <c r="AB9376">
        <v>0</v>
      </c>
      <c r="AC9376">
        <v>0</v>
      </c>
      <c r="AD9376">
        <v>1</v>
      </c>
      <c r="AE9376">
        <v>1</v>
      </c>
      <c r="AF9376">
        <v>1</v>
      </c>
      <c r="AG9376">
        <v>1</v>
      </c>
      <c r="AH9376">
        <v>1</v>
      </c>
      <c r="AI9376">
        <v>1</v>
      </c>
      <c r="AJ9376">
        <v>1</v>
      </c>
      <c r="AK9376">
        <v>1</v>
      </c>
      <c r="AL9376">
        <v>1</v>
      </c>
      <c r="AM9376">
        <v>1</v>
      </c>
    </row>
    <row r="9377" spans="1:39" x14ac:dyDescent="0.2">
      <c r="A9377" t="str">
        <f>"9373"</f>
        <v>9373</v>
      </c>
      <c r="B9377" t="str">
        <f t="shared" si="519"/>
        <v>1</v>
      </c>
      <c r="C9377" t="str">
        <f t="shared" si="521"/>
        <v>188</v>
      </c>
      <c r="D9377" t="str">
        <f>"3"</f>
        <v>3</v>
      </c>
      <c r="E9377" t="str">
        <f>"1-188-3"</f>
        <v>1-188-3</v>
      </c>
      <c r="F9377" t="s">
        <v>65</v>
      </c>
      <c r="G9377" t="s">
        <v>66</v>
      </c>
      <c r="H9377" t="s">
        <v>67</v>
      </c>
      <c r="S9377">
        <v>1</v>
      </c>
      <c r="T9377">
        <v>0</v>
      </c>
      <c r="U9377">
        <v>0</v>
      </c>
      <c r="V9377">
        <v>0</v>
      </c>
      <c r="W9377">
        <v>1</v>
      </c>
      <c r="X9377">
        <v>0</v>
      </c>
      <c r="Y9377">
        <v>1</v>
      </c>
      <c r="Z9377">
        <v>0</v>
      </c>
      <c r="AA9377">
        <v>1</v>
      </c>
      <c r="AB9377">
        <v>0</v>
      </c>
      <c r="AC9377">
        <v>0</v>
      </c>
      <c r="AD9377">
        <v>1</v>
      </c>
      <c r="AE9377">
        <v>1</v>
      </c>
      <c r="AF9377">
        <v>1</v>
      </c>
      <c r="AG9377">
        <v>1</v>
      </c>
      <c r="AH9377">
        <v>1</v>
      </c>
      <c r="AI9377">
        <v>1</v>
      </c>
      <c r="AJ9377">
        <v>1</v>
      </c>
      <c r="AK9377">
        <v>1</v>
      </c>
      <c r="AL9377">
        <v>1</v>
      </c>
      <c r="AM9377">
        <v>1</v>
      </c>
    </row>
    <row r="9378" spans="1:39" x14ac:dyDescent="0.2">
      <c r="A9378" t="str">
        <f>"9374"</f>
        <v>9374</v>
      </c>
      <c r="B9378" t="str">
        <f t="shared" si="519"/>
        <v>1</v>
      </c>
      <c r="C9378" t="str">
        <f t="shared" si="521"/>
        <v>188</v>
      </c>
      <c r="D9378" t="str">
        <f>"41"</f>
        <v>41</v>
      </c>
      <c r="E9378" t="str">
        <f>"1-188-41"</f>
        <v>1-188-41</v>
      </c>
      <c r="F9378" t="s">
        <v>65</v>
      </c>
      <c r="G9378" t="s">
        <v>66</v>
      </c>
      <c r="H9378" t="s">
        <v>67</v>
      </c>
      <c r="S9378">
        <v>1</v>
      </c>
      <c r="T9378">
        <v>0</v>
      </c>
      <c r="U9378">
        <v>0</v>
      </c>
      <c r="V9378">
        <v>0</v>
      </c>
      <c r="W9378">
        <v>1</v>
      </c>
      <c r="X9378">
        <v>0</v>
      </c>
      <c r="Y9378">
        <v>1</v>
      </c>
      <c r="Z9378">
        <v>0</v>
      </c>
      <c r="AA9378">
        <v>0</v>
      </c>
      <c r="AB9378">
        <v>1</v>
      </c>
      <c r="AC9378">
        <v>0</v>
      </c>
      <c r="AD9378">
        <v>1</v>
      </c>
      <c r="AE9378">
        <v>1</v>
      </c>
      <c r="AF9378">
        <v>1</v>
      </c>
      <c r="AG9378">
        <v>1</v>
      </c>
      <c r="AH9378">
        <v>1</v>
      </c>
      <c r="AI9378">
        <v>1</v>
      </c>
      <c r="AJ9378">
        <v>1</v>
      </c>
      <c r="AK9378">
        <v>1</v>
      </c>
      <c r="AL9378">
        <v>1</v>
      </c>
      <c r="AM9378">
        <v>1</v>
      </c>
    </row>
    <row r="9379" spans="1:39" x14ac:dyDescent="0.2">
      <c r="A9379" t="str">
        <f>"9375"</f>
        <v>9375</v>
      </c>
      <c r="B9379" t="str">
        <f t="shared" si="519"/>
        <v>1</v>
      </c>
      <c r="C9379" t="str">
        <f t="shared" si="521"/>
        <v>188</v>
      </c>
      <c r="D9379" t="str">
        <f>"20"</f>
        <v>20</v>
      </c>
      <c r="E9379" t="str">
        <f>"1-188-20"</f>
        <v>1-188-20</v>
      </c>
      <c r="F9379" t="s">
        <v>65</v>
      </c>
      <c r="G9379" t="s">
        <v>66</v>
      </c>
      <c r="H9379" t="s">
        <v>67</v>
      </c>
      <c r="S9379">
        <v>0</v>
      </c>
      <c r="T9379">
        <v>1</v>
      </c>
      <c r="U9379">
        <v>0</v>
      </c>
      <c r="V9379">
        <v>0</v>
      </c>
      <c r="W9379">
        <v>1</v>
      </c>
      <c r="X9379">
        <v>0</v>
      </c>
      <c r="Y9379">
        <v>1</v>
      </c>
      <c r="Z9379">
        <v>0</v>
      </c>
      <c r="AA9379">
        <v>0</v>
      </c>
      <c r="AB9379">
        <v>1</v>
      </c>
      <c r="AC9379">
        <v>0</v>
      </c>
      <c r="AD9379">
        <v>1</v>
      </c>
      <c r="AE9379">
        <v>1</v>
      </c>
      <c r="AF9379">
        <v>1</v>
      </c>
      <c r="AG9379">
        <v>1</v>
      </c>
      <c r="AH9379">
        <v>1</v>
      </c>
      <c r="AI9379">
        <v>1</v>
      </c>
      <c r="AJ9379">
        <v>1</v>
      </c>
      <c r="AK9379">
        <v>1</v>
      </c>
      <c r="AL9379">
        <v>1</v>
      </c>
      <c r="AM9379">
        <v>1</v>
      </c>
    </row>
    <row r="9380" spans="1:39" x14ac:dyDescent="0.2">
      <c r="A9380" t="str">
        <f>"9376"</f>
        <v>9376</v>
      </c>
      <c r="B9380" t="str">
        <f t="shared" si="519"/>
        <v>1</v>
      </c>
      <c r="C9380" t="str">
        <f t="shared" si="521"/>
        <v>188</v>
      </c>
      <c r="D9380" t="str">
        <f>"12"</f>
        <v>12</v>
      </c>
      <c r="E9380" t="str">
        <f>"1-188-12"</f>
        <v>1-188-12</v>
      </c>
      <c r="F9380" t="s">
        <v>65</v>
      </c>
      <c r="G9380" t="s">
        <v>66</v>
      </c>
      <c r="H9380" t="s">
        <v>67</v>
      </c>
      <c r="S9380">
        <v>0</v>
      </c>
      <c r="T9380">
        <v>1</v>
      </c>
      <c r="U9380">
        <v>0</v>
      </c>
      <c r="V9380">
        <v>0</v>
      </c>
      <c r="W9380">
        <v>1</v>
      </c>
      <c r="X9380">
        <v>0</v>
      </c>
      <c r="Y9380">
        <v>0</v>
      </c>
      <c r="Z9380">
        <v>1</v>
      </c>
      <c r="AA9380">
        <v>0</v>
      </c>
      <c r="AB9380">
        <v>1</v>
      </c>
      <c r="AC9380">
        <v>0</v>
      </c>
      <c r="AD9380">
        <v>1</v>
      </c>
      <c r="AE9380">
        <v>1</v>
      </c>
      <c r="AF9380">
        <v>1</v>
      </c>
      <c r="AG9380">
        <v>1</v>
      </c>
      <c r="AH9380">
        <v>1</v>
      </c>
      <c r="AI9380">
        <v>1</v>
      </c>
      <c r="AJ9380">
        <v>1</v>
      </c>
      <c r="AK9380">
        <v>1</v>
      </c>
      <c r="AL9380">
        <v>1</v>
      </c>
      <c r="AM9380">
        <v>1</v>
      </c>
    </row>
    <row r="9381" spans="1:39" x14ac:dyDescent="0.2">
      <c r="A9381" t="str">
        <f>"9377"</f>
        <v>9377</v>
      </c>
      <c r="B9381" t="str">
        <f t="shared" si="519"/>
        <v>1</v>
      </c>
      <c r="C9381" t="str">
        <f t="shared" si="521"/>
        <v>188</v>
      </c>
      <c r="D9381" t="str">
        <f>"43"</f>
        <v>43</v>
      </c>
      <c r="E9381" t="str">
        <f>"1-188-43"</f>
        <v>1-188-43</v>
      </c>
      <c r="F9381" t="s">
        <v>65</v>
      </c>
      <c r="G9381" t="s">
        <v>66</v>
      </c>
      <c r="H9381" t="s">
        <v>67</v>
      </c>
      <c r="S9381">
        <v>0</v>
      </c>
      <c r="T9381">
        <v>1</v>
      </c>
      <c r="U9381">
        <v>0</v>
      </c>
      <c r="V9381">
        <v>0</v>
      </c>
      <c r="W9381">
        <v>0</v>
      </c>
      <c r="X9381">
        <v>1</v>
      </c>
      <c r="Y9381">
        <v>1</v>
      </c>
      <c r="Z9381">
        <v>0</v>
      </c>
      <c r="AA9381">
        <v>0</v>
      </c>
      <c r="AB9381">
        <v>1</v>
      </c>
      <c r="AC9381">
        <v>0</v>
      </c>
      <c r="AD9381">
        <v>1</v>
      </c>
      <c r="AE9381">
        <v>1</v>
      </c>
      <c r="AF9381">
        <v>1</v>
      </c>
      <c r="AG9381">
        <v>1</v>
      </c>
      <c r="AH9381">
        <v>1</v>
      </c>
      <c r="AI9381">
        <v>1</v>
      </c>
      <c r="AJ9381">
        <v>1</v>
      </c>
      <c r="AK9381">
        <v>1</v>
      </c>
      <c r="AL9381">
        <v>1</v>
      </c>
      <c r="AM9381">
        <v>1</v>
      </c>
    </row>
    <row r="9382" spans="1:39" x14ac:dyDescent="0.2">
      <c r="A9382" t="str">
        <f>"9378"</f>
        <v>9378</v>
      </c>
      <c r="B9382" t="str">
        <f t="shared" si="519"/>
        <v>1</v>
      </c>
      <c r="C9382" t="str">
        <f t="shared" si="521"/>
        <v>188</v>
      </c>
      <c r="D9382" t="str">
        <f>"22"</f>
        <v>22</v>
      </c>
      <c r="E9382" t="str">
        <f>"1-188-22"</f>
        <v>1-188-22</v>
      </c>
      <c r="F9382" t="s">
        <v>65</v>
      </c>
      <c r="G9382" t="s">
        <v>66</v>
      </c>
      <c r="H9382" t="s">
        <v>67</v>
      </c>
      <c r="S9382">
        <v>1</v>
      </c>
      <c r="T9382">
        <v>0</v>
      </c>
      <c r="U9382">
        <v>0</v>
      </c>
      <c r="V9382">
        <v>0</v>
      </c>
      <c r="W9382">
        <v>0</v>
      </c>
      <c r="X9382">
        <v>1</v>
      </c>
      <c r="Y9382">
        <v>1</v>
      </c>
      <c r="Z9382">
        <v>0</v>
      </c>
      <c r="AA9382">
        <v>0</v>
      </c>
      <c r="AB9382">
        <v>1</v>
      </c>
      <c r="AC9382">
        <v>0</v>
      </c>
      <c r="AD9382">
        <v>1</v>
      </c>
      <c r="AE9382">
        <v>1</v>
      </c>
      <c r="AF9382">
        <v>1</v>
      </c>
      <c r="AG9382">
        <v>1</v>
      </c>
      <c r="AH9382">
        <v>1</v>
      </c>
      <c r="AI9382">
        <v>1</v>
      </c>
      <c r="AJ9382">
        <v>1</v>
      </c>
      <c r="AK9382">
        <v>1</v>
      </c>
      <c r="AL9382">
        <v>1</v>
      </c>
      <c r="AM9382">
        <v>1</v>
      </c>
    </row>
    <row r="9383" spans="1:39" x14ac:dyDescent="0.2">
      <c r="A9383" t="str">
        <f>"9379"</f>
        <v>9379</v>
      </c>
      <c r="B9383" t="str">
        <f t="shared" si="519"/>
        <v>1</v>
      </c>
      <c r="C9383" t="str">
        <f t="shared" si="521"/>
        <v>188</v>
      </c>
      <c r="D9383" t="str">
        <f>"10"</f>
        <v>10</v>
      </c>
      <c r="E9383" t="str">
        <f>"1-188-10"</f>
        <v>1-188-10</v>
      </c>
      <c r="F9383" t="s">
        <v>65</v>
      </c>
      <c r="G9383" t="s">
        <v>66</v>
      </c>
      <c r="H9383" t="s">
        <v>67</v>
      </c>
      <c r="S9383">
        <v>1</v>
      </c>
      <c r="T9383">
        <v>0</v>
      </c>
      <c r="U9383">
        <v>0</v>
      </c>
      <c r="V9383">
        <v>0</v>
      </c>
      <c r="W9383">
        <v>1</v>
      </c>
      <c r="X9383">
        <v>0</v>
      </c>
      <c r="Y9383">
        <v>1</v>
      </c>
      <c r="Z9383">
        <v>0</v>
      </c>
      <c r="AA9383">
        <v>0</v>
      </c>
      <c r="AB9383">
        <v>0</v>
      </c>
      <c r="AC9383">
        <v>1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</row>
    <row r="9384" spans="1:39" x14ac:dyDescent="0.2">
      <c r="A9384" t="str">
        <f>"9380"</f>
        <v>9380</v>
      </c>
      <c r="B9384" t="str">
        <f t="shared" si="519"/>
        <v>1</v>
      </c>
      <c r="C9384" t="str">
        <f t="shared" si="521"/>
        <v>188</v>
      </c>
      <c r="D9384" t="str">
        <f>"44"</f>
        <v>44</v>
      </c>
      <c r="E9384" t="str">
        <f>"1-188-44"</f>
        <v>1-188-44</v>
      </c>
      <c r="F9384" t="s">
        <v>65</v>
      </c>
      <c r="G9384" t="s">
        <v>66</v>
      </c>
      <c r="H9384" t="s">
        <v>67</v>
      </c>
      <c r="S9384">
        <v>1</v>
      </c>
      <c r="T9384">
        <v>0</v>
      </c>
      <c r="U9384">
        <v>0</v>
      </c>
      <c r="V9384">
        <v>0</v>
      </c>
      <c r="W9384">
        <v>0</v>
      </c>
      <c r="X9384">
        <v>1</v>
      </c>
      <c r="Y9384">
        <v>0</v>
      </c>
      <c r="Z9384">
        <v>1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</row>
    <row r="9385" spans="1:39" x14ac:dyDescent="0.2">
      <c r="A9385" t="str">
        <f>"9381"</f>
        <v>9381</v>
      </c>
      <c r="B9385" t="str">
        <f t="shared" si="519"/>
        <v>1</v>
      </c>
      <c r="C9385" t="str">
        <f t="shared" si="521"/>
        <v>188</v>
      </c>
      <c r="D9385" t="str">
        <f>"26"</f>
        <v>26</v>
      </c>
      <c r="E9385" t="str">
        <f>"1-188-26"</f>
        <v>1-188-26</v>
      </c>
      <c r="F9385" t="s">
        <v>65</v>
      </c>
      <c r="G9385" t="s">
        <v>66</v>
      </c>
      <c r="H9385" t="s">
        <v>67</v>
      </c>
      <c r="S9385">
        <v>1</v>
      </c>
      <c r="T9385">
        <v>0</v>
      </c>
      <c r="U9385">
        <v>0</v>
      </c>
      <c r="V9385">
        <v>0</v>
      </c>
      <c r="W9385">
        <v>1</v>
      </c>
      <c r="X9385">
        <v>0</v>
      </c>
      <c r="Y9385">
        <v>0</v>
      </c>
      <c r="Z9385">
        <v>1</v>
      </c>
      <c r="AA9385">
        <v>1</v>
      </c>
      <c r="AB9385">
        <v>0</v>
      </c>
      <c r="AC9385">
        <v>0</v>
      </c>
      <c r="AD9385">
        <v>1</v>
      </c>
      <c r="AE9385">
        <v>1</v>
      </c>
      <c r="AF9385">
        <v>1</v>
      </c>
      <c r="AG9385">
        <v>1</v>
      </c>
      <c r="AH9385">
        <v>1</v>
      </c>
      <c r="AI9385">
        <v>1</v>
      </c>
      <c r="AJ9385">
        <v>1</v>
      </c>
      <c r="AK9385">
        <v>1</v>
      </c>
      <c r="AL9385">
        <v>1</v>
      </c>
      <c r="AM9385">
        <v>1</v>
      </c>
    </row>
    <row r="9386" spans="1:39" x14ac:dyDescent="0.2">
      <c r="A9386" t="str">
        <f>"9382"</f>
        <v>9382</v>
      </c>
      <c r="B9386" t="str">
        <f t="shared" si="519"/>
        <v>1</v>
      </c>
      <c r="C9386" t="str">
        <f t="shared" si="521"/>
        <v>188</v>
      </c>
      <c r="D9386" t="str">
        <f>"11"</f>
        <v>11</v>
      </c>
      <c r="E9386" t="str">
        <f>"1-188-11"</f>
        <v>1-188-11</v>
      </c>
      <c r="F9386" t="s">
        <v>65</v>
      </c>
      <c r="G9386" t="s">
        <v>66</v>
      </c>
      <c r="H9386" t="s">
        <v>67</v>
      </c>
      <c r="S9386">
        <v>0</v>
      </c>
      <c r="T9386">
        <v>1</v>
      </c>
      <c r="U9386">
        <v>0</v>
      </c>
      <c r="V9386">
        <v>0</v>
      </c>
      <c r="W9386">
        <v>1</v>
      </c>
      <c r="X9386">
        <v>0</v>
      </c>
      <c r="Y9386">
        <v>1</v>
      </c>
      <c r="Z9386">
        <v>0</v>
      </c>
      <c r="AA9386">
        <v>0</v>
      </c>
      <c r="AB9386">
        <v>1</v>
      </c>
      <c r="AC9386">
        <v>0</v>
      </c>
      <c r="AD9386">
        <v>1</v>
      </c>
      <c r="AE9386">
        <v>1</v>
      </c>
      <c r="AF9386">
        <v>1</v>
      </c>
      <c r="AG9386">
        <v>1</v>
      </c>
      <c r="AH9386">
        <v>1</v>
      </c>
      <c r="AI9386">
        <v>1</v>
      </c>
      <c r="AJ9386">
        <v>1</v>
      </c>
      <c r="AK9386">
        <v>1</v>
      </c>
      <c r="AL9386">
        <v>1</v>
      </c>
      <c r="AM9386">
        <v>1</v>
      </c>
    </row>
    <row r="9387" spans="1:39" x14ac:dyDescent="0.2">
      <c r="A9387" t="str">
        <f>"9383"</f>
        <v>9383</v>
      </c>
      <c r="B9387" t="str">
        <f t="shared" si="519"/>
        <v>1</v>
      </c>
      <c r="C9387" t="str">
        <f t="shared" ref="C9387:C9404" si="522">"188"</f>
        <v>188</v>
      </c>
      <c r="D9387" t="str">
        <f>"45"</f>
        <v>45</v>
      </c>
      <c r="E9387" t="str">
        <f>"1-188-45"</f>
        <v>1-188-45</v>
      </c>
      <c r="F9387" t="s">
        <v>65</v>
      </c>
      <c r="G9387" t="s">
        <v>66</v>
      </c>
      <c r="H9387" t="s">
        <v>67</v>
      </c>
      <c r="S9387">
        <v>1</v>
      </c>
      <c r="T9387">
        <v>0</v>
      </c>
      <c r="U9387">
        <v>0</v>
      </c>
      <c r="V9387">
        <v>0</v>
      </c>
      <c r="W9387">
        <v>1</v>
      </c>
      <c r="X9387">
        <v>0</v>
      </c>
      <c r="Y9387">
        <v>1</v>
      </c>
      <c r="Z9387">
        <v>0</v>
      </c>
      <c r="AA9387">
        <v>1</v>
      </c>
      <c r="AB9387">
        <v>0</v>
      </c>
      <c r="AC9387">
        <v>0</v>
      </c>
      <c r="AD9387">
        <v>1</v>
      </c>
      <c r="AE9387">
        <v>1</v>
      </c>
      <c r="AF9387">
        <v>1</v>
      </c>
      <c r="AG9387">
        <v>1</v>
      </c>
      <c r="AH9387">
        <v>1</v>
      </c>
      <c r="AI9387">
        <v>1</v>
      </c>
      <c r="AJ9387">
        <v>1</v>
      </c>
      <c r="AK9387">
        <v>1</v>
      </c>
      <c r="AL9387">
        <v>1</v>
      </c>
      <c r="AM9387">
        <v>1</v>
      </c>
    </row>
    <row r="9388" spans="1:39" x14ac:dyDescent="0.2">
      <c r="A9388" t="str">
        <f>"9384"</f>
        <v>9384</v>
      </c>
      <c r="B9388" t="str">
        <f t="shared" si="519"/>
        <v>1</v>
      </c>
      <c r="C9388" t="str">
        <f t="shared" si="522"/>
        <v>188</v>
      </c>
      <c r="D9388" t="str">
        <f>"27"</f>
        <v>27</v>
      </c>
      <c r="E9388" t="str">
        <f>"1-188-27"</f>
        <v>1-188-27</v>
      </c>
      <c r="F9388" t="s">
        <v>65</v>
      </c>
      <c r="G9388" t="s">
        <v>66</v>
      </c>
      <c r="H9388" t="s">
        <v>67</v>
      </c>
      <c r="S9388">
        <v>1</v>
      </c>
      <c r="T9388">
        <v>0</v>
      </c>
      <c r="U9388">
        <v>0</v>
      </c>
      <c r="V9388">
        <v>0</v>
      </c>
      <c r="W9388">
        <v>1</v>
      </c>
      <c r="X9388">
        <v>0</v>
      </c>
      <c r="Y9388">
        <v>0</v>
      </c>
      <c r="Z9388">
        <v>1</v>
      </c>
      <c r="AA9388">
        <v>1</v>
      </c>
      <c r="AB9388">
        <v>0</v>
      </c>
      <c r="AC9388">
        <v>0</v>
      </c>
      <c r="AD9388">
        <v>1</v>
      </c>
      <c r="AE9388">
        <v>1</v>
      </c>
      <c r="AF9388">
        <v>1</v>
      </c>
      <c r="AG9388">
        <v>1</v>
      </c>
      <c r="AH9388">
        <v>1</v>
      </c>
      <c r="AI9388">
        <v>1</v>
      </c>
      <c r="AJ9388">
        <v>1</v>
      </c>
      <c r="AK9388">
        <v>1</v>
      </c>
      <c r="AL9388">
        <v>1</v>
      </c>
      <c r="AM9388">
        <v>1</v>
      </c>
    </row>
    <row r="9389" spans="1:39" x14ac:dyDescent="0.2">
      <c r="A9389" t="str">
        <f>"9385"</f>
        <v>9385</v>
      </c>
      <c r="B9389" t="str">
        <f t="shared" si="519"/>
        <v>1</v>
      </c>
      <c r="C9389" t="str">
        <f t="shared" si="522"/>
        <v>188</v>
      </c>
      <c r="D9389" t="str">
        <f>"7"</f>
        <v>7</v>
      </c>
      <c r="E9389" t="str">
        <f>"1-188-7"</f>
        <v>1-188-7</v>
      </c>
      <c r="F9389" t="s">
        <v>65</v>
      </c>
      <c r="G9389" t="s">
        <v>66</v>
      </c>
      <c r="H9389" t="s">
        <v>67</v>
      </c>
      <c r="S9389">
        <v>1</v>
      </c>
      <c r="T9389">
        <v>0</v>
      </c>
      <c r="U9389">
        <v>0</v>
      </c>
      <c r="V9389">
        <v>0</v>
      </c>
      <c r="W9389">
        <v>1</v>
      </c>
      <c r="X9389">
        <v>0</v>
      </c>
      <c r="Y9389">
        <v>1</v>
      </c>
      <c r="Z9389">
        <v>0</v>
      </c>
      <c r="AA9389">
        <v>1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1</v>
      </c>
      <c r="AH9389">
        <v>1</v>
      </c>
      <c r="AI9389">
        <v>1</v>
      </c>
      <c r="AJ9389">
        <v>1</v>
      </c>
      <c r="AK9389">
        <v>1</v>
      </c>
      <c r="AL9389">
        <v>1</v>
      </c>
      <c r="AM9389">
        <v>1</v>
      </c>
    </row>
    <row r="9390" spans="1:39" x14ac:dyDescent="0.2">
      <c r="A9390" t="str">
        <f>"9386"</f>
        <v>9386</v>
      </c>
      <c r="B9390" t="str">
        <f t="shared" si="519"/>
        <v>1</v>
      </c>
      <c r="C9390" t="str">
        <f t="shared" si="522"/>
        <v>188</v>
      </c>
      <c r="D9390" t="str">
        <f>"28"</f>
        <v>28</v>
      </c>
      <c r="E9390" t="str">
        <f>"1-188-28"</f>
        <v>1-188-28</v>
      </c>
      <c r="F9390" t="s">
        <v>65</v>
      </c>
      <c r="G9390" t="s">
        <v>66</v>
      </c>
      <c r="H9390" t="s">
        <v>67</v>
      </c>
      <c r="S9390">
        <v>1</v>
      </c>
      <c r="T9390">
        <v>0</v>
      </c>
      <c r="U9390">
        <v>0</v>
      </c>
      <c r="V9390">
        <v>0</v>
      </c>
      <c r="W9390">
        <v>1</v>
      </c>
      <c r="X9390">
        <v>0</v>
      </c>
      <c r="Y9390">
        <v>1</v>
      </c>
      <c r="Z9390">
        <v>0</v>
      </c>
      <c r="AA9390">
        <v>1</v>
      </c>
      <c r="AB9390">
        <v>0</v>
      </c>
      <c r="AC9390">
        <v>0</v>
      </c>
      <c r="AD9390">
        <v>1</v>
      </c>
      <c r="AE9390">
        <v>1</v>
      </c>
      <c r="AF9390">
        <v>1</v>
      </c>
      <c r="AG9390">
        <v>1</v>
      </c>
      <c r="AH9390">
        <v>1</v>
      </c>
      <c r="AI9390">
        <v>1</v>
      </c>
      <c r="AJ9390">
        <v>1</v>
      </c>
      <c r="AK9390">
        <v>1</v>
      </c>
      <c r="AL9390">
        <v>1</v>
      </c>
      <c r="AM9390">
        <v>1</v>
      </c>
    </row>
    <row r="9391" spans="1:39" x14ac:dyDescent="0.2">
      <c r="A9391" t="str">
        <f>"9387"</f>
        <v>9387</v>
      </c>
      <c r="B9391" t="str">
        <f t="shared" si="519"/>
        <v>1</v>
      </c>
      <c r="C9391" t="str">
        <f t="shared" si="522"/>
        <v>188</v>
      </c>
      <c r="D9391" t="str">
        <f>"8"</f>
        <v>8</v>
      </c>
      <c r="E9391" t="str">
        <f>"1-188-8"</f>
        <v>1-188-8</v>
      </c>
      <c r="F9391" t="s">
        <v>65</v>
      </c>
      <c r="G9391" t="s">
        <v>66</v>
      </c>
      <c r="H9391" t="s">
        <v>67</v>
      </c>
      <c r="S9391">
        <v>1</v>
      </c>
      <c r="T9391">
        <v>0</v>
      </c>
      <c r="U9391">
        <v>0</v>
      </c>
      <c r="V9391">
        <v>0</v>
      </c>
      <c r="W9391">
        <v>1</v>
      </c>
      <c r="X9391">
        <v>0</v>
      </c>
      <c r="Y9391">
        <v>0</v>
      </c>
      <c r="Z9391">
        <v>1</v>
      </c>
      <c r="AA9391">
        <v>0</v>
      </c>
      <c r="AB9391">
        <v>1</v>
      </c>
      <c r="AC9391">
        <v>0</v>
      </c>
      <c r="AD9391">
        <v>1</v>
      </c>
      <c r="AE9391">
        <v>1</v>
      </c>
      <c r="AF9391">
        <v>1</v>
      </c>
      <c r="AG9391">
        <v>1</v>
      </c>
      <c r="AH9391">
        <v>1</v>
      </c>
      <c r="AI9391">
        <v>1</v>
      </c>
      <c r="AJ9391">
        <v>1</v>
      </c>
      <c r="AK9391">
        <v>1</v>
      </c>
      <c r="AL9391">
        <v>1</v>
      </c>
      <c r="AM9391">
        <v>0</v>
      </c>
    </row>
    <row r="9392" spans="1:39" x14ac:dyDescent="0.2">
      <c r="A9392" t="str">
        <f>"9388"</f>
        <v>9388</v>
      </c>
      <c r="B9392" t="str">
        <f t="shared" si="519"/>
        <v>1</v>
      </c>
      <c r="C9392" t="str">
        <f t="shared" si="522"/>
        <v>188</v>
      </c>
      <c r="D9392" t="str">
        <f>"29"</f>
        <v>29</v>
      </c>
      <c r="E9392" t="str">
        <f>"1-188-29"</f>
        <v>1-188-29</v>
      </c>
      <c r="F9392" t="s">
        <v>65</v>
      </c>
      <c r="G9392" t="s">
        <v>66</v>
      </c>
      <c r="H9392" t="s">
        <v>67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1</v>
      </c>
      <c r="Y9392">
        <v>0</v>
      </c>
      <c r="Z9392">
        <v>0</v>
      </c>
      <c r="AA9392">
        <v>0</v>
      </c>
      <c r="AB9392">
        <v>1</v>
      </c>
      <c r="AC9392">
        <v>0</v>
      </c>
      <c r="AD9392">
        <v>1</v>
      </c>
      <c r="AE9392">
        <v>1</v>
      </c>
      <c r="AF9392">
        <v>1</v>
      </c>
      <c r="AG9392">
        <v>1</v>
      </c>
      <c r="AH9392">
        <v>1</v>
      </c>
      <c r="AI9392">
        <v>1</v>
      </c>
      <c r="AJ9392">
        <v>1</v>
      </c>
      <c r="AK9392">
        <v>1</v>
      </c>
      <c r="AL9392">
        <v>1</v>
      </c>
      <c r="AM9392">
        <v>1</v>
      </c>
    </row>
    <row r="9393" spans="1:39" x14ac:dyDescent="0.2">
      <c r="A9393" t="str">
        <f>"9389"</f>
        <v>9389</v>
      </c>
      <c r="B9393" t="str">
        <f t="shared" si="519"/>
        <v>1</v>
      </c>
      <c r="C9393" t="str">
        <f t="shared" si="522"/>
        <v>188</v>
      </c>
      <c r="D9393" t="str">
        <f>"2"</f>
        <v>2</v>
      </c>
      <c r="E9393" t="str">
        <f>"1-188-2"</f>
        <v>1-188-2</v>
      </c>
      <c r="F9393" t="s">
        <v>65</v>
      </c>
      <c r="G9393" t="s">
        <v>66</v>
      </c>
      <c r="H9393" t="s">
        <v>67</v>
      </c>
      <c r="S9393">
        <v>0</v>
      </c>
      <c r="T9393">
        <v>1</v>
      </c>
      <c r="U9393">
        <v>0</v>
      </c>
      <c r="V9393">
        <v>0</v>
      </c>
      <c r="W9393">
        <v>0</v>
      </c>
      <c r="X9393">
        <v>1</v>
      </c>
      <c r="Y9393">
        <v>0</v>
      </c>
      <c r="Z9393">
        <v>1</v>
      </c>
      <c r="AA9393">
        <v>0</v>
      </c>
      <c r="AB9393">
        <v>1</v>
      </c>
      <c r="AC9393">
        <v>0</v>
      </c>
      <c r="AD9393">
        <v>1</v>
      </c>
      <c r="AE9393">
        <v>1</v>
      </c>
      <c r="AF9393">
        <v>1</v>
      </c>
      <c r="AG9393">
        <v>1</v>
      </c>
      <c r="AH9393">
        <v>1</v>
      </c>
      <c r="AI9393">
        <v>1</v>
      </c>
      <c r="AJ9393">
        <v>1</v>
      </c>
      <c r="AK9393">
        <v>1</v>
      </c>
      <c r="AL9393">
        <v>1</v>
      </c>
      <c r="AM9393">
        <v>1</v>
      </c>
    </row>
    <row r="9394" spans="1:39" x14ac:dyDescent="0.2">
      <c r="A9394" t="str">
        <f>"9390"</f>
        <v>9390</v>
      </c>
      <c r="B9394" t="str">
        <f t="shared" si="519"/>
        <v>1</v>
      </c>
      <c r="C9394" t="str">
        <f t="shared" si="522"/>
        <v>188</v>
      </c>
      <c r="D9394" t="str">
        <f>"48"</f>
        <v>48</v>
      </c>
      <c r="E9394" t="str">
        <f>"1-188-48"</f>
        <v>1-188-48</v>
      </c>
      <c r="F9394" t="s">
        <v>65</v>
      </c>
      <c r="G9394" t="s">
        <v>66</v>
      </c>
      <c r="H9394" t="s">
        <v>67</v>
      </c>
      <c r="S9394">
        <v>1</v>
      </c>
      <c r="T9394">
        <v>0</v>
      </c>
      <c r="U9394">
        <v>0</v>
      </c>
      <c r="V9394">
        <v>0</v>
      </c>
      <c r="W9394">
        <v>0</v>
      </c>
      <c r="X9394">
        <v>1</v>
      </c>
      <c r="Y9394">
        <v>1</v>
      </c>
      <c r="Z9394">
        <v>0</v>
      </c>
      <c r="AA9394">
        <v>0</v>
      </c>
      <c r="AB9394">
        <v>1</v>
      </c>
      <c r="AC9394">
        <v>0</v>
      </c>
      <c r="AD9394">
        <v>1</v>
      </c>
      <c r="AE9394">
        <v>1</v>
      </c>
      <c r="AF9394">
        <v>1</v>
      </c>
      <c r="AG9394">
        <v>1</v>
      </c>
      <c r="AH9394">
        <v>1</v>
      </c>
      <c r="AI9394">
        <v>1</v>
      </c>
      <c r="AJ9394">
        <v>1</v>
      </c>
      <c r="AK9394">
        <v>1</v>
      </c>
      <c r="AL9394">
        <v>1</v>
      </c>
      <c r="AM9394">
        <v>1</v>
      </c>
    </row>
    <row r="9395" spans="1:39" x14ac:dyDescent="0.2">
      <c r="A9395" t="str">
        <f>"9391"</f>
        <v>9391</v>
      </c>
      <c r="B9395" t="str">
        <f t="shared" si="519"/>
        <v>1</v>
      </c>
      <c r="C9395" t="str">
        <f t="shared" si="522"/>
        <v>188</v>
      </c>
      <c r="D9395" t="str">
        <f>"30"</f>
        <v>30</v>
      </c>
      <c r="E9395" t="str">
        <f>"1-188-30"</f>
        <v>1-188-30</v>
      </c>
      <c r="F9395" t="s">
        <v>65</v>
      </c>
      <c r="G9395" t="s">
        <v>66</v>
      </c>
      <c r="H9395" t="s">
        <v>67</v>
      </c>
      <c r="S9395">
        <v>1</v>
      </c>
      <c r="T9395">
        <v>0</v>
      </c>
      <c r="U9395">
        <v>0</v>
      </c>
      <c r="V9395">
        <v>0</v>
      </c>
      <c r="W9395">
        <v>1</v>
      </c>
      <c r="X9395">
        <v>0</v>
      </c>
      <c r="Y9395">
        <v>1</v>
      </c>
      <c r="Z9395">
        <v>0</v>
      </c>
      <c r="AA9395">
        <v>0</v>
      </c>
      <c r="AB9395">
        <v>0</v>
      </c>
      <c r="AC9395">
        <v>1</v>
      </c>
      <c r="AD9395">
        <v>1</v>
      </c>
      <c r="AE9395">
        <v>1</v>
      </c>
      <c r="AF9395">
        <v>1</v>
      </c>
      <c r="AG9395">
        <v>1</v>
      </c>
      <c r="AH9395">
        <v>1</v>
      </c>
      <c r="AI9395">
        <v>1</v>
      </c>
      <c r="AJ9395">
        <v>1</v>
      </c>
      <c r="AK9395">
        <v>1</v>
      </c>
      <c r="AL9395">
        <v>1</v>
      </c>
      <c r="AM9395">
        <v>1</v>
      </c>
    </row>
    <row r="9396" spans="1:39" x14ac:dyDescent="0.2">
      <c r="A9396" t="str">
        <f>"9392"</f>
        <v>9392</v>
      </c>
      <c r="B9396" t="str">
        <f t="shared" si="519"/>
        <v>1</v>
      </c>
      <c r="C9396" t="str">
        <f t="shared" si="522"/>
        <v>188</v>
      </c>
      <c r="D9396" t="str">
        <f>"9"</f>
        <v>9</v>
      </c>
      <c r="E9396" t="str">
        <f>"1-188-9"</f>
        <v>1-188-9</v>
      </c>
      <c r="F9396" t="s">
        <v>65</v>
      </c>
      <c r="G9396" t="s">
        <v>66</v>
      </c>
      <c r="H9396" t="s">
        <v>67</v>
      </c>
      <c r="S9396">
        <v>0</v>
      </c>
      <c r="T9396">
        <v>1</v>
      </c>
      <c r="U9396">
        <v>0</v>
      </c>
      <c r="V9396">
        <v>0</v>
      </c>
      <c r="W9396">
        <v>1</v>
      </c>
      <c r="X9396">
        <v>0</v>
      </c>
      <c r="Y9396">
        <v>0</v>
      </c>
      <c r="Z9396">
        <v>1</v>
      </c>
      <c r="AA9396">
        <v>0</v>
      </c>
      <c r="AB9396">
        <v>1</v>
      </c>
      <c r="AC9396">
        <v>0</v>
      </c>
      <c r="AD9396">
        <v>1</v>
      </c>
      <c r="AE9396">
        <v>1</v>
      </c>
      <c r="AF9396">
        <v>1</v>
      </c>
      <c r="AG9396">
        <v>1</v>
      </c>
      <c r="AH9396">
        <v>1</v>
      </c>
      <c r="AI9396">
        <v>1</v>
      </c>
      <c r="AJ9396">
        <v>1</v>
      </c>
      <c r="AK9396">
        <v>1</v>
      </c>
      <c r="AL9396">
        <v>1</v>
      </c>
      <c r="AM9396">
        <v>1</v>
      </c>
    </row>
    <row r="9397" spans="1:39" x14ac:dyDescent="0.2">
      <c r="A9397" t="str">
        <f>"9393"</f>
        <v>9393</v>
      </c>
      <c r="B9397" t="str">
        <f t="shared" si="519"/>
        <v>1</v>
      </c>
      <c r="C9397" t="str">
        <f t="shared" si="522"/>
        <v>188</v>
      </c>
      <c r="D9397" t="str">
        <f>"46"</f>
        <v>46</v>
      </c>
      <c r="E9397" t="str">
        <f>"1-188-46"</f>
        <v>1-188-46</v>
      </c>
      <c r="F9397" t="s">
        <v>65</v>
      </c>
      <c r="G9397" t="s">
        <v>66</v>
      </c>
      <c r="H9397" t="s">
        <v>67</v>
      </c>
      <c r="S9397">
        <v>0</v>
      </c>
      <c r="T9397">
        <v>1</v>
      </c>
      <c r="U9397">
        <v>0</v>
      </c>
      <c r="V9397">
        <v>0</v>
      </c>
      <c r="W9397">
        <v>1</v>
      </c>
      <c r="X9397">
        <v>0</v>
      </c>
      <c r="Y9397">
        <v>1</v>
      </c>
      <c r="Z9397">
        <v>0</v>
      </c>
      <c r="AA9397">
        <v>0</v>
      </c>
      <c r="AB9397">
        <v>0</v>
      </c>
      <c r="AC9397">
        <v>1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1</v>
      </c>
      <c r="AL9397">
        <v>0</v>
      </c>
      <c r="AM9397">
        <v>0</v>
      </c>
    </row>
    <row r="9398" spans="1:39" x14ac:dyDescent="0.2">
      <c r="A9398" t="str">
        <f>"9394"</f>
        <v>9394</v>
      </c>
      <c r="B9398" t="str">
        <f t="shared" si="519"/>
        <v>1</v>
      </c>
      <c r="C9398" t="str">
        <f t="shared" si="522"/>
        <v>188</v>
      </c>
      <c r="D9398" t="str">
        <f>"6"</f>
        <v>6</v>
      </c>
      <c r="E9398" t="str">
        <f>"1-188-6"</f>
        <v>1-188-6</v>
      </c>
      <c r="F9398" t="s">
        <v>65</v>
      </c>
      <c r="G9398" t="s">
        <v>66</v>
      </c>
      <c r="H9398" t="s">
        <v>67</v>
      </c>
      <c r="S9398">
        <v>0</v>
      </c>
      <c r="T9398">
        <v>1</v>
      </c>
      <c r="U9398">
        <v>0</v>
      </c>
      <c r="V9398">
        <v>0</v>
      </c>
      <c r="W9398">
        <v>0</v>
      </c>
      <c r="X9398">
        <v>1</v>
      </c>
      <c r="Y9398">
        <v>0</v>
      </c>
      <c r="Z9398">
        <v>1</v>
      </c>
      <c r="AA9398">
        <v>0</v>
      </c>
      <c r="AB9398">
        <v>1</v>
      </c>
      <c r="AC9398">
        <v>0</v>
      </c>
      <c r="AD9398">
        <v>1</v>
      </c>
      <c r="AE9398">
        <v>1</v>
      </c>
      <c r="AF9398">
        <v>1</v>
      </c>
      <c r="AG9398">
        <v>1</v>
      </c>
      <c r="AH9398">
        <v>1</v>
      </c>
      <c r="AI9398">
        <v>1</v>
      </c>
      <c r="AJ9398">
        <v>1</v>
      </c>
      <c r="AK9398">
        <v>1</v>
      </c>
      <c r="AL9398">
        <v>1</v>
      </c>
      <c r="AM9398">
        <v>1</v>
      </c>
    </row>
    <row r="9399" spans="1:39" x14ac:dyDescent="0.2">
      <c r="A9399" t="str">
        <f>"9395"</f>
        <v>9395</v>
      </c>
      <c r="B9399" t="str">
        <f t="shared" ref="B9399:B9462" si="523">"1"</f>
        <v>1</v>
      </c>
      <c r="C9399" t="str">
        <f t="shared" si="522"/>
        <v>188</v>
      </c>
      <c r="D9399" t="str">
        <f>"47"</f>
        <v>47</v>
      </c>
      <c r="E9399" t="str">
        <f>"1-188-47"</f>
        <v>1-188-47</v>
      </c>
      <c r="F9399" t="s">
        <v>65</v>
      </c>
      <c r="G9399" t="s">
        <v>66</v>
      </c>
      <c r="H9399" t="s">
        <v>67</v>
      </c>
      <c r="S9399">
        <v>1</v>
      </c>
      <c r="T9399">
        <v>0</v>
      </c>
      <c r="U9399">
        <v>0</v>
      </c>
      <c r="V9399">
        <v>0</v>
      </c>
      <c r="W9399">
        <v>1</v>
      </c>
      <c r="X9399">
        <v>0</v>
      </c>
      <c r="Y9399">
        <v>0</v>
      </c>
      <c r="Z9399">
        <v>1</v>
      </c>
      <c r="AA9399">
        <v>1</v>
      </c>
      <c r="AB9399">
        <v>0</v>
      </c>
      <c r="AC9399">
        <v>0</v>
      </c>
      <c r="AD9399">
        <v>1</v>
      </c>
      <c r="AE9399">
        <v>1</v>
      </c>
      <c r="AF9399">
        <v>1</v>
      </c>
      <c r="AG9399">
        <v>1</v>
      </c>
      <c r="AH9399">
        <v>1</v>
      </c>
      <c r="AI9399">
        <v>1</v>
      </c>
      <c r="AJ9399">
        <v>1</v>
      </c>
      <c r="AK9399">
        <v>1</v>
      </c>
      <c r="AL9399">
        <v>1</v>
      </c>
      <c r="AM9399">
        <v>1</v>
      </c>
    </row>
    <row r="9400" spans="1:39" x14ac:dyDescent="0.2">
      <c r="A9400" t="str">
        <f>"9396"</f>
        <v>9396</v>
      </c>
      <c r="B9400" t="str">
        <f t="shared" si="523"/>
        <v>1</v>
      </c>
      <c r="C9400" t="str">
        <f t="shared" si="522"/>
        <v>188</v>
      </c>
      <c r="D9400" t="str">
        <f>"32"</f>
        <v>32</v>
      </c>
      <c r="E9400" t="str">
        <f>"1-188-32"</f>
        <v>1-188-32</v>
      </c>
      <c r="F9400" t="s">
        <v>65</v>
      </c>
      <c r="G9400" t="s">
        <v>66</v>
      </c>
      <c r="H9400" t="s">
        <v>67</v>
      </c>
      <c r="S9400">
        <v>1</v>
      </c>
      <c r="T9400">
        <v>0</v>
      </c>
      <c r="U9400">
        <v>0</v>
      </c>
      <c r="V9400">
        <v>0</v>
      </c>
      <c r="W9400">
        <v>1</v>
      </c>
      <c r="X9400">
        <v>0</v>
      </c>
      <c r="Y9400">
        <v>1</v>
      </c>
      <c r="Z9400">
        <v>0</v>
      </c>
      <c r="AA9400">
        <v>1</v>
      </c>
      <c r="AB9400">
        <v>0</v>
      </c>
      <c r="AC9400">
        <v>0</v>
      </c>
      <c r="AD9400">
        <v>1</v>
      </c>
      <c r="AE9400">
        <v>1</v>
      </c>
      <c r="AF9400">
        <v>1</v>
      </c>
      <c r="AG9400">
        <v>1</v>
      </c>
      <c r="AH9400">
        <v>1</v>
      </c>
      <c r="AI9400">
        <v>1</v>
      </c>
      <c r="AJ9400">
        <v>1</v>
      </c>
      <c r="AK9400">
        <v>1</v>
      </c>
      <c r="AL9400">
        <v>1</v>
      </c>
      <c r="AM9400">
        <v>1</v>
      </c>
    </row>
    <row r="9401" spans="1:39" x14ac:dyDescent="0.2">
      <c r="A9401" t="str">
        <f>"9397"</f>
        <v>9397</v>
      </c>
      <c r="B9401" t="str">
        <f t="shared" si="523"/>
        <v>1</v>
      </c>
      <c r="C9401" t="str">
        <f t="shared" si="522"/>
        <v>188</v>
      </c>
      <c r="D9401" t="str">
        <f>"13"</f>
        <v>13</v>
      </c>
      <c r="E9401" t="str">
        <f>"1-188-13"</f>
        <v>1-188-13</v>
      </c>
      <c r="F9401" t="s">
        <v>65</v>
      </c>
      <c r="G9401" t="s">
        <v>66</v>
      </c>
      <c r="H9401" t="s">
        <v>67</v>
      </c>
      <c r="S9401">
        <v>1</v>
      </c>
      <c r="T9401">
        <v>0</v>
      </c>
      <c r="U9401">
        <v>0</v>
      </c>
      <c r="V9401">
        <v>0</v>
      </c>
      <c r="W9401">
        <v>1</v>
      </c>
      <c r="X9401">
        <v>0</v>
      </c>
      <c r="Y9401">
        <v>1</v>
      </c>
      <c r="Z9401">
        <v>0</v>
      </c>
      <c r="AA9401">
        <v>0</v>
      </c>
      <c r="AB9401">
        <v>0</v>
      </c>
      <c r="AC9401">
        <v>1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</row>
    <row r="9402" spans="1:39" x14ac:dyDescent="0.2">
      <c r="A9402" t="str">
        <f>"9398"</f>
        <v>9398</v>
      </c>
      <c r="B9402" t="str">
        <f t="shared" si="523"/>
        <v>1</v>
      </c>
      <c r="C9402" t="str">
        <f t="shared" si="522"/>
        <v>188</v>
      </c>
      <c r="D9402" t="str">
        <f>"31"</f>
        <v>31</v>
      </c>
      <c r="E9402" t="str">
        <f>"1-188-31"</f>
        <v>1-188-31</v>
      </c>
      <c r="F9402" t="s">
        <v>65</v>
      </c>
      <c r="G9402" t="s">
        <v>66</v>
      </c>
      <c r="H9402" t="s">
        <v>67</v>
      </c>
      <c r="S9402">
        <v>1</v>
      </c>
      <c r="T9402">
        <v>0</v>
      </c>
      <c r="U9402">
        <v>0</v>
      </c>
      <c r="V9402">
        <v>0</v>
      </c>
      <c r="W9402">
        <v>1</v>
      </c>
      <c r="X9402">
        <v>0</v>
      </c>
      <c r="Y9402">
        <v>1</v>
      </c>
      <c r="Z9402">
        <v>0</v>
      </c>
      <c r="AA9402">
        <v>1</v>
      </c>
      <c r="AB9402">
        <v>0</v>
      </c>
      <c r="AC9402">
        <v>0</v>
      </c>
      <c r="AD9402">
        <v>1</v>
      </c>
      <c r="AE9402">
        <v>1</v>
      </c>
      <c r="AF9402">
        <v>1</v>
      </c>
      <c r="AG9402">
        <v>1</v>
      </c>
      <c r="AH9402">
        <v>1</v>
      </c>
      <c r="AI9402">
        <v>1</v>
      </c>
      <c r="AJ9402">
        <v>1</v>
      </c>
      <c r="AK9402">
        <v>1</v>
      </c>
      <c r="AL9402">
        <v>1</v>
      </c>
      <c r="AM9402">
        <v>1</v>
      </c>
    </row>
    <row r="9403" spans="1:39" x14ac:dyDescent="0.2">
      <c r="A9403" t="str">
        <f>"9399"</f>
        <v>9399</v>
      </c>
      <c r="B9403" t="str">
        <f t="shared" si="523"/>
        <v>1</v>
      </c>
      <c r="C9403" t="str">
        <f t="shared" si="522"/>
        <v>188</v>
      </c>
      <c r="D9403" t="str">
        <f>"50"</f>
        <v>50</v>
      </c>
      <c r="E9403" t="str">
        <f>"1-188-50"</f>
        <v>1-188-50</v>
      </c>
      <c r="F9403" t="s">
        <v>65</v>
      </c>
      <c r="G9403" t="s">
        <v>66</v>
      </c>
      <c r="H9403" t="s">
        <v>67</v>
      </c>
      <c r="S9403">
        <v>0</v>
      </c>
      <c r="T9403">
        <v>1</v>
      </c>
      <c r="U9403">
        <v>0</v>
      </c>
      <c r="V9403">
        <v>0</v>
      </c>
      <c r="W9403">
        <v>1</v>
      </c>
      <c r="X9403">
        <v>0</v>
      </c>
      <c r="Y9403">
        <v>1</v>
      </c>
      <c r="Z9403">
        <v>0</v>
      </c>
      <c r="AA9403">
        <v>1</v>
      </c>
      <c r="AB9403">
        <v>0</v>
      </c>
      <c r="AC9403">
        <v>0</v>
      </c>
      <c r="AD9403">
        <v>1</v>
      </c>
      <c r="AE9403">
        <v>1</v>
      </c>
      <c r="AF9403">
        <v>1</v>
      </c>
      <c r="AG9403">
        <v>1</v>
      </c>
      <c r="AH9403">
        <v>1</v>
      </c>
      <c r="AI9403">
        <v>1</v>
      </c>
      <c r="AJ9403">
        <v>1</v>
      </c>
      <c r="AK9403">
        <v>1</v>
      </c>
      <c r="AL9403">
        <v>1</v>
      </c>
      <c r="AM9403">
        <v>1</v>
      </c>
    </row>
    <row r="9404" spans="1:39" x14ac:dyDescent="0.2">
      <c r="A9404" t="str">
        <f>"9400"</f>
        <v>9400</v>
      </c>
      <c r="B9404" t="str">
        <f t="shared" si="523"/>
        <v>1</v>
      </c>
      <c r="C9404" t="str">
        <f t="shared" si="522"/>
        <v>188</v>
      </c>
      <c r="D9404" t="str">
        <f>"49"</f>
        <v>49</v>
      </c>
      <c r="E9404" t="str">
        <f>"1-188-49"</f>
        <v>1-188-49</v>
      </c>
      <c r="F9404" t="s">
        <v>65</v>
      </c>
      <c r="G9404" t="s">
        <v>66</v>
      </c>
      <c r="H9404" t="s">
        <v>67</v>
      </c>
      <c r="S9404">
        <v>0</v>
      </c>
      <c r="T9404">
        <v>1</v>
      </c>
      <c r="U9404">
        <v>0</v>
      </c>
      <c r="V9404">
        <v>0</v>
      </c>
      <c r="W9404">
        <v>1</v>
      </c>
      <c r="X9404">
        <v>0</v>
      </c>
      <c r="Y9404">
        <v>1</v>
      </c>
      <c r="Z9404">
        <v>0</v>
      </c>
      <c r="AA9404">
        <v>0</v>
      </c>
      <c r="AB9404">
        <v>1</v>
      </c>
      <c r="AC9404">
        <v>0</v>
      </c>
      <c r="AD9404">
        <v>0</v>
      </c>
      <c r="AE9404">
        <v>1</v>
      </c>
      <c r="AF9404">
        <v>1</v>
      </c>
      <c r="AG9404">
        <v>1</v>
      </c>
      <c r="AH9404">
        <v>0</v>
      </c>
      <c r="AI9404">
        <v>1</v>
      </c>
      <c r="AJ9404">
        <v>0</v>
      </c>
      <c r="AK9404">
        <v>1</v>
      </c>
      <c r="AL9404">
        <v>1</v>
      </c>
      <c r="AM9404">
        <v>0</v>
      </c>
    </row>
    <row r="9405" spans="1:39" x14ac:dyDescent="0.2">
      <c r="A9405" t="str">
        <f>"9401"</f>
        <v>9401</v>
      </c>
      <c r="B9405" t="str">
        <f t="shared" si="523"/>
        <v>1</v>
      </c>
      <c r="C9405" t="str">
        <f t="shared" ref="C9405:C9436" si="524">"189"</f>
        <v>189</v>
      </c>
      <c r="D9405" t="str">
        <f>"50"</f>
        <v>50</v>
      </c>
      <c r="E9405" t="str">
        <f>"1-189-50"</f>
        <v>1-189-50</v>
      </c>
      <c r="F9405" t="s">
        <v>65</v>
      </c>
      <c r="G9405" t="s">
        <v>66</v>
      </c>
      <c r="H9405" t="s">
        <v>67</v>
      </c>
      <c r="S9405">
        <v>0</v>
      </c>
      <c r="T9405">
        <v>1</v>
      </c>
      <c r="U9405">
        <v>0</v>
      </c>
      <c r="V9405">
        <v>0</v>
      </c>
      <c r="W9405">
        <v>1</v>
      </c>
      <c r="X9405">
        <v>0</v>
      </c>
      <c r="Y9405">
        <v>0</v>
      </c>
      <c r="Z9405">
        <v>1</v>
      </c>
      <c r="AA9405">
        <v>0</v>
      </c>
      <c r="AB9405">
        <v>0</v>
      </c>
      <c r="AC9405">
        <v>1</v>
      </c>
      <c r="AD9405">
        <v>1</v>
      </c>
      <c r="AE9405">
        <v>1</v>
      </c>
      <c r="AF9405">
        <v>1</v>
      </c>
      <c r="AG9405">
        <v>1</v>
      </c>
      <c r="AH9405">
        <v>1</v>
      </c>
      <c r="AI9405">
        <v>1</v>
      </c>
      <c r="AJ9405">
        <v>1</v>
      </c>
      <c r="AK9405">
        <v>1</v>
      </c>
      <c r="AL9405">
        <v>1</v>
      </c>
      <c r="AM9405">
        <v>1</v>
      </c>
    </row>
    <row r="9406" spans="1:39" x14ac:dyDescent="0.2">
      <c r="A9406" t="str">
        <f>"9402"</f>
        <v>9402</v>
      </c>
      <c r="B9406" t="str">
        <f t="shared" si="523"/>
        <v>1</v>
      </c>
      <c r="C9406" t="str">
        <f t="shared" si="524"/>
        <v>189</v>
      </c>
      <c r="D9406" t="str">
        <f>"49"</f>
        <v>49</v>
      </c>
      <c r="E9406" t="str">
        <f>"1-189-49"</f>
        <v>1-189-49</v>
      </c>
      <c r="F9406" t="s">
        <v>65</v>
      </c>
      <c r="G9406" t="s">
        <v>66</v>
      </c>
      <c r="H9406" t="s">
        <v>67</v>
      </c>
      <c r="S9406">
        <v>0</v>
      </c>
      <c r="T9406">
        <v>0</v>
      </c>
      <c r="U9406">
        <v>0</v>
      </c>
      <c r="V9406">
        <v>0</v>
      </c>
      <c r="W9406">
        <v>1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1</v>
      </c>
      <c r="AE9406">
        <v>1</v>
      </c>
      <c r="AF9406">
        <v>1</v>
      </c>
      <c r="AG9406">
        <v>1</v>
      </c>
      <c r="AH9406">
        <v>1</v>
      </c>
      <c r="AI9406">
        <v>1</v>
      </c>
      <c r="AJ9406">
        <v>1</v>
      </c>
      <c r="AK9406">
        <v>1</v>
      </c>
      <c r="AL9406">
        <v>1</v>
      </c>
      <c r="AM9406">
        <v>1</v>
      </c>
    </row>
    <row r="9407" spans="1:39" x14ac:dyDescent="0.2">
      <c r="A9407" t="str">
        <f>"9403"</f>
        <v>9403</v>
      </c>
      <c r="B9407" t="str">
        <f t="shared" si="523"/>
        <v>1</v>
      </c>
      <c r="C9407" t="str">
        <f t="shared" si="524"/>
        <v>189</v>
      </c>
      <c r="D9407" t="str">
        <f>"31"</f>
        <v>31</v>
      </c>
      <c r="E9407" t="str">
        <f>"1-189-31"</f>
        <v>1-189-31</v>
      </c>
      <c r="F9407" t="s">
        <v>65</v>
      </c>
      <c r="G9407" t="s">
        <v>66</v>
      </c>
      <c r="H9407" t="s">
        <v>67</v>
      </c>
      <c r="S9407">
        <v>0</v>
      </c>
      <c r="T9407">
        <v>1</v>
      </c>
      <c r="U9407">
        <v>0</v>
      </c>
      <c r="V9407">
        <v>0</v>
      </c>
      <c r="W9407">
        <v>0</v>
      </c>
      <c r="X9407">
        <v>1</v>
      </c>
      <c r="Y9407">
        <v>1</v>
      </c>
      <c r="Z9407">
        <v>0</v>
      </c>
      <c r="AA9407">
        <v>0</v>
      </c>
      <c r="AB9407">
        <v>0</v>
      </c>
      <c r="AC9407">
        <v>1</v>
      </c>
      <c r="AD9407">
        <v>1</v>
      </c>
      <c r="AE9407">
        <v>1</v>
      </c>
      <c r="AF9407">
        <v>1</v>
      </c>
      <c r="AG9407">
        <v>0</v>
      </c>
      <c r="AH9407">
        <v>1</v>
      </c>
      <c r="AI9407">
        <v>1</v>
      </c>
      <c r="AJ9407">
        <v>1</v>
      </c>
      <c r="AK9407">
        <v>1</v>
      </c>
      <c r="AL9407">
        <v>0</v>
      </c>
      <c r="AM9407">
        <v>0</v>
      </c>
    </row>
    <row r="9408" spans="1:39" x14ac:dyDescent="0.2">
      <c r="A9408" t="str">
        <f>"9404"</f>
        <v>9404</v>
      </c>
      <c r="B9408" t="str">
        <f t="shared" si="523"/>
        <v>1</v>
      </c>
      <c r="C9408" t="str">
        <f t="shared" si="524"/>
        <v>189</v>
      </c>
      <c r="D9408" t="str">
        <f>"15"</f>
        <v>15</v>
      </c>
      <c r="E9408" t="str">
        <f>"1-189-15"</f>
        <v>1-189-15</v>
      </c>
      <c r="F9408" t="s">
        <v>65</v>
      </c>
      <c r="G9408" t="s">
        <v>66</v>
      </c>
      <c r="H9408" t="s">
        <v>67</v>
      </c>
      <c r="S9408">
        <v>1</v>
      </c>
      <c r="T9408">
        <v>0</v>
      </c>
      <c r="U9408">
        <v>0</v>
      </c>
      <c r="V9408">
        <v>0</v>
      </c>
      <c r="W9408">
        <v>1</v>
      </c>
      <c r="X9408">
        <v>0</v>
      </c>
      <c r="Y9408">
        <v>1</v>
      </c>
      <c r="Z9408">
        <v>0</v>
      </c>
      <c r="AA9408">
        <v>0</v>
      </c>
      <c r="AB9408">
        <v>1</v>
      </c>
      <c r="AC9408">
        <v>0</v>
      </c>
      <c r="AD9408">
        <v>1</v>
      </c>
      <c r="AE9408">
        <v>1</v>
      </c>
      <c r="AF9408">
        <v>1</v>
      </c>
      <c r="AG9408">
        <v>1</v>
      </c>
      <c r="AH9408">
        <v>1</v>
      </c>
      <c r="AI9408">
        <v>1</v>
      </c>
      <c r="AJ9408">
        <v>1</v>
      </c>
      <c r="AK9408">
        <v>1</v>
      </c>
      <c r="AL9408">
        <v>1</v>
      </c>
      <c r="AM9408">
        <v>1</v>
      </c>
    </row>
    <row r="9409" spans="1:39" x14ac:dyDescent="0.2">
      <c r="A9409" t="str">
        <f>"9405"</f>
        <v>9405</v>
      </c>
      <c r="B9409" t="str">
        <f t="shared" si="523"/>
        <v>1</v>
      </c>
      <c r="C9409" t="str">
        <f t="shared" si="524"/>
        <v>189</v>
      </c>
      <c r="D9409" t="str">
        <f>"4"</f>
        <v>4</v>
      </c>
      <c r="E9409" t="str">
        <f>"1-189-4"</f>
        <v>1-189-4</v>
      </c>
      <c r="F9409" t="s">
        <v>65</v>
      </c>
      <c r="G9409" t="s">
        <v>66</v>
      </c>
      <c r="H9409" t="s">
        <v>67</v>
      </c>
      <c r="S9409">
        <v>0</v>
      </c>
      <c r="T9409">
        <v>1</v>
      </c>
      <c r="U9409">
        <v>0</v>
      </c>
      <c r="V9409">
        <v>0</v>
      </c>
      <c r="W9409">
        <v>1</v>
      </c>
      <c r="X9409">
        <v>0</v>
      </c>
      <c r="Y9409">
        <v>0</v>
      </c>
      <c r="Z9409">
        <v>1</v>
      </c>
      <c r="AA9409">
        <v>0</v>
      </c>
      <c r="AB9409">
        <v>0</v>
      </c>
      <c r="AC9409">
        <v>1</v>
      </c>
      <c r="AD9409">
        <v>1</v>
      </c>
      <c r="AE9409">
        <v>1</v>
      </c>
      <c r="AF9409">
        <v>1</v>
      </c>
      <c r="AG9409">
        <v>1</v>
      </c>
      <c r="AH9409">
        <v>1</v>
      </c>
      <c r="AI9409">
        <v>1</v>
      </c>
      <c r="AJ9409">
        <v>1</v>
      </c>
      <c r="AK9409">
        <v>1</v>
      </c>
      <c r="AL9409">
        <v>1</v>
      </c>
      <c r="AM9409">
        <v>1</v>
      </c>
    </row>
    <row r="9410" spans="1:39" x14ac:dyDescent="0.2">
      <c r="A9410" t="str">
        <f>"9406"</f>
        <v>9406</v>
      </c>
      <c r="B9410" t="str">
        <f t="shared" si="523"/>
        <v>1</v>
      </c>
      <c r="C9410" t="str">
        <f t="shared" si="524"/>
        <v>189</v>
      </c>
      <c r="D9410" t="str">
        <f>"40"</f>
        <v>40</v>
      </c>
      <c r="E9410" t="str">
        <f>"1-189-40"</f>
        <v>1-189-40</v>
      </c>
      <c r="F9410" t="s">
        <v>65</v>
      </c>
      <c r="G9410" t="s">
        <v>66</v>
      </c>
      <c r="H9410" t="s">
        <v>67</v>
      </c>
      <c r="S9410">
        <v>1</v>
      </c>
      <c r="T9410">
        <v>0</v>
      </c>
      <c r="U9410">
        <v>0</v>
      </c>
      <c r="V9410">
        <v>0</v>
      </c>
      <c r="W9410">
        <v>1</v>
      </c>
      <c r="X9410">
        <v>0</v>
      </c>
      <c r="Y9410">
        <v>1</v>
      </c>
      <c r="Z9410">
        <v>0</v>
      </c>
      <c r="AA9410">
        <v>1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</row>
    <row r="9411" spans="1:39" x14ac:dyDescent="0.2">
      <c r="A9411" t="str">
        <f>"9407"</f>
        <v>9407</v>
      </c>
      <c r="B9411" t="str">
        <f t="shared" si="523"/>
        <v>1</v>
      </c>
      <c r="C9411" t="str">
        <f t="shared" si="524"/>
        <v>189</v>
      </c>
      <c r="D9411" t="str">
        <f>"39"</f>
        <v>39</v>
      </c>
      <c r="E9411" t="str">
        <f>"1-189-39"</f>
        <v>1-189-39</v>
      </c>
      <c r="F9411" t="s">
        <v>65</v>
      </c>
      <c r="G9411" t="s">
        <v>66</v>
      </c>
      <c r="H9411" t="s">
        <v>67</v>
      </c>
      <c r="S9411">
        <v>1</v>
      </c>
      <c r="T9411">
        <v>0</v>
      </c>
      <c r="U9411">
        <v>0</v>
      </c>
      <c r="V9411">
        <v>0</v>
      </c>
      <c r="W9411">
        <v>1</v>
      </c>
      <c r="X9411">
        <v>0</v>
      </c>
      <c r="Y9411">
        <v>1</v>
      </c>
      <c r="Z9411">
        <v>0</v>
      </c>
      <c r="AA9411">
        <v>1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1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</row>
    <row r="9412" spans="1:39" x14ac:dyDescent="0.2">
      <c r="A9412" t="str">
        <f>"9408"</f>
        <v>9408</v>
      </c>
      <c r="B9412" t="str">
        <f t="shared" si="523"/>
        <v>1</v>
      </c>
      <c r="C9412" t="str">
        <f t="shared" si="524"/>
        <v>189</v>
      </c>
      <c r="D9412" t="str">
        <f>"34"</f>
        <v>34</v>
      </c>
      <c r="E9412" t="str">
        <f>"1-189-34"</f>
        <v>1-189-34</v>
      </c>
      <c r="F9412" t="s">
        <v>65</v>
      </c>
      <c r="G9412" t="s">
        <v>66</v>
      </c>
      <c r="H9412" t="s">
        <v>67</v>
      </c>
      <c r="S9412">
        <v>1</v>
      </c>
      <c r="T9412">
        <v>0</v>
      </c>
      <c r="U9412">
        <v>0</v>
      </c>
      <c r="V9412">
        <v>0</v>
      </c>
      <c r="W9412">
        <v>1</v>
      </c>
      <c r="X9412">
        <v>0</v>
      </c>
      <c r="Y9412">
        <v>1</v>
      </c>
      <c r="Z9412">
        <v>0</v>
      </c>
      <c r="AA9412">
        <v>1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1</v>
      </c>
      <c r="AI9412">
        <v>1</v>
      </c>
      <c r="AJ9412">
        <v>0</v>
      </c>
      <c r="AK9412">
        <v>0</v>
      </c>
      <c r="AL9412">
        <v>0</v>
      </c>
      <c r="AM9412">
        <v>1</v>
      </c>
    </row>
    <row r="9413" spans="1:39" x14ac:dyDescent="0.2">
      <c r="A9413" t="str">
        <f>"9409"</f>
        <v>9409</v>
      </c>
      <c r="B9413" t="str">
        <f t="shared" si="523"/>
        <v>1</v>
      </c>
      <c r="C9413" t="str">
        <f t="shared" si="524"/>
        <v>189</v>
      </c>
      <c r="D9413" t="str">
        <f>"33"</f>
        <v>33</v>
      </c>
      <c r="E9413" t="str">
        <f>"1-189-33"</f>
        <v>1-189-33</v>
      </c>
      <c r="F9413" t="s">
        <v>65</v>
      </c>
      <c r="G9413" t="s">
        <v>66</v>
      </c>
      <c r="H9413" t="s">
        <v>67</v>
      </c>
      <c r="S9413">
        <v>1</v>
      </c>
      <c r="T9413">
        <v>0</v>
      </c>
      <c r="U9413">
        <v>0</v>
      </c>
      <c r="V9413">
        <v>0</v>
      </c>
      <c r="W9413">
        <v>1</v>
      </c>
      <c r="X9413">
        <v>0</v>
      </c>
      <c r="Y9413">
        <v>0</v>
      </c>
      <c r="Z9413">
        <v>1</v>
      </c>
      <c r="AA9413">
        <v>1</v>
      </c>
      <c r="AB9413">
        <v>0</v>
      </c>
      <c r="AC9413">
        <v>0</v>
      </c>
      <c r="AD9413">
        <v>1</v>
      </c>
      <c r="AE9413">
        <v>1</v>
      </c>
      <c r="AF9413">
        <v>1</v>
      </c>
      <c r="AG9413">
        <v>1</v>
      </c>
      <c r="AH9413">
        <v>1</v>
      </c>
      <c r="AI9413">
        <v>1</v>
      </c>
      <c r="AJ9413">
        <v>1</v>
      </c>
      <c r="AK9413">
        <v>1</v>
      </c>
      <c r="AL9413">
        <v>1</v>
      </c>
      <c r="AM9413">
        <v>1</v>
      </c>
    </row>
    <row r="9414" spans="1:39" x14ac:dyDescent="0.2">
      <c r="A9414" t="str">
        <f>"9410"</f>
        <v>9410</v>
      </c>
      <c r="B9414" t="str">
        <f t="shared" si="523"/>
        <v>1</v>
      </c>
      <c r="C9414" t="str">
        <f t="shared" si="524"/>
        <v>189</v>
      </c>
      <c r="D9414" t="str">
        <f>"27"</f>
        <v>27</v>
      </c>
      <c r="E9414" t="str">
        <f>"1-189-27"</f>
        <v>1-189-27</v>
      </c>
      <c r="F9414" t="s">
        <v>65</v>
      </c>
      <c r="G9414" t="s">
        <v>66</v>
      </c>
      <c r="H9414" t="s">
        <v>67</v>
      </c>
      <c r="S9414">
        <v>1</v>
      </c>
      <c r="T9414">
        <v>0</v>
      </c>
      <c r="U9414">
        <v>0</v>
      </c>
      <c r="V9414">
        <v>0</v>
      </c>
      <c r="W9414">
        <v>1</v>
      </c>
      <c r="X9414">
        <v>0</v>
      </c>
      <c r="Y9414">
        <v>1</v>
      </c>
      <c r="Z9414">
        <v>0</v>
      </c>
      <c r="AA9414">
        <v>0</v>
      </c>
      <c r="AB9414">
        <v>1</v>
      </c>
      <c r="AC9414">
        <v>0</v>
      </c>
      <c r="AD9414">
        <v>1</v>
      </c>
      <c r="AE9414">
        <v>1</v>
      </c>
      <c r="AF9414">
        <v>1</v>
      </c>
      <c r="AG9414">
        <v>1</v>
      </c>
      <c r="AH9414">
        <v>1</v>
      </c>
      <c r="AI9414">
        <v>1</v>
      </c>
      <c r="AJ9414">
        <v>1</v>
      </c>
      <c r="AK9414">
        <v>1</v>
      </c>
      <c r="AL9414">
        <v>1</v>
      </c>
      <c r="AM9414">
        <v>1</v>
      </c>
    </row>
    <row r="9415" spans="1:39" x14ac:dyDescent="0.2">
      <c r="A9415" t="str">
        <f>"9411"</f>
        <v>9411</v>
      </c>
      <c r="B9415" t="str">
        <f t="shared" si="523"/>
        <v>1</v>
      </c>
      <c r="C9415" t="str">
        <f t="shared" si="524"/>
        <v>189</v>
      </c>
      <c r="D9415" t="str">
        <f>"16"</f>
        <v>16</v>
      </c>
      <c r="E9415" t="str">
        <f>"1-189-16"</f>
        <v>1-189-16</v>
      </c>
      <c r="F9415" t="s">
        <v>65</v>
      </c>
      <c r="G9415" t="s">
        <v>66</v>
      </c>
      <c r="H9415" t="s">
        <v>67</v>
      </c>
      <c r="S9415">
        <v>1</v>
      </c>
      <c r="T9415">
        <v>0</v>
      </c>
      <c r="U9415">
        <v>0</v>
      </c>
      <c r="V9415">
        <v>0</v>
      </c>
      <c r="W9415">
        <v>1</v>
      </c>
      <c r="X9415">
        <v>0</v>
      </c>
      <c r="Y9415">
        <v>1</v>
      </c>
      <c r="Z9415">
        <v>0</v>
      </c>
      <c r="AA9415">
        <v>1</v>
      </c>
      <c r="AB9415">
        <v>0</v>
      </c>
      <c r="AC9415">
        <v>0</v>
      </c>
      <c r="AD9415">
        <v>1</v>
      </c>
      <c r="AE9415">
        <v>1</v>
      </c>
      <c r="AF9415">
        <v>1</v>
      </c>
      <c r="AG9415">
        <v>1</v>
      </c>
      <c r="AH9415">
        <v>1</v>
      </c>
      <c r="AI9415">
        <v>1</v>
      </c>
      <c r="AJ9415">
        <v>1</v>
      </c>
      <c r="AK9415">
        <v>1</v>
      </c>
      <c r="AL9415">
        <v>0</v>
      </c>
      <c r="AM9415">
        <v>1</v>
      </c>
    </row>
    <row r="9416" spans="1:39" x14ac:dyDescent="0.2">
      <c r="A9416" t="str">
        <f>"9412"</f>
        <v>9412</v>
      </c>
      <c r="B9416" t="str">
        <f t="shared" si="523"/>
        <v>1</v>
      </c>
      <c r="C9416" t="str">
        <f t="shared" si="524"/>
        <v>189</v>
      </c>
      <c r="D9416" t="str">
        <f>"7"</f>
        <v>7</v>
      </c>
      <c r="E9416" t="str">
        <f>"1-189-7"</f>
        <v>1-189-7</v>
      </c>
      <c r="F9416" t="s">
        <v>65</v>
      </c>
      <c r="G9416" t="s">
        <v>66</v>
      </c>
      <c r="H9416" t="s">
        <v>67</v>
      </c>
      <c r="S9416">
        <v>0</v>
      </c>
      <c r="T9416">
        <v>1</v>
      </c>
      <c r="U9416">
        <v>0</v>
      </c>
      <c r="V9416">
        <v>0</v>
      </c>
      <c r="W9416">
        <v>0</v>
      </c>
      <c r="X9416">
        <v>1</v>
      </c>
      <c r="Y9416">
        <v>0</v>
      </c>
      <c r="Z9416">
        <v>1</v>
      </c>
      <c r="AA9416">
        <v>0</v>
      </c>
      <c r="AB9416">
        <v>0</v>
      </c>
      <c r="AC9416">
        <v>1</v>
      </c>
      <c r="AD9416">
        <v>1</v>
      </c>
      <c r="AE9416">
        <v>1</v>
      </c>
      <c r="AF9416">
        <v>1</v>
      </c>
      <c r="AG9416">
        <v>1</v>
      </c>
      <c r="AH9416">
        <v>1</v>
      </c>
      <c r="AI9416">
        <v>1</v>
      </c>
      <c r="AJ9416">
        <v>1</v>
      </c>
      <c r="AK9416">
        <v>1</v>
      </c>
      <c r="AL9416">
        <v>1</v>
      </c>
      <c r="AM9416">
        <v>1</v>
      </c>
    </row>
    <row r="9417" spans="1:39" x14ac:dyDescent="0.2">
      <c r="A9417" t="str">
        <f>"9413"</f>
        <v>9413</v>
      </c>
      <c r="B9417" t="str">
        <f t="shared" si="523"/>
        <v>1</v>
      </c>
      <c r="C9417" t="str">
        <f t="shared" si="524"/>
        <v>189</v>
      </c>
      <c r="D9417" t="str">
        <f>"36"</f>
        <v>36</v>
      </c>
      <c r="E9417" t="str">
        <f>"1-189-36"</f>
        <v>1-189-36</v>
      </c>
      <c r="F9417" t="s">
        <v>65</v>
      </c>
      <c r="G9417" t="s">
        <v>66</v>
      </c>
      <c r="H9417" t="s">
        <v>67</v>
      </c>
      <c r="S9417">
        <v>0</v>
      </c>
      <c r="T9417">
        <v>1</v>
      </c>
      <c r="U9417">
        <v>0</v>
      </c>
      <c r="V9417">
        <v>0</v>
      </c>
      <c r="W9417">
        <v>1</v>
      </c>
      <c r="X9417">
        <v>0</v>
      </c>
      <c r="Y9417">
        <v>0</v>
      </c>
      <c r="Z9417">
        <v>0</v>
      </c>
      <c r="AA9417">
        <v>1</v>
      </c>
      <c r="AB9417">
        <v>0</v>
      </c>
      <c r="AC9417">
        <v>0</v>
      </c>
      <c r="AD9417">
        <v>1</v>
      </c>
      <c r="AE9417">
        <v>1</v>
      </c>
      <c r="AF9417">
        <v>1</v>
      </c>
      <c r="AG9417">
        <v>1</v>
      </c>
      <c r="AH9417">
        <v>1</v>
      </c>
      <c r="AI9417">
        <v>1</v>
      </c>
      <c r="AJ9417">
        <v>1</v>
      </c>
      <c r="AK9417">
        <v>1</v>
      </c>
      <c r="AL9417">
        <v>1</v>
      </c>
      <c r="AM9417">
        <v>1</v>
      </c>
    </row>
    <row r="9418" spans="1:39" x14ac:dyDescent="0.2">
      <c r="A9418" t="str">
        <f>"9414"</f>
        <v>9414</v>
      </c>
      <c r="B9418" t="str">
        <f t="shared" si="523"/>
        <v>1</v>
      </c>
      <c r="C9418" t="str">
        <f t="shared" si="524"/>
        <v>189</v>
      </c>
      <c r="D9418" t="str">
        <f>"35"</f>
        <v>35</v>
      </c>
      <c r="E9418" t="str">
        <f>"1-189-35"</f>
        <v>1-189-35</v>
      </c>
      <c r="F9418" t="s">
        <v>65</v>
      </c>
      <c r="G9418" t="s">
        <v>66</v>
      </c>
      <c r="H9418" t="s">
        <v>67</v>
      </c>
      <c r="S9418">
        <v>1</v>
      </c>
      <c r="T9418">
        <v>0</v>
      </c>
      <c r="U9418">
        <v>0</v>
      </c>
      <c r="V9418">
        <v>0</v>
      </c>
      <c r="W9418">
        <v>1</v>
      </c>
      <c r="X9418">
        <v>0</v>
      </c>
      <c r="Y9418">
        <v>1</v>
      </c>
      <c r="Z9418">
        <v>0</v>
      </c>
      <c r="AA9418">
        <v>0</v>
      </c>
      <c r="AB9418">
        <v>1</v>
      </c>
      <c r="AC9418">
        <v>0</v>
      </c>
      <c r="AD9418">
        <v>1</v>
      </c>
      <c r="AE9418">
        <v>1</v>
      </c>
      <c r="AF9418">
        <v>0</v>
      </c>
      <c r="AG9418">
        <v>1</v>
      </c>
      <c r="AH9418">
        <v>1</v>
      </c>
      <c r="AI9418">
        <v>1</v>
      </c>
      <c r="AJ9418">
        <v>1</v>
      </c>
      <c r="AK9418">
        <v>1</v>
      </c>
      <c r="AL9418">
        <v>0</v>
      </c>
      <c r="AM9418">
        <v>1</v>
      </c>
    </row>
    <row r="9419" spans="1:39" x14ac:dyDescent="0.2">
      <c r="A9419" t="str">
        <f>"9415"</f>
        <v>9415</v>
      </c>
      <c r="B9419" t="str">
        <f t="shared" si="523"/>
        <v>1</v>
      </c>
      <c r="C9419" t="str">
        <f t="shared" si="524"/>
        <v>189</v>
      </c>
      <c r="D9419" t="str">
        <f>"29"</f>
        <v>29</v>
      </c>
      <c r="E9419" t="str">
        <f>"1-189-29"</f>
        <v>1-189-29</v>
      </c>
      <c r="F9419" t="s">
        <v>65</v>
      </c>
      <c r="G9419" t="s">
        <v>66</v>
      </c>
      <c r="H9419" t="s">
        <v>67</v>
      </c>
      <c r="S9419">
        <v>1</v>
      </c>
      <c r="T9419">
        <v>0</v>
      </c>
      <c r="U9419">
        <v>0</v>
      </c>
      <c r="V9419">
        <v>0</v>
      </c>
      <c r="W9419">
        <v>1</v>
      </c>
      <c r="X9419">
        <v>0</v>
      </c>
      <c r="Y9419">
        <v>1</v>
      </c>
      <c r="Z9419">
        <v>0</v>
      </c>
      <c r="AA9419">
        <v>0</v>
      </c>
      <c r="AB9419">
        <v>1</v>
      </c>
      <c r="AC9419">
        <v>0</v>
      </c>
      <c r="AD9419">
        <v>1</v>
      </c>
      <c r="AE9419">
        <v>1</v>
      </c>
      <c r="AF9419">
        <v>1</v>
      </c>
      <c r="AG9419">
        <v>1</v>
      </c>
      <c r="AH9419">
        <v>1</v>
      </c>
      <c r="AI9419">
        <v>1</v>
      </c>
      <c r="AJ9419">
        <v>1</v>
      </c>
      <c r="AK9419">
        <v>1</v>
      </c>
      <c r="AL9419">
        <v>1</v>
      </c>
      <c r="AM9419">
        <v>1</v>
      </c>
    </row>
    <row r="9420" spans="1:39" x14ac:dyDescent="0.2">
      <c r="A9420" t="str">
        <f>"9416"</f>
        <v>9416</v>
      </c>
      <c r="B9420" t="str">
        <f t="shared" si="523"/>
        <v>1</v>
      </c>
      <c r="C9420" t="str">
        <f t="shared" si="524"/>
        <v>189</v>
      </c>
      <c r="D9420" t="str">
        <f>"17"</f>
        <v>17</v>
      </c>
      <c r="E9420" t="str">
        <f>"1-189-17"</f>
        <v>1-189-17</v>
      </c>
      <c r="F9420" t="s">
        <v>65</v>
      </c>
      <c r="G9420" t="s">
        <v>66</v>
      </c>
      <c r="H9420" t="s">
        <v>67</v>
      </c>
      <c r="S9420">
        <v>0</v>
      </c>
      <c r="T9420">
        <v>1</v>
      </c>
      <c r="U9420">
        <v>0</v>
      </c>
      <c r="V9420">
        <v>0</v>
      </c>
      <c r="W9420">
        <v>0</v>
      </c>
      <c r="X9420">
        <v>1</v>
      </c>
      <c r="Y9420">
        <v>1</v>
      </c>
      <c r="Z9420">
        <v>0</v>
      </c>
      <c r="AA9420">
        <v>0</v>
      </c>
      <c r="AB9420">
        <v>1</v>
      </c>
      <c r="AC9420">
        <v>0</v>
      </c>
      <c r="AD9420">
        <v>1</v>
      </c>
      <c r="AE9420">
        <v>1</v>
      </c>
      <c r="AF9420">
        <v>1</v>
      </c>
      <c r="AG9420">
        <v>1</v>
      </c>
      <c r="AH9420">
        <v>1</v>
      </c>
      <c r="AI9420">
        <v>1</v>
      </c>
      <c r="AJ9420">
        <v>1</v>
      </c>
      <c r="AK9420">
        <v>1</v>
      </c>
      <c r="AL9420">
        <v>1</v>
      </c>
      <c r="AM9420">
        <v>1</v>
      </c>
    </row>
    <row r="9421" spans="1:39" x14ac:dyDescent="0.2">
      <c r="A9421" t="str">
        <f>"9417"</f>
        <v>9417</v>
      </c>
      <c r="B9421" t="str">
        <f t="shared" si="523"/>
        <v>1</v>
      </c>
      <c r="C9421" t="str">
        <f t="shared" si="524"/>
        <v>189</v>
      </c>
      <c r="D9421" t="str">
        <f>"6"</f>
        <v>6</v>
      </c>
      <c r="E9421" t="str">
        <f>"1-189-6"</f>
        <v>1-189-6</v>
      </c>
      <c r="F9421" t="s">
        <v>65</v>
      </c>
      <c r="G9421" t="s">
        <v>66</v>
      </c>
      <c r="H9421" t="s">
        <v>67</v>
      </c>
      <c r="S9421">
        <v>1</v>
      </c>
      <c r="T9421">
        <v>0</v>
      </c>
      <c r="U9421">
        <v>0</v>
      </c>
      <c r="V9421">
        <v>0</v>
      </c>
      <c r="W9421">
        <v>1</v>
      </c>
      <c r="X9421">
        <v>0</v>
      </c>
      <c r="Y9421">
        <v>1</v>
      </c>
      <c r="Z9421">
        <v>0</v>
      </c>
      <c r="AA9421">
        <v>1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1</v>
      </c>
      <c r="AI9421">
        <v>0</v>
      </c>
      <c r="AJ9421">
        <v>0</v>
      </c>
      <c r="AK9421">
        <v>1</v>
      </c>
      <c r="AL9421">
        <v>0</v>
      </c>
      <c r="AM9421">
        <v>0</v>
      </c>
    </row>
    <row r="9422" spans="1:39" x14ac:dyDescent="0.2">
      <c r="A9422" t="str">
        <f>"9418"</f>
        <v>9418</v>
      </c>
      <c r="B9422" t="str">
        <f t="shared" si="523"/>
        <v>1</v>
      </c>
      <c r="C9422" t="str">
        <f t="shared" si="524"/>
        <v>189</v>
      </c>
      <c r="D9422" t="str">
        <f>"32"</f>
        <v>32</v>
      </c>
      <c r="E9422" t="str">
        <f>"1-189-32"</f>
        <v>1-189-32</v>
      </c>
      <c r="F9422" t="s">
        <v>65</v>
      </c>
      <c r="G9422" t="s">
        <v>66</v>
      </c>
      <c r="H9422" t="s">
        <v>67</v>
      </c>
      <c r="S9422">
        <v>1</v>
      </c>
      <c r="T9422">
        <v>0</v>
      </c>
      <c r="U9422">
        <v>0</v>
      </c>
      <c r="V9422">
        <v>0</v>
      </c>
      <c r="W9422">
        <v>1</v>
      </c>
      <c r="X9422">
        <v>0</v>
      </c>
      <c r="Y9422">
        <v>0</v>
      </c>
      <c r="Z9422">
        <v>1</v>
      </c>
      <c r="AA9422">
        <v>1</v>
      </c>
      <c r="AB9422">
        <v>0</v>
      </c>
      <c r="AC9422">
        <v>0</v>
      </c>
      <c r="AD9422">
        <v>1</v>
      </c>
      <c r="AE9422">
        <v>1</v>
      </c>
      <c r="AF9422">
        <v>1</v>
      </c>
      <c r="AG9422">
        <v>1</v>
      </c>
      <c r="AH9422">
        <v>1</v>
      </c>
      <c r="AI9422">
        <v>1</v>
      </c>
      <c r="AJ9422">
        <v>1</v>
      </c>
      <c r="AK9422">
        <v>1</v>
      </c>
      <c r="AL9422">
        <v>1</v>
      </c>
      <c r="AM9422">
        <v>1</v>
      </c>
    </row>
    <row r="9423" spans="1:39" x14ac:dyDescent="0.2">
      <c r="A9423" t="str">
        <f>"9419"</f>
        <v>9419</v>
      </c>
      <c r="B9423" t="str">
        <f t="shared" si="523"/>
        <v>1</v>
      </c>
      <c r="C9423" t="str">
        <f t="shared" si="524"/>
        <v>189</v>
      </c>
      <c r="D9423" t="str">
        <f>"18"</f>
        <v>18</v>
      </c>
      <c r="E9423" t="str">
        <f>"1-189-18"</f>
        <v>1-189-18</v>
      </c>
      <c r="F9423" t="s">
        <v>65</v>
      </c>
      <c r="G9423" t="s">
        <v>66</v>
      </c>
      <c r="H9423" t="s">
        <v>67</v>
      </c>
      <c r="S9423">
        <v>1</v>
      </c>
      <c r="T9423">
        <v>0</v>
      </c>
      <c r="U9423">
        <v>0</v>
      </c>
      <c r="V9423">
        <v>0</v>
      </c>
      <c r="W9423">
        <v>1</v>
      </c>
      <c r="X9423">
        <v>0</v>
      </c>
      <c r="Y9423">
        <v>1</v>
      </c>
      <c r="Z9423">
        <v>0</v>
      </c>
      <c r="AA9423">
        <v>1</v>
      </c>
      <c r="AB9423">
        <v>0</v>
      </c>
      <c r="AC9423">
        <v>0</v>
      </c>
      <c r="AD9423">
        <v>1</v>
      </c>
      <c r="AE9423">
        <v>1</v>
      </c>
      <c r="AF9423">
        <v>1</v>
      </c>
      <c r="AG9423">
        <v>1</v>
      </c>
      <c r="AH9423">
        <v>1</v>
      </c>
      <c r="AI9423">
        <v>1</v>
      </c>
      <c r="AJ9423">
        <v>1</v>
      </c>
      <c r="AK9423">
        <v>1</v>
      </c>
      <c r="AL9423">
        <v>0</v>
      </c>
      <c r="AM9423">
        <v>1</v>
      </c>
    </row>
    <row r="9424" spans="1:39" x14ac:dyDescent="0.2">
      <c r="A9424" t="str">
        <f>"9420"</f>
        <v>9420</v>
      </c>
      <c r="B9424" t="str">
        <f t="shared" si="523"/>
        <v>1</v>
      </c>
      <c r="C9424" t="str">
        <f t="shared" si="524"/>
        <v>189</v>
      </c>
      <c r="D9424" t="str">
        <f>"1"</f>
        <v>1</v>
      </c>
      <c r="E9424" t="str">
        <f>"1-189-1"</f>
        <v>1-189-1</v>
      </c>
      <c r="F9424" t="s">
        <v>65</v>
      </c>
      <c r="G9424" t="s">
        <v>66</v>
      </c>
      <c r="H9424" t="s">
        <v>67</v>
      </c>
      <c r="S9424">
        <v>1</v>
      </c>
      <c r="T9424">
        <v>0</v>
      </c>
      <c r="U9424">
        <v>0</v>
      </c>
      <c r="V9424">
        <v>0</v>
      </c>
      <c r="W9424">
        <v>1</v>
      </c>
      <c r="X9424">
        <v>0</v>
      </c>
      <c r="Y9424">
        <v>1</v>
      </c>
      <c r="Z9424">
        <v>0</v>
      </c>
      <c r="AA9424">
        <v>1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1</v>
      </c>
      <c r="AH9424">
        <v>1</v>
      </c>
      <c r="AI9424">
        <v>1</v>
      </c>
      <c r="AJ9424">
        <v>0</v>
      </c>
      <c r="AK9424">
        <v>1</v>
      </c>
      <c r="AL9424">
        <v>1</v>
      </c>
      <c r="AM9424">
        <v>1</v>
      </c>
    </row>
    <row r="9425" spans="1:39" x14ac:dyDescent="0.2">
      <c r="A9425" t="str">
        <f>"9421"</f>
        <v>9421</v>
      </c>
      <c r="B9425" t="str">
        <f t="shared" si="523"/>
        <v>1</v>
      </c>
      <c r="C9425" t="str">
        <f t="shared" si="524"/>
        <v>189</v>
      </c>
      <c r="D9425" t="str">
        <f>"37"</f>
        <v>37</v>
      </c>
      <c r="E9425" t="str">
        <f>"1-189-37"</f>
        <v>1-189-37</v>
      </c>
      <c r="F9425" t="s">
        <v>65</v>
      </c>
      <c r="G9425" t="s">
        <v>66</v>
      </c>
      <c r="H9425" t="s">
        <v>67</v>
      </c>
      <c r="S9425">
        <v>1</v>
      </c>
      <c r="T9425">
        <v>0</v>
      </c>
      <c r="U9425">
        <v>0</v>
      </c>
      <c r="V9425">
        <v>0</v>
      </c>
      <c r="W9425">
        <v>1</v>
      </c>
      <c r="X9425">
        <v>0</v>
      </c>
      <c r="Y9425">
        <v>0</v>
      </c>
      <c r="Z9425">
        <v>1</v>
      </c>
      <c r="AA9425">
        <v>0</v>
      </c>
      <c r="AB9425">
        <v>0</v>
      </c>
      <c r="AC9425">
        <v>1</v>
      </c>
      <c r="AD9425">
        <v>1</v>
      </c>
      <c r="AE9425">
        <v>1</v>
      </c>
      <c r="AF9425">
        <v>1</v>
      </c>
      <c r="AG9425">
        <v>0</v>
      </c>
      <c r="AH9425">
        <v>1</v>
      </c>
      <c r="AI9425">
        <v>1</v>
      </c>
      <c r="AJ9425">
        <v>1</v>
      </c>
      <c r="AK9425">
        <v>1</v>
      </c>
      <c r="AL9425">
        <v>0</v>
      </c>
      <c r="AM9425">
        <v>0</v>
      </c>
    </row>
    <row r="9426" spans="1:39" x14ac:dyDescent="0.2">
      <c r="A9426" t="str">
        <f>"9422"</f>
        <v>9422</v>
      </c>
      <c r="B9426" t="str">
        <f t="shared" si="523"/>
        <v>1</v>
      </c>
      <c r="C9426" t="str">
        <f t="shared" si="524"/>
        <v>189</v>
      </c>
      <c r="D9426" t="str">
        <f>"2"</f>
        <v>2</v>
      </c>
      <c r="E9426" t="str">
        <f>"1-189-2"</f>
        <v>1-189-2</v>
      </c>
      <c r="F9426" t="s">
        <v>65</v>
      </c>
      <c r="G9426" t="s">
        <v>66</v>
      </c>
      <c r="H9426" t="s">
        <v>67</v>
      </c>
      <c r="S9426">
        <v>1</v>
      </c>
      <c r="T9426">
        <v>0</v>
      </c>
      <c r="U9426">
        <v>0</v>
      </c>
      <c r="V9426">
        <v>0</v>
      </c>
      <c r="W9426">
        <v>1</v>
      </c>
      <c r="X9426">
        <v>0</v>
      </c>
      <c r="Y9426">
        <v>1</v>
      </c>
      <c r="Z9426">
        <v>0</v>
      </c>
      <c r="AA9426">
        <v>0</v>
      </c>
      <c r="AB9426">
        <v>1</v>
      </c>
      <c r="AC9426">
        <v>0</v>
      </c>
      <c r="AD9426">
        <v>1</v>
      </c>
      <c r="AE9426">
        <v>1</v>
      </c>
      <c r="AF9426">
        <v>1</v>
      </c>
      <c r="AG9426">
        <v>1</v>
      </c>
      <c r="AH9426">
        <v>1</v>
      </c>
      <c r="AI9426">
        <v>1</v>
      </c>
      <c r="AJ9426">
        <v>1</v>
      </c>
      <c r="AK9426">
        <v>1</v>
      </c>
      <c r="AL9426">
        <v>1</v>
      </c>
      <c r="AM9426">
        <v>1</v>
      </c>
    </row>
    <row r="9427" spans="1:39" x14ac:dyDescent="0.2">
      <c r="A9427" t="str">
        <f>"9423"</f>
        <v>9423</v>
      </c>
      <c r="B9427" t="str">
        <f t="shared" si="523"/>
        <v>1</v>
      </c>
      <c r="C9427" t="str">
        <f t="shared" si="524"/>
        <v>189</v>
      </c>
      <c r="D9427" t="str">
        <f>"38"</f>
        <v>38</v>
      </c>
      <c r="E9427" t="str">
        <f>"1-189-38"</f>
        <v>1-189-38</v>
      </c>
      <c r="F9427" t="s">
        <v>65</v>
      </c>
      <c r="G9427" t="s">
        <v>66</v>
      </c>
      <c r="H9427" t="s">
        <v>67</v>
      </c>
      <c r="S9427">
        <v>1</v>
      </c>
      <c r="T9427">
        <v>0</v>
      </c>
      <c r="U9427">
        <v>0</v>
      </c>
      <c r="V9427">
        <v>0</v>
      </c>
      <c r="W9427">
        <v>1</v>
      </c>
      <c r="X9427">
        <v>0</v>
      </c>
      <c r="Y9427">
        <v>1</v>
      </c>
      <c r="Z9427">
        <v>0</v>
      </c>
      <c r="AA9427">
        <v>1</v>
      </c>
      <c r="AB9427">
        <v>0</v>
      </c>
      <c r="AC9427">
        <v>0</v>
      </c>
      <c r="AD9427">
        <v>1</v>
      </c>
      <c r="AE9427">
        <v>1</v>
      </c>
      <c r="AF9427">
        <v>1</v>
      </c>
      <c r="AG9427">
        <v>1</v>
      </c>
      <c r="AH9427">
        <v>1</v>
      </c>
      <c r="AI9427">
        <v>1</v>
      </c>
      <c r="AJ9427">
        <v>1</v>
      </c>
      <c r="AK9427">
        <v>1</v>
      </c>
      <c r="AL9427">
        <v>1</v>
      </c>
      <c r="AM9427">
        <v>1</v>
      </c>
    </row>
    <row r="9428" spans="1:39" x14ac:dyDescent="0.2">
      <c r="A9428" t="str">
        <f>"9424"</f>
        <v>9424</v>
      </c>
      <c r="B9428" t="str">
        <f t="shared" si="523"/>
        <v>1</v>
      </c>
      <c r="C9428" t="str">
        <f t="shared" si="524"/>
        <v>189</v>
      </c>
      <c r="D9428" t="str">
        <f>"20"</f>
        <v>20</v>
      </c>
      <c r="E9428" t="str">
        <f>"1-189-20"</f>
        <v>1-189-20</v>
      </c>
      <c r="F9428" t="s">
        <v>65</v>
      </c>
      <c r="G9428" t="s">
        <v>66</v>
      </c>
      <c r="H9428" t="s">
        <v>67</v>
      </c>
      <c r="S9428">
        <v>1</v>
      </c>
      <c r="T9428">
        <v>0</v>
      </c>
      <c r="U9428">
        <v>0</v>
      </c>
      <c r="V9428">
        <v>0</v>
      </c>
      <c r="W9428">
        <v>0</v>
      </c>
      <c r="X9428">
        <v>1</v>
      </c>
      <c r="Y9428">
        <v>1</v>
      </c>
      <c r="Z9428">
        <v>0</v>
      </c>
      <c r="AA9428">
        <v>0</v>
      </c>
      <c r="AB9428">
        <v>1</v>
      </c>
      <c r="AC9428">
        <v>0</v>
      </c>
      <c r="AD9428">
        <v>1</v>
      </c>
      <c r="AE9428">
        <v>1</v>
      </c>
      <c r="AF9428">
        <v>1</v>
      </c>
      <c r="AG9428">
        <v>1</v>
      </c>
      <c r="AH9428">
        <v>1</v>
      </c>
      <c r="AI9428">
        <v>1</v>
      </c>
      <c r="AJ9428">
        <v>1</v>
      </c>
      <c r="AK9428">
        <v>1</v>
      </c>
      <c r="AL9428">
        <v>1</v>
      </c>
      <c r="AM9428">
        <v>1</v>
      </c>
    </row>
    <row r="9429" spans="1:39" x14ac:dyDescent="0.2">
      <c r="A9429" t="str">
        <f>"9425"</f>
        <v>9425</v>
      </c>
      <c r="B9429" t="str">
        <f t="shared" si="523"/>
        <v>1</v>
      </c>
      <c r="C9429" t="str">
        <f t="shared" si="524"/>
        <v>189</v>
      </c>
      <c r="D9429" t="str">
        <f>"8"</f>
        <v>8</v>
      </c>
      <c r="E9429" t="str">
        <f>"1-189-8"</f>
        <v>1-189-8</v>
      </c>
      <c r="F9429" t="s">
        <v>65</v>
      </c>
      <c r="G9429" t="s">
        <v>66</v>
      </c>
      <c r="H9429" t="s">
        <v>67</v>
      </c>
      <c r="S9429">
        <v>1</v>
      </c>
      <c r="T9429">
        <v>0</v>
      </c>
      <c r="U9429">
        <v>0</v>
      </c>
      <c r="V9429">
        <v>0</v>
      </c>
      <c r="W9429">
        <v>1</v>
      </c>
      <c r="X9429">
        <v>0</v>
      </c>
      <c r="Y9429">
        <v>0</v>
      </c>
      <c r="Z9429">
        <v>1</v>
      </c>
      <c r="AA9429">
        <v>1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1</v>
      </c>
      <c r="AI9429">
        <v>1</v>
      </c>
      <c r="AJ9429">
        <v>1</v>
      </c>
      <c r="AK9429">
        <v>1</v>
      </c>
      <c r="AL9429">
        <v>1</v>
      </c>
      <c r="AM9429">
        <v>1</v>
      </c>
    </row>
    <row r="9430" spans="1:39" x14ac:dyDescent="0.2">
      <c r="A9430" t="str">
        <f>"9426"</f>
        <v>9426</v>
      </c>
      <c r="B9430" t="str">
        <f t="shared" si="523"/>
        <v>1</v>
      </c>
      <c r="C9430" t="str">
        <f t="shared" si="524"/>
        <v>189</v>
      </c>
      <c r="D9430" t="str">
        <f>"41"</f>
        <v>41</v>
      </c>
      <c r="E9430" t="str">
        <f>"1-189-41"</f>
        <v>1-189-41</v>
      </c>
      <c r="F9430" t="s">
        <v>65</v>
      </c>
      <c r="G9430" t="s">
        <v>66</v>
      </c>
      <c r="H9430" t="s">
        <v>67</v>
      </c>
      <c r="S9430">
        <v>0</v>
      </c>
      <c r="T9430">
        <v>1</v>
      </c>
      <c r="U9430">
        <v>0</v>
      </c>
      <c r="V9430">
        <v>0</v>
      </c>
      <c r="W9430">
        <v>0</v>
      </c>
      <c r="X9430">
        <v>1</v>
      </c>
      <c r="Y9430">
        <v>0</v>
      </c>
      <c r="Z9430">
        <v>1</v>
      </c>
      <c r="AA9430">
        <v>0</v>
      </c>
      <c r="AB9430">
        <v>0</v>
      </c>
      <c r="AC9430">
        <v>1</v>
      </c>
      <c r="AD9430">
        <v>1</v>
      </c>
      <c r="AE9430">
        <v>1</v>
      </c>
      <c r="AF9430">
        <v>1</v>
      </c>
      <c r="AG9430">
        <v>1</v>
      </c>
      <c r="AH9430">
        <v>1</v>
      </c>
      <c r="AI9430">
        <v>1</v>
      </c>
      <c r="AJ9430">
        <v>1</v>
      </c>
      <c r="AK9430">
        <v>1</v>
      </c>
      <c r="AL9430">
        <v>1</v>
      </c>
      <c r="AM9430">
        <v>1</v>
      </c>
    </row>
    <row r="9431" spans="1:39" x14ac:dyDescent="0.2">
      <c r="A9431" t="str">
        <f>"9427"</f>
        <v>9427</v>
      </c>
      <c r="B9431" t="str">
        <f t="shared" si="523"/>
        <v>1</v>
      </c>
      <c r="C9431" t="str">
        <f t="shared" si="524"/>
        <v>189</v>
      </c>
      <c r="D9431" t="str">
        <f>"21"</f>
        <v>21</v>
      </c>
      <c r="E9431" t="str">
        <f>"1-189-21"</f>
        <v>1-189-21</v>
      </c>
      <c r="F9431" t="s">
        <v>65</v>
      </c>
      <c r="G9431" t="s">
        <v>66</v>
      </c>
      <c r="H9431" t="s">
        <v>67</v>
      </c>
      <c r="S9431">
        <v>1</v>
      </c>
      <c r="T9431">
        <v>0</v>
      </c>
      <c r="U9431">
        <v>0</v>
      </c>
      <c r="V9431">
        <v>0</v>
      </c>
      <c r="W9431">
        <v>1</v>
      </c>
      <c r="X9431">
        <v>0</v>
      </c>
      <c r="Y9431">
        <v>1</v>
      </c>
      <c r="Z9431">
        <v>0</v>
      </c>
      <c r="AA9431">
        <v>1</v>
      </c>
      <c r="AB9431">
        <v>0</v>
      </c>
      <c r="AC9431">
        <v>0</v>
      </c>
      <c r="AD9431">
        <v>1</v>
      </c>
      <c r="AE9431">
        <v>1</v>
      </c>
      <c r="AF9431">
        <v>1</v>
      </c>
      <c r="AG9431">
        <v>1</v>
      </c>
      <c r="AH9431">
        <v>1</v>
      </c>
      <c r="AI9431">
        <v>1</v>
      </c>
      <c r="AJ9431">
        <v>1</v>
      </c>
      <c r="AK9431">
        <v>1</v>
      </c>
      <c r="AL9431">
        <v>1</v>
      </c>
      <c r="AM9431">
        <v>1</v>
      </c>
    </row>
    <row r="9432" spans="1:39" x14ac:dyDescent="0.2">
      <c r="A9432" t="str">
        <f>"9428"</f>
        <v>9428</v>
      </c>
      <c r="B9432" t="str">
        <f t="shared" si="523"/>
        <v>1</v>
      </c>
      <c r="C9432" t="str">
        <f t="shared" si="524"/>
        <v>189</v>
      </c>
      <c r="D9432" t="str">
        <f>"3"</f>
        <v>3</v>
      </c>
      <c r="E9432" t="str">
        <f>"1-189-3"</f>
        <v>1-189-3</v>
      </c>
      <c r="F9432" t="s">
        <v>65</v>
      </c>
      <c r="G9432" t="s">
        <v>66</v>
      </c>
      <c r="H9432" t="s">
        <v>67</v>
      </c>
      <c r="S9432">
        <v>1</v>
      </c>
      <c r="T9432">
        <v>0</v>
      </c>
      <c r="U9432">
        <v>0</v>
      </c>
      <c r="V9432">
        <v>0</v>
      </c>
      <c r="W9432">
        <v>1</v>
      </c>
      <c r="X9432">
        <v>0</v>
      </c>
      <c r="Y9432">
        <v>1</v>
      </c>
      <c r="Z9432">
        <v>0</v>
      </c>
      <c r="AA9432">
        <v>0</v>
      </c>
      <c r="AB9432">
        <v>1</v>
      </c>
      <c r="AC9432">
        <v>0</v>
      </c>
      <c r="AD9432">
        <v>1</v>
      </c>
      <c r="AE9432">
        <v>1</v>
      </c>
      <c r="AF9432">
        <v>1</v>
      </c>
      <c r="AG9432">
        <v>1</v>
      </c>
      <c r="AH9432">
        <v>1</v>
      </c>
      <c r="AI9432">
        <v>1</v>
      </c>
      <c r="AJ9432">
        <v>1</v>
      </c>
      <c r="AK9432">
        <v>1</v>
      </c>
      <c r="AL9432">
        <v>1</v>
      </c>
      <c r="AM9432">
        <v>1</v>
      </c>
    </row>
    <row r="9433" spans="1:39" x14ac:dyDescent="0.2">
      <c r="A9433" t="str">
        <f>"9429"</f>
        <v>9429</v>
      </c>
      <c r="B9433" t="str">
        <f t="shared" si="523"/>
        <v>1</v>
      </c>
      <c r="C9433" t="str">
        <f t="shared" si="524"/>
        <v>189</v>
      </c>
      <c r="D9433" t="str">
        <f>"47"</f>
        <v>47</v>
      </c>
      <c r="E9433" t="str">
        <f>"1-189-47"</f>
        <v>1-189-47</v>
      </c>
      <c r="F9433" t="s">
        <v>65</v>
      </c>
      <c r="G9433" t="s">
        <v>66</v>
      </c>
      <c r="H9433" t="s">
        <v>67</v>
      </c>
      <c r="S9433">
        <v>1</v>
      </c>
      <c r="T9433">
        <v>0</v>
      </c>
      <c r="U9433">
        <v>0</v>
      </c>
      <c r="V9433">
        <v>0</v>
      </c>
      <c r="W9433">
        <v>1</v>
      </c>
      <c r="X9433">
        <v>0</v>
      </c>
      <c r="Y9433">
        <v>1</v>
      </c>
      <c r="Z9433">
        <v>0</v>
      </c>
      <c r="AA9433">
        <v>0</v>
      </c>
      <c r="AB9433">
        <v>0</v>
      </c>
      <c r="AC9433">
        <v>0</v>
      </c>
      <c r="AD9433">
        <v>1</v>
      </c>
      <c r="AE9433">
        <v>1</v>
      </c>
      <c r="AF9433">
        <v>1</v>
      </c>
      <c r="AG9433">
        <v>1</v>
      </c>
      <c r="AH9433">
        <v>1</v>
      </c>
      <c r="AI9433">
        <v>1</v>
      </c>
      <c r="AJ9433">
        <v>1</v>
      </c>
      <c r="AK9433">
        <v>1</v>
      </c>
      <c r="AL9433">
        <v>1</v>
      </c>
      <c r="AM9433">
        <v>1</v>
      </c>
    </row>
    <row r="9434" spans="1:39" x14ac:dyDescent="0.2">
      <c r="A9434" t="str">
        <f>"9430"</f>
        <v>9430</v>
      </c>
      <c r="B9434" t="str">
        <f t="shared" si="523"/>
        <v>1</v>
      </c>
      <c r="C9434" t="str">
        <f t="shared" si="524"/>
        <v>189</v>
      </c>
      <c r="D9434" t="str">
        <f>"22"</f>
        <v>22</v>
      </c>
      <c r="E9434" t="str">
        <f>"1-189-22"</f>
        <v>1-189-22</v>
      </c>
      <c r="F9434" t="s">
        <v>65</v>
      </c>
      <c r="G9434" t="s">
        <v>66</v>
      </c>
      <c r="H9434" t="s">
        <v>67</v>
      </c>
      <c r="S9434">
        <v>1</v>
      </c>
      <c r="T9434">
        <v>0</v>
      </c>
      <c r="U9434">
        <v>0</v>
      </c>
      <c r="V9434">
        <v>0</v>
      </c>
      <c r="W9434">
        <v>1</v>
      </c>
      <c r="X9434">
        <v>0</v>
      </c>
      <c r="Y9434">
        <v>1</v>
      </c>
      <c r="Z9434">
        <v>0</v>
      </c>
      <c r="AA9434">
        <v>1</v>
      </c>
      <c r="AB9434">
        <v>0</v>
      </c>
      <c r="AC9434">
        <v>0</v>
      </c>
      <c r="AD9434">
        <v>1</v>
      </c>
      <c r="AE9434">
        <v>1</v>
      </c>
      <c r="AF9434">
        <v>1</v>
      </c>
      <c r="AG9434">
        <v>1</v>
      </c>
      <c r="AH9434">
        <v>1</v>
      </c>
      <c r="AI9434">
        <v>1</v>
      </c>
      <c r="AJ9434">
        <v>1</v>
      </c>
      <c r="AK9434">
        <v>1</v>
      </c>
      <c r="AL9434">
        <v>1</v>
      </c>
      <c r="AM9434">
        <v>1</v>
      </c>
    </row>
    <row r="9435" spans="1:39" x14ac:dyDescent="0.2">
      <c r="A9435" t="str">
        <f>"9431"</f>
        <v>9431</v>
      </c>
      <c r="B9435" t="str">
        <f t="shared" si="523"/>
        <v>1</v>
      </c>
      <c r="C9435" t="str">
        <f t="shared" si="524"/>
        <v>189</v>
      </c>
      <c r="D9435" t="str">
        <f>"12"</f>
        <v>12</v>
      </c>
      <c r="E9435" t="str">
        <f>"1-189-12"</f>
        <v>1-189-12</v>
      </c>
      <c r="F9435" t="s">
        <v>65</v>
      </c>
      <c r="G9435" t="s">
        <v>66</v>
      </c>
      <c r="H9435" t="s">
        <v>67</v>
      </c>
      <c r="S9435">
        <v>0</v>
      </c>
      <c r="T9435">
        <v>1</v>
      </c>
      <c r="U9435">
        <v>0</v>
      </c>
      <c r="V9435">
        <v>0</v>
      </c>
      <c r="W9435">
        <v>1</v>
      </c>
      <c r="X9435">
        <v>0</v>
      </c>
      <c r="Y9435">
        <v>1</v>
      </c>
      <c r="Z9435">
        <v>0</v>
      </c>
      <c r="AA9435">
        <v>0</v>
      </c>
      <c r="AB9435">
        <v>1</v>
      </c>
      <c r="AC9435">
        <v>0</v>
      </c>
      <c r="AD9435">
        <v>1</v>
      </c>
      <c r="AE9435">
        <v>1</v>
      </c>
      <c r="AF9435">
        <v>1</v>
      </c>
      <c r="AG9435">
        <v>1</v>
      </c>
      <c r="AH9435">
        <v>1</v>
      </c>
      <c r="AI9435">
        <v>1</v>
      </c>
      <c r="AJ9435">
        <v>1</v>
      </c>
      <c r="AK9435">
        <v>1</v>
      </c>
      <c r="AL9435">
        <v>1</v>
      </c>
      <c r="AM9435">
        <v>1</v>
      </c>
    </row>
    <row r="9436" spans="1:39" x14ac:dyDescent="0.2">
      <c r="A9436" t="str">
        <f>"9432"</f>
        <v>9432</v>
      </c>
      <c r="B9436" t="str">
        <f t="shared" si="523"/>
        <v>1</v>
      </c>
      <c r="C9436" t="str">
        <f t="shared" si="524"/>
        <v>189</v>
      </c>
      <c r="D9436" t="str">
        <f>"43"</f>
        <v>43</v>
      </c>
      <c r="E9436" t="str">
        <f>"1-189-43"</f>
        <v>1-189-43</v>
      </c>
      <c r="F9436" t="s">
        <v>65</v>
      </c>
      <c r="G9436" t="s">
        <v>66</v>
      </c>
      <c r="H9436" t="s">
        <v>67</v>
      </c>
      <c r="S9436">
        <v>1</v>
      </c>
      <c r="T9436">
        <v>0</v>
      </c>
      <c r="U9436">
        <v>0</v>
      </c>
      <c r="V9436">
        <v>0</v>
      </c>
      <c r="W9436">
        <v>0</v>
      </c>
      <c r="X9436">
        <v>1</v>
      </c>
      <c r="Y9436">
        <v>0</v>
      </c>
      <c r="Z9436">
        <v>1</v>
      </c>
      <c r="AA9436">
        <v>0</v>
      </c>
      <c r="AB9436">
        <v>0</v>
      </c>
      <c r="AC9436">
        <v>1</v>
      </c>
      <c r="AD9436">
        <v>1</v>
      </c>
      <c r="AE9436">
        <v>1</v>
      </c>
      <c r="AF9436">
        <v>1</v>
      </c>
      <c r="AG9436">
        <v>1</v>
      </c>
      <c r="AH9436">
        <v>1</v>
      </c>
      <c r="AI9436">
        <v>1</v>
      </c>
      <c r="AJ9436">
        <v>1</v>
      </c>
      <c r="AK9436">
        <v>1</v>
      </c>
      <c r="AL9436">
        <v>1</v>
      </c>
      <c r="AM9436">
        <v>1</v>
      </c>
    </row>
    <row r="9437" spans="1:39" x14ac:dyDescent="0.2">
      <c r="A9437" t="str">
        <f>"9433"</f>
        <v>9433</v>
      </c>
      <c r="B9437" t="str">
        <f t="shared" si="523"/>
        <v>1</v>
      </c>
      <c r="C9437" t="str">
        <f t="shared" ref="C9437:C9454" si="525">"189"</f>
        <v>189</v>
      </c>
      <c r="D9437" t="str">
        <f>"23"</f>
        <v>23</v>
      </c>
      <c r="E9437" t="str">
        <f>"1-189-23"</f>
        <v>1-189-23</v>
      </c>
      <c r="F9437" t="s">
        <v>65</v>
      </c>
      <c r="G9437" t="s">
        <v>66</v>
      </c>
      <c r="H9437" t="s">
        <v>67</v>
      </c>
      <c r="S9437">
        <v>1</v>
      </c>
      <c r="T9437">
        <v>0</v>
      </c>
      <c r="U9437">
        <v>0</v>
      </c>
      <c r="V9437">
        <v>0</v>
      </c>
      <c r="W9437">
        <v>0</v>
      </c>
      <c r="X9437">
        <v>1</v>
      </c>
      <c r="Y9437">
        <v>1</v>
      </c>
      <c r="Z9437">
        <v>0</v>
      </c>
      <c r="AA9437">
        <v>1</v>
      </c>
      <c r="AB9437">
        <v>0</v>
      </c>
      <c r="AC9437">
        <v>0</v>
      </c>
      <c r="AD9437">
        <v>1</v>
      </c>
      <c r="AE9437">
        <v>1</v>
      </c>
      <c r="AF9437">
        <v>1</v>
      </c>
      <c r="AG9437">
        <v>1</v>
      </c>
      <c r="AH9437">
        <v>1</v>
      </c>
      <c r="AI9437">
        <v>1</v>
      </c>
      <c r="AJ9437">
        <v>1</v>
      </c>
      <c r="AK9437">
        <v>1</v>
      </c>
      <c r="AL9437">
        <v>1</v>
      </c>
      <c r="AM9437">
        <v>1</v>
      </c>
    </row>
    <row r="9438" spans="1:39" x14ac:dyDescent="0.2">
      <c r="A9438" t="str">
        <f>"9434"</f>
        <v>9434</v>
      </c>
      <c r="B9438" t="str">
        <f t="shared" si="523"/>
        <v>1</v>
      </c>
      <c r="C9438" t="str">
        <f t="shared" si="525"/>
        <v>189</v>
      </c>
      <c r="D9438" t="str">
        <f>"10"</f>
        <v>10</v>
      </c>
      <c r="E9438" t="str">
        <f>"1-189-10"</f>
        <v>1-189-10</v>
      </c>
      <c r="F9438" t="s">
        <v>65</v>
      </c>
      <c r="G9438" t="s">
        <v>66</v>
      </c>
      <c r="H9438" t="s">
        <v>67</v>
      </c>
      <c r="S9438">
        <v>0</v>
      </c>
      <c r="T9438">
        <v>1</v>
      </c>
      <c r="U9438">
        <v>0</v>
      </c>
      <c r="V9438">
        <v>0</v>
      </c>
      <c r="W9438">
        <v>0</v>
      </c>
      <c r="X9438">
        <v>1</v>
      </c>
      <c r="Y9438">
        <v>1</v>
      </c>
      <c r="Z9438">
        <v>0</v>
      </c>
      <c r="AA9438">
        <v>0</v>
      </c>
      <c r="AB9438">
        <v>1</v>
      </c>
      <c r="AC9438">
        <v>0</v>
      </c>
      <c r="AD9438">
        <v>1</v>
      </c>
      <c r="AE9438">
        <v>1</v>
      </c>
      <c r="AF9438">
        <v>1</v>
      </c>
      <c r="AG9438">
        <v>1</v>
      </c>
      <c r="AH9438">
        <v>1</v>
      </c>
      <c r="AI9438">
        <v>1</v>
      </c>
      <c r="AJ9438">
        <v>1</v>
      </c>
      <c r="AK9438">
        <v>1</v>
      </c>
      <c r="AL9438">
        <v>1</v>
      </c>
      <c r="AM9438">
        <v>1</v>
      </c>
    </row>
    <row r="9439" spans="1:39" x14ac:dyDescent="0.2">
      <c r="A9439" t="str">
        <f>"9435"</f>
        <v>9435</v>
      </c>
      <c r="B9439" t="str">
        <f t="shared" si="523"/>
        <v>1</v>
      </c>
      <c r="C9439" t="str">
        <f t="shared" si="525"/>
        <v>189</v>
      </c>
      <c r="D9439" t="str">
        <f>"45"</f>
        <v>45</v>
      </c>
      <c r="E9439" t="str">
        <f>"1-189-45"</f>
        <v>1-189-45</v>
      </c>
      <c r="F9439" t="s">
        <v>65</v>
      </c>
      <c r="G9439" t="s">
        <v>66</v>
      </c>
      <c r="H9439" t="s">
        <v>67</v>
      </c>
      <c r="S9439">
        <v>1</v>
      </c>
      <c r="T9439">
        <v>0</v>
      </c>
      <c r="U9439">
        <v>0</v>
      </c>
      <c r="V9439">
        <v>0</v>
      </c>
      <c r="W9439">
        <v>1</v>
      </c>
      <c r="X9439">
        <v>0</v>
      </c>
      <c r="Y9439">
        <v>1</v>
      </c>
      <c r="Z9439">
        <v>0</v>
      </c>
      <c r="AA9439">
        <v>1</v>
      </c>
      <c r="AB9439">
        <v>0</v>
      </c>
      <c r="AC9439">
        <v>0</v>
      </c>
      <c r="AD9439">
        <v>1</v>
      </c>
      <c r="AE9439">
        <v>1</v>
      </c>
      <c r="AF9439">
        <v>1</v>
      </c>
      <c r="AG9439">
        <v>1</v>
      </c>
      <c r="AH9439">
        <v>1</v>
      </c>
      <c r="AI9439">
        <v>1</v>
      </c>
      <c r="AJ9439">
        <v>1</v>
      </c>
      <c r="AK9439">
        <v>1</v>
      </c>
      <c r="AL9439">
        <v>1</v>
      </c>
      <c r="AM9439">
        <v>1</v>
      </c>
    </row>
    <row r="9440" spans="1:39" x14ac:dyDescent="0.2">
      <c r="A9440" t="str">
        <f>"9436"</f>
        <v>9436</v>
      </c>
      <c r="B9440" t="str">
        <f t="shared" si="523"/>
        <v>1</v>
      </c>
      <c r="C9440" t="str">
        <f t="shared" si="525"/>
        <v>189</v>
      </c>
      <c r="D9440" t="str">
        <f>"24"</f>
        <v>24</v>
      </c>
      <c r="E9440" t="str">
        <f>"1-189-24"</f>
        <v>1-189-24</v>
      </c>
      <c r="F9440" t="s">
        <v>65</v>
      </c>
      <c r="G9440" t="s">
        <v>66</v>
      </c>
      <c r="H9440" t="s">
        <v>67</v>
      </c>
      <c r="S9440">
        <v>1</v>
      </c>
      <c r="T9440">
        <v>0</v>
      </c>
      <c r="U9440">
        <v>0</v>
      </c>
      <c r="V9440">
        <v>0</v>
      </c>
      <c r="W9440">
        <v>0</v>
      </c>
      <c r="X9440">
        <v>1</v>
      </c>
      <c r="Y9440">
        <v>0</v>
      </c>
      <c r="Z9440">
        <v>1</v>
      </c>
      <c r="AA9440">
        <v>0</v>
      </c>
      <c r="AB9440">
        <v>0</v>
      </c>
      <c r="AC9440">
        <v>1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</row>
    <row r="9441" spans="1:39" x14ac:dyDescent="0.2">
      <c r="A9441" t="str">
        <f>"9437"</f>
        <v>9437</v>
      </c>
      <c r="B9441" t="str">
        <f t="shared" si="523"/>
        <v>1</v>
      </c>
      <c r="C9441" t="str">
        <f t="shared" si="525"/>
        <v>189</v>
      </c>
      <c r="D9441" t="str">
        <f>"9"</f>
        <v>9</v>
      </c>
      <c r="E9441" t="str">
        <f>"1-189-9"</f>
        <v>1-189-9</v>
      </c>
      <c r="F9441" t="s">
        <v>65</v>
      </c>
      <c r="G9441" t="s">
        <v>66</v>
      </c>
      <c r="H9441" t="s">
        <v>67</v>
      </c>
      <c r="S9441">
        <v>1</v>
      </c>
      <c r="T9441">
        <v>0</v>
      </c>
      <c r="U9441">
        <v>0</v>
      </c>
      <c r="V9441">
        <v>0</v>
      </c>
      <c r="W9441">
        <v>1</v>
      </c>
      <c r="X9441">
        <v>0</v>
      </c>
      <c r="Y9441">
        <v>1</v>
      </c>
      <c r="Z9441">
        <v>0</v>
      </c>
      <c r="AA9441">
        <v>1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1</v>
      </c>
      <c r="AI9441">
        <v>1</v>
      </c>
      <c r="AJ9441">
        <v>1</v>
      </c>
      <c r="AK9441">
        <v>1</v>
      </c>
      <c r="AL9441">
        <v>1</v>
      </c>
      <c r="AM9441">
        <v>0</v>
      </c>
    </row>
    <row r="9442" spans="1:39" x14ac:dyDescent="0.2">
      <c r="A9442" t="str">
        <f>"9438"</f>
        <v>9438</v>
      </c>
      <c r="B9442" t="str">
        <f t="shared" si="523"/>
        <v>1</v>
      </c>
      <c r="C9442" t="str">
        <f t="shared" si="525"/>
        <v>189</v>
      </c>
      <c r="D9442" t="str">
        <f>"42"</f>
        <v>42</v>
      </c>
      <c r="E9442" t="str">
        <f>"1-189-42"</f>
        <v>1-189-42</v>
      </c>
      <c r="F9442" t="s">
        <v>65</v>
      </c>
      <c r="G9442" t="s">
        <v>66</v>
      </c>
      <c r="H9442" t="s">
        <v>67</v>
      </c>
      <c r="S9442">
        <v>1</v>
      </c>
      <c r="T9442">
        <v>0</v>
      </c>
      <c r="U9442">
        <v>0</v>
      </c>
      <c r="V9442">
        <v>0</v>
      </c>
      <c r="W9442">
        <v>1</v>
      </c>
      <c r="X9442">
        <v>0</v>
      </c>
      <c r="Y9442">
        <v>1</v>
      </c>
      <c r="Z9442">
        <v>0</v>
      </c>
      <c r="AA9442">
        <v>1</v>
      </c>
      <c r="AB9442">
        <v>0</v>
      </c>
      <c r="AC9442">
        <v>0</v>
      </c>
      <c r="AD9442">
        <v>1</v>
      </c>
      <c r="AE9442">
        <v>1</v>
      </c>
      <c r="AF9442">
        <v>1</v>
      </c>
      <c r="AG9442">
        <v>1</v>
      </c>
      <c r="AH9442">
        <v>1</v>
      </c>
      <c r="AI9442">
        <v>1</v>
      </c>
      <c r="AJ9442">
        <v>1</v>
      </c>
      <c r="AK9442">
        <v>1</v>
      </c>
      <c r="AL9442">
        <v>1</v>
      </c>
      <c r="AM9442">
        <v>1</v>
      </c>
    </row>
    <row r="9443" spans="1:39" x14ac:dyDescent="0.2">
      <c r="A9443" t="str">
        <f>"9439"</f>
        <v>9439</v>
      </c>
      <c r="B9443" t="str">
        <f t="shared" si="523"/>
        <v>1</v>
      </c>
      <c r="C9443" t="str">
        <f t="shared" si="525"/>
        <v>189</v>
      </c>
      <c r="D9443" t="str">
        <f>"25"</f>
        <v>25</v>
      </c>
      <c r="E9443" t="str">
        <f>"1-189-25"</f>
        <v>1-189-25</v>
      </c>
      <c r="F9443" t="s">
        <v>65</v>
      </c>
      <c r="G9443" t="s">
        <v>66</v>
      </c>
      <c r="H9443" t="s">
        <v>67</v>
      </c>
      <c r="S9443">
        <v>1</v>
      </c>
      <c r="T9443">
        <v>0</v>
      </c>
      <c r="U9443">
        <v>0</v>
      </c>
      <c r="V9443">
        <v>0</v>
      </c>
      <c r="W9443">
        <v>1</v>
      </c>
      <c r="X9443">
        <v>0</v>
      </c>
      <c r="Y9443">
        <v>1</v>
      </c>
      <c r="Z9443">
        <v>0</v>
      </c>
      <c r="AA9443">
        <v>1</v>
      </c>
      <c r="AB9443">
        <v>0</v>
      </c>
      <c r="AC9443">
        <v>0</v>
      </c>
      <c r="AD9443">
        <v>1</v>
      </c>
      <c r="AE9443">
        <v>1</v>
      </c>
      <c r="AF9443">
        <v>1</v>
      </c>
      <c r="AG9443">
        <v>1</v>
      </c>
      <c r="AH9443">
        <v>1</v>
      </c>
      <c r="AI9443">
        <v>1</v>
      </c>
      <c r="AJ9443">
        <v>1</v>
      </c>
      <c r="AK9443">
        <v>1</v>
      </c>
      <c r="AL9443">
        <v>1</v>
      </c>
      <c r="AM9443">
        <v>1</v>
      </c>
    </row>
    <row r="9444" spans="1:39" x14ac:dyDescent="0.2">
      <c r="A9444" t="str">
        <f>"9440"</f>
        <v>9440</v>
      </c>
      <c r="B9444" t="str">
        <f t="shared" si="523"/>
        <v>1</v>
      </c>
      <c r="C9444" t="str">
        <f t="shared" si="525"/>
        <v>189</v>
      </c>
      <c r="D9444" t="str">
        <f>"11"</f>
        <v>11</v>
      </c>
      <c r="E9444" t="str">
        <f>"1-189-11"</f>
        <v>1-189-11</v>
      </c>
      <c r="F9444" t="s">
        <v>65</v>
      </c>
      <c r="G9444" t="s">
        <v>66</v>
      </c>
      <c r="H9444" t="s">
        <v>67</v>
      </c>
      <c r="S9444">
        <v>0</v>
      </c>
      <c r="T9444">
        <v>1</v>
      </c>
      <c r="U9444">
        <v>0</v>
      </c>
      <c r="V9444">
        <v>0</v>
      </c>
      <c r="W9444">
        <v>0</v>
      </c>
      <c r="X9444">
        <v>1</v>
      </c>
      <c r="Y9444">
        <v>0</v>
      </c>
      <c r="Z9444">
        <v>1</v>
      </c>
      <c r="AA9444">
        <v>0</v>
      </c>
      <c r="AB9444">
        <v>1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</row>
    <row r="9445" spans="1:39" x14ac:dyDescent="0.2">
      <c r="A9445" t="str">
        <f>"9441"</f>
        <v>9441</v>
      </c>
      <c r="B9445" t="str">
        <f t="shared" si="523"/>
        <v>1</v>
      </c>
      <c r="C9445" t="str">
        <f t="shared" si="525"/>
        <v>189</v>
      </c>
      <c r="D9445" t="str">
        <f>"44"</f>
        <v>44</v>
      </c>
      <c r="E9445" t="str">
        <f>"1-189-44"</f>
        <v>1-189-44</v>
      </c>
      <c r="F9445" t="s">
        <v>65</v>
      </c>
      <c r="G9445" t="s">
        <v>66</v>
      </c>
      <c r="H9445" t="s">
        <v>67</v>
      </c>
      <c r="S9445">
        <v>1</v>
      </c>
      <c r="T9445">
        <v>0</v>
      </c>
      <c r="U9445">
        <v>0</v>
      </c>
      <c r="V9445">
        <v>0</v>
      </c>
      <c r="W9445">
        <v>1</v>
      </c>
      <c r="X9445">
        <v>0</v>
      </c>
      <c r="Y9445">
        <v>1</v>
      </c>
      <c r="Z9445">
        <v>0</v>
      </c>
      <c r="AA9445">
        <v>1</v>
      </c>
      <c r="AB9445">
        <v>0</v>
      </c>
      <c r="AC9445">
        <v>0</v>
      </c>
      <c r="AD9445">
        <v>1</v>
      </c>
      <c r="AE9445">
        <v>1</v>
      </c>
      <c r="AF9445">
        <v>1</v>
      </c>
      <c r="AG9445">
        <v>1</v>
      </c>
      <c r="AH9445">
        <v>1</v>
      </c>
      <c r="AI9445">
        <v>1</v>
      </c>
      <c r="AJ9445">
        <v>1</v>
      </c>
      <c r="AK9445">
        <v>1</v>
      </c>
      <c r="AL9445">
        <v>1</v>
      </c>
      <c r="AM9445">
        <v>1</v>
      </c>
    </row>
    <row r="9446" spans="1:39" x14ac:dyDescent="0.2">
      <c r="A9446" t="str">
        <f>"9442"</f>
        <v>9442</v>
      </c>
      <c r="B9446" t="str">
        <f t="shared" si="523"/>
        <v>1</v>
      </c>
      <c r="C9446" t="str">
        <f t="shared" si="525"/>
        <v>189</v>
      </c>
      <c r="D9446" t="str">
        <f>"26"</f>
        <v>26</v>
      </c>
      <c r="E9446" t="str">
        <f>"1-189-26"</f>
        <v>1-189-26</v>
      </c>
      <c r="F9446" t="s">
        <v>65</v>
      </c>
      <c r="G9446" t="s">
        <v>66</v>
      </c>
      <c r="H9446" t="s">
        <v>67</v>
      </c>
      <c r="S9446">
        <v>0</v>
      </c>
      <c r="T9446">
        <v>1</v>
      </c>
      <c r="U9446">
        <v>0</v>
      </c>
      <c r="V9446">
        <v>0</v>
      </c>
      <c r="W9446">
        <v>0</v>
      </c>
      <c r="X9446">
        <v>1</v>
      </c>
      <c r="Y9446">
        <v>0</v>
      </c>
      <c r="Z9446">
        <v>1</v>
      </c>
      <c r="AA9446">
        <v>0</v>
      </c>
      <c r="AB9446">
        <v>0</v>
      </c>
      <c r="AC9446">
        <v>1</v>
      </c>
      <c r="AD9446">
        <v>1</v>
      </c>
      <c r="AE9446">
        <v>1</v>
      </c>
      <c r="AF9446">
        <v>1</v>
      </c>
      <c r="AG9446">
        <v>0</v>
      </c>
      <c r="AH9446">
        <v>1</v>
      </c>
      <c r="AI9446">
        <v>1</v>
      </c>
      <c r="AJ9446">
        <v>1</v>
      </c>
      <c r="AK9446">
        <v>1</v>
      </c>
      <c r="AL9446">
        <v>1</v>
      </c>
      <c r="AM9446">
        <v>1</v>
      </c>
    </row>
    <row r="9447" spans="1:39" x14ac:dyDescent="0.2">
      <c r="A9447" t="str">
        <f>"9443"</f>
        <v>9443</v>
      </c>
      <c r="B9447" t="str">
        <f t="shared" si="523"/>
        <v>1</v>
      </c>
      <c r="C9447" t="str">
        <f t="shared" si="525"/>
        <v>189</v>
      </c>
      <c r="D9447" t="str">
        <f>"5"</f>
        <v>5</v>
      </c>
      <c r="E9447" t="str">
        <f>"1-189-5"</f>
        <v>1-189-5</v>
      </c>
      <c r="F9447" t="s">
        <v>65</v>
      </c>
      <c r="G9447" t="s">
        <v>66</v>
      </c>
      <c r="H9447" t="s">
        <v>67</v>
      </c>
      <c r="S9447">
        <v>1</v>
      </c>
      <c r="T9447">
        <v>0</v>
      </c>
      <c r="U9447">
        <v>0</v>
      </c>
      <c r="V9447">
        <v>0</v>
      </c>
      <c r="W9447">
        <v>1</v>
      </c>
      <c r="X9447">
        <v>0</v>
      </c>
      <c r="Y9447">
        <v>1</v>
      </c>
      <c r="Z9447">
        <v>0</v>
      </c>
      <c r="AA9447">
        <v>1</v>
      </c>
      <c r="AB9447">
        <v>0</v>
      </c>
      <c r="AC9447">
        <v>0</v>
      </c>
      <c r="AD9447">
        <v>1</v>
      </c>
      <c r="AE9447">
        <v>1</v>
      </c>
      <c r="AF9447">
        <v>1</v>
      </c>
      <c r="AG9447">
        <v>1</v>
      </c>
      <c r="AH9447">
        <v>1</v>
      </c>
      <c r="AI9447">
        <v>1</v>
      </c>
      <c r="AJ9447">
        <v>1</v>
      </c>
      <c r="AK9447">
        <v>1</v>
      </c>
      <c r="AL9447">
        <v>1</v>
      </c>
      <c r="AM9447">
        <v>1</v>
      </c>
    </row>
    <row r="9448" spans="1:39" x14ac:dyDescent="0.2">
      <c r="A9448" t="str">
        <f>"9444"</f>
        <v>9444</v>
      </c>
      <c r="B9448" t="str">
        <f t="shared" si="523"/>
        <v>1</v>
      </c>
      <c r="C9448" t="str">
        <f t="shared" si="525"/>
        <v>189</v>
      </c>
      <c r="D9448" t="str">
        <f>"46"</f>
        <v>46</v>
      </c>
      <c r="E9448" t="str">
        <f>"1-189-46"</f>
        <v>1-189-46</v>
      </c>
      <c r="F9448" t="s">
        <v>65</v>
      </c>
      <c r="G9448" t="s">
        <v>66</v>
      </c>
      <c r="H9448" t="s">
        <v>67</v>
      </c>
      <c r="S9448">
        <v>0</v>
      </c>
      <c r="T9448">
        <v>0</v>
      </c>
      <c r="U9448">
        <v>0</v>
      </c>
      <c r="V9448">
        <v>0</v>
      </c>
      <c r="W9448">
        <v>1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1</v>
      </c>
      <c r="AE9448">
        <v>1</v>
      </c>
      <c r="AF9448">
        <v>1</v>
      </c>
      <c r="AG9448">
        <v>1</v>
      </c>
      <c r="AH9448">
        <v>1</v>
      </c>
      <c r="AI9448">
        <v>1</v>
      </c>
      <c r="AJ9448">
        <v>1</v>
      </c>
      <c r="AK9448">
        <v>1</v>
      </c>
      <c r="AL9448">
        <v>1</v>
      </c>
      <c r="AM9448">
        <v>1</v>
      </c>
    </row>
    <row r="9449" spans="1:39" x14ac:dyDescent="0.2">
      <c r="A9449" t="str">
        <f>"9445"</f>
        <v>9445</v>
      </c>
      <c r="B9449" t="str">
        <f t="shared" si="523"/>
        <v>1</v>
      </c>
      <c r="C9449" t="str">
        <f t="shared" si="525"/>
        <v>189</v>
      </c>
      <c r="D9449" t="str">
        <f>"28"</f>
        <v>28</v>
      </c>
      <c r="E9449" t="str">
        <f>"1-189-28"</f>
        <v>1-189-28</v>
      </c>
      <c r="F9449" t="s">
        <v>65</v>
      </c>
      <c r="G9449" t="s">
        <v>66</v>
      </c>
      <c r="H9449" t="s">
        <v>67</v>
      </c>
      <c r="S9449">
        <v>0</v>
      </c>
      <c r="T9449">
        <v>1</v>
      </c>
      <c r="U9449">
        <v>0</v>
      </c>
      <c r="V9449">
        <v>0</v>
      </c>
      <c r="W9449">
        <v>1</v>
      </c>
      <c r="X9449">
        <v>0</v>
      </c>
      <c r="Y9449">
        <v>1</v>
      </c>
      <c r="Z9449">
        <v>0</v>
      </c>
      <c r="AA9449">
        <v>0</v>
      </c>
      <c r="AB9449">
        <v>1</v>
      </c>
      <c r="AC9449">
        <v>0</v>
      </c>
      <c r="AD9449">
        <v>1</v>
      </c>
      <c r="AE9449">
        <v>1</v>
      </c>
      <c r="AF9449">
        <v>1</v>
      </c>
      <c r="AG9449">
        <v>1</v>
      </c>
      <c r="AH9449">
        <v>1</v>
      </c>
      <c r="AI9449">
        <v>1</v>
      </c>
      <c r="AJ9449">
        <v>1</v>
      </c>
      <c r="AK9449">
        <v>1</v>
      </c>
      <c r="AL9449">
        <v>1</v>
      </c>
      <c r="AM9449">
        <v>1</v>
      </c>
    </row>
    <row r="9450" spans="1:39" x14ac:dyDescent="0.2">
      <c r="A9450" t="str">
        <f>"9446"</f>
        <v>9446</v>
      </c>
      <c r="B9450" t="str">
        <f t="shared" si="523"/>
        <v>1</v>
      </c>
      <c r="C9450" t="str">
        <f t="shared" si="525"/>
        <v>189</v>
      </c>
      <c r="D9450" t="str">
        <f>"13"</f>
        <v>13</v>
      </c>
      <c r="E9450" t="str">
        <f>"1-189-13"</f>
        <v>1-189-13</v>
      </c>
      <c r="F9450" t="s">
        <v>65</v>
      </c>
      <c r="G9450" t="s">
        <v>66</v>
      </c>
      <c r="H9450" t="s">
        <v>67</v>
      </c>
      <c r="S9450">
        <v>1</v>
      </c>
      <c r="T9450">
        <v>0</v>
      </c>
      <c r="U9450">
        <v>0</v>
      </c>
      <c r="V9450">
        <v>0</v>
      </c>
      <c r="W9450">
        <v>1</v>
      </c>
      <c r="X9450">
        <v>0</v>
      </c>
      <c r="Y9450">
        <v>1</v>
      </c>
      <c r="Z9450">
        <v>0</v>
      </c>
      <c r="AA9450">
        <v>1</v>
      </c>
      <c r="AB9450">
        <v>0</v>
      </c>
      <c r="AC9450">
        <v>0</v>
      </c>
      <c r="AD9450">
        <v>1</v>
      </c>
      <c r="AE9450">
        <v>1</v>
      </c>
      <c r="AF9450">
        <v>1</v>
      </c>
      <c r="AG9450">
        <v>1</v>
      </c>
      <c r="AH9450">
        <v>1</v>
      </c>
      <c r="AI9450">
        <v>1</v>
      </c>
      <c r="AJ9450">
        <v>1</v>
      </c>
      <c r="AK9450">
        <v>1</v>
      </c>
      <c r="AL9450">
        <v>1</v>
      </c>
      <c r="AM9450">
        <v>1</v>
      </c>
    </row>
    <row r="9451" spans="1:39" x14ac:dyDescent="0.2">
      <c r="A9451" t="str">
        <f>"9447"</f>
        <v>9447</v>
      </c>
      <c r="B9451" t="str">
        <f t="shared" si="523"/>
        <v>1</v>
      </c>
      <c r="C9451" t="str">
        <f t="shared" si="525"/>
        <v>189</v>
      </c>
      <c r="D9451" t="str">
        <f>"48"</f>
        <v>48</v>
      </c>
      <c r="E9451" t="str">
        <f>"1-189-48"</f>
        <v>1-189-48</v>
      </c>
      <c r="F9451" t="s">
        <v>65</v>
      </c>
      <c r="G9451" t="s">
        <v>66</v>
      </c>
      <c r="H9451" t="s">
        <v>67</v>
      </c>
      <c r="S9451">
        <v>1</v>
      </c>
      <c r="T9451">
        <v>0</v>
      </c>
      <c r="U9451">
        <v>0</v>
      </c>
      <c r="V9451">
        <v>0</v>
      </c>
      <c r="W9451">
        <v>1</v>
      </c>
      <c r="X9451">
        <v>0</v>
      </c>
      <c r="Y9451">
        <v>1</v>
      </c>
      <c r="Z9451">
        <v>0</v>
      </c>
      <c r="AA9451">
        <v>0</v>
      </c>
      <c r="AB9451">
        <v>1</v>
      </c>
      <c r="AC9451">
        <v>0</v>
      </c>
      <c r="AD9451">
        <v>1</v>
      </c>
      <c r="AE9451">
        <v>1</v>
      </c>
      <c r="AF9451">
        <v>1</v>
      </c>
      <c r="AG9451">
        <v>1</v>
      </c>
      <c r="AH9451">
        <v>1</v>
      </c>
      <c r="AI9451">
        <v>1</v>
      </c>
      <c r="AJ9451">
        <v>1</v>
      </c>
      <c r="AK9451">
        <v>1</v>
      </c>
      <c r="AL9451">
        <v>1</v>
      </c>
      <c r="AM9451">
        <v>1</v>
      </c>
    </row>
    <row r="9452" spans="1:39" x14ac:dyDescent="0.2">
      <c r="A9452" t="str">
        <f>"9448"</f>
        <v>9448</v>
      </c>
      <c r="B9452" t="str">
        <f t="shared" si="523"/>
        <v>1</v>
      </c>
      <c r="C9452" t="str">
        <f t="shared" si="525"/>
        <v>189</v>
      </c>
      <c r="D9452" t="str">
        <f>"30"</f>
        <v>30</v>
      </c>
      <c r="E9452" t="str">
        <f>"1-189-30"</f>
        <v>1-189-30</v>
      </c>
      <c r="F9452" t="s">
        <v>65</v>
      </c>
      <c r="G9452" t="s">
        <v>66</v>
      </c>
      <c r="H9452" t="s">
        <v>67</v>
      </c>
      <c r="S9452">
        <v>1</v>
      </c>
      <c r="T9452">
        <v>0</v>
      </c>
      <c r="U9452">
        <v>0</v>
      </c>
      <c r="V9452">
        <v>0</v>
      </c>
      <c r="W9452">
        <v>1</v>
      </c>
      <c r="X9452">
        <v>0</v>
      </c>
      <c r="Y9452">
        <v>0</v>
      </c>
      <c r="Z9452">
        <v>1</v>
      </c>
      <c r="AA9452">
        <v>1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</row>
    <row r="9453" spans="1:39" x14ac:dyDescent="0.2">
      <c r="A9453" t="str">
        <f>"9449"</f>
        <v>9449</v>
      </c>
      <c r="B9453" t="str">
        <f t="shared" si="523"/>
        <v>1</v>
      </c>
      <c r="C9453" t="str">
        <f t="shared" si="525"/>
        <v>189</v>
      </c>
      <c r="D9453" t="str">
        <f>"14"</f>
        <v>14</v>
      </c>
      <c r="E9453" t="str">
        <f>"1-189-14"</f>
        <v>1-189-14</v>
      </c>
      <c r="F9453" t="s">
        <v>65</v>
      </c>
      <c r="G9453" t="s">
        <v>66</v>
      </c>
      <c r="H9453" t="s">
        <v>67</v>
      </c>
      <c r="S9453">
        <v>1</v>
      </c>
      <c r="T9453">
        <v>0</v>
      </c>
      <c r="U9453">
        <v>0</v>
      </c>
      <c r="V9453">
        <v>0</v>
      </c>
      <c r="W9453">
        <v>1</v>
      </c>
      <c r="X9453">
        <v>0</v>
      </c>
      <c r="Y9453">
        <v>1</v>
      </c>
      <c r="Z9453">
        <v>0</v>
      </c>
      <c r="AA9453">
        <v>1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</row>
    <row r="9454" spans="1:39" x14ac:dyDescent="0.2">
      <c r="A9454" t="str">
        <f>"9450"</f>
        <v>9450</v>
      </c>
      <c r="B9454" t="str">
        <f t="shared" si="523"/>
        <v>1</v>
      </c>
      <c r="C9454" t="str">
        <f t="shared" si="525"/>
        <v>189</v>
      </c>
      <c r="D9454" t="str">
        <f>"19"</f>
        <v>19</v>
      </c>
      <c r="E9454" t="str">
        <f>"1-189-19"</f>
        <v>1-189-19</v>
      </c>
      <c r="F9454" t="s">
        <v>65</v>
      </c>
      <c r="G9454" t="s">
        <v>66</v>
      </c>
      <c r="H9454" t="s">
        <v>67</v>
      </c>
      <c r="S9454">
        <v>1</v>
      </c>
      <c r="T9454">
        <v>0</v>
      </c>
      <c r="U9454">
        <v>0</v>
      </c>
      <c r="V9454">
        <v>0</v>
      </c>
      <c r="W9454">
        <v>1</v>
      </c>
      <c r="X9454">
        <v>0</v>
      </c>
      <c r="Y9454">
        <v>1</v>
      </c>
      <c r="Z9454">
        <v>0</v>
      </c>
      <c r="AA9454">
        <v>1</v>
      </c>
      <c r="AB9454">
        <v>0</v>
      </c>
      <c r="AC9454">
        <v>0</v>
      </c>
      <c r="AD9454">
        <v>1</v>
      </c>
      <c r="AE9454">
        <v>1</v>
      </c>
      <c r="AF9454">
        <v>1</v>
      </c>
      <c r="AG9454">
        <v>1</v>
      </c>
      <c r="AH9454">
        <v>1</v>
      </c>
      <c r="AI9454">
        <v>1</v>
      </c>
      <c r="AJ9454">
        <v>1</v>
      </c>
      <c r="AK9454">
        <v>1</v>
      </c>
      <c r="AL9454">
        <v>1</v>
      </c>
      <c r="AM9454">
        <v>1</v>
      </c>
    </row>
    <row r="9455" spans="1:39" x14ac:dyDescent="0.2">
      <c r="A9455" t="str">
        <f>"9451"</f>
        <v>9451</v>
      </c>
      <c r="B9455" t="str">
        <f t="shared" si="523"/>
        <v>1</v>
      </c>
      <c r="C9455" t="str">
        <f t="shared" ref="C9455:C9486" si="526">"190"</f>
        <v>190</v>
      </c>
      <c r="D9455" t="str">
        <f>"37"</f>
        <v>37</v>
      </c>
      <c r="E9455" t="str">
        <f>"1-190-37"</f>
        <v>1-190-37</v>
      </c>
      <c r="F9455" t="s">
        <v>65</v>
      </c>
      <c r="G9455" t="s">
        <v>66</v>
      </c>
      <c r="H9455" t="s">
        <v>67</v>
      </c>
      <c r="S9455">
        <v>1</v>
      </c>
      <c r="T9455">
        <v>0</v>
      </c>
      <c r="U9455">
        <v>0</v>
      </c>
      <c r="V9455">
        <v>0</v>
      </c>
      <c r="W9455">
        <v>1</v>
      </c>
      <c r="X9455">
        <v>0</v>
      </c>
      <c r="Y9455">
        <v>1</v>
      </c>
      <c r="Z9455">
        <v>0</v>
      </c>
      <c r="AA9455">
        <v>1</v>
      </c>
      <c r="AB9455">
        <v>0</v>
      </c>
      <c r="AC9455">
        <v>0</v>
      </c>
      <c r="AD9455">
        <v>1</v>
      </c>
      <c r="AE9455">
        <v>1</v>
      </c>
      <c r="AF9455">
        <v>1</v>
      </c>
      <c r="AG9455">
        <v>1</v>
      </c>
      <c r="AH9455">
        <v>1</v>
      </c>
      <c r="AI9455">
        <v>1</v>
      </c>
      <c r="AJ9455">
        <v>1</v>
      </c>
      <c r="AK9455">
        <v>1</v>
      </c>
      <c r="AL9455">
        <v>1</v>
      </c>
      <c r="AM9455">
        <v>1</v>
      </c>
    </row>
    <row r="9456" spans="1:39" x14ac:dyDescent="0.2">
      <c r="A9456" t="str">
        <f>"9452"</f>
        <v>9452</v>
      </c>
      <c r="B9456" t="str">
        <f t="shared" si="523"/>
        <v>1</v>
      </c>
      <c r="C9456" t="str">
        <f t="shared" si="526"/>
        <v>190</v>
      </c>
      <c r="D9456" t="str">
        <f>"25"</f>
        <v>25</v>
      </c>
      <c r="E9456" t="str">
        <f>"1-190-25"</f>
        <v>1-190-25</v>
      </c>
      <c r="F9456" t="s">
        <v>65</v>
      </c>
      <c r="G9456" t="s">
        <v>66</v>
      </c>
      <c r="H9456" t="s">
        <v>67</v>
      </c>
      <c r="S9456">
        <v>1</v>
      </c>
      <c r="T9456">
        <v>0</v>
      </c>
      <c r="U9456">
        <v>0</v>
      </c>
      <c r="V9456">
        <v>0</v>
      </c>
      <c r="W9456">
        <v>1</v>
      </c>
      <c r="X9456">
        <v>0</v>
      </c>
      <c r="Y9456">
        <v>1</v>
      </c>
      <c r="Z9456">
        <v>0</v>
      </c>
      <c r="AA9456">
        <v>1</v>
      </c>
      <c r="AB9456">
        <v>0</v>
      </c>
      <c r="AC9456">
        <v>0</v>
      </c>
      <c r="AD9456">
        <v>1</v>
      </c>
      <c r="AE9456">
        <v>1</v>
      </c>
      <c r="AF9456">
        <v>1</v>
      </c>
      <c r="AG9456">
        <v>1</v>
      </c>
      <c r="AH9456">
        <v>1</v>
      </c>
      <c r="AI9456">
        <v>1</v>
      </c>
      <c r="AJ9456">
        <v>1</v>
      </c>
      <c r="AK9456">
        <v>1</v>
      </c>
      <c r="AL9456">
        <v>1</v>
      </c>
      <c r="AM9456">
        <v>1</v>
      </c>
    </row>
    <row r="9457" spans="1:39" x14ac:dyDescent="0.2">
      <c r="A9457" t="str">
        <f>"9453"</f>
        <v>9453</v>
      </c>
      <c r="B9457" t="str">
        <f t="shared" si="523"/>
        <v>1</v>
      </c>
      <c r="C9457" t="str">
        <f t="shared" si="526"/>
        <v>190</v>
      </c>
      <c r="D9457" t="str">
        <f>"15"</f>
        <v>15</v>
      </c>
      <c r="E9457" t="str">
        <f>"1-190-15"</f>
        <v>1-190-15</v>
      </c>
      <c r="F9457" t="s">
        <v>65</v>
      </c>
      <c r="G9457" t="s">
        <v>66</v>
      </c>
      <c r="H9457" t="s">
        <v>67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1</v>
      </c>
      <c r="Y9457">
        <v>0</v>
      </c>
      <c r="Z9457">
        <v>1</v>
      </c>
      <c r="AA9457">
        <v>0</v>
      </c>
      <c r="AB9457">
        <v>1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</row>
    <row r="9458" spans="1:39" x14ac:dyDescent="0.2">
      <c r="A9458" t="str">
        <f>"9454"</f>
        <v>9454</v>
      </c>
      <c r="B9458" t="str">
        <f t="shared" si="523"/>
        <v>1</v>
      </c>
      <c r="C9458" t="str">
        <f t="shared" si="526"/>
        <v>190</v>
      </c>
      <c r="D9458" t="str">
        <f>"1"</f>
        <v>1</v>
      </c>
      <c r="E9458" t="str">
        <f>"1-190-1"</f>
        <v>1-190-1</v>
      </c>
      <c r="F9458" t="s">
        <v>65</v>
      </c>
      <c r="G9458" t="s">
        <v>66</v>
      </c>
      <c r="H9458" t="s">
        <v>67</v>
      </c>
      <c r="S9458">
        <v>1</v>
      </c>
      <c r="T9458">
        <v>0</v>
      </c>
      <c r="U9458">
        <v>0</v>
      </c>
      <c r="V9458">
        <v>0</v>
      </c>
      <c r="W9458">
        <v>0</v>
      </c>
      <c r="X9458">
        <v>1</v>
      </c>
      <c r="Y9458">
        <v>1</v>
      </c>
      <c r="Z9458">
        <v>0</v>
      </c>
      <c r="AA9458">
        <v>1</v>
      </c>
      <c r="AB9458">
        <v>0</v>
      </c>
      <c r="AC9458">
        <v>0</v>
      </c>
      <c r="AD9458">
        <v>1</v>
      </c>
      <c r="AE9458">
        <v>1</v>
      </c>
      <c r="AF9458">
        <v>1</v>
      </c>
      <c r="AG9458">
        <v>1</v>
      </c>
      <c r="AH9458">
        <v>1</v>
      </c>
      <c r="AI9458">
        <v>1</v>
      </c>
      <c r="AJ9458">
        <v>1</v>
      </c>
      <c r="AK9458">
        <v>1</v>
      </c>
      <c r="AL9458">
        <v>1</v>
      </c>
      <c r="AM9458">
        <v>1</v>
      </c>
    </row>
    <row r="9459" spans="1:39" x14ac:dyDescent="0.2">
      <c r="A9459" t="str">
        <f>"9455"</f>
        <v>9455</v>
      </c>
      <c r="B9459" t="str">
        <f t="shared" si="523"/>
        <v>1</v>
      </c>
      <c r="C9459" t="str">
        <f t="shared" si="526"/>
        <v>190</v>
      </c>
      <c r="D9459" t="str">
        <f>"40"</f>
        <v>40</v>
      </c>
      <c r="E9459" t="str">
        <f>"1-190-40"</f>
        <v>1-190-40</v>
      </c>
      <c r="F9459" t="s">
        <v>65</v>
      </c>
      <c r="G9459" t="s">
        <v>66</v>
      </c>
      <c r="H9459" t="s">
        <v>67</v>
      </c>
      <c r="S9459">
        <v>1</v>
      </c>
      <c r="T9459">
        <v>0</v>
      </c>
      <c r="U9459">
        <v>0</v>
      </c>
      <c r="V9459">
        <v>0</v>
      </c>
      <c r="W9459">
        <v>1</v>
      </c>
      <c r="X9459">
        <v>0</v>
      </c>
      <c r="Y9459">
        <v>0</v>
      </c>
      <c r="Z9459">
        <v>1</v>
      </c>
      <c r="AA9459">
        <v>1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1</v>
      </c>
      <c r="AI9459">
        <v>1</v>
      </c>
      <c r="AJ9459">
        <v>1</v>
      </c>
      <c r="AK9459">
        <v>1</v>
      </c>
      <c r="AL9459">
        <v>1</v>
      </c>
      <c r="AM9459">
        <v>1</v>
      </c>
    </row>
    <row r="9460" spans="1:39" x14ac:dyDescent="0.2">
      <c r="A9460" t="str">
        <f>"9456"</f>
        <v>9456</v>
      </c>
      <c r="B9460" t="str">
        <f t="shared" si="523"/>
        <v>1</v>
      </c>
      <c r="C9460" t="str">
        <f t="shared" si="526"/>
        <v>190</v>
      </c>
      <c r="D9460" t="str">
        <f>"39"</f>
        <v>39</v>
      </c>
      <c r="E9460" t="str">
        <f>"1-190-39"</f>
        <v>1-190-39</v>
      </c>
      <c r="F9460" t="s">
        <v>65</v>
      </c>
      <c r="G9460" t="s">
        <v>66</v>
      </c>
      <c r="H9460" t="s">
        <v>67</v>
      </c>
      <c r="S9460">
        <v>1</v>
      </c>
      <c r="T9460">
        <v>0</v>
      </c>
      <c r="U9460">
        <v>0</v>
      </c>
      <c r="V9460">
        <v>0</v>
      </c>
      <c r="W9460">
        <v>1</v>
      </c>
      <c r="X9460">
        <v>0</v>
      </c>
      <c r="Y9460">
        <v>1</v>
      </c>
      <c r="Z9460">
        <v>0</v>
      </c>
      <c r="AA9460">
        <v>1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1</v>
      </c>
      <c r="AH9460">
        <v>1</v>
      </c>
      <c r="AI9460">
        <v>1</v>
      </c>
      <c r="AJ9460">
        <v>1</v>
      </c>
      <c r="AK9460">
        <v>1</v>
      </c>
      <c r="AL9460">
        <v>1</v>
      </c>
      <c r="AM9460">
        <v>1</v>
      </c>
    </row>
    <row r="9461" spans="1:39" x14ac:dyDescent="0.2">
      <c r="A9461" t="str">
        <f>"9457"</f>
        <v>9457</v>
      </c>
      <c r="B9461" t="str">
        <f t="shared" si="523"/>
        <v>1</v>
      </c>
      <c r="C9461" t="str">
        <f t="shared" si="526"/>
        <v>190</v>
      </c>
      <c r="D9461" t="str">
        <f>"29"</f>
        <v>29</v>
      </c>
      <c r="E9461" t="str">
        <f>"1-190-29"</f>
        <v>1-190-29</v>
      </c>
      <c r="F9461" t="s">
        <v>65</v>
      </c>
      <c r="G9461" t="s">
        <v>66</v>
      </c>
      <c r="H9461" t="s">
        <v>67</v>
      </c>
      <c r="S9461">
        <v>1</v>
      </c>
      <c r="T9461">
        <v>0</v>
      </c>
      <c r="U9461">
        <v>0</v>
      </c>
      <c r="V9461">
        <v>0</v>
      </c>
      <c r="W9461">
        <v>1</v>
      </c>
      <c r="X9461">
        <v>0</v>
      </c>
      <c r="Y9461">
        <v>1</v>
      </c>
      <c r="Z9461">
        <v>0</v>
      </c>
      <c r="AA9461">
        <v>1</v>
      </c>
      <c r="AB9461">
        <v>0</v>
      </c>
      <c r="AC9461">
        <v>0</v>
      </c>
      <c r="AD9461">
        <v>1</v>
      </c>
      <c r="AE9461">
        <v>1</v>
      </c>
      <c r="AF9461">
        <v>1</v>
      </c>
      <c r="AG9461">
        <v>1</v>
      </c>
      <c r="AH9461">
        <v>1</v>
      </c>
      <c r="AI9461">
        <v>1</v>
      </c>
      <c r="AJ9461">
        <v>1</v>
      </c>
      <c r="AK9461">
        <v>1</v>
      </c>
      <c r="AL9461">
        <v>1</v>
      </c>
      <c r="AM9461">
        <v>1</v>
      </c>
    </row>
    <row r="9462" spans="1:39" x14ac:dyDescent="0.2">
      <c r="A9462" t="str">
        <f>"9458"</f>
        <v>9458</v>
      </c>
      <c r="B9462" t="str">
        <f t="shared" si="523"/>
        <v>1</v>
      </c>
      <c r="C9462" t="str">
        <f t="shared" si="526"/>
        <v>190</v>
      </c>
      <c r="D9462" t="str">
        <f>"16"</f>
        <v>16</v>
      </c>
      <c r="E9462" t="str">
        <f>"1-190-16"</f>
        <v>1-190-16</v>
      </c>
      <c r="F9462" t="s">
        <v>65</v>
      </c>
      <c r="G9462" t="s">
        <v>66</v>
      </c>
      <c r="H9462" t="s">
        <v>67</v>
      </c>
      <c r="S9462">
        <v>1</v>
      </c>
      <c r="T9462">
        <v>0</v>
      </c>
      <c r="U9462">
        <v>0</v>
      </c>
      <c r="V9462">
        <v>0</v>
      </c>
      <c r="W9462">
        <v>1</v>
      </c>
      <c r="X9462">
        <v>0</v>
      </c>
      <c r="Y9462">
        <v>1</v>
      </c>
      <c r="Z9462">
        <v>0</v>
      </c>
      <c r="AA9462">
        <v>1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1</v>
      </c>
      <c r="AH9462">
        <v>1</v>
      </c>
      <c r="AI9462">
        <v>1</v>
      </c>
      <c r="AJ9462">
        <v>1</v>
      </c>
      <c r="AK9462">
        <v>0</v>
      </c>
      <c r="AL9462">
        <v>0</v>
      </c>
      <c r="AM9462">
        <v>1</v>
      </c>
    </row>
    <row r="9463" spans="1:39" x14ac:dyDescent="0.2">
      <c r="A9463" t="str">
        <f>"9459"</f>
        <v>9459</v>
      </c>
      <c r="B9463" t="str">
        <f t="shared" ref="B9463:B9526" si="527">"1"</f>
        <v>1</v>
      </c>
      <c r="C9463" t="str">
        <f t="shared" si="526"/>
        <v>190</v>
      </c>
      <c r="D9463" t="str">
        <f>"2"</f>
        <v>2</v>
      </c>
      <c r="E9463" t="str">
        <f>"1-190-2"</f>
        <v>1-190-2</v>
      </c>
      <c r="F9463" t="s">
        <v>65</v>
      </c>
      <c r="G9463" t="s">
        <v>66</v>
      </c>
      <c r="H9463" t="s">
        <v>67</v>
      </c>
      <c r="S9463">
        <v>0</v>
      </c>
      <c r="T9463">
        <v>1</v>
      </c>
      <c r="U9463">
        <v>0</v>
      </c>
      <c r="V9463">
        <v>0</v>
      </c>
      <c r="W9463">
        <v>0</v>
      </c>
      <c r="X9463">
        <v>1</v>
      </c>
      <c r="Y9463">
        <v>0</v>
      </c>
      <c r="Z9463">
        <v>1</v>
      </c>
      <c r="AA9463">
        <v>0</v>
      </c>
      <c r="AB9463">
        <v>1</v>
      </c>
      <c r="AC9463">
        <v>0</v>
      </c>
      <c r="AD9463">
        <v>1</v>
      </c>
      <c r="AE9463">
        <v>1</v>
      </c>
      <c r="AF9463">
        <v>1</v>
      </c>
      <c r="AG9463">
        <v>0</v>
      </c>
      <c r="AH9463">
        <v>1</v>
      </c>
      <c r="AI9463">
        <v>1</v>
      </c>
      <c r="AJ9463">
        <v>1</v>
      </c>
      <c r="AK9463">
        <v>1</v>
      </c>
      <c r="AL9463">
        <v>1</v>
      </c>
      <c r="AM9463">
        <v>1</v>
      </c>
    </row>
    <row r="9464" spans="1:39" x14ac:dyDescent="0.2">
      <c r="A9464" t="str">
        <f>"9460"</f>
        <v>9460</v>
      </c>
      <c r="B9464" t="str">
        <f t="shared" si="527"/>
        <v>1</v>
      </c>
      <c r="C9464" t="str">
        <f t="shared" si="526"/>
        <v>190</v>
      </c>
      <c r="D9464" t="str">
        <f>"42"</f>
        <v>42</v>
      </c>
      <c r="E9464" t="str">
        <f>"1-190-42"</f>
        <v>1-190-42</v>
      </c>
      <c r="F9464" t="s">
        <v>65</v>
      </c>
      <c r="G9464" t="s">
        <v>66</v>
      </c>
      <c r="H9464" t="s">
        <v>67</v>
      </c>
      <c r="S9464">
        <v>1</v>
      </c>
      <c r="T9464">
        <v>0</v>
      </c>
      <c r="U9464">
        <v>0</v>
      </c>
      <c r="V9464">
        <v>0</v>
      </c>
      <c r="W9464">
        <v>1</v>
      </c>
      <c r="X9464">
        <v>0</v>
      </c>
      <c r="Y9464">
        <v>1</v>
      </c>
      <c r="Z9464">
        <v>0</v>
      </c>
      <c r="AA9464">
        <v>0</v>
      </c>
      <c r="AB9464">
        <v>0</v>
      </c>
      <c r="AC9464">
        <v>1</v>
      </c>
      <c r="AD9464">
        <v>1</v>
      </c>
      <c r="AE9464">
        <v>1</v>
      </c>
      <c r="AF9464">
        <v>1</v>
      </c>
      <c r="AG9464">
        <v>1</v>
      </c>
      <c r="AH9464">
        <v>1</v>
      </c>
      <c r="AI9464">
        <v>1</v>
      </c>
      <c r="AJ9464">
        <v>1</v>
      </c>
      <c r="AK9464">
        <v>1</v>
      </c>
      <c r="AL9464">
        <v>1</v>
      </c>
      <c r="AM9464">
        <v>1</v>
      </c>
    </row>
    <row r="9465" spans="1:39" x14ac:dyDescent="0.2">
      <c r="A9465" t="str">
        <f>"9461"</f>
        <v>9461</v>
      </c>
      <c r="B9465" t="str">
        <f t="shared" si="527"/>
        <v>1</v>
      </c>
      <c r="C9465" t="str">
        <f t="shared" si="526"/>
        <v>190</v>
      </c>
      <c r="D9465" t="str">
        <f>"41"</f>
        <v>41</v>
      </c>
      <c r="E9465" t="str">
        <f>"1-190-41"</f>
        <v>1-190-41</v>
      </c>
      <c r="F9465" t="s">
        <v>65</v>
      </c>
      <c r="G9465" t="s">
        <v>66</v>
      </c>
      <c r="H9465" t="s">
        <v>67</v>
      </c>
      <c r="S9465">
        <v>1</v>
      </c>
      <c r="T9465">
        <v>0</v>
      </c>
      <c r="U9465">
        <v>0</v>
      </c>
      <c r="V9465">
        <v>0</v>
      </c>
      <c r="W9465">
        <v>1</v>
      </c>
      <c r="X9465">
        <v>0</v>
      </c>
      <c r="Y9465">
        <v>0</v>
      </c>
      <c r="Z9465">
        <v>1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1</v>
      </c>
      <c r="AI9465">
        <v>1</v>
      </c>
      <c r="AJ9465">
        <v>0</v>
      </c>
      <c r="AK9465">
        <v>0</v>
      </c>
      <c r="AL9465">
        <v>0</v>
      </c>
      <c r="AM9465">
        <v>0</v>
      </c>
    </row>
    <row r="9466" spans="1:39" x14ac:dyDescent="0.2">
      <c r="A9466" t="str">
        <f>"9462"</f>
        <v>9462</v>
      </c>
      <c r="B9466" t="str">
        <f t="shared" si="527"/>
        <v>1</v>
      </c>
      <c r="C9466" t="str">
        <f t="shared" si="526"/>
        <v>190</v>
      </c>
      <c r="D9466" t="str">
        <f>"31"</f>
        <v>31</v>
      </c>
      <c r="E9466" t="str">
        <f>"1-190-31"</f>
        <v>1-190-31</v>
      </c>
      <c r="F9466" t="s">
        <v>65</v>
      </c>
      <c r="G9466" t="s">
        <v>66</v>
      </c>
      <c r="H9466" t="s">
        <v>67</v>
      </c>
      <c r="S9466">
        <v>1</v>
      </c>
      <c r="T9466">
        <v>0</v>
      </c>
      <c r="U9466">
        <v>0</v>
      </c>
      <c r="V9466">
        <v>0</v>
      </c>
      <c r="W9466">
        <v>1</v>
      </c>
      <c r="X9466">
        <v>0</v>
      </c>
      <c r="Y9466">
        <v>1</v>
      </c>
      <c r="Z9466">
        <v>0</v>
      </c>
      <c r="AA9466">
        <v>0</v>
      </c>
      <c r="AB9466">
        <v>0</v>
      </c>
      <c r="AC9466">
        <v>0</v>
      </c>
      <c r="AD9466">
        <v>1</v>
      </c>
      <c r="AE9466">
        <v>1</v>
      </c>
      <c r="AF9466">
        <v>1</v>
      </c>
      <c r="AG9466">
        <v>1</v>
      </c>
      <c r="AH9466">
        <v>1</v>
      </c>
      <c r="AI9466">
        <v>1</v>
      </c>
      <c r="AJ9466">
        <v>1</v>
      </c>
      <c r="AK9466">
        <v>1</v>
      </c>
      <c r="AL9466">
        <v>1</v>
      </c>
      <c r="AM9466">
        <v>1</v>
      </c>
    </row>
    <row r="9467" spans="1:39" x14ac:dyDescent="0.2">
      <c r="A9467" t="str">
        <f>"9463"</f>
        <v>9463</v>
      </c>
      <c r="B9467" t="str">
        <f t="shared" si="527"/>
        <v>1</v>
      </c>
      <c r="C9467" t="str">
        <f t="shared" si="526"/>
        <v>190</v>
      </c>
      <c r="D9467" t="str">
        <f>"17"</f>
        <v>17</v>
      </c>
      <c r="E9467" t="str">
        <f>"1-190-17"</f>
        <v>1-190-17</v>
      </c>
      <c r="F9467" t="s">
        <v>65</v>
      </c>
      <c r="G9467" t="s">
        <v>66</v>
      </c>
      <c r="H9467" t="s">
        <v>67</v>
      </c>
      <c r="S9467">
        <v>1</v>
      </c>
      <c r="T9467">
        <v>0</v>
      </c>
      <c r="U9467">
        <v>0</v>
      </c>
      <c r="V9467">
        <v>0</v>
      </c>
      <c r="W9467">
        <v>1</v>
      </c>
      <c r="X9467">
        <v>0</v>
      </c>
      <c r="Y9467">
        <v>1</v>
      </c>
      <c r="Z9467">
        <v>0</v>
      </c>
      <c r="AA9467">
        <v>1</v>
      </c>
      <c r="AB9467">
        <v>0</v>
      </c>
      <c r="AC9467">
        <v>0</v>
      </c>
      <c r="AD9467">
        <v>1</v>
      </c>
      <c r="AE9467">
        <v>1</v>
      </c>
      <c r="AF9467">
        <v>1</v>
      </c>
      <c r="AG9467">
        <v>1</v>
      </c>
      <c r="AH9467">
        <v>1</v>
      </c>
      <c r="AI9467">
        <v>1</v>
      </c>
      <c r="AJ9467">
        <v>1</v>
      </c>
      <c r="AK9467">
        <v>1</v>
      </c>
      <c r="AL9467">
        <v>1</v>
      </c>
      <c r="AM9467">
        <v>1</v>
      </c>
    </row>
    <row r="9468" spans="1:39" x14ac:dyDescent="0.2">
      <c r="A9468" t="str">
        <f>"9464"</f>
        <v>9464</v>
      </c>
      <c r="B9468" t="str">
        <f t="shared" si="527"/>
        <v>1</v>
      </c>
      <c r="C9468" t="str">
        <f t="shared" si="526"/>
        <v>190</v>
      </c>
      <c r="D9468" t="str">
        <f>"10"</f>
        <v>10</v>
      </c>
      <c r="E9468" t="str">
        <f>"1-190-10"</f>
        <v>1-190-10</v>
      </c>
      <c r="F9468" t="s">
        <v>65</v>
      </c>
      <c r="G9468" t="s">
        <v>66</v>
      </c>
      <c r="H9468" t="s">
        <v>67</v>
      </c>
      <c r="S9468">
        <v>1</v>
      </c>
      <c r="T9468">
        <v>0</v>
      </c>
      <c r="U9468">
        <v>0</v>
      </c>
      <c r="V9468">
        <v>0</v>
      </c>
      <c r="W9468">
        <v>0</v>
      </c>
      <c r="X9468">
        <v>1</v>
      </c>
      <c r="Y9468">
        <v>1</v>
      </c>
      <c r="Z9468">
        <v>0</v>
      </c>
      <c r="AA9468">
        <v>0</v>
      </c>
      <c r="AB9468">
        <v>1</v>
      </c>
      <c r="AC9468">
        <v>0</v>
      </c>
      <c r="AD9468">
        <v>1</v>
      </c>
      <c r="AE9468">
        <v>1</v>
      </c>
      <c r="AF9468">
        <v>1</v>
      </c>
      <c r="AG9468">
        <v>1</v>
      </c>
      <c r="AH9468">
        <v>1</v>
      </c>
      <c r="AI9468">
        <v>1</v>
      </c>
      <c r="AJ9468">
        <v>1</v>
      </c>
      <c r="AK9468">
        <v>1</v>
      </c>
      <c r="AL9468">
        <v>1</v>
      </c>
      <c r="AM9468">
        <v>1</v>
      </c>
    </row>
    <row r="9469" spans="1:39" x14ac:dyDescent="0.2">
      <c r="A9469" t="str">
        <f>"9465"</f>
        <v>9465</v>
      </c>
      <c r="B9469" t="str">
        <f t="shared" si="527"/>
        <v>1</v>
      </c>
      <c r="C9469" t="str">
        <f t="shared" si="526"/>
        <v>190</v>
      </c>
      <c r="D9469" t="str">
        <f>"34"</f>
        <v>34</v>
      </c>
      <c r="E9469" t="str">
        <f>"1-190-34"</f>
        <v>1-190-34</v>
      </c>
      <c r="F9469" t="s">
        <v>65</v>
      </c>
      <c r="G9469" t="s">
        <v>66</v>
      </c>
      <c r="H9469" t="s">
        <v>67</v>
      </c>
      <c r="S9469">
        <v>1</v>
      </c>
      <c r="T9469">
        <v>0</v>
      </c>
      <c r="U9469">
        <v>0</v>
      </c>
      <c r="V9469">
        <v>0</v>
      </c>
      <c r="W9469">
        <v>1</v>
      </c>
      <c r="X9469">
        <v>0</v>
      </c>
      <c r="Y9469">
        <v>1</v>
      </c>
      <c r="Z9469">
        <v>0</v>
      </c>
      <c r="AA9469">
        <v>0</v>
      </c>
      <c r="AB9469">
        <v>0</v>
      </c>
      <c r="AC9469">
        <v>0</v>
      </c>
      <c r="AD9469">
        <v>1</v>
      </c>
      <c r="AE9469">
        <v>1</v>
      </c>
      <c r="AF9469">
        <v>1</v>
      </c>
      <c r="AG9469">
        <v>1</v>
      </c>
      <c r="AH9469">
        <v>1</v>
      </c>
      <c r="AI9469">
        <v>1</v>
      </c>
      <c r="AJ9469">
        <v>1</v>
      </c>
      <c r="AK9469">
        <v>1</v>
      </c>
      <c r="AL9469">
        <v>1</v>
      </c>
      <c r="AM9469">
        <v>1</v>
      </c>
    </row>
    <row r="9470" spans="1:39" x14ac:dyDescent="0.2">
      <c r="A9470" t="str">
        <f>"9466"</f>
        <v>9466</v>
      </c>
      <c r="B9470" t="str">
        <f t="shared" si="527"/>
        <v>1</v>
      </c>
      <c r="C9470" t="str">
        <f t="shared" si="526"/>
        <v>190</v>
      </c>
      <c r="D9470" t="str">
        <f>"33"</f>
        <v>33</v>
      </c>
      <c r="E9470" t="str">
        <f>"1-190-33"</f>
        <v>1-190-33</v>
      </c>
      <c r="F9470" t="s">
        <v>65</v>
      </c>
      <c r="G9470" t="s">
        <v>66</v>
      </c>
      <c r="H9470" t="s">
        <v>67</v>
      </c>
      <c r="S9470">
        <v>1</v>
      </c>
      <c r="T9470">
        <v>0</v>
      </c>
      <c r="U9470">
        <v>0</v>
      </c>
      <c r="V9470">
        <v>0</v>
      </c>
      <c r="W9470">
        <v>1</v>
      </c>
      <c r="X9470">
        <v>0</v>
      </c>
      <c r="Y9470">
        <v>0</v>
      </c>
      <c r="Z9470">
        <v>1</v>
      </c>
      <c r="AA9470">
        <v>0</v>
      </c>
      <c r="AB9470">
        <v>1</v>
      </c>
      <c r="AC9470">
        <v>0</v>
      </c>
      <c r="AD9470">
        <v>1</v>
      </c>
      <c r="AE9470">
        <v>1</v>
      </c>
      <c r="AF9470">
        <v>1</v>
      </c>
      <c r="AG9470">
        <v>1</v>
      </c>
      <c r="AH9470">
        <v>1</v>
      </c>
      <c r="AI9470">
        <v>1</v>
      </c>
      <c r="AJ9470">
        <v>1</v>
      </c>
      <c r="AK9470">
        <v>1</v>
      </c>
      <c r="AL9470">
        <v>1</v>
      </c>
      <c r="AM9470">
        <v>1</v>
      </c>
    </row>
    <row r="9471" spans="1:39" x14ac:dyDescent="0.2">
      <c r="A9471" t="str">
        <f>"9467"</f>
        <v>9467</v>
      </c>
      <c r="B9471" t="str">
        <f t="shared" si="527"/>
        <v>1</v>
      </c>
      <c r="C9471" t="str">
        <f t="shared" si="526"/>
        <v>190</v>
      </c>
      <c r="D9471" t="str">
        <f>"18"</f>
        <v>18</v>
      </c>
      <c r="E9471" t="str">
        <f>"1-190-18"</f>
        <v>1-190-18</v>
      </c>
      <c r="F9471" t="s">
        <v>65</v>
      </c>
      <c r="G9471" t="s">
        <v>66</v>
      </c>
      <c r="H9471" t="s">
        <v>67</v>
      </c>
      <c r="S9471">
        <v>1</v>
      </c>
      <c r="T9471">
        <v>0</v>
      </c>
      <c r="U9471">
        <v>0</v>
      </c>
      <c r="V9471">
        <v>0</v>
      </c>
      <c r="W9471">
        <v>1</v>
      </c>
      <c r="X9471">
        <v>0</v>
      </c>
      <c r="Y9471">
        <v>1</v>
      </c>
      <c r="Z9471">
        <v>0</v>
      </c>
      <c r="AA9471">
        <v>1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</row>
    <row r="9472" spans="1:39" x14ac:dyDescent="0.2">
      <c r="A9472" t="str">
        <f>"9468"</f>
        <v>9468</v>
      </c>
      <c r="B9472" t="str">
        <f t="shared" si="527"/>
        <v>1</v>
      </c>
      <c r="C9472" t="str">
        <f t="shared" si="526"/>
        <v>190</v>
      </c>
      <c r="D9472" t="str">
        <f>"35"</f>
        <v>35</v>
      </c>
      <c r="E9472" t="str">
        <f>"1-190-35"</f>
        <v>1-190-35</v>
      </c>
      <c r="F9472" t="s">
        <v>65</v>
      </c>
      <c r="G9472" t="s">
        <v>66</v>
      </c>
      <c r="H9472" t="s">
        <v>67</v>
      </c>
      <c r="S9472">
        <v>0</v>
      </c>
      <c r="T9472">
        <v>1</v>
      </c>
      <c r="U9472">
        <v>0</v>
      </c>
      <c r="V9472">
        <v>0</v>
      </c>
      <c r="W9472">
        <v>1</v>
      </c>
      <c r="X9472">
        <v>0</v>
      </c>
      <c r="Y9472">
        <v>1</v>
      </c>
      <c r="Z9472">
        <v>0</v>
      </c>
      <c r="AA9472">
        <v>0</v>
      </c>
      <c r="AB9472">
        <v>1</v>
      </c>
      <c r="AC9472">
        <v>0</v>
      </c>
      <c r="AD9472">
        <v>1</v>
      </c>
      <c r="AE9472">
        <v>1</v>
      </c>
      <c r="AF9472">
        <v>1</v>
      </c>
      <c r="AG9472">
        <v>1</v>
      </c>
      <c r="AH9472">
        <v>1</v>
      </c>
      <c r="AI9472">
        <v>1</v>
      </c>
      <c r="AJ9472">
        <v>1</v>
      </c>
      <c r="AK9472">
        <v>1</v>
      </c>
      <c r="AL9472">
        <v>1</v>
      </c>
      <c r="AM9472">
        <v>1</v>
      </c>
    </row>
    <row r="9473" spans="1:39" x14ac:dyDescent="0.2">
      <c r="A9473" t="str">
        <f>"9469"</f>
        <v>9469</v>
      </c>
      <c r="B9473" t="str">
        <f t="shared" si="527"/>
        <v>1</v>
      </c>
      <c r="C9473" t="str">
        <f t="shared" si="526"/>
        <v>190</v>
      </c>
      <c r="D9473" t="str">
        <f>"19"</f>
        <v>19</v>
      </c>
      <c r="E9473" t="str">
        <f>"1-190-19"</f>
        <v>1-190-19</v>
      </c>
      <c r="F9473" t="s">
        <v>65</v>
      </c>
      <c r="G9473" t="s">
        <v>66</v>
      </c>
      <c r="H9473" t="s">
        <v>67</v>
      </c>
      <c r="S9473">
        <v>0</v>
      </c>
      <c r="T9473">
        <v>1</v>
      </c>
      <c r="U9473">
        <v>0</v>
      </c>
      <c r="V9473">
        <v>0</v>
      </c>
      <c r="W9473">
        <v>1</v>
      </c>
      <c r="X9473">
        <v>0</v>
      </c>
      <c r="Y9473">
        <v>0</v>
      </c>
      <c r="Z9473">
        <v>1</v>
      </c>
      <c r="AA9473">
        <v>1</v>
      </c>
      <c r="AB9473">
        <v>0</v>
      </c>
      <c r="AC9473">
        <v>0</v>
      </c>
      <c r="AD9473">
        <v>1</v>
      </c>
      <c r="AE9473">
        <v>1</v>
      </c>
      <c r="AF9473">
        <v>1</v>
      </c>
      <c r="AG9473">
        <v>1</v>
      </c>
      <c r="AH9473">
        <v>1</v>
      </c>
      <c r="AI9473">
        <v>1</v>
      </c>
      <c r="AJ9473">
        <v>1</v>
      </c>
      <c r="AK9473">
        <v>1</v>
      </c>
      <c r="AL9473">
        <v>1</v>
      </c>
      <c r="AM9473">
        <v>1</v>
      </c>
    </row>
    <row r="9474" spans="1:39" x14ac:dyDescent="0.2">
      <c r="A9474" t="str">
        <f>"9470"</f>
        <v>9470</v>
      </c>
      <c r="B9474" t="str">
        <f t="shared" si="527"/>
        <v>1</v>
      </c>
      <c r="C9474" t="str">
        <f t="shared" si="526"/>
        <v>190</v>
      </c>
      <c r="D9474" t="str">
        <f>"4"</f>
        <v>4</v>
      </c>
      <c r="E9474" t="str">
        <f>"1-190-4"</f>
        <v>1-190-4</v>
      </c>
      <c r="F9474" t="s">
        <v>65</v>
      </c>
      <c r="G9474" t="s">
        <v>66</v>
      </c>
      <c r="H9474" t="s">
        <v>67</v>
      </c>
      <c r="S9474">
        <v>1</v>
      </c>
      <c r="T9474">
        <v>0</v>
      </c>
      <c r="U9474">
        <v>0</v>
      </c>
      <c r="V9474">
        <v>0</v>
      </c>
      <c r="W9474">
        <v>1</v>
      </c>
      <c r="X9474">
        <v>0</v>
      </c>
      <c r="Y9474">
        <v>0</v>
      </c>
      <c r="Z9474">
        <v>1</v>
      </c>
      <c r="AA9474">
        <v>1</v>
      </c>
      <c r="AB9474">
        <v>0</v>
      </c>
      <c r="AC9474">
        <v>0</v>
      </c>
      <c r="AD9474">
        <v>1</v>
      </c>
      <c r="AE9474">
        <v>1</v>
      </c>
      <c r="AF9474">
        <v>1</v>
      </c>
      <c r="AG9474">
        <v>1</v>
      </c>
      <c r="AH9474">
        <v>1</v>
      </c>
      <c r="AI9474">
        <v>1</v>
      </c>
      <c r="AJ9474">
        <v>1</v>
      </c>
      <c r="AK9474">
        <v>1</v>
      </c>
      <c r="AL9474">
        <v>1</v>
      </c>
      <c r="AM9474">
        <v>1</v>
      </c>
    </row>
    <row r="9475" spans="1:39" x14ac:dyDescent="0.2">
      <c r="A9475" t="str">
        <f>"9471"</f>
        <v>9471</v>
      </c>
      <c r="B9475" t="str">
        <f t="shared" si="527"/>
        <v>1</v>
      </c>
      <c r="C9475" t="str">
        <f t="shared" si="526"/>
        <v>190</v>
      </c>
      <c r="D9475" t="str">
        <f>"36"</f>
        <v>36</v>
      </c>
      <c r="E9475" t="str">
        <f>"1-190-36"</f>
        <v>1-190-36</v>
      </c>
      <c r="F9475" t="s">
        <v>65</v>
      </c>
      <c r="G9475" t="s">
        <v>66</v>
      </c>
      <c r="H9475" t="s">
        <v>67</v>
      </c>
      <c r="S9475">
        <v>1</v>
      </c>
      <c r="T9475">
        <v>0</v>
      </c>
      <c r="U9475">
        <v>0</v>
      </c>
      <c r="V9475">
        <v>0</v>
      </c>
      <c r="W9475">
        <v>1</v>
      </c>
      <c r="X9475">
        <v>0</v>
      </c>
      <c r="Y9475">
        <v>1</v>
      </c>
      <c r="Z9475">
        <v>0</v>
      </c>
      <c r="AA9475">
        <v>1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</row>
    <row r="9476" spans="1:39" x14ac:dyDescent="0.2">
      <c r="A9476" t="str">
        <f>"9472"</f>
        <v>9472</v>
      </c>
      <c r="B9476" t="str">
        <f t="shared" si="527"/>
        <v>1</v>
      </c>
      <c r="C9476" t="str">
        <f t="shared" si="526"/>
        <v>190</v>
      </c>
      <c r="D9476" t="str">
        <f>"20"</f>
        <v>20</v>
      </c>
      <c r="E9476" t="str">
        <f>"1-190-20"</f>
        <v>1-190-20</v>
      </c>
      <c r="F9476" t="s">
        <v>65</v>
      </c>
      <c r="G9476" t="s">
        <v>66</v>
      </c>
      <c r="H9476" t="s">
        <v>67</v>
      </c>
      <c r="S9476">
        <v>0</v>
      </c>
      <c r="T9476">
        <v>1</v>
      </c>
      <c r="U9476">
        <v>0</v>
      </c>
      <c r="V9476">
        <v>0</v>
      </c>
      <c r="W9476">
        <v>1</v>
      </c>
      <c r="X9476">
        <v>0</v>
      </c>
      <c r="Y9476">
        <v>0</v>
      </c>
      <c r="Z9476">
        <v>1</v>
      </c>
      <c r="AA9476">
        <v>1</v>
      </c>
      <c r="AB9476">
        <v>0</v>
      </c>
      <c r="AC9476">
        <v>0</v>
      </c>
      <c r="AD9476">
        <v>1</v>
      </c>
      <c r="AE9476">
        <v>1</v>
      </c>
      <c r="AF9476">
        <v>1</v>
      </c>
      <c r="AG9476">
        <v>1</v>
      </c>
      <c r="AH9476">
        <v>1</v>
      </c>
      <c r="AI9476">
        <v>1</v>
      </c>
      <c r="AJ9476">
        <v>1</v>
      </c>
      <c r="AK9476">
        <v>1</v>
      </c>
      <c r="AL9476">
        <v>1</v>
      </c>
      <c r="AM9476">
        <v>1</v>
      </c>
    </row>
    <row r="9477" spans="1:39" x14ac:dyDescent="0.2">
      <c r="A9477" t="str">
        <f>"9473"</f>
        <v>9473</v>
      </c>
      <c r="B9477" t="str">
        <f t="shared" si="527"/>
        <v>1</v>
      </c>
      <c r="C9477" t="str">
        <f t="shared" si="526"/>
        <v>190</v>
      </c>
      <c r="D9477" t="str">
        <f>"7"</f>
        <v>7</v>
      </c>
      <c r="E9477" t="str">
        <f>"1-190-7"</f>
        <v>1-190-7</v>
      </c>
      <c r="F9477" t="s">
        <v>65</v>
      </c>
      <c r="G9477" t="s">
        <v>66</v>
      </c>
      <c r="H9477" t="s">
        <v>67</v>
      </c>
      <c r="S9477">
        <v>1</v>
      </c>
      <c r="T9477">
        <v>0</v>
      </c>
      <c r="U9477">
        <v>0</v>
      </c>
      <c r="V9477">
        <v>0</v>
      </c>
      <c r="W9477">
        <v>1</v>
      </c>
      <c r="X9477">
        <v>0</v>
      </c>
      <c r="Y9477">
        <v>0</v>
      </c>
      <c r="Z9477">
        <v>1</v>
      </c>
      <c r="AA9477">
        <v>1</v>
      </c>
      <c r="AB9477">
        <v>0</v>
      </c>
      <c r="AC9477">
        <v>0</v>
      </c>
      <c r="AD9477">
        <v>1</v>
      </c>
      <c r="AE9477">
        <v>1</v>
      </c>
      <c r="AF9477">
        <v>1</v>
      </c>
      <c r="AG9477">
        <v>1</v>
      </c>
      <c r="AH9477">
        <v>1</v>
      </c>
      <c r="AI9477">
        <v>1</v>
      </c>
      <c r="AJ9477">
        <v>1</v>
      </c>
      <c r="AK9477">
        <v>1</v>
      </c>
      <c r="AL9477">
        <v>1</v>
      </c>
      <c r="AM9477">
        <v>1</v>
      </c>
    </row>
    <row r="9478" spans="1:39" x14ac:dyDescent="0.2">
      <c r="A9478" t="str">
        <f>"9474"</f>
        <v>9474</v>
      </c>
      <c r="B9478" t="str">
        <f t="shared" si="527"/>
        <v>1</v>
      </c>
      <c r="C9478" t="str">
        <f t="shared" si="526"/>
        <v>190</v>
      </c>
      <c r="D9478" t="str">
        <f>"49"</f>
        <v>49</v>
      </c>
      <c r="E9478" t="str">
        <f>"1-190-49"</f>
        <v>1-190-49</v>
      </c>
      <c r="F9478" t="s">
        <v>65</v>
      </c>
      <c r="G9478" t="s">
        <v>66</v>
      </c>
      <c r="H9478" t="s">
        <v>67</v>
      </c>
      <c r="S9478">
        <v>1</v>
      </c>
      <c r="T9478">
        <v>0</v>
      </c>
      <c r="U9478">
        <v>0</v>
      </c>
      <c r="V9478">
        <v>0</v>
      </c>
      <c r="W9478">
        <v>1</v>
      </c>
      <c r="X9478">
        <v>0</v>
      </c>
      <c r="Y9478">
        <v>1</v>
      </c>
      <c r="Z9478">
        <v>0</v>
      </c>
      <c r="AA9478">
        <v>1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</row>
    <row r="9479" spans="1:39" x14ac:dyDescent="0.2">
      <c r="A9479" t="str">
        <f>"9475"</f>
        <v>9475</v>
      </c>
      <c r="B9479" t="str">
        <f t="shared" si="527"/>
        <v>1</v>
      </c>
      <c r="C9479" t="str">
        <f t="shared" si="526"/>
        <v>190</v>
      </c>
      <c r="D9479" t="str">
        <f>"22"</f>
        <v>22</v>
      </c>
      <c r="E9479" t="str">
        <f>"1-190-22"</f>
        <v>1-190-22</v>
      </c>
      <c r="F9479" t="s">
        <v>65</v>
      </c>
      <c r="G9479" t="s">
        <v>66</v>
      </c>
      <c r="H9479" t="s">
        <v>67</v>
      </c>
      <c r="S9479">
        <v>1</v>
      </c>
      <c r="T9479">
        <v>0</v>
      </c>
      <c r="U9479">
        <v>0</v>
      </c>
      <c r="V9479">
        <v>0</v>
      </c>
      <c r="W9479">
        <v>1</v>
      </c>
      <c r="X9479">
        <v>0</v>
      </c>
      <c r="Y9479">
        <v>1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</row>
    <row r="9480" spans="1:39" x14ac:dyDescent="0.2">
      <c r="A9480" t="str">
        <f>"9476"</f>
        <v>9476</v>
      </c>
      <c r="B9480" t="str">
        <f t="shared" si="527"/>
        <v>1</v>
      </c>
      <c r="C9480" t="str">
        <f t="shared" si="526"/>
        <v>190</v>
      </c>
      <c r="D9480" t="str">
        <f>"8"</f>
        <v>8</v>
      </c>
      <c r="E9480" t="str">
        <f>"1-190-8"</f>
        <v>1-190-8</v>
      </c>
      <c r="F9480" t="s">
        <v>65</v>
      </c>
      <c r="G9480" t="s">
        <v>66</v>
      </c>
      <c r="H9480" t="s">
        <v>67</v>
      </c>
      <c r="S9480">
        <v>1</v>
      </c>
      <c r="T9480">
        <v>0</v>
      </c>
      <c r="U9480">
        <v>0</v>
      </c>
      <c r="V9480">
        <v>0</v>
      </c>
      <c r="W9480">
        <v>1</v>
      </c>
      <c r="X9480">
        <v>0</v>
      </c>
      <c r="Y9480">
        <v>1</v>
      </c>
      <c r="Z9480">
        <v>0</v>
      </c>
      <c r="AA9480">
        <v>0</v>
      </c>
      <c r="AB9480">
        <v>0</v>
      </c>
      <c r="AC9480">
        <v>1</v>
      </c>
      <c r="AD9480">
        <v>1</v>
      </c>
      <c r="AE9480">
        <v>1</v>
      </c>
      <c r="AF9480">
        <v>1</v>
      </c>
      <c r="AG9480">
        <v>1</v>
      </c>
      <c r="AH9480">
        <v>1</v>
      </c>
      <c r="AI9480">
        <v>1</v>
      </c>
      <c r="AJ9480">
        <v>1</v>
      </c>
      <c r="AK9480">
        <v>1</v>
      </c>
      <c r="AL9480">
        <v>1</v>
      </c>
      <c r="AM9480">
        <v>1</v>
      </c>
    </row>
    <row r="9481" spans="1:39" x14ac:dyDescent="0.2">
      <c r="A9481" t="str">
        <f>"9477"</f>
        <v>9477</v>
      </c>
      <c r="B9481" t="str">
        <f t="shared" si="527"/>
        <v>1</v>
      </c>
      <c r="C9481" t="str">
        <f t="shared" si="526"/>
        <v>190</v>
      </c>
      <c r="D9481" t="str">
        <f>"44"</f>
        <v>44</v>
      </c>
      <c r="E9481" t="str">
        <f>"1-190-44"</f>
        <v>1-190-44</v>
      </c>
      <c r="F9481" t="s">
        <v>65</v>
      </c>
      <c r="G9481" t="s">
        <v>66</v>
      </c>
      <c r="H9481" t="s">
        <v>67</v>
      </c>
      <c r="S9481">
        <v>0</v>
      </c>
      <c r="T9481">
        <v>1</v>
      </c>
      <c r="U9481">
        <v>0</v>
      </c>
      <c r="V9481">
        <v>0</v>
      </c>
      <c r="W9481">
        <v>1</v>
      </c>
      <c r="X9481">
        <v>0</v>
      </c>
      <c r="Y9481">
        <v>1</v>
      </c>
      <c r="Z9481">
        <v>0</v>
      </c>
      <c r="AA9481">
        <v>0</v>
      </c>
      <c r="AB9481">
        <v>1</v>
      </c>
      <c r="AC9481">
        <v>0</v>
      </c>
      <c r="AD9481">
        <v>1</v>
      </c>
      <c r="AE9481">
        <v>1</v>
      </c>
      <c r="AF9481">
        <v>1</v>
      </c>
      <c r="AG9481">
        <v>1</v>
      </c>
      <c r="AH9481">
        <v>1</v>
      </c>
      <c r="AI9481">
        <v>1</v>
      </c>
      <c r="AJ9481">
        <v>1</v>
      </c>
      <c r="AK9481">
        <v>1</v>
      </c>
      <c r="AL9481">
        <v>1</v>
      </c>
      <c r="AM9481">
        <v>1</v>
      </c>
    </row>
    <row r="9482" spans="1:39" x14ac:dyDescent="0.2">
      <c r="A9482" t="str">
        <f>"9478"</f>
        <v>9478</v>
      </c>
      <c r="B9482" t="str">
        <f t="shared" si="527"/>
        <v>1</v>
      </c>
      <c r="C9482" t="str">
        <f t="shared" si="526"/>
        <v>190</v>
      </c>
      <c r="D9482" t="str">
        <f>"23"</f>
        <v>23</v>
      </c>
      <c r="E9482" t="str">
        <f>"1-190-23"</f>
        <v>1-190-23</v>
      </c>
      <c r="F9482" t="s">
        <v>65</v>
      </c>
      <c r="G9482" t="s">
        <v>66</v>
      </c>
      <c r="H9482" t="s">
        <v>67</v>
      </c>
      <c r="S9482">
        <v>0</v>
      </c>
      <c r="T9482">
        <v>1</v>
      </c>
      <c r="U9482">
        <v>0</v>
      </c>
      <c r="V9482">
        <v>0</v>
      </c>
      <c r="W9482">
        <v>1</v>
      </c>
      <c r="X9482">
        <v>0</v>
      </c>
      <c r="Y9482">
        <v>0</v>
      </c>
      <c r="Z9482">
        <v>1</v>
      </c>
      <c r="AA9482">
        <v>1</v>
      </c>
      <c r="AB9482">
        <v>0</v>
      </c>
      <c r="AC9482">
        <v>0</v>
      </c>
      <c r="AD9482">
        <v>1</v>
      </c>
      <c r="AE9482">
        <v>1</v>
      </c>
      <c r="AF9482">
        <v>1</v>
      </c>
      <c r="AG9482">
        <v>1</v>
      </c>
      <c r="AH9482">
        <v>1</v>
      </c>
      <c r="AI9482">
        <v>1</v>
      </c>
      <c r="AJ9482">
        <v>1</v>
      </c>
      <c r="AK9482">
        <v>1</v>
      </c>
      <c r="AL9482">
        <v>1</v>
      </c>
      <c r="AM9482">
        <v>1</v>
      </c>
    </row>
    <row r="9483" spans="1:39" x14ac:dyDescent="0.2">
      <c r="A9483" t="str">
        <f>"9479"</f>
        <v>9479</v>
      </c>
      <c r="B9483" t="str">
        <f t="shared" si="527"/>
        <v>1</v>
      </c>
      <c r="C9483" t="str">
        <f t="shared" si="526"/>
        <v>190</v>
      </c>
      <c r="D9483" t="str">
        <f>"5"</f>
        <v>5</v>
      </c>
      <c r="E9483" t="str">
        <f>"1-190-5"</f>
        <v>1-190-5</v>
      </c>
      <c r="F9483" t="s">
        <v>65</v>
      </c>
      <c r="G9483" t="s">
        <v>66</v>
      </c>
      <c r="H9483" t="s">
        <v>67</v>
      </c>
      <c r="S9483">
        <v>1</v>
      </c>
      <c r="T9483">
        <v>0</v>
      </c>
      <c r="U9483">
        <v>0</v>
      </c>
      <c r="V9483">
        <v>0</v>
      </c>
      <c r="W9483">
        <v>1</v>
      </c>
      <c r="X9483">
        <v>0</v>
      </c>
      <c r="Y9483">
        <v>0</v>
      </c>
      <c r="Z9483">
        <v>1</v>
      </c>
      <c r="AA9483">
        <v>1</v>
      </c>
      <c r="AB9483">
        <v>0</v>
      </c>
      <c r="AC9483">
        <v>0</v>
      </c>
      <c r="AD9483">
        <v>1</v>
      </c>
      <c r="AE9483">
        <v>1</v>
      </c>
      <c r="AF9483">
        <v>1</v>
      </c>
      <c r="AG9483">
        <v>0</v>
      </c>
      <c r="AH9483">
        <v>1</v>
      </c>
      <c r="AI9483">
        <v>1</v>
      </c>
      <c r="AJ9483">
        <v>1</v>
      </c>
      <c r="AK9483">
        <v>1</v>
      </c>
      <c r="AL9483">
        <v>1</v>
      </c>
      <c r="AM9483">
        <v>1</v>
      </c>
    </row>
    <row r="9484" spans="1:39" x14ac:dyDescent="0.2">
      <c r="A9484" t="str">
        <f>"9480"</f>
        <v>9480</v>
      </c>
      <c r="B9484" t="str">
        <f t="shared" si="527"/>
        <v>1</v>
      </c>
      <c r="C9484" t="str">
        <f t="shared" si="526"/>
        <v>190</v>
      </c>
      <c r="D9484" t="str">
        <f>"43"</f>
        <v>43</v>
      </c>
      <c r="E9484" t="str">
        <f>"1-190-43"</f>
        <v>1-190-43</v>
      </c>
      <c r="F9484" t="s">
        <v>65</v>
      </c>
      <c r="G9484" t="s">
        <v>66</v>
      </c>
      <c r="H9484" t="s">
        <v>67</v>
      </c>
      <c r="S9484">
        <v>1</v>
      </c>
      <c r="T9484">
        <v>0</v>
      </c>
      <c r="U9484">
        <v>0</v>
      </c>
      <c r="V9484">
        <v>0</v>
      </c>
      <c r="W9484">
        <v>1</v>
      </c>
      <c r="X9484">
        <v>0</v>
      </c>
      <c r="Y9484">
        <v>1</v>
      </c>
      <c r="Z9484">
        <v>0</v>
      </c>
      <c r="AA9484">
        <v>1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</row>
    <row r="9485" spans="1:39" x14ac:dyDescent="0.2">
      <c r="A9485" t="str">
        <f>"9481"</f>
        <v>9481</v>
      </c>
      <c r="B9485" t="str">
        <f t="shared" si="527"/>
        <v>1</v>
      </c>
      <c r="C9485" t="str">
        <f t="shared" si="526"/>
        <v>190</v>
      </c>
      <c r="D9485" t="str">
        <f>"24"</f>
        <v>24</v>
      </c>
      <c r="E9485" t="str">
        <f>"1-190-24"</f>
        <v>1-190-24</v>
      </c>
      <c r="F9485" t="s">
        <v>65</v>
      </c>
      <c r="G9485" t="s">
        <v>66</v>
      </c>
      <c r="H9485" t="s">
        <v>67</v>
      </c>
      <c r="S9485">
        <v>0</v>
      </c>
      <c r="T9485">
        <v>1</v>
      </c>
      <c r="U9485">
        <v>0</v>
      </c>
      <c r="V9485">
        <v>0</v>
      </c>
      <c r="W9485">
        <v>1</v>
      </c>
      <c r="X9485">
        <v>0</v>
      </c>
      <c r="Y9485">
        <v>1</v>
      </c>
      <c r="Z9485">
        <v>0</v>
      </c>
      <c r="AA9485">
        <v>0</v>
      </c>
      <c r="AB9485">
        <v>0</v>
      </c>
      <c r="AC9485">
        <v>1</v>
      </c>
      <c r="AD9485">
        <v>1</v>
      </c>
      <c r="AE9485">
        <v>1</v>
      </c>
      <c r="AF9485">
        <v>1</v>
      </c>
      <c r="AG9485">
        <v>1</v>
      </c>
      <c r="AH9485">
        <v>1</v>
      </c>
      <c r="AI9485">
        <v>1</v>
      </c>
      <c r="AJ9485">
        <v>1</v>
      </c>
      <c r="AK9485">
        <v>1</v>
      </c>
      <c r="AL9485">
        <v>1</v>
      </c>
      <c r="AM9485">
        <v>1</v>
      </c>
    </row>
    <row r="9486" spans="1:39" x14ac:dyDescent="0.2">
      <c r="A9486" t="str">
        <f>"9482"</f>
        <v>9482</v>
      </c>
      <c r="B9486" t="str">
        <f t="shared" si="527"/>
        <v>1</v>
      </c>
      <c r="C9486" t="str">
        <f t="shared" si="526"/>
        <v>190</v>
      </c>
      <c r="D9486" t="str">
        <f>"11"</f>
        <v>11</v>
      </c>
      <c r="E9486" t="str">
        <f>"1-190-11"</f>
        <v>1-190-11</v>
      </c>
      <c r="F9486" t="s">
        <v>65</v>
      </c>
      <c r="G9486" t="s">
        <v>66</v>
      </c>
      <c r="H9486" t="s">
        <v>67</v>
      </c>
      <c r="S9486">
        <v>1</v>
      </c>
      <c r="T9486">
        <v>0</v>
      </c>
      <c r="U9486">
        <v>0</v>
      </c>
      <c r="V9486">
        <v>0</v>
      </c>
      <c r="W9486">
        <v>1</v>
      </c>
      <c r="X9486">
        <v>0</v>
      </c>
      <c r="Y9486">
        <v>1</v>
      </c>
      <c r="Z9486">
        <v>0</v>
      </c>
      <c r="AA9486">
        <v>0</v>
      </c>
      <c r="AB9486">
        <v>0</v>
      </c>
      <c r="AC9486">
        <v>1</v>
      </c>
      <c r="AD9486">
        <v>1</v>
      </c>
      <c r="AE9486">
        <v>1</v>
      </c>
      <c r="AF9486">
        <v>1</v>
      </c>
      <c r="AG9486">
        <v>1</v>
      </c>
      <c r="AH9486">
        <v>1</v>
      </c>
      <c r="AI9486">
        <v>1</v>
      </c>
      <c r="AJ9486">
        <v>1</v>
      </c>
      <c r="AK9486">
        <v>1</v>
      </c>
      <c r="AL9486">
        <v>1</v>
      </c>
      <c r="AM9486">
        <v>1</v>
      </c>
    </row>
    <row r="9487" spans="1:39" x14ac:dyDescent="0.2">
      <c r="A9487" t="str">
        <f>"9483"</f>
        <v>9483</v>
      </c>
      <c r="B9487" t="str">
        <f t="shared" si="527"/>
        <v>1</v>
      </c>
      <c r="C9487" t="str">
        <f t="shared" ref="C9487:C9504" si="528">"190"</f>
        <v>190</v>
      </c>
      <c r="D9487" t="str">
        <f>"47"</f>
        <v>47</v>
      </c>
      <c r="E9487" t="str">
        <f>"1-190-47"</f>
        <v>1-190-47</v>
      </c>
      <c r="F9487" t="s">
        <v>65</v>
      </c>
      <c r="G9487" t="s">
        <v>66</v>
      </c>
      <c r="H9487" t="s">
        <v>67</v>
      </c>
      <c r="S9487">
        <v>1</v>
      </c>
      <c r="T9487">
        <v>0</v>
      </c>
      <c r="U9487">
        <v>0</v>
      </c>
      <c r="V9487">
        <v>0</v>
      </c>
      <c r="W9487">
        <v>1</v>
      </c>
      <c r="X9487">
        <v>0</v>
      </c>
      <c r="Y9487">
        <v>1</v>
      </c>
      <c r="Z9487">
        <v>0</v>
      </c>
      <c r="AA9487">
        <v>1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</row>
    <row r="9488" spans="1:39" x14ac:dyDescent="0.2">
      <c r="A9488" t="str">
        <f>"9484"</f>
        <v>9484</v>
      </c>
      <c r="B9488" t="str">
        <f t="shared" si="527"/>
        <v>1</v>
      </c>
      <c r="C9488" t="str">
        <f t="shared" si="528"/>
        <v>190</v>
      </c>
      <c r="D9488" t="str">
        <f>"26"</f>
        <v>26</v>
      </c>
      <c r="E9488" t="str">
        <f>"1-190-26"</f>
        <v>1-190-26</v>
      </c>
      <c r="F9488" t="s">
        <v>65</v>
      </c>
      <c r="G9488" t="s">
        <v>66</v>
      </c>
      <c r="H9488" t="s">
        <v>67</v>
      </c>
      <c r="S9488">
        <v>0</v>
      </c>
      <c r="T9488">
        <v>1</v>
      </c>
      <c r="U9488">
        <v>0</v>
      </c>
      <c r="V9488">
        <v>0</v>
      </c>
      <c r="W9488">
        <v>0</v>
      </c>
      <c r="X9488">
        <v>1</v>
      </c>
      <c r="Y9488">
        <v>1</v>
      </c>
      <c r="Z9488">
        <v>0</v>
      </c>
      <c r="AA9488">
        <v>0</v>
      </c>
      <c r="AB9488">
        <v>1</v>
      </c>
      <c r="AC9488">
        <v>0</v>
      </c>
      <c r="AD9488">
        <v>1</v>
      </c>
      <c r="AE9488">
        <v>1</v>
      </c>
      <c r="AF9488">
        <v>1</v>
      </c>
      <c r="AG9488">
        <v>1</v>
      </c>
      <c r="AH9488">
        <v>1</v>
      </c>
      <c r="AI9488">
        <v>1</v>
      </c>
      <c r="AJ9488">
        <v>1</v>
      </c>
      <c r="AK9488">
        <v>1</v>
      </c>
      <c r="AL9488">
        <v>1</v>
      </c>
      <c r="AM9488">
        <v>1</v>
      </c>
    </row>
    <row r="9489" spans="1:39" x14ac:dyDescent="0.2">
      <c r="A9489" t="str">
        <f>"9485"</f>
        <v>9485</v>
      </c>
      <c r="B9489" t="str">
        <f t="shared" si="527"/>
        <v>1</v>
      </c>
      <c r="C9489" t="str">
        <f t="shared" si="528"/>
        <v>190</v>
      </c>
      <c r="D9489" t="str">
        <f>"6"</f>
        <v>6</v>
      </c>
      <c r="E9489" t="str">
        <f>"1-190-6"</f>
        <v>1-190-6</v>
      </c>
      <c r="F9489" t="s">
        <v>65</v>
      </c>
      <c r="G9489" t="s">
        <v>66</v>
      </c>
      <c r="H9489" t="s">
        <v>67</v>
      </c>
      <c r="S9489">
        <v>1</v>
      </c>
      <c r="T9489">
        <v>0</v>
      </c>
      <c r="U9489">
        <v>0</v>
      </c>
      <c r="V9489">
        <v>0</v>
      </c>
      <c r="W9489">
        <v>1</v>
      </c>
      <c r="X9489">
        <v>0</v>
      </c>
      <c r="Y9489">
        <v>0</v>
      </c>
      <c r="Z9489">
        <v>1</v>
      </c>
      <c r="AA9489">
        <v>1</v>
      </c>
      <c r="AB9489">
        <v>0</v>
      </c>
      <c r="AC9489">
        <v>0</v>
      </c>
      <c r="AD9489">
        <v>1</v>
      </c>
      <c r="AE9489">
        <v>1</v>
      </c>
      <c r="AF9489">
        <v>1</v>
      </c>
      <c r="AG9489">
        <v>0</v>
      </c>
      <c r="AH9489">
        <v>1</v>
      </c>
      <c r="AI9489">
        <v>1</v>
      </c>
      <c r="AJ9489">
        <v>1</v>
      </c>
      <c r="AK9489">
        <v>1</v>
      </c>
      <c r="AL9489">
        <v>1</v>
      </c>
      <c r="AM9489">
        <v>1</v>
      </c>
    </row>
    <row r="9490" spans="1:39" x14ac:dyDescent="0.2">
      <c r="A9490" t="str">
        <f>"9486"</f>
        <v>9486</v>
      </c>
      <c r="B9490" t="str">
        <f t="shared" si="527"/>
        <v>1</v>
      </c>
      <c r="C9490" t="str">
        <f t="shared" si="528"/>
        <v>190</v>
      </c>
      <c r="D9490" t="str">
        <f>"45"</f>
        <v>45</v>
      </c>
      <c r="E9490" t="str">
        <f>"1-190-45"</f>
        <v>1-190-45</v>
      </c>
      <c r="F9490" t="s">
        <v>65</v>
      </c>
      <c r="G9490" t="s">
        <v>66</v>
      </c>
      <c r="H9490" t="s">
        <v>67</v>
      </c>
      <c r="S9490">
        <v>0</v>
      </c>
      <c r="T9490">
        <v>1</v>
      </c>
      <c r="U9490">
        <v>0</v>
      </c>
      <c r="V9490">
        <v>0</v>
      </c>
      <c r="W9490">
        <v>0</v>
      </c>
      <c r="X9490">
        <v>1</v>
      </c>
      <c r="Y9490">
        <v>1</v>
      </c>
      <c r="Z9490">
        <v>0</v>
      </c>
      <c r="AA9490">
        <v>0</v>
      </c>
      <c r="AB9490">
        <v>1</v>
      </c>
      <c r="AC9490">
        <v>0</v>
      </c>
      <c r="AD9490">
        <v>1</v>
      </c>
      <c r="AE9490">
        <v>1</v>
      </c>
      <c r="AF9490">
        <v>1</v>
      </c>
      <c r="AG9490">
        <v>1</v>
      </c>
      <c r="AH9490">
        <v>1</v>
      </c>
      <c r="AI9490">
        <v>1</v>
      </c>
      <c r="AJ9490">
        <v>1</v>
      </c>
      <c r="AK9490">
        <v>1</v>
      </c>
      <c r="AL9490">
        <v>1</v>
      </c>
      <c r="AM9490">
        <v>1</v>
      </c>
    </row>
    <row r="9491" spans="1:39" x14ac:dyDescent="0.2">
      <c r="A9491" t="str">
        <f>"9487"</f>
        <v>9487</v>
      </c>
      <c r="B9491" t="str">
        <f t="shared" si="527"/>
        <v>1</v>
      </c>
      <c r="C9491" t="str">
        <f t="shared" si="528"/>
        <v>190</v>
      </c>
      <c r="D9491" t="str">
        <f>"27"</f>
        <v>27</v>
      </c>
      <c r="E9491" t="str">
        <f>"1-190-27"</f>
        <v>1-190-27</v>
      </c>
      <c r="F9491" t="s">
        <v>65</v>
      </c>
      <c r="G9491" t="s">
        <v>66</v>
      </c>
      <c r="H9491" t="s">
        <v>67</v>
      </c>
      <c r="S9491">
        <v>1</v>
      </c>
      <c r="T9491">
        <v>0</v>
      </c>
      <c r="U9491">
        <v>0</v>
      </c>
      <c r="V9491">
        <v>0</v>
      </c>
      <c r="W9491">
        <v>1</v>
      </c>
      <c r="X9491">
        <v>0</v>
      </c>
      <c r="Y9491">
        <v>1</v>
      </c>
      <c r="Z9491">
        <v>0</v>
      </c>
      <c r="AA9491">
        <v>1</v>
      </c>
      <c r="AB9491">
        <v>0</v>
      </c>
      <c r="AC9491">
        <v>0</v>
      </c>
      <c r="AD9491">
        <v>1</v>
      </c>
      <c r="AE9491">
        <v>1</v>
      </c>
      <c r="AF9491">
        <v>1</v>
      </c>
      <c r="AG9491">
        <v>1</v>
      </c>
      <c r="AH9491">
        <v>1</v>
      </c>
      <c r="AI9491">
        <v>1</v>
      </c>
      <c r="AJ9491">
        <v>1</v>
      </c>
      <c r="AK9491">
        <v>1</v>
      </c>
      <c r="AL9491">
        <v>1</v>
      </c>
      <c r="AM9491">
        <v>1</v>
      </c>
    </row>
    <row r="9492" spans="1:39" x14ac:dyDescent="0.2">
      <c r="A9492" t="str">
        <f>"9488"</f>
        <v>9488</v>
      </c>
      <c r="B9492" t="str">
        <f t="shared" si="527"/>
        <v>1</v>
      </c>
      <c r="C9492" t="str">
        <f t="shared" si="528"/>
        <v>190</v>
      </c>
      <c r="D9492" t="str">
        <f>"13"</f>
        <v>13</v>
      </c>
      <c r="E9492" t="str">
        <f>"1-190-13"</f>
        <v>1-190-13</v>
      </c>
      <c r="F9492" t="s">
        <v>65</v>
      </c>
      <c r="G9492" t="s">
        <v>66</v>
      </c>
      <c r="H9492" t="s">
        <v>67</v>
      </c>
      <c r="S9492">
        <v>1</v>
      </c>
      <c r="T9492">
        <v>0</v>
      </c>
      <c r="U9492">
        <v>0</v>
      </c>
      <c r="V9492">
        <v>0</v>
      </c>
      <c r="W9492">
        <v>1</v>
      </c>
      <c r="X9492">
        <v>0</v>
      </c>
      <c r="Y9492">
        <v>1</v>
      </c>
      <c r="Z9492">
        <v>0</v>
      </c>
      <c r="AA9492">
        <v>0</v>
      </c>
      <c r="AB9492">
        <v>1</v>
      </c>
      <c r="AC9492">
        <v>0</v>
      </c>
      <c r="AD9492">
        <v>1</v>
      </c>
      <c r="AE9492">
        <v>1</v>
      </c>
      <c r="AF9492">
        <v>1</v>
      </c>
      <c r="AG9492">
        <v>1</v>
      </c>
      <c r="AH9492">
        <v>1</v>
      </c>
      <c r="AI9492">
        <v>1</v>
      </c>
      <c r="AJ9492">
        <v>1</v>
      </c>
      <c r="AK9492">
        <v>1</v>
      </c>
      <c r="AL9492">
        <v>1</v>
      </c>
      <c r="AM9492">
        <v>1</v>
      </c>
    </row>
    <row r="9493" spans="1:39" x14ac:dyDescent="0.2">
      <c r="A9493" t="str">
        <f>"9489"</f>
        <v>9489</v>
      </c>
      <c r="B9493" t="str">
        <f t="shared" si="527"/>
        <v>1</v>
      </c>
      <c r="C9493" t="str">
        <f t="shared" si="528"/>
        <v>190</v>
      </c>
      <c r="D9493" t="str">
        <f>"50"</f>
        <v>50</v>
      </c>
      <c r="E9493" t="str">
        <f>"1-190-50"</f>
        <v>1-190-50</v>
      </c>
      <c r="F9493" t="s">
        <v>65</v>
      </c>
      <c r="G9493" t="s">
        <v>66</v>
      </c>
      <c r="H9493" t="s">
        <v>67</v>
      </c>
      <c r="S9493">
        <v>1</v>
      </c>
      <c r="T9493">
        <v>0</v>
      </c>
      <c r="U9493">
        <v>0</v>
      </c>
      <c r="V9493">
        <v>0</v>
      </c>
      <c r="W9493">
        <v>0</v>
      </c>
      <c r="X9493">
        <v>1</v>
      </c>
      <c r="Y9493">
        <v>1</v>
      </c>
      <c r="Z9493">
        <v>0</v>
      </c>
      <c r="AA9493">
        <v>0</v>
      </c>
      <c r="AB9493">
        <v>0</v>
      </c>
      <c r="AC9493">
        <v>1</v>
      </c>
      <c r="AD9493">
        <v>1</v>
      </c>
      <c r="AE9493">
        <v>1</v>
      </c>
      <c r="AF9493">
        <v>1</v>
      </c>
      <c r="AG9493">
        <v>1</v>
      </c>
      <c r="AH9493">
        <v>1</v>
      </c>
      <c r="AI9493">
        <v>1</v>
      </c>
      <c r="AJ9493">
        <v>1</v>
      </c>
      <c r="AK9493">
        <v>1</v>
      </c>
      <c r="AL9493">
        <v>1</v>
      </c>
      <c r="AM9493">
        <v>1</v>
      </c>
    </row>
    <row r="9494" spans="1:39" x14ac:dyDescent="0.2">
      <c r="A9494" t="str">
        <f>"9490"</f>
        <v>9490</v>
      </c>
      <c r="B9494" t="str">
        <f t="shared" si="527"/>
        <v>1</v>
      </c>
      <c r="C9494" t="str">
        <f t="shared" si="528"/>
        <v>190</v>
      </c>
      <c r="D9494" t="str">
        <f>"28"</f>
        <v>28</v>
      </c>
      <c r="E9494" t="str">
        <f>"1-190-28"</f>
        <v>1-190-28</v>
      </c>
      <c r="F9494" t="s">
        <v>65</v>
      </c>
      <c r="G9494" t="s">
        <v>66</v>
      </c>
      <c r="H9494" t="s">
        <v>67</v>
      </c>
      <c r="S9494">
        <v>1</v>
      </c>
      <c r="T9494">
        <v>0</v>
      </c>
      <c r="U9494">
        <v>0</v>
      </c>
      <c r="V9494">
        <v>0</v>
      </c>
      <c r="W9494">
        <v>1</v>
      </c>
      <c r="X9494">
        <v>0</v>
      </c>
      <c r="Y9494">
        <v>1</v>
      </c>
      <c r="Z9494">
        <v>0</v>
      </c>
      <c r="AA9494">
        <v>0</v>
      </c>
      <c r="AB9494">
        <v>1</v>
      </c>
      <c r="AC9494">
        <v>0</v>
      </c>
      <c r="AD9494">
        <v>1</v>
      </c>
      <c r="AE9494">
        <v>1</v>
      </c>
      <c r="AF9494">
        <v>1</v>
      </c>
      <c r="AG9494">
        <v>1</v>
      </c>
      <c r="AH9494">
        <v>1</v>
      </c>
      <c r="AI9494">
        <v>1</v>
      </c>
      <c r="AJ9494">
        <v>0</v>
      </c>
      <c r="AK9494">
        <v>1</v>
      </c>
      <c r="AL9494">
        <v>1</v>
      </c>
      <c r="AM9494">
        <v>1</v>
      </c>
    </row>
    <row r="9495" spans="1:39" x14ac:dyDescent="0.2">
      <c r="A9495" t="str">
        <f>"9491"</f>
        <v>9491</v>
      </c>
      <c r="B9495" t="str">
        <f t="shared" si="527"/>
        <v>1</v>
      </c>
      <c r="C9495" t="str">
        <f t="shared" si="528"/>
        <v>190</v>
      </c>
      <c r="D9495" t="str">
        <f>"9"</f>
        <v>9</v>
      </c>
      <c r="E9495" t="str">
        <f>"1-190-9"</f>
        <v>1-190-9</v>
      </c>
      <c r="F9495" t="s">
        <v>65</v>
      </c>
      <c r="G9495" t="s">
        <v>66</v>
      </c>
      <c r="H9495" t="s">
        <v>67</v>
      </c>
      <c r="S9495">
        <v>0</v>
      </c>
      <c r="T9495">
        <v>1</v>
      </c>
      <c r="U9495">
        <v>0</v>
      </c>
      <c r="V9495">
        <v>0</v>
      </c>
      <c r="W9495">
        <v>0</v>
      </c>
      <c r="X9495">
        <v>1</v>
      </c>
      <c r="Y9495">
        <v>1</v>
      </c>
      <c r="Z9495">
        <v>0</v>
      </c>
      <c r="AA9495">
        <v>0</v>
      </c>
      <c r="AB9495">
        <v>1</v>
      </c>
      <c r="AC9495">
        <v>0</v>
      </c>
      <c r="AD9495">
        <v>1</v>
      </c>
      <c r="AE9495">
        <v>1</v>
      </c>
      <c r="AF9495">
        <v>1</v>
      </c>
      <c r="AG9495">
        <v>1</v>
      </c>
      <c r="AH9495">
        <v>1</v>
      </c>
      <c r="AI9495">
        <v>1</v>
      </c>
      <c r="AJ9495">
        <v>1</v>
      </c>
      <c r="AK9495">
        <v>1</v>
      </c>
      <c r="AL9495">
        <v>1</v>
      </c>
      <c r="AM9495">
        <v>1</v>
      </c>
    </row>
    <row r="9496" spans="1:39" x14ac:dyDescent="0.2">
      <c r="A9496" t="str">
        <f>"9492"</f>
        <v>9492</v>
      </c>
      <c r="B9496" t="str">
        <f t="shared" si="527"/>
        <v>1</v>
      </c>
      <c r="C9496" t="str">
        <f t="shared" si="528"/>
        <v>190</v>
      </c>
      <c r="D9496" t="str">
        <f>"46"</f>
        <v>46</v>
      </c>
      <c r="E9496" t="str">
        <f>"1-190-46"</f>
        <v>1-190-46</v>
      </c>
      <c r="F9496" t="s">
        <v>65</v>
      </c>
      <c r="G9496" t="s">
        <v>66</v>
      </c>
      <c r="H9496" t="s">
        <v>67</v>
      </c>
      <c r="S9496">
        <v>1</v>
      </c>
      <c r="T9496">
        <v>0</v>
      </c>
      <c r="U9496">
        <v>0</v>
      </c>
      <c r="V9496">
        <v>0</v>
      </c>
      <c r="W9496">
        <v>1</v>
      </c>
      <c r="X9496">
        <v>0</v>
      </c>
      <c r="Y9496">
        <v>1</v>
      </c>
      <c r="Z9496">
        <v>0</v>
      </c>
      <c r="AA9496">
        <v>0</v>
      </c>
      <c r="AB9496">
        <v>1</v>
      </c>
      <c r="AC9496">
        <v>0</v>
      </c>
      <c r="AD9496">
        <v>1</v>
      </c>
      <c r="AE9496">
        <v>1</v>
      </c>
      <c r="AF9496">
        <v>1</v>
      </c>
      <c r="AG9496">
        <v>1</v>
      </c>
      <c r="AH9496">
        <v>1</v>
      </c>
      <c r="AI9496">
        <v>1</v>
      </c>
      <c r="AJ9496">
        <v>1</v>
      </c>
      <c r="AK9496">
        <v>1</v>
      </c>
      <c r="AL9496">
        <v>1</v>
      </c>
      <c r="AM9496">
        <v>1</v>
      </c>
    </row>
    <row r="9497" spans="1:39" x14ac:dyDescent="0.2">
      <c r="A9497" t="str">
        <f>"9493"</f>
        <v>9493</v>
      </c>
      <c r="B9497" t="str">
        <f t="shared" si="527"/>
        <v>1</v>
      </c>
      <c r="C9497" t="str">
        <f t="shared" si="528"/>
        <v>190</v>
      </c>
      <c r="D9497" t="str">
        <f>"30"</f>
        <v>30</v>
      </c>
      <c r="E9497" t="str">
        <f>"1-190-30"</f>
        <v>1-190-30</v>
      </c>
      <c r="F9497" t="s">
        <v>65</v>
      </c>
      <c r="G9497" t="s">
        <v>66</v>
      </c>
      <c r="H9497" t="s">
        <v>67</v>
      </c>
      <c r="S9497">
        <v>0</v>
      </c>
      <c r="T9497">
        <v>1</v>
      </c>
      <c r="U9497">
        <v>0</v>
      </c>
      <c r="V9497">
        <v>0</v>
      </c>
      <c r="W9497">
        <v>1</v>
      </c>
      <c r="X9497">
        <v>0</v>
      </c>
      <c r="Y9497">
        <v>0</v>
      </c>
      <c r="Z9497">
        <v>1</v>
      </c>
      <c r="AA9497">
        <v>1</v>
      </c>
      <c r="AB9497">
        <v>0</v>
      </c>
      <c r="AC9497">
        <v>0</v>
      </c>
      <c r="AD9497">
        <v>1</v>
      </c>
      <c r="AE9497">
        <v>1</v>
      </c>
      <c r="AF9497">
        <v>1</v>
      </c>
      <c r="AG9497">
        <v>1</v>
      </c>
      <c r="AH9497">
        <v>1</v>
      </c>
      <c r="AI9497">
        <v>1</v>
      </c>
      <c r="AJ9497">
        <v>1</v>
      </c>
      <c r="AK9497">
        <v>1</v>
      </c>
      <c r="AL9497">
        <v>1</v>
      </c>
      <c r="AM9497">
        <v>1</v>
      </c>
    </row>
    <row r="9498" spans="1:39" x14ac:dyDescent="0.2">
      <c r="A9498" t="str">
        <f>"9494"</f>
        <v>9494</v>
      </c>
      <c r="B9498" t="str">
        <f t="shared" si="527"/>
        <v>1</v>
      </c>
      <c r="C9498" t="str">
        <f t="shared" si="528"/>
        <v>190</v>
      </c>
      <c r="D9498" t="str">
        <f>"3"</f>
        <v>3</v>
      </c>
      <c r="E9498" t="str">
        <f>"1-190-3"</f>
        <v>1-190-3</v>
      </c>
      <c r="F9498" t="s">
        <v>65</v>
      </c>
      <c r="G9498" t="s">
        <v>66</v>
      </c>
      <c r="H9498" t="s">
        <v>67</v>
      </c>
      <c r="S9498">
        <v>1</v>
      </c>
      <c r="T9498">
        <v>0</v>
      </c>
      <c r="U9498">
        <v>0</v>
      </c>
      <c r="V9498">
        <v>0</v>
      </c>
      <c r="W9498">
        <v>1</v>
      </c>
      <c r="X9498">
        <v>0</v>
      </c>
      <c r="Y9498">
        <v>1</v>
      </c>
      <c r="Z9498">
        <v>0</v>
      </c>
      <c r="AA9498">
        <v>1</v>
      </c>
      <c r="AB9498">
        <v>0</v>
      </c>
      <c r="AC9498">
        <v>0</v>
      </c>
      <c r="AD9498">
        <v>1</v>
      </c>
      <c r="AE9498">
        <v>1</v>
      </c>
      <c r="AF9498">
        <v>1</v>
      </c>
      <c r="AG9498">
        <v>1</v>
      </c>
      <c r="AH9498">
        <v>1</v>
      </c>
      <c r="AI9498">
        <v>1</v>
      </c>
      <c r="AJ9498">
        <v>1</v>
      </c>
      <c r="AK9498">
        <v>1</v>
      </c>
      <c r="AL9498">
        <v>1</v>
      </c>
      <c r="AM9498">
        <v>1</v>
      </c>
    </row>
    <row r="9499" spans="1:39" x14ac:dyDescent="0.2">
      <c r="A9499" t="str">
        <f>"9495"</f>
        <v>9495</v>
      </c>
      <c r="B9499" t="str">
        <f t="shared" si="527"/>
        <v>1</v>
      </c>
      <c r="C9499" t="str">
        <f t="shared" si="528"/>
        <v>190</v>
      </c>
      <c r="D9499" t="str">
        <f>"48"</f>
        <v>48</v>
      </c>
      <c r="E9499" t="str">
        <f>"1-190-48"</f>
        <v>1-190-48</v>
      </c>
      <c r="F9499" t="s">
        <v>65</v>
      </c>
      <c r="G9499" t="s">
        <v>66</v>
      </c>
      <c r="H9499" t="s">
        <v>67</v>
      </c>
      <c r="S9499">
        <v>1</v>
      </c>
      <c r="T9499">
        <v>0</v>
      </c>
      <c r="U9499">
        <v>0</v>
      </c>
      <c r="V9499">
        <v>0</v>
      </c>
      <c r="W9499">
        <v>1</v>
      </c>
      <c r="X9499">
        <v>0</v>
      </c>
      <c r="Y9499">
        <v>1</v>
      </c>
      <c r="Z9499">
        <v>0</v>
      </c>
      <c r="AA9499">
        <v>1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</row>
    <row r="9500" spans="1:39" x14ac:dyDescent="0.2">
      <c r="A9500" t="str">
        <f>"9496"</f>
        <v>9496</v>
      </c>
      <c r="B9500" t="str">
        <f t="shared" si="527"/>
        <v>1</v>
      </c>
      <c r="C9500" t="str">
        <f t="shared" si="528"/>
        <v>190</v>
      </c>
      <c r="D9500" t="str">
        <f>"32"</f>
        <v>32</v>
      </c>
      <c r="E9500" t="str">
        <f>"1-190-32"</f>
        <v>1-190-32</v>
      </c>
      <c r="F9500" t="s">
        <v>65</v>
      </c>
      <c r="G9500" t="s">
        <v>66</v>
      </c>
      <c r="H9500" t="s">
        <v>67</v>
      </c>
      <c r="S9500">
        <v>0</v>
      </c>
      <c r="T9500">
        <v>1</v>
      </c>
      <c r="U9500">
        <v>0</v>
      </c>
      <c r="V9500">
        <v>0</v>
      </c>
      <c r="W9500">
        <v>1</v>
      </c>
      <c r="X9500">
        <v>0</v>
      </c>
      <c r="Y9500">
        <v>0</v>
      </c>
      <c r="Z9500">
        <v>1</v>
      </c>
      <c r="AA9500">
        <v>0</v>
      </c>
      <c r="AB9500">
        <v>1</v>
      </c>
      <c r="AC9500">
        <v>0</v>
      </c>
      <c r="AD9500">
        <v>1</v>
      </c>
      <c r="AE9500">
        <v>1</v>
      </c>
      <c r="AF9500">
        <v>1</v>
      </c>
      <c r="AG9500">
        <v>1</v>
      </c>
      <c r="AH9500">
        <v>1</v>
      </c>
      <c r="AI9500">
        <v>1</v>
      </c>
      <c r="AJ9500">
        <v>1</v>
      </c>
      <c r="AK9500">
        <v>1</v>
      </c>
      <c r="AL9500">
        <v>1</v>
      </c>
      <c r="AM9500">
        <v>1</v>
      </c>
    </row>
    <row r="9501" spans="1:39" x14ac:dyDescent="0.2">
      <c r="A9501" t="str">
        <f>"9497"</f>
        <v>9497</v>
      </c>
      <c r="B9501" t="str">
        <f t="shared" si="527"/>
        <v>1</v>
      </c>
      <c r="C9501" t="str">
        <f t="shared" si="528"/>
        <v>190</v>
      </c>
      <c r="D9501" t="str">
        <f>"12"</f>
        <v>12</v>
      </c>
      <c r="E9501" t="str">
        <f>"1-190-12"</f>
        <v>1-190-12</v>
      </c>
      <c r="F9501" t="s">
        <v>65</v>
      </c>
      <c r="G9501" t="s">
        <v>66</v>
      </c>
      <c r="H9501" t="s">
        <v>67</v>
      </c>
      <c r="S9501">
        <v>0</v>
      </c>
      <c r="T9501">
        <v>1</v>
      </c>
      <c r="U9501">
        <v>0</v>
      </c>
      <c r="V9501">
        <v>0</v>
      </c>
      <c r="W9501">
        <v>1</v>
      </c>
      <c r="X9501">
        <v>0</v>
      </c>
      <c r="Y9501">
        <v>1</v>
      </c>
      <c r="Z9501">
        <v>0</v>
      </c>
      <c r="AA9501">
        <v>0</v>
      </c>
      <c r="AB9501">
        <v>0</v>
      </c>
      <c r="AC9501">
        <v>1</v>
      </c>
      <c r="AD9501">
        <v>1</v>
      </c>
      <c r="AE9501">
        <v>1</v>
      </c>
      <c r="AF9501">
        <v>1</v>
      </c>
      <c r="AG9501">
        <v>1</v>
      </c>
      <c r="AH9501">
        <v>1</v>
      </c>
      <c r="AI9501">
        <v>1</v>
      </c>
      <c r="AJ9501">
        <v>1</v>
      </c>
      <c r="AK9501">
        <v>1</v>
      </c>
      <c r="AL9501">
        <v>1</v>
      </c>
      <c r="AM9501">
        <v>1</v>
      </c>
    </row>
    <row r="9502" spans="1:39" x14ac:dyDescent="0.2">
      <c r="A9502" t="str">
        <f>"9498"</f>
        <v>9498</v>
      </c>
      <c r="B9502" t="str">
        <f t="shared" si="527"/>
        <v>1</v>
      </c>
      <c r="C9502" t="str">
        <f t="shared" si="528"/>
        <v>190</v>
      </c>
      <c r="D9502" t="str">
        <f>"14"</f>
        <v>14</v>
      </c>
      <c r="E9502" t="str">
        <f>"1-190-14"</f>
        <v>1-190-14</v>
      </c>
      <c r="F9502" t="s">
        <v>65</v>
      </c>
      <c r="G9502" t="s">
        <v>66</v>
      </c>
      <c r="H9502" t="s">
        <v>67</v>
      </c>
      <c r="S9502">
        <v>0</v>
      </c>
      <c r="T9502">
        <v>1</v>
      </c>
      <c r="U9502">
        <v>0</v>
      </c>
      <c r="V9502">
        <v>0</v>
      </c>
      <c r="W9502">
        <v>1</v>
      </c>
      <c r="X9502">
        <v>0</v>
      </c>
      <c r="Y9502">
        <v>0</v>
      </c>
      <c r="Z9502">
        <v>1</v>
      </c>
      <c r="AA9502">
        <v>0</v>
      </c>
      <c r="AB9502">
        <v>0</v>
      </c>
      <c r="AC9502">
        <v>1</v>
      </c>
      <c r="AD9502">
        <v>1</v>
      </c>
      <c r="AE9502">
        <v>1</v>
      </c>
      <c r="AF9502">
        <v>1</v>
      </c>
      <c r="AG9502">
        <v>1</v>
      </c>
      <c r="AH9502">
        <v>1</v>
      </c>
      <c r="AI9502">
        <v>1</v>
      </c>
      <c r="AJ9502">
        <v>1</v>
      </c>
      <c r="AK9502">
        <v>1</v>
      </c>
      <c r="AL9502">
        <v>1</v>
      </c>
      <c r="AM9502">
        <v>1</v>
      </c>
    </row>
    <row r="9503" spans="1:39" x14ac:dyDescent="0.2">
      <c r="A9503" t="str">
        <f>"9499"</f>
        <v>9499</v>
      </c>
      <c r="B9503" t="str">
        <f t="shared" si="527"/>
        <v>1</v>
      </c>
      <c r="C9503" t="str">
        <f t="shared" si="528"/>
        <v>190</v>
      </c>
      <c r="D9503" t="str">
        <f>"38"</f>
        <v>38</v>
      </c>
      <c r="E9503" t="str">
        <f>"1-190-38"</f>
        <v>1-190-38</v>
      </c>
      <c r="F9503" t="s">
        <v>65</v>
      </c>
      <c r="G9503" t="s">
        <v>66</v>
      </c>
      <c r="H9503" t="s">
        <v>67</v>
      </c>
      <c r="S9503">
        <v>1</v>
      </c>
      <c r="T9503">
        <v>0</v>
      </c>
      <c r="U9503">
        <v>0</v>
      </c>
      <c r="V9503">
        <v>0</v>
      </c>
      <c r="W9503">
        <v>1</v>
      </c>
      <c r="X9503">
        <v>0</v>
      </c>
      <c r="Y9503">
        <v>1</v>
      </c>
      <c r="Z9503">
        <v>0</v>
      </c>
      <c r="AA9503">
        <v>1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1</v>
      </c>
      <c r="AH9503">
        <v>1</v>
      </c>
      <c r="AI9503">
        <v>1</v>
      </c>
      <c r="AJ9503">
        <v>1</v>
      </c>
      <c r="AK9503">
        <v>1</v>
      </c>
      <c r="AL9503">
        <v>1</v>
      </c>
      <c r="AM9503">
        <v>1</v>
      </c>
    </row>
    <row r="9504" spans="1:39" x14ac:dyDescent="0.2">
      <c r="A9504" t="str">
        <f>"9500"</f>
        <v>9500</v>
      </c>
      <c r="B9504" t="str">
        <f t="shared" si="527"/>
        <v>1</v>
      </c>
      <c r="C9504" t="str">
        <f t="shared" si="528"/>
        <v>190</v>
      </c>
      <c r="D9504" t="str">
        <f>"21"</f>
        <v>21</v>
      </c>
      <c r="E9504" t="str">
        <f>"1-190-21"</f>
        <v>1-190-21</v>
      </c>
      <c r="F9504" t="s">
        <v>65</v>
      </c>
      <c r="G9504" t="s">
        <v>66</v>
      </c>
      <c r="H9504" t="s">
        <v>67</v>
      </c>
      <c r="S9504">
        <v>1</v>
      </c>
      <c r="T9504">
        <v>0</v>
      </c>
      <c r="U9504">
        <v>0</v>
      </c>
      <c r="V9504">
        <v>0</v>
      </c>
      <c r="W9504">
        <v>1</v>
      </c>
      <c r="X9504">
        <v>0</v>
      </c>
      <c r="Y9504">
        <v>0</v>
      </c>
      <c r="Z9504">
        <v>1</v>
      </c>
      <c r="AA9504">
        <v>0</v>
      </c>
      <c r="AB9504">
        <v>0</v>
      </c>
      <c r="AC9504">
        <v>1</v>
      </c>
      <c r="AD9504">
        <v>1</v>
      </c>
      <c r="AE9504">
        <v>0</v>
      </c>
      <c r="AF9504">
        <v>0</v>
      </c>
      <c r="AG9504">
        <v>0</v>
      </c>
      <c r="AH9504">
        <v>1</v>
      </c>
      <c r="AI9504">
        <v>1</v>
      </c>
      <c r="AJ9504">
        <v>1</v>
      </c>
      <c r="AK9504">
        <v>0</v>
      </c>
      <c r="AL9504">
        <v>1</v>
      </c>
      <c r="AM9504">
        <v>1</v>
      </c>
    </row>
    <row r="9505" spans="1:39" x14ac:dyDescent="0.2">
      <c r="A9505" t="str">
        <f>"9501"</f>
        <v>9501</v>
      </c>
      <c r="B9505" t="str">
        <f t="shared" si="527"/>
        <v>1</v>
      </c>
      <c r="C9505" t="str">
        <f t="shared" ref="C9505:C9536" si="529">"191"</f>
        <v>191</v>
      </c>
      <c r="D9505" t="str">
        <f>"34"</f>
        <v>34</v>
      </c>
      <c r="E9505" t="str">
        <f>"1-191-34"</f>
        <v>1-191-34</v>
      </c>
      <c r="F9505" t="s">
        <v>65</v>
      </c>
      <c r="G9505" t="s">
        <v>66</v>
      </c>
      <c r="H9505" t="s">
        <v>67</v>
      </c>
      <c r="S9505">
        <v>0</v>
      </c>
      <c r="T9505">
        <v>1</v>
      </c>
      <c r="U9505">
        <v>0</v>
      </c>
      <c r="V9505">
        <v>0</v>
      </c>
      <c r="W9505">
        <v>0</v>
      </c>
      <c r="X9505">
        <v>1</v>
      </c>
      <c r="Y9505">
        <v>0</v>
      </c>
      <c r="Z9505">
        <v>1</v>
      </c>
      <c r="AA9505">
        <v>0</v>
      </c>
      <c r="AB9505">
        <v>0</v>
      </c>
      <c r="AC9505">
        <v>1</v>
      </c>
      <c r="AD9505">
        <v>1</v>
      </c>
      <c r="AE9505">
        <v>1</v>
      </c>
      <c r="AF9505">
        <v>1</v>
      </c>
      <c r="AG9505">
        <v>1</v>
      </c>
      <c r="AH9505">
        <v>1</v>
      </c>
      <c r="AI9505">
        <v>1</v>
      </c>
      <c r="AJ9505">
        <v>1</v>
      </c>
      <c r="AK9505">
        <v>1</v>
      </c>
      <c r="AL9505">
        <v>1</v>
      </c>
      <c r="AM9505">
        <v>1</v>
      </c>
    </row>
    <row r="9506" spans="1:39" x14ac:dyDescent="0.2">
      <c r="A9506" t="str">
        <f>"9502"</f>
        <v>9502</v>
      </c>
      <c r="B9506" t="str">
        <f t="shared" si="527"/>
        <v>1</v>
      </c>
      <c r="C9506" t="str">
        <f t="shared" si="529"/>
        <v>191</v>
      </c>
      <c r="D9506" t="str">
        <f>"33"</f>
        <v>33</v>
      </c>
      <c r="E9506" t="str">
        <f>"1-191-33"</f>
        <v>1-191-33</v>
      </c>
      <c r="F9506" t="s">
        <v>65</v>
      </c>
      <c r="G9506" t="s">
        <v>66</v>
      </c>
      <c r="H9506" t="s">
        <v>67</v>
      </c>
      <c r="S9506">
        <v>0</v>
      </c>
      <c r="T9506">
        <v>1</v>
      </c>
      <c r="U9506">
        <v>0</v>
      </c>
      <c r="V9506">
        <v>0</v>
      </c>
      <c r="W9506">
        <v>1</v>
      </c>
      <c r="X9506">
        <v>0</v>
      </c>
      <c r="Y9506">
        <v>0</v>
      </c>
      <c r="Z9506">
        <v>1</v>
      </c>
      <c r="AA9506">
        <v>0</v>
      </c>
      <c r="AB9506">
        <v>1</v>
      </c>
      <c r="AC9506">
        <v>0</v>
      </c>
      <c r="AD9506">
        <v>1</v>
      </c>
      <c r="AE9506">
        <v>1</v>
      </c>
      <c r="AF9506">
        <v>1</v>
      </c>
      <c r="AG9506">
        <v>1</v>
      </c>
      <c r="AH9506">
        <v>1</v>
      </c>
      <c r="AI9506">
        <v>1</v>
      </c>
      <c r="AJ9506">
        <v>1</v>
      </c>
      <c r="AK9506">
        <v>1</v>
      </c>
      <c r="AL9506">
        <v>1</v>
      </c>
      <c r="AM9506">
        <v>1</v>
      </c>
    </row>
    <row r="9507" spans="1:39" x14ac:dyDescent="0.2">
      <c r="A9507" t="str">
        <f>"9503"</f>
        <v>9503</v>
      </c>
      <c r="B9507" t="str">
        <f t="shared" si="527"/>
        <v>1</v>
      </c>
      <c r="C9507" t="str">
        <f t="shared" si="529"/>
        <v>191</v>
      </c>
      <c r="D9507" t="str">
        <f>"22"</f>
        <v>22</v>
      </c>
      <c r="E9507" t="str">
        <f>"1-191-22"</f>
        <v>1-191-22</v>
      </c>
      <c r="F9507" t="s">
        <v>65</v>
      </c>
      <c r="G9507" t="s">
        <v>66</v>
      </c>
      <c r="H9507" t="s">
        <v>67</v>
      </c>
      <c r="S9507">
        <v>1</v>
      </c>
      <c r="T9507">
        <v>0</v>
      </c>
      <c r="U9507">
        <v>0</v>
      </c>
      <c r="V9507">
        <v>0</v>
      </c>
      <c r="W9507">
        <v>1</v>
      </c>
      <c r="X9507">
        <v>0</v>
      </c>
      <c r="Y9507">
        <v>1</v>
      </c>
      <c r="Z9507">
        <v>0</v>
      </c>
      <c r="AA9507">
        <v>1</v>
      </c>
      <c r="AB9507">
        <v>0</v>
      </c>
      <c r="AC9507">
        <v>0</v>
      </c>
      <c r="AD9507">
        <v>1</v>
      </c>
      <c r="AE9507">
        <v>1</v>
      </c>
      <c r="AF9507">
        <v>1</v>
      </c>
      <c r="AG9507">
        <v>1</v>
      </c>
      <c r="AH9507">
        <v>1</v>
      </c>
      <c r="AI9507">
        <v>1</v>
      </c>
      <c r="AJ9507">
        <v>1</v>
      </c>
      <c r="AK9507">
        <v>1</v>
      </c>
      <c r="AL9507">
        <v>1</v>
      </c>
      <c r="AM9507">
        <v>1</v>
      </c>
    </row>
    <row r="9508" spans="1:39" x14ac:dyDescent="0.2">
      <c r="A9508" t="str">
        <f>"9504"</f>
        <v>9504</v>
      </c>
      <c r="B9508" t="str">
        <f t="shared" si="527"/>
        <v>1</v>
      </c>
      <c r="C9508" t="str">
        <f t="shared" si="529"/>
        <v>191</v>
      </c>
      <c r="D9508" t="str">
        <f>"15"</f>
        <v>15</v>
      </c>
      <c r="E9508" t="str">
        <f>"1-191-15"</f>
        <v>1-191-15</v>
      </c>
      <c r="F9508" t="s">
        <v>65</v>
      </c>
      <c r="G9508" t="s">
        <v>66</v>
      </c>
      <c r="H9508" t="s">
        <v>67</v>
      </c>
      <c r="S9508">
        <v>0</v>
      </c>
      <c r="T9508">
        <v>1</v>
      </c>
      <c r="U9508">
        <v>0</v>
      </c>
      <c r="V9508">
        <v>0</v>
      </c>
      <c r="W9508">
        <v>0</v>
      </c>
      <c r="X9508">
        <v>1</v>
      </c>
      <c r="Y9508">
        <v>0</v>
      </c>
      <c r="Z9508">
        <v>1</v>
      </c>
      <c r="AA9508">
        <v>0</v>
      </c>
      <c r="AB9508">
        <v>0</v>
      </c>
      <c r="AC9508">
        <v>1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</row>
    <row r="9509" spans="1:39" x14ac:dyDescent="0.2">
      <c r="A9509" t="str">
        <f>"9505"</f>
        <v>9505</v>
      </c>
      <c r="B9509" t="str">
        <f t="shared" si="527"/>
        <v>1</v>
      </c>
      <c r="C9509" t="str">
        <f t="shared" si="529"/>
        <v>191</v>
      </c>
      <c r="D9509" t="str">
        <f>"1"</f>
        <v>1</v>
      </c>
      <c r="E9509" t="str">
        <f>"1-191-1"</f>
        <v>1-191-1</v>
      </c>
      <c r="F9509" t="s">
        <v>65</v>
      </c>
      <c r="G9509" t="s">
        <v>66</v>
      </c>
      <c r="H9509" t="s">
        <v>67</v>
      </c>
      <c r="S9509">
        <v>0</v>
      </c>
      <c r="T9509">
        <v>1</v>
      </c>
      <c r="U9509">
        <v>0</v>
      </c>
      <c r="V9509">
        <v>0</v>
      </c>
      <c r="W9509">
        <v>1</v>
      </c>
      <c r="X9509">
        <v>0</v>
      </c>
      <c r="Y9509">
        <v>1</v>
      </c>
      <c r="Z9509">
        <v>0</v>
      </c>
      <c r="AA9509">
        <v>1</v>
      </c>
      <c r="AB9509">
        <v>0</v>
      </c>
      <c r="AC9509">
        <v>0</v>
      </c>
      <c r="AD9509">
        <v>1</v>
      </c>
      <c r="AE9509">
        <v>1</v>
      </c>
      <c r="AF9509">
        <v>1</v>
      </c>
      <c r="AG9509">
        <v>1</v>
      </c>
      <c r="AH9509">
        <v>1</v>
      </c>
      <c r="AI9509">
        <v>1</v>
      </c>
      <c r="AJ9509">
        <v>1</v>
      </c>
      <c r="AK9509">
        <v>1</v>
      </c>
      <c r="AL9509">
        <v>1</v>
      </c>
      <c r="AM9509">
        <v>1</v>
      </c>
    </row>
    <row r="9510" spans="1:39" x14ac:dyDescent="0.2">
      <c r="A9510" t="str">
        <f>"9506"</f>
        <v>9506</v>
      </c>
      <c r="B9510" t="str">
        <f t="shared" si="527"/>
        <v>1</v>
      </c>
      <c r="C9510" t="str">
        <f t="shared" si="529"/>
        <v>191</v>
      </c>
      <c r="D9510" t="str">
        <f>"42"</f>
        <v>42</v>
      </c>
      <c r="E9510" t="str">
        <f>"1-191-42"</f>
        <v>1-191-42</v>
      </c>
      <c r="F9510" t="s">
        <v>65</v>
      </c>
      <c r="G9510" t="s">
        <v>66</v>
      </c>
      <c r="H9510" t="s">
        <v>67</v>
      </c>
      <c r="S9510">
        <v>1</v>
      </c>
      <c r="T9510">
        <v>0</v>
      </c>
      <c r="U9510">
        <v>0</v>
      </c>
      <c r="V9510">
        <v>0</v>
      </c>
      <c r="W9510">
        <v>1</v>
      </c>
      <c r="X9510">
        <v>0</v>
      </c>
      <c r="Y9510">
        <v>1</v>
      </c>
      <c r="Z9510">
        <v>0</v>
      </c>
      <c r="AA9510">
        <v>1</v>
      </c>
      <c r="AB9510">
        <v>0</v>
      </c>
      <c r="AC9510">
        <v>0</v>
      </c>
      <c r="AD9510">
        <v>1</v>
      </c>
      <c r="AE9510">
        <v>1</v>
      </c>
      <c r="AF9510">
        <v>1</v>
      </c>
      <c r="AG9510">
        <v>1</v>
      </c>
      <c r="AH9510">
        <v>1</v>
      </c>
      <c r="AI9510">
        <v>1</v>
      </c>
      <c r="AJ9510">
        <v>1</v>
      </c>
      <c r="AK9510">
        <v>1</v>
      </c>
      <c r="AL9510">
        <v>1</v>
      </c>
      <c r="AM9510">
        <v>1</v>
      </c>
    </row>
    <row r="9511" spans="1:39" x14ac:dyDescent="0.2">
      <c r="A9511" t="str">
        <f>"9507"</f>
        <v>9507</v>
      </c>
      <c r="B9511" t="str">
        <f t="shared" si="527"/>
        <v>1</v>
      </c>
      <c r="C9511" t="str">
        <f t="shared" si="529"/>
        <v>191</v>
      </c>
      <c r="D9511" t="str">
        <f>"41"</f>
        <v>41</v>
      </c>
      <c r="E9511" t="str">
        <f>"1-191-41"</f>
        <v>1-191-41</v>
      </c>
      <c r="F9511" t="s">
        <v>65</v>
      </c>
      <c r="G9511" t="s">
        <v>66</v>
      </c>
      <c r="H9511" t="s">
        <v>67</v>
      </c>
      <c r="S9511">
        <v>0</v>
      </c>
      <c r="T9511">
        <v>1</v>
      </c>
      <c r="U9511">
        <v>0</v>
      </c>
      <c r="V9511">
        <v>0</v>
      </c>
      <c r="W9511">
        <v>0</v>
      </c>
      <c r="X9511">
        <v>1</v>
      </c>
      <c r="Y9511">
        <v>0</v>
      </c>
      <c r="Z9511">
        <v>1</v>
      </c>
      <c r="AA9511">
        <v>0</v>
      </c>
      <c r="AB9511">
        <v>0</v>
      </c>
      <c r="AC9511">
        <v>1</v>
      </c>
      <c r="AD9511">
        <v>1</v>
      </c>
      <c r="AE9511">
        <v>1</v>
      </c>
      <c r="AF9511">
        <v>1</v>
      </c>
      <c r="AG9511">
        <v>1</v>
      </c>
      <c r="AH9511">
        <v>1</v>
      </c>
      <c r="AI9511">
        <v>1</v>
      </c>
      <c r="AJ9511">
        <v>1</v>
      </c>
      <c r="AK9511">
        <v>1</v>
      </c>
      <c r="AL9511">
        <v>1</v>
      </c>
      <c r="AM9511">
        <v>1</v>
      </c>
    </row>
    <row r="9512" spans="1:39" x14ac:dyDescent="0.2">
      <c r="A9512" t="str">
        <f>"9508"</f>
        <v>9508</v>
      </c>
      <c r="B9512" t="str">
        <f t="shared" si="527"/>
        <v>1</v>
      </c>
      <c r="C9512" t="str">
        <f t="shared" si="529"/>
        <v>191</v>
      </c>
      <c r="D9512" t="str">
        <f>"31"</f>
        <v>31</v>
      </c>
      <c r="E9512" t="str">
        <f>"1-191-31"</f>
        <v>1-191-31</v>
      </c>
      <c r="F9512" t="s">
        <v>65</v>
      </c>
      <c r="G9512" t="s">
        <v>66</v>
      </c>
      <c r="H9512" t="s">
        <v>67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1</v>
      </c>
      <c r="Y9512">
        <v>0</v>
      </c>
      <c r="Z9512">
        <v>0</v>
      </c>
      <c r="AA9512">
        <v>0</v>
      </c>
      <c r="AB9512">
        <v>0</v>
      </c>
      <c r="AC9512">
        <v>1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</row>
    <row r="9513" spans="1:39" x14ac:dyDescent="0.2">
      <c r="A9513" t="str">
        <f>"9509"</f>
        <v>9509</v>
      </c>
      <c r="B9513" t="str">
        <f t="shared" si="527"/>
        <v>1</v>
      </c>
      <c r="C9513" t="str">
        <f t="shared" si="529"/>
        <v>191</v>
      </c>
      <c r="D9513" t="str">
        <f>"16"</f>
        <v>16</v>
      </c>
      <c r="E9513" t="str">
        <f>"1-191-16"</f>
        <v>1-191-16</v>
      </c>
      <c r="F9513" t="s">
        <v>65</v>
      </c>
      <c r="G9513" t="s">
        <v>66</v>
      </c>
      <c r="H9513" t="s">
        <v>67</v>
      </c>
      <c r="S9513">
        <v>1</v>
      </c>
      <c r="T9513">
        <v>0</v>
      </c>
      <c r="U9513">
        <v>0</v>
      </c>
      <c r="V9513">
        <v>0</v>
      </c>
      <c r="W9513">
        <v>1</v>
      </c>
      <c r="X9513">
        <v>0</v>
      </c>
      <c r="Y9513">
        <v>1</v>
      </c>
      <c r="Z9513">
        <v>0</v>
      </c>
      <c r="AA9513">
        <v>1</v>
      </c>
      <c r="AB9513">
        <v>0</v>
      </c>
      <c r="AC9513">
        <v>0</v>
      </c>
      <c r="AD9513">
        <v>1</v>
      </c>
      <c r="AE9513">
        <v>1</v>
      </c>
      <c r="AF9513">
        <v>1</v>
      </c>
      <c r="AG9513">
        <v>1</v>
      </c>
      <c r="AH9513">
        <v>1</v>
      </c>
      <c r="AI9513">
        <v>1</v>
      </c>
      <c r="AJ9513">
        <v>1</v>
      </c>
      <c r="AK9513">
        <v>1</v>
      </c>
      <c r="AL9513">
        <v>1</v>
      </c>
      <c r="AM9513">
        <v>1</v>
      </c>
    </row>
    <row r="9514" spans="1:39" x14ac:dyDescent="0.2">
      <c r="A9514" t="str">
        <f>"9510"</f>
        <v>9510</v>
      </c>
      <c r="B9514" t="str">
        <f t="shared" si="527"/>
        <v>1</v>
      </c>
      <c r="C9514" t="str">
        <f t="shared" si="529"/>
        <v>191</v>
      </c>
      <c r="D9514" t="str">
        <f>"7"</f>
        <v>7</v>
      </c>
      <c r="E9514" t="str">
        <f>"1-191-7"</f>
        <v>1-191-7</v>
      </c>
      <c r="F9514" t="s">
        <v>65</v>
      </c>
      <c r="G9514" t="s">
        <v>66</v>
      </c>
      <c r="H9514" t="s">
        <v>67</v>
      </c>
      <c r="S9514">
        <v>1</v>
      </c>
      <c r="T9514">
        <v>0</v>
      </c>
      <c r="U9514">
        <v>0</v>
      </c>
      <c r="V9514">
        <v>0</v>
      </c>
      <c r="W9514">
        <v>1</v>
      </c>
      <c r="X9514">
        <v>0</v>
      </c>
      <c r="Y9514">
        <v>1</v>
      </c>
      <c r="Z9514">
        <v>0</v>
      </c>
      <c r="AA9514">
        <v>0</v>
      </c>
      <c r="AB9514">
        <v>0</v>
      </c>
      <c r="AC9514">
        <v>1</v>
      </c>
      <c r="AD9514">
        <v>1</v>
      </c>
      <c r="AE9514">
        <v>1</v>
      </c>
      <c r="AF9514">
        <v>1</v>
      </c>
      <c r="AG9514">
        <v>1</v>
      </c>
      <c r="AH9514">
        <v>1</v>
      </c>
      <c r="AI9514">
        <v>1</v>
      </c>
      <c r="AJ9514">
        <v>1</v>
      </c>
      <c r="AK9514">
        <v>1</v>
      </c>
      <c r="AL9514">
        <v>1</v>
      </c>
      <c r="AM9514">
        <v>1</v>
      </c>
    </row>
    <row r="9515" spans="1:39" x14ac:dyDescent="0.2">
      <c r="A9515" t="str">
        <f>"9511"</f>
        <v>9511</v>
      </c>
      <c r="B9515" t="str">
        <f t="shared" si="527"/>
        <v>1</v>
      </c>
      <c r="C9515" t="str">
        <f t="shared" si="529"/>
        <v>191</v>
      </c>
      <c r="D9515" t="str">
        <f>"40"</f>
        <v>40</v>
      </c>
      <c r="E9515" t="str">
        <f>"1-191-40"</f>
        <v>1-191-40</v>
      </c>
      <c r="F9515" t="s">
        <v>65</v>
      </c>
      <c r="G9515" t="s">
        <v>66</v>
      </c>
      <c r="H9515" t="s">
        <v>67</v>
      </c>
      <c r="S9515">
        <v>1</v>
      </c>
      <c r="T9515">
        <v>0</v>
      </c>
      <c r="U9515">
        <v>0</v>
      </c>
      <c r="V9515">
        <v>0</v>
      </c>
      <c r="W9515">
        <v>1</v>
      </c>
      <c r="X9515">
        <v>0</v>
      </c>
      <c r="Y9515">
        <v>0</v>
      </c>
      <c r="Z9515">
        <v>1</v>
      </c>
      <c r="AA9515">
        <v>1</v>
      </c>
      <c r="AB9515">
        <v>0</v>
      </c>
      <c r="AC9515">
        <v>0</v>
      </c>
      <c r="AD9515">
        <v>1</v>
      </c>
      <c r="AE9515">
        <v>1</v>
      </c>
      <c r="AF9515">
        <v>1</v>
      </c>
      <c r="AG9515">
        <v>1</v>
      </c>
      <c r="AH9515">
        <v>1</v>
      </c>
      <c r="AI9515">
        <v>1</v>
      </c>
      <c r="AJ9515">
        <v>1</v>
      </c>
      <c r="AK9515">
        <v>1</v>
      </c>
      <c r="AL9515">
        <v>1</v>
      </c>
      <c r="AM9515">
        <v>0</v>
      </c>
    </row>
    <row r="9516" spans="1:39" x14ac:dyDescent="0.2">
      <c r="A9516" t="str">
        <f>"9512"</f>
        <v>9512</v>
      </c>
      <c r="B9516" t="str">
        <f t="shared" si="527"/>
        <v>1</v>
      </c>
      <c r="C9516" t="str">
        <f t="shared" si="529"/>
        <v>191</v>
      </c>
      <c r="D9516" t="str">
        <f>"39"</f>
        <v>39</v>
      </c>
      <c r="E9516" t="str">
        <f>"1-191-39"</f>
        <v>1-191-39</v>
      </c>
      <c r="F9516" t="s">
        <v>65</v>
      </c>
      <c r="G9516" t="s">
        <v>66</v>
      </c>
      <c r="H9516" t="s">
        <v>67</v>
      </c>
      <c r="S9516">
        <v>0</v>
      </c>
      <c r="T9516">
        <v>1</v>
      </c>
      <c r="U9516">
        <v>0</v>
      </c>
      <c r="V9516">
        <v>0</v>
      </c>
      <c r="W9516">
        <v>0</v>
      </c>
      <c r="X9516">
        <v>1</v>
      </c>
      <c r="Y9516">
        <v>0</v>
      </c>
      <c r="Z9516">
        <v>1</v>
      </c>
      <c r="AA9516">
        <v>0</v>
      </c>
      <c r="AB9516">
        <v>0</v>
      </c>
      <c r="AC9516">
        <v>1</v>
      </c>
      <c r="AD9516">
        <v>1</v>
      </c>
      <c r="AE9516">
        <v>1</v>
      </c>
      <c r="AF9516">
        <v>1</v>
      </c>
      <c r="AG9516">
        <v>1</v>
      </c>
      <c r="AH9516">
        <v>1</v>
      </c>
      <c r="AI9516">
        <v>1</v>
      </c>
      <c r="AJ9516">
        <v>1</v>
      </c>
      <c r="AK9516">
        <v>1</v>
      </c>
      <c r="AL9516">
        <v>1</v>
      </c>
      <c r="AM9516">
        <v>1</v>
      </c>
    </row>
    <row r="9517" spans="1:39" x14ac:dyDescent="0.2">
      <c r="A9517" t="str">
        <f>"9513"</f>
        <v>9513</v>
      </c>
      <c r="B9517" t="str">
        <f t="shared" si="527"/>
        <v>1</v>
      </c>
      <c r="C9517" t="str">
        <f t="shared" si="529"/>
        <v>191</v>
      </c>
      <c r="D9517" t="str">
        <f>"30"</f>
        <v>30</v>
      </c>
      <c r="E9517" t="str">
        <f>"1-191-30"</f>
        <v>1-191-30</v>
      </c>
      <c r="F9517" t="s">
        <v>65</v>
      </c>
      <c r="G9517" t="s">
        <v>66</v>
      </c>
      <c r="H9517" t="s">
        <v>67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1</v>
      </c>
      <c r="Y9517">
        <v>0</v>
      </c>
      <c r="Z9517">
        <v>1</v>
      </c>
      <c r="AA9517">
        <v>0</v>
      </c>
      <c r="AB9517">
        <v>0</v>
      </c>
      <c r="AC9517">
        <v>1</v>
      </c>
      <c r="AD9517">
        <v>0</v>
      </c>
      <c r="AE9517">
        <v>0</v>
      </c>
      <c r="AF9517">
        <v>0</v>
      </c>
      <c r="AG9517">
        <v>0</v>
      </c>
      <c r="AH9517">
        <v>1</v>
      </c>
      <c r="AI9517">
        <v>1</v>
      </c>
      <c r="AJ9517">
        <v>1</v>
      </c>
      <c r="AK9517">
        <v>1</v>
      </c>
      <c r="AL9517">
        <v>1</v>
      </c>
      <c r="AM9517">
        <v>0</v>
      </c>
    </row>
    <row r="9518" spans="1:39" x14ac:dyDescent="0.2">
      <c r="A9518" t="str">
        <f>"9514"</f>
        <v>9514</v>
      </c>
      <c r="B9518" t="str">
        <f t="shared" si="527"/>
        <v>1</v>
      </c>
      <c r="C9518" t="str">
        <f t="shared" si="529"/>
        <v>191</v>
      </c>
      <c r="D9518" t="str">
        <f>"17"</f>
        <v>17</v>
      </c>
      <c r="E9518" t="str">
        <f>"1-191-17"</f>
        <v>1-191-17</v>
      </c>
      <c r="F9518" t="s">
        <v>65</v>
      </c>
      <c r="G9518" t="s">
        <v>66</v>
      </c>
      <c r="H9518" t="s">
        <v>67</v>
      </c>
      <c r="S9518">
        <v>1</v>
      </c>
      <c r="T9518">
        <v>0</v>
      </c>
      <c r="U9518">
        <v>0</v>
      </c>
      <c r="V9518">
        <v>0</v>
      </c>
      <c r="W9518">
        <v>1</v>
      </c>
      <c r="X9518">
        <v>0</v>
      </c>
      <c r="Y9518">
        <v>0</v>
      </c>
      <c r="Z9518">
        <v>1</v>
      </c>
      <c r="AA9518">
        <v>0</v>
      </c>
      <c r="AB9518">
        <v>1</v>
      </c>
      <c r="AC9518">
        <v>0</v>
      </c>
      <c r="AD9518">
        <v>1</v>
      </c>
      <c r="AE9518">
        <v>1</v>
      </c>
      <c r="AF9518">
        <v>1</v>
      </c>
      <c r="AG9518">
        <v>1</v>
      </c>
      <c r="AH9518">
        <v>1</v>
      </c>
      <c r="AI9518">
        <v>1</v>
      </c>
      <c r="AJ9518">
        <v>1</v>
      </c>
      <c r="AK9518">
        <v>1</v>
      </c>
      <c r="AL9518">
        <v>1</v>
      </c>
      <c r="AM9518">
        <v>1</v>
      </c>
    </row>
    <row r="9519" spans="1:39" x14ac:dyDescent="0.2">
      <c r="A9519" t="str">
        <f>"9515"</f>
        <v>9515</v>
      </c>
      <c r="B9519" t="str">
        <f t="shared" si="527"/>
        <v>1</v>
      </c>
      <c r="C9519" t="str">
        <f t="shared" si="529"/>
        <v>191</v>
      </c>
      <c r="D9519" t="str">
        <f>"2"</f>
        <v>2</v>
      </c>
      <c r="E9519" t="str">
        <f>"1-191-2"</f>
        <v>1-191-2</v>
      </c>
      <c r="F9519" t="s">
        <v>65</v>
      </c>
      <c r="G9519" t="s">
        <v>66</v>
      </c>
      <c r="H9519" t="s">
        <v>67</v>
      </c>
      <c r="S9519">
        <v>1</v>
      </c>
      <c r="T9519">
        <v>0</v>
      </c>
      <c r="U9519">
        <v>0</v>
      </c>
      <c r="V9519">
        <v>0</v>
      </c>
      <c r="W9519">
        <v>0</v>
      </c>
      <c r="X9519">
        <v>1</v>
      </c>
      <c r="Y9519">
        <v>1</v>
      </c>
      <c r="Z9519">
        <v>0</v>
      </c>
      <c r="AA9519">
        <v>0</v>
      </c>
      <c r="AB9519">
        <v>0</v>
      </c>
      <c r="AC9519">
        <v>1</v>
      </c>
      <c r="AD9519">
        <v>1</v>
      </c>
      <c r="AE9519">
        <v>1</v>
      </c>
      <c r="AF9519">
        <v>1</v>
      </c>
      <c r="AG9519">
        <v>1</v>
      </c>
      <c r="AH9519">
        <v>1</v>
      </c>
      <c r="AI9519">
        <v>1</v>
      </c>
      <c r="AJ9519">
        <v>1</v>
      </c>
      <c r="AK9519">
        <v>1</v>
      </c>
      <c r="AL9519">
        <v>1</v>
      </c>
      <c r="AM9519">
        <v>1</v>
      </c>
    </row>
    <row r="9520" spans="1:39" x14ac:dyDescent="0.2">
      <c r="A9520" t="str">
        <f>"9516"</f>
        <v>9516</v>
      </c>
      <c r="B9520" t="str">
        <f t="shared" si="527"/>
        <v>1</v>
      </c>
      <c r="C9520" t="str">
        <f t="shared" si="529"/>
        <v>191</v>
      </c>
      <c r="D9520" t="str">
        <f>"36"</f>
        <v>36</v>
      </c>
      <c r="E9520" t="str">
        <f>"1-191-36"</f>
        <v>1-191-36</v>
      </c>
      <c r="F9520" t="s">
        <v>65</v>
      </c>
      <c r="G9520" t="s">
        <v>66</v>
      </c>
      <c r="H9520" t="s">
        <v>67</v>
      </c>
      <c r="S9520">
        <v>1</v>
      </c>
      <c r="T9520">
        <v>0</v>
      </c>
      <c r="U9520">
        <v>0</v>
      </c>
      <c r="V9520">
        <v>0</v>
      </c>
      <c r="W9520">
        <v>1</v>
      </c>
      <c r="X9520">
        <v>0</v>
      </c>
      <c r="Y9520">
        <v>1</v>
      </c>
      <c r="Z9520">
        <v>0</v>
      </c>
      <c r="AA9520">
        <v>0</v>
      </c>
      <c r="AB9520">
        <v>1</v>
      </c>
      <c r="AC9520">
        <v>0</v>
      </c>
      <c r="AD9520">
        <v>1</v>
      </c>
      <c r="AE9520">
        <v>1</v>
      </c>
      <c r="AF9520">
        <v>1</v>
      </c>
      <c r="AG9520">
        <v>1</v>
      </c>
      <c r="AH9520">
        <v>1</v>
      </c>
      <c r="AI9520">
        <v>1</v>
      </c>
      <c r="AJ9520">
        <v>1</v>
      </c>
      <c r="AK9520">
        <v>1</v>
      </c>
      <c r="AL9520">
        <v>1</v>
      </c>
      <c r="AM9520">
        <v>1</v>
      </c>
    </row>
    <row r="9521" spans="1:39" x14ac:dyDescent="0.2">
      <c r="A9521" t="str">
        <f>"9517"</f>
        <v>9517</v>
      </c>
      <c r="B9521" t="str">
        <f t="shared" si="527"/>
        <v>1</v>
      </c>
      <c r="C9521" t="str">
        <f t="shared" si="529"/>
        <v>191</v>
      </c>
      <c r="D9521" t="str">
        <f>"35"</f>
        <v>35</v>
      </c>
      <c r="E9521" t="str">
        <f>"1-191-35"</f>
        <v>1-191-35</v>
      </c>
      <c r="F9521" t="s">
        <v>65</v>
      </c>
      <c r="G9521" t="s">
        <v>66</v>
      </c>
      <c r="H9521" t="s">
        <v>67</v>
      </c>
      <c r="S9521">
        <v>1</v>
      </c>
      <c r="T9521">
        <v>0</v>
      </c>
      <c r="U9521">
        <v>0</v>
      </c>
      <c r="V9521">
        <v>0</v>
      </c>
      <c r="W9521">
        <v>1</v>
      </c>
      <c r="X9521">
        <v>0</v>
      </c>
      <c r="Y9521">
        <v>1</v>
      </c>
      <c r="Z9521">
        <v>0</v>
      </c>
      <c r="AA9521">
        <v>0</v>
      </c>
      <c r="AB9521">
        <v>1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</row>
    <row r="9522" spans="1:39" x14ac:dyDescent="0.2">
      <c r="A9522" t="str">
        <f>"9518"</f>
        <v>9518</v>
      </c>
      <c r="B9522" t="str">
        <f t="shared" si="527"/>
        <v>1</v>
      </c>
      <c r="C9522" t="str">
        <f t="shared" si="529"/>
        <v>191</v>
      </c>
      <c r="D9522" t="str">
        <f>"24"</f>
        <v>24</v>
      </c>
      <c r="E9522" t="str">
        <f>"1-191-24"</f>
        <v>1-191-24</v>
      </c>
      <c r="F9522" t="s">
        <v>65</v>
      </c>
      <c r="G9522" t="s">
        <v>66</v>
      </c>
      <c r="H9522" t="s">
        <v>67</v>
      </c>
      <c r="S9522">
        <v>1</v>
      </c>
      <c r="T9522">
        <v>0</v>
      </c>
      <c r="U9522">
        <v>0</v>
      </c>
      <c r="V9522">
        <v>0</v>
      </c>
      <c r="W9522">
        <v>1</v>
      </c>
      <c r="X9522">
        <v>0</v>
      </c>
      <c r="Y9522">
        <v>1</v>
      </c>
      <c r="Z9522">
        <v>0</v>
      </c>
      <c r="AA9522">
        <v>1</v>
      </c>
      <c r="AB9522">
        <v>0</v>
      </c>
      <c r="AC9522">
        <v>0</v>
      </c>
      <c r="AD9522">
        <v>1</v>
      </c>
      <c r="AE9522">
        <v>1</v>
      </c>
      <c r="AF9522">
        <v>1</v>
      </c>
      <c r="AG9522">
        <v>1</v>
      </c>
      <c r="AH9522">
        <v>1</v>
      </c>
      <c r="AI9522">
        <v>1</v>
      </c>
      <c r="AJ9522">
        <v>1</v>
      </c>
      <c r="AK9522">
        <v>1</v>
      </c>
      <c r="AL9522">
        <v>1</v>
      </c>
      <c r="AM9522">
        <v>1</v>
      </c>
    </row>
    <row r="9523" spans="1:39" x14ac:dyDescent="0.2">
      <c r="A9523" t="str">
        <f>"9519"</f>
        <v>9519</v>
      </c>
      <c r="B9523" t="str">
        <f t="shared" si="527"/>
        <v>1</v>
      </c>
      <c r="C9523" t="str">
        <f t="shared" si="529"/>
        <v>191</v>
      </c>
      <c r="D9523" t="str">
        <f>"18"</f>
        <v>18</v>
      </c>
      <c r="E9523" t="str">
        <f>"1-191-18"</f>
        <v>1-191-18</v>
      </c>
      <c r="F9523" t="s">
        <v>65</v>
      </c>
      <c r="G9523" t="s">
        <v>66</v>
      </c>
      <c r="H9523" t="s">
        <v>67</v>
      </c>
      <c r="S9523">
        <v>1</v>
      </c>
      <c r="T9523">
        <v>0</v>
      </c>
      <c r="U9523">
        <v>0</v>
      </c>
      <c r="V9523">
        <v>0</v>
      </c>
      <c r="W9523">
        <v>1</v>
      </c>
      <c r="X9523">
        <v>0</v>
      </c>
      <c r="Y9523">
        <v>0</v>
      </c>
      <c r="Z9523">
        <v>1</v>
      </c>
      <c r="AA9523">
        <v>0</v>
      </c>
      <c r="AB9523">
        <v>1</v>
      </c>
      <c r="AC9523">
        <v>0</v>
      </c>
      <c r="AD9523">
        <v>1</v>
      </c>
      <c r="AE9523">
        <v>1</v>
      </c>
      <c r="AF9523">
        <v>1</v>
      </c>
      <c r="AG9523">
        <v>1</v>
      </c>
      <c r="AH9523">
        <v>1</v>
      </c>
      <c r="AI9523">
        <v>1</v>
      </c>
      <c r="AJ9523">
        <v>1</v>
      </c>
      <c r="AK9523">
        <v>1</v>
      </c>
      <c r="AL9523">
        <v>1</v>
      </c>
      <c r="AM9523">
        <v>1</v>
      </c>
    </row>
    <row r="9524" spans="1:39" x14ac:dyDescent="0.2">
      <c r="A9524" t="str">
        <f>"9520"</f>
        <v>9520</v>
      </c>
      <c r="B9524" t="str">
        <f t="shared" si="527"/>
        <v>1</v>
      </c>
      <c r="C9524" t="str">
        <f t="shared" si="529"/>
        <v>191</v>
      </c>
      <c r="D9524" t="str">
        <f>"11"</f>
        <v>11</v>
      </c>
      <c r="E9524" t="str">
        <f>"1-191-11"</f>
        <v>1-191-11</v>
      </c>
      <c r="F9524" t="s">
        <v>65</v>
      </c>
      <c r="G9524" t="s">
        <v>66</v>
      </c>
      <c r="H9524" t="s">
        <v>67</v>
      </c>
      <c r="S9524">
        <v>0</v>
      </c>
      <c r="T9524">
        <v>1</v>
      </c>
      <c r="U9524">
        <v>0</v>
      </c>
      <c r="V9524">
        <v>0</v>
      </c>
      <c r="W9524">
        <v>1</v>
      </c>
      <c r="X9524">
        <v>0</v>
      </c>
      <c r="Y9524">
        <v>0</v>
      </c>
      <c r="Z9524">
        <v>1</v>
      </c>
      <c r="AA9524">
        <v>0</v>
      </c>
      <c r="AB9524">
        <v>1</v>
      </c>
      <c r="AC9524">
        <v>0</v>
      </c>
      <c r="AD9524">
        <v>1</v>
      </c>
      <c r="AE9524">
        <v>1</v>
      </c>
      <c r="AF9524">
        <v>1</v>
      </c>
      <c r="AG9524">
        <v>1</v>
      </c>
      <c r="AH9524">
        <v>1</v>
      </c>
      <c r="AI9524">
        <v>1</v>
      </c>
      <c r="AJ9524">
        <v>1</v>
      </c>
      <c r="AK9524">
        <v>1</v>
      </c>
      <c r="AL9524">
        <v>1</v>
      </c>
      <c r="AM9524">
        <v>0</v>
      </c>
    </row>
    <row r="9525" spans="1:39" x14ac:dyDescent="0.2">
      <c r="A9525" t="str">
        <f>"9521"</f>
        <v>9521</v>
      </c>
      <c r="B9525" t="str">
        <f t="shared" si="527"/>
        <v>1</v>
      </c>
      <c r="C9525" t="str">
        <f t="shared" si="529"/>
        <v>191</v>
      </c>
      <c r="D9525" t="str">
        <f>"38"</f>
        <v>38</v>
      </c>
      <c r="E9525" t="str">
        <f>"1-191-38"</f>
        <v>1-191-38</v>
      </c>
      <c r="F9525" t="s">
        <v>65</v>
      </c>
      <c r="G9525" t="s">
        <v>66</v>
      </c>
      <c r="H9525" t="s">
        <v>67</v>
      </c>
      <c r="S9525">
        <v>1</v>
      </c>
      <c r="T9525">
        <v>0</v>
      </c>
      <c r="U9525">
        <v>0</v>
      </c>
      <c r="V9525">
        <v>0</v>
      </c>
      <c r="W9525">
        <v>1</v>
      </c>
      <c r="X9525">
        <v>0</v>
      </c>
      <c r="Y9525">
        <v>1</v>
      </c>
      <c r="Z9525">
        <v>0</v>
      </c>
      <c r="AA9525">
        <v>1</v>
      </c>
      <c r="AB9525">
        <v>0</v>
      </c>
      <c r="AC9525">
        <v>0</v>
      </c>
      <c r="AD9525">
        <v>1</v>
      </c>
      <c r="AE9525">
        <v>1</v>
      </c>
      <c r="AF9525">
        <v>1</v>
      </c>
      <c r="AG9525">
        <v>1</v>
      </c>
      <c r="AH9525">
        <v>1</v>
      </c>
      <c r="AI9525">
        <v>1</v>
      </c>
      <c r="AJ9525">
        <v>1</v>
      </c>
      <c r="AK9525">
        <v>1</v>
      </c>
      <c r="AL9525">
        <v>1</v>
      </c>
      <c r="AM9525">
        <v>0</v>
      </c>
    </row>
    <row r="9526" spans="1:39" x14ac:dyDescent="0.2">
      <c r="A9526" t="str">
        <f>"9522"</f>
        <v>9522</v>
      </c>
      <c r="B9526" t="str">
        <f t="shared" si="527"/>
        <v>1</v>
      </c>
      <c r="C9526" t="str">
        <f t="shared" si="529"/>
        <v>191</v>
      </c>
      <c r="D9526" t="str">
        <f>"19"</f>
        <v>19</v>
      </c>
      <c r="E9526" t="str">
        <f>"1-191-19"</f>
        <v>1-191-19</v>
      </c>
      <c r="F9526" t="s">
        <v>65</v>
      </c>
      <c r="G9526" t="s">
        <v>66</v>
      </c>
      <c r="H9526" t="s">
        <v>67</v>
      </c>
      <c r="S9526">
        <v>1</v>
      </c>
      <c r="T9526">
        <v>0</v>
      </c>
      <c r="U9526">
        <v>0</v>
      </c>
      <c r="V9526">
        <v>0</v>
      </c>
      <c r="W9526">
        <v>1</v>
      </c>
      <c r="X9526">
        <v>0</v>
      </c>
      <c r="Y9526">
        <v>0</v>
      </c>
      <c r="Z9526">
        <v>1</v>
      </c>
      <c r="AA9526">
        <v>0</v>
      </c>
      <c r="AB9526">
        <v>1</v>
      </c>
      <c r="AC9526">
        <v>0</v>
      </c>
      <c r="AD9526">
        <v>1</v>
      </c>
      <c r="AE9526">
        <v>1</v>
      </c>
      <c r="AF9526">
        <v>1</v>
      </c>
      <c r="AG9526">
        <v>1</v>
      </c>
      <c r="AH9526">
        <v>1</v>
      </c>
      <c r="AI9526">
        <v>1</v>
      </c>
      <c r="AJ9526">
        <v>1</v>
      </c>
      <c r="AK9526">
        <v>1</v>
      </c>
      <c r="AL9526">
        <v>1</v>
      </c>
      <c r="AM9526">
        <v>1</v>
      </c>
    </row>
    <row r="9527" spans="1:39" x14ac:dyDescent="0.2">
      <c r="A9527" t="str">
        <f>"9523"</f>
        <v>9523</v>
      </c>
      <c r="B9527" t="str">
        <f t="shared" ref="B9527:B9590" si="530">"1"</f>
        <v>1</v>
      </c>
      <c r="C9527" t="str">
        <f t="shared" si="529"/>
        <v>191</v>
      </c>
      <c r="D9527" t="str">
        <f>"8"</f>
        <v>8</v>
      </c>
      <c r="E9527" t="str">
        <f>"1-191-8"</f>
        <v>1-191-8</v>
      </c>
      <c r="F9527" t="s">
        <v>65</v>
      </c>
      <c r="G9527" t="s">
        <v>66</v>
      </c>
      <c r="H9527" t="s">
        <v>67</v>
      </c>
      <c r="S9527">
        <v>1</v>
      </c>
      <c r="T9527">
        <v>0</v>
      </c>
      <c r="U9527">
        <v>0</v>
      </c>
      <c r="V9527">
        <v>0</v>
      </c>
      <c r="W9527">
        <v>1</v>
      </c>
      <c r="X9527">
        <v>0</v>
      </c>
      <c r="Y9527">
        <v>1</v>
      </c>
      <c r="Z9527">
        <v>0</v>
      </c>
      <c r="AA9527">
        <v>0</v>
      </c>
      <c r="AB9527">
        <v>0</v>
      </c>
      <c r="AC9527">
        <v>1</v>
      </c>
      <c r="AD9527">
        <v>1</v>
      </c>
      <c r="AE9527">
        <v>1</v>
      </c>
      <c r="AF9527">
        <v>1</v>
      </c>
      <c r="AG9527">
        <v>1</v>
      </c>
      <c r="AH9527">
        <v>1</v>
      </c>
      <c r="AI9527">
        <v>1</v>
      </c>
      <c r="AJ9527">
        <v>1</v>
      </c>
      <c r="AK9527">
        <v>1</v>
      </c>
      <c r="AL9527">
        <v>1</v>
      </c>
      <c r="AM9527">
        <v>1</v>
      </c>
    </row>
    <row r="9528" spans="1:39" x14ac:dyDescent="0.2">
      <c r="A9528" t="str">
        <f>"9524"</f>
        <v>9524</v>
      </c>
      <c r="B9528" t="str">
        <f t="shared" si="530"/>
        <v>1</v>
      </c>
      <c r="C9528" t="str">
        <f t="shared" si="529"/>
        <v>191</v>
      </c>
      <c r="D9528" t="str">
        <f>"37"</f>
        <v>37</v>
      </c>
      <c r="E9528" t="str">
        <f>"1-191-37"</f>
        <v>1-191-37</v>
      </c>
      <c r="F9528" t="s">
        <v>65</v>
      </c>
      <c r="G9528" t="s">
        <v>66</v>
      </c>
      <c r="H9528" t="s">
        <v>67</v>
      </c>
      <c r="S9528">
        <v>0</v>
      </c>
      <c r="T9528">
        <v>1</v>
      </c>
      <c r="U9528">
        <v>0</v>
      </c>
      <c r="V9528">
        <v>0</v>
      </c>
      <c r="W9528">
        <v>0</v>
      </c>
      <c r="X9528">
        <v>1</v>
      </c>
      <c r="Y9528">
        <v>0</v>
      </c>
      <c r="Z9528">
        <v>1</v>
      </c>
      <c r="AA9528">
        <v>0</v>
      </c>
      <c r="AB9528">
        <v>0</v>
      </c>
      <c r="AC9528">
        <v>1</v>
      </c>
      <c r="AD9528">
        <v>1</v>
      </c>
      <c r="AE9528">
        <v>1</v>
      </c>
      <c r="AF9528">
        <v>1</v>
      </c>
      <c r="AG9528">
        <v>1</v>
      </c>
      <c r="AH9528">
        <v>1</v>
      </c>
      <c r="AI9528">
        <v>1</v>
      </c>
      <c r="AJ9528">
        <v>1</v>
      </c>
      <c r="AK9528">
        <v>1</v>
      </c>
      <c r="AL9528">
        <v>1</v>
      </c>
      <c r="AM9528">
        <v>1</v>
      </c>
    </row>
    <row r="9529" spans="1:39" x14ac:dyDescent="0.2">
      <c r="A9529" t="str">
        <f>"9525"</f>
        <v>9525</v>
      </c>
      <c r="B9529" t="str">
        <f t="shared" si="530"/>
        <v>1</v>
      </c>
      <c r="C9529" t="str">
        <f t="shared" si="529"/>
        <v>191</v>
      </c>
      <c r="D9529" t="str">
        <f>"20"</f>
        <v>20</v>
      </c>
      <c r="E9529" t="str">
        <f>"1-191-20"</f>
        <v>1-191-20</v>
      </c>
      <c r="F9529" t="s">
        <v>65</v>
      </c>
      <c r="G9529" t="s">
        <v>66</v>
      </c>
      <c r="H9529" t="s">
        <v>67</v>
      </c>
      <c r="S9529">
        <v>0</v>
      </c>
      <c r="T9529">
        <v>1</v>
      </c>
      <c r="U9529">
        <v>0</v>
      </c>
      <c r="V9529">
        <v>0</v>
      </c>
      <c r="W9529">
        <v>1</v>
      </c>
      <c r="X9529">
        <v>0</v>
      </c>
      <c r="Y9529">
        <v>1</v>
      </c>
      <c r="Z9529">
        <v>0</v>
      </c>
      <c r="AA9529">
        <v>1</v>
      </c>
      <c r="AB9529">
        <v>0</v>
      </c>
      <c r="AC9529">
        <v>0</v>
      </c>
      <c r="AD9529">
        <v>1</v>
      </c>
      <c r="AE9529">
        <v>1</v>
      </c>
      <c r="AF9529">
        <v>1</v>
      </c>
      <c r="AG9529">
        <v>1</v>
      </c>
      <c r="AH9529">
        <v>1</v>
      </c>
      <c r="AI9529">
        <v>1</v>
      </c>
      <c r="AJ9529">
        <v>1</v>
      </c>
      <c r="AK9529">
        <v>1</v>
      </c>
      <c r="AL9529">
        <v>1</v>
      </c>
      <c r="AM9529">
        <v>1</v>
      </c>
    </row>
    <row r="9530" spans="1:39" x14ac:dyDescent="0.2">
      <c r="A9530" t="str">
        <f>"9526"</f>
        <v>9526</v>
      </c>
      <c r="B9530" t="str">
        <f t="shared" si="530"/>
        <v>1</v>
      </c>
      <c r="C9530" t="str">
        <f t="shared" si="529"/>
        <v>191</v>
      </c>
      <c r="D9530" t="str">
        <f>"6"</f>
        <v>6</v>
      </c>
      <c r="E9530" t="str">
        <f>"1-191-6"</f>
        <v>1-191-6</v>
      </c>
      <c r="F9530" t="s">
        <v>65</v>
      </c>
      <c r="G9530" t="s">
        <v>66</v>
      </c>
      <c r="H9530" t="s">
        <v>67</v>
      </c>
      <c r="S9530">
        <v>0</v>
      </c>
      <c r="T9530">
        <v>0</v>
      </c>
      <c r="U9530">
        <v>0</v>
      </c>
      <c r="V9530">
        <v>0</v>
      </c>
      <c r="W9530">
        <v>1</v>
      </c>
      <c r="X9530">
        <v>0</v>
      </c>
      <c r="Y9530">
        <v>0</v>
      </c>
      <c r="Z9530">
        <v>1</v>
      </c>
      <c r="AA9530">
        <v>0</v>
      </c>
      <c r="AB9530">
        <v>0</v>
      </c>
      <c r="AC9530">
        <v>1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</row>
    <row r="9531" spans="1:39" x14ac:dyDescent="0.2">
      <c r="A9531" t="str">
        <f>"9527"</f>
        <v>9527</v>
      </c>
      <c r="B9531" t="str">
        <f t="shared" si="530"/>
        <v>1</v>
      </c>
      <c r="C9531" t="str">
        <f t="shared" si="529"/>
        <v>191</v>
      </c>
      <c r="D9531" t="str">
        <f>"43"</f>
        <v>43</v>
      </c>
      <c r="E9531" t="str">
        <f>"1-191-43"</f>
        <v>1-191-43</v>
      </c>
      <c r="F9531" t="s">
        <v>65</v>
      </c>
      <c r="G9531" t="s">
        <v>66</v>
      </c>
      <c r="H9531" t="s">
        <v>67</v>
      </c>
      <c r="S9531">
        <v>1</v>
      </c>
      <c r="T9531">
        <v>0</v>
      </c>
      <c r="U9531">
        <v>0</v>
      </c>
      <c r="V9531">
        <v>0</v>
      </c>
      <c r="W9531">
        <v>1</v>
      </c>
      <c r="X9531">
        <v>0</v>
      </c>
      <c r="Y9531">
        <v>1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1</v>
      </c>
      <c r="AM9531">
        <v>0</v>
      </c>
    </row>
    <row r="9532" spans="1:39" x14ac:dyDescent="0.2">
      <c r="A9532" t="str">
        <f>"9528"</f>
        <v>9528</v>
      </c>
      <c r="B9532" t="str">
        <f t="shared" si="530"/>
        <v>1</v>
      </c>
      <c r="C9532" t="str">
        <f t="shared" si="529"/>
        <v>191</v>
      </c>
      <c r="D9532" t="str">
        <f>"21"</f>
        <v>21</v>
      </c>
      <c r="E9532" t="str">
        <f>"1-191-21"</f>
        <v>1-191-21</v>
      </c>
      <c r="F9532" t="s">
        <v>65</v>
      </c>
      <c r="G9532" t="s">
        <v>66</v>
      </c>
      <c r="H9532" t="s">
        <v>67</v>
      </c>
      <c r="S9532">
        <v>1</v>
      </c>
      <c r="T9532">
        <v>0</v>
      </c>
      <c r="U9532">
        <v>0</v>
      </c>
      <c r="V9532">
        <v>0</v>
      </c>
      <c r="W9532">
        <v>1</v>
      </c>
      <c r="X9532">
        <v>0</v>
      </c>
      <c r="Y9532">
        <v>1</v>
      </c>
      <c r="Z9532">
        <v>0</v>
      </c>
      <c r="AA9532">
        <v>1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1</v>
      </c>
      <c r="AJ9532">
        <v>0</v>
      </c>
      <c r="AK9532">
        <v>0</v>
      </c>
      <c r="AL9532">
        <v>0</v>
      </c>
      <c r="AM9532">
        <v>0</v>
      </c>
    </row>
    <row r="9533" spans="1:39" x14ac:dyDescent="0.2">
      <c r="A9533" t="str">
        <f>"9529"</f>
        <v>9529</v>
      </c>
      <c r="B9533" t="str">
        <f t="shared" si="530"/>
        <v>1</v>
      </c>
      <c r="C9533" t="str">
        <f t="shared" si="529"/>
        <v>191</v>
      </c>
      <c r="D9533" t="str">
        <f>"3"</f>
        <v>3</v>
      </c>
      <c r="E9533" t="str">
        <f>"1-191-3"</f>
        <v>1-191-3</v>
      </c>
      <c r="F9533" t="s">
        <v>65</v>
      </c>
      <c r="G9533" t="s">
        <v>66</v>
      </c>
      <c r="H9533" t="s">
        <v>67</v>
      </c>
      <c r="S9533">
        <v>0</v>
      </c>
      <c r="T9533">
        <v>1</v>
      </c>
      <c r="U9533">
        <v>0</v>
      </c>
      <c r="V9533">
        <v>0</v>
      </c>
      <c r="W9533">
        <v>1</v>
      </c>
      <c r="X9533">
        <v>0</v>
      </c>
      <c r="Y9533">
        <v>1</v>
      </c>
      <c r="Z9533">
        <v>0</v>
      </c>
      <c r="AA9533">
        <v>1</v>
      </c>
      <c r="AB9533">
        <v>0</v>
      </c>
      <c r="AC9533">
        <v>0</v>
      </c>
      <c r="AD9533">
        <v>1</v>
      </c>
      <c r="AE9533">
        <v>1</v>
      </c>
      <c r="AF9533">
        <v>1</v>
      </c>
      <c r="AG9533">
        <v>1</v>
      </c>
      <c r="AH9533">
        <v>1</v>
      </c>
      <c r="AI9533">
        <v>1</v>
      </c>
      <c r="AJ9533">
        <v>1</v>
      </c>
      <c r="AK9533">
        <v>1</v>
      </c>
      <c r="AL9533">
        <v>1</v>
      </c>
      <c r="AM9533">
        <v>1</v>
      </c>
    </row>
    <row r="9534" spans="1:39" x14ac:dyDescent="0.2">
      <c r="A9534" t="str">
        <f>"9530"</f>
        <v>9530</v>
      </c>
      <c r="B9534" t="str">
        <f t="shared" si="530"/>
        <v>1</v>
      </c>
      <c r="C9534" t="str">
        <f t="shared" si="529"/>
        <v>191</v>
      </c>
      <c r="D9534" t="str">
        <f>"44"</f>
        <v>44</v>
      </c>
      <c r="E9534" t="str">
        <f>"1-191-44"</f>
        <v>1-191-44</v>
      </c>
      <c r="F9534" t="s">
        <v>65</v>
      </c>
      <c r="G9534" t="s">
        <v>66</v>
      </c>
      <c r="H9534" t="s">
        <v>67</v>
      </c>
      <c r="S9534">
        <v>1</v>
      </c>
      <c r="T9534">
        <v>0</v>
      </c>
      <c r="U9534">
        <v>0</v>
      </c>
      <c r="V9534">
        <v>0</v>
      </c>
      <c r="W9534">
        <v>1</v>
      </c>
      <c r="X9534">
        <v>0</v>
      </c>
      <c r="Y9534">
        <v>0</v>
      </c>
      <c r="Z9534">
        <v>1</v>
      </c>
      <c r="AA9534">
        <v>0</v>
      </c>
      <c r="AB9534">
        <v>0</v>
      </c>
      <c r="AC9534">
        <v>1</v>
      </c>
      <c r="AD9534">
        <v>1</v>
      </c>
      <c r="AE9534">
        <v>1</v>
      </c>
      <c r="AF9534">
        <v>1</v>
      </c>
      <c r="AG9534">
        <v>1</v>
      </c>
      <c r="AH9534">
        <v>1</v>
      </c>
      <c r="AI9534">
        <v>1</v>
      </c>
      <c r="AJ9534">
        <v>1</v>
      </c>
      <c r="AK9534">
        <v>1</v>
      </c>
      <c r="AL9534">
        <v>1</v>
      </c>
      <c r="AM9534">
        <v>1</v>
      </c>
    </row>
    <row r="9535" spans="1:39" x14ac:dyDescent="0.2">
      <c r="A9535" t="str">
        <f>"9531"</f>
        <v>9531</v>
      </c>
      <c r="B9535" t="str">
        <f t="shared" si="530"/>
        <v>1</v>
      </c>
      <c r="C9535" t="str">
        <f t="shared" si="529"/>
        <v>191</v>
      </c>
      <c r="D9535" t="str">
        <f>"23"</f>
        <v>23</v>
      </c>
      <c r="E9535" t="str">
        <f>"1-191-23"</f>
        <v>1-191-23</v>
      </c>
      <c r="F9535" t="s">
        <v>65</v>
      </c>
      <c r="G9535" t="s">
        <v>66</v>
      </c>
      <c r="H9535" t="s">
        <v>67</v>
      </c>
      <c r="S9535">
        <v>0</v>
      </c>
      <c r="T9535">
        <v>1</v>
      </c>
      <c r="U9535">
        <v>0</v>
      </c>
      <c r="V9535">
        <v>0</v>
      </c>
      <c r="W9535">
        <v>0</v>
      </c>
      <c r="X9535">
        <v>1</v>
      </c>
      <c r="Y9535">
        <v>0</v>
      </c>
      <c r="Z9535">
        <v>1</v>
      </c>
      <c r="AA9535">
        <v>0</v>
      </c>
      <c r="AB9535">
        <v>0</v>
      </c>
      <c r="AC9535">
        <v>1</v>
      </c>
      <c r="AD9535">
        <v>1</v>
      </c>
      <c r="AE9535">
        <v>1</v>
      </c>
      <c r="AF9535">
        <v>1</v>
      </c>
      <c r="AG9535">
        <v>1</v>
      </c>
      <c r="AH9535">
        <v>1</v>
      </c>
      <c r="AI9535">
        <v>1</v>
      </c>
      <c r="AJ9535">
        <v>1</v>
      </c>
      <c r="AK9535">
        <v>1</v>
      </c>
      <c r="AL9535">
        <v>1</v>
      </c>
      <c r="AM9535">
        <v>1</v>
      </c>
    </row>
    <row r="9536" spans="1:39" x14ac:dyDescent="0.2">
      <c r="A9536" t="str">
        <f>"9532"</f>
        <v>9532</v>
      </c>
      <c r="B9536" t="str">
        <f t="shared" si="530"/>
        <v>1</v>
      </c>
      <c r="C9536" t="str">
        <f t="shared" si="529"/>
        <v>191</v>
      </c>
      <c r="D9536" t="str">
        <f>"13"</f>
        <v>13</v>
      </c>
      <c r="E9536" t="str">
        <f>"1-191-13"</f>
        <v>1-191-13</v>
      </c>
      <c r="F9536" t="s">
        <v>65</v>
      </c>
      <c r="G9536" t="s">
        <v>66</v>
      </c>
      <c r="H9536" t="s">
        <v>67</v>
      </c>
      <c r="S9536">
        <v>0</v>
      </c>
      <c r="T9536">
        <v>1</v>
      </c>
      <c r="U9536">
        <v>0</v>
      </c>
      <c r="V9536">
        <v>0</v>
      </c>
      <c r="W9536">
        <v>1</v>
      </c>
      <c r="X9536">
        <v>0</v>
      </c>
      <c r="Y9536">
        <v>1</v>
      </c>
      <c r="Z9536">
        <v>0</v>
      </c>
      <c r="AA9536">
        <v>0</v>
      </c>
      <c r="AB9536">
        <v>0</v>
      </c>
      <c r="AC9536">
        <v>1</v>
      </c>
      <c r="AD9536">
        <v>1</v>
      </c>
      <c r="AE9536">
        <v>1</v>
      </c>
      <c r="AF9536">
        <v>1</v>
      </c>
      <c r="AG9536">
        <v>1</v>
      </c>
      <c r="AH9536">
        <v>1</v>
      </c>
      <c r="AI9536">
        <v>1</v>
      </c>
      <c r="AJ9536">
        <v>1</v>
      </c>
      <c r="AK9536">
        <v>1</v>
      </c>
      <c r="AL9536">
        <v>1</v>
      </c>
      <c r="AM9536">
        <v>0</v>
      </c>
    </row>
    <row r="9537" spans="1:39" x14ac:dyDescent="0.2">
      <c r="A9537" t="str">
        <f>"9533"</f>
        <v>9533</v>
      </c>
      <c r="B9537" t="str">
        <f t="shared" si="530"/>
        <v>1</v>
      </c>
      <c r="C9537" t="str">
        <f t="shared" ref="C9537:C9554" si="531">"191"</f>
        <v>191</v>
      </c>
      <c r="D9537" t="str">
        <f>"50"</f>
        <v>50</v>
      </c>
      <c r="E9537" t="str">
        <f>"1-191-50"</f>
        <v>1-191-50</v>
      </c>
      <c r="F9537" t="s">
        <v>65</v>
      </c>
      <c r="G9537" t="s">
        <v>66</v>
      </c>
      <c r="H9537" t="s">
        <v>67</v>
      </c>
      <c r="S9537">
        <v>1</v>
      </c>
      <c r="T9537">
        <v>0</v>
      </c>
      <c r="U9537">
        <v>0</v>
      </c>
      <c r="V9537">
        <v>0</v>
      </c>
      <c r="W9537">
        <v>1</v>
      </c>
      <c r="X9537">
        <v>0</v>
      </c>
      <c r="Y9537">
        <v>1</v>
      </c>
      <c r="Z9537">
        <v>0</v>
      </c>
      <c r="AA9537">
        <v>1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</row>
    <row r="9538" spans="1:39" x14ac:dyDescent="0.2">
      <c r="A9538" t="str">
        <f>"9534"</f>
        <v>9534</v>
      </c>
      <c r="B9538" t="str">
        <f t="shared" si="530"/>
        <v>1</v>
      </c>
      <c r="C9538" t="str">
        <f t="shared" si="531"/>
        <v>191</v>
      </c>
      <c r="D9538" t="str">
        <f>"25"</f>
        <v>25</v>
      </c>
      <c r="E9538" t="str">
        <f>"1-191-25"</f>
        <v>1-191-25</v>
      </c>
      <c r="F9538" t="s">
        <v>65</v>
      </c>
      <c r="G9538" t="s">
        <v>66</v>
      </c>
      <c r="H9538" t="s">
        <v>67</v>
      </c>
      <c r="S9538">
        <v>0</v>
      </c>
      <c r="T9538">
        <v>1</v>
      </c>
      <c r="U9538">
        <v>0</v>
      </c>
      <c r="V9538">
        <v>0</v>
      </c>
      <c r="W9538">
        <v>1</v>
      </c>
      <c r="X9538">
        <v>0</v>
      </c>
      <c r="Y9538">
        <v>0</v>
      </c>
      <c r="Z9538">
        <v>1</v>
      </c>
      <c r="AA9538">
        <v>1</v>
      </c>
      <c r="AB9538">
        <v>0</v>
      </c>
      <c r="AC9538">
        <v>0</v>
      </c>
      <c r="AD9538">
        <v>1</v>
      </c>
      <c r="AE9538">
        <v>1</v>
      </c>
      <c r="AF9538">
        <v>1</v>
      </c>
      <c r="AG9538">
        <v>1</v>
      </c>
      <c r="AH9538">
        <v>1</v>
      </c>
      <c r="AI9538">
        <v>1</v>
      </c>
      <c r="AJ9538">
        <v>1</v>
      </c>
      <c r="AK9538">
        <v>1</v>
      </c>
      <c r="AL9538">
        <v>1</v>
      </c>
      <c r="AM9538">
        <v>1</v>
      </c>
    </row>
    <row r="9539" spans="1:39" x14ac:dyDescent="0.2">
      <c r="A9539" t="str">
        <f>"9535"</f>
        <v>9535</v>
      </c>
      <c r="B9539" t="str">
        <f t="shared" si="530"/>
        <v>1</v>
      </c>
      <c r="C9539" t="str">
        <f t="shared" si="531"/>
        <v>191</v>
      </c>
      <c r="D9539" t="str">
        <f>"14"</f>
        <v>14</v>
      </c>
      <c r="E9539" t="str">
        <f>"1-191-14"</f>
        <v>1-191-14</v>
      </c>
      <c r="F9539" t="s">
        <v>65</v>
      </c>
      <c r="G9539" t="s">
        <v>66</v>
      </c>
      <c r="H9539" t="s">
        <v>67</v>
      </c>
      <c r="S9539">
        <v>0</v>
      </c>
      <c r="T9539">
        <v>1</v>
      </c>
      <c r="U9539">
        <v>0</v>
      </c>
      <c r="V9539">
        <v>0</v>
      </c>
      <c r="W9539">
        <v>1</v>
      </c>
      <c r="X9539">
        <v>0</v>
      </c>
      <c r="Y9539">
        <v>1</v>
      </c>
      <c r="Z9539">
        <v>0</v>
      </c>
      <c r="AA9539">
        <v>0</v>
      </c>
      <c r="AB9539">
        <v>0</v>
      </c>
      <c r="AC9539">
        <v>1</v>
      </c>
      <c r="AD9539">
        <v>1</v>
      </c>
      <c r="AE9539">
        <v>1</v>
      </c>
      <c r="AF9539">
        <v>1</v>
      </c>
      <c r="AG9539">
        <v>1</v>
      </c>
      <c r="AH9539">
        <v>1</v>
      </c>
      <c r="AI9539">
        <v>1</v>
      </c>
      <c r="AJ9539">
        <v>1</v>
      </c>
      <c r="AK9539">
        <v>1</v>
      </c>
      <c r="AL9539">
        <v>1</v>
      </c>
      <c r="AM9539">
        <v>1</v>
      </c>
    </row>
    <row r="9540" spans="1:39" x14ac:dyDescent="0.2">
      <c r="A9540" t="str">
        <f>"9536"</f>
        <v>9536</v>
      </c>
      <c r="B9540" t="str">
        <f t="shared" si="530"/>
        <v>1</v>
      </c>
      <c r="C9540" t="str">
        <f t="shared" si="531"/>
        <v>191</v>
      </c>
      <c r="D9540" t="str">
        <f>"48"</f>
        <v>48</v>
      </c>
      <c r="E9540" t="str">
        <f>"1-191-48"</f>
        <v>1-191-48</v>
      </c>
      <c r="F9540" t="s">
        <v>65</v>
      </c>
      <c r="G9540" t="s">
        <v>66</v>
      </c>
      <c r="H9540" t="s">
        <v>67</v>
      </c>
      <c r="S9540">
        <v>1</v>
      </c>
      <c r="T9540">
        <v>0</v>
      </c>
      <c r="U9540">
        <v>0</v>
      </c>
      <c r="V9540">
        <v>0</v>
      </c>
      <c r="W9540">
        <v>1</v>
      </c>
      <c r="X9540">
        <v>0</v>
      </c>
      <c r="Y9540">
        <v>1</v>
      </c>
      <c r="Z9540">
        <v>0</v>
      </c>
      <c r="AA9540">
        <v>0</v>
      </c>
      <c r="AB9540">
        <v>0</v>
      </c>
      <c r="AC9540">
        <v>1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1</v>
      </c>
      <c r="AJ9540">
        <v>0</v>
      </c>
      <c r="AK9540">
        <v>0</v>
      </c>
      <c r="AL9540">
        <v>0</v>
      </c>
      <c r="AM9540">
        <v>0</v>
      </c>
    </row>
    <row r="9541" spans="1:39" x14ac:dyDescent="0.2">
      <c r="A9541" t="str">
        <f>"9537"</f>
        <v>9537</v>
      </c>
      <c r="B9541" t="str">
        <f t="shared" si="530"/>
        <v>1</v>
      </c>
      <c r="C9541" t="str">
        <f t="shared" si="531"/>
        <v>191</v>
      </c>
      <c r="D9541" t="str">
        <f>"26"</f>
        <v>26</v>
      </c>
      <c r="E9541" t="str">
        <f>"1-191-26"</f>
        <v>1-191-26</v>
      </c>
      <c r="F9541" t="s">
        <v>65</v>
      </c>
      <c r="G9541" t="s">
        <v>66</v>
      </c>
      <c r="H9541" t="s">
        <v>67</v>
      </c>
      <c r="S9541">
        <v>1</v>
      </c>
      <c r="T9541">
        <v>0</v>
      </c>
      <c r="U9541">
        <v>0</v>
      </c>
      <c r="V9541">
        <v>0</v>
      </c>
      <c r="W9541">
        <v>1</v>
      </c>
      <c r="X9541">
        <v>0</v>
      </c>
      <c r="Y9541">
        <v>1</v>
      </c>
      <c r="Z9541">
        <v>0</v>
      </c>
      <c r="AA9541">
        <v>0</v>
      </c>
      <c r="AB9541">
        <v>0</v>
      </c>
      <c r="AC9541">
        <v>1</v>
      </c>
      <c r="AD9541">
        <v>1</v>
      </c>
      <c r="AE9541">
        <v>1</v>
      </c>
      <c r="AF9541">
        <v>1</v>
      </c>
      <c r="AG9541">
        <v>1</v>
      </c>
      <c r="AH9541">
        <v>1</v>
      </c>
      <c r="AI9541">
        <v>1</v>
      </c>
      <c r="AJ9541">
        <v>1</v>
      </c>
      <c r="AK9541">
        <v>1</v>
      </c>
      <c r="AL9541">
        <v>1</v>
      </c>
      <c r="AM9541">
        <v>1</v>
      </c>
    </row>
    <row r="9542" spans="1:39" x14ac:dyDescent="0.2">
      <c r="A9542" t="str">
        <f>"9538"</f>
        <v>9538</v>
      </c>
      <c r="B9542" t="str">
        <f t="shared" si="530"/>
        <v>1</v>
      </c>
      <c r="C9542" t="str">
        <f t="shared" si="531"/>
        <v>191</v>
      </c>
      <c r="D9542" t="str">
        <f>"9"</f>
        <v>9</v>
      </c>
      <c r="E9542" t="str">
        <f>"1-191-9"</f>
        <v>1-191-9</v>
      </c>
      <c r="F9542" t="s">
        <v>65</v>
      </c>
      <c r="G9542" t="s">
        <v>66</v>
      </c>
      <c r="H9542" t="s">
        <v>67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1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1</v>
      </c>
      <c r="AH9542">
        <v>1</v>
      </c>
      <c r="AI9542">
        <v>0</v>
      </c>
      <c r="AJ9542">
        <v>0</v>
      </c>
      <c r="AK9542">
        <v>0</v>
      </c>
      <c r="AL9542">
        <v>0</v>
      </c>
      <c r="AM9542">
        <v>0</v>
      </c>
    </row>
    <row r="9543" spans="1:39" x14ac:dyDescent="0.2">
      <c r="A9543" t="str">
        <f>"9539"</f>
        <v>9539</v>
      </c>
      <c r="B9543" t="str">
        <f t="shared" si="530"/>
        <v>1</v>
      </c>
      <c r="C9543" t="str">
        <f t="shared" si="531"/>
        <v>191</v>
      </c>
      <c r="D9543" t="str">
        <f>"46"</f>
        <v>46</v>
      </c>
      <c r="E9543" t="str">
        <f>"1-191-46"</f>
        <v>1-191-46</v>
      </c>
      <c r="F9543" t="s">
        <v>65</v>
      </c>
      <c r="G9543" t="s">
        <v>66</v>
      </c>
      <c r="H9543" t="s">
        <v>67</v>
      </c>
      <c r="S9543">
        <v>1</v>
      </c>
      <c r="T9543">
        <v>0</v>
      </c>
      <c r="U9543">
        <v>0</v>
      </c>
      <c r="V9543">
        <v>0</v>
      </c>
      <c r="W9543">
        <v>1</v>
      </c>
      <c r="X9543">
        <v>0</v>
      </c>
      <c r="Y9543">
        <v>1</v>
      </c>
      <c r="Z9543">
        <v>0</v>
      </c>
      <c r="AA9543">
        <v>1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</row>
    <row r="9544" spans="1:39" x14ac:dyDescent="0.2">
      <c r="A9544" t="str">
        <f>"9540"</f>
        <v>9540</v>
      </c>
      <c r="B9544" t="str">
        <f t="shared" si="530"/>
        <v>1</v>
      </c>
      <c r="C9544" t="str">
        <f t="shared" si="531"/>
        <v>191</v>
      </c>
      <c r="D9544" t="str">
        <f>"27"</f>
        <v>27</v>
      </c>
      <c r="E9544" t="str">
        <f>"1-191-27"</f>
        <v>1-191-27</v>
      </c>
      <c r="F9544" t="s">
        <v>65</v>
      </c>
      <c r="G9544" t="s">
        <v>66</v>
      </c>
      <c r="H9544" t="s">
        <v>67</v>
      </c>
      <c r="S9544">
        <v>0</v>
      </c>
      <c r="T9544">
        <v>1</v>
      </c>
      <c r="U9544">
        <v>0</v>
      </c>
      <c r="V9544">
        <v>0</v>
      </c>
      <c r="W9544">
        <v>1</v>
      </c>
      <c r="X9544">
        <v>0</v>
      </c>
      <c r="Y9544">
        <v>0</v>
      </c>
      <c r="Z9544">
        <v>1</v>
      </c>
      <c r="AA9544">
        <v>1</v>
      </c>
      <c r="AB9544">
        <v>0</v>
      </c>
      <c r="AC9544">
        <v>0</v>
      </c>
      <c r="AD9544">
        <v>1</v>
      </c>
      <c r="AE9544">
        <v>1</v>
      </c>
      <c r="AF9544">
        <v>1</v>
      </c>
      <c r="AG9544">
        <v>1</v>
      </c>
      <c r="AH9544">
        <v>1</v>
      </c>
      <c r="AI9544">
        <v>1</v>
      </c>
      <c r="AJ9544">
        <v>1</v>
      </c>
      <c r="AK9544">
        <v>1</v>
      </c>
      <c r="AL9544">
        <v>1</v>
      </c>
      <c r="AM9544">
        <v>1</v>
      </c>
    </row>
    <row r="9545" spans="1:39" x14ac:dyDescent="0.2">
      <c r="A9545" t="str">
        <f>"9541"</f>
        <v>9541</v>
      </c>
      <c r="B9545" t="str">
        <f t="shared" si="530"/>
        <v>1</v>
      </c>
      <c r="C9545" t="str">
        <f t="shared" si="531"/>
        <v>191</v>
      </c>
      <c r="D9545" t="str">
        <f>"10"</f>
        <v>10</v>
      </c>
      <c r="E9545" t="str">
        <f>"1-191-10"</f>
        <v>1-191-10</v>
      </c>
      <c r="F9545" t="s">
        <v>65</v>
      </c>
      <c r="G9545" t="s">
        <v>66</v>
      </c>
      <c r="H9545" t="s">
        <v>67</v>
      </c>
      <c r="S9545">
        <v>0</v>
      </c>
      <c r="T9545">
        <v>1</v>
      </c>
      <c r="U9545">
        <v>0</v>
      </c>
      <c r="V9545">
        <v>0</v>
      </c>
      <c r="W9545">
        <v>1</v>
      </c>
      <c r="X9545">
        <v>0</v>
      </c>
      <c r="Y9545">
        <v>0</v>
      </c>
      <c r="Z9545">
        <v>1</v>
      </c>
      <c r="AA9545">
        <v>0</v>
      </c>
      <c r="AB9545">
        <v>1</v>
      </c>
      <c r="AC9545">
        <v>0</v>
      </c>
      <c r="AD9545">
        <v>1</v>
      </c>
      <c r="AE9545">
        <v>1</v>
      </c>
      <c r="AF9545">
        <v>1</v>
      </c>
      <c r="AG9545">
        <v>1</v>
      </c>
      <c r="AH9545">
        <v>1</v>
      </c>
      <c r="AI9545">
        <v>1</v>
      </c>
      <c r="AJ9545">
        <v>1</v>
      </c>
      <c r="AK9545">
        <v>1</v>
      </c>
      <c r="AL9545">
        <v>1</v>
      </c>
      <c r="AM9545">
        <v>1</v>
      </c>
    </row>
    <row r="9546" spans="1:39" x14ac:dyDescent="0.2">
      <c r="A9546" t="str">
        <f>"9542"</f>
        <v>9542</v>
      </c>
      <c r="B9546" t="str">
        <f t="shared" si="530"/>
        <v>1</v>
      </c>
      <c r="C9546" t="str">
        <f t="shared" si="531"/>
        <v>191</v>
      </c>
      <c r="D9546" t="str">
        <f>"45"</f>
        <v>45</v>
      </c>
      <c r="E9546" t="str">
        <f>"1-191-45"</f>
        <v>1-191-45</v>
      </c>
      <c r="F9546" t="s">
        <v>65</v>
      </c>
      <c r="G9546" t="s">
        <v>66</v>
      </c>
      <c r="H9546" t="s">
        <v>67</v>
      </c>
      <c r="S9546">
        <v>1</v>
      </c>
      <c r="T9546">
        <v>0</v>
      </c>
      <c r="U9546">
        <v>0</v>
      </c>
      <c r="V9546">
        <v>0</v>
      </c>
      <c r="W9546">
        <v>1</v>
      </c>
      <c r="X9546">
        <v>0</v>
      </c>
      <c r="Y9546">
        <v>1</v>
      </c>
      <c r="Z9546">
        <v>0</v>
      </c>
      <c r="AA9546">
        <v>1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</row>
    <row r="9547" spans="1:39" x14ac:dyDescent="0.2">
      <c r="A9547" t="str">
        <f>"9543"</f>
        <v>9543</v>
      </c>
      <c r="B9547" t="str">
        <f t="shared" si="530"/>
        <v>1</v>
      </c>
      <c r="C9547" t="str">
        <f t="shared" si="531"/>
        <v>191</v>
      </c>
      <c r="D9547" t="str">
        <f>"28"</f>
        <v>28</v>
      </c>
      <c r="E9547" t="str">
        <f>"1-191-28"</f>
        <v>1-191-28</v>
      </c>
      <c r="F9547" t="s">
        <v>65</v>
      </c>
      <c r="G9547" t="s">
        <v>66</v>
      </c>
      <c r="H9547" t="s">
        <v>67</v>
      </c>
      <c r="S9547">
        <v>0</v>
      </c>
      <c r="T9547">
        <v>1</v>
      </c>
      <c r="U9547">
        <v>0</v>
      </c>
      <c r="V9547">
        <v>0</v>
      </c>
      <c r="W9547">
        <v>1</v>
      </c>
      <c r="X9547">
        <v>0</v>
      </c>
      <c r="Y9547">
        <v>1</v>
      </c>
      <c r="Z9547">
        <v>0</v>
      </c>
      <c r="AA9547">
        <v>0</v>
      </c>
      <c r="AB9547">
        <v>1</v>
      </c>
      <c r="AC9547">
        <v>0</v>
      </c>
      <c r="AD9547">
        <v>1</v>
      </c>
      <c r="AE9547">
        <v>1</v>
      </c>
      <c r="AF9547">
        <v>1</v>
      </c>
      <c r="AG9547">
        <v>1</v>
      </c>
      <c r="AH9547">
        <v>1</v>
      </c>
      <c r="AI9547">
        <v>1</v>
      </c>
      <c r="AJ9547">
        <v>1</v>
      </c>
      <c r="AK9547">
        <v>1</v>
      </c>
      <c r="AL9547">
        <v>1</v>
      </c>
      <c r="AM9547">
        <v>1</v>
      </c>
    </row>
    <row r="9548" spans="1:39" x14ac:dyDescent="0.2">
      <c r="A9548" t="str">
        <f>"9544"</f>
        <v>9544</v>
      </c>
      <c r="B9548" t="str">
        <f t="shared" si="530"/>
        <v>1</v>
      </c>
      <c r="C9548" t="str">
        <f t="shared" si="531"/>
        <v>191</v>
      </c>
      <c r="D9548" t="str">
        <f>"4"</f>
        <v>4</v>
      </c>
      <c r="E9548" t="str">
        <f>"1-191-4"</f>
        <v>1-191-4</v>
      </c>
      <c r="F9548" t="s">
        <v>65</v>
      </c>
      <c r="G9548" t="s">
        <v>66</v>
      </c>
      <c r="H9548" t="s">
        <v>67</v>
      </c>
      <c r="S9548">
        <v>1</v>
      </c>
      <c r="T9548">
        <v>0</v>
      </c>
      <c r="U9548">
        <v>0</v>
      </c>
      <c r="V9548">
        <v>0</v>
      </c>
      <c r="W9548">
        <v>1</v>
      </c>
      <c r="X9548">
        <v>0</v>
      </c>
      <c r="Y9548">
        <v>0</v>
      </c>
      <c r="Z9548">
        <v>1</v>
      </c>
      <c r="AA9548">
        <v>0</v>
      </c>
      <c r="AB9548">
        <v>1</v>
      </c>
      <c r="AC9548">
        <v>0</v>
      </c>
      <c r="AD9548">
        <v>1</v>
      </c>
      <c r="AE9548">
        <v>1</v>
      </c>
      <c r="AF9548">
        <v>1</v>
      </c>
      <c r="AG9548">
        <v>1</v>
      </c>
      <c r="AH9548">
        <v>1</v>
      </c>
      <c r="AI9548">
        <v>1</v>
      </c>
      <c r="AJ9548">
        <v>1</v>
      </c>
      <c r="AK9548">
        <v>1</v>
      </c>
      <c r="AL9548">
        <v>1</v>
      </c>
      <c r="AM9548">
        <v>1</v>
      </c>
    </row>
    <row r="9549" spans="1:39" x14ac:dyDescent="0.2">
      <c r="A9549" t="str">
        <f>"9545"</f>
        <v>9545</v>
      </c>
      <c r="B9549" t="str">
        <f t="shared" si="530"/>
        <v>1</v>
      </c>
      <c r="C9549" t="str">
        <f t="shared" si="531"/>
        <v>191</v>
      </c>
      <c r="D9549" t="str">
        <f>"47"</f>
        <v>47</v>
      </c>
      <c r="E9549" t="str">
        <f>"1-191-47"</f>
        <v>1-191-47</v>
      </c>
      <c r="F9549" t="s">
        <v>65</v>
      </c>
      <c r="G9549" t="s">
        <v>66</v>
      </c>
      <c r="H9549" t="s">
        <v>67</v>
      </c>
      <c r="S9549">
        <v>1</v>
      </c>
      <c r="T9549">
        <v>0</v>
      </c>
      <c r="U9549">
        <v>0</v>
      </c>
      <c r="V9549">
        <v>0</v>
      </c>
      <c r="W9549">
        <v>1</v>
      </c>
      <c r="X9549">
        <v>0</v>
      </c>
      <c r="Y9549">
        <v>1</v>
      </c>
      <c r="Z9549">
        <v>0</v>
      </c>
      <c r="AA9549">
        <v>0</v>
      </c>
      <c r="AB9549">
        <v>0</v>
      </c>
      <c r="AC9549">
        <v>1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1</v>
      </c>
      <c r="AJ9549">
        <v>0</v>
      </c>
      <c r="AK9549">
        <v>0</v>
      </c>
      <c r="AL9549">
        <v>0</v>
      </c>
      <c r="AM9549">
        <v>0</v>
      </c>
    </row>
    <row r="9550" spans="1:39" x14ac:dyDescent="0.2">
      <c r="A9550" t="str">
        <f>"9546"</f>
        <v>9546</v>
      </c>
      <c r="B9550" t="str">
        <f t="shared" si="530"/>
        <v>1</v>
      </c>
      <c r="C9550" t="str">
        <f t="shared" si="531"/>
        <v>191</v>
      </c>
      <c r="D9550" t="str">
        <f>"29"</f>
        <v>29</v>
      </c>
      <c r="E9550" t="str">
        <f>"1-191-29"</f>
        <v>1-191-29</v>
      </c>
      <c r="F9550" t="s">
        <v>65</v>
      </c>
      <c r="G9550" t="s">
        <v>66</v>
      </c>
      <c r="H9550" t="s">
        <v>67</v>
      </c>
      <c r="S9550">
        <v>1</v>
      </c>
      <c r="T9550">
        <v>0</v>
      </c>
      <c r="U9550">
        <v>0</v>
      </c>
      <c r="V9550">
        <v>0</v>
      </c>
      <c r="W9550">
        <v>1</v>
      </c>
      <c r="X9550">
        <v>0</v>
      </c>
      <c r="Y9550">
        <v>0</v>
      </c>
      <c r="Z9550">
        <v>1</v>
      </c>
      <c r="AA9550">
        <v>1</v>
      </c>
      <c r="AB9550">
        <v>0</v>
      </c>
      <c r="AC9550">
        <v>0</v>
      </c>
      <c r="AD9550">
        <v>1</v>
      </c>
      <c r="AE9550">
        <v>1</v>
      </c>
      <c r="AF9550">
        <v>1</v>
      </c>
      <c r="AG9550">
        <v>1</v>
      </c>
      <c r="AH9550">
        <v>1</v>
      </c>
      <c r="AI9550">
        <v>1</v>
      </c>
      <c r="AJ9550">
        <v>1</v>
      </c>
      <c r="AK9550">
        <v>1</v>
      </c>
      <c r="AL9550">
        <v>1</v>
      </c>
      <c r="AM9550">
        <v>0</v>
      </c>
    </row>
    <row r="9551" spans="1:39" x14ac:dyDescent="0.2">
      <c r="A9551" t="str">
        <f>"9547"</f>
        <v>9547</v>
      </c>
      <c r="B9551" t="str">
        <f t="shared" si="530"/>
        <v>1</v>
      </c>
      <c r="C9551" t="str">
        <f t="shared" si="531"/>
        <v>191</v>
      </c>
      <c r="D9551" t="str">
        <f>"5"</f>
        <v>5</v>
      </c>
      <c r="E9551" t="str">
        <f>"1-191-5"</f>
        <v>1-191-5</v>
      </c>
      <c r="F9551" t="s">
        <v>65</v>
      </c>
      <c r="G9551" t="s">
        <v>66</v>
      </c>
      <c r="H9551" t="s">
        <v>67</v>
      </c>
      <c r="S9551">
        <v>0</v>
      </c>
      <c r="T9551">
        <v>0</v>
      </c>
      <c r="U9551">
        <v>0</v>
      </c>
      <c r="V9551">
        <v>0</v>
      </c>
      <c r="W9551">
        <v>1</v>
      </c>
      <c r="X9551">
        <v>0</v>
      </c>
      <c r="Y9551">
        <v>0</v>
      </c>
      <c r="Z9551">
        <v>1</v>
      </c>
      <c r="AA9551">
        <v>0</v>
      </c>
      <c r="AB9551">
        <v>0</v>
      </c>
      <c r="AC9551">
        <v>1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</row>
    <row r="9552" spans="1:39" x14ac:dyDescent="0.2">
      <c r="A9552" t="str">
        <f>"9548"</f>
        <v>9548</v>
      </c>
      <c r="B9552" t="str">
        <f t="shared" si="530"/>
        <v>1</v>
      </c>
      <c r="C9552" t="str">
        <f t="shared" si="531"/>
        <v>191</v>
      </c>
      <c r="D9552" t="str">
        <f>"49"</f>
        <v>49</v>
      </c>
      <c r="E9552" t="str">
        <f>"1-191-49"</f>
        <v>1-191-49</v>
      </c>
      <c r="F9552" t="s">
        <v>65</v>
      </c>
      <c r="G9552" t="s">
        <v>66</v>
      </c>
      <c r="H9552" t="s">
        <v>67</v>
      </c>
      <c r="S9552">
        <v>1</v>
      </c>
      <c r="T9552">
        <v>0</v>
      </c>
      <c r="U9552">
        <v>0</v>
      </c>
      <c r="V9552">
        <v>0</v>
      </c>
      <c r="W9552">
        <v>1</v>
      </c>
      <c r="X9552">
        <v>0</v>
      </c>
      <c r="Y9552">
        <v>1</v>
      </c>
      <c r="Z9552">
        <v>0</v>
      </c>
      <c r="AA9552">
        <v>1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</row>
    <row r="9553" spans="1:39" x14ac:dyDescent="0.2">
      <c r="A9553" t="str">
        <f>"9549"</f>
        <v>9549</v>
      </c>
      <c r="B9553" t="str">
        <f t="shared" si="530"/>
        <v>1</v>
      </c>
      <c r="C9553" t="str">
        <f t="shared" si="531"/>
        <v>191</v>
      </c>
      <c r="D9553" t="str">
        <f>"32"</f>
        <v>32</v>
      </c>
      <c r="E9553" t="str">
        <f>"1-191-32"</f>
        <v>1-191-32</v>
      </c>
      <c r="F9553" t="s">
        <v>65</v>
      </c>
      <c r="G9553" t="s">
        <v>66</v>
      </c>
      <c r="H9553" t="s">
        <v>67</v>
      </c>
      <c r="S9553">
        <v>0</v>
      </c>
      <c r="T9553">
        <v>1</v>
      </c>
      <c r="U9553">
        <v>0</v>
      </c>
      <c r="V9553">
        <v>0</v>
      </c>
      <c r="W9553">
        <v>1</v>
      </c>
      <c r="X9553">
        <v>0</v>
      </c>
      <c r="Y9553">
        <v>0</v>
      </c>
      <c r="Z9553">
        <v>1</v>
      </c>
      <c r="AA9553">
        <v>0</v>
      </c>
      <c r="AB9553">
        <v>1</v>
      </c>
      <c r="AC9553">
        <v>0</v>
      </c>
      <c r="AD9553">
        <v>1</v>
      </c>
      <c r="AE9553">
        <v>1</v>
      </c>
      <c r="AF9553">
        <v>1</v>
      </c>
      <c r="AG9553">
        <v>1</v>
      </c>
      <c r="AH9553">
        <v>1</v>
      </c>
      <c r="AI9553">
        <v>1</v>
      </c>
      <c r="AJ9553">
        <v>1</v>
      </c>
      <c r="AK9553">
        <v>1</v>
      </c>
      <c r="AL9553">
        <v>1</v>
      </c>
      <c r="AM9553">
        <v>1</v>
      </c>
    </row>
    <row r="9554" spans="1:39" x14ac:dyDescent="0.2">
      <c r="A9554" t="str">
        <f>"9550"</f>
        <v>9550</v>
      </c>
      <c r="B9554" t="str">
        <f t="shared" si="530"/>
        <v>1</v>
      </c>
      <c r="C9554" t="str">
        <f t="shared" si="531"/>
        <v>191</v>
      </c>
      <c r="D9554" t="str">
        <f>"12"</f>
        <v>12</v>
      </c>
      <c r="E9554" t="str">
        <f>"1-191-12"</f>
        <v>1-191-12</v>
      </c>
      <c r="F9554" t="s">
        <v>65</v>
      </c>
      <c r="G9554" t="s">
        <v>66</v>
      </c>
      <c r="H9554" t="s">
        <v>67</v>
      </c>
      <c r="S9554">
        <v>1</v>
      </c>
      <c r="T9554">
        <v>0</v>
      </c>
      <c r="U9554">
        <v>0</v>
      </c>
      <c r="V9554">
        <v>0</v>
      </c>
      <c r="W9554">
        <v>1</v>
      </c>
      <c r="X9554">
        <v>0</v>
      </c>
      <c r="Y9554">
        <v>1</v>
      </c>
      <c r="Z9554">
        <v>0</v>
      </c>
      <c r="AA9554">
        <v>0</v>
      </c>
      <c r="AB9554">
        <v>1</v>
      </c>
      <c r="AC9554">
        <v>0</v>
      </c>
      <c r="AD9554">
        <v>1</v>
      </c>
      <c r="AE9554">
        <v>1</v>
      </c>
      <c r="AF9554">
        <v>1</v>
      </c>
      <c r="AG9554">
        <v>1</v>
      </c>
      <c r="AH9554">
        <v>1</v>
      </c>
      <c r="AI9554">
        <v>1</v>
      </c>
      <c r="AJ9554">
        <v>1</v>
      </c>
      <c r="AK9554">
        <v>1</v>
      </c>
      <c r="AL9554">
        <v>1</v>
      </c>
      <c r="AM9554">
        <v>1</v>
      </c>
    </row>
    <row r="9555" spans="1:39" x14ac:dyDescent="0.2">
      <c r="A9555" t="str">
        <f>"9551"</f>
        <v>9551</v>
      </c>
      <c r="B9555" t="str">
        <f t="shared" si="530"/>
        <v>1</v>
      </c>
      <c r="C9555" t="str">
        <f t="shared" ref="C9555:C9586" si="532">"192"</f>
        <v>192</v>
      </c>
      <c r="D9555" t="str">
        <f>"43"</f>
        <v>43</v>
      </c>
      <c r="E9555" t="str">
        <f>"1-192-43"</f>
        <v>1-192-43</v>
      </c>
      <c r="F9555" t="s">
        <v>65</v>
      </c>
      <c r="G9555" t="s">
        <v>66</v>
      </c>
      <c r="H9555" t="s">
        <v>67</v>
      </c>
      <c r="S9555">
        <v>0</v>
      </c>
      <c r="T9555">
        <v>1</v>
      </c>
      <c r="U9555">
        <v>0</v>
      </c>
      <c r="V9555">
        <v>0</v>
      </c>
      <c r="W9555">
        <v>1</v>
      </c>
      <c r="X9555">
        <v>0</v>
      </c>
      <c r="Y9555">
        <v>0</v>
      </c>
      <c r="Z9555">
        <v>1</v>
      </c>
      <c r="AA9555">
        <v>1</v>
      </c>
      <c r="AB9555">
        <v>0</v>
      </c>
      <c r="AC9555">
        <v>0</v>
      </c>
      <c r="AD9555">
        <v>1</v>
      </c>
      <c r="AE9555">
        <v>1</v>
      </c>
      <c r="AF9555">
        <v>1</v>
      </c>
      <c r="AG9555">
        <v>1</v>
      </c>
      <c r="AH9555">
        <v>1</v>
      </c>
      <c r="AI9555">
        <v>1</v>
      </c>
      <c r="AJ9555">
        <v>1</v>
      </c>
      <c r="AK9555">
        <v>1</v>
      </c>
      <c r="AL9555">
        <v>1</v>
      </c>
      <c r="AM9555">
        <v>1</v>
      </c>
    </row>
    <row r="9556" spans="1:39" x14ac:dyDescent="0.2">
      <c r="A9556" t="str">
        <f>"9552"</f>
        <v>9552</v>
      </c>
      <c r="B9556" t="str">
        <f t="shared" si="530"/>
        <v>1</v>
      </c>
      <c r="C9556" t="str">
        <f t="shared" si="532"/>
        <v>192</v>
      </c>
      <c r="D9556" t="str">
        <f>"42"</f>
        <v>42</v>
      </c>
      <c r="E9556" t="str">
        <f>"1-192-42"</f>
        <v>1-192-42</v>
      </c>
      <c r="F9556" t="s">
        <v>65</v>
      </c>
      <c r="G9556" t="s">
        <v>66</v>
      </c>
      <c r="H9556" t="s">
        <v>67</v>
      </c>
      <c r="S9556">
        <v>1</v>
      </c>
      <c r="T9556">
        <v>0</v>
      </c>
      <c r="U9556">
        <v>0</v>
      </c>
      <c r="V9556">
        <v>0</v>
      </c>
      <c r="W9556">
        <v>0</v>
      </c>
      <c r="X9556">
        <v>1</v>
      </c>
      <c r="Y9556">
        <v>0</v>
      </c>
      <c r="Z9556">
        <v>1</v>
      </c>
      <c r="AA9556">
        <v>0</v>
      </c>
      <c r="AB9556">
        <v>1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</row>
    <row r="9557" spans="1:39" x14ac:dyDescent="0.2">
      <c r="A9557" t="str">
        <f>"9553"</f>
        <v>9553</v>
      </c>
      <c r="B9557" t="str">
        <f t="shared" si="530"/>
        <v>1</v>
      </c>
      <c r="C9557" t="str">
        <f t="shared" si="532"/>
        <v>192</v>
      </c>
      <c r="D9557" t="str">
        <f>"31"</f>
        <v>31</v>
      </c>
      <c r="E9557" t="str">
        <f>"1-192-31"</f>
        <v>1-192-31</v>
      </c>
      <c r="F9557" t="s">
        <v>65</v>
      </c>
      <c r="G9557" t="s">
        <v>66</v>
      </c>
      <c r="H9557" t="s">
        <v>67</v>
      </c>
      <c r="S9557">
        <v>1</v>
      </c>
      <c r="T9557">
        <v>0</v>
      </c>
      <c r="U9557">
        <v>0</v>
      </c>
      <c r="V9557">
        <v>0</v>
      </c>
      <c r="W9557">
        <v>0</v>
      </c>
      <c r="X9557">
        <v>1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</row>
    <row r="9558" spans="1:39" x14ac:dyDescent="0.2">
      <c r="A9558" t="str">
        <f>"9554"</f>
        <v>9554</v>
      </c>
      <c r="B9558" t="str">
        <f t="shared" si="530"/>
        <v>1</v>
      </c>
      <c r="C9558" t="str">
        <f t="shared" si="532"/>
        <v>192</v>
      </c>
      <c r="D9558" t="str">
        <f>"30"</f>
        <v>30</v>
      </c>
      <c r="E9558" t="str">
        <f>"1-192-30"</f>
        <v>1-192-30</v>
      </c>
      <c r="F9558" t="s">
        <v>65</v>
      </c>
      <c r="G9558" t="s">
        <v>66</v>
      </c>
      <c r="H9558" t="s">
        <v>67</v>
      </c>
      <c r="S9558">
        <v>1</v>
      </c>
      <c r="T9558">
        <v>0</v>
      </c>
      <c r="U9558">
        <v>0</v>
      </c>
      <c r="V9558">
        <v>0</v>
      </c>
      <c r="W9558">
        <v>1</v>
      </c>
      <c r="X9558">
        <v>0</v>
      </c>
      <c r="Y9558">
        <v>1</v>
      </c>
      <c r="Z9558">
        <v>0</v>
      </c>
      <c r="AA9558">
        <v>0</v>
      </c>
      <c r="AB9558">
        <v>0</v>
      </c>
      <c r="AC9558">
        <v>1</v>
      </c>
      <c r="AD9558">
        <v>0</v>
      </c>
      <c r="AE9558">
        <v>1</v>
      </c>
      <c r="AF9558">
        <v>0</v>
      </c>
      <c r="AG9558">
        <v>1</v>
      </c>
      <c r="AH9558">
        <v>0</v>
      </c>
      <c r="AI9558">
        <v>1</v>
      </c>
      <c r="AJ9558">
        <v>1</v>
      </c>
      <c r="AK9558">
        <v>0</v>
      </c>
      <c r="AL9558">
        <v>0</v>
      </c>
      <c r="AM9558">
        <v>0</v>
      </c>
    </row>
    <row r="9559" spans="1:39" x14ac:dyDescent="0.2">
      <c r="A9559" t="str">
        <f>"9555"</f>
        <v>9555</v>
      </c>
      <c r="B9559" t="str">
        <f t="shared" si="530"/>
        <v>1</v>
      </c>
      <c r="C9559" t="str">
        <f t="shared" si="532"/>
        <v>192</v>
      </c>
      <c r="D9559" t="str">
        <f>"19"</f>
        <v>19</v>
      </c>
      <c r="E9559" t="str">
        <f>"1-192-19"</f>
        <v>1-192-19</v>
      </c>
      <c r="F9559" t="s">
        <v>65</v>
      </c>
      <c r="G9559" t="s">
        <v>66</v>
      </c>
      <c r="H9559" t="s">
        <v>67</v>
      </c>
      <c r="S9559">
        <v>1</v>
      </c>
      <c r="T9559">
        <v>0</v>
      </c>
      <c r="U9559">
        <v>0</v>
      </c>
      <c r="V9559">
        <v>0</v>
      </c>
      <c r="W9559">
        <v>0</v>
      </c>
      <c r="X9559">
        <v>1</v>
      </c>
      <c r="Y9559">
        <v>1</v>
      </c>
      <c r="Z9559">
        <v>0</v>
      </c>
      <c r="AA9559">
        <v>1</v>
      </c>
      <c r="AB9559">
        <v>0</v>
      </c>
      <c r="AC9559">
        <v>0</v>
      </c>
      <c r="AD9559">
        <v>1</v>
      </c>
      <c r="AE9559">
        <v>1</v>
      </c>
      <c r="AF9559">
        <v>1</v>
      </c>
      <c r="AG9559">
        <v>1</v>
      </c>
      <c r="AH9559">
        <v>1</v>
      </c>
      <c r="AI9559">
        <v>1</v>
      </c>
      <c r="AJ9559">
        <v>1</v>
      </c>
      <c r="AK9559">
        <v>1</v>
      </c>
      <c r="AL9559">
        <v>1</v>
      </c>
      <c r="AM9559">
        <v>1</v>
      </c>
    </row>
    <row r="9560" spans="1:39" x14ac:dyDescent="0.2">
      <c r="A9560" t="str">
        <f>"9556"</f>
        <v>9556</v>
      </c>
      <c r="B9560" t="str">
        <f t="shared" si="530"/>
        <v>1</v>
      </c>
      <c r="C9560" t="str">
        <f t="shared" si="532"/>
        <v>192</v>
      </c>
      <c r="D9560" t="str">
        <f>"15"</f>
        <v>15</v>
      </c>
      <c r="E9560" t="str">
        <f>"1-192-15"</f>
        <v>1-192-15</v>
      </c>
      <c r="F9560" t="s">
        <v>65</v>
      </c>
      <c r="G9560" t="s">
        <v>66</v>
      </c>
      <c r="H9560" t="s">
        <v>67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1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1</v>
      </c>
      <c r="AH9560">
        <v>1</v>
      </c>
      <c r="AI9560">
        <v>1</v>
      </c>
      <c r="AJ9560">
        <v>1</v>
      </c>
      <c r="AK9560">
        <v>1</v>
      </c>
      <c r="AL9560">
        <v>0</v>
      </c>
      <c r="AM9560">
        <v>0</v>
      </c>
    </row>
    <row r="9561" spans="1:39" x14ac:dyDescent="0.2">
      <c r="A9561" t="str">
        <f>"9557"</f>
        <v>9557</v>
      </c>
      <c r="B9561" t="str">
        <f t="shared" si="530"/>
        <v>1</v>
      </c>
      <c r="C9561" t="str">
        <f t="shared" si="532"/>
        <v>192</v>
      </c>
      <c r="D9561" t="str">
        <f>"2"</f>
        <v>2</v>
      </c>
      <c r="E9561" t="str">
        <f>"1-192-2"</f>
        <v>1-192-2</v>
      </c>
      <c r="F9561" t="s">
        <v>65</v>
      </c>
      <c r="G9561" t="s">
        <v>66</v>
      </c>
      <c r="H9561" t="s">
        <v>67</v>
      </c>
      <c r="S9561">
        <v>0</v>
      </c>
      <c r="T9561">
        <v>0</v>
      </c>
      <c r="U9561">
        <v>0</v>
      </c>
      <c r="V9561">
        <v>0</v>
      </c>
      <c r="W9561">
        <v>1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</row>
    <row r="9562" spans="1:39" x14ac:dyDescent="0.2">
      <c r="A9562" t="str">
        <f>"9558"</f>
        <v>9558</v>
      </c>
      <c r="B9562" t="str">
        <f t="shared" si="530"/>
        <v>1</v>
      </c>
      <c r="C9562" t="str">
        <f t="shared" si="532"/>
        <v>192</v>
      </c>
      <c r="D9562" t="str">
        <f>"36"</f>
        <v>36</v>
      </c>
      <c r="E9562" t="str">
        <f>"1-192-36"</f>
        <v>1-192-36</v>
      </c>
      <c r="F9562" t="s">
        <v>65</v>
      </c>
      <c r="G9562" t="s">
        <v>66</v>
      </c>
      <c r="H9562" t="s">
        <v>67</v>
      </c>
      <c r="S9562">
        <v>1</v>
      </c>
      <c r="T9562">
        <v>0</v>
      </c>
      <c r="U9562">
        <v>0</v>
      </c>
      <c r="V9562">
        <v>0</v>
      </c>
      <c r="W9562">
        <v>1</v>
      </c>
      <c r="X9562">
        <v>0</v>
      </c>
      <c r="Y9562">
        <v>1</v>
      </c>
      <c r="Z9562">
        <v>0</v>
      </c>
      <c r="AA9562">
        <v>0</v>
      </c>
      <c r="AB9562">
        <v>0</v>
      </c>
      <c r="AC9562">
        <v>1</v>
      </c>
      <c r="AD9562">
        <v>1</v>
      </c>
      <c r="AE9562">
        <v>1</v>
      </c>
      <c r="AF9562">
        <v>1</v>
      </c>
      <c r="AG9562">
        <v>1</v>
      </c>
      <c r="AH9562">
        <v>1</v>
      </c>
      <c r="AI9562">
        <v>1</v>
      </c>
      <c r="AJ9562">
        <v>1</v>
      </c>
      <c r="AK9562">
        <v>1</v>
      </c>
      <c r="AL9562">
        <v>1</v>
      </c>
      <c r="AM9562">
        <v>1</v>
      </c>
    </row>
    <row r="9563" spans="1:39" x14ac:dyDescent="0.2">
      <c r="A9563" t="str">
        <f>"9559"</f>
        <v>9559</v>
      </c>
      <c r="B9563" t="str">
        <f t="shared" si="530"/>
        <v>1</v>
      </c>
      <c r="C9563" t="str">
        <f t="shared" si="532"/>
        <v>192</v>
      </c>
      <c r="D9563" t="str">
        <f>"35"</f>
        <v>35</v>
      </c>
      <c r="E9563" t="str">
        <f>"1-192-35"</f>
        <v>1-192-35</v>
      </c>
      <c r="F9563" t="s">
        <v>65</v>
      </c>
      <c r="G9563" t="s">
        <v>66</v>
      </c>
      <c r="H9563" t="s">
        <v>67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1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1</v>
      </c>
      <c r="AJ9563">
        <v>0</v>
      </c>
      <c r="AK9563">
        <v>0</v>
      </c>
      <c r="AL9563">
        <v>0</v>
      </c>
      <c r="AM9563">
        <v>0</v>
      </c>
    </row>
    <row r="9564" spans="1:39" x14ac:dyDescent="0.2">
      <c r="A9564" t="str">
        <f>"9560"</f>
        <v>9560</v>
      </c>
      <c r="B9564" t="str">
        <f t="shared" si="530"/>
        <v>1</v>
      </c>
      <c r="C9564" t="str">
        <f t="shared" si="532"/>
        <v>192</v>
      </c>
      <c r="D9564" t="str">
        <f>"20"</f>
        <v>20</v>
      </c>
      <c r="E9564" t="str">
        <f>"1-192-20"</f>
        <v>1-192-20</v>
      </c>
      <c r="F9564" t="s">
        <v>65</v>
      </c>
      <c r="G9564" t="s">
        <v>66</v>
      </c>
      <c r="H9564" t="s">
        <v>67</v>
      </c>
      <c r="S9564">
        <v>1</v>
      </c>
      <c r="T9564">
        <v>0</v>
      </c>
      <c r="U9564">
        <v>0</v>
      </c>
      <c r="V9564">
        <v>0</v>
      </c>
      <c r="W9564">
        <v>1</v>
      </c>
      <c r="X9564">
        <v>0</v>
      </c>
      <c r="Y9564">
        <v>1</v>
      </c>
      <c r="Z9564">
        <v>0</v>
      </c>
      <c r="AA9564">
        <v>1</v>
      </c>
      <c r="AB9564">
        <v>0</v>
      </c>
      <c r="AC9564">
        <v>0</v>
      </c>
      <c r="AD9564">
        <v>1</v>
      </c>
      <c r="AE9564">
        <v>1</v>
      </c>
      <c r="AF9564">
        <v>1</v>
      </c>
      <c r="AG9564">
        <v>1</v>
      </c>
      <c r="AH9564">
        <v>1</v>
      </c>
      <c r="AI9564">
        <v>1</v>
      </c>
      <c r="AJ9564">
        <v>1</v>
      </c>
      <c r="AK9564">
        <v>1</v>
      </c>
      <c r="AL9564">
        <v>1</v>
      </c>
      <c r="AM9564">
        <v>1</v>
      </c>
    </row>
    <row r="9565" spans="1:39" x14ac:dyDescent="0.2">
      <c r="A9565" t="str">
        <f>"9561"</f>
        <v>9561</v>
      </c>
      <c r="B9565" t="str">
        <f t="shared" si="530"/>
        <v>1</v>
      </c>
      <c r="C9565" t="str">
        <f t="shared" si="532"/>
        <v>192</v>
      </c>
      <c r="D9565" t="str">
        <f>"16"</f>
        <v>16</v>
      </c>
      <c r="E9565" t="str">
        <f>"1-192-16"</f>
        <v>1-192-16</v>
      </c>
      <c r="F9565" t="s">
        <v>65</v>
      </c>
      <c r="G9565" t="s">
        <v>66</v>
      </c>
      <c r="H9565" t="s">
        <v>67</v>
      </c>
      <c r="S9565">
        <v>1</v>
      </c>
      <c r="T9565">
        <v>0</v>
      </c>
      <c r="U9565">
        <v>0</v>
      </c>
      <c r="V9565">
        <v>0</v>
      </c>
      <c r="W9565">
        <v>0</v>
      </c>
      <c r="X9565">
        <v>1</v>
      </c>
      <c r="Y9565">
        <v>1</v>
      </c>
      <c r="Z9565">
        <v>0</v>
      </c>
      <c r="AA9565">
        <v>0</v>
      </c>
      <c r="AB9565">
        <v>1</v>
      </c>
      <c r="AC9565">
        <v>0</v>
      </c>
      <c r="AD9565">
        <v>1</v>
      </c>
      <c r="AE9565">
        <v>1</v>
      </c>
      <c r="AF9565">
        <v>1</v>
      </c>
      <c r="AG9565">
        <v>1</v>
      </c>
      <c r="AH9565">
        <v>1</v>
      </c>
      <c r="AI9565">
        <v>1</v>
      </c>
      <c r="AJ9565">
        <v>1</v>
      </c>
      <c r="AK9565">
        <v>1</v>
      </c>
      <c r="AL9565">
        <v>1</v>
      </c>
      <c r="AM9565">
        <v>1</v>
      </c>
    </row>
    <row r="9566" spans="1:39" x14ac:dyDescent="0.2">
      <c r="A9566" t="str">
        <f>"9562"</f>
        <v>9562</v>
      </c>
      <c r="B9566" t="str">
        <f t="shared" si="530"/>
        <v>1</v>
      </c>
      <c r="C9566" t="str">
        <f t="shared" si="532"/>
        <v>192</v>
      </c>
      <c r="D9566" t="str">
        <f>"1"</f>
        <v>1</v>
      </c>
      <c r="E9566" t="str">
        <f>"1-192-1"</f>
        <v>1-192-1</v>
      </c>
      <c r="F9566" t="s">
        <v>65</v>
      </c>
      <c r="G9566" t="s">
        <v>66</v>
      </c>
      <c r="H9566" t="s">
        <v>67</v>
      </c>
      <c r="S9566">
        <v>0</v>
      </c>
      <c r="T9566">
        <v>1</v>
      </c>
      <c r="U9566">
        <v>0</v>
      </c>
      <c r="V9566">
        <v>0</v>
      </c>
      <c r="W9566">
        <v>0</v>
      </c>
      <c r="X9566">
        <v>1</v>
      </c>
      <c r="Y9566">
        <v>1</v>
      </c>
      <c r="Z9566">
        <v>0</v>
      </c>
      <c r="AA9566">
        <v>0</v>
      </c>
      <c r="AB9566">
        <v>1</v>
      </c>
      <c r="AC9566">
        <v>0</v>
      </c>
      <c r="AD9566">
        <v>1</v>
      </c>
      <c r="AE9566">
        <v>1</v>
      </c>
      <c r="AF9566">
        <v>1</v>
      </c>
      <c r="AG9566">
        <v>1</v>
      </c>
      <c r="AH9566">
        <v>1</v>
      </c>
      <c r="AI9566">
        <v>1</v>
      </c>
      <c r="AJ9566">
        <v>1</v>
      </c>
      <c r="AK9566">
        <v>1</v>
      </c>
      <c r="AL9566">
        <v>1</v>
      </c>
      <c r="AM9566">
        <v>1</v>
      </c>
    </row>
    <row r="9567" spans="1:39" x14ac:dyDescent="0.2">
      <c r="A9567" t="str">
        <f>"9563"</f>
        <v>9563</v>
      </c>
      <c r="B9567" t="str">
        <f t="shared" si="530"/>
        <v>1</v>
      </c>
      <c r="C9567" t="str">
        <f t="shared" si="532"/>
        <v>192</v>
      </c>
      <c r="D9567" t="str">
        <f>"40"</f>
        <v>40</v>
      </c>
      <c r="E9567" t="str">
        <f>"1-192-40"</f>
        <v>1-192-40</v>
      </c>
      <c r="F9567" t="s">
        <v>65</v>
      </c>
      <c r="G9567" t="s">
        <v>66</v>
      </c>
      <c r="H9567" t="s">
        <v>67</v>
      </c>
      <c r="S9567">
        <v>1</v>
      </c>
      <c r="T9567">
        <v>0</v>
      </c>
      <c r="U9567">
        <v>0</v>
      </c>
      <c r="V9567">
        <v>0</v>
      </c>
      <c r="W9567">
        <v>0</v>
      </c>
      <c r="X9567">
        <v>1</v>
      </c>
      <c r="Y9567">
        <v>1</v>
      </c>
      <c r="Z9567">
        <v>0</v>
      </c>
      <c r="AA9567">
        <v>0</v>
      </c>
      <c r="AB9567">
        <v>0</v>
      </c>
      <c r="AC9567">
        <v>1</v>
      </c>
      <c r="AD9567">
        <v>1</v>
      </c>
      <c r="AE9567">
        <v>1</v>
      </c>
      <c r="AF9567">
        <v>1</v>
      </c>
      <c r="AG9567">
        <v>1</v>
      </c>
      <c r="AH9567">
        <v>1</v>
      </c>
      <c r="AI9567">
        <v>1</v>
      </c>
      <c r="AJ9567">
        <v>1</v>
      </c>
      <c r="AK9567">
        <v>1</v>
      </c>
      <c r="AL9567">
        <v>1</v>
      </c>
      <c r="AM9567">
        <v>1</v>
      </c>
    </row>
    <row r="9568" spans="1:39" x14ac:dyDescent="0.2">
      <c r="A9568" t="str">
        <f>"9564"</f>
        <v>9564</v>
      </c>
      <c r="B9568" t="str">
        <f t="shared" si="530"/>
        <v>1</v>
      </c>
      <c r="C9568" t="str">
        <f t="shared" si="532"/>
        <v>192</v>
      </c>
      <c r="D9568" t="str">
        <f>"39"</f>
        <v>39</v>
      </c>
      <c r="E9568" t="str">
        <f>"1-192-39"</f>
        <v>1-192-39</v>
      </c>
      <c r="F9568" t="s">
        <v>65</v>
      </c>
      <c r="G9568" t="s">
        <v>66</v>
      </c>
      <c r="H9568" t="s">
        <v>67</v>
      </c>
      <c r="S9568">
        <v>0</v>
      </c>
      <c r="T9568">
        <v>1</v>
      </c>
      <c r="U9568">
        <v>0</v>
      </c>
      <c r="V9568">
        <v>0</v>
      </c>
      <c r="W9568">
        <v>1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1</v>
      </c>
      <c r="AJ9568">
        <v>1</v>
      </c>
      <c r="AK9568">
        <v>1</v>
      </c>
      <c r="AL9568">
        <v>1</v>
      </c>
      <c r="AM9568">
        <v>0</v>
      </c>
    </row>
    <row r="9569" spans="1:39" x14ac:dyDescent="0.2">
      <c r="A9569" t="str">
        <f>"9565"</f>
        <v>9565</v>
      </c>
      <c r="B9569" t="str">
        <f t="shared" si="530"/>
        <v>1</v>
      </c>
      <c r="C9569" t="str">
        <f t="shared" si="532"/>
        <v>192</v>
      </c>
      <c r="D9569" t="str">
        <f>"28"</f>
        <v>28</v>
      </c>
      <c r="E9569" t="str">
        <f>"1-192-28"</f>
        <v>1-192-28</v>
      </c>
      <c r="F9569" t="s">
        <v>65</v>
      </c>
      <c r="G9569" t="s">
        <v>66</v>
      </c>
      <c r="H9569" t="s">
        <v>67</v>
      </c>
      <c r="S9569">
        <v>0</v>
      </c>
      <c r="T9569">
        <v>1</v>
      </c>
      <c r="U9569">
        <v>0</v>
      </c>
      <c r="V9569">
        <v>0</v>
      </c>
      <c r="W9569">
        <v>1</v>
      </c>
      <c r="X9569">
        <v>0</v>
      </c>
      <c r="Y9569">
        <v>1</v>
      </c>
      <c r="Z9569">
        <v>0</v>
      </c>
      <c r="AA9569">
        <v>0</v>
      </c>
      <c r="AB9569">
        <v>1</v>
      </c>
      <c r="AC9569">
        <v>0</v>
      </c>
      <c r="AD9569">
        <v>1</v>
      </c>
      <c r="AE9569">
        <v>1</v>
      </c>
      <c r="AF9569">
        <v>1</v>
      </c>
      <c r="AG9569">
        <v>1</v>
      </c>
      <c r="AH9569">
        <v>1</v>
      </c>
      <c r="AI9569">
        <v>1</v>
      </c>
      <c r="AJ9569">
        <v>1</v>
      </c>
      <c r="AK9569">
        <v>1</v>
      </c>
      <c r="AL9569">
        <v>1</v>
      </c>
      <c r="AM9569">
        <v>1</v>
      </c>
    </row>
    <row r="9570" spans="1:39" x14ac:dyDescent="0.2">
      <c r="A9570" t="str">
        <f>"9566"</f>
        <v>9566</v>
      </c>
      <c r="B9570" t="str">
        <f t="shared" si="530"/>
        <v>1</v>
      </c>
      <c r="C9570" t="str">
        <f t="shared" si="532"/>
        <v>192</v>
      </c>
      <c r="D9570" t="str">
        <f>"17"</f>
        <v>17</v>
      </c>
      <c r="E9570" t="str">
        <f>"1-192-17"</f>
        <v>1-192-17</v>
      </c>
      <c r="F9570" t="s">
        <v>65</v>
      </c>
      <c r="G9570" t="s">
        <v>66</v>
      </c>
      <c r="H9570" t="s">
        <v>67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1</v>
      </c>
      <c r="Y9570">
        <v>0</v>
      </c>
      <c r="Z9570">
        <v>1</v>
      </c>
      <c r="AA9570">
        <v>0</v>
      </c>
      <c r="AB9570">
        <v>1</v>
      </c>
      <c r="AC9570">
        <v>0</v>
      </c>
      <c r="AD9570">
        <v>1</v>
      </c>
      <c r="AE9570">
        <v>1</v>
      </c>
      <c r="AF9570">
        <v>1</v>
      </c>
      <c r="AG9570">
        <v>1</v>
      </c>
      <c r="AH9570">
        <v>1</v>
      </c>
      <c r="AI9570">
        <v>1</v>
      </c>
      <c r="AJ9570">
        <v>1</v>
      </c>
      <c r="AK9570">
        <v>1</v>
      </c>
      <c r="AL9570">
        <v>1</v>
      </c>
      <c r="AM9570">
        <v>1</v>
      </c>
    </row>
    <row r="9571" spans="1:39" x14ac:dyDescent="0.2">
      <c r="A9571" t="str">
        <f>"9567"</f>
        <v>9567</v>
      </c>
      <c r="B9571" t="str">
        <f t="shared" si="530"/>
        <v>1</v>
      </c>
      <c r="C9571" t="str">
        <f t="shared" si="532"/>
        <v>192</v>
      </c>
      <c r="D9571" t="str">
        <f>"5"</f>
        <v>5</v>
      </c>
      <c r="E9571" t="str">
        <f>"1-192-5"</f>
        <v>1-192-5</v>
      </c>
      <c r="F9571" t="s">
        <v>65</v>
      </c>
      <c r="G9571" t="s">
        <v>66</v>
      </c>
      <c r="H9571" t="s">
        <v>67</v>
      </c>
      <c r="S9571">
        <v>1</v>
      </c>
      <c r="T9571">
        <v>0</v>
      </c>
      <c r="U9571">
        <v>0</v>
      </c>
      <c r="V9571">
        <v>0</v>
      </c>
      <c r="W9571">
        <v>1</v>
      </c>
      <c r="X9571">
        <v>0</v>
      </c>
      <c r="Y9571">
        <v>0</v>
      </c>
      <c r="Z9571">
        <v>1</v>
      </c>
      <c r="AA9571">
        <v>1</v>
      </c>
      <c r="AB9571">
        <v>0</v>
      </c>
      <c r="AC9571">
        <v>0</v>
      </c>
      <c r="AD9571">
        <v>1</v>
      </c>
      <c r="AE9571">
        <v>1</v>
      </c>
      <c r="AF9571">
        <v>1</v>
      </c>
      <c r="AG9571">
        <v>1</v>
      </c>
      <c r="AH9571">
        <v>1</v>
      </c>
      <c r="AI9571">
        <v>1</v>
      </c>
      <c r="AJ9571">
        <v>1</v>
      </c>
      <c r="AK9571">
        <v>1</v>
      </c>
      <c r="AL9571">
        <v>1</v>
      </c>
      <c r="AM9571">
        <v>1</v>
      </c>
    </row>
    <row r="9572" spans="1:39" x14ac:dyDescent="0.2">
      <c r="A9572" t="str">
        <f>"9568"</f>
        <v>9568</v>
      </c>
      <c r="B9572" t="str">
        <f t="shared" si="530"/>
        <v>1</v>
      </c>
      <c r="C9572" t="str">
        <f t="shared" si="532"/>
        <v>192</v>
      </c>
      <c r="D9572" t="str">
        <f>"38"</f>
        <v>38</v>
      </c>
      <c r="E9572" t="str">
        <f>"1-192-38"</f>
        <v>1-192-38</v>
      </c>
      <c r="F9572" t="s">
        <v>65</v>
      </c>
      <c r="G9572" t="s">
        <v>66</v>
      </c>
      <c r="H9572" t="s">
        <v>67</v>
      </c>
      <c r="S9572">
        <v>1</v>
      </c>
      <c r="T9572">
        <v>0</v>
      </c>
      <c r="U9572">
        <v>0</v>
      </c>
      <c r="V9572">
        <v>0</v>
      </c>
      <c r="W9572">
        <v>1</v>
      </c>
      <c r="X9572">
        <v>0</v>
      </c>
      <c r="Y9572">
        <v>1</v>
      </c>
      <c r="Z9572">
        <v>0</v>
      </c>
      <c r="AA9572">
        <v>1</v>
      </c>
      <c r="AB9572">
        <v>0</v>
      </c>
      <c r="AC9572">
        <v>0</v>
      </c>
      <c r="AD9572">
        <v>1</v>
      </c>
      <c r="AE9572">
        <v>1</v>
      </c>
      <c r="AF9572">
        <v>1</v>
      </c>
      <c r="AG9572">
        <v>1</v>
      </c>
      <c r="AH9572">
        <v>1</v>
      </c>
      <c r="AI9572">
        <v>1</v>
      </c>
      <c r="AJ9572">
        <v>1</v>
      </c>
      <c r="AK9572">
        <v>1</v>
      </c>
      <c r="AL9572">
        <v>1</v>
      </c>
      <c r="AM9572">
        <v>1</v>
      </c>
    </row>
    <row r="9573" spans="1:39" x14ac:dyDescent="0.2">
      <c r="A9573" t="str">
        <f>"9569"</f>
        <v>9569</v>
      </c>
      <c r="B9573" t="str">
        <f t="shared" si="530"/>
        <v>1</v>
      </c>
      <c r="C9573" t="str">
        <f t="shared" si="532"/>
        <v>192</v>
      </c>
      <c r="D9573" t="str">
        <f>"37"</f>
        <v>37</v>
      </c>
      <c r="E9573" t="str">
        <f>"1-192-37"</f>
        <v>1-192-37</v>
      </c>
      <c r="F9573" t="s">
        <v>65</v>
      </c>
      <c r="G9573" t="s">
        <v>66</v>
      </c>
      <c r="H9573" t="s">
        <v>67</v>
      </c>
      <c r="S9573">
        <v>0</v>
      </c>
      <c r="T9573">
        <v>1</v>
      </c>
      <c r="U9573">
        <v>0</v>
      </c>
      <c r="V9573">
        <v>0</v>
      </c>
      <c r="W9573">
        <v>1</v>
      </c>
      <c r="X9573">
        <v>0</v>
      </c>
      <c r="Y9573">
        <v>1</v>
      </c>
      <c r="Z9573">
        <v>0</v>
      </c>
      <c r="AA9573">
        <v>1</v>
      </c>
      <c r="AB9573">
        <v>0</v>
      </c>
      <c r="AC9573">
        <v>0</v>
      </c>
      <c r="AD9573">
        <v>0</v>
      </c>
      <c r="AE9573">
        <v>0</v>
      </c>
      <c r="AF9573">
        <v>1</v>
      </c>
      <c r="AG9573">
        <v>1</v>
      </c>
      <c r="AH9573">
        <v>1</v>
      </c>
      <c r="AI9573">
        <v>1</v>
      </c>
      <c r="AJ9573">
        <v>1</v>
      </c>
      <c r="AK9573">
        <v>1</v>
      </c>
      <c r="AL9573">
        <v>1</v>
      </c>
      <c r="AM9573">
        <v>1</v>
      </c>
    </row>
    <row r="9574" spans="1:39" x14ac:dyDescent="0.2">
      <c r="A9574" t="str">
        <f>"9570"</f>
        <v>9570</v>
      </c>
      <c r="B9574" t="str">
        <f t="shared" si="530"/>
        <v>1</v>
      </c>
      <c r="C9574" t="str">
        <f t="shared" si="532"/>
        <v>192</v>
      </c>
      <c r="D9574" t="str">
        <f>"26"</f>
        <v>26</v>
      </c>
      <c r="E9574" t="str">
        <f>"1-192-26"</f>
        <v>1-192-26</v>
      </c>
      <c r="F9574" t="s">
        <v>65</v>
      </c>
      <c r="G9574" t="s">
        <v>66</v>
      </c>
      <c r="H9574" t="s">
        <v>67</v>
      </c>
      <c r="S9574">
        <v>1</v>
      </c>
      <c r="T9574">
        <v>0</v>
      </c>
      <c r="U9574">
        <v>0</v>
      </c>
      <c r="V9574">
        <v>0</v>
      </c>
      <c r="W9574">
        <v>1</v>
      </c>
      <c r="X9574">
        <v>0</v>
      </c>
      <c r="Y9574">
        <v>1</v>
      </c>
      <c r="Z9574">
        <v>0</v>
      </c>
      <c r="AA9574">
        <v>1</v>
      </c>
      <c r="AB9574">
        <v>0</v>
      </c>
      <c r="AC9574">
        <v>0</v>
      </c>
      <c r="AD9574">
        <v>1</v>
      </c>
      <c r="AE9574">
        <v>1</v>
      </c>
      <c r="AF9574">
        <v>1</v>
      </c>
      <c r="AG9574">
        <v>1</v>
      </c>
      <c r="AH9574">
        <v>1</v>
      </c>
      <c r="AI9574">
        <v>1</v>
      </c>
      <c r="AJ9574">
        <v>1</v>
      </c>
      <c r="AK9574">
        <v>1</v>
      </c>
      <c r="AL9574">
        <v>1</v>
      </c>
      <c r="AM9574">
        <v>1</v>
      </c>
    </row>
    <row r="9575" spans="1:39" x14ac:dyDescent="0.2">
      <c r="A9575" t="str">
        <f>"9571"</f>
        <v>9571</v>
      </c>
      <c r="B9575" t="str">
        <f t="shared" si="530"/>
        <v>1</v>
      </c>
      <c r="C9575" t="str">
        <f t="shared" si="532"/>
        <v>192</v>
      </c>
      <c r="D9575" t="str">
        <f>"18"</f>
        <v>18</v>
      </c>
      <c r="E9575" t="str">
        <f>"1-192-18"</f>
        <v>1-192-18</v>
      </c>
      <c r="F9575" t="s">
        <v>65</v>
      </c>
      <c r="G9575" t="s">
        <v>66</v>
      </c>
      <c r="H9575" t="s">
        <v>67</v>
      </c>
      <c r="S9575">
        <v>1</v>
      </c>
      <c r="T9575">
        <v>0</v>
      </c>
      <c r="U9575">
        <v>0</v>
      </c>
      <c r="V9575">
        <v>0</v>
      </c>
      <c r="W9575">
        <v>1</v>
      </c>
      <c r="X9575">
        <v>0</v>
      </c>
      <c r="Y9575">
        <v>1</v>
      </c>
      <c r="Z9575">
        <v>0</v>
      </c>
      <c r="AA9575">
        <v>1</v>
      </c>
      <c r="AB9575">
        <v>0</v>
      </c>
      <c r="AC9575">
        <v>0</v>
      </c>
      <c r="AD9575">
        <v>1</v>
      </c>
      <c r="AE9575">
        <v>1</v>
      </c>
      <c r="AF9575">
        <v>1</v>
      </c>
      <c r="AG9575">
        <v>1</v>
      </c>
      <c r="AH9575">
        <v>1</v>
      </c>
      <c r="AI9575">
        <v>1</v>
      </c>
      <c r="AJ9575">
        <v>1</v>
      </c>
      <c r="AK9575">
        <v>1</v>
      </c>
      <c r="AL9575">
        <v>1</v>
      </c>
      <c r="AM9575">
        <v>1</v>
      </c>
    </row>
    <row r="9576" spans="1:39" x14ac:dyDescent="0.2">
      <c r="A9576" t="str">
        <f>"9572"</f>
        <v>9572</v>
      </c>
      <c r="B9576" t="str">
        <f t="shared" si="530"/>
        <v>1</v>
      </c>
      <c r="C9576" t="str">
        <f t="shared" si="532"/>
        <v>192</v>
      </c>
      <c r="D9576" t="str">
        <f>"11"</f>
        <v>11</v>
      </c>
      <c r="E9576" t="str">
        <f>"1-192-11"</f>
        <v>1-192-11</v>
      </c>
      <c r="F9576" t="s">
        <v>65</v>
      </c>
      <c r="G9576" t="s">
        <v>66</v>
      </c>
      <c r="H9576" t="s">
        <v>67</v>
      </c>
      <c r="S9576">
        <v>1</v>
      </c>
      <c r="T9576">
        <v>0</v>
      </c>
      <c r="U9576">
        <v>0</v>
      </c>
      <c r="V9576">
        <v>0</v>
      </c>
      <c r="W9576">
        <v>1</v>
      </c>
      <c r="X9576">
        <v>0</v>
      </c>
      <c r="Y9576">
        <v>1</v>
      </c>
      <c r="Z9576">
        <v>0</v>
      </c>
      <c r="AA9576">
        <v>1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1</v>
      </c>
      <c r="AM9576">
        <v>0</v>
      </c>
    </row>
    <row r="9577" spans="1:39" x14ac:dyDescent="0.2">
      <c r="A9577" t="str">
        <f>"9573"</f>
        <v>9573</v>
      </c>
      <c r="B9577" t="str">
        <f t="shared" si="530"/>
        <v>1</v>
      </c>
      <c r="C9577" t="str">
        <f t="shared" si="532"/>
        <v>192</v>
      </c>
      <c r="D9577" t="str">
        <f>"41"</f>
        <v>41</v>
      </c>
      <c r="E9577" t="str">
        <f>"1-192-41"</f>
        <v>1-192-41</v>
      </c>
      <c r="F9577" t="s">
        <v>65</v>
      </c>
      <c r="G9577" t="s">
        <v>66</v>
      </c>
      <c r="H9577" t="s">
        <v>67</v>
      </c>
      <c r="S9577">
        <v>1</v>
      </c>
      <c r="T9577">
        <v>0</v>
      </c>
      <c r="U9577">
        <v>0</v>
      </c>
      <c r="V9577">
        <v>0</v>
      </c>
      <c r="W9577">
        <v>1</v>
      </c>
      <c r="X9577">
        <v>0</v>
      </c>
      <c r="Y9577">
        <v>0</v>
      </c>
      <c r="Z9577">
        <v>1</v>
      </c>
      <c r="AA9577">
        <v>0</v>
      </c>
      <c r="AB9577">
        <v>0</v>
      </c>
      <c r="AC9577">
        <v>1</v>
      </c>
      <c r="AD9577">
        <v>1</v>
      </c>
      <c r="AE9577">
        <v>1</v>
      </c>
      <c r="AF9577">
        <v>1</v>
      </c>
      <c r="AG9577">
        <v>1</v>
      </c>
      <c r="AH9577">
        <v>1</v>
      </c>
      <c r="AI9577">
        <v>1</v>
      </c>
      <c r="AJ9577">
        <v>0</v>
      </c>
      <c r="AK9577">
        <v>0</v>
      </c>
      <c r="AL9577">
        <v>1</v>
      </c>
      <c r="AM9577">
        <v>1</v>
      </c>
    </row>
    <row r="9578" spans="1:39" x14ac:dyDescent="0.2">
      <c r="A9578" t="str">
        <f>"9574"</f>
        <v>9574</v>
      </c>
      <c r="B9578" t="str">
        <f t="shared" si="530"/>
        <v>1</v>
      </c>
      <c r="C9578" t="str">
        <f t="shared" si="532"/>
        <v>192</v>
      </c>
      <c r="D9578" t="str">
        <f>"21"</f>
        <v>21</v>
      </c>
      <c r="E9578" t="str">
        <f>"1-192-21"</f>
        <v>1-192-21</v>
      </c>
      <c r="F9578" t="s">
        <v>65</v>
      </c>
      <c r="G9578" t="s">
        <v>66</v>
      </c>
      <c r="H9578" t="s">
        <v>68</v>
      </c>
      <c r="I9578">
        <v>1</v>
      </c>
      <c r="J9578">
        <v>0</v>
      </c>
      <c r="K9578">
        <v>1</v>
      </c>
      <c r="L9578">
        <v>0</v>
      </c>
      <c r="M9578">
        <v>0</v>
      </c>
      <c r="N9578">
        <v>1</v>
      </c>
      <c r="O9578">
        <v>1</v>
      </c>
      <c r="P9578">
        <v>0</v>
      </c>
      <c r="Q9578">
        <v>1</v>
      </c>
      <c r="R9578">
        <v>1</v>
      </c>
    </row>
    <row r="9579" spans="1:39" x14ac:dyDescent="0.2">
      <c r="A9579" t="str">
        <f>"9575"</f>
        <v>9575</v>
      </c>
      <c r="B9579" t="str">
        <f t="shared" si="530"/>
        <v>1</v>
      </c>
      <c r="C9579" t="str">
        <f t="shared" si="532"/>
        <v>192</v>
      </c>
      <c r="D9579" t="str">
        <f>"14"</f>
        <v>14</v>
      </c>
      <c r="E9579" t="str">
        <f>"1-192-14"</f>
        <v>1-192-14</v>
      </c>
      <c r="F9579" t="s">
        <v>65</v>
      </c>
      <c r="G9579" t="s">
        <v>66</v>
      </c>
      <c r="H9579" t="s">
        <v>67</v>
      </c>
      <c r="S9579">
        <v>1</v>
      </c>
      <c r="T9579">
        <v>0</v>
      </c>
      <c r="U9579">
        <v>0</v>
      </c>
      <c r="V9579">
        <v>0</v>
      </c>
      <c r="W9579">
        <v>0</v>
      </c>
      <c r="X9579">
        <v>1</v>
      </c>
      <c r="Y9579">
        <v>1</v>
      </c>
      <c r="Z9579">
        <v>0</v>
      </c>
      <c r="AA9579">
        <v>0</v>
      </c>
      <c r="AB9579">
        <v>1</v>
      </c>
      <c r="AC9579">
        <v>0</v>
      </c>
      <c r="AD9579">
        <v>1</v>
      </c>
      <c r="AE9579">
        <v>1</v>
      </c>
      <c r="AF9579">
        <v>1</v>
      </c>
      <c r="AG9579">
        <v>1</v>
      </c>
      <c r="AH9579">
        <v>1</v>
      </c>
      <c r="AI9579">
        <v>1</v>
      </c>
      <c r="AJ9579">
        <v>1</v>
      </c>
      <c r="AK9579">
        <v>1</v>
      </c>
      <c r="AL9579">
        <v>1</v>
      </c>
      <c r="AM9579">
        <v>1</v>
      </c>
    </row>
    <row r="9580" spans="1:39" x14ac:dyDescent="0.2">
      <c r="A9580" t="str">
        <f>"9576"</f>
        <v>9576</v>
      </c>
      <c r="B9580" t="str">
        <f t="shared" si="530"/>
        <v>1</v>
      </c>
      <c r="C9580" t="str">
        <f t="shared" si="532"/>
        <v>192</v>
      </c>
      <c r="D9580" t="str">
        <f>"44"</f>
        <v>44</v>
      </c>
      <c r="E9580" t="str">
        <f>"1-192-44"</f>
        <v>1-192-44</v>
      </c>
      <c r="F9580" t="s">
        <v>65</v>
      </c>
      <c r="G9580" t="s">
        <v>66</v>
      </c>
      <c r="H9580" t="s">
        <v>67</v>
      </c>
      <c r="S9580">
        <v>0</v>
      </c>
      <c r="T9580">
        <v>0</v>
      </c>
      <c r="U9580">
        <v>0</v>
      </c>
      <c r="V9580">
        <v>0</v>
      </c>
      <c r="W9580">
        <v>1</v>
      </c>
      <c r="X9580">
        <v>0</v>
      </c>
      <c r="Y9580">
        <v>0</v>
      </c>
      <c r="Z9580">
        <v>0</v>
      </c>
      <c r="AA9580">
        <v>1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</row>
    <row r="9581" spans="1:39" x14ac:dyDescent="0.2">
      <c r="A9581" t="str">
        <f>"9577"</f>
        <v>9577</v>
      </c>
      <c r="B9581" t="str">
        <f t="shared" si="530"/>
        <v>1</v>
      </c>
      <c r="C9581" t="str">
        <f t="shared" si="532"/>
        <v>192</v>
      </c>
      <c r="D9581" t="str">
        <f>"22"</f>
        <v>22</v>
      </c>
      <c r="E9581" t="str">
        <f>"1-192-22"</f>
        <v>1-192-22</v>
      </c>
      <c r="F9581" t="s">
        <v>65</v>
      </c>
      <c r="G9581" t="s">
        <v>66</v>
      </c>
      <c r="H9581" t="s">
        <v>67</v>
      </c>
      <c r="S9581">
        <v>0</v>
      </c>
      <c r="T9581">
        <v>1</v>
      </c>
      <c r="U9581">
        <v>0</v>
      </c>
      <c r="V9581">
        <v>0</v>
      </c>
      <c r="W9581">
        <v>1</v>
      </c>
      <c r="X9581">
        <v>0</v>
      </c>
      <c r="Y9581">
        <v>1</v>
      </c>
      <c r="Z9581">
        <v>0</v>
      </c>
      <c r="AA9581">
        <v>1</v>
      </c>
      <c r="AB9581">
        <v>0</v>
      </c>
      <c r="AC9581">
        <v>0</v>
      </c>
      <c r="AD9581">
        <v>1</v>
      </c>
      <c r="AE9581">
        <v>1</v>
      </c>
      <c r="AF9581">
        <v>1</v>
      </c>
      <c r="AG9581">
        <v>1</v>
      </c>
      <c r="AH9581">
        <v>1</v>
      </c>
      <c r="AI9581">
        <v>1</v>
      </c>
      <c r="AJ9581">
        <v>1</v>
      </c>
      <c r="AK9581">
        <v>1</v>
      </c>
      <c r="AL9581">
        <v>1</v>
      </c>
      <c r="AM9581">
        <v>1</v>
      </c>
    </row>
    <row r="9582" spans="1:39" x14ac:dyDescent="0.2">
      <c r="A9582" t="str">
        <f>"9578"</f>
        <v>9578</v>
      </c>
      <c r="B9582" t="str">
        <f t="shared" si="530"/>
        <v>1</v>
      </c>
      <c r="C9582" t="str">
        <f t="shared" si="532"/>
        <v>192</v>
      </c>
      <c r="D9582" t="str">
        <f>"10"</f>
        <v>10</v>
      </c>
      <c r="E9582" t="str">
        <f>"1-192-10"</f>
        <v>1-192-10</v>
      </c>
      <c r="F9582" t="s">
        <v>65</v>
      </c>
      <c r="G9582" t="s">
        <v>66</v>
      </c>
      <c r="H9582" t="s">
        <v>67</v>
      </c>
      <c r="S9582">
        <v>1</v>
      </c>
      <c r="T9582">
        <v>0</v>
      </c>
      <c r="U9582">
        <v>0</v>
      </c>
      <c r="V9582">
        <v>0</v>
      </c>
      <c r="W9582">
        <v>1</v>
      </c>
      <c r="X9582">
        <v>0</v>
      </c>
      <c r="Y9582">
        <v>1</v>
      </c>
      <c r="Z9582">
        <v>0</v>
      </c>
      <c r="AA9582">
        <v>0</v>
      </c>
      <c r="AB9582">
        <v>1</v>
      </c>
      <c r="AC9582">
        <v>0</v>
      </c>
      <c r="AD9582">
        <v>0</v>
      </c>
      <c r="AE9582">
        <v>0</v>
      </c>
      <c r="AF9582">
        <v>0</v>
      </c>
      <c r="AG9582">
        <v>1</v>
      </c>
      <c r="AH9582">
        <v>1</v>
      </c>
      <c r="AI9582">
        <v>1</v>
      </c>
      <c r="AJ9582">
        <v>1</v>
      </c>
      <c r="AK9582">
        <v>1</v>
      </c>
      <c r="AL9582">
        <v>1</v>
      </c>
      <c r="AM9582">
        <v>1</v>
      </c>
    </row>
    <row r="9583" spans="1:39" x14ac:dyDescent="0.2">
      <c r="A9583" t="str">
        <f>"9579"</f>
        <v>9579</v>
      </c>
      <c r="B9583" t="str">
        <f t="shared" si="530"/>
        <v>1</v>
      </c>
      <c r="C9583" t="str">
        <f t="shared" si="532"/>
        <v>192</v>
      </c>
      <c r="D9583" t="str">
        <f>"23"</f>
        <v>23</v>
      </c>
      <c r="E9583" t="str">
        <f>"1-192-23"</f>
        <v>1-192-23</v>
      </c>
      <c r="F9583" t="s">
        <v>65</v>
      </c>
      <c r="G9583" t="s">
        <v>66</v>
      </c>
      <c r="H9583" t="s">
        <v>67</v>
      </c>
      <c r="S9583">
        <v>1</v>
      </c>
      <c r="T9583">
        <v>0</v>
      </c>
      <c r="U9583">
        <v>0</v>
      </c>
      <c r="V9583">
        <v>0</v>
      </c>
      <c r="W9583">
        <v>1</v>
      </c>
      <c r="X9583">
        <v>0</v>
      </c>
      <c r="Y9583">
        <v>1</v>
      </c>
      <c r="Z9583">
        <v>0</v>
      </c>
      <c r="AA9583">
        <v>0</v>
      </c>
      <c r="AB9583">
        <v>1</v>
      </c>
      <c r="AC9583">
        <v>0</v>
      </c>
      <c r="AD9583">
        <v>1</v>
      </c>
      <c r="AE9583">
        <v>1</v>
      </c>
      <c r="AF9583">
        <v>0</v>
      </c>
      <c r="AG9583">
        <v>0</v>
      </c>
      <c r="AH9583">
        <v>0</v>
      </c>
      <c r="AI9583">
        <v>1</v>
      </c>
      <c r="AJ9583">
        <v>1</v>
      </c>
      <c r="AK9583">
        <v>1</v>
      </c>
      <c r="AL9583">
        <v>1</v>
      </c>
      <c r="AM9583">
        <v>1</v>
      </c>
    </row>
    <row r="9584" spans="1:39" x14ac:dyDescent="0.2">
      <c r="A9584" t="str">
        <f>"9580"</f>
        <v>9580</v>
      </c>
      <c r="B9584" t="str">
        <f t="shared" si="530"/>
        <v>1</v>
      </c>
      <c r="C9584" t="str">
        <f t="shared" si="532"/>
        <v>192</v>
      </c>
      <c r="D9584" t="str">
        <f>"3"</f>
        <v>3</v>
      </c>
      <c r="E9584" t="str">
        <f>"1-192-3"</f>
        <v>1-192-3</v>
      </c>
      <c r="F9584" t="s">
        <v>65</v>
      </c>
      <c r="G9584" t="s">
        <v>66</v>
      </c>
      <c r="H9584" t="s">
        <v>67</v>
      </c>
      <c r="S9584">
        <v>1</v>
      </c>
      <c r="T9584">
        <v>0</v>
      </c>
      <c r="U9584">
        <v>0</v>
      </c>
      <c r="V9584">
        <v>0</v>
      </c>
      <c r="W9584">
        <v>0</v>
      </c>
      <c r="X9584">
        <v>1</v>
      </c>
      <c r="Y9584">
        <v>1</v>
      </c>
      <c r="Z9584">
        <v>0</v>
      </c>
      <c r="AA9584">
        <v>0</v>
      </c>
      <c r="AB9584">
        <v>0</v>
      </c>
      <c r="AC9584">
        <v>1</v>
      </c>
      <c r="AD9584">
        <v>1</v>
      </c>
      <c r="AE9584">
        <v>1</v>
      </c>
      <c r="AF9584">
        <v>1</v>
      </c>
      <c r="AG9584">
        <v>1</v>
      </c>
      <c r="AH9584">
        <v>1</v>
      </c>
      <c r="AI9584">
        <v>1</v>
      </c>
      <c r="AJ9584">
        <v>1</v>
      </c>
      <c r="AK9584">
        <v>0</v>
      </c>
      <c r="AL9584">
        <v>1</v>
      </c>
      <c r="AM9584">
        <v>1</v>
      </c>
    </row>
    <row r="9585" spans="1:39" x14ac:dyDescent="0.2">
      <c r="A9585" t="str">
        <f>"9581"</f>
        <v>9581</v>
      </c>
      <c r="B9585" t="str">
        <f t="shared" si="530"/>
        <v>1</v>
      </c>
      <c r="C9585" t="str">
        <f t="shared" si="532"/>
        <v>192</v>
      </c>
      <c r="D9585" t="str">
        <f>"45"</f>
        <v>45</v>
      </c>
      <c r="E9585" t="str">
        <f>"1-192-45"</f>
        <v>1-192-45</v>
      </c>
      <c r="F9585" t="s">
        <v>65</v>
      </c>
      <c r="G9585" t="s">
        <v>66</v>
      </c>
      <c r="H9585" t="s">
        <v>67</v>
      </c>
      <c r="S9585">
        <v>1</v>
      </c>
      <c r="T9585">
        <v>0</v>
      </c>
      <c r="U9585">
        <v>0</v>
      </c>
      <c r="V9585">
        <v>0</v>
      </c>
      <c r="W9585">
        <v>1</v>
      </c>
      <c r="X9585">
        <v>0</v>
      </c>
      <c r="Y9585">
        <v>1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1</v>
      </c>
      <c r="AK9585">
        <v>0</v>
      </c>
      <c r="AL9585">
        <v>1</v>
      </c>
      <c r="AM9585">
        <v>0</v>
      </c>
    </row>
    <row r="9586" spans="1:39" x14ac:dyDescent="0.2">
      <c r="A9586" t="str">
        <f>"9582"</f>
        <v>9582</v>
      </c>
      <c r="B9586" t="str">
        <f t="shared" si="530"/>
        <v>1</v>
      </c>
      <c r="C9586" t="str">
        <f t="shared" si="532"/>
        <v>192</v>
      </c>
      <c r="D9586" t="str">
        <f>"24"</f>
        <v>24</v>
      </c>
      <c r="E9586" t="str">
        <f>"1-192-24"</f>
        <v>1-192-24</v>
      </c>
      <c r="F9586" t="s">
        <v>65</v>
      </c>
      <c r="G9586" t="s">
        <v>66</v>
      </c>
      <c r="H9586" t="s">
        <v>67</v>
      </c>
      <c r="S9586">
        <v>0</v>
      </c>
      <c r="T9586">
        <v>1</v>
      </c>
      <c r="U9586">
        <v>0</v>
      </c>
      <c r="V9586">
        <v>0</v>
      </c>
      <c r="W9586">
        <v>1</v>
      </c>
      <c r="X9586">
        <v>0</v>
      </c>
      <c r="Y9586">
        <v>1</v>
      </c>
      <c r="Z9586">
        <v>0</v>
      </c>
      <c r="AA9586">
        <v>1</v>
      </c>
      <c r="AB9586">
        <v>0</v>
      </c>
      <c r="AC9586">
        <v>0</v>
      </c>
      <c r="AD9586">
        <v>1</v>
      </c>
      <c r="AE9586">
        <v>1</v>
      </c>
      <c r="AF9586">
        <v>1</v>
      </c>
      <c r="AG9586">
        <v>1</v>
      </c>
      <c r="AH9586">
        <v>1</v>
      </c>
      <c r="AI9586">
        <v>1</v>
      </c>
      <c r="AJ9586">
        <v>1</v>
      </c>
      <c r="AK9586">
        <v>1</v>
      </c>
      <c r="AL9586">
        <v>1</v>
      </c>
      <c r="AM9586">
        <v>1</v>
      </c>
    </row>
    <row r="9587" spans="1:39" x14ac:dyDescent="0.2">
      <c r="A9587" t="str">
        <f>"9583"</f>
        <v>9583</v>
      </c>
      <c r="B9587" t="str">
        <f t="shared" si="530"/>
        <v>1</v>
      </c>
      <c r="C9587" t="str">
        <f t="shared" ref="C9587:C9604" si="533">"192"</f>
        <v>192</v>
      </c>
      <c r="D9587" t="str">
        <f>"6"</f>
        <v>6</v>
      </c>
      <c r="E9587" t="str">
        <f>"1-192-6"</f>
        <v>1-192-6</v>
      </c>
      <c r="F9587" t="s">
        <v>65</v>
      </c>
      <c r="G9587" t="s">
        <v>66</v>
      </c>
      <c r="H9587" t="s">
        <v>67</v>
      </c>
      <c r="S9587">
        <v>1</v>
      </c>
      <c r="T9587">
        <v>0</v>
      </c>
      <c r="U9587">
        <v>0</v>
      </c>
      <c r="V9587">
        <v>0</v>
      </c>
      <c r="W9587">
        <v>1</v>
      </c>
      <c r="X9587">
        <v>0</v>
      </c>
      <c r="Y9587">
        <v>1</v>
      </c>
      <c r="Z9587">
        <v>0</v>
      </c>
      <c r="AA9587">
        <v>0</v>
      </c>
      <c r="AB9587">
        <v>0</v>
      </c>
      <c r="AC9587">
        <v>1</v>
      </c>
      <c r="AD9587">
        <v>1</v>
      </c>
      <c r="AE9587">
        <v>1</v>
      </c>
      <c r="AF9587">
        <v>1</v>
      </c>
      <c r="AG9587">
        <v>1</v>
      </c>
      <c r="AH9587">
        <v>1</v>
      </c>
      <c r="AI9587">
        <v>1</v>
      </c>
      <c r="AJ9587">
        <v>1</v>
      </c>
      <c r="AK9587">
        <v>1</v>
      </c>
      <c r="AL9587">
        <v>1</v>
      </c>
      <c r="AM9587">
        <v>1</v>
      </c>
    </row>
    <row r="9588" spans="1:39" x14ac:dyDescent="0.2">
      <c r="A9588" t="str">
        <f>"9584"</f>
        <v>9584</v>
      </c>
      <c r="B9588" t="str">
        <f t="shared" si="530"/>
        <v>1</v>
      </c>
      <c r="C9588" t="str">
        <f t="shared" si="533"/>
        <v>192</v>
      </c>
      <c r="D9588" t="str">
        <f>"25"</f>
        <v>25</v>
      </c>
      <c r="E9588" t="str">
        <f>"1-192-25"</f>
        <v>1-192-25</v>
      </c>
      <c r="F9588" t="s">
        <v>65</v>
      </c>
      <c r="G9588" t="s">
        <v>66</v>
      </c>
      <c r="H9588" t="s">
        <v>67</v>
      </c>
      <c r="S9588">
        <v>0</v>
      </c>
      <c r="T9588">
        <v>1</v>
      </c>
      <c r="U9588">
        <v>0</v>
      </c>
      <c r="V9588">
        <v>0</v>
      </c>
      <c r="W9588">
        <v>1</v>
      </c>
      <c r="X9588">
        <v>0</v>
      </c>
      <c r="Y9588">
        <v>1</v>
      </c>
      <c r="Z9588">
        <v>0</v>
      </c>
      <c r="AA9588">
        <v>0</v>
      </c>
      <c r="AB9588">
        <v>0</v>
      </c>
      <c r="AC9588">
        <v>1</v>
      </c>
      <c r="AD9588">
        <v>1</v>
      </c>
      <c r="AE9588">
        <v>1</v>
      </c>
      <c r="AF9588">
        <v>1</v>
      </c>
      <c r="AG9588">
        <v>1</v>
      </c>
      <c r="AH9588">
        <v>1</v>
      </c>
      <c r="AI9588">
        <v>1</v>
      </c>
      <c r="AJ9588">
        <v>1</v>
      </c>
      <c r="AK9588">
        <v>1</v>
      </c>
      <c r="AL9588">
        <v>1</v>
      </c>
      <c r="AM9588">
        <v>1</v>
      </c>
    </row>
    <row r="9589" spans="1:39" x14ac:dyDescent="0.2">
      <c r="A9589" t="str">
        <f>"9585"</f>
        <v>9585</v>
      </c>
      <c r="B9589" t="str">
        <f t="shared" si="530"/>
        <v>1</v>
      </c>
      <c r="C9589" t="str">
        <f t="shared" si="533"/>
        <v>192</v>
      </c>
      <c r="D9589" t="str">
        <f>"9"</f>
        <v>9</v>
      </c>
      <c r="E9589" t="str">
        <f>"1-192-9"</f>
        <v>1-192-9</v>
      </c>
      <c r="F9589" t="s">
        <v>65</v>
      </c>
      <c r="G9589" t="s">
        <v>66</v>
      </c>
      <c r="H9589" t="s">
        <v>67</v>
      </c>
      <c r="S9589">
        <v>0</v>
      </c>
      <c r="T9589">
        <v>1</v>
      </c>
      <c r="U9589">
        <v>0</v>
      </c>
      <c r="V9589">
        <v>0</v>
      </c>
      <c r="W9589">
        <v>1</v>
      </c>
      <c r="X9589">
        <v>0</v>
      </c>
      <c r="Y9589">
        <v>1</v>
      </c>
      <c r="Z9589">
        <v>0</v>
      </c>
      <c r="AA9589">
        <v>0</v>
      </c>
      <c r="AB9589">
        <v>1</v>
      </c>
      <c r="AC9589">
        <v>0</v>
      </c>
      <c r="AD9589">
        <v>1</v>
      </c>
      <c r="AE9589">
        <v>1</v>
      </c>
      <c r="AF9589">
        <v>1</v>
      </c>
      <c r="AG9589">
        <v>1</v>
      </c>
      <c r="AH9589">
        <v>1</v>
      </c>
      <c r="AI9589">
        <v>1</v>
      </c>
      <c r="AJ9589">
        <v>1</v>
      </c>
      <c r="AK9589">
        <v>1</v>
      </c>
      <c r="AL9589">
        <v>1</v>
      </c>
      <c r="AM9589">
        <v>1</v>
      </c>
    </row>
    <row r="9590" spans="1:39" x14ac:dyDescent="0.2">
      <c r="A9590" t="str">
        <f>"9586"</f>
        <v>9586</v>
      </c>
      <c r="B9590" t="str">
        <f t="shared" si="530"/>
        <v>1</v>
      </c>
      <c r="C9590" t="str">
        <f t="shared" si="533"/>
        <v>192</v>
      </c>
      <c r="D9590" t="str">
        <f>"46"</f>
        <v>46</v>
      </c>
      <c r="E9590" t="str">
        <f>"1-192-46"</f>
        <v>1-192-46</v>
      </c>
      <c r="F9590" t="s">
        <v>65</v>
      </c>
      <c r="G9590" t="s">
        <v>66</v>
      </c>
      <c r="H9590" t="s">
        <v>67</v>
      </c>
      <c r="S9590">
        <v>1</v>
      </c>
      <c r="T9590">
        <v>0</v>
      </c>
      <c r="U9590">
        <v>0</v>
      </c>
      <c r="V9590">
        <v>0</v>
      </c>
      <c r="W9590">
        <v>1</v>
      </c>
      <c r="X9590">
        <v>0</v>
      </c>
      <c r="Y9590">
        <v>1</v>
      </c>
      <c r="Z9590">
        <v>0</v>
      </c>
      <c r="AA9590">
        <v>1</v>
      </c>
      <c r="AB9590">
        <v>0</v>
      </c>
      <c r="AC9590">
        <v>0</v>
      </c>
      <c r="AD9590">
        <v>1</v>
      </c>
      <c r="AE9590">
        <v>1</v>
      </c>
      <c r="AF9590">
        <v>1</v>
      </c>
      <c r="AG9590">
        <v>1</v>
      </c>
      <c r="AH9590">
        <v>1</v>
      </c>
      <c r="AI9590">
        <v>1</v>
      </c>
      <c r="AJ9590">
        <v>1</v>
      </c>
      <c r="AK9590">
        <v>1</v>
      </c>
      <c r="AL9590">
        <v>1</v>
      </c>
      <c r="AM9590">
        <v>1</v>
      </c>
    </row>
    <row r="9591" spans="1:39" x14ac:dyDescent="0.2">
      <c r="A9591" t="str">
        <f>"9587"</f>
        <v>9587</v>
      </c>
      <c r="B9591" t="str">
        <f t="shared" ref="B9591:B9654" si="534">"1"</f>
        <v>1</v>
      </c>
      <c r="C9591" t="str">
        <f t="shared" si="533"/>
        <v>192</v>
      </c>
      <c r="D9591" t="str">
        <f>"27"</f>
        <v>27</v>
      </c>
      <c r="E9591" t="str">
        <f>"1-192-27"</f>
        <v>1-192-27</v>
      </c>
      <c r="F9591" t="s">
        <v>65</v>
      </c>
      <c r="G9591" t="s">
        <v>66</v>
      </c>
      <c r="H9591" t="s">
        <v>67</v>
      </c>
      <c r="S9591">
        <v>1</v>
      </c>
      <c r="T9591">
        <v>0</v>
      </c>
      <c r="U9591">
        <v>0</v>
      </c>
      <c r="V9591">
        <v>0</v>
      </c>
      <c r="W9591">
        <v>0</v>
      </c>
      <c r="X9591">
        <v>1</v>
      </c>
      <c r="Y9591">
        <v>1</v>
      </c>
      <c r="Z9591">
        <v>0</v>
      </c>
      <c r="AA9591">
        <v>1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1</v>
      </c>
      <c r="AH9591">
        <v>0</v>
      </c>
      <c r="AI9591">
        <v>0</v>
      </c>
      <c r="AJ9591">
        <v>0</v>
      </c>
      <c r="AK9591">
        <v>0</v>
      </c>
      <c r="AL9591">
        <v>1</v>
      </c>
      <c r="AM9591">
        <v>0</v>
      </c>
    </row>
    <row r="9592" spans="1:39" x14ac:dyDescent="0.2">
      <c r="A9592" t="str">
        <f>"9588"</f>
        <v>9588</v>
      </c>
      <c r="B9592" t="str">
        <f t="shared" si="534"/>
        <v>1</v>
      </c>
      <c r="C9592" t="str">
        <f t="shared" si="533"/>
        <v>192</v>
      </c>
      <c r="D9592" t="str">
        <f>"8"</f>
        <v>8</v>
      </c>
      <c r="E9592" t="str">
        <f>"1-192-8"</f>
        <v>1-192-8</v>
      </c>
      <c r="F9592" t="s">
        <v>65</v>
      </c>
      <c r="G9592" t="s">
        <v>66</v>
      </c>
      <c r="H9592" t="s">
        <v>67</v>
      </c>
      <c r="S9592">
        <v>0</v>
      </c>
      <c r="T9592">
        <v>1</v>
      </c>
      <c r="U9592">
        <v>0</v>
      </c>
      <c r="V9592">
        <v>0</v>
      </c>
      <c r="W9592">
        <v>0</v>
      </c>
      <c r="X9592">
        <v>1</v>
      </c>
      <c r="Y9592">
        <v>1</v>
      </c>
      <c r="Z9592">
        <v>0</v>
      </c>
      <c r="AA9592">
        <v>1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1</v>
      </c>
      <c r="AH9592">
        <v>1</v>
      </c>
      <c r="AI9592">
        <v>0</v>
      </c>
      <c r="AJ9592">
        <v>0</v>
      </c>
      <c r="AK9592">
        <v>0</v>
      </c>
      <c r="AL9592">
        <v>0</v>
      </c>
      <c r="AM9592">
        <v>0</v>
      </c>
    </row>
    <row r="9593" spans="1:39" x14ac:dyDescent="0.2">
      <c r="A9593" t="str">
        <f>"9589"</f>
        <v>9589</v>
      </c>
      <c r="B9593" t="str">
        <f t="shared" si="534"/>
        <v>1</v>
      </c>
      <c r="C9593" t="str">
        <f t="shared" si="533"/>
        <v>192</v>
      </c>
      <c r="D9593" t="str">
        <f>"49"</f>
        <v>49</v>
      </c>
      <c r="E9593" t="str">
        <f>"1-192-49"</f>
        <v>1-192-49</v>
      </c>
      <c r="F9593" t="s">
        <v>65</v>
      </c>
      <c r="G9593" t="s">
        <v>66</v>
      </c>
      <c r="H9593" t="s">
        <v>67</v>
      </c>
      <c r="S9593">
        <v>0</v>
      </c>
      <c r="T9593">
        <v>1</v>
      </c>
      <c r="U9593">
        <v>0</v>
      </c>
      <c r="V9593">
        <v>0</v>
      </c>
      <c r="W9593">
        <v>1</v>
      </c>
      <c r="X9593">
        <v>0</v>
      </c>
      <c r="Y9593">
        <v>0</v>
      </c>
      <c r="Z9593">
        <v>1</v>
      </c>
      <c r="AA9593">
        <v>1</v>
      </c>
      <c r="AB9593">
        <v>0</v>
      </c>
      <c r="AC9593">
        <v>0</v>
      </c>
      <c r="AD9593">
        <v>1</v>
      </c>
      <c r="AE9593">
        <v>1</v>
      </c>
      <c r="AF9593">
        <v>1</v>
      </c>
      <c r="AG9593">
        <v>1</v>
      </c>
      <c r="AH9593">
        <v>1</v>
      </c>
      <c r="AI9593">
        <v>1</v>
      </c>
      <c r="AJ9593">
        <v>1</v>
      </c>
      <c r="AK9593">
        <v>1</v>
      </c>
      <c r="AL9593">
        <v>1</v>
      </c>
      <c r="AM9593">
        <v>1</v>
      </c>
    </row>
    <row r="9594" spans="1:39" x14ac:dyDescent="0.2">
      <c r="A9594" t="str">
        <f>"9590"</f>
        <v>9590</v>
      </c>
      <c r="B9594" t="str">
        <f t="shared" si="534"/>
        <v>1</v>
      </c>
      <c r="C9594" t="str">
        <f t="shared" si="533"/>
        <v>192</v>
      </c>
      <c r="D9594" t="str">
        <f>"29"</f>
        <v>29</v>
      </c>
      <c r="E9594" t="str">
        <f>"1-192-29"</f>
        <v>1-192-29</v>
      </c>
      <c r="F9594" t="s">
        <v>65</v>
      </c>
      <c r="G9594" t="s">
        <v>66</v>
      </c>
      <c r="H9594" t="s">
        <v>67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1</v>
      </c>
      <c r="Y9594">
        <v>0</v>
      </c>
      <c r="Z9594">
        <v>1</v>
      </c>
      <c r="AA9594">
        <v>0</v>
      </c>
      <c r="AB9594">
        <v>1</v>
      </c>
      <c r="AC9594">
        <v>0</v>
      </c>
      <c r="AD9594">
        <v>1</v>
      </c>
      <c r="AE9594">
        <v>1</v>
      </c>
      <c r="AF9594">
        <v>1</v>
      </c>
      <c r="AG9594">
        <v>1</v>
      </c>
      <c r="AH9594">
        <v>1</v>
      </c>
      <c r="AI9594">
        <v>1</v>
      </c>
      <c r="AJ9594">
        <v>1</v>
      </c>
      <c r="AK9594">
        <v>1</v>
      </c>
      <c r="AL9594">
        <v>1</v>
      </c>
      <c r="AM9594">
        <v>1</v>
      </c>
    </row>
    <row r="9595" spans="1:39" x14ac:dyDescent="0.2">
      <c r="A9595" t="str">
        <f>"9591"</f>
        <v>9591</v>
      </c>
      <c r="B9595" t="str">
        <f t="shared" si="534"/>
        <v>1</v>
      </c>
      <c r="C9595" t="str">
        <f t="shared" si="533"/>
        <v>192</v>
      </c>
      <c r="D9595" t="str">
        <f>"13"</f>
        <v>13</v>
      </c>
      <c r="E9595" t="str">
        <f>"1-192-13"</f>
        <v>1-192-13</v>
      </c>
      <c r="F9595" t="s">
        <v>65</v>
      </c>
      <c r="G9595" t="s">
        <v>66</v>
      </c>
      <c r="H9595" t="s">
        <v>67</v>
      </c>
      <c r="S9595">
        <v>1</v>
      </c>
      <c r="T9595">
        <v>0</v>
      </c>
      <c r="U9595">
        <v>0</v>
      </c>
      <c r="V9595">
        <v>0</v>
      </c>
      <c r="W9595">
        <v>1</v>
      </c>
      <c r="X9595">
        <v>0</v>
      </c>
      <c r="Y9595">
        <v>1</v>
      </c>
      <c r="Z9595">
        <v>0</v>
      </c>
      <c r="AA9595">
        <v>1</v>
      </c>
      <c r="AB9595">
        <v>0</v>
      </c>
      <c r="AC9595">
        <v>0</v>
      </c>
      <c r="AD9595">
        <v>1</v>
      </c>
      <c r="AE9595">
        <v>1</v>
      </c>
      <c r="AF9595">
        <v>1</v>
      </c>
      <c r="AG9595">
        <v>1</v>
      </c>
      <c r="AH9595">
        <v>1</v>
      </c>
      <c r="AI9595">
        <v>1</v>
      </c>
      <c r="AJ9595">
        <v>1</v>
      </c>
      <c r="AK9595">
        <v>1</v>
      </c>
      <c r="AL9595">
        <v>1</v>
      </c>
      <c r="AM9595">
        <v>1</v>
      </c>
    </row>
    <row r="9596" spans="1:39" x14ac:dyDescent="0.2">
      <c r="A9596" t="str">
        <f>"9592"</f>
        <v>9592</v>
      </c>
      <c r="B9596" t="str">
        <f t="shared" si="534"/>
        <v>1</v>
      </c>
      <c r="C9596" t="str">
        <f t="shared" si="533"/>
        <v>192</v>
      </c>
      <c r="D9596" t="str">
        <f>"32"</f>
        <v>32</v>
      </c>
      <c r="E9596" t="str">
        <f>"1-192-32"</f>
        <v>1-192-32</v>
      </c>
      <c r="F9596" t="s">
        <v>65</v>
      </c>
      <c r="G9596" t="s">
        <v>66</v>
      </c>
      <c r="H9596" t="s">
        <v>67</v>
      </c>
      <c r="S9596">
        <v>0</v>
      </c>
      <c r="T9596">
        <v>1</v>
      </c>
      <c r="U9596">
        <v>0</v>
      </c>
      <c r="V9596">
        <v>0</v>
      </c>
      <c r="W9596">
        <v>1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1</v>
      </c>
      <c r="AF9596">
        <v>0</v>
      </c>
      <c r="AG9596">
        <v>0</v>
      </c>
      <c r="AH9596">
        <v>0</v>
      </c>
      <c r="AI9596">
        <v>1</v>
      </c>
      <c r="AJ9596">
        <v>0</v>
      </c>
      <c r="AK9596">
        <v>0</v>
      </c>
      <c r="AL9596">
        <v>1</v>
      </c>
      <c r="AM9596">
        <v>0</v>
      </c>
    </row>
    <row r="9597" spans="1:39" x14ac:dyDescent="0.2">
      <c r="A9597" t="str">
        <f>"9593"</f>
        <v>9593</v>
      </c>
      <c r="B9597" t="str">
        <f t="shared" si="534"/>
        <v>1</v>
      </c>
      <c r="C9597" t="str">
        <f t="shared" si="533"/>
        <v>192</v>
      </c>
      <c r="D9597" t="str">
        <f>"12"</f>
        <v>12</v>
      </c>
      <c r="E9597" t="str">
        <f>"1-192-12"</f>
        <v>1-192-12</v>
      </c>
      <c r="F9597" t="s">
        <v>65</v>
      </c>
      <c r="G9597" t="s">
        <v>66</v>
      </c>
      <c r="H9597" t="s">
        <v>67</v>
      </c>
      <c r="S9597">
        <v>1</v>
      </c>
      <c r="T9597">
        <v>0</v>
      </c>
      <c r="U9597">
        <v>0</v>
      </c>
      <c r="V9597">
        <v>0</v>
      </c>
      <c r="W9597">
        <v>0</v>
      </c>
      <c r="X9597">
        <v>1</v>
      </c>
      <c r="Y9597">
        <v>1</v>
      </c>
      <c r="Z9597">
        <v>0</v>
      </c>
      <c r="AA9597">
        <v>1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</row>
    <row r="9598" spans="1:39" x14ac:dyDescent="0.2">
      <c r="A9598" t="str">
        <f>"9594"</f>
        <v>9594</v>
      </c>
      <c r="B9598" t="str">
        <f t="shared" si="534"/>
        <v>1</v>
      </c>
      <c r="C9598" t="str">
        <f t="shared" si="533"/>
        <v>192</v>
      </c>
      <c r="D9598" t="str">
        <f>"33"</f>
        <v>33</v>
      </c>
      <c r="E9598" t="str">
        <f>"1-192-33"</f>
        <v>1-192-33</v>
      </c>
      <c r="F9598" t="s">
        <v>65</v>
      </c>
      <c r="G9598" t="s">
        <v>66</v>
      </c>
      <c r="H9598" t="s">
        <v>67</v>
      </c>
      <c r="S9598">
        <v>1</v>
      </c>
      <c r="T9598">
        <v>0</v>
      </c>
      <c r="U9598">
        <v>0</v>
      </c>
      <c r="V9598">
        <v>0</v>
      </c>
      <c r="W9598">
        <v>1</v>
      </c>
      <c r="X9598">
        <v>0</v>
      </c>
      <c r="Y9598">
        <v>1</v>
      </c>
      <c r="Z9598">
        <v>0</v>
      </c>
      <c r="AA9598">
        <v>1</v>
      </c>
      <c r="AB9598">
        <v>0</v>
      </c>
      <c r="AC9598">
        <v>0</v>
      </c>
      <c r="AD9598">
        <v>1</v>
      </c>
      <c r="AE9598">
        <v>1</v>
      </c>
      <c r="AF9598">
        <v>1</v>
      </c>
      <c r="AG9598">
        <v>1</v>
      </c>
      <c r="AH9598">
        <v>1</v>
      </c>
      <c r="AI9598">
        <v>1</v>
      </c>
      <c r="AJ9598">
        <v>1</v>
      </c>
      <c r="AK9598">
        <v>1</v>
      </c>
      <c r="AL9598">
        <v>1</v>
      </c>
      <c r="AM9598">
        <v>1</v>
      </c>
    </row>
    <row r="9599" spans="1:39" x14ac:dyDescent="0.2">
      <c r="A9599" t="str">
        <f>"9595"</f>
        <v>9595</v>
      </c>
      <c r="B9599" t="str">
        <f t="shared" si="534"/>
        <v>1</v>
      </c>
      <c r="C9599" t="str">
        <f t="shared" si="533"/>
        <v>192</v>
      </c>
      <c r="D9599" t="str">
        <f>"7"</f>
        <v>7</v>
      </c>
      <c r="E9599" t="str">
        <f>"1-192-7"</f>
        <v>1-192-7</v>
      </c>
      <c r="F9599" t="s">
        <v>65</v>
      </c>
      <c r="G9599" t="s">
        <v>66</v>
      </c>
      <c r="H9599" t="s">
        <v>67</v>
      </c>
      <c r="S9599">
        <v>1</v>
      </c>
      <c r="T9599">
        <v>0</v>
      </c>
      <c r="U9599">
        <v>0</v>
      </c>
      <c r="V9599">
        <v>0</v>
      </c>
      <c r="W9599">
        <v>1</v>
      </c>
      <c r="X9599">
        <v>0</v>
      </c>
      <c r="Y9599">
        <v>1</v>
      </c>
      <c r="Z9599">
        <v>0</v>
      </c>
      <c r="AA9599">
        <v>0</v>
      </c>
      <c r="AB9599">
        <v>1</v>
      </c>
      <c r="AC9599">
        <v>0</v>
      </c>
      <c r="AD9599">
        <v>1</v>
      </c>
      <c r="AE9599">
        <v>1</v>
      </c>
      <c r="AF9599">
        <v>1</v>
      </c>
      <c r="AG9599">
        <v>1</v>
      </c>
      <c r="AH9599">
        <v>1</v>
      </c>
      <c r="AI9599">
        <v>1</v>
      </c>
      <c r="AJ9599">
        <v>1</v>
      </c>
      <c r="AK9599">
        <v>1</v>
      </c>
      <c r="AL9599">
        <v>1</v>
      </c>
      <c r="AM9599">
        <v>1</v>
      </c>
    </row>
    <row r="9600" spans="1:39" x14ac:dyDescent="0.2">
      <c r="A9600" t="str">
        <f>"9596"</f>
        <v>9596</v>
      </c>
      <c r="B9600" t="str">
        <f t="shared" si="534"/>
        <v>1</v>
      </c>
      <c r="C9600" t="str">
        <f t="shared" si="533"/>
        <v>192</v>
      </c>
      <c r="D9600" t="str">
        <f>"50"</f>
        <v>50</v>
      </c>
      <c r="E9600" t="str">
        <f>"1-192-50"</f>
        <v>1-192-50</v>
      </c>
      <c r="F9600" t="s">
        <v>65</v>
      </c>
      <c r="G9600" t="s">
        <v>66</v>
      </c>
      <c r="H9600" t="s">
        <v>67</v>
      </c>
      <c r="S9600">
        <v>1</v>
      </c>
      <c r="T9600">
        <v>0</v>
      </c>
      <c r="U9600">
        <v>0</v>
      </c>
      <c r="V9600">
        <v>0</v>
      </c>
      <c r="W9600">
        <v>0</v>
      </c>
      <c r="X9600">
        <v>1</v>
      </c>
      <c r="Y9600">
        <v>0</v>
      </c>
      <c r="Z9600">
        <v>1</v>
      </c>
      <c r="AA9600">
        <v>0</v>
      </c>
      <c r="AB9600">
        <v>0</v>
      </c>
      <c r="AC9600">
        <v>1</v>
      </c>
      <c r="AD9600">
        <v>1</v>
      </c>
      <c r="AE9600">
        <v>1</v>
      </c>
      <c r="AF9600">
        <v>1</v>
      </c>
      <c r="AG9600">
        <v>1</v>
      </c>
      <c r="AH9600">
        <v>1</v>
      </c>
      <c r="AI9600">
        <v>1</v>
      </c>
      <c r="AJ9600">
        <v>1</v>
      </c>
      <c r="AK9600">
        <v>0</v>
      </c>
      <c r="AL9600">
        <v>1</v>
      </c>
      <c r="AM9600">
        <v>0</v>
      </c>
    </row>
    <row r="9601" spans="1:39" x14ac:dyDescent="0.2">
      <c r="A9601" t="str">
        <f>"9597"</f>
        <v>9597</v>
      </c>
      <c r="B9601" t="str">
        <f t="shared" si="534"/>
        <v>1</v>
      </c>
      <c r="C9601" t="str">
        <f t="shared" si="533"/>
        <v>192</v>
      </c>
      <c r="D9601" t="str">
        <f>"34"</f>
        <v>34</v>
      </c>
      <c r="E9601" t="str">
        <f>"1-192-34"</f>
        <v>1-192-34</v>
      </c>
      <c r="F9601" t="s">
        <v>65</v>
      </c>
      <c r="G9601" t="s">
        <v>66</v>
      </c>
      <c r="H9601" t="s">
        <v>67</v>
      </c>
      <c r="S9601">
        <v>1</v>
      </c>
      <c r="T9601">
        <v>0</v>
      </c>
      <c r="U9601">
        <v>0</v>
      </c>
      <c r="V9601">
        <v>0</v>
      </c>
      <c r="W9601">
        <v>1</v>
      </c>
      <c r="X9601">
        <v>0</v>
      </c>
      <c r="Y9601">
        <v>1</v>
      </c>
      <c r="Z9601">
        <v>0</v>
      </c>
      <c r="AA9601">
        <v>1</v>
      </c>
      <c r="AB9601">
        <v>0</v>
      </c>
      <c r="AC9601">
        <v>0</v>
      </c>
      <c r="AD9601">
        <v>1</v>
      </c>
      <c r="AE9601">
        <v>1</v>
      </c>
      <c r="AF9601">
        <v>1</v>
      </c>
      <c r="AG9601">
        <v>1</v>
      </c>
      <c r="AH9601">
        <v>1</v>
      </c>
      <c r="AI9601">
        <v>1</v>
      </c>
      <c r="AJ9601">
        <v>1</v>
      </c>
      <c r="AK9601">
        <v>1</v>
      </c>
      <c r="AL9601">
        <v>1</v>
      </c>
      <c r="AM9601">
        <v>1</v>
      </c>
    </row>
    <row r="9602" spans="1:39" x14ac:dyDescent="0.2">
      <c r="A9602" t="str">
        <f>"9598"</f>
        <v>9598</v>
      </c>
      <c r="B9602" t="str">
        <f t="shared" si="534"/>
        <v>1</v>
      </c>
      <c r="C9602" t="str">
        <f t="shared" si="533"/>
        <v>192</v>
      </c>
      <c r="D9602" t="str">
        <f>"4"</f>
        <v>4</v>
      </c>
      <c r="E9602" t="str">
        <f>"1-192-4"</f>
        <v>1-192-4</v>
      </c>
      <c r="F9602" t="s">
        <v>65</v>
      </c>
      <c r="G9602" t="s">
        <v>66</v>
      </c>
      <c r="H9602" t="s">
        <v>67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1</v>
      </c>
      <c r="Y9602">
        <v>0</v>
      </c>
      <c r="Z9602">
        <v>1</v>
      </c>
      <c r="AA9602">
        <v>0</v>
      </c>
      <c r="AB9602">
        <v>0</v>
      </c>
      <c r="AC9602">
        <v>1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</row>
    <row r="9603" spans="1:39" x14ac:dyDescent="0.2">
      <c r="A9603" t="str">
        <f>"9599"</f>
        <v>9599</v>
      </c>
      <c r="B9603" t="str">
        <f t="shared" si="534"/>
        <v>1</v>
      </c>
      <c r="C9603" t="str">
        <f t="shared" si="533"/>
        <v>192</v>
      </c>
      <c r="D9603" t="str">
        <f>"47"</f>
        <v>47</v>
      </c>
      <c r="E9603" t="str">
        <f>"1-192-47"</f>
        <v>1-192-47</v>
      </c>
      <c r="F9603" t="s">
        <v>65</v>
      </c>
      <c r="G9603" t="s">
        <v>66</v>
      </c>
      <c r="H9603" t="s">
        <v>67</v>
      </c>
      <c r="S9603">
        <v>0</v>
      </c>
      <c r="T9603">
        <v>1</v>
      </c>
      <c r="U9603">
        <v>0</v>
      </c>
      <c r="V9603">
        <v>0</v>
      </c>
      <c r="W9603">
        <v>1</v>
      </c>
      <c r="X9603">
        <v>0</v>
      </c>
      <c r="Y9603">
        <v>0</v>
      </c>
      <c r="Z9603">
        <v>1</v>
      </c>
      <c r="AA9603">
        <v>1</v>
      </c>
      <c r="AB9603">
        <v>0</v>
      </c>
      <c r="AC9603">
        <v>0</v>
      </c>
      <c r="AD9603">
        <v>1</v>
      </c>
      <c r="AE9603">
        <v>1</v>
      </c>
      <c r="AF9603">
        <v>1</v>
      </c>
      <c r="AG9603">
        <v>1</v>
      </c>
      <c r="AH9603">
        <v>1</v>
      </c>
      <c r="AI9603">
        <v>1</v>
      </c>
      <c r="AJ9603">
        <v>1</v>
      </c>
      <c r="AK9603">
        <v>1</v>
      </c>
      <c r="AL9603">
        <v>1</v>
      </c>
      <c r="AM9603">
        <v>1</v>
      </c>
    </row>
    <row r="9604" spans="1:39" x14ac:dyDescent="0.2">
      <c r="A9604" t="str">
        <f>"9600"</f>
        <v>9600</v>
      </c>
      <c r="B9604" t="str">
        <f t="shared" si="534"/>
        <v>1</v>
      </c>
      <c r="C9604" t="str">
        <f t="shared" si="533"/>
        <v>192</v>
      </c>
      <c r="D9604" t="str">
        <f>"48"</f>
        <v>48</v>
      </c>
      <c r="E9604" t="str">
        <f>"1-192-48"</f>
        <v>1-192-48</v>
      </c>
      <c r="F9604" t="s">
        <v>65</v>
      </c>
      <c r="G9604" t="s">
        <v>66</v>
      </c>
      <c r="H9604" t="s">
        <v>67</v>
      </c>
      <c r="S9604">
        <v>0</v>
      </c>
      <c r="T9604">
        <v>1</v>
      </c>
      <c r="U9604">
        <v>0</v>
      </c>
      <c r="V9604">
        <v>0</v>
      </c>
      <c r="W9604">
        <v>1</v>
      </c>
      <c r="X9604">
        <v>0</v>
      </c>
      <c r="Y9604">
        <v>1</v>
      </c>
      <c r="Z9604">
        <v>0</v>
      </c>
      <c r="AA9604">
        <v>1</v>
      </c>
      <c r="AB9604">
        <v>0</v>
      </c>
      <c r="AC9604">
        <v>0</v>
      </c>
      <c r="AD9604">
        <v>1</v>
      </c>
      <c r="AE9604">
        <v>1</v>
      </c>
      <c r="AF9604">
        <v>1</v>
      </c>
      <c r="AG9604">
        <v>1</v>
      </c>
      <c r="AH9604">
        <v>1</v>
      </c>
      <c r="AI9604">
        <v>1</v>
      </c>
      <c r="AJ9604">
        <v>1</v>
      </c>
      <c r="AK9604">
        <v>1</v>
      </c>
      <c r="AL9604">
        <v>1</v>
      </c>
      <c r="AM9604">
        <v>1</v>
      </c>
    </row>
    <row r="9605" spans="1:39" x14ac:dyDescent="0.2">
      <c r="A9605" t="str">
        <f>"9601"</f>
        <v>9601</v>
      </c>
      <c r="B9605" t="str">
        <f t="shared" si="534"/>
        <v>1</v>
      </c>
      <c r="C9605" t="str">
        <f t="shared" ref="C9605:C9636" si="535">"193"</f>
        <v>193</v>
      </c>
      <c r="D9605" t="str">
        <f>"42"</f>
        <v>42</v>
      </c>
      <c r="E9605" t="str">
        <f>"1-193-42"</f>
        <v>1-193-42</v>
      </c>
      <c r="F9605" t="s">
        <v>65</v>
      </c>
      <c r="G9605" t="s">
        <v>66</v>
      </c>
      <c r="H9605" t="s">
        <v>67</v>
      </c>
      <c r="S9605">
        <v>1</v>
      </c>
      <c r="T9605">
        <v>0</v>
      </c>
      <c r="U9605">
        <v>0</v>
      </c>
      <c r="V9605">
        <v>0</v>
      </c>
      <c r="W9605">
        <v>1</v>
      </c>
      <c r="X9605">
        <v>0</v>
      </c>
      <c r="Y9605">
        <v>1</v>
      </c>
      <c r="Z9605">
        <v>0</v>
      </c>
      <c r="AA9605">
        <v>1</v>
      </c>
      <c r="AB9605">
        <v>0</v>
      </c>
      <c r="AC9605">
        <v>0</v>
      </c>
      <c r="AD9605">
        <v>1</v>
      </c>
      <c r="AE9605">
        <v>1</v>
      </c>
      <c r="AF9605">
        <v>1</v>
      </c>
      <c r="AG9605">
        <v>1</v>
      </c>
      <c r="AH9605">
        <v>1</v>
      </c>
      <c r="AI9605">
        <v>1</v>
      </c>
      <c r="AJ9605">
        <v>1</v>
      </c>
      <c r="AK9605">
        <v>1</v>
      </c>
      <c r="AL9605">
        <v>1</v>
      </c>
      <c r="AM9605">
        <v>1</v>
      </c>
    </row>
    <row r="9606" spans="1:39" x14ac:dyDescent="0.2">
      <c r="A9606" t="str">
        <f>"9602"</f>
        <v>9602</v>
      </c>
      <c r="B9606" t="str">
        <f t="shared" si="534"/>
        <v>1</v>
      </c>
      <c r="C9606" t="str">
        <f t="shared" si="535"/>
        <v>193</v>
      </c>
      <c r="D9606" t="str">
        <f>"41"</f>
        <v>41</v>
      </c>
      <c r="E9606" t="str">
        <f>"1-193-41"</f>
        <v>1-193-41</v>
      </c>
      <c r="F9606" t="s">
        <v>65</v>
      </c>
      <c r="G9606" t="s">
        <v>66</v>
      </c>
      <c r="H9606" t="s">
        <v>67</v>
      </c>
      <c r="S9606">
        <v>0</v>
      </c>
      <c r="T9606">
        <v>1</v>
      </c>
      <c r="U9606">
        <v>0</v>
      </c>
      <c r="V9606">
        <v>0</v>
      </c>
      <c r="W9606">
        <v>1</v>
      </c>
      <c r="X9606">
        <v>0</v>
      </c>
      <c r="Y9606">
        <v>0</v>
      </c>
      <c r="Z9606">
        <v>1</v>
      </c>
      <c r="AA9606">
        <v>0</v>
      </c>
      <c r="AB9606">
        <v>0</v>
      </c>
      <c r="AC9606">
        <v>1</v>
      </c>
      <c r="AD9606">
        <v>1</v>
      </c>
      <c r="AE9606">
        <v>1</v>
      </c>
      <c r="AF9606">
        <v>1</v>
      </c>
      <c r="AG9606">
        <v>1</v>
      </c>
      <c r="AH9606">
        <v>1</v>
      </c>
      <c r="AI9606">
        <v>1</v>
      </c>
      <c r="AJ9606">
        <v>1</v>
      </c>
      <c r="AK9606">
        <v>1</v>
      </c>
      <c r="AL9606">
        <v>1</v>
      </c>
      <c r="AM9606">
        <v>1</v>
      </c>
    </row>
    <row r="9607" spans="1:39" x14ac:dyDescent="0.2">
      <c r="A9607" t="str">
        <f>"9603"</f>
        <v>9603</v>
      </c>
      <c r="B9607" t="str">
        <f t="shared" si="534"/>
        <v>1</v>
      </c>
      <c r="C9607" t="str">
        <f t="shared" si="535"/>
        <v>193</v>
      </c>
      <c r="D9607" t="str">
        <f>"21"</f>
        <v>21</v>
      </c>
      <c r="E9607" t="str">
        <f>"1-193-21"</f>
        <v>1-193-21</v>
      </c>
      <c r="F9607" t="s">
        <v>65</v>
      </c>
      <c r="G9607" t="s">
        <v>66</v>
      </c>
      <c r="H9607" t="s">
        <v>67</v>
      </c>
      <c r="S9607">
        <v>1</v>
      </c>
      <c r="T9607">
        <v>0</v>
      </c>
      <c r="U9607">
        <v>0</v>
      </c>
      <c r="V9607">
        <v>0</v>
      </c>
      <c r="W9607">
        <v>1</v>
      </c>
      <c r="X9607">
        <v>0</v>
      </c>
      <c r="Y9607">
        <v>1</v>
      </c>
      <c r="Z9607">
        <v>0</v>
      </c>
      <c r="AA9607">
        <v>1</v>
      </c>
      <c r="AB9607">
        <v>0</v>
      </c>
      <c r="AC9607">
        <v>0</v>
      </c>
      <c r="AD9607">
        <v>1</v>
      </c>
      <c r="AE9607">
        <v>1</v>
      </c>
      <c r="AF9607">
        <v>1</v>
      </c>
      <c r="AG9607">
        <v>1</v>
      </c>
      <c r="AH9607">
        <v>1</v>
      </c>
      <c r="AI9607">
        <v>1</v>
      </c>
      <c r="AJ9607">
        <v>1</v>
      </c>
      <c r="AK9607">
        <v>1</v>
      </c>
      <c r="AL9607">
        <v>1</v>
      </c>
      <c r="AM9607">
        <v>1</v>
      </c>
    </row>
    <row r="9608" spans="1:39" x14ac:dyDescent="0.2">
      <c r="A9608" t="str">
        <f>"9604"</f>
        <v>9604</v>
      </c>
      <c r="B9608" t="str">
        <f t="shared" si="534"/>
        <v>1</v>
      </c>
      <c r="C9608" t="str">
        <f t="shared" si="535"/>
        <v>193</v>
      </c>
      <c r="D9608" t="str">
        <f>"15"</f>
        <v>15</v>
      </c>
      <c r="E9608" t="str">
        <f>"1-193-15"</f>
        <v>1-193-15</v>
      </c>
      <c r="F9608" t="s">
        <v>65</v>
      </c>
      <c r="G9608" t="s">
        <v>66</v>
      </c>
      <c r="H9608" t="s">
        <v>67</v>
      </c>
      <c r="S9608">
        <v>0</v>
      </c>
      <c r="T9608">
        <v>1</v>
      </c>
      <c r="U9608">
        <v>0</v>
      </c>
      <c r="V9608">
        <v>0</v>
      </c>
      <c r="W9608">
        <v>1</v>
      </c>
      <c r="X9608">
        <v>0</v>
      </c>
      <c r="Y9608">
        <v>1</v>
      </c>
      <c r="Z9608">
        <v>0</v>
      </c>
      <c r="AA9608">
        <v>0</v>
      </c>
      <c r="AB9608">
        <v>1</v>
      </c>
      <c r="AC9608">
        <v>0</v>
      </c>
      <c r="AD9608">
        <v>1</v>
      </c>
      <c r="AE9608">
        <v>1</v>
      </c>
      <c r="AF9608">
        <v>1</v>
      </c>
      <c r="AG9608">
        <v>1</v>
      </c>
      <c r="AH9608">
        <v>1</v>
      </c>
      <c r="AI9608">
        <v>1</v>
      </c>
      <c r="AJ9608">
        <v>1</v>
      </c>
      <c r="AK9608">
        <v>1</v>
      </c>
      <c r="AL9608">
        <v>1</v>
      </c>
      <c r="AM9608">
        <v>1</v>
      </c>
    </row>
    <row r="9609" spans="1:39" x14ac:dyDescent="0.2">
      <c r="A9609" t="str">
        <f>"9605"</f>
        <v>9605</v>
      </c>
      <c r="B9609" t="str">
        <f t="shared" si="534"/>
        <v>1</v>
      </c>
      <c r="C9609" t="str">
        <f t="shared" si="535"/>
        <v>193</v>
      </c>
      <c r="D9609" t="str">
        <f>"1"</f>
        <v>1</v>
      </c>
      <c r="E9609" t="str">
        <f>"1-193-1"</f>
        <v>1-193-1</v>
      </c>
      <c r="F9609" t="s">
        <v>65</v>
      </c>
      <c r="G9609" t="s">
        <v>66</v>
      </c>
      <c r="H9609" t="s">
        <v>67</v>
      </c>
      <c r="S9609">
        <v>1</v>
      </c>
      <c r="T9609">
        <v>0</v>
      </c>
      <c r="U9609">
        <v>0</v>
      </c>
      <c r="V9609">
        <v>0</v>
      </c>
      <c r="W9609">
        <v>1</v>
      </c>
      <c r="X9609">
        <v>0</v>
      </c>
      <c r="Y9609">
        <v>0</v>
      </c>
      <c r="Z9609">
        <v>1</v>
      </c>
      <c r="AA9609">
        <v>0</v>
      </c>
      <c r="AB9609">
        <v>0</v>
      </c>
      <c r="AC9609">
        <v>1</v>
      </c>
      <c r="AD9609">
        <v>1</v>
      </c>
      <c r="AE9609">
        <v>1</v>
      </c>
      <c r="AF9609">
        <v>1</v>
      </c>
      <c r="AG9609">
        <v>1</v>
      </c>
      <c r="AH9609">
        <v>1</v>
      </c>
      <c r="AI9609">
        <v>1</v>
      </c>
      <c r="AJ9609">
        <v>1</v>
      </c>
      <c r="AK9609">
        <v>1</v>
      </c>
      <c r="AL9609">
        <v>1</v>
      </c>
      <c r="AM9609">
        <v>1</v>
      </c>
    </row>
    <row r="9610" spans="1:39" x14ac:dyDescent="0.2">
      <c r="A9610" t="str">
        <f>"9606"</f>
        <v>9606</v>
      </c>
      <c r="B9610" t="str">
        <f t="shared" si="534"/>
        <v>1</v>
      </c>
      <c r="C9610" t="str">
        <f t="shared" si="535"/>
        <v>193</v>
      </c>
      <c r="D9610" t="str">
        <f>"40"</f>
        <v>40</v>
      </c>
      <c r="E9610" t="str">
        <f>"1-193-40"</f>
        <v>1-193-40</v>
      </c>
      <c r="F9610" t="s">
        <v>65</v>
      </c>
      <c r="G9610" t="s">
        <v>66</v>
      </c>
      <c r="H9610" t="s">
        <v>67</v>
      </c>
      <c r="S9610">
        <v>0</v>
      </c>
      <c r="T9610">
        <v>1</v>
      </c>
      <c r="U9610">
        <v>0</v>
      </c>
      <c r="V9610">
        <v>0</v>
      </c>
      <c r="W9610">
        <v>1</v>
      </c>
      <c r="X9610">
        <v>0</v>
      </c>
      <c r="Y9610">
        <v>0</v>
      </c>
      <c r="Z9610">
        <v>1</v>
      </c>
      <c r="AA9610">
        <v>0</v>
      </c>
      <c r="AB9610">
        <v>1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</row>
    <row r="9611" spans="1:39" x14ac:dyDescent="0.2">
      <c r="A9611" t="str">
        <f>"9607"</f>
        <v>9607</v>
      </c>
      <c r="B9611" t="str">
        <f t="shared" si="534"/>
        <v>1</v>
      </c>
      <c r="C9611" t="str">
        <f t="shared" si="535"/>
        <v>193</v>
      </c>
      <c r="D9611" t="str">
        <f>"39"</f>
        <v>39</v>
      </c>
      <c r="E9611" t="str">
        <f>"1-193-39"</f>
        <v>1-193-39</v>
      </c>
      <c r="F9611" t="s">
        <v>65</v>
      </c>
      <c r="G9611" t="s">
        <v>66</v>
      </c>
      <c r="H9611" t="s">
        <v>67</v>
      </c>
      <c r="S9611">
        <v>1</v>
      </c>
      <c r="T9611">
        <v>0</v>
      </c>
      <c r="U9611">
        <v>0</v>
      </c>
      <c r="V9611">
        <v>0</v>
      </c>
      <c r="W9611">
        <v>1</v>
      </c>
      <c r="X9611">
        <v>0</v>
      </c>
      <c r="Y9611">
        <v>1</v>
      </c>
      <c r="Z9611">
        <v>0</v>
      </c>
      <c r="AA9611">
        <v>1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1</v>
      </c>
      <c r="AH9611">
        <v>1</v>
      </c>
      <c r="AI9611">
        <v>0</v>
      </c>
      <c r="AJ9611">
        <v>0</v>
      </c>
      <c r="AK9611">
        <v>0</v>
      </c>
      <c r="AL9611">
        <v>1</v>
      </c>
      <c r="AM9611">
        <v>0</v>
      </c>
    </row>
    <row r="9612" spans="1:39" x14ac:dyDescent="0.2">
      <c r="A9612" t="str">
        <f>"9608"</f>
        <v>9608</v>
      </c>
      <c r="B9612" t="str">
        <f t="shared" si="534"/>
        <v>1</v>
      </c>
      <c r="C9612" t="str">
        <f t="shared" si="535"/>
        <v>193</v>
      </c>
      <c r="D9612" t="str">
        <f>"29"</f>
        <v>29</v>
      </c>
      <c r="E9612" t="str">
        <f>"1-193-29"</f>
        <v>1-193-29</v>
      </c>
      <c r="F9612" t="s">
        <v>65</v>
      </c>
      <c r="G9612" t="s">
        <v>66</v>
      </c>
      <c r="H9612" t="s">
        <v>67</v>
      </c>
      <c r="S9612">
        <v>0</v>
      </c>
      <c r="T9612">
        <v>1</v>
      </c>
      <c r="U9612">
        <v>0</v>
      </c>
      <c r="V9612">
        <v>0</v>
      </c>
      <c r="W9612">
        <v>1</v>
      </c>
      <c r="X9612">
        <v>0</v>
      </c>
      <c r="Y9612">
        <v>1</v>
      </c>
      <c r="Z9612">
        <v>0</v>
      </c>
      <c r="AA9612">
        <v>1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</row>
    <row r="9613" spans="1:39" x14ac:dyDescent="0.2">
      <c r="A9613" t="str">
        <f>"9609"</f>
        <v>9609</v>
      </c>
      <c r="B9613" t="str">
        <f t="shared" si="534"/>
        <v>1</v>
      </c>
      <c r="C9613" t="str">
        <f t="shared" si="535"/>
        <v>193</v>
      </c>
      <c r="D9613" t="str">
        <f>"16"</f>
        <v>16</v>
      </c>
      <c r="E9613" t="str">
        <f>"1-193-16"</f>
        <v>1-193-16</v>
      </c>
      <c r="F9613" t="s">
        <v>65</v>
      </c>
      <c r="G9613" t="s">
        <v>66</v>
      </c>
      <c r="H9613" t="s">
        <v>67</v>
      </c>
      <c r="S9613">
        <v>0</v>
      </c>
      <c r="T9613">
        <v>1</v>
      </c>
      <c r="U9613">
        <v>0</v>
      </c>
      <c r="V9613">
        <v>0</v>
      </c>
      <c r="W9613">
        <v>0</v>
      </c>
      <c r="X9613">
        <v>1</v>
      </c>
      <c r="Y9613">
        <v>0</v>
      </c>
      <c r="Z9613">
        <v>1</v>
      </c>
      <c r="AA9613">
        <v>0</v>
      </c>
      <c r="AB9613">
        <v>0</v>
      </c>
      <c r="AC9613">
        <v>1</v>
      </c>
      <c r="AD9613">
        <v>1</v>
      </c>
      <c r="AE9613">
        <v>1</v>
      </c>
      <c r="AF9613">
        <v>1</v>
      </c>
      <c r="AG9613">
        <v>1</v>
      </c>
      <c r="AH9613">
        <v>1</v>
      </c>
      <c r="AI9613">
        <v>1</v>
      </c>
      <c r="AJ9613">
        <v>1</v>
      </c>
      <c r="AK9613">
        <v>1</v>
      </c>
      <c r="AL9613">
        <v>1</v>
      </c>
      <c r="AM9613">
        <v>1</v>
      </c>
    </row>
    <row r="9614" spans="1:39" x14ac:dyDescent="0.2">
      <c r="A9614" t="str">
        <f>"9610"</f>
        <v>9610</v>
      </c>
      <c r="B9614" t="str">
        <f t="shared" si="534"/>
        <v>1</v>
      </c>
      <c r="C9614" t="str">
        <f t="shared" si="535"/>
        <v>193</v>
      </c>
      <c r="D9614" t="str">
        <f>"2"</f>
        <v>2</v>
      </c>
      <c r="E9614" t="str">
        <f>"1-193-2"</f>
        <v>1-193-2</v>
      </c>
      <c r="F9614" t="s">
        <v>65</v>
      </c>
      <c r="G9614" t="s">
        <v>66</v>
      </c>
      <c r="H9614" t="s">
        <v>67</v>
      </c>
      <c r="S9614">
        <v>1</v>
      </c>
      <c r="T9614">
        <v>0</v>
      </c>
      <c r="U9614">
        <v>0</v>
      </c>
      <c r="V9614">
        <v>0</v>
      </c>
      <c r="W9614">
        <v>1</v>
      </c>
      <c r="X9614">
        <v>0</v>
      </c>
      <c r="Y9614">
        <v>1</v>
      </c>
      <c r="Z9614">
        <v>0</v>
      </c>
      <c r="AA9614">
        <v>1</v>
      </c>
      <c r="AB9614">
        <v>0</v>
      </c>
      <c r="AC9614">
        <v>0</v>
      </c>
      <c r="AD9614">
        <v>1</v>
      </c>
      <c r="AE9614">
        <v>1</v>
      </c>
      <c r="AF9614">
        <v>1</v>
      </c>
      <c r="AG9614">
        <v>1</v>
      </c>
      <c r="AH9614">
        <v>1</v>
      </c>
      <c r="AI9614">
        <v>1</v>
      </c>
      <c r="AJ9614">
        <v>1</v>
      </c>
      <c r="AK9614">
        <v>1</v>
      </c>
      <c r="AL9614">
        <v>1</v>
      </c>
      <c r="AM9614">
        <v>1</v>
      </c>
    </row>
    <row r="9615" spans="1:39" x14ac:dyDescent="0.2">
      <c r="A9615" t="str">
        <f>"9611"</f>
        <v>9611</v>
      </c>
      <c r="B9615" t="str">
        <f t="shared" si="534"/>
        <v>1</v>
      </c>
      <c r="C9615" t="str">
        <f t="shared" si="535"/>
        <v>193</v>
      </c>
      <c r="D9615" t="str">
        <f>"36"</f>
        <v>36</v>
      </c>
      <c r="E9615" t="str">
        <f>"1-193-36"</f>
        <v>1-193-36</v>
      </c>
      <c r="F9615" t="s">
        <v>65</v>
      </c>
      <c r="G9615" t="s">
        <v>66</v>
      </c>
      <c r="H9615" t="s">
        <v>67</v>
      </c>
      <c r="S9615">
        <v>1</v>
      </c>
      <c r="T9615">
        <v>0</v>
      </c>
      <c r="U9615">
        <v>0</v>
      </c>
      <c r="V9615">
        <v>0</v>
      </c>
      <c r="W9615">
        <v>1</v>
      </c>
      <c r="X9615">
        <v>0</v>
      </c>
      <c r="Y9615">
        <v>1</v>
      </c>
      <c r="Z9615">
        <v>0</v>
      </c>
      <c r="AA9615">
        <v>1</v>
      </c>
      <c r="AB9615">
        <v>0</v>
      </c>
      <c r="AC9615">
        <v>0</v>
      </c>
      <c r="AD9615">
        <v>1</v>
      </c>
      <c r="AE9615">
        <v>1</v>
      </c>
      <c r="AF9615">
        <v>1</v>
      </c>
      <c r="AG9615">
        <v>1</v>
      </c>
      <c r="AH9615">
        <v>1</v>
      </c>
      <c r="AI9615">
        <v>1</v>
      </c>
      <c r="AJ9615">
        <v>1</v>
      </c>
      <c r="AK9615">
        <v>1</v>
      </c>
      <c r="AL9615">
        <v>1</v>
      </c>
      <c r="AM9615">
        <v>1</v>
      </c>
    </row>
    <row r="9616" spans="1:39" x14ac:dyDescent="0.2">
      <c r="A9616" t="str">
        <f>"9612"</f>
        <v>9612</v>
      </c>
      <c r="B9616" t="str">
        <f t="shared" si="534"/>
        <v>1</v>
      </c>
      <c r="C9616" t="str">
        <f t="shared" si="535"/>
        <v>193</v>
      </c>
      <c r="D9616" t="str">
        <f>"35"</f>
        <v>35</v>
      </c>
      <c r="E9616" t="str">
        <f>"1-193-35"</f>
        <v>1-193-35</v>
      </c>
      <c r="F9616" t="s">
        <v>65</v>
      </c>
      <c r="G9616" t="s">
        <v>66</v>
      </c>
      <c r="H9616" t="s">
        <v>67</v>
      </c>
      <c r="S9616">
        <v>0</v>
      </c>
      <c r="T9616">
        <v>0</v>
      </c>
      <c r="U9616">
        <v>0</v>
      </c>
      <c r="V9616">
        <v>0</v>
      </c>
      <c r="W9616">
        <v>1</v>
      </c>
      <c r="X9616">
        <v>0</v>
      </c>
      <c r="Y9616">
        <v>1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</row>
    <row r="9617" spans="1:39" x14ac:dyDescent="0.2">
      <c r="A9617" t="str">
        <f>"9613"</f>
        <v>9613</v>
      </c>
      <c r="B9617" t="str">
        <f t="shared" si="534"/>
        <v>1</v>
      </c>
      <c r="C9617" t="str">
        <f t="shared" si="535"/>
        <v>193</v>
      </c>
      <c r="D9617" t="str">
        <f>"24"</f>
        <v>24</v>
      </c>
      <c r="E9617" t="str">
        <f>"1-193-24"</f>
        <v>1-193-24</v>
      </c>
      <c r="F9617" t="s">
        <v>65</v>
      </c>
      <c r="G9617" t="s">
        <v>66</v>
      </c>
      <c r="H9617" t="s">
        <v>67</v>
      </c>
      <c r="S9617">
        <v>1</v>
      </c>
      <c r="T9617">
        <v>0</v>
      </c>
      <c r="U9617">
        <v>0</v>
      </c>
      <c r="V9617">
        <v>0</v>
      </c>
      <c r="W9617">
        <v>1</v>
      </c>
      <c r="X9617">
        <v>0</v>
      </c>
      <c r="Y9617">
        <v>1</v>
      </c>
      <c r="Z9617">
        <v>0</v>
      </c>
      <c r="AA9617">
        <v>0</v>
      </c>
      <c r="AB9617">
        <v>1</v>
      </c>
      <c r="AC9617">
        <v>0</v>
      </c>
      <c r="AD9617">
        <v>1</v>
      </c>
      <c r="AE9617">
        <v>1</v>
      </c>
      <c r="AF9617">
        <v>1</v>
      </c>
      <c r="AG9617">
        <v>1</v>
      </c>
      <c r="AH9617">
        <v>1</v>
      </c>
      <c r="AI9617">
        <v>1</v>
      </c>
      <c r="AJ9617">
        <v>1</v>
      </c>
      <c r="AK9617">
        <v>1</v>
      </c>
      <c r="AL9617">
        <v>1</v>
      </c>
      <c r="AM9617">
        <v>1</v>
      </c>
    </row>
    <row r="9618" spans="1:39" x14ac:dyDescent="0.2">
      <c r="A9618" t="str">
        <f>"9614"</f>
        <v>9614</v>
      </c>
      <c r="B9618" t="str">
        <f t="shared" si="534"/>
        <v>1</v>
      </c>
      <c r="C9618" t="str">
        <f t="shared" si="535"/>
        <v>193</v>
      </c>
      <c r="D9618" t="str">
        <f>"17"</f>
        <v>17</v>
      </c>
      <c r="E9618" t="str">
        <f>"1-193-17"</f>
        <v>1-193-17</v>
      </c>
      <c r="F9618" t="s">
        <v>65</v>
      </c>
      <c r="G9618" t="s">
        <v>66</v>
      </c>
      <c r="H9618" t="s">
        <v>67</v>
      </c>
      <c r="S9618">
        <v>0</v>
      </c>
      <c r="T9618">
        <v>1</v>
      </c>
      <c r="U9618">
        <v>0</v>
      </c>
      <c r="V9618">
        <v>0</v>
      </c>
      <c r="W9618">
        <v>0</v>
      </c>
      <c r="X9618">
        <v>1</v>
      </c>
      <c r="Y9618">
        <v>0</v>
      </c>
      <c r="Z9618">
        <v>1</v>
      </c>
      <c r="AA9618">
        <v>0</v>
      </c>
      <c r="AB9618">
        <v>1</v>
      </c>
      <c r="AC9618">
        <v>0</v>
      </c>
      <c r="AD9618">
        <v>1</v>
      </c>
      <c r="AE9618">
        <v>1</v>
      </c>
      <c r="AF9618">
        <v>1</v>
      </c>
      <c r="AG9618">
        <v>1</v>
      </c>
      <c r="AH9618">
        <v>1</v>
      </c>
      <c r="AI9618">
        <v>1</v>
      </c>
      <c r="AJ9618">
        <v>1</v>
      </c>
      <c r="AK9618">
        <v>1</v>
      </c>
      <c r="AL9618">
        <v>1</v>
      </c>
      <c r="AM9618">
        <v>1</v>
      </c>
    </row>
    <row r="9619" spans="1:39" x14ac:dyDescent="0.2">
      <c r="A9619" t="str">
        <f>"9615"</f>
        <v>9615</v>
      </c>
      <c r="B9619" t="str">
        <f t="shared" si="534"/>
        <v>1</v>
      </c>
      <c r="C9619" t="str">
        <f t="shared" si="535"/>
        <v>193</v>
      </c>
      <c r="D9619" t="str">
        <f>"4"</f>
        <v>4</v>
      </c>
      <c r="E9619" t="str">
        <f>"1-193-4"</f>
        <v>1-193-4</v>
      </c>
      <c r="F9619" t="s">
        <v>65</v>
      </c>
      <c r="G9619" t="s">
        <v>66</v>
      </c>
      <c r="H9619" t="s">
        <v>67</v>
      </c>
      <c r="S9619">
        <v>1</v>
      </c>
      <c r="T9619">
        <v>0</v>
      </c>
      <c r="U9619">
        <v>0</v>
      </c>
      <c r="V9619">
        <v>0</v>
      </c>
      <c r="W9619">
        <v>1</v>
      </c>
      <c r="X9619">
        <v>0</v>
      </c>
      <c r="Y9619">
        <v>1</v>
      </c>
      <c r="Z9619">
        <v>0</v>
      </c>
      <c r="AA9619">
        <v>1</v>
      </c>
      <c r="AB9619">
        <v>0</v>
      </c>
      <c r="AC9619">
        <v>0</v>
      </c>
      <c r="AD9619">
        <v>1</v>
      </c>
      <c r="AE9619">
        <v>1</v>
      </c>
      <c r="AF9619">
        <v>1</v>
      </c>
      <c r="AG9619">
        <v>1</v>
      </c>
      <c r="AH9619">
        <v>1</v>
      </c>
      <c r="AI9619">
        <v>1</v>
      </c>
      <c r="AJ9619">
        <v>1</v>
      </c>
      <c r="AK9619">
        <v>1</v>
      </c>
      <c r="AL9619">
        <v>1</v>
      </c>
      <c r="AM9619">
        <v>1</v>
      </c>
    </row>
    <row r="9620" spans="1:39" x14ac:dyDescent="0.2">
      <c r="A9620" t="str">
        <f>"9616"</f>
        <v>9616</v>
      </c>
      <c r="B9620" t="str">
        <f t="shared" si="534"/>
        <v>1</v>
      </c>
      <c r="C9620" t="str">
        <f t="shared" si="535"/>
        <v>193</v>
      </c>
      <c r="D9620" t="str">
        <f>"34"</f>
        <v>34</v>
      </c>
      <c r="E9620" t="str">
        <f>"1-193-34"</f>
        <v>1-193-34</v>
      </c>
      <c r="F9620" t="s">
        <v>65</v>
      </c>
      <c r="G9620" t="s">
        <v>66</v>
      </c>
      <c r="H9620" t="s">
        <v>67</v>
      </c>
      <c r="S9620">
        <v>0</v>
      </c>
      <c r="T9620">
        <v>1</v>
      </c>
      <c r="U9620">
        <v>0</v>
      </c>
      <c r="V9620">
        <v>0</v>
      </c>
      <c r="W9620">
        <v>1</v>
      </c>
      <c r="X9620">
        <v>0</v>
      </c>
      <c r="Y9620">
        <v>0</v>
      </c>
      <c r="Z9620">
        <v>1</v>
      </c>
      <c r="AA9620">
        <v>0</v>
      </c>
      <c r="AB9620">
        <v>0</v>
      </c>
      <c r="AC9620">
        <v>1</v>
      </c>
      <c r="AD9620">
        <v>0</v>
      </c>
      <c r="AE9620">
        <v>0</v>
      </c>
      <c r="AF9620">
        <v>0</v>
      </c>
      <c r="AG9620">
        <v>1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</row>
    <row r="9621" spans="1:39" x14ac:dyDescent="0.2">
      <c r="A9621" t="str">
        <f>"9617"</f>
        <v>9617</v>
      </c>
      <c r="B9621" t="str">
        <f t="shared" si="534"/>
        <v>1</v>
      </c>
      <c r="C9621" t="str">
        <f t="shared" si="535"/>
        <v>193</v>
      </c>
      <c r="D9621" t="str">
        <f>"33"</f>
        <v>33</v>
      </c>
      <c r="E9621" t="str">
        <f>"1-193-33"</f>
        <v>1-193-33</v>
      </c>
      <c r="F9621" t="s">
        <v>65</v>
      </c>
      <c r="G9621" t="s">
        <v>66</v>
      </c>
      <c r="H9621" t="s">
        <v>67</v>
      </c>
      <c r="S9621">
        <v>0</v>
      </c>
      <c r="T9621">
        <v>0</v>
      </c>
      <c r="U9621">
        <v>0</v>
      </c>
      <c r="V9621">
        <v>0</v>
      </c>
      <c r="W9621">
        <v>1</v>
      </c>
      <c r="X9621">
        <v>0</v>
      </c>
      <c r="Y9621">
        <v>0</v>
      </c>
      <c r="Z9621">
        <v>1</v>
      </c>
      <c r="AA9621">
        <v>0</v>
      </c>
      <c r="AB9621">
        <v>0</v>
      </c>
      <c r="AC9621">
        <v>1</v>
      </c>
      <c r="AD9621">
        <v>0</v>
      </c>
      <c r="AE9621">
        <v>0</v>
      </c>
      <c r="AF9621">
        <v>0</v>
      </c>
      <c r="AG9621">
        <v>1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1</v>
      </c>
    </row>
    <row r="9622" spans="1:39" x14ac:dyDescent="0.2">
      <c r="A9622" t="str">
        <f>"9618"</f>
        <v>9618</v>
      </c>
      <c r="B9622" t="str">
        <f t="shared" si="534"/>
        <v>1</v>
      </c>
      <c r="C9622" t="str">
        <f t="shared" si="535"/>
        <v>193</v>
      </c>
      <c r="D9622" t="str">
        <f>"22"</f>
        <v>22</v>
      </c>
      <c r="E9622" t="str">
        <f>"1-193-22"</f>
        <v>1-193-22</v>
      </c>
      <c r="F9622" t="s">
        <v>65</v>
      </c>
      <c r="G9622" t="s">
        <v>66</v>
      </c>
      <c r="H9622" t="s">
        <v>67</v>
      </c>
      <c r="S9622">
        <v>1</v>
      </c>
      <c r="T9622">
        <v>0</v>
      </c>
      <c r="U9622">
        <v>0</v>
      </c>
      <c r="V9622">
        <v>0</v>
      </c>
      <c r="W9622">
        <v>1</v>
      </c>
      <c r="X9622">
        <v>0</v>
      </c>
      <c r="Y9622">
        <v>1</v>
      </c>
      <c r="Z9622">
        <v>0</v>
      </c>
      <c r="AA9622">
        <v>1</v>
      </c>
      <c r="AB9622">
        <v>0</v>
      </c>
      <c r="AC9622">
        <v>0</v>
      </c>
      <c r="AD9622">
        <v>1</v>
      </c>
      <c r="AE9622">
        <v>1</v>
      </c>
      <c r="AF9622">
        <v>1</v>
      </c>
      <c r="AG9622">
        <v>1</v>
      </c>
      <c r="AH9622">
        <v>1</v>
      </c>
      <c r="AI9622">
        <v>1</v>
      </c>
      <c r="AJ9622">
        <v>1</v>
      </c>
      <c r="AK9622">
        <v>1</v>
      </c>
      <c r="AL9622">
        <v>1</v>
      </c>
      <c r="AM9622">
        <v>1</v>
      </c>
    </row>
    <row r="9623" spans="1:39" x14ac:dyDescent="0.2">
      <c r="A9623" t="str">
        <f>"9619"</f>
        <v>9619</v>
      </c>
      <c r="B9623" t="str">
        <f t="shared" si="534"/>
        <v>1</v>
      </c>
      <c r="C9623" t="str">
        <f t="shared" si="535"/>
        <v>193</v>
      </c>
      <c r="D9623" t="str">
        <f>"18"</f>
        <v>18</v>
      </c>
      <c r="E9623" t="str">
        <f>"1-193-18"</f>
        <v>1-193-18</v>
      </c>
      <c r="F9623" t="s">
        <v>65</v>
      </c>
      <c r="G9623" t="s">
        <v>66</v>
      </c>
      <c r="H9623" t="s">
        <v>67</v>
      </c>
      <c r="S9623">
        <v>1</v>
      </c>
      <c r="T9623">
        <v>0</v>
      </c>
      <c r="U9623">
        <v>0</v>
      </c>
      <c r="V9623">
        <v>0</v>
      </c>
      <c r="W9623">
        <v>1</v>
      </c>
      <c r="X9623">
        <v>0</v>
      </c>
      <c r="Y9623">
        <v>1</v>
      </c>
      <c r="Z9623">
        <v>0</v>
      </c>
      <c r="AA9623">
        <v>0</v>
      </c>
      <c r="AB9623">
        <v>0</v>
      </c>
      <c r="AC9623">
        <v>1</v>
      </c>
      <c r="AD9623">
        <v>1</v>
      </c>
      <c r="AE9623">
        <v>1</v>
      </c>
      <c r="AF9623">
        <v>1</v>
      </c>
      <c r="AG9623">
        <v>1</v>
      </c>
      <c r="AH9623">
        <v>1</v>
      </c>
      <c r="AI9623">
        <v>1</v>
      </c>
      <c r="AJ9623">
        <v>1</v>
      </c>
      <c r="AK9623">
        <v>1</v>
      </c>
      <c r="AL9623">
        <v>1</v>
      </c>
      <c r="AM9623">
        <v>1</v>
      </c>
    </row>
    <row r="9624" spans="1:39" x14ac:dyDescent="0.2">
      <c r="A9624" t="str">
        <f>"9620"</f>
        <v>9620</v>
      </c>
      <c r="B9624" t="str">
        <f t="shared" si="534"/>
        <v>1</v>
      </c>
      <c r="C9624" t="str">
        <f t="shared" si="535"/>
        <v>193</v>
      </c>
      <c r="D9624" t="str">
        <f>"9"</f>
        <v>9</v>
      </c>
      <c r="E9624" t="str">
        <f>"1-193-9"</f>
        <v>1-193-9</v>
      </c>
      <c r="F9624" t="s">
        <v>65</v>
      </c>
      <c r="G9624" t="s">
        <v>66</v>
      </c>
      <c r="H9624" t="s">
        <v>67</v>
      </c>
      <c r="S9624">
        <v>1</v>
      </c>
      <c r="T9624">
        <v>0</v>
      </c>
      <c r="U9624">
        <v>0</v>
      </c>
      <c r="V9624">
        <v>0</v>
      </c>
      <c r="W9624">
        <v>1</v>
      </c>
      <c r="X9624">
        <v>0</v>
      </c>
      <c r="Y9624">
        <v>1</v>
      </c>
      <c r="Z9624">
        <v>0</v>
      </c>
      <c r="AA9624">
        <v>0</v>
      </c>
      <c r="AB9624">
        <v>1</v>
      </c>
      <c r="AC9624">
        <v>0</v>
      </c>
      <c r="AD9624">
        <v>1</v>
      </c>
      <c r="AE9624">
        <v>1</v>
      </c>
      <c r="AF9624">
        <v>1</v>
      </c>
      <c r="AG9624">
        <v>1</v>
      </c>
      <c r="AH9624">
        <v>1</v>
      </c>
      <c r="AI9624">
        <v>1</v>
      </c>
      <c r="AJ9624">
        <v>1</v>
      </c>
      <c r="AK9624">
        <v>1</v>
      </c>
      <c r="AL9624">
        <v>1</v>
      </c>
      <c r="AM9624">
        <v>1</v>
      </c>
    </row>
    <row r="9625" spans="1:39" x14ac:dyDescent="0.2">
      <c r="A9625" t="str">
        <f>"9621"</f>
        <v>9621</v>
      </c>
      <c r="B9625" t="str">
        <f t="shared" si="534"/>
        <v>1</v>
      </c>
      <c r="C9625" t="str">
        <f t="shared" si="535"/>
        <v>193</v>
      </c>
      <c r="D9625" t="str">
        <f>"37"</f>
        <v>37</v>
      </c>
      <c r="E9625" t="str">
        <f>"1-193-37"</f>
        <v>1-193-37</v>
      </c>
      <c r="F9625" t="s">
        <v>65</v>
      </c>
      <c r="G9625" t="s">
        <v>66</v>
      </c>
      <c r="H9625" t="s">
        <v>67</v>
      </c>
      <c r="S9625">
        <v>1</v>
      </c>
      <c r="T9625">
        <v>0</v>
      </c>
      <c r="U9625">
        <v>0</v>
      </c>
      <c r="V9625">
        <v>0</v>
      </c>
      <c r="W9625">
        <v>1</v>
      </c>
      <c r="X9625">
        <v>0</v>
      </c>
      <c r="Y9625">
        <v>1</v>
      </c>
      <c r="Z9625">
        <v>0</v>
      </c>
      <c r="AA9625">
        <v>1</v>
      </c>
      <c r="AB9625">
        <v>0</v>
      </c>
      <c r="AC9625">
        <v>0</v>
      </c>
      <c r="AD9625">
        <v>1</v>
      </c>
      <c r="AE9625">
        <v>1</v>
      </c>
      <c r="AF9625">
        <v>1</v>
      </c>
      <c r="AG9625">
        <v>1</v>
      </c>
      <c r="AH9625">
        <v>1</v>
      </c>
      <c r="AI9625">
        <v>1</v>
      </c>
      <c r="AJ9625">
        <v>1</v>
      </c>
      <c r="AK9625">
        <v>1</v>
      </c>
      <c r="AL9625">
        <v>1</v>
      </c>
      <c r="AM9625">
        <v>1</v>
      </c>
    </row>
    <row r="9626" spans="1:39" x14ac:dyDescent="0.2">
      <c r="A9626" t="str">
        <f>"9622"</f>
        <v>9622</v>
      </c>
      <c r="B9626" t="str">
        <f t="shared" si="534"/>
        <v>1</v>
      </c>
      <c r="C9626" t="str">
        <f t="shared" si="535"/>
        <v>193</v>
      </c>
      <c r="D9626" t="str">
        <f>"19"</f>
        <v>19</v>
      </c>
      <c r="E9626" t="str">
        <f>"1-193-19"</f>
        <v>1-193-19</v>
      </c>
      <c r="F9626" t="s">
        <v>65</v>
      </c>
      <c r="G9626" t="s">
        <v>66</v>
      </c>
      <c r="H9626" t="s">
        <v>67</v>
      </c>
      <c r="S9626">
        <v>1</v>
      </c>
      <c r="T9626">
        <v>0</v>
      </c>
      <c r="U9626">
        <v>0</v>
      </c>
      <c r="V9626">
        <v>0</v>
      </c>
      <c r="W9626">
        <v>1</v>
      </c>
      <c r="X9626">
        <v>0</v>
      </c>
      <c r="Y9626">
        <v>1</v>
      </c>
      <c r="Z9626">
        <v>0</v>
      </c>
      <c r="AA9626">
        <v>0</v>
      </c>
      <c r="AB9626">
        <v>0</v>
      </c>
      <c r="AC9626">
        <v>1</v>
      </c>
      <c r="AD9626">
        <v>1</v>
      </c>
      <c r="AE9626">
        <v>1</v>
      </c>
      <c r="AF9626">
        <v>1</v>
      </c>
      <c r="AG9626">
        <v>1</v>
      </c>
      <c r="AH9626">
        <v>1</v>
      </c>
      <c r="AI9626">
        <v>1</v>
      </c>
      <c r="AJ9626">
        <v>1</v>
      </c>
      <c r="AK9626">
        <v>1</v>
      </c>
      <c r="AL9626">
        <v>1</v>
      </c>
      <c r="AM9626">
        <v>1</v>
      </c>
    </row>
    <row r="9627" spans="1:39" x14ac:dyDescent="0.2">
      <c r="A9627" t="str">
        <f>"9623"</f>
        <v>9623</v>
      </c>
      <c r="B9627" t="str">
        <f t="shared" si="534"/>
        <v>1</v>
      </c>
      <c r="C9627" t="str">
        <f t="shared" si="535"/>
        <v>193</v>
      </c>
      <c r="D9627" t="str">
        <f>"8"</f>
        <v>8</v>
      </c>
      <c r="E9627" t="str">
        <f>"1-193-8"</f>
        <v>1-193-8</v>
      </c>
      <c r="F9627" t="s">
        <v>65</v>
      </c>
      <c r="G9627" t="s">
        <v>66</v>
      </c>
      <c r="H9627" t="s">
        <v>67</v>
      </c>
      <c r="S9627">
        <v>1</v>
      </c>
      <c r="T9627">
        <v>0</v>
      </c>
      <c r="U9627">
        <v>0</v>
      </c>
      <c r="V9627">
        <v>0</v>
      </c>
      <c r="W9627">
        <v>1</v>
      </c>
      <c r="X9627">
        <v>0</v>
      </c>
      <c r="Y9627">
        <v>1</v>
      </c>
      <c r="Z9627">
        <v>0</v>
      </c>
      <c r="AA9627">
        <v>1</v>
      </c>
      <c r="AB9627">
        <v>0</v>
      </c>
      <c r="AC9627">
        <v>0</v>
      </c>
      <c r="AD9627">
        <v>1</v>
      </c>
      <c r="AE9627">
        <v>1</v>
      </c>
      <c r="AF9627">
        <v>1</v>
      </c>
      <c r="AG9627">
        <v>1</v>
      </c>
      <c r="AH9627">
        <v>1</v>
      </c>
      <c r="AI9627">
        <v>1</v>
      </c>
      <c r="AJ9627">
        <v>1</v>
      </c>
      <c r="AK9627">
        <v>1</v>
      </c>
      <c r="AL9627">
        <v>1</v>
      </c>
      <c r="AM9627">
        <v>1</v>
      </c>
    </row>
    <row r="9628" spans="1:39" x14ac:dyDescent="0.2">
      <c r="A9628" t="str">
        <f>"9624"</f>
        <v>9624</v>
      </c>
      <c r="B9628" t="str">
        <f t="shared" si="534"/>
        <v>1</v>
      </c>
      <c r="C9628" t="str">
        <f t="shared" si="535"/>
        <v>193</v>
      </c>
      <c r="D9628" t="str">
        <f>"38"</f>
        <v>38</v>
      </c>
      <c r="E9628" t="str">
        <f>"1-193-38"</f>
        <v>1-193-38</v>
      </c>
      <c r="F9628" t="s">
        <v>65</v>
      </c>
      <c r="G9628" t="s">
        <v>66</v>
      </c>
      <c r="H9628" t="s">
        <v>67</v>
      </c>
      <c r="S9628">
        <v>1</v>
      </c>
      <c r="T9628">
        <v>0</v>
      </c>
      <c r="U9628">
        <v>0</v>
      </c>
      <c r="V9628">
        <v>0</v>
      </c>
      <c r="W9628">
        <v>1</v>
      </c>
      <c r="X9628">
        <v>0</v>
      </c>
      <c r="Y9628">
        <v>1</v>
      </c>
      <c r="Z9628">
        <v>0</v>
      </c>
      <c r="AA9628">
        <v>1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1</v>
      </c>
      <c r="AH9628">
        <v>1</v>
      </c>
      <c r="AI9628">
        <v>0</v>
      </c>
      <c r="AJ9628">
        <v>0</v>
      </c>
      <c r="AK9628">
        <v>0</v>
      </c>
      <c r="AL9628">
        <v>1</v>
      </c>
      <c r="AM9628">
        <v>0</v>
      </c>
    </row>
    <row r="9629" spans="1:39" x14ac:dyDescent="0.2">
      <c r="A9629" t="str">
        <f>"9625"</f>
        <v>9625</v>
      </c>
      <c r="B9629" t="str">
        <f t="shared" si="534"/>
        <v>1</v>
      </c>
      <c r="C9629" t="str">
        <f t="shared" si="535"/>
        <v>193</v>
      </c>
      <c r="D9629" t="str">
        <f>"20"</f>
        <v>20</v>
      </c>
      <c r="E9629" t="str">
        <f>"1-193-20"</f>
        <v>1-193-20</v>
      </c>
      <c r="F9629" t="s">
        <v>65</v>
      </c>
      <c r="G9629" t="s">
        <v>66</v>
      </c>
      <c r="H9629" t="s">
        <v>67</v>
      </c>
      <c r="S9629">
        <v>1</v>
      </c>
      <c r="T9629">
        <v>0</v>
      </c>
      <c r="U9629">
        <v>0</v>
      </c>
      <c r="V9629">
        <v>0</v>
      </c>
      <c r="W9629">
        <v>1</v>
      </c>
      <c r="X9629">
        <v>0</v>
      </c>
      <c r="Y9629">
        <v>1</v>
      </c>
      <c r="Z9629">
        <v>0</v>
      </c>
      <c r="AA9629">
        <v>1</v>
      </c>
      <c r="AB9629">
        <v>0</v>
      </c>
      <c r="AC9629">
        <v>0</v>
      </c>
      <c r="AD9629">
        <v>1</v>
      </c>
      <c r="AE9629">
        <v>1</v>
      </c>
      <c r="AF9629">
        <v>1</v>
      </c>
      <c r="AG9629">
        <v>1</v>
      </c>
      <c r="AH9629">
        <v>1</v>
      </c>
      <c r="AI9629">
        <v>1</v>
      </c>
      <c r="AJ9629">
        <v>1</v>
      </c>
      <c r="AK9629">
        <v>1</v>
      </c>
      <c r="AL9629">
        <v>1</v>
      </c>
      <c r="AM9629">
        <v>1</v>
      </c>
    </row>
    <row r="9630" spans="1:39" x14ac:dyDescent="0.2">
      <c r="A9630" t="str">
        <f>"9626"</f>
        <v>9626</v>
      </c>
      <c r="B9630" t="str">
        <f t="shared" si="534"/>
        <v>1</v>
      </c>
      <c r="C9630" t="str">
        <f t="shared" si="535"/>
        <v>193</v>
      </c>
      <c r="D9630" t="str">
        <f>"7"</f>
        <v>7</v>
      </c>
      <c r="E9630" t="str">
        <f>"1-193-7"</f>
        <v>1-193-7</v>
      </c>
      <c r="F9630" t="s">
        <v>65</v>
      </c>
      <c r="G9630" t="s">
        <v>66</v>
      </c>
      <c r="H9630" t="s">
        <v>67</v>
      </c>
      <c r="S9630">
        <v>1</v>
      </c>
      <c r="T9630">
        <v>0</v>
      </c>
      <c r="U9630">
        <v>0</v>
      </c>
      <c r="V9630">
        <v>0</v>
      </c>
      <c r="W9630">
        <v>1</v>
      </c>
      <c r="X9630">
        <v>0</v>
      </c>
      <c r="Y9630">
        <v>1</v>
      </c>
      <c r="Z9630">
        <v>0</v>
      </c>
      <c r="AA9630">
        <v>1</v>
      </c>
      <c r="AB9630">
        <v>0</v>
      </c>
      <c r="AC9630">
        <v>0</v>
      </c>
      <c r="AD9630">
        <v>0</v>
      </c>
      <c r="AE9630">
        <v>0</v>
      </c>
      <c r="AF9630">
        <v>1</v>
      </c>
      <c r="AG9630">
        <v>1</v>
      </c>
      <c r="AH9630">
        <v>1</v>
      </c>
      <c r="AI9630">
        <v>1</v>
      </c>
      <c r="AJ9630">
        <v>1</v>
      </c>
      <c r="AK9630">
        <v>1</v>
      </c>
      <c r="AL9630">
        <v>1</v>
      </c>
      <c r="AM9630">
        <v>1</v>
      </c>
    </row>
    <row r="9631" spans="1:39" x14ac:dyDescent="0.2">
      <c r="A9631" t="str">
        <f>"9627"</f>
        <v>9627</v>
      </c>
      <c r="B9631" t="str">
        <f t="shared" si="534"/>
        <v>1</v>
      </c>
      <c r="C9631" t="str">
        <f t="shared" si="535"/>
        <v>193</v>
      </c>
      <c r="D9631" t="str">
        <f>"43"</f>
        <v>43</v>
      </c>
      <c r="E9631" t="str">
        <f>"1-193-43"</f>
        <v>1-193-43</v>
      </c>
      <c r="F9631" t="s">
        <v>65</v>
      </c>
      <c r="G9631" t="s">
        <v>66</v>
      </c>
      <c r="H9631" t="s">
        <v>67</v>
      </c>
      <c r="S9631">
        <v>0</v>
      </c>
      <c r="T9631">
        <v>1</v>
      </c>
      <c r="U9631">
        <v>0</v>
      </c>
      <c r="V9631">
        <v>0</v>
      </c>
      <c r="W9631">
        <v>1</v>
      </c>
      <c r="X9631">
        <v>0</v>
      </c>
      <c r="Y9631">
        <v>1</v>
      </c>
      <c r="Z9631">
        <v>0</v>
      </c>
      <c r="AA9631">
        <v>0</v>
      </c>
      <c r="AB9631">
        <v>1</v>
      </c>
      <c r="AC9631">
        <v>0</v>
      </c>
      <c r="AD9631">
        <v>1</v>
      </c>
      <c r="AE9631">
        <v>1</v>
      </c>
      <c r="AF9631">
        <v>1</v>
      </c>
      <c r="AG9631">
        <v>1</v>
      </c>
      <c r="AH9631">
        <v>1</v>
      </c>
      <c r="AI9631">
        <v>1</v>
      </c>
      <c r="AJ9631">
        <v>1</v>
      </c>
      <c r="AK9631">
        <v>1</v>
      </c>
      <c r="AL9631">
        <v>1</v>
      </c>
      <c r="AM9631">
        <v>1</v>
      </c>
    </row>
    <row r="9632" spans="1:39" x14ac:dyDescent="0.2">
      <c r="A9632" t="str">
        <f>"9628"</f>
        <v>9628</v>
      </c>
      <c r="B9632" t="str">
        <f t="shared" si="534"/>
        <v>1</v>
      </c>
      <c r="C9632" t="str">
        <f t="shared" si="535"/>
        <v>193</v>
      </c>
      <c r="D9632" t="str">
        <f>"23"</f>
        <v>23</v>
      </c>
      <c r="E9632" t="str">
        <f>"1-193-23"</f>
        <v>1-193-23</v>
      </c>
      <c r="F9632" t="s">
        <v>65</v>
      </c>
      <c r="G9632" t="s">
        <v>66</v>
      </c>
      <c r="H9632" t="s">
        <v>67</v>
      </c>
      <c r="S9632">
        <v>1</v>
      </c>
      <c r="T9632">
        <v>0</v>
      </c>
      <c r="U9632">
        <v>0</v>
      </c>
      <c r="V9632">
        <v>0</v>
      </c>
      <c r="W9632">
        <v>1</v>
      </c>
      <c r="X9632">
        <v>0</v>
      </c>
      <c r="Y9632">
        <v>1</v>
      </c>
      <c r="Z9632">
        <v>0</v>
      </c>
      <c r="AA9632">
        <v>0</v>
      </c>
      <c r="AB9632">
        <v>1</v>
      </c>
      <c r="AC9632">
        <v>0</v>
      </c>
      <c r="AD9632">
        <v>1</v>
      </c>
      <c r="AE9632">
        <v>1</v>
      </c>
      <c r="AF9632">
        <v>1</v>
      </c>
      <c r="AG9632">
        <v>1</v>
      </c>
      <c r="AH9632">
        <v>1</v>
      </c>
      <c r="AI9632">
        <v>1</v>
      </c>
      <c r="AJ9632">
        <v>1</v>
      </c>
      <c r="AK9632">
        <v>1</v>
      </c>
      <c r="AL9632">
        <v>1</v>
      </c>
      <c r="AM9632">
        <v>1</v>
      </c>
    </row>
    <row r="9633" spans="1:39" x14ac:dyDescent="0.2">
      <c r="A9633" t="str">
        <f>"9629"</f>
        <v>9629</v>
      </c>
      <c r="B9633" t="str">
        <f t="shared" si="534"/>
        <v>1</v>
      </c>
      <c r="C9633" t="str">
        <f t="shared" si="535"/>
        <v>193</v>
      </c>
      <c r="D9633" t="str">
        <f>"5"</f>
        <v>5</v>
      </c>
      <c r="E9633" t="str">
        <f>"1-193-5"</f>
        <v>1-193-5</v>
      </c>
      <c r="F9633" t="s">
        <v>65</v>
      </c>
      <c r="G9633" t="s">
        <v>66</v>
      </c>
      <c r="H9633" t="s">
        <v>67</v>
      </c>
      <c r="S9633">
        <v>1</v>
      </c>
      <c r="T9633">
        <v>0</v>
      </c>
      <c r="U9633">
        <v>0</v>
      </c>
      <c r="V9633">
        <v>0</v>
      </c>
      <c r="W9633">
        <v>1</v>
      </c>
      <c r="X9633">
        <v>0</v>
      </c>
      <c r="Y9633">
        <v>1</v>
      </c>
      <c r="Z9633">
        <v>0</v>
      </c>
      <c r="AA9633">
        <v>1</v>
      </c>
      <c r="AB9633">
        <v>0</v>
      </c>
      <c r="AC9633">
        <v>0</v>
      </c>
      <c r="AD9633">
        <v>1</v>
      </c>
      <c r="AE9633">
        <v>1</v>
      </c>
      <c r="AF9633">
        <v>1</v>
      </c>
      <c r="AG9633">
        <v>1</v>
      </c>
      <c r="AH9633">
        <v>1</v>
      </c>
      <c r="AI9633">
        <v>1</v>
      </c>
      <c r="AJ9633">
        <v>1</v>
      </c>
      <c r="AK9633">
        <v>1</v>
      </c>
      <c r="AL9633">
        <v>1</v>
      </c>
      <c r="AM9633">
        <v>1</v>
      </c>
    </row>
    <row r="9634" spans="1:39" x14ac:dyDescent="0.2">
      <c r="A9634" t="str">
        <f>"9630"</f>
        <v>9630</v>
      </c>
      <c r="B9634" t="str">
        <f t="shared" si="534"/>
        <v>1</v>
      </c>
      <c r="C9634" t="str">
        <f t="shared" si="535"/>
        <v>193</v>
      </c>
      <c r="D9634" t="str">
        <f>"44"</f>
        <v>44</v>
      </c>
      <c r="E9634" t="str">
        <f>"1-193-44"</f>
        <v>1-193-44</v>
      </c>
      <c r="F9634" t="s">
        <v>65</v>
      </c>
      <c r="G9634" t="s">
        <v>66</v>
      </c>
      <c r="H9634" t="s">
        <v>67</v>
      </c>
      <c r="S9634">
        <v>1</v>
      </c>
      <c r="T9634">
        <v>0</v>
      </c>
      <c r="U9634">
        <v>0</v>
      </c>
      <c r="V9634">
        <v>0</v>
      </c>
      <c r="W9634">
        <v>0</v>
      </c>
      <c r="X9634">
        <v>1</v>
      </c>
      <c r="Y9634">
        <v>1</v>
      </c>
      <c r="Z9634">
        <v>0</v>
      </c>
      <c r="AA9634">
        <v>0</v>
      </c>
      <c r="AB9634">
        <v>1</v>
      </c>
      <c r="AC9634">
        <v>0</v>
      </c>
      <c r="AD9634">
        <v>1</v>
      </c>
      <c r="AE9634">
        <v>1</v>
      </c>
      <c r="AF9634">
        <v>1</v>
      </c>
      <c r="AG9634">
        <v>1</v>
      </c>
      <c r="AH9634">
        <v>1</v>
      </c>
      <c r="AI9634">
        <v>1</v>
      </c>
      <c r="AJ9634">
        <v>1</v>
      </c>
      <c r="AK9634">
        <v>1</v>
      </c>
      <c r="AL9634">
        <v>1</v>
      </c>
      <c r="AM9634">
        <v>1</v>
      </c>
    </row>
    <row r="9635" spans="1:39" x14ac:dyDescent="0.2">
      <c r="A9635" t="str">
        <f>"9631"</f>
        <v>9631</v>
      </c>
      <c r="B9635" t="str">
        <f t="shared" si="534"/>
        <v>1</v>
      </c>
      <c r="C9635" t="str">
        <f t="shared" si="535"/>
        <v>193</v>
      </c>
      <c r="D9635" t="str">
        <f>"25"</f>
        <v>25</v>
      </c>
      <c r="E9635" t="str">
        <f>"1-193-25"</f>
        <v>1-193-25</v>
      </c>
      <c r="F9635" t="s">
        <v>65</v>
      </c>
      <c r="G9635" t="s">
        <v>66</v>
      </c>
      <c r="H9635" t="s">
        <v>67</v>
      </c>
      <c r="S9635">
        <v>0</v>
      </c>
      <c r="T9635">
        <v>1</v>
      </c>
      <c r="U9635">
        <v>0</v>
      </c>
      <c r="V9635">
        <v>0</v>
      </c>
      <c r="W9635">
        <v>0</v>
      </c>
      <c r="X9635">
        <v>1</v>
      </c>
      <c r="Y9635">
        <v>0</v>
      </c>
      <c r="Z9635">
        <v>1</v>
      </c>
      <c r="AA9635">
        <v>0</v>
      </c>
      <c r="AB9635">
        <v>0</v>
      </c>
      <c r="AC9635">
        <v>1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</row>
    <row r="9636" spans="1:39" x14ac:dyDescent="0.2">
      <c r="A9636" t="str">
        <f>"9632"</f>
        <v>9632</v>
      </c>
      <c r="B9636" t="str">
        <f t="shared" si="534"/>
        <v>1</v>
      </c>
      <c r="C9636" t="str">
        <f t="shared" si="535"/>
        <v>193</v>
      </c>
      <c r="D9636" t="str">
        <f>"6"</f>
        <v>6</v>
      </c>
      <c r="E9636" t="str">
        <f>"1-193-6"</f>
        <v>1-193-6</v>
      </c>
      <c r="F9636" t="s">
        <v>65</v>
      </c>
      <c r="G9636" t="s">
        <v>66</v>
      </c>
      <c r="H9636" t="s">
        <v>67</v>
      </c>
      <c r="S9636">
        <v>1</v>
      </c>
      <c r="T9636">
        <v>0</v>
      </c>
      <c r="U9636">
        <v>0</v>
      </c>
      <c r="V9636">
        <v>0</v>
      </c>
      <c r="W9636">
        <v>1</v>
      </c>
      <c r="X9636">
        <v>0</v>
      </c>
      <c r="Y9636">
        <v>1</v>
      </c>
      <c r="Z9636">
        <v>0</v>
      </c>
      <c r="AA9636">
        <v>1</v>
      </c>
      <c r="AB9636">
        <v>0</v>
      </c>
      <c r="AC9636">
        <v>0</v>
      </c>
      <c r="AD9636">
        <v>0</v>
      </c>
      <c r="AE9636">
        <v>0</v>
      </c>
      <c r="AF9636">
        <v>1</v>
      </c>
      <c r="AG9636">
        <v>1</v>
      </c>
      <c r="AH9636">
        <v>1</v>
      </c>
      <c r="AI9636">
        <v>1</v>
      </c>
      <c r="AJ9636">
        <v>1</v>
      </c>
      <c r="AK9636">
        <v>1</v>
      </c>
      <c r="AL9636">
        <v>1</v>
      </c>
      <c r="AM9636">
        <v>1</v>
      </c>
    </row>
    <row r="9637" spans="1:39" x14ac:dyDescent="0.2">
      <c r="A9637" t="str">
        <f>"9633"</f>
        <v>9633</v>
      </c>
      <c r="B9637" t="str">
        <f t="shared" si="534"/>
        <v>1</v>
      </c>
      <c r="C9637" t="str">
        <f t="shared" ref="C9637:C9654" si="536">"193"</f>
        <v>193</v>
      </c>
      <c r="D9637" t="str">
        <f>"45"</f>
        <v>45</v>
      </c>
      <c r="E9637" t="str">
        <f>"1-193-45"</f>
        <v>1-193-45</v>
      </c>
      <c r="F9637" t="s">
        <v>65</v>
      </c>
      <c r="G9637" t="s">
        <v>66</v>
      </c>
      <c r="H9637" t="s">
        <v>67</v>
      </c>
      <c r="S9637">
        <v>1</v>
      </c>
      <c r="T9637">
        <v>0</v>
      </c>
      <c r="U9637">
        <v>0</v>
      </c>
      <c r="V9637">
        <v>0</v>
      </c>
      <c r="W9637">
        <v>0</v>
      </c>
      <c r="X9637">
        <v>1</v>
      </c>
      <c r="Y9637">
        <v>1</v>
      </c>
      <c r="Z9637">
        <v>0</v>
      </c>
      <c r="AA9637">
        <v>0</v>
      </c>
      <c r="AB9637">
        <v>1</v>
      </c>
      <c r="AC9637">
        <v>0</v>
      </c>
      <c r="AD9637">
        <v>1</v>
      </c>
      <c r="AE9637">
        <v>1</v>
      </c>
      <c r="AF9637">
        <v>1</v>
      </c>
      <c r="AG9637">
        <v>1</v>
      </c>
      <c r="AH9637">
        <v>1</v>
      </c>
      <c r="AI9637">
        <v>1</v>
      </c>
      <c r="AJ9637">
        <v>1</v>
      </c>
      <c r="AK9637">
        <v>1</v>
      </c>
      <c r="AL9637">
        <v>1</v>
      </c>
      <c r="AM9637">
        <v>1</v>
      </c>
    </row>
    <row r="9638" spans="1:39" x14ac:dyDescent="0.2">
      <c r="A9638" t="str">
        <f>"9634"</f>
        <v>9634</v>
      </c>
      <c r="B9638" t="str">
        <f t="shared" si="534"/>
        <v>1</v>
      </c>
      <c r="C9638" t="str">
        <f t="shared" si="536"/>
        <v>193</v>
      </c>
      <c r="D9638" t="str">
        <f>"26"</f>
        <v>26</v>
      </c>
      <c r="E9638" t="str">
        <f>"1-193-26"</f>
        <v>1-193-26</v>
      </c>
      <c r="F9638" t="s">
        <v>65</v>
      </c>
      <c r="G9638" t="s">
        <v>66</v>
      </c>
      <c r="H9638" t="s">
        <v>67</v>
      </c>
      <c r="S9638">
        <v>0</v>
      </c>
      <c r="T9638">
        <v>1</v>
      </c>
      <c r="U9638">
        <v>0</v>
      </c>
      <c r="V9638">
        <v>0</v>
      </c>
      <c r="W9638">
        <v>0</v>
      </c>
      <c r="X9638">
        <v>1</v>
      </c>
      <c r="Y9638">
        <v>0</v>
      </c>
      <c r="Z9638">
        <v>1</v>
      </c>
      <c r="AA9638">
        <v>0</v>
      </c>
      <c r="AB9638">
        <v>0</v>
      </c>
      <c r="AC9638">
        <v>1</v>
      </c>
      <c r="AD9638">
        <v>1</v>
      </c>
      <c r="AE9638">
        <v>1</v>
      </c>
      <c r="AF9638">
        <v>1</v>
      </c>
      <c r="AG9638">
        <v>1</v>
      </c>
      <c r="AH9638">
        <v>1</v>
      </c>
      <c r="AI9638">
        <v>1</v>
      </c>
      <c r="AJ9638">
        <v>1</v>
      </c>
      <c r="AK9638">
        <v>1</v>
      </c>
      <c r="AL9638">
        <v>1</v>
      </c>
      <c r="AM9638">
        <v>1</v>
      </c>
    </row>
    <row r="9639" spans="1:39" x14ac:dyDescent="0.2">
      <c r="A9639" t="str">
        <f>"9635"</f>
        <v>9635</v>
      </c>
      <c r="B9639" t="str">
        <f t="shared" si="534"/>
        <v>1</v>
      </c>
      <c r="C9639" t="str">
        <f t="shared" si="536"/>
        <v>193</v>
      </c>
      <c r="D9639" t="str">
        <f>"10"</f>
        <v>10</v>
      </c>
      <c r="E9639" t="str">
        <f>"1-193-10"</f>
        <v>1-193-10</v>
      </c>
      <c r="F9639" t="s">
        <v>65</v>
      </c>
      <c r="G9639" t="s">
        <v>66</v>
      </c>
      <c r="H9639" t="s">
        <v>67</v>
      </c>
      <c r="S9639">
        <v>1</v>
      </c>
      <c r="T9639">
        <v>0</v>
      </c>
      <c r="U9639">
        <v>0</v>
      </c>
      <c r="V9639">
        <v>0</v>
      </c>
      <c r="W9639">
        <v>1</v>
      </c>
      <c r="X9639">
        <v>0</v>
      </c>
      <c r="Y9639">
        <v>1</v>
      </c>
      <c r="Z9639">
        <v>0</v>
      </c>
      <c r="AA9639">
        <v>0</v>
      </c>
      <c r="AB9639">
        <v>1</v>
      </c>
      <c r="AC9639">
        <v>0</v>
      </c>
      <c r="AD9639">
        <v>1</v>
      </c>
      <c r="AE9639">
        <v>1</v>
      </c>
      <c r="AF9639">
        <v>1</v>
      </c>
      <c r="AG9639">
        <v>1</v>
      </c>
      <c r="AH9639">
        <v>1</v>
      </c>
      <c r="AI9639">
        <v>1</v>
      </c>
      <c r="AJ9639">
        <v>1</v>
      </c>
      <c r="AK9639">
        <v>1</v>
      </c>
      <c r="AL9639">
        <v>1</v>
      </c>
      <c r="AM9639">
        <v>1</v>
      </c>
    </row>
    <row r="9640" spans="1:39" x14ac:dyDescent="0.2">
      <c r="A9640" t="str">
        <f>"9636"</f>
        <v>9636</v>
      </c>
      <c r="B9640" t="str">
        <f t="shared" si="534"/>
        <v>1</v>
      </c>
      <c r="C9640" t="str">
        <f t="shared" si="536"/>
        <v>193</v>
      </c>
      <c r="D9640" t="str">
        <f>"46"</f>
        <v>46</v>
      </c>
      <c r="E9640" t="str">
        <f>"1-193-46"</f>
        <v>1-193-46</v>
      </c>
      <c r="F9640" t="s">
        <v>65</v>
      </c>
      <c r="G9640" t="s">
        <v>66</v>
      </c>
      <c r="H9640" t="s">
        <v>67</v>
      </c>
      <c r="S9640">
        <v>0</v>
      </c>
      <c r="T9640">
        <v>0</v>
      </c>
      <c r="U9640">
        <v>0</v>
      </c>
      <c r="V9640">
        <v>0</v>
      </c>
      <c r="W9640">
        <v>1</v>
      </c>
      <c r="X9640">
        <v>0</v>
      </c>
      <c r="Y9640">
        <v>1</v>
      </c>
      <c r="Z9640">
        <v>0</v>
      </c>
      <c r="AA9640">
        <v>0</v>
      </c>
      <c r="AB9640">
        <v>0</v>
      </c>
      <c r="AC9640">
        <v>1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</row>
    <row r="9641" spans="1:39" x14ac:dyDescent="0.2">
      <c r="A9641" t="str">
        <f>"9637"</f>
        <v>9637</v>
      </c>
      <c r="B9641" t="str">
        <f t="shared" si="534"/>
        <v>1</v>
      </c>
      <c r="C9641" t="str">
        <f t="shared" si="536"/>
        <v>193</v>
      </c>
      <c r="D9641" t="str">
        <f>"27"</f>
        <v>27</v>
      </c>
      <c r="E9641" t="str">
        <f>"1-193-27"</f>
        <v>1-193-27</v>
      </c>
      <c r="F9641" t="s">
        <v>65</v>
      </c>
      <c r="G9641" t="s">
        <v>66</v>
      </c>
      <c r="H9641" t="s">
        <v>67</v>
      </c>
      <c r="S9641">
        <v>0</v>
      </c>
      <c r="T9641">
        <v>1</v>
      </c>
      <c r="U9641">
        <v>0</v>
      </c>
      <c r="V9641">
        <v>0</v>
      </c>
      <c r="W9641">
        <v>1</v>
      </c>
      <c r="X9641">
        <v>0</v>
      </c>
      <c r="Y9641">
        <v>0</v>
      </c>
      <c r="Z9641">
        <v>1</v>
      </c>
      <c r="AA9641">
        <v>0</v>
      </c>
      <c r="AB9641">
        <v>0</v>
      </c>
      <c r="AC9641">
        <v>1</v>
      </c>
      <c r="AD9641">
        <v>1</v>
      </c>
      <c r="AE9641">
        <v>1</v>
      </c>
      <c r="AF9641">
        <v>1</v>
      </c>
      <c r="AG9641">
        <v>1</v>
      </c>
      <c r="AH9641">
        <v>1</v>
      </c>
      <c r="AI9641">
        <v>1</v>
      </c>
      <c r="AJ9641">
        <v>1</v>
      </c>
      <c r="AK9641">
        <v>1</v>
      </c>
      <c r="AL9641">
        <v>1</v>
      </c>
      <c r="AM9641">
        <v>1</v>
      </c>
    </row>
    <row r="9642" spans="1:39" x14ac:dyDescent="0.2">
      <c r="A9642" t="str">
        <f>"9638"</f>
        <v>9638</v>
      </c>
      <c r="B9642" t="str">
        <f t="shared" si="534"/>
        <v>1</v>
      </c>
      <c r="C9642" t="str">
        <f t="shared" si="536"/>
        <v>193</v>
      </c>
      <c r="D9642" t="str">
        <f>"11"</f>
        <v>11</v>
      </c>
      <c r="E9642" t="str">
        <f>"1-193-11"</f>
        <v>1-193-11</v>
      </c>
      <c r="F9642" t="s">
        <v>65</v>
      </c>
      <c r="G9642" t="s">
        <v>66</v>
      </c>
      <c r="H9642" t="s">
        <v>67</v>
      </c>
      <c r="S9642">
        <v>0</v>
      </c>
      <c r="T9642">
        <v>1</v>
      </c>
      <c r="U9642">
        <v>0</v>
      </c>
      <c r="V9642">
        <v>0</v>
      </c>
      <c r="W9642">
        <v>1</v>
      </c>
      <c r="X9642">
        <v>0</v>
      </c>
      <c r="Y9642">
        <v>1</v>
      </c>
      <c r="Z9642">
        <v>0</v>
      </c>
      <c r="AA9642">
        <v>0</v>
      </c>
      <c r="AB9642">
        <v>1</v>
      </c>
      <c r="AC9642">
        <v>0</v>
      </c>
      <c r="AD9642">
        <v>0</v>
      </c>
      <c r="AE9642">
        <v>0</v>
      </c>
      <c r="AF9642">
        <v>0</v>
      </c>
      <c r="AG9642">
        <v>1</v>
      </c>
      <c r="AH9642">
        <v>0</v>
      </c>
      <c r="AI9642">
        <v>0</v>
      </c>
      <c r="AJ9642">
        <v>0</v>
      </c>
      <c r="AK9642">
        <v>1</v>
      </c>
      <c r="AL9642">
        <v>0</v>
      </c>
      <c r="AM9642">
        <v>0</v>
      </c>
    </row>
    <row r="9643" spans="1:39" x14ac:dyDescent="0.2">
      <c r="A9643" t="str">
        <f>"9639"</f>
        <v>9639</v>
      </c>
      <c r="B9643" t="str">
        <f t="shared" si="534"/>
        <v>1</v>
      </c>
      <c r="C9643" t="str">
        <f t="shared" si="536"/>
        <v>193</v>
      </c>
      <c r="D9643" t="str">
        <f>"50"</f>
        <v>50</v>
      </c>
      <c r="E9643" t="str">
        <f>"1-193-50"</f>
        <v>1-193-50</v>
      </c>
      <c r="F9643" t="s">
        <v>65</v>
      </c>
      <c r="G9643" t="s">
        <v>66</v>
      </c>
      <c r="H9643" t="s">
        <v>67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1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</row>
    <row r="9644" spans="1:39" x14ac:dyDescent="0.2">
      <c r="A9644" t="str">
        <f>"9640"</f>
        <v>9640</v>
      </c>
      <c r="B9644" t="str">
        <f t="shared" si="534"/>
        <v>1</v>
      </c>
      <c r="C9644" t="str">
        <f t="shared" si="536"/>
        <v>193</v>
      </c>
      <c r="D9644" t="str">
        <f>"28"</f>
        <v>28</v>
      </c>
      <c r="E9644" t="str">
        <f>"1-193-28"</f>
        <v>1-193-28</v>
      </c>
      <c r="F9644" t="s">
        <v>65</v>
      </c>
      <c r="G9644" t="s">
        <v>66</v>
      </c>
      <c r="H9644" t="s">
        <v>67</v>
      </c>
      <c r="S9644">
        <v>0</v>
      </c>
      <c r="T9644">
        <v>1</v>
      </c>
      <c r="U9644">
        <v>0</v>
      </c>
      <c r="V9644">
        <v>0</v>
      </c>
      <c r="W9644">
        <v>0</v>
      </c>
      <c r="X9644">
        <v>1</v>
      </c>
      <c r="Y9644">
        <v>0</v>
      </c>
      <c r="Z9644">
        <v>1</v>
      </c>
      <c r="AA9644">
        <v>0</v>
      </c>
      <c r="AB9644">
        <v>0</v>
      </c>
      <c r="AC9644">
        <v>1</v>
      </c>
      <c r="AD9644">
        <v>1</v>
      </c>
      <c r="AE9644">
        <v>1</v>
      </c>
      <c r="AF9644">
        <v>1</v>
      </c>
      <c r="AG9644">
        <v>1</v>
      </c>
      <c r="AH9644">
        <v>1</v>
      </c>
      <c r="AI9644">
        <v>1</v>
      </c>
      <c r="AJ9644">
        <v>1</v>
      </c>
      <c r="AK9644">
        <v>1</v>
      </c>
      <c r="AL9644">
        <v>1</v>
      </c>
      <c r="AM9644">
        <v>1</v>
      </c>
    </row>
    <row r="9645" spans="1:39" x14ac:dyDescent="0.2">
      <c r="A9645" t="str">
        <f>"9641"</f>
        <v>9641</v>
      </c>
      <c r="B9645" t="str">
        <f t="shared" si="534"/>
        <v>1</v>
      </c>
      <c r="C9645" t="str">
        <f t="shared" si="536"/>
        <v>193</v>
      </c>
      <c r="D9645" t="str">
        <f>"3"</f>
        <v>3</v>
      </c>
      <c r="E9645" t="str">
        <f>"1-193-3"</f>
        <v>1-193-3</v>
      </c>
      <c r="F9645" t="s">
        <v>65</v>
      </c>
      <c r="G9645" t="s">
        <v>66</v>
      </c>
      <c r="H9645" t="s">
        <v>67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1</v>
      </c>
      <c r="Y9645">
        <v>0</v>
      </c>
      <c r="Z9645">
        <v>1</v>
      </c>
      <c r="AA9645">
        <v>0</v>
      </c>
      <c r="AB9645">
        <v>0</v>
      </c>
      <c r="AC9645">
        <v>1</v>
      </c>
      <c r="AD9645">
        <v>1</v>
      </c>
      <c r="AE9645">
        <v>1</v>
      </c>
      <c r="AF9645">
        <v>1</v>
      </c>
      <c r="AG9645">
        <v>1</v>
      </c>
      <c r="AH9645">
        <v>1</v>
      </c>
      <c r="AI9645">
        <v>1</v>
      </c>
      <c r="AJ9645">
        <v>1</v>
      </c>
      <c r="AK9645">
        <v>1</v>
      </c>
      <c r="AL9645">
        <v>1</v>
      </c>
      <c r="AM9645">
        <v>1</v>
      </c>
    </row>
    <row r="9646" spans="1:39" x14ac:dyDescent="0.2">
      <c r="A9646" t="str">
        <f>"9642"</f>
        <v>9642</v>
      </c>
      <c r="B9646" t="str">
        <f t="shared" si="534"/>
        <v>1</v>
      </c>
      <c r="C9646" t="str">
        <f t="shared" si="536"/>
        <v>193</v>
      </c>
      <c r="D9646" t="str">
        <f>"49"</f>
        <v>49</v>
      </c>
      <c r="E9646" t="str">
        <f>"1-193-49"</f>
        <v>1-193-49</v>
      </c>
      <c r="F9646" t="s">
        <v>65</v>
      </c>
      <c r="G9646" t="s">
        <v>66</v>
      </c>
      <c r="H9646" t="s">
        <v>67</v>
      </c>
      <c r="S9646">
        <v>1</v>
      </c>
      <c r="T9646">
        <v>0</v>
      </c>
      <c r="U9646">
        <v>0</v>
      </c>
      <c r="V9646">
        <v>0</v>
      </c>
      <c r="W9646">
        <v>1</v>
      </c>
      <c r="X9646">
        <v>0</v>
      </c>
      <c r="Y9646">
        <v>1</v>
      </c>
      <c r="Z9646">
        <v>0</v>
      </c>
      <c r="AA9646">
        <v>1</v>
      </c>
      <c r="AB9646">
        <v>0</v>
      </c>
      <c r="AC9646">
        <v>0</v>
      </c>
      <c r="AD9646">
        <v>1</v>
      </c>
      <c r="AE9646">
        <v>1</v>
      </c>
      <c r="AF9646">
        <v>1</v>
      </c>
      <c r="AG9646">
        <v>1</v>
      </c>
      <c r="AH9646">
        <v>1</v>
      </c>
      <c r="AI9646">
        <v>1</v>
      </c>
      <c r="AJ9646">
        <v>1</v>
      </c>
      <c r="AK9646">
        <v>1</v>
      </c>
      <c r="AL9646">
        <v>1</v>
      </c>
      <c r="AM9646">
        <v>1</v>
      </c>
    </row>
    <row r="9647" spans="1:39" x14ac:dyDescent="0.2">
      <c r="A9647" t="str">
        <f>"9643"</f>
        <v>9643</v>
      </c>
      <c r="B9647" t="str">
        <f t="shared" si="534"/>
        <v>1</v>
      </c>
      <c r="C9647" t="str">
        <f t="shared" si="536"/>
        <v>193</v>
      </c>
      <c r="D9647" t="str">
        <f>"30"</f>
        <v>30</v>
      </c>
      <c r="E9647" t="str">
        <f>"1-193-30"</f>
        <v>1-193-30</v>
      </c>
      <c r="F9647" t="s">
        <v>65</v>
      </c>
      <c r="G9647" t="s">
        <v>66</v>
      </c>
      <c r="H9647" t="s">
        <v>67</v>
      </c>
      <c r="S9647">
        <v>1</v>
      </c>
      <c r="T9647">
        <v>0</v>
      </c>
      <c r="U9647">
        <v>0</v>
      </c>
      <c r="V9647">
        <v>0</v>
      </c>
      <c r="W9647">
        <v>1</v>
      </c>
      <c r="X9647">
        <v>0</v>
      </c>
      <c r="Y9647">
        <v>1</v>
      </c>
      <c r="Z9647">
        <v>0</v>
      </c>
      <c r="AA9647">
        <v>0</v>
      </c>
      <c r="AB9647">
        <v>1</v>
      </c>
      <c r="AC9647">
        <v>0</v>
      </c>
      <c r="AD9647">
        <v>1</v>
      </c>
      <c r="AE9647">
        <v>1</v>
      </c>
      <c r="AF9647">
        <v>1</v>
      </c>
      <c r="AG9647">
        <v>1</v>
      </c>
      <c r="AH9647">
        <v>1</v>
      </c>
      <c r="AI9647">
        <v>1</v>
      </c>
      <c r="AJ9647">
        <v>1</v>
      </c>
      <c r="AK9647">
        <v>1</v>
      </c>
      <c r="AL9647">
        <v>1</v>
      </c>
      <c r="AM9647">
        <v>1</v>
      </c>
    </row>
    <row r="9648" spans="1:39" x14ac:dyDescent="0.2">
      <c r="A9648" t="str">
        <f>"9644"</f>
        <v>9644</v>
      </c>
      <c r="B9648" t="str">
        <f t="shared" si="534"/>
        <v>1</v>
      </c>
      <c r="C9648" t="str">
        <f t="shared" si="536"/>
        <v>193</v>
      </c>
      <c r="D9648" t="str">
        <f>"13"</f>
        <v>13</v>
      </c>
      <c r="E9648" t="str">
        <f>"1-193-13"</f>
        <v>1-193-13</v>
      </c>
      <c r="F9648" t="s">
        <v>65</v>
      </c>
      <c r="G9648" t="s">
        <v>66</v>
      </c>
      <c r="H9648" t="s">
        <v>67</v>
      </c>
      <c r="S9648">
        <v>1</v>
      </c>
      <c r="T9648">
        <v>0</v>
      </c>
      <c r="U9648">
        <v>0</v>
      </c>
      <c r="V9648">
        <v>0</v>
      </c>
      <c r="W9648">
        <v>1</v>
      </c>
      <c r="X9648">
        <v>0</v>
      </c>
      <c r="Y9648">
        <v>1</v>
      </c>
      <c r="Z9648">
        <v>0</v>
      </c>
      <c r="AA9648">
        <v>0</v>
      </c>
      <c r="AB9648">
        <v>1</v>
      </c>
      <c r="AC9648">
        <v>0</v>
      </c>
      <c r="AD9648">
        <v>1</v>
      </c>
      <c r="AE9648">
        <v>1</v>
      </c>
      <c r="AF9648">
        <v>1</v>
      </c>
      <c r="AG9648">
        <v>1</v>
      </c>
      <c r="AH9648">
        <v>1</v>
      </c>
      <c r="AI9648">
        <v>1</v>
      </c>
      <c r="AJ9648">
        <v>1</v>
      </c>
      <c r="AK9648">
        <v>1</v>
      </c>
      <c r="AL9648">
        <v>1</v>
      </c>
      <c r="AM9648">
        <v>1</v>
      </c>
    </row>
    <row r="9649" spans="1:39" x14ac:dyDescent="0.2">
      <c r="A9649" t="str">
        <f>"9645"</f>
        <v>9645</v>
      </c>
      <c r="B9649" t="str">
        <f t="shared" si="534"/>
        <v>1</v>
      </c>
      <c r="C9649" t="str">
        <f t="shared" si="536"/>
        <v>193</v>
      </c>
      <c r="D9649" t="str">
        <f>"47"</f>
        <v>47</v>
      </c>
      <c r="E9649" t="str">
        <f>"1-193-47"</f>
        <v>1-193-47</v>
      </c>
      <c r="F9649" t="s">
        <v>65</v>
      </c>
      <c r="G9649" t="s">
        <v>66</v>
      </c>
      <c r="H9649" t="s">
        <v>67</v>
      </c>
      <c r="S9649">
        <v>0</v>
      </c>
      <c r="T9649">
        <v>0</v>
      </c>
      <c r="U9649">
        <v>0</v>
      </c>
      <c r="V9649">
        <v>0</v>
      </c>
      <c r="W9649">
        <v>1</v>
      </c>
      <c r="X9649">
        <v>0</v>
      </c>
      <c r="Y9649">
        <v>0</v>
      </c>
      <c r="Z9649">
        <v>1</v>
      </c>
      <c r="AA9649">
        <v>0</v>
      </c>
      <c r="AB9649">
        <v>0</v>
      </c>
      <c r="AC9649">
        <v>1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</row>
    <row r="9650" spans="1:39" x14ac:dyDescent="0.2">
      <c r="A9650" t="str">
        <f>"9646"</f>
        <v>9646</v>
      </c>
      <c r="B9650" t="str">
        <f t="shared" si="534"/>
        <v>1</v>
      </c>
      <c r="C9650" t="str">
        <f t="shared" si="536"/>
        <v>193</v>
      </c>
      <c r="D9650" t="str">
        <f>"31"</f>
        <v>31</v>
      </c>
      <c r="E9650" t="str">
        <f>"1-193-31"</f>
        <v>1-193-31</v>
      </c>
      <c r="F9650" t="s">
        <v>65</v>
      </c>
      <c r="G9650" t="s">
        <v>66</v>
      </c>
      <c r="H9650" t="s">
        <v>67</v>
      </c>
      <c r="S9650">
        <v>0</v>
      </c>
      <c r="T9650">
        <v>1</v>
      </c>
      <c r="U9650">
        <v>0</v>
      </c>
      <c r="V9650">
        <v>0</v>
      </c>
      <c r="W9650">
        <v>1</v>
      </c>
      <c r="X9650">
        <v>0</v>
      </c>
      <c r="Y9650">
        <v>1</v>
      </c>
      <c r="Z9650">
        <v>0</v>
      </c>
      <c r="AA9650">
        <v>0</v>
      </c>
      <c r="AB9650">
        <v>1</v>
      </c>
      <c r="AC9650">
        <v>0</v>
      </c>
      <c r="AD9650">
        <v>1</v>
      </c>
      <c r="AE9650">
        <v>1</v>
      </c>
      <c r="AF9650">
        <v>1</v>
      </c>
      <c r="AG9650">
        <v>1</v>
      </c>
      <c r="AH9650">
        <v>1</v>
      </c>
      <c r="AI9650">
        <v>1</v>
      </c>
      <c r="AJ9650">
        <v>1</v>
      </c>
      <c r="AK9650">
        <v>1</v>
      </c>
      <c r="AL9650">
        <v>1</v>
      </c>
      <c r="AM9650">
        <v>1</v>
      </c>
    </row>
    <row r="9651" spans="1:39" x14ac:dyDescent="0.2">
      <c r="A9651" t="str">
        <f>"9647"</f>
        <v>9647</v>
      </c>
      <c r="B9651" t="str">
        <f t="shared" si="534"/>
        <v>1</v>
      </c>
      <c r="C9651" t="str">
        <f t="shared" si="536"/>
        <v>193</v>
      </c>
      <c r="D9651" t="str">
        <f>"12"</f>
        <v>12</v>
      </c>
      <c r="E9651" t="str">
        <f>"1-193-12"</f>
        <v>1-193-12</v>
      </c>
      <c r="F9651" t="s">
        <v>65</v>
      </c>
      <c r="G9651" t="s">
        <v>66</v>
      </c>
      <c r="H9651" t="s">
        <v>67</v>
      </c>
      <c r="S9651">
        <v>0</v>
      </c>
      <c r="T9651">
        <v>0</v>
      </c>
      <c r="U9651">
        <v>0</v>
      </c>
      <c r="V9651">
        <v>0</v>
      </c>
      <c r="W9651">
        <v>1</v>
      </c>
      <c r="X9651">
        <v>0</v>
      </c>
      <c r="Y9651">
        <v>1</v>
      </c>
      <c r="Z9651">
        <v>0</v>
      </c>
      <c r="AA9651">
        <v>0</v>
      </c>
      <c r="AB9651">
        <v>1</v>
      </c>
      <c r="AC9651">
        <v>0</v>
      </c>
      <c r="AD9651">
        <v>0</v>
      </c>
      <c r="AE9651">
        <v>0</v>
      </c>
      <c r="AF9651">
        <v>0</v>
      </c>
      <c r="AG9651">
        <v>1</v>
      </c>
      <c r="AH9651">
        <v>1</v>
      </c>
      <c r="AI9651">
        <v>0</v>
      </c>
      <c r="AJ9651">
        <v>1</v>
      </c>
      <c r="AK9651">
        <v>1</v>
      </c>
      <c r="AL9651">
        <v>0</v>
      </c>
      <c r="AM9651">
        <v>1</v>
      </c>
    </row>
    <row r="9652" spans="1:39" x14ac:dyDescent="0.2">
      <c r="A9652" t="str">
        <f>"9648"</f>
        <v>9648</v>
      </c>
      <c r="B9652" t="str">
        <f t="shared" si="534"/>
        <v>1</v>
      </c>
      <c r="C9652" t="str">
        <f t="shared" si="536"/>
        <v>193</v>
      </c>
      <c r="D9652" t="str">
        <f>"48"</f>
        <v>48</v>
      </c>
      <c r="E9652" t="str">
        <f>"1-193-48"</f>
        <v>1-193-48</v>
      </c>
      <c r="F9652" t="s">
        <v>65</v>
      </c>
      <c r="G9652" t="s">
        <v>66</v>
      </c>
      <c r="H9652" t="s">
        <v>67</v>
      </c>
      <c r="S9652">
        <v>1</v>
      </c>
      <c r="T9652">
        <v>0</v>
      </c>
      <c r="U9652">
        <v>0</v>
      </c>
      <c r="V9652">
        <v>0</v>
      </c>
      <c r="W9652">
        <v>1</v>
      </c>
      <c r="X9652">
        <v>0</v>
      </c>
      <c r="Y9652">
        <v>1</v>
      </c>
      <c r="Z9652">
        <v>0</v>
      </c>
      <c r="AA9652">
        <v>1</v>
      </c>
      <c r="AB9652">
        <v>0</v>
      </c>
      <c r="AC9652">
        <v>0</v>
      </c>
      <c r="AD9652">
        <v>1</v>
      </c>
      <c r="AE9652">
        <v>1</v>
      </c>
      <c r="AF9652">
        <v>1</v>
      </c>
      <c r="AG9652">
        <v>1</v>
      </c>
      <c r="AH9652">
        <v>1</v>
      </c>
      <c r="AI9652">
        <v>1</v>
      </c>
      <c r="AJ9652">
        <v>1</v>
      </c>
      <c r="AK9652">
        <v>1</v>
      </c>
      <c r="AL9652">
        <v>1</v>
      </c>
      <c r="AM9652">
        <v>1</v>
      </c>
    </row>
    <row r="9653" spans="1:39" x14ac:dyDescent="0.2">
      <c r="A9653" t="str">
        <f>"9649"</f>
        <v>9649</v>
      </c>
      <c r="B9653" t="str">
        <f t="shared" si="534"/>
        <v>1</v>
      </c>
      <c r="C9653" t="str">
        <f t="shared" si="536"/>
        <v>193</v>
      </c>
      <c r="D9653" t="str">
        <f>"32"</f>
        <v>32</v>
      </c>
      <c r="E9653" t="str">
        <f>"1-193-32"</f>
        <v>1-193-32</v>
      </c>
      <c r="F9653" t="s">
        <v>65</v>
      </c>
      <c r="G9653" t="s">
        <v>66</v>
      </c>
      <c r="H9653" t="s">
        <v>67</v>
      </c>
      <c r="S9653">
        <v>1</v>
      </c>
      <c r="T9653">
        <v>0</v>
      </c>
      <c r="U9653">
        <v>0</v>
      </c>
      <c r="V9653">
        <v>0</v>
      </c>
      <c r="W9653">
        <v>1</v>
      </c>
      <c r="X9653">
        <v>0</v>
      </c>
      <c r="Y9653">
        <v>1</v>
      </c>
      <c r="Z9653">
        <v>0</v>
      </c>
      <c r="AA9653">
        <v>1</v>
      </c>
      <c r="AB9653">
        <v>0</v>
      </c>
      <c r="AC9653">
        <v>0</v>
      </c>
      <c r="AD9653">
        <v>1</v>
      </c>
      <c r="AE9653">
        <v>1</v>
      </c>
      <c r="AF9653">
        <v>1</v>
      </c>
      <c r="AG9653">
        <v>1</v>
      </c>
      <c r="AH9653">
        <v>1</v>
      </c>
      <c r="AI9653">
        <v>1</v>
      </c>
      <c r="AJ9653">
        <v>1</v>
      </c>
      <c r="AK9653">
        <v>1</v>
      </c>
      <c r="AL9653">
        <v>1</v>
      </c>
      <c r="AM9653">
        <v>1</v>
      </c>
    </row>
    <row r="9654" spans="1:39" x14ac:dyDescent="0.2">
      <c r="A9654" t="str">
        <f>"9650"</f>
        <v>9650</v>
      </c>
      <c r="B9654" t="str">
        <f t="shared" si="534"/>
        <v>1</v>
      </c>
      <c r="C9654" t="str">
        <f t="shared" si="536"/>
        <v>193</v>
      </c>
      <c r="D9654" t="str">
        <f>"14"</f>
        <v>14</v>
      </c>
      <c r="E9654" t="str">
        <f>"1-193-14"</f>
        <v>1-193-14</v>
      </c>
      <c r="F9654" t="s">
        <v>65</v>
      </c>
      <c r="G9654" t="s">
        <v>66</v>
      </c>
      <c r="H9654" t="s">
        <v>67</v>
      </c>
      <c r="S9654">
        <v>1</v>
      </c>
      <c r="T9654">
        <v>0</v>
      </c>
      <c r="U9654">
        <v>0</v>
      </c>
      <c r="V9654">
        <v>0</v>
      </c>
      <c r="W9654">
        <v>1</v>
      </c>
      <c r="X9654">
        <v>0</v>
      </c>
      <c r="Y9654">
        <v>1</v>
      </c>
      <c r="Z9654">
        <v>0</v>
      </c>
      <c r="AA9654">
        <v>0</v>
      </c>
      <c r="AB9654">
        <v>0</v>
      </c>
      <c r="AC9654">
        <v>1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1</v>
      </c>
      <c r="AJ9654">
        <v>0</v>
      </c>
      <c r="AK9654">
        <v>0</v>
      </c>
      <c r="AL9654">
        <v>0</v>
      </c>
      <c r="AM9654">
        <v>0</v>
      </c>
    </row>
    <row r="9655" spans="1:39" x14ac:dyDescent="0.2">
      <c r="A9655" t="str">
        <f>"9651"</f>
        <v>9651</v>
      </c>
      <c r="B9655" t="str">
        <f t="shared" ref="B9655:B9718" si="537">"1"</f>
        <v>1</v>
      </c>
      <c r="C9655" t="str">
        <f t="shared" ref="C9655:C9686" si="538">"194"</f>
        <v>194</v>
      </c>
      <c r="D9655" t="str">
        <f>"38"</f>
        <v>38</v>
      </c>
      <c r="E9655" t="str">
        <f>"1-194-38"</f>
        <v>1-194-38</v>
      </c>
      <c r="F9655" t="s">
        <v>65</v>
      </c>
      <c r="G9655" t="s">
        <v>66</v>
      </c>
      <c r="H9655" t="s">
        <v>68</v>
      </c>
      <c r="I9655">
        <v>1</v>
      </c>
      <c r="J9655">
        <v>0</v>
      </c>
      <c r="K9655">
        <v>0</v>
      </c>
      <c r="L9655">
        <v>1</v>
      </c>
      <c r="M9655">
        <v>1</v>
      </c>
      <c r="N9655">
        <v>1</v>
      </c>
      <c r="O9655">
        <v>0</v>
      </c>
      <c r="P9655">
        <v>1</v>
      </c>
      <c r="Q9655">
        <v>1</v>
      </c>
      <c r="R9655">
        <v>1</v>
      </c>
    </row>
    <row r="9656" spans="1:39" x14ac:dyDescent="0.2">
      <c r="A9656" t="str">
        <f>"9652"</f>
        <v>9652</v>
      </c>
      <c r="B9656" t="str">
        <f t="shared" si="537"/>
        <v>1</v>
      </c>
      <c r="C9656" t="str">
        <f t="shared" si="538"/>
        <v>194</v>
      </c>
      <c r="D9656" t="str">
        <f>"37"</f>
        <v>37</v>
      </c>
      <c r="E9656" t="str">
        <f>"1-194-37"</f>
        <v>1-194-37</v>
      </c>
      <c r="F9656" t="s">
        <v>65</v>
      </c>
      <c r="G9656" t="s">
        <v>66</v>
      </c>
      <c r="H9656" t="s">
        <v>68</v>
      </c>
      <c r="I9656">
        <v>1</v>
      </c>
      <c r="J9656">
        <v>1</v>
      </c>
      <c r="K9656">
        <v>0</v>
      </c>
      <c r="L9656">
        <v>0</v>
      </c>
      <c r="M9656">
        <v>1</v>
      </c>
      <c r="N9656">
        <v>1</v>
      </c>
      <c r="O9656">
        <v>1</v>
      </c>
      <c r="P9656">
        <v>1</v>
      </c>
      <c r="Q9656">
        <v>1</v>
      </c>
      <c r="R9656">
        <v>1</v>
      </c>
    </row>
    <row r="9657" spans="1:39" x14ac:dyDescent="0.2">
      <c r="A9657" t="str">
        <f>"9653"</f>
        <v>9653</v>
      </c>
      <c r="B9657" t="str">
        <f t="shared" si="537"/>
        <v>1</v>
      </c>
      <c r="C9657" t="str">
        <f t="shared" si="538"/>
        <v>194</v>
      </c>
      <c r="D9657" t="str">
        <f>"26"</f>
        <v>26</v>
      </c>
      <c r="E9657" t="str">
        <f>"1-194-26"</f>
        <v>1-194-26</v>
      </c>
      <c r="F9657" t="s">
        <v>65</v>
      </c>
      <c r="G9657" t="s">
        <v>66</v>
      </c>
      <c r="H9657" t="s">
        <v>68</v>
      </c>
      <c r="I9657">
        <v>1</v>
      </c>
      <c r="J9657">
        <v>0</v>
      </c>
      <c r="K9657">
        <v>0</v>
      </c>
      <c r="L9657">
        <v>1</v>
      </c>
      <c r="M9657">
        <v>1</v>
      </c>
      <c r="N9657">
        <v>1</v>
      </c>
      <c r="O9657">
        <v>1</v>
      </c>
      <c r="P9657">
        <v>1</v>
      </c>
      <c r="Q9657">
        <v>1</v>
      </c>
      <c r="R9657">
        <v>1</v>
      </c>
    </row>
    <row r="9658" spans="1:39" x14ac:dyDescent="0.2">
      <c r="A9658" t="str">
        <f>"9654"</f>
        <v>9654</v>
      </c>
      <c r="B9658" t="str">
        <f t="shared" si="537"/>
        <v>1</v>
      </c>
      <c r="C9658" t="str">
        <f t="shared" si="538"/>
        <v>194</v>
      </c>
      <c r="D9658" t="str">
        <f>"15"</f>
        <v>15</v>
      </c>
      <c r="E9658" t="str">
        <f>"1-194-15"</f>
        <v>1-194-15</v>
      </c>
      <c r="F9658" t="s">
        <v>65</v>
      </c>
      <c r="G9658" t="s">
        <v>66</v>
      </c>
      <c r="H9658" t="s">
        <v>68</v>
      </c>
      <c r="I9658">
        <v>1</v>
      </c>
      <c r="J9658">
        <v>1</v>
      </c>
      <c r="K9658">
        <v>0</v>
      </c>
      <c r="L9658">
        <v>0</v>
      </c>
      <c r="M9658">
        <v>1</v>
      </c>
      <c r="N9658">
        <v>1</v>
      </c>
      <c r="O9658">
        <v>1</v>
      </c>
      <c r="P9658">
        <v>1</v>
      </c>
      <c r="Q9658">
        <v>1</v>
      </c>
      <c r="R9658">
        <v>1</v>
      </c>
    </row>
    <row r="9659" spans="1:39" x14ac:dyDescent="0.2">
      <c r="A9659" t="str">
        <f>"9655"</f>
        <v>9655</v>
      </c>
      <c r="B9659" t="str">
        <f t="shared" si="537"/>
        <v>1</v>
      </c>
      <c r="C9659" t="str">
        <f t="shared" si="538"/>
        <v>194</v>
      </c>
      <c r="D9659" t="str">
        <f>"1"</f>
        <v>1</v>
      </c>
      <c r="E9659" t="str">
        <f>"1-194-1"</f>
        <v>1-194-1</v>
      </c>
      <c r="F9659" t="s">
        <v>65</v>
      </c>
      <c r="G9659" t="s">
        <v>66</v>
      </c>
      <c r="H9659" t="s">
        <v>68</v>
      </c>
      <c r="I9659">
        <v>1</v>
      </c>
      <c r="J9659">
        <v>1</v>
      </c>
      <c r="K9659">
        <v>0</v>
      </c>
      <c r="L9659">
        <v>0</v>
      </c>
      <c r="M9659">
        <v>1</v>
      </c>
      <c r="N9659">
        <v>1</v>
      </c>
      <c r="O9659">
        <v>1</v>
      </c>
      <c r="P9659">
        <v>0</v>
      </c>
      <c r="Q9659">
        <v>1</v>
      </c>
      <c r="R9659">
        <v>1</v>
      </c>
    </row>
    <row r="9660" spans="1:39" x14ac:dyDescent="0.2">
      <c r="A9660" t="str">
        <f>"9656"</f>
        <v>9656</v>
      </c>
      <c r="B9660" t="str">
        <f t="shared" si="537"/>
        <v>1</v>
      </c>
      <c r="C9660" t="str">
        <f t="shared" si="538"/>
        <v>194</v>
      </c>
      <c r="D9660" t="str">
        <f>"42"</f>
        <v>42</v>
      </c>
      <c r="E9660" t="str">
        <f>"1-194-42"</f>
        <v>1-194-42</v>
      </c>
      <c r="F9660" t="s">
        <v>65</v>
      </c>
      <c r="G9660" t="s">
        <v>66</v>
      </c>
      <c r="H9660" t="s">
        <v>68</v>
      </c>
      <c r="I9660">
        <v>1</v>
      </c>
      <c r="J9660">
        <v>1</v>
      </c>
      <c r="K9660">
        <v>0</v>
      </c>
      <c r="L9660">
        <v>0</v>
      </c>
      <c r="M9660">
        <v>1</v>
      </c>
      <c r="N9660">
        <v>1</v>
      </c>
      <c r="O9660">
        <v>1</v>
      </c>
      <c r="P9660">
        <v>1</v>
      </c>
      <c r="Q9660">
        <v>1</v>
      </c>
      <c r="R9660">
        <v>1</v>
      </c>
    </row>
    <row r="9661" spans="1:39" x14ac:dyDescent="0.2">
      <c r="A9661" t="str">
        <f>"9657"</f>
        <v>9657</v>
      </c>
      <c r="B9661" t="str">
        <f t="shared" si="537"/>
        <v>1</v>
      </c>
      <c r="C9661" t="str">
        <f t="shared" si="538"/>
        <v>194</v>
      </c>
      <c r="D9661" t="str">
        <f>"41"</f>
        <v>41</v>
      </c>
      <c r="E9661" t="str">
        <f>"1-194-41"</f>
        <v>1-194-41</v>
      </c>
      <c r="F9661" t="s">
        <v>65</v>
      </c>
      <c r="G9661" t="s">
        <v>66</v>
      </c>
      <c r="H9661" t="s">
        <v>68</v>
      </c>
      <c r="I9661">
        <v>1</v>
      </c>
      <c r="J9661">
        <v>0</v>
      </c>
      <c r="K9661">
        <v>0</v>
      </c>
      <c r="L9661">
        <v>1</v>
      </c>
      <c r="M9661">
        <v>1</v>
      </c>
      <c r="N9661">
        <v>1</v>
      </c>
      <c r="O9661">
        <v>1</v>
      </c>
      <c r="P9661">
        <v>1</v>
      </c>
      <c r="Q9661">
        <v>1</v>
      </c>
      <c r="R9661">
        <v>1</v>
      </c>
    </row>
    <row r="9662" spans="1:39" x14ac:dyDescent="0.2">
      <c r="A9662" t="str">
        <f>"9658"</f>
        <v>9658</v>
      </c>
      <c r="B9662" t="str">
        <f t="shared" si="537"/>
        <v>1</v>
      </c>
      <c r="C9662" t="str">
        <f t="shared" si="538"/>
        <v>194</v>
      </c>
      <c r="D9662" t="str">
        <f>"25"</f>
        <v>25</v>
      </c>
      <c r="E9662" t="str">
        <f>"1-194-25"</f>
        <v>1-194-25</v>
      </c>
      <c r="F9662" t="s">
        <v>65</v>
      </c>
      <c r="G9662" t="s">
        <v>66</v>
      </c>
      <c r="H9662" t="s">
        <v>68</v>
      </c>
      <c r="I9662">
        <v>1</v>
      </c>
      <c r="J9662">
        <v>0</v>
      </c>
      <c r="K9662">
        <v>0</v>
      </c>
      <c r="L9662">
        <v>1</v>
      </c>
      <c r="M9662">
        <v>1</v>
      </c>
      <c r="N9662">
        <v>1</v>
      </c>
      <c r="O9662">
        <v>1</v>
      </c>
      <c r="P9662">
        <v>1</v>
      </c>
      <c r="Q9662">
        <v>1</v>
      </c>
      <c r="R9662">
        <v>1</v>
      </c>
    </row>
    <row r="9663" spans="1:39" x14ac:dyDescent="0.2">
      <c r="A9663" t="str">
        <f>"9659"</f>
        <v>9659</v>
      </c>
      <c r="B9663" t="str">
        <f t="shared" si="537"/>
        <v>1</v>
      </c>
      <c r="C9663" t="str">
        <f t="shared" si="538"/>
        <v>194</v>
      </c>
      <c r="D9663" t="str">
        <f>"16"</f>
        <v>16</v>
      </c>
      <c r="E9663" t="str">
        <f>"1-194-16"</f>
        <v>1-194-16</v>
      </c>
      <c r="F9663" t="s">
        <v>65</v>
      </c>
      <c r="G9663" t="s">
        <v>66</v>
      </c>
      <c r="H9663" t="s">
        <v>68</v>
      </c>
      <c r="I9663">
        <v>0</v>
      </c>
      <c r="J9663">
        <v>1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39" x14ac:dyDescent="0.2">
      <c r="A9664" t="str">
        <f>"9660"</f>
        <v>9660</v>
      </c>
      <c r="B9664" t="str">
        <f t="shared" si="537"/>
        <v>1</v>
      </c>
      <c r="C9664" t="str">
        <f t="shared" si="538"/>
        <v>194</v>
      </c>
      <c r="D9664" t="str">
        <f>"3"</f>
        <v>3</v>
      </c>
      <c r="E9664" t="str">
        <f>"1-194-3"</f>
        <v>1-194-3</v>
      </c>
      <c r="F9664" t="s">
        <v>65</v>
      </c>
      <c r="G9664" t="s">
        <v>66</v>
      </c>
      <c r="H9664" t="s">
        <v>68</v>
      </c>
      <c r="I9664">
        <v>1</v>
      </c>
      <c r="J9664">
        <v>1</v>
      </c>
      <c r="K9664">
        <v>0</v>
      </c>
      <c r="L9664">
        <v>0</v>
      </c>
      <c r="M9664">
        <v>1</v>
      </c>
      <c r="N9664">
        <v>1</v>
      </c>
      <c r="O9664">
        <v>1</v>
      </c>
      <c r="P9664">
        <v>1</v>
      </c>
      <c r="Q9664">
        <v>1</v>
      </c>
      <c r="R9664">
        <v>1</v>
      </c>
    </row>
    <row r="9665" spans="1:18" x14ac:dyDescent="0.2">
      <c r="A9665" t="str">
        <f>"9661"</f>
        <v>9661</v>
      </c>
      <c r="B9665" t="str">
        <f t="shared" si="537"/>
        <v>1</v>
      </c>
      <c r="C9665" t="str">
        <f t="shared" si="538"/>
        <v>194</v>
      </c>
      <c r="D9665" t="str">
        <f>"36"</f>
        <v>36</v>
      </c>
      <c r="E9665" t="str">
        <f>"1-194-36"</f>
        <v>1-194-36</v>
      </c>
      <c r="F9665" t="s">
        <v>65</v>
      </c>
      <c r="G9665" t="s">
        <v>66</v>
      </c>
      <c r="H9665" t="s">
        <v>68</v>
      </c>
      <c r="I9665">
        <v>0</v>
      </c>
      <c r="J9665">
        <v>0</v>
      </c>
      <c r="K9665">
        <v>0</v>
      </c>
      <c r="L9665">
        <v>1</v>
      </c>
      <c r="M9665">
        <v>1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2">
      <c r="A9666" t="str">
        <f>"9662"</f>
        <v>9662</v>
      </c>
      <c r="B9666" t="str">
        <f t="shared" si="537"/>
        <v>1</v>
      </c>
      <c r="C9666" t="str">
        <f t="shared" si="538"/>
        <v>194</v>
      </c>
      <c r="D9666" t="str">
        <f>"35"</f>
        <v>35</v>
      </c>
      <c r="E9666" t="str">
        <f>"1-194-35"</f>
        <v>1-194-35</v>
      </c>
      <c r="F9666" t="s">
        <v>65</v>
      </c>
      <c r="G9666" t="s">
        <v>66</v>
      </c>
      <c r="H9666" t="s">
        <v>68</v>
      </c>
      <c r="I9666">
        <v>0</v>
      </c>
      <c r="J9666">
        <v>1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2">
      <c r="A9667" t="str">
        <f>"9663"</f>
        <v>9663</v>
      </c>
      <c r="B9667" t="str">
        <f t="shared" si="537"/>
        <v>1</v>
      </c>
      <c r="C9667" t="str">
        <f t="shared" si="538"/>
        <v>194</v>
      </c>
      <c r="D9667" t="str">
        <f>"24"</f>
        <v>24</v>
      </c>
      <c r="E9667" t="str">
        <f>"1-194-24"</f>
        <v>1-194-24</v>
      </c>
      <c r="F9667" t="s">
        <v>65</v>
      </c>
      <c r="G9667" t="s">
        <v>66</v>
      </c>
      <c r="H9667" t="s">
        <v>68</v>
      </c>
      <c r="I9667">
        <v>0</v>
      </c>
      <c r="J9667">
        <v>0</v>
      </c>
      <c r="K9667">
        <v>0</v>
      </c>
      <c r="L9667">
        <v>1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2">
      <c r="A9668" t="str">
        <f>"9664"</f>
        <v>9664</v>
      </c>
      <c r="B9668" t="str">
        <f t="shared" si="537"/>
        <v>1</v>
      </c>
      <c r="C9668" t="str">
        <f t="shared" si="538"/>
        <v>194</v>
      </c>
      <c r="D9668" t="str">
        <f>"17"</f>
        <v>17</v>
      </c>
      <c r="E9668" t="str">
        <f>"1-194-17"</f>
        <v>1-194-17</v>
      </c>
      <c r="F9668" t="s">
        <v>65</v>
      </c>
      <c r="G9668" t="s">
        <v>66</v>
      </c>
      <c r="H9668" t="s">
        <v>68</v>
      </c>
      <c r="I9668">
        <v>0</v>
      </c>
      <c r="J9668">
        <v>1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</row>
    <row r="9669" spans="1:18" x14ac:dyDescent="0.2">
      <c r="A9669" t="str">
        <f>"9665"</f>
        <v>9665</v>
      </c>
      <c r="B9669" t="str">
        <f t="shared" si="537"/>
        <v>1</v>
      </c>
      <c r="C9669" t="str">
        <f t="shared" si="538"/>
        <v>194</v>
      </c>
      <c r="D9669" t="str">
        <f>"11"</f>
        <v>11</v>
      </c>
      <c r="E9669" t="str">
        <f>"1-194-11"</f>
        <v>1-194-11</v>
      </c>
      <c r="F9669" t="s">
        <v>65</v>
      </c>
      <c r="G9669" t="s">
        <v>66</v>
      </c>
      <c r="H9669" t="s">
        <v>68</v>
      </c>
      <c r="I9669">
        <v>1</v>
      </c>
      <c r="J9669">
        <v>0</v>
      </c>
      <c r="K9669">
        <v>0</v>
      </c>
      <c r="L9669">
        <v>0</v>
      </c>
      <c r="M9669">
        <v>1</v>
      </c>
      <c r="N9669">
        <v>0</v>
      </c>
      <c r="O9669">
        <v>0</v>
      </c>
      <c r="P9669">
        <v>1</v>
      </c>
      <c r="Q9669">
        <v>1</v>
      </c>
      <c r="R9669">
        <v>1</v>
      </c>
    </row>
    <row r="9670" spans="1:18" x14ac:dyDescent="0.2">
      <c r="A9670" t="str">
        <f>"9666"</f>
        <v>9666</v>
      </c>
      <c r="B9670" t="str">
        <f t="shared" si="537"/>
        <v>1</v>
      </c>
      <c r="C9670" t="str">
        <f t="shared" si="538"/>
        <v>194</v>
      </c>
      <c r="D9670" t="str">
        <f>"40"</f>
        <v>40</v>
      </c>
      <c r="E9670" t="str">
        <f>"1-194-40"</f>
        <v>1-194-40</v>
      </c>
      <c r="F9670" t="s">
        <v>65</v>
      </c>
      <c r="G9670" t="s">
        <v>66</v>
      </c>
      <c r="H9670" t="s">
        <v>68</v>
      </c>
      <c r="I9670">
        <v>1</v>
      </c>
      <c r="J9670">
        <v>0</v>
      </c>
      <c r="K9670">
        <v>0</v>
      </c>
      <c r="L9670">
        <v>1</v>
      </c>
      <c r="M9670">
        <v>1</v>
      </c>
      <c r="N9670">
        <v>1</v>
      </c>
      <c r="O9670">
        <v>1</v>
      </c>
      <c r="P9670">
        <v>1</v>
      </c>
      <c r="Q9670">
        <v>1</v>
      </c>
      <c r="R9670">
        <v>1</v>
      </c>
    </row>
    <row r="9671" spans="1:18" x14ac:dyDescent="0.2">
      <c r="A9671" t="str">
        <f>"9667"</f>
        <v>9667</v>
      </c>
      <c r="B9671" t="str">
        <f t="shared" si="537"/>
        <v>1</v>
      </c>
      <c r="C9671" t="str">
        <f t="shared" si="538"/>
        <v>194</v>
      </c>
      <c r="D9671" t="str">
        <f>"39"</f>
        <v>39</v>
      </c>
      <c r="E9671" t="str">
        <f>"1-194-39"</f>
        <v>1-194-39</v>
      </c>
      <c r="F9671" t="s">
        <v>65</v>
      </c>
      <c r="G9671" t="s">
        <v>66</v>
      </c>
      <c r="H9671" t="s">
        <v>68</v>
      </c>
      <c r="I9671">
        <v>1</v>
      </c>
      <c r="J9671">
        <v>1</v>
      </c>
      <c r="K9671">
        <v>0</v>
      </c>
      <c r="L9671">
        <v>0</v>
      </c>
      <c r="M9671">
        <v>1</v>
      </c>
      <c r="N9671">
        <v>1</v>
      </c>
      <c r="O9671">
        <v>1</v>
      </c>
      <c r="P9671">
        <v>1</v>
      </c>
      <c r="Q9671">
        <v>1</v>
      </c>
      <c r="R9671">
        <v>1</v>
      </c>
    </row>
    <row r="9672" spans="1:18" x14ac:dyDescent="0.2">
      <c r="A9672" t="str">
        <f>"9668"</f>
        <v>9668</v>
      </c>
      <c r="B9672" t="str">
        <f t="shared" si="537"/>
        <v>1</v>
      </c>
      <c r="C9672" t="str">
        <f t="shared" si="538"/>
        <v>194</v>
      </c>
      <c r="D9672" t="str">
        <f>"29"</f>
        <v>29</v>
      </c>
      <c r="E9672" t="str">
        <f>"1-194-29"</f>
        <v>1-194-29</v>
      </c>
      <c r="F9672" t="s">
        <v>65</v>
      </c>
      <c r="G9672" t="s">
        <v>66</v>
      </c>
      <c r="H9672" t="s">
        <v>68</v>
      </c>
      <c r="I9672">
        <v>1</v>
      </c>
      <c r="J9672">
        <v>1</v>
      </c>
      <c r="K9672">
        <v>0</v>
      </c>
      <c r="L9672">
        <v>0</v>
      </c>
      <c r="M9672">
        <v>1</v>
      </c>
      <c r="N9672">
        <v>1</v>
      </c>
      <c r="O9672">
        <v>1</v>
      </c>
      <c r="P9672">
        <v>1</v>
      </c>
      <c r="Q9672">
        <v>1</v>
      </c>
      <c r="R9672">
        <v>1</v>
      </c>
    </row>
    <row r="9673" spans="1:18" x14ac:dyDescent="0.2">
      <c r="A9673" t="str">
        <f>"9669"</f>
        <v>9669</v>
      </c>
      <c r="B9673" t="str">
        <f t="shared" si="537"/>
        <v>1</v>
      </c>
      <c r="C9673" t="str">
        <f t="shared" si="538"/>
        <v>194</v>
      </c>
      <c r="D9673" t="str">
        <f>"18"</f>
        <v>18</v>
      </c>
      <c r="E9673" t="str">
        <f>"1-194-18"</f>
        <v>1-194-18</v>
      </c>
      <c r="F9673" t="s">
        <v>65</v>
      </c>
      <c r="G9673" t="s">
        <v>66</v>
      </c>
      <c r="H9673" t="s">
        <v>68</v>
      </c>
      <c r="I9673">
        <v>1</v>
      </c>
      <c r="J9673">
        <v>1</v>
      </c>
      <c r="K9673">
        <v>0</v>
      </c>
      <c r="L9673">
        <v>0</v>
      </c>
      <c r="M9673">
        <v>1</v>
      </c>
      <c r="N9673">
        <v>1</v>
      </c>
      <c r="O9673">
        <v>1</v>
      </c>
      <c r="P9673">
        <v>1</v>
      </c>
      <c r="Q9673">
        <v>1</v>
      </c>
      <c r="R9673">
        <v>1</v>
      </c>
    </row>
    <row r="9674" spans="1:18" x14ac:dyDescent="0.2">
      <c r="A9674" t="str">
        <f>"9670"</f>
        <v>9670</v>
      </c>
      <c r="B9674" t="str">
        <f t="shared" si="537"/>
        <v>1</v>
      </c>
      <c r="C9674" t="str">
        <f t="shared" si="538"/>
        <v>194</v>
      </c>
      <c r="D9674" t="str">
        <f>"7"</f>
        <v>7</v>
      </c>
      <c r="E9674" t="str">
        <f>"1-194-7"</f>
        <v>1-194-7</v>
      </c>
      <c r="F9674" t="s">
        <v>65</v>
      </c>
      <c r="G9674" t="s">
        <v>66</v>
      </c>
      <c r="H9674" t="s">
        <v>68</v>
      </c>
      <c r="I9674">
        <v>1</v>
      </c>
      <c r="J9674">
        <v>0</v>
      </c>
      <c r="K9674">
        <v>0</v>
      </c>
      <c r="L9674">
        <v>1</v>
      </c>
      <c r="M9674">
        <v>1</v>
      </c>
      <c r="N9674">
        <v>1</v>
      </c>
      <c r="O9674">
        <v>0</v>
      </c>
      <c r="P9674">
        <v>1</v>
      </c>
      <c r="Q9674">
        <v>1</v>
      </c>
      <c r="R9674">
        <v>1</v>
      </c>
    </row>
    <row r="9675" spans="1:18" x14ac:dyDescent="0.2">
      <c r="A9675" t="str">
        <f>"9671"</f>
        <v>9671</v>
      </c>
      <c r="B9675" t="str">
        <f t="shared" si="537"/>
        <v>1</v>
      </c>
      <c r="C9675" t="str">
        <f t="shared" si="538"/>
        <v>194</v>
      </c>
      <c r="D9675" t="str">
        <f>"33"</f>
        <v>33</v>
      </c>
      <c r="E9675" t="str">
        <f>"1-194-33"</f>
        <v>1-194-33</v>
      </c>
      <c r="F9675" t="s">
        <v>65</v>
      </c>
      <c r="G9675" t="s">
        <v>66</v>
      </c>
      <c r="H9675" t="s">
        <v>68</v>
      </c>
      <c r="I9675">
        <v>1</v>
      </c>
      <c r="J9675">
        <v>0</v>
      </c>
      <c r="K9675">
        <v>0</v>
      </c>
      <c r="L9675">
        <v>1</v>
      </c>
      <c r="M9675">
        <v>1</v>
      </c>
      <c r="N9675">
        <v>1</v>
      </c>
      <c r="O9675">
        <v>0</v>
      </c>
      <c r="P9675">
        <v>1</v>
      </c>
      <c r="Q9675">
        <v>0</v>
      </c>
      <c r="R9675">
        <v>1</v>
      </c>
    </row>
    <row r="9676" spans="1:18" x14ac:dyDescent="0.2">
      <c r="A9676" t="str">
        <f>"9672"</f>
        <v>9672</v>
      </c>
      <c r="B9676" t="str">
        <f t="shared" si="537"/>
        <v>1</v>
      </c>
      <c r="C9676" t="str">
        <f t="shared" si="538"/>
        <v>194</v>
      </c>
      <c r="D9676" t="str">
        <f>"19"</f>
        <v>19</v>
      </c>
      <c r="E9676" t="str">
        <f>"1-194-19"</f>
        <v>1-194-19</v>
      </c>
      <c r="F9676" t="s">
        <v>65</v>
      </c>
      <c r="G9676" t="s">
        <v>66</v>
      </c>
      <c r="H9676" t="s">
        <v>68</v>
      </c>
      <c r="I9676">
        <v>0</v>
      </c>
      <c r="J9676">
        <v>0</v>
      </c>
      <c r="K9676">
        <v>1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2">
      <c r="A9677" t="str">
        <f>"9673"</f>
        <v>9673</v>
      </c>
      <c r="B9677" t="str">
        <f t="shared" si="537"/>
        <v>1</v>
      </c>
      <c r="C9677" t="str">
        <f t="shared" si="538"/>
        <v>194</v>
      </c>
      <c r="D9677" t="str">
        <f>"2"</f>
        <v>2</v>
      </c>
      <c r="E9677" t="str">
        <f>"1-194-2"</f>
        <v>1-194-2</v>
      </c>
      <c r="F9677" t="s">
        <v>65</v>
      </c>
      <c r="G9677" t="s">
        <v>66</v>
      </c>
      <c r="H9677" t="s">
        <v>68</v>
      </c>
      <c r="I9677">
        <v>1</v>
      </c>
      <c r="J9677">
        <v>0</v>
      </c>
      <c r="K9677">
        <v>1</v>
      </c>
      <c r="L9677">
        <v>0</v>
      </c>
      <c r="M9677">
        <v>1</v>
      </c>
      <c r="N9677">
        <v>1</v>
      </c>
      <c r="O9677">
        <v>1</v>
      </c>
      <c r="P9677">
        <v>1</v>
      </c>
      <c r="Q9677">
        <v>1</v>
      </c>
      <c r="R9677">
        <v>0</v>
      </c>
    </row>
    <row r="9678" spans="1:18" x14ac:dyDescent="0.2">
      <c r="A9678" t="str">
        <f>"9674"</f>
        <v>9674</v>
      </c>
      <c r="B9678" t="str">
        <f t="shared" si="537"/>
        <v>1</v>
      </c>
      <c r="C9678" t="str">
        <f t="shared" si="538"/>
        <v>194</v>
      </c>
      <c r="D9678" t="str">
        <f>"34"</f>
        <v>34</v>
      </c>
      <c r="E9678" t="str">
        <f>"1-194-34"</f>
        <v>1-194-34</v>
      </c>
      <c r="F9678" t="s">
        <v>65</v>
      </c>
      <c r="G9678" t="s">
        <v>66</v>
      </c>
      <c r="H9678" t="s">
        <v>68</v>
      </c>
      <c r="I9678">
        <v>1</v>
      </c>
      <c r="J9678">
        <v>0</v>
      </c>
      <c r="K9678">
        <v>0</v>
      </c>
      <c r="L9678">
        <v>1</v>
      </c>
      <c r="M9678">
        <v>1</v>
      </c>
      <c r="N9678">
        <v>1</v>
      </c>
      <c r="O9678">
        <v>1</v>
      </c>
      <c r="P9678">
        <v>1</v>
      </c>
      <c r="Q9678">
        <v>0</v>
      </c>
      <c r="R9678">
        <v>1</v>
      </c>
    </row>
    <row r="9679" spans="1:18" x14ac:dyDescent="0.2">
      <c r="A9679" t="str">
        <f>"9675"</f>
        <v>9675</v>
      </c>
      <c r="B9679" t="str">
        <f t="shared" si="537"/>
        <v>1</v>
      </c>
      <c r="C9679" t="str">
        <f t="shared" si="538"/>
        <v>194</v>
      </c>
      <c r="D9679" t="str">
        <f>"20"</f>
        <v>20</v>
      </c>
      <c r="E9679" t="str">
        <f>"1-194-20"</f>
        <v>1-194-20</v>
      </c>
      <c r="F9679" t="s">
        <v>65</v>
      </c>
      <c r="G9679" t="s">
        <v>66</v>
      </c>
      <c r="H9679" t="s">
        <v>68</v>
      </c>
      <c r="I9679">
        <v>1</v>
      </c>
      <c r="J9679">
        <v>0</v>
      </c>
      <c r="K9679">
        <v>0</v>
      </c>
      <c r="L9679">
        <v>1</v>
      </c>
      <c r="M9679">
        <v>1</v>
      </c>
      <c r="N9679">
        <v>1</v>
      </c>
      <c r="O9679">
        <v>1</v>
      </c>
      <c r="P9679">
        <v>1</v>
      </c>
      <c r="Q9679">
        <v>1</v>
      </c>
      <c r="R9679">
        <v>1</v>
      </c>
    </row>
    <row r="9680" spans="1:18" x14ac:dyDescent="0.2">
      <c r="A9680" t="str">
        <f>"9676"</f>
        <v>9676</v>
      </c>
      <c r="B9680" t="str">
        <f t="shared" si="537"/>
        <v>1</v>
      </c>
      <c r="C9680" t="str">
        <f t="shared" si="538"/>
        <v>194</v>
      </c>
      <c r="D9680" t="str">
        <f>"13"</f>
        <v>13</v>
      </c>
      <c r="E9680" t="str">
        <f>"1-194-13"</f>
        <v>1-194-13</v>
      </c>
      <c r="F9680" t="s">
        <v>65</v>
      </c>
      <c r="G9680" t="s">
        <v>66</v>
      </c>
      <c r="H9680" t="s">
        <v>68</v>
      </c>
      <c r="I9680">
        <v>1</v>
      </c>
      <c r="J9680">
        <v>1</v>
      </c>
      <c r="K9680">
        <v>0</v>
      </c>
      <c r="L9680">
        <v>0</v>
      </c>
      <c r="M9680">
        <v>1</v>
      </c>
      <c r="N9680">
        <v>1</v>
      </c>
      <c r="O9680">
        <v>1</v>
      </c>
      <c r="P9680">
        <v>1</v>
      </c>
      <c r="Q9680">
        <v>1</v>
      </c>
      <c r="R9680">
        <v>1</v>
      </c>
    </row>
    <row r="9681" spans="1:18" x14ac:dyDescent="0.2">
      <c r="A9681" t="str">
        <f>"9677"</f>
        <v>9677</v>
      </c>
      <c r="B9681" t="str">
        <f t="shared" si="537"/>
        <v>1</v>
      </c>
      <c r="C9681" t="str">
        <f t="shared" si="538"/>
        <v>194</v>
      </c>
      <c r="D9681" t="str">
        <f>"43"</f>
        <v>43</v>
      </c>
      <c r="E9681" t="str">
        <f>"1-194-43"</f>
        <v>1-194-43</v>
      </c>
      <c r="F9681" t="s">
        <v>65</v>
      </c>
      <c r="G9681" t="s">
        <v>66</v>
      </c>
      <c r="H9681" t="s">
        <v>68</v>
      </c>
      <c r="I9681">
        <v>1</v>
      </c>
      <c r="J9681">
        <v>0</v>
      </c>
      <c r="K9681">
        <v>0</v>
      </c>
      <c r="L9681">
        <v>1</v>
      </c>
      <c r="M9681">
        <v>1</v>
      </c>
      <c r="N9681">
        <v>1</v>
      </c>
      <c r="O9681">
        <v>1</v>
      </c>
      <c r="P9681">
        <v>1</v>
      </c>
      <c r="Q9681">
        <v>1</v>
      </c>
      <c r="R9681">
        <v>1</v>
      </c>
    </row>
    <row r="9682" spans="1:18" x14ac:dyDescent="0.2">
      <c r="A9682" t="str">
        <f>"9678"</f>
        <v>9678</v>
      </c>
      <c r="B9682" t="str">
        <f t="shared" si="537"/>
        <v>1</v>
      </c>
      <c r="C9682" t="str">
        <f t="shared" si="538"/>
        <v>194</v>
      </c>
      <c r="D9682" t="str">
        <f>"21"</f>
        <v>21</v>
      </c>
      <c r="E9682" t="str">
        <f>"1-194-21"</f>
        <v>1-194-21</v>
      </c>
      <c r="F9682" t="s">
        <v>65</v>
      </c>
      <c r="G9682" t="s">
        <v>66</v>
      </c>
      <c r="H9682" t="s">
        <v>68</v>
      </c>
      <c r="I9682">
        <v>0</v>
      </c>
      <c r="J9682">
        <v>0</v>
      </c>
      <c r="K9682">
        <v>1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2">
      <c r="A9683" t="str">
        <f>"9679"</f>
        <v>9679</v>
      </c>
      <c r="B9683" t="str">
        <f t="shared" si="537"/>
        <v>1</v>
      </c>
      <c r="C9683" t="str">
        <f t="shared" si="538"/>
        <v>194</v>
      </c>
      <c r="D9683" t="str">
        <f>"4"</f>
        <v>4</v>
      </c>
      <c r="E9683" t="str">
        <f>"1-194-4"</f>
        <v>1-194-4</v>
      </c>
      <c r="F9683" t="s">
        <v>65</v>
      </c>
      <c r="G9683" t="s">
        <v>66</v>
      </c>
      <c r="H9683" t="s">
        <v>68</v>
      </c>
      <c r="I9683">
        <v>1</v>
      </c>
      <c r="J9683">
        <v>0</v>
      </c>
      <c r="K9683">
        <v>0</v>
      </c>
      <c r="L9683">
        <v>1</v>
      </c>
      <c r="M9683">
        <v>1</v>
      </c>
      <c r="N9683">
        <v>1</v>
      </c>
      <c r="O9683">
        <v>1</v>
      </c>
      <c r="P9683">
        <v>1</v>
      </c>
      <c r="Q9683">
        <v>1</v>
      </c>
      <c r="R9683">
        <v>1</v>
      </c>
    </row>
    <row r="9684" spans="1:18" x14ac:dyDescent="0.2">
      <c r="A9684" t="str">
        <f>"9680"</f>
        <v>9680</v>
      </c>
      <c r="B9684" t="str">
        <f t="shared" si="537"/>
        <v>1</v>
      </c>
      <c r="C9684" t="str">
        <f t="shared" si="538"/>
        <v>194</v>
      </c>
      <c r="D9684" t="str">
        <f>"44"</f>
        <v>44</v>
      </c>
      <c r="E9684" t="str">
        <f>"1-194-44"</f>
        <v>1-194-44</v>
      </c>
      <c r="F9684" t="s">
        <v>65</v>
      </c>
      <c r="G9684" t="s">
        <v>66</v>
      </c>
      <c r="H9684" t="s">
        <v>68</v>
      </c>
      <c r="I9684">
        <v>1</v>
      </c>
      <c r="J9684">
        <v>0</v>
      </c>
      <c r="K9684">
        <v>0</v>
      </c>
      <c r="L9684">
        <v>1</v>
      </c>
      <c r="M9684">
        <v>1</v>
      </c>
      <c r="N9684">
        <v>1</v>
      </c>
      <c r="O9684">
        <v>1</v>
      </c>
      <c r="P9684">
        <v>1</v>
      </c>
      <c r="Q9684">
        <v>1</v>
      </c>
      <c r="R9684">
        <v>1</v>
      </c>
    </row>
    <row r="9685" spans="1:18" x14ac:dyDescent="0.2">
      <c r="A9685" t="str">
        <f>"9681"</f>
        <v>9681</v>
      </c>
      <c r="B9685" t="str">
        <f t="shared" si="537"/>
        <v>1</v>
      </c>
      <c r="C9685" t="str">
        <f t="shared" si="538"/>
        <v>194</v>
      </c>
      <c r="D9685" t="str">
        <f>"22"</f>
        <v>22</v>
      </c>
      <c r="E9685" t="str">
        <f>"1-194-22"</f>
        <v>1-194-22</v>
      </c>
      <c r="F9685" t="s">
        <v>65</v>
      </c>
      <c r="G9685" t="s">
        <v>66</v>
      </c>
      <c r="H9685" t="s">
        <v>68</v>
      </c>
      <c r="I9685">
        <v>1</v>
      </c>
      <c r="J9685">
        <v>0</v>
      </c>
      <c r="K9685">
        <v>0</v>
      </c>
      <c r="L9685">
        <v>0</v>
      </c>
      <c r="M9685">
        <v>1</v>
      </c>
      <c r="N9685">
        <v>1</v>
      </c>
      <c r="O9685">
        <v>1</v>
      </c>
      <c r="P9685">
        <v>1</v>
      </c>
      <c r="Q9685">
        <v>1</v>
      </c>
      <c r="R9685">
        <v>1</v>
      </c>
    </row>
    <row r="9686" spans="1:18" x14ac:dyDescent="0.2">
      <c r="A9686" t="str">
        <f>"9682"</f>
        <v>9682</v>
      </c>
      <c r="B9686" t="str">
        <f t="shared" si="537"/>
        <v>1</v>
      </c>
      <c r="C9686" t="str">
        <f t="shared" si="538"/>
        <v>194</v>
      </c>
      <c r="D9686" t="str">
        <f>"10"</f>
        <v>10</v>
      </c>
      <c r="E9686" t="str">
        <f>"1-194-10"</f>
        <v>1-194-10</v>
      </c>
      <c r="F9686" t="s">
        <v>65</v>
      </c>
      <c r="G9686" t="s">
        <v>66</v>
      </c>
      <c r="H9686" t="s">
        <v>68</v>
      </c>
      <c r="I9686">
        <v>1</v>
      </c>
      <c r="J9686">
        <v>0</v>
      </c>
      <c r="K9686">
        <v>0</v>
      </c>
      <c r="L9686">
        <v>1</v>
      </c>
      <c r="M9686">
        <v>1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2">
      <c r="A9687" t="str">
        <f>"9683"</f>
        <v>9683</v>
      </c>
      <c r="B9687" t="str">
        <f t="shared" si="537"/>
        <v>1</v>
      </c>
      <c r="C9687" t="str">
        <f t="shared" ref="C9687:C9704" si="539">"194"</f>
        <v>194</v>
      </c>
      <c r="D9687" t="str">
        <f>"45"</f>
        <v>45</v>
      </c>
      <c r="E9687" t="str">
        <f>"1-194-45"</f>
        <v>1-194-45</v>
      </c>
      <c r="F9687" t="s">
        <v>65</v>
      </c>
      <c r="G9687" t="s">
        <v>66</v>
      </c>
      <c r="H9687" t="s">
        <v>68</v>
      </c>
      <c r="I9687">
        <v>0</v>
      </c>
      <c r="J9687">
        <v>0</v>
      </c>
      <c r="K9687">
        <v>0</v>
      </c>
      <c r="L9687">
        <v>1</v>
      </c>
      <c r="M9687">
        <v>1</v>
      </c>
      <c r="N9687">
        <v>1</v>
      </c>
      <c r="O9687">
        <v>1</v>
      </c>
      <c r="P9687">
        <v>1</v>
      </c>
      <c r="Q9687">
        <v>1</v>
      </c>
      <c r="R9687">
        <v>1</v>
      </c>
    </row>
    <row r="9688" spans="1:18" x14ac:dyDescent="0.2">
      <c r="A9688" t="str">
        <f>"9684"</f>
        <v>9684</v>
      </c>
      <c r="B9688" t="str">
        <f t="shared" si="537"/>
        <v>1</v>
      </c>
      <c r="C9688" t="str">
        <f t="shared" si="539"/>
        <v>194</v>
      </c>
      <c r="D9688" t="str">
        <f>"23"</f>
        <v>23</v>
      </c>
      <c r="E9688" t="str">
        <f>"1-194-23"</f>
        <v>1-194-23</v>
      </c>
      <c r="F9688" t="s">
        <v>65</v>
      </c>
      <c r="G9688" t="s">
        <v>66</v>
      </c>
      <c r="H9688" t="s">
        <v>68</v>
      </c>
      <c r="I9688">
        <v>1</v>
      </c>
      <c r="J9688">
        <v>0</v>
      </c>
      <c r="K9688">
        <v>0</v>
      </c>
      <c r="L9688">
        <v>1</v>
      </c>
      <c r="M9688">
        <v>1</v>
      </c>
      <c r="N9688">
        <v>1</v>
      </c>
      <c r="O9688">
        <v>1</v>
      </c>
      <c r="P9688">
        <v>1</v>
      </c>
      <c r="Q9688">
        <v>1</v>
      </c>
      <c r="R9688">
        <v>1</v>
      </c>
    </row>
    <row r="9689" spans="1:18" x14ac:dyDescent="0.2">
      <c r="A9689" t="str">
        <f>"9685"</f>
        <v>9685</v>
      </c>
      <c r="B9689" t="str">
        <f t="shared" si="537"/>
        <v>1</v>
      </c>
      <c r="C9689" t="str">
        <f t="shared" si="539"/>
        <v>194</v>
      </c>
      <c r="D9689" t="str">
        <f>"8"</f>
        <v>8</v>
      </c>
      <c r="E9689" t="str">
        <f>"1-194-8"</f>
        <v>1-194-8</v>
      </c>
      <c r="F9689" t="s">
        <v>65</v>
      </c>
      <c r="G9689" t="s">
        <v>66</v>
      </c>
      <c r="H9689" t="s">
        <v>68</v>
      </c>
      <c r="I9689">
        <v>1</v>
      </c>
      <c r="J9689">
        <v>1</v>
      </c>
      <c r="K9689">
        <v>0</v>
      </c>
      <c r="L9689">
        <v>0</v>
      </c>
      <c r="M9689">
        <v>1</v>
      </c>
      <c r="N9689">
        <v>1</v>
      </c>
      <c r="O9689">
        <v>1</v>
      </c>
      <c r="P9689">
        <v>1</v>
      </c>
      <c r="Q9689">
        <v>1</v>
      </c>
      <c r="R9689">
        <v>1</v>
      </c>
    </row>
    <row r="9690" spans="1:18" x14ac:dyDescent="0.2">
      <c r="A9690" t="str">
        <f>"9686"</f>
        <v>9686</v>
      </c>
      <c r="B9690" t="str">
        <f t="shared" si="537"/>
        <v>1</v>
      </c>
      <c r="C9690" t="str">
        <f t="shared" si="539"/>
        <v>194</v>
      </c>
      <c r="D9690" t="str">
        <f>"46"</f>
        <v>46</v>
      </c>
      <c r="E9690" t="str">
        <f>"1-194-46"</f>
        <v>1-194-46</v>
      </c>
      <c r="F9690" t="s">
        <v>65</v>
      </c>
      <c r="G9690" t="s">
        <v>66</v>
      </c>
      <c r="H9690" t="s">
        <v>68</v>
      </c>
      <c r="I9690">
        <v>1</v>
      </c>
      <c r="J9690">
        <v>1</v>
      </c>
      <c r="K9690">
        <v>0</v>
      </c>
      <c r="L9690">
        <v>0</v>
      </c>
      <c r="M9690">
        <v>1</v>
      </c>
      <c r="N9690">
        <v>1</v>
      </c>
      <c r="O9690">
        <v>1</v>
      </c>
      <c r="P9690">
        <v>1</v>
      </c>
      <c r="Q9690">
        <v>1</v>
      </c>
      <c r="R9690">
        <v>1</v>
      </c>
    </row>
    <row r="9691" spans="1:18" x14ac:dyDescent="0.2">
      <c r="A9691" t="str">
        <f>"9687"</f>
        <v>9687</v>
      </c>
      <c r="B9691" t="str">
        <f t="shared" si="537"/>
        <v>1</v>
      </c>
      <c r="C9691" t="str">
        <f t="shared" si="539"/>
        <v>194</v>
      </c>
      <c r="D9691" t="str">
        <f>"27"</f>
        <v>27</v>
      </c>
      <c r="E9691" t="str">
        <f>"1-194-27"</f>
        <v>1-194-27</v>
      </c>
      <c r="F9691" t="s">
        <v>65</v>
      </c>
      <c r="G9691" t="s">
        <v>66</v>
      </c>
      <c r="H9691" t="s">
        <v>68</v>
      </c>
      <c r="I9691">
        <v>1</v>
      </c>
      <c r="J9691">
        <v>1</v>
      </c>
      <c r="K9691">
        <v>0</v>
      </c>
      <c r="L9691">
        <v>0</v>
      </c>
      <c r="M9691">
        <v>1</v>
      </c>
      <c r="N9691">
        <v>1</v>
      </c>
      <c r="O9691">
        <v>1</v>
      </c>
      <c r="P9691">
        <v>1</v>
      </c>
      <c r="Q9691">
        <v>1</v>
      </c>
      <c r="R9691">
        <v>1</v>
      </c>
    </row>
    <row r="9692" spans="1:18" x14ac:dyDescent="0.2">
      <c r="A9692" t="str">
        <f>"9688"</f>
        <v>9688</v>
      </c>
      <c r="B9692" t="str">
        <f t="shared" si="537"/>
        <v>1</v>
      </c>
      <c r="C9692" t="str">
        <f t="shared" si="539"/>
        <v>194</v>
      </c>
      <c r="D9692" t="str">
        <f>"12"</f>
        <v>12</v>
      </c>
      <c r="E9692" t="str">
        <f>"1-194-12"</f>
        <v>1-194-12</v>
      </c>
      <c r="F9692" t="s">
        <v>65</v>
      </c>
      <c r="G9692" t="s">
        <v>66</v>
      </c>
      <c r="H9692" t="s">
        <v>68</v>
      </c>
      <c r="I9692">
        <v>1</v>
      </c>
      <c r="J9692">
        <v>0</v>
      </c>
      <c r="K9692">
        <v>1</v>
      </c>
      <c r="L9692">
        <v>0</v>
      </c>
      <c r="M9692">
        <v>1</v>
      </c>
      <c r="N9692">
        <v>1</v>
      </c>
      <c r="O9692">
        <v>1</v>
      </c>
      <c r="P9692">
        <v>1</v>
      </c>
      <c r="Q9692">
        <v>1</v>
      </c>
      <c r="R9692">
        <v>1</v>
      </c>
    </row>
    <row r="9693" spans="1:18" x14ac:dyDescent="0.2">
      <c r="A9693" t="str">
        <f>"9689"</f>
        <v>9689</v>
      </c>
      <c r="B9693" t="str">
        <f t="shared" si="537"/>
        <v>1</v>
      </c>
      <c r="C9693" t="str">
        <f t="shared" si="539"/>
        <v>194</v>
      </c>
      <c r="D9693" t="str">
        <f>"47"</f>
        <v>47</v>
      </c>
      <c r="E9693" t="str">
        <f>"1-194-47"</f>
        <v>1-194-47</v>
      </c>
      <c r="F9693" t="s">
        <v>65</v>
      </c>
      <c r="G9693" t="s">
        <v>66</v>
      </c>
      <c r="H9693" t="s">
        <v>68</v>
      </c>
      <c r="I9693">
        <v>1</v>
      </c>
      <c r="J9693">
        <v>1</v>
      </c>
      <c r="K9693">
        <v>0</v>
      </c>
      <c r="L9693">
        <v>0</v>
      </c>
      <c r="M9693">
        <v>1</v>
      </c>
      <c r="N9693">
        <v>1</v>
      </c>
      <c r="O9693">
        <v>1</v>
      </c>
      <c r="P9693">
        <v>1</v>
      </c>
      <c r="Q9693">
        <v>1</v>
      </c>
      <c r="R9693">
        <v>1</v>
      </c>
    </row>
    <row r="9694" spans="1:18" x14ac:dyDescent="0.2">
      <c r="A9694" t="str">
        <f>"9690"</f>
        <v>9690</v>
      </c>
      <c r="B9694" t="str">
        <f t="shared" si="537"/>
        <v>1</v>
      </c>
      <c r="C9694" t="str">
        <f t="shared" si="539"/>
        <v>194</v>
      </c>
      <c r="D9694" t="str">
        <f>"28"</f>
        <v>28</v>
      </c>
      <c r="E9694" t="str">
        <f>"1-194-28"</f>
        <v>1-194-28</v>
      </c>
      <c r="F9694" t="s">
        <v>65</v>
      </c>
      <c r="G9694" t="s">
        <v>66</v>
      </c>
      <c r="H9694" t="s">
        <v>68</v>
      </c>
      <c r="I9694">
        <v>1</v>
      </c>
      <c r="J9694">
        <v>1</v>
      </c>
      <c r="K9694">
        <v>0</v>
      </c>
      <c r="L9694">
        <v>0</v>
      </c>
      <c r="M9694">
        <v>1</v>
      </c>
      <c r="N9694">
        <v>1</v>
      </c>
      <c r="O9694">
        <v>0</v>
      </c>
      <c r="P9694">
        <v>1</v>
      </c>
      <c r="Q9694">
        <v>1</v>
      </c>
      <c r="R9694">
        <v>0</v>
      </c>
    </row>
    <row r="9695" spans="1:18" x14ac:dyDescent="0.2">
      <c r="A9695" t="str">
        <f>"9691"</f>
        <v>9691</v>
      </c>
      <c r="B9695" t="str">
        <f t="shared" si="537"/>
        <v>1</v>
      </c>
      <c r="C9695" t="str">
        <f t="shared" si="539"/>
        <v>194</v>
      </c>
      <c r="D9695" t="str">
        <f>"6"</f>
        <v>6</v>
      </c>
      <c r="E9695" t="str">
        <f>"1-194-6"</f>
        <v>1-194-6</v>
      </c>
      <c r="F9695" t="s">
        <v>65</v>
      </c>
      <c r="G9695" t="s">
        <v>66</v>
      </c>
      <c r="H9695" t="s">
        <v>68</v>
      </c>
      <c r="I9695">
        <v>1</v>
      </c>
      <c r="J9695">
        <v>0</v>
      </c>
      <c r="K9695">
        <v>0</v>
      </c>
      <c r="L9695">
        <v>1</v>
      </c>
      <c r="M9695">
        <v>1</v>
      </c>
      <c r="N9695">
        <v>1</v>
      </c>
      <c r="O9695">
        <v>1</v>
      </c>
      <c r="P9695">
        <v>1</v>
      </c>
      <c r="Q9695">
        <v>1</v>
      </c>
      <c r="R9695">
        <v>1</v>
      </c>
    </row>
    <row r="9696" spans="1:18" x14ac:dyDescent="0.2">
      <c r="A9696" t="str">
        <f>"9692"</f>
        <v>9692</v>
      </c>
      <c r="B9696" t="str">
        <f t="shared" si="537"/>
        <v>1</v>
      </c>
      <c r="C9696" t="str">
        <f t="shared" si="539"/>
        <v>194</v>
      </c>
      <c r="D9696" t="str">
        <f>"48"</f>
        <v>48</v>
      </c>
      <c r="E9696" t="str">
        <f>"1-194-48"</f>
        <v>1-194-48</v>
      </c>
      <c r="F9696" t="s">
        <v>65</v>
      </c>
      <c r="G9696" t="s">
        <v>66</v>
      </c>
      <c r="H9696" t="s">
        <v>68</v>
      </c>
      <c r="I9696">
        <v>1</v>
      </c>
      <c r="J9696">
        <v>1</v>
      </c>
      <c r="K9696">
        <v>0</v>
      </c>
      <c r="L9696">
        <v>0</v>
      </c>
      <c r="M9696">
        <v>1</v>
      </c>
      <c r="N9696">
        <v>1</v>
      </c>
      <c r="O9696">
        <v>1</v>
      </c>
      <c r="P9696">
        <v>1</v>
      </c>
      <c r="Q9696">
        <v>1</v>
      </c>
      <c r="R9696">
        <v>1</v>
      </c>
    </row>
    <row r="9697" spans="1:39" x14ac:dyDescent="0.2">
      <c r="A9697" t="str">
        <f>"9693"</f>
        <v>9693</v>
      </c>
      <c r="B9697" t="str">
        <f t="shared" si="537"/>
        <v>1</v>
      </c>
      <c r="C9697" t="str">
        <f t="shared" si="539"/>
        <v>194</v>
      </c>
      <c r="D9697" t="str">
        <f>"30"</f>
        <v>30</v>
      </c>
      <c r="E9697" t="str">
        <f>"1-194-30"</f>
        <v>1-194-30</v>
      </c>
      <c r="F9697" t="s">
        <v>65</v>
      </c>
      <c r="G9697" t="s">
        <v>66</v>
      </c>
      <c r="H9697" t="s">
        <v>68</v>
      </c>
      <c r="I9697">
        <v>1</v>
      </c>
      <c r="J9697">
        <v>1</v>
      </c>
      <c r="K9697">
        <v>0</v>
      </c>
      <c r="L9697">
        <v>0</v>
      </c>
      <c r="M9697">
        <v>1</v>
      </c>
      <c r="N9697">
        <v>1</v>
      </c>
      <c r="O9697">
        <v>1</v>
      </c>
      <c r="P9697">
        <v>1</v>
      </c>
      <c r="Q9697">
        <v>1</v>
      </c>
      <c r="R9697">
        <v>1</v>
      </c>
    </row>
    <row r="9698" spans="1:39" x14ac:dyDescent="0.2">
      <c r="A9698" t="str">
        <f>"9694"</f>
        <v>9694</v>
      </c>
      <c r="B9698" t="str">
        <f t="shared" si="537"/>
        <v>1</v>
      </c>
      <c r="C9698" t="str">
        <f t="shared" si="539"/>
        <v>194</v>
      </c>
      <c r="D9698" t="str">
        <f>"5"</f>
        <v>5</v>
      </c>
      <c r="E9698" t="str">
        <f>"1-194-5"</f>
        <v>1-194-5</v>
      </c>
      <c r="F9698" t="s">
        <v>65</v>
      </c>
      <c r="G9698" t="s">
        <v>66</v>
      </c>
      <c r="H9698" t="s">
        <v>68</v>
      </c>
      <c r="I9698">
        <v>1</v>
      </c>
      <c r="J9698">
        <v>0</v>
      </c>
      <c r="K9698">
        <v>0</v>
      </c>
      <c r="L9698">
        <v>1</v>
      </c>
      <c r="M9698">
        <v>1</v>
      </c>
      <c r="N9698">
        <v>1</v>
      </c>
      <c r="O9698">
        <v>1</v>
      </c>
      <c r="P9698">
        <v>1</v>
      </c>
      <c r="Q9698">
        <v>1</v>
      </c>
      <c r="R9698">
        <v>1</v>
      </c>
    </row>
    <row r="9699" spans="1:39" x14ac:dyDescent="0.2">
      <c r="A9699" t="str">
        <f>"9695"</f>
        <v>9695</v>
      </c>
      <c r="B9699" t="str">
        <f t="shared" si="537"/>
        <v>1</v>
      </c>
      <c r="C9699" t="str">
        <f t="shared" si="539"/>
        <v>194</v>
      </c>
      <c r="D9699" t="str">
        <f>"49"</f>
        <v>49</v>
      </c>
      <c r="E9699" t="str">
        <f>"1-194-49"</f>
        <v>1-194-49</v>
      </c>
      <c r="F9699" t="s">
        <v>65</v>
      </c>
      <c r="G9699" t="s">
        <v>66</v>
      </c>
      <c r="H9699" t="s">
        <v>68</v>
      </c>
      <c r="I9699">
        <v>1</v>
      </c>
      <c r="J9699">
        <v>0</v>
      </c>
      <c r="K9699">
        <v>0</v>
      </c>
      <c r="L9699">
        <v>1</v>
      </c>
      <c r="M9699">
        <v>1</v>
      </c>
      <c r="N9699">
        <v>1</v>
      </c>
      <c r="O9699">
        <v>1</v>
      </c>
      <c r="P9699">
        <v>1</v>
      </c>
      <c r="Q9699">
        <v>1</v>
      </c>
      <c r="R9699">
        <v>1</v>
      </c>
    </row>
    <row r="9700" spans="1:39" x14ac:dyDescent="0.2">
      <c r="A9700" t="str">
        <f>"9696"</f>
        <v>9696</v>
      </c>
      <c r="B9700" t="str">
        <f t="shared" si="537"/>
        <v>1</v>
      </c>
      <c r="C9700" t="str">
        <f t="shared" si="539"/>
        <v>194</v>
      </c>
      <c r="D9700" t="str">
        <f>"31"</f>
        <v>31</v>
      </c>
      <c r="E9700" t="str">
        <f>"1-194-31"</f>
        <v>1-194-31</v>
      </c>
      <c r="F9700" t="s">
        <v>65</v>
      </c>
      <c r="G9700" t="s">
        <v>66</v>
      </c>
      <c r="H9700" t="s">
        <v>68</v>
      </c>
      <c r="I9700">
        <v>1</v>
      </c>
      <c r="J9700">
        <v>1</v>
      </c>
      <c r="K9700">
        <v>0</v>
      </c>
      <c r="L9700">
        <v>0</v>
      </c>
      <c r="M9700">
        <v>1</v>
      </c>
      <c r="N9700">
        <v>1</v>
      </c>
      <c r="O9700">
        <v>1</v>
      </c>
      <c r="P9700">
        <v>1</v>
      </c>
      <c r="Q9700">
        <v>1</v>
      </c>
      <c r="R9700">
        <v>1</v>
      </c>
    </row>
    <row r="9701" spans="1:39" x14ac:dyDescent="0.2">
      <c r="A9701" t="str">
        <f>"9697"</f>
        <v>9697</v>
      </c>
      <c r="B9701" t="str">
        <f t="shared" si="537"/>
        <v>1</v>
      </c>
      <c r="C9701" t="str">
        <f t="shared" si="539"/>
        <v>194</v>
      </c>
      <c r="D9701" t="str">
        <f>"14"</f>
        <v>14</v>
      </c>
      <c r="E9701" t="str">
        <f>"1-194-14"</f>
        <v>1-194-14</v>
      </c>
      <c r="F9701" t="s">
        <v>65</v>
      </c>
      <c r="G9701" t="s">
        <v>66</v>
      </c>
      <c r="H9701" t="s">
        <v>68</v>
      </c>
      <c r="I9701">
        <v>1</v>
      </c>
      <c r="J9701">
        <v>1</v>
      </c>
      <c r="K9701">
        <v>0</v>
      </c>
      <c r="L9701">
        <v>0</v>
      </c>
      <c r="M9701">
        <v>1</v>
      </c>
      <c r="N9701">
        <v>1</v>
      </c>
      <c r="O9701">
        <v>1</v>
      </c>
      <c r="P9701">
        <v>1</v>
      </c>
      <c r="Q9701">
        <v>1</v>
      </c>
      <c r="R9701">
        <v>1</v>
      </c>
    </row>
    <row r="9702" spans="1:39" x14ac:dyDescent="0.2">
      <c r="A9702" t="str">
        <f>"9698"</f>
        <v>9698</v>
      </c>
      <c r="B9702" t="str">
        <f t="shared" si="537"/>
        <v>1</v>
      </c>
      <c r="C9702" t="str">
        <f t="shared" si="539"/>
        <v>194</v>
      </c>
      <c r="D9702" t="str">
        <f>"50"</f>
        <v>50</v>
      </c>
      <c r="E9702" t="str">
        <f>"1-194-50"</f>
        <v>1-194-50</v>
      </c>
      <c r="F9702" t="s">
        <v>65</v>
      </c>
      <c r="G9702" t="s">
        <v>66</v>
      </c>
      <c r="H9702" t="s">
        <v>68</v>
      </c>
      <c r="I9702">
        <v>1</v>
      </c>
      <c r="J9702">
        <v>0</v>
      </c>
      <c r="K9702">
        <v>0</v>
      </c>
      <c r="L9702">
        <v>1</v>
      </c>
      <c r="M9702">
        <v>1</v>
      </c>
      <c r="N9702">
        <v>1</v>
      </c>
      <c r="O9702">
        <v>1</v>
      </c>
      <c r="P9702">
        <v>1</v>
      </c>
      <c r="Q9702">
        <v>1</v>
      </c>
      <c r="R9702">
        <v>1</v>
      </c>
    </row>
    <row r="9703" spans="1:39" x14ac:dyDescent="0.2">
      <c r="A9703" t="str">
        <f>"9699"</f>
        <v>9699</v>
      </c>
      <c r="B9703" t="str">
        <f t="shared" si="537"/>
        <v>1</v>
      </c>
      <c r="C9703" t="str">
        <f t="shared" si="539"/>
        <v>194</v>
      </c>
      <c r="D9703" t="str">
        <f>"32"</f>
        <v>32</v>
      </c>
      <c r="E9703" t="str">
        <f>"1-194-32"</f>
        <v>1-194-32</v>
      </c>
      <c r="F9703" t="s">
        <v>65</v>
      </c>
      <c r="G9703" t="s">
        <v>66</v>
      </c>
      <c r="H9703" t="s">
        <v>68</v>
      </c>
      <c r="I9703">
        <v>1</v>
      </c>
      <c r="J9703">
        <v>0</v>
      </c>
      <c r="K9703">
        <v>1</v>
      </c>
      <c r="L9703">
        <v>0</v>
      </c>
      <c r="M9703">
        <v>1</v>
      </c>
      <c r="N9703">
        <v>1</v>
      </c>
      <c r="O9703">
        <v>0</v>
      </c>
      <c r="P9703">
        <v>1</v>
      </c>
      <c r="Q9703">
        <v>0</v>
      </c>
      <c r="R9703">
        <v>1</v>
      </c>
    </row>
    <row r="9704" spans="1:39" x14ac:dyDescent="0.2">
      <c r="A9704" t="str">
        <f>"9700"</f>
        <v>9700</v>
      </c>
      <c r="B9704" t="str">
        <f t="shared" si="537"/>
        <v>1</v>
      </c>
      <c r="C9704" t="str">
        <f t="shared" si="539"/>
        <v>194</v>
      </c>
      <c r="D9704" t="str">
        <f>"9"</f>
        <v>9</v>
      </c>
      <c r="E9704" t="str">
        <f>"1-194-9"</f>
        <v>1-194-9</v>
      </c>
      <c r="F9704" t="s">
        <v>65</v>
      </c>
      <c r="G9704" t="s">
        <v>66</v>
      </c>
      <c r="H9704" t="s">
        <v>68</v>
      </c>
      <c r="I9704">
        <v>1</v>
      </c>
      <c r="J9704">
        <v>0</v>
      </c>
      <c r="K9704">
        <v>1</v>
      </c>
      <c r="L9704">
        <v>0</v>
      </c>
      <c r="M9704">
        <v>1</v>
      </c>
      <c r="N9704">
        <v>0</v>
      </c>
      <c r="O9704">
        <v>0</v>
      </c>
      <c r="P9704">
        <v>1</v>
      </c>
      <c r="Q9704">
        <v>1</v>
      </c>
      <c r="R9704">
        <v>1</v>
      </c>
    </row>
    <row r="9705" spans="1:39" x14ac:dyDescent="0.2">
      <c r="A9705" t="str">
        <f>"9701"</f>
        <v>9701</v>
      </c>
      <c r="B9705" t="str">
        <f t="shared" si="537"/>
        <v>1</v>
      </c>
      <c r="C9705" t="str">
        <f t="shared" ref="C9705:C9736" si="540">"195"</f>
        <v>195</v>
      </c>
      <c r="D9705" t="str">
        <f>"43"</f>
        <v>43</v>
      </c>
      <c r="E9705" t="str">
        <f>"1-195-43"</f>
        <v>1-195-43</v>
      </c>
      <c r="F9705" t="s">
        <v>65</v>
      </c>
      <c r="G9705" t="s">
        <v>66</v>
      </c>
      <c r="H9705" t="s">
        <v>67</v>
      </c>
      <c r="S9705">
        <v>0</v>
      </c>
      <c r="T9705">
        <v>1</v>
      </c>
      <c r="U9705">
        <v>0</v>
      </c>
      <c r="V9705">
        <v>0</v>
      </c>
      <c r="W9705">
        <v>1</v>
      </c>
      <c r="X9705">
        <v>0</v>
      </c>
      <c r="Y9705">
        <v>1</v>
      </c>
      <c r="Z9705">
        <v>0</v>
      </c>
      <c r="AA9705">
        <v>1</v>
      </c>
      <c r="AB9705">
        <v>0</v>
      </c>
      <c r="AC9705">
        <v>0</v>
      </c>
      <c r="AD9705">
        <v>0</v>
      </c>
      <c r="AE9705">
        <v>1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1</v>
      </c>
      <c r="AM9705">
        <v>0</v>
      </c>
    </row>
    <row r="9706" spans="1:39" x14ac:dyDescent="0.2">
      <c r="A9706" t="str">
        <f>"9702"</f>
        <v>9702</v>
      </c>
      <c r="B9706" t="str">
        <f t="shared" si="537"/>
        <v>1</v>
      </c>
      <c r="C9706" t="str">
        <f t="shared" si="540"/>
        <v>195</v>
      </c>
      <c r="D9706" t="str">
        <f>"42"</f>
        <v>42</v>
      </c>
      <c r="E9706" t="str">
        <f>"1-195-42"</f>
        <v>1-195-42</v>
      </c>
      <c r="F9706" t="s">
        <v>65</v>
      </c>
      <c r="G9706" t="s">
        <v>66</v>
      </c>
      <c r="H9706" t="s">
        <v>67</v>
      </c>
      <c r="S9706">
        <v>0</v>
      </c>
      <c r="T9706">
        <v>1</v>
      </c>
      <c r="U9706">
        <v>0</v>
      </c>
      <c r="V9706">
        <v>0</v>
      </c>
      <c r="W9706">
        <v>1</v>
      </c>
      <c r="X9706">
        <v>0</v>
      </c>
      <c r="Y9706">
        <v>0</v>
      </c>
      <c r="Z9706">
        <v>1</v>
      </c>
      <c r="AA9706">
        <v>1</v>
      </c>
      <c r="AB9706">
        <v>0</v>
      </c>
      <c r="AC9706">
        <v>0</v>
      </c>
      <c r="AD9706">
        <v>1</v>
      </c>
      <c r="AE9706">
        <v>1</v>
      </c>
      <c r="AF9706">
        <v>1</v>
      </c>
      <c r="AG9706">
        <v>1</v>
      </c>
      <c r="AH9706">
        <v>1</v>
      </c>
      <c r="AI9706">
        <v>1</v>
      </c>
      <c r="AJ9706">
        <v>1</v>
      </c>
      <c r="AK9706">
        <v>1</v>
      </c>
      <c r="AL9706">
        <v>1</v>
      </c>
      <c r="AM9706">
        <v>1</v>
      </c>
    </row>
    <row r="9707" spans="1:39" x14ac:dyDescent="0.2">
      <c r="A9707" t="str">
        <f>"9703"</f>
        <v>9703</v>
      </c>
      <c r="B9707" t="str">
        <f t="shared" si="537"/>
        <v>1</v>
      </c>
      <c r="C9707" t="str">
        <f t="shared" si="540"/>
        <v>195</v>
      </c>
      <c r="D9707" t="str">
        <f>"34"</f>
        <v>34</v>
      </c>
      <c r="E9707" t="str">
        <f>"1-195-34"</f>
        <v>1-195-34</v>
      </c>
      <c r="F9707" t="s">
        <v>65</v>
      </c>
      <c r="G9707" t="s">
        <v>66</v>
      </c>
      <c r="H9707" t="s">
        <v>67</v>
      </c>
      <c r="S9707">
        <v>1</v>
      </c>
      <c r="T9707">
        <v>0</v>
      </c>
      <c r="U9707">
        <v>0</v>
      </c>
      <c r="V9707">
        <v>0</v>
      </c>
      <c r="W9707">
        <v>1</v>
      </c>
      <c r="X9707">
        <v>0</v>
      </c>
      <c r="Y9707">
        <v>1</v>
      </c>
      <c r="Z9707">
        <v>0</v>
      </c>
      <c r="AA9707">
        <v>1</v>
      </c>
      <c r="AB9707">
        <v>0</v>
      </c>
      <c r="AC9707">
        <v>0</v>
      </c>
      <c r="AD9707">
        <v>1</v>
      </c>
      <c r="AE9707">
        <v>1</v>
      </c>
      <c r="AF9707">
        <v>1</v>
      </c>
      <c r="AG9707">
        <v>1</v>
      </c>
      <c r="AH9707">
        <v>1</v>
      </c>
      <c r="AI9707">
        <v>1</v>
      </c>
      <c r="AJ9707">
        <v>1</v>
      </c>
      <c r="AK9707">
        <v>1</v>
      </c>
      <c r="AL9707">
        <v>1</v>
      </c>
      <c r="AM9707">
        <v>1</v>
      </c>
    </row>
    <row r="9708" spans="1:39" x14ac:dyDescent="0.2">
      <c r="A9708" t="str">
        <f>"9704"</f>
        <v>9704</v>
      </c>
      <c r="B9708" t="str">
        <f t="shared" si="537"/>
        <v>1</v>
      </c>
      <c r="C9708" t="str">
        <f t="shared" si="540"/>
        <v>195</v>
      </c>
      <c r="D9708" t="str">
        <f>"33"</f>
        <v>33</v>
      </c>
      <c r="E9708" t="str">
        <f>"1-195-33"</f>
        <v>1-195-33</v>
      </c>
      <c r="F9708" t="s">
        <v>65</v>
      </c>
      <c r="G9708" t="s">
        <v>66</v>
      </c>
      <c r="H9708" t="s">
        <v>67</v>
      </c>
      <c r="S9708">
        <v>0</v>
      </c>
      <c r="T9708">
        <v>0</v>
      </c>
      <c r="U9708">
        <v>0</v>
      </c>
      <c r="V9708">
        <v>0</v>
      </c>
      <c r="W9708">
        <v>1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</row>
    <row r="9709" spans="1:39" x14ac:dyDescent="0.2">
      <c r="A9709" t="str">
        <f>"9705"</f>
        <v>9705</v>
      </c>
      <c r="B9709" t="str">
        <f t="shared" si="537"/>
        <v>1</v>
      </c>
      <c r="C9709" t="str">
        <f t="shared" si="540"/>
        <v>195</v>
      </c>
      <c r="D9709" t="str">
        <f>"21"</f>
        <v>21</v>
      </c>
      <c r="E9709" t="str">
        <f>"1-195-21"</f>
        <v>1-195-21</v>
      </c>
      <c r="F9709" t="s">
        <v>65</v>
      </c>
      <c r="G9709" t="s">
        <v>66</v>
      </c>
      <c r="H9709" t="s">
        <v>68</v>
      </c>
      <c r="I9709">
        <v>1</v>
      </c>
      <c r="J9709">
        <v>0</v>
      </c>
      <c r="K9709">
        <v>0</v>
      </c>
      <c r="L9709">
        <v>1</v>
      </c>
      <c r="M9709">
        <v>1</v>
      </c>
      <c r="N9709">
        <v>1</v>
      </c>
      <c r="O9709">
        <v>1</v>
      </c>
      <c r="P9709">
        <v>1</v>
      </c>
      <c r="Q9709">
        <v>1</v>
      </c>
      <c r="R9709">
        <v>1</v>
      </c>
    </row>
    <row r="9710" spans="1:39" x14ac:dyDescent="0.2">
      <c r="A9710" t="str">
        <f>"9706"</f>
        <v>9706</v>
      </c>
      <c r="B9710" t="str">
        <f t="shared" si="537"/>
        <v>1</v>
      </c>
      <c r="C9710" t="str">
        <f t="shared" si="540"/>
        <v>195</v>
      </c>
      <c r="D9710" t="str">
        <f>"20"</f>
        <v>20</v>
      </c>
      <c r="E9710" t="str">
        <f>"1-195-20"</f>
        <v>1-195-20</v>
      </c>
      <c r="F9710" t="s">
        <v>65</v>
      </c>
      <c r="G9710" t="s">
        <v>66</v>
      </c>
      <c r="H9710" t="s">
        <v>68</v>
      </c>
      <c r="I9710">
        <v>1</v>
      </c>
      <c r="J9710">
        <v>0</v>
      </c>
      <c r="K9710">
        <v>0</v>
      </c>
      <c r="L9710">
        <v>1</v>
      </c>
      <c r="M9710">
        <v>1</v>
      </c>
      <c r="N9710">
        <v>1</v>
      </c>
      <c r="O9710">
        <v>1</v>
      </c>
      <c r="P9710">
        <v>1</v>
      </c>
      <c r="Q9710">
        <v>1</v>
      </c>
      <c r="R9710">
        <v>1</v>
      </c>
    </row>
    <row r="9711" spans="1:39" x14ac:dyDescent="0.2">
      <c r="A9711" t="str">
        <f>"9707"</f>
        <v>9707</v>
      </c>
      <c r="B9711" t="str">
        <f t="shared" si="537"/>
        <v>1</v>
      </c>
      <c r="C9711" t="str">
        <f t="shared" si="540"/>
        <v>195</v>
      </c>
      <c r="D9711" t="str">
        <f>"17"</f>
        <v>17</v>
      </c>
      <c r="E9711" t="str">
        <f>"1-195-17"</f>
        <v>1-195-17</v>
      </c>
      <c r="F9711" t="s">
        <v>65</v>
      </c>
      <c r="G9711" t="s">
        <v>66</v>
      </c>
      <c r="H9711" t="s">
        <v>68</v>
      </c>
      <c r="I9711">
        <v>1</v>
      </c>
      <c r="J9711">
        <v>0</v>
      </c>
      <c r="K9711">
        <v>0</v>
      </c>
      <c r="L9711">
        <v>1</v>
      </c>
      <c r="M9711">
        <v>1</v>
      </c>
      <c r="N9711">
        <v>1</v>
      </c>
      <c r="O9711">
        <v>0</v>
      </c>
      <c r="P9711">
        <v>0</v>
      </c>
      <c r="Q9711">
        <v>0</v>
      </c>
      <c r="R9711">
        <v>0</v>
      </c>
    </row>
    <row r="9712" spans="1:39" x14ac:dyDescent="0.2">
      <c r="A9712" t="str">
        <f>"9708"</f>
        <v>9708</v>
      </c>
      <c r="B9712" t="str">
        <f t="shared" si="537"/>
        <v>1</v>
      </c>
      <c r="C9712" t="str">
        <f t="shared" si="540"/>
        <v>195</v>
      </c>
      <c r="D9712" t="str">
        <f>"15"</f>
        <v>15</v>
      </c>
      <c r="E9712" t="str">
        <f>"1-195-15"</f>
        <v>1-195-15</v>
      </c>
      <c r="F9712" t="s">
        <v>65</v>
      </c>
      <c r="G9712" t="s">
        <v>66</v>
      </c>
      <c r="H9712" t="s">
        <v>68</v>
      </c>
      <c r="I9712">
        <v>1</v>
      </c>
      <c r="J9712">
        <v>0</v>
      </c>
      <c r="K9712">
        <v>0</v>
      </c>
      <c r="L9712">
        <v>1</v>
      </c>
      <c r="M9712">
        <v>1</v>
      </c>
      <c r="N9712">
        <v>1</v>
      </c>
      <c r="O9712">
        <v>1</v>
      </c>
      <c r="P9712">
        <v>1</v>
      </c>
      <c r="Q9712">
        <v>1</v>
      </c>
      <c r="R9712">
        <v>1</v>
      </c>
    </row>
    <row r="9713" spans="1:39" x14ac:dyDescent="0.2">
      <c r="A9713" t="str">
        <f>"9709"</f>
        <v>9709</v>
      </c>
      <c r="B9713" t="str">
        <f t="shared" si="537"/>
        <v>1</v>
      </c>
      <c r="C9713" t="str">
        <f t="shared" si="540"/>
        <v>195</v>
      </c>
      <c r="D9713" t="str">
        <f>"1"</f>
        <v>1</v>
      </c>
      <c r="E9713" t="str">
        <f>"1-195-1"</f>
        <v>1-195-1</v>
      </c>
      <c r="F9713" t="s">
        <v>65</v>
      </c>
      <c r="G9713" t="s">
        <v>66</v>
      </c>
      <c r="H9713" t="s">
        <v>68</v>
      </c>
      <c r="I9713">
        <v>1</v>
      </c>
      <c r="J9713">
        <v>1</v>
      </c>
      <c r="K9713">
        <v>0</v>
      </c>
      <c r="L9713">
        <v>0</v>
      </c>
      <c r="M9713">
        <v>1</v>
      </c>
      <c r="N9713">
        <v>1</v>
      </c>
      <c r="O9713">
        <v>1</v>
      </c>
      <c r="P9713">
        <v>1</v>
      </c>
      <c r="Q9713">
        <v>1</v>
      </c>
      <c r="R9713">
        <v>1</v>
      </c>
    </row>
    <row r="9714" spans="1:39" x14ac:dyDescent="0.2">
      <c r="A9714" t="str">
        <f>"9710"</f>
        <v>9710</v>
      </c>
      <c r="B9714" t="str">
        <f t="shared" si="537"/>
        <v>1</v>
      </c>
      <c r="C9714" t="str">
        <f t="shared" si="540"/>
        <v>195</v>
      </c>
      <c r="D9714" t="str">
        <f>"38"</f>
        <v>38</v>
      </c>
      <c r="E9714" t="str">
        <f>"1-195-38"</f>
        <v>1-195-38</v>
      </c>
      <c r="F9714" t="s">
        <v>65</v>
      </c>
      <c r="G9714" t="s">
        <v>66</v>
      </c>
      <c r="H9714" t="s">
        <v>67</v>
      </c>
      <c r="S9714">
        <v>1</v>
      </c>
      <c r="T9714">
        <v>0</v>
      </c>
      <c r="U9714">
        <v>0</v>
      </c>
      <c r="V9714">
        <v>0</v>
      </c>
      <c r="W9714">
        <v>1</v>
      </c>
      <c r="X9714">
        <v>0</v>
      </c>
      <c r="Y9714">
        <v>1</v>
      </c>
      <c r="Z9714">
        <v>0</v>
      </c>
      <c r="AA9714">
        <v>1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1</v>
      </c>
      <c r="AI9714">
        <v>0</v>
      </c>
      <c r="AJ9714">
        <v>0</v>
      </c>
      <c r="AK9714">
        <v>0</v>
      </c>
      <c r="AL9714">
        <v>0</v>
      </c>
      <c r="AM9714">
        <v>0</v>
      </c>
    </row>
    <row r="9715" spans="1:39" x14ac:dyDescent="0.2">
      <c r="A9715" t="str">
        <f>"9711"</f>
        <v>9711</v>
      </c>
      <c r="B9715" t="str">
        <f t="shared" si="537"/>
        <v>1</v>
      </c>
      <c r="C9715" t="str">
        <f t="shared" si="540"/>
        <v>195</v>
      </c>
      <c r="D9715" t="str">
        <f>"37"</f>
        <v>37</v>
      </c>
      <c r="E9715" t="str">
        <f>"1-195-37"</f>
        <v>1-195-37</v>
      </c>
      <c r="F9715" t="s">
        <v>65</v>
      </c>
      <c r="G9715" t="s">
        <v>66</v>
      </c>
      <c r="H9715" t="s">
        <v>67</v>
      </c>
      <c r="S9715">
        <v>1</v>
      </c>
      <c r="T9715">
        <v>0</v>
      </c>
      <c r="U9715">
        <v>0</v>
      </c>
      <c r="V9715">
        <v>0</v>
      </c>
      <c r="W9715">
        <v>1</v>
      </c>
      <c r="X9715">
        <v>0</v>
      </c>
      <c r="Y9715">
        <v>1</v>
      </c>
      <c r="Z9715">
        <v>0</v>
      </c>
      <c r="AA9715">
        <v>0</v>
      </c>
      <c r="AB9715">
        <v>1</v>
      </c>
      <c r="AC9715">
        <v>0</v>
      </c>
      <c r="AD9715">
        <v>1</v>
      </c>
      <c r="AE9715">
        <v>1</v>
      </c>
      <c r="AF9715">
        <v>1</v>
      </c>
      <c r="AG9715">
        <v>1</v>
      </c>
      <c r="AH9715">
        <v>1</v>
      </c>
      <c r="AI9715">
        <v>1</v>
      </c>
      <c r="AJ9715">
        <v>1</v>
      </c>
      <c r="AK9715">
        <v>1</v>
      </c>
      <c r="AL9715">
        <v>1</v>
      </c>
      <c r="AM9715">
        <v>1</v>
      </c>
    </row>
    <row r="9716" spans="1:39" x14ac:dyDescent="0.2">
      <c r="A9716" t="str">
        <f>"9712"</f>
        <v>9712</v>
      </c>
      <c r="B9716" t="str">
        <f t="shared" si="537"/>
        <v>1</v>
      </c>
      <c r="C9716" t="str">
        <f t="shared" si="540"/>
        <v>195</v>
      </c>
      <c r="D9716" t="str">
        <f>"24"</f>
        <v>24</v>
      </c>
      <c r="E9716" t="str">
        <f>"1-195-24"</f>
        <v>1-195-24</v>
      </c>
      <c r="F9716" t="s">
        <v>65</v>
      </c>
      <c r="G9716" t="s">
        <v>66</v>
      </c>
      <c r="H9716" t="s">
        <v>68</v>
      </c>
      <c r="I9716">
        <v>1</v>
      </c>
      <c r="J9716">
        <v>0</v>
      </c>
      <c r="K9716">
        <v>0</v>
      </c>
      <c r="L9716">
        <v>1</v>
      </c>
      <c r="M9716">
        <v>1</v>
      </c>
      <c r="N9716">
        <v>1</v>
      </c>
      <c r="O9716">
        <v>1</v>
      </c>
      <c r="P9716">
        <v>1</v>
      </c>
      <c r="Q9716">
        <v>1</v>
      </c>
      <c r="R9716">
        <v>1</v>
      </c>
    </row>
    <row r="9717" spans="1:39" x14ac:dyDescent="0.2">
      <c r="A9717" t="str">
        <f>"9713"</f>
        <v>9713</v>
      </c>
      <c r="B9717" t="str">
        <f t="shared" si="537"/>
        <v>1</v>
      </c>
      <c r="C9717" t="str">
        <f t="shared" si="540"/>
        <v>195</v>
      </c>
      <c r="D9717" t="str">
        <f>"16"</f>
        <v>16</v>
      </c>
      <c r="E9717" t="str">
        <f>"1-195-16"</f>
        <v>1-195-16</v>
      </c>
      <c r="F9717" t="s">
        <v>65</v>
      </c>
      <c r="G9717" t="s">
        <v>66</v>
      </c>
      <c r="H9717" t="s">
        <v>68</v>
      </c>
      <c r="I9717">
        <v>1</v>
      </c>
      <c r="J9717">
        <v>1</v>
      </c>
      <c r="K9717">
        <v>0</v>
      </c>
      <c r="L9717">
        <v>0</v>
      </c>
      <c r="M9717">
        <v>1</v>
      </c>
      <c r="N9717">
        <v>1</v>
      </c>
      <c r="O9717">
        <v>1</v>
      </c>
      <c r="P9717">
        <v>1</v>
      </c>
      <c r="Q9717">
        <v>1</v>
      </c>
      <c r="R9717">
        <v>1</v>
      </c>
    </row>
    <row r="9718" spans="1:39" x14ac:dyDescent="0.2">
      <c r="A9718" t="str">
        <f>"9714"</f>
        <v>9714</v>
      </c>
      <c r="B9718" t="str">
        <f t="shared" si="537"/>
        <v>1</v>
      </c>
      <c r="C9718" t="str">
        <f t="shared" si="540"/>
        <v>195</v>
      </c>
      <c r="D9718" t="str">
        <f>"5"</f>
        <v>5</v>
      </c>
      <c r="E9718" t="str">
        <f>"1-195-5"</f>
        <v>1-195-5</v>
      </c>
      <c r="F9718" t="s">
        <v>65</v>
      </c>
      <c r="G9718" t="s">
        <v>66</v>
      </c>
      <c r="H9718" t="s">
        <v>68</v>
      </c>
      <c r="I9718">
        <v>1</v>
      </c>
      <c r="J9718">
        <v>1</v>
      </c>
      <c r="K9718">
        <v>0</v>
      </c>
      <c r="L9718">
        <v>0</v>
      </c>
      <c r="M9718">
        <v>1</v>
      </c>
      <c r="N9718">
        <v>1</v>
      </c>
      <c r="O9718">
        <v>1</v>
      </c>
      <c r="P9718">
        <v>1</v>
      </c>
      <c r="Q9718">
        <v>1</v>
      </c>
      <c r="R9718">
        <v>1</v>
      </c>
    </row>
    <row r="9719" spans="1:39" x14ac:dyDescent="0.2">
      <c r="A9719" t="str">
        <f>"9715"</f>
        <v>9715</v>
      </c>
      <c r="B9719" t="str">
        <f t="shared" ref="B9719:B9782" si="541">"1"</f>
        <v>1</v>
      </c>
      <c r="C9719" t="str">
        <f t="shared" si="540"/>
        <v>195</v>
      </c>
      <c r="D9719" t="str">
        <f>"35"</f>
        <v>35</v>
      </c>
      <c r="E9719" t="str">
        <f>"1-195-35"</f>
        <v>1-195-35</v>
      </c>
      <c r="F9719" t="s">
        <v>65</v>
      </c>
      <c r="G9719" t="s">
        <v>66</v>
      </c>
      <c r="H9719" t="s">
        <v>67</v>
      </c>
      <c r="S9719">
        <v>0</v>
      </c>
      <c r="T9719">
        <v>0</v>
      </c>
      <c r="U9719">
        <v>0</v>
      </c>
      <c r="V9719">
        <v>0</v>
      </c>
      <c r="W9719">
        <v>1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1</v>
      </c>
      <c r="AJ9719">
        <v>0</v>
      </c>
      <c r="AK9719">
        <v>0</v>
      </c>
      <c r="AL9719">
        <v>1</v>
      </c>
      <c r="AM9719">
        <v>0</v>
      </c>
    </row>
    <row r="9720" spans="1:39" x14ac:dyDescent="0.2">
      <c r="A9720" t="str">
        <f>"9716"</f>
        <v>9716</v>
      </c>
      <c r="B9720" t="str">
        <f t="shared" si="541"/>
        <v>1</v>
      </c>
      <c r="C9720" t="str">
        <f t="shared" si="540"/>
        <v>195</v>
      </c>
      <c r="D9720" t="str">
        <f>"18"</f>
        <v>18</v>
      </c>
      <c r="E9720" t="str">
        <f>"1-195-18"</f>
        <v>1-195-18</v>
      </c>
      <c r="F9720" t="s">
        <v>65</v>
      </c>
      <c r="G9720" t="s">
        <v>66</v>
      </c>
      <c r="H9720" t="s">
        <v>68</v>
      </c>
      <c r="I9720">
        <v>1</v>
      </c>
      <c r="J9720">
        <v>0</v>
      </c>
      <c r="K9720">
        <v>0</v>
      </c>
      <c r="L9720">
        <v>1</v>
      </c>
      <c r="M9720">
        <v>1</v>
      </c>
      <c r="N9720">
        <v>1</v>
      </c>
      <c r="O9720">
        <v>1</v>
      </c>
      <c r="P9720">
        <v>1</v>
      </c>
      <c r="Q9720">
        <v>1</v>
      </c>
      <c r="R9720">
        <v>1</v>
      </c>
    </row>
    <row r="9721" spans="1:39" x14ac:dyDescent="0.2">
      <c r="A9721" t="str">
        <f>"9717"</f>
        <v>9717</v>
      </c>
      <c r="B9721" t="str">
        <f t="shared" si="541"/>
        <v>1</v>
      </c>
      <c r="C9721" t="str">
        <f t="shared" si="540"/>
        <v>195</v>
      </c>
      <c r="D9721" t="str">
        <f>"2"</f>
        <v>2</v>
      </c>
      <c r="E9721" t="str">
        <f>"1-195-2"</f>
        <v>1-195-2</v>
      </c>
      <c r="F9721" t="s">
        <v>65</v>
      </c>
      <c r="G9721" t="s">
        <v>66</v>
      </c>
      <c r="H9721" t="s">
        <v>68</v>
      </c>
      <c r="I9721">
        <v>1</v>
      </c>
      <c r="J9721">
        <v>0</v>
      </c>
      <c r="K9721">
        <v>0</v>
      </c>
      <c r="L9721">
        <v>0</v>
      </c>
      <c r="M9721">
        <v>1</v>
      </c>
      <c r="N9721">
        <v>1</v>
      </c>
      <c r="O9721">
        <v>1</v>
      </c>
      <c r="P9721">
        <v>1</v>
      </c>
      <c r="Q9721">
        <v>1</v>
      </c>
      <c r="R9721">
        <v>1</v>
      </c>
    </row>
    <row r="9722" spans="1:39" x14ac:dyDescent="0.2">
      <c r="A9722" t="str">
        <f>"9718"</f>
        <v>9718</v>
      </c>
      <c r="B9722" t="str">
        <f t="shared" si="541"/>
        <v>1</v>
      </c>
      <c r="C9722" t="str">
        <f t="shared" si="540"/>
        <v>195</v>
      </c>
      <c r="D9722" t="str">
        <f>"36"</f>
        <v>36</v>
      </c>
      <c r="E9722" t="str">
        <f>"1-195-36"</f>
        <v>1-195-36</v>
      </c>
      <c r="F9722" t="s">
        <v>65</v>
      </c>
      <c r="G9722" t="s">
        <v>66</v>
      </c>
      <c r="H9722" t="s">
        <v>67</v>
      </c>
      <c r="S9722">
        <v>1</v>
      </c>
      <c r="T9722">
        <v>0</v>
      </c>
      <c r="U9722">
        <v>0</v>
      </c>
      <c r="V9722">
        <v>0</v>
      </c>
      <c r="W9722">
        <v>1</v>
      </c>
      <c r="X9722">
        <v>0</v>
      </c>
      <c r="Y9722">
        <v>0</v>
      </c>
      <c r="Z9722">
        <v>1</v>
      </c>
      <c r="AA9722">
        <v>1</v>
      </c>
      <c r="AB9722">
        <v>0</v>
      </c>
      <c r="AC9722">
        <v>0</v>
      </c>
      <c r="AD9722">
        <v>1</v>
      </c>
      <c r="AE9722">
        <v>1</v>
      </c>
      <c r="AF9722">
        <v>1</v>
      </c>
      <c r="AG9722">
        <v>1</v>
      </c>
      <c r="AH9722">
        <v>1</v>
      </c>
      <c r="AI9722">
        <v>1</v>
      </c>
      <c r="AJ9722">
        <v>1</v>
      </c>
      <c r="AK9722">
        <v>1</v>
      </c>
      <c r="AL9722">
        <v>1</v>
      </c>
      <c r="AM9722">
        <v>0</v>
      </c>
    </row>
    <row r="9723" spans="1:39" x14ac:dyDescent="0.2">
      <c r="A9723" t="str">
        <f>"9719"</f>
        <v>9719</v>
      </c>
      <c r="B9723" t="str">
        <f t="shared" si="541"/>
        <v>1</v>
      </c>
      <c r="C9723" t="str">
        <f t="shared" si="540"/>
        <v>195</v>
      </c>
      <c r="D9723" t="str">
        <f>"19"</f>
        <v>19</v>
      </c>
      <c r="E9723" t="str">
        <f>"1-195-19"</f>
        <v>1-195-19</v>
      </c>
      <c r="F9723" t="s">
        <v>65</v>
      </c>
      <c r="G9723" t="s">
        <v>66</v>
      </c>
      <c r="H9723" t="s">
        <v>68</v>
      </c>
      <c r="I9723">
        <v>1</v>
      </c>
      <c r="J9723">
        <v>0</v>
      </c>
      <c r="K9723">
        <v>0</v>
      </c>
      <c r="L9723">
        <v>1</v>
      </c>
      <c r="M9723">
        <v>1</v>
      </c>
      <c r="N9723">
        <v>0</v>
      </c>
      <c r="O9723">
        <v>0</v>
      </c>
      <c r="P9723">
        <v>1</v>
      </c>
      <c r="Q9723">
        <v>1</v>
      </c>
      <c r="R9723">
        <v>1</v>
      </c>
    </row>
    <row r="9724" spans="1:39" x14ac:dyDescent="0.2">
      <c r="A9724" t="str">
        <f>"9720"</f>
        <v>9720</v>
      </c>
      <c r="B9724" t="str">
        <f t="shared" si="541"/>
        <v>1</v>
      </c>
      <c r="C9724" t="str">
        <f t="shared" si="540"/>
        <v>195</v>
      </c>
      <c r="D9724" t="str">
        <f>"11"</f>
        <v>11</v>
      </c>
      <c r="E9724" t="str">
        <f>"1-195-11"</f>
        <v>1-195-11</v>
      </c>
      <c r="F9724" t="s">
        <v>65</v>
      </c>
      <c r="G9724" t="s">
        <v>66</v>
      </c>
      <c r="H9724" t="s">
        <v>68</v>
      </c>
      <c r="I9724">
        <v>1</v>
      </c>
      <c r="J9724">
        <v>1</v>
      </c>
      <c r="K9724">
        <v>0</v>
      </c>
      <c r="L9724">
        <v>0</v>
      </c>
      <c r="M9724">
        <v>1</v>
      </c>
      <c r="N9724">
        <v>1</v>
      </c>
      <c r="O9724">
        <v>1</v>
      </c>
      <c r="P9724">
        <v>1</v>
      </c>
      <c r="Q9724">
        <v>1</v>
      </c>
      <c r="R9724">
        <v>1</v>
      </c>
    </row>
    <row r="9725" spans="1:39" x14ac:dyDescent="0.2">
      <c r="A9725" t="str">
        <f>"9721"</f>
        <v>9721</v>
      </c>
      <c r="B9725" t="str">
        <f t="shared" si="541"/>
        <v>1</v>
      </c>
      <c r="C9725" t="str">
        <f t="shared" si="540"/>
        <v>195</v>
      </c>
      <c r="D9725" t="str">
        <f>"39"</f>
        <v>39</v>
      </c>
      <c r="E9725" t="str">
        <f>"1-195-39"</f>
        <v>1-195-39</v>
      </c>
      <c r="F9725" t="s">
        <v>65</v>
      </c>
      <c r="G9725" t="s">
        <v>66</v>
      </c>
      <c r="H9725" t="s">
        <v>67</v>
      </c>
      <c r="S9725">
        <v>0</v>
      </c>
      <c r="T9725">
        <v>1</v>
      </c>
      <c r="U9725">
        <v>0</v>
      </c>
      <c r="V9725">
        <v>0</v>
      </c>
      <c r="W9725">
        <v>0</v>
      </c>
      <c r="X9725">
        <v>1</v>
      </c>
      <c r="Y9725">
        <v>0</v>
      </c>
      <c r="Z9725">
        <v>1</v>
      </c>
      <c r="AA9725">
        <v>0</v>
      </c>
      <c r="AB9725">
        <v>1</v>
      </c>
      <c r="AC9725">
        <v>0</v>
      </c>
      <c r="AD9725">
        <v>1</v>
      </c>
      <c r="AE9725">
        <v>1</v>
      </c>
      <c r="AF9725">
        <v>1</v>
      </c>
      <c r="AG9725">
        <v>1</v>
      </c>
      <c r="AH9725">
        <v>1</v>
      </c>
      <c r="AI9725">
        <v>1</v>
      </c>
      <c r="AJ9725">
        <v>1</v>
      </c>
      <c r="AK9725">
        <v>1</v>
      </c>
      <c r="AL9725">
        <v>1</v>
      </c>
      <c r="AM9725">
        <v>1</v>
      </c>
    </row>
    <row r="9726" spans="1:39" x14ac:dyDescent="0.2">
      <c r="A9726" t="str">
        <f>"9722"</f>
        <v>9722</v>
      </c>
      <c r="B9726" t="str">
        <f t="shared" si="541"/>
        <v>1</v>
      </c>
      <c r="C9726" t="str">
        <f t="shared" si="540"/>
        <v>195</v>
      </c>
      <c r="D9726" t="str">
        <f>"22"</f>
        <v>22</v>
      </c>
      <c r="E9726" t="str">
        <f>"1-195-22"</f>
        <v>1-195-22</v>
      </c>
      <c r="F9726" t="s">
        <v>65</v>
      </c>
      <c r="G9726" t="s">
        <v>66</v>
      </c>
      <c r="H9726" t="s">
        <v>68</v>
      </c>
      <c r="I9726">
        <v>1</v>
      </c>
      <c r="J9726">
        <v>0</v>
      </c>
      <c r="K9726">
        <v>0</v>
      </c>
      <c r="L9726">
        <v>1</v>
      </c>
      <c r="M9726">
        <v>1</v>
      </c>
      <c r="N9726">
        <v>1</v>
      </c>
      <c r="O9726">
        <v>1</v>
      </c>
      <c r="P9726">
        <v>1</v>
      </c>
      <c r="Q9726">
        <v>1</v>
      </c>
      <c r="R9726">
        <v>1</v>
      </c>
    </row>
    <row r="9727" spans="1:39" x14ac:dyDescent="0.2">
      <c r="A9727" t="str">
        <f>"9723"</f>
        <v>9723</v>
      </c>
      <c r="B9727" t="str">
        <f t="shared" si="541"/>
        <v>1</v>
      </c>
      <c r="C9727" t="str">
        <f t="shared" si="540"/>
        <v>195</v>
      </c>
      <c r="D9727" t="str">
        <f>"4"</f>
        <v>4</v>
      </c>
      <c r="E9727" t="str">
        <f>"1-195-4"</f>
        <v>1-195-4</v>
      </c>
      <c r="F9727" t="s">
        <v>65</v>
      </c>
      <c r="G9727" t="s">
        <v>66</v>
      </c>
      <c r="H9727" t="s">
        <v>68</v>
      </c>
      <c r="I9727">
        <v>1</v>
      </c>
      <c r="J9727">
        <v>1</v>
      </c>
      <c r="K9727">
        <v>0</v>
      </c>
      <c r="L9727">
        <v>0</v>
      </c>
      <c r="M9727">
        <v>1</v>
      </c>
      <c r="N9727">
        <v>1</v>
      </c>
      <c r="O9727">
        <v>1</v>
      </c>
      <c r="P9727">
        <v>1</v>
      </c>
      <c r="Q9727">
        <v>1</v>
      </c>
      <c r="R9727">
        <v>1</v>
      </c>
    </row>
    <row r="9728" spans="1:39" x14ac:dyDescent="0.2">
      <c r="A9728" t="str">
        <f>"9724"</f>
        <v>9724</v>
      </c>
      <c r="B9728" t="str">
        <f t="shared" si="541"/>
        <v>1</v>
      </c>
      <c r="C9728" t="str">
        <f t="shared" si="540"/>
        <v>195</v>
      </c>
      <c r="D9728" t="str">
        <f>"40"</f>
        <v>40</v>
      </c>
      <c r="E9728" t="str">
        <f>"1-195-40"</f>
        <v>1-195-40</v>
      </c>
      <c r="F9728" t="s">
        <v>65</v>
      </c>
      <c r="G9728" t="s">
        <v>66</v>
      </c>
      <c r="H9728" t="s">
        <v>67</v>
      </c>
      <c r="S9728">
        <v>1</v>
      </c>
      <c r="T9728">
        <v>0</v>
      </c>
      <c r="U9728">
        <v>0</v>
      </c>
      <c r="V9728">
        <v>0</v>
      </c>
      <c r="W9728">
        <v>1</v>
      </c>
      <c r="X9728">
        <v>0</v>
      </c>
      <c r="Y9728">
        <v>1</v>
      </c>
      <c r="Z9728">
        <v>0</v>
      </c>
      <c r="AA9728">
        <v>1</v>
      </c>
      <c r="AB9728">
        <v>0</v>
      </c>
      <c r="AC9728">
        <v>0</v>
      </c>
      <c r="AD9728">
        <v>1</v>
      </c>
      <c r="AE9728">
        <v>1</v>
      </c>
      <c r="AF9728">
        <v>1</v>
      </c>
      <c r="AG9728">
        <v>1</v>
      </c>
      <c r="AH9728">
        <v>1</v>
      </c>
      <c r="AI9728">
        <v>1</v>
      </c>
      <c r="AJ9728">
        <v>1</v>
      </c>
      <c r="AK9728">
        <v>1</v>
      </c>
      <c r="AL9728">
        <v>1</v>
      </c>
      <c r="AM9728">
        <v>1</v>
      </c>
    </row>
    <row r="9729" spans="1:39" x14ac:dyDescent="0.2">
      <c r="A9729" t="str">
        <f>"9725"</f>
        <v>9725</v>
      </c>
      <c r="B9729" t="str">
        <f t="shared" si="541"/>
        <v>1</v>
      </c>
      <c r="C9729" t="str">
        <f t="shared" si="540"/>
        <v>195</v>
      </c>
      <c r="D9729" t="str">
        <f>"23"</f>
        <v>23</v>
      </c>
      <c r="E9729" t="str">
        <f>"1-195-23"</f>
        <v>1-195-23</v>
      </c>
      <c r="F9729" t="s">
        <v>65</v>
      </c>
      <c r="G9729" t="s">
        <v>66</v>
      </c>
      <c r="H9729" t="s">
        <v>68</v>
      </c>
      <c r="I9729">
        <v>1</v>
      </c>
      <c r="J9729">
        <v>0</v>
      </c>
      <c r="K9729">
        <v>0</v>
      </c>
      <c r="L9729">
        <v>1</v>
      </c>
      <c r="M9729">
        <v>1</v>
      </c>
      <c r="N9729">
        <v>1</v>
      </c>
      <c r="O9729">
        <v>1</v>
      </c>
      <c r="P9729">
        <v>0</v>
      </c>
      <c r="Q9729">
        <v>1</v>
      </c>
      <c r="R9729">
        <v>1</v>
      </c>
    </row>
    <row r="9730" spans="1:39" x14ac:dyDescent="0.2">
      <c r="A9730" t="str">
        <f>"9726"</f>
        <v>9726</v>
      </c>
      <c r="B9730" t="str">
        <f t="shared" si="541"/>
        <v>1</v>
      </c>
      <c r="C9730" t="str">
        <f t="shared" si="540"/>
        <v>195</v>
      </c>
      <c r="D9730" t="str">
        <f>"10"</f>
        <v>10</v>
      </c>
      <c r="E9730" t="str">
        <f>"1-195-10"</f>
        <v>1-195-10</v>
      </c>
      <c r="F9730" t="s">
        <v>65</v>
      </c>
      <c r="G9730" t="s">
        <v>66</v>
      </c>
      <c r="H9730" t="s">
        <v>68</v>
      </c>
      <c r="I9730">
        <v>1</v>
      </c>
      <c r="J9730">
        <v>0</v>
      </c>
      <c r="K9730">
        <v>0</v>
      </c>
      <c r="L9730">
        <v>1</v>
      </c>
      <c r="M9730">
        <v>1</v>
      </c>
      <c r="N9730">
        <v>1</v>
      </c>
      <c r="O9730">
        <v>1</v>
      </c>
      <c r="P9730">
        <v>1</v>
      </c>
      <c r="Q9730">
        <v>1</v>
      </c>
      <c r="R9730">
        <v>1</v>
      </c>
    </row>
    <row r="9731" spans="1:39" x14ac:dyDescent="0.2">
      <c r="A9731" t="str">
        <f>"9727"</f>
        <v>9727</v>
      </c>
      <c r="B9731" t="str">
        <f t="shared" si="541"/>
        <v>1</v>
      </c>
      <c r="C9731" t="str">
        <f t="shared" si="540"/>
        <v>195</v>
      </c>
      <c r="D9731" t="str">
        <f>"41"</f>
        <v>41</v>
      </c>
      <c r="E9731" t="str">
        <f>"1-195-41"</f>
        <v>1-195-41</v>
      </c>
      <c r="F9731" t="s">
        <v>65</v>
      </c>
      <c r="G9731" t="s">
        <v>66</v>
      </c>
      <c r="H9731" t="s">
        <v>67</v>
      </c>
      <c r="S9731">
        <v>1</v>
      </c>
      <c r="T9731">
        <v>0</v>
      </c>
      <c r="U9731">
        <v>0</v>
      </c>
      <c r="V9731">
        <v>0</v>
      </c>
      <c r="W9731">
        <v>1</v>
      </c>
      <c r="X9731">
        <v>0</v>
      </c>
      <c r="Y9731">
        <v>1</v>
      </c>
      <c r="Z9731">
        <v>0</v>
      </c>
      <c r="AA9731">
        <v>1</v>
      </c>
      <c r="AB9731">
        <v>0</v>
      </c>
      <c r="AC9731">
        <v>0</v>
      </c>
      <c r="AD9731">
        <v>1</v>
      </c>
      <c r="AE9731">
        <v>1</v>
      </c>
      <c r="AF9731">
        <v>1</v>
      </c>
      <c r="AG9731">
        <v>1</v>
      </c>
      <c r="AH9731">
        <v>1</v>
      </c>
      <c r="AI9731">
        <v>1</v>
      </c>
      <c r="AJ9731">
        <v>1</v>
      </c>
      <c r="AK9731">
        <v>1</v>
      </c>
      <c r="AL9731">
        <v>1</v>
      </c>
      <c r="AM9731">
        <v>1</v>
      </c>
    </row>
    <row r="9732" spans="1:39" x14ac:dyDescent="0.2">
      <c r="A9732" t="str">
        <f>"9728"</f>
        <v>9728</v>
      </c>
      <c r="B9732" t="str">
        <f t="shared" si="541"/>
        <v>1</v>
      </c>
      <c r="C9732" t="str">
        <f t="shared" si="540"/>
        <v>195</v>
      </c>
      <c r="D9732" t="str">
        <f>"25"</f>
        <v>25</v>
      </c>
      <c r="E9732" t="str">
        <f>"1-195-25"</f>
        <v>1-195-25</v>
      </c>
      <c r="F9732" t="s">
        <v>65</v>
      </c>
      <c r="G9732" t="s">
        <v>66</v>
      </c>
      <c r="H9732" t="s">
        <v>68</v>
      </c>
      <c r="I9732">
        <v>1</v>
      </c>
      <c r="J9732">
        <v>0</v>
      </c>
      <c r="K9732">
        <v>1</v>
      </c>
      <c r="L9732">
        <v>0</v>
      </c>
      <c r="M9732">
        <v>1</v>
      </c>
      <c r="N9732">
        <v>1</v>
      </c>
      <c r="O9732">
        <v>1</v>
      </c>
      <c r="P9732">
        <v>1</v>
      </c>
      <c r="Q9732">
        <v>1</v>
      </c>
      <c r="R9732">
        <v>1</v>
      </c>
    </row>
    <row r="9733" spans="1:39" x14ac:dyDescent="0.2">
      <c r="A9733" t="str">
        <f>"9729"</f>
        <v>9729</v>
      </c>
      <c r="B9733" t="str">
        <f t="shared" si="541"/>
        <v>1</v>
      </c>
      <c r="C9733" t="str">
        <f t="shared" si="540"/>
        <v>195</v>
      </c>
      <c r="D9733" t="str">
        <f>"6"</f>
        <v>6</v>
      </c>
      <c r="E9733" t="str">
        <f>"1-195-6"</f>
        <v>1-195-6</v>
      </c>
      <c r="F9733" t="s">
        <v>65</v>
      </c>
      <c r="G9733" t="s">
        <v>66</v>
      </c>
      <c r="H9733" t="s">
        <v>68</v>
      </c>
      <c r="I9733">
        <v>1</v>
      </c>
      <c r="J9733">
        <v>1</v>
      </c>
      <c r="K9733">
        <v>0</v>
      </c>
      <c r="L9733">
        <v>0</v>
      </c>
      <c r="M9733">
        <v>1</v>
      </c>
      <c r="N9733">
        <v>1</v>
      </c>
      <c r="O9733">
        <v>1</v>
      </c>
      <c r="P9733">
        <v>1</v>
      </c>
      <c r="Q9733">
        <v>1</v>
      </c>
      <c r="R9733">
        <v>1</v>
      </c>
    </row>
    <row r="9734" spans="1:39" x14ac:dyDescent="0.2">
      <c r="A9734" t="str">
        <f>"9730"</f>
        <v>9730</v>
      </c>
      <c r="B9734" t="str">
        <f t="shared" si="541"/>
        <v>1</v>
      </c>
      <c r="C9734" t="str">
        <f t="shared" si="540"/>
        <v>195</v>
      </c>
      <c r="D9734" t="str">
        <f>"44"</f>
        <v>44</v>
      </c>
      <c r="E9734" t="str">
        <f>"1-195-44"</f>
        <v>1-195-44</v>
      </c>
      <c r="F9734" t="s">
        <v>65</v>
      </c>
      <c r="G9734" t="s">
        <v>66</v>
      </c>
      <c r="H9734" t="s">
        <v>68</v>
      </c>
      <c r="I9734">
        <v>1</v>
      </c>
      <c r="J9734">
        <v>0</v>
      </c>
      <c r="K9734">
        <v>1</v>
      </c>
      <c r="L9734">
        <v>0</v>
      </c>
      <c r="M9734">
        <v>1</v>
      </c>
      <c r="N9734">
        <v>1</v>
      </c>
      <c r="O9734">
        <v>1</v>
      </c>
      <c r="P9734">
        <v>1</v>
      </c>
      <c r="Q9734">
        <v>1</v>
      </c>
      <c r="R9734">
        <v>0</v>
      </c>
    </row>
    <row r="9735" spans="1:39" x14ac:dyDescent="0.2">
      <c r="A9735" t="str">
        <f>"9731"</f>
        <v>9731</v>
      </c>
      <c r="B9735" t="str">
        <f t="shared" si="541"/>
        <v>1</v>
      </c>
      <c r="C9735" t="str">
        <f t="shared" si="540"/>
        <v>195</v>
      </c>
      <c r="D9735" t="str">
        <f>"26"</f>
        <v>26</v>
      </c>
      <c r="E9735" t="str">
        <f>"1-195-26"</f>
        <v>1-195-26</v>
      </c>
      <c r="F9735" t="s">
        <v>65</v>
      </c>
      <c r="G9735" t="s">
        <v>66</v>
      </c>
      <c r="H9735" t="s">
        <v>68</v>
      </c>
      <c r="I9735">
        <v>1</v>
      </c>
      <c r="J9735">
        <v>0</v>
      </c>
      <c r="K9735">
        <v>0</v>
      </c>
      <c r="L9735">
        <v>1</v>
      </c>
      <c r="M9735">
        <v>1</v>
      </c>
      <c r="N9735">
        <v>1</v>
      </c>
      <c r="O9735">
        <v>1</v>
      </c>
      <c r="P9735">
        <v>0</v>
      </c>
      <c r="Q9735">
        <v>1</v>
      </c>
      <c r="R9735">
        <v>1</v>
      </c>
    </row>
    <row r="9736" spans="1:39" x14ac:dyDescent="0.2">
      <c r="A9736" t="str">
        <f>"9732"</f>
        <v>9732</v>
      </c>
      <c r="B9736" t="str">
        <f t="shared" si="541"/>
        <v>1</v>
      </c>
      <c r="C9736" t="str">
        <f t="shared" si="540"/>
        <v>195</v>
      </c>
      <c r="D9736" t="str">
        <f>"8"</f>
        <v>8</v>
      </c>
      <c r="E9736" t="str">
        <f>"1-195-8"</f>
        <v>1-195-8</v>
      </c>
      <c r="F9736" t="s">
        <v>65</v>
      </c>
      <c r="G9736" t="s">
        <v>66</v>
      </c>
      <c r="H9736" t="s">
        <v>68</v>
      </c>
      <c r="I9736">
        <v>1</v>
      </c>
      <c r="J9736">
        <v>0</v>
      </c>
      <c r="K9736">
        <v>1</v>
      </c>
      <c r="L9736">
        <v>0</v>
      </c>
      <c r="M9736">
        <v>1</v>
      </c>
      <c r="N9736">
        <v>1</v>
      </c>
      <c r="O9736">
        <v>1</v>
      </c>
      <c r="P9736">
        <v>1</v>
      </c>
      <c r="Q9736">
        <v>1</v>
      </c>
      <c r="R9736">
        <v>1</v>
      </c>
    </row>
    <row r="9737" spans="1:39" x14ac:dyDescent="0.2">
      <c r="A9737" t="str">
        <f>"9733"</f>
        <v>9733</v>
      </c>
      <c r="B9737" t="str">
        <f t="shared" si="541"/>
        <v>1</v>
      </c>
      <c r="C9737" t="str">
        <f t="shared" ref="C9737:C9754" si="542">"195"</f>
        <v>195</v>
      </c>
      <c r="D9737" t="str">
        <f>"48"</f>
        <v>48</v>
      </c>
      <c r="E9737" t="str">
        <f>"1-195-48"</f>
        <v>1-195-48</v>
      </c>
      <c r="F9737" t="s">
        <v>65</v>
      </c>
      <c r="G9737" t="s">
        <v>66</v>
      </c>
      <c r="H9737" t="s">
        <v>67</v>
      </c>
      <c r="S9737">
        <v>1</v>
      </c>
      <c r="T9737">
        <v>0</v>
      </c>
      <c r="U9737">
        <v>0</v>
      </c>
      <c r="V9737">
        <v>0</v>
      </c>
      <c r="W9737">
        <v>1</v>
      </c>
      <c r="X9737">
        <v>0</v>
      </c>
      <c r="Y9737">
        <v>1</v>
      </c>
      <c r="Z9737">
        <v>0</v>
      </c>
      <c r="AA9737">
        <v>1</v>
      </c>
      <c r="AB9737">
        <v>0</v>
      </c>
      <c r="AC9737">
        <v>0</v>
      </c>
      <c r="AD9737">
        <v>1</v>
      </c>
      <c r="AE9737">
        <v>1</v>
      </c>
      <c r="AF9737">
        <v>1</v>
      </c>
      <c r="AG9737">
        <v>1</v>
      </c>
      <c r="AH9737">
        <v>1</v>
      </c>
      <c r="AI9737">
        <v>1</v>
      </c>
      <c r="AJ9737">
        <v>1</v>
      </c>
      <c r="AK9737">
        <v>1</v>
      </c>
      <c r="AL9737">
        <v>1</v>
      </c>
      <c r="AM9737">
        <v>1</v>
      </c>
    </row>
    <row r="9738" spans="1:39" x14ac:dyDescent="0.2">
      <c r="A9738" t="str">
        <f>"9734"</f>
        <v>9734</v>
      </c>
      <c r="B9738" t="str">
        <f t="shared" si="541"/>
        <v>1</v>
      </c>
      <c r="C9738" t="str">
        <f t="shared" si="542"/>
        <v>195</v>
      </c>
      <c r="D9738" t="str">
        <f>"27"</f>
        <v>27</v>
      </c>
      <c r="E9738" t="str">
        <f>"1-195-27"</f>
        <v>1-195-27</v>
      </c>
      <c r="F9738" t="s">
        <v>65</v>
      </c>
      <c r="G9738" t="s">
        <v>66</v>
      </c>
      <c r="H9738" t="s">
        <v>68</v>
      </c>
      <c r="I9738">
        <v>0</v>
      </c>
      <c r="J9738">
        <v>1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39" x14ac:dyDescent="0.2">
      <c r="A9739" t="str">
        <f>"9735"</f>
        <v>9735</v>
      </c>
      <c r="B9739" t="str">
        <f t="shared" si="541"/>
        <v>1</v>
      </c>
      <c r="C9739" t="str">
        <f t="shared" si="542"/>
        <v>195</v>
      </c>
      <c r="D9739" t="str">
        <f>"7"</f>
        <v>7</v>
      </c>
      <c r="E9739" t="str">
        <f>"1-195-7"</f>
        <v>1-195-7</v>
      </c>
      <c r="F9739" t="s">
        <v>65</v>
      </c>
      <c r="G9739" t="s">
        <v>66</v>
      </c>
      <c r="H9739" t="s">
        <v>68</v>
      </c>
      <c r="I9739">
        <v>1</v>
      </c>
      <c r="J9739">
        <v>1</v>
      </c>
      <c r="K9739">
        <v>0</v>
      </c>
      <c r="L9739">
        <v>0</v>
      </c>
      <c r="M9739">
        <v>1</v>
      </c>
      <c r="N9739">
        <v>1</v>
      </c>
      <c r="O9739">
        <v>1</v>
      </c>
      <c r="P9739">
        <v>1</v>
      </c>
      <c r="Q9739">
        <v>1</v>
      </c>
      <c r="R9739">
        <v>1</v>
      </c>
    </row>
    <row r="9740" spans="1:39" x14ac:dyDescent="0.2">
      <c r="A9740" t="str">
        <f>"9736"</f>
        <v>9736</v>
      </c>
      <c r="B9740" t="str">
        <f t="shared" si="541"/>
        <v>1</v>
      </c>
      <c r="C9740" t="str">
        <f t="shared" si="542"/>
        <v>195</v>
      </c>
      <c r="D9740" t="str">
        <f>"45"</f>
        <v>45</v>
      </c>
      <c r="E9740" t="str">
        <f>"1-195-45"</f>
        <v>1-195-45</v>
      </c>
      <c r="F9740" t="s">
        <v>65</v>
      </c>
      <c r="G9740" t="s">
        <v>66</v>
      </c>
      <c r="H9740" t="s">
        <v>67</v>
      </c>
      <c r="S9740">
        <v>1</v>
      </c>
      <c r="T9740">
        <v>0</v>
      </c>
      <c r="U9740">
        <v>0</v>
      </c>
      <c r="V9740">
        <v>0</v>
      </c>
      <c r="W9740">
        <v>1</v>
      </c>
      <c r="X9740">
        <v>0</v>
      </c>
      <c r="Y9740">
        <v>1</v>
      </c>
      <c r="Z9740">
        <v>0</v>
      </c>
      <c r="AA9740">
        <v>1</v>
      </c>
      <c r="AB9740">
        <v>0</v>
      </c>
      <c r="AC9740">
        <v>0</v>
      </c>
      <c r="AD9740">
        <v>1</v>
      </c>
      <c r="AE9740">
        <v>1</v>
      </c>
      <c r="AF9740">
        <v>0</v>
      </c>
      <c r="AG9740">
        <v>1</v>
      </c>
      <c r="AH9740">
        <v>0</v>
      </c>
      <c r="AI9740">
        <v>0</v>
      </c>
      <c r="AJ9740">
        <v>0</v>
      </c>
      <c r="AK9740">
        <v>0</v>
      </c>
      <c r="AL9740">
        <v>1</v>
      </c>
      <c r="AM9740">
        <v>1</v>
      </c>
    </row>
    <row r="9741" spans="1:39" x14ac:dyDescent="0.2">
      <c r="A9741" t="str">
        <f>"9737"</f>
        <v>9737</v>
      </c>
      <c r="B9741" t="str">
        <f t="shared" si="541"/>
        <v>1</v>
      </c>
      <c r="C9741" t="str">
        <f t="shared" si="542"/>
        <v>195</v>
      </c>
      <c r="D9741" t="str">
        <f>"28"</f>
        <v>28</v>
      </c>
      <c r="E9741" t="str">
        <f>"1-195-28"</f>
        <v>1-195-28</v>
      </c>
      <c r="F9741" t="s">
        <v>65</v>
      </c>
      <c r="G9741" t="s">
        <v>66</v>
      </c>
      <c r="H9741" t="s">
        <v>68</v>
      </c>
      <c r="I9741">
        <v>1</v>
      </c>
      <c r="J9741">
        <v>1</v>
      </c>
      <c r="K9741">
        <v>0</v>
      </c>
      <c r="L9741">
        <v>0</v>
      </c>
      <c r="M9741">
        <v>1</v>
      </c>
      <c r="N9741">
        <v>1</v>
      </c>
      <c r="O9741">
        <v>1</v>
      </c>
      <c r="P9741">
        <v>1</v>
      </c>
      <c r="Q9741">
        <v>1</v>
      </c>
      <c r="R9741">
        <v>1</v>
      </c>
    </row>
    <row r="9742" spans="1:39" x14ac:dyDescent="0.2">
      <c r="A9742" t="str">
        <f>"9738"</f>
        <v>9738</v>
      </c>
      <c r="B9742" t="str">
        <f t="shared" si="541"/>
        <v>1</v>
      </c>
      <c r="C9742" t="str">
        <f t="shared" si="542"/>
        <v>195</v>
      </c>
      <c r="D9742" t="str">
        <f>"12"</f>
        <v>12</v>
      </c>
      <c r="E9742" t="str">
        <f>"1-195-12"</f>
        <v>1-195-12</v>
      </c>
      <c r="F9742" t="s">
        <v>65</v>
      </c>
      <c r="G9742" t="s">
        <v>66</v>
      </c>
      <c r="H9742" t="s">
        <v>68</v>
      </c>
      <c r="I9742">
        <v>1</v>
      </c>
      <c r="J9742">
        <v>0</v>
      </c>
      <c r="K9742">
        <v>0</v>
      </c>
      <c r="L9742">
        <v>1</v>
      </c>
      <c r="M9742">
        <v>1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39" x14ac:dyDescent="0.2">
      <c r="A9743" t="str">
        <f>"9739"</f>
        <v>9739</v>
      </c>
      <c r="B9743" t="str">
        <f t="shared" si="541"/>
        <v>1</v>
      </c>
      <c r="C9743" t="str">
        <f t="shared" si="542"/>
        <v>195</v>
      </c>
      <c r="D9743" t="str">
        <f>"46"</f>
        <v>46</v>
      </c>
      <c r="E9743" t="str">
        <f>"1-195-46"</f>
        <v>1-195-46</v>
      </c>
      <c r="F9743" t="s">
        <v>65</v>
      </c>
      <c r="G9743" t="s">
        <v>66</v>
      </c>
      <c r="H9743" t="s">
        <v>68</v>
      </c>
      <c r="I9743">
        <v>1</v>
      </c>
      <c r="J9743">
        <v>1</v>
      </c>
      <c r="K9743">
        <v>0</v>
      </c>
      <c r="L9743">
        <v>0</v>
      </c>
      <c r="M9743">
        <v>1</v>
      </c>
      <c r="N9743">
        <v>1</v>
      </c>
      <c r="O9743">
        <v>0</v>
      </c>
      <c r="P9743">
        <v>1</v>
      </c>
      <c r="Q9743">
        <v>1</v>
      </c>
      <c r="R9743">
        <v>1</v>
      </c>
    </row>
    <row r="9744" spans="1:39" x14ac:dyDescent="0.2">
      <c r="A9744" t="str">
        <f>"9740"</f>
        <v>9740</v>
      </c>
      <c r="B9744" t="str">
        <f t="shared" si="541"/>
        <v>1</v>
      </c>
      <c r="C9744" t="str">
        <f t="shared" si="542"/>
        <v>195</v>
      </c>
      <c r="D9744" t="str">
        <f>"29"</f>
        <v>29</v>
      </c>
      <c r="E9744" t="str">
        <f>"1-195-29"</f>
        <v>1-195-29</v>
      </c>
      <c r="F9744" t="s">
        <v>65</v>
      </c>
      <c r="G9744" t="s">
        <v>66</v>
      </c>
      <c r="H9744" t="s">
        <v>68</v>
      </c>
      <c r="I9744">
        <v>1</v>
      </c>
      <c r="J9744">
        <v>1</v>
      </c>
      <c r="K9744">
        <v>0</v>
      </c>
      <c r="L9744">
        <v>0</v>
      </c>
      <c r="M9744">
        <v>1</v>
      </c>
      <c r="N9744">
        <v>1</v>
      </c>
      <c r="O9744">
        <v>1</v>
      </c>
      <c r="P9744">
        <v>1</v>
      </c>
      <c r="Q9744">
        <v>1</v>
      </c>
      <c r="R9744">
        <v>1</v>
      </c>
    </row>
    <row r="9745" spans="1:39" x14ac:dyDescent="0.2">
      <c r="A9745" t="str">
        <f>"9741"</f>
        <v>9741</v>
      </c>
      <c r="B9745" t="str">
        <f t="shared" si="541"/>
        <v>1</v>
      </c>
      <c r="C9745" t="str">
        <f t="shared" si="542"/>
        <v>195</v>
      </c>
      <c r="D9745" t="str">
        <f>"13"</f>
        <v>13</v>
      </c>
      <c r="E9745" t="str">
        <f>"1-195-13"</f>
        <v>1-195-13</v>
      </c>
      <c r="F9745" t="s">
        <v>65</v>
      </c>
      <c r="G9745" t="s">
        <v>66</v>
      </c>
      <c r="H9745" t="s">
        <v>68</v>
      </c>
      <c r="I9745">
        <v>1</v>
      </c>
      <c r="J9745">
        <v>1</v>
      </c>
      <c r="K9745">
        <v>0</v>
      </c>
      <c r="L9745">
        <v>0</v>
      </c>
      <c r="M9745">
        <v>1</v>
      </c>
      <c r="N9745">
        <v>1</v>
      </c>
      <c r="O9745">
        <v>1</v>
      </c>
      <c r="P9745">
        <v>1</v>
      </c>
      <c r="Q9745">
        <v>1</v>
      </c>
      <c r="R9745">
        <v>1</v>
      </c>
    </row>
    <row r="9746" spans="1:39" x14ac:dyDescent="0.2">
      <c r="A9746" t="str">
        <f>"9742"</f>
        <v>9742</v>
      </c>
      <c r="B9746" t="str">
        <f t="shared" si="541"/>
        <v>1</v>
      </c>
      <c r="C9746" t="str">
        <f t="shared" si="542"/>
        <v>195</v>
      </c>
      <c r="D9746" t="str">
        <f>"47"</f>
        <v>47</v>
      </c>
      <c r="E9746" t="str">
        <f>"1-195-47"</f>
        <v>1-195-47</v>
      </c>
      <c r="F9746" t="s">
        <v>65</v>
      </c>
      <c r="G9746" t="s">
        <v>66</v>
      </c>
      <c r="H9746" t="s">
        <v>67</v>
      </c>
      <c r="S9746">
        <v>0</v>
      </c>
      <c r="T9746">
        <v>1</v>
      </c>
      <c r="U9746">
        <v>0</v>
      </c>
      <c r="V9746">
        <v>0</v>
      </c>
      <c r="W9746">
        <v>1</v>
      </c>
      <c r="X9746">
        <v>0</v>
      </c>
      <c r="Y9746">
        <v>1</v>
      </c>
      <c r="Z9746">
        <v>0</v>
      </c>
      <c r="AA9746">
        <v>1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</row>
    <row r="9747" spans="1:39" x14ac:dyDescent="0.2">
      <c r="A9747" t="str">
        <f>"9743"</f>
        <v>9743</v>
      </c>
      <c r="B9747" t="str">
        <f t="shared" si="541"/>
        <v>1</v>
      </c>
      <c r="C9747" t="str">
        <f t="shared" si="542"/>
        <v>195</v>
      </c>
      <c r="D9747" t="str">
        <f>"30"</f>
        <v>30</v>
      </c>
      <c r="E9747" t="str">
        <f>"1-195-30"</f>
        <v>1-195-30</v>
      </c>
      <c r="F9747" t="s">
        <v>65</v>
      </c>
      <c r="G9747" t="s">
        <v>66</v>
      </c>
      <c r="H9747" t="s">
        <v>68</v>
      </c>
      <c r="I9747">
        <v>1</v>
      </c>
      <c r="J9747">
        <v>0</v>
      </c>
      <c r="K9747">
        <v>1</v>
      </c>
      <c r="L9747">
        <v>0</v>
      </c>
      <c r="M9747">
        <v>1</v>
      </c>
      <c r="N9747">
        <v>1</v>
      </c>
      <c r="O9747">
        <v>1</v>
      </c>
      <c r="P9747">
        <v>1</v>
      </c>
      <c r="Q9747">
        <v>1</v>
      </c>
      <c r="R9747">
        <v>1</v>
      </c>
    </row>
    <row r="9748" spans="1:39" x14ac:dyDescent="0.2">
      <c r="A9748" t="str">
        <f>"9744"</f>
        <v>9744</v>
      </c>
      <c r="B9748" t="str">
        <f t="shared" si="541"/>
        <v>1</v>
      </c>
      <c r="C9748" t="str">
        <f t="shared" si="542"/>
        <v>195</v>
      </c>
      <c r="D9748" t="str">
        <f>"9"</f>
        <v>9</v>
      </c>
      <c r="E9748" t="str">
        <f>"1-195-9"</f>
        <v>1-195-9</v>
      </c>
      <c r="F9748" t="s">
        <v>65</v>
      </c>
      <c r="G9748" t="s">
        <v>66</v>
      </c>
      <c r="H9748" t="s">
        <v>68</v>
      </c>
      <c r="I9748">
        <v>1</v>
      </c>
      <c r="J9748">
        <v>0</v>
      </c>
      <c r="K9748">
        <v>0</v>
      </c>
      <c r="L9748">
        <v>1</v>
      </c>
      <c r="M9748">
        <v>1</v>
      </c>
      <c r="N9748">
        <v>1</v>
      </c>
      <c r="O9748">
        <v>1</v>
      </c>
      <c r="P9748">
        <v>1</v>
      </c>
      <c r="Q9748">
        <v>1</v>
      </c>
      <c r="R9748">
        <v>1</v>
      </c>
    </row>
    <row r="9749" spans="1:39" x14ac:dyDescent="0.2">
      <c r="A9749" t="str">
        <f>"9745"</f>
        <v>9745</v>
      </c>
      <c r="B9749" t="str">
        <f t="shared" si="541"/>
        <v>1</v>
      </c>
      <c r="C9749" t="str">
        <f t="shared" si="542"/>
        <v>195</v>
      </c>
      <c r="D9749" t="str">
        <f>"49"</f>
        <v>49</v>
      </c>
      <c r="E9749" t="str">
        <f>"1-195-49"</f>
        <v>1-195-49</v>
      </c>
      <c r="F9749" t="s">
        <v>65</v>
      </c>
      <c r="G9749" t="s">
        <v>66</v>
      </c>
      <c r="H9749" t="s">
        <v>67</v>
      </c>
      <c r="S9749">
        <v>1</v>
      </c>
      <c r="T9749">
        <v>0</v>
      </c>
      <c r="U9749">
        <v>0</v>
      </c>
      <c r="V9749">
        <v>0</v>
      </c>
      <c r="W9749">
        <v>1</v>
      </c>
      <c r="X9749">
        <v>0</v>
      </c>
      <c r="Y9749">
        <v>1</v>
      </c>
      <c r="Z9749">
        <v>0</v>
      </c>
      <c r="AA9749">
        <v>0</v>
      </c>
      <c r="AB9749">
        <v>0</v>
      </c>
      <c r="AC9749">
        <v>0</v>
      </c>
      <c r="AD9749">
        <v>1</v>
      </c>
      <c r="AE9749">
        <v>1</v>
      </c>
      <c r="AF9749">
        <v>1</v>
      </c>
      <c r="AG9749">
        <v>1</v>
      </c>
      <c r="AH9749">
        <v>1</v>
      </c>
      <c r="AI9749">
        <v>1</v>
      </c>
      <c r="AJ9749">
        <v>1</v>
      </c>
      <c r="AK9749">
        <v>1</v>
      </c>
      <c r="AL9749">
        <v>1</v>
      </c>
      <c r="AM9749">
        <v>1</v>
      </c>
    </row>
    <row r="9750" spans="1:39" x14ac:dyDescent="0.2">
      <c r="A9750" t="str">
        <f>"9746"</f>
        <v>9746</v>
      </c>
      <c r="B9750" t="str">
        <f t="shared" si="541"/>
        <v>1</v>
      </c>
      <c r="C9750" t="str">
        <f t="shared" si="542"/>
        <v>195</v>
      </c>
      <c r="D9750" t="str">
        <f>"31"</f>
        <v>31</v>
      </c>
      <c r="E9750" t="str">
        <f>"1-195-31"</f>
        <v>1-195-31</v>
      </c>
      <c r="F9750" t="s">
        <v>65</v>
      </c>
      <c r="G9750" t="s">
        <v>66</v>
      </c>
      <c r="H9750" t="s">
        <v>67</v>
      </c>
      <c r="S9750">
        <v>0</v>
      </c>
      <c r="T9750">
        <v>1</v>
      </c>
      <c r="U9750">
        <v>0</v>
      </c>
      <c r="V9750">
        <v>0</v>
      </c>
      <c r="W9750">
        <v>1</v>
      </c>
      <c r="X9750">
        <v>0</v>
      </c>
      <c r="Y9750">
        <v>1</v>
      </c>
      <c r="Z9750">
        <v>0</v>
      </c>
      <c r="AA9750">
        <v>1</v>
      </c>
      <c r="AB9750">
        <v>0</v>
      </c>
      <c r="AC9750">
        <v>0</v>
      </c>
      <c r="AD9750">
        <v>1</v>
      </c>
      <c r="AE9750">
        <v>1</v>
      </c>
      <c r="AF9750">
        <v>1</v>
      </c>
      <c r="AG9750">
        <v>1</v>
      </c>
      <c r="AH9750">
        <v>1</v>
      </c>
      <c r="AI9750">
        <v>1</v>
      </c>
      <c r="AJ9750">
        <v>1</v>
      </c>
      <c r="AK9750">
        <v>1</v>
      </c>
      <c r="AL9750">
        <v>1</v>
      </c>
      <c r="AM9750">
        <v>1</v>
      </c>
    </row>
    <row r="9751" spans="1:39" x14ac:dyDescent="0.2">
      <c r="A9751" t="str">
        <f>"9747"</f>
        <v>9747</v>
      </c>
      <c r="B9751" t="str">
        <f t="shared" si="541"/>
        <v>1</v>
      </c>
      <c r="C9751" t="str">
        <f t="shared" si="542"/>
        <v>195</v>
      </c>
      <c r="D9751" t="str">
        <f>"14"</f>
        <v>14</v>
      </c>
      <c r="E9751" t="str">
        <f>"1-195-14"</f>
        <v>1-195-14</v>
      </c>
      <c r="F9751" t="s">
        <v>65</v>
      </c>
      <c r="G9751" t="s">
        <v>66</v>
      </c>
      <c r="H9751" t="s">
        <v>68</v>
      </c>
      <c r="I9751">
        <v>1</v>
      </c>
      <c r="J9751">
        <v>0</v>
      </c>
      <c r="K9751">
        <v>0</v>
      </c>
      <c r="L9751">
        <v>1</v>
      </c>
      <c r="M9751">
        <v>1</v>
      </c>
      <c r="N9751">
        <v>1</v>
      </c>
      <c r="O9751">
        <v>1</v>
      </c>
      <c r="P9751">
        <v>1</v>
      </c>
      <c r="Q9751">
        <v>1</v>
      </c>
      <c r="R9751">
        <v>1</v>
      </c>
    </row>
    <row r="9752" spans="1:39" x14ac:dyDescent="0.2">
      <c r="A9752" t="str">
        <f>"9748"</f>
        <v>9748</v>
      </c>
      <c r="B9752" t="str">
        <f t="shared" si="541"/>
        <v>1</v>
      </c>
      <c r="C9752" t="str">
        <f t="shared" si="542"/>
        <v>195</v>
      </c>
      <c r="D9752" t="str">
        <f>"50"</f>
        <v>50</v>
      </c>
      <c r="E9752" t="str">
        <f>"1-195-50"</f>
        <v>1-195-50</v>
      </c>
      <c r="F9752" t="s">
        <v>65</v>
      </c>
      <c r="G9752" t="s">
        <v>66</v>
      </c>
      <c r="H9752" t="s">
        <v>67</v>
      </c>
      <c r="S9752">
        <v>1</v>
      </c>
      <c r="T9752">
        <v>0</v>
      </c>
      <c r="U9752">
        <v>0</v>
      </c>
      <c r="V9752">
        <v>0</v>
      </c>
      <c r="W9752">
        <v>1</v>
      </c>
      <c r="X9752">
        <v>0</v>
      </c>
      <c r="Y9752">
        <v>1</v>
      </c>
      <c r="Z9752">
        <v>0</v>
      </c>
      <c r="AA9752">
        <v>0</v>
      </c>
      <c r="AB9752">
        <v>1</v>
      </c>
      <c r="AC9752">
        <v>0</v>
      </c>
      <c r="AD9752">
        <v>1</v>
      </c>
      <c r="AE9752">
        <v>1</v>
      </c>
      <c r="AF9752">
        <v>1</v>
      </c>
      <c r="AG9752">
        <v>1</v>
      </c>
      <c r="AH9752">
        <v>1</v>
      </c>
      <c r="AI9752">
        <v>1</v>
      </c>
      <c r="AJ9752">
        <v>1</v>
      </c>
      <c r="AK9752">
        <v>1</v>
      </c>
      <c r="AL9752">
        <v>1</v>
      </c>
      <c r="AM9752">
        <v>1</v>
      </c>
    </row>
    <row r="9753" spans="1:39" x14ac:dyDescent="0.2">
      <c r="A9753" t="str">
        <f>"9749"</f>
        <v>9749</v>
      </c>
      <c r="B9753" t="str">
        <f t="shared" si="541"/>
        <v>1</v>
      </c>
      <c r="C9753" t="str">
        <f t="shared" si="542"/>
        <v>195</v>
      </c>
      <c r="D9753" t="str">
        <f>"32"</f>
        <v>32</v>
      </c>
      <c r="E9753" t="str">
        <f>"1-195-32"</f>
        <v>1-195-32</v>
      </c>
      <c r="F9753" t="s">
        <v>65</v>
      </c>
      <c r="G9753" t="s">
        <v>66</v>
      </c>
      <c r="H9753" t="s">
        <v>67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1</v>
      </c>
      <c r="Y9753">
        <v>1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1</v>
      </c>
      <c r="AJ9753">
        <v>0</v>
      </c>
      <c r="AK9753">
        <v>1</v>
      </c>
      <c r="AL9753">
        <v>1</v>
      </c>
      <c r="AM9753">
        <v>0</v>
      </c>
    </row>
    <row r="9754" spans="1:39" x14ac:dyDescent="0.2">
      <c r="A9754" t="str">
        <f>"9750"</f>
        <v>9750</v>
      </c>
      <c r="B9754" t="str">
        <f t="shared" si="541"/>
        <v>1</v>
      </c>
      <c r="C9754" t="str">
        <f t="shared" si="542"/>
        <v>195</v>
      </c>
      <c r="D9754" t="str">
        <f>"3"</f>
        <v>3</v>
      </c>
      <c r="E9754" t="str">
        <f>"1-195-3"</f>
        <v>1-195-3</v>
      </c>
      <c r="F9754" t="s">
        <v>65</v>
      </c>
      <c r="G9754" t="s">
        <v>66</v>
      </c>
      <c r="H9754" t="s">
        <v>68</v>
      </c>
      <c r="I9754">
        <v>1</v>
      </c>
      <c r="J9754">
        <v>0</v>
      </c>
      <c r="K9754">
        <v>0</v>
      </c>
      <c r="L9754">
        <v>1</v>
      </c>
      <c r="M9754">
        <v>1</v>
      </c>
      <c r="N9754">
        <v>1</v>
      </c>
      <c r="O9754">
        <v>1</v>
      </c>
      <c r="P9754">
        <v>1</v>
      </c>
      <c r="Q9754">
        <v>1</v>
      </c>
      <c r="R9754">
        <v>1</v>
      </c>
    </row>
    <row r="9755" spans="1:39" x14ac:dyDescent="0.2">
      <c r="A9755" t="str">
        <f>"9751"</f>
        <v>9751</v>
      </c>
      <c r="B9755" t="str">
        <f t="shared" si="541"/>
        <v>1</v>
      </c>
      <c r="C9755" t="str">
        <f t="shared" ref="C9755:C9786" si="543">"196"</f>
        <v>196</v>
      </c>
      <c r="D9755" t="str">
        <f>"35"</f>
        <v>35</v>
      </c>
      <c r="E9755" t="str">
        <f>"1-196-35"</f>
        <v>1-196-35</v>
      </c>
      <c r="F9755" t="s">
        <v>65</v>
      </c>
      <c r="G9755" t="s">
        <v>66</v>
      </c>
      <c r="H9755" t="s">
        <v>68</v>
      </c>
      <c r="I9755">
        <v>1</v>
      </c>
      <c r="J9755">
        <v>0</v>
      </c>
      <c r="K9755">
        <v>1</v>
      </c>
      <c r="L9755">
        <v>0</v>
      </c>
      <c r="M9755">
        <v>1</v>
      </c>
      <c r="N9755">
        <v>1</v>
      </c>
      <c r="O9755">
        <v>1</v>
      </c>
      <c r="P9755">
        <v>1</v>
      </c>
      <c r="Q9755">
        <v>1</v>
      </c>
      <c r="R9755">
        <v>1</v>
      </c>
    </row>
    <row r="9756" spans="1:39" x14ac:dyDescent="0.2">
      <c r="A9756" t="str">
        <f>"9752"</f>
        <v>9752</v>
      </c>
      <c r="B9756" t="str">
        <f t="shared" si="541"/>
        <v>1</v>
      </c>
      <c r="C9756" t="str">
        <f t="shared" si="543"/>
        <v>196</v>
      </c>
      <c r="D9756" t="str">
        <f>"34"</f>
        <v>34</v>
      </c>
      <c r="E9756" t="str">
        <f>"1-196-34"</f>
        <v>1-196-34</v>
      </c>
      <c r="F9756" t="s">
        <v>65</v>
      </c>
      <c r="G9756" t="s">
        <v>66</v>
      </c>
      <c r="H9756" t="s">
        <v>67</v>
      </c>
      <c r="S9756">
        <v>0</v>
      </c>
      <c r="T9756">
        <v>1</v>
      </c>
      <c r="U9756">
        <v>0</v>
      </c>
      <c r="V9756">
        <v>0</v>
      </c>
      <c r="W9756">
        <v>0</v>
      </c>
      <c r="X9756">
        <v>1</v>
      </c>
      <c r="Y9756">
        <v>0</v>
      </c>
      <c r="Z9756">
        <v>1</v>
      </c>
      <c r="AA9756">
        <v>0</v>
      </c>
      <c r="AB9756">
        <v>0</v>
      </c>
      <c r="AC9756">
        <v>1</v>
      </c>
      <c r="AD9756">
        <v>1</v>
      </c>
      <c r="AE9756">
        <v>1</v>
      </c>
      <c r="AF9756">
        <v>1</v>
      </c>
      <c r="AG9756">
        <v>1</v>
      </c>
      <c r="AH9756">
        <v>1</v>
      </c>
      <c r="AI9756">
        <v>1</v>
      </c>
      <c r="AJ9756">
        <v>1</v>
      </c>
      <c r="AK9756">
        <v>1</v>
      </c>
      <c r="AL9756">
        <v>1</v>
      </c>
      <c r="AM9756">
        <v>1</v>
      </c>
    </row>
    <row r="9757" spans="1:39" x14ac:dyDescent="0.2">
      <c r="A9757" t="str">
        <f>"9753"</f>
        <v>9753</v>
      </c>
      <c r="B9757" t="str">
        <f t="shared" si="541"/>
        <v>1</v>
      </c>
      <c r="C9757" t="str">
        <f t="shared" si="543"/>
        <v>196</v>
      </c>
      <c r="D9757" t="str">
        <f>"22"</f>
        <v>22</v>
      </c>
      <c r="E9757" t="str">
        <f>"1-196-22"</f>
        <v>1-196-22</v>
      </c>
      <c r="F9757" t="s">
        <v>65</v>
      </c>
      <c r="G9757" t="s">
        <v>66</v>
      </c>
      <c r="H9757" t="s">
        <v>67</v>
      </c>
      <c r="S9757">
        <v>1</v>
      </c>
      <c r="T9757">
        <v>0</v>
      </c>
      <c r="U9757">
        <v>0</v>
      </c>
      <c r="V9757">
        <v>0</v>
      </c>
      <c r="W9757">
        <v>1</v>
      </c>
      <c r="X9757">
        <v>0</v>
      </c>
      <c r="Y9757">
        <v>1</v>
      </c>
      <c r="Z9757">
        <v>0</v>
      </c>
      <c r="AA9757">
        <v>0</v>
      </c>
      <c r="AB9757">
        <v>1</v>
      </c>
      <c r="AC9757">
        <v>0</v>
      </c>
      <c r="AD9757">
        <v>1</v>
      </c>
      <c r="AE9757">
        <v>1</v>
      </c>
      <c r="AF9757">
        <v>1</v>
      </c>
      <c r="AG9757">
        <v>1</v>
      </c>
      <c r="AH9757">
        <v>1</v>
      </c>
      <c r="AI9757">
        <v>1</v>
      </c>
      <c r="AJ9757">
        <v>1</v>
      </c>
      <c r="AK9757">
        <v>1</v>
      </c>
      <c r="AL9757">
        <v>1</v>
      </c>
      <c r="AM9757">
        <v>1</v>
      </c>
    </row>
    <row r="9758" spans="1:39" x14ac:dyDescent="0.2">
      <c r="A9758" t="str">
        <f>"9754"</f>
        <v>9754</v>
      </c>
      <c r="B9758" t="str">
        <f t="shared" si="541"/>
        <v>1</v>
      </c>
      <c r="C9758" t="str">
        <f t="shared" si="543"/>
        <v>196</v>
      </c>
      <c r="D9758" t="str">
        <f>"15"</f>
        <v>15</v>
      </c>
      <c r="E9758" t="str">
        <f>"1-196-15"</f>
        <v>1-196-15</v>
      </c>
      <c r="F9758" t="s">
        <v>65</v>
      </c>
      <c r="G9758" t="s">
        <v>66</v>
      </c>
      <c r="H9758" t="s">
        <v>67</v>
      </c>
      <c r="S9758">
        <v>0</v>
      </c>
      <c r="T9758">
        <v>1</v>
      </c>
      <c r="U9758">
        <v>0</v>
      </c>
      <c r="V9758">
        <v>0</v>
      </c>
      <c r="W9758">
        <v>0</v>
      </c>
      <c r="X9758">
        <v>1</v>
      </c>
      <c r="Y9758">
        <v>0</v>
      </c>
      <c r="Z9758">
        <v>1</v>
      </c>
      <c r="AA9758">
        <v>0</v>
      </c>
      <c r="AB9758">
        <v>0</v>
      </c>
      <c r="AC9758">
        <v>1</v>
      </c>
      <c r="AD9758">
        <v>1</v>
      </c>
      <c r="AE9758">
        <v>1</v>
      </c>
      <c r="AF9758">
        <v>1</v>
      </c>
      <c r="AG9758">
        <v>1</v>
      </c>
      <c r="AH9758">
        <v>1</v>
      </c>
      <c r="AI9758">
        <v>1</v>
      </c>
      <c r="AJ9758">
        <v>1</v>
      </c>
      <c r="AK9758">
        <v>1</v>
      </c>
      <c r="AL9758">
        <v>1</v>
      </c>
      <c r="AM9758">
        <v>1</v>
      </c>
    </row>
    <row r="9759" spans="1:39" x14ac:dyDescent="0.2">
      <c r="A9759" t="str">
        <f>"9755"</f>
        <v>9755</v>
      </c>
      <c r="B9759" t="str">
        <f t="shared" si="541"/>
        <v>1</v>
      </c>
      <c r="C9759" t="str">
        <f t="shared" si="543"/>
        <v>196</v>
      </c>
      <c r="D9759" t="str">
        <f>"12"</f>
        <v>12</v>
      </c>
      <c r="E9759" t="str">
        <f>"1-196-12"</f>
        <v>1-196-12</v>
      </c>
      <c r="F9759" t="s">
        <v>65</v>
      </c>
      <c r="G9759" t="s">
        <v>66</v>
      </c>
      <c r="H9759" t="s">
        <v>68</v>
      </c>
      <c r="I9759">
        <v>1</v>
      </c>
      <c r="J9759">
        <v>0</v>
      </c>
      <c r="K9759">
        <v>1</v>
      </c>
      <c r="L9759">
        <v>0</v>
      </c>
      <c r="M9759">
        <v>1</v>
      </c>
      <c r="N9759">
        <v>1</v>
      </c>
      <c r="O9759">
        <v>1</v>
      </c>
      <c r="P9759">
        <v>1</v>
      </c>
      <c r="Q9759">
        <v>1</v>
      </c>
      <c r="R9759">
        <v>1</v>
      </c>
    </row>
    <row r="9760" spans="1:39" x14ac:dyDescent="0.2">
      <c r="A9760" t="str">
        <f>"9756"</f>
        <v>9756</v>
      </c>
      <c r="B9760" t="str">
        <f t="shared" si="541"/>
        <v>1</v>
      </c>
      <c r="C9760" t="str">
        <f t="shared" si="543"/>
        <v>196</v>
      </c>
      <c r="D9760" t="str">
        <f>"39"</f>
        <v>39</v>
      </c>
      <c r="E9760" t="str">
        <f>"1-196-39"</f>
        <v>1-196-39</v>
      </c>
      <c r="F9760" t="s">
        <v>65</v>
      </c>
      <c r="G9760" t="s">
        <v>66</v>
      </c>
      <c r="H9760" t="s">
        <v>67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1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</row>
    <row r="9761" spans="1:39" x14ac:dyDescent="0.2">
      <c r="A9761" t="str">
        <f>"9757"</f>
        <v>9757</v>
      </c>
      <c r="B9761" t="str">
        <f t="shared" si="541"/>
        <v>1</v>
      </c>
      <c r="C9761" t="str">
        <f t="shared" si="543"/>
        <v>196</v>
      </c>
      <c r="D9761" t="str">
        <f>"38"</f>
        <v>38</v>
      </c>
      <c r="E9761" t="str">
        <f>"1-196-38"</f>
        <v>1-196-38</v>
      </c>
      <c r="F9761" t="s">
        <v>65</v>
      </c>
      <c r="G9761" t="s">
        <v>66</v>
      </c>
      <c r="H9761" t="s">
        <v>68</v>
      </c>
      <c r="I9761">
        <v>1</v>
      </c>
      <c r="J9761">
        <v>0</v>
      </c>
      <c r="K9761">
        <v>0</v>
      </c>
      <c r="L9761">
        <v>1</v>
      </c>
      <c r="M9761">
        <v>1</v>
      </c>
      <c r="N9761">
        <v>1</v>
      </c>
      <c r="O9761">
        <v>1</v>
      </c>
      <c r="P9761">
        <v>1</v>
      </c>
      <c r="Q9761">
        <v>1</v>
      </c>
      <c r="R9761">
        <v>1</v>
      </c>
    </row>
    <row r="9762" spans="1:39" x14ac:dyDescent="0.2">
      <c r="A9762" t="str">
        <f>"9758"</f>
        <v>9758</v>
      </c>
      <c r="B9762" t="str">
        <f t="shared" si="541"/>
        <v>1</v>
      </c>
      <c r="C9762" t="str">
        <f t="shared" si="543"/>
        <v>196</v>
      </c>
      <c r="D9762" t="str">
        <f>"23"</f>
        <v>23</v>
      </c>
      <c r="E9762" t="str">
        <f>"1-196-23"</f>
        <v>1-196-23</v>
      </c>
      <c r="F9762" t="s">
        <v>65</v>
      </c>
      <c r="G9762" t="s">
        <v>66</v>
      </c>
      <c r="H9762" t="s">
        <v>67</v>
      </c>
      <c r="S9762">
        <v>0</v>
      </c>
      <c r="T9762">
        <v>1</v>
      </c>
      <c r="U9762">
        <v>0</v>
      </c>
      <c r="V9762">
        <v>0</v>
      </c>
      <c r="W9762">
        <v>1</v>
      </c>
      <c r="X9762">
        <v>0</v>
      </c>
      <c r="Y9762">
        <v>1</v>
      </c>
      <c r="Z9762">
        <v>0</v>
      </c>
      <c r="AA9762">
        <v>0</v>
      </c>
      <c r="AB9762">
        <v>1</v>
      </c>
      <c r="AC9762">
        <v>0</v>
      </c>
      <c r="AD9762">
        <v>1</v>
      </c>
      <c r="AE9762">
        <v>1</v>
      </c>
      <c r="AF9762">
        <v>1</v>
      </c>
      <c r="AG9762">
        <v>1</v>
      </c>
      <c r="AH9762">
        <v>1</v>
      </c>
      <c r="AI9762">
        <v>1</v>
      </c>
      <c r="AJ9762">
        <v>1</v>
      </c>
      <c r="AK9762">
        <v>1</v>
      </c>
      <c r="AL9762">
        <v>1</v>
      </c>
      <c r="AM9762">
        <v>1</v>
      </c>
    </row>
    <row r="9763" spans="1:39" x14ac:dyDescent="0.2">
      <c r="A9763" t="str">
        <f>"9759"</f>
        <v>9759</v>
      </c>
      <c r="B9763" t="str">
        <f t="shared" si="541"/>
        <v>1</v>
      </c>
      <c r="C9763" t="str">
        <f t="shared" si="543"/>
        <v>196</v>
      </c>
      <c r="D9763" t="str">
        <f>"16"</f>
        <v>16</v>
      </c>
      <c r="E9763" t="str">
        <f>"1-196-16"</f>
        <v>1-196-16</v>
      </c>
      <c r="F9763" t="s">
        <v>65</v>
      </c>
      <c r="G9763" t="s">
        <v>66</v>
      </c>
      <c r="H9763" t="s">
        <v>67</v>
      </c>
      <c r="S9763">
        <v>0</v>
      </c>
      <c r="T9763">
        <v>1</v>
      </c>
      <c r="U9763">
        <v>0</v>
      </c>
      <c r="V9763">
        <v>0</v>
      </c>
      <c r="W9763">
        <v>0</v>
      </c>
      <c r="X9763">
        <v>1</v>
      </c>
      <c r="Y9763">
        <v>0</v>
      </c>
      <c r="Z9763">
        <v>0</v>
      </c>
      <c r="AA9763">
        <v>0</v>
      </c>
      <c r="AB9763">
        <v>0</v>
      </c>
      <c r="AC9763">
        <v>1</v>
      </c>
      <c r="AD9763">
        <v>0</v>
      </c>
      <c r="AE9763">
        <v>0</v>
      </c>
      <c r="AF9763">
        <v>0</v>
      </c>
      <c r="AG9763">
        <v>1</v>
      </c>
      <c r="AH9763">
        <v>1</v>
      </c>
      <c r="AI9763">
        <v>1</v>
      </c>
      <c r="AJ9763">
        <v>1</v>
      </c>
      <c r="AK9763">
        <v>1</v>
      </c>
      <c r="AL9763">
        <v>1</v>
      </c>
      <c r="AM9763">
        <v>1</v>
      </c>
    </row>
    <row r="9764" spans="1:39" x14ac:dyDescent="0.2">
      <c r="A9764" t="str">
        <f>"9760"</f>
        <v>9760</v>
      </c>
      <c r="B9764" t="str">
        <f t="shared" si="541"/>
        <v>1</v>
      </c>
      <c r="C9764" t="str">
        <f t="shared" si="543"/>
        <v>196</v>
      </c>
      <c r="D9764" t="str">
        <f>"1"</f>
        <v>1</v>
      </c>
      <c r="E9764" t="str">
        <f>"1-196-1"</f>
        <v>1-196-1</v>
      </c>
      <c r="F9764" t="s">
        <v>65</v>
      </c>
      <c r="G9764" t="s">
        <v>66</v>
      </c>
      <c r="H9764" t="s">
        <v>67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1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</row>
    <row r="9765" spans="1:39" x14ac:dyDescent="0.2">
      <c r="A9765" t="str">
        <f>"9761"</f>
        <v>9761</v>
      </c>
      <c r="B9765" t="str">
        <f t="shared" si="541"/>
        <v>1</v>
      </c>
      <c r="C9765" t="str">
        <f t="shared" si="543"/>
        <v>196</v>
      </c>
      <c r="D9765" t="str">
        <f>"42"</f>
        <v>42</v>
      </c>
      <c r="E9765" t="str">
        <f>"1-196-42"</f>
        <v>1-196-42</v>
      </c>
      <c r="F9765" t="s">
        <v>65</v>
      </c>
      <c r="G9765" t="s">
        <v>66</v>
      </c>
      <c r="H9765" t="s">
        <v>67</v>
      </c>
      <c r="S9765">
        <v>1</v>
      </c>
      <c r="T9765">
        <v>0</v>
      </c>
      <c r="U9765">
        <v>0</v>
      </c>
      <c r="V9765">
        <v>0</v>
      </c>
      <c r="W9765">
        <v>0</v>
      </c>
      <c r="X9765">
        <v>1</v>
      </c>
      <c r="Y9765">
        <v>1</v>
      </c>
      <c r="Z9765">
        <v>0</v>
      </c>
      <c r="AA9765">
        <v>0</v>
      </c>
      <c r="AB9765">
        <v>0</v>
      </c>
      <c r="AC9765">
        <v>1</v>
      </c>
      <c r="AD9765">
        <v>1</v>
      </c>
      <c r="AE9765">
        <v>1</v>
      </c>
      <c r="AF9765">
        <v>1</v>
      </c>
      <c r="AG9765">
        <v>1</v>
      </c>
      <c r="AH9765">
        <v>1</v>
      </c>
      <c r="AI9765">
        <v>1</v>
      </c>
      <c r="AJ9765">
        <v>1</v>
      </c>
      <c r="AK9765">
        <v>1</v>
      </c>
      <c r="AL9765">
        <v>1</v>
      </c>
      <c r="AM9765">
        <v>1</v>
      </c>
    </row>
    <row r="9766" spans="1:39" x14ac:dyDescent="0.2">
      <c r="A9766" t="str">
        <f>"9762"</f>
        <v>9762</v>
      </c>
      <c r="B9766" t="str">
        <f t="shared" si="541"/>
        <v>1</v>
      </c>
      <c r="C9766" t="str">
        <f t="shared" si="543"/>
        <v>196</v>
      </c>
      <c r="D9766" t="str">
        <f>"41"</f>
        <v>41</v>
      </c>
      <c r="E9766" t="str">
        <f>"1-196-41"</f>
        <v>1-196-41</v>
      </c>
      <c r="F9766" t="s">
        <v>65</v>
      </c>
      <c r="G9766" t="s">
        <v>66</v>
      </c>
      <c r="H9766" t="s">
        <v>67</v>
      </c>
      <c r="S9766">
        <v>0</v>
      </c>
      <c r="T9766">
        <v>1</v>
      </c>
      <c r="U9766">
        <v>0</v>
      </c>
      <c r="V9766">
        <v>0</v>
      </c>
      <c r="W9766">
        <v>0</v>
      </c>
      <c r="X9766">
        <v>1</v>
      </c>
      <c r="Y9766">
        <v>0</v>
      </c>
      <c r="Z9766">
        <v>1</v>
      </c>
      <c r="AA9766">
        <v>0</v>
      </c>
      <c r="AB9766">
        <v>0</v>
      </c>
      <c r="AC9766">
        <v>1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</row>
    <row r="9767" spans="1:39" x14ac:dyDescent="0.2">
      <c r="A9767" t="str">
        <f>"9763"</f>
        <v>9763</v>
      </c>
      <c r="B9767" t="str">
        <f t="shared" si="541"/>
        <v>1</v>
      </c>
      <c r="C9767" t="str">
        <f t="shared" si="543"/>
        <v>196</v>
      </c>
      <c r="D9767" t="str">
        <f>"25"</f>
        <v>25</v>
      </c>
      <c r="E9767" t="str">
        <f>"1-196-25"</f>
        <v>1-196-25</v>
      </c>
      <c r="F9767" t="s">
        <v>65</v>
      </c>
      <c r="G9767" t="s">
        <v>66</v>
      </c>
      <c r="H9767" t="s">
        <v>67</v>
      </c>
      <c r="S9767">
        <v>1</v>
      </c>
      <c r="T9767">
        <v>0</v>
      </c>
      <c r="U9767">
        <v>0</v>
      </c>
      <c r="V9767">
        <v>0</v>
      </c>
      <c r="W9767">
        <v>1</v>
      </c>
      <c r="X9767">
        <v>0</v>
      </c>
      <c r="Y9767">
        <v>1</v>
      </c>
      <c r="Z9767">
        <v>0</v>
      </c>
      <c r="AA9767">
        <v>0</v>
      </c>
      <c r="AB9767">
        <v>0</v>
      </c>
      <c r="AC9767">
        <v>1</v>
      </c>
      <c r="AD9767">
        <v>1</v>
      </c>
      <c r="AE9767">
        <v>1</v>
      </c>
      <c r="AF9767">
        <v>1</v>
      </c>
      <c r="AG9767">
        <v>1</v>
      </c>
      <c r="AH9767">
        <v>1</v>
      </c>
      <c r="AI9767">
        <v>1</v>
      </c>
      <c r="AJ9767">
        <v>1</v>
      </c>
      <c r="AK9767">
        <v>1</v>
      </c>
      <c r="AL9767">
        <v>1</v>
      </c>
      <c r="AM9767">
        <v>1</v>
      </c>
    </row>
    <row r="9768" spans="1:39" x14ac:dyDescent="0.2">
      <c r="A9768" t="str">
        <f>"9764"</f>
        <v>9764</v>
      </c>
      <c r="B9768" t="str">
        <f t="shared" si="541"/>
        <v>1</v>
      </c>
      <c r="C9768" t="str">
        <f t="shared" si="543"/>
        <v>196</v>
      </c>
      <c r="D9768" t="str">
        <f>"17"</f>
        <v>17</v>
      </c>
      <c r="E9768" t="str">
        <f>"1-196-17"</f>
        <v>1-196-17</v>
      </c>
      <c r="F9768" t="s">
        <v>65</v>
      </c>
      <c r="G9768" t="s">
        <v>66</v>
      </c>
      <c r="H9768" t="s">
        <v>67</v>
      </c>
      <c r="S9768">
        <v>0</v>
      </c>
      <c r="T9768">
        <v>1</v>
      </c>
      <c r="U9768">
        <v>0</v>
      </c>
      <c r="V9768">
        <v>0</v>
      </c>
      <c r="W9768">
        <v>1</v>
      </c>
      <c r="X9768">
        <v>0</v>
      </c>
      <c r="Y9768">
        <v>1</v>
      </c>
      <c r="Z9768">
        <v>0</v>
      </c>
      <c r="AA9768">
        <v>0</v>
      </c>
      <c r="AB9768">
        <v>0</v>
      </c>
      <c r="AC9768">
        <v>1</v>
      </c>
      <c r="AD9768">
        <v>1</v>
      </c>
      <c r="AE9768">
        <v>1</v>
      </c>
      <c r="AF9768">
        <v>1</v>
      </c>
      <c r="AG9768">
        <v>1</v>
      </c>
      <c r="AH9768">
        <v>0</v>
      </c>
      <c r="AI9768">
        <v>1</v>
      </c>
      <c r="AJ9768">
        <v>1</v>
      </c>
      <c r="AK9768">
        <v>1</v>
      </c>
      <c r="AL9768">
        <v>1</v>
      </c>
      <c r="AM9768">
        <v>1</v>
      </c>
    </row>
    <row r="9769" spans="1:39" x14ac:dyDescent="0.2">
      <c r="A9769" t="str">
        <f>"9765"</f>
        <v>9765</v>
      </c>
      <c r="B9769" t="str">
        <f t="shared" si="541"/>
        <v>1</v>
      </c>
      <c r="C9769" t="str">
        <f t="shared" si="543"/>
        <v>196</v>
      </c>
      <c r="D9769" t="str">
        <f>"6"</f>
        <v>6</v>
      </c>
      <c r="E9769" t="str">
        <f>"1-196-6"</f>
        <v>1-196-6</v>
      </c>
      <c r="F9769" t="s">
        <v>65</v>
      </c>
      <c r="G9769" t="s">
        <v>66</v>
      </c>
      <c r="H9769" t="s">
        <v>67</v>
      </c>
      <c r="S9769">
        <v>1</v>
      </c>
      <c r="T9769">
        <v>0</v>
      </c>
      <c r="U9769">
        <v>0</v>
      </c>
      <c r="V9769">
        <v>0</v>
      </c>
      <c r="W9769">
        <v>1</v>
      </c>
      <c r="X9769">
        <v>0</v>
      </c>
      <c r="Y9769">
        <v>1</v>
      </c>
      <c r="Z9769">
        <v>0</v>
      </c>
      <c r="AA9769">
        <v>1</v>
      </c>
      <c r="AB9769">
        <v>0</v>
      </c>
      <c r="AC9769">
        <v>0</v>
      </c>
      <c r="AD9769">
        <v>1</v>
      </c>
      <c r="AE9769">
        <v>1</v>
      </c>
      <c r="AF9769">
        <v>1</v>
      </c>
      <c r="AG9769">
        <v>1</v>
      </c>
      <c r="AH9769">
        <v>1</v>
      </c>
      <c r="AI9769">
        <v>1</v>
      </c>
      <c r="AJ9769">
        <v>1</v>
      </c>
      <c r="AK9769">
        <v>1</v>
      </c>
      <c r="AL9769">
        <v>1</v>
      </c>
      <c r="AM9769">
        <v>1</v>
      </c>
    </row>
    <row r="9770" spans="1:39" x14ac:dyDescent="0.2">
      <c r="A9770" t="str">
        <f>"9766"</f>
        <v>9766</v>
      </c>
      <c r="B9770" t="str">
        <f t="shared" si="541"/>
        <v>1</v>
      </c>
      <c r="C9770" t="str">
        <f t="shared" si="543"/>
        <v>196</v>
      </c>
      <c r="D9770" t="str">
        <f>"37"</f>
        <v>37</v>
      </c>
      <c r="E9770" t="str">
        <f>"1-196-37"</f>
        <v>1-196-37</v>
      </c>
      <c r="F9770" t="s">
        <v>65</v>
      </c>
      <c r="G9770" t="s">
        <v>66</v>
      </c>
      <c r="H9770" t="s">
        <v>67</v>
      </c>
      <c r="S9770">
        <v>0</v>
      </c>
      <c r="T9770">
        <v>1</v>
      </c>
      <c r="U9770">
        <v>0</v>
      </c>
      <c r="V9770">
        <v>0</v>
      </c>
      <c r="W9770">
        <v>0</v>
      </c>
      <c r="X9770">
        <v>1</v>
      </c>
      <c r="Y9770">
        <v>0</v>
      </c>
      <c r="Z9770">
        <v>1</v>
      </c>
      <c r="AA9770">
        <v>0</v>
      </c>
      <c r="AB9770">
        <v>0</v>
      </c>
      <c r="AC9770">
        <v>1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</row>
    <row r="9771" spans="1:39" x14ac:dyDescent="0.2">
      <c r="A9771" t="str">
        <f>"9767"</f>
        <v>9767</v>
      </c>
      <c r="B9771" t="str">
        <f t="shared" si="541"/>
        <v>1</v>
      </c>
      <c r="C9771" t="str">
        <f t="shared" si="543"/>
        <v>196</v>
      </c>
      <c r="D9771" t="str">
        <f>"36"</f>
        <v>36</v>
      </c>
      <c r="E9771" t="str">
        <f>"1-196-36"</f>
        <v>1-196-36</v>
      </c>
      <c r="F9771" t="s">
        <v>65</v>
      </c>
      <c r="G9771" t="s">
        <v>66</v>
      </c>
      <c r="H9771" t="s">
        <v>67</v>
      </c>
      <c r="S9771">
        <v>0</v>
      </c>
      <c r="T9771">
        <v>1</v>
      </c>
      <c r="U9771">
        <v>0</v>
      </c>
      <c r="V9771">
        <v>0</v>
      </c>
      <c r="W9771">
        <v>0</v>
      </c>
      <c r="X9771">
        <v>1</v>
      </c>
      <c r="Y9771">
        <v>0</v>
      </c>
      <c r="Z9771">
        <v>1</v>
      </c>
      <c r="AA9771">
        <v>0</v>
      </c>
      <c r="AB9771">
        <v>0</v>
      </c>
      <c r="AC9771">
        <v>1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</row>
    <row r="9772" spans="1:39" x14ac:dyDescent="0.2">
      <c r="A9772" t="str">
        <f>"9768"</f>
        <v>9768</v>
      </c>
      <c r="B9772" t="str">
        <f t="shared" si="541"/>
        <v>1</v>
      </c>
      <c r="C9772" t="str">
        <f t="shared" si="543"/>
        <v>196</v>
      </c>
      <c r="D9772" t="str">
        <f>"24"</f>
        <v>24</v>
      </c>
      <c r="E9772" t="str">
        <f>"1-196-24"</f>
        <v>1-196-24</v>
      </c>
      <c r="F9772" t="s">
        <v>65</v>
      </c>
      <c r="G9772" t="s">
        <v>66</v>
      </c>
      <c r="H9772" t="s">
        <v>67</v>
      </c>
      <c r="S9772">
        <v>0</v>
      </c>
      <c r="T9772">
        <v>1</v>
      </c>
      <c r="U9772">
        <v>0</v>
      </c>
      <c r="V9772">
        <v>0</v>
      </c>
      <c r="W9772">
        <v>0</v>
      </c>
      <c r="X9772">
        <v>1</v>
      </c>
      <c r="Y9772">
        <v>0</v>
      </c>
      <c r="Z9772">
        <v>1</v>
      </c>
      <c r="AA9772">
        <v>0</v>
      </c>
      <c r="AB9772">
        <v>0</v>
      </c>
      <c r="AC9772">
        <v>1</v>
      </c>
      <c r="AD9772">
        <v>1</v>
      </c>
      <c r="AE9772">
        <v>1</v>
      </c>
      <c r="AF9772">
        <v>1</v>
      </c>
      <c r="AG9772">
        <v>1</v>
      </c>
      <c r="AH9772">
        <v>1</v>
      </c>
      <c r="AI9772">
        <v>1</v>
      </c>
      <c r="AJ9772">
        <v>1</v>
      </c>
      <c r="AK9772">
        <v>1</v>
      </c>
      <c r="AL9772">
        <v>1</v>
      </c>
      <c r="AM9772">
        <v>1</v>
      </c>
    </row>
    <row r="9773" spans="1:39" x14ac:dyDescent="0.2">
      <c r="A9773" t="str">
        <f>"9769"</f>
        <v>9769</v>
      </c>
      <c r="B9773" t="str">
        <f t="shared" si="541"/>
        <v>1</v>
      </c>
      <c r="C9773" t="str">
        <f t="shared" si="543"/>
        <v>196</v>
      </c>
      <c r="D9773" t="str">
        <f>"18"</f>
        <v>18</v>
      </c>
      <c r="E9773" t="str">
        <f>"1-196-18"</f>
        <v>1-196-18</v>
      </c>
      <c r="F9773" t="s">
        <v>65</v>
      </c>
      <c r="G9773" t="s">
        <v>66</v>
      </c>
      <c r="H9773" t="s">
        <v>68</v>
      </c>
      <c r="I9773">
        <v>1</v>
      </c>
      <c r="J9773">
        <v>0</v>
      </c>
      <c r="K9773">
        <v>1</v>
      </c>
      <c r="L9773">
        <v>0</v>
      </c>
      <c r="M9773">
        <v>1</v>
      </c>
      <c r="N9773">
        <v>1</v>
      </c>
      <c r="O9773">
        <v>1</v>
      </c>
      <c r="P9773">
        <v>1</v>
      </c>
      <c r="Q9773">
        <v>1</v>
      </c>
      <c r="R9773">
        <v>1</v>
      </c>
    </row>
    <row r="9774" spans="1:39" x14ac:dyDescent="0.2">
      <c r="A9774" t="str">
        <f>"9770"</f>
        <v>9770</v>
      </c>
      <c r="B9774" t="str">
        <f t="shared" si="541"/>
        <v>1</v>
      </c>
      <c r="C9774" t="str">
        <f t="shared" si="543"/>
        <v>196</v>
      </c>
      <c r="D9774" t="str">
        <f>"3"</f>
        <v>3</v>
      </c>
      <c r="E9774" t="str">
        <f>"1-196-3"</f>
        <v>1-196-3</v>
      </c>
      <c r="F9774" t="s">
        <v>65</v>
      </c>
      <c r="G9774" t="s">
        <v>66</v>
      </c>
      <c r="H9774" t="s">
        <v>67</v>
      </c>
      <c r="S9774">
        <v>1</v>
      </c>
      <c r="T9774">
        <v>0</v>
      </c>
      <c r="U9774">
        <v>0</v>
      </c>
      <c r="V9774">
        <v>0</v>
      </c>
      <c r="W9774">
        <v>1</v>
      </c>
      <c r="X9774">
        <v>0</v>
      </c>
      <c r="Y9774">
        <v>1</v>
      </c>
      <c r="Z9774">
        <v>0</v>
      </c>
      <c r="AA9774">
        <v>1</v>
      </c>
      <c r="AB9774">
        <v>0</v>
      </c>
      <c r="AC9774">
        <v>0</v>
      </c>
      <c r="AD9774">
        <v>1</v>
      </c>
      <c r="AE9774">
        <v>1</v>
      </c>
      <c r="AF9774">
        <v>1</v>
      </c>
      <c r="AG9774">
        <v>1</v>
      </c>
      <c r="AH9774">
        <v>1</v>
      </c>
      <c r="AI9774">
        <v>1</v>
      </c>
      <c r="AJ9774">
        <v>1</v>
      </c>
      <c r="AK9774">
        <v>1</v>
      </c>
      <c r="AL9774">
        <v>1</v>
      </c>
      <c r="AM9774">
        <v>1</v>
      </c>
    </row>
    <row r="9775" spans="1:39" x14ac:dyDescent="0.2">
      <c r="A9775" t="str">
        <f>"9771"</f>
        <v>9771</v>
      </c>
      <c r="B9775" t="str">
        <f t="shared" si="541"/>
        <v>1</v>
      </c>
      <c r="C9775" t="str">
        <f t="shared" si="543"/>
        <v>196</v>
      </c>
      <c r="D9775" t="str">
        <f>"49"</f>
        <v>49</v>
      </c>
      <c r="E9775" t="str">
        <f>"1-196-49"</f>
        <v>1-196-49</v>
      </c>
      <c r="F9775" t="s">
        <v>65</v>
      </c>
      <c r="G9775" t="s">
        <v>66</v>
      </c>
      <c r="H9775" t="s">
        <v>67</v>
      </c>
      <c r="S9775">
        <v>0</v>
      </c>
      <c r="T9775">
        <v>1</v>
      </c>
      <c r="U9775">
        <v>0</v>
      </c>
      <c r="V9775">
        <v>0</v>
      </c>
      <c r="W9775">
        <v>0</v>
      </c>
      <c r="X9775">
        <v>1</v>
      </c>
      <c r="Y9775">
        <v>0</v>
      </c>
      <c r="Z9775">
        <v>1</v>
      </c>
      <c r="AA9775">
        <v>0</v>
      </c>
      <c r="AB9775">
        <v>1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1</v>
      </c>
      <c r="AI9775">
        <v>0</v>
      </c>
      <c r="AJ9775">
        <v>0</v>
      </c>
      <c r="AK9775">
        <v>0</v>
      </c>
      <c r="AL9775">
        <v>0</v>
      </c>
      <c r="AM9775">
        <v>0</v>
      </c>
    </row>
    <row r="9776" spans="1:39" x14ac:dyDescent="0.2">
      <c r="A9776" t="str">
        <f>"9772"</f>
        <v>9772</v>
      </c>
      <c r="B9776" t="str">
        <f t="shared" si="541"/>
        <v>1</v>
      </c>
      <c r="C9776" t="str">
        <f t="shared" si="543"/>
        <v>196</v>
      </c>
      <c r="D9776" t="str">
        <f>"48"</f>
        <v>48</v>
      </c>
      <c r="E9776" t="str">
        <f>"1-196-48"</f>
        <v>1-196-48</v>
      </c>
      <c r="F9776" t="s">
        <v>65</v>
      </c>
      <c r="G9776" t="s">
        <v>66</v>
      </c>
      <c r="H9776" t="s">
        <v>67</v>
      </c>
      <c r="S9776">
        <v>1</v>
      </c>
      <c r="T9776">
        <v>0</v>
      </c>
      <c r="U9776">
        <v>0</v>
      </c>
      <c r="V9776">
        <v>0</v>
      </c>
      <c r="W9776">
        <v>1</v>
      </c>
      <c r="X9776">
        <v>0</v>
      </c>
      <c r="Y9776">
        <v>1</v>
      </c>
      <c r="Z9776">
        <v>0</v>
      </c>
      <c r="AA9776">
        <v>0</v>
      </c>
      <c r="AB9776">
        <v>0</v>
      </c>
      <c r="AC9776">
        <v>1</v>
      </c>
      <c r="AD9776">
        <v>1</v>
      </c>
      <c r="AE9776">
        <v>1</v>
      </c>
      <c r="AF9776">
        <v>1</v>
      </c>
      <c r="AG9776">
        <v>1</v>
      </c>
      <c r="AH9776">
        <v>1</v>
      </c>
      <c r="AI9776">
        <v>1</v>
      </c>
      <c r="AJ9776">
        <v>1</v>
      </c>
      <c r="AK9776">
        <v>1</v>
      </c>
      <c r="AL9776">
        <v>1</v>
      </c>
      <c r="AM9776">
        <v>1</v>
      </c>
    </row>
    <row r="9777" spans="1:39" x14ac:dyDescent="0.2">
      <c r="A9777" t="str">
        <f>"9773"</f>
        <v>9773</v>
      </c>
      <c r="B9777" t="str">
        <f t="shared" si="541"/>
        <v>1</v>
      </c>
      <c r="C9777" t="str">
        <f t="shared" si="543"/>
        <v>196</v>
      </c>
      <c r="D9777" t="str">
        <f>"33"</f>
        <v>33</v>
      </c>
      <c r="E9777" t="str">
        <f>"1-196-33"</f>
        <v>1-196-33</v>
      </c>
      <c r="F9777" t="s">
        <v>65</v>
      </c>
      <c r="G9777" t="s">
        <v>66</v>
      </c>
      <c r="H9777" t="s">
        <v>67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1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</row>
    <row r="9778" spans="1:39" x14ac:dyDescent="0.2">
      <c r="A9778" t="str">
        <f>"9774"</f>
        <v>9774</v>
      </c>
      <c r="B9778" t="str">
        <f t="shared" si="541"/>
        <v>1</v>
      </c>
      <c r="C9778" t="str">
        <f t="shared" si="543"/>
        <v>196</v>
      </c>
      <c r="D9778" t="str">
        <f>"19"</f>
        <v>19</v>
      </c>
      <c r="E9778" t="str">
        <f>"1-196-19"</f>
        <v>1-196-19</v>
      </c>
      <c r="F9778" t="s">
        <v>65</v>
      </c>
      <c r="G9778" t="s">
        <v>66</v>
      </c>
      <c r="H9778" t="s">
        <v>67</v>
      </c>
      <c r="S9778">
        <v>0</v>
      </c>
      <c r="T9778">
        <v>1</v>
      </c>
      <c r="U9778">
        <v>0</v>
      </c>
      <c r="V9778">
        <v>0</v>
      </c>
      <c r="W9778">
        <v>0</v>
      </c>
      <c r="X9778">
        <v>1</v>
      </c>
      <c r="Y9778">
        <v>1</v>
      </c>
      <c r="Z9778">
        <v>0</v>
      </c>
      <c r="AA9778">
        <v>0</v>
      </c>
      <c r="AB9778">
        <v>0</v>
      </c>
      <c r="AC9778">
        <v>1</v>
      </c>
      <c r="AD9778">
        <v>1</v>
      </c>
      <c r="AE9778">
        <v>1</v>
      </c>
      <c r="AF9778">
        <v>1</v>
      </c>
      <c r="AG9778">
        <v>1</v>
      </c>
      <c r="AH9778">
        <v>1</v>
      </c>
      <c r="AI9778">
        <v>1</v>
      </c>
      <c r="AJ9778">
        <v>1</v>
      </c>
      <c r="AK9778">
        <v>1</v>
      </c>
      <c r="AL9778">
        <v>1</v>
      </c>
      <c r="AM9778">
        <v>0</v>
      </c>
    </row>
    <row r="9779" spans="1:39" x14ac:dyDescent="0.2">
      <c r="A9779" t="str">
        <f>"9775"</f>
        <v>9775</v>
      </c>
      <c r="B9779" t="str">
        <f t="shared" si="541"/>
        <v>1</v>
      </c>
      <c r="C9779" t="str">
        <f t="shared" si="543"/>
        <v>196</v>
      </c>
      <c r="D9779" t="str">
        <f>"13"</f>
        <v>13</v>
      </c>
      <c r="E9779" t="str">
        <f>"1-196-13"</f>
        <v>1-196-13</v>
      </c>
      <c r="F9779" t="s">
        <v>65</v>
      </c>
      <c r="G9779" t="s">
        <v>66</v>
      </c>
      <c r="H9779" t="s">
        <v>68</v>
      </c>
      <c r="I9779">
        <v>1</v>
      </c>
      <c r="J9779">
        <v>0</v>
      </c>
      <c r="K9779">
        <v>1</v>
      </c>
      <c r="L9779">
        <v>0</v>
      </c>
      <c r="M9779">
        <v>1</v>
      </c>
      <c r="N9779">
        <v>1</v>
      </c>
      <c r="O9779">
        <v>1</v>
      </c>
      <c r="P9779">
        <v>1</v>
      </c>
      <c r="Q9779">
        <v>1</v>
      </c>
      <c r="R9779">
        <v>1</v>
      </c>
    </row>
    <row r="9780" spans="1:39" x14ac:dyDescent="0.2">
      <c r="A9780" t="str">
        <f>"9776"</f>
        <v>9776</v>
      </c>
      <c r="B9780" t="str">
        <f t="shared" si="541"/>
        <v>1</v>
      </c>
      <c r="C9780" t="str">
        <f t="shared" si="543"/>
        <v>196</v>
      </c>
      <c r="D9780" t="str">
        <f>"43"</f>
        <v>43</v>
      </c>
      <c r="E9780" t="str">
        <f>"1-196-43"</f>
        <v>1-196-43</v>
      </c>
      <c r="F9780" t="s">
        <v>65</v>
      </c>
      <c r="G9780" t="s">
        <v>66</v>
      </c>
      <c r="H9780" t="s">
        <v>67</v>
      </c>
      <c r="S9780">
        <v>0</v>
      </c>
      <c r="T9780">
        <v>1</v>
      </c>
      <c r="U9780">
        <v>0</v>
      </c>
      <c r="V9780">
        <v>0</v>
      </c>
      <c r="W9780">
        <v>0</v>
      </c>
      <c r="X9780">
        <v>1</v>
      </c>
      <c r="Y9780">
        <v>0</v>
      </c>
      <c r="Z9780">
        <v>1</v>
      </c>
      <c r="AA9780">
        <v>0</v>
      </c>
      <c r="AB9780">
        <v>0</v>
      </c>
      <c r="AC9780">
        <v>1</v>
      </c>
      <c r="AD9780">
        <v>1</v>
      </c>
      <c r="AE9780">
        <v>1</v>
      </c>
      <c r="AF9780">
        <v>1</v>
      </c>
      <c r="AG9780">
        <v>1</v>
      </c>
      <c r="AH9780">
        <v>0</v>
      </c>
      <c r="AI9780">
        <v>1</v>
      </c>
      <c r="AJ9780">
        <v>1</v>
      </c>
      <c r="AK9780">
        <v>1</v>
      </c>
      <c r="AL9780">
        <v>1</v>
      </c>
      <c r="AM9780">
        <v>1</v>
      </c>
    </row>
    <row r="9781" spans="1:39" x14ac:dyDescent="0.2">
      <c r="A9781" t="str">
        <f>"9777"</f>
        <v>9777</v>
      </c>
      <c r="B9781" t="str">
        <f t="shared" si="541"/>
        <v>1</v>
      </c>
      <c r="C9781" t="str">
        <f t="shared" si="543"/>
        <v>196</v>
      </c>
      <c r="D9781" t="str">
        <f>"20"</f>
        <v>20</v>
      </c>
      <c r="E9781" t="str">
        <f>"1-196-20"</f>
        <v>1-196-20</v>
      </c>
      <c r="F9781" t="s">
        <v>65</v>
      </c>
      <c r="G9781" t="s">
        <v>66</v>
      </c>
      <c r="H9781" t="s">
        <v>67</v>
      </c>
      <c r="S9781">
        <v>0</v>
      </c>
      <c r="T9781">
        <v>1</v>
      </c>
      <c r="U9781">
        <v>0</v>
      </c>
      <c r="V9781">
        <v>0</v>
      </c>
      <c r="W9781">
        <v>0</v>
      </c>
      <c r="X9781">
        <v>1</v>
      </c>
      <c r="Y9781">
        <v>0</v>
      </c>
      <c r="Z9781">
        <v>1</v>
      </c>
      <c r="AA9781">
        <v>0</v>
      </c>
      <c r="AB9781">
        <v>0</v>
      </c>
      <c r="AC9781">
        <v>1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</row>
    <row r="9782" spans="1:39" x14ac:dyDescent="0.2">
      <c r="A9782" t="str">
        <f>"9778"</f>
        <v>9778</v>
      </c>
      <c r="B9782" t="str">
        <f t="shared" si="541"/>
        <v>1</v>
      </c>
      <c r="C9782" t="str">
        <f t="shared" si="543"/>
        <v>196</v>
      </c>
      <c r="D9782" t="str">
        <f>"2"</f>
        <v>2</v>
      </c>
      <c r="E9782" t="str">
        <f>"1-196-2"</f>
        <v>1-196-2</v>
      </c>
      <c r="F9782" t="s">
        <v>65</v>
      </c>
      <c r="G9782" t="s">
        <v>66</v>
      </c>
      <c r="H9782" t="s">
        <v>68</v>
      </c>
      <c r="I9782">
        <v>1</v>
      </c>
      <c r="J9782">
        <v>1</v>
      </c>
      <c r="K9782">
        <v>0</v>
      </c>
      <c r="L9782">
        <v>0</v>
      </c>
      <c r="M9782">
        <v>1</v>
      </c>
      <c r="N9782">
        <v>1</v>
      </c>
      <c r="O9782">
        <v>1</v>
      </c>
      <c r="P9782">
        <v>1</v>
      </c>
      <c r="Q9782">
        <v>1</v>
      </c>
      <c r="R9782">
        <v>1</v>
      </c>
    </row>
    <row r="9783" spans="1:39" x14ac:dyDescent="0.2">
      <c r="A9783" t="str">
        <f>"9779"</f>
        <v>9779</v>
      </c>
      <c r="B9783" t="str">
        <f t="shared" ref="B9783:B9846" si="544">"1"</f>
        <v>1</v>
      </c>
      <c r="C9783" t="str">
        <f t="shared" si="543"/>
        <v>196</v>
      </c>
      <c r="D9783" t="str">
        <f>"40"</f>
        <v>40</v>
      </c>
      <c r="E9783" t="str">
        <f>"1-196-40"</f>
        <v>1-196-40</v>
      </c>
      <c r="F9783" t="s">
        <v>65</v>
      </c>
      <c r="G9783" t="s">
        <v>66</v>
      </c>
      <c r="H9783" t="s">
        <v>67</v>
      </c>
      <c r="S9783">
        <v>1</v>
      </c>
      <c r="T9783">
        <v>0</v>
      </c>
      <c r="U9783">
        <v>0</v>
      </c>
      <c r="V9783">
        <v>0</v>
      </c>
      <c r="W9783">
        <v>1</v>
      </c>
      <c r="X9783">
        <v>0</v>
      </c>
      <c r="Y9783">
        <v>1</v>
      </c>
      <c r="Z9783">
        <v>0</v>
      </c>
      <c r="AA9783">
        <v>0</v>
      </c>
      <c r="AB9783">
        <v>1</v>
      </c>
      <c r="AC9783">
        <v>0</v>
      </c>
      <c r="AD9783">
        <v>1</v>
      </c>
      <c r="AE9783">
        <v>1</v>
      </c>
      <c r="AF9783">
        <v>1</v>
      </c>
      <c r="AG9783">
        <v>1</v>
      </c>
      <c r="AH9783">
        <v>1</v>
      </c>
      <c r="AI9783">
        <v>1</v>
      </c>
      <c r="AJ9783">
        <v>1</v>
      </c>
      <c r="AK9783">
        <v>1</v>
      </c>
      <c r="AL9783">
        <v>1</v>
      </c>
      <c r="AM9783">
        <v>1</v>
      </c>
    </row>
    <row r="9784" spans="1:39" x14ac:dyDescent="0.2">
      <c r="A9784" t="str">
        <f>"9780"</f>
        <v>9780</v>
      </c>
      <c r="B9784" t="str">
        <f t="shared" si="544"/>
        <v>1</v>
      </c>
      <c r="C9784" t="str">
        <f t="shared" si="543"/>
        <v>196</v>
      </c>
      <c r="D9784" t="str">
        <f>"21"</f>
        <v>21</v>
      </c>
      <c r="E9784" t="str">
        <f>"1-196-21"</f>
        <v>1-196-21</v>
      </c>
      <c r="F9784" t="s">
        <v>65</v>
      </c>
      <c r="G9784" t="s">
        <v>66</v>
      </c>
      <c r="H9784" t="s">
        <v>67</v>
      </c>
      <c r="S9784">
        <v>0</v>
      </c>
      <c r="T9784">
        <v>1</v>
      </c>
      <c r="U9784">
        <v>0</v>
      </c>
      <c r="V9784">
        <v>0</v>
      </c>
      <c r="W9784">
        <v>0</v>
      </c>
      <c r="X9784">
        <v>1</v>
      </c>
      <c r="Y9784">
        <v>0</v>
      </c>
      <c r="Z9784">
        <v>1</v>
      </c>
      <c r="AA9784">
        <v>0</v>
      </c>
      <c r="AB9784">
        <v>0</v>
      </c>
      <c r="AC9784">
        <v>1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</row>
    <row r="9785" spans="1:39" x14ac:dyDescent="0.2">
      <c r="A9785" t="str">
        <f>"9781"</f>
        <v>9781</v>
      </c>
      <c r="B9785" t="str">
        <f t="shared" si="544"/>
        <v>1</v>
      </c>
      <c r="C9785" t="str">
        <f t="shared" si="543"/>
        <v>196</v>
      </c>
      <c r="D9785" t="str">
        <f>"4"</f>
        <v>4</v>
      </c>
      <c r="E9785" t="str">
        <f>"1-196-4"</f>
        <v>1-196-4</v>
      </c>
      <c r="F9785" t="s">
        <v>65</v>
      </c>
      <c r="G9785" t="s">
        <v>66</v>
      </c>
      <c r="H9785" t="s">
        <v>67</v>
      </c>
      <c r="S9785">
        <v>0</v>
      </c>
      <c r="T9785">
        <v>1</v>
      </c>
      <c r="U9785">
        <v>0</v>
      </c>
      <c r="V9785">
        <v>0</v>
      </c>
      <c r="W9785">
        <v>1</v>
      </c>
      <c r="X9785">
        <v>0</v>
      </c>
      <c r="Y9785">
        <v>0</v>
      </c>
      <c r="Z9785">
        <v>1</v>
      </c>
      <c r="AA9785">
        <v>0</v>
      </c>
      <c r="AB9785">
        <v>0</v>
      </c>
      <c r="AC9785">
        <v>1</v>
      </c>
      <c r="AD9785">
        <v>0</v>
      </c>
      <c r="AE9785">
        <v>0</v>
      </c>
      <c r="AF9785">
        <v>0</v>
      </c>
      <c r="AG9785">
        <v>0</v>
      </c>
      <c r="AH9785">
        <v>1</v>
      </c>
      <c r="AI9785">
        <v>0</v>
      </c>
      <c r="AJ9785">
        <v>0</v>
      </c>
      <c r="AK9785">
        <v>0</v>
      </c>
      <c r="AL9785">
        <v>0</v>
      </c>
      <c r="AM9785">
        <v>0</v>
      </c>
    </row>
    <row r="9786" spans="1:39" x14ac:dyDescent="0.2">
      <c r="A9786" t="str">
        <f>"9782"</f>
        <v>9782</v>
      </c>
      <c r="B9786" t="str">
        <f t="shared" si="544"/>
        <v>1</v>
      </c>
      <c r="C9786" t="str">
        <f t="shared" si="543"/>
        <v>196</v>
      </c>
      <c r="D9786" t="str">
        <f>"44"</f>
        <v>44</v>
      </c>
      <c r="E9786" t="str">
        <f>"1-196-44"</f>
        <v>1-196-44</v>
      </c>
      <c r="F9786" t="s">
        <v>65</v>
      </c>
      <c r="G9786" t="s">
        <v>66</v>
      </c>
      <c r="H9786" t="s">
        <v>67</v>
      </c>
      <c r="S9786">
        <v>1</v>
      </c>
      <c r="T9786">
        <v>0</v>
      </c>
      <c r="U9786">
        <v>0</v>
      </c>
      <c r="V9786">
        <v>0</v>
      </c>
      <c r="W9786">
        <v>1</v>
      </c>
      <c r="X9786">
        <v>0</v>
      </c>
      <c r="Y9786">
        <v>1</v>
      </c>
      <c r="Z9786">
        <v>0</v>
      </c>
      <c r="AA9786">
        <v>1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1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</row>
    <row r="9787" spans="1:39" x14ac:dyDescent="0.2">
      <c r="A9787" t="str">
        <f>"9783"</f>
        <v>9783</v>
      </c>
      <c r="B9787" t="str">
        <f t="shared" si="544"/>
        <v>1</v>
      </c>
      <c r="C9787" t="str">
        <f t="shared" ref="C9787:C9804" si="545">"196"</f>
        <v>196</v>
      </c>
      <c r="D9787" t="str">
        <f>"26"</f>
        <v>26</v>
      </c>
      <c r="E9787" t="str">
        <f>"1-196-26"</f>
        <v>1-196-26</v>
      </c>
      <c r="F9787" t="s">
        <v>65</v>
      </c>
      <c r="G9787" t="s">
        <v>66</v>
      </c>
      <c r="H9787" t="s">
        <v>67</v>
      </c>
      <c r="S9787">
        <v>1</v>
      </c>
      <c r="T9787">
        <v>0</v>
      </c>
      <c r="U9787">
        <v>0</v>
      </c>
      <c r="V9787">
        <v>0</v>
      </c>
      <c r="W9787">
        <v>1</v>
      </c>
      <c r="X9787">
        <v>0</v>
      </c>
      <c r="Y9787">
        <v>1</v>
      </c>
      <c r="Z9787">
        <v>0</v>
      </c>
      <c r="AA9787">
        <v>1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1</v>
      </c>
      <c r="AH9787">
        <v>1</v>
      </c>
      <c r="AI9787">
        <v>1</v>
      </c>
      <c r="AJ9787">
        <v>1</v>
      </c>
      <c r="AK9787">
        <v>1</v>
      </c>
      <c r="AL9787">
        <v>1</v>
      </c>
      <c r="AM9787">
        <v>0</v>
      </c>
    </row>
    <row r="9788" spans="1:39" x14ac:dyDescent="0.2">
      <c r="A9788" t="str">
        <f>"9784"</f>
        <v>9784</v>
      </c>
      <c r="B9788" t="str">
        <f t="shared" si="544"/>
        <v>1</v>
      </c>
      <c r="C9788" t="str">
        <f t="shared" si="545"/>
        <v>196</v>
      </c>
      <c r="D9788" t="str">
        <f>"11"</f>
        <v>11</v>
      </c>
      <c r="E9788" t="str">
        <f>"1-196-11"</f>
        <v>1-196-11</v>
      </c>
      <c r="F9788" t="s">
        <v>65</v>
      </c>
      <c r="G9788" t="s">
        <v>66</v>
      </c>
      <c r="H9788" t="s">
        <v>67</v>
      </c>
      <c r="S9788">
        <v>1</v>
      </c>
      <c r="T9788">
        <v>0</v>
      </c>
      <c r="U9788">
        <v>0</v>
      </c>
      <c r="V9788">
        <v>0</v>
      </c>
      <c r="W9788">
        <v>1</v>
      </c>
      <c r="X9788">
        <v>0</v>
      </c>
      <c r="Y9788">
        <v>0</v>
      </c>
      <c r="Z9788">
        <v>1</v>
      </c>
      <c r="AA9788">
        <v>1</v>
      </c>
      <c r="AB9788">
        <v>0</v>
      </c>
      <c r="AC9788">
        <v>0</v>
      </c>
      <c r="AD9788">
        <v>1</v>
      </c>
      <c r="AE9788">
        <v>1</v>
      </c>
      <c r="AF9788">
        <v>1</v>
      </c>
      <c r="AG9788">
        <v>1</v>
      </c>
      <c r="AH9788">
        <v>1</v>
      </c>
      <c r="AI9788">
        <v>1</v>
      </c>
      <c r="AJ9788">
        <v>1</v>
      </c>
      <c r="AK9788">
        <v>1</v>
      </c>
      <c r="AL9788">
        <v>1</v>
      </c>
      <c r="AM9788">
        <v>1</v>
      </c>
    </row>
    <row r="9789" spans="1:39" x14ac:dyDescent="0.2">
      <c r="A9789" t="str">
        <f>"9785"</f>
        <v>9785</v>
      </c>
      <c r="B9789" t="str">
        <f t="shared" si="544"/>
        <v>1</v>
      </c>
      <c r="C9789" t="str">
        <f t="shared" si="545"/>
        <v>196</v>
      </c>
      <c r="D9789" t="str">
        <f>"45"</f>
        <v>45</v>
      </c>
      <c r="E9789" t="str">
        <f>"1-196-45"</f>
        <v>1-196-45</v>
      </c>
      <c r="F9789" t="s">
        <v>65</v>
      </c>
      <c r="G9789" t="s">
        <v>66</v>
      </c>
      <c r="H9789" t="s">
        <v>67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1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</row>
    <row r="9790" spans="1:39" x14ac:dyDescent="0.2">
      <c r="A9790" t="str">
        <f>"9786"</f>
        <v>9786</v>
      </c>
      <c r="B9790" t="str">
        <f t="shared" si="544"/>
        <v>1</v>
      </c>
      <c r="C9790" t="str">
        <f t="shared" si="545"/>
        <v>196</v>
      </c>
      <c r="D9790" t="str">
        <f>"27"</f>
        <v>27</v>
      </c>
      <c r="E9790" t="str">
        <f>"1-196-27"</f>
        <v>1-196-27</v>
      </c>
      <c r="F9790" t="s">
        <v>65</v>
      </c>
      <c r="G9790" t="s">
        <v>66</v>
      </c>
      <c r="H9790" t="s">
        <v>67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1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</row>
    <row r="9791" spans="1:39" x14ac:dyDescent="0.2">
      <c r="A9791" t="str">
        <f>"9787"</f>
        <v>9787</v>
      </c>
      <c r="B9791" t="str">
        <f t="shared" si="544"/>
        <v>1</v>
      </c>
      <c r="C9791" t="str">
        <f t="shared" si="545"/>
        <v>196</v>
      </c>
      <c r="D9791" t="str">
        <f>"14"</f>
        <v>14</v>
      </c>
      <c r="E9791" t="str">
        <f>"1-196-14"</f>
        <v>1-196-14</v>
      </c>
      <c r="F9791" t="s">
        <v>65</v>
      </c>
      <c r="G9791" t="s">
        <v>66</v>
      </c>
      <c r="H9791" t="s">
        <v>67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1</v>
      </c>
      <c r="Y9791">
        <v>1</v>
      </c>
      <c r="Z9791">
        <v>0</v>
      </c>
      <c r="AA9791">
        <v>0</v>
      </c>
      <c r="AB9791">
        <v>1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</row>
    <row r="9792" spans="1:39" x14ac:dyDescent="0.2">
      <c r="A9792" t="str">
        <f>"9788"</f>
        <v>9788</v>
      </c>
      <c r="B9792" t="str">
        <f t="shared" si="544"/>
        <v>1</v>
      </c>
      <c r="C9792" t="str">
        <f t="shared" si="545"/>
        <v>196</v>
      </c>
      <c r="D9792" t="str">
        <f>"47"</f>
        <v>47</v>
      </c>
      <c r="E9792" t="str">
        <f>"1-196-47"</f>
        <v>1-196-47</v>
      </c>
      <c r="F9792" t="s">
        <v>65</v>
      </c>
      <c r="G9792" t="s">
        <v>66</v>
      </c>
      <c r="H9792" t="s">
        <v>67</v>
      </c>
      <c r="S9792">
        <v>0</v>
      </c>
      <c r="T9792">
        <v>1</v>
      </c>
      <c r="U9792">
        <v>0</v>
      </c>
      <c r="V9792">
        <v>0</v>
      </c>
      <c r="W9792">
        <v>1</v>
      </c>
      <c r="X9792">
        <v>0</v>
      </c>
      <c r="Y9792">
        <v>0</v>
      </c>
      <c r="Z9792">
        <v>1</v>
      </c>
      <c r="AA9792">
        <v>1</v>
      </c>
      <c r="AB9792">
        <v>0</v>
      </c>
      <c r="AC9792">
        <v>0</v>
      </c>
      <c r="AD9792">
        <v>1</v>
      </c>
      <c r="AE9792">
        <v>1</v>
      </c>
      <c r="AF9792">
        <v>1</v>
      </c>
      <c r="AG9792">
        <v>1</v>
      </c>
      <c r="AH9792">
        <v>1</v>
      </c>
      <c r="AI9792">
        <v>1</v>
      </c>
      <c r="AJ9792">
        <v>1</v>
      </c>
      <c r="AK9792">
        <v>1</v>
      </c>
      <c r="AL9792">
        <v>1</v>
      </c>
      <c r="AM9792">
        <v>1</v>
      </c>
    </row>
    <row r="9793" spans="1:39" x14ac:dyDescent="0.2">
      <c r="A9793" t="str">
        <f>"9789"</f>
        <v>9789</v>
      </c>
      <c r="B9793" t="str">
        <f t="shared" si="544"/>
        <v>1</v>
      </c>
      <c r="C9793" t="str">
        <f t="shared" si="545"/>
        <v>196</v>
      </c>
      <c r="D9793" t="str">
        <f>"28"</f>
        <v>28</v>
      </c>
      <c r="E9793" t="str">
        <f>"1-196-28"</f>
        <v>1-196-28</v>
      </c>
      <c r="F9793" t="s">
        <v>65</v>
      </c>
      <c r="G9793" t="s">
        <v>66</v>
      </c>
      <c r="H9793" t="s">
        <v>67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1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1</v>
      </c>
      <c r="AI9793">
        <v>0</v>
      </c>
      <c r="AJ9793">
        <v>0</v>
      </c>
      <c r="AK9793">
        <v>0</v>
      </c>
      <c r="AL9793">
        <v>0</v>
      </c>
      <c r="AM9793">
        <v>0</v>
      </c>
    </row>
    <row r="9794" spans="1:39" x14ac:dyDescent="0.2">
      <c r="A9794" t="str">
        <f>"9790"</f>
        <v>9790</v>
      </c>
      <c r="B9794" t="str">
        <f t="shared" si="544"/>
        <v>1</v>
      </c>
      <c r="C9794" t="str">
        <f t="shared" si="545"/>
        <v>196</v>
      </c>
      <c r="D9794" t="str">
        <f>"10"</f>
        <v>10</v>
      </c>
      <c r="E9794" t="str">
        <f>"1-196-10"</f>
        <v>1-196-10</v>
      </c>
      <c r="F9794" t="s">
        <v>65</v>
      </c>
      <c r="G9794" t="s">
        <v>66</v>
      </c>
      <c r="H9794" t="s">
        <v>67</v>
      </c>
      <c r="S9794">
        <v>0</v>
      </c>
      <c r="T9794">
        <v>1</v>
      </c>
      <c r="U9794">
        <v>0</v>
      </c>
      <c r="V9794">
        <v>0</v>
      </c>
      <c r="W9794">
        <v>1</v>
      </c>
      <c r="X9794">
        <v>0</v>
      </c>
      <c r="Y9794">
        <v>0</v>
      </c>
      <c r="Z9794">
        <v>1</v>
      </c>
      <c r="AA9794">
        <v>0</v>
      </c>
      <c r="AB9794">
        <v>0</v>
      </c>
      <c r="AC9794">
        <v>1</v>
      </c>
      <c r="AD9794">
        <v>1</v>
      </c>
      <c r="AE9794">
        <v>1</v>
      </c>
      <c r="AF9794">
        <v>1</v>
      </c>
      <c r="AG9794">
        <v>1</v>
      </c>
      <c r="AH9794">
        <v>1</v>
      </c>
      <c r="AI9794">
        <v>1</v>
      </c>
      <c r="AJ9794">
        <v>1</v>
      </c>
      <c r="AK9794">
        <v>1</v>
      </c>
      <c r="AL9794">
        <v>1</v>
      </c>
      <c r="AM9794">
        <v>1</v>
      </c>
    </row>
    <row r="9795" spans="1:39" x14ac:dyDescent="0.2">
      <c r="A9795" t="str">
        <f>"9791"</f>
        <v>9791</v>
      </c>
      <c r="B9795" t="str">
        <f t="shared" si="544"/>
        <v>1</v>
      </c>
      <c r="C9795" t="str">
        <f t="shared" si="545"/>
        <v>196</v>
      </c>
      <c r="D9795" t="str">
        <f>"46"</f>
        <v>46</v>
      </c>
      <c r="E9795" t="str">
        <f>"1-196-46"</f>
        <v>1-196-46</v>
      </c>
      <c r="F9795" t="s">
        <v>65</v>
      </c>
      <c r="G9795" t="s">
        <v>66</v>
      </c>
      <c r="H9795" t="s">
        <v>67</v>
      </c>
      <c r="S9795">
        <v>1</v>
      </c>
      <c r="T9795">
        <v>0</v>
      </c>
      <c r="U9795">
        <v>0</v>
      </c>
      <c r="V9795">
        <v>0</v>
      </c>
      <c r="W9795">
        <v>1</v>
      </c>
      <c r="X9795">
        <v>0</v>
      </c>
      <c r="Y9795">
        <v>1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1</v>
      </c>
      <c r="AM9795">
        <v>0</v>
      </c>
    </row>
    <row r="9796" spans="1:39" x14ac:dyDescent="0.2">
      <c r="A9796" t="str">
        <f>"9792"</f>
        <v>9792</v>
      </c>
      <c r="B9796" t="str">
        <f t="shared" si="544"/>
        <v>1</v>
      </c>
      <c r="C9796" t="str">
        <f t="shared" si="545"/>
        <v>196</v>
      </c>
      <c r="D9796" t="str">
        <f>"29"</f>
        <v>29</v>
      </c>
      <c r="E9796" t="str">
        <f>"1-196-29"</f>
        <v>1-196-29</v>
      </c>
      <c r="F9796" t="s">
        <v>65</v>
      </c>
      <c r="G9796" t="s">
        <v>66</v>
      </c>
      <c r="H9796" t="s">
        <v>67</v>
      </c>
      <c r="S9796">
        <v>0</v>
      </c>
      <c r="T9796">
        <v>1</v>
      </c>
      <c r="U9796">
        <v>0</v>
      </c>
      <c r="V9796">
        <v>0</v>
      </c>
      <c r="W9796">
        <v>1</v>
      </c>
      <c r="X9796">
        <v>0</v>
      </c>
      <c r="Y9796">
        <v>1</v>
      </c>
      <c r="Z9796">
        <v>0</v>
      </c>
      <c r="AA9796">
        <v>1</v>
      </c>
      <c r="AB9796">
        <v>0</v>
      </c>
      <c r="AC9796">
        <v>0</v>
      </c>
      <c r="AD9796">
        <v>1</v>
      </c>
      <c r="AE9796">
        <v>1</v>
      </c>
      <c r="AF9796">
        <v>1</v>
      </c>
      <c r="AG9796">
        <v>1</v>
      </c>
      <c r="AH9796">
        <v>1</v>
      </c>
      <c r="AI9796">
        <v>1</v>
      </c>
      <c r="AJ9796">
        <v>1</v>
      </c>
      <c r="AK9796">
        <v>1</v>
      </c>
      <c r="AL9796">
        <v>1</v>
      </c>
      <c r="AM9796">
        <v>1</v>
      </c>
    </row>
    <row r="9797" spans="1:39" x14ac:dyDescent="0.2">
      <c r="A9797" t="str">
        <f>"9793"</f>
        <v>9793</v>
      </c>
      <c r="B9797" t="str">
        <f t="shared" si="544"/>
        <v>1</v>
      </c>
      <c r="C9797" t="str">
        <f t="shared" si="545"/>
        <v>196</v>
      </c>
      <c r="D9797" t="str">
        <f>"8"</f>
        <v>8</v>
      </c>
      <c r="E9797" t="str">
        <f>"1-196-8"</f>
        <v>1-196-8</v>
      </c>
      <c r="F9797" t="s">
        <v>65</v>
      </c>
      <c r="G9797" t="s">
        <v>66</v>
      </c>
      <c r="H9797" t="s">
        <v>67</v>
      </c>
      <c r="S9797">
        <v>1</v>
      </c>
      <c r="T9797">
        <v>0</v>
      </c>
      <c r="U9797">
        <v>0</v>
      </c>
      <c r="V9797">
        <v>0</v>
      </c>
      <c r="W9797">
        <v>1</v>
      </c>
      <c r="X9797">
        <v>0</v>
      </c>
      <c r="Y9797">
        <v>1</v>
      </c>
      <c r="Z9797">
        <v>0</v>
      </c>
      <c r="AA9797">
        <v>1</v>
      </c>
      <c r="AB9797">
        <v>0</v>
      </c>
      <c r="AC9797">
        <v>0</v>
      </c>
      <c r="AD9797">
        <v>1</v>
      </c>
      <c r="AE9797">
        <v>1</v>
      </c>
      <c r="AF9797">
        <v>1</v>
      </c>
      <c r="AG9797">
        <v>1</v>
      </c>
      <c r="AH9797">
        <v>1</v>
      </c>
      <c r="AI9797">
        <v>1</v>
      </c>
      <c r="AJ9797">
        <v>1</v>
      </c>
      <c r="AK9797">
        <v>1</v>
      </c>
      <c r="AL9797">
        <v>1</v>
      </c>
      <c r="AM9797">
        <v>1</v>
      </c>
    </row>
    <row r="9798" spans="1:39" x14ac:dyDescent="0.2">
      <c r="A9798" t="str">
        <f>"9794"</f>
        <v>9794</v>
      </c>
      <c r="B9798" t="str">
        <f t="shared" si="544"/>
        <v>1</v>
      </c>
      <c r="C9798" t="str">
        <f t="shared" si="545"/>
        <v>196</v>
      </c>
      <c r="D9798" t="str">
        <f>"30"</f>
        <v>30</v>
      </c>
      <c r="E9798" t="str">
        <f>"1-196-30"</f>
        <v>1-196-30</v>
      </c>
      <c r="F9798" t="s">
        <v>65</v>
      </c>
      <c r="G9798" t="s">
        <v>66</v>
      </c>
      <c r="H9798" t="s">
        <v>67</v>
      </c>
      <c r="S9798">
        <v>0</v>
      </c>
      <c r="T9798">
        <v>1</v>
      </c>
      <c r="U9798">
        <v>0</v>
      </c>
      <c r="V9798">
        <v>0</v>
      </c>
      <c r="W9798">
        <v>1</v>
      </c>
      <c r="X9798">
        <v>0</v>
      </c>
      <c r="Y9798">
        <v>0</v>
      </c>
      <c r="Z9798">
        <v>1</v>
      </c>
      <c r="AA9798">
        <v>0</v>
      </c>
      <c r="AB9798">
        <v>0</v>
      </c>
      <c r="AC9798">
        <v>1</v>
      </c>
      <c r="AD9798">
        <v>1</v>
      </c>
      <c r="AE9798">
        <v>1</v>
      </c>
      <c r="AF9798">
        <v>1</v>
      </c>
      <c r="AG9798">
        <v>1</v>
      </c>
      <c r="AH9798">
        <v>0</v>
      </c>
      <c r="AI9798">
        <v>1</v>
      </c>
      <c r="AJ9798">
        <v>1</v>
      </c>
      <c r="AK9798">
        <v>1</v>
      </c>
      <c r="AL9798">
        <v>0</v>
      </c>
      <c r="AM9798">
        <v>1</v>
      </c>
    </row>
    <row r="9799" spans="1:39" x14ac:dyDescent="0.2">
      <c r="A9799" t="str">
        <f>"9795"</f>
        <v>9795</v>
      </c>
      <c r="B9799" t="str">
        <f t="shared" si="544"/>
        <v>1</v>
      </c>
      <c r="C9799" t="str">
        <f t="shared" si="545"/>
        <v>196</v>
      </c>
      <c r="D9799" t="str">
        <f>"5"</f>
        <v>5</v>
      </c>
      <c r="E9799" t="str">
        <f>"1-196-5"</f>
        <v>1-196-5</v>
      </c>
      <c r="F9799" t="s">
        <v>65</v>
      </c>
      <c r="G9799" t="s">
        <v>66</v>
      </c>
      <c r="H9799" t="s">
        <v>67</v>
      </c>
      <c r="S9799">
        <v>0</v>
      </c>
      <c r="T9799">
        <v>1</v>
      </c>
      <c r="U9799">
        <v>0</v>
      </c>
      <c r="V9799">
        <v>0</v>
      </c>
      <c r="W9799">
        <v>0</v>
      </c>
      <c r="X9799">
        <v>1</v>
      </c>
      <c r="Y9799">
        <v>0</v>
      </c>
      <c r="Z9799">
        <v>1</v>
      </c>
      <c r="AA9799">
        <v>0</v>
      </c>
      <c r="AB9799">
        <v>0</v>
      </c>
      <c r="AC9799">
        <v>1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</row>
    <row r="9800" spans="1:39" x14ac:dyDescent="0.2">
      <c r="A9800" t="str">
        <f>"9796"</f>
        <v>9796</v>
      </c>
      <c r="B9800" t="str">
        <f t="shared" si="544"/>
        <v>1</v>
      </c>
      <c r="C9800" t="str">
        <f t="shared" si="545"/>
        <v>196</v>
      </c>
      <c r="D9800" t="str">
        <f>"50"</f>
        <v>50</v>
      </c>
      <c r="E9800" t="str">
        <f>"1-196-50"</f>
        <v>1-196-50</v>
      </c>
      <c r="F9800" t="s">
        <v>65</v>
      </c>
      <c r="G9800" t="s">
        <v>66</v>
      </c>
      <c r="H9800" t="s">
        <v>68</v>
      </c>
      <c r="I9800">
        <v>1</v>
      </c>
      <c r="J9800">
        <v>0</v>
      </c>
      <c r="K9800">
        <v>0</v>
      </c>
      <c r="L9800">
        <v>1</v>
      </c>
      <c r="M9800">
        <v>1</v>
      </c>
      <c r="N9800">
        <v>1</v>
      </c>
      <c r="O9800">
        <v>1</v>
      </c>
      <c r="P9800">
        <v>1</v>
      </c>
      <c r="Q9800">
        <v>1</v>
      </c>
      <c r="R9800">
        <v>1</v>
      </c>
    </row>
    <row r="9801" spans="1:39" x14ac:dyDescent="0.2">
      <c r="A9801" t="str">
        <f>"9797"</f>
        <v>9797</v>
      </c>
      <c r="B9801" t="str">
        <f t="shared" si="544"/>
        <v>1</v>
      </c>
      <c r="C9801" t="str">
        <f t="shared" si="545"/>
        <v>196</v>
      </c>
      <c r="D9801" t="str">
        <f>"31"</f>
        <v>31</v>
      </c>
      <c r="E9801" t="str">
        <f>"1-196-31"</f>
        <v>1-196-31</v>
      </c>
      <c r="F9801" t="s">
        <v>65</v>
      </c>
      <c r="G9801" t="s">
        <v>66</v>
      </c>
      <c r="H9801" t="s">
        <v>67</v>
      </c>
      <c r="S9801">
        <v>1</v>
      </c>
      <c r="T9801">
        <v>0</v>
      </c>
      <c r="U9801">
        <v>0</v>
      </c>
      <c r="V9801">
        <v>0</v>
      </c>
      <c r="W9801">
        <v>1</v>
      </c>
      <c r="X9801">
        <v>0</v>
      </c>
      <c r="Y9801">
        <v>1</v>
      </c>
      <c r="Z9801">
        <v>0</v>
      </c>
      <c r="AA9801">
        <v>0</v>
      </c>
      <c r="AB9801">
        <v>0</v>
      </c>
      <c r="AC9801">
        <v>1</v>
      </c>
      <c r="AD9801">
        <v>1</v>
      </c>
      <c r="AE9801">
        <v>1</v>
      </c>
      <c r="AF9801">
        <v>1</v>
      </c>
      <c r="AG9801">
        <v>1</v>
      </c>
      <c r="AH9801">
        <v>1</v>
      </c>
      <c r="AI9801">
        <v>1</v>
      </c>
      <c r="AJ9801">
        <v>1</v>
      </c>
      <c r="AK9801">
        <v>1</v>
      </c>
      <c r="AL9801">
        <v>1</v>
      </c>
      <c r="AM9801">
        <v>1</v>
      </c>
    </row>
    <row r="9802" spans="1:39" x14ac:dyDescent="0.2">
      <c r="A9802" t="str">
        <f>"9798"</f>
        <v>9798</v>
      </c>
      <c r="B9802" t="str">
        <f t="shared" si="544"/>
        <v>1</v>
      </c>
      <c r="C9802" t="str">
        <f t="shared" si="545"/>
        <v>196</v>
      </c>
      <c r="D9802" t="str">
        <f>"7"</f>
        <v>7</v>
      </c>
      <c r="E9802" t="str">
        <f>"1-196-7"</f>
        <v>1-196-7</v>
      </c>
      <c r="F9802" t="s">
        <v>65</v>
      </c>
      <c r="G9802" t="s">
        <v>66</v>
      </c>
      <c r="H9802" t="s">
        <v>67</v>
      </c>
      <c r="S9802">
        <v>1</v>
      </c>
      <c r="T9802">
        <v>0</v>
      </c>
      <c r="U9802">
        <v>0</v>
      </c>
      <c r="V9802">
        <v>0</v>
      </c>
      <c r="W9802">
        <v>1</v>
      </c>
      <c r="X9802">
        <v>0</v>
      </c>
      <c r="Y9802">
        <v>1</v>
      </c>
      <c r="Z9802">
        <v>0</v>
      </c>
      <c r="AA9802">
        <v>1</v>
      </c>
      <c r="AB9802">
        <v>0</v>
      </c>
      <c r="AC9802">
        <v>0</v>
      </c>
      <c r="AD9802">
        <v>1</v>
      </c>
      <c r="AE9802">
        <v>1</v>
      </c>
      <c r="AF9802">
        <v>1</v>
      </c>
      <c r="AG9802">
        <v>1</v>
      </c>
      <c r="AH9802">
        <v>1</v>
      </c>
      <c r="AI9802">
        <v>1</v>
      </c>
      <c r="AJ9802">
        <v>1</v>
      </c>
      <c r="AK9802">
        <v>1</v>
      </c>
      <c r="AL9802">
        <v>1</v>
      </c>
      <c r="AM9802">
        <v>1</v>
      </c>
    </row>
    <row r="9803" spans="1:39" x14ac:dyDescent="0.2">
      <c r="A9803" t="str">
        <f>"9799"</f>
        <v>9799</v>
      </c>
      <c r="B9803" t="str">
        <f t="shared" si="544"/>
        <v>1</v>
      </c>
      <c r="C9803" t="str">
        <f t="shared" si="545"/>
        <v>196</v>
      </c>
      <c r="D9803" t="str">
        <f>"32"</f>
        <v>32</v>
      </c>
      <c r="E9803" t="str">
        <f>"1-196-32"</f>
        <v>1-196-32</v>
      </c>
      <c r="F9803" t="s">
        <v>65</v>
      </c>
      <c r="G9803" t="s">
        <v>66</v>
      </c>
      <c r="H9803" t="s">
        <v>67</v>
      </c>
      <c r="S9803">
        <v>0</v>
      </c>
      <c r="T9803">
        <v>1</v>
      </c>
      <c r="U9803">
        <v>0</v>
      </c>
      <c r="V9803">
        <v>0</v>
      </c>
      <c r="W9803">
        <v>1</v>
      </c>
      <c r="X9803">
        <v>0</v>
      </c>
      <c r="Y9803">
        <v>0</v>
      </c>
      <c r="Z9803">
        <v>1</v>
      </c>
      <c r="AA9803">
        <v>0</v>
      </c>
      <c r="AB9803">
        <v>0</v>
      </c>
      <c r="AC9803">
        <v>1</v>
      </c>
      <c r="AD9803">
        <v>1</v>
      </c>
      <c r="AE9803">
        <v>1</v>
      </c>
      <c r="AF9803">
        <v>1</v>
      </c>
      <c r="AG9803">
        <v>1</v>
      </c>
      <c r="AH9803">
        <v>1</v>
      </c>
      <c r="AI9803">
        <v>1</v>
      </c>
      <c r="AJ9803">
        <v>1</v>
      </c>
      <c r="AK9803">
        <v>1</v>
      </c>
      <c r="AL9803">
        <v>1</v>
      </c>
      <c r="AM9803">
        <v>1</v>
      </c>
    </row>
    <row r="9804" spans="1:39" x14ac:dyDescent="0.2">
      <c r="A9804" t="str">
        <f>"9800"</f>
        <v>9800</v>
      </c>
      <c r="B9804" t="str">
        <f t="shared" si="544"/>
        <v>1</v>
      </c>
      <c r="C9804" t="str">
        <f t="shared" si="545"/>
        <v>196</v>
      </c>
      <c r="D9804" t="str">
        <f>"9"</f>
        <v>9</v>
      </c>
      <c r="E9804" t="str">
        <f>"1-196-9"</f>
        <v>1-196-9</v>
      </c>
      <c r="F9804" t="s">
        <v>65</v>
      </c>
      <c r="G9804" t="s">
        <v>66</v>
      </c>
      <c r="H9804" t="s">
        <v>67</v>
      </c>
      <c r="S9804">
        <v>1</v>
      </c>
      <c r="T9804">
        <v>0</v>
      </c>
      <c r="U9804">
        <v>0</v>
      </c>
      <c r="V9804">
        <v>0</v>
      </c>
      <c r="W9804">
        <v>1</v>
      </c>
      <c r="X9804">
        <v>0</v>
      </c>
      <c r="Y9804">
        <v>1</v>
      </c>
      <c r="Z9804">
        <v>0</v>
      </c>
      <c r="AA9804">
        <v>0</v>
      </c>
      <c r="AB9804">
        <v>1</v>
      </c>
      <c r="AC9804">
        <v>0</v>
      </c>
      <c r="AD9804">
        <v>1</v>
      </c>
      <c r="AE9804">
        <v>1</v>
      </c>
      <c r="AF9804">
        <v>1</v>
      </c>
      <c r="AG9804">
        <v>1</v>
      </c>
      <c r="AH9804">
        <v>1</v>
      </c>
      <c r="AI9804">
        <v>1</v>
      </c>
      <c r="AJ9804">
        <v>1</v>
      </c>
      <c r="AK9804">
        <v>1</v>
      </c>
      <c r="AL9804">
        <v>1</v>
      </c>
      <c r="AM9804">
        <v>1</v>
      </c>
    </row>
    <row r="9805" spans="1:39" x14ac:dyDescent="0.2">
      <c r="A9805" t="str">
        <f>"9801"</f>
        <v>9801</v>
      </c>
      <c r="B9805" t="str">
        <f t="shared" si="544"/>
        <v>1</v>
      </c>
      <c r="C9805" t="str">
        <f t="shared" ref="C9805:C9836" si="546">"197"</f>
        <v>197</v>
      </c>
      <c r="D9805" t="str">
        <f>"35"</f>
        <v>35</v>
      </c>
      <c r="E9805" t="str">
        <f>"1-197-35"</f>
        <v>1-197-35</v>
      </c>
      <c r="F9805" t="s">
        <v>65</v>
      </c>
      <c r="G9805" t="s">
        <v>66</v>
      </c>
      <c r="H9805" t="s">
        <v>67</v>
      </c>
      <c r="S9805">
        <v>0</v>
      </c>
      <c r="T9805">
        <v>1</v>
      </c>
      <c r="U9805">
        <v>0</v>
      </c>
      <c r="V9805">
        <v>0</v>
      </c>
      <c r="W9805">
        <v>1</v>
      </c>
      <c r="X9805">
        <v>0</v>
      </c>
      <c r="Y9805">
        <v>0</v>
      </c>
      <c r="Z9805">
        <v>1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1</v>
      </c>
      <c r="AH9805">
        <v>1</v>
      </c>
      <c r="AI9805">
        <v>1</v>
      </c>
      <c r="AJ9805">
        <v>1</v>
      </c>
      <c r="AK9805">
        <v>1</v>
      </c>
      <c r="AL9805">
        <v>1</v>
      </c>
      <c r="AM9805">
        <v>1</v>
      </c>
    </row>
    <row r="9806" spans="1:39" x14ac:dyDescent="0.2">
      <c r="A9806" t="str">
        <f>"9802"</f>
        <v>9802</v>
      </c>
      <c r="B9806" t="str">
        <f t="shared" si="544"/>
        <v>1</v>
      </c>
      <c r="C9806" t="str">
        <f t="shared" si="546"/>
        <v>197</v>
      </c>
      <c r="D9806" t="str">
        <f>"34"</f>
        <v>34</v>
      </c>
      <c r="E9806" t="str">
        <f>"1-197-34"</f>
        <v>1-197-34</v>
      </c>
      <c r="F9806" t="s">
        <v>65</v>
      </c>
      <c r="G9806" t="s">
        <v>66</v>
      </c>
      <c r="H9806" t="s">
        <v>67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1</v>
      </c>
      <c r="Y9806">
        <v>0</v>
      </c>
      <c r="Z9806">
        <v>1</v>
      </c>
      <c r="AA9806">
        <v>0</v>
      </c>
      <c r="AB9806">
        <v>0</v>
      </c>
      <c r="AC9806">
        <v>1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</row>
    <row r="9807" spans="1:39" x14ac:dyDescent="0.2">
      <c r="A9807" t="str">
        <f>"9803"</f>
        <v>9803</v>
      </c>
      <c r="B9807" t="str">
        <f t="shared" si="544"/>
        <v>1</v>
      </c>
      <c r="C9807" t="str">
        <f t="shared" si="546"/>
        <v>197</v>
      </c>
      <c r="D9807" t="str">
        <f>"22"</f>
        <v>22</v>
      </c>
      <c r="E9807" t="str">
        <f>"1-197-22"</f>
        <v>1-197-22</v>
      </c>
      <c r="F9807" t="s">
        <v>65</v>
      </c>
      <c r="G9807" t="s">
        <v>66</v>
      </c>
      <c r="H9807" t="s">
        <v>67</v>
      </c>
      <c r="S9807">
        <v>0</v>
      </c>
      <c r="T9807">
        <v>1</v>
      </c>
      <c r="U9807">
        <v>0</v>
      </c>
      <c r="V9807">
        <v>0</v>
      </c>
      <c r="W9807">
        <v>1</v>
      </c>
      <c r="X9807">
        <v>0</v>
      </c>
      <c r="Y9807">
        <v>0</v>
      </c>
      <c r="Z9807">
        <v>1</v>
      </c>
      <c r="AA9807">
        <v>1</v>
      </c>
      <c r="AB9807">
        <v>0</v>
      </c>
      <c r="AC9807">
        <v>0</v>
      </c>
      <c r="AD9807">
        <v>1</v>
      </c>
      <c r="AE9807">
        <v>1</v>
      </c>
      <c r="AF9807">
        <v>1</v>
      </c>
      <c r="AG9807">
        <v>1</v>
      </c>
      <c r="AH9807">
        <v>1</v>
      </c>
      <c r="AI9807">
        <v>1</v>
      </c>
      <c r="AJ9807">
        <v>1</v>
      </c>
      <c r="AK9807">
        <v>1</v>
      </c>
      <c r="AL9807">
        <v>1</v>
      </c>
      <c r="AM9807">
        <v>1</v>
      </c>
    </row>
    <row r="9808" spans="1:39" x14ac:dyDescent="0.2">
      <c r="A9808" t="str">
        <f>"9804"</f>
        <v>9804</v>
      </c>
      <c r="B9808" t="str">
        <f t="shared" si="544"/>
        <v>1</v>
      </c>
      <c r="C9808" t="str">
        <f t="shared" si="546"/>
        <v>197</v>
      </c>
      <c r="D9808" t="str">
        <f>"15"</f>
        <v>15</v>
      </c>
      <c r="E9808" t="str">
        <f>"1-197-15"</f>
        <v>1-197-15</v>
      </c>
      <c r="F9808" t="s">
        <v>65</v>
      </c>
      <c r="G9808" t="s">
        <v>66</v>
      </c>
      <c r="H9808" t="s">
        <v>67</v>
      </c>
      <c r="S9808">
        <v>1</v>
      </c>
      <c r="T9808">
        <v>0</v>
      </c>
      <c r="U9808">
        <v>0</v>
      </c>
      <c r="V9808">
        <v>0</v>
      </c>
      <c r="W9808">
        <v>0</v>
      </c>
      <c r="X9808">
        <v>1</v>
      </c>
      <c r="Y9808">
        <v>0</v>
      </c>
      <c r="Z9808">
        <v>1</v>
      </c>
      <c r="AA9808">
        <v>0</v>
      </c>
      <c r="AB9808">
        <v>0</v>
      </c>
      <c r="AC9808">
        <v>1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</row>
    <row r="9809" spans="1:39" x14ac:dyDescent="0.2">
      <c r="A9809" t="str">
        <f>"9805"</f>
        <v>9805</v>
      </c>
      <c r="B9809" t="str">
        <f t="shared" si="544"/>
        <v>1</v>
      </c>
      <c r="C9809" t="str">
        <f t="shared" si="546"/>
        <v>197</v>
      </c>
      <c r="D9809" t="str">
        <f>"1"</f>
        <v>1</v>
      </c>
      <c r="E9809" t="str">
        <f>"1-197-1"</f>
        <v>1-197-1</v>
      </c>
      <c r="F9809" t="s">
        <v>65</v>
      </c>
      <c r="G9809" t="s">
        <v>66</v>
      </c>
      <c r="H9809" t="s">
        <v>67</v>
      </c>
      <c r="S9809">
        <v>0</v>
      </c>
      <c r="T9809">
        <v>1</v>
      </c>
      <c r="U9809">
        <v>0</v>
      </c>
      <c r="V9809">
        <v>0</v>
      </c>
      <c r="W9809">
        <v>0</v>
      </c>
      <c r="X9809">
        <v>1</v>
      </c>
      <c r="Y9809">
        <v>0</v>
      </c>
      <c r="Z9809">
        <v>1</v>
      </c>
      <c r="AA9809">
        <v>0</v>
      </c>
      <c r="AB9809">
        <v>0</v>
      </c>
      <c r="AC9809">
        <v>1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</row>
    <row r="9810" spans="1:39" x14ac:dyDescent="0.2">
      <c r="A9810" t="str">
        <f>"9806"</f>
        <v>9806</v>
      </c>
      <c r="B9810" t="str">
        <f t="shared" si="544"/>
        <v>1</v>
      </c>
      <c r="C9810" t="str">
        <f t="shared" si="546"/>
        <v>197</v>
      </c>
      <c r="D9810" t="str">
        <f>"37"</f>
        <v>37</v>
      </c>
      <c r="E9810" t="str">
        <f>"1-197-37"</f>
        <v>1-197-37</v>
      </c>
      <c r="F9810" t="s">
        <v>65</v>
      </c>
      <c r="G9810" t="s">
        <v>66</v>
      </c>
      <c r="H9810" t="s">
        <v>67</v>
      </c>
      <c r="S9810">
        <v>1</v>
      </c>
      <c r="T9810">
        <v>0</v>
      </c>
      <c r="U9810">
        <v>0</v>
      </c>
      <c r="V9810">
        <v>0</v>
      </c>
      <c r="W9810">
        <v>1</v>
      </c>
      <c r="X9810">
        <v>0</v>
      </c>
      <c r="Y9810">
        <v>1</v>
      </c>
      <c r="Z9810">
        <v>0</v>
      </c>
      <c r="AA9810">
        <v>1</v>
      </c>
      <c r="AB9810">
        <v>0</v>
      </c>
      <c r="AC9810">
        <v>0</v>
      </c>
      <c r="AD9810">
        <v>1</v>
      </c>
      <c r="AE9810">
        <v>1</v>
      </c>
      <c r="AF9810">
        <v>1</v>
      </c>
      <c r="AG9810">
        <v>1</v>
      </c>
      <c r="AH9810">
        <v>1</v>
      </c>
      <c r="AI9810">
        <v>1</v>
      </c>
      <c r="AJ9810">
        <v>1</v>
      </c>
      <c r="AK9810">
        <v>1</v>
      </c>
      <c r="AL9810">
        <v>1</v>
      </c>
      <c r="AM9810">
        <v>1</v>
      </c>
    </row>
    <row r="9811" spans="1:39" x14ac:dyDescent="0.2">
      <c r="A9811" t="str">
        <f>"9807"</f>
        <v>9807</v>
      </c>
      <c r="B9811" t="str">
        <f t="shared" si="544"/>
        <v>1</v>
      </c>
      <c r="C9811" t="str">
        <f t="shared" si="546"/>
        <v>197</v>
      </c>
      <c r="D9811" t="str">
        <f>"36"</f>
        <v>36</v>
      </c>
      <c r="E9811" t="str">
        <f>"1-197-36"</f>
        <v>1-197-36</v>
      </c>
      <c r="F9811" t="s">
        <v>65</v>
      </c>
      <c r="G9811" t="s">
        <v>66</v>
      </c>
      <c r="H9811" t="s">
        <v>67</v>
      </c>
      <c r="S9811">
        <v>1</v>
      </c>
      <c r="T9811">
        <v>0</v>
      </c>
      <c r="U9811">
        <v>0</v>
      </c>
      <c r="V9811">
        <v>0</v>
      </c>
      <c r="W9811">
        <v>1</v>
      </c>
      <c r="X9811">
        <v>0</v>
      </c>
      <c r="Y9811">
        <v>0</v>
      </c>
      <c r="Z9811">
        <v>1</v>
      </c>
      <c r="AA9811">
        <v>1</v>
      </c>
      <c r="AB9811">
        <v>0</v>
      </c>
      <c r="AC9811">
        <v>0</v>
      </c>
      <c r="AD9811">
        <v>1</v>
      </c>
      <c r="AE9811">
        <v>1</v>
      </c>
      <c r="AF9811">
        <v>1</v>
      </c>
      <c r="AG9811">
        <v>1</v>
      </c>
      <c r="AH9811">
        <v>1</v>
      </c>
      <c r="AI9811">
        <v>1</v>
      </c>
      <c r="AJ9811">
        <v>1</v>
      </c>
      <c r="AK9811">
        <v>1</v>
      </c>
      <c r="AL9811">
        <v>1</v>
      </c>
      <c r="AM9811">
        <v>1</v>
      </c>
    </row>
    <row r="9812" spans="1:39" x14ac:dyDescent="0.2">
      <c r="A9812" t="str">
        <f>"9808"</f>
        <v>9808</v>
      </c>
      <c r="B9812" t="str">
        <f t="shared" si="544"/>
        <v>1</v>
      </c>
      <c r="C9812" t="str">
        <f t="shared" si="546"/>
        <v>197</v>
      </c>
      <c r="D9812" t="str">
        <f>"23"</f>
        <v>23</v>
      </c>
      <c r="E9812" t="str">
        <f>"1-197-23"</f>
        <v>1-197-23</v>
      </c>
      <c r="F9812" t="s">
        <v>65</v>
      </c>
      <c r="G9812" t="s">
        <v>66</v>
      </c>
      <c r="H9812" t="s">
        <v>67</v>
      </c>
      <c r="S9812">
        <v>0</v>
      </c>
      <c r="T9812">
        <v>1</v>
      </c>
      <c r="U9812">
        <v>0</v>
      </c>
      <c r="V9812">
        <v>0</v>
      </c>
      <c r="W9812">
        <v>0</v>
      </c>
      <c r="X9812">
        <v>1</v>
      </c>
      <c r="Y9812">
        <v>0</v>
      </c>
      <c r="Z9812">
        <v>1</v>
      </c>
      <c r="AA9812">
        <v>0</v>
      </c>
      <c r="AB9812">
        <v>0</v>
      </c>
      <c r="AC9812">
        <v>1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</row>
    <row r="9813" spans="1:39" x14ac:dyDescent="0.2">
      <c r="A9813" t="str">
        <f>"9809"</f>
        <v>9809</v>
      </c>
      <c r="B9813" t="str">
        <f t="shared" si="544"/>
        <v>1</v>
      </c>
      <c r="C9813" t="str">
        <f t="shared" si="546"/>
        <v>197</v>
      </c>
      <c r="D9813" t="str">
        <f>"16"</f>
        <v>16</v>
      </c>
      <c r="E9813" t="str">
        <f>"1-197-16"</f>
        <v>1-197-16</v>
      </c>
      <c r="F9813" t="s">
        <v>65</v>
      </c>
      <c r="G9813" t="s">
        <v>66</v>
      </c>
      <c r="H9813" t="s">
        <v>67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1</v>
      </c>
      <c r="Y9813">
        <v>0</v>
      </c>
      <c r="Z9813">
        <v>0</v>
      </c>
      <c r="AA9813">
        <v>0</v>
      </c>
      <c r="AB9813">
        <v>0</v>
      </c>
      <c r="AC9813">
        <v>1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</row>
    <row r="9814" spans="1:39" x14ac:dyDescent="0.2">
      <c r="A9814" t="str">
        <f>"9810"</f>
        <v>9810</v>
      </c>
      <c r="B9814" t="str">
        <f t="shared" si="544"/>
        <v>1</v>
      </c>
      <c r="C9814" t="str">
        <f t="shared" si="546"/>
        <v>197</v>
      </c>
      <c r="D9814" t="str">
        <f>"9"</f>
        <v>9</v>
      </c>
      <c r="E9814" t="str">
        <f>"1-197-9"</f>
        <v>1-197-9</v>
      </c>
      <c r="F9814" t="s">
        <v>65</v>
      </c>
      <c r="G9814" t="s">
        <v>66</v>
      </c>
      <c r="H9814" t="s">
        <v>67</v>
      </c>
      <c r="S9814">
        <v>0</v>
      </c>
      <c r="T9814">
        <v>1</v>
      </c>
      <c r="U9814">
        <v>0</v>
      </c>
      <c r="V9814">
        <v>0</v>
      </c>
      <c r="W9814">
        <v>0</v>
      </c>
      <c r="X9814">
        <v>1</v>
      </c>
      <c r="Y9814">
        <v>0</v>
      </c>
      <c r="Z9814">
        <v>1</v>
      </c>
      <c r="AA9814">
        <v>0</v>
      </c>
      <c r="AB9814">
        <v>0</v>
      </c>
      <c r="AC9814">
        <v>1</v>
      </c>
      <c r="AD9814">
        <v>1</v>
      </c>
      <c r="AE9814">
        <v>1</v>
      </c>
      <c r="AF9814">
        <v>1</v>
      </c>
      <c r="AG9814">
        <v>1</v>
      </c>
      <c r="AH9814">
        <v>1</v>
      </c>
      <c r="AI9814">
        <v>1</v>
      </c>
      <c r="AJ9814">
        <v>1</v>
      </c>
      <c r="AK9814">
        <v>1</v>
      </c>
      <c r="AL9814">
        <v>1</v>
      </c>
      <c r="AM9814">
        <v>1</v>
      </c>
    </row>
    <row r="9815" spans="1:39" x14ac:dyDescent="0.2">
      <c r="A9815" t="str">
        <f>"9811"</f>
        <v>9811</v>
      </c>
      <c r="B9815" t="str">
        <f t="shared" si="544"/>
        <v>1</v>
      </c>
      <c r="C9815" t="str">
        <f t="shared" si="546"/>
        <v>197</v>
      </c>
      <c r="D9815" t="str">
        <f>"42"</f>
        <v>42</v>
      </c>
      <c r="E9815" t="str">
        <f>"1-197-42"</f>
        <v>1-197-42</v>
      </c>
      <c r="F9815" t="s">
        <v>65</v>
      </c>
      <c r="G9815" t="s">
        <v>66</v>
      </c>
      <c r="H9815" t="s">
        <v>67</v>
      </c>
      <c r="S9815">
        <v>1</v>
      </c>
      <c r="T9815">
        <v>0</v>
      </c>
      <c r="U9815">
        <v>0</v>
      </c>
      <c r="V9815">
        <v>0</v>
      </c>
      <c r="W9815">
        <v>1</v>
      </c>
      <c r="X9815">
        <v>0</v>
      </c>
      <c r="Y9815">
        <v>1</v>
      </c>
      <c r="Z9815">
        <v>0</v>
      </c>
      <c r="AA9815">
        <v>0</v>
      </c>
      <c r="AB9815">
        <v>0</v>
      </c>
      <c r="AC9815">
        <v>1</v>
      </c>
      <c r="AD9815">
        <v>1</v>
      </c>
      <c r="AE9815">
        <v>1</v>
      </c>
      <c r="AF9815">
        <v>1</v>
      </c>
      <c r="AG9815">
        <v>1</v>
      </c>
      <c r="AH9815">
        <v>1</v>
      </c>
      <c r="AI9815">
        <v>1</v>
      </c>
      <c r="AJ9815">
        <v>1</v>
      </c>
      <c r="AK9815">
        <v>1</v>
      </c>
      <c r="AL9815">
        <v>1</v>
      </c>
      <c r="AM9815">
        <v>1</v>
      </c>
    </row>
    <row r="9816" spans="1:39" x14ac:dyDescent="0.2">
      <c r="A9816" t="str">
        <f>"9812"</f>
        <v>9812</v>
      </c>
      <c r="B9816" t="str">
        <f t="shared" si="544"/>
        <v>1</v>
      </c>
      <c r="C9816" t="str">
        <f t="shared" si="546"/>
        <v>197</v>
      </c>
      <c r="D9816" t="str">
        <f>"41"</f>
        <v>41</v>
      </c>
      <c r="E9816" t="str">
        <f>"1-197-41"</f>
        <v>1-197-41</v>
      </c>
      <c r="F9816" t="s">
        <v>65</v>
      </c>
      <c r="G9816" t="s">
        <v>66</v>
      </c>
      <c r="H9816" t="s">
        <v>68</v>
      </c>
      <c r="I9816">
        <v>1</v>
      </c>
      <c r="J9816">
        <v>0</v>
      </c>
      <c r="K9816">
        <v>0</v>
      </c>
      <c r="L9816">
        <v>1</v>
      </c>
      <c r="M9816">
        <v>1</v>
      </c>
      <c r="N9816">
        <v>1</v>
      </c>
      <c r="O9816">
        <v>1</v>
      </c>
      <c r="P9816">
        <v>1</v>
      </c>
      <c r="Q9816">
        <v>1</v>
      </c>
      <c r="R9816">
        <v>1</v>
      </c>
    </row>
    <row r="9817" spans="1:39" x14ac:dyDescent="0.2">
      <c r="A9817" t="str">
        <f>"9813"</f>
        <v>9813</v>
      </c>
      <c r="B9817" t="str">
        <f t="shared" si="544"/>
        <v>1</v>
      </c>
      <c r="C9817" t="str">
        <f t="shared" si="546"/>
        <v>197</v>
      </c>
      <c r="D9817" t="str">
        <f>"30"</f>
        <v>30</v>
      </c>
      <c r="E9817" t="str">
        <f>"1-197-30"</f>
        <v>1-197-30</v>
      </c>
      <c r="F9817" t="s">
        <v>65</v>
      </c>
      <c r="G9817" t="s">
        <v>66</v>
      </c>
      <c r="H9817" t="s">
        <v>67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1</v>
      </c>
      <c r="Y9817">
        <v>0</v>
      </c>
      <c r="Z9817">
        <v>0</v>
      </c>
      <c r="AA9817">
        <v>0</v>
      </c>
      <c r="AB9817">
        <v>0</v>
      </c>
      <c r="AC9817">
        <v>1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</row>
    <row r="9818" spans="1:39" x14ac:dyDescent="0.2">
      <c r="A9818" t="str">
        <f>"9814"</f>
        <v>9814</v>
      </c>
      <c r="B9818" t="str">
        <f t="shared" si="544"/>
        <v>1</v>
      </c>
      <c r="C9818" t="str">
        <f t="shared" si="546"/>
        <v>197</v>
      </c>
      <c r="D9818" t="str">
        <f>"17"</f>
        <v>17</v>
      </c>
      <c r="E9818" t="str">
        <f>"1-197-17"</f>
        <v>1-197-17</v>
      </c>
      <c r="F9818" t="s">
        <v>65</v>
      </c>
      <c r="G9818" t="s">
        <v>66</v>
      </c>
      <c r="H9818" t="s">
        <v>67</v>
      </c>
      <c r="S9818">
        <v>1</v>
      </c>
      <c r="T9818">
        <v>0</v>
      </c>
      <c r="U9818">
        <v>0</v>
      </c>
      <c r="V9818">
        <v>0</v>
      </c>
      <c r="W9818">
        <v>1</v>
      </c>
      <c r="X9818">
        <v>0</v>
      </c>
      <c r="Y9818">
        <v>1</v>
      </c>
      <c r="Z9818">
        <v>0</v>
      </c>
      <c r="AA9818">
        <v>1</v>
      </c>
      <c r="AB9818">
        <v>0</v>
      </c>
      <c r="AC9818">
        <v>0</v>
      </c>
      <c r="AD9818">
        <v>1</v>
      </c>
      <c r="AE9818">
        <v>1</v>
      </c>
      <c r="AF9818">
        <v>1</v>
      </c>
      <c r="AG9818">
        <v>1</v>
      </c>
      <c r="AH9818">
        <v>1</v>
      </c>
      <c r="AI9818">
        <v>1</v>
      </c>
      <c r="AJ9818">
        <v>1</v>
      </c>
      <c r="AK9818">
        <v>1</v>
      </c>
      <c r="AL9818">
        <v>1</v>
      </c>
      <c r="AM9818">
        <v>1</v>
      </c>
    </row>
    <row r="9819" spans="1:39" x14ac:dyDescent="0.2">
      <c r="A9819" t="str">
        <f>"9815"</f>
        <v>9815</v>
      </c>
      <c r="B9819" t="str">
        <f t="shared" si="544"/>
        <v>1</v>
      </c>
      <c r="C9819" t="str">
        <f t="shared" si="546"/>
        <v>197</v>
      </c>
      <c r="D9819" t="str">
        <f>"8"</f>
        <v>8</v>
      </c>
      <c r="E9819" t="str">
        <f>"1-197-8"</f>
        <v>1-197-8</v>
      </c>
      <c r="F9819" t="s">
        <v>65</v>
      </c>
      <c r="G9819" t="s">
        <v>66</v>
      </c>
      <c r="H9819" t="s">
        <v>67</v>
      </c>
      <c r="S9819">
        <v>0</v>
      </c>
      <c r="T9819">
        <v>1</v>
      </c>
      <c r="U9819">
        <v>0</v>
      </c>
      <c r="V9819">
        <v>0</v>
      </c>
      <c r="W9819">
        <v>0</v>
      </c>
      <c r="X9819">
        <v>1</v>
      </c>
      <c r="Y9819">
        <v>0</v>
      </c>
      <c r="Z9819">
        <v>1</v>
      </c>
      <c r="AA9819">
        <v>0</v>
      </c>
      <c r="AB9819">
        <v>0</v>
      </c>
      <c r="AC9819">
        <v>1</v>
      </c>
      <c r="AD9819">
        <v>1</v>
      </c>
      <c r="AE9819">
        <v>1</v>
      </c>
      <c r="AF9819">
        <v>1</v>
      </c>
      <c r="AG9819">
        <v>1</v>
      </c>
      <c r="AH9819">
        <v>1</v>
      </c>
      <c r="AI9819">
        <v>1</v>
      </c>
      <c r="AJ9819">
        <v>1</v>
      </c>
      <c r="AK9819">
        <v>1</v>
      </c>
      <c r="AL9819">
        <v>1</v>
      </c>
      <c r="AM9819">
        <v>1</v>
      </c>
    </row>
    <row r="9820" spans="1:39" x14ac:dyDescent="0.2">
      <c r="A9820" t="str">
        <f>"9816"</f>
        <v>9816</v>
      </c>
      <c r="B9820" t="str">
        <f t="shared" si="544"/>
        <v>1</v>
      </c>
      <c r="C9820" t="str">
        <f t="shared" si="546"/>
        <v>197</v>
      </c>
      <c r="D9820" t="str">
        <f>"39"</f>
        <v>39</v>
      </c>
      <c r="E9820" t="str">
        <f>"1-197-39"</f>
        <v>1-197-39</v>
      </c>
      <c r="F9820" t="s">
        <v>65</v>
      </c>
      <c r="G9820" t="s">
        <v>66</v>
      </c>
      <c r="H9820" t="s">
        <v>67</v>
      </c>
      <c r="S9820">
        <v>0</v>
      </c>
      <c r="T9820">
        <v>1</v>
      </c>
      <c r="U9820">
        <v>0</v>
      </c>
      <c r="V9820">
        <v>0</v>
      </c>
      <c r="W9820">
        <v>0</v>
      </c>
      <c r="X9820">
        <v>1</v>
      </c>
      <c r="Y9820">
        <v>0</v>
      </c>
      <c r="Z9820">
        <v>1</v>
      </c>
      <c r="AA9820">
        <v>0</v>
      </c>
      <c r="AB9820">
        <v>1</v>
      </c>
      <c r="AC9820">
        <v>0</v>
      </c>
      <c r="AD9820">
        <v>1</v>
      </c>
      <c r="AE9820">
        <v>1</v>
      </c>
      <c r="AF9820">
        <v>1</v>
      </c>
      <c r="AG9820">
        <v>1</v>
      </c>
      <c r="AH9820">
        <v>1</v>
      </c>
      <c r="AI9820">
        <v>1</v>
      </c>
      <c r="AJ9820">
        <v>1</v>
      </c>
      <c r="AK9820">
        <v>1</v>
      </c>
      <c r="AL9820">
        <v>1</v>
      </c>
      <c r="AM9820">
        <v>1</v>
      </c>
    </row>
    <row r="9821" spans="1:39" x14ac:dyDescent="0.2">
      <c r="A9821" t="str">
        <f>"9817"</f>
        <v>9817</v>
      </c>
      <c r="B9821" t="str">
        <f t="shared" si="544"/>
        <v>1</v>
      </c>
      <c r="C9821" t="str">
        <f t="shared" si="546"/>
        <v>197</v>
      </c>
      <c r="D9821" t="str">
        <f>"38"</f>
        <v>38</v>
      </c>
      <c r="E9821" t="str">
        <f>"1-197-38"</f>
        <v>1-197-38</v>
      </c>
      <c r="F9821" t="s">
        <v>65</v>
      </c>
      <c r="G9821" t="s">
        <v>66</v>
      </c>
      <c r="H9821" t="s">
        <v>67</v>
      </c>
      <c r="S9821">
        <v>0</v>
      </c>
      <c r="T9821">
        <v>1</v>
      </c>
      <c r="U9821">
        <v>0</v>
      </c>
      <c r="V9821">
        <v>0</v>
      </c>
      <c r="W9821">
        <v>0</v>
      </c>
      <c r="X9821">
        <v>1</v>
      </c>
      <c r="Y9821">
        <v>0</v>
      </c>
      <c r="Z9821">
        <v>1</v>
      </c>
      <c r="AA9821">
        <v>0</v>
      </c>
      <c r="AB9821">
        <v>0</v>
      </c>
      <c r="AC9821">
        <v>1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</row>
    <row r="9822" spans="1:39" x14ac:dyDescent="0.2">
      <c r="A9822" t="str">
        <f>"9818"</f>
        <v>9818</v>
      </c>
      <c r="B9822" t="str">
        <f t="shared" si="544"/>
        <v>1</v>
      </c>
      <c r="C9822" t="str">
        <f t="shared" si="546"/>
        <v>197</v>
      </c>
      <c r="D9822" t="str">
        <f>"24"</f>
        <v>24</v>
      </c>
      <c r="E9822" t="str">
        <f>"1-197-24"</f>
        <v>1-197-24</v>
      </c>
      <c r="F9822" t="s">
        <v>65</v>
      </c>
      <c r="G9822" t="s">
        <v>66</v>
      </c>
      <c r="H9822" t="s">
        <v>67</v>
      </c>
      <c r="S9822">
        <v>1</v>
      </c>
      <c r="T9822">
        <v>0</v>
      </c>
      <c r="U9822">
        <v>0</v>
      </c>
      <c r="V9822">
        <v>0</v>
      </c>
      <c r="W9822">
        <v>1</v>
      </c>
      <c r="X9822">
        <v>0</v>
      </c>
      <c r="Y9822">
        <v>1</v>
      </c>
      <c r="Z9822">
        <v>0</v>
      </c>
      <c r="AA9822">
        <v>1</v>
      </c>
      <c r="AB9822">
        <v>0</v>
      </c>
      <c r="AC9822">
        <v>0</v>
      </c>
      <c r="AD9822">
        <v>1</v>
      </c>
      <c r="AE9822">
        <v>1</v>
      </c>
      <c r="AF9822">
        <v>1</v>
      </c>
      <c r="AG9822">
        <v>1</v>
      </c>
      <c r="AH9822">
        <v>1</v>
      </c>
      <c r="AI9822">
        <v>0</v>
      </c>
      <c r="AJ9822">
        <v>1</v>
      </c>
      <c r="AK9822">
        <v>1</v>
      </c>
      <c r="AL9822">
        <v>1</v>
      </c>
      <c r="AM9822">
        <v>1</v>
      </c>
    </row>
    <row r="9823" spans="1:39" x14ac:dyDescent="0.2">
      <c r="A9823" t="str">
        <f>"9819"</f>
        <v>9819</v>
      </c>
      <c r="B9823" t="str">
        <f t="shared" si="544"/>
        <v>1</v>
      </c>
      <c r="C9823" t="str">
        <f t="shared" si="546"/>
        <v>197</v>
      </c>
      <c r="D9823" t="str">
        <f>"18"</f>
        <v>18</v>
      </c>
      <c r="E9823" t="str">
        <f>"1-197-18"</f>
        <v>1-197-18</v>
      </c>
      <c r="F9823" t="s">
        <v>65</v>
      </c>
      <c r="G9823" t="s">
        <v>66</v>
      </c>
      <c r="H9823" t="s">
        <v>67</v>
      </c>
      <c r="S9823">
        <v>0</v>
      </c>
      <c r="T9823">
        <v>0</v>
      </c>
      <c r="U9823">
        <v>0</v>
      </c>
      <c r="V9823">
        <v>0</v>
      </c>
      <c r="W9823">
        <v>1</v>
      </c>
      <c r="X9823">
        <v>0</v>
      </c>
      <c r="Y9823">
        <v>1</v>
      </c>
      <c r="Z9823">
        <v>0</v>
      </c>
      <c r="AA9823">
        <v>1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</row>
    <row r="9824" spans="1:39" x14ac:dyDescent="0.2">
      <c r="A9824" t="str">
        <f>"9820"</f>
        <v>9820</v>
      </c>
      <c r="B9824" t="str">
        <f t="shared" si="544"/>
        <v>1</v>
      </c>
      <c r="C9824" t="str">
        <f t="shared" si="546"/>
        <v>197</v>
      </c>
      <c r="D9824" t="str">
        <f>"2"</f>
        <v>2</v>
      </c>
      <c r="E9824" t="str">
        <f>"1-197-2"</f>
        <v>1-197-2</v>
      </c>
      <c r="F9824" t="s">
        <v>65</v>
      </c>
      <c r="G9824" t="s">
        <v>66</v>
      </c>
      <c r="H9824" t="s">
        <v>67</v>
      </c>
      <c r="S9824">
        <v>0</v>
      </c>
      <c r="T9824">
        <v>1</v>
      </c>
      <c r="U9824">
        <v>0</v>
      </c>
      <c r="V9824">
        <v>0</v>
      </c>
      <c r="W9824">
        <v>0</v>
      </c>
      <c r="X9824">
        <v>1</v>
      </c>
      <c r="Y9824">
        <v>0</v>
      </c>
      <c r="Z9824">
        <v>0</v>
      </c>
      <c r="AA9824">
        <v>0</v>
      </c>
      <c r="AB9824">
        <v>1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1</v>
      </c>
      <c r="AI9824">
        <v>1</v>
      </c>
      <c r="AJ9824">
        <v>1</v>
      </c>
      <c r="AK9824">
        <v>0</v>
      </c>
      <c r="AL9824">
        <v>1</v>
      </c>
      <c r="AM9824">
        <v>0</v>
      </c>
    </row>
    <row r="9825" spans="1:39" x14ac:dyDescent="0.2">
      <c r="A9825" t="str">
        <f>"9821"</f>
        <v>9821</v>
      </c>
      <c r="B9825" t="str">
        <f t="shared" si="544"/>
        <v>1</v>
      </c>
      <c r="C9825" t="str">
        <f t="shared" si="546"/>
        <v>197</v>
      </c>
      <c r="D9825" t="str">
        <f>"43"</f>
        <v>43</v>
      </c>
      <c r="E9825" t="str">
        <f>"1-197-43"</f>
        <v>1-197-43</v>
      </c>
      <c r="F9825" t="s">
        <v>65</v>
      </c>
      <c r="G9825" t="s">
        <v>66</v>
      </c>
      <c r="H9825" t="s">
        <v>68</v>
      </c>
      <c r="I9825">
        <v>1</v>
      </c>
      <c r="J9825">
        <v>1</v>
      </c>
      <c r="K9825">
        <v>0</v>
      </c>
      <c r="L9825">
        <v>0</v>
      </c>
      <c r="M9825">
        <v>1</v>
      </c>
      <c r="N9825">
        <v>1</v>
      </c>
      <c r="O9825">
        <v>1</v>
      </c>
      <c r="P9825">
        <v>1</v>
      </c>
      <c r="Q9825">
        <v>1</v>
      </c>
      <c r="R9825">
        <v>1</v>
      </c>
    </row>
    <row r="9826" spans="1:39" x14ac:dyDescent="0.2">
      <c r="A9826" t="str">
        <f>"9822"</f>
        <v>9822</v>
      </c>
      <c r="B9826" t="str">
        <f t="shared" si="544"/>
        <v>1</v>
      </c>
      <c r="C9826" t="str">
        <f t="shared" si="546"/>
        <v>197</v>
      </c>
      <c r="D9826" t="str">
        <f>"19"</f>
        <v>19</v>
      </c>
      <c r="E9826" t="str">
        <f>"1-197-19"</f>
        <v>1-197-19</v>
      </c>
      <c r="F9826" t="s">
        <v>65</v>
      </c>
      <c r="G9826" t="s">
        <v>66</v>
      </c>
      <c r="H9826" t="s">
        <v>67</v>
      </c>
      <c r="S9826">
        <v>0</v>
      </c>
      <c r="T9826">
        <v>1</v>
      </c>
      <c r="U9826">
        <v>0</v>
      </c>
      <c r="V9826">
        <v>0</v>
      </c>
      <c r="W9826">
        <v>0</v>
      </c>
      <c r="X9826">
        <v>1</v>
      </c>
      <c r="Y9826">
        <v>0</v>
      </c>
      <c r="Z9826">
        <v>1</v>
      </c>
      <c r="AA9826">
        <v>1</v>
      </c>
      <c r="AB9826">
        <v>0</v>
      </c>
      <c r="AC9826">
        <v>0</v>
      </c>
      <c r="AD9826">
        <v>1</v>
      </c>
      <c r="AE9826">
        <v>1</v>
      </c>
      <c r="AF9826">
        <v>1</v>
      </c>
      <c r="AG9826">
        <v>1</v>
      </c>
      <c r="AH9826">
        <v>1</v>
      </c>
      <c r="AI9826">
        <v>1</v>
      </c>
      <c r="AJ9826">
        <v>1</v>
      </c>
      <c r="AK9826">
        <v>1</v>
      </c>
      <c r="AL9826">
        <v>1</v>
      </c>
      <c r="AM9826">
        <v>1</v>
      </c>
    </row>
    <row r="9827" spans="1:39" x14ac:dyDescent="0.2">
      <c r="A9827" t="str">
        <f>"9823"</f>
        <v>9823</v>
      </c>
      <c r="B9827" t="str">
        <f t="shared" si="544"/>
        <v>1</v>
      </c>
      <c r="C9827" t="str">
        <f t="shared" si="546"/>
        <v>197</v>
      </c>
      <c r="D9827" t="str">
        <f>"3"</f>
        <v>3</v>
      </c>
      <c r="E9827" t="str">
        <f>"1-197-3"</f>
        <v>1-197-3</v>
      </c>
      <c r="F9827" t="s">
        <v>65</v>
      </c>
      <c r="G9827" t="s">
        <v>66</v>
      </c>
      <c r="H9827" t="s">
        <v>68</v>
      </c>
      <c r="I9827">
        <v>1</v>
      </c>
      <c r="J9827">
        <v>0</v>
      </c>
      <c r="K9827">
        <v>0</v>
      </c>
      <c r="L9827">
        <v>1</v>
      </c>
      <c r="M9827">
        <v>1</v>
      </c>
      <c r="N9827">
        <v>1</v>
      </c>
      <c r="O9827">
        <v>1</v>
      </c>
      <c r="P9827">
        <v>1</v>
      </c>
      <c r="Q9827">
        <v>1</v>
      </c>
      <c r="R9827">
        <v>1</v>
      </c>
    </row>
    <row r="9828" spans="1:39" x14ac:dyDescent="0.2">
      <c r="A9828" t="str">
        <f>"9824"</f>
        <v>9824</v>
      </c>
      <c r="B9828" t="str">
        <f t="shared" si="544"/>
        <v>1</v>
      </c>
      <c r="C9828" t="str">
        <f t="shared" si="546"/>
        <v>197</v>
      </c>
      <c r="D9828" t="str">
        <f>"49"</f>
        <v>49</v>
      </c>
      <c r="E9828" t="str">
        <f>"1-197-49"</f>
        <v>1-197-49</v>
      </c>
      <c r="F9828" t="s">
        <v>65</v>
      </c>
      <c r="G9828" t="s">
        <v>66</v>
      </c>
      <c r="H9828" t="s">
        <v>67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1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</row>
    <row r="9829" spans="1:39" x14ac:dyDescent="0.2">
      <c r="A9829" t="str">
        <f>"9825"</f>
        <v>9825</v>
      </c>
      <c r="B9829" t="str">
        <f t="shared" si="544"/>
        <v>1</v>
      </c>
      <c r="C9829" t="str">
        <f t="shared" si="546"/>
        <v>197</v>
      </c>
      <c r="D9829" t="str">
        <f>"20"</f>
        <v>20</v>
      </c>
      <c r="E9829" t="str">
        <f>"1-197-20"</f>
        <v>1-197-20</v>
      </c>
      <c r="F9829" t="s">
        <v>65</v>
      </c>
      <c r="G9829" t="s">
        <v>66</v>
      </c>
      <c r="H9829" t="s">
        <v>68</v>
      </c>
      <c r="I9829">
        <v>1</v>
      </c>
      <c r="J9829">
        <v>1</v>
      </c>
      <c r="K9829">
        <v>0</v>
      </c>
      <c r="L9829">
        <v>0</v>
      </c>
      <c r="M9829">
        <v>1</v>
      </c>
      <c r="N9829">
        <v>1</v>
      </c>
      <c r="O9829">
        <v>1</v>
      </c>
      <c r="P9829">
        <v>1</v>
      </c>
      <c r="Q9829">
        <v>1</v>
      </c>
      <c r="R9829">
        <v>1</v>
      </c>
    </row>
    <row r="9830" spans="1:39" x14ac:dyDescent="0.2">
      <c r="A9830" t="str">
        <f>"9826"</f>
        <v>9826</v>
      </c>
      <c r="B9830" t="str">
        <f t="shared" si="544"/>
        <v>1</v>
      </c>
      <c r="C9830" t="str">
        <f t="shared" si="546"/>
        <v>197</v>
      </c>
      <c r="D9830" t="str">
        <f>"10"</f>
        <v>10</v>
      </c>
      <c r="E9830" t="str">
        <f>"1-197-10"</f>
        <v>1-197-10</v>
      </c>
      <c r="F9830" t="s">
        <v>65</v>
      </c>
      <c r="G9830" t="s">
        <v>66</v>
      </c>
      <c r="H9830" t="s">
        <v>67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1</v>
      </c>
      <c r="Y9830">
        <v>0</v>
      </c>
      <c r="Z9830">
        <v>1</v>
      </c>
      <c r="AA9830">
        <v>0</v>
      </c>
      <c r="AB9830">
        <v>0</v>
      </c>
      <c r="AC9830">
        <v>1</v>
      </c>
      <c r="AD9830">
        <v>0</v>
      </c>
      <c r="AE9830">
        <v>0</v>
      </c>
      <c r="AF9830">
        <v>0</v>
      </c>
      <c r="AG9830">
        <v>1</v>
      </c>
      <c r="AH9830">
        <v>1</v>
      </c>
      <c r="AI9830">
        <v>1</v>
      </c>
      <c r="AJ9830">
        <v>1</v>
      </c>
      <c r="AK9830">
        <v>1</v>
      </c>
      <c r="AL9830">
        <v>1</v>
      </c>
      <c r="AM9830">
        <v>1</v>
      </c>
    </row>
    <row r="9831" spans="1:39" x14ac:dyDescent="0.2">
      <c r="A9831" t="str">
        <f>"9827"</f>
        <v>9827</v>
      </c>
      <c r="B9831" t="str">
        <f t="shared" si="544"/>
        <v>1</v>
      </c>
      <c r="C9831" t="str">
        <f t="shared" si="546"/>
        <v>197</v>
      </c>
      <c r="D9831" t="str">
        <f>"40"</f>
        <v>40</v>
      </c>
      <c r="E9831" t="str">
        <f>"1-197-40"</f>
        <v>1-197-40</v>
      </c>
      <c r="F9831" t="s">
        <v>65</v>
      </c>
      <c r="G9831" t="s">
        <v>66</v>
      </c>
      <c r="H9831" t="s">
        <v>67</v>
      </c>
      <c r="S9831">
        <v>1</v>
      </c>
      <c r="T9831">
        <v>0</v>
      </c>
      <c r="U9831">
        <v>0</v>
      </c>
      <c r="V9831">
        <v>0</v>
      </c>
      <c r="W9831">
        <v>1</v>
      </c>
      <c r="X9831">
        <v>0</v>
      </c>
      <c r="Y9831">
        <v>0</v>
      </c>
      <c r="Z9831">
        <v>1</v>
      </c>
      <c r="AA9831">
        <v>1</v>
      </c>
      <c r="AB9831">
        <v>0</v>
      </c>
      <c r="AC9831">
        <v>0</v>
      </c>
      <c r="AD9831">
        <v>1</v>
      </c>
      <c r="AE9831">
        <v>1</v>
      </c>
      <c r="AF9831">
        <v>1</v>
      </c>
      <c r="AG9831">
        <v>1</v>
      </c>
      <c r="AH9831">
        <v>1</v>
      </c>
      <c r="AI9831">
        <v>1</v>
      </c>
      <c r="AJ9831">
        <v>1</v>
      </c>
      <c r="AK9831">
        <v>1</v>
      </c>
      <c r="AL9831">
        <v>1</v>
      </c>
      <c r="AM9831">
        <v>1</v>
      </c>
    </row>
    <row r="9832" spans="1:39" x14ac:dyDescent="0.2">
      <c r="A9832" t="str">
        <f>"9828"</f>
        <v>9828</v>
      </c>
      <c r="B9832" t="str">
        <f t="shared" si="544"/>
        <v>1</v>
      </c>
      <c r="C9832" t="str">
        <f t="shared" si="546"/>
        <v>197</v>
      </c>
      <c r="D9832" t="str">
        <f>"21"</f>
        <v>21</v>
      </c>
      <c r="E9832" t="str">
        <f>"1-197-21"</f>
        <v>1-197-21</v>
      </c>
      <c r="F9832" t="s">
        <v>65</v>
      </c>
      <c r="G9832" t="s">
        <v>66</v>
      </c>
      <c r="H9832" t="s">
        <v>67</v>
      </c>
      <c r="S9832">
        <v>1</v>
      </c>
      <c r="T9832">
        <v>0</v>
      </c>
      <c r="U9832">
        <v>0</v>
      </c>
      <c r="V9832">
        <v>0</v>
      </c>
      <c r="W9832">
        <v>1</v>
      </c>
      <c r="X9832">
        <v>0</v>
      </c>
      <c r="Y9832">
        <v>1</v>
      </c>
      <c r="Z9832">
        <v>0</v>
      </c>
      <c r="AA9832">
        <v>0</v>
      </c>
      <c r="AB9832">
        <v>0</v>
      </c>
      <c r="AC9832">
        <v>1</v>
      </c>
      <c r="AD9832">
        <v>1</v>
      </c>
      <c r="AE9832">
        <v>1</v>
      </c>
      <c r="AF9832">
        <v>1</v>
      </c>
      <c r="AG9832">
        <v>1</v>
      </c>
      <c r="AH9832">
        <v>1</v>
      </c>
      <c r="AI9832">
        <v>1</v>
      </c>
      <c r="AJ9832">
        <v>1</v>
      </c>
      <c r="AK9832">
        <v>1</v>
      </c>
      <c r="AL9832">
        <v>1</v>
      </c>
      <c r="AM9832">
        <v>1</v>
      </c>
    </row>
    <row r="9833" spans="1:39" x14ac:dyDescent="0.2">
      <c r="A9833" t="str">
        <f>"9829"</f>
        <v>9829</v>
      </c>
      <c r="B9833" t="str">
        <f t="shared" si="544"/>
        <v>1</v>
      </c>
      <c r="C9833" t="str">
        <f t="shared" si="546"/>
        <v>197</v>
      </c>
      <c r="D9833" t="str">
        <f>"4"</f>
        <v>4</v>
      </c>
      <c r="E9833" t="str">
        <f>"1-197-4"</f>
        <v>1-197-4</v>
      </c>
      <c r="F9833" t="s">
        <v>65</v>
      </c>
      <c r="G9833" t="s">
        <v>66</v>
      </c>
      <c r="H9833" t="s">
        <v>67</v>
      </c>
      <c r="S9833">
        <v>0</v>
      </c>
      <c r="T9833">
        <v>0</v>
      </c>
      <c r="U9833">
        <v>0</v>
      </c>
      <c r="V9833">
        <v>0</v>
      </c>
      <c r="W9833">
        <v>1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</row>
    <row r="9834" spans="1:39" x14ac:dyDescent="0.2">
      <c r="A9834" t="str">
        <f>"9830"</f>
        <v>9830</v>
      </c>
      <c r="B9834" t="str">
        <f t="shared" si="544"/>
        <v>1</v>
      </c>
      <c r="C9834" t="str">
        <f t="shared" si="546"/>
        <v>197</v>
      </c>
      <c r="D9834" t="str">
        <f>"44"</f>
        <v>44</v>
      </c>
      <c r="E9834" t="str">
        <f>"1-197-44"</f>
        <v>1-197-44</v>
      </c>
      <c r="F9834" t="s">
        <v>65</v>
      </c>
      <c r="G9834" t="s">
        <v>66</v>
      </c>
      <c r="H9834" t="s">
        <v>67</v>
      </c>
      <c r="S9834">
        <v>1</v>
      </c>
      <c r="T9834">
        <v>0</v>
      </c>
      <c r="U9834">
        <v>0</v>
      </c>
      <c r="V9834">
        <v>0</v>
      </c>
      <c r="W9834">
        <v>1</v>
      </c>
      <c r="X9834">
        <v>0</v>
      </c>
      <c r="Y9834">
        <v>0</v>
      </c>
      <c r="Z9834">
        <v>1</v>
      </c>
      <c r="AA9834">
        <v>0</v>
      </c>
      <c r="AB9834">
        <v>0</v>
      </c>
      <c r="AC9834">
        <v>0</v>
      </c>
      <c r="AD9834">
        <v>1</v>
      </c>
      <c r="AE9834">
        <v>1</v>
      </c>
      <c r="AF9834">
        <v>1</v>
      </c>
      <c r="AG9834">
        <v>1</v>
      </c>
      <c r="AH9834">
        <v>1</v>
      </c>
      <c r="AI9834">
        <v>1</v>
      </c>
      <c r="AJ9834">
        <v>1</v>
      </c>
      <c r="AK9834">
        <v>1</v>
      </c>
      <c r="AL9834">
        <v>1</v>
      </c>
      <c r="AM9834">
        <v>1</v>
      </c>
    </row>
    <row r="9835" spans="1:39" x14ac:dyDescent="0.2">
      <c r="A9835" t="str">
        <f>"9831"</f>
        <v>9831</v>
      </c>
      <c r="B9835" t="str">
        <f t="shared" si="544"/>
        <v>1</v>
      </c>
      <c r="C9835" t="str">
        <f t="shared" si="546"/>
        <v>197</v>
      </c>
      <c r="D9835" t="str">
        <f>"25"</f>
        <v>25</v>
      </c>
      <c r="E9835" t="str">
        <f>"1-197-25"</f>
        <v>1-197-25</v>
      </c>
      <c r="F9835" t="s">
        <v>65</v>
      </c>
      <c r="G9835" t="s">
        <v>66</v>
      </c>
      <c r="H9835" t="s">
        <v>67</v>
      </c>
      <c r="S9835">
        <v>0</v>
      </c>
      <c r="T9835">
        <v>1</v>
      </c>
      <c r="U9835">
        <v>0</v>
      </c>
      <c r="V9835">
        <v>0</v>
      </c>
      <c r="W9835">
        <v>1</v>
      </c>
      <c r="X9835">
        <v>0</v>
      </c>
      <c r="Y9835">
        <v>1</v>
      </c>
      <c r="Z9835">
        <v>0</v>
      </c>
      <c r="AA9835">
        <v>0</v>
      </c>
      <c r="AB9835">
        <v>0</v>
      </c>
      <c r="AC9835">
        <v>1</v>
      </c>
      <c r="AD9835">
        <v>1</v>
      </c>
      <c r="AE9835">
        <v>1</v>
      </c>
      <c r="AF9835">
        <v>1</v>
      </c>
      <c r="AG9835">
        <v>1</v>
      </c>
      <c r="AH9835">
        <v>1</v>
      </c>
      <c r="AI9835">
        <v>1</v>
      </c>
      <c r="AJ9835">
        <v>1</v>
      </c>
      <c r="AK9835">
        <v>1</v>
      </c>
      <c r="AL9835">
        <v>1</v>
      </c>
      <c r="AM9835">
        <v>0</v>
      </c>
    </row>
    <row r="9836" spans="1:39" x14ac:dyDescent="0.2">
      <c r="A9836" t="str">
        <f>"9832"</f>
        <v>9832</v>
      </c>
      <c r="B9836" t="str">
        <f t="shared" si="544"/>
        <v>1</v>
      </c>
      <c r="C9836" t="str">
        <f t="shared" si="546"/>
        <v>197</v>
      </c>
      <c r="D9836" t="str">
        <f>"11"</f>
        <v>11</v>
      </c>
      <c r="E9836" t="str">
        <f>"1-197-11"</f>
        <v>1-197-11</v>
      </c>
      <c r="F9836" t="s">
        <v>65</v>
      </c>
      <c r="G9836" t="s">
        <v>66</v>
      </c>
      <c r="H9836" t="s">
        <v>67</v>
      </c>
      <c r="S9836">
        <v>1</v>
      </c>
      <c r="T9836">
        <v>0</v>
      </c>
      <c r="U9836">
        <v>0</v>
      </c>
      <c r="V9836">
        <v>0</v>
      </c>
      <c r="W9836">
        <v>1</v>
      </c>
      <c r="X9836">
        <v>0</v>
      </c>
      <c r="Y9836">
        <v>1</v>
      </c>
      <c r="Z9836">
        <v>0</v>
      </c>
      <c r="AA9836">
        <v>0</v>
      </c>
      <c r="AB9836">
        <v>1</v>
      </c>
      <c r="AC9836">
        <v>0</v>
      </c>
      <c r="AD9836">
        <v>1</v>
      </c>
      <c r="AE9836">
        <v>1</v>
      </c>
      <c r="AF9836">
        <v>1</v>
      </c>
      <c r="AG9836">
        <v>1</v>
      </c>
      <c r="AH9836">
        <v>1</v>
      </c>
      <c r="AI9836">
        <v>1</v>
      </c>
      <c r="AJ9836">
        <v>1</v>
      </c>
      <c r="AK9836">
        <v>1</v>
      </c>
      <c r="AL9836">
        <v>1</v>
      </c>
      <c r="AM9836">
        <v>1</v>
      </c>
    </row>
    <row r="9837" spans="1:39" x14ac:dyDescent="0.2">
      <c r="A9837" t="str">
        <f>"9833"</f>
        <v>9833</v>
      </c>
      <c r="B9837" t="str">
        <f t="shared" si="544"/>
        <v>1</v>
      </c>
      <c r="C9837" t="str">
        <f t="shared" ref="C9837:C9854" si="547">"197"</f>
        <v>197</v>
      </c>
      <c r="D9837" t="str">
        <f>"26"</f>
        <v>26</v>
      </c>
      <c r="E9837" t="str">
        <f>"1-197-26"</f>
        <v>1-197-26</v>
      </c>
      <c r="F9837" t="s">
        <v>65</v>
      </c>
      <c r="G9837" t="s">
        <v>66</v>
      </c>
      <c r="H9837" t="s">
        <v>67</v>
      </c>
      <c r="S9837">
        <v>1</v>
      </c>
      <c r="T9837">
        <v>0</v>
      </c>
      <c r="U9837">
        <v>0</v>
      </c>
      <c r="V9837">
        <v>0</v>
      </c>
      <c r="W9837">
        <v>1</v>
      </c>
      <c r="X9837">
        <v>0</v>
      </c>
      <c r="Y9837">
        <v>1</v>
      </c>
      <c r="Z9837">
        <v>0</v>
      </c>
      <c r="AA9837">
        <v>0</v>
      </c>
      <c r="AB9837">
        <v>1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</row>
    <row r="9838" spans="1:39" x14ac:dyDescent="0.2">
      <c r="A9838" t="str">
        <f>"9834"</f>
        <v>9834</v>
      </c>
      <c r="B9838" t="str">
        <f t="shared" si="544"/>
        <v>1</v>
      </c>
      <c r="C9838" t="str">
        <f t="shared" si="547"/>
        <v>197</v>
      </c>
      <c r="D9838" t="str">
        <f>"6"</f>
        <v>6</v>
      </c>
      <c r="E9838" t="str">
        <f>"1-197-6"</f>
        <v>1-197-6</v>
      </c>
      <c r="F9838" t="s">
        <v>65</v>
      </c>
      <c r="G9838" t="s">
        <v>66</v>
      </c>
      <c r="H9838" t="s">
        <v>67</v>
      </c>
      <c r="S9838">
        <v>1</v>
      </c>
      <c r="T9838">
        <v>0</v>
      </c>
      <c r="U9838">
        <v>0</v>
      </c>
      <c r="V9838">
        <v>0</v>
      </c>
      <c r="W9838">
        <v>1</v>
      </c>
      <c r="X9838">
        <v>0</v>
      </c>
      <c r="Y9838">
        <v>0</v>
      </c>
      <c r="Z9838">
        <v>1</v>
      </c>
      <c r="AA9838">
        <v>0</v>
      </c>
      <c r="AB9838">
        <v>0</v>
      </c>
      <c r="AC9838">
        <v>1</v>
      </c>
      <c r="AD9838">
        <v>0</v>
      </c>
      <c r="AE9838">
        <v>0</v>
      </c>
      <c r="AF9838">
        <v>0</v>
      </c>
      <c r="AG9838">
        <v>1</v>
      </c>
      <c r="AH9838">
        <v>1</v>
      </c>
      <c r="AI9838">
        <v>1</v>
      </c>
      <c r="AJ9838">
        <v>1</v>
      </c>
      <c r="AK9838">
        <v>1</v>
      </c>
      <c r="AL9838">
        <v>1</v>
      </c>
      <c r="AM9838">
        <v>1</v>
      </c>
    </row>
    <row r="9839" spans="1:39" x14ac:dyDescent="0.2">
      <c r="A9839" t="str">
        <f>"9835"</f>
        <v>9835</v>
      </c>
      <c r="B9839" t="str">
        <f t="shared" si="544"/>
        <v>1</v>
      </c>
      <c r="C9839" t="str">
        <f t="shared" si="547"/>
        <v>197</v>
      </c>
      <c r="D9839" t="str">
        <f>"27"</f>
        <v>27</v>
      </c>
      <c r="E9839" t="str">
        <f>"1-197-27"</f>
        <v>1-197-27</v>
      </c>
      <c r="F9839" t="s">
        <v>65</v>
      </c>
      <c r="G9839" t="s">
        <v>66</v>
      </c>
      <c r="H9839" t="s">
        <v>67</v>
      </c>
      <c r="S9839">
        <v>1</v>
      </c>
      <c r="T9839">
        <v>0</v>
      </c>
      <c r="U9839">
        <v>0</v>
      </c>
      <c r="V9839">
        <v>0</v>
      </c>
      <c r="W9839">
        <v>1</v>
      </c>
      <c r="X9839">
        <v>0</v>
      </c>
      <c r="Y9839">
        <v>1</v>
      </c>
      <c r="Z9839">
        <v>0</v>
      </c>
      <c r="AA9839">
        <v>1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1</v>
      </c>
      <c r="AL9839">
        <v>0</v>
      </c>
      <c r="AM9839">
        <v>0</v>
      </c>
    </row>
    <row r="9840" spans="1:39" x14ac:dyDescent="0.2">
      <c r="A9840" t="str">
        <f>"9836"</f>
        <v>9836</v>
      </c>
      <c r="B9840" t="str">
        <f t="shared" si="544"/>
        <v>1</v>
      </c>
      <c r="C9840" t="str">
        <f t="shared" si="547"/>
        <v>197</v>
      </c>
      <c r="D9840" t="str">
        <f>"13"</f>
        <v>13</v>
      </c>
      <c r="E9840" t="str">
        <f>"1-197-13"</f>
        <v>1-197-13</v>
      </c>
      <c r="F9840" t="s">
        <v>65</v>
      </c>
      <c r="G9840" t="s">
        <v>66</v>
      </c>
      <c r="H9840" t="s">
        <v>67</v>
      </c>
      <c r="S9840">
        <v>1</v>
      </c>
      <c r="T9840">
        <v>0</v>
      </c>
      <c r="U9840">
        <v>0</v>
      </c>
      <c r="V9840">
        <v>0</v>
      </c>
      <c r="W9840">
        <v>1</v>
      </c>
      <c r="X9840">
        <v>0</v>
      </c>
      <c r="Y9840">
        <v>1</v>
      </c>
      <c r="Z9840">
        <v>0</v>
      </c>
      <c r="AA9840">
        <v>1</v>
      </c>
      <c r="AB9840">
        <v>0</v>
      </c>
      <c r="AC9840">
        <v>0</v>
      </c>
      <c r="AD9840">
        <v>1</v>
      </c>
      <c r="AE9840">
        <v>1</v>
      </c>
      <c r="AF9840">
        <v>1</v>
      </c>
      <c r="AG9840">
        <v>1</v>
      </c>
      <c r="AH9840">
        <v>1</v>
      </c>
      <c r="AI9840">
        <v>1</v>
      </c>
      <c r="AJ9840">
        <v>1</v>
      </c>
      <c r="AK9840">
        <v>1</v>
      </c>
      <c r="AL9840">
        <v>1</v>
      </c>
      <c r="AM9840">
        <v>1</v>
      </c>
    </row>
    <row r="9841" spans="1:39" x14ac:dyDescent="0.2">
      <c r="A9841" t="str">
        <f>"9837"</f>
        <v>9837</v>
      </c>
      <c r="B9841" t="str">
        <f t="shared" si="544"/>
        <v>1</v>
      </c>
      <c r="C9841" t="str">
        <f t="shared" si="547"/>
        <v>197</v>
      </c>
      <c r="D9841" t="str">
        <f>"47"</f>
        <v>47</v>
      </c>
      <c r="E9841" t="str">
        <f>"1-197-47"</f>
        <v>1-197-47</v>
      </c>
      <c r="F9841" t="s">
        <v>65</v>
      </c>
      <c r="G9841" t="s">
        <v>66</v>
      </c>
      <c r="H9841" t="s">
        <v>67</v>
      </c>
      <c r="S9841">
        <v>1</v>
      </c>
      <c r="T9841">
        <v>0</v>
      </c>
      <c r="U9841">
        <v>0</v>
      </c>
      <c r="V9841">
        <v>0</v>
      </c>
      <c r="W9841">
        <v>1</v>
      </c>
      <c r="X9841">
        <v>0</v>
      </c>
      <c r="Y9841">
        <v>1</v>
      </c>
      <c r="Z9841">
        <v>0</v>
      </c>
      <c r="AA9841">
        <v>0</v>
      </c>
      <c r="AB9841">
        <v>1</v>
      </c>
      <c r="AC9841">
        <v>0</v>
      </c>
      <c r="AD9841">
        <v>1</v>
      </c>
      <c r="AE9841">
        <v>1</v>
      </c>
      <c r="AF9841">
        <v>1</v>
      </c>
      <c r="AG9841">
        <v>1</v>
      </c>
      <c r="AH9841">
        <v>1</v>
      </c>
      <c r="AI9841">
        <v>1</v>
      </c>
      <c r="AJ9841">
        <v>1</v>
      </c>
      <c r="AK9841">
        <v>1</v>
      </c>
      <c r="AL9841">
        <v>1</v>
      </c>
      <c r="AM9841">
        <v>1</v>
      </c>
    </row>
    <row r="9842" spans="1:39" x14ac:dyDescent="0.2">
      <c r="A9842" t="str">
        <f>"9838"</f>
        <v>9838</v>
      </c>
      <c r="B9842" t="str">
        <f t="shared" si="544"/>
        <v>1</v>
      </c>
      <c r="C9842" t="str">
        <f t="shared" si="547"/>
        <v>197</v>
      </c>
      <c r="D9842" t="str">
        <f>"28"</f>
        <v>28</v>
      </c>
      <c r="E9842" t="str">
        <f>"1-197-28"</f>
        <v>1-197-28</v>
      </c>
      <c r="F9842" t="s">
        <v>65</v>
      </c>
      <c r="G9842" t="s">
        <v>66</v>
      </c>
      <c r="H9842" t="s">
        <v>67</v>
      </c>
      <c r="S9842">
        <v>1</v>
      </c>
      <c r="T9842">
        <v>0</v>
      </c>
      <c r="U9842">
        <v>0</v>
      </c>
      <c r="V9842">
        <v>0</v>
      </c>
      <c r="W9842">
        <v>1</v>
      </c>
      <c r="X9842">
        <v>0</v>
      </c>
      <c r="Y9842">
        <v>1</v>
      </c>
      <c r="Z9842">
        <v>0</v>
      </c>
      <c r="AA9842">
        <v>1</v>
      </c>
      <c r="AB9842">
        <v>0</v>
      </c>
      <c r="AC9842">
        <v>0</v>
      </c>
      <c r="AD9842">
        <v>1</v>
      </c>
      <c r="AE9842">
        <v>1</v>
      </c>
      <c r="AF9842">
        <v>1</v>
      </c>
      <c r="AG9842">
        <v>0</v>
      </c>
      <c r="AH9842">
        <v>0</v>
      </c>
      <c r="AI9842">
        <v>1</v>
      </c>
      <c r="AJ9842">
        <v>1</v>
      </c>
      <c r="AK9842">
        <v>1</v>
      </c>
      <c r="AL9842">
        <v>1</v>
      </c>
      <c r="AM9842">
        <v>1</v>
      </c>
    </row>
    <row r="9843" spans="1:39" x14ac:dyDescent="0.2">
      <c r="A9843" t="str">
        <f>"9839"</f>
        <v>9839</v>
      </c>
      <c r="B9843" t="str">
        <f t="shared" si="544"/>
        <v>1</v>
      </c>
      <c r="C9843" t="str">
        <f t="shared" si="547"/>
        <v>197</v>
      </c>
      <c r="D9843" t="str">
        <f>"7"</f>
        <v>7</v>
      </c>
      <c r="E9843" t="str">
        <f>"1-197-7"</f>
        <v>1-197-7</v>
      </c>
      <c r="F9843" t="s">
        <v>65</v>
      </c>
      <c r="G9843" t="s">
        <v>66</v>
      </c>
      <c r="H9843" t="s">
        <v>67</v>
      </c>
      <c r="S9843">
        <v>0</v>
      </c>
      <c r="T9843">
        <v>1</v>
      </c>
      <c r="U9843">
        <v>0</v>
      </c>
      <c r="V9843">
        <v>0</v>
      </c>
      <c r="W9843">
        <v>0</v>
      </c>
      <c r="X9843">
        <v>1</v>
      </c>
      <c r="Y9843">
        <v>1</v>
      </c>
      <c r="Z9843">
        <v>0</v>
      </c>
      <c r="AA9843">
        <v>0</v>
      </c>
      <c r="AB9843">
        <v>1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</row>
    <row r="9844" spans="1:39" x14ac:dyDescent="0.2">
      <c r="A9844" t="str">
        <f>"9840"</f>
        <v>9840</v>
      </c>
      <c r="B9844" t="str">
        <f t="shared" si="544"/>
        <v>1</v>
      </c>
      <c r="C9844" t="str">
        <f t="shared" si="547"/>
        <v>197</v>
      </c>
      <c r="D9844" t="str">
        <f>"45"</f>
        <v>45</v>
      </c>
      <c r="E9844" t="str">
        <f>"1-197-45"</f>
        <v>1-197-45</v>
      </c>
      <c r="F9844" t="s">
        <v>65</v>
      </c>
      <c r="G9844" t="s">
        <v>66</v>
      </c>
      <c r="H9844" t="s">
        <v>67</v>
      </c>
      <c r="S9844">
        <v>0</v>
      </c>
      <c r="T9844">
        <v>1</v>
      </c>
      <c r="U9844">
        <v>0</v>
      </c>
      <c r="V9844">
        <v>0</v>
      </c>
      <c r="W9844">
        <v>0</v>
      </c>
      <c r="X9844">
        <v>1</v>
      </c>
      <c r="Y9844">
        <v>1</v>
      </c>
      <c r="Z9844">
        <v>0</v>
      </c>
      <c r="AA9844">
        <v>0</v>
      </c>
      <c r="AB9844">
        <v>0</v>
      </c>
      <c r="AC9844">
        <v>1</v>
      </c>
      <c r="AD9844">
        <v>1</v>
      </c>
      <c r="AE9844">
        <v>1</v>
      </c>
      <c r="AF9844">
        <v>1</v>
      </c>
      <c r="AG9844">
        <v>1</v>
      </c>
      <c r="AH9844">
        <v>1</v>
      </c>
      <c r="AI9844">
        <v>0</v>
      </c>
      <c r="AJ9844">
        <v>0</v>
      </c>
      <c r="AK9844">
        <v>0</v>
      </c>
      <c r="AL9844">
        <v>0</v>
      </c>
      <c r="AM9844">
        <v>0</v>
      </c>
    </row>
    <row r="9845" spans="1:39" x14ac:dyDescent="0.2">
      <c r="A9845" t="str">
        <f>"9841"</f>
        <v>9841</v>
      </c>
      <c r="B9845" t="str">
        <f t="shared" si="544"/>
        <v>1</v>
      </c>
      <c r="C9845" t="str">
        <f t="shared" si="547"/>
        <v>197</v>
      </c>
      <c r="D9845" t="str">
        <f>"29"</f>
        <v>29</v>
      </c>
      <c r="E9845" t="str">
        <f>"1-197-29"</f>
        <v>1-197-29</v>
      </c>
      <c r="F9845" t="s">
        <v>65</v>
      </c>
      <c r="G9845" t="s">
        <v>66</v>
      </c>
      <c r="H9845" t="s">
        <v>67</v>
      </c>
      <c r="S9845">
        <v>1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1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1</v>
      </c>
      <c r="AH9845">
        <v>1</v>
      </c>
      <c r="AI9845">
        <v>1</v>
      </c>
      <c r="AJ9845">
        <v>1</v>
      </c>
      <c r="AK9845">
        <v>1</v>
      </c>
      <c r="AL9845">
        <v>1</v>
      </c>
      <c r="AM9845">
        <v>1</v>
      </c>
    </row>
    <row r="9846" spans="1:39" x14ac:dyDescent="0.2">
      <c r="A9846" t="str">
        <f>"9842"</f>
        <v>9842</v>
      </c>
      <c r="B9846" t="str">
        <f t="shared" si="544"/>
        <v>1</v>
      </c>
      <c r="C9846" t="str">
        <f t="shared" si="547"/>
        <v>197</v>
      </c>
      <c r="D9846" t="str">
        <f>"14"</f>
        <v>14</v>
      </c>
      <c r="E9846" t="str">
        <f>"1-197-14"</f>
        <v>1-197-14</v>
      </c>
      <c r="F9846" t="s">
        <v>65</v>
      </c>
      <c r="G9846" t="s">
        <v>66</v>
      </c>
      <c r="H9846" t="s">
        <v>67</v>
      </c>
      <c r="S9846">
        <v>1</v>
      </c>
      <c r="T9846">
        <v>0</v>
      </c>
      <c r="U9846">
        <v>0</v>
      </c>
      <c r="V9846">
        <v>0</v>
      </c>
      <c r="W9846">
        <v>1</v>
      </c>
      <c r="X9846">
        <v>0</v>
      </c>
      <c r="Y9846">
        <v>1</v>
      </c>
      <c r="Z9846">
        <v>0</v>
      </c>
      <c r="AA9846">
        <v>1</v>
      </c>
      <c r="AB9846">
        <v>0</v>
      </c>
      <c r="AC9846">
        <v>0</v>
      </c>
      <c r="AD9846">
        <v>1</v>
      </c>
      <c r="AE9846">
        <v>1</v>
      </c>
      <c r="AF9846">
        <v>1</v>
      </c>
      <c r="AG9846">
        <v>1</v>
      </c>
      <c r="AH9846">
        <v>1</v>
      </c>
      <c r="AI9846">
        <v>0</v>
      </c>
      <c r="AJ9846">
        <v>1</v>
      </c>
      <c r="AK9846">
        <v>1</v>
      </c>
      <c r="AL9846">
        <v>1</v>
      </c>
      <c r="AM9846">
        <v>1</v>
      </c>
    </row>
    <row r="9847" spans="1:39" x14ac:dyDescent="0.2">
      <c r="A9847" t="str">
        <f>"9843"</f>
        <v>9843</v>
      </c>
      <c r="B9847" t="str">
        <f t="shared" ref="B9847:B9910" si="548">"1"</f>
        <v>1</v>
      </c>
      <c r="C9847" t="str">
        <f t="shared" si="547"/>
        <v>197</v>
      </c>
      <c r="D9847" t="str">
        <f>"46"</f>
        <v>46</v>
      </c>
      <c r="E9847" t="str">
        <f>"1-197-46"</f>
        <v>1-197-46</v>
      </c>
      <c r="F9847" t="s">
        <v>65</v>
      </c>
      <c r="G9847" t="s">
        <v>66</v>
      </c>
      <c r="H9847" t="s">
        <v>67</v>
      </c>
      <c r="S9847">
        <v>1</v>
      </c>
      <c r="T9847">
        <v>0</v>
      </c>
      <c r="U9847">
        <v>0</v>
      </c>
      <c r="V9847">
        <v>0</v>
      </c>
      <c r="W9847">
        <v>1</v>
      </c>
      <c r="X9847">
        <v>0</v>
      </c>
      <c r="Y9847">
        <v>1</v>
      </c>
      <c r="Z9847">
        <v>0</v>
      </c>
      <c r="AA9847">
        <v>1</v>
      </c>
      <c r="AB9847">
        <v>0</v>
      </c>
      <c r="AC9847">
        <v>0</v>
      </c>
      <c r="AD9847">
        <v>1</v>
      </c>
      <c r="AE9847">
        <v>1</v>
      </c>
      <c r="AF9847">
        <v>1</v>
      </c>
      <c r="AG9847">
        <v>1</v>
      </c>
      <c r="AH9847">
        <v>1</v>
      </c>
      <c r="AI9847">
        <v>1</v>
      </c>
      <c r="AJ9847">
        <v>1</v>
      </c>
      <c r="AK9847">
        <v>1</v>
      </c>
      <c r="AL9847">
        <v>0</v>
      </c>
      <c r="AM9847">
        <v>1</v>
      </c>
    </row>
    <row r="9848" spans="1:39" x14ac:dyDescent="0.2">
      <c r="A9848" t="str">
        <f>"9844"</f>
        <v>9844</v>
      </c>
      <c r="B9848" t="str">
        <f t="shared" si="548"/>
        <v>1</v>
      </c>
      <c r="C9848" t="str">
        <f t="shared" si="547"/>
        <v>197</v>
      </c>
      <c r="D9848" t="str">
        <f>"31"</f>
        <v>31</v>
      </c>
      <c r="E9848" t="str">
        <f>"1-197-31"</f>
        <v>1-197-31</v>
      </c>
      <c r="F9848" t="s">
        <v>65</v>
      </c>
      <c r="G9848" t="s">
        <v>66</v>
      </c>
      <c r="H9848" t="s">
        <v>67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1</v>
      </c>
      <c r="Y9848">
        <v>0</v>
      </c>
      <c r="Z9848">
        <v>0</v>
      </c>
      <c r="AA9848">
        <v>0</v>
      </c>
      <c r="AB9848">
        <v>0</v>
      </c>
      <c r="AC9848">
        <v>1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</row>
    <row r="9849" spans="1:39" x14ac:dyDescent="0.2">
      <c r="A9849" t="str">
        <f>"9845"</f>
        <v>9845</v>
      </c>
      <c r="B9849" t="str">
        <f t="shared" si="548"/>
        <v>1</v>
      </c>
      <c r="C9849" t="str">
        <f t="shared" si="547"/>
        <v>197</v>
      </c>
      <c r="D9849" t="str">
        <f>"5"</f>
        <v>5</v>
      </c>
      <c r="E9849" t="str">
        <f>"1-197-5"</f>
        <v>1-197-5</v>
      </c>
      <c r="F9849" t="s">
        <v>65</v>
      </c>
      <c r="G9849" t="s">
        <v>66</v>
      </c>
      <c r="H9849" t="s">
        <v>67</v>
      </c>
      <c r="S9849">
        <v>0</v>
      </c>
      <c r="T9849">
        <v>1</v>
      </c>
      <c r="U9849">
        <v>0</v>
      </c>
      <c r="V9849">
        <v>0</v>
      </c>
      <c r="W9849">
        <v>0</v>
      </c>
      <c r="X9849">
        <v>1</v>
      </c>
      <c r="Y9849">
        <v>0</v>
      </c>
      <c r="Z9849">
        <v>1</v>
      </c>
      <c r="AA9849">
        <v>0</v>
      </c>
      <c r="AB9849">
        <v>0</v>
      </c>
      <c r="AC9849">
        <v>1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</row>
    <row r="9850" spans="1:39" x14ac:dyDescent="0.2">
      <c r="A9850" t="str">
        <f>"9846"</f>
        <v>9846</v>
      </c>
      <c r="B9850" t="str">
        <f t="shared" si="548"/>
        <v>1</v>
      </c>
      <c r="C9850" t="str">
        <f t="shared" si="547"/>
        <v>197</v>
      </c>
      <c r="D9850" t="str">
        <f>"48"</f>
        <v>48</v>
      </c>
      <c r="E9850" t="str">
        <f>"1-197-48"</f>
        <v>1-197-48</v>
      </c>
      <c r="F9850" t="s">
        <v>65</v>
      </c>
      <c r="G9850" t="s">
        <v>66</v>
      </c>
      <c r="H9850" t="s">
        <v>67</v>
      </c>
      <c r="S9850">
        <v>0</v>
      </c>
      <c r="T9850">
        <v>0</v>
      </c>
      <c r="U9850">
        <v>0</v>
      </c>
      <c r="V9850">
        <v>0</v>
      </c>
      <c r="W9850">
        <v>1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</row>
    <row r="9851" spans="1:39" x14ac:dyDescent="0.2">
      <c r="A9851" t="str">
        <f>"9847"</f>
        <v>9847</v>
      </c>
      <c r="B9851" t="str">
        <f t="shared" si="548"/>
        <v>1</v>
      </c>
      <c r="C9851" t="str">
        <f t="shared" si="547"/>
        <v>197</v>
      </c>
      <c r="D9851" t="str">
        <f>"32"</f>
        <v>32</v>
      </c>
      <c r="E9851" t="str">
        <f>"1-197-32"</f>
        <v>1-197-32</v>
      </c>
      <c r="F9851" t="s">
        <v>65</v>
      </c>
      <c r="G9851" t="s">
        <v>66</v>
      </c>
      <c r="H9851" t="s">
        <v>67</v>
      </c>
      <c r="S9851">
        <v>0</v>
      </c>
      <c r="T9851">
        <v>1</v>
      </c>
      <c r="U9851">
        <v>0</v>
      </c>
      <c r="V9851">
        <v>0</v>
      </c>
      <c r="W9851">
        <v>0</v>
      </c>
      <c r="X9851">
        <v>1</v>
      </c>
      <c r="Y9851">
        <v>0</v>
      </c>
      <c r="Z9851">
        <v>1</v>
      </c>
      <c r="AA9851">
        <v>0</v>
      </c>
      <c r="AB9851">
        <v>0</v>
      </c>
      <c r="AC9851">
        <v>1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</row>
    <row r="9852" spans="1:39" x14ac:dyDescent="0.2">
      <c r="A9852" t="str">
        <f>"9848"</f>
        <v>9848</v>
      </c>
      <c r="B9852" t="str">
        <f t="shared" si="548"/>
        <v>1</v>
      </c>
      <c r="C9852" t="str">
        <f t="shared" si="547"/>
        <v>197</v>
      </c>
      <c r="D9852" t="str">
        <f>"12"</f>
        <v>12</v>
      </c>
      <c r="E9852" t="str">
        <f>"1-197-12"</f>
        <v>1-197-12</v>
      </c>
      <c r="F9852" t="s">
        <v>65</v>
      </c>
      <c r="G9852" t="s">
        <v>66</v>
      </c>
      <c r="H9852" t="s">
        <v>67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1</v>
      </c>
      <c r="Y9852">
        <v>0</v>
      </c>
      <c r="Z9852">
        <v>0</v>
      </c>
      <c r="AA9852">
        <v>0</v>
      </c>
      <c r="AB9852">
        <v>0</v>
      </c>
      <c r="AC9852">
        <v>1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1</v>
      </c>
      <c r="AM9852">
        <v>0</v>
      </c>
    </row>
    <row r="9853" spans="1:39" x14ac:dyDescent="0.2">
      <c r="A9853" t="str">
        <f>"9849"</f>
        <v>9849</v>
      </c>
      <c r="B9853" t="str">
        <f t="shared" si="548"/>
        <v>1</v>
      </c>
      <c r="C9853" t="str">
        <f t="shared" si="547"/>
        <v>197</v>
      </c>
      <c r="D9853" t="str">
        <f>"33"</f>
        <v>33</v>
      </c>
      <c r="E9853" t="str">
        <f>"1-197-33"</f>
        <v>1-197-33</v>
      </c>
      <c r="F9853" t="s">
        <v>65</v>
      </c>
      <c r="G9853" t="s">
        <v>66</v>
      </c>
      <c r="H9853" t="s">
        <v>67</v>
      </c>
      <c r="S9853">
        <v>1</v>
      </c>
      <c r="T9853">
        <v>0</v>
      </c>
      <c r="U9853">
        <v>0</v>
      </c>
      <c r="V9853">
        <v>0</v>
      </c>
      <c r="W9853">
        <v>1</v>
      </c>
      <c r="X9853">
        <v>0</v>
      </c>
      <c r="Y9853">
        <v>1</v>
      </c>
      <c r="Z9853">
        <v>0</v>
      </c>
      <c r="AA9853">
        <v>1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1</v>
      </c>
      <c r="AH9853">
        <v>0</v>
      </c>
      <c r="AI9853">
        <v>0</v>
      </c>
      <c r="AJ9853">
        <v>0</v>
      </c>
      <c r="AK9853">
        <v>1</v>
      </c>
      <c r="AL9853">
        <v>0</v>
      </c>
      <c r="AM9853">
        <v>0</v>
      </c>
    </row>
    <row r="9854" spans="1:39" x14ac:dyDescent="0.2">
      <c r="A9854" t="str">
        <f>"9850"</f>
        <v>9850</v>
      </c>
      <c r="B9854" t="str">
        <f t="shared" si="548"/>
        <v>1</v>
      </c>
      <c r="C9854" t="str">
        <f t="shared" si="547"/>
        <v>197</v>
      </c>
      <c r="D9854" t="str">
        <f>"50"</f>
        <v>50</v>
      </c>
      <c r="E9854" t="str">
        <f>"1-197-50"</f>
        <v>1-197-50</v>
      </c>
      <c r="F9854" t="s">
        <v>65</v>
      </c>
      <c r="G9854" t="s">
        <v>66</v>
      </c>
      <c r="H9854" t="s">
        <v>67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1</v>
      </c>
      <c r="Y9854">
        <v>0</v>
      </c>
      <c r="Z9854">
        <v>1</v>
      </c>
      <c r="AA9854">
        <v>0</v>
      </c>
      <c r="AB9854">
        <v>0</v>
      </c>
      <c r="AC9854">
        <v>1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</row>
    <row r="9855" spans="1:39" x14ac:dyDescent="0.2">
      <c r="A9855" t="str">
        <f>"9851"</f>
        <v>9851</v>
      </c>
      <c r="B9855" t="str">
        <f t="shared" si="548"/>
        <v>1</v>
      </c>
      <c r="C9855" t="str">
        <f t="shared" ref="C9855:C9886" si="549">"198"</f>
        <v>198</v>
      </c>
      <c r="D9855" t="str">
        <f>"34"</f>
        <v>34</v>
      </c>
      <c r="E9855" t="str">
        <f>"1-198-34"</f>
        <v>1-198-34</v>
      </c>
      <c r="F9855" t="s">
        <v>65</v>
      </c>
      <c r="G9855" t="s">
        <v>66</v>
      </c>
      <c r="H9855" t="s">
        <v>67</v>
      </c>
      <c r="S9855">
        <v>1</v>
      </c>
      <c r="T9855">
        <v>0</v>
      </c>
      <c r="U9855">
        <v>0</v>
      </c>
      <c r="V9855">
        <v>0</v>
      </c>
      <c r="W9855">
        <v>1</v>
      </c>
      <c r="X9855">
        <v>0</v>
      </c>
      <c r="Y9855">
        <v>0</v>
      </c>
      <c r="Z9855">
        <v>1</v>
      </c>
      <c r="AA9855">
        <v>1</v>
      </c>
      <c r="AB9855">
        <v>0</v>
      </c>
      <c r="AC9855">
        <v>0</v>
      </c>
      <c r="AD9855">
        <v>1</v>
      </c>
      <c r="AE9855">
        <v>1</v>
      </c>
      <c r="AF9855">
        <v>1</v>
      </c>
      <c r="AG9855">
        <v>1</v>
      </c>
      <c r="AH9855">
        <v>1</v>
      </c>
      <c r="AI9855">
        <v>1</v>
      </c>
      <c r="AJ9855">
        <v>1</v>
      </c>
      <c r="AK9855">
        <v>1</v>
      </c>
      <c r="AL9855">
        <v>1</v>
      </c>
      <c r="AM9855">
        <v>1</v>
      </c>
    </row>
    <row r="9856" spans="1:39" x14ac:dyDescent="0.2">
      <c r="A9856" t="str">
        <f>"9852"</f>
        <v>9852</v>
      </c>
      <c r="B9856" t="str">
        <f t="shared" si="548"/>
        <v>1</v>
      </c>
      <c r="C9856" t="str">
        <f t="shared" si="549"/>
        <v>198</v>
      </c>
      <c r="D9856" t="str">
        <f>"33"</f>
        <v>33</v>
      </c>
      <c r="E9856" t="str">
        <f>"1-198-33"</f>
        <v>1-198-33</v>
      </c>
      <c r="F9856" t="s">
        <v>65</v>
      </c>
      <c r="G9856" t="s">
        <v>66</v>
      </c>
      <c r="H9856" t="s">
        <v>67</v>
      </c>
      <c r="S9856">
        <v>0</v>
      </c>
      <c r="T9856">
        <v>1</v>
      </c>
      <c r="U9856">
        <v>0</v>
      </c>
      <c r="V9856">
        <v>0</v>
      </c>
      <c r="W9856">
        <v>0</v>
      </c>
      <c r="X9856">
        <v>1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</row>
    <row r="9857" spans="1:39" x14ac:dyDescent="0.2">
      <c r="A9857" t="str">
        <f>"9853"</f>
        <v>9853</v>
      </c>
      <c r="B9857" t="str">
        <f t="shared" si="548"/>
        <v>1</v>
      </c>
      <c r="C9857" t="str">
        <f t="shared" si="549"/>
        <v>198</v>
      </c>
      <c r="D9857" t="str">
        <f>"21"</f>
        <v>21</v>
      </c>
      <c r="E9857" t="str">
        <f>"1-198-21"</f>
        <v>1-198-21</v>
      </c>
      <c r="F9857" t="s">
        <v>65</v>
      </c>
      <c r="G9857" t="s">
        <v>66</v>
      </c>
      <c r="H9857" t="s">
        <v>67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1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</row>
    <row r="9858" spans="1:39" x14ac:dyDescent="0.2">
      <c r="A9858" t="str">
        <f>"9854"</f>
        <v>9854</v>
      </c>
      <c r="B9858" t="str">
        <f t="shared" si="548"/>
        <v>1</v>
      </c>
      <c r="C9858" t="str">
        <f t="shared" si="549"/>
        <v>198</v>
      </c>
      <c r="D9858" t="str">
        <f>"15"</f>
        <v>15</v>
      </c>
      <c r="E9858" t="str">
        <f>"1-198-15"</f>
        <v>1-198-15</v>
      </c>
      <c r="F9858" t="s">
        <v>65</v>
      </c>
      <c r="G9858" t="s">
        <v>66</v>
      </c>
      <c r="H9858" t="s">
        <v>68</v>
      </c>
      <c r="I9858">
        <v>1</v>
      </c>
      <c r="J9858">
        <v>0</v>
      </c>
      <c r="K9858">
        <v>0</v>
      </c>
      <c r="L9858">
        <v>1</v>
      </c>
      <c r="M9858">
        <v>1</v>
      </c>
      <c r="N9858">
        <v>1</v>
      </c>
      <c r="O9858">
        <v>1</v>
      </c>
      <c r="P9858">
        <v>1</v>
      </c>
      <c r="Q9858">
        <v>1</v>
      </c>
      <c r="R9858">
        <v>1</v>
      </c>
    </row>
    <row r="9859" spans="1:39" x14ac:dyDescent="0.2">
      <c r="A9859" t="str">
        <f>"9855"</f>
        <v>9855</v>
      </c>
      <c r="B9859" t="str">
        <f t="shared" si="548"/>
        <v>1</v>
      </c>
      <c r="C9859" t="str">
        <f t="shared" si="549"/>
        <v>198</v>
      </c>
      <c r="D9859" t="str">
        <f>"1"</f>
        <v>1</v>
      </c>
      <c r="E9859" t="str">
        <f>"1-198-1"</f>
        <v>1-198-1</v>
      </c>
      <c r="F9859" t="s">
        <v>65</v>
      </c>
      <c r="G9859" t="s">
        <v>66</v>
      </c>
      <c r="H9859" t="s">
        <v>67</v>
      </c>
      <c r="S9859">
        <v>1</v>
      </c>
      <c r="T9859">
        <v>0</v>
      </c>
      <c r="U9859">
        <v>0</v>
      </c>
      <c r="V9859">
        <v>0</v>
      </c>
      <c r="W9859">
        <v>1</v>
      </c>
      <c r="X9859">
        <v>0</v>
      </c>
      <c r="Y9859">
        <v>1</v>
      </c>
      <c r="Z9859">
        <v>0</v>
      </c>
      <c r="AA9859">
        <v>0</v>
      </c>
      <c r="AB9859">
        <v>1</v>
      </c>
      <c r="AC9859">
        <v>0</v>
      </c>
      <c r="AD9859">
        <v>1</v>
      </c>
      <c r="AE9859">
        <v>1</v>
      </c>
      <c r="AF9859">
        <v>1</v>
      </c>
      <c r="AG9859">
        <v>1</v>
      </c>
      <c r="AH9859">
        <v>1</v>
      </c>
      <c r="AI9859">
        <v>1</v>
      </c>
      <c r="AJ9859">
        <v>1</v>
      </c>
      <c r="AK9859">
        <v>1</v>
      </c>
      <c r="AL9859">
        <v>1</v>
      </c>
      <c r="AM9859">
        <v>1</v>
      </c>
    </row>
    <row r="9860" spans="1:39" x14ac:dyDescent="0.2">
      <c r="A9860" t="str">
        <f>"9856"</f>
        <v>9856</v>
      </c>
      <c r="B9860" t="str">
        <f t="shared" si="548"/>
        <v>1</v>
      </c>
      <c r="C9860" t="str">
        <f t="shared" si="549"/>
        <v>198</v>
      </c>
      <c r="D9860" t="str">
        <f>"39"</f>
        <v>39</v>
      </c>
      <c r="E9860" t="str">
        <f>"1-198-39"</f>
        <v>1-198-39</v>
      </c>
      <c r="F9860" t="s">
        <v>65</v>
      </c>
      <c r="G9860" t="s">
        <v>66</v>
      </c>
      <c r="H9860" t="s">
        <v>67</v>
      </c>
      <c r="S9860">
        <v>1</v>
      </c>
      <c r="T9860">
        <v>0</v>
      </c>
      <c r="U9860">
        <v>0</v>
      </c>
      <c r="V9860">
        <v>0</v>
      </c>
      <c r="W9860">
        <v>0</v>
      </c>
      <c r="X9860">
        <v>1</v>
      </c>
      <c r="Y9860">
        <v>0</v>
      </c>
      <c r="Z9860">
        <v>1</v>
      </c>
      <c r="AA9860">
        <v>0</v>
      </c>
      <c r="AB9860">
        <v>0</v>
      </c>
      <c r="AC9860">
        <v>1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</row>
    <row r="9861" spans="1:39" x14ac:dyDescent="0.2">
      <c r="A9861" t="str">
        <f>"9857"</f>
        <v>9857</v>
      </c>
      <c r="B9861" t="str">
        <f t="shared" si="548"/>
        <v>1</v>
      </c>
      <c r="C9861" t="str">
        <f t="shared" si="549"/>
        <v>198</v>
      </c>
      <c r="D9861" t="str">
        <f>"38"</f>
        <v>38</v>
      </c>
      <c r="E9861" t="str">
        <f>"1-198-38"</f>
        <v>1-198-38</v>
      </c>
      <c r="F9861" t="s">
        <v>65</v>
      </c>
      <c r="G9861" t="s">
        <v>66</v>
      </c>
      <c r="H9861" t="s">
        <v>67</v>
      </c>
      <c r="S9861">
        <v>1</v>
      </c>
      <c r="T9861">
        <v>0</v>
      </c>
      <c r="U9861">
        <v>0</v>
      </c>
      <c r="V9861">
        <v>0</v>
      </c>
      <c r="W9861">
        <v>0</v>
      </c>
      <c r="X9861">
        <v>1</v>
      </c>
      <c r="Y9861">
        <v>0</v>
      </c>
      <c r="Z9861">
        <v>1</v>
      </c>
      <c r="AA9861">
        <v>0</v>
      </c>
      <c r="AB9861">
        <v>0</v>
      </c>
      <c r="AC9861">
        <v>1</v>
      </c>
      <c r="AD9861">
        <v>1</v>
      </c>
      <c r="AE9861">
        <v>1</v>
      </c>
      <c r="AF9861">
        <v>1</v>
      </c>
      <c r="AG9861">
        <v>1</v>
      </c>
      <c r="AH9861">
        <v>1</v>
      </c>
      <c r="AI9861">
        <v>1</v>
      </c>
      <c r="AJ9861">
        <v>1</v>
      </c>
      <c r="AK9861">
        <v>1</v>
      </c>
      <c r="AL9861">
        <v>1</v>
      </c>
      <c r="AM9861">
        <v>1</v>
      </c>
    </row>
    <row r="9862" spans="1:39" x14ac:dyDescent="0.2">
      <c r="A9862" t="str">
        <f>"9858"</f>
        <v>9858</v>
      </c>
      <c r="B9862" t="str">
        <f t="shared" si="548"/>
        <v>1</v>
      </c>
      <c r="C9862" t="str">
        <f t="shared" si="549"/>
        <v>198</v>
      </c>
      <c r="D9862" t="str">
        <f>"27"</f>
        <v>27</v>
      </c>
      <c r="E9862" t="str">
        <f>"1-198-27"</f>
        <v>1-198-27</v>
      </c>
      <c r="F9862" t="s">
        <v>65</v>
      </c>
      <c r="G9862" t="s">
        <v>66</v>
      </c>
      <c r="H9862" t="s">
        <v>67</v>
      </c>
      <c r="S9862">
        <v>0</v>
      </c>
      <c r="T9862">
        <v>1</v>
      </c>
      <c r="U9862">
        <v>0</v>
      </c>
      <c r="V9862">
        <v>0</v>
      </c>
      <c r="W9862">
        <v>0</v>
      </c>
      <c r="X9862">
        <v>1</v>
      </c>
      <c r="Y9862">
        <v>0</v>
      </c>
      <c r="Z9862">
        <v>1</v>
      </c>
      <c r="AA9862">
        <v>0</v>
      </c>
      <c r="AB9862">
        <v>1</v>
      </c>
      <c r="AC9862">
        <v>0</v>
      </c>
      <c r="AD9862">
        <v>1</v>
      </c>
      <c r="AE9862">
        <v>1</v>
      </c>
      <c r="AF9862">
        <v>1</v>
      </c>
      <c r="AG9862">
        <v>1</v>
      </c>
      <c r="AH9862">
        <v>1</v>
      </c>
      <c r="AI9862">
        <v>1</v>
      </c>
      <c r="AJ9862">
        <v>1</v>
      </c>
      <c r="AK9862">
        <v>1</v>
      </c>
      <c r="AL9862">
        <v>1</v>
      </c>
      <c r="AM9862">
        <v>1</v>
      </c>
    </row>
    <row r="9863" spans="1:39" x14ac:dyDescent="0.2">
      <c r="A9863" t="str">
        <f>"9859"</f>
        <v>9859</v>
      </c>
      <c r="B9863" t="str">
        <f t="shared" si="548"/>
        <v>1</v>
      </c>
      <c r="C9863" t="str">
        <f t="shared" si="549"/>
        <v>198</v>
      </c>
      <c r="D9863" t="str">
        <f>"16"</f>
        <v>16</v>
      </c>
      <c r="E9863" t="str">
        <f>"1-198-16"</f>
        <v>1-198-16</v>
      </c>
      <c r="F9863" t="s">
        <v>65</v>
      </c>
      <c r="G9863" t="s">
        <v>66</v>
      </c>
      <c r="H9863" t="s">
        <v>67</v>
      </c>
      <c r="S9863">
        <v>0</v>
      </c>
      <c r="T9863">
        <v>1</v>
      </c>
      <c r="U9863">
        <v>0</v>
      </c>
      <c r="V9863">
        <v>0</v>
      </c>
      <c r="W9863">
        <v>0</v>
      </c>
      <c r="X9863">
        <v>1</v>
      </c>
      <c r="Y9863">
        <v>0</v>
      </c>
      <c r="Z9863">
        <v>1</v>
      </c>
      <c r="AA9863">
        <v>0</v>
      </c>
      <c r="AB9863">
        <v>0</v>
      </c>
      <c r="AC9863">
        <v>1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</row>
    <row r="9864" spans="1:39" x14ac:dyDescent="0.2">
      <c r="A9864" t="str">
        <f>"9860"</f>
        <v>9860</v>
      </c>
      <c r="B9864" t="str">
        <f t="shared" si="548"/>
        <v>1</v>
      </c>
      <c r="C9864" t="str">
        <f t="shared" si="549"/>
        <v>198</v>
      </c>
      <c r="D9864" t="str">
        <f>"2"</f>
        <v>2</v>
      </c>
      <c r="E9864" t="str">
        <f>"1-198-2"</f>
        <v>1-198-2</v>
      </c>
      <c r="F9864" t="s">
        <v>65</v>
      </c>
      <c r="G9864" t="s">
        <v>66</v>
      </c>
      <c r="H9864" t="s">
        <v>67</v>
      </c>
      <c r="S9864">
        <v>1</v>
      </c>
      <c r="T9864">
        <v>0</v>
      </c>
      <c r="U9864">
        <v>0</v>
      </c>
      <c r="V9864">
        <v>0</v>
      </c>
      <c r="W9864">
        <v>1</v>
      </c>
      <c r="X9864">
        <v>0</v>
      </c>
      <c r="Y9864">
        <v>1</v>
      </c>
      <c r="Z9864">
        <v>0</v>
      </c>
      <c r="AA9864">
        <v>1</v>
      </c>
      <c r="AB9864">
        <v>0</v>
      </c>
      <c r="AC9864">
        <v>0</v>
      </c>
      <c r="AD9864">
        <v>1</v>
      </c>
      <c r="AE9864">
        <v>1</v>
      </c>
      <c r="AF9864">
        <v>1</v>
      </c>
      <c r="AG9864">
        <v>1</v>
      </c>
      <c r="AH9864">
        <v>1</v>
      </c>
      <c r="AI9864">
        <v>1</v>
      </c>
      <c r="AJ9864">
        <v>1</v>
      </c>
      <c r="AK9864">
        <v>1</v>
      </c>
      <c r="AL9864">
        <v>1</v>
      </c>
      <c r="AM9864">
        <v>1</v>
      </c>
    </row>
    <row r="9865" spans="1:39" x14ac:dyDescent="0.2">
      <c r="A9865" t="str">
        <f>"9861"</f>
        <v>9861</v>
      </c>
      <c r="B9865" t="str">
        <f t="shared" si="548"/>
        <v>1</v>
      </c>
      <c r="C9865" t="str">
        <f t="shared" si="549"/>
        <v>198</v>
      </c>
      <c r="D9865" t="str">
        <f>"37"</f>
        <v>37</v>
      </c>
      <c r="E9865" t="str">
        <f>"1-198-37"</f>
        <v>1-198-37</v>
      </c>
      <c r="F9865" t="s">
        <v>65</v>
      </c>
      <c r="G9865" t="s">
        <v>66</v>
      </c>
      <c r="H9865" t="s">
        <v>67</v>
      </c>
      <c r="S9865">
        <v>1</v>
      </c>
      <c r="T9865">
        <v>0</v>
      </c>
      <c r="U9865">
        <v>0</v>
      </c>
      <c r="V9865">
        <v>0</v>
      </c>
      <c r="W9865">
        <v>0</v>
      </c>
      <c r="X9865">
        <v>1</v>
      </c>
      <c r="Y9865">
        <v>0</v>
      </c>
      <c r="Z9865">
        <v>1</v>
      </c>
      <c r="AA9865">
        <v>0</v>
      </c>
      <c r="AB9865">
        <v>0</v>
      </c>
      <c r="AC9865">
        <v>1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</row>
    <row r="9866" spans="1:39" x14ac:dyDescent="0.2">
      <c r="A9866" t="str">
        <f>"9862"</f>
        <v>9862</v>
      </c>
      <c r="B9866" t="str">
        <f t="shared" si="548"/>
        <v>1</v>
      </c>
      <c r="C9866" t="str">
        <f t="shared" si="549"/>
        <v>198</v>
      </c>
      <c r="D9866" t="str">
        <f>"36"</f>
        <v>36</v>
      </c>
      <c r="E9866" t="str">
        <f>"1-198-36"</f>
        <v>1-198-36</v>
      </c>
      <c r="F9866" t="s">
        <v>65</v>
      </c>
      <c r="G9866" t="s">
        <v>66</v>
      </c>
      <c r="H9866" t="s">
        <v>67</v>
      </c>
      <c r="S9866">
        <v>1</v>
      </c>
      <c r="T9866">
        <v>0</v>
      </c>
      <c r="U9866">
        <v>0</v>
      </c>
      <c r="V9866">
        <v>0</v>
      </c>
      <c r="W9866">
        <v>1</v>
      </c>
      <c r="X9866">
        <v>0</v>
      </c>
      <c r="Y9866">
        <v>1</v>
      </c>
      <c r="Z9866">
        <v>0</v>
      </c>
      <c r="AA9866">
        <v>0</v>
      </c>
      <c r="AB9866">
        <v>1</v>
      </c>
      <c r="AC9866">
        <v>0</v>
      </c>
      <c r="AD9866">
        <v>0</v>
      </c>
      <c r="AE9866">
        <v>1</v>
      </c>
      <c r="AF9866">
        <v>1</v>
      </c>
      <c r="AG9866">
        <v>1</v>
      </c>
      <c r="AH9866">
        <v>1</v>
      </c>
      <c r="AI9866">
        <v>1</v>
      </c>
      <c r="AJ9866">
        <v>1</v>
      </c>
      <c r="AK9866">
        <v>1</v>
      </c>
      <c r="AL9866">
        <v>1</v>
      </c>
      <c r="AM9866">
        <v>1</v>
      </c>
    </row>
    <row r="9867" spans="1:39" x14ac:dyDescent="0.2">
      <c r="A9867" t="str">
        <f>"9863"</f>
        <v>9863</v>
      </c>
      <c r="B9867" t="str">
        <f t="shared" si="548"/>
        <v>1</v>
      </c>
      <c r="C9867" t="str">
        <f t="shared" si="549"/>
        <v>198</v>
      </c>
      <c r="D9867" t="str">
        <f>"25"</f>
        <v>25</v>
      </c>
      <c r="E9867" t="str">
        <f>"1-198-25"</f>
        <v>1-198-25</v>
      </c>
      <c r="F9867" t="s">
        <v>65</v>
      </c>
      <c r="G9867" t="s">
        <v>66</v>
      </c>
      <c r="H9867" t="s">
        <v>67</v>
      </c>
      <c r="S9867">
        <v>1</v>
      </c>
      <c r="T9867">
        <v>0</v>
      </c>
      <c r="U9867">
        <v>0</v>
      </c>
      <c r="V9867">
        <v>0</v>
      </c>
      <c r="W9867">
        <v>1</v>
      </c>
      <c r="X9867">
        <v>0</v>
      </c>
      <c r="Y9867">
        <v>1</v>
      </c>
      <c r="Z9867">
        <v>0</v>
      </c>
      <c r="AA9867">
        <v>1</v>
      </c>
      <c r="AB9867">
        <v>0</v>
      </c>
      <c r="AC9867">
        <v>0</v>
      </c>
      <c r="AD9867">
        <v>1</v>
      </c>
      <c r="AE9867">
        <v>1</v>
      </c>
      <c r="AF9867">
        <v>1</v>
      </c>
      <c r="AG9867">
        <v>1</v>
      </c>
      <c r="AH9867">
        <v>1</v>
      </c>
      <c r="AI9867">
        <v>1</v>
      </c>
      <c r="AJ9867">
        <v>1</v>
      </c>
      <c r="AK9867">
        <v>1</v>
      </c>
      <c r="AL9867">
        <v>1</v>
      </c>
      <c r="AM9867">
        <v>1</v>
      </c>
    </row>
    <row r="9868" spans="1:39" x14ac:dyDescent="0.2">
      <c r="A9868" t="str">
        <f>"9864"</f>
        <v>9864</v>
      </c>
      <c r="B9868" t="str">
        <f t="shared" si="548"/>
        <v>1</v>
      </c>
      <c r="C9868" t="str">
        <f t="shared" si="549"/>
        <v>198</v>
      </c>
      <c r="D9868" t="str">
        <f>"17"</f>
        <v>17</v>
      </c>
      <c r="E9868" t="str">
        <f>"1-198-17"</f>
        <v>1-198-17</v>
      </c>
      <c r="F9868" t="s">
        <v>65</v>
      </c>
      <c r="G9868" t="s">
        <v>66</v>
      </c>
      <c r="H9868" t="s">
        <v>67</v>
      </c>
      <c r="S9868">
        <v>1</v>
      </c>
      <c r="T9868">
        <v>0</v>
      </c>
      <c r="U9868">
        <v>0</v>
      </c>
      <c r="V9868">
        <v>0</v>
      </c>
      <c r="W9868">
        <v>1</v>
      </c>
      <c r="X9868">
        <v>0</v>
      </c>
      <c r="Y9868">
        <v>1</v>
      </c>
      <c r="Z9868">
        <v>0</v>
      </c>
      <c r="AA9868">
        <v>0</v>
      </c>
      <c r="AB9868">
        <v>1</v>
      </c>
      <c r="AC9868">
        <v>0</v>
      </c>
      <c r="AD9868">
        <v>1</v>
      </c>
      <c r="AE9868">
        <v>1</v>
      </c>
      <c r="AF9868">
        <v>1</v>
      </c>
      <c r="AG9868">
        <v>1</v>
      </c>
      <c r="AH9868">
        <v>1</v>
      </c>
      <c r="AI9868">
        <v>1</v>
      </c>
      <c r="AJ9868">
        <v>1</v>
      </c>
      <c r="AK9868">
        <v>1</v>
      </c>
      <c r="AL9868">
        <v>1</v>
      </c>
      <c r="AM9868">
        <v>1</v>
      </c>
    </row>
    <row r="9869" spans="1:39" x14ac:dyDescent="0.2">
      <c r="A9869" t="str">
        <f>"9865"</f>
        <v>9865</v>
      </c>
      <c r="B9869" t="str">
        <f t="shared" si="548"/>
        <v>1</v>
      </c>
      <c r="C9869" t="str">
        <f t="shared" si="549"/>
        <v>198</v>
      </c>
      <c r="D9869" t="str">
        <f>"6"</f>
        <v>6</v>
      </c>
      <c r="E9869" t="str">
        <f>"1-198-6"</f>
        <v>1-198-6</v>
      </c>
      <c r="F9869" t="s">
        <v>65</v>
      </c>
      <c r="G9869" t="s">
        <v>66</v>
      </c>
      <c r="H9869" t="s">
        <v>67</v>
      </c>
      <c r="S9869">
        <v>0</v>
      </c>
      <c r="T9869">
        <v>1</v>
      </c>
      <c r="U9869">
        <v>0</v>
      </c>
      <c r="V9869">
        <v>0</v>
      </c>
      <c r="W9869">
        <v>1</v>
      </c>
      <c r="X9869">
        <v>0</v>
      </c>
      <c r="Y9869">
        <v>1</v>
      </c>
      <c r="Z9869">
        <v>0</v>
      </c>
      <c r="AA9869">
        <v>1</v>
      </c>
      <c r="AB9869">
        <v>0</v>
      </c>
      <c r="AC9869">
        <v>0</v>
      </c>
      <c r="AD9869">
        <v>1</v>
      </c>
      <c r="AE9869">
        <v>1</v>
      </c>
      <c r="AF9869">
        <v>1</v>
      </c>
      <c r="AG9869">
        <v>1</v>
      </c>
      <c r="AH9869">
        <v>1</v>
      </c>
      <c r="AI9869">
        <v>1</v>
      </c>
      <c r="AJ9869">
        <v>1</v>
      </c>
      <c r="AK9869">
        <v>1</v>
      </c>
      <c r="AL9869">
        <v>1</v>
      </c>
      <c r="AM9869">
        <v>1</v>
      </c>
    </row>
    <row r="9870" spans="1:39" x14ac:dyDescent="0.2">
      <c r="A9870" t="str">
        <f>"9866"</f>
        <v>9866</v>
      </c>
      <c r="B9870" t="str">
        <f t="shared" si="548"/>
        <v>1</v>
      </c>
      <c r="C9870" t="str">
        <f t="shared" si="549"/>
        <v>198</v>
      </c>
      <c r="D9870" t="str">
        <f>"41"</f>
        <v>41</v>
      </c>
      <c r="E9870" t="str">
        <f>"1-198-41"</f>
        <v>1-198-41</v>
      </c>
      <c r="F9870" t="s">
        <v>65</v>
      </c>
      <c r="G9870" t="s">
        <v>66</v>
      </c>
      <c r="H9870" t="s">
        <v>67</v>
      </c>
      <c r="S9870">
        <v>1</v>
      </c>
      <c r="T9870">
        <v>0</v>
      </c>
      <c r="U9870">
        <v>0</v>
      </c>
      <c r="V9870">
        <v>0</v>
      </c>
      <c r="W9870">
        <v>1</v>
      </c>
      <c r="X9870">
        <v>0</v>
      </c>
      <c r="Y9870">
        <v>1</v>
      </c>
      <c r="Z9870">
        <v>0</v>
      </c>
      <c r="AA9870">
        <v>1</v>
      </c>
      <c r="AB9870">
        <v>0</v>
      </c>
      <c r="AC9870">
        <v>0</v>
      </c>
      <c r="AD9870">
        <v>1</v>
      </c>
      <c r="AE9870">
        <v>1</v>
      </c>
      <c r="AF9870">
        <v>1</v>
      </c>
      <c r="AG9870">
        <v>1</v>
      </c>
      <c r="AH9870">
        <v>1</v>
      </c>
      <c r="AI9870">
        <v>1</v>
      </c>
      <c r="AJ9870">
        <v>1</v>
      </c>
      <c r="AK9870">
        <v>1</v>
      </c>
      <c r="AL9870">
        <v>1</v>
      </c>
      <c r="AM9870">
        <v>1</v>
      </c>
    </row>
    <row r="9871" spans="1:39" x14ac:dyDescent="0.2">
      <c r="A9871" t="str">
        <f>"9867"</f>
        <v>9867</v>
      </c>
      <c r="B9871" t="str">
        <f t="shared" si="548"/>
        <v>1</v>
      </c>
      <c r="C9871" t="str">
        <f t="shared" si="549"/>
        <v>198</v>
      </c>
      <c r="D9871" t="str">
        <f>"40"</f>
        <v>40</v>
      </c>
      <c r="E9871" t="str">
        <f>"1-198-40"</f>
        <v>1-198-40</v>
      </c>
      <c r="F9871" t="s">
        <v>65</v>
      </c>
      <c r="G9871" t="s">
        <v>66</v>
      </c>
      <c r="H9871" t="s">
        <v>67</v>
      </c>
      <c r="S9871">
        <v>0</v>
      </c>
      <c r="T9871">
        <v>0</v>
      </c>
      <c r="U9871">
        <v>0</v>
      </c>
      <c r="V9871">
        <v>0</v>
      </c>
      <c r="W9871">
        <v>1</v>
      </c>
      <c r="X9871">
        <v>0</v>
      </c>
      <c r="Y9871">
        <v>1</v>
      </c>
      <c r="Z9871">
        <v>0</v>
      </c>
      <c r="AA9871">
        <v>1</v>
      </c>
      <c r="AB9871">
        <v>0</v>
      </c>
      <c r="AC9871">
        <v>0</v>
      </c>
      <c r="AD9871">
        <v>1</v>
      </c>
      <c r="AE9871">
        <v>1</v>
      </c>
      <c r="AF9871">
        <v>1</v>
      </c>
      <c r="AG9871">
        <v>1</v>
      </c>
      <c r="AH9871">
        <v>1</v>
      </c>
      <c r="AI9871">
        <v>1</v>
      </c>
      <c r="AJ9871">
        <v>1</v>
      </c>
      <c r="AK9871">
        <v>1</v>
      </c>
      <c r="AL9871">
        <v>1</v>
      </c>
      <c r="AM9871">
        <v>1</v>
      </c>
    </row>
    <row r="9872" spans="1:39" x14ac:dyDescent="0.2">
      <c r="A9872" t="str">
        <f>"9868"</f>
        <v>9868</v>
      </c>
      <c r="B9872" t="str">
        <f t="shared" si="548"/>
        <v>1</v>
      </c>
      <c r="C9872" t="str">
        <f t="shared" si="549"/>
        <v>198</v>
      </c>
      <c r="D9872" t="str">
        <f>"26"</f>
        <v>26</v>
      </c>
      <c r="E9872" t="str">
        <f>"1-198-26"</f>
        <v>1-198-26</v>
      </c>
      <c r="F9872" t="s">
        <v>65</v>
      </c>
      <c r="G9872" t="s">
        <v>66</v>
      </c>
      <c r="H9872" t="s">
        <v>67</v>
      </c>
      <c r="S9872">
        <v>1</v>
      </c>
      <c r="T9872">
        <v>0</v>
      </c>
      <c r="U9872">
        <v>0</v>
      </c>
      <c r="V9872">
        <v>0</v>
      </c>
      <c r="W9872">
        <v>1</v>
      </c>
      <c r="X9872">
        <v>0</v>
      </c>
      <c r="Y9872">
        <v>1</v>
      </c>
      <c r="Z9872">
        <v>0</v>
      </c>
      <c r="AA9872">
        <v>1</v>
      </c>
      <c r="AB9872">
        <v>0</v>
      </c>
      <c r="AC9872">
        <v>0</v>
      </c>
      <c r="AD9872">
        <v>1</v>
      </c>
      <c r="AE9872">
        <v>1</v>
      </c>
      <c r="AF9872">
        <v>1</v>
      </c>
      <c r="AG9872">
        <v>1</v>
      </c>
      <c r="AH9872">
        <v>1</v>
      </c>
      <c r="AI9872">
        <v>1</v>
      </c>
      <c r="AJ9872">
        <v>1</v>
      </c>
      <c r="AK9872">
        <v>1</v>
      </c>
      <c r="AL9872">
        <v>1</v>
      </c>
      <c r="AM9872">
        <v>1</v>
      </c>
    </row>
    <row r="9873" spans="1:39" x14ac:dyDescent="0.2">
      <c r="A9873" t="str">
        <f>"9869"</f>
        <v>9869</v>
      </c>
      <c r="B9873" t="str">
        <f t="shared" si="548"/>
        <v>1</v>
      </c>
      <c r="C9873" t="str">
        <f t="shared" si="549"/>
        <v>198</v>
      </c>
      <c r="D9873" t="str">
        <f>"18"</f>
        <v>18</v>
      </c>
      <c r="E9873" t="str">
        <f>"1-198-18"</f>
        <v>1-198-18</v>
      </c>
      <c r="F9873" t="s">
        <v>65</v>
      </c>
      <c r="G9873" t="s">
        <v>66</v>
      </c>
      <c r="H9873" t="s">
        <v>67</v>
      </c>
      <c r="S9873">
        <v>1</v>
      </c>
      <c r="T9873">
        <v>0</v>
      </c>
      <c r="U9873">
        <v>0</v>
      </c>
      <c r="V9873">
        <v>0</v>
      </c>
      <c r="W9873">
        <v>1</v>
      </c>
      <c r="X9873">
        <v>0</v>
      </c>
      <c r="Y9873">
        <v>1</v>
      </c>
      <c r="Z9873">
        <v>0</v>
      </c>
      <c r="AA9873">
        <v>1</v>
      </c>
      <c r="AB9873">
        <v>0</v>
      </c>
      <c r="AC9873">
        <v>0</v>
      </c>
      <c r="AD9873">
        <v>1</v>
      </c>
      <c r="AE9873">
        <v>1</v>
      </c>
      <c r="AF9873">
        <v>1</v>
      </c>
      <c r="AG9873">
        <v>1</v>
      </c>
      <c r="AH9873">
        <v>1</v>
      </c>
      <c r="AI9873">
        <v>1</v>
      </c>
      <c r="AJ9873">
        <v>1</v>
      </c>
      <c r="AK9873">
        <v>1</v>
      </c>
      <c r="AL9873">
        <v>1</v>
      </c>
      <c r="AM9873">
        <v>1</v>
      </c>
    </row>
    <row r="9874" spans="1:39" x14ac:dyDescent="0.2">
      <c r="A9874" t="str">
        <f>"9870"</f>
        <v>9870</v>
      </c>
      <c r="B9874" t="str">
        <f t="shared" si="548"/>
        <v>1</v>
      </c>
      <c r="C9874" t="str">
        <f t="shared" si="549"/>
        <v>198</v>
      </c>
      <c r="D9874" t="str">
        <f>"12"</f>
        <v>12</v>
      </c>
      <c r="E9874" t="str">
        <f>"1-198-12"</f>
        <v>1-198-12</v>
      </c>
      <c r="F9874" t="s">
        <v>65</v>
      </c>
      <c r="G9874" t="s">
        <v>66</v>
      </c>
      <c r="H9874" t="s">
        <v>67</v>
      </c>
      <c r="S9874">
        <v>0</v>
      </c>
      <c r="T9874">
        <v>1</v>
      </c>
      <c r="U9874">
        <v>0</v>
      </c>
      <c r="V9874">
        <v>0</v>
      </c>
      <c r="W9874">
        <v>0</v>
      </c>
      <c r="X9874">
        <v>1</v>
      </c>
      <c r="Y9874">
        <v>0</v>
      </c>
      <c r="Z9874">
        <v>1</v>
      </c>
      <c r="AA9874">
        <v>0</v>
      </c>
      <c r="AB9874">
        <v>0</v>
      </c>
      <c r="AC9874">
        <v>1</v>
      </c>
      <c r="AD9874">
        <v>1</v>
      </c>
      <c r="AE9874">
        <v>1</v>
      </c>
      <c r="AF9874">
        <v>1</v>
      </c>
      <c r="AG9874">
        <v>1</v>
      </c>
      <c r="AH9874">
        <v>1</v>
      </c>
      <c r="AI9874">
        <v>1</v>
      </c>
      <c r="AJ9874">
        <v>1</v>
      </c>
      <c r="AK9874">
        <v>1</v>
      </c>
      <c r="AL9874">
        <v>1</v>
      </c>
      <c r="AM9874">
        <v>1</v>
      </c>
    </row>
    <row r="9875" spans="1:39" x14ac:dyDescent="0.2">
      <c r="A9875" t="str">
        <f>"9871"</f>
        <v>9871</v>
      </c>
      <c r="B9875" t="str">
        <f t="shared" si="548"/>
        <v>1</v>
      </c>
      <c r="C9875" t="str">
        <f t="shared" si="549"/>
        <v>198</v>
      </c>
      <c r="D9875" t="str">
        <f>"45"</f>
        <v>45</v>
      </c>
      <c r="E9875" t="str">
        <f>"1-198-45"</f>
        <v>1-198-45</v>
      </c>
      <c r="F9875" t="s">
        <v>65</v>
      </c>
      <c r="G9875" t="s">
        <v>66</v>
      </c>
      <c r="H9875" t="s">
        <v>67</v>
      </c>
      <c r="S9875">
        <v>1</v>
      </c>
      <c r="T9875">
        <v>0</v>
      </c>
      <c r="U9875">
        <v>0</v>
      </c>
      <c r="V9875">
        <v>0</v>
      </c>
      <c r="W9875">
        <v>1</v>
      </c>
      <c r="X9875">
        <v>0</v>
      </c>
      <c r="Y9875">
        <v>1</v>
      </c>
      <c r="Z9875">
        <v>0</v>
      </c>
      <c r="AA9875">
        <v>1</v>
      </c>
      <c r="AB9875">
        <v>0</v>
      </c>
      <c r="AC9875">
        <v>0</v>
      </c>
      <c r="AD9875">
        <v>1</v>
      </c>
      <c r="AE9875">
        <v>1</v>
      </c>
      <c r="AF9875">
        <v>1</v>
      </c>
      <c r="AG9875">
        <v>1</v>
      </c>
      <c r="AH9875">
        <v>1</v>
      </c>
      <c r="AI9875">
        <v>1</v>
      </c>
      <c r="AJ9875">
        <v>1</v>
      </c>
      <c r="AK9875">
        <v>1</v>
      </c>
      <c r="AL9875">
        <v>1</v>
      </c>
      <c r="AM9875">
        <v>1</v>
      </c>
    </row>
    <row r="9876" spans="1:39" x14ac:dyDescent="0.2">
      <c r="A9876" t="str">
        <f>"9872"</f>
        <v>9872</v>
      </c>
      <c r="B9876" t="str">
        <f t="shared" si="548"/>
        <v>1</v>
      </c>
      <c r="C9876" t="str">
        <f t="shared" si="549"/>
        <v>198</v>
      </c>
      <c r="D9876" t="str">
        <f>"35"</f>
        <v>35</v>
      </c>
      <c r="E9876" t="str">
        <f>"1-198-35"</f>
        <v>1-198-35</v>
      </c>
      <c r="F9876" t="s">
        <v>65</v>
      </c>
      <c r="G9876" t="s">
        <v>66</v>
      </c>
      <c r="H9876" t="s">
        <v>68</v>
      </c>
      <c r="I9876">
        <v>1</v>
      </c>
      <c r="J9876">
        <v>0</v>
      </c>
      <c r="K9876">
        <v>0</v>
      </c>
      <c r="L9876">
        <v>1</v>
      </c>
      <c r="M9876">
        <v>1</v>
      </c>
      <c r="N9876">
        <v>1</v>
      </c>
      <c r="O9876">
        <v>1</v>
      </c>
      <c r="P9876">
        <v>1</v>
      </c>
      <c r="Q9876">
        <v>1</v>
      </c>
      <c r="R9876">
        <v>1</v>
      </c>
    </row>
    <row r="9877" spans="1:39" x14ac:dyDescent="0.2">
      <c r="A9877" t="str">
        <f>"9873"</f>
        <v>9873</v>
      </c>
      <c r="B9877" t="str">
        <f t="shared" si="548"/>
        <v>1</v>
      </c>
      <c r="C9877" t="str">
        <f t="shared" si="549"/>
        <v>198</v>
      </c>
      <c r="D9877" t="str">
        <f>"19"</f>
        <v>19</v>
      </c>
      <c r="E9877" t="str">
        <f>"1-198-19"</f>
        <v>1-198-19</v>
      </c>
      <c r="F9877" t="s">
        <v>65</v>
      </c>
      <c r="G9877" t="s">
        <v>66</v>
      </c>
      <c r="H9877" t="s">
        <v>67</v>
      </c>
      <c r="S9877">
        <v>0</v>
      </c>
      <c r="T9877">
        <v>1</v>
      </c>
      <c r="U9877">
        <v>0</v>
      </c>
      <c r="V9877">
        <v>0</v>
      </c>
      <c r="W9877">
        <v>1</v>
      </c>
      <c r="X9877">
        <v>0</v>
      </c>
      <c r="Y9877">
        <v>1</v>
      </c>
      <c r="Z9877">
        <v>0</v>
      </c>
      <c r="AA9877">
        <v>1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1</v>
      </c>
      <c r="AM9877">
        <v>0</v>
      </c>
    </row>
    <row r="9878" spans="1:39" x14ac:dyDescent="0.2">
      <c r="A9878" t="str">
        <f>"9874"</f>
        <v>9874</v>
      </c>
      <c r="B9878" t="str">
        <f t="shared" si="548"/>
        <v>1</v>
      </c>
      <c r="C9878" t="str">
        <f t="shared" si="549"/>
        <v>198</v>
      </c>
      <c r="D9878" t="str">
        <f>"10"</f>
        <v>10</v>
      </c>
      <c r="E9878" t="str">
        <f>"1-198-10"</f>
        <v>1-198-10</v>
      </c>
      <c r="F9878" t="s">
        <v>65</v>
      </c>
      <c r="G9878" t="s">
        <v>66</v>
      </c>
      <c r="H9878" t="s">
        <v>68</v>
      </c>
      <c r="I9878">
        <v>1</v>
      </c>
      <c r="J9878">
        <v>1</v>
      </c>
      <c r="K9878">
        <v>0</v>
      </c>
      <c r="L9878">
        <v>0</v>
      </c>
      <c r="M9878">
        <v>1</v>
      </c>
      <c r="N9878">
        <v>1</v>
      </c>
      <c r="O9878">
        <v>1</v>
      </c>
      <c r="P9878">
        <v>1</v>
      </c>
      <c r="Q9878">
        <v>1</v>
      </c>
      <c r="R9878">
        <v>1</v>
      </c>
    </row>
    <row r="9879" spans="1:39" x14ac:dyDescent="0.2">
      <c r="A9879" t="str">
        <f>"9875"</f>
        <v>9875</v>
      </c>
      <c r="B9879" t="str">
        <f t="shared" si="548"/>
        <v>1</v>
      </c>
      <c r="C9879" t="str">
        <f t="shared" si="549"/>
        <v>198</v>
      </c>
      <c r="D9879" t="str">
        <f>"42"</f>
        <v>42</v>
      </c>
      <c r="E9879" t="str">
        <f>"1-198-42"</f>
        <v>1-198-42</v>
      </c>
      <c r="F9879" t="s">
        <v>65</v>
      </c>
      <c r="G9879" t="s">
        <v>66</v>
      </c>
      <c r="H9879" t="s">
        <v>67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1</v>
      </c>
      <c r="Y9879">
        <v>0</v>
      </c>
      <c r="Z9879">
        <v>1</v>
      </c>
      <c r="AA9879">
        <v>0</v>
      </c>
      <c r="AB9879">
        <v>0</v>
      </c>
      <c r="AC9879">
        <v>0</v>
      </c>
      <c r="AD9879">
        <v>0</v>
      </c>
      <c r="AE9879">
        <v>1</v>
      </c>
      <c r="AF9879">
        <v>0</v>
      </c>
      <c r="AG9879">
        <v>0</v>
      </c>
      <c r="AH9879">
        <v>0</v>
      </c>
      <c r="AI9879">
        <v>1</v>
      </c>
      <c r="AJ9879">
        <v>1</v>
      </c>
      <c r="AK9879">
        <v>0</v>
      </c>
      <c r="AL9879">
        <v>1</v>
      </c>
      <c r="AM9879">
        <v>1</v>
      </c>
    </row>
    <row r="9880" spans="1:39" x14ac:dyDescent="0.2">
      <c r="A9880" t="str">
        <f>"9876"</f>
        <v>9876</v>
      </c>
      <c r="B9880" t="str">
        <f t="shared" si="548"/>
        <v>1</v>
      </c>
      <c r="C9880" t="str">
        <f t="shared" si="549"/>
        <v>198</v>
      </c>
      <c r="D9880" t="str">
        <f>"20"</f>
        <v>20</v>
      </c>
      <c r="E9880" t="str">
        <f>"1-198-20"</f>
        <v>1-198-20</v>
      </c>
      <c r="F9880" t="s">
        <v>65</v>
      </c>
      <c r="G9880" t="s">
        <v>66</v>
      </c>
      <c r="H9880" t="s">
        <v>67</v>
      </c>
      <c r="S9880">
        <v>0</v>
      </c>
      <c r="T9880">
        <v>1</v>
      </c>
      <c r="U9880">
        <v>0</v>
      </c>
      <c r="V9880">
        <v>0</v>
      </c>
      <c r="W9880">
        <v>1</v>
      </c>
      <c r="X9880">
        <v>0</v>
      </c>
      <c r="Y9880">
        <v>1</v>
      </c>
      <c r="Z9880">
        <v>0</v>
      </c>
      <c r="AA9880">
        <v>0</v>
      </c>
      <c r="AB9880">
        <v>0</v>
      </c>
      <c r="AC9880">
        <v>1</v>
      </c>
      <c r="AD9880">
        <v>1</v>
      </c>
      <c r="AE9880">
        <v>1</v>
      </c>
      <c r="AF9880">
        <v>1</v>
      </c>
      <c r="AG9880">
        <v>1</v>
      </c>
      <c r="AH9880">
        <v>1</v>
      </c>
      <c r="AI9880">
        <v>1</v>
      </c>
      <c r="AJ9880">
        <v>1</v>
      </c>
      <c r="AK9880">
        <v>1</v>
      </c>
      <c r="AL9880">
        <v>1</v>
      </c>
      <c r="AM9880">
        <v>1</v>
      </c>
    </row>
    <row r="9881" spans="1:39" x14ac:dyDescent="0.2">
      <c r="A9881" t="str">
        <f>"9877"</f>
        <v>9877</v>
      </c>
      <c r="B9881" t="str">
        <f t="shared" si="548"/>
        <v>1</v>
      </c>
      <c r="C9881" t="str">
        <f t="shared" si="549"/>
        <v>198</v>
      </c>
      <c r="D9881" t="str">
        <f>"4"</f>
        <v>4</v>
      </c>
      <c r="E9881" t="str">
        <f>"1-198-4"</f>
        <v>1-198-4</v>
      </c>
      <c r="F9881" t="s">
        <v>65</v>
      </c>
      <c r="G9881" t="s">
        <v>66</v>
      </c>
      <c r="H9881" t="s">
        <v>67</v>
      </c>
      <c r="S9881">
        <v>0</v>
      </c>
      <c r="T9881">
        <v>1</v>
      </c>
      <c r="U9881">
        <v>0</v>
      </c>
      <c r="V9881">
        <v>0</v>
      </c>
      <c r="W9881">
        <v>1</v>
      </c>
      <c r="X9881">
        <v>0</v>
      </c>
      <c r="Y9881">
        <v>0</v>
      </c>
      <c r="Z9881">
        <v>1</v>
      </c>
      <c r="AA9881">
        <v>0</v>
      </c>
      <c r="AB9881">
        <v>0</v>
      </c>
      <c r="AC9881">
        <v>1</v>
      </c>
      <c r="AD9881">
        <v>1</v>
      </c>
      <c r="AE9881">
        <v>1</v>
      </c>
      <c r="AF9881">
        <v>1</v>
      </c>
      <c r="AG9881">
        <v>1</v>
      </c>
      <c r="AH9881">
        <v>1</v>
      </c>
      <c r="AI9881">
        <v>1</v>
      </c>
      <c r="AJ9881">
        <v>1</v>
      </c>
      <c r="AK9881">
        <v>1</v>
      </c>
      <c r="AL9881">
        <v>1</v>
      </c>
      <c r="AM9881">
        <v>1</v>
      </c>
    </row>
    <row r="9882" spans="1:39" x14ac:dyDescent="0.2">
      <c r="A9882" t="str">
        <f>"9878"</f>
        <v>9878</v>
      </c>
      <c r="B9882" t="str">
        <f t="shared" si="548"/>
        <v>1</v>
      </c>
      <c r="C9882" t="str">
        <f t="shared" si="549"/>
        <v>198</v>
      </c>
      <c r="D9882" t="str">
        <f>"48"</f>
        <v>48</v>
      </c>
      <c r="E9882" t="str">
        <f>"1-198-48"</f>
        <v>1-198-48</v>
      </c>
      <c r="F9882" t="s">
        <v>65</v>
      </c>
      <c r="G9882" t="s">
        <v>66</v>
      </c>
      <c r="H9882" t="s">
        <v>68</v>
      </c>
      <c r="I9882">
        <v>1</v>
      </c>
      <c r="J9882">
        <v>1</v>
      </c>
      <c r="K9882">
        <v>0</v>
      </c>
      <c r="L9882">
        <v>0</v>
      </c>
      <c r="M9882">
        <v>1</v>
      </c>
      <c r="N9882">
        <v>1</v>
      </c>
      <c r="O9882">
        <v>1</v>
      </c>
      <c r="P9882">
        <v>1</v>
      </c>
      <c r="Q9882">
        <v>1</v>
      </c>
      <c r="R9882">
        <v>1</v>
      </c>
    </row>
    <row r="9883" spans="1:39" x14ac:dyDescent="0.2">
      <c r="A9883" t="str">
        <f>"9879"</f>
        <v>9879</v>
      </c>
      <c r="B9883" t="str">
        <f t="shared" si="548"/>
        <v>1</v>
      </c>
      <c r="C9883" t="str">
        <f t="shared" si="549"/>
        <v>198</v>
      </c>
      <c r="D9883" t="str">
        <f>"22"</f>
        <v>22</v>
      </c>
      <c r="E9883" t="str">
        <f>"1-198-22"</f>
        <v>1-198-22</v>
      </c>
      <c r="F9883" t="s">
        <v>65</v>
      </c>
      <c r="G9883" t="s">
        <v>66</v>
      </c>
      <c r="H9883" t="s">
        <v>67</v>
      </c>
      <c r="S9883">
        <v>0</v>
      </c>
      <c r="T9883">
        <v>1</v>
      </c>
      <c r="U9883">
        <v>0</v>
      </c>
      <c r="V9883">
        <v>0</v>
      </c>
      <c r="W9883">
        <v>0</v>
      </c>
      <c r="X9883">
        <v>1</v>
      </c>
      <c r="Y9883">
        <v>0</v>
      </c>
      <c r="Z9883">
        <v>0</v>
      </c>
      <c r="AA9883">
        <v>0</v>
      </c>
      <c r="AB9883">
        <v>1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1</v>
      </c>
      <c r="AI9883">
        <v>1</v>
      </c>
      <c r="AJ9883">
        <v>1</v>
      </c>
      <c r="AK9883">
        <v>1</v>
      </c>
      <c r="AL9883">
        <v>1</v>
      </c>
      <c r="AM9883">
        <v>0</v>
      </c>
    </row>
    <row r="9884" spans="1:39" x14ac:dyDescent="0.2">
      <c r="A9884" t="str">
        <f>"9880"</f>
        <v>9880</v>
      </c>
      <c r="B9884" t="str">
        <f t="shared" si="548"/>
        <v>1</v>
      </c>
      <c r="C9884" t="str">
        <f t="shared" si="549"/>
        <v>198</v>
      </c>
      <c r="D9884" t="str">
        <f>"11"</f>
        <v>11</v>
      </c>
      <c r="E9884" t="str">
        <f>"1-198-11"</f>
        <v>1-198-11</v>
      </c>
      <c r="F9884" t="s">
        <v>65</v>
      </c>
      <c r="G9884" t="s">
        <v>66</v>
      </c>
      <c r="H9884" t="s">
        <v>67</v>
      </c>
      <c r="S9884">
        <v>0</v>
      </c>
      <c r="T9884">
        <v>1</v>
      </c>
      <c r="U9884">
        <v>0</v>
      </c>
      <c r="V9884">
        <v>0</v>
      </c>
      <c r="W9884">
        <v>1</v>
      </c>
      <c r="X9884">
        <v>0</v>
      </c>
      <c r="Y9884">
        <v>0</v>
      </c>
      <c r="Z9884">
        <v>1</v>
      </c>
      <c r="AA9884">
        <v>0</v>
      </c>
      <c r="AB9884">
        <v>0</v>
      </c>
      <c r="AC9884">
        <v>1</v>
      </c>
      <c r="AD9884">
        <v>1</v>
      </c>
      <c r="AE9884">
        <v>1</v>
      </c>
      <c r="AF9884">
        <v>1</v>
      </c>
      <c r="AG9884">
        <v>1</v>
      </c>
      <c r="AH9884">
        <v>1</v>
      </c>
      <c r="AI9884">
        <v>1</v>
      </c>
      <c r="AJ9884">
        <v>1</v>
      </c>
      <c r="AK9884">
        <v>1</v>
      </c>
      <c r="AL9884">
        <v>1</v>
      </c>
      <c r="AM9884">
        <v>1</v>
      </c>
    </row>
    <row r="9885" spans="1:39" x14ac:dyDescent="0.2">
      <c r="A9885" t="str">
        <f>"9881"</f>
        <v>9881</v>
      </c>
      <c r="B9885" t="str">
        <f t="shared" si="548"/>
        <v>1</v>
      </c>
      <c r="C9885" t="str">
        <f t="shared" si="549"/>
        <v>198</v>
      </c>
      <c r="D9885" t="str">
        <f>"44"</f>
        <v>44</v>
      </c>
      <c r="E9885" t="str">
        <f>"1-198-44"</f>
        <v>1-198-44</v>
      </c>
      <c r="F9885" t="s">
        <v>65</v>
      </c>
      <c r="G9885" t="s">
        <v>66</v>
      </c>
      <c r="H9885" t="s">
        <v>67</v>
      </c>
      <c r="S9885">
        <v>0</v>
      </c>
      <c r="T9885">
        <v>1</v>
      </c>
      <c r="U9885">
        <v>0</v>
      </c>
      <c r="V9885">
        <v>0</v>
      </c>
      <c r="W9885">
        <v>0</v>
      </c>
      <c r="X9885">
        <v>1</v>
      </c>
      <c r="Y9885">
        <v>0</v>
      </c>
      <c r="Z9885">
        <v>0</v>
      </c>
      <c r="AA9885">
        <v>0</v>
      </c>
      <c r="AB9885">
        <v>0</v>
      </c>
      <c r="AC9885">
        <v>1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</row>
    <row r="9886" spans="1:39" x14ac:dyDescent="0.2">
      <c r="A9886" t="str">
        <f>"9882"</f>
        <v>9882</v>
      </c>
      <c r="B9886" t="str">
        <f t="shared" si="548"/>
        <v>1</v>
      </c>
      <c r="C9886" t="str">
        <f t="shared" si="549"/>
        <v>198</v>
      </c>
      <c r="D9886" t="str">
        <f>"23"</f>
        <v>23</v>
      </c>
      <c r="E9886" t="str">
        <f>"1-198-23"</f>
        <v>1-198-23</v>
      </c>
      <c r="F9886" t="s">
        <v>65</v>
      </c>
      <c r="G9886" t="s">
        <v>66</v>
      </c>
      <c r="H9886" t="s">
        <v>67</v>
      </c>
      <c r="S9886">
        <v>1</v>
      </c>
      <c r="T9886">
        <v>0</v>
      </c>
      <c r="U9886">
        <v>0</v>
      </c>
      <c r="V9886">
        <v>0</v>
      </c>
      <c r="W9886">
        <v>1</v>
      </c>
      <c r="X9886">
        <v>0</v>
      </c>
      <c r="Y9886">
        <v>1</v>
      </c>
      <c r="Z9886">
        <v>0</v>
      </c>
      <c r="AA9886">
        <v>0</v>
      </c>
      <c r="AB9886">
        <v>1</v>
      </c>
      <c r="AC9886">
        <v>0</v>
      </c>
      <c r="AD9886">
        <v>1</v>
      </c>
      <c r="AE9886">
        <v>1</v>
      </c>
      <c r="AF9886">
        <v>1</v>
      </c>
      <c r="AG9886">
        <v>1</v>
      </c>
      <c r="AH9886">
        <v>0</v>
      </c>
      <c r="AI9886">
        <v>1</v>
      </c>
      <c r="AJ9886">
        <v>1</v>
      </c>
      <c r="AK9886">
        <v>0</v>
      </c>
      <c r="AL9886">
        <v>1</v>
      </c>
      <c r="AM9886">
        <v>1</v>
      </c>
    </row>
    <row r="9887" spans="1:39" x14ac:dyDescent="0.2">
      <c r="A9887" t="str">
        <f>"9883"</f>
        <v>9883</v>
      </c>
      <c r="B9887" t="str">
        <f t="shared" si="548"/>
        <v>1</v>
      </c>
      <c r="C9887" t="str">
        <f t="shared" ref="C9887:C9904" si="550">"198"</f>
        <v>198</v>
      </c>
      <c r="D9887" t="str">
        <f>"13"</f>
        <v>13</v>
      </c>
      <c r="E9887" t="str">
        <f>"1-198-13"</f>
        <v>1-198-13</v>
      </c>
      <c r="F9887" t="s">
        <v>65</v>
      </c>
      <c r="G9887" t="s">
        <v>66</v>
      </c>
      <c r="H9887" t="s">
        <v>67</v>
      </c>
      <c r="S9887">
        <v>0</v>
      </c>
      <c r="T9887">
        <v>1</v>
      </c>
      <c r="U9887">
        <v>0</v>
      </c>
      <c r="V9887">
        <v>0</v>
      </c>
      <c r="W9887">
        <v>0</v>
      </c>
      <c r="X9887">
        <v>0</v>
      </c>
      <c r="Y9887">
        <v>1</v>
      </c>
      <c r="Z9887">
        <v>0</v>
      </c>
      <c r="AA9887">
        <v>1</v>
      </c>
      <c r="AB9887">
        <v>0</v>
      </c>
      <c r="AC9887">
        <v>0</v>
      </c>
      <c r="AD9887">
        <v>1</v>
      </c>
      <c r="AE9887">
        <v>1</v>
      </c>
      <c r="AF9887">
        <v>1</v>
      </c>
      <c r="AG9887">
        <v>1</v>
      </c>
      <c r="AH9887">
        <v>1</v>
      </c>
      <c r="AI9887">
        <v>1</v>
      </c>
      <c r="AJ9887">
        <v>1</v>
      </c>
      <c r="AK9887">
        <v>1</v>
      </c>
      <c r="AL9887">
        <v>1</v>
      </c>
      <c r="AM9887">
        <v>1</v>
      </c>
    </row>
    <row r="9888" spans="1:39" x14ac:dyDescent="0.2">
      <c r="A9888" t="str">
        <f>"9884"</f>
        <v>9884</v>
      </c>
      <c r="B9888" t="str">
        <f t="shared" si="548"/>
        <v>1</v>
      </c>
      <c r="C9888" t="str">
        <f t="shared" si="550"/>
        <v>198</v>
      </c>
      <c r="D9888" t="str">
        <f>"47"</f>
        <v>47</v>
      </c>
      <c r="E9888" t="str">
        <f>"1-198-47"</f>
        <v>1-198-47</v>
      </c>
      <c r="F9888" t="s">
        <v>65</v>
      </c>
      <c r="G9888" t="s">
        <v>66</v>
      </c>
      <c r="H9888" t="s">
        <v>67</v>
      </c>
      <c r="S9888">
        <v>0</v>
      </c>
      <c r="T9888">
        <v>1</v>
      </c>
      <c r="U9888">
        <v>0</v>
      </c>
      <c r="V9888">
        <v>0</v>
      </c>
      <c r="W9888">
        <v>0</v>
      </c>
      <c r="X9888">
        <v>1</v>
      </c>
      <c r="Y9888">
        <v>0</v>
      </c>
      <c r="Z9888">
        <v>1</v>
      </c>
      <c r="AA9888">
        <v>0</v>
      </c>
      <c r="AB9888">
        <v>0</v>
      </c>
      <c r="AC9888">
        <v>1</v>
      </c>
      <c r="AD9888">
        <v>1</v>
      </c>
      <c r="AE9888">
        <v>1</v>
      </c>
      <c r="AF9888">
        <v>1</v>
      </c>
      <c r="AG9888">
        <v>1</v>
      </c>
      <c r="AH9888">
        <v>1</v>
      </c>
      <c r="AI9888">
        <v>1</v>
      </c>
      <c r="AJ9888">
        <v>1</v>
      </c>
      <c r="AK9888">
        <v>1</v>
      </c>
      <c r="AL9888">
        <v>1</v>
      </c>
      <c r="AM9888">
        <v>1</v>
      </c>
    </row>
    <row r="9889" spans="1:39" x14ac:dyDescent="0.2">
      <c r="A9889" t="str">
        <f>"9885"</f>
        <v>9885</v>
      </c>
      <c r="B9889" t="str">
        <f t="shared" si="548"/>
        <v>1</v>
      </c>
      <c r="C9889" t="str">
        <f t="shared" si="550"/>
        <v>198</v>
      </c>
      <c r="D9889" t="str">
        <f>"24"</f>
        <v>24</v>
      </c>
      <c r="E9889" t="str">
        <f>"1-198-24"</f>
        <v>1-198-24</v>
      </c>
      <c r="F9889" t="s">
        <v>65</v>
      </c>
      <c r="G9889" t="s">
        <v>66</v>
      </c>
      <c r="H9889" t="s">
        <v>67</v>
      </c>
      <c r="S9889">
        <v>0</v>
      </c>
      <c r="T9889">
        <v>1</v>
      </c>
      <c r="U9889">
        <v>0</v>
      </c>
      <c r="V9889">
        <v>0</v>
      </c>
      <c r="W9889">
        <v>0</v>
      </c>
      <c r="X9889">
        <v>1</v>
      </c>
      <c r="Y9889">
        <v>0</v>
      </c>
      <c r="Z9889">
        <v>0</v>
      </c>
      <c r="AA9889">
        <v>0</v>
      </c>
      <c r="AB9889">
        <v>0</v>
      </c>
      <c r="AC9889">
        <v>1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</row>
    <row r="9890" spans="1:39" x14ac:dyDescent="0.2">
      <c r="A9890" t="str">
        <f>"9886"</f>
        <v>9886</v>
      </c>
      <c r="B9890" t="str">
        <f t="shared" si="548"/>
        <v>1</v>
      </c>
      <c r="C9890" t="str">
        <f t="shared" si="550"/>
        <v>198</v>
      </c>
      <c r="D9890" t="str">
        <f>"7"</f>
        <v>7</v>
      </c>
      <c r="E9890" t="str">
        <f>"1-198-7"</f>
        <v>1-198-7</v>
      </c>
      <c r="F9890" t="s">
        <v>65</v>
      </c>
      <c r="G9890" t="s">
        <v>66</v>
      </c>
      <c r="H9890" t="s">
        <v>67</v>
      </c>
      <c r="S9890">
        <v>1</v>
      </c>
      <c r="T9890">
        <v>0</v>
      </c>
      <c r="U9890">
        <v>0</v>
      </c>
      <c r="V9890">
        <v>0</v>
      </c>
      <c r="W9890">
        <v>1</v>
      </c>
      <c r="X9890">
        <v>0</v>
      </c>
      <c r="Y9890">
        <v>0</v>
      </c>
      <c r="Z9890">
        <v>1</v>
      </c>
      <c r="AA9890">
        <v>0</v>
      </c>
      <c r="AB9890">
        <v>1</v>
      </c>
      <c r="AC9890">
        <v>0</v>
      </c>
      <c r="AD9890">
        <v>1</v>
      </c>
      <c r="AE9890">
        <v>1</v>
      </c>
      <c r="AF9890">
        <v>1</v>
      </c>
      <c r="AG9890">
        <v>1</v>
      </c>
      <c r="AH9890">
        <v>1</v>
      </c>
      <c r="AI9890">
        <v>1</v>
      </c>
      <c r="AJ9890">
        <v>1</v>
      </c>
      <c r="AK9890">
        <v>1</v>
      </c>
      <c r="AL9890">
        <v>1</v>
      </c>
      <c r="AM9890">
        <v>1</v>
      </c>
    </row>
    <row r="9891" spans="1:39" x14ac:dyDescent="0.2">
      <c r="A9891" t="str">
        <f>"9887"</f>
        <v>9887</v>
      </c>
      <c r="B9891" t="str">
        <f t="shared" si="548"/>
        <v>1</v>
      </c>
      <c r="C9891" t="str">
        <f t="shared" si="550"/>
        <v>198</v>
      </c>
      <c r="D9891" t="str">
        <f>"43"</f>
        <v>43</v>
      </c>
      <c r="E9891" t="str">
        <f>"1-198-43"</f>
        <v>1-198-43</v>
      </c>
      <c r="F9891" t="s">
        <v>65</v>
      </c>
      <c r="G9891" t="s">
        <v>66</v>
      </c>
      <c r="H9891" t="s">
        <v>68</v>
      </c>
      <c r="I9891">
        <v>1</v>
      </c>
      <c r="J9891">
        <v>1</v>
      </c>
      <c r="K9891">
        <v>0</v>
      </c>
      <c r="L9891">
        <v>0</v>
      </c>
      <c r="M9891">
        <v>1</v>
      </c>
      <c r="N9891">
        <v>1</v>
      </c>
      <c r="O9891">
        <v>1</v>
      </c>
      <c r="P9891">
        <v>1</v>
      </c>
      <c r="Q9891">
        <v>1</v>
      </c>
      <c r="R9891">
        <v>1</v>
      </c>
    </row>
    <row r="9892" spans="1:39" x14ac:dyDescent="0.2">
      <c r="A9892" t="str">
        <f>"9888"</f>
        <v>9888</v>
      </c>
      <c r="B9892" t="str">
        <f t="shared" si="548"/>
        <v>1</v>
      </c>
      <c r="C9892" t="str">
        <f t="shared" si="550"/>
        <v>198</v>
      </c>
      <c r="D9892" t="str">
        <f>"28"</f>
        <v>28</v>
      </c>
      <c r="E9892" t="str">
        <f>"1-198-28"</f>
        <v>1-198-28</v>
      </c>
      <c r="F9892" t="s">
        <v>65</v>
      </c>
      <c r="G9892" t="s">
        <v>66</v>
      </c>
      <c r="H9892" t="s">
        <v>68</v>
      </c>
      <c r="I9892">
        <v>1</v>
      </c>
      <c r="J9892">
        <v>0</v>
      </c>
      <c r="K9892">
        <v>0</v>
      </c>
      <c r="L9892">
        <v>1</v>
      </c>
      <c r="M9892">
        <v>1</v>
      </c>
      <c r="N9892">
        <v>1</v>
      </c>
      <c r="O9892">
        <v>1</v>
      </c>
      <c r="P9892">
        <v>1</v>
      </c>
      <c r="Q9892">
        <v>1</v>
      </c>
      <c r="R9892">
        <v>1</v>
      </c>
    </row>
    <row r="9893" spans="1:39" x14ac:dyDescent="0.2">
      <c r="A9893" t="str">
        <f>"9889"</f>
        <v>9889</v>
      </c>
      <c r="B9893" t="str">
        <f t="shared" si="548"/>
        <v>1</v>
      </c>
      <c r="C9893" t="str">
        <f t="shared" si="550"/>
        <v>198</v>
      </c>
      <c r="D9893" t="str">
        <f>"8"</f>
        <v>8</v>
      </c>
      <c r="E9893" t="str">
        <f>"1-198-8"</f>
        <v>1-198-8</v>
      </c>
      <c r="F9893" t="s">
        <v>65</v>
      </c>
      <c r="G9893" t="s">
        <v>66</v>
      </c>
      <c r="H9893" t="s">
        <v>67</v>
      </c>
      <c r="S9893">
        <v>0</v>
      </c>
      <c r="T9893">
        <v>1</v>
      </c>
      <c r="U9893">
        <v>0</v>
      </c>
      <c r="V9893">
        <v>0</v>
      </c>
      <c r="W9893">
        <v>0</v>
      </c>
      <c r="X9893">
        <v>1</v>
      </c>
      <c r="Y9893">
        <v>0</v>
      </c>
      <c r="Z9893">
        <v>1</v>
      </c>
      <c r="AA9893">
        <v>0</v>
      </c>
      <c r="AB9893">
        <v>0</v>
      </c>
      <c r="AC9893">
        <v>1</v>
      </c>
      <c r="AD9893">
        <v>1</v>
      </c>
      <c r="AE9893">
        <v>1</v>
      </c>
      <c r="AF9893">
        <v>1</v>
      </c>
      <c r="AG9893">
        <v>1</v>
      </c>
      <c r="AH9893">
        <v>1</v>
      </c>
      <c r="AI9893">
        <v>1</v>
      </c>
      <c r="AJ9893">
        <v>1</v>
      </c>
      <c r="AK9893">
        <v>1</v>
      </c>
      <c r="AL9893">
        <v>1</v>
      </c>
      <c r="AM9893">
        <v>1</v>
      </c>
    </row>
    <row r="9894" spans="1:39" x14ac:dyDescent="0.2">
      <c r="A9894" t="str">
        <f>"9890"</f>
        <v>9890</v>
      </c>
      <c r="B9894" t="str">
        <f t="shared" si="548"/>
        <v>1</v>
      </c>
      <c r="C9894" t="str">
        <f t="shared" si="550"/>
        <v>198</v>
      </c>
      <c r="D9894" t="str">
        <f>"49"</f>
        <v>49</v>
      </c>
      <c r="E9894" t="str">
        <f>"1-198-49"</f>
        <v>1-198-49</v>
      </c>
      <c r="F9894" t="s">
        <v>65</v>
      </c>
      <c r="G9894" t="s">
        <v>66</v>
      </c>
      <c r="H9894" t="s">
        <v>67</v>
      </c>
      <c r="S9894">
        <v>1</v>
      </c>
      <c r="T9894">
        <v>0</v>
      </c>
      <c r="U9894">
        <v>0</v>
      </c>
      <c r="V9894">
        <v>0</v>
      </c>
      <c r="W9894">
        <v>1</v>
      </c>
      <c r="X9894">
        <v>0</v>
      </c>
      <c r="Y9894">
        <v>1</v>
      </c>
      <c r="Z9894">
        <v>0</v>
      </c>
      <c r="AA9894">
        <v>0</v>
      </c>
      <c r="AB9894">
        <v>1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</row>
    <row r="9895" spans="1:39" x14ac:dyDescent="0.2">
      <c r="A9895" t="str">
        <f>"9891"</f>
        <v>9891</v>
      </c>
      <c r="B9895" t="str">
        <f t="shared" si="548"/>
        <v>1</v>
      </c>
      <c r="C9895" t="str">
        <f t="shared" si="550"/>
        <v>198</v>
      </c>
      <c r="D9895" t="str">
        <f>"29"</f>
        <v>29</v>
      </c>
      <c r="E9895" t="str">
        <f>"1-198-29"</f>
        <v>1-198-29</v>
      </c>
      <c r="F9895" t="s">
        <v>65</v>
      </c>
      <c r="G9895" t="s">
        <v>66</v>
      </c>
      <c r="H9895" t="s">
        <v>67</v>
      </c>
      <c r="S9895">
        <v>1</v>
      </c>
      <c r="T9895">
        <v>0</v>
      </c>
      <c r="U9895">
        <v>0</v>
      </c>
      <c r="V9895">
        <v>0</v>
      </c>
      <c r="W9895">
        <v>1</v>
      </c>
      <c r="X9895">
        <v>0</v>
      </c>
      <c r="Y9895">
        <v>1</v>
      </c>
      <c r="Z9895">
        <v>0</v>
      </c>
      <c r="AA9895">
        <v>0</v>
      </c>
      <c r="AB9895">
        <v>0</v>
      </c>
      <c r="AC9895">
        <v>1</v>
      </c>
      <c r="AD9895">
        <v>1</v>
      </c>
      <c r="AE9895">
        <v>1</v>
      </c>
      <c r="AF9895">
        <v>1</v>
      </c>
      <c r="AG9895">
        <v>1</v>
      </c>
      <c r="AH9895">
        <v>1</v>
      </c>
      <c r="AI9895">
        <v>1</v>
      </c>
      <c r="AJ9895">
        <v>1</v>
      </c>
      <c r="AK9895">
        <v>1</v>
      </c>
      <c r="AL9895">
        <v>1</v>
      </c>
      <c r="AM9895">
        <v>1</v>
      </c>
    </row>
    <row r="9896" spans="1:39" x14ac:dyDescent="0.2">
      <c r="A9896" t="str">
        <f>"9892"</f>
        <v>9892</v>
      </c>
      <c r="B9896" t="str">
        <f t="shared" si="548"/>
        <v>1</v>
      </c>
      <c r="C9896" t="str">
        <f t="shared" si="550"/>
        <v>198</v>
      </c>
      <c r="D9896" t="str">
        <f>"3"</f>
        <v>3</v>
      </c>
      <c r="E9896" t="str">
        <f>"1-198-3"</f>
        <v>1-198-3</v>
      </c>
      <c r="F9896" t="s">
        <v>65</v>
      </c>
      <c r="G9896" t="s">
        <v>66</v>
      </c>
      <c r="H9896" t="s">
        <v>67</v>
      </c>
      <c r="S9896">
        <v>1</v>
      </c>
      <c r="T9896">
        <v>0</v>
      </c>
      <c r="U9896">
        <v>0</v>
      </c>
      <c r="V9896">
        <v>0</v>
      </c>
      <c r="W9896">
        <v>0</v>
      </c>
      <c r="X9896">
        <v>1</v>
      </c>
      <c r="Y9896">
        <v>0</v>
      </c>
      <c r="Z9896">
        <v>1</v>
      </c>
      <c r="AA9896">
        <v>0</v>
      </c>
      <c r="AB9896">
        <v>1</v>
      </c>
      <c r="AC9896">
        <v>0</v>
      </c>
      <c r="AD9896">
        <v>1</v>
      </c>
      <c r="AE9896">
        <v>1</v>
      </c>
      <c r="AF9896">
        <v>1</v>
      </c>
      <c r="AG9896">
        <v>1</v>
      </c>
      <c r="AH9896">
        <v>1</v>
      </c>
      <c r="AI9896">
        <v>1</v>
      </c>
      <c r="AJ9896">
        <v>1</v>
      </c>
      <c r="AK9896">
        <v>1</v>
      </c>
      <c r="AL9896">
        <v>1</v>
      </c>
      <c r="AM9896">
        <v>1</v>
      </c>
    </row>
    <row r="9897" spans="1:39" x14ac:dyDescent="0.2">
      <c r="A9897" t="str">
        <f>"9893"</f>
        <v>9893</v>
      </c>
      <c r="B9897" t="str">
        <f t="shared" si="548"/>
        <v>1</v>
      </c>
      <c r="C9897" t="str">
        <f t="shared" si="550"/>
        <v>198</v>
      </c>
      <c r="D9897" t="str">
        <f>"30"</f>
        <v>30</v>
      </c>
      <c r="E9897" t="str">
        <f>"1-198-30"</f>
        <v>1-198-30</v>
      </c>
      <c r="F9897" t="s">
        <v>65</v>
      </c>
      <c r="G9897" t="s">
        <v>66</v>
      </c>
      <c r="H9897" t="s">
        <v>67</v>
      </c>
      <c r="S9897">
        <v>1</v>
      </c>
      <c r="T9897">
        <v>0</v>
      </c>
      <c r="U9897">
        <v>0</v>
      </c>
      <c r="V9897">
        <v>0</v>
      </c>
      <c r="W9897">
        <v>1</v>
      </c>
      <c r="X9897">
        <v>0</v>
      </c>
      <c r="Y9897">
        <v>1</v>
      </c>
      <c r="Z9897">
        <v>0</v>
      </c>
      <c r="AA9897">
        <v>1</v>
      </c>
      <c r="AB9897">
        <v>0</v>
      </c>
      <c r="AC9897">
        <v>0</v>
      </c>
      <c r="AD9897">
        <v>1</v>
      </c>
      <c r="AE9897">
        <v>1</v>
      </c>
      <c r="AF9897">
        <v>1</v>
      </c>
      <c r="AG9897">
        <v>1</v>
      </c>
      <c r="AH9897">
        <v>1</v>
      </c>
      <c r="AI9897">
        <v>1</v>
      </c>
      <c r="AJ9897">
        <v>1</v>
      </c>
      <c r="AK9897">
        <v>1</v>
      </c>
      <c r="AL9897">
        <v>1</v>
      </c>
      <c r="AM9897">
        <v>1</v>
      </c>
    </row>
    <row r="9898" spans="1:39" x14ac:dyDescent="0.2">
      <c r="A9898" t="str">
        <f>"9894"</f>
        <v>9894</v>
      </c>
      <c r="B9898" t="str">
        <f t="shared" si="548"/>
        <v>1</v>
      </c>
      <c r="C9898" t="str">
        <f t="shared" si="550"/>
        <v>198</v>
      </c>
      <c r="D9898" t="str">
        <f>"9"</f>
        <v>9</v>
      </c>
      <c r="E9898" t="str">
        <f>"1-198-9"</f>
        <v>1-198-9</v>
      </c>
      <c r="F9898" t="s">
        <v>65</v>
      </c>
      <c r="G9898" t="s">
        <v>66</v>
      </c>
      <c r="H9898" t="s">
        <v>67</v>
      </c>
      <c r="S9898">
        <v>0</v>
      </c>
      <c r="T9898">
        <v>1</v>
      </c>
      <c r="U9898">
        <v>0</v>
      </c>
      <c r="V9898">
        <v>0</v>
      </c>
      <c r="W9898">
        <v>0</v>
      </c>
      <c r="X9898">
        <v>1</v>
      </c>
      <c r="Y9898">
        <v>1</v>
      </c>
      <c r="Z9898">
        <v>0</v>
      </c>
      <c r="AA9898">
        <v>0</v>
      </c>
      <c r="AB9898">
        <v>0</v>
      </c>
      <c r="AC9898">
        <v>1</v>
      </c>
      <c r="AD9898">
        <v>1</v>
      </c>
      <c r="AE9898">
        <v>1</v>
      </c>
      <c r="AF9898">
        <v>1</v>
      </c>
      <c r="AG9898">
        <v>1</v>
      </c>
      <c r="AH9898">
        <v>1</v>
      </c>
      <c r="AI9898">
        <v>1</v>
      </c>
      <c r="AJ9898">
        <v>1</v>
      </c>
      <c r="AK9898">
        <v>1</v>
      </c>
      <c r="AL9898">
        <v>1</v>
      </c>
      <c r="AM9898">
        <v>1</v>
      </c>
    </row>
    <row r="9899" spans="1:39" x14ac:dyDescent="0.2">
      <c r="A9899" t="str">
        <f>"9895"</f>
        <v>9895</v>
      </c>
      <c r="B9899" t="str">
        <f t="shared" si="548"/>
        <v>1</v>
      </c>
      <c r="C9899" t="str">
        <f t="shared" si="550"/>
        <v>198</v>
      </c>
      <c r="D9899" t="str">
        <f>"31"</f>
        <v>31</v>
      </c>
      <c r="E9899" t="str">
        <f>"1-198-31"</f>
        <v>1-198-31</v>
      </c>
      <c r="F9899" t="s">
        <v>65</v>
      </c>
      <c r="G9899" t="s">
        <v>66</v>
      </c>
      <c r="H9899" t="s">
        <v>67</v>
      </c>
      <c r="S9899">
        <v>0</v>
      </c>
      <c r="T9899">
        <v>1</v>
      </c>
      <c r="U9899">
        <v>0</v>
      </c>
      <c r="V9899">
        <v>0</v>
      </c>
      <c r="W9899">
        <v>1</v>
      </c>
      <c r="X9899">
        <v>0</v>
      </c>
      <c r="Y9899">
        <v>0</v>
      </c>
      <c r="Z9899">
        <v>1</v>
      </c>
      <c r="AA9899">
        <v>1</v>
      </c>
      <c r="AB9899">
        <v>0</v>
      </c>
      <c r="AC9899">
        <v>0</v>
      </c>
      <c r="AD9899">
        <v>1</v>
      </c>
      <c r="AE9899">
        <v>1</v>
      </c>
      <c r="AF9899">
        <v>1</v>
      </c>
      <c r="AG9899">
        <v>1</v>
      </c>
      <c r="AH9899">
        <v>1</v>
      </c>
      <c r="AI9899">
        <v>1</v>
      </c>
      <c r="AJ9899">
        <v>1</v>
      </c>
      <c r="AK9899">
        <v>1</v>
      </c>
      <c r="AL9899">
        <v>1</v>
      </c>
      <c r="AM9899">
        <v>1</v>
      </c>
    </row>
    <row r="9900" spans="1:39" x14ac:dyDescent="0.2">
      <c r="A9900" t="str">
        <f>"9896"</f>
        <v>9896</v>
      </c>
      <c r="B9900" t="str">
        <f t="shared" si="548"/>
        <v>1</v>
      </c>
      <c r="C9900" t="str">
        <f t="shared" si="550"/>
        <v>198</v>
      </c>
      <c r="D9900" t="str">
        <f>"14"</f>
        <v>14</v>
      </c>
      <c r="E9900" t="str">
        <f>"1-198-14"</f>
        <v>1-198-14</v>
      </c>
      <c r="F9900" t="s">
        <v>65</v>
      </c>
      <c r="G9900" t="s">
        <v>66</v>
      </c>
      <c r="H9900" t="s">
        <v>67</v>
      </c>
      <c r="S9900">
        <v>0</v>
      </c>
      <c r="T9900">
        <v>1</v>
      </c>
      <c r="U9900">
        <v>0</v>
      </c>
      <c r="V9900">
        <v>0</v>
      </c>
      <c r="W9900">
        <v>0</v>
      </c>
      <c r="X9900">
        <v>1</v>
      </c>
      <c r="Y9900">
        <v>0</v>
      </c>
      <c r="Z9900">
        <v>1</v>
      </c>
      <c r="AA9900">
        <v>0</v>
      </c>
      <c r="AB9900">
        <v>0</v>
      </c>
      <c r="AC9900">
        <v>1</v>
      </c>
      <c r="AD9900">
        <v>1</v>
      </c>
      <c r="AE9900">
        <v>1</v>
      </c>
      <c r="AF9900">
        <v>1</v>
      </c>
      <c r="AG9900">
        <v>1</v>
      </c>
      <c r="AH9900">
        <v>1</v>
      </c>
      <c r="AI9900">
        <v>1</v>
      </c>
      <c r="AJ9900">
        <v>1</v>
      </c>
      <c r="AK9900">
        <v>1</v>
      </c>
      <c r="AL9900">
        <v>1</v>
      </c>
      <c r="AM9900">
        <v>1</v>
      </c>
    </row>
    <row r="9901" spans="1:39" x14ac:dyDescent="0.2">
      <c r="A9901" t="str">
        <f>"9897"</f>
        <v>9897</v>
      </c>
      <c r="B9901" t="str">
        <f t="shared" si="548"/>
        <v>1</v>
      </c>
      <c r="C9901" t="str">
        <f t="shared" si="550"/>
        <v>198</v>
      </c>
      <c r="D9901" t="str">
        <f>"32"</f>
        <v>32</v>
      </c>
      <c r="E9901" t="str">
        <f>"1-198-32"</f>
        <v>1-198-32</v>
      </c>
      <c r="F9901" t="s">
        <v>65</v>
      </c>
      <c r="G9901" t="s">
        <v>66</v>
      </c>
      <c r="H9901" t="s">
        <v>67</v>
      </c>
      <c r="S9901">
        <v>0</v>
      </c>
      <c r="T9901">
        <v>1</v>
      </c>
      <c r="U9901">
        <v>0</v>
      </c>
      <c r="V9901">
        <v>0</v>
      </c>
      <c r="W9901">
        <v>0</v>
      </c>
      <c r="X9901">
        <v>1</v>
      </c>
      <c r="Y9901">
        <v>1</v>
      </c>
      <c r="Z9901">
        <v>0</v>
      </c>
      <c r="AA9901">
        <v>0</v>
      </c>
      <c r="AB9901">
        <v>1</v>
      </c>
      <c r="AC9901">
        <v>0</v>
      </c>
      <c r="AD9901">
        <v>1</v>
      </c>
      <c r="AE9901">
        <v>1</v>
      </c>
      <c r="AF9901">
        <v>1</v>
      </c>
      <c r="AG9901">
        <v>1</v>
      </c>
      <c r="AH9901">
        <v>1</v>
      </c>
      <c r="AI9901">
        <v>1</v>
      </c>
      <c r="AJ9901">
        <v>1</v>
      </c>
      <c r="AK9901">
        <v>1</v>
      </c>
      <c r="AL9901">
        <v>1</v>
      </c>
      <c r="AM9901">
        <v>1</v>
      </c>
    </row>
    <row r="9902" spans="1:39" x14ac:dyDescent="0.2">
      <c r="A9902" t="str">
        <f>"9898"</f>
        <v>9898</v>
      </c>
      <c r="B9902" t="str">
        <f t="shared" si="548"/>
        <v>1</v>
      </c>
      <c r="C9902" t="str">
        <f t="shared" si="550"/>
        <v>198</v>
      </c>
      <c r="D9902" t="str">
        <f>"5"</f>
        <v>5</v>
      </c>
      <c r="E9902" t="str">
        <f>"1-198-5"</f>
        <v>1-198-5</v>
      </c>
      <c r="F9902" t="s">
        <v>65</v>
      </c>
      <c r="G9902" t="s">
        <v>66</v>
      </c>
      <c r="H9902" t="s">
        <v>67</v>
      </c>
      <c r="S9902">
        <v>0</v>
      </c>
      <c r="T9902">
        <v>1</v>
      </c>
      <c r="U9902">
        <v>0</v>
      </c>
      <c r="V9902">
        <v>0</v>
      </c>
      <c r="W9902">
        <v>1</v>
      </c>
      <c r="X9902">
        <v>0</v>
      </c>
      <c r="Y9902">
        <v>0</v>
      </c>
      <c r="Z9902">
        <v>1</v>
      </c>
      <c r="AA9902">
        <v>0</v>
      </c>
      <c r="AB9902">
        <v>0</v>
      </c>
      <c r="AC9902">
        <v>1</v>
      </c>
      <c r="AD9902">
        <v>1</v>
      </c>
      <c r="AE9902">
        <v>1</v>
      </c>
      <c r="AF9902">
        <v>1</v>
      </c>
      <c r="AG9902">
        <v>1</v>
      </c>
      <c r="AH9902">
        <v>1</v>
      </c>
      <c r="AI9902">
        <v>1</v>
      </c>
      <c r="AJ9902">
        <v>1</v>
      </c>
      <c r="AK9902">
        <v>1</v>
      </c>
      <c r="AL9902">
        <v>1</v>
      </c>
      <c r="AM9902">
        <v>0</v>
      </c>
    </row>
    <row r="9903" spans="1:39" x14ac:dyDescent="0.2">
      <c r="A9903" t="str">
        <f>"9899"</f>
        <v>9899</v>
      </c>
      <c r="B9903" t="str">
        <f t="shared" si="548"/>
        <v>1</v>
      </c>
      <c r="C9903" t="str">
        <f t="shared" si="550"/>
        <v>198</v>
      </c>
      <c r="D9903" t="str">
        <f>"46"</f>
        <v>46</v>
      </c>
      <c r="E9903" t="str">
        <f>"1-198-46"</f>
        <v>1-198-46</v>
      </c>
      <c r="F9903" t="s">
        <v>65</v>
      </c>
      <c r="G9903" t="s">
        <v>66</v>
      </c>
      <c r="H9903" t="s">
        <v>67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1</v>
      </c>
      <c r="Y9903">
        <v>0</v>
      </c>
      <c r="Z9903">
        <v>1</v>
      </c>
      <c r="AA9903">
        <v>0</v>
      </c>
      <c r="AB9903">
        <v>0</v>
      </c>
      <c r="AC9903">
        <v>1</v>
      </c>
      <c r="AD9903">
        <v>1</v>
      </c>
      <c r="AE9903">
        <v>1</v>
      </c>
      <c r="AF9903">
        <v>1</v>
      </c>
      <c r="AG9903">
        <v>1</v>
      </c>
      <c r="AH9903">
        <v>1</v>
      </c>
      <c r="AI9903">
        <v>1</v>
      </c>
      <c r="AJ9903">
        <v>1</v>
      </c>
      <c r="AK9903">
        <v>1</v>
      </c>
      <c r="AL9903">
        <v>1</v>
      </c>
      <c r="AM9903">
        <v>1</v>
      </c>
    </row>
    <row r="9904" spans="1:39" x14ac:dyDescent="0.2">
      <c r="A9904" t="str">
        <f>"9900"</f>
        <v>9900</v>
      </c>
      <c r="B9904" t="str">
        <f t="shared" si="548"/>
        <v>1</v>
      </c>
      <c r="C9904" t="str">
        <f t="shared" si="550"/>
        <v>198</v>
      </c>
      <c r="D9904" t="str">
        <f>"50"</f>
        <v>50</v>
      </c>
      <c r="E9904" t="str">
        <f>"1-198-50"</f>
        <v>1-198-50</v>
      </c>
      <c r="F9904" t="s">
        <v>65</v>
      </c>
      <c r="G9904" t="s">
        <v>66</v>
      </c>
      <c r="H9904" t="s">
        <v>67</v>
      </c>
      <c r="S9904">
        <v>0</v>
      </c>
      <c r="T9904">
        <v>1</v>
      </c>
      <c r="U9904">
        <v>0</v>
      </c>
      <c r="V9904">
        <v>0</v>
      </c>
      <c r="W9904">
        <v>0</v>
      </c>
      <c r="X9904">
        <v>1</v>
      </c>
      <c r="Y9904">
        <v>0</v>
      </c>
      <c r="Z9904">
        <v>0</v>
      </c>
      <c r="AA9904">
        <v>0</v>
      </c>
      <c r="AB9904">
        <v>0</v>
      </c>
      <c r="AC9904">
        <v>1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</row>
    <row r="9905" spans="1:39" x14ac:dyDescent="0.2">
      <c r="A9905" t="str">
        <f>"9901"</f>
        <v>9901</v>
      </c>
      <c r="B9905" t="str">
        <f t="shared" si="548"/>
        <v>1</v>
      </c>
      <c r="C9905" t="str">
        <f t="shared" ref="C9905:C9936" si="551">"199"</f>
        <v>199</v>
      </c>
      <c r="D9905" t="str">
        <f>"41"</f>
        <v>41</v>
      </c>
      <c r="E9905" t="str">
        <f>"1-199-41"</f>
        <v>1-199-41</v>
      </c>
      <c r="F9905" t="s">
        <v>65</v>
      </c>
      <c r="G9905" t="s">
        <v>66</v>
      </c>
      <c r="H9905" t="s">
        <v>67</v>
      </c>
      <c r="S9905">
        <v>1</v>
      </c>
      <c r="T9905">
        <v>0</v>
      </c>
      <c r="U9905">
        <v>0</v>
      </c>
      <c r="V9905">
        <v>0</v>
      </c>
      <c r="W9905">
        <v>1</v>
      </c>
      <c r="X9905">
        <v>0</v>
      </c>
      <c r="Y9905">
        <v>1</v>
      </c>
      <c r="Z9905">
        <v>0</v>
      </c>
      <c r="AA9905">
        <v>1</v>
      </c>
      <c r="AB9905">
        <v>0</v>
      </c>
      <c r="AC9905">
        <v>0</v>
      </c>
      <c r="AD9905">
        <v>1</v>
      </c>
      <c r="AE9905">
        <v>1</v>
      </c>
      <c r="AF9905">
        <v>1</v>
      </c>
      <c r="AG9905">
        <v>1</v>
      </c>
      <c r="AH9905">
        <v>1</v>
      </c>
      <c r="AI9905">
        <v>1</v>
      </c>
      <c r="AJ9905">
        <v>1</v>
      </c>
      <c r="AK9905">
        <v>1</v>
      </c>
      <c r="AL9905">
        <v>1</v>
      </c>
      <c r="AM9905">
        <v>1</v>
      </c>
    </row>
    <row r="9906" spans="1:39" x14ac:dyDescent="0.2">
      <c r="A9906" t="str">
        <f>"9902"</f>
        <v>9902</v>
      </c>
      <c r="B9906" t="str">
        <f t="shared" si="548"/>
        <v>1</v>
      </c>
      <c r="C9906" t="str">
        <f t="shared" si="551"/>
        <v>199</v>
      </c>
      <c r="D9906" t="str">
        <f>"40"</f>
        <v>40</v>
      </c>
      <c r="E9906" t="str">
        <f>"1-199-40"</f>
        <v>1-199-40</v>
      </c>
      <c r="F9906" t="s">
        <v>65</v>
      </c>
      <c r="G9906" t="s">
        <v>66</v>
      </c>
      <c r="H9906" t="s">
        <v>67</v>
      </c>
      <c r="S9906">
        <v>1</v>
      </c>
      <c r="T9906">
        <v>0</v>
      </c>
      <c r="U9906">
        <v>0</v>
      </c>
      <c r="V9906">
        <v>0</v>
      </c>
      <c r="W9906">
        <v>1</v>
      </c>
      <c r="X9906">
        <v>0</v>
      </c>
      <c r="Y9906">
        <v>1</v>
      </c>
      <c r="Z9906">
        <v>0</v>
      </c>
      <c r="AA9906">
        <v>1</v>
      </c>
      <c r="AB9906">
        <v>0</v>
      </c>
      <c r="AC9906">
        <v>0</v>
      </c>
      <c r="AD9906">
        <v>1</v>
      </c>
      <c r="AE9906">
        <v>1</v>
      </c>
      <c r="AF9906">
        <v>1</v>
      </c>
      <c r="AG9906">
        <v>1</v>
      </c>
      <c r="AH9906">
        <v>1</v>
      </c>
      <c r="AI9906">
        <v>1</v>
      </c>
      <c r="AJ9906">
        <v>1</v>
      </c>
      <c r="AK9906">
        <v>1</v>
      </c>
      <c r="AL9906">
        <v>1</v>
      </c>
      <c r="AM9906">
        <v>1</v>
      </c>
    </row>
    <row r="9907" spans="1:39" x14ac:dyDescent="0.2">
      <c r="A9907" t="str">
        <f>"9903"</f>
        <v>9903</v>
      </c>
      <c r="B9907" t="str">
        <f t="shared" si="548"/>
        <v>1</v>
      </c>
      <c r="C9907" t="str">
        <f t="shared" si="551"/>
        <v>199</v>
      </c>
      <c r="D9907" t="str">
        <f>"34"</f>
        <v>34</v>
      </c>
      <c r="E9907" t="str">
        <f>"1-199-34"</f>
        <v>1-199-34</v>
      </c>
      <c r="F9907" t="s">
        <v>65</v>
      </c>
      <c r="G9907" t="s">
        <v>66</v>
      </c>
      <c r="H9907" t="s">
        <v>67</v>
      </c>
      <c r="S9907">
        <v>1</v>
      </c>
      <c r="T9907">
        <v>0</v>
      </c>
      <c r="U9907">
        <v>0</v>
      </c>
      <c r="V9907">
        <v>0</v>
      </c>
      <c r="W9907">
        <v>1</v>
      </c>
      <c r="X9907">
        <v>0</v>
      </c>
      <c r="Y9907">
        <v>1</v>
      </c>
      <c r="Z9907">
        <v>0</v>
      </c>
      <c r="AA9907">
        <v>1</v>
      </c>
      <c r="AB9907">
        <v>0</v>
      </c>
      <c r="AC9907">
        <v>0</v>
      </c>
      <c r="AD9907">
        <v>1</v>
      </c>
      <c r="AE9907">
        <v>1</v>
      </c>
      <c r="AF9907">
        <v>1</v>
      </c>
      <c r="AG9907">
        <v>1</v>
      </c>
      <c r="AH9907">
        <v>1</v>
      </c>
      <c r="AI9907">
        <v>1</v>
      </c>
      <c r="AJ9907">
        <v>1</v>
      </c>
      <c r="AK9907">
        <v>1</v>
      </c>
      <c r="AL9907">
        <v>1</v>
      </c>
      <c r="AM9907">
        <v>1</v>
      </c>
    </row>
    <row r="9908" spans="1:39" x14ac:dyDescent="0.2">
      <c r="A9908" t="str">
        <f>"9904"</f>
        <v>9904</v>
      </c>
      <c r="B9908" t="str">
        <f t="shared" si="548"/>
        <v>1</v>
      </c>
      <c r="C9908" t="str">
        <f t="shared" si="551"/>
        <v>199</v>
      </c>
      <c r="D9908" t="str">
        <f>"33"</f>
        <v>33</v>
      </c>
      <c r="E9908" t="str">
        <f>"1-199-33"</f>
        <v>1-199-33</v>
      </c>
      <c r="F9908" t="s">
        <v>65</v>
      </c>
      <c r="G9908" t="s">
        <v>66</v>
      </c>
      <c r="H9908" t="s">
        <v>67</v>
      </c>
      <c r="S9908">
        <v>1</v>
      </c>
      <c r="T9908">
        <v>0</v>
      </c>
      <c r="U9908">
        <v>0</v>
      </c>
      <c r="V9908">
        <v>0</v>
      </c>
      <c r="W9908">
        <v>1</v>
      </c>
      <c r="X9908">
        <v>0</v>
      </c>
      <c r="Y9908">
        <v>1</v>
      </c>
      <c r="Z9908">
        <v>0</v>
      </c>
      <c r="AA9908">
        <v>1</v>
      </c>
      <c r="AB9908">
        <v>0</v>
      </c>
      <c r="AC9908">
        <v>0</v>
      </c>
      <c r="AD9908">
        <v>1</v>
      </c>
      <c r="AE9908">
        <v>1</v>
      </c>
      <c r="AF9908">
        <v>1</v>
      </c>
      <c r="AG9908">
        <v>1</v>
      </c>
      <c r="AH9908">
        <v>1</v>
      </c>
      <c r="AI9908">
        <v>1</v>
      </c>
      <c r="AJ9908">
        <v>1</v>
      </c>
      <c r="AK9908">
        <v>1</v>
      </c>
      <c r="AL9908">
        <v>1</v>
      </c>
      <c r="AM9908">
        <v>1</v>
      </c>
    </row>
    <row r="9909" spans="1:39" x14ac:dyDescent="0.2">
      <c r="A9909" t="str">
        <f>"9905"</f>
        <v>9905</v>
      </c>
      <c r="B9909" t="str">
        <f t="shared" si="548"/>
        <v>1</v>
      </c>
      <c r="C9909" t="str">
        <f t="shared" si="551"/>
        <v>199</v>
      </c>
      <c r="D9909" t="str">
        <f>"19"</f>
        <v>19</v>
      </c>
      <c r="E9909" t="str">
        <f>"1-199-19"</f>
        <v>1-199-19</v>
      </c>
      <c r="F9909" t="s">
        <v>65</v>
      </c>
      <c r="G9909" t="s">
        <v>66</v>
      </c>
      <c r="H9909" t="s">
        <v>67</v>
      </c>
      <c r="S9909">
        <v>0</v>
      </c>
      <c r="T9909">
        <v>1</v>
      </c>
      <c r="U9909">
        <v>0</v>
      </c>
      <c r="V9909">
        <v>0</v>
      </c>
      <c r="W9909">
        <v>0</v>
      </c>
      <c r="X9909">
        <v>1</v>
      </c>
      <c r="Y9909">
        <v>0</v>
      </c>
      <c r="Z9909">
        <v>1</v>
      </c>
      <c r="AA9909">
        <v>0</v>
      </c>
      <c r="AB9909">
        <v>0</v>
      </c>
      <c r="AC9909">
        <v>1</v>
      </c>
      <c r="AD9909">
        <v>1</v>
      </c>
      <c r="AE9909">
        <v>1</v>
      </c>
      <c r="AF9909">
        <v>1</v>
      </c>
      <c r="AG9909">
        <v>1</v>
      </c>
      <c r="AH9909">
        <v>1</v>
      </c>
      <c r="AI9909">
        <v>1</v>
      </c>
      <c r="AJ9909">
        <v>1</v>
      </c>
      <c r="AK9909">
        <v>1</v>
      </c>
      <c r="AL9909">
        <v>1</v>
      </c>
      <c r="AM9909">
        <v>1</v>
      </c>
    </row>
    <row r="9910" spans="1:39" x14ac:dyDescent="0.2">
      <c r="A9910" t="str">
        <f>"9906"</f>
        <v>9906</v>
      </c>
      <c r="B9910" t="str">
        <f t="shared" si="548"/>
        <v>1</v>
      </c>
      <c r="C9910" t="str">
        <f t="shared" si="551"/>
        <v>199</v>
      </c>
      <c r="D9910" t="str">
        <f>"18"</f>
        <v>18</v>
      </c>
      <c r="E9910" t="str">
        <f>"1-199-18"</f>
        <v>1-199-18</v>
      </c>
      <c r="F9910" t="s">
        <v>65</v>
      </c>
      <c r="G9910" t="s">
        <v>66</v>
      </c>
      <c r="H9910" t="s">
        <v>67</v>
      </c>
      <c r="S9910">
        <v>1</v>
      </c>
      <c r="T9910">
        <v>0</v>
      </c>
      <c r="U9910">
        <v>0</v>
      </c>
      <c r="V9910">
        <v>0</v>
      </c>
      <c r="W9910">
        <v>1</v>
      </c>
      <c r="X9910">
        <v>0</v>
      </c>
      <c r="Y9910">
        <v>0</v>
      </c>
      <c r="Z9910">
        <v>1</v>
      </c>
      <c r="AA9910">
        <v>1</v>
      </c>
      <c r="AB9910">
        <v>0</v>
      </c>
      <c r="AC9910">
        <v>0</v>
      </c>
      <c r="AD9910">
        <v>1</v>
      </c>
      <c r="AE9910">
        <v>1</v>
      </c>
      <c r="AF9910">
        <v>1</v>
      </c>
      <c r="AG9910">
        <v>1</v>
      </c>
      <c r="AH9910">
        <v>1</v>
      </c>
      <c r="AI9910">
        <v>1</v>
      </c>
      <c r="AJ9910">
        <v>1</v>
      </c>
      <c r="AK9910">
        <v>1</v>
      </c>
      <c r="AL9910">
        <v>1</v>
      </c>
      <c r="AM9910">
        <v>1</v>
      </c>
    </row>
    <row r="9911" spans="1:39" x14ac:dyDescent="0.2">
      <c r="A9911" t="str">
        <f>"9907"</f>
        <v>9907</v>
      </c>
      <c r="B9911" t="str">
        <f t="shared" ref="B9911:B9974" si="552">"1"</f>
        <v>1</v>
      </c>
      <c r="C9911" t="str">
        <f t="shared" si="551"/>
        <v>199</v>
      </c>
      <c r="D9911" t="str">
        <f>"16"</f>
        <v>16</v>
      </c>
      <c r="E9911" t="str">
        <f>"1-199-16"</f>
        <v>1-199-16</v>
      </c>
      <c r="F9911" t="s">
        <v>65</v>
      </c>
      <c r="G9911" t="s">
        <v>66</v>
      </c>
      <c r="H9911" t="s">
        <v>67</v>
      </c>
      <c r="S9911">
        <v>1</v>
      </c>
      <c r="T9911">
        <v>0</v>
      </c>
      <c r="U9911">
        <v>0</v>
      </c>
      <c r="V9911">
        <v>0</v>
      </c>
      <c r="W9911">
        <v>1</v>
      </c>
      <c r="X9911">
        <v>0</v>
      </c>
      <c r="Y9911">
        <v>0</v>
      </c>
      <c r="Z9911">
        <v>1</v>
      </c>
      <c r="AA9911">
        <v>1</v>
      </c>
      <c r="AB9911">
        <v>0</v>
      </c>
      <c r="AC9911">
        <v>0</v>
      </c>
      <c r="AD9911">
        <v>1</v>
      </c>
      <c r="AE9911">
        <v>1</v>
      </c>
      <c r="AF9911">
        <v>1</v>
      </c>
      <c r="AG9911">
        <v>1</v>
      </c>
      <c r="AH9911">
        <v>1</v>
      </c>
      <c r="AI9911">
        <v>1</v>
      </c>
      <c r="AJ9911">
        <v>1</v>
      </c>
      <c r="AK9911">
        <v>1</v>
      </c>
      <c r="AL9911">
        <v>1</v>
      </c>
      <c r="AM9911">
        <v>1</v>
      </c>
    </row>
    <row r="9912" spans="1:39" x14ac:dyDescent="0.2">
      <c r="A9912" t="str">
        <f>"9908"</f>
        <v>9908</v>
      </c>
      <c r="B9912" t="str">
        <f t="shared" si="552"/>
        <v>1</v>
      </c>
      <c r="C9912" t="str">
        <f t="shared" si="551"/>
        <v>199</v>
      </c>
      <c r="D9912" t="str">
        <f>"15"</f>
        <v>15</v>
      </c>
      <c r="E9912" t="str">
        <f>"1-199-15"</f>
        <v>1-199-15</v>
      </c>
      <c r="F9912" t="s">
        <v>65</v>
      </c>
      <c r="G9912" t="s">
        <v>66</v>
      </c>
      <c r="H9912" t="s">
        <v>67</v>
      </c>
      <c r="S9912">
        <v>1</v>
      </c>
      <c r="T9912">
        <v>0</v>
      </c>
      <c r="U9912">
        <v>0</v>
      </c>
      <c r="V9912">
        <v>0</v>
      </c>
      <c r="W9912">
        <v>1</v>
      </c>
      <c r="X9912">
        <v>0</v>
      </c>
      <c r="Y9912">
        <v>1</v>
      </c>
      <c r="Z9912">
        <v>0</v>
      </c>
      <c r="AA9912">
        <v>1</v>
      </c>
      <c r="AB9912">
        <v>0</v>
      </c>
      <c r="AC9912">
        <v>0</v>
      </c>
      <c r="AD9912">
        <v>1</v>
      </c>
      <c r="AE9912">
        <v>1</v>
      </c>
      <c r="AF9912">
        <v>1</v>
      </c>
      <c r="AG9912">
        <v>1</v>
      </c>
      <c r="AH9912">
        <v>1</v>
      </c>
      <c r="AI9912">
        <v>1</v>
      </c>
      <c r="AJ9912">
        <v>1</v>
      </c>
      <c r="AK9912">
        <v>1</v>
      </c>
      <c r="AL9912">
        <v>1</v>
      </c>
      <c r="AM9912">
        <v>1</v>
      </c>
    </row>
    <row r="9913" spans="1:39" x14ac:dyDescent="0.2">
      <c r="A9913" t="str">
        <f>"9909"</f>
        <v>9909</v>
      </c>
      <c r="B9913" t="str">
        <f t="shared" si="552"/>
        <v>1</v>
      </c>
      <c r="C9913" t="str">
        <f t="shared" si="551"/>
        <v>199</v>
      </c>
      <c r="D9913" t="str">
        <f>"1"</f>
        <v>1</v>
      </c>
      <c r="E9913" t="str">
        <f>"1-199-1"</f>
        <v>1-199-1</v>
      </c>
      <c r="F9913" t="s">
        <v>65</v>
      </c>
      <c r="G9913" t="s">
        <v>66</v>
      </c>
      <c r="H9913" t="s">
        <v>67</v>
      </c>
      <c r="S9913">
        <v>1</v>
      </c>
      <c r="T9913">
        <v>0</v>
      </c>
      <c r="U9913">
        <v>0</v>
      </c>
      <c r="V9913">
        <v>0</v>
      </c>
      <c r="W9913">
        <v>1</v>
      </c>
      <c r="X9913">
        <v>0</v>
      </c>
      <c r="Y9913">
        <v>0</v>
      </c>
      <c r="Z9913">
        <v>1</v>
      </c>
      <c r="AA9913">
        <v>1</v>
      </c>
      <c r="AB9913">
        <v>0</v>
      </c>
      <c r="AC9913">
        <v>0</v>
      </c>
      <c r="AD9913">
        <v>1</v>
      </c>
      <c r="AE9913">
        <v>1</v>
      </c>
      <c r="AF9913">
        <v>1</v>
      </c>
      <c r="AG9913">
        <v>1</v>
      </c>
      <c r="AH9913">
        <v>1</v>
      </c>
      <c r="AI9913">
        <v>1</v>
      </c>
      <c r="AJ9913">
        <v>1</v>
      </c>
      <c r="AK9913">
        <v>1</v>
      </c>
      <c r="AL9913">
        <v>1</v>
      </c>
      <c r="AM9913">
        <v>1</v>
      </c>
    </row>
    <row r="9914" spans="1:39" x14ac:dyDescent="0.2">
      <c r="A9914" t="str">
        <f>"9910"</f>
        <v>9910</v>
      </c>
      <c r="B9914" t="str">
        <f t="shared" si="552"/>
        <v>1</v>
      </c>
      <c r="C9914" t="str">
        <f t="shared" si="551"/>
        <v>199</v>
      </c>
      <c r="D9914" t="str">
        <f>"39"</f>
        <v>39</v>
      </c>
      <c r="E9914" t="str">
        <f>"1-199-39"</f>
        <v>1-199-39</v>
      </c>
      <c r="F9914" t="s">
        <v>65</v>
      </c>
      <c r="G9914" t="s">
        <v>66</v>
      </c>
      <c r="H9914" t="s">
        <v>67</v>
      </c>
      <c r="S9914">
        <v>1</v>
      </c>
      <c r="T9914">
        <v>0</v>
      </c>
      <c r="U9914">
        <v>0</v>
      </c>
      <c r="V9914">
        <v>0</v>
      </c>
      <c r="W9914">
        <v>1</v>
      </c>
      <c r="X9914">
        <v>0</v>
      </c>
      <c r="Y9914">
        <v>1</v>
      </c>
      <c r="Z9914">
        <v>0</v>
      </c>
      <c r="AA9914">
        <v>1</v>
      </c>
      <c r="AB9914">
        <v>0</v>
      </c>
      <c r="AC9914">
        <v>0</v>
      </c>
      <c r="AD9914">
        <v>1</v>
      </c>
      <c r="AE9914">
        <v>1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1</v>
      </c>
      <c r="AM9914">
        <v>0</v>
      </c>
    </row>
    <row r="9915" spans="1:39" x14ac:dyDescent="0.2">
      <c r="A9915" t="str">
        <f>"9911"</f>
        <v>9911</v>
      </c>
      <c r="B9915" t="str">
        <f t="shared" si="552"/>
        <v>1</v>
      </c>
      <c r="C9915" t="str">
        <f t="shared" si="551"/>
        <v>199</v>
      </c>
      <c r="D9915" t="str">
        <f>"38"</f>
        <v>38</v>
      </c>
      <c r="E9915" t="str">
        <f>"1-199-38"</f>
        <v>1-199-38</v>
      </c>
      <c r="F9915" t="s">
        <v>65</v>
      </c>
      <c r="G9915" t="s">
        <v>66</v>
      </c>
      <c r="H9915" t="s">
        <v>67</v>
      </c>
      <c r="S9915">
        <v>1</v>
      </c>
      <c r="T9915">
        <v>0</v>
      </c>
      <c r="U9915">
        <v>0</v>
      </c>
      <c r="V9915">
        <v>0</v>
      </c>
      <c r="W9915">
        <v>1</v>
      </c>
      <c r="X9915">
        <v>0</v>
      </c>
      <c r="Y9915">
        <v>1</v>
      </c>
      <c r="Z9915">
        <v>0</v>
      </c>
      <c r="AA9915">
        <v>1</v>
      </c>
      <c r="AB9915">
        <v>0</v>
      </c>
      <c r="AC9915">
        <v>0</v>
      </c>
      <c r="AD9915">
        <v>1</v>
      </c>
      <c r="AE9915">
        <v>1</v>
      </c>
      <c r="AF9915">
        <v>1</v>
      </c>
      <c r="AG9915">
        <v>1</v>
      </c>
      <c r="AH9915">
        <v>1</v>
      </c>
      <c r="AI9915">
        <v>1</v>
      </c>
      <c r="AJ9915">
        <v>1</v>
      </c>
      <c r="AK9915">
        <v>0</v>
      </c>
      <c r="AL9915">
        <v>1</v>
      </c>
      <c r="AM9915">
        <v>1</v>
      </c>
    </row>
    <row r="9916" spans="1:39" x14ac:dyDescent="0.2">
      <c r="A9916" t="str">
        <f>"9912"</f>
        <v>9912</v>
      </c>
      <c r="B9916" t="str">
        <f t="shared" si="552"/>
        <v>1</v>
      </c>
      <c r="C9916" t="str">
        <f t="shared" si="551"/>
        <v>199</v>
      </c>
      <c r="D9916" t="str">
        <f>"22"</f>
        <v>22</v>
      </c>
      <c r="E9916" t="str">
        <f>"1-199-22"</f>
        <v>1-199-22</v>
      </c>
      <c r="F9916" t="s">
        <v>65</v>
      </c>
      <c r="G9916" t="s">
        <v>66</v>
      </c>
      <c r="H9916" t="s">
        <v>67</v>
      </c>
      <c r="S9916">
        <v>1</v>
      </c>
      <c r="T9916">
        <v>0</v>
      </c>
      <c r="U9916">
        <v>0</v>
      </c>
      <c r="V9916">
        <v>0</v>
      </c>
      <c r="W9916">
        <v>0</v>
      </c>
      <c r="X9916">
        <v>1</v>
      </c>
      <c r="Y9916">
        <v>1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1</v>
      </c>
      <c r="AH9916">
        <v>1</v>
      </c>
      <c r="AI9916">
        <v>0</v>
      </c>
      <c r="AJ9916">
        <v>0</v>
      </c>
      <c r="AK9916">
        <v>0</v>
      </c>
      <c r="AL9916">
        <v>1</v>
      </c>
      <c r="AM9916">
        <v>0</v>
      </c>
    </row>
    <row r="9917" spans="1:39" x14ac:dyDescent="0.2">
      <c r="A9917" t="str">
        <f>"9913"</f>
        <v>9913</v>
      </c>
      <c r="B9917" t="str">
        <f t="shared" si="552"/>
        <v>1</v>
      </c>
      <c r="C9917" t="str">
        <f t="shared" si="551"/>
        <v>199</v>
      </c>
      <c r="D9917" t="str">
        <f>"17"</f>
        <v>17</v>
      </c>
      <c r="E9917" t="str">
        <f>"1-199-17"</f>
        <v>1-199-17</v>
      </c>
      <c r="F9917" t="s">
        <v>65</v>
      </c>
      <c r="G9917" t="s">
        <v>66</v>
      </c>
      <c r="H9917" t="s">
        <v>67</v>
      </c>
      <c r="S9917">
        <v>1</v>
      </c>
      <c r="T9917">
        <v>0</v>
      </c>
      <c r="U9917">
        <v>0</v>
      </c>
      <c r="V9917">
        <v>0</v>
      </c>
      <c r="W9917">
        <v>1</v>
      </c>
      <c r="X9917">
        <v>0</v>
      </c>
      <c r="Y9917">
        <v>1</v>
      </c>
      <c r="Z9917">
        <v>0</v>
      </c>
      <c r="AA9917">
        <v>1</v>
      </c>
      <c r="AB9917">
        <v>0</v>
      </c>
      <c r="AC9917">
        <v>0</v>
      </c>
      <c r="AD9917">
        <v>1</v>
      </c>
      <c r="AE9917">
        <v>1</v>
      </c>
      <c r="AF9917">
        <v>1</v>
      </c>
      <c r="AG9917">
        <v>1</v>
      </c>
      <c r="AH9917">
        <v>1</v>
      </c>
      <c r="AI9917">
        <v>1</v>
      </c>
      <c r="AJ9917">
        <v>1</v>
      </c>
      <c r="AK9917">
        <v>1</v>
      </c>
      <c r="AL9917">
        <v>1</v>
      </c>
      <c r="AM9917">
        <v>1</v>
      </c>
    </row>
    <row r="9918" spans="1:39" x14ac:dyDescent="0.2">
      <c r="A9918" t="str">
        <f>"9914"</f>
        <v>9914</v>
      </c>
      <c r="B9918" t="str">
        <f t="shared" si="552"/>
        <v>1</v>
      </c>
      <c r="C9918" t="str">
        <f t="shared" si="551"/>
        <v>199</v>
      </c>
      <c r="D9918" t="str">
        <f>"6"</f>
        <v>6</v>
      </c>
      <c r="E9918" t="str">
        <f>"1-199-6"</f>
        <v>1-199-6</v>
      </c>
      <c r="F9918" t="s">
        <v>65</v>
      </c>
      <c r="G9918" t="s">
        <v>66</v>
      </c>
      <c r="H9918" t="s">
        <v>67</v>
      </c>
      <c r="S9918">
        <v>1</v>
      </c>
      <c r="T9918">
        <v>0</v>
      </c>
      <c r="U9918">
        <v>0</v>
      </c>
      <c r="V9918">
        <v>0</v>
      </c>
      <c r="W9918">
        <v>0</v>
      </c>
      <c r="X9918">
        <v>1</v>
      </c>
      <c r="Y9918">
        <v>0</v>
      </c>
      <c r="Z9918">
        <v>1</v>
      </c>
      <c r="AA9918">
        <v>1</v>
      </c>
      <c r="AB9918">
        <v>0</v>
      </c>
      <c r="AC9918">
        <v>0</v>
      </c>
      <c r="AD9918">
        <v>1</v>
      </c>
      <c r="AE9918">
        <v>1</v>
      </c>
      <c r="AF9918">
        <v>1</v>
      </c>
      <c r="AG9918">
        <v>1</v>
      </c>
      <c r="AH9918">
        <v>1</v>
      </c>
      <c r="AI9918">
        <v>1</v>
      </c>
      <c r="AJ9918">
        <v>1</v>
      </c>
      <c r="AK9918">
        <v>1</v>
      </c>
      <c r="AL9918">
        <v>1</v>
      </c>
      <c r="AM9918">
        <v>1</v>
      </c>
    </row>
    <row r="9919" spans="1:39" x14ac:dyDescent="0.2">
      <c r="A9919" t="str">
        <f>"9915"</f>
        <v>9915</v>
      </c>
      <c r="B9919" t="str">
        <f t="shared" si="552"/>
        <v>1</v>
      </c>
      <c r="C9919" t="str">
        <f t="shared" si="551"/>
        <v>199</v>
      </c>
      <c r="D9919" t="str">
        <f>"35"</f>
        <v>35</v>
      </c>
      <c r="E9919" t="str">
        <f>"1-199-35"</f>
        <v>1-199-35</v>
      </c>
      <c r="F9919" t="s">
        <v>65</v>
      </c>
      <c r="G9919" t="s">
        <v>66</v>
      </c>
      <c r="H9919" t="s">
        <v>67</v>
      </c>
      <c r="S9919">
        <v>1</v>
      </c>
      <c r="T9919">
        <v>0</v>
      </c>
      <c r="U9919">
        <v>0</v>
      </c>
      <c r="V9919">
        <v>0</v>
      </c>
      <c r="W9919">
        <v>1</v>
      </c>
      <c r="X9919">
        <v>0</v>
      </c>
      <c r="Y9919">
        <v>1</v>
      </c>
      <c r="Z9919">
        <v>0</v>
      </c>
      <c r="AA9919">
        <v>0</v>
      </c>
      <c r="AB9919">
        <v>0</v>
      </c>
      <c r="AC9919">
        <v>1</v>
      </c>
      <c r="AD9919">
        <v>1</v>
      </c>
      <c r="AE9919">
        <v>1</v>
      </c>
      <c r="AF9919">
        <v>1</v>
      </c>
      <c r="AG9919">
        <v>1</v>
      </c>
      <c r="AH9919">
        <v>1</v>
      </c>
      <c r="AI9919">
        <v>1</v>
      </c>
      <c r="AJ9919">
        <v>1</v>
      </c>
      <c r="AK9919">
        <v>1</v>
      </c>
      <c r="AL9919">
        <v>1</v>
      </c>
      <c r="AM9919">
        <v>1</v>
      </c>
    </row>
    <row r="9920" spans="1:39" x14ac:dyDescent="0.2">
      <c r="A9920" t="str">
        <f>"9916"</f>
        <v>9916</v>
      </c>
      <c r="B9920" t="str">
        <f t="shared" si="552"/>
        <v>1</v>
      </c>
      <c r="C9920" t="str">
        <f t="shared" si="551"/>
        <v>199</v>
      </c>
      <c r="D9920" t="str">
        <f>"20"</f>
        <v>20</v>
      </c>
      <c r="E9920" t="str">
        <f>"1-199-20"</f>
        <v>1-199-20</v>
      </c>
      <c r="F9920" t="s">
        <v>65</v>
      </c>
      <c r="G9920" t="s">
        <v>66</v>
      </c>
      <c r="H9920" t="s">
        <v>67</v>
      </c>
      <c r="S9920">
        <v>1</v>
      </c>
      <c r="T9920">
        <v>0</v>
      </c>
      <c r="U9920">
        <v>0</v>
      </c>
      <c r="V9920">
        <v>0</v>
      </c>
      <c r="W9920">
        <v>1</v>
      </c>
      <c r="X9920">
        <v>0</v>
      </c>
      <c r="Y9920">
        <v>1</v>
      </c>
      <c r="Z9920">
        <v>0</v>
      </c>
      <c r="AA9920">
        <v>1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</row>
    <row r="9921" spans="1:39" x14ac:dyDescent="0.2">
      <c r="A9921" t="str">
        <f>"9917"</f>
        <v>9917</v>
      </c>
      <c r="B9921" t="str">
        <f t="shared" si="552"/>
        <v>1</v>
      </c>
      <c r="C9921" t="str">
        <f t="shared" si="551"/>
        <v>199</v>
      </c>
      <c r="D9921" t="str">
        <f>"3"</f>
        <v>3</v>
      </c>
      <c r="E9921" t="str">
        <f>"1-199-3"</f>
        <v>1-199-3</v>
      </c>
      <c r="F9921" t="s">
        <v>65</v>
      </c>
      <c r="G9921" t="s">
        <v>66</v>
      </c>
      <c r="H9921" t="s">
        <v>67</v>
      </c>
      <c r="S9921">
        <v>1</v>
      </c>
      <c r="T9921">
        <v>0</v>
      </c>
      <c r="U9921">
        <v>0</v>
      </c>
      <c r="V9921">
        <v>0</v>
      </c>
      <c r="W9921">
        <v>0</v>
      </c>
      <c r="X9921">
        <v>1</v>
      </c>
      <c r="Y9921">
        <v>1</v>
      </c>
      <c r="Z9921">
        <v>0</v>
      </c>
      <c r="AA9921">
        <v>0</v>
      </c>
      <c r="AB9921">
        <v>1</v>
      </c>
      <c r="AC9921">
        <v>0</v>
      </c>
      <c r="AD9921">
        <v>1</v>
      </c>
      <c r="AE9921">
        <v>1</v>
      </c>
      <c r="AF9921">
        <v>1</v>
      </c>
      <c r="AG9921">
        <v>1</v>
      </c>
      <c r="AH9921">
        <v>1</v>
      </c>
      <c r="AI9921">
        <v>1</v>
      </c>
      <c r="AJ9921">
        <v>1</v>
      </c>
      <c r="AK9921">
        <v>1</v>
      </c>
      <c r="AL9921">
        <v>0</v>
      </c>
      <c r="AM9921">
        <v>1</v>
      </c>
    </row>
    <row r="9922" spans="1:39" x14ac:dyDescent="0.2">
      <c r="A9922" t="str">
        <f>"9918"</f>
        <v>9918</v>
      </c>
      <c r="B9922" t="str">
        <f t="shared" si="552"/>
        <v>1</v>
      </c>
      <c r="C9922" t="str">
        <f t="shared" si="551"/>
        <v>199</v>
      </c>
      <c r="D9922" t="str">
        <f>"36"</f>
        <v>36</v>
      </c>
      <c r="E9922" t="str">
        <f>"1-199-36"</f>
        <v>1-199-36</v>
      </c>
      <c r="F9922" t="s">
        <v>65</v>
      </c>
      <c r="G9922" t="s">
        <v>66</v>
      </c>
      <c r="H9922" t="s">
        <v>67</v>
      </c>
      <c r="S9922">
        <v>1</v>
      </c>
      <c r="T9922">
        <v>0</v>
      </c>
      <c r="U9922">
        <v>0</v>
      </c>
      <c r="V9922">
        <v>0</v>
      </c>
      <c r="W9922">
        <v>1</v>
      </c>
      <c r="X9922">
        <v>0</v>
      </c>
      <c r="Y9922">
        <v>1</v>
      </c>
      <c r="Z9922">
        <v>0</v>
      </c>
      <c r="AA9922">
        <v>1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1</v>
      </c>
      <c r="AK9922">
        <v>1</v>
      </c>
      <c r="AL9922">
        <v>0</v>
      </c>
      <c r="AM9922">
        <v>1</v>
      </c>
    </row>
    <row r="9923" spans="1:39" x14ac:dyDescent="0.2">
      <c r="A9923" t="str">
        <f>"9919"</f>
        <v>9919</v>
      </c>
      <c r="B9923" t="str">
        <f t="shared" si="552"/>
        <v>1</v>
      </c>
      <c r="C9923" t="str">
        <f t="shared" si="551"/>
        <v>199</v>
      </c>
      <c r="D9923" t="str">
        <f>"21"</f>
        <v>21</v>
      </c>
      <c r="E9923" t="str">
        <f>"1-199-21"</f>
        <v>1-199-21</v>
      </c>
      <c r="F9923" t="s">
        <v>65</v>
      </c>
      <c r="G9923" t="s">
        <v>66</v>
      </c>
      <c r="H9923" t="s">
        <v>67</v>
      </c>
      <c r="S9923">
        <v>1</v>
      </c>
      <c r="T9923">
        <v>0</v>
      </c>
      <c r="U9923">
        <v>0</v>
      </c>
      <c r="V9923">
        <v>0</v>
      </c>
      <c r="W9923">
        <v>0</v>
      </c>
      <c r="X9923">
        <v>1</v>
      </c>
      <c r="Y9923">
        <v>1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1</v>
      </c>
      <c r="AH9923">
        <v>1</v>
      </c>
      <c r="AI9923">
        <v>1</v>
      </c>
      <c r="AJ9923">
        <v>0</v>
      </c>
      <c r="AK9923">
        <v>0</v>
      </c>
      <c r="AL9923">
        <v>1</v>
      </c>
      <c r="AM9923">
        <v>0</v>
      </c>
    </row>
    <row r="9924" spans="1:39" x14ac:dyDescent="0.2">
      <c r="A9924" t="str">
        <f>"9920"</f>
        <v>9920</v>
      </c>
      <c r="B9924" t="str">
        <f t="shared" si="552"/>
        <v>1</v>
      </c>
      <c r="C9924" t="str">
        <f t="shared" si="551"/>
        <v>199</v>
      </c>
      <c r="D9924" t="str">
        <f>"13"</f>
        <v>13</v>
      </c>
      <c r="E9924" t="str">
        <f>"1-199-13"</f>
        <v>1-199-13</v>
      </c>
      <c r="F9924" t="s">
        <v>65</v>
      </c>
      <c r="G9924" t="s">
        <v>66</v>
      </c>
      <c r="H9924" t="s">
        <v>67</v>
      </c>
      <c r="S9924">
        <v>1</v>
      </c>
      <c r="T9924">
        <v>0</v>
      </c>
      <c r="U9924">
        <v>0</v>
      </c>
      <c r="V9924">
        <v>0</v>
      </c>
      <c r="W9924">
        <v>1</v>
      </c>
      <c r="X9924">
        <v>0</v>
      </c>
      <c r="Y9924">
        <v>0</v>
      </c>
      <c r="Z9924">
        <v>1</v>
      </c>
      <c r="AA9924">
        <v>0</v>
      </c>
      <c r="AB9924">
        <v>1</v>
      </c>
      <c r="AC9924">
        <v>0</v>
      </c>
      <c r="AD9924">
        <v>1</v>
      </c>
      <c r="AE9924">
        <v>1</v>
      </c>
      <c r="AF9924">
        <v>1</v>
      </c>
      <c r="AG9924">
        <v>1</v>
      </c>
      <c r="AH9924">
        <v>1</v>
      </c>
      <c r="AI9924">
        <v>1</v>
      </c>
      <c r="AJ9924">
        <v>1</v>
      </c>
      <c r="AK9924">
        <v>1</v>
      </c>
      <c r="AL9924">
        <v>1</v>
      </c>
      <c r="AM9924">
        <v>1</v>
      </c>
    </row>
    <row r="9925" spans="1:39" x14ac:dyDescent="0.2">
      <c r="A9925" t="str">
        <f>"9921"</f>
        <v>9921</v>
      </c>
      <c r="B9925" t="str">
        <f t="shared" si="552"/>
        <v>1</v>
      </c>
      <c r="C9925" t="str">
        <f t="shared" si="551"/>
        <v>199</v>
      </c>
      <c r="D9925" t="str">
        <f>"42"</f>
        <v>42</v>
      </c>
      <c r="E9925" t="str">
        <f>"1-199-42"</f>
        <v>1-199-42</v>
      </c>
      <c r="F9925" t="s">
        <v>65</v>
      </c>
      <c r="G9925" t="s">
        <v>66</v>
      </c>
      <c r="H9925" t="s">
        <v>67</v>
      </c>
      <c r="S9925">
        <v>1</v>
      </c>
      <c r="T9925">
        <v>0</v>
      </c>
      <c r="U9925">
        <v>0</v>
      </c>
      <c r="V9925">
        <v>0</v>
      </c>
      <c r="W9925">
        <v>1</v>
      </c>
      <c r="X9925">
        <v>0</v>
      </c>
      <c r="Y9925">
        <v>1</v>
      </c>
      <c r="Z9925">
        <v>0</v>
      </c>
      <c r="AA9925">
        <v>1</v>
      </c>
      <c r="AB9925">
        <v>0</v>
      </c>
      <c r="AC9925">
        <v>0</v>
      </c>
      <c r="AD9925">
        <v>1</v>
      </c>
      <c r="AE9925">
        <v>1</v>
      </c>
      <c r="AF9925">
        <v>1</v>
      </c>
      <c r="AG9925">
        <v>1</v>
      </c>
      <c r="AH9925">
        <v>1</v>
      </c>
      <c r="AI9925">
        <v>0</v>
      </c>
      <c r="AJ9925">
        <v>1</v>
      </c>
      <c r="AK9925">
        <v>1</v>
      </c>
      <c r="AL9925">
        <v>1</v>
      </c>
      <c r="AM9925">
        <v>1</v>
      </c>
    </row>
    <row r="9926" spans="1:39" x14ac:dyDescent="0.2">
      <c r="A9926" t="str">
        <f>"9922"</f>
        <v>9922</v>
      </c>
      <c r="B9926" t="str">
        <f t="shared" si="552"/>
        <v>1</v>
      </c>
      <c r="C9926" t="str">
        <f t="shared" si="551"/>
        <v>199</v>
      </c>
      <c r="D9926" t="str">
        <f>"23"</f>
        <v>23</v>
      </c>
      <c r="E9926" t="str">
        <f>"1-199-23"</f>
        <v>1-199-23</v>
      </c>
      <c r="F9926" t="s">
        <v>65</v>
      </c>
      <c r="G9926" t="s">
        <v>66</v>
      </c>
      <c r="H9926" t="s">
        <v>67</v>
      </c>
      <c r="S9926">
        <v>1</v>
      </c>
      <c r="T9926">
        <v>0</v>
      </c>
      <c r="U9926">
        <v>0</v>
      </c>
      <c r="V9926">
        <v>0</v>
      </c>
      <c r="W9926">
        <v>0</v>
      </c>
      <c r="X9926">
        <v>1</v>
      </c>
      <c r="Y9926">
        <v>1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</row>
    <row r="9927" spans="1:39" x14ac:dyDescent="0.2">
      <c r="A9927" t="str">
        <f>"9923"</f>
        <v>9923</v>
      </c>
      <c r="B9927" t="str">
        <f t="shared" si="552"/>
        <v>1</v>
      </c>
      <c r="C9927" t="str">
        <f t="shared" si="551"/>
        <v>199</v>
      </c>
      <c r="D9927" t="str">
        <f>"4"</f>
        <v>4</v>
      </c>
      <c r="E9927" t="str">
        <f>"1-199-4"</f>
        <v>1-199-4</v>
      </c>
      <c r="F9927" t="s">
        <v>65</v>
      </c>
      <c r="G9927" t="s">
        <v>66</v>
      </c>
      <c r="H9927" t="s">
        <v>67</v>
      </c>
      <c r="S9927">
        <v>1</v>
      </c>
      <c r="T9927">
        <v>0</v>
      </c>
      <c r="U9927">
        <v>0</v>
      </c>
      <c r="V9927">
        <v>0</v>
      </c>
      <c r="W9927">
        <v>1</v>
      </c>
      <c r="X9927">
        <v>0</v>
      </c>
      <c r="Y9927">
        <v>1</v>
      </c>
      <c r="Z9927">
        <v>0</v>
      </c>
      <c r="AA9927">
        <v>1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1</v>
      </c>
      <c r="AH9927">
        <v>0</v>
      </c>
      <c r="AI9927">
        <v>0</v>
      </c>
      <c r="AJ9927">
        <v>1</v>
      </c>
      <c r="AK9927">
        <v>0</v>
      </c>
      <c r="AL9927">
        <v>1</v>
      </c>
      <c r="AM9927">
        <v>1</v>
      </c>
    </row>
    <row r="9928" spans="1:39" x14ac:dyDescent="0.2">
      <c r="A9928" t="str">
        <f>"9924"</f>
        <v>9924</v>
      </c>
      <c r="B9928" t="str">
        <f t="shared" si="552"/>
        <v>1</v>
      </c>
      <c r="C9928" t="str">
        <f t="shared" si="551"/>
        <v>199</v>
      </c>
      <c r="D9928" t="str">
        <f>"47"</f>
        <v>47</v>
      </c>
      <c r="E9928" t="str">
        <f>"1-199-47"</f>
        <v>1-199-47</v>
      </c>
      <c r="F9928" t="s">
        <v>65</v>
      </c>
      <c r="G9928" t="s">
        <v>66</v>
      </c>
      <c r="H9928" t="s">
        <v>67</v>
      </c>
      <c r="S9928">
        <v>1</v>
      </c>
      <c r="T9928">
        <v>0</v>
      </c>
      <c r="U9928">
        <v>0</v>
      </c>
      <c r="V9928">
        <v>0</v>
      </c>
      <c r="W9928">
        <v>1</v>
      </c>
      <c r="X9928">
        <v>0</v>
      </c>
      <c r="Y9928">
        <v>0</v>
      </c>
      <c r="Z9928">
        <v>1</v>
      </c>
      <c r="AA9928">
        <v>1</v>
      </c>
      <c r="AB9928">
        <v>0</v>
      </c>
      <c r="AC9928">
        <v>0</v>
      </c>
      <c r="AD9928">
        <v>1</v>
      </c>
      <c r="AE9928">
        <v>1</v>
      </c>
      <c r="AF9928">
        <v>1</v>
      </c>
      <c r="AG9928">
        <v>1</v>
      </c>
      <c r="AH9928">
        <v>1</v>
      </c>
      <c r="AI9928">
        <v>1</v>
      </c>
      <c r="AJ9928">
        <v>1</v>
      </c>
      <c r="AK9928">
        <v>1</v>
      </c>
      <c r="AL9928">
        <v>1</v>
      </c>
      <c r="AM9928">
        <v>1</v>
      </c>
    </row>
    <row r="9929" spans="1:39" x14ac:dyDescent="0.2">
      <c r="A9929" t="str">
        <f>"9925"</f>
        <v>9925</v>
      </c>
      <c r="B9929" t="str">
        <f t="shared" si="552"/>
        <v>1</v>
      </c>
      <c r="C9929" t="str">
        <f t="shared" si="551"/>
        <v>199</v>
      </c>
      <c r="D9929" t="str">
        <f>"24"</f>
        <v>24</v>
      </c>
      <c r="E9929" t="str">
        <f>"1-199-24"</f>
        <v>1-199-24</v>
      </c>
      <c r="F9929" t="s">
        <v>65</v>
      </c>
      <c r="G9929" t="s">
        <v>66</v>
      </c>
      <c r="H9929" t="s">
        <v>67</v>
      </c>
      <c r="S9929">
        <v>1</v>
      </c>
      <c r="T9929">
        <v>0</v>
      </c>
      <c r="U9929">
        <v>0</v>
      </c>
      <c r="V9929">
        <v>0</v>
      </c>
      <c r="W9929">
        <v>1</v>
      </c>
      <c r="X9929">
        <v>0</v>
      </c>
      <c r="Y9929">
        <v>0</v>
      </c>
      <c r="Z9929">
        <v>1</v>
      </c>
      <c r="AA9929">
        <v>0</v>
      </c>
      <c r="AB9929">
        <v>1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</row>
    <row r="9930" spans="1:39" x14ac:dyDescent="0.2">
      <c r="A9930" t="str">
        <f>"9926"</f>
        <v>9926</v>
      </c>
      <c r="B9930" t="str">
        <f t="shared" si="552"/>
        <v>1</v>
      </c>
      <c r="C9930" t="str">
        <f t="shared" si="551"/>
        <v>199</v>
      </c>
      <c r="D9930" t="str">
        <f>"12"</f>
        <v>12</v>
      </c>
      <c r="E9930" t="str">
        <f>"1-199-12"</f>
        <v>1-199-12</v>
      </c>
      <c r="F9930" t="s">
        <v>65</v>
      </c>
      <c r="G9930" t="s">
        <v>66</v>
      </c>
      <c r="H9930" t="s">
        <v>67</v>
      </c>
      <c r="S9930">
        <v>1</v>
      </c>
      <c r="T9930">
        <v>0</v>
      </c>
      <c r="U9930">
        <v>0</v>
      </c>
      <c r="V9930">
        <v>0</v>
      </c>
      <c r="W9930">
        <v>1</v>
      </c>
      <c r="X9930">
        <v>0</v>
      </c>
      <c r="Y9930">
        <v>0</v>
      </c>
      <c r="Z9930">
        <v>1</v>
      </c>
      <c r="AA9930">
        <v>0</v>
      </c>
      <c r="AB9930">
        <v>1</v>
      </c>
      <c r="AC9930">
        <v>0</v>
      </c>
      <c r="AD9930">
        <v>1</v>
      </c>
      <c r="AE9930">
        <v>1</v>
      </c>
      <c r="AF9930">
        <v>1</v>
      </c>
      <c r="AG9930">
        <v>1</v>
      </c>
      <c r="AH9930">
        <v>1</v>
      </c>
      <c r="AI9930">
        <v>1</v>
      </c>
      <c r="AJ9930">
        <v>1</v>
      </c>
      <c r="AK9930">
        <v>1</v>
      </c>
      <c r="AL9930">
        <v>1</v>
      </c>
      <c r="AM9930">
        <v>1</v>
      </c>
    </row>
    <row r="9931" spans="1:39" x14ac:dyDescent="0.2">
      <c r="A9931" t="str">
        <f>"9927"</f>
        <v>9927</v>
      </c>
      <c r="B9931" t="str">
        <f t="shared" si="552"/>
        <v>1</v>
      </c>
      <c r="C9931" t="str">
        <f t="shared" si="551"/>
        <v>199</v>
      </c>
      <c r="D9931" t="str">
        <f>"43"</f>
        <v>43</v>
      </c>
      <c r="E9931" t="str">
        <f>"1-199-43"</f>
        <v>1-199-43</v>
      </c>
      <c r="F9931" t="s">
        <v>65</v>
      </c>
      <c r="G9931" t="s">
        <v>66</v>
      </c>
      <c r="H9931" t="s">
        <v>67</v>
      </c>
      <c r="S9931">
        <v>0</v>
      </c>
      <c r="T9931">
        <v>1</v>
      </c>
      <c r="U9931">
        <v>0</v>
      </c>
      <c r="V9931">
        <v>0</v>
      </c>
      <c r="W9931">
        <v>1</v>
      </c>
      <c r="X9931">
        <v>0</v>
      </c>
      <c r="Y9931">
        <v>1</v>
      </c>
      <c r="Z9931">
        <v>0</v>
      </c>
      <c r="AA9931">
        <v>0</v>
      </c>
      <c r="AB9931">
        <v>0</v>
      </c>
      <c r="AC9931">
        <v>1</v>
      </c>
      <c r="AD9931">
        <v>1</v>
      </c>
      <c r="AE9931">
        <v>1</v>
      </c>
      <c r="AF9931">
        <v>1</v>
      </c>
      <c r="AG9931">
        <v>1</v>
      </c>
      <c r="AH9931">
        <v>1</v>
      </c>
      <c r="AI9931">
        <v>1</v>
      </c>
      <c r="AJ9931">
        <v>1</v>
      </c>
      <c r="AK9931">
        <v>1</v>
      </c>
      <c r="AL9931">
        <v>0</v>
      </c>
      <c r="AM9931">
        <v>0</v>
      </c>
    </row>
    <row r="9932" spans="1:39" x14ac:dyDescent="0.2">
      <c r="A9932" t="str">
        <f>"9928"</f>
        <v>9928</v>
      </c>
      <c r="B9932" t="str">
        <f t="shared" si="552"/>
        <v>1</v>
      </c>
      <c r="C9932" t="str">
        <f t="shared" si="551"/>
        <v>199</v>
      </c>
      <c r="D9932" t="str">
        <f>"25"</f>
        <v>25</v>
      </c>
      <c r="E9932" t="str">
        <f>"1-199-25"</f>
        <v>1-199-25</v>
      </c>
      <c r="F9932" t="s">
        <v>65</v>
      </c>
      <c r="G9932" t="s">
        <v>66</v>
      </c>
      <c r="H9932" t="s">
        <v>67</v>
      </c>
      <c r="S9932">
        <v>0</v>
      </c>
      <c r="T9932">
        <v>1</v>
      </c>
      <c r="U9932">
        <v>0</v>
      </c>
      <c r="V9932">
        <v>0</v>
      </c>
      <c r="W9932">
        <v>1</v>
      </c>
      <c r="X9932">
        <v>0</v>
      </c>
      <c r="Y9932">
        <v>0</v>
      </c>
      <c r="Z9932">
        <v>1</v>
      </c>
      <c r="AA9932">
        <v>0</v>
      </c>
      <c r="AB9932">
        <v>0</v>
      </c>
      <c r="AC9932">
        <v>1</v>
      </c>
      <c r="AD9932">
        <v>1</v>
      </c>
      <c r="AE9932">
        <v>1</v>
      </c>
      <c r="AF9932">
        <v>1</v>
      </c>
      <c r="AG9932">
        <v>1</v>
      </c>
      <c r="AH9932">
        <v>1</v>
      </c>
      <c r="AI9932">
        <v>1</v>
      </c>
      <c r="AJ9932">
        <v>1</v>
      </c>
      <c r="AK9932">
        <v>1</v>
      </c>
      <c r="AL9932">
        <v>1</v>
      </c>
      <c r="AM9932">
        <v>1</v>
      </c>
    </row>
    <row r="9933" spans="1:39" x14ac:dyDescent="0.2">
      <c r="A9933" t="str">
        <f>"9929"</f>
        <v>9929</v>
      </c>
      <c r="B9933" t="str">
        <f t="shared" si="552"/>
        <v>1</v>
      </c>
      <c r="C9933" t="str">
        <f t="shared" si="551"/>
        <v>199</v>
      </c>
      <c r="D9933" t="str">
        <f>"5"</f>
        <v>5</v>
      </c>
      <c r="E9933" t="str">
        <f>"1-199-5"</f>
        <v>1-199-5</v>
      </c>
      <c r="F9933" t="s">
        <v>65</v>
      </c>
      <c r="G9933" t="s">
        <v>66</v>
      </c>
      <c r="H9933" t="s">
        <v>67</v>
      </c>
      <c r="S9933">
        <v>1</v>
      </c>
      <c r="T9933">
        <v>0</v>
      </c>
      <c r="U9933">
        <v>0</v>
      </c>
      <c r="V9933">
        <v>0</v>
      </c>
      <c r="W9933">
        <v>1</v>
      </c>
      <c r="X9933">
        <v>0</v>
      </c>
      <c r="Y9933">
        <v>1</v>
      </c>
      <c r="Z9933">
        <v>0</v>
      </c>
      <c r="AA9933">
        <v>1</v>
      </c>
      <c r="AB9933">
        <v>0</v>
      </c>
      <c r="AC9933">
        <v>0</v>
      </c>
      <c r="AD9933">
        <v>1</v>
      </c>
      <c r="AE9933">
        <v>1</v>
      </c>
      <c r="AF9933">
        <v>1</v>
      </c>
      <c r="AG9933">
        <v>1</v>
      </c>
      <c r="AH9933">
        <v>1</v>
      </c>
      <c r="AI9933">
        <v>1</v>
      </c>
      <c r="AJ9933">
        <v>1</v>
      </c>
      <c r="AK9933">
        <v>1</v>
      </c>
      <c r="AL9933">
        <v>1</v>
      </c>
      <c r="AM9933">
        <v>1</v>
      </c>
    </row>
    <row r="9934" spans="1:39" x14ac:dyDescent="0.2">
      <c r="A9934" t="str">
        <f>"9930"</f>
        <v>9930</v>
      </c>
      <c r="B9934" t="str">
        <f t="shared" si="552"/>
        <v>1</v>
      </c>
      <c r="C9934" t="str">
        <f t="shared" si="551"/>
        <v>199</v>
      </c>
      <c r="D9934" t="str">
        <f>"44"</f>
        <v>44</v>
      </c>
      <c r="E9934" t="str">
        <f>"1-199-44"</f>
        <v>1-199-44</v>
      </c>
      <c r="F9934" t="s">
        <v>65</v>
      </c>
      <c r="G9934" t="s">
        <v>66</v>
      </c>
      <c r="H9934" t="s">
        <v>67</v>
      </c>
      <c r="S9934">
        <v>1</v>
      </c>
      <c r="T9934">
        <v>0</v>
      </c>
      <c r="U9934">
        <v>0</v>
      </c>
      <c r="V9934">
        <v>0</v>
      </c>
      <c r="W9934">
        <v>1</v>
      </c>
      <c r="X9934">
        <v>0</v>
      </c>
      <c r="Y9934">
        <v>1</v>
      </c>
      <c r="Z9934">
        <v>0</v>
      </c>
      <c r="AA9934">
        <v>1</v>
      </c>
      <c r="AB9934">
        <v>0</v>
      </c>
      <c r="AC9934">
        <v>0</v>
      </c>
      <c r="AD9934">
        <v>1</v>
      </c>
      <c r="AE9934">
        <v>1</v>
      </c>
      <c r="AF9934">
        <v>1</v>
      </c>
      <c r="AG9934">
        <v>1</v>
      </c>
      <c r="AH9934">
        <v>1</v>
      </c>
      <c r="AI9934">
        <v>1</v>
      </c>
      <c r="AJ9934">
        <v>1</v>
      </c>
      <c r="AK9934">
        <v>1</v>
      </c>
      <c r="AL9934">
        <v>1</v>
      </c>
      <c r="AM9934">
        <v>0</v>
      </c>
    </row>
    <row r="9935" spans="1:39" x14ac:dyDescent="0.2">
      <c r="A9935" t="str">
        <f>"9931"</f>
        <v>9931</v>
      </c>
      <c r="B9935" t="str">
        <f t="shared" si="552"/>
        <v>1</v>
      </c>
      <c r="C9935" t="str">
        <f t="shared" si="551"/>
        <v>199</v>
      </c>
      <c r="D9935" t="str">
        <f>"26"</f>
        <v>26</v>
      </c>
      <c r="E9935" t="str">
        <f>"1-199-26"</f>
        <v>1-199-26</v>
      </c>
      <c r="F9935" t="s">
        <v>65</v>
      </c>
      <c r="G9935" t="s">
        <v>66</v>
      </c>
      <c r="H9935" t="s">
        <v>67</v>
      </c>
      <c r="S9935">
        <v>1</v>
      </c>
      <c r="T9935">
        <v>0</v>
      </c>
      <c r="U9935">
        <v>0</v>
      </c>
      <c r="V9935">
        <v>0</v>
      </c>
      <c r="W9935">
        <v>1</v>
      </c>
      <c r="X9935">
        <v>0</v>
      </c>
      <c r="Y9935">
        <v>0</v>
      </c>
      <c r="Z9935">
        <v>1</v>
      </c>
      <c r="AA9935">
        <v>0</v>
      </c>
      <c r="AB9935">
        <v>1</v>
      </c>
      <c r="AC9935">
        <v>0</v>
      </c>
      <c r="AD9935">
        <v>1</v>
      </c>
      <c r="AE9935">
        <v>1</v>
      </c>
      <c r="AF9935">
        <v>1</v>
      </c>
      <c r="AG9935">
        <v>1</v>
      </c>
      <c r="AH9935">
        <v>1</v>
      </c>
      <c r="AI9935">
        <v>1</v>
      </c>
      <c r="AJ9935">
        <v>1</v>
      </c>
      <c r="AK9935">
        <v>1</v>
      </c>
      <c r="AL9935">
        <v>1</v>
      </c>
      <c r="AM9935">
        <v>1</v>
      </c>
    </row>
    <row r="9936" spans="1:39" x14ac:dyDescent="0.2">
      <c r="A9936" t="str">
        <f>"9932"</f>
        <v>9932</v>
      </c>
      <c r="B9936" t="str">
        <f t="shared" si="552"/>
        <v>1</v>
      </c>
      <c r="C9936" t="str">
        <f t="shared" si="551"/>
        <v>199</v>
      </c>
      <c r="D9936" t="str">
        <f>"2"</f>
        <v>2</v>
      </c>
      <c r="E9936" t="str">
        <f>"1-199-2"</f>
        <v>1-199-2</v>
      </c>
      <c r="F9936" t="s">
        <v>65</v>
      </c>
      <c r="G9936" t="s">
        <v>66</v>
      </c>
      <c r="H9936" t="s">
        <v>67</v>
      </c>
      <c r="S9936">
        <v>1</v>
      </c>
      <c r="T9936">
        <v>0</v>
      </c>
      <c r="U9936">
        <v>0</v>
      </c>
      <c r="V9936">
        <v>0</v>
      </c>
      <c r="W9936">
        <v>1</v>
      </c>
      <c r="X9936">
        <v>0</v>
      </c>
      <c r="Y9936">
        <v>1</v>
      </c>
      <c r="Z9936">
        <v>0</v>
      </c>
      <c r="AA9936">
        <v>0</v>
      </c>
      <c r="AB9936">
        <v>1</v>
      </c>
      <c r="AC9936">
        <v>0</v>
      </c>
      <c r="AD9936">
        <v>1</v>
      </c>
      <c r="AE9936">
        <v>1</v>
      </c>
      <c r="AF9936">
        <v>1</v>
      </c>
      <c r="AG9936">
        <v>1</v>
      </c>
      <c r="AH9936">
        <v>1</v>
      </c>
      <c r="AI9936">
        <v>1</v>
      </c>
      <c r="AJ9936">
        <v>1</v>
      </c>
      <c r="AK9936">
        <v>1</v>
      </c>
      <c r="AL9936">
        <v>1</v>
      </c>
      <c r="AM9936">
        <v>1</v>
      </c>
    </row>
    <row r="9937" spans="1:39" x14ac:dyDescent="0.2">
      <c r="A9937" t="str">
        <f>"9933"</f>
        <v>9933</v>
      </c>
      <c r="B9937" t="str">
        <f t="shared" si="552"/>
        <v>1</v>
      </c>
      <c r="C9937" t="str">
        <f t="shared" ref="C9937:C9954" si="553">"199"</f>
        <v>199</v>
      </c>
      <c r="D9937" t="str">
        <f>"45"</f>
        <v>45</v>
      </c>
      <c r="E9937" t="str">
        <f>"1-199-45"</f>
        <v>1-199-45</v>
      </c>
      <c r="F9937" t="s">
        <v>65</v>
      </c>
      <c r="G9937" t="s">
        <v>66</v>
      </c>
      <c r="H9937" t="s">
        <v>67</v>
      </c>
      <c r="S9937">
        <v>0</v>
      </c>
      <c r="T9937">
        <v>1</v>
      </c>
      <c r="U9937">
        <v>0</v>
      </c>
      <c r="V9937">
        <v>0</v>
      </c>
      <c r="W9937">
        <v>1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</row>
    <row r="9938" spans="1:39" x14ac:dyDescent="0.2">
      <c r="A9938" t="str">
        <f>"9934"</f>
        <v>9934</v>
      </c>
      <c r="B9938" t="str">
        <f t="shared" si="552"/>
        <v>1</v>
      </c>
      <c r="C9938" t="str">
        <f t="shared" si="553"/>
        <v>199</v>
      </c>
      <c r="D9938" t="str">
        <f>"27"</f>
        <v>27</v>
      </c>
      <c r="E9938" t="str">
        <f>"1-199-27"</f>
        <v>1-199-27</v>
      </c>
      <c r="F9938" t="s">
        <v>65</v>
      </c>
      <c r="G9938" t="s">
        <v>66</v>
      </c>
      <c r="H9938" t="s">
        <v>67</v>
      </c>
      <c r="S9938">
        <v>1</v>
      </c>
      <c r="T9938">
        <v>0</v>
      </c>
      <c r="U9938">
        <v>0</v>
      </c>
      <c r="V9938">
        <v>0</v>
      </c>
      <c r="W9938">
        <v>1</v>
      </c>
      <c r="X9938">
        <v>0</v>
      </c>
      <c r="Y9938">
        <v>1</v>
      </c>
      <c r="Z9938">
        <v>0</v>
      </c>
      <c r="AA9938">
        <v>1</v>
      </c>
      <c r="AB9938">
        <v>0</v>
      </c>
      <c r="AC9938">
        <v>0</v>
      </c>
      <c r="AD9938">
        <v>1</v>
      </c>
      <c r="AE9938">
        <v>1</v>
      </c>
      <c r="AF9938">
        <v>1</v>
      </c>
      <c r="AG9938">
        <v>1</v>
      </c>
      <c r="AH9938">
        <v>1</v>
      </c>
      <c r="AI9938">
        <v>1</v>
      </c>
      <c r="AJ9938">
        <v>1</v>
      </c>
      <c r="AK9938">
        <v>1</v>
      </c>
      <c r="AL9938">
        <v>1</v>
      </c>
      <c r="AM9938">
        <v>1</v>
      </c>
    </row>
    <row r="9939" spans="1:39" x14ac:dyDescent="0.2">
      <c r="A9939" t="str">
        <f>"9935"</f>
        <v>9935</v>
      </c>
      <c r="B9939" t="str">
        <f t="shared" si="552"/>
        <v>1</v>
      </c>
      <c r="C9939" t="str">
        <f t="shared" si="553"/>
        <v>199</v>
      </c>
      <c r="D9939" t="str">
        <f>"7"</f>
        <v>7</v>
      </c>
      <c r="E9939" t="str">
        <f>"1-199-7"</f>
        <v>1-199-7</v>
      </c>
      <c r="F9939" t="s">
        <v>65</v>
      </c>
      <c r="G9939" t="s">
        <v>66</v>
      </c>
      <c r="H9939" t="s">
        <v>67</v>
      </c>
      <c r="S9939">
        <v>1</v>
      </c>
      <c r="T9939">
        <v>0</v>
      </c>
      <c r="U9939">
        <v>0</v>
      </c>
      <c r="V9939">
        <v>0</v>
      </c>
      <c r="W9939">
        <v>0</v>
      </c>
      <c r="X9939">
        <v>1</v>
      </c>
      <c r="Y9939">
        <v>0</v>
      </c>
      <c r="Z9939">
        <v>1</v>
      </c>
      <c r="AA9939">
        <v>0</v>
      </c>
      <c r="AB9939">
        <v>1</v>
      </c>
      <c r="AC9939">
        <v>0</v>
      </c>
      <c r="AD9939">
        <v>1</v>
      </c>
      <c r="AE9939">
        <v>1</v>
      </c>
      <c r="AF9939">
        <v>1</v>
      </c>
      <c r="AG9939">
        <v>1</v>
      </c>
      <c r="AH9939">
        <v>1</v>
      </c>
      <c r="AI9939">
        <v>1</v>
      </c>
      <c r="AJ9939">
        <v>1</v>
      </c>
      <c r="AK9939">
        <v>1</v>
      </c>
      <c r="AL9939">
        <v>1</v>
      </c>
      <c r="AM9939">
        <v>1</v>
      </c>
    </row>
    <row r="9940" spans="1:39" x14ac:dyDescent="0.2">
      <c r="A9940" t="str">
        <f>"9936"</f>
        <v>9936</v>
      </c>
      <c r="B9940" t="str">
        <f t="shared" si="552"/>
        <v>1</v>
      </c>
      <c r="C9940" t="str">
        <f t="shared" si="553"/>
        <v>199</v>
      </c>
      <c r="D9940" t="str">
        <f>"28"</f>
        <v>28</v>
      </c>
      <c r="E9940" t="str">
        <f>"1-199-28"</f>
        <v>1-199-28</v>
      </c>
      <c r="F9940" t="s">
        <v>65</v>
      </c>
      <c r="G9940" t="s">
        <v>66</v>
      </c>
      <c r="H9940" t="s">
        <v>67</v>
      </c>
      <c r="S9940">
        <v>1</v>
      </c>
      <c r="T9940">
        <v>0</v>
      </c>
      <c r="U9940">
        <v>0</v>
      </c>
      <c r="V9940">
        <v>0</v>
      </c>
      <c r="W9940">
        <v>1</v>
      </c>
      <c r="X9940">
        <v>0</v>
      </c>
      <c r="Y9940">
        <v>1</v>
      </c>
      <c r="Z9940">
        <v>0</v>
      </c>
      <c r="AA9940">
        <v>1</v>
      </c>
      <c r="AB9940">
        <v>0</v>
      </c>
      <c r="AC9940">
        <v>0</v>
      </c>
      <c r="AD9940">
        <v>1</v>
      </c>
      <c r="AE9940">
        <v>1</v>
      </c>
      <c r="AF9940">
        <v>1</v>
      </c>
      <c r="AG9940">
        <v>1</v>
      </c>
      <c r="AH9940">
        <v>1</v>
      </c>
      <c r="AI9940">
        <v>1</v>
      </c>
      <c r="AJ9940">
        <v>1</v>
      </c>
      <c r="AK9940">
        <v>1</v>
      </c>
      <c r="AL9940">
        <v>1</v>
      </c>
      <c r="AM9940">
        <v>1</v>
      </c>
    </row>
    <row r="9941" spans="1:39" x14ac:dyDescent="0.2">
      <c r="A9941" t="str">
        <f>"9937"</f>
        <v>9937</v>
      </c>
      <c r="B9941" t="str">
        <f t="shared" si="552"/>
        <v>1</v>
      </c>
      <c r="C9941" t="str">
        <f t="shared" si="553"/>
        <v>199</v>
      </c>
      <c r="D9941" t="str">
        <f>"8"</f>
        <v>8</v>
      </c>
      <c r="E9941" t="str">
        <f>"1-199-8"</f>
        <v>1-199-8</v>
      </c>
      <c r="F9941" t="s">
        <v>65</v>
      </c>
      <c r="G9941" t="s">
        <v>66</v>
      </c>
      <c r="H9941" t="s">
        <v>67</v>
      </c>
      <c r="S9941">
        <v>1</v>
      </c>
      <c r="T9941">
        <v>0</v>
      </c>
      <c r="U9941">
        <v>0</v>
      </c>
      <c r="V9941">
        <v>0</v>
      </c>
      <c r="W9941">
        <v>1</v>
      </c>
      <c r="X9941">
        <v>0</v>
      </c>
      <c r="Y9941">
        <v>1</v>
      </c>
      <c r="Z9941">
        <v>0</v>
      </c>
      <c r="AA9941">
        <v>1</v>
      </c>
      <c r="AB9941">
        <v>0</v>
      </c>
      <c r="AC9941">
        <v>0</v>
      </c>
      <c r="AD9941">
        <v>1</v>
      </c>
      <c r="AE9941">
        <v>1</v>
      </c>
      <c r="AF9941">
        <v>1</v>
      </c>
      <c r="AG9941">
        <v>1</v>
      </c>
      <c r="AH9941">
        <v>1</v>
      </c>
      <c r="AI9941">
        <v>1</v>
      </c>
      <c r="AJ9941">
        <v>1</v>
      </c>
      <c r="AK9941">
        <v>1</v>
      </c>
      <c r="AL9941">
        <v>1</v>
      </c>
      <c r="AM9941">
        <v>1</v>
      </c>
    </row>
    <row r="9942" spans="1:39" x14ac:dyDescent="0.2">
      <c r="A9942" t="str">
        <f>"9938"</f>
        <v>9938</v>
      </c>
      <c r="B9942" t="str">
        <f t="shared" si="552"/>
        <v>1</v>
      </c>
      <c r="C9942" t="str">
        <f t="shared" si="553"/>
        <v>199</v>
      </c>
      <c r="D9942" t="str">
        <f>"37"</f>
        <v>37</v>
      </c>
      <c r="E9942" t="str">
        <f>"1-199-37"</f>
        <v>1-199-37</v>
      </c>
      <c r="F9942" t="s">
        <v>65</v>
      </c>
      <c r="G9942" t="s">
        <v>66</v>
      </c>
      <c r="H9942" t="s">
        <v>67</v>
      </c>
      <c r="S9942">
        <v>1</v>
      </c>
      <c r="T9942">
        <v>0</v>
      </c>
      <c r="U9942">
        <v>0</v>
      </c>
      <c r="V9942">
        <v>0</v>
      </c>
      <c r="W9942">
        <v>1</v>
      </c>
      <c r="X9942">
        <v>0</v>
      </c>
      <c r="Y9942">
        <v>1</v>
      </c>
      <c r="Z9942">
        <v>0</v>
      </c>
      <c r="AA9942">
        <v>1</v>
      </c>
      <c r="AB9942">
        <v>0</v>
      </c>
      <c r="AC9942">
        <v>0</v>
      </c>
      <c r="AD9942">
        <v>1</v>
      </c>
      <c r="AE9942">
        <v>1</v>
      </c>
      <c r="AF9942">
        <v>1</v>
      </c>
      <c r="AG9942">
        <v>1</v>
      </c>
      <c r="AH9942">
        <v>1</v>
      </c>
      <c r="AI9942">
        <v>1</v>
      </c>
      <c r="AJ9942">
        <v>1</v>
      </c>
      <c r="AK9942">
        <v>0</v>
      </c>
      <c r="AL9942">
        <v>1</v>
      </c>
      <c r="AM9942">
        <v>1</v>
      </c>
    </row>
    <row r="9943" spans="1:39" x14ac:dyDescent="0.2">
      <c r="A9943" t="str">
        <f>"9939"</f>
        <v>9939</v>
      </c>
      <c r="B9943" t="str">
        <f t="shared" si="552"/>
        <v>1</v>
      </c>
      <c r="C9943" t="str">
        <f t="shared" si="553"/>
        <v>199</v>
      </c>
      <c r="D9943" t="str">
        <f>"29"</f>
        <v>29</v>
      </c>
      <c r="E9943" t="str">
        <f>"1-199-29"</f>
        <v>1-199-29</v>
      </c>
      <c r="F9943" t="s">
        <v>65</v>
      </c>
      <c r="G9943" t="s">
        <v>66</v>
      </c>
      <c r="H9943" t="s">
        <v>67</v>
      </c>
      <c r="S9943">
        <v>1</v>
      </c>
      <c r="T9943">
        <v>0</v>
      </c>
      <c r="U9943">
        <v>0</v>
      </c>
      <c r="V9943">
        <v>0</v>
      </c>
      <c r="W9943">
        <v>1</v>
      </c>
      <c r="X9943">
        <v>0</v>
      </c>
      <c r="Y9943">
        <v>0</v>
      </c>
      <c r="Z9943">
        <v>1</v>
      </c>
      <c r="AA9943">
        <v>1</v>
      </c>
      <c r="AB9943">
        <v>0</v>
      </c>
      <c r="AC9943">
        <v>0</v>
      </c>
      <c r="AD9943">
        <v>0</v>
      </c>
      <c r="AE9943">
        <v>1</v>
      </c>
      <c r="AF9943">
        <v>1</v>
      </c>
      <c r="AG9943">
        <v>1</v>
      </c>
      <c r="AH9943">
        <v>1</v>
      </c>
      <c r="AI9943">
        <v>1</v>
      </c>
      <c r="AJ9943">
        <v>1</v>
      </c>
      <c r="AK9943">
        <v>1</v>
      </c>
      <c r="AL9943">
        <v>1</v>
      </c>
      <c r="AM9943">
        <v>1</v>
      </c>
    </row>
    <row r="9944" spans="1:39" x14ac:dyDescent="0.2">
      <c r="A9944" t="str">
        <f>"9940"</f>
        <v>9940</v>
      </c>
      <c r="B9944" t="str">
        <f t="shared" si="552"/>
        <v>1</v>
      </c>
      <c r="C9944" t="str">
        <f t="shared" si="553"/>
        <v>199</v>
      </c>
      <c r="D9944" t="str">
        <f>"11"</f>
        <v>11</v>
      </c>
      <c r="E9944" t="str">
        <f>"1-199-11"</f>
        <v>1-199-11</v>
      </c>
      <c r="F9944" t="s">
        <v>65</v>
      </c>
      <c r="G9944" t="s">
        <v>66</v>
      </c>
      <c r="H9944" t="s">
        <v>67</v>
      </c>
      <c r="S9944">
        <v>1</v>
      </c>
      <c r="T9944">
        <v>0</v>
      </c>
      <c r="U9944">
        <v>0</v>
      </c>
      <c r="V9944">
        <v>0</v>
      </c>
      <c r="W9944">
        <v>1</v>
      </c>
      <c r="X9944">
        <v>0</v>
      </c>
      <c r="Y9944">
        <v>1</v>
      </c>
      <c r="Z9944">
        <v>0</v>
      </c>
      <c r="AA9944">
        <v>1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</row>
    <row r="9945" spans="1:39" x14ac:dyDescent="0.2">
      <c r="A9945" t="str">
        <f>"9941"</f>
        <v>9941</v>
      </c>
      <c r="B9945" t="str">
        <f t="shared" si="552"/>
        <v>1</v>
      </c>
      <c r="C9945" t="str">
        <f t="shared" si="553"/>
        <v>199</v>
      </c>
      <c r="D9945" t="str">
        <f>"46"</f>
        <v>46</v>
      </c>
      <c r="E9945" t="str">
        <f>"1-199-46"</f>
        <v>1-199-46</v>
      </c>
      <c r="F9945" t="s">
        <v>65</v>
      </c>
      <c r="G9945" t="s">
        <v>66</v>
      </c>
      <c r="H9945" t="s">
        <v>67</v>
      </c>
      <c r="S9945">
        <v>1</v>
      </c>
      <c r="T9945">
        <v>0</v>
      </c>
      <c r="U9945">
        <v>0</v>
      </c>
      <c r="V9945">
        <v>0</v>
      </c>
      <c r="W9945">
        <v>1</v>
      </c>
      <c r="X9945">
        <v>0</v>
      </c>
      <c r="Y9945">
        <v>0</v>
      </c>
      <c r="Z9945">
        <v>1</v>
      </c>
      <c r="AA9945">
        <v>0</v>
      </c>
      <c r="AB9945">
        <v>1</v>
      </c>
      <c r="AC9945">
        <v>0</v>
      </c>
      <c r="AD9945">
        <v>1</v>
      </c>
      <c r="AE9945">
        <v>1</v>
      </c>
      <c r="AF9945">
        <v>1</v>
      </c>
      <c r="AG9945">
        <v>1</v>
      </c>
      <c r="AH9945">
        <v>1</v>
      </c>
      <c r="AI9945">
        <v>1</v>
      </c>
      <c r="AJ9945">
        <v>1</v>
      </c>
      <c r="AK9945">
        <v>1</v>
      </c>
      <c r="AL9945">
        <v>1</v>
      </c>
      <c r="AM9945">
        <v>1</v>
      </c>
    </row>
    <row r="9946" spans="1:39" x14ac:dyDescent="0.2">
      <c r="A9946" t="str">
        <f>"9942"</f>
        <v>9942</v>
      </c>
      <c r="B9946" t="str">
        <f t="shared" si="552"/>
        <v>1</v>
      </c>
      <c r="C9946" t="str">
        <f t="shared" si="553"/>
        <v>199</v>
      </c>
      <c r="D9946" t="str">
        <f>"30"</f>
        <v>30</v>
      </c>
      <c r="E9946" t="str">
        <f>"1-199-30"</f>
        <v>1-199-30</v>
      </c>
      <c r="F9946" t="s">
        <v>65</v>
      </c>
      <c r="G9946" t="s">
        <v>66</v>
      </c>
      <c r="H9946" t="s">
        <v>67</v>
      </c>
      <c r="S9946">
        <v>1</v>
      </c>
      <c r="T9946">
        <v>0</v>
      </c>
      <c r="U9946">
        <v>0</v>
      </c>
      <c r="V9946">
        <v>0</v>
      </c>
      <c r="W9946">
        <v>1</v>
      </c>
      <c r="X9946">
        <v>0</v>
      </c>
      <c r="Y9946">
        <v>0</v>
      </c>
      <c r="Z9946">
        <v>1</v>
      </c>
      <c r="AA9946">
        <v>1</v>
      </c>
      <c r="AB9946">
        <v>0</v>
      </c>
      <c r="AC9946">
        <v>0</v>
      </c>
      <c r="AD9946">
        <v>1</v>
      </c>
      <c r="AE9946">
        <v>1</v>
      </c>
      <c r="AF9946">
        <v>1</v>
      </c>
      <c r="AG9946">
        <v>1</v>
      </c>
      <c r="AH9946">
        <v>1</v>
      </c>
      <c r="AI9946">
        <v>1</v>
      </c>
      <c r="AJ9946">
        <v>1</v>
      </c>
      <c r="AK9946">
        <v>1</v>
      </c>
      <c r="AL9946">
        <v>1</v>
      </c>
      <c r="AM9946">
        <v>1</v>
      </c>
    </row>
    <row r="9947" spans="1:39" x14ac:dyDescent="0.2">
      <c r="A9947" t="str">
        <f>"9943"</f>
        <v>9943</v>
      </c>
      <c r="B9947" t="str">
        <f t="shared" si="552"/>
        <v>1</v>
      </c>
      <c r="C9947" t="str">
        <f t="shared" si="553"/>
        <v>199</v>
      </c>
      <c r="D9947" t="str">
        <f>"10"</f>
        <v>10</v>
      </c>
      <c r="E9947" t="str">
        <f>"1-199-10"</f>
        <v>1-199-10</v>
      </c>
      <c r="F9947" t="s">
        <v>65</v>
      </c>
      <c r="G9947" t="s">
        <v>66</v>
      </c>
      <c r="H9947" t="s">
        <v>67</v>
      </c>
      <c r="S9947">
        <v>1</v>
      </c>
      <c r="T9947">
        <v>0</v>
      </c>
      <c r="U9947">
        <v>0</v>
      </c>
      <c r="V9947">
        <v>0</v>
      </c>
      <c r="W9947">
        <v>1</v>
      </c>
      <c r="X9947">
        <v>0</v>
      </c>
      <c r="Y9947">
        <v>1</v>
      </c>
      <c r="Z9947">
        <v>0</v>
      </c>
      <c r="AA9947">
        <v>1</v>
      </c>
      <c r="AB9947">
        <v>0</v>
      </c>
      <c r="AC9947">
        <v>0</v>
      </c>
      <c r="AD9947">
        <v>1</v>
      </c>
      <c r="AE9947">
        <v>1</v>
      </c>
      <c r="AF9947">
        <v>1</v>
      </c>
      <c r="AG9947">
        <v>1</v>
      </c>
      <c r="AH9947">
        <v>1</v>
      </c>
      <c r="AI9947">
        <v>1</v>
      </c>
      <c r="AJ9947">
        <v>1</v>
      </c>
      <c r="AK9947">
        <v>1</v>
      </c>
      <c r="AL9947">
        <v>1</v>
      </c>
      <c r="AM9947">
        <v>1</v>
      </c>
    </row>
    <row r="9948" spans="1:39" x14ac:dyDescent="0.2">
      <c r="A9948" t="str">
        <f>"9944"</f>
        <v>9944</v>
      </c>
      <c r="B9948" t="str">
        <f t="shared" si="552"/>
        <v>1</v>
      </c>
      <c r="C9948" t="str">
        <f t="shared" si="553"/>
        <v>199</v>
      </c>
      <c r="D9948" t="str">
        <f>"48"</f>
        <v>48</v>
      </c>
      <c r="E9948" t="str">
        <f>"1-199-48"</f>
        <v>1-199-48</v>
      </c>
      <c r="F9948" t="s">
        <v>65</v>
      </c>
      <c r="G9948" t="s">
        <v>66</v>
      </c>
      <c r="H9948" t="s">
        <v>67</v>
      </c>
      <c r="S9948">
        <v>1</v>
      </c>
      <c r="T9948">
        <v>0</v>
      </c>
      <c r="U9948">
        <v>0</v>
      </c>
      <c r="V9948">
        <v>0</v>
      </c>
      <c r="W9948">
        <v>1</v>
      </c>
      <c r="X9948">
        <v>0</v>
      </c>
      <c r="Y9948">
        <v>0</v>
      </c>
      <c r="Z9948">
        <v>1</v>
      </c>
      <c r="AA9948">
        <v>0</v>
      </c>
      <c r="AB9948">
        <v>0</v>
      </c>
      <c r="AC9948">
        <v>1</v>
      </c>
      <c r="AD9948">
        <v>0</v>
      </c>
      <c r="AE9948">
        <v>0</v>
      </c>
      <c r="AF9948">
        <v>0</v>
      </c>
      <c r="AG9948">
        <v>1</v>
      </c>
      <c r="AH9948">
        <v>0</v>
      </c>
      <c r="AI9948">
        <v>0</v>
      </c>
      <c r="AJ9948">
        <v>1</v>
      </c>
      <c r="AK9948">
        <v>1</v>
      </c>
      <c r="AL9948">
        <v>1</v>
      </c>
      <c r="AM9948">
        <v>0</v>
      </c>
    </row>
    <row r="9949" spans="1:39" x14ac:dyDescent="0.2">
      <c r="A9949" t="str">
        <f>"9945"</f>
        <v>9945</v>
      </c>
      <c r="B9949" t="str">
        <f t="shared" si="552"/>
        <v>1</v>
      </c>
      <c r="C9949" t="str">
        <f t="shared" si="553"/>
        <v>199</v>
      </c>
      <c r="D9949" t="str">
        <f>"31"</f>
        <v>31</v>
      </c>
      <c r="E9949" t="str">
        <f>"1-199-31"</f>
        <v>1-199-31</v>
      </c>
      <c r="F9949" t="s">
        <v>65</v>
      </c>
      <c r="G9949" t="s">
        <v>66</v>
      </c>
      <c r="H9949" t="s">
        <v>67</v>
      </c>
      <c r="S9949">
        <v>0</v>
      </c>
      <c r="T9949">
        <v>1</v>
      </c>
      <c r="U9949">
        <v>0</v>
      </c>
      <c r="V9949">
        <v>0</v>
      </c>
      <c r="W9949">
        <v>1</v>
      </c>
      <c r="X9949">
        <v>0</v>
      </c>
      <c r="Y9949">
        <v>1</v>
      </c>
      <c r="Z9949">
        <v>0</v>
      </c>
      <c r="AA9949">
        <v>0</v>
      </c>
      <c r="AB9949">
        <v>1</v>
      </c>
      <c r="AC9949">
        <v>0</v>
      </c>
      <c r="AD9949">
        <v>1</v>
      </c>
      <c r="AE9949">
        <v>1</v>
      </c>
      <c r="AF9949">
        <v>1</v>
      </c>
      <c r="AG9949">
        <v>1</v>
      </c>
      <c r="AH9949">
        <v>1</v>
      </c>
      <c r="AI9949">
        <v>1</v>
      </c>
      <c r="AJ9949">
        <v>1</v>
      </c>
      <c r="AK9949">
        <v>1</v>
      </c>
      <c r="AL9949">
        <v>1</v>
      </c>
      <c r="AM9949">
        <v>1</v>
      </c>
    </row>
    <row r="9950" spans="1:39" x14ac:dyDescent="0.2">
      <c r="A9950" t="str">
        <f>"9946"</f>
        <v>9946</v>
      </c>
      <c r="B9950" t="str">
        <f t="shared" si="552"/>
        <v>1</v>
      </c>
      <c r="C9950" t="str">
        <f t="shared" si="553"/>
        <v>199</v>
      </c>
      <c r="D9950" t="str">
        <f>"9"</f>
        <v>9</v>
      </c>
      <c r="E9950" t="str">
        <f>"1-199-9"</f>
        <v>1-199-9</v>
      </c>
      <c r="F9950" t="s">
        <v>65</v>
      </c>
      <c r="G9950" t="s">
        <v>66</v>
      </c>
      <c r="H9950" t="s">
        <v>67</v>
      </c>
      <c r="S9950">
        <v>1</v>
      </c>
      <c r="T9950">
        <v>0</v>
      </c>
      <c r="U9950">
        <v>0</v>
      </c>
      <c r="V9950">
        <v>0</v>
      </c>
      <c r="W9950">
        <v>1</v>
      </c>
      <c r="X9950">
        <v>0</v>
      </c>
      <c r="Y9950">
        <v>1</v>
      </c>
      <c r="Z9950">
        <v>0</v>
      </c>
      <c r="AA9950">
        <v>1</v>
      </c>
      <c r="AB9950">
        <v>0</v>
      </c>
      <c r="AC9950">
        <v>0</v>
      </c>
      <c r="AD9950">
        <v>1</v>
      </c>
      <c r="AE9950">
        <v>1</v>
      </c>
      <c r="AF9950">
        <v>1</v>
      </c>
      <c r="AG9950">
        <v>1</v>
      </c>
      <c r="AH9950">
        <v>1</v>
      </c>
      <c r="AI9950">
        <v>1</v>
      </c>
      <c r="AJ9950">
        <v>1</v>
      </c>
      <c r="AK9950">
        <v>1</v>
      </c>
      <c r="AL9950">
        <v>1</v>
      </c>
      <c r="AM9950">
        <v>1</v>
      </c>
    </row>
    <row r="9951" spans="1:39" x14ac:dyDescent="0.2">
      <c r="A9951" t="str">
        <f>"9947"</f>
        <v>9947</v>
      </c>
      <c r="B9951" t="str">
        <f t="shared" si="552"/>
        <v>1</v>
      </c>
      <c r="C9951" t="str">
        <f t="shared" si="553"/>
        <v>199</v>
      </c>
      <c r="D9951" t="str">
        <f>"49"</f>
        <v>49</v>
      </c>
      <c r="E9951" t="str">
        <f>"1-199-49"</f>
        <v>1-199-49</v>
      </c>
      <c r="F9951" t="s">
        <v>65</v>
      </c>
      <c r="G9951" t="s">
        <v>66</v>
      </c>
      <c r="H9951" t="s">
        <v>67</v>
      </c>
      <c r="S9951">
        <v>1</v>
      </c>
      <c r="T9951">
        <v>0</v>
      </c>
      <c r="U9951">
        <v>0</v>
      </c>
      <c r="V9951">
        <v>0</v>
      </c>
      <c r="W9951">
        <v>1</v>
      </c>
      <c r="X9951">
        <v>0</v>
      </c>
      <c r="Y9951">
        <v>1</v>
      </c>
      <c r="Z9951">
        <v>0</v>
      </c>
      <c r="AA9951">
        <v>1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</row>
    <row r="9952" spans="1:39" x14ac:dyDescent="0.2">
      <c r="A9952" t="str">
        <f>"9948"</f>
        <v>9948</v>
      </c>
      <c r="B9952" t="str">
        <f t="shared" si="552"/>
        <v>1</v>
      </c>
      <c r="C9952" t="str">
        <f t="shared" si="553"/>
        <v>199</v>
      </c>
      <c r="D9952" t="str">
        <f>"32"</f>
        <v>32</v>
      </c>
      <c r="E9952" t="str">
        <f>"1-199-32"</f>
        <v>1-199-32</v>
      </c>
      <c r="F9952" t="s">
        <v>65</v>
      </c>
      <c r="G9952" t="s">
        <v>66</v>
      </c>
      <c r="H9952" t="s">
        <v>67</v>
      </c>
      <c r="S9952">
        <v>1</v>
      </c>
      <c r="T9952">
        <v>0</v>
      </c>
      <c r="U9952">
        <v>0</v>
      </c>
      <c r="V9952">
        <v>0</v>
      </c>
      <c r="W9952">
        <v>1</v>
      </c>
      <c r="X9952">
        <v>0</v>
      </c>
      <c r="Y9952">
        <v>1</v>
      </c>
      <c r="Z9952">
        <v>0</v>
      </c>
      <c r="AA9952">
        <v>1</v>
      </c>
      <c r="AB9952">
        <v>0</v>
      </c>
      <c r="AC9952">
        <v>0</v>
      </c>
      <c r="AD9952">
        <v>1</v>
      </c>
      <c r="AE9952">
        <v>1</v>
      </c>
      <c r="AF9952">
        <v>1</v>
      </c>
      <c r="AG9952">
        <v>1</v>
      </c>
      <c r="AH9952">
        <v>1</v>
      </c>
      <c r="AI9952">
        <v>1</v>
      </c>
      <c r="AJ9952">
        <v>1</v>
      </c>
      <c r="AK9952">
        <v>1</v>
      </c>
      <c r="AL9952">
        <v>1</v>
      </c>
      <c r="AM9952">
        <v>1</v>
      </c>
    </row>
    <row r="9953" spans="1:39" x14ac:dyDescent="0.2">
      <c r="A9953" t="str">
        <f>"9949"</f>
        <v>9949</v>
      </c>
      <c r="B9953" t="str">
        <f t="shared" si="552"/>
        <v>1</v>
      </c>
      <c r="C9953" t="str">
        <f t="shared" si="553"/>
        <v>199</v>
      </c>
      <c r="D9953" t="str">
        <f>"14"</f>
        <v>14</v>
      </c>
      <c r="E9953" t="str">
        <f>"1-199-14"</f>
        <v>1-199-14</v>
      </c>
      <c r="F9953" t="s">
        <v>65</v>
      </c>
      <c r="G9953" t="s">
        <v>66</v>
      </c>
      <c r="H9953" t="s">
        <v>67</v>
      </c>
      <c r="S9953">
        <v>1</v>
      </c>
      <c r="T9953">
        <v>0</v>
      </c>
      <c r="U9953">
        <v>0</v>
      </c>
      <c r="V9953">
        <v>0</v>
      </c>
      <c r="W9953">
        <v>1</v>
      </c>
      <c r="X9953">
        <v>0</v>
      </c>
      <c r="Y9953">
        <v>0</v>
      </c>
      <c r="Z9953">
        <v>1</v>
      </c>
      <c r="AA9953">
        <v>1</v>
      </c>
      <c r="AB9953">
        <v>0</v>
      </c>
      <c r="AC9953">
        <v>0</v>
      </c>
      <c r="AD9953">
        <v>1</v>
      </c>
      <c r="AE9953">
        <v>1</v>
      </c>
      <c r="AF9953">
        <v>1</v>
      </c>
      <c r="AG9953">
        <v>1</v>
      </c>
      <c r="AH9953">
        <v>1</v>
      </c>
      <c r="AI9953">
        <v>1</v>
      </c>
      <c r="AJ9953">
        <v>1</v>
      </c>
      <c r="AK9953">
        <v>1</v>
      </c>
      <c r="AL9953">
        <v>1</v>
      </c>
      <c r="AM9953">
        <v>1</v>
      </c>
    </row>
    <row r="9954" spans="1:39" x14ac:dyDescent="0.2">
      <c r="A9954" t="str">
        <f>"9950"</f>
        <v>9950</v>
      </c>
      <c r="B9954" t="str">
        <f t="shared" si="552"/>
        <v>1</v>
      </c>
      <c r="C9954" t="str">
        <f t="shared" si="553"/>
        <v>199</v>
      </c>
      <c r="D9954" t="str">
        <f>"50"</f>
        <v>50</v>
      </c>
      <c r="E9954" t="str">
        <f>"1-199-50"</f>
        <v>1-199-50</v>
      </c>
      <c r="F9954" t="s">
        <v>65</v>
      </c>
      <c r="G9954" t="s">
        <v>66</v>
      </c>
      <c r="H9954" t="s">
        <v>67</v>
      </c>
      <c r="S9954">
        <v>1</v>
      </c>
      <c r="T9954">
        <v>0</v>
      </c>
      <c r="U9954">
        <v>0</v>
      </c>
      <c r="V9954">
        <v>0</v>
      </c>
      <c r="W9954">
        <v>1</v>
      </c>
      <c r="X9954">
        <v>0</v>
      </c>
      <c r="Y9954">
        <v>0</v>
      </c>
      <c r="Z9954">
        <v>0</v>
      </c>
      <c r="AA9954">
        <v>1</v>
      </c>
      <c r="AB9954">
        <v>0</v>
      </c>
      <c r="AC9954">
        <v>0</v>
      </c>
      <c r="AD9954">
        <v>1</v>
      </c>
      <c r="AE9954">
        <v>1</v>
      </c>
      <c r="AF9954">
        <v>1</v>
      </c>
      <c r="AG9954">
        <v>1</v>
      </c>
      <c r="AH9954">
        <v>1</v>
      </c>
      <c r="AI9954">
        <v>1</v>
      </c>
      <c r="AJ9954">
        <v>1</v>
      </c>
      <c r="AK9954">
        <v>1</v>
      </c>
      <c r="AL9954">
        <v>1</v>
      </c>
      <c r="AM9954">
        <v>1</v>
      </c>
    </row>
    <row r="9955" spans="1:39" x14ac:dyDescent="0.2">
      <c r="A9955" t="str">
        <f>"9951"</f>
        <v>9951</v>
      </c>
      <c r="B9955" t="str">
        <f t="shared" si="552"/>
        <v>1</v>
      </c>
      <c r="C9955" t="str">
        <f t="shared" ref="C9955:C9986" si="554">"200"</f>
        <v>200</v>
      </c>
      <c r="D9955" t="str">
        <f>"34"</f>
        <v>34</v>
      </c>
      <c r="E9955" t="str">
        <f>"1-200-34"</f>
        <v>1-200-34</v>
      </c>
      <c r="F9955" t="s">
        <v>65</v>
      </c>
      <c r="G9955" t="s">
        <v>66</v>
      </c>
      <c r="H9955" t="s">
        <v>67</v>
      </c>
      <c r="S9955">
        <v>1</v>
      </c>
      <c r="T9955">
        <v>0</v>
      </c>
      <c r="U9955">
        <v>0</v>
      </c>
      <c r="V9955">
        <v>0</v>
      </c>
      <c r="W9955">
        <v>1</v>
      </c>
      <c r="X9955">
        <v>0</v>
      </c>
      <c r="Y9955">
        <v>0</v>
      </c>
      <c r="Z9955">
        <v>1</v>
      </c>
      <c r="AA9955">
        <v>0</v>
      </c>
      <c r="AB9955">
        <v>0</v>
      </c>
      <c r="AC9955">
        <v>1</v>
      </c>
      <c r="AD9955">
        <v>1</v>
      </c>
      <c r="AE9955">
        <v>1</v>
      </c>
      <c r="AF9955">
        <v>1</v>
      </c>
      <c r="AG9955">
        <v>1</v>
      </c>
      <c r="AH9955">
        <v>1</v>
      </c>
      <c r="AI9955">
        <v>1</v>
      </c>
      <c r="AJ9955">
        <v>1</v>
      </c>
      <c r="AK9955">
        <v>1</v>
      </c>
      <c r="AL9955">
        <v>1</v>
      </c>
      <c r="AM9955">
        <v>1</v>
      </c>
    </row>
    <row r="9956" spans="1:39" x14ac:dyDescent="0.2">
      <c r="A9956" t="str">
        <f>"9952"</f>
        <v>9952</v>
      </c>
      <c r="B9956" t="str">
        <f t="shared" si="552"/>
        <v>1</v>
      </c>
      <c r="C9956" t="str">
        <f t="shared" si="554"/>
        <v>200</v>
      </c>
      <c r="D9956" t="str">
        <f>"33"</f>
        <v>33</v>
      </c>
      <c r="E9956" t="str">
        <f>"1-200-33"</f>
        <v>1-200-33</v>
      </c>
      <c r="F9956" t="s">
        <v>65</v>
      </c>
      <c r="G9956" t="s">
        <v>66</v>
      </c>
      <c r="H9956" t="s">
        <v>67</v>
      </c>
      <c r="S9956">
        <v>1</v>
      </c>
      <c r="T9956">
        <v>0</v>
      </c>
      <c r="U9956">
        <v>0</v>
      </c>
      <c r="V9956">
        <v>0</v>
      </c>
      <c r="W9956">
        <v>1</v>
      </c>
      <c r="X9956">
        <v>0</v>
      </c>
      <c r="Y9956">
        <v>1</v>
      </c>
      <c r="Z9956">
        <v>0</v>
      </c>
      <c r="AA9956">
        <v>1</v>
      </c>
      <c r="AB9956">
        <v>0</v>
      </c>
      <c r="AC9956">
        <v>0</v>
      </c>
      <c r="AD9956">
        <v>1</v>
      </c>
      <c r="AE9956">
        <v>1</v>
      </c>
      <c r="AF9956">
        <v>1</v>
      </c>
      <c r="AG9956">
        <v>1</v>
      </c>
      <c r="AH9956">
        <v>1</v>
      </c>
      <c r="AI9956">
        <v>1</v>
      </c>
      <c r="AJ9956">
        <v>1</v>
      </c>
      <c r="AK9956">
        <v>1</v>
      </c>
      <c r="AL9956">
        <v>1</v>
      </c>
      <c r="AM9956">
        <v>1</v>
      </c>
    </row>
    <row r="9957" spans="1:39" x14ac:dyDescent="0.2">
      <c r="A9957" t="str">
        <f>"9953"</f>
        <v>9953</v>
      </c>
      <c r="B9957" t="str">
        <f t="shared" si="552"/>
        <v>1</v>
      </c>
      <c r="C9957" t="str">
        <f t="shared" si="554"/>
        <v>200</v>
      </c>
      <c r="D9957" t="str">
        <f>"21"</f>
        <v>21</v>
      </c>
      <c r="E9957" t="str">
        <f>"1-200-21"</f>
        <v>1-200-21</v>
      </c>
      <c r="F9957" t="s">
        <v>65</v>
      </c>
      <c r="G9957" t="s">
        <v>66</v>
      </c>
      <c r="H9957" t="s">
        <v>67</v>
      </c>
      <c r="S9957">
        <v>1</v>
      </c>
      <c r="T9957">
        <v>0</v>
      </c>
      <c r="U9957">
        <v>0</v>
      </c>
      <c r="V9957">
        <v>0</v>
      </c>
      <c r="W9957">
        <v>1</v>
      </c>
      <c r="X9957">
        <v>0</v>
      </c>
      <c r="Y9957">
        <v>1</v>
      </c>
      <c r="Z9957">
        <v>0</v>
      </c>
      <c r="AA9957">
        <v>0</v>
      </c>
      <c r="AB9957">
        <v>0</v>
      </c>
      <c r="AC9957">
        <v>1</v>
      </c>
      <c r="AD9957">
        <v>1</v>
      </c>
      <c r="AE9957">
        <v>1</v>
      </c>
      <c r="AF9957">
        <v>1</v>
      </c>
      <c r="AG9957">
        <v>1</v>
      </c>
      <c r="AH9957">
        <v>1</v>
      </c>
      <c r="AI9957">
        <v>1</v>
      </c>
      <c r="AJ9957">
        <v>1</v>
      </c>
      <c r="AK9957">
        <v>1</v>
      </c>
      <c r="AL9957">
        <v>1</v>
      </c>
      <c r="AM9957">
        <v>1</v>
      </c>
    </row>
    <row r="9958" spans="1:39" x14ac:dyDescent="0.2">
      <c r="A9958" t="str">
        <f>"9954"</f>
        <v>9954</v>
      </c>
      <c r="B9958" t="str">
        <f t="shared" si="552"/>
        <v>1</v>
      </c>
      <c r="C9958" t="str">
        <f t="shared" si="554"/>
        <v>200</v>
      </c>
      <c r="D9958" t="str">
        <f>"15"</f>
        <v>15</v>
      </c>
      <c r="E9958" t="str">
        <f>"1-200-15"</f>
        <v>1-200-15</v>
      </c>
      <c r="F9958" t="s">
        <v>65</v>
      </c>
      <c r="G9958" t="s">
        <v>66</v>
      </c>
      <c r="H9958" t="s">
        <v>67</v>
      </c>
      <c r="S9958">
        <v>0</v>
      </c>
      <c r="T9958">
        <v>1</v>
      </c>
      <c r="U9958">
        <v>0</v>
      </c>
      <c r="V9958">
        <v>0</v>
      </c>
      <c r="W9958">
        <v>1</v>
      </c>
      <c r="X9958">
        <v>0</v>
      </c>
      <c r="Y9958">
        <v>1</v>
      </c>
      <c r="Z9958">
        <v>0</v>
      </c>
      <c r="AA9958">
        <v>0</v>
      </c>
      <c r="AB9958">
        <v>0</v>
      </c>
      <c r="AC9958">
        <v>1</v>
      </c>
      <c r="AD9958">
        <v>1</v>
      </c>
      <c r="AE9958">
        <v>1</v>
      </c>
      <c r="AF9958">
        <v>1</v>
      </c>
      <c r="AG9958">
        <v>1</v>
      </c>
      <c r="AH9958">
        <v>1</v>
      </c>
      <c r="AI9958">
        <v>1</v>
      </c>
      <c r="AJ9958">
        <v>1</v>
      </c>
      <c r="AK9958">
        <v>1</v>
      </c>
      <c r="AL9958">
        <v>1</v>
      </c>
      <c r="AM9958">
        <v>1</v>
      </c>
    </row>
    <row r="9959" spans="1:39" x14ac:dyDescent="0.2">
      <c r="A9959" t="str">
        <f>"9955"</f>
        <v>9955</v>
      </c>
      <c r="B9959" t="str">
        <f t="shared" si="552"/>
        <v>1</v>
      </c>
      <c r="C9959" t="str">
        <f t="shared" si="554"/>
        <v>200</v>
      </c>
      <c r="D9959" t="str">
        <f>"1"</f>
        <v>1</v>
      </c>
      <c r="E9959" t="str">
        <f>"1-200-1"</f>
        <v>1-200-1</v>
      </c>
      <c r="F9959" t="s">
        <v>65</v>
      </c>
      <c r="G9959" t="s">
        <v>66</v>
      </c>
      <c r="H9959" t="s">
        <v>67</v>
      </c>
      <c r="S9959">
        <v>1</v>
      </c>
      <c r="T9959">
        <v>0</v>
      </c>
      <c r="U9959">
        <v>0</v>
      </c>
      <c r="V9959">
        <v>0</v>
      </c>
      <c r="W9959">
        <v>1</v>
      </c>
      <c r="X9959">
        <v>0</v>
      </c>
      <c r="Y9959">
        <v>1</v>
      </c>
      <c r="Z9959">
        <v>0</v>
      </c>
      <c r="AA9959">
        <v>1</v>
      </c>
      <c r="AB9959">
        <v>0</v>
      </c>
      <c r="AC9959">
        <v>0</v>
      </c>
      <c r="AD9959">
        <v>1</v>
      </c>
      <c r="AE9959">
        <v>1</v>
      </c>
      <c r="AF9959">
        <v>1</v>
      </c>
      <c r="AG9959">
        <v>1</v>
      </c>
      <c r="AH9959">
        <v>1</v>
      </c>
      <c r="AI9959">
        <v>1</v>
      </c>
      <c r="AJ9959">
        <v>1</v>
      </c>
      <c r="AK9959">
        <v>1</v>
      </c>
      <c r="AL9959">
        <v>1</v>
      </c>
      <c r="AM9959">
        <v>1</v>
      </c>
    </row>
    <row r="9960" spans="1:39" x14ac:dyDescent="0.2">
      <c r="A9960" t="str">
        <f>"9956"</f>
        <v>9956</v>
      </c>
      <c r="B9960" t="str">
        <f t="shared" si="552"/>
        <v>1</v>
      </c>
      <c r="C9960" t="str">
        <f t="shared" si="554"/>
        <v>200</v>
      </c>
      <c r="D9960" t="str">
        <f>"40"</f>
        <v>40</v>
      </c>
      <c r="E9960" t="str">
        <f>"1-200-40"</f>
        <v>1-200-40</v>
      </c>
      <c r="F9960" t="s">
        <v>65</v>
      </c>
      <c r="G9960" t="s">
        <v>66</v>
      </c>
      <c r="H9960" t="s">
        <v>67</v>
      </c>
      <c r="S9960">
        <v>0</v>
      </c>
      <c r="T9960">
        <v>1</v>
      </c>
      <c r="U9960">
        <v>0</v>
      </c>
      <c r="V9960">
        <v>0</v>
      </c>
      <c r="W9960">
        <v>1</v>
      </c>
      <c r="X9960">
        <v>0</v>
      </c>
      <c r="Y9960">
        <v>0</v>
      </c>
      <c r="Z9960">
        <v>1</v>
      </c>
      <c r="AA9960">
        <v>0</v>
      </c>
      <c r="AB9960">
        <v>0</v>
      </c>
      <c r="AC9960">
        <v>1</v>
      </c>
      <c r="AD9960">
        <v>1</v>
      </c>
      <c r="AE9960">
        <v>1</v>
      </c>
      <c r="AF9960">
        <v>1</v>
      </c>
      <c r="AG9960">
        <v>1</v>
      </c>
      <c r="AH9960">
        <v>1</v>
      </c>
      <c r="AI9960">
        <v>1</v>
      </c>
      <c r="AJ9960">
        <v>1</v>
      </c>
      <c r="AK9960">
        <v>1</v>
      </c>
      <c r="AL9960">
        <v>1</v>
      </c>
      <c r="AM9960">
        <v>1</v>
      </c>
    </row>
    <row r="9961" spans="1:39" x14ac:dyDescent="0.2">
      <c r="A9961" t="str">
        <f>"9957"</f>
        <v>9957</v>
      </c>
      <c r="B9961" t="str">
        <f t="shared" si="552"/>
        <v>1</v>
      </c>
      <c r="C9961" t="str">
        <f t="shared" si="554"/>
        <v>200</v>
      </c>
      <c r="D9961" t="str">
        <f>"39"</f>
        <v>39</v>
      </c>
      <c r="E9961" t="str">
        <f>"1-200-39"</f>
        <v>1-200-39</v>
      </c>
      <c r="F9961" t="s">
        <v>65</v>
      </c>
      <c r="G9961" t="s">
        <v>66</v>
      </c>
      <c r="H9961" t="s">
        <v>67</v>
      </c>
      <c r="S9961">
        <v>1</v>
      </c>
      <c r="T9961">
        <v>0</v>
      </c>
      <c r="U9961">
        <v>0</v>
      </c>
      <c r="V9961">
        <v>0</v>
      </c>
      <c r="W9961">
        <v>1</v>
      </c>
      <c r="X9961">
        <v>0</v>
      </c>
      <c r="Y9961">
        <v>1</v>
      </c>
      <c r="Z9961">
        <v>0</v>
      </c>
      <c r="AA9961">
        <v>1</v>
      </c>
      <c r="AB9961">
        <v>0</v>
      </c>
      <c r="AC9961">
        <v>0</v>
      </c>
      <c r="AD9961">
        <v>1</v>
      </c>
      <c r="AE9961">
        <v>1</v>
      </c>
      <c r="AF9961">
        <v>1</v>
      </c>
      <c r="AG9961">
        <v>1</v>
      </c>
      <c r="AH9961">
        <v>1</v>
      </c>
      <c r="AI9961">
        <v>1</v>
      </c>
      <c r="AJ9961">
        <v>1</v>
      </c>
      <c r="AK9961">
        <v>1</v>
      </c>
      <c r="AL9961">
        <v>1</v>
      </c>
      <c r="AM9961">
        <v>1</v>
      </c>
    </row>
    <row r="9962" spans="1:39" x14ac:dyDescent="0.2">
      <c r="A9962" t="str">
        <f>"9958"</f>
        <v>9958</v>
      </c>
      <c r="B9962" t="str">
        <f t="shared" si="552"/>
        <v>1</v>
      </c>
      <c r="C9962" t="str">
        <f t="shared" si="554"/>
        <v>200</v>
      </c>
      <c r="D9962" t="str">
        <f>"28"</f>
        <v>28</v>
      </c>
      <c r="E9962" t="str">
        <f>"1-200-28"</f>
        <v>1-200-28</v>
      </c>
      <c r="F9962" t="s">
        <v>65</v>
      </c>
      <c r="G9962" t="s">
        <v>66</v>
      </c>
      <c r="H9962" t="s">
        <v>67</v>
      </c>
      <c r="S9962">
        <v>0</v>
      </c>
      <c r="T9962">
        <v>1</v>
      </c>
      <c r="U9962">
        <v>0</v>
      </c>
      <c r="V9962">
        <v>0</v>
      </c>
      <c r="W9962">
        <v>1</v>
      </c>
      <c r="X9962">
        <v>0</v>
      </c>
      <c r="Y9962">
        <v>1</v>
      </c>
      <c r="Z9962">
        <v>0</v>
      </c>
      <c r="AA9962">
        <v>1</v>
      </c>
      <c r="AB9962">
        <v>0</v>
      </c>
      <c r="AC9962">
        <v>0</v>
      </c>
      <c r="AD9962">
        <v>1</v>
      </c>
      <c r="AE9962">
        <v>1</v>
      </c>
      <c r="AF9962">
        <v>1</v>
      </c>
      <c r="AG9962">
        <v>1</v>
      </c>
      <c r="AH9962">
        <v>1</v>
      </c>
      <c r="AI9962">
        <v>1</v>
      </c>
      <c r="AJ9962">
        <v>1</v>
      </c>
      <c r="AK9962">
        <v>1</v>
      </c>
      <c r="AL9962">
        <v>1</v>
      </c>
      <c r="AM9962">
        <v>1</v>
      </c>
    </row>
    <row r="9963" spans="1:39" x14ac:dyDescent="0.2">
      <c r="A9963" t="str">
        <f>"9959"</f>
        <v>9959</v>
      </c>
      <c r="B9963" t="str">
        <f t="shared" si="552"/>
        <v>1</v>
      </c>
      <c r="C9963" t="str">
        <f t="shared" si="554"/>
        <v>200</v>
      </c>
      <c r="D9963" t="str">
        <f>"11"</f>
        <v>11</v>
      </c>
      <c r="E9963" t="str">
        <f>"1-200-11"</f>
        <v>1-200-11</v>
      </c>
      <c r="F9963" t="s">
        <v>65</v>
      </c>
      <c r="G9963" t="s">
        <v>66</v>
      </c>
      <c r="H9963" t="s">
        <v>67</v>
      </c>
      <c r="S9963">
        <v>1</v>
      </c>
      <c r="T9963">
        <v>0</v>
      </c>
      <c r="U9963">
        <v>0</v>
      </c>
      <c r="V9963">
        <v>0</v>
      </c>
      <c r="W9963">
        <v>1</v>
      </c>
      <c r="X9963">
        <v>0</v>
      </c>
      <c r="Y9963">
        <v>1</v>
      </c>
      <c r="Z9963">
        <v>0</v>
      </c>
      <c r="AA9963">
        <v>1</v>
      </c>
      <c r="AB9963">
        <v>0</v>
      </c>
      <c r="AC9963">
        <v>0</v>
      </c>
      <c r="AD9963">
        <v>1</v>
      </c>
      <c r="AE9963">
        <v>1</v>
      </c>
      <c r="AF9963">
        <v>1</v>
      </c>
      <c r="AG9963">
        <v>1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</row>
    <row r="9964" spans="1:39" x14ac:dyDescent="0.2">
      <c r="A9964" t="str">
        <f>"9960"</f>
        <v>9960</v>
      </c>
      <c r="B9964" t="str">
        <f t="shared" si="552"/>
        <v>1</v>
      </c>
      <c r="C9964" t="str">
        <f t="shared" si="554"/>
        <v>200</v>
      </c>
      <c r="D9964" t="str">
        <f>"38"</f>
        <v>38</v>
      </c>
      <c r="E9964" t="str">
        <f>"1-200-38"</f>
        <v>1-200-38</v>
      </c>
      <c r="F9964" t="s">
        <v>65</v>
      </c>
      <c r="G9964" t="s">
        <v>66</v>
      </c>
      <c r="H9964" t="s">
        <v>67</v>
      </c>
      <c r="S9964">
        <v>0</v>
      </c>
      <c r="T9964">
        <v>1</v>
      </c>
      <c r="U9964">
        <v>0</v>
      </c>
      <c r="V9964">
        <v>0</v>
      </c>
      <c r="W9964">
        <v>1</v>
      </c>
      <c r="X9964">
        <v>0</v>
      </c>
      <c r="Y9964">
        <v>1</v>
      </c>
      <c r="Z9964">
        <v>0</v>
      </c>
      <c r="AA9964">
        <v>1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1</v>
      </c>
      <c r="AM9964">
        <v>0</v>
      </c>
    </row>
    <row r="9965" spans="1:39" x14ac:dyDescent="0.2">
      <c r="A9965" t="str">
        <f>"9961"</f>
        <v>9961</v>
      </c>
      <c r="B9965" t="str">
        <f t="shared" si="552"/>
        <v>1</v>
      </c>
      <c r="C9965" t="str">
        <f t="shared" si="554"/>
        <v>200</v>
      </c>
      <c r="D9965" t="str">
        <f>"37"</f>
        <v>37</v>
      </c>
      <c r="E9965" t="str">
        <f>"1-200-37"</f>
        <v>1-200-37</v>
      </c>
      <c r="F9965" t="s">
        <v>65</v>
      </c>
      <c r="G9965" t="s">
        <v>66</v>
      </c>
      <c r="H9965" t="s">
        <v>67</v>
      </c>
      <c r="S9965">
        <v>1</v>
      </c>
      <c r="T9965">
        <v>0</v>
      </c>
      <c r="U9965">
        <v>0</v>
      </c>
      <c r="V9965">
        <v>0</v>
      </c>
      <c r="W9965">
        <v>1</v>
      </c>
      <c r="X9965">
        <v>0</v>
      </c>
      <c r="Y9965">
        <v>0</v>
      </c>
      <c r="Z9965">
        <v>1</v>
      </c>
      <c r="AA9965">
        <v>1</v>
      </c>
      <c r="AB9965">
        <v>0</v>
      </c>
      <c r="AC9965">
        <v>0</v>
      </c>
      <c r="AD9965">
        <v>1</v>
      </c>
      <c r="AE9965">
        <v>1</v>
      </c>
      <c r="AF9965">
        <v>1</v>
      </c>
      <c r="AG9965">
        <v>1</v>
      </c>
      <c r="AH9965">
        <v>1</v>
      </c>
      <c r="AI9965">
        <v>1</v>
      </c>
      <c r="AJ9965">
        <v>1</v>
      </c>
      <c r="AK9965">
        <v>1</v>
      </c>
      <c r="AL9965">
        <v>1</v>
      </c>
      <c r="AM9965">
        <v>1</v>
      </c>
    </row>
    <row r="9966" spans="1:39" x14ac:dyDescent="0.2">
      <c r="A9966" t="str">
        <f>"9962"</f>
        <v>9962</v>
      </c>
      <c r="B9966" t="str">
        <f t="shared" si="552"/>
        <v>1</v>
      </c>
      <c r="C9966" t="str">
        <f t="shared" si="554"/>
        <v>200</v>
      </c>
      <c r="D9966" t="str">
        <f>"26"</f>
        <v>26</v>
      </c>
      <c r="E9966" t="str">
        <f>"1-200-26"</f>
        <v>1-200-26</v>
      </c>
      <c r="F9966" t="s">
        <v>65</v>
      </c>
      <c r="G9966" t="s">
        <v>66</v>
      </c>
      <c r="H9966" t="s">
        <v>67</v>
      </c>
      <c r="S9966">
        <v>1</v>
      </c>
      <c r="T9966">
        <v>0</v>
      </c>
      <c r="U9966">
        <v>0</v>
      </c>
      <c r="V9966">
        <v>0</v>
      </c>
      <c r="W9966">
        <v>1</v>
      </c>
      <c r="X9966">
        <v>0</v>
      </c>
      <c r="Y9966">
        <v>1</v>
      </c>
      <c r="Z9966">
        <v>0</v>
      </c>
      <c r="AA9966">
        <v>1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1</v>
      </c>
      <c r="AI9966">
        <v>0</v>
      </c>
      <c r="AJ9966">
        <v>0</v>
      </c>
      <c r="AK9966">
        <v>1</v>
      </c>
      <c r="AL9966">
        <v>0</v>
      </c>
      <c r="AM9966">
        <v>0</v>
      </c>
    </row>
    <row r="9967" spans="1:39" x14ac:dyDescent="0.2">
      <c r="A9967" t="str">
        <f>"9963"</f>
        <v>9963</v>
      </c>
      <c r="B9967" t="str">
        <f t="shared" si="552"/>
        <v>1</v>
      </c>
      <c r="C9967" t="str">
        <f t="shared" si="554"/>
        <v>200</v>
      </c>
      <c r="D9967" t="str">
        <f>"17"</f>
        <v>17</v>
      </c>
      <c r="E9967" t="str">
        <f>"1-200-17"</f>
        <v>1-200-17</v>
      </c>
      <c r="F9967" t="s">
        <v>65</v>
      </c>
      <c r="G9967" t="s">
        <v>66</v>
      </c>
      <c r="H9967" t="s">
        <v>67</v>
      </c>
      <c r="S9967">
        <v>1</v>
      </c>
      <c r="T9967">
        <v>0</v>
      </c>
      <c r="U9967">
        <v>0</v>
      </c>
      <c r="V9967">
        <v>0</v>
      </c>
      <c r="W9967">
        <v>0</v>
      </c>
      <c r="X9967">
        <v>1</v>
      </c>
      <c r="Y9967">
        <v>0</v>
      </c>
      <c r="Z9967">
        <v>1</v>
      </c>
      <c r="AA9967">
        <v>0</v>
      </c>
      <c r="AB9967">
        <v>0</v>
      </c>
      <c r="AC9967">
        <v>1</v>
      </c>
      <c r="AD9967">
        <v>1</v>
      </c>
      <c r="AE9967">
        <v>1</v>
      </c>
      <c r="AF9967">
        <v>1</v>
      </c>
      <c r="AG9967">
        <v>1</v>
      </c>
      <c r="AH9967">
        <v>1</v>
      </c>
      <c r="AI9967">
        <v>1</v>
      </c>
      <c r="AJ9967">
        <v>1</v>
      </c>
      <c r="AK9967">
        <v>1</v>
      </c>
      <c r="AL9967">
        <v>1</v>
      </c>
      <c r="AM9967">
        <v>1</v>
      </c>
    </row>
    <row r="9968" spans="1:39" x14ac:dyDescent="0.2">
      <c r="A9968" t="str">
        <f>"9964"</f>
        <v>9964</v>
      </c>
      <c r="B9968" t="str">
        <f t="shared" si="552"/>
        <v>1</v>
      </c>
      <c r="C9968" t="str">
        <f t="shared" si="554"/>
        <v>200</v>
      </c>
      <c r="D9968" t="str">
        <f>"8"</f>
        <v>8</v>
      </c>
      <c r="E9968" t="str">
        <f>"1-200-8"</f>
        <v>1-200-8</v>
      </c>
      <c r="F9968" t="s">
        <v>65</v>
      </c>
      <c r="G9968" t="s">
        <v>66</v>
      </c>
      <c r="H9968" t="s">
        <v>67</v>
      </c>
      <c r="S9968">
        <v>0</v>
      </c>
      <c r="T9968">
        <v>1</v>
      </c>
      <c r="U9968">
        <v>0</v>
      </c>
      <c r="V9968">
        <v>0</v>
      </c>
      <c r="W9968">
        <v>0</v>
      </c>
      <c r="X9968">
        <v>1</v>
      </c>
      <c r="Y9968">
        <v>1</v>
      </c>
      <c r="Z9968">
        <v>0</v>
      </c>
      <c r="AA9968">
        <v>0</v>
      </c>
      <c r="AB9968">
        <v>0</v>
      </c>
      <c r="AC9968">
        <v>1</v>
      </c>
      <c r="AD9968">
        <v>1</v>
      </c>
      <c r="AE9968">
        <v>1</v>
      </c>
      <c r="AF9968">
        <v>1</v>
      </c>
      <c r="AG9968">
        <v>1</v>
      </c>
      <c r="AH9968">
        <v>1</v>
      </c>
      <c r="AI9968">
        <v>1</v>
      </c>
      <c r="AJ9968">
        <v>1</v>
      </c>
      <c r="AK9968">
        <v>1</v>
      </c>
      <c r="AL9968">
        <v>1</v>
      </c>
      <c r="AM9968">
        <v>1</v>
      </c>
    </row>
    <row r="9969" spans="1:39" x14ac:dyDescent="0.2">
      <c r="A9969" t="str">
        <f>"9965"</f>
        <v>9965</v>
      </c>
      <c r="B9969" t="str">
        <f t="shared" si="552"/>
        <v>1</v>
      </c>
      <c r="C9969" t="str">
        <f t="shared" si="554"/>
        <v>200</v>
      </c>
      <c r="D9969" t="str">
        <f>"36"</f>
        <v>36</v>
      </c>
      <c r="E9969" t="str">
        <f>"1-200-36"</f>
        <v>1-200-36</v>
      </c>
      <c r="F9969" t="s">
        <v>65</v>
      </c>
      <c r="G9969" t="s">
        <v>66</v>
      </c>
      <c r="H9969" t="s">
        <v>67</v>
      </c>
      <c r="S9969">
        <v>1</v>
      </c>
      <c r="T9969">
        <v>0</v>
      </c>
      <c r="U9969">
        <v>0</v>
      </c>
      <c r="V9969">
        <v>0</v>
      </c>
      <c r="W9969">
        <v>1</v>
      </c>
      <c r="X9969">
        <v>0</v>
      </c>
      <c r="Y9969">
        <v>1</v>
      </c>
      <c r="Z9969">
        <v>0</v>
      </c>
      <c r="AA9969">
        <v>0</v>
      </c>
      <c r="AB9969">
        <v>0</v>
      </c>
      <c r="AC9969">
        <v>1</v>
      </c>
      <c r="AD9969">
        <v>1</v>
      </c>
      <c r="AE9969">
        <v>1</v>
      </c>
      <c r="AF9969">
        <v>1</v>
      </c>
      <c r="AG9969">
        <v>1</v>
      </c>
      <c r="AH9969">
        <v>1</v>
      </c>
      <c r="AI9969">
        <v>1</v>
      </c>
      <c r="AJ9969">
        <v>1</v>
      </c>
      <c r="AK9969">
        <v>1</v>
      </c>
      <c r="AL9969">
        <v>1</v>
      </c>
      <c r="AM9969">
        <v>1</v>
      </c>
    </row>
    <row r="9970" spans="1:39" x14ac:dyDescent="0.2">
      <c r="A9970" t="str">
        <f>"9966"</f>
        <v>9966</v>
      </c>
      <c r="B9970" t="str">
        <f t="shared" si="552"/>
        <v>1</v>
      </c>
      <c r="C9970" t="str">
        <f t="shared" si="554"/>
        <v>200</v>
      </c>
      <c r="D9970" t="str">
        <f>"35"</f>
        <v>35</v>
      </c>
      <c r="E9970" t="str">
        <f>"1-200-35"</f>
        <v>1-200-35</v>
      </c>
      <c r="F9970" t="s">
        <v>65</v>
      </c>
      <c r="G9970" t="s">
        <v>66</v>
      </c>
      <c r="H9970" t="s">
        <v>67</v>
      </c>
      <c r="S9970">
        <v>1</v>
      </c>
      <c r="T9970">
        <v>0</v>
      </c>
      <c r="U9970">
        <v>0</v>
      </c>
      <c r="V9970">
        <v>0</v>
      </c>
      <c r="W9970">
        <v>1</v>
      </c>
      <c r="X9970">
        <v>0</v>
      </c>
      <c r="Y9970">
        <v>1</v>
      </c>
      <c r="Z9970">
        <v>0</v>
      </c>
      <c r="AA9970">
        <v>1</v>
      </c>
      <c r="AB9970">
        <v>0</v>
      </c>
      <c r="AC9970">
        <v>0</v>
      </c>
      <c r="AD9970">
        <v>1</v>
      </c>
      <c r="AE9970">
        <v>1</v>
      </c>
      <c r="AF9970">
        <v>1</v>
      </c>
      <c r="AG9970">
        <v>1</v>
      </c>
      <c r="AH9970">
        <v>1</v>
      </c>
      <c r="AI9970">
        <v>1</v>
      </c>
      <c r="AJ9970">
        <v>1</v>
      </c>
      <c r="AK9970">
        <v>1</v>
      </c>
      <c r="AL9970">
        <v>1</v>
      </c>
      <c r="AM9970">
        <v>1</v>
      </c>
    </row>
    <row r="9971" spans="1:39" x14ac:dyDescent="0.2">
      <c r="A9971" t="str">
        <f>"9967"</f>
        <v>9967</v>
      </c>
      <c r="B9971" t="str">
        <f t="shared" si="552"/>
        <v>1</v>
      </c>
      <c r="C9971" t="str">
        <f t="shared" si="554"/>
        <v>200</v>
      </c>
      <c r="D9971" t="str">
        <f>"22"</f>
        <v>22</v>
      </c>
      <c r="E9971" t="str">
        <f>"1-200-22"</f>
        <v>1-200-22</v>
      </c>
      <c r="F9971" t="s">
        <v>65</v>
      </c>
      <c r="G9971" t="s">
        <v>66</v>
      </c>
      <c r="H9971" t="s">
        <v>67</v>
      </c>
      <c r="S9971">
        <v>1</v>
      </c>
      <c r="T9971">
        <v>0</v>
      </c>
      <c r="U9971">
        <v>0</v>
      </c>
      <c r="V9971">
        <v>0</v>
      </c>
      <c r="W9971">
        <v>1</v>
      </c>
      <c r="X9971">
        <v>0</v>
      </c>
      <c r="Y9971">
        <v>1</v>
      </c>
      <c r="Z9971">
        <v>0</v>
      </c>
      <c r="AA9971">
        <v>1</v>
      </c>
      <c r="AB9971">
        <v>0</v>
      </c>
      <c r="AC9971">
        <v>0</v>
      </c>
      <c r="AD9971">
        <v>0</v>
      </c>
      <c r="AE9971">
        <v>1</v>
      </c>
      <c r="AF9971">
        <v>1</v>
      </c>
      <c r="AG9971">
        <v>1</v>
      </c>
      <c r="AH9971">
        <v>1</v>
      </c>
      <c r="AI9971">
        <v>0</v>
      </c>
      <c r="AJ9971">
        <v>1</v>
      </c>
      <c r="AK9971">
        <v>1</v>
      </c>
      <c r="AL9971">
        <v>1</v>
      </c>
      <c r="AM9971">
        <v>1</v>
      </c>
    </row>
    <row r="9972" spans="1:39" x14ac:dyDescent="0.2">
      <c r="A9972" t="str">
        <f>"9968"</f>
        <v>9968</v>
      </c>
      <c r="B9972" t="str">
        <f t="shared" si="552"/>
        <v>1</v>
      </c>
      <c r="C9972" t="str">
        <f t="shared" si="554"/>
        <v>200</v>
      </c>
      <c r="D9972" t="str">
        <f>"18"</f>
        <v>18</v>
      </c>
      <c r="E9972" t="str">
        <f>"1-200-18"</f>
        <v>1-200-18</v>
      </c>
      <c r="F9972" t="s">
        <v>65</v>
      </c>
      <c r="G9972" t="s">
        <v>66</v>
      </c>
      <c r="H9972" t="s">
        <v>67</v>
      </c>
      <c r="S9972">
        <v>0</v>
      </c>
      <c r="T9972">
        <v>1</v>
      </c>
      <c r="U9972">
        <v>0</v>
      </c>
      <c r="V9972">
        <v>0</v>
      </c>
      <c r="W9972">
        <v>1</v>
      </c>
      <c r="X9972">
        <v>0</v>
      </c>
      <c r="Y9972">
        <v>1</v>
      </c>
      <c r="Z9972">
        <v>0</v>
      </c>
      <c r="AA9972">
        <v>1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1</v>
      </c>
      <c r="AH9972">
        <v>1</v>
      </c>
      <c r="AI9972">
        <v>1</v>
      </c>
      <c r="AJ9972">
        <v>1</v>
      </c>
      <c r="AK9972">
        <v>1</v>
      </c>
      <c r="AL9972">
        <v>1</v>
      </c>
      <c r="AM9972">
        <v>1</v>
      </c>
    </row>
    <row r="9973" spans="1:39" x14ac:dyDescent="0.2">
      <c r="A9973" t="str">
        <f>"9969"</f>
        <v>9969</v>
      </c>
      <c r="B9973" t="str">
        <f t="shared" si="552"/>
        <v>1</v>
      </c>
      <c r="C9973" t="str">
        <f t="shared" si="554"/>
        <v>200</v>
      </c>
      <c r="D9973" t="str">
        <f>"2"</f>
        <v>2</v>
      </c>
      <c r="E9973" t="str">
        <f>"1-200-2"</f>
        <v>1-200-2</v>
      </c>
      <c r="F9973" t="s">
        <v>65</v>
      </c>
      <c r="G9973" t="s">
        <v>66</v>
      </c>
      <c r="H9973" t="s">
        <v>67</v>
      </c>
      <c r="S9973">
        <v>1</v>
      </c>
      <c r="T9973">
        <v>0</v>
      </c>
      <c r="U9973">
        <v>0</v>
      </c>
      <c r="V9973">
        <v>0</v>
      </c>
      <c r="W9973">
        <v>1</v>
      </c>
      <c r="X9973">
        <v>0</v>
      </c>
      <c r="Y9973">
        <v>0</v>
      </c>
      <c r="Z9973">
        <v>0</v>
      </c>
      <c r="AA9973">
        <v>0</v>
      </c>
      <c r="AB9973">
        <v>1</v>
      </c>
      <c r="AC9973">
        <v>0</v>
      </c>
      <c r="AD9973">
        <v>1</v>
      </c>
      <c r="AE9973">
        <v>0</v>
      </c>
      <c r="AF9973">
        <v>1</v>
      </c>
      <c r="AG9973">
        <v>1</v>
      </c>
      <c r="AH9973">
        <v>1</v>
      </c>
      <c r="AI9973">
        <v>1</v>
      </c>
      <c r="AJ9973">
        <v>1</v>
      </c>
      <c r="AK9973">
        <v>1</v>
      </c>
      <c r="AL9973">
        <v>1</v>
      </c>
      <c r="AM9973">
        <v>1</v>
      </c>
    </row>
    <row r="9974" spans="1:39" x14ac:dyDescent="0.2">
      <c r="A9974" t="str">
        <f>"9970"</f>
        <v>9970</v>
      </c>
      <c r="B9974" t="str">
        <f t="shared" si="552"/>
        <v>1</v>
      </c>
      <c r="C9974" t="str">
        <f t="shared" si="554"/>
        <v>200</v>
      </c>
      <c r="D9974" t="str">
        <f>"41"</f>
        <v>41</v>
      </c>
      <c r="E9974" t="str">
        <f>"1-200-41"</f>
        <v>1-200-41</v>
      </c>
      <c r="F9974" t="s">
        <v>65</v>
      </c>
      <c r="G9974" t="s">
        <v>66</v>
      </c>
      <c r="H9974" t="s">
        <v>67</v>
      </c>
      <c r="S9974">
        <v>1</v>
      </c>
      <c r="T9974">
        <v>0</v>
      </c>
      <c r="U9974">
        <v>0</v>
      </c>
      <c r="V9974">
        <v>0</v>
      </c>
      <c r="W9974">
        <v>1</v>
      </c>
      <c r="X9974">
        <v>0</v>
      </c>
      <c r="Y9974">
        <v>0</v>
      </c>
      <c r="Z9974">
        <v>1</v>
      </c>
      <c r="AA9974">
        <v>1</v>
      </c>
      <c r="AB9974">
        <v>0</v>
      </c>
      <c r="AC9974">
        <v>0</v>
      </c>
      <c r="AD9974">
        <v>1</v>
      </c>
      <c r="AE9974">
        <v>1</v>
      </c>
      <c r="AF9974">
        <v>1</v>
      </c>
      <c r="AG9974">
        <v>1</v>
      </c>
      <c r="AH9974">
        <v>1</v>
      </c>
      <c r="AI9974">
        <v>1</v>
      </c>
      <c r="AJ9974">
        <v>1</v>
      </c>
      <c r="AK9974">
        <v>1</v>
      </c>
      <c r="AL9974">
        <v>1</v>
      </c>
      <c r="AM9974">
        <v>1</v>
      </c>
    </row>
    <row r="9975" spans="1:39" x14ac:dyDescent="0.2">
      <c r="A9975" t="str">
        <f>"9971"</f>
        <v>9971</v>
      </c>
      <c r="B9975" t="str">
        <f t="shared" ref="B9975:B10038" si="555">"1"</f>
        <v>1</v>
      </c>
      <c r="C9975" t="str">
        <f t="shared" si="554"/>
        <v>200</v>
      </c>
      <c r="D9975" t="str">
        <f>"19"</f>
        <v>19</v>
      </c>
      <c r="E9975" t="str">
        <f>"1-200-19"</f>
        <v>1-200-19</v>
      </c>
      <c r="F9975" t="s">
        <v>65</v>
      </c>
      <c r="G9975" t="s">
        <v>66</v>
      </c>
      <c r="H9975" t="s">
        <v>67</v>
      </c>
      <c r="S9975">
        <v>1</v>
      </c>
      <c r="T9975">
        <v>0</v>
      </c>
      <c r="U9975">
        <v>0</v>
      </c>
      <c r="V9975">
        <v>0</v>
      </c>
      <c r="W9975">
        <v>1</v>
      </c>
      <c r="X9975">
        <v>0</v>
      </c>
      <c r="Y9975">
        <v>0</v>
      </c>
      <c r="Z9975">
        <v>1</v>
      </c>
      <c r="AA9975">
        <v>0</v>
      </c>
      <c r="AB9975">
        <v>1</v>
      </c>
      <c r="AC9975">
        <v>0</v>
      </c>
      <c r="AD9975">
        <v>0</v>
      </c>
      <c r="AE9975">
        <v>0</v>
      </c>
      <c r="AF9975">
        <v>0</v>
      </c>
      <c r="AG9975">
        <v>1</v>
      </c>
      <c r="AH9975">
        <v>0</v>
      </c>
      <c r="AI9975">
        <v>0</v>
      </c>
      <c r="AJ9975">
        <v>0</v>
      </c>
      <c r="AK9975">
        <v>0</v>
      </c>
      <c r="AL9975">
        <v>1</v>
      </c>
      <c r="AM9975">
        <v>0</v>
      </c>
    </row>
    <row r="9976" spans="1:39" x14ac:dyDescent="0.2">
      <c r="A9976" t="str">
        <f>"9972"</f>
        <v>9972</v>
      </c>
      <c r="B9976" t="str">
        <f t="shared" si="555"/>
        <v>1</v>
      </c>
      <c r="C9976" t="str">
        <f t="shared" si="554"/>
        <v>200</v>
      </c>
      <c r="D9976" t="str">
        <f>"12"</f>
        <v>12</v>
      </c>
      <c r="E9976" t="str">
        <f>"1-200-12"</f>
        <v>1-200-12</v>
      </c>
      <c r="F9976" t="s">
        <v>65</v>
      </c>
      <c r="G9976" t="s">
        <v>66</v>
      </c>
      <c r="H9976" t="s">
        <v>67</v>
      </c>
      <c r="S9976">
        <v>0</v>
      </c>
      <c r="T9976">
        <v>1</v>
      </c>
      <c r="U9976">
        <v>0</v>
      </c>
      <c r="V9976">
        <v>0</v>
      </c>
      <c r="W9976">
        <v>1</v>
      </c>
      <c r="X9976">
        <v>0</v>
      </c>
      <c r="Y9976">
        <v>0</v>
      </c>
      <c r="Z9976">
        <v>1</v>
      </c>
      <c r="AA9976">
        <v>0</v>
      </c>
      <c r="AB9976">
        <v>0</v>
      </c>
      <c r="AC9976">
        <v>1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</row>
    <row r="9977" spans="1:39" x14ac:dyDescent="0.2">
      <c r="A9977" t="str">
        <f>"9973"</f>
        <v>9973</v>
      </c>
      <c r="B9977" t="str">
        <f t="shared" si="555"/>
        <v>1</v>
      </c>
      <c r="C9977" t="str">
        <f t="shared" si="554"/>
        <v>200</v>
      </c>
      <c r="D9977" t="str">
        <f>"42"</f>
        <v>42</v>
      </c>
      <c r="E9977" t="str">
        <f>"1-200-42"</f>
        <v>1-200-42</v>
      </c>
      <c r="F9977" t="s">
        <v>65</v>
      </c>
      <c r="G9977" t="s">
        <v>66</v>
      </c>
      <c r="H9977" t="s">
        <v>67</v>
      </c>
      <c r="S9977">
        <v>1</v>
      </c>
      <c r="T9977">
        <v>0</v>
      </c>
      <c r="U9977">
        <v>0</v>
      </c>
      <c r="V9977">
        <v>0</v>
      </c>
      <c r="W9977">
        <v>1</v>
      </c>
      <c r="X9977">
        <v>0</v>
      </c>
      <c r="Y9977">
        <v>0</v>
      </c>
      <c r="Z9977">
        <v>0</v>
      </c>
      <c r="AA9977">
        <v>1</v>
      </c>
      <c r="AB9977">
        <v>0</v>
      </c>
      <c r="AC9977">
        <v>0</v>
      </c>
      <c r="AD9977">
        <v>1</v>
      </c>
      <c r="AE9977">
        <v>1</v>
      </c>
      <c r="AF9977">
        <v>1</v>
      </c>
      <c r="AG9977">
        <v>1</v>
      </c>
      <c r="AH9977">
        <v>1</v>
      </c>
      <c r="AI9977">
        <v>1</v>
      </c>
      <c r="AJ9977">
        <v>1</v>
      </c>
      <c r="AK9977">
        <v>1</v>
      </c>
      <c r="AL9977">
        <v>1</v>
      </c>
      <c r="AM9977">
        <v>1</v>
      </c>
    </row>
    <row r="9978" spans="1:39" x14ac:dyDescent="0.2">
      <c r="A9978" t="str">
        <f>"9974"</f>
        <v>9974</v>
      </c>
      <c r="B9978" t="str">
        <f t="shared" si="555"/>
        <v>1</v>
      </c>
      <c r="C9978" t="str">
        <f t="shared" si="554"/>
        <v>200</v>
      </c>
      <c r="D9978" t="str">
        <f>"20"</f>
        <v>20</v>
      </c>
      <c r="E9978" t="str">
        <f>"1-200-20"</f>
        <v>1-200-20</v>
      </c>
      <c r="F9978" t="s">
        <v>65</v>
      </c>
      <c r="G9978" t="s">
        <v>66</v>
      </c>
      <c r="H9978" t="s">
        <v>67</v>
      </c>
      <c r="S9978">
        <v>1</v>
      </c>
      <c r="T9978">
        <v>0</v>
      </c>
      <c r="U9978">
        <v>0</v>
      </c>
      <c r="V9978">
        <v>0</v>
      </c>
      <c r="W9978">
        <v>1</v>
      </c>
      <c r="X9978">
        <v>0</v>
      </c>
      <c r="Y9978">
        <v>0</v>
      </c>
      <c r="Z9978">
        <v>1</v>
      </c>
      <c r="AA9978">
        <v>1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</row>
    <row r="9979" spans="1:39" x14ac:dyDescent="0.2">
      <c r="A9979" t="str">
        <f>"9975"</f>
        <v>9975</v>
      </c>
      <c r="B9979" t="str">
        <f t="shared" si="555"/>
        <v>1</v>
      </c>
      <c r="C9979" t="str">
        <f t="shared" si="554"/>
        <v>200</v>
      </c>
      <c r="D9979" t="str">
        <f>"6"</f>
        <v>6</v>
      </c>
      <c r="E9979" t="str">
        <f>"1-200-6"</f>
        <v>1-200-6</v>
      </c>
      <c r="F9979" t="s">
        <v>65</v>
      </c>
      <c r="G9979" t="s">
        <v>66</v>
      </c>
      <c r="H9979" t="s">
        <v>67</v>
      </c>
      <c r="S9979">
        <v>1</v>
      </c>
      <c r="T9979">
        <v>0</v>
      </c>
      <c r="U9979">
        <v>0</v>
      </c>
      <c r="V9979">
        <v>0</v>
      </c>
      <c r="W9979">
        <v>1</v>
      </c>
      <c r="X9979">
        <v>0</v>
      </c>
      <c r="Y9979">
        <v>0</v>
      </c>
      <c r="Z9979">
        <v>1</v>
      </c>
      <c r="AA9979">
        <v>1</v>
      </c>
      <c r="AB9979">
        <v>0</v>
      </c>
      <c r="AC9979">
        <v>0</v>
      </c>
      <c r="AD9979">
        <v>1</v>
      </c>
      <c r="AE9979">
        <v>1</v>
      </c>
      <c r="AF9979">
        <v>1</v>
      </c>
      <c r="AG9979">
        <v>1</v>
      </c>
      <c r="AH9979">
        <v>1</v>
      </c>
      <c r="AI9979">
        <v>1</v>
      </c>
      <c r="AJ9979">
        <v>1</v>
      </c>
      <c r="AK9979">
        <v>1</v>
      </c>
      <c r="AL9979">
        <v>1</v>
      </c>
      <c r="AM9979">
        <v>1</v>
      </c>
    </row>
    <row r="9980" spans="1:39" x14ac:dyDescent="0.2">
      <c r="A9980" t="str">
        <f>"9976"</f>
        <v>9976</v>
      </c>
      <c r="B9980" t="str">
        <f t="shared" si="555"/>
        <v>1</v>
      </c>
      <c r="C9980" t="str">
        <f t="shared" si="554"/>
        <v>200</v>
      </c>
      <c r="D9980" t="str">
        <f>"23"</f>
        <v>23</v>
      </c>
      <c r="E9980" t="str">
        <f>"1-200-23"</f>
        <v>1-200-23</v>
      </c>
      <c r="F9980" t="s">
        <v>65</v>
      </c>
      <c r="G9980" t="s">
        <v>66</v>
      </c>
      <c r="H9980" t="s">
        <v>67</v>
      </c>
      <c r="S9980">
        <v>1</v>
      </c>
      <c r="T9980">
        <v>0</v>
      </c>
      <c r="U9980">
        <v>0</v>
      </c>
      <c r="V9980">
        <v>0</v>
      </c>
      <c r="W9980">
        <v>1</v>
      </c>
      <c r="X9980">
        <v>0</v>
      </c>
      <c r="Y9980">
        <v>1</v>
      </c>
      <c r="Z9980">
        <v>0</v>
      </c>
      <c r="AA9980">
        <v>1</v>
      </c>
      <c r="AB9980">
        <v>0</v>
      </c>
      <c r="AC9980">
        <v>0</v>
      </c>
      <c r="AD9980">
        <v>1</v>
      </c>
      <c r="AE9980">
        <v>1</v>
      </c>
      <c r="AF9980">
        <v>1</v>
      </c>
      <c r="AG9980">
        <v>1</v>
      </c>
      <c r="AH9980">
        <v>1</v>
      </c>
      <c r="AI9980">
        <v>1</v>
      </c>
      <c r="AJ9980">
        <v>1</v>
      </c>
      <c r="AK9980">
        <v>1</v>
      </c>
      <c r="AL9980">
        <v>1</v>
      </c>
      <c r="AM9980">
        <v>1</v>
      </c>
    </row>
    <row r="9981" spans="1:39" x14ac:dyDescent="0.2">
      <c r="A9981" t="str">
        <f>"9977"</f>
        <v>9977</v>
      </c>
      <c r="B9981" t="str">
        <f t="shared" si="555"/>
        <v>1</v>
      </c>
      <c r="C9981" t="str">
        <f t="shared" si="554"/>
        <v>200</v>
      </c>
      <c r="D9981" t="str">
        <f>"5"</f>
        <v>5</v>
      </c>
      <c r="E9981" t="str">
        <f>"1-200-5"</f>
        <v>1-200-5</v>
      </c>
      <c r="F9981" t="s">
        <v>65</v>
      </c>
      <c r="G9981" t="s">
        <v>66</v>
      </c>
      <c r="H9981" t="s">
        <v>67</v>
      </c>
      <c r="S9981">
        <v>1</v>
      </c>
      <c r="T9981">
        <v>0</v>
      </c>
      <c r="U9981">
        <v>0</v>
      </c>
      <c r="V9981">
        <v>0</v>
      </c>
      <c r="W9981">
        <v>1</v>
      </c>
      <c r="X9981">
        <v>0</v>
      </c>
      <c r="Y9981">
        <v>1</v>
      </c>
      <c r="Z9981">
        <v>0</v>
      </c>
      <c r="AA9981">
        <v>1</v>
      </c>
      <c r="AB9981">
        <v>0</v>
      </c>
      <c r="AC9981">
        <v>0</v>
      </c>
      <c r="AD9981">
        <v>1</v>
      </c>
      <c r="AE9981">
        <v>1</v>
      </c>
      <c r="AF9981">
        <v>1</v>
      </c>
      <c r="AG9981">
        <v>1</v>
      </c>
      <c r="AH9981">
        <v>1</v>
      </c>
      <c r="AI9981">
        <v>1</v>
      </c>
      <c r="AJ9981">
        <v>1</v>
      </c>
      <c r="AK9981">
        <v>1</v>
      </c>
      <c r="AL9981">
        <v>1</v>
      </c>
      <c r="AM9981">
        <v>1</v>
      </c>
    </row>
    <row r="9982" spans="1:39" x14ac:dyDescent="0.2">
      <c r="A9982" t="str">
        <f>"9978"</f>
        <v>9978</v>
      </c>
      <c r="B9982" t="str">
        <f t="shared" si="555"/>
        <v>1</v>
      </c>
      <c r="C9982" t="str">
        <f t="shared" si="554"/>
        <v>200</v>
      </c>
      <c r="D9982" t="str">
        <f>"43"</f>
        <v>43</v>
      </c>
      <c r="E9982" t="str">
        <f>"1-200-43"</f>
        <v>1-200-43</v>
      </c>
      <c r="F9982" t="s">
        <v>65</v>
      </c>
      <c r="G9982" t="s">
        <v>66</v>
      </c>
      <c r="H9982" t="s">
        <v>67</v>
      </c>
      <c r="S9982">
        <v>0</v>
      </c>
      <c r="T9982">
        <v>1</v>
      </c>
      <c r="U9982">
        <v>0</v>
      </c>
      <c r="V9982">
        <v>0</v>
      </c>
      <c r="W9982">
        <v>1</v>
      </c>
      <c r="X9982">
        <v>0</v>
      </c>
      <c r="Y9982">
        <v>1</v>
      </c>
      <c r="Z9982">
        <v>0</v>
      </c>
      <c r="AA9982">
        <v>0</v>
      </c>
      <c r="AB9982">
        <v>0</v>
      </c>
      <c r="AC9982">
        <v>1</v>
      </c>
      <c r="AD9982">
        <v>1</v>
      </c>
      <c r="AE9982">
        <v>1</v>
      </c>
      <c r="AF9982">
        <v>1</v>
      </c>
      <c r="AG9982">
        <v>1</v>
      </c>
      <c r="AH9982">
        <v>1</v>
      </c>
      <c r="AI9982">
        <v>1</v>
      </c>
      <c r="AJ9982">
        <v>1</v>
      </c>
      <c r="AK9982">
        <v>1</v>
      </c>
      <c r="AL9982">
        <v>1</v>
      </c>
      <c r="AM9982">
        <v>1</v>
      </c>
    </row>
    <row r="9983" spans="1:39" x14ac:dyDescent="0.2">
      <c r="A9983" t="str">
        <f>"9979"</f>
        <v>9979</v>
      </c>
      <c r="B9983" t="str">
        <f t="shared" si="555"/>
        <v>1</v>
      </c>
      <c r="C9983" t="str">
        <f t="shared" si="554"/>
        <v>200</v>
      </c>
      <c r="D9983" t="str">
        <f>"24"</f>
        <v>24</v>
      </c>
      <c r="E9983" t="str">
        <f>"1-200-24"</f>
        <v>1-200-24</v>
      </c>
      <c r="F9983" t="s">
        <v>65</v>
      </c>
      <c r="G9983" t="s">
        <v>66</v>
      </c>
      <c r="H9983" t="s">
        <v>67</v>
      </c>
      <c r="S9983">
        <v>1</v>
      </c>
      <c r="T9983">
        <v>0</v>
      </c>
      <c r="U9983">
        <v>0</v>
      </c>
      <c r="V9983">
        <v>0</v>
      </c>
      <c r="W9983">
        <v>1</v>
      </c>
      <c r="X9983">
        <v>0</v>
      </c>
      <c r="Y9983">
        <v>1</v>
      </c>
      <c r="Z9983">
        <v>0</v>
      </c>
      <c r="AA9983">
        <v>1</v>
      </c>
      <c r="AB9983">
        <v>0</v>
      </c>
      <c r="AC9983">
        <v>0</v>
      </c>
      <c r="AD9983">
        <v>1</v>
      </c>
      <c r="AE9983">
        <v>1</v>
      </c>
      <c r="AF9983">
        <v>1</v>
      </c>
      <c r="AG9983">
        <v>1</v>
      </c>
      <c r="AH9983">
        <v>1</v>
      </c>
      <c r="AI9983">
        <v>1</v>
      </c>
      <c r="AJ9983">
        <v>1</v>
      </c>
      <c r="AK9983">
        <v>1</v>
      </c>
      <c r="AL9983">
        <v>1</v>
      </c>
      <c r="AM9983">
        <v>1</v>
      </c>
    </row>
    <row r="9984" spans="1:39" x14ac:dyDescent="0.2">
      <c r="A9984" t="str">
        <f>"9980"</f>
        <v>9980</v>
      </c>
      <c r="B9984" t="str">
        <f t="shared" si="555"/>
        <v>1</v>
      </c>
      <c r="C9984" t="str">
        <f t="shared" si="554"/>
        <v>200</v>
      </c>
      <c r="D9984" t="str">
        <f>"9"</f>
        <v>9</v>
      </c>
      <c r="E9984" t="str">
        <f>"1-200-9"</f>
        <v>1-200-9</v>
      </c>
      <c r="F9984" t="s">
        <v>65</v>
      </c>
      <c r="G9984" t="s">
        <v>66</v>
      </c>
      <c r="H9984" t="s">
        <v>67</v>
      </c>
      <c r="S9984">
        <v>0</v>
      </c>
      <c r="T9984">
        <v>1</v>
      </c>
      <c r="U9984">
        <v>0</v>
      </c>
      <c r="V9984">
        <v>0</v>
      </c>
      <c r="W9984">
        <v>0</v>
      </c>
      <c r="X9984">
        <v>1</v>
      </c>
      <c r="Y9984">
        <v>0</v>
      </c>
      <c r="Z9984">
        <v>1</v>
      </c>
      <c r="AA9984">
        <v>0</v>
      </c>
      <c r="AB9984">
        <v>0</v>
      </c>
      <c r="AC9984">
        <v>1</v>
      </c>
      <c r="AD9984">
        <v>1</v>
      </c>
      <c r="AE9984">
        <v>1</v>
      </c>
      <c r="AF9984">
        <v>1</v>
      </c>
      <c r="AG9984">
        <v>1</v>
      </c>
      <c r="AH9984">
        <v>1</v>
      </c>
      <c r="AI9984">
        <v>1</v>
      </c>
      <c r="AJ9984">
        <v>1</v>
      </c>
      <c r="AK9984">
        <v>1</v>
      </c>
      <c r="AL9984">
        <v>1</v>
      </c>
      <c r="AM9984">
        <v>1</v>
      </c>
    </row>
    <row r="9985" spans="1:39" x14ac:dyDescent="0.2">
      <c r="A9985" t="str">
        <f>"9981"</f>
        <v>9981</v>
      </c>
      <c r="B9985" t="str">
        <f t="shared" si="555"/>
        <v>1</v>
      </c>
      <c r="C9985" t="str">
        <f t="shared" si="554"/>
        <v>200</v>
      </c>
      <c r="D9985" t="str">
        <f>"48"</f>
        <v>48</v>
      </c>
      <c r="E9985" t="str">
        <f>"1-200-48"</f>
        <v>1-200-48</v>
      </c>
      <c r="F9985" t="s">
        <v>65</v>
      </c>
      <c r="G9985" t="s">
        <v>66</v>
      </c>
      <c r="H9985" t="s">
        <v>67</v>
      </c>
      <c r="S9985">
        <v>1</v>
      </c>
      <c r="T9985">
        <v>0</v>
      </c>
      <c r="U9985">
        <v>0</v>
      </c>
      <c r="V9985">
        <v>0</v>
      </c>
      <c r="W9985">
        <v>1</v>
      </c>
      <c r="X9985">
        <v>0</v>
      </c>
      <c r="Y9985">
        <v>1</v>
      </c>
      <c r="Z9985">
        <v>0</v>
      </c>
      <c r="AA9985">
        <v>1</v>
      </c>
      <c r="AB9985">
        <v>0</v>
      </c>
      <c r="AC9985">
        <v>0</v>
      </c>
      <c r="AD9985">
        <v>1</v>
      </c>
      <c r="AE9985">
        <v>1</v>
      </c>
      <c r="AF9985">
        <v>1</v>
      </c>
      <c r="AG9985">
        <v>1</v>
      </c>
      <c r="AH9985">
        <v>1</v>
      </c>
      <c r="AI9985">
        <v>1</v>
      </c>
      <c r="AJ9985">
        <v>1</v>
      </c>
      <c r="AK9985">
        <v>1</v>
      </c>
      <c r="AL9985">
        <v>1</v>
      </c>
      <c r="AM9985">
        <v>1</v>
      </c>
    </row>
    <row r="9986" spans="1:39" x14ac:dyDescent="0.2">
      <c r="A9986" t="str">
        <f>"9982"</f>
        <v>9982</v>
      </c>
      <c r="B9986" t="str">
        <f t="shared" si="555"/>
        <v>1</v>
      </c>
      <c r="C9986" t="str">
        <f t="shared" si="554"/>
        <v>200</v>
      </c>
      <c r="D9986" t="str">
        <f>"25"</f>
        <v>25</v>
      </c>
      <c r="E9986" t="str">
        <f>"1-200-25"</f>
        <v>1-200-25</v>
      </c>
      <c r="F9986" t="s">
        <v>65</v>
      </c>
      <c r="G9986" t="s">
        <v>66</v>
      </c>
      <c r="H9986" t="s">
        <v>67</v>
      </c>
      <c r="S9986">
        <v>1</v>
      </c>
      <c r="T9986">
        <v>0</v>
      </c>
      <c r="U9986">
        <v>0</v>
      </c>
      <c r="V9986">
        <v>0</v>
      </c>
      <c r="W9986">
        <v>1</v>
      </c>
      <c r="X9986">
        <v>0</v>
      </c>
      <c r="Y9986">
        <v>1</v>
      </c>
      <c r="Z9986">
        <v>0</v>
      </c>
      <c r="AA9986">
        <v>1</v>
      </c>
      <c r="AB9986">
        <v>0</v>
      </c>
      <c r="AC9986">
        <v>0</v>
      </c>
      <c r="AD9986">
        <v>1</v>
      </c>
      <c r="AE9986">
        <v>1</v>
      </c>
      <c r="AF9986">
        <v>1</v>
      </c>
      <c r="AG9986">
        <v>1</v>
      </c>
      <c r="AH9986">
        <v>1</v>
      </c>
      <c r="AI9986">
        <v>1</v>
      </c>
      <c r="AJ9986">
        <v>1</v>
      </c>
      <c r="AK9986">
        <v>1</v>
      </c>
      <c r="AL9986">
        <v>1</v>
      </c>
      <c r="AM9986">
        <v>1</v>
      </c>
    </row>
    <row r="9987" spans="1:39" x14ac:dyDescent="0.2">
      <c r="A9987" t="str">
        <f>"9983"</f>
        <v>9983</v>
      </c>
      <c r="B9987" t="str">
        <f t="shared" si="555"/>
        <v>1</v>
      </c>
      <c r="C9987" t="str">
        <f t="shared" ref="C9987:C10004" si="556">"200"</f>
        <v>200</v>
      </c>
      <c r="D9987" t="str">
        <f>"10"</f>
        <v>10</v>
      </c>
      <c r="E9987" t="str">
        <f>"1-200-10"</f>
        <v>1-200-10</v>
      </c>
      <c r="F9987" t="s">
        <v>65</v>
      </c>
      <c r="G9987" t="s">
        <v>66</v>
      </c>
      <c r="H9987" t="s">
        <v>67</v>
      </c>
      <c r="S9987">
        <v>0</v>
      </c>
      <c r="T9987">
        <v>1</v>
      </c>
      <c r="U9987">
        <v>0</v>
      </c>
      <c r="V9987">
        <v>0</v>
      </c>
      <c r="W9987">
        <v>0</v>
      </c>
      <c r="X9987">
        <v>1</v>
      </c>
      <c r="Y9987">
        <v>1</v>
      </c>
      <c r="Z9987">
        <v>0</v>
      </c>
      <c r="AA9987">
        <v>0</v>
      </c>
      <c r="AB9987">
        <v>0</v>
      </c>
      <c r="AC9987">
        <v>1</v>
      </c>
      <c r="AD9987">
        <v>1</v>
      </c>
      <c r="AE9987">
        <v>1</v>
      </c>
      <c r="AF9987">
        <v>1</v>
      </c>
      <c r="AG9987">
        <v>1</v>
      </c>
      <c r="AH9987">
        <v>1</v>
      </c>
      <c r="AI9987">
        <v>1</v>
      </c>
      <c r="AJ9987">
        <v>1</v>
      </c>
      <c r="AK9987">
        <v>1</v>
      </c>
      <c r="AL9987">
        <v>1</v>
      </c>
      <c r="AM9987">
        <v>1</v>
      </c>
    </row>
    <row r="9988" spans="1:39" x14ac:dyDescent="0.2">
      <c r="A9988" t="str">
        <f>"9984"</f>
        <v>9984</v>
      </c>
      <c r="B9988" t="str">
        <f t="shared" si="555"/>
        <v>1</v>
      </c>
      <c r="C9988" t="str">
        <f t="shared" si="556"/>
        <v>200</v>
      </c>
      <c r="D9988" t="str">
        <f>"44"</f>
        <v>44</v>
      </c>
      <c r="E9988" t="str">
        <f>"1-200-44"</f>
        <v>1-200-44</v>
      </c>
      <c r="F9988" t="s">
        <v>65</v>
      </c>
      <c r="G9988" t="s">
        <v>66</v>
      </c>
      <c r="H9988" t="s">
        <v>67</v>
      </c>
      <c r="S9988">
        <v>0</v>
      </c>
      <c r="T9988">
        <v>1</v>
      </c>
      <c r="U9988">
        <v>0</v>
      </c>
      <c r="V9988">
        <v>0</v>
      </c>
      <c r="W9988">
        <v>1</v>
      </c>
      <c r="X9988">
        <v>0</v>
      </c>
      <c r="Y9988">
        <v>1</v>
      </c>
      <c r="Z9988">
        <v>0</v>
      </c>
      <c r="AA9988">
        <v>0</v>
      </c>
      <c r="AB9988">
        <v>0</v>
      </c>
      <c r="AC9988">
        <v>1</v>
      </c>
      <c r="AD9988">
        <v>1</v>
      </c>
      <c r="AE9988">
        <v>1</v>
      </c>
      <c r="AF9988">
        <v>1</v>
      </c>
      <c r="AG9988">
        <v>1</v>
      </c>
      <c r="AH9988">
        <v>1</v>
      </c>
      <c r="AI9988">
        <v>1</v>
      </c>
      <c r="AJ9988">
        <v>1</v>
      </c>
      <c r="AK9988">
        <v>1</v>
      </c>
      <c r="AL9988">
        <v>1</v>
      </c>
      <c r="AM9988">
        <v>1</v>
      </c>
    </row>
    <row r="9989" spans="1:39" x14ac:dyDescent="0.2">
      <c r="A9989" t="str">
        <f>"9985"</f>
        <v>9985</v>
      </c>
      <c r="B9989" t="str">
        <f t="shared" si="555"/>
        <v>1</v>
      </c>
      <c r="C9989" t="str">
        <f t="shared" si="556"/>
        <v>200</v>
      </c>
      <c r="D9989" t="str">
        <f>"27"</f>
        <v>27</v>
      </c>
      <c r="E9989" t="str">
        <f>"1-200-27"</f>
        <v>1-200-27</v>
      </c>
      <c r="F9989" t="s">
        <v>65</v>
      </c>
      <c r="G9989" t="s">
        <v>66</v>
      </c>
      <c r="H9989" t="s">
        <v>67</v>
      </c>
      <c r="S9989">
        <v>0</v>
      </c>
      <c r="T9989">
        <v>1</v>
      </c>
      <c r="U9989">
        <v>0</v>
      </c>
      <c r="V9989">
        <v>0</v>
      </c>
      <c r="W9989">
        <v>1</v>
      </c>
      <c r="X9989">
        <v>0</v>
      </c>
      <c r="Y9989">
        <v>1</v>
      </c>
      <c r="Z9989">
        <v>0</v>
      </c>
      <c r="AA9989">
        <v>0</v>
      </c>
      <c r="AB9989">
        <v>1</v>
      </c>
      <c r="AC9989">
        <v>0</v>
      </c>
      <c r="AD9989">
        <v>1</v>
      </c>
      <c r="AE9989">
        <v>1</v>
      </c>
      <c r="AF9989">
        <v>1</v>
      </c>
      <c r="AG9989">
        <v>1</v>
      </c>
      <c r="AH9989">
        <v>1</v>
      </c>
      <c r="AI9989">
        <v>1</v>
      </c>
      <c r="AJ9989">
        <v>1</v>
      </c>
      <c r="AK9989">
        <v>1</v>
      </c>
      <c r="AL9989">
        <v>1</v>
      </c>
      <c r="AM9989">
        <v>1</v>
      </c>
    </row>
    <row r="9990" spans="1:39" x14ac:dyDescent="0.2">
      <c r="A9990" t="str">
        <f>"9986"</f>
        <v>9986</v>
      </c>
      <c r="B9990" t="str">
        <f t="shared" si="555"/>
        <v>1</v>
      </c>
      <c r="C9990" t="str">
        <f t="shared" si="556"/>
        <v>200</v>
      </c>
      <c r="D9990" t="str">
        <f>"4"</f>
        <v>4</v>
      </c>
      <c r="E9990" t="str">
        <f>"1-200-4"</f>
        <v>1-200-4</v>
      </c>
      <c r="F9990" t="s">
        <v>65</v>
      </c>
      <c r="G9990" t="s">
        <v>66</v>
      </c>
      <c r="H9990" t="s">
        <v>67</v>
      </c>
      <c r="S9990">
        <v>1</v>
      </c>
      <c r="T9990">
        <v>0</v>
      </c>
      <c r="U9990">
        <v>0</v>
      </c>
      <c r="V9990">
        <v>0</v>
      </c>
      <c r="W9990">
        <v>1</v>
      </c>
      <c r="X9990">
        <v>0</v>
      </c>
      <c r="Y9990">
        <v>0</v>
      </c>
      <c r="Z9990">
        <v>1</v>
      </c>
      <c r="AA9990">
        <v>1</v>
      </c>
      <c r="AB9990">
        <v>0</v>
      </c>
      <c r="AC9990">
        <v>0</v>
      </c>
      <c r="AD9990">
        <v>1</v>
      </c>
      <c r="AE9990">
        <v>1</v>
      </c>
      <c r="AF9990">
        <v>1</v>
      </c>
      <c r="AG9990">
        <v>1</v>
      </c>
      <c r="AH9990">
        <v>1</v>
      </c>
      <c r="AI9990">
        <v>1</v>
      </c>
      <c r="AJ9990">
        <v>1</v>
      </c>
      <c r="AK9990">
        <v>1</v>
      </c>
      <c r="AL9990">
        <v>1</v>
      </c>
      <c r="AM9990">
        <v>1</v>
      </c>
    </row>
    <row r="9991" spans="1:39" x14ac:dyDescent="0.2">
      <c r="A9991" t="str">
        <f>"9987"</f>
        <v>9987</v>
      </c>
      <c r="B9991" t="str">
        <f t="shared" si="555"/>
        <v>1</v>
      </c>
      <c r="C9991" t="str">
        <f t="shared" si="556"/>
        <v>200</v>
      </c>
      <c r="D9991" t="str">
        <f>"46"</f>
        <v>46</v>
      </c>
      <c r="E9991" t="str">
        <f>"1-200-46"</f>
        <v>1-200-46</v>
      </c>
      <c r="F9991" t="s">
        <v>65</v>
      </c>
      <c r="G9991" t="s">
        <v>66</v>
      </c>
      <c r="H9991" t="s">
        <v>67</v>
      </c>
      <c r="S9991">
        <v>1</v>
      </c>
      <c r="T9991">
        <v>0</v>
      </c>
      <c r="U9991">
        <v>0</v>
      </c>
      <c r="V9991">
        <v>0</v>
      </c>
      <c r="W9991">
        <v>1</v>
      </c>
      <c r="X9991">
        <v>0</v>
      </c>
      <c r="Y9991">
        <v>0</v>
      </c>
      <c r="Z9991">
        <v>1</v>
      </c>
      <c r="AA9991">
        <v>0</v>
      </c>
      <c r="AB9991">
        <v>1</v>
      </c>
      <c r="AC9991">
        <v>0</v>
      </c>
      <c r="AD9991">
        <v>1</v>
      </c>
      <c r="AE9991">
        <v>1</v>
      </c>
      <c r="AF9991">
        <v>0</v>
      </c>
      <c r="AG9991">
        <v>1</v>
      </c>
      <c r="AH9991">
        <v>1</v>
      </c>
      <c r="AI9991">
        <v>1</v>
      </c>
      <c r="AJ9991">
        <v>1</v>
      </c>
      <c r="AK9991">
        <v>1</v>
      </c>
      <c r="AL9991">
        <v>1</v>
      </c>
      <c r="AM9991">
        <v>1</v>
      </c>
    </row>
    <row r="9992" spans="1:39" x14ac:dyDescent="0.2">
      <c r="A9992" t="str">
        <f>"9988"</f>
        <v>9988</v>
      </c>
      <c r="B9992" t="str">
        <f t="shared" si="555"/>
        <v>1</v>
      </c>
      <c r="C9992" t="str">
        <f t="shared" si="556"/>
        <v>200</v>
      </c>
      <c r="D9992" t="str">
        <f>"29"</f>
        <v>29</v>
      </c>
      <c r="E9992" t="str">
        <f>"1-200-29"</f>
        <v>1-200-29</v>
      </c>
      <c r="F9992" t="s">
        <v>65</v>
      </c>
      <c r="G9992" t="s">
        <v>66</v>
      </c>
      <c r="H9992" t="s">
        <v>67</v>
      </c>
      <c r="S9992">
        <v>1</v>
      </c>
      <c r="T9992">
        <v>0</v>
      </c>
      <c r="U9992">
        <v>0</v>
      </c>
      <c r="V9992">
        <v>0</v>
      </c>
      <c r="W9992">
        <v>1</v>
      </c>
      <c r="X9992">
        <v>0</v>
      </c>
      <c r="Y9992">
        <v>1</v>
      </c>
      <c r="Z9992">
        <v>0</v>
      </c>
      <c r="AA9992">
        <v>0</v>
      </c>
      <c r="AB9992">
        <v>1</v>
      </c>
      <c r="AC9992">
        <v>0</v>
      </c>
      <c r="AD9992">
        <v>1</v>
      </c>
      <c r="AE9992">
        <v>1</v>
      </c>
      <c r="AF9992">
        <v>1</v>
      </c>
      <c r="AG9992">
        <v>1</v>
      </c>
      <c r="AH9992">
        <v>1</v>
      </c>
      <c r="AI9992">
        <v>1</v>
      </c>
      <c r="AJ9992">
        <v>1</v>
      </c>
      <c r="AK9992">
        <v>1</v>
      </c>
      <c r="AL9992">
        <v>1</v>
      </c>
      <c r="AM9992">
        <v>1</v>
      </c>
    </row>
    <row r="9993" spans="1:39" x14ac:dyDescent="0.2">
      <c r="A9993" t="str">
        <f>"9989"</f>
        <v>9989</v>
      </c>
      <c r="B9993" t="str">
        <f t="shared" si="555"/>
        <v>1</v>
      </c>
      <c r="C9993" t="str">
        <f t="shared" si="556"/>
        <v>200</v>
      </c>
      <c r="D9993" t="str">
        <f>"14"</f>
        <v>14</v>
      </c>
      <c r="E9993" t="str">
        <f>"1-200-14"</f>
        <v>1-200-14</v>
      </c>
      <c r="F9993" t="s">
        <v>65</v>
      </c>
      <c r="G9993" t="s">
        <v>66</v>
      </c>
      <c r="H9993" t="s">
        <v>67</v>
      </c>
      <c r="S9993">
        <v>0</v>
      </c>
      <c r="T9993">
        <v>1</v>
      </c>
      <c r="U9993">
        <v>0</v>
      </c>
      <c r="V9993">
        <v>0</v>
      </c>
      <c r="W9993">
        <v>0</v>
      </c>
      <c r="X9993">
        <v>1</v>
      </c>
      <c r="Y9993">
        <v>0</v>
      </c>
      <c r="Z9993">
        <v>1</v>
      </c>
      <c r="AA9993">
        <v>0</v>
      </c>
      <c r="AB9993">
        <v>1</v>
      </c>
      <c r="AC9993">
        <v>0</v>
      </c>
      <c r="AD9993">
        <v>1</v>
      </c>
      <c r="AE9993">
        <v>1</v>
      </c>
      <c r="AF9993">
        <v>1</v>
      </c>
      <c r="AG9993">
        <v>1</v>
      </c>
      <c r="AH9993">
        <v>1</v>
      </c>
      <c r="AI9993">
        <v>1</v>
      </c>
      <c r="AJ9993">
        <v>1</v>
      </c>
      <c r="AK9993">
        <v>1</v>
      </c>
      <c r="AL9993">
        <v>1</v>
      </c>
      <c r="AM9993">
        <v>1</v>
      </c>
    </row>
    <row r="9994" spans="1:39" x14ac:dyDescent="0.2">
      <c r="A9994" t="str">
        <f>"9990"</f>
        <v>9990</v>
      </c>
      <c r="B9994" t="str">
        <f t="shared" si="555"/>
        <v>1</v>
      </c>
      <c r="C9994" t="str">
        <f t="shared" si="556"/>
        <v>200</v>
      </c>
      <c r="D9994" t="str">
        <f>"47"</f>
        <v>47</v>
      </c>
      <c r="E9994" t="str">
        <f>"1-200-47"</f>
        <v>1-200-47</v>
      </c>
      <c r="F9994" t="s">
        <v>65</v>
      </c>
      <c r="G9994" t="s">
        <v>66</v>
      </c>
      <c r="H9994" t="s">
        <v>67</v>
      </c>
      <c r="S9994">
        <v>1</v>
      </c>
      <c r="T9994">
        <v>0</v>
      </c>
      <c r="U9994">
        <v>0</v>
      </c>
      <c r="V9994">
        <v>0</v>
      </c>
      <c r="W9994">
        <v>1</v>
      </c>
      <c r="X9994">
        <v>0</v>
      </c>
      <c r="Y9994">
        <v>0</v>
      </c>
      <c r="Z9994">
        <v>1</v>
      </c>
      <c r="AA9994">
        <v>1</v>
      </c>
      <c r="AB9994">
        <v>0</v>
      </c>
      <c r="AC9994">
        <v>0</v>
      </c>
      <c r="AD9994">
        <v>1</v>
      </c>
      <c r="AE9994">
        <v>1</v>
      </c>
      <c r="AF9994">
        <v>1</v>
      </c>
      <c r="AG9994">
        <v>1</v>
      </c>
      <c r="AH9994">
        <v>1</v>
      </c>
      <c r="AI9994">
        <v>1</v>
      </c>
      <c r="AJ9994">
        <v>1</v>
      </c>
      <c r="AK9994">
        <v>1</v>
      </c>
      <c r="AL9994">
        <v>1</v>
      </c>
      <c r="AM9994">
        <v>1</v>
      </c>
    </row>
    <row r="9995" spans="1:39" x14ac:dyDescent="0.2">
      <c r="A9995" t="str">
        <f>"9991"</f>
        <v>9991</v>
      </c>
      <c r="B9995" t="str">
        <f t="shared" si="555"/>
        <v>1</v>
      </c>
      <c r="C9995" t="str">
        <f t="shared" si="556"/>
        <v>200</v>
      </c>
      <c r="D9995" t="str">
        <f>"30"</f>
        <v>30</v>
      </c>
      <c r="E9995" t="str">
        <f>"1-200-30"</f>
        <v>1-200-30</v>
      </c>
      <c r="F9995" t="s">
        <v>65</v>
      </c>
      <c r="G9995" t="s">
        <v>66</v>
      </c>
      <c r="H9995" t="s">
        <v>67</v>
      </c>
      <c r="S9995">
        <v>1</v>
      </c>
      <c r="T9995">
        <v>0</v>
      </c>
      <c r="U9995">
        <v>0</v>
      </c>
      <c r="V9995">
        <v>0</v>
      </c>
      <c r="W9995">
        <v>1</v>
      </c>
      <c r="X9995">
        <v>0</v>
      </c>
      <c r="Y9995">
        <v>1</v>
      </c>
      <c r="Z9995">
        <v>0</v>
      </c>
      <c r="AA9995">
        <v>0</v>
      </c>
      <c r="AB9995">
        <v>1</v>
      </c>
      <c r="AC9995">
        <v>0</v>
      </c>
      <c r="AD9995">
        <v>1</v>
      </c>
      <c r="AE9995">
        <v>1</v>
      </c>
      <c r="AF9995">
        <v>1</v>
      </c>
      <c r="AG9995">
        <v>1</v>
      </c>
      <c r="AH9995">
        <v>1</v>
      </c>
      <c r="AI9995">
        <v>1</v>
      </c>
      <c r="AJ9995">
        <v>1</v>
      </c>
      <c r="AK9995">
        <v>1</v>
      </c>
      <c r="AL9995">
        <v>1</v>
      </c>
      <c r="AM9995">
        <v>1</v>
      </c>
    </row>
    <row r="9996" spans="1:39" x14ac:dyDescent="0.2">
      <c r="A9996" t="str">
        <f>"9992"</f>
        <v>9992</v>
      </c>
      <c r="B9996" t="str">
        <f t="shared" si="555"/>
        <v>1</v>
      </c>
      <c r="C9996" t="str">
        <f t="shared" si="556"/>
        <v>200</v>
      </c>
      <c r="D9996" t="str">
        <f>"7"</f>
        <v>7</v>
      </c>
      <c r="E9996" t="str">
        <f>"1-200-7"</f>
        <v>1-200-7</v>
      </c>
      <c r="F9996" t="s">
        <v>65</v>
      </c>
      <c r="G9996" t="s">
        <v>66</v>
      </c>
      <c r="H9996" t="s">
        <v>67</v>
      </c>
      <c r="S9996">
        <v>1</v>
      </c>
      <c r="T9996">
        <v>0</v>
      </c>
      <c r="U9996">
        <v>0</v>
      </c>
      <c r="V9996">
        <v>0</v>
      </c>
      <c r="W9996">
        <v>0</v>
      </c>
      <c r="X9996">
        <v>1</v>
      </c>
      <c r="Y9996">
        <v>0</v>
      </c>
      <c r="Z9996">
        <v>1</v>
      </c>
      <c r="AA9996">
        <v>0</v>
      </c>
      <c r="AB9996">
        <v>0</v>
      </c>
      <c r="AC9996">
        <v>1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1</v>
      </c>
      <c r="AJ9996">
        <v>0</v>
      </c>
      <c r="AK9996">
        <v>0</v>
      </c>
      <c r="AL9996">
        <v>0</v>
      </c>
      <c r="AM9996">
        <v>0</v>
      </c>
    </row>
    <row r="9997" spans="1:39" x14ac:dyDescent="0.2">
      <c r="A9997" t="str">
        <f>"9993"</f>
        <v>9993</v>
      </c>
      <c r="B9997" t="str">
        <f t="shared" si="555"/>
        <v>1</v>
      </c>
      <c r="C9997" t="str">
        <f t="shared" si="556"/>
        <v>200</v>
      </c>
      <c r="D9997" t="str">
        <f>"49"</f>
        <v>49</v>
      </c>
      <c r="E9997" t="str">
        <f>"1-200-49"</f>
        <v>1-200-49</v>
      </c>
      <c r="F9997" t="s">
        <v>65</v>
      </c>
      <c r="G9997" t="s">
        <v>66</v>
      </c>
      <c r="H9997" t="s">
        <v>67</v>
      </c>
      <c r="S9997">
        <v>1</v>
      </c>
      <c r="T9997">
        <v>0</v>
      </c>
      <c r="U9997">
        <v>0</v>
      </c>
      <c r="V9997">
        <v>0</v>
      </c>
      <c r="W9997">
        <v>1</v>
      </c>
      <c r="X9997">
        <v>0</v>
      </c>
      <c r="Y9997">
        <v>0</v>
      </c>
      <c r="Z9997">
        <v>1</v>
      </c>
      <c r="AA9997">
        <v>1</v>
      </c>
      <c r="AB9997">
        <v>0</v>
      </c>
      <c r="AC9997">
        <v>0</v>
      </c>
      <c r="AD9997">
        <v>1</v>
      </c>
      <c r="AE9997">
        <v>1</v>
      </c>
      <c r="AF9997">
        <v>1</v>
      </c>
      <c r="AG9997">
        <v>1</v>
      </c>
      <c r="AH9997">
        <v>1</v>
      </c>
      <c r="AI9997">
        <v>1</v>
      </c>
      <c r="AJ9997">
        <v>1</v>
      </c>
      <c r="AK9997">
        <v>1</v>
      </c>
      <c r="AL9997">
        <v>1</v>
      </c>
      <c r="AM9997">
        <v>1</v>
      </c>
    </row>
    <row r="9998" spans="1:39" x14ac:dyDescent="0.2">
      <c r="A9998" t="str">
        <f>"9994"</f>
        <v>9994</v>
      </c>
      <c r="B9998" t="str">
        <f t="shared" si="555"/>
        <v>1</v>
      </c>
      <c r="C9998" t="str">
        <f t="shared" si="556"/>
        <v>200</v>
      </c>
      <c r="D9998" t="str">
        <f>"31"</f>
        <v>31</v>
      </c>
      <c r="E9998" t="str">
        <f>"1-200-31"</f>
        <v>1-200-31</v>
      </c>
      <c r="F9998" t="s">
        <v>65</v>
      </c>
      <c r="G9998" t="s">
        <v>66</v>
      </c>
      <c r="H9998" t="s">
        <v>67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1</v>
      </c>
      <c r="Y9998">
        <v>0</v>
      </c>
      <c r="Z9998">
        <v>0</v>
      </c>
      <c r="AA9998">
        <v>0</v>
      </c>
      <c r="AB9998">
        <v>0</v>
      </c>
      <c r="AC9998">
        <v>1</v>
      </c>
      <c r="AD9998">
        <v>1</v>
      </c>
      <c r="AE9998">
        <v>1</v>
      </c>
      <c r="AF9998">
        <v>1</v>
      </c>
      <c r="AG9998">
        <v>1</v>
      </c>
      <c r="AH9998">
        <v>1</v>
      </c>
      <c r="AI9998">
        <v>1</v>
      </c>
      <c r="AJ9998">
        <v>1</v>
      </c>
      <c r="AK9998">
        <v>1</v>
      </c>
      <c r="AL9998">
        <v>1</v>
      </c>
      <c r="AM9998">
        <v>1</v>
      </c>
    </row>
    <row r="9999" spans="1:39" x14ac:dyDescent="0.2">
      <c r="A9999" t="str">
        <f>"9995"</f>
        <v>9995</v>
      </c>
      <c r="B9999" t="str">
        <f t="shared" si="555"/>
        <v>1</v>
      </c>
      <c r="C9999" t="str">
        <f t="shared" si="556"/>
        <v>200</v>
      </c>
      <c r="D9999" t="str">
        <f>"13"</f>
        <v>13</v>
      </c>
      <c r="E9999" t="str">
        <f>"1-200-13"</f>
        <v>1-200-13</v>
      </c>
      <c r="F9999" t="s">
        <v>65</v>
      </c>
      <c r="G9999" t="s">
        <v>66</v>
      </c>
      <c r="H9999" t="s">
        <v>67</v>
      </c>
      <c r="S9999">
        <v>1</v>
      </c>
      <c r="T9999">
        <v>0</v>
      </c>
      <c r="U9999">
        <v>0</v>
      </c>
      <c r="V9999">
        <v>0</v>
      </c>
      <c r="W9999">
        <v>1</v>
      </c>
      <c r="X9999">
        <v>0</v>
      </c>
      <c r="Y9999">
        <v>1</v>
      </c>
      <c r="Z9999">
        <v>0</v>
      </c>
      <c r="AA9999">
        <v>1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1</v>
      </c>
      <c r="AL9999">
        <v>0</v>
      </c>
      <c r="AM9999">
        <v>0</v>
      </c>
    </row>
    <row r="10000" spans="1:39" x14ac:dyDescent="0.2">
      <c r="A10000" t="str">
        <f>"9996"</f>
        <v>9996</v>
      </c>
      <c r="B10000" t="str">
        <f t="shared" si="555"/>
        <v>1</v>
      </c>
      <c r="C10000" t="str">
        <f t="shared" si="556"/>
        <v>200</v>
      </c>
      <c r="D10000" t="str">
        <f>"45"</f>
        <v>45</v>
      </c>
      <c r="E10000" t="str">
        <f>"1-200-45"</f>
        <v>1-200-45</v>
      </c>
      <c r="F10000" t="s">
        <v>65</v>
      </c>
      <c r="G10000" t="s">
        <v>66</v>
      </c>
      <c r="H10000" t="s">
        <v>67</v>
      </c>
      <c r="S10000">
        <v>0</v>
      </c>
      <c r="T10000">
        <v>1</v>
      </c>
      <c r="U10000">
        <v>0</v>
      </c>
      <c r="V10000">
        <v>0</v>
      </c>
      <c r="W10000">
        <v>1</v>
      </c>
      <c r="X10000">
        <v>0</v>
      </c>
      <c r="Y10000">
        <v>1</v>
      </c>
      <c r="Z10000">
        <v>0</v>
      </c>
      <c r="AA10000">
        <v>0</v>
      </c>
      <c r="AB10000">
        <v>1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1</v>
      </c>
    </row>
    <row r="10001" spans="1:39" x14ac:dyDescent="0.2">
      <c r="A10001" t="str">
        <f>"9997"</f>
        <v>9997</v>
      </c>
      <c r="B10001" t="str">
        <f t="shared" si="555"/>
        <v>1</v>
      </c>
      <c r="C10001" t="str">
        <f t="shared" si="556"/>
        <v>200</v>
      </c>
      <c r="D10001" t="str">
        <f>"32"</f>
        <v>32</v>
      </c>
      <c r="E10001" t="str">
        <f>"1-200-32"</f>
        <v>1-200-32</v>
      </c>
      <c r="F10001" t="s">
        <v>65</v>
      </c>
      <c r="G10001" t="s">
        <v>66</v>
      </c>
      <c r="H10001" t="s">
        <v>67</v>
      </c>
      <c r="S10001">
        <v>1</v>
      </c>
      <c r="T10001">
        <v>0</v>
      </c>
      <c r="U10001">
        <v>0</v>
      </c>
      <c r="V10001">
        <v>0</v>
      </c>
      <c r="W10001">
        <v>1</v>
      </c>
      <c r="X10001">
        <v>0</v>
      </c>
      <c r="Y10001">
        <v>1</v>
      </c>
      <c r="Z10001">
        <v>0</v>
      </c>
      <c r="AA10001">
        <v>0</v>
      </c>
      <c r="AB10001">
        <v>1</v>
      </c>
      <c r="AC10001">
        <v>0</v>
      </c>
      <c r="AD10001">
        <v>0</v>
      </c>
      <c r="AE10001">
        <v>0</v>
      </c>
      <c r="AF10001">
        <v>0</v>
      </c>
      <c r="AG10001">
        <v>1</v>
      </c>
      <c r="AH10001">
        <v>0</v>
      </c>
      <c r="AI10001">
        <v>0</v>
      </c>
      <c r="AJ10001">
        <v>0</v>
      </c>
      <c r="AK10001">
        <v>0</v>
      </c>
      <c r="AL10001">
        <v>1</v>
      </c>
      <c r="AM10001">
        <v>1</v>
      </c>
    </row>
    <row r="10002" spans="1:39" x14ac:dyDescent="0.2">
      <c r="A10002" t="str">
        <f>"9998"</f>
        <v>9998</v>
      </c>
      <c r="B10002" t="str">
        <f t="shared" si="555"/>
        <v>1</v>
      </c>
      <c r="C10002" t="str">
        <f t="shared" si="556"/>
        <v>200</v>
      </c>
      <c r="D10002" t="str">
        <f>"3"</f>
        <v>3</v>
      </c>
      <c r="E10002" t="str">
        <f>"1-200-3"</f>
        <v>1-200-3</v>
      </c>
      <c r="F10002" t="s">
        <v>65</v>
      </c>
      <c r="G10002" t="s">
        <v>66</v>
      </c>
      <c r="H10002" t="s">
        <v>67</v>
      </c>
      <c r="S10002">
        <v>1</v>
      </c>
      <c r="T10002">
        <v>0</v>
      </c>
      <c r="U10002">
        <v>0</v>
      </c>
      <c r="V10002">
        <v>0</v>
      </c>
      <c r="W10002">
        <v>1</v>
      </c>
      <c r="X10002">
        <v>0</v>
      </c>
      <c r="Y10002">
        <v>1</v>
      </c>
      <c r="Z10002">
        <v>0</v>
      </c>
      <c r="AA10002">
        <v>1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</row>
    <row r="10003" spans="1:39" x14ac:dyDescent="0.2">
      <c r="A10003" t="str">
        <f>"9999"</f>
        <v>9999</v>
      </c>
      <c r="B10003" t="str">
        <f t="shared" si="555"/>
        <v>1</v>
      </c>
      <c r="C10003" t="str">
        <f t="shared" si="556"/>
        <v>200</v>
      </c>
      <c r="D10003" t="str">
        <f>"16"</f>
        <v>16</v>
      </c>
      <c r="E10003" t="str">
        <f>"1-200-16"</f>
        <v>1-200-16</v>
      </c>
      <c r="F10003" t="s">
        <v>65</v>
      </c>
      <c r="G10003" t="s">
        <v>66</v>
      </c>
      <c r="H10003" t="s">
        <v>67</v>
      </c>
      <c r="S10003">
        <v>0</v>
      </c>
      <c r="T10003">
        <v>1</v>
      </c>
      <c r="U10003">
        <v>0</v>
      </c>
      <c r="V10003">
        <v>0</v>
      </c>
      <c r="W10003">
        <v>1</v>
      </c>
      <c r="X10003">
        <v>0</v>
      </c>
      <c r="Y10003">
        <v>1</v>
      </c>
      <c r="Z10003">
        <v>0</v>
      </c>
      <c r="AA10003">
        <v>0</v>
      </c>
      <c r="AB10003">
        <v>0</v>
      </c>
      <c r="AC10003">
        <v>1</v>
      </c>
      <c r="AD10003">
        <v>1</v>
      </c>
      <c r="AE10003">
        <v>1</v>
      </c>
      <c r="AF10003">
        <v>1</v>
      </c>
      <c r="AG10003">
        <v>1</v>
      </c>
      <c r="AH10003">
        <v>1</v>
      </c>
      <c r="AI10003">
        <v>1</v>
      </c>
      <c r="AJ10003">
        <v>1</v>
      </c>
      <c r="AK10003">
        <v>1</v>
      </c>
      <c r="AL10003">
        <v>1</v>
      </c>
      <c r="AM10003">
        <v>1</v>
      </c>
    </row>
    <row r="10004" spans="1:39" x14ac:dyDescent="0.2">
      <c r="A10004" t="str">
        <f>"10000"</f>
        <v>10000</v>
      </c>
      <c r="B10004" t="str">
        <f t="shared" si="555"/>
        <v>1</v>
      </c>
      <c r="C10004" t="str">
        <f t="shared" si="556"/>
        <v>200</v>
      </c>
      <c r="D10004" t="str">
        <f>"50"</f>
        <v>50</v>
      </c>
      <c r="E10004" t="str">
        <f>"1-200-50"</f>
        <v>1-200-50</v>
      </c>
      <c r="F10004" t="s">
        <v>65</v>
      </c>
      <c r="G10004" t="s">
        <v>66</v>
      </c>
      <c r="H10004" t="s">
        <v>67</v>
      </c>
      <c r="S10004">
        <v>1</v>
      </c>
      <c r="T10004">
        <v>0</v>
      </c>
      <c r="U10004">
        <v>0</v>
      </c>
      <c r="V10004">
        <v>0</v>
      </c>
      <c r="W10004">
        <v>1</v>
      </c>
      <c r="X10004">
        <v>0</v>
      </c>
      <c r="Y10004">
        <v>0</v>
      </c>
      <c r="Z10004">
        <v>1</v>
      </c>
      <c r="AA10004">
        <v>0</v>
      </c>
      <c r="AB10004">
        <v>0</v>
      </c>
      <c r="AC10004">
        <v>1</v>
      </c>
      <c r="AD10004">
        <v>1</v>
      </c>
      <c r="AE10004">
        <v>1</v>
      </c>
      <c r="AF10004">
        <v>1</v>
      </c>
      <c r="AG10004">
        <v>1</v>
      </c>
      <c r="AH10004">
        <v>1</v>
      </c>
      <c r="AI10004">
        <v>1</v>
      </c>
      <c r="AJ10004">
        <v>1</v>
      </c>
      <c r="AK10004">
        <v>1</v>
      </c>
      <c r="AL10004">
        <v>1</v>
      </c>
      <c r="AM10004">
        <v>1</v>
      </c>
    </row>
    <row r="10005" spans="1:39" x14ac:dyDescent="0.2">
      <c r="A10005" t="str">
        <f>"10001"</f>
        <v>10001</v>
      </c>
      <c r="B10005" t="str">
        <f t="shared" si="555"/>
        <v>1</v>
      </c>
      <c r="C10005" t="str">
        <f t="shared" ref="C10005:C10036" si="557">"201"</f>
        <v>201</v>
      </c>
      <c r="D10005" t="str">
        <f>"34"</f>
        <v>34</v>
      </c>
      <c r="E10005" t="str">
        <f>"1-201-34"</f>
        <v>1-201-34</v>
      </c>
      <c r="F10005" t="s">
        <v>65</v>
      </c>
      <c r="G10005" t="s">
        <v>66</v>
      </c>
      <c r="H10005" t="s">
        <v>67</v>
      </c>
      <c r="S10005">
        <v>1</v>
      </c>
      <c r="T10005">
        <v>0</v>
      </c>
      <c r="U10005">
        <v>0</v>
      </c>
      <c r="V10005">
        <v>0</v>
      </c>
      <c r="W10005">
        <v>1</v>
      </c>
      <c r="X10005">
        <v>0</v>
      </c>
      <c r="Y10005">
        <v>0</v>
      </c>
      <c r="Z10005">
        <v>1</v>
      </c>
      <c r="AA10005">
        <v>1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</row>
    <row r="10006" spans="1:39" x14ac:dyDescent="0.2">
      <c r="A10006" t="str">
        <f>"10002"</f>
        <v>10002</v>
      </c>
      <c r="B10006" t="str">
        <f t="shared" si="555"/>
        <v>1</v>
      </c>
      <c r="C10006" t="str">
        <f t="shared" si="557"/>
        <v>201</v>
      </c>
      <c r="D10006" t="str">
        <f>"33"</f>
        <v>33</v>
      </c>
      <c r="E10006" t="str">
        <f>"1-201-33"</f>
        <v>1-201-33</v>
      </c>
      <c r="F10006" t="s">
        <v>65</v>
      </c>
      <c r="G10006" t="s">
        <v>66</v>
      </c>
      <c r="H10006" t="s">
        <v>67</v>
      </c>
      <c r="S10006">
        <v>1</v>
      </c>
      <c r="T10006">
        <v>0</v>
      </c>
      <c r="U10006">
        <v>0</v>
      </c>
      <c r="V10006">
        <v>0</v>
      </c>
      <c r="W10006">
        <v>1</v>
      </c>
      <c r="X10006">
        <v>0</v>
      </c>
      <c r="Y10006">
        <v>0</v>
      </c>
      <c r="Z10006">
        <v>1</v>
      </c>
      <c r="AA10006">
        <v>1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</row>
    <row r="10007" spans="1:39" x14ac:dyDescent="0.2">
      <c r="A10007" t="str">
        <f>"10003"</f>
        <v>10003</v>
      </c>
      <c r="B10007" t="str">
        <f t="shared" si="555"/>
        <v>1</v>
      </c>
      <c r="C10007" t="str">
        <f t="shared" si="557"/>
        <v>201</v>
      </c>
      <c r="D10007" t="str">
        <f>"19"</f>
        <v>19</v>
      </c>
      <c r="E10007" t="str">
        <f>"1-201-19"</f>
        <v>1-201-19</v>
      </c>
      <c r="F10007" t="s">
        <v>65</v>
      </c>
      <c r="G10007" t="s">
        <v>66</v>
      </c>
      <c r="H10007" t="s">
        <v>67</v>
      </c>
      <c r="S10007">
        <v>1</v>
      </c>
      <c r="T10007">
        <v>0</v>
      </c>
      <c r="U10007">
        <v>0</v>
      </c>
      <c r="V10007">
        <v>0</v>
      </c>
      <c r="W10007">
        <v>1</v>
      </c>
      <c r="X10007">
        <v>0</v>
      </c>
      <c r="Y10007">
        <v>1</v>
      </c>
      <c r="Z10007">
        <v>0</v>
      </c>
      <c r="AA10007">
        <v>1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</row>
    <row r="10008" spans="1:39" x14ac:dyDescent="0.2">
      <c r="A10008" t="str">
        <f>"10004"</f>
        <v>10004</v>
      </c>
      <c r="B10008" t="str">
        <f t="shared" si="555"/>
        <v>1</v>
      </c>
      <c r="C10008" t="str">
        <f t="shared" si="557"/>
        <v>201</v>
      </c>
      <c r="D10008" t="str">
        <f>"15"</f>
        <v>15</v>
      </c>
      <c r="E10008" t="str">
        <f>"1-201-15"</f>
        <v>1-201-15</v>
      </c>
      <c r="F10008" t="s">
        <v>65</v>
      </c>
      <c r="G10008" t="s">
        <v>66</v>
      </c>
      <c r="H10008" t="s">
        <v>67</v>
      </c>
      <c r="S10008">
        <v>1</v>
      </c>
      <c r="T10008">
        <v>0</v>
      </c>
      <c r="U10008">
        <v>0</v>
      </c>
      <c r="V10008">
        <v>0</v>
      </c>
      <c r="W10008">
        <v>1</v>
      </c>
      <c r="X10008">
        <v>0</v>
      </c>
      <c r="Y10008">
        <v>0</v>
      </c>
      <c r="Z10008">
        <v>1</v>
      </c>
      <c r="AA10008">
        <v>1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</row>
    <row r="10009" spans="1:39" x14ac:dyDescent="0.2">
      <c r="A10009" t="str">
        <f>"10005"</f>
        <v>10005</v>
      </c>
      <c r="B10009" t="str">
        <f t="shared" si="555"/>
        <v>1</v>
      </c>
      <c r="C10009" t="str">
        <f t="shared" si="557"/>
        <v>201</v>
      </c>
      <c r="D10009" t="str">
        <f>"1"</f>
        <v>1</v>
      </c>
      <c r="E10009" t="str">
        <f>"1-201-1"</f>
        <v>1-201-1</v>
      </c>
      <c r="F10009" t="s">
        <v>65</v>
      </c>
      <c r="G10009" t="s">
        <v>66</v>
      </c>
      <c r="H10009" t="s">
        <v>68</v>
      </c>
      <c r="I10009">
        <v>1</v>
      </c>
      <c r="J10009">
        <v>1</v>
      </c>
      <c r="K10009">
        <v>0</v>
      </c>
      <c r="L10009">
        <v>0</v>
      </c>
      <c r="M10009">
        <v>1</v>
      </c>
      <c r="N10009">
        <v>1</v>
      </c>
      <c r="O10009">
        <v>1</v>
      </c>
      <c r="P10009">
        <v>1</v>
      </c>
      <c r="Q10009">
        <v>1</v>
      </c>
      <c r="R10009">
        <v>1</v>
      </c>
    </row>
    <row r="10010" spans="1:39" x14ac:dyDescent="0.2">
      <c r="A10010" t="str">
        <f>"10006"</f>
        <v>10006</v>
      </c>
      <c r="B10010" t="str">
        <f t="shared" si="555"/>
        <v>1</v>
      </c>
      <c r="C10010" t="str">
        <f t="shared" si="557"/>
        <v>201</v>
      </c>
      <c r="D10010" t="str">
        <f>"38"</f>
        <v>38</v>
      </c>
      <c r="E10010" t="str">
        <f>"1-201-38"</f>
        <v>1-201-38</v>
      </c>
      <c r="F10010" t="s">
        <v>65</v>
      </c>
      <c r="G10010" t="s">
        <v>66</v>
      </c>
      <c r="H10010" t="s">
        <v>67</v>
      </c>
      <c r="S10010">
        <v>1</v>
      </c>
      <c r="T10010">
        <v>0</v>
      </c>
      <c r="U10010">
        <v>0</v>
      </c>
      <c r="V10010">
        <v>0</v>
      </c>
      <c r="W10010">
        <v>1</v>
      </c>
      <c r="X10010">
        <v>0</v>
      </c>
      <c r="Y10010">
        <v>1</v>
      </c>
      <c r="Z10010">
        <v>0</v>
      </c>
      <c r="AA10010">
        <v>0</v>
      </c>
      <c r="AB10010">
        <v>0</v>
      </c>
      <c r="AC10010">
        <v>1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</row>
    <row r="10011" spans="1:39" x14ac:dyDescent="0.2">
      <c r="A10011" t="str">
        <f>"10007"</f>
        <v>10007</v>
      </c>
      <c r="B10011" t="str">
        <f t="shared" si="555"/>
        <v>1</v>
      </c>
      <c r="C10011" t="str">
        <f t="shared" si="557"/>
        <v>201</v>
      </c>
      <c r="D10011" t="str">
        <f>"37"</f>
        <v>37</v>
      </c>
      <c r="E10011" t="str">
        <f>"1-201-37"</f>
        <v>1-201-37</v>
      </c>
      <c r="F10011" t="s">
        <v>65</v>
      </c>
      <c r="G10011" t="s">
        <v>66</v>
      </c>
      <c r="H10011" t="s">
        <v>67</v>
      </c>
      <c r="S10011">
        <v>0</v>
      </c>
      <c r="T10011">
        <v>1</v>
      </c>
      <c r="U10011">
        <v>0</v>
      </c>
      <c r="V10011">
        <v>0</v>
      </c>
      <c r="W10011">
        <v>0</v>
      </c>
      <c r="X10011">
        <v>1</v>
      </c>
      <c r="Y10011">
        <v>0</v>
      </c>
      <c r="Z10011">
        <v>1</v>
      </c>
      <c r="AA10011">
        <v>0</v>
      </c>
      <c r="AB10011">
        <v>0</v>
      </c>
      <c r="AC10011">
        <v>1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</row>
    <row r="10012" spans="1:39" x14ac:dyDescent="0.2">
      <c r="A10012" t="str">
        <f>"10008"</f>
        <v>10008</v>
      </c>
      <c r="B10012" t="str">
        <f t="shared" si="555"/>
        <v>1</v>
      </c>
      <c r="C10012" t="str">
        <f t="shared" si="557"/>
        <v>201</v>
      </c>
      <c r="D10012" t="str">
        <f>"26"</f>
        <v>26</v>
      </c>
      <c r="E10012" t="str">
        <f>"1-201-26"</f>
        <v>1-201-26</v>
      </c>
      <c r="F10012" t="s">
        <v>65</v>
      </c>
      <c r="G10012" t="s">
        <v>66</v>
      </c>
      <c r="H10012" t="s">
        <v>67</v>
      </c>
      <c r="S10012">
        <v>1</v>
      </c>
      <c r="T10012">
        <v>0</v>
      </c>
      <c r="U10012">
        <v>0</v>
      </c>
      <c r="V10012">
        <v>0</v>
      </c>
      <c r="W10012">
        <v>1</v>
      </c>
      <c r="X10012">
        <v>0</v>
      </c>
      <c r="Y10012">
        <v>1</v>
      </c>
      <c r="Z10012">
        <v>0</v>
      </c>
      <c r="AA10012">
        <v>1</v>
      </c>
      <c r="AB10012">
        <v>0</v>
      </c>
      <c r="AC10012">
        <v>0</v>
      </c>
      <c r="AD10012">
        <v>1</v>
      </c>
      <c r="AE10012">
        <v>1</v>
      </c>
      <c r="AF10012">
        <v>1</v>
      </c>
      <c r="AG10012">
        <v>1</v>
      </c>
      <c r="AH10012">
        <v>1</v>
      </c>
      <c r="AI10012">
        <v>1</v>
      </c>
      <c r="AJ10012">
        <v>1</v>
      </c>
      <c r="AK10012">
        <v>1</v>
      </c>
      <c r="AL10012">
        <v>1</v>
      </c>
      <c r="AM10012">
        <v>1</v>
      </c>
    </row>
    <row r="10013" spans="1:39" x14ac:dyDescent="0.2">
      <c r="A10013" t="str">
        <f>"10009"</f>
        <v>10009</v>
      </c>
      <c r="B10013" t="str">
        <f t="shared" si="555"/>
        <v>1</v>
      </c>
      <c r="C10013" t="str">
        <f t="shared" si="557"/>
        <v>201</v>
      </c>
      <c r="D10013" t="str">
        <f>"16"</f>
        <v>16</v>
      </c>
      <c r="E10013" t="str">
        <f>"1-201-16"</f>
        <v>1-201-16</v>
      </c>
      <c r="F10013" t="s">
        <v>65</v>
      </c>
      <c r="G10013" t="s">
        <v>66</v>
      </c>
      <c r="H10013" t="s">
        <v>67</v>
      </c>
      <c r="S10013">
        <v>0</v>
      </c>
      <c r="T10013">
        <v>1</v>
      </c>
      <c r="U10013">
        <v>0</v>
      </c>
      <c r="V10013">
        <v>0</v>
      </c>
      <c r="W10013">
        <v>0</v>
      </c>
      <c r="X10013">
        <v>1</v>
      </c>
      <c r="Y10013">
        <v>0</v>
      </c>
      <c r="Z10013">
        <v>1</v>
      </c>
      <c r="AA10013">
        <v>0</v>
      </c>
      <c r="AB10013">
        <v>0</v>
      </c>
      <c r="AC10013">
        <v>1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</row>
    <row r="10014" spans="1:39" x14ac:dyDescent="0.2">
      <c r="A10014" t="str">
        <f>"10010"</f>
        <v>10010</v>
      </c>
      <c r="B10014" t="str">
        <f t="shared" si="555"/>
        <v>1</v>
      </c>
      <c r="C10014" t="str">
        <f t="shared" si="557"/>
        <v>201</v>
      </c>
      <c r="D10014" t="str">
        <f>"4"</f>
        <v>4</v>
      </c>
      <c r="E10014" t="str">
        <f>"1-201-4"</f>
        <v>1-201-4</v>
      </c>
      <c r="F10014" t="s">
        <v>65</v>
      </c>
      <c r="G10014" t="s">
        <v>66</v>
      </c>
      <c r="H10014" t="s">
        <v>67</v>
      </c>
      <c r="S10014">
        <v>0</v>
      </c>
      <c r="T10014">
        <v>1</v>
      </c>
      <c r="U10014">
        <v>0</v>
      </c>
      <c r="V10014">
        <v>0</v>
      </c>
      <c r="W10014">
        <v>1</v>
      </c>
      <c r="X10014">
        <v>0</v>
      </c>
      <c r="Y10014">
        <v>1</v>
      </c>
      <c r="Z10014">
        <v>0</v>
      </c>
      <c r="AA10014">
        <v>1</v>
      </c>
      <c r="AB10014">
        <v>0</v>
      </c>
      <c r="AC10014">
        <v>0</v>
      </c>
      <c r="AD10014">
        <v>1</v>
      </c>
      <c r="AE10014">
        <v>1</v>
      </c>
      <c r="AF10014">
        <v>1</v>
      </c>
      <c r="AG10014">
        <v>1</v>
      </c>
      <c r="AH10014">
        <v>1</v>
      </c>
      <c r="AI10014">
        <v>1</v>
      </c>
      <c r="AJ10014">
        <v>1</v>
      </c>
      <c r="AK10014">
        <v>1</v>
      </c>
      <c r="AL10014">
        <v>1</v>
      </c>
      <c r="AM10014">
        <v>1</v>
      </c>
    </row>
    <row r="10015" spans="1:39" x14ac:dyDescent="0.2">
      <c r="A10015" t="str">
        <f>"10011"</f>
        <v>10011</v>
      </c>
      <c r="B10015" t="str">
        <f t="shared" si="555"/>
        <v>1</v>
      </c>
      <c r="C10015" t="str">
        <f t="shared" si="557"/>
        <v>201</v>
      </c>
      <c r="D10015" t="str">
        <f>"36"</f>
        <v>36</v>
      </c>
      <c r="E10015" t="str">
        <f>"1-201-36"</f>
        <v>1-201-36</v>
      </c>
      <c r="F10015" t="s">
        <v>65</v>
      </c>
      <c r="G10015" t="s">
        <v>66</v>
      </c>
      <c r="H10015" t="s">
        <v>67</v>
      </c>
      <c r="S10015">
        <v>0</v>
      </c>
      <c r="T10015">
        <v>1</v>
      </c>
      <c r="U10015">
        <v>0</v>
      </c>
      <c r="V10015">
        <v>0</v>
      </c>
      <c r="W10015">
        <v>1</v>
      </c>
      <c r="X10015">
        <v>0</v>
      </c>
      <c r="Y10015">
        <v>1</v>
      </c>
      <c r="Z10015">
        <v>0</v>
      </c>
      <c r="AA10015">
        <v>1</v>
      </c>
      <c r="AB10015">
        <v>0</v>
      </c>
      <c r="AC10015">
        <v>0</v>
      </c>
      <c r="AD10015">
        <v>1</v>
      </c>
      <c r="AE10015">
        <v>1</v>
      </c>
      <c r="AF10015">
        <v>0</v>
      </c>
      <c r="AG10015">
        <v>1</v>
      </c>
      <c r="AH10015">
        <v>1</v>
      </c>
      <c r="AI10015">
        <v>0</v>
      </c>
      <c r="AJ10015">
        <v>0</v>
      </c>
      <c r="AK10015">
        <v>0</v>
      </c>
      <c r="AL10015">
        <v>1</v>
      </c>
      <c r="AM10015">
        <v>1</v>
      </c>
    </row>
    <row r="10016" spans="1:39" x14ac:dyDescent="0.2">
      <c r="A10016" t="str">
        <f>"10012"</f>
        <v>10012</v>
      </c>
      <c r="B10016" t="str">
        <f t="shared" si="555"/>
        <v>1</v>
      </c>
      <c r="C10016" t="str">
        <f t="shared" si="557"/>
        <v>201</v>
      </c>
      <c r="D10016" t="str">
        <f>"35"</f>
        <v>35</v>
      </c>
      <c r="E10016" t="str">
        <f>"1-201-35"</f>
        <v>1-201-35</v>
      </c>
      <c r="F10016" t="s">
        <v>65</v>
      </c>
      <c r="G10016" t="s">
        <v>66</v>
      </c>
      <c r="H10016" t="s">
        <v>67</v>
      </c>
      <c r="S10016">
        <v>0</v>
      </c>
      <c r="T10016">
        <v>1</v>
      </c>
      <c r="U10016">
        <v>0</v>
      </c>
      <c r="V10016">
        <v>0</v>
      </c>
      <c r="W10016">
        <v>1</v>
      </c>
      <c r="X10016">
        <v>0</v>
      </c>
      <c r="Y10016">
        <v>1</v>
      </c>
      <c r="Z10016">
        <v>0</v>
      </c>
      <c r="AA10016">
        <v>1</v>
      </c>
      <c r="AB10016">
        <v>0</v>
      </c>
      <c r="AC10016">
        <v>0</v>
      </c>
      <c r="AD10016">
        <v>1</v>
      </c>
      <c r="AE10016">
        <v>1</v>
      </c>
      <c r="AF10016">
        <v>1</v>
      </c>
      <c r="AG10016">
        <v>1</v>
      </c>
      <c r="AH10016">
        <v>1</v>
      </c>
      <c r="AI10016">
        <v>1</v>
      </c>
      <c r="AJ10016">
        <v>1</v>
      </c>
      <c r="AK10016">
        <v>1</v>
      </c>
      <c r="AL10016">
        <v>1</v>
      </c>
      <c r="AM10016">
        <v>1</v>
      </c>
    </row>
    <row r="10017" spans="1:39" x14ac:dyDescent="0.2">
      <c r="A10017" t="str">
        <f>"10013"</f>
        <v>10013</v>
      </c>
      <c r="B10017" t="str">
        <f t="shared" si="555"/>
        <v>1</v>
      </c>
      <c r="C10017" t="str">
        <f t="shared" si="557"/>
        <v>201</v>
      </c>
      <c r="D10017" t="str">
        <f>"24"</f>
        <v>24</v>
      </c>
      <c r="E10017" t="str">
        <f>"1-201-24"</f>
        <v>1-201-24</v>
      </c>
      <c r="F10017" t="s">
        <v>65</v>
      </c>
      <c r="G10017" t="s">
        <v>66</v>
      </c>
      <c r="H10017" t="s">
        <v>67</v>
      </c>
      <c r="S10017">
        <v>1</v>
      </c>
      <c r="T10017">
        <v>0</v>
      </c>
      <c r="U10017">
        <v>0</v>
      </c>
      <c r="V10017">
        <v>0</v>
      </c>
      <c r="W10017">
        <v>1</v>
      </c>
      <c r="X10017">
        <v>0</v>
      </c>
      <c r="Y10017">
        <v>1</v>
      </c>
      <c r="Z10017">
        <v>0</v>
      </c>
      <c r="AA10017">
        <v>1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1</v>
      </c>
      <c r="AH10017">
        <v>0</v>
      </c>
      <c r="AI10017">
        <v>0</v>
      </c>
      <c r="AJ10017">
        <v>0</v>
      </c>
      <c r="AK10017">
        <v>0</v>
      </c>
      <c r="AL10017">
        <v>1</v>
      </c>
      <c r="AM10017">
        <v>1</v>
      </c>
    </row>
    <row r="10018" spans="1:39" x14ac:dyDescent="0.2">
      <c r="A10018" t="str">
        <f>"10014"</f>
        <v>10014</v>
      </c>
      <c r="B10018" t="str">
        <f t="shared" si="555"/>
        <v>1</v>
      </c>
      <c r="C10018" t="str">
        <f t="shared" si="557"/>
        <v>201</v>
      </c>
      <c r="D10018" t="str">
        <f>"17"</f>
        <v>17</v>
      </c>
      <c r="E10018" t="str">
        <f>"1-201-17"</f>
        <v>1-201-17</v>
      </c>
      <c r="F10018" t="s">
        <v>65</v>
      </c>
      <c r="G10018" t="s">
        <v>66</v>
      </c>
      <c r="H10018" t="s">
        <v>67</v>
      </c>
      <c r="S10018">
        <v>1</v>
      </c>
      <c r="T10018">
        <v>0</v>
      </c>
      <c r="U10018">
        <v>0</v>
      </c>
      <c r="V10018">
        <v>0</v>
      </c>
      <c r="W10018">
        <v>1</v>
      </c>
      <c r="X10018">
        <v>0</v>
      </c>
      <c r="Y10018">
        <v>0</v>
      </c>
      <c r="Z10018">
        <v>1</v>
      </c>
      <c r="AA10018">
        <v>1</v>
      </c>
      <c r="AB10018">
        <v>0</v>
      </c>
      <c r="AC10018">
        <v>0</v>
      </c>
      <c r="AD10018">
        <v>1</v>
      </c>
      <c r="AE10018">
        <v>1</v>
      </c>
      <c r="AF10018">
        <v>1</v>
      </c>
      <c r="AG10018">
        <v>1</v>
      </c>
      <c r="AH10018">
        <v>1</v>
      </c>
      <c r="AI10018">
        <v>1</v>
      </c>
      <c r="AJ10018">
        <v>1</v>
      </c>
      <c r="AK10018">
        <v>1</v>
      </c>
      <c r="AL10018">
        <v>1</v>
      </c>
      <c r="AM10018">
        <v>1</v>
      </c>
    </row>
    <row r="10019" spans="1:39" x14ac:dyDescent="0.2">
      <c r="A10019" t="str">
        <f>"10015"</f>
        <v>10015</v>
      </c>
      <c r="B10019" t="str">
        <f t="shared" si="555"/>
        <v>1</v>
      </c>
      <c r="C10019" t="str">
        <f t="shared" si="557"/>
        <v>201</v>
      </c>
      <c r="D10019" t="str">
        <f>"13"</f>
        <v>13</v>
      </c>
      <c r="E10019" t="str">
        <f>"1-201-13"</f>
        <v>1-201-13</v>
      </c>
      <c r="F10019" t="s">
        <v>65</v>
      </c>
      <c r="G10019" t="s">
        <v>66</v>
      </c>
      <c r="H10019" t="s">
        <v>67</v>
      </c>
      <c r="S10019">
        <v>0</v>
      </c>
      <c r="T10019">
        <v>1</v>
      </c>
      <c r="U10019">
        <v>0</v>
      </c>
      <c r="V10019">
        <v>0</v>
      </c>
      <c r="W10019">
        <v>1</v>
      </c>
      <c r="X10019">
        <v>0</v>
      </c>
      <c r="Y10019">
        <v>1</v>
      </c>
      <c r="Z10019">
        <v>0</v>
      </c>
      <c r="AA10019">
        <v>0</v>
      </c>
      <c r="AB10019">
        <v>0</v>
      </c>
      <c r="AC10019">
        <v>1</v>
      </c>
      <c r="AD10019">
        <v>1</v>
      </c>
      <c r="AE10019">
        <v>1</v>
      </c>
      <c r="AF10019">
        <v>1</v>
      </c>
      <c r="AG10019">
        <v>1</v>
      </c>
      <c r="AH10019">
        <v>1</v>
      </c>
      <c r="AI10019">
        <v>1</v>
      </c>
      <c r="AJ10019">
        <v>1</v>
      </c>
      <c r="AK10019">
        <v>1</v>
      </c>
      <c r="AL10019">
        <v>1</v>
      </c>
      <c r="AM10019">
        <v>1</v>
      </c>
    </row>
    <row r="10020" spans="1:39" x14ac:dyDescent="0.2">
      <c r="A10020" t="str">
        <f>"10016"</f>
        <v>10016</v>
      </c>
      <c r="B10020" t="str">
        <f t="shared" si="555"/>
        <v>1</v>
      </c>
      <c r="C10020" t="str">
        <f t="shared" si="557"/>
        <v>201</v>
      </c>
      <c r="D10020" t="str">
        <f>"40"</f>
        <v>40</v>
      </c>
      <c r="E10020" t="str">
        <f>"1-201-40"</f>
        <v>1-201-40</v>
      </c>
      <c r="F10020" t="s">
        <v>65</v>
      </c>
      <c r="G10020" t="s">
        <v>66</v>
      </c>
      <c r="H10020" t="s">
        <v>67</v>
      </c>
      <c r="S10020">
        <v>1</v>
      </c>
      <c r="T10020">
        <v>0</v>
      </c>
      <c r="U10020">
        <v>0</v>
      </c>
      <c r="V10020">
        <v>0</v>
      </c>
      <c r="W10020">
        <v>1</v>
      </c>
      <c r="X10020">
        <v>0</v>
      </c>
      <c r="Y10020">
        <v>0</v>
      </c>
      <c r="Z10020">
        <v>1</v>
      </c>
      <c r="AA10020">
        <v>0</v>
      </c>
      <c r="AB10020">
        <v>0</v>
      </c>
      <c r="AC10020">
        <v>1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</row>
    <row r="10021" spans="1:39" x14ac:dyDescent="0.2">
      <c r="A10021" t="str">
        <f>"10017"</f>
        <v>10017</v>
      </c>
      <c r="B10021" t="str">
        <f t="shared" si="555"/>
        <v>1</v>
      </c>
      <c r="C10021" t="str">
        <f t="shared" si="557"/>
        <v>201</v>
      </c>
      <c r="D10021" t="str">
        <f>"39"</f>
        <v>39</v>
      </c>
      <c r="E10021" t="str">
        <f>"1-201-39"</f>
        <v>1-201-39</v>
      </c>
      <c r="F10021" t="s">
        <v>65</v>
      </c>
      <c r="G10021" t="s">
        <v>66</v>
      </c>
      <c r="H10021" t="s">
        <v>67</v>
      </c>
      <c r="S10021">
        <v>1</v>
      </c>
      <c r="T10021">
        <v>0</v>
      </c>
      <c r="U10021">
        <v>0</v>
      </c>
      <c r="V10021">
        <v>0</v>
      </c>
      <c r="W10021">
        <v>1</v>
      </c>
      <c r="X10021">
        <v>0</v>
      </c>
      <c r="Y10021">
        <v>1</v>
      </c>
      <c r="Z10021">
        <v>0</v>
      </c>
      <c r="AA10021">
        <v>1</v>
      </c>
      <c r="AB10021">
        <v>0</v>
      </c>
      <c r="AC10021">
        <v>0</v>
      </c>
      <c r="AD10021">
        <v>1</v>
      </c>
      <c r="AE10021">
        <v>1</v>
      </c>
      <c r="AF10021">
        <v>1</v>
      </c>
      <c r="AG10021">
        <v>1</v>
      </c>
      <c r="AH10021">
        <v>1</v>
      </c>
      <c r="AI10021">
        <v>1</v>
      </c>
      <c r="AJ10021">
        <v>1</v>
      </c>
      <c r="AK10021">
        <v>1</v>
      </c>
      <c r="AL10021">
        <v>1</v>
      </c>
      <c r="AM10021">
        <v>1</v>
      </c>
    </row>
    <row r="10022" spans="1:39" x14ac:dyDescent="0.2">
      <c r="A10022" t="str">
        <f>"10018"</f>
        <v>10018</v>
      </c>
      <c r="B10022" t="str">
        <f t="shared" si="555"/>
        <v>1</v>
      </c>
      <c r="C10022" t="str">
        <f t="shared" si="557"/>
        <v>201</v>
      </c>
      <c r="D10022" t="str">
        <f>"28"</f>
        <v>28</v>
      </c>
      <c r="E10022" t="str">
        <f>"1-201-28"</f>
        <v>1-201-28</v>
      </c>
      <c r="F10022" t="s">
        <v>65</v>
      </c>
      <c r="G10022" t="s">
        <v>66</v>
      </c>
      <c r="H10022" t="s">
        <v>67</v>
      </c>
      <c r="S10022">
        <v>1</v>
      </c>
      <c r="T10022">
        <v>0</v>
      </c>
      <c r="U10022">
        <v>0</v>
      </c>
      <c r="V10022">
        <v>0</v>
      </c>
      <c r="W10022">
        <v>1</v>
      </c>
      <c r="X10022">
        <v>0</v>
      </c>
      <c r="Y10022">
        <v>0</v>
      </c>
      <c r="Z10022">
        <v>1</v>
      </c>
      <c r="AA10022">
        <v>0</v>
      </c>
      <c r="AB10022">
        <v>0</v>
      </c>
      <c r="AC10022">
        <v>1</v>
      </c>
      <c r="AD10022">
        <v>1</v>
      </c>
      <c r="AE10022">
        <v>1</v>
      </c>
      <c r="AF10022">
        <v>1</v>
      </c>
      <c r="AG10022">
        <v>1</v>
      </c>
      <c r="AH10022">
        <v>1</v>
      </c>
      <c r="AI10022">
        <v>1</v>
      </c>
      <c r="AJ10022">
        <v>1</v>
      </c>
      <c r="AK10022">
        <v>1</v>
      </c>
      <c r="AL10022">
        <v>1</v>
      </c>
      <c r="AM10022">
        <v>1</v>
      </c>
    </row>
    <row r="10023" spans="1:39" x14ac:dyDescent="0.2">
      <c r="A10023" t="str">
        <f>"10019"</f>
        <v>10019</v>
      </c>
      <c r="B10023" t="str">
        <f t="shared" si="555"/>
        <v>1</v>
      </c>
      <c r="C10023" t="str">
        <f t="shared" si="557"/>
        <v>201</v>
      </c>
      <c r="D10023" t="str">
        <f>"18"</f>
        <v>18</v>
      </c>
      <c r="E10023" t="str">
        <f>"1-201-18"</f>
        <v>1-201-18</v>
      </c>
      <c r="F10023" t="s">
        <v>65</v>
      </c>
      <c r="G10023" t="s">
        <v>66</v>
      </c>
      <c r="H10023" t="s">
        <v>67</v>
      </c>
      <c r="S10023">
        <v>1</v>
      </c>
      <c r="T10023">
        <v>0</v>
      </c>
      <c r="U10023">
        <v>0</v>
      </c>
      <c r="V10023">
        <v>0</v>
      </c>
      <c r="W10023">
        <v>1</v>
      </c>
      <c r="X10023">
        <v>0</v>
      </c>
      <c r="Y10023">
        <v>1</v>
      </c>
      <c r="Z10023">
        <v>0</v>
      </c>
      <c r="AA10023">
        <v>1</v>
      </c>
      <c r="AB10023">
        <v>0</v>
      </c>
      <c r="AC10023">
        <v>0</v>
      </c>
      <c r="AD10023">
        <v>1</v>
      </c>
      <c r="AE10023">
        <v>1</v>
      </c>
      <c r="AF10023">
        <v>1</v>
      </c>
      <c r="AG10023">
        <v>1</v>
      </c>
      <c r="AH10023">
        <v>1</v>
      </c>
      <c r="AI10023">
        <v>1</v>
      </c>
      <c r="AJ10023">
        <v>1</v>
      </c>
      <c r="AK10023">
        <v>1</v>
      </c>
      <c r="AL10023">
        <v>1</v>
      </c>
      <c r="AM10023">
        <v>1</v>
      </c>
    </row>
    <row r="10024" spans="1:39" x14ac:dyDescent="0.2">
      <c r="A10024" t="str">
        <f>"10020"</f>
        <v>10020</v>
      </c>
      <c r="B10024" t="str">
        <f t="shared" si="555"/>
        <v>1</v>
      </c>
      <c r="C10024" t="str">
        <f t="shared" si="557"/>
        <v>201</v>
      </c>
      <c r="D10024" t="str">
        <f>"7"</f>
        <v>7</v>
      </c>
      <c r="E10024" t="str">
        <f>"1-201-7"</f>
        <v>1-201-7</v>
      </c>
      <c r="F10024" t="s">
        <v>65</v>
      </c>
      <c r="G10024" t="s">
        <v>66</v>
      </c>
      <c r="H10024" t="s">
        <v>67</v>
      </c>
      <c r="S10024">
        <v>0</v>
      </c>
      <c r="T10024">
        <v>1</v>
      </c>
      <c r="U10024">
        <v>0</v>
      </c>
      <c r="V10024">
        <v>0</v>
      </c>
      <c r="W10024">
        <v>0</v>
      </c>
      <c r="X10024">
        <v>1</v>
      </c>
      <c r="Y10024">
        <v>0</v>
      </c>
      <c r="Z10024">
        <v>1</v>
      </c>
      <c r="AA10024">
        <v>0</v>
      </c>
      <c r="AB10024">
        <v>1</v>
      </c>
      <c r="AC10024">
        <v>0</v>
      </c>
      <c r="AD10024">
        <v>1</v>
      </c>
      <c r="AE10024">
        <v>1</v>
      </c>
      <c r="AF10024">
        <v>1</v>
      </c>
      <c r="AG10024">
        <v>1</v>
      </c>
      <c r="AH10024">
        <v>1</v>
      </c>
      <c r="AI10024">
        <v>1</v>
      </c>
      <c r="AJ10024">
        <v>1</v>
      </c>
      <c r="AK10024">
        <v>1</v>
      </c>
      <c r="AL10024">
        <v>1</v>
      </c>
      <c r="AM10024">
        <v>1</v>
      </c>
    </row>
    <row r="10025" spans="1:39" x14ac:dyDescent="0.2">
      <c r="A10025" t="str">
        <f>"10021"</f>
        <v>10021</v>
      </c>
      <c r="B10025" t="str">
        <f t="shared" si="555"/>
        <v>1</v>
      </c>
      <c r="C10025" t="str">
        <f t="shared" si="557"/>
        <v>201</v>
      </c>
      <c r="D10025" t="str">
        <f>"41"</f>
        <v>41</v>
      </c>
      <c r="E10025" t="str">
        <f>"1-201-41"</f>
        <v>1-201-41</v>
      </c>
      <c r="F10025" t="s">
        <v>65</v>
      </c>
      <c r="G10025" t="s">
        <v>66</v>
      </c>
      <c r="H10025" t="s">
        <v>67</v>
      </c>
      <c r="S10025">
        <v>1</v>
      </c>
      <c r="T10025">
        <v>0</v>
      </c>
      <c r="U10025">
        <v>0</v>
      </c>
      <c r="V10025">
        <v>0</v>
      </c>
      <c r="W10025">
        <v>1</v>
      </c>
      <c r="X10025">
        <v>0</v>
      </c>
      <c r="Y10025">
        <v>1</v>
      </c>
      <c r="Z10025">
        <v>0</v>
      </c>
      <c r="AA10025">
        <v>0</v>
      </c>
      <c r="AB10025">
        <v>0</v>
      </c>
      <c r="AC10025">
        <v>0</v>
      </c>
      <c r="AD10025">
        <v>1</v>
      </c>
      <c r="AE10025">
        <v>1</v>
      </c>
      <c r="AF10025">
        <v>1</v>
      </c>
      <c r="AG10025">
        <v>1</v>
      </c>
      <c r="AH10025">
        <v>1</v>
      </c>
      <c r="AI10025">
        <v>1</v>
      </c>
      <c r="AJ10025">
        <v>1</v>
      </c>
      <c r="AK10025">
        <v>1</v>
      </c>
      <c r="AL10025">
        <v>1</v>
      </c>
      <c r="AM10025">
        <v>1</v>
      </c>
    </row>
    <row r="10026" spans="1:39" x14ac:dyDescent="0.2">
      <c r="A10026" t="str">
        <f>"10022"</f>
        <v>10022</v>
      </c>
      <c r="B10026" t="str">
        <f t="shared" si="555"/>
        <v>1</v>
      </c>
      <c r="C10026" t="str">
        <f t="shared" si="557"/>
        <v>201</v>
      </c>
      <c r="D10026" t="str">
        <f>"20"</f>
        <v>20</v>
      </c>
      <c r="E10026" t="str">
        <f>"1-201-20"</f>
        <v>1-201-20</v>
      </c>
      <c r="F10026" t="s">
        <v>65</v>
      </c>
      <c r="G10026" t="s">
        <v>66</v>
      </c>
      <c r="H10026" t="s">
        <v>67</v>
      </c>
      <c r="S10026">
        <v>1</v>
      </c>
      <c r="T10026">
        <v>0</v>
      </c>
      <c r="U10026">
        <v>0</v>
      </c>
      <c r="V10026">
        <v>0</v>
      </c>
      <c r="W10026">
        <v>1</v>
      </c>
      <c r="X10026">
        <v>0</v>
      </c>
      <c r="Y10026">
        <v>1</v>
      </c>
      <c r="Z10026">
        <v>0</v>
      </c>
      <c r="AA10026">
        <v>0</v>
      </c>
      <c r="AB10026">
        <v>1</v>
      </c>
      <c r="AC10026">
        <v>0</v>
      </c>
      <c r="AD10026">
        <v>1</v>
      </c>
      <c r="AE10026">
        <v>1</v>
      </c>
      <c r="AF10026">
        <v>1</v>
      </c>
      <c r="AG10026">
        <v>1</v>
      </c>
      <c r="AH10026">
        <v>1</v>
      </c>
      <c r="AI10026">
        <v>1</v>
      </c>
      <c r="AJ10026">
        <v>1</v>
      </c>
      <c r="AK10026">
        <v>1</v>
      </c>
      <c r="AL10026">
        <v>1</v>
      </c>
      <c r="AM10026">
        <v>1</v>
      </c>
    </row>
    <row r="10027" spans="1:39" x14ac:dyDescent="0.2">
      <c r="A10027" t="str">
        <f>"10023"</f>
        <v>10023</v>
      </c>
      <c r="B10027" t="str">
        <f t="shared" si="555"/>
        <v>1</v>
      </c>
      <c r="C10027" t="str">
        <f t="shared" si="557"/>
        <v>201</v>
      </c>
      <c r="D10027" t="str">
        <f>"10"</f>
        <v>10</v>
      </c>
      <c r="E10027" t="str">
        <f>"1-201-10"</f>
        <v>1-201-10</v>
      </c>
      <c r="F10027" t="s">
        <v>65</v>
      </c>
      <c r="G10027" t="s">
        <v>66</v>
      </c>
      <c r="H10027" t="s">
        <v>67</v>
      </c>
      <c r="S10027">
        <v>0</v>
      </c>
      <c r="T10027">
        <v>1</v>
      </c>
      <c r="U10027">
        <v>0</v>
      </c>
      <c r="V10027">
        <v>0</v>
      </c>
      <c r="W10027">
        <v>1</v>
      </c>
      <c r="X10027">
        <v>0</v>
      </c>
      <c r="Y10027">
        <v>0</v>
      </c>
      <c r="Z10027">
        <v>1</v>
      </c>
      <c r="AA10027">
        <v>1</v>
      </c>
      <c r="AB10027">
        <v>0</v>
      </c>
      <c r="AC10027">
        <v>0</v>
      </c>
      <c r="AD10027">
        <v>1</v>
      </c>
      <c r="AE10027">
        <v>1</v>
      </c>
      <c r="AF10027">
        <v>0</v>
      </c>
      <c r="AG10027">
        <v>1</v>
      </c>
      <c r="AH10027">
        <v>1</v>
      </c>
      <c r="AI10027">
        <v>1</v>
      </c>
      <c r="AJ10027">
        <v>1</v>
      </c>
      <c r="AK10027">
        <v>1</v>
      </c>
      <c r="AL10027">
        <v>1</v>
      </c>
      <c r="AM10027">
        <v>1</v>
      </c>
    </row>
    <row r="10028" spans="1:39" x14ac:dyDescent="0.2">
      <c r="A10028" t="str">
        <f>"10024"</f>
        <v>10024</v>
      </c>
      <c r="B10028" t="str">
        <f t="shared" si="555"/>
        <v>1</v>
      </c>
      <c r="C10028" t="str">
        <f t="shared" si="557"/>
        <v>201</v>
      </c>
      <c r="D10028" t="str">
        <f>"42"</f>
        <v>42</v>
      </c>
      <c r="E10028" t="str">
        <f>"1-201-42"</f>
        <v>1-201-42</v>
      </c>
      <c r="F10028" t="s">
        <v>65</v>
      </c>
      <c r="G10028" t="s">
        <v>66</v>
      </c>
      <c r="H10028" t="s">
        <v>67</v>
      </c>
      <c r="S10028">
        <v>1</v>
      </c>
      <c r="T10028">
        <v>0</v>
      </c>
      <c r="U10028">
        <v>0</v>
      </c>
      <c r="V10028">
        <v>0</v>
      </c>
      <c r="W10028">
        <v>1</v>
      </c>
      <c r="X10028">
        <v>0</v>
      </c>
      <c r="Y10028">
        <v>1</v>
      </c>
      <c r="Z10028">
        <v>0</v>
      </c>
      <c r="AA10028">
        <v>0</v>
      </c>
      <c r="AB10028">
        <v>0</v>
      </c>
      <c r="AC10028">
        <v>0</v>
      </c>
      <c r="AD10028">
        <v>1</v>
      </c>
      <c r="AE10028">
        <v>1</v>
      </c>
      <c r="AF10028">
        <v>1</v>
      </c>
      <c r="AG10028">
        <v>1</v>
      </c>
      <c r="AH10028">
        <v>1</v>
      </c>
      <c r="AI10028">
        <v>1</v>
      </c>
      <c r="AJ10028">
        <v>1</v>
      </c>
      <c r="AK10028">
        <v>1</v>
      </c>
      <c r="AL10028">
        <v>1</v>
      </c>
      <c r="AM10028">
        <v>1</v>
      </c>
    </row>
    <row r="10029" spans="1:39" x14ac:dyDescent="0.2">
      <c r="A10029" t="str">
        <f>"10025"</f>
        <v>10025</v>
      </c>
      <c r="B10029" t="str">
        <f t="shared" si="555"/>
        <v>1</v>
      </c>
      <c r="C10029" t="str">
        <f t="shared" si="557"/>
        <v>201</v>
      </c>
      <c r="D10029" t="str">
        <f>"21"</f>
        <v>21</v>
      </c>
      <c r="E10029" t="str">
        <f>"1-201-21"</f>
        <v>1-201-21</v>
      </c>
      <c r="F10029" t="s">
        <v>65</v>
      </c>
      <c r="G10029" t="s">
        <v>66</v>
      </c>
      <c r="H10029" t="s">
        <v>67</v>
      </c>
      <c r="S10029">
        <v>0</v>
      </c>
      <c r="T10029">
        <v>1</v>
      </c>
      <c r="U10029">
        <v>0</v>
      </c>
      <c r="V10029">
        <v>0</v>
      </c>
      <c r="W10029">
        <v>0</v>
      </c>
      <c r="X10029">
        <v>1</v>
      </c>
      <c r="Y10029">
        <v>1</v>
      </c>
      <c r="Z10029">
        <v>0</v>
      </c>
      <c r="AA10029">
        <v>0</v>
      </c>
      <c r="AB10029">
        <v>1</v>
      </c>
      <c r="AC10029">
        <v>0</v>
      </c>
      <c r="AD10029">
        <v>1</v>
      </c>
      <c r="AE10029">
        <v>1</v>
      </c>
      <c r="AF10029">
        <v>1</v>
      </c>
      <c r="AG10029">
        <v>0</v>
      </c>
      <c r="AH10029">
        <v>0</v>
      </c>
      <c r="AI10029">
        <v>0</v>
      </c>
      <c r="AJ10029">
        <v>1</v>
      </c>
      <c r="AK10029">
        <v>0</v>
      </c>
      <c r="AL10029">
        <v>0</v>
      </c>
      <c r="AM10029">
        <v>0</v>
      </c>
    </row>
    <row r="10030" spans="1:39" x14ac:dyDescent="0.2">
      <c r="A10030" t="str">
        <f>"10026"</f>
        <v>10026</v>
      </c>
      <c r="B10030" t="str">
        <f t="shared" si="555"/>
        <v>1</v>
      </c>
      <c r="C10030" t="str">
        <f t="shared" si="557"/>
        <v>201</v>
      </c>
      <c r="D10030" t="str">
        <f>"2"</f>
        <v>2</v>
      </c>
      <c r="E10030" t="str">
        <f>"1-201-2"</f>
        <v>1-201-2</v>
      </c>
      <c r="F10030" t="s">
        <v>65</v>
      </c>
      <c r="G10030" t="s">
        <v>66</v>
      </c>
      <c r="H10030" t="s">
        <v>67</v>
      </c>
      <c r="S10030">
        <v>0</v>
      </c>
      <c r="T10030">
        <v>1</v>
      </c>
      <c r="U10030">
        <v>0</v>
      </c>
      <c r="V10030">
        <v>0</v>
      </c>
      <c r="W10030">
        <v>1</v>
      </c>
      <c r="X10030">
        <v>0</v>
      </c>
      <c r="Y10030">
        <v>1</v>
      </c>
      <c r="Z10030">
        <v>0</v>
      </c>
      <c r="AA10030">
        <v>1</v>
      </c>
      <c r="AB10030">
        <v>0</v>
      </c>
      <c r="AC10030">
        <v>0</v>
      </c>
      <c r="AD10030">
        <v>1</v>
      </c>
      <c r="AE10030">
        <v>1</v>
      </c>
      <c r="AF10030">
        <v>1</v>
      </c>
      <c r="AG10030">
        <v>1</v>
      </c>
      <c r="AH10030">
        <v>1</v>
      </c>
      <c r="AI10030">
        <v>1</v>
      </c>
      <c r="AJ10030">
        <v>1</v>
      </c>
      <c r="AK10030">
        <v>1</v>
      </c>
      <c r="AL10030">
        <v>1</v>
      </c>
      <c r="AM10030">
        <v>1</v>
      </c>
    </row>
    <row r="10031" spans="1:39" x14ac:dyDescent="0.2">
      <c r="A10031" t="str">
        <f>"10027"</f>
        <v>10027</v>
      </c>
      <c r="B10031" t="str">
        <f t="shared" si="555"/>
        <v>1</v>
      </c>
      <c r="C10031" t="str">
        <f t="shared" si="557"/>
        <v>201</v>
      </c>
      <c r="D10031" t="str">
        <f>"43"</f>
        <v>43</v>
      </c>
      <c r="E10031" t="str">
        <f>"1-201-43"</f>
        <v>1-201-43</v>
      </c>
      <c r="F10031" t="s">
        <v>65</v>
      </c>
      <c r="G10031" t="s">
        <v>66</v>
      </c>
      <c r="H10031" t="s">
        <v>67</v>
      </c>
      <c r="S10031">
        <v>1</v>
      </c>
      <c r="T10031">
        <v>0</v>
      </c>
      <c r="U10031">
        <v>0</v>
      </c>
      <c r="V10031">
        <v>0</v>
      </c>
      <c r="W10031">
        <v>1</v>
      </c>
      <c r="X10031">
        <v>0</v>
      </c>
      <c r="Y10031">
        <v>1</v>
      </c>
      <c r="Z10031">
        <v>0</v>
      </c>
      <c r="AA10031">
        <v>0</v>
      </c>
      <c r="AB10031">
        <v>1</v>
      </c>
      <c r="AC10031">
        <v>0</v>
      </c>
      <c r="AD10031">
        <v>1</v>
      </c>
      <c r="AE10031">
        <v>1</v>
      </c>
      <c r="AF10031">
        <v>1</v>
      </c>
      <c r="AG10031">
        <v>1</v>
      </c>
      <c r="AH10031">
        <v>1</v>
      </c>
      <c r="AI10031">
        <v>0</v>
      </c>
      <c r="AJ10031">
        <v>1</v>
      </c>
      <c r="AK10031">
        <v>0</v>
      </c>
      <c r="AL10031">
        <v>1</v>
      </c>
      <c r="AM10031">
        <v>0</v>
      </c>
    </row>
    <row r="10032" spans="1:39" x14ac:dyDescent="0.2">
      <c r="A10032" t="str">
        <f>"10028"</f>
        <v>10028</v>
      </c>
      <c r="B10032" t="str">
        <f t="shared" si="555"/>
        <v>1</v>
      </c>
      <c r="C10032" t="str">
        <f t="shared" si="557"/>
        <v>201</v>
      </c>
      <c r="D10032" t="str">
        <f>"22"</f>
        <v>22</v>
      </c>
      <c r="E10032" t="str">
        <f>"1-201-22"</f>
        <v>1-201-22</v>
      </c>
      <c r="F10032" t="s">
        <v>65</v>
      </c>
      <c r="G10032" t="s">
        <v>66</v>
      </c>
      <c r="H10032" t="s">
        <v>67</v>
      </c>
      <c r="S10032">
        <v>0</v>
      </c>
      <c r="T10032">
        <v>1</v>
      </c>
      <c r="U10032">
        <v>0</v>
      </c>
      <c r="V10032">
        <v>0</v>
      </c>
      <c r="W10032">
        <v>1</v>
      </c>
      <c r="X10032">
        <v>0</v>
      </c>
      <c r="Y10032">
        <v>1</v>
      </c>
      <c r="Z10032">
        <v>0</v>
      </c>
      <c r="AA10032">
        <v>1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1</v>
      </c>
      <c r="AM10032">
        <v>0</v>
      </c>
    </row>
    <row r="10033" spans="1:39" x14ac:dyDescent="0.2">
      <c r="A10033" t="str">
        <f>"10029"</f>
        <v>10029</v>
      </c>
      <c r="B10033" t="str">
        <f t="shared" si="555"/>
        <v>1</v>
      </c>
      <c r="C10033" t="str">
        <f t="shared" si="557"/>
        <v>201</v>
      </c>
      <c r="D10033" t="str">
        <f>"3"</f>
        <v>3</v>
      </c>
      <c r="E10033" t="str">
        <f>"1-201-3"</f>
        <v>1-201-3</v>
      </c>
      <c r="F10033" t="s">
        <v>65</v>
      </c>
      <c r="G10033" t="s">
        <v>66</v>
      </c>
      <c r="H10033" t="s">
        <v>67</v>
      </c>
      <c r="S10033">
        <v>1</v>
      </c>
      <c r="T10033">
        <v>0</v>
      </c>
      <c r="U10033">
        <v>0</v>
      </c>
      <c r="V10033">
        <v>0</v>
      </c>
      <c r="W10033">
        <v>1</v>
      </c>
      <c r="X10033">
        <v>0</v>
      </c>
      <c r="Y10033">
        <v>1</v>
      </c>
      <c r="Z10033">
        <v>0</v>
      </c>
      <c r="AA10033">
        <v>1</v>
      </c>
      <c r="AB10033">
        <v>0</v>
      </c>
      <c r="AC10033">
        <v>0</v>
      </c>
      <c r="AD10033">
        <v>1</v>
      </c>
      <c r="AE10033">
        <v>1</v>
      </c>
      <c r="AF10033">
        <v>1</v>
      </c>
      <c r="AG10033">
        <v>1</v>
      </c>
      <c r="AH10033">
        <v>1</v>
      </c>
      <c r="AI10033">
        <v>1</v>
      </c>
      <c r="AJ10033">
        <v>1</v>
      </c>
      <c r="AK10033">
        <v>1</v>
      </c>
      <c r="AL10033">
        <v>1</v>
      </c>
      <c r="AM10033">
        <v>1</v>
      </c>
    </row>
    <row r="10034" spans="1:39" x14ac:dyDescent="0.2">
      <c r="A10034" t="str">
        <f>"10030"</f>
        <v>10030</v>
      </c>
      <c r="B10034" t="str">
        <f t="shared" si="555"/>
        <v>1</v>
      </c>
      <c r="C10034" t="str">
        <f t="shared" si="557"/>
        <v>201</v>
      </c>
      <c r="D10034" t="str">
        <f>"44"</f>
        <v>44</v>
      </c>
      <c r="E10034" t="str">
        <f>"1-201-44"</f>
        <v>1-201-44</v>
      </c>
      <c r="F10034" t="s">
        <v>65</v>
      </c>
      <c r="G10034" t="s">
        <v>66</v>
      </c>
      <c r="H10034" t="s">
        <v>67</v>
      </c>
      <c r="S10034">
        <v>1</v>
      </c>
      <c r="T10034">
        <v>0</v>
      </c>
      <c r="U10034">
        <v>0</v>
      </c>
      <c r="V10034">
        <v>0</v>
      </c>
      <c r="W10034">
        <v>1</v>
      </c>
      <c r="X10034">
        <v>0</v>
      </c>
      <c r="Y10034">
        <v>1</v>
      </c>
      <c r="Z10034">
        <v>0</v>
      </c>
      <c r="AA10034">
        <v>0</v>
      </c>
      <c r="AB10034">
        <v>0</v>
      </c>
      <c r="AC10034">
        <v>1</v>
      </c>
      <c r="AD10034">
        <v>1</v>
      </c>
      <c r="AE10034">
        <v>1</v>
      </c>
      <c r="AF10034">
        <v>1</v>
      </c>
      <c r="AG10034">
        <v>1</v>
      </c>
      <c r="AH10034">
        <v>1</v>
      </c>
      <c r="AI10034">
        <v>1</v>
      </c>
      <c r="AJ10034">
        <v>1</v>
      </c>
      <c r="AK10034">
        <v>1</v>
      </c>
      <c r="AL10034">
        <v>1</v>
      </c>
      <c r="AM10034">
        <v>1</v>
      </c>
    </row>
    <row r="10035" spans="1:39" x14ac:dyDescent="0.2">
      <c r="A10035" t="str">
        <f>"10031"</f>
        <v>10031</v>
      </c>
      <c r="B10035" t="str">
        <f t="shared" si="555"/>
        <v>1</v>
      </c>
      <c r="C10035" t="str">
        <f t="shared" si="557"/>
        <v>201</v>
      </c>
      <c r="D10035" t="str">
        <f>"23"</f>
        <v>23</v>
      </c>
      <c r="E10035" t="str">
        <f>"1-201-23"</f>
        <v>1-201-23</v>
      </c>
      <c r="F10035" t="s">
        <v>65</v>
      </c>
      <c r="G10035" t="s">
        <v>66</v>
      </c>
      <c r="H10035" t="s">
        <v>67</v>
      </c>
      <c r="S10035">
        <v>1</v>
      </c>
      <c r="T10035">
        <v>0</v>
      </c>
      <c r="U10035">
        <v>0</v>
      </c>
      <c r="V10035">
        <v>0</v>
      </c>
      <c r="W10035">
        <v>1</v>
      </c>
      <c r="X10035">
        <v>0</v>
      </c>
      <c r="Y10035">
        <v>1</v>
      </c>
      <c r="Z10035">
        <v>0</v>
      </c>
      <c r="AA10035">
        <v>1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1</v>
      </c>
    </row>
    <row r="10036" spans="1:39" x14ac:dyDescent="0.2">
      <c r="A10036" t="str">
        <f>"10032"</f>
        <v>10032</v>
      </c>
      <c r="B10036" t="str">
        <f t="shared" si="555"/>
        <v>1</v>
      </c>
      <c r="C10036" t="str">
        <f t="shared" si="557"/>
        <v>201</v>
      </c>
      <c r="D10036" t="str">
        <f>"8"</f>
        <v>8</v>
      </c>
      <c r="E10036" t="str">
        <f>"1-201-8"</f>
        <v>1-201-8</v>
      </c>
      <c r="F10036" t="s">
        <v>65</v>
      </c>
      <c r="G10036" t="s">
        <v>66</v>
      </c>
      <c r="H10036" t="s">
        <v>67</v>
      </c>
      <c r="S10036">
        <v>1</v>
      </c>
      <c r="T10036">
        <v>0</v>
      </c>
      <c r="U10036">
        <v>0</v>
      </c>
      <c r="V10036">
        <v>0</v>
      </c>
      <c r="W10036">
        <v>1</v>
      </c>
      <c r="X10036">
        <v>0</v>
      </c>
      <c r="Y10036">
        <v>1</v>
      </c>
      <c r="Z10036">
        <v>0</v>
      </c>
      <c r="AA10036">
        <v>0</v>
      </c>
      <c r="AB10036">
        <v>1</v>
      </c>
      <c r="AC10036">
        <v>0</v>
      </c>
      <c r="AD10036">
        <v>1</v>
      </c>
      <c r="AE10036">
        <v>1</v>
      </c>
      <c r="AF10036">
        <v>1</v>
      </c>
      <c r="AG10036">
        <v>1</v>
      </c>
      <c r="AH10036">
        <v>1</v>
      </c>
      <c r="AI10036">
        <v>1</v>
      </c>
      <c r="AJ10036">
        <v>1</v>
      </c>
      <c r="AK10036">
        <v>1</v>
      </c>
      <c r="AL10036">
        <v>1</v>
      </c>
      <c r="AM10036">
        <v>1</v>
      </c>
    </row>
    <row r="10037" spans="1:39" x14ac:dyDescent="0.2">
      <c r="A10037" t="str">
        <f>"10033"</f>
        <v>10033</v>
      </c>
      <c r="B10037" t="str">
        <f t="shared" si="555"/>
        <v>1</v>
      </c>
      <c r="C10037" t="str">
        <f t="shared" ref="C10037:C10054" si="558">"201"</f>
        <v>201</v>
      </c>
      <c r="D10037" t="str">
        <f>"45"</f>
        <v>45</v>
      </c>
      <c r="E10037" t="str">
        <f>"1-201-45"</f>
        <v>1-201-45</v>
      </c>
      <c r="F10037" t="s">
        <v>65</v>
      </c>
      <c r="G10037" t="s">
        <v>66</v>
      </c>
      <c r="H10037" t="s">
        <v>67</v>
      </c>
      <c r="S10037">
        <v>1</v>
      </c>
      <c r="T10037">
        <v>0</v>
      </c>
      <c r="U10037">
        <v>0</v>
      </c>
      <c r="V10037">
        <v>0</v>
      </c>
      <c r="W10037">
        <v>1</v>
      </c>
      <c r="X10037">
        <v>0</v>
      </c>
      <c r="Y10037">
        <v>1</v>
      </c>
      <c r="Z10037">
        <v>0</v>
      </c>
      <c r="AA10037">
        <v>1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1</v>
      </c>
      <c r="AJ10037">
        <v>1</v>
      </c>
      <c r="AK10037">
        <v>1</v>
      </c>
      <c r="AL10037">
        <v>1</v>
      </c>
      <c r="AM10037">
        <v>1</v>
      </c>
    </row>
    <row r="10038" spans="1:39" x14ac:dyDescent="0.2">
      <c r="A10038" t="str">
        <f>"10034"</f>
        <v>10034</v>
      </c>
      <c r="B10038" t="str">
        <f t="shared" si="555"/>
        <v>1</v>
      </c>
      <c r="C10038" t="str">
        <f t="shared" si="558"/>
        <v>201</v>
      </c>
      <c r="D10038" t="str">
        <f>"25"</f>
        <v>25</v>
      </c>
      <c r="E10038" t="str">
        <f>"1-201-25"</f>
        <v>1-201-25</v>
      </c>
      <c r="F10038" t="s">
        <v>65</v>
      </c>
      <c r="G10038" t="s">
        <v>66</v>
      </c>
      <c r="H10038" t="s">
        <v>67</v>
      </c>
      <c r="S10038">
        <v>1</v>
      </c>
      <c r="T10038">
        <v>0</v>
      </c>
      <c r="U10038">
        <v>0</v>
      </c>
      <c r="V10038">
        <v>0</v>
      </c>
      <c r="W10038">
        <v>1</v>
      </c>
      <c r="X10038">
        <v>0</v>
      </c>
      <c r="Y10038">
        <v>1</v>
      </c>
      <c r="Z10038">
        <v>0</v>
      </c>
      <c r="AA10038">
        <v>1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1</v>
      </c>
      <c r="AM10038">
        <v>1</v>
      </c>
    </row>
    <row r="10039" spans="1:39" x14ac:dyDescent="0.2">
      <c r="A10039" t="str">
        <f>"10035"</f>
        <v>10035</v>
      </c>
      <c r="B10039" t="str">
        <f t="shared" ref="B10039:B10102" si="559">"1"</f>
        <v>1</v>
      </c>
      <c r="C10039" t="str">
        <f t="shared" si="558"/>
        <v>201</v>
      </c>
      <c r="D10039" t="str">
        <f>"11"</f>
        <v>11</v>
      </c>
      <c r="E10039" t="str">
        <f>"1-201-11"</f>
        <v>1-201-11</v>
      </c>
      <c r="F10039" t="s">
        <v>65</v>
      </c>
      <c r="G10039" t="s">
        <v>66</v>
      </c>
      <c r="H10039" t="s">
        <v>67</v>
      </c>
      <c r="S10039">
        <v>0</v>
      </c>
      <c r="T10039">
        <v>1</v>
      </c>
      <c r="U10039">
        <v>0</v>
      </c>
      <c r="V10039">
        <v>0</v>
      </c>
      <c r="W10039">
        <v>0</v>
      </c>
      <c r="X10039">
        <v>1</v>
      </c>
      <c r="Y10039">
        <v>0</v>
      </c>
      <c r="Z10039">
        <v>1</v>
      </c>
      <c r="AA10039">
        <v>0</v>
      </c>
      <c r="AB10039">
        <v>0</v>
      </c>
      <c r="AC10039">
        <v>1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</row>
    <row r="10040" spans="1:39" x14ac:dyDescent="0.2">
      <c r="A10040" t="str">
        <f>"10036"</f>
        <v>10036</v>
      </c>
      <c r="B10040" t="str">
        <f t="shared" si="559"/>
        <v>1</v>
      </c>
      <c r="C10040" t="str">
        <f t="shared" si="558"/>
        <v>201</v>
      </c>
      <c r="D10040" t="str">
        <f>"27"</f>
        <v>27</v>
      </c>
      <c r="E10040" t="str">
        <f>"1-201-27"</f>
        <v>1-201-27</v>
      </c>
      <c r="F10040" t="s">
        <v>65</v>
      </c>
      <c r="G10040" t="s">
        <v>66</v>
      </c>
      <c r="H10040" t="s">
        <v>67</v>
      </c>
      <c r="S10040">
        <v>1</v>
      </c>
      <c r="T10040">
        <v>0</v>
      </c>
      <c r="U10040">
        <v>0</v>
      </c>
      <c r="V10040">
        <v>0</v>
      </c>
      <c r="W10040">
        <v>1</v>
      </c>
      <c r="X10040">
        <v>0</v>
      </c>
      <c r="Y10040">
        <v>1</v>
      </c>
      <c r="Z10040">
        <v>0</v>
      </c>
      <c r="AA10040">
        <v>1</v>
      </c>
      <c r="AB10040">
        <v>0</v>
      </c>
      <c r="AC10040">
        <v>0</v>
      </c>
      <c r="AD10040">
        <v>1</v>
      </c>
      <c r="AE10040">
        <v>1</v>
      </c>
      <c r="AF10040">
        <v>1</v>
      </c>
      <c r="AG10040">
        <v>1</v>
      </c>
      <c r="AH10040">
        <v>1</v>
      </c>
      <c r="AI10040">
        <v>1</v>
      </c>
      <c r="AJ10040">
        <v>1</v>
      </c>
      <c r="AK10040">
        <v>1</v>
      </c>
      <c r="AL10040">
        <v>1</v>
      </c>
      <c r="AM10040">
        <v>1</v>
      </c>
    </row>
    <row r="10041" spans="1:39" x14ac:dyDescent="0.2">
      <c r="A10041" t="str">
        <f>"10037"</f>
        <v>10037</v>
      </c>
      <c r="B10041" t="str">
        <f t="shared" si="559"/>
        <v>1</v>
      </c>
      <c r="C10041" t="str">
        <f t="shared" si="558"/>
        <v>201</v>
      </c>
      <c r="D10041" t="str">
        <f>"6"</f>
        <v>6</v>
      </c>
      <c r="E10041" t="str">
        <f>"1-201-6"</f>
        <v>1-201-6</v>
      </c>
      <c r="F10041" t="s">
        <v>65</v>
      </c>
      <c r="G10041" t="s">
        <v>66</v>
      </c>
      <c r="H10041" t="s">
        <v>67</v>
      </c>
      <c r="S10041">
        <v>0</v>
      </c>
      <c r="T10041">
        <v>1</v>
      </c>
      <c r="U10041">
        <v>0</v>
      </c>
      <c r="V10041">
        <v>0</v>
      </c>
      <c r="W10041">
        <v>0</v>
      </c>
      <c r="X10041">
        <v>1</v>
      </c>
      <c r="Y10041">
        <v>0</v>
      </c>
      <c r="Z10041">
        <v>1</v>
      </c>
      <c r="AA10041">
        <v>0</v>
      </c>
      <c r="AB10041">
        <v>1</v>
      </c>
      <c r="AC10041">
        <v>0</v>
      </c>
      <c r="AD10041">
        <v>1</v>
      </c>
      <c r="AE10041">
        <v>1</v>
      </c>
      <c r="AF10041">
        <v>1</v>
      </c>
      <c r="AG10041">
        <v>1</v>
      </c>
      <c r="AH10041">
        <v>1</v>
      </c>
      <c r="AI10041">
        <v>1</v>
      </c>
      <c r="AJ10041">
        <v>1</v>
      </c>
      <c r="AK10041">
        <v>1</v>
      </c>
      <c r="AL10041">
        <v>1</v>
      </c>
      <c r="AM10041">
        <v>1</v>
      </c>
    </row>
    <row r="10042" spans="1:39" x14ac:dyDescent="0.2">
      <c r="A10042" t="str">
        <f>"10038"</f>
        <v>10038</v>
      </c>
      <c r="B10042" t="str">
        <f t="shared" si="559"/>
        <v>1</v>
      </c>
      <c r="C10042" t="str">
        <f t="shared" si="558"/>
        <v>201</v>
      </c>
      <c r="D10042" t="str">
        <f>"46"</f>
        <v>46</v>
      </c>
      <c r="E10042" t="str">
        <f>"1-201-46"</f>
        <v>1-201-46</v>
      </c>
      <c r="F10042" t="s">
        <v>65</v>
      </c>
      <c r="G10042" t="s">
        <v>66</v>
      </c>
      <c r="H10042" t="s">
        <v>67</v>
      </c>
      <c r="S10042">
        <v>0</v>
      </c>
      <c r="T10042">
        <v>1</v>
      </c>
      <c r="U10042">
        <v>0</v>
      </c>
      <c r="V10042">
        <v>0</v>
      </c>
      <c r="W10042">
        <v>1</v>
      </c>
      <c r="X10042">
        <v>0</v>
      </c>
      <c r="Y10042">
        <v>0</v>
      </c>
      <c r="Z10042">
        <v>1</v>
      </c>
      <c r="AA10042">
        <v>1</v>
      </c>
      <c r="AB10042">
        <v>0</v>
      </c>
      <c r="AC10042">
        <v>0</v>
      </c>
      <c r="AD10042">
        <v>1</v>
      </c>
      <c r="AE10042">
        <v>1</v>
      </c>
      <c r="AF10042">
        <v>1</v>
      </c>
      <c r="AG10042">
        <v>1</v>
      </c>
      <c r="AH10042">
        <v>0</v>
      </c>
      <c r="AI10042">
        <v>1</v>
      </c>
      <c r="AJ10042">
        <v>1</v>
      </c>
      <c r="AK10042">
        <v>0</v>
      </c>
      <c r="AL10042">
        <v>1</v>
      </c>
      <c r="AM10042">
        <v>1</v>
      </c>
    </row>
    <row r="10043" spans="1:39" x14ac:dyDescent="0.2">
      <c r="A10043" t="str">
        <f>"10039"</f>
        <v>10039</v>
      </c>
      <c r="B10043" t="str">
        <f t="shared" si="559"/>
        <v>1</v>
      </c>
      <c r="C10043" t="str">
        <f t="shared" si="558"/>
        <v>201</v>
      </c>
      <c r="D10043" t="str">
        <f>"29"</f>
        <v>29</v>
      </c>
      <c r="E10043" t="str">
        <f>"1-201-29"</f>
        <v>1-201-29</v>
      </c>
      <c r="F10043" t="s">
        <v>65</v>
      </c>
      <c r="G10043" t="s">
        <v>66</v>
      </c>
      <c r="H10043" t="s">
        <v>67</v>
      </c>
      <c r="S10043">
        <v>1</v>
      </c>
      <c r="T10043">
        <v>0</v>
      </c>
      <c r="U10043">
        <v>0</v>
      </c>
      <c r="V10043">
        <v>0</v>
      </c>
      <c r="W10043">
        <v>1</v>
      </c>
      <c r="X10043">
        <v>0</v>
      </c>
      <c r="Y10043">
        <v>1</v>
      </c>
      <c r="Z10043">
        <v>0</v>
      </c>
      <c r="AA10043">
        <v>1</v>
      </c>
      <c r="AB10043">
        <v>0</v>
      </c>
      <c r="AC10043">
        <v>0</v>
      </c>
      <c r="AD10043">
        <v>1</v>
      </c>
      <c r="AE10043">
        <v>1</v>
      </c>
      <c r="AF10043">
        <v>1</v>
      </c>
      <c r="AG10043">
        <v>1</v>
      </c>
      <c r="AH10043">
        <v>1</v>
      </c>
      <c r="AI10043">
        <v>1</v>
      </c>
      <c r="AJ10043">
        <v>1</v>
      </c>
      <c r="AK10043">
        <v>1</v>
      </c>
      <c r="AL10043">
        <v>1</v>
      </c>
      <c r="AM10043">
        <v>1</v>
      </c>
    </row>
    <row r="10044" spans="1:39" x14ac:dyDescent="0.2">
      <c r="A10044" t="str">
        <f>"10040"</f>
        <v>10040</v>
      </c>
      <c r="B10044" t="str">
        <f t="shared" si="559"/>
        <v>1</v>
      </c>
      <c r="C10044" t="str">
        <f t="shared" si="558"/>
        <v>201</v>
      </c>
      <c r="D10044" t="str">
        <f>"9"</f>
        <v>9</v>
      </c>
      <c r="E10044" t="str">
        <f>"1-201-9"</f>
        <v>1-201-9</v>
      </c>
      <c r="F10044" t="s">
        <v>65</v>
      </c>
      <c r="G10044" t="s">
        <v>66</v>
      </c>
      <c r="H10044" t="s">
        <v>67</v>
      </c>
      <c r="S10044">
        <v>1</v>
      </c>
      <c r="T10044">
        <v>0</v>
      </c>
      <c r="U10044">
        <v>0</v>
      </c>
      <c r="V10044">
        <v>0</v>
      </c>
      <c r="W10044">
        <v>1</v>
      </c>
      <c r="X10044">
        <v>0</v>
      </c>
      <c r="Y10044">
        <v>1</v>
      </c>
      <c r="Z10044">
        <v>0</v>
      </c>
      <c r="AA10044">
        <v>0</v>
      </c>
      <c r="AB10044">
        <v>1</v>
      </c>
      <c r="AC10044">
        <v>0</v>
      </c>
      <c r="AD10044">
        <v>1</v>
      </c>
      <c r="AE10044">
        <v>1</v>
      </c>
      <c r="AF10044">
        <v>1</v>
      </c>
      <c r="AG10044">
        <v>1</v>
      </c>
      <c r="AH10044">
        <v>1</v>
      </c>
      <c r="AI10044">
        <v>1</v>
      </c>
      <c r="AJ10044">
        <v>1</v>
      </c>
      <c r="AK10044">
        <v>1</v>
      </c>
      <c r="AL10044">
        <v>1</v>
      </c>
      <c r="AM10044">
        <v>1</v>
      </c>
    </row>
    <row r="10045" spans="1:39" x14ac:dyDescent="0.2">
      <c r="A10045" t="str">
        <f>"10041"</f>
        <v>10041</v>
      </c>
      <c r="B10045" t="str">
        <f t="shared" si="559"/>
        <v>1</v>
      </c>
      <c r="C10045" t="str">
        <f t="shared" si="558"/>
        <v>201</v>
      </c>
      <c r="D10045" t="str">
        <f>"48"</f>
        <v>48</v>
      </c>
      <c r="E10045" t="str">
        <f>"1-201-48"</f>
        <v>1-201-48</v>
      </c>
      <c r="F10045" t="s">
        <v>65</v>
      </c>
      <c r="G10045" t="s">
        <v>66</v>
      </c>
      <c r="H10045" t="s">
        <v>67</v>
      </c>
      <c r="S10045">
        <v>1</v>
      </c>
      <c r="T10045">
        <v>0</v>
      </c>
      <c r="U10045">
        <v>0</v>
      </c>
      <c r="V10045">
        <v>0</v>
      </c>
      <c r="W10045">
        <v>1</v>
      </c>
      <c r="X10045">
        <v>0</v>
      </c>
      <c r="Y10045">
        <v>1</v>
      </c>
      <c r="Z10045">
        <v>0</v>
      </c>
      <c r="AA10045">
        <v>1</v>
      </c>
      <c r="AB10045">
        <v>0</v>
      </c>
      <c r="AC10045">
        <v>0</v>
      </c>
      <c r="AD10045">
        <v>1</v>
      </c>
      <c r="AE10045">
        <v>1</v>
      </c>
      <c r="AF10045">
        <v>1</v>
      </c>
      <c r="AG10045">
        <v>1</v>
      </c>
      <c r="AH10045">
        <v>1</v>
      </c>
      <c r="AI10045">
        <v>1</v>
      </c>
      <c r="AJ10045">
        <v>1</v>
      </c>
      <c r="AK10045">
        <v>1</v>
      </c>
      <c r="AL10045">
        <v>0</v>
      </c>
      <c r="AM10045">
        <v>1</v>
      </c>
    </row>
    <row r="10046" spans="1:39" x14ac:dyDescent="0.2">
      <c r="A10046" t="str">
        <f>"10042"</f>
        <v>10042</v>
      </c>
      <c r="B10046" t="str">
        <f t="shared" si="559"/>
        <v>1</v>
      </c>
      <c r="C10046" t="str">
        <f t="shared" si="558"/>
        <v>201</v>
      </c>
      <c r="D10046" t="str">
        <f>"30"</f>
        <v>30</v>
      </c>
      <c r="E10046" t="str">
        <f>"1-201-30"</f>
        <v>1-201-30</v>
      </c>
      <c r="F10046" t="s">
        <v>65</v>
      </c>
      <c r="G10046" t="s">
        <v>66</v>
      </c>
      <c r="H10046" t="s">
        <v>67</v>
      </c>
      <c r="S10046">
        <v>1</v>
      </c>
      <c r="T10046">
        <v>0</v>
      </c>
      <c r="U10046">
        <v>0</v>
      </c>
      <c r="V10046">
        <v>0</v>
      </c>
      <c r="W10046">
        <v>1</v>
      </c>
      <c r="X10046">
        <v>0</v>
      </c>
      <c r="Y10046">
        <v>1</v>
      </c>
      <c r="Z10046">
        <v>0</v>
      </c>
      <c r="AA10046">
        <v>1</v>
      </c>
      <c r="AB10046">
        <v>0</v>
      </c>
      <c r="AC10046">
        <v>0</v>
      </c>
      <c r="AD10046">
        <v>1</v>
      </c>
      <c r="AE10046">
        <v>1</v>
      </c>
      <c r="AF10046">
        <v>1</v>
      </c>
      <c r="AG10046">
        <v>1</v>
      </c>
      <c r="AH10046">
        <v>1</v>
      </c>
      <c r="AI10046">
        <v>1</v>
      </c>
      <c r="AJ10046">
        <v>1</v>
      </c>
      <c r="AK10046">
        <v>1</v>
      </c>
      <c r="AL10046">
        <v>1</v>
      </c>
      <c r="AM10046">
        <v>1</v>
      </c>
    </row>
    <row r="10047" spans="1:39" x14ac:dyDescent="0.2">
      <c r="A10047" t="str">
        <f>"10043"</f>
        <v>10043</v>
      </c>
      <c r="B10047" t="str">
        <f t="shared" si="559"/>
        <v>1</v>
      </c>
      <c r="C10047" t="str">
        <f t="shared" si="558"/>
        <v>201</v>
      </c>
      <c r="D10047" t="str">
        <f>"12"</f>
        <v>12</v>
      </c>
      <c r="E10047" t="str">
        <f>"1-201-12"</f>
        <v>1-201-12</v>
      </c>
      <c r="F10047" t="s">
        <v>65</v>
      </c>
      <c r="G10047" t="s">
        <v>66</v>
      </c>
      <c r="H10047" t="s">
        <v>67</v>
      </c>
      <c r="S10047">
        <v>1</v>
      </c>
      <c r="T10047">
        <v>0</v>
      </c>
      <c r="U10047">
        <v>0</v>
      </c>
      <c r="V10047">
        <v>0</v>
      </c>
      <c r="W10047">
        <v>1</v>
      </c>
      <c r="X10047">
        <v>0</v>
      </c>
      <c r="Y10047">
        <v>1</v>
      </c>
      <c r="Z10047">
        <v>0</v>
      </c>
      <c r="AA10047">
        <v>0</v>
      </c>
      <c r="AB10047">
        <v>1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1</v>
      </c>
      <c r="AM10047">
        <v>0</v>
      </c>
    </row>
    <row r="10048" spans="1:39" x14ac:dyDescent="0.2">
      <c r="A10048" t="str">
        <f>"10044"</f>
        <v>10044</v>
      </c>
      <c r="B10048" t="str">
        <f t="shared" si="559"/>
        <v>1</v>
      </c>
      <c r="C10048" t="str">
        <f t="shared" si="558"/>
        <v>201</v>
      </c>
      <c r="D10048" t="str">
        <f>"47"</f>
        <v>47</v>
      </c>
      <c r="E10048" t="str">
        <f>"1-201-47"</f>
        <v>1-201-47</v>
      </c>
      <c r="F10048" t="s">
        <v>65</v>
      </c>
      <c r="G10048" t="s">
        <v>66</v>
      </c>
      <c r="H10048" t="s">
        <v>67</v>
      </c>
      <c r="S10048">
        <v>1</v>
      </c>
      <c r="T10048">
        <v>0</v>
      </c>
      <c r="U10048">
        <v>0</v>
      </c>
      <c r="V10048">
        <v>0</v>
      </c>
      <c r="W10048">
        <v>1</v>
      </c>
      <c r="X10048">
        <v>0</v>
      </c>
      <c r="Y10048">
        <v>1</v>
      </c>
      <c r="Z10048">
        <v>0</v>
      </c>
      <c r="AA10048">
        <v>1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</row>
    <row r="10049" spans="1:39" x14ac:dyDescent="0.2">
      <c r="A10049" t="str">
        <f>"10045"</f>
        <v>10045</v>
      </c>
      <c r="B10049" t="str">
        <f t="shared" si="559"/>
        <v>1</v>
      </c>
      <c r="C10049" t="str">
        <f t="shared" si="558"/>
        <v>201</v>
      </c>
      <c r="D10049" t="str">
        <f>"31"</f>
        <v>31</v>
      </c>
      <c r="E10049" t="str">
        <f>"1-201-31"</f>
        <v>1-201-31</v>
      </c>
      <c r="F10049" t="s">
        <v>65</v>
      </c>
      <c r="G10049" t="s">
        <v>66</v>
      </c>
      <c r="H10049" t="s">
        <v>67</v>
      </c>
      <c r="S10049">
        <v>1</v>
      </c>
      <c r="T10049">
        <v>0</v>
      </c>
      <c r="U10049">
        <v>0</v>
      </c>
      <c r="V10049">
        <v>0</v>
      </c>
      <c r="W10049">
        <v>1</v>
      </c>
      <c r="X10049">
        <v>0</v>
      </c>
      <c r="Y10049">
        <v>0</v>
      </c>
      <c r="Z10049">
        <v>1</v>
      </c>
      <c r="AA10049">
        <v>0</v>
      </c>
      <c r="AB10049">
        <v>1</v>
      </c>
      <c r="AC10049">
        <v>0</v>
      </c>
      <c r="AD10049">
        <v>1</v>
      </c>
      <c r="AE10049">
        <v>1</v>
      </c>
      <c r="AF10049">
        <v>1</v>
      </c>
      <c r="AG10049">
        <v>1</v>
      </c>
      <c r="AH10049">
        <v>1</v>
      </c>
      <c r="AI10049">
        <v>1</v>
      </c>
      <c r="AJ10049">
        <v>1</v>
      </c>
      <c r="AK10049">
        <v>1</v>
      </c>
      <c r="AL10049">
        <v>1</v>
      </c>
      <c r="AM10049">
        <v>1</v>
      </c>
    </row>
    <row r="10050" spans="1:39" x14ac:dyDescent="0.2">
      <c r="A10050" t="str">
        <f>"10046"</f>
        <v>10046</v>
      </c>
      <c r="B10050" t="str">
        <f t="shared" si="559"/>
        <v>1</v>
      </c>
      <c r="C10050" t="str">
        <f t="shared" si="558"/>
        <v>201</v>
      </c>
      <c r="D10050" t="str">
        <f>"5"</f>
        <v>5</v>
      </c>
      <c r="E10050" t="str">
        <f>"1-201-5"</f>
        <v>1-201-5</v>
      </c>
      <c r="F10050" t="s">
        <v>65</v>
      </c>
      <c r="G10050" t="s">
        <v>66</v>
      </c>
      <c r="H10050" t="s">
        <v>67</v>
      </c>
      <c r="S10050">
        <v>0</v>
      </c>
      <c r="T10050">
        <v>1</v>
      </c>
      <c r="U10050">
        <v>0</v>
      </c>
      <c r="V10050">
        <v>0</v>
      </c>
      <c r="W10050">
        <v>1</v>
      </c>
      <c r="X10050">
        <v>0</v>
      </c>
      <c r="Y10050">
        <v>1</v>
      </c>
      <c r="Z10050">
        <v>0</v>
      </c>
      <c r="AA10050">
        <v>0</v>
      </c>
      <c r="AB10050">
        <v>0</v>
      </c>
      <c r="AC10050">
        <v>1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</row>
    <row r="10051" spans="1:39" x14ac:dyDescent="0.2">
      <c r="A10051" t="str">
        <f>"10047"</f>
        <v>10047</v>
      </c>
      <c r="B10051" t="str">
        <f t="shared" si="559"/>
        <v>1</v>
      </c>
      <c r="C10051" t="str">
        <f t="shared" si="558"/>
        <v>201</v>
      </c>
      <c r="D10051" t="str">
        <f>"49"</f>
        <v>49</v>
      </c>
      <c r="E10051" t="str">
        <f>"1-201-49"</f>
        <v>1-201-49</v>
      </c>
      <c r="F10051" t="s">
        <v>65</v>
      </c>
      <c r="G10051" t="s">
        <v>66</v>
      </c>
      <c r="H10051" t="s">
        <v>67</v>
      </c>
      <c r="S10051">
        <v>1</v>
      </c>
      <c r="T10051">
        <v>0</v>
      </c>
      <c r="U10051">
        <v>0</v>
      </c>
      <c r="V10051">
        <v>0</v>
      </c>
      <c r="W10051">
        <v>0</v>
      </c>
      <c r="X10051">
        <v>1</v>
      </c>
      <c r="Y10051">
        <v>0</v>
      </c>
      <c r="Z10051">
        <v>1</v>
      </c>
      <c r="AA10051">
        <v>0</v>
      </c>
      <c r="AB10051">
        <v>0</v>
      </c>
      <c r="AC10051">
        <v>1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</row>
    <row r="10052" spans="1:39" x14ac:dyDescent="0.2">
      <c r="A10052" t="str">
        <f>"10048"</f>
        <v>10048</v>
      </c>
      <c r="B10052" t="str">
        <f t="shared" si="559"/>
        <v>1</v>
      </c>
      <c r="C10052" t="str">
        <f t="shared" si="558"/>
        <v>201</v>
      </c>
      <c r="D10052" t="str">
        <f>"32"</f>
        <v>32</v>
      </c>
      <c r="E10052" t="str">
        <f>"1-201-32"</f>
        <v>1-201-32</v>
      </c>
      <c r="F10052" t="s">
        <v>65</v>
      </c>
      <c r="G10052" t="s">
        <v>66</v>
      </c>
      <c r="H10052" t="s">
        <v>67</v>
      </c>
      <c r="S10052">
        <v>1</v>
      </c>
      <c r="T10052">
        <v>0</v>
      </c>
      <c r="U10052">
        <v>0</v>
      </c>
      <c r="V10052">
        <v>0</v>
      </c>
      <c r="W10052">
        <v>0</v>
      </c>
      <c r="X10052">
        <v>1</v>
      </c>
      <c r="Y10052">
        <v>0</v>
      </c>
      <c r="Z10052">
        <v>1</v>
      </c>
      <c r="AA10052">
        <v>1</v>
      </c>
      <c r="AB10052">
        <v>0</v>
      </c>
      <c r="AC10052">
        <v>0</v>
      </c>
      <c r="AD10052">
        <v>1</v>
      </c>
      <c r="AE10052">
        <v>1</v>
      </c>
      <c r="AF10052">
        <v>1</v>
      </c>
      <c r="AG10052">
        <v>1</v>
      </c>
      <c r="AH10052">
        <v>1</v>
      </c>
      <c r="AI10052">
        <v>1</v>
      </c>
      <c r="AJ10052">
        <v>1</v>
      </c>
      <c r="AK10052">
        <v>1</v>
      </c>
      <c r="AL10052">
        <v>1</v>
      </c>
      <c r="AM10052">
        <v>1</v>
      </c>
    </row>
    <row r="10053" spans="1:39" x14ac:dyDescent="0.2">
      <c r="A10053" t="str">
        <f>"10049"</f>
        <v>10049</v>
      </c>
      <c r="B10053" t="str">
        <f t="shared" si="559"/>
        <v>1</v>
      </c>
      <c r="C10053" t="str">
        <f t="shared" si="558"/>
        <v>201</v>
      </c>
      <c r="D10053" t="str">
        <f>"14"</f>
        <v>14</v>
      </c>
      <c r="E10053" t="str">
        <f>"1-201-14"</f>
        <v>1-201-14</v>
      </c>
      <c r="F10053" t="s">
        <v>65</v>
      </c>
      <c r="G10053" t="s">
        <v>66</v>
      </c>
      <c r="H10053" t="s">
        <v>67</v>
      </c>
      <c r="S10053">
        <v>1</v>
      </c>
      <c r="T10053">
        <v>0</v>
      </c>
      <c r="U10053">
        <v>0</v>
      </c>
      <c r="V10053">
        <v>0</v>
      </c>
      <c r="W10053">
        <v>1</v>
      </c>
      <c r="X10053">
        <v>0</v>
      </c>
      <c r="Y10053">
        <v>1</v>
      </c>
      <c r="Z10053">
        <v>0</v>
      </c>
      <c r="AA10053">
        <v>1</v>
      </c>
      <c r="AB10053">
        <v>0</v>
      </c>
      <c r="AC10053">
        <v>0</v>
      </c>
      <c r="AD10053">
        <v>1</v>
      </c>
      <c r="AE10053">
        <v>1</v>
      </c>
      <c r="AF10053">
        <v>1</v>
      </c>
      <c r="AG10053">
        <v>1</v>
      </c>
      <c r="AH10053">
        <v>1</v>
      </c>
      <c r="AI10053">
        <v>1</v>
      </c>
      <c r="AJ10053">
        <v>1</v>
      </c>
      <c r="AK10053">
        <v>1</v>
      </c>
      <c r="AL10053">
        <v>1</v>
      </c>
      <c r="AM10053">
        <v>1</v>
      </c>
    </row>
    <row r="10054" spans="1:39" x14ac:dyDescent="0.2">
      <c r="A10054" t="str">
        <f>"10050"</f>
        <v>10050</v>
      </c>
      <c r="B10054" t="str">
        <f t="shared" si="559"/>
        <v>1</v>
      </c>
      <c r="C10054" t="str">
        <f t="shared" si="558"/>
        <v>201</v>
      </c>
      <c r="D10054" t="str">
        <f>"50"</f>
        <v>50</v>
      </c>
      <c r="E10054" t="str">
        <f>"1-201-50"</f>
        <v>1-201-50</v>
      </c>
      <c r="F10054" t="s">
        <v>65</v>
      </c>
      <c r="G10054" t="s">
        <v>66</v>
      </c>
      <c r="H10054" t="s">
        <v>67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1</v>
      </c>
      <c r="Y10054">
        <v>0</v>
      </c>
      <c r="Z10054">
        <v>1</v>
      </c>
      <c r="AA10054">
        <v>0</v>
      </c>
      <c r="AB10054">
        <v>0</v>
      </c>
      <c r="AC10054">
        <v>1</v>
      </c>
      <c r="AD10054">
        <v>1</v>
      </c>
      <c r="AE10054">
        <v>1</v>
      </c>
      <c r="AF10054">
        <v>1</v>
      </c>
      <c r="AG10054">
        <v>1</v>
      </c>
      <c r="AH10054">
        <v>1</v>
      </c>
      <c r="AI10054">
        <v>1</v>
      </c>
      <c r="AJ10054">
        <v>1</v>
      </c>
      <c r="AK10054">
        <v>1</v>
      </c>
      <c r="AL10054">
        <v>1</v>
      </c>
      <c r="AM10054">
        <v>1</v>
      </c>
    </row>
    <row r="10055" spans="1:39" x14ac:dyDescent="0.2">
      <c r="A10055" t="str">
        <f>"10051"</f>
        <v>10051</v>
      </c>
      <c r="B10055" t="str">
        <f t="shared" si="559"/>
        <v>1</v>
      </c>
      <c r="C10055" t="str">
        <f t="shared" ref="C10055:C10086" si="560">"202"</f>
        <v>202</v>
      </c>
      <c r="D10055" t="str">
        <f>"38"</f>
        <v>38</v>
      </c>
      <c r="E10055" t="str">
        <f>"1-202-38"</f>
        <v>1-202-38</v>
      </c>
      <c r="F10055" t="s">
        <v>65</v>
      </c>
      <c r="G10055" t="s">
        <v>66</v>
      </c>
      <c r="H10055" t="s">
        <v>67</v>
      </c>
      <c r="S10055">
        <v>1</v>
      </c>
      <c r="T10055">
        <v>0</v>
      </c>
      <c r="U10055">
        <v>0</v>
      </c>
      <c r="V10055">
        <v>0</v>
      </c>
      <c r="W10055">
        <v>1</v>
      </c>
      <c r="X10055">
        <v>0</v>
      </c>
      <c r="Y10055">
        <v>0</v>
      </c>
      <c r="Z10055">
        <v>1</v>
      </c>
      <c r="AA10055">
        <v>0</v>
      </c>
      <c r="AB10055">
        <v>1</v>
      </c>
      <c r="AC10055">
        <v>0</v>
      </c>
      <c r="AD10055">
        <v>1</v>
      </c>
      <c r="AE10055">
        <v>1</v>
      </c>
      <c r="AF10055">
        <v>1</v>
      </c>
      <c r="AG10055">
        <v>1</v>
      </c>
      <c r="AH10055">
        <v>1</v>
      </c>
      <c r="AI10055">
        <v>1</v>
      </c>
      <c r="AJ10055">
        <v>1</v>
      </c>
      <c r="AK10055">
        <v>1</v>
      </c>
      <c r="AL10055">
        <v>1</v>
      </c>
      <c r="AM10055">
        <v>1</v>
      </c>
    </row>
    <row r="10056" spans="1:39" x14ac:dyDescent="0.2">
      <c r="A10056" t="str">
        <f>"10052"</f>
        <v>10052</v>
      </c>
      <c r="B10056" t="str">
        <f t="shared" si="559"/>
        <v>1</v>
      </c>
      <c r="C10056" t="str">
        <f t="shared" si="560"/>
        <v>202</v>
      </c>
      <c r="D10056" t="str">
        <f>"37"</f>
        <v>37</v>
      </c>
      <c r="E10056" t="str">
        <f>"1-202-37"</f>
        <v>1-202-37</v>
      </c>
      <c r="F10056" t="s">
        <v>65</v>
      </c>
      <c r="G10056" t="s">
        <v>66</v>
      </c>
      <c r="H10056" t="s">
        <v>67</v>
      </c>
      <c r="S10056">
        <v>1</v>
      </c>
      <c r="T10056">
        <v>0</v>
      </c>
      <c r="U10056">
        <v>0</v>
      </c>
      <c r="V10056">
        <v>0</v>
      </c>
      <c r="W10056">
        <v>1</v>
      </c>
      <c r="X10056">
        <v>0</v>
      </c>
      <c r="Y10056">
        <v>0</v>
      </c>
      <c r="Z10056">
        <v>1</v>
      </c>
      <c r="AA10056">
        <v>0</v>
      </c>
      <c r="AB10056">
        <v>1</v>
      </c>
      <c r="AC10056">
        <v>0</v>
      </c>
      <c r="AD10056">
        <v>1</v>
      </c>
      <c r="AE10056">
        <v>1</v>
      </c>
      <c r="AF10056">
        <v>1</v>
      </c>
      <c r="AG10056">
        <v>1</v>
      </c>
      <c r="AH10056">
        <v>1</v>
      </c>
      <c r="AI10056">
        <v>1</v>
      </c>
      <c r="AJ10056">
        <v>1</v>
      </c>
      <c r="AK10056">
        <v>1</v>
      </c>
      <c r="AL10056">
        <v>1</v>
      </c>
      <c r="AM10056">
        <v>1</v>
      </c>
    </row>
    <row r="10057" spans="1:39" x14ac:dyDescent="0.2">
      <c r="A10057" t="str">
        <f>"10053"</f>
        <v>10053</v>
      </c>
      <c r="B10057" t="str">
        <f t="shared" si="559"/>
        <v>1</v>
      </c>
      <c r="C10057" t="str">
        <f t="shared" si="560"/>
        <v>202</v>
      </c>
      <c r="D10057" t="str">
        <f>"34"</f>
        <v>34</v>
      </c>
      <c r="E10057" t="str">
        <f>"1-202-34"</f>
        <v>1-202-34</v>
      </c>
      <c r="F10057" t="s">
        <v>65</v>
      </c>
      <c r="G10057" t="s">
        <v>66</v>
      </c>
      <c r="H10057" t="s">
        <v>67</v>
      </c>
      <c r="S10057">
        <v>1</v>
      </c>
      <c r="T10057">
        <v>0</v>
      </c>
      <c r="U10057">
        <v>0</v>
      </c>
      <c r="V10057">
        <v>0</v>
      </c>
      <c r="W10057">
        <v>1</v>
      </c>
      <c r="X10057">
        <v>0</v>
      </c>
      <c r="Y10057">
        <v>1</v>
      </c>
      <c r="Z10057">
        <v>0</v>
      </c>
      <c r="AA10057">
        <v>1</v>
      </c>
      <c r="AB10057">
        <v>0</v>
      </c>
      <c r="AC10057">
        <v>0</v>
      </c>
      <c r="AD10057">
        <v>1</v>
      </c>
      <c r="AE10057">
        <v>1</v>
      </c>
      <c r="AF10057">
        <v>1</v>
      </c>
      <c r="AG10057">
        <v>1</v>
      </c>
      <c r="AH10057">
        <v>1</v>
      </c>
      <c r="AI10057">
        <v>1</v>
      </c>
      <c r="AJ10057">
        <v>1</v>
      </c>
      <c r="AK10057">
        <v>1</v>
      </c>
      <c r="AL10057">
        <v>1</v>
      </c>
      <c r="AM10057">
        <v>1</v>
      </c>
    </row>
    <row r="10058" spans="1:39" x14ac:dyDescent="0.2">
      <c r="A10058" t="str">
        <f>"10054"</f>
        <v>10054</v>
      </c>
      <c r="B10058" t="str">
        <f t="shared" si="559"/>
        <v>1</v>
      </c>
      <c r="C10058" t="str">
        <f t="shared" si="560"/>
        <v>202</v>
      </c>
      <c r="D10058" t="str">
        <f>"33"</f>
        <v>33</v>
      </c>
      <c r="E10058" t="str">
        <f>"1-202-33"</f>
        <v>1-202-33</v>
      </c>
      <c r="F10058" t="s">
        <v>65</v>
      </c>
      <c r="G10058" t="s">
        <v>66</v>
      </c>
      <c r="H10058" t="s">
        <v>67</v>
      </c>
      <c r="S10058">
        <v>1</v>
      </c>
      <c r="T10058">
        <v>0</v>
      </c>
      <c r="U10058">
        <v>0</v>
      </c>
      <c r="V10058">
        <v>0</v>
      </c>
      <c r="W10058">
        <v>1</v>
      </c>
      <c r="X10058">
        <v>0</v>
      </c>
      <c r="Y10058">
        <v>1</v>
      </c>
      <c r="Z10058">
        <v>0</v>
      </c>
      <c r="AA10058">
        <v>1</v>
      </c>
      <c r="AB10058">
        <v>0</v>
      </c>
      <c r="AC10058">
        <v>0</v>
      </c>
      <c r="AD10058">
        <v>1</v>
      </c>
      <c r="AE10058">
        <v>1</v>
      </c>
      <c r="AF10058">
        <v>1</v>
      </c>
      <c r="AG10058">
        <v>1</v>
      </c>
      <c r="AH10058">
        <v>1</v>
      </c>
      <c r="AI10058">
        <v>1</v>
      </c>
      <c r="AJ10058">
        <v>1</v>
      </c>
      <c r="AK10058">
        <v>1</v>
      </c>
      <c r="AL10058">
        <v>1</v>
      </c>
      <c r="AM10058">
        <v>1</v>
      </c>
    </row>
    <row r="10059" spans="1:39" x14ac:dyDescent="0.2">
      <c r="A10059" t="str">
        <f>"10055"</f>
        <v>10055</v>
      </c>
      <c r="B10059" t="str">
        <f t="shared" si="559"/>
        <v>1</v>
      </c>
      <c r="C10059" t="str">
        <f t="shared" si="560"/>
        <v>202</v>
      </c>
      <c r="D10059" t="str">
        <f>"19"</f>
        <v>19</v>
      </c>
      <c r="E10059" t="str">
        <f>"1-202-19"</f>
        <v>1-202-19</v>
      </c>
      <c r="F10059" t="s">
        <v>65</v>
      </c>
      <c r="G10059" t="s">
        <v>66</v>
      </c>
      <c r="H10059" t="s">
        <v>67</v>
      </c>
      <c r="S10059">
        <v>1</v>
      </c>
      <c r="T10059">
        <v>0</v>
      </c>
      <c r="U10059">
        <v>0</v>
      </c>
      <c r="V10059">
        <v>0</v>
      </c>
      <c r="W10059">
        <v>1</v>
      </c>
      <c r="X10059">
        <v>0</v>
      </c>
      <c r="Y10059">
        <v>1</v>
      </c>
      <c r="Z10059">
        <v>0</v>
      </c>
      <c r="AA10059">
        <v>1</v>
      </c>
      <c r="AB10059">
        <v>0</v>
      </c>
      <c r="AC10059">
        <v>0</v>
      </c>
      <c r="AD10059">
        <v>1</v>
      </c>
      <c r="AE10059">
        <v>1</v>
      </c>
      <c r="AF10059">
        <v>1</v>
      </c>
      <c r="AG10059">
        <v>1</v>
      </c>
      <c r="AH10059">
        <v>1</v>
      </c>
      <c r="AI10059">
        <v>1</v>
      </c>
      <c r="AJ10059">
        <v>1</v>
      </c>
      <c r="AK10059">
        <v>1</v>
      </c>
      <c r="AL10059">
        <v>1</v>
      </c>
      <c r="AM10059">
        <v>1</v>
      </c>
    </row>
    <row r="10060" spans="1:39" x14ac:dyDescent="0.2">
      <c r="A10060" t="str">
        <f>"10056"</f>
        <v>10056</v>
      </c>
      <c r="B10060" t="str">
        <f t="shared" si="559"/>
        <v>1</v>
      </c>
      <c r="C10060" t="str">
        <f t="shared" si="560"/>
        <v>202</v>
      </c>
      <c r="D10060" t="str">
        <f>"18"</f>
        <v>18</v>
      </c>
      <c r="E10060" t="str">
        <f>"1-202-18"</f>
        <v>1-202-18</v>
      </c>
      <c r="F10060" t="s">
        <v>65</v>
      </c>
      <c r="G10060" t="s">
        <v>66</v>
      </c>
      <c r="H10060" t="s">
        <v>67</v>
      </c>
      <c r="S10060">
        <v>1</v>
      </c>
      <c r="T10060">
        <v>0</v>
      </c>
      <c r="U10060">
        <v>0</v>
      </c>
      <c r="V10060">
        <v>0</v>
      </c>
      <c r="W10060">
        <v>1</v>
      </c>
      <c r="X10060">
        <v>0</v>
      </c>
      <c r="Y10060">
        <v>1</v>
      </c>
      <c r="Z10060">
        <v>0</v>
      </c>
      <c r="AA10060">
        <v>0</v>
      </c>
      <c r="AB10060">
        <v>0</v>
      </c>
      <c r="AC10060">
        <v>1</v>
      </c>
      <c r="AD10060">
        <v>1</v>
      </c>
      <c r="AE10060">
        <v>1</v>
      </c>
      <c r="AF10060">
        <v>1</v>
      </c>
      <c r="AG10060">
        <v>1</v>
      </c>
      <c r="AH10060">
        <v>1</v>
      </c>
      <c r="AI10060">
        <v>1</v>
      </c>
      <c r="AJ10060">
        <v>1</v>
      </c>
      <c r="AK10060">
        <v>1</v>
      </c>
      <c r="AL10060">
        <v>1</v>
      </c>
      <c r="AM10060">
        <v>1</v>
      </c>
    </row>
    <row r="10061" spans="1:39" x14ac:dyDescent="0.2">
      <c r="A10061" t="str">
        <f>"10057"</f>
        <v>10057</v>
      </c>
      <c r="B10061" t="str">
        <f t="shared" si="559"/>
        <v>1</v>
      </c>
      <c r="C10061" t="str">
        <f t="shared" si="560"/>
        <v>202</v>
      </c>
      <c r="D10061" t="str">
        <f>"16"</f>
        <v>16</v>
      </c>
      <c r="E10061" t="str">
        <f>"1-202-16"</f>
        <v>1-202-16</v>
      </c>
      <c r="F10061" t="s">
        <v>65</v>
      </c>
      <c r="G10061" t="s">
        <v>66</v>
      </c>
      <c r="H10061" t="s">
        <v>67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1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1</v>
      </c>
      <c r="AK10061">
        <v>0</v>
      </c>
      <c r="AL10061">
        <v>0</v>
      </c>
      <c r="AM10061">
        <v>0</v>
      </c>
    </row>
    <row r="10062" spans="1:39" x14ac:dyDescent="0.2">
      <c r="A10062" t="str">
        <f>"10058"</f>
        <v>10058</v>
      </c>
      <c r="B10062" t="str">
        <f t="shared" si="559"/>
        <v>1</v>
      </c>
      <c r="C10062" t="str">
        <f t="shared" si="560"/>
        <v>202</v>
      </c>
      <c r="D10062" t="str">
        <f>"15"</f>
        <v>15</v>
      </c>
      <c r="E10062" t="str">
        <f>"1-202-15"</f>
        <v>1-202-15</v>
      </c>
      <c r="F10062" t="s">
        <v>65</v>
      </c>
      <c r="G10062" t="s">
        <v>66</v>
      </c>
      <c r="H10062" t="s">
        <v>67</v>
      </c>
      <c r="S10062">
        <v>0</v>
      </c>
      <c r="T10062">
        <v>1</v>
      </c>
      <c r="U10062">
        <v>0</v>
      </c>
      <c r="V10062">
        <v>0</v>
      </c>
      <c r="W10062">
        <v>0</v>
      </c>
      <c r="X10062">
        <v>1</v>
      </c>
      <c r="Y10062">
        <v>0</v>
      </c>
      <c r="Z10062">
        <v>1</v>
      </c>
      <c r="AA10062">
        <v>0</v>
      </c>
      <c r="AB10062">
        <v>0</v>
      </c>
      <c r="AC10062">
        <v>1</v>
      </c>
      <c r="AD10062">
        <v>1</v>
      </c>
      <c r="AE10062">
        <v>1</v>
      </c>
      <c r="AF10062">
        <v>1</v>
      </c>
      <c r="AG10062">
        <v>1</v>
      </c>
      <c r="AH10062">
        <v>1</v>
      </c>
      <c r="AI10062">
        <v>1</v>
      </c>
      <c r="AJ10062">
        <v>1</v>
      </c>
      <c r="AK10062">
        <v>1</v>
      </c>
      <c r="AL10062">
        <v>1</v>
      </c>
      <c r="AM10062">
        <v>1</v>
      </c>
    </row>
    <row r="10063" spans="1:39" x14ac:dyDescent="0.2">
      <c r="A10063" t="str">
        <f>"10059"</f>
        <v>10059</v>
      </c>
      <c r="B10063" t="str">
        <f t="shared" si="559"/>
        <v>1</v>
      </c>
      <c r="C10063" t="str">
        <f t="shared" si="560"/>
        <v>202</v>
      </c>
      <c r="D10063" t="str">
        <f>"1"</f>
        <v>1</v>
      </c>
      <c r="E10063" t="str">
        <f>"1-202-1"</f>
        <v>1-202-1</v>
      </c>
      <c r="F10063" t="s">
        <v>65</v>
      </c>
      <c r="G10063" t="s">
        <v>66</v>
      </c>
      <c r="H10063" t="s">
        <v>67</v>
      </c>
      <c r="S10063">
        <v>0</v>
      </c>
      <c r="T10063">
        <v>1</v>
      </c>
      <c r="U10063">
        <v>0</v>
      </c>
      <c r="V10063">
        <v>0</v>
      </c>
      <c r="W10063">
        <v>1</v>
      </c>
      <c r="X10063">
        <v>0</v>
      </c>
      <c r="Y10063">
        <v>0</v>
      </c>
      <c r="Z10063">
        <v>1</v>
      </c>
      <c r="AA10063">
        <v>0</v>
      </c>
      <c r="AB10063">
        <v>0</v>
      </c>
      <c r="AC10063">
        <v>1</v>
      </c>
      <c r="AD10063">
        <v>1</v>
      </c>
      <c r="AE10063">
        <v>1</v>
      </c>
      <c r="AF10063">
        <v>1</v>
      </c>
      <c r="AG10063">
        <v>1</v>
      </c>
      <c r="AH10063">
        <v>1</v>
      </c>
      <c r="AI10063">
        <v>1</v>
      </c>
      <c r="AJ10063">
        <v>1</v>
      </c>
      <c r="AK10063">
        <v>1</v>
      </c>
      <c r="AL10063">
        <v>1</v>
      </c>
      <c r="AM10063">
        <v>1</v>
      </c>
    </row>
    <row r="10064" spans="1:39" x14ac:dyDescent="0.2">
      <c r="A10064" t="str">
        <f>"10060"</f>
        <v>10060</v>
      </c>
      <c r="B10064" t="str">
        <f t="shared" si="559"/>
        <v>1</v>
      </c>
      <c r="C10064" t="str">
        <f t="shared" si="560"/>
        <v>202</v>
      </c>
      <c r="D10064" t="str">
        <f>"36"</f>
        <v>36</v>
      </c>
      <c r="E10064" t="str">
        <f>"1-202-36"</f>
        <v>1-202-36</v>
      </c>
      <c r="F10064" t="s">
        <v>65</v>
      </c>
      <c r="G10064" t="s">
        <v>66</v>
      </c>
      <c r="H10064" t="s">
        <v>67</v>
      </c>
      <c r="S10064">
        <v>1</v>
      </c>
      <c r="T10064">
        <v>0</v>
      </c>
      <c r="U10064">
        <v>0</v>
      </c>
      <c r="V10064">
        <v>0</v>
      </c>
      <c r="W10064">
        <v>0</v>
      </c>
      <c r="X10064">
        <v>1</v>
      </c>
      <c r="Y10064">
        <v>1</v>
      </c>
      <c r="Z10064">
        <v>0</v>
      </c>
      <c r="AA10064">
        <v>0</v>
      </c>
      <c r="AB10064">
        <v>0</v>
      </c>
      <c r="AC10064">
        <v>1</v>
      </c>
      <c r="AD10064">
        <v>1</v>
      </c>
      <c r="AE10064">
        <v>1</v>
      </c>
      <c r="AF10064">
        <v>1</v>
      </c>
      <c r="AG10064">
        <v>1</v>
      </c>
      <c r="AH10064">
        <v>1</v>
      </c>
      <c r="AI10064">
        <v>1</v>
      </c>
      <c r="AJ10064">
        <v>1</v>
      </c>
      <c r="AK10064">
        <v>1</v>
      </c>
      <c r="AL10064">
        <v>1</v>
      </c>
      <c r="AM10064">
        <v>1</v>
      </c>
    </row>
    <row r="10065" spans="1:39" x14ac:dyDescent="0.2">
      <c r="A10065" t="str">
        <f>"10061"</f>
        <v>10061</v>
      </c>
      <c r="B10065" t="str">
        <f t="shared" si="559"/>
        <v>1</v>
      </c>
      <c r="C10065" t="str">
        <f t="shared" si="560"/>
        <v>202</v>
      </c>
      <c r="D10065" t="str">
        <f>"35"</f>
        <v>35</v>
      </c>
      <c r="E10065" t="str">
        <f>"1-202-35"</f>
        <v>1-202-35</v>
      </c>
      <c r="F10065" t="s">
        <v>65</v>
      </c>
      <c r="G10065" t="s">
        <v>66</v>
      </c>
      <c r="H10065" t="s">
        <v>67</v>
      </c>
      <c r="S10065">
        <v>1</v>
      </c>
      <c r="T10065">
        <v>0</v>
      </c>
      <c r="U10065">
        <v>0</v>
      </c>
      <c r="V10065">
        <v>0</v>
      </c>
      <c r="W10065">
        <v>0</v>
      </c>
      <c r="X10065">
        <v>1</v>
      </c>
      <c r="Y10065">
        <v>1</v>
      </c>
      <c r="Z10065">
        <v>0</v>
      </c>
      <c r="AA10065">
        <v>0</v>
      </c>
      <c r="AB10065">
        <v>0</v>
      </c>
      <c r="AC10065">
        <v>1</v>
      </c>
      <c r="AD10065">
        <v>1</v>
      </c>
      <c r="AE10065">
        <v>1</v>
      </c>
      <c r="AF10065">
        <v>1</v>
      </c>
      <c r="AG10065">
        <v>1</v>
      </c>
      <c r="AH10065">
        <v>1</v>
      </c>
      <c r="AI10065">
        <v>1</v>
      </c>
      <c r="AJ10065">
        <v>1</v>
      </c>
      <c r="AK10065">
        <v>1</v>
      </c>
      <c r="AL10065">
        <v>1</v>
      </c>
      <c r="AM10065">
        <v>1</v>
      </c>
    </row>
    <row r="10066" spans="1:39" x14ac:dyDescent="0.2">
      <c r="A10066" t="str">
        <f>"10062"</f>
        <v>10062</v>
      </c>
      <c r="B10066" t="str">
        <f t="shared" si="559"/>
        <v>1</v>
      </c>
      <c r="C10066" t="str">
        <f t="shared" si="560"/>
        <v>202</v>
      </c>
      <c r="D10066" t="str">
        <f>"30"</f>
        <v>30</v>
      </c>
      <c r="E10066" t="str">
        <f>"1-202-30"</f>
        <v>1-202-30</v>
      </c>
      <c r="F10066" t="s">
        <v>65</v>
      </c>
      <c r="G10066" t="s">
        <v>66</v>
      </c>
      <c r="H10066" t="s">
        <v>67</v>
      </c>
      <c r="S10066">
        <v>1</v>
      </c>
      <c r="T10066">
        <v>0</v>
      </c>
      <c r="U10066">
        <v>0</v>
      </c>
      <c r="V10066">
        <v>0</v>
      </c>
      <c r="W10066">
        <v>1</v>
      </c>
      <c r="X10066">
        <v>0</v>
      </c>
      <c r="Y10066">
        <v>1</v>
      </c>
      <c r="Z10066">
        <v>0</v>
      </c>
      <c r="AA10066">
        <v>0</v>
      </c>
      <c r="AB10066">
        <v>1</v>
      </c>
      <c r="AC10066">
        <v>0</v>
      </c>
      <c r="AD10066">
        <v>1</v>
      </c>
      <c r="AE10066">
        <v>1</v>
      </c>
      <c r="AF10066">
        <v>1</v>
      </c>
      <c r="AG10066">
        <v>1</v>
      </c>
      <c r="AH10066">
        <v>1</v>
      </c>
      <c r="AI10066">
        <v>1</v>
      </c>
      <c r="AJ10066">
        <v>1</v>
      </c>
      <c r="AK10066">
        <v>1</v>
      </c>
      <c r="AL10066">
        <v>1</v>
      </c>
      <c r="AM10066">
        <v>1</v>
      </c>
    </row>
    <row r="10067" spans="1:39" x14ac:dyDescent="0.2">
      <c r="A10067" t="str">
        <f>"10063"</f>
        <v>10063</v>
      </c>
      <c r="B10067" t="str">
        <f t="shared" si="559"/>
        <v>1</v>
      </c>
      <c r="C10067" t="str">
        <f t="shared" si="560"/>
        <v>202</v>
      </c>
      <c r="D10067" t="str">
        <f>"17"</f>
        <v>17</v>
      </c>
      <c r="E10067" t="str">
        <f>"1-202-17"</f>
        <v>1-202-17</v>
      </c>
      <c r="F10067" t="s">
        <v>65</v>
      </c>
      <c r="G10067" t="s">
        <v>66</v>
      </c>
      <c r="H10067" t="s">
        <v>67</v>
      </c>
      <c r="S10067">
        <v>1</v>
      </c>
      <c r="T10067">
        <v>0</v>
      </c>
      <c r="U10067">
        <v>0</v>
      </c>
      <c r="V10067">
        <v>0</v>
      </c>
      <c r="W10067">
        <v>1</v>
      </c>
      <c r="X10067">
        <v>0</v>
      </c>
      <c r="Y10067">
        <v>1</v>
      </c>
      <c r="Z10067">
        <v>0</v>
      </c>
      <c r="AA10067">
        <v>1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1</v>
      </c>
      <c r="AM10067">
        <v>0</v>
      </c>
    </row>
    <row r="10068" spans="1:39" x14ac:dyDescent="0.2">
      <c r="A10068" t="str">
        <f>"10064"</f>
        <v>10064</v>
      </c>
      <c r="B10068" t="str">
        <f t="shared" si="559"/>
        <v>1</v>
      </c>
      <c r="C10068" t="str">
        <f t="shared" si="560"/>
        <v>202</v>
      </c>
      <c r="D10068" t="str">
        <f>"2"</f>
        <v>2</v>
      </c>
      <c r="E10068" t="str">
        <f>"1-202-2"</f>
        <v>1-202-2</v>
      </c>
      <c r="F10068" t="s">
        <v>65</v>
      </c>
      <c r="G10068" t="s">
        <v>66</v>
      </c>
      <c r="H10068" t="s">
        <v>67</v>
      </c>
      <c r="S10068">
        <v>0</v>
      </c>
      <c r="T10068">
        <v>1</v>
      </c>
      <c r="U10068">
        <v>0</v>
      </c>
      <c r="V10068">
        <v>0</v>
      </c>
      <c r="W10068">
        <v>1</v>
      </c>
      <c r="X10068">
        <v>0</v>
      </c>
      <c r="Y10068">
        <v>1</v>
      </c>
      <c r="Z10068">
        <v>0</v>
      </c>
      <c r="AA10068">
        <v>0</v>
      </c>
      <c r="AB10068">
        <v>0</v>
      </c>
      <c r="AC10068">
        <v>1</v>
      </c>
      <c r="AD10068">
        <v>1</v>
      </c>
      <c r="AE10068">
        <v>1</v>
      </c>
      <c r="AF10068">
        <v>1</v>
      </c>
      <c r="AG10068">
        <v>1</v>
      </c>
      <c r="AH10068">
        <v>0</v>
      </c>
      <c r="AI10068">
        <v>1</v>
      </c>
      <c r="AJ10068">
        <v>1</v>
      </c>
      <c r="AK10068">
        <v>1</v>
      </c>
      <c r="AL10068">
        <v>1</v>
      </c>
      <c r="AM10068">
        <v>1</v>
      </c>
    </row>
    <row r="10069" spans="1:39" x14ac:dyDescent="0.2">
      <c r="A10069" t="str">
        <f>"10065"</f>
        <v>10065</v>
      </c>
      <c r="B10069" t="str">
        <f t="shared" si="559"/>
        <v>1</v>
      </c>
      <c r="C10069" t="str">
        <f t="shared" si="560"/>
        <v>202</v>
      </c>
      <c r="D10069" t="str">
        <f>"39"</f>
        <v>39</v>
      </c>
      <c r="E10069" t="str">
        <f>"1-202-39"</f>
        <v>1-202-39</v>
      </c>
      <c r="F10069" t="s">
        <v>65</v>
      </c>
      <c r="G10069" t="s">
        <v>66</v>
      </c>
      <c r="H10069" t="s">
        <v>67</v>
      </c>
      <c r="S10069">
        <v>0</v>
      </c>
      <c r="T10069">
        <v>1</v>
      </c>
      <c r="U10069">
        <v>0</v>
      </c>
      <c r="V10069">
        <v>0</v>
      </c>
      <c r="W10069">
        <v>1</v>
      </c>
      <c r="X10069">
        <v>0</v>
      </c>
      <c r="Y10069">
        <v>0</v>
      </c>
      <c r="Z10069">
        <v>0</v>
      </c>
      <c r="AA10069">
        <v>1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1</v>
      </c>
      <c r="AM10069">
        <v>0</v>
      </c>
    </row>
    <row r="10070" spans="1:39" x14ac:dyDescent="0.2">
      <c r="A10070" t="str">
        <f>"10066"</f>
        <v>10066</v>
      </c>
      <c r="B10070" t="str">
        <f t="shared" si="559"/>
        <v>1</v>
      </c>
      <c r="C10070" t="str">
        <f t="shared" si="560"/>
        <v>202</v>
      </c>
      <c r="D10070" t="str">
        <f>"20"</f>
        <v>20</v>
      </c>
      <c r="E10070" t="str">
        <f>"1-202-20"</f>
        <v>1-202-20</v>
      </c>
      <c r="F10070" t="s">
        <v>65</v>
      </c>
      <c r="G10070" t="s">
        <v>66</v>
      </c>
      <c r="H10070" t="s">
        <v>67</v>
      </c>
      <c r="S10070">
        <v>0</v>
      </c>
      <c r="T10070">
        <v>1</v>
      </c>
      <c r="U10070">
        <v>0</v>
      </c>
      <c r="V10070">
        <v>0</v>
      </c>
      <c r="W10070">
        <v>1</v>
      </c>
      <c r="X10070">
        <v>0</v>
      </c>
      <c r="Y10070">
        <v>1</v>
      </c>
      <c r="Z10070">
        <v>0</v>
      </c>
      <c r="AA10070">
        <v>0</v>
      </c>
      <c r="AB10070">
        <v>0</v>
      </c>
      <c r="AC10070">
        <v>1</v>
      </c>
      <c r="AD10070">
        <v>1</v>
      </c>
      <c r="AE10070">
        <v>1</v>
      </c>
      <c r="AF10070">
        <v>1</v>
      </c>
      <c r="AG10070">
        <v>1</v>
      </c>
      <c r="AH10070">
        <v>1</v>
      </c>
      <c r="AI10070">
        <v>1</v>
      </c>
      <c r="AJ10070">
        <v>0</v>
      </c>
      <c r="AK10070">
        <v>1</v>
      </c>
      <c r="AL10070">
        <v>1</v>
      </c>
      <c r="AM10070">
        <v>1</v>
      </c>
    </row>
    <row r="10071" spans="1:39" x14ac:dyDescent="0.2">
      <c r="A10071" t="str">
        <f>"10067"</f>
        <v>10067</v>
      </c>
      <c r="B10071" t="str">
        <f t="shared" si="559"/>
        <v>1</v>
      </c>
      <c r="C10071" t="str">
        <f t="shared" si="560"/>
        <v>202</v>
      </c>
      <c r="D10071" t="str">
        <f>"9"</f>
        <v>9</v>
      </c>
      <c r="E10071" t="str">
        <f>"1-202-9"</f>
        <v>1-202-9</v>
      </c>
      <c r="F10071" t="s">
        <v>65</v>
      </c>
      <c r="G10071" t="s">
        <v>66</v>
      </c>
      <c r="H10071" t="s">
        <v>67</v>
      </c>
      <c r="S10071">
        <v>0</v>
      </c>
      <c r="T10071">
        <v>1</v>
      </c>
      <c r="U10071">
        <v>0</v>
      </c>
      <c r="V10071">
        <v>0</v>
      </c>
      <c r="W10071">
        <v>1</v>
      </c>
      <c r="X10071">
        <v>0</v>
      </c>
      <c r="Y10071">
        <v>0</v>
      </c>
      <c r="Z10071">
        <v>1</v>
      </c>
      <c r="AA10071">
        <v>0</v>
      </c>
      <c r="AB10071">
        <v>0</v>
      </c>
      <c r="AC10071">
        <v>1</v>
      </c>
      <c r="AD10071">
        <v>1</v>
      </c>
      <c r="AE10071">
        <v>1</v>
      </c>
      <c r="AF10071">
        <v>1</v>
      </c>
      <c r="AG10071">
        <v>1</v>
      </c>
      <c r="AH10071">
        <v>1</v>
      </c>
      <c r="AI10071">
        <v>1</v>
      </c>
      <c r="AJ10071">
        <v>1</v>
      </c>
      <c r="AK10071">
        <v>1</v>
      </c>
      <c r="AL10071">
        <v>1</v>
      </c>
      <c r="AM10071">
        <v>1</v>
      </c>
    </row>
    <row r="10072" spans="1:39" x14ac:dyDescent="0.2">
      <c r="A10072" t="str">
        <f>"10068"</f>
        <v>10068</v>
      </c>
      <c r="B10072" t="str">
        <f t="shared" si="559"/>
        <v>1</v>
      </c>
      <c r="C10072" t="str">
        <f t="shared" si="560"/>
        <v>202</v>
      </c>
      <c r="D10072" t="str">
        <f>"40"</f>
        <v>40</v>
      </c>
      <c r="E10072" t="str">
        <f>"1-202-40"</f>
        <v>1-202-40</v>
      </c>
      <c r="F10072" t="s">
        <v>65</v>
      </c>
      <c r="G10072" t="s">
        <v>66</v>
      </c>
      <c r="H10072" t="s">
        <v>67</v>
      </c>
      <c r="S10072">
        <v>1</v>
      </c>
      <c r="T10072">
        <v>0</v>
      </c>
      <c r="U10072">
        <v>0</v>
      </c>
      <c r="V10072">
        <v>0</v>
      </c>
      <c r="W10072">
        <v>1</v>
      </c>
      <c r="X10072">
        <v>0</v>
      </c>
      <c r="Y10072">
        <v>1</v>
      </c>
      <c r="Z10072">
        <v>0</v>
      </c>
      <c r="AA10072">
        <v>0</v>
      </c>
      <c r="AB10072">
        <v>0</v>
      </c>
      <c r="AC10072">
        <v>1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</row>
    <row r="10073" spans="1:39" x14ac:dyDescent="0.2">
      <c r="A10073" t="str">
        <f>"10069"</f>
        <v>10069</v>
      </c>
      <c r="B10073" t="str">
        <f t="shared" si="559"/>
        <v>1</v>
      </c>
      <c r="C10073" t="str">
        <f t="shared" si="560"/>
        <v>202</v>
      </c>
      <c r="D10073" t="str">
        <f>"21"</f>
        <v>21</v>
      </c>
      <c r="E10073" t="str">
        <f>"1-202-21"</f>
        <v>1-202-21</v>
      </c>
      <c r="F10073" t="s">
        <v>65</v>
      </c>
      <c r="G10073" t="s">
        <v>66</v>
      </c>
      <c r="H10073" t="s">
        <v>67</v>
      </c>
      <c r="S10073">
        <v>0</v>
      </c>
      <c r="T10073">
        <v>1</v>
      </c>
      <c r="U10073">
        <v>0</v>
      </c>
      <c r="V10073">
        <v>0</v>
      </c>
      <c r="W10073">
        <v>1</v>
      </c>
      <c r="X10073">
        <v>0</v>
      </c>
      <c r="Y10073">
        <v>1</v>
      </c>
      <c r="Z10073">
        <v>0</v>
      </c>
      <c r="AA10073">
        <v>0</v>
      </c>
      <c r="AB10073">
        <v>1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</row>
    <row r="10074" spans="1:39" x14ac:dyDescent="0.2">
      <c r="A10074" t="str">
        <f>"10070"</f>
        <v>10070</v>
      </c>
      <c r="B10074" t="str">
        <f t="shared" si="559"/>
        <v>1</v>
      </c>
      <c r="C10074" t="str">
        <f t="shared" si="560"/>
        <v>202</v>
      </c>
      <c r="D10074" t="str">
        <f>"8"</f>
        <v>8</v>
      </c>
      <c r="E10074" t="str">
        <f>"1-202-8"</f>
        <v>1-202-8</v>
      </c>
      <c r="F10074" t="s">
        <v>65</v>
      </c>
      <c r="G10074" t="s">
        <v>66</v>
      </c>
      <c r="H10074" t="s">
        <v>67</v>
      </c>
      <c r="S10074">
        <v>1</v>
      </c>
      <c r="T10074">
        <v>0</v>
      </c>
      <c r="U10074">
        <v>0</v>
      </c>
      <c r="V10074">
        <v>0</v>
      </c>
      <c r="W10074">
        <v>1</v>
      </c>
      <c r="X10074">
        <v>0</v>
      </c>
      <c r="Y10074">
        <v>1</v>
      </c>
      <c r="Z10074">
        <v>0</v>
      </c>
      <c r="AA10074">
        <v>1</v>
      </c>
      <c r="AB10074">
        <v>0</v>
      </c>
      <c r="AC10074">
        <v>0</v>
      </c>
      <c r="AD10074">
        <v>1</v>
      </c>
      <c r="AE10074">
        <v>1</v>
      </c>
      <c r="AF10074">
        <v>1</v>
      </c>
      <c r="AG10074">
        <v>1</v>
      </c>
      <c r="AH10074">
        <v>1</v>
      </c>
      <c r="AI10074">
        <v>1</v>
      </c>
      <c r="AJ10074">
        <v>1</v>
      </c>
      <c r="AK10074">
        <v>1</v>
      </c>
      <c r="AL10074">
        <v>1</v>
      </c>
      <c r="AM10074">
        <v>1</v>
      </c>
    </row>
    <row r="10075" spans="1:39" x14ac:dyDescent="0.2">
      <c r="A10075" t="str">
        <f>"10071"</f>
        <v>10071</v>
      </c>
      <c r="B10075" t="str">
        <f t="shared" si="559"/>
        <v>1</v>
      </c>
      <c r="C10075" t="str">
        <f t="shared" si="560"/>
        <v>202</v>
      </c>
      <c r="D10075" t="str">
        <f>"42"</f>
        <v>42</v>
      </c>
      <c r="E10075" t="str">
        <f>"1-202-42"</f>
        <v>1-202-42</v>
      </c>
      <c r="F10075" t="s">
        <v>65</v>
      </c>
      <c r="G10075" t="s">
        <v>66</v>
      </c>
      <c r="H10075" t="s">
        <v>67</v>
      </c>
      <c r="S10075">
        <v>0</v>
      </c>
      <c r="T10075">
        <v>1</v>
      </c>
      <c r="U10075">
        <v>0</v>
      </c>
      <c r="V10075">
        <v>0</v>
      </c>
      <c r="W10075">
        <v>1</v>
      </c>
      <c r="X10075">
        <v>0</v>
      </c>
      <c r="Y10075">
        <v>1</v>
      </c>
      <c r="Z10075">
        <v>0</v>
      </c>
      <c r="AA10075">
        <v>1</v>
      </c>
      <c r="AB10075">
        <v>0</v>
      </c>
      <c r="AC10075">
        <v>0</v>
      </c>
      <c r="AD10075">
        <v>1</v>
      </c>
      <c r="AE10075">
        <v>1</v>
      </c>
      <c r="AF10075">
        <v>1</v>
      </c>
      <c r="AG10075">
        <v>1</v>
      </c>
      <c r="AH10075">
        <v>1</v>
      </c>
      <c r="AI10075">
        <v>1</v>
      </c>
      <c r="AJ10075">
        <v>1</v>
      </c>
      <c r="AK10075">
        <v>1</v>
      </c>
      <c r="AL10075">
        <v>1</v>
      </c>
      <c r="AM10075">
        <v>1</v>
      </c>
    </row>
    <row r="10076" spans="1:39" x14ac:dyDescent="0.2">
      <c r="A10076" t="str">
        <f>"10072"</f>
        <v>10072</v>
      </c>
      <c r="B10076" t="str">
        <f t="shared" si="559"/>
        <v>1</v>
      </c>
      <c r="C10076" t="str">
        <f t="shared" si="560"/>
        <v>202</v>
      </c>
      <c r="D10076" t="str">
        <f>"22"</f>
        <v>22</v>
      </c>
      <c r="E10076" t="str">
        <f>"1-202-22"</f>
        <v>1-202-22</v>
      </c>
      <c r="F10076" t="s">
        <v>65</v>
      </c>
      <c r="G10076" t="s">
        <v>66</v>
      </c>
      <c r="H10076" t="s">
        <v>67</v>
      </c>
      <c r="S10076">
        <v>1</v>
      </c>
      <c r="T10076">
        <v>0</v>
      </c>
      <c r="U10076">
        <v>0</v>
      </c>
      <c r="V10076">
        <v>0</v>
      </c>
      <c r="W10076">
        <v>1</v>
      </c>
      <c r="X10076">
        <v>0</v>
      </c>
      <c r="Y10076">
        <v>1</v>
      </c>
      <c r="Z10076">
        <v>0</v>
      </c>
      <c r="AA10076">
        <v>0</v>
      </c>
      <c r="AB10076">
        <v>1</v>
      </c>
      <c r="AC10076">
        <v>0</v>
      </c>
      <c r="AD10076">
        <v>1</v>
      </c>
      <c r="AE10076">
        <v>1</v>
      </c>
      <c r="AF10076">
        <v>1</v>
      </c>
      <c r="AG10076">
        <v>1</v>
      </c>
      <c r="AH10076">
        <v>1</v>
      </c>
      <c r="AI10076">
        <v>1</v>
      </c>
      <c r="AJ10076">
        <v>1</v>
      </c>
      <c r="AK10076">
        <v>1</v>
      </c>
      <c r="AL10076">
        <v>1</v>
      </c>
      <c r="AM10076">
        <v>1</v>
      </c>
    </row>
    <row r="10077" spans="1:39" x14ac:dyDescent="0.2">
      <c r="A10077" t="str">
        <f>"10073"</f>
        <v>10073</v>
      </c>
      <c r="B10077" t="str">
        <f t="shared" si="559"/>
        <v>1</v>
      </c>
      <c r="C10077" t="str">
        <f t="shared" si="560"/>
        <v>202</v>
      </c>
      <c r="D10077" t="str">
        <f>"7"</f>
        <v>7</v>
      </c>
      <c r="E10077" t="str">
        <f>"1-202-7"</f>
        <v>1-202-7</v>
      </c>
      <c r="F10077" t="s">
        <v>65</v>
      </c>
      <c r="G10077" t="s">
        <v>66</v>
      </c>
      <c r="H10077" t="s">
        <v>67</v>
      </c>
      <c r="S10077">
        <v>1</v>
      </c>
      <c r="T10077">
        <v>0</v>
      </c>
      <c r="U10077">
        <v>0</v>
      </c>
      <c r="V10077">
        <v>0</v>
      </c>
      <c r="W10077">
        <v>1</v>
      </c>
      <c r="X10077">
        <v>0</v>
      </c>
      <c r="Y10077">
        <v>1</v>
      </c>
      <c r="Z10077">
        <v>0</v>
      </c>
      <c r="AA10077">
        <v>1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1</v>
      </c>
      <c r="AI10077">
        <v>1</v>
      </c>
      <c r="AJ10077">
        <v>1</v>
      </c>
      <c r="AK10077">
        <v>1</v>
      </c>
      <c r="AL10077">
        <v>1</v>
      </c>
      <c r="AM10077">
        <v>1</v>
      </c>
    </row>
    <row r="10078" spans="1:39" x14ac:dyDescent="0.2">
      <c r="A10078" t="str">
        <f>"10074"</f>
        <v>10074</v>
      </c>
      <c r="B10078" t="str">
        <f t="shared" si="559"/>
        <v>1</v>
      </c>
      <c r="C10078" t="str">
        <f t="shared" si="560"/>
        <v>202</v>
      </c>
      <c r="D10078" t="str">
        <f>"41"</f>
        <v>41</v>
      </c>
      <c r="E10078" t="str">
        <f>"1-202-41"</f>
        <v>1-202-41</v>
      </c>
      <c r="F10078" t="s">
        <v>65</v>
      </c>
      <c r="G10078" t="s">
        <v>66</v>
      </c>
      <c r="H10078" t="s">
        <v>67</v>
      </c>
      <c r="S10078">
        <v>1</v>
      </c>
      <c r="T10078">
        <v>0</v>
      </c>
      <c r="U10078">
        <v>0</v>
      </c>
      <c r="V10078">
        <v>0</v>
      </c>
      <c r="W10078">
        <v>1</v>
      </c>
      <c r="X10078">
        <v>0</v>
      </c>
      <c r="Y10078">
        <v>1</v>
      </c>
      <c r="Z10078">
        <v>0</v>
      </c>
      <c r="AA10078">
        <v>0</v>
      </c>
      <c r="AB10078">
        <v>0</v>
      </c>
      <c r="AC10078">
        <v>1</v>
      </c>
      <c r="AD10078">
        <v>1</v>
      </c>
      <c r="AE10078">
        <v>1</v>
      </c>
      <c r="AF10078">
        <v>1</v>
      </c>
      <c r="AG10078">
        <v>1</v>
      </c>
      <c r="AH10078">
        <v>1</v>
      </c>
      <c r="AI10078">
        <v>1</v>
      </c>
      <c r="AJ10078">
        <v>1</v>
      </c>
      <c r="AK10078">
        <v>1</v>
      </c>
      <c r="AL10078">
        <v>1</v>
      </c>
      <c r="AM10078">
        <v>1</v>
      </c>
    </row>
    <row r="10079" spans="1:39" x14ac:dyDescent="0.2">
      <c r="A10079" t="str">
        <f>"10075"</f>
        <v>10075</v>
      </c>
      <c r="B10079" t="str">
        <f t="shared" si="559"/>
        <v>1</v>
      </c>
      <c r="C10079" t="str">
        <f t="shared" si="560"/>
        <v>202</v>
      </c>
      <c r="D10079" t="str">
        <f>"23"</f>
        <v>23</v>
      </c>
      <c r="E10079" t="str">
        <f>"1-202-23"</f>
        <v>1-202-23</v>
      </c>
      <c r="F10079" t="s">
        <v>65</v>
      </c>
      <c r="G10079" t="s">
        <v>66</v>
      </c>
      <c r="H10079" t="s">
        <v>67</v>
      </c>
      <c r="S10079">
        <v>0</v>
      </c>
      <c r="T10079">
        <v>1</v>
      </c>
      <c r="U10079">
        <v>0</v>
      </c>
      <c r="V10079">
        <v>0</v>
      </c>
      <c r="W10079">
        <v>1</v>
      </c>
      <c r="X10079">
        <v>0</v>
      </c>
      <c r="Y10079">
        <v>1</v>
      </c>
      <c r="Z10079">
        <v>0</v>
      </c>
      <c r="AA10079">
        <v>0</v>
      </c>
      <c r="AB10079">
        <v>1</v>
      </c>
      <c r="AC10079">
        <v>0</v>
      </c>
      <c r="AD10079">
        <v>1</v>
      </c>
      <c r="AE10079">
        <v>1</v>
      </c>
      <c r="AF10079">
        <v>1</v>
      </c>
      <c r="AG10079">
        <v>1</v>
      </c>
      <c r="AH10079">
        <v>1</v>
      </c>
      <c r="AI10079">
        <v>1</v>
      </c>
      <c r="AJ10079">
        <v>1</v>
      </c>
      <c r="AK10079">
        <v>1</v>
      </c>
      <c r="AL10079">
        <v>1</v>
      </c>
      <c r="AM10079">
        <v>1</v>
      </c>
    </row>
    <row r="10080" spans="1:39" x14ac:dyDescent="0.2">
      <c r="A10080" t="str">
        <f>"10076"</f>
        <v>10076</v>
      </c>
      <c r="B10080" t="str">
        <f t="shared" si="559"/>
        <v>1</v>
      </c>
      <c r="C10080" t="str">
        <f t="shared" si="560"/>
        <v>202</v>
      </c>
      <c r="D10080" t="str">
        <f>"6"</f>
        <v>6</v>
      </c>
      <c r="E10080" t="str">
        <f>"1-202-6"</f>
        <v>1-202-6</v>
      </c>
      <c r="F10080" t="s">
        <v>65</v>
      </c>
      <c r="G10080" t="s">
        <v>66</v>
      </c>
      <c r="H10080" t="s">
        <v>67</v>
      </c>
      <c r="S10080">
        <v>1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1</v>
      </c>
      <c r="AA10080">
        <v>0</v>
      </c>
      <c r="AB10080">
        <v>1</v>
      </c>
      <c r="AC10080">
        <v>0</v>
      </c>
      <c r="AD10080">
        <v>1</v>
      </c>
      <c r="AE10080">
        <v>1</v>
      </c>
      <c r="AF10080">
        <v>1</v>
      </c>
      <c r="AG10080">
        <v>1</v>
      </c>
      <c r="AH10080">
        <v>1</v>
      </c>
      <c r="AI10080">
        <v>1</v>
      </c>
      <c r="AJ10080">
        <v>1</v>
      </c>
      <c r="AK10080">
        <v>1</v>
      </c>
      <c r="AL10080">
        <v>1</v>
      </c>
      <c r="AM10080">
        <v>1</v>
      </c>
    </row>
    <row r="10081" spans="1:39" x14ac:dyDescent="0.2">
      <c r="A10081" t="str">
        <f>"10077"</f>
        <v>10077</v>
      </c>
      <c r="B10081" t="str">
        <f t="shared" si="559"/>
        <v>1</v>
      </c>
      <c r="C10081" t="str">
        <f t="shared" si="560"/>
        <v>202</v>
      </c>
      <c r="D10081" t="str">
        <f>"43"</f>
        <v>43</v>
      </c>
      <c r="E10081" t="str">
        <f>"1-202-43"</f>
        <v>1-202-43</v>
      </c>
      <c r="F10081" t="s">
        <v>65</v>
      </c>
      <c r="G10081" t="s">
        <v>66</v>
      </c>
      <c r="H10081" t="s">
        <v>67</v>
      </c>
      <c r="S10081">
        <v>1</v>
      </c>
      <c r="T10081">
        <v>0</v>
      </c>
      <c r="U10081">
        <v>0</v>
      </c>
      <c r="V10081">
        <v>0</v>
      </c>
      <c r="W10081">
        <v>1</v>
      </c>
      <c r="X10081">
        <v>0</v>
      </c>
      <c r="Y10081">
        <v>1</v>
      </c>
      <c r="Z10081">
        <v>0</v>
      </c>
      <c r="AA10081">
        <v>1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1</v>
      </c>
      <c r="AI10081">
        <v>0</v>
      </c>
      <c r="AJ10081">
        <v>0</v>
      </c>
      <c r="AK10081">
        <v>1</v>
      </c>
      <c r="AL10081">
        <v>0</v>
      </c>
      <c r="AM10081">
        <v>0</v>
      </c>
    </row>
    <row r="10082" spans="1:39" x14ac:dyDescent="0.2">
      <c r="A10082" t="str">
        <f>"10078"</f>
        <v>10078</v>
      </c>
      <c r="B10082" t="str">
        <f t="shared" si="559"/>
        <v>1</v>
      </c>
      <c r="C10082" t="str">
        <f t="shared" si="560"/>
        <v>202</v>
      </c>
      <c r="D10082" t="str">
        <f>"24"</f>
        <v>24</v>
      </c>
      <c r="E10082" t="str">
        <f>"1-202-24"</f>
        <v>1-202-24</v>
      </c>
      <c r="F10082" t="s">
        <v>65</v>
      </c>
      <c r="G10082" t="s">
        <v>66</v>
      </c>
      <c r="H10082" t="s">
        <v>67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1</v>
      </c>
      <c r="Y10082">
        <v>1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1</v>
      </c>
      <c r="AI10082">
        <v>0</v>
      </c>
      <c r="AJ10082">
        <v>0</v>
      </c>
      <c r="AK10082">
        <v>1</v>
      </c>
      <c r="AL10082">
        <v>1</v>
      </c>
      <c r="AM10082">
        <v>0</v>
      </c>
    </row>
    <row r="10083" spans="1:39" x14ac:dyDescent="0.2">
      <c r="A10083" t="str">
        <f>"10079"</f>
        <v>10079</v>
      </c>
      <c r="B10083" t="str">
        <f t="shared" si="559"/>
        <v>1</v>
      </c>
      <c r="C10083" t="str">
        <f t="shared" si="560"/>
        <v>202</v>
      </c>
      <c r="D10083" t="str">
        <f>"3"</f>
        <v>3</v>
      </c>
      <c r="E10083" t="str">
        <f>"1-202-3"</f>
        <v>1-202-3</v>
      </c>
      <c r="F10083" t="s">
        <v>65</v>
      </c>
      <c r="G10083" t="s">
        <v>66</v>
      </c>
      <c r="H10083" t="s">
        <v>67</v>
      </c>
      <c r="S10083">
        <v>0</v>
      </c>
      <c r="T10083">
        <v>1</v>
      </c>
      <c r="U10083">
        <v>0</v>
      </c>
      <c r="V10083">
        <v>0</v>
      </c>
      <c r="W10083">
        <v>1</v>
      </c>
      <c r="X10083">
        <v>0</v>
      </c>
      <c r="Y10083">
        <v>1</v>
      </c>
      <c r="Z10083">
        <v>0</v>
      </c>
      <c r="AA10083">
        <v>1</v>
      </c>
      <c r="AB10083">
        <v>0</v>
      </c>
      <c r="AC10083">
        <v>0</v>
      </c>
      <c r="AD10083">
        <v>1</v>
      </c>
      <c r="AE10083">
        <v>1</v>
      </c>
      <c r="AF10083">
        <v>1</v>
      </c>
      <c r="AG10083">
        <v>1</v>
      </c>
      <c r="AH10083">
        <v>1</v>
      </c>
      <c r="AI10083">
        <v>1</v>
      </c>
      <c r="AJ10083">
        <v>1</v>
      </c>
      <c r="AK10083">
        <v>1</v>
      </c>
      <c r="AL10083">
        <v>1</v>
      </c>
      <c r="AM10083">
        <v>1</v>
      </c>
    </row>
    <row r="10084" spans="1:39" x14ac:dyDescent="0.2">
      <c r="A10084" t="str">
        <f>"10080"</f>
        <v>10080</v>
      </c>
      <c r="B10084" t="str">
        <f t="shared" si="559"/>
        <v>1</v>
      </c>
      <c r="C10084" t="str">
        <f t="shared" si="560"/>
        <v>202</v>
      </c>
      <c r="D10084" t="str">
        <f>"46"</f>
        <v>46</v>
      </c>
      <c r="E10084" t="str">
        <f>"1-202-46"</f>
        <v>1-202-46</v>
      </c>
      <c r="F10084" t="s">
        <v>65</v>
      </c>
      <c r="G10084" t="s">
        <v>66</v>
      </c>
      <c r="H10084" t="s">
        <v>67</v>
      </c>
      <c r="S10084">
        <v>1</v>
      </c>
      <c r="T10084">
        <v>0</v>
      </c>
      <c r="U10084">
        <v>0</v>
      </c>
      <c r="V10084">
        <v>0</v>
      </c>
      <c r="W10084">
        <v>1</v>
      </c>
      <c r="X10084">
        <v>0</v>
      </c>
      <c r="Y10084">
        <v>1</v>
      </c>
      <c r="Z10084">
        <v>0</v>
      </c>
      <c r="AA10084">
        <v>0</v>
      </c>
      <c r="AB10084">
        <v>1</v>
      </c>
      <c r="AC10084">
        <v>0</v>
      </c>
      <c r="AD10084">
        <v>1</v>
      </c>
      <c r="AE10084">
        <v>1</v>
      </c>
      <c r="AF10084">
        <v>1</v>
      </c>
      <c r="AG10084">
        <v>1</v>
      </c>
      <c r="AH10084">
        <v>1</v>
      </c>
      <c r="AI10084">
        <v>1</v>
      </c>
      <c r="AJ10084">
        <v>1</v>
      </c>
      <c r="AK10084">
        <v>1</v>
      </c>
      <c r="AL10084">
        <v>1</v>
      </c>
      <c r="AM10084">
        <v>1</v>
      </c>
    </row>
    <row r="10085" spans="1:39" x14ac:dyDescent="0.2">
      <c r="A10085" t="str">
        <f>"10081"</f>
        <v>10081</v>
      </c>
      <c r="B10085" t="str">
        <f t="shared" si="559"/>
        <v>1</v>
      </c>
      <c r="C10085" t="str">
        <f t="shared" si="560"/>
        <v>202</v>
      </c>
      <c r="D10085" t="str">
        <f>"25"</f>
        <v>25</v>
      </c>
      <c r="E10085" t="str">
        <f>"1-202-25"</f>
        <v>1-202-25</v>
      </c>
      <c r="F10085" t="s">
        <v>65</v>
      </c>
      <c r="G10085" t="s">
        <v>66</v>
      </c>
      <c r="H10085" t="s">
        <v>67</v>
      </c>
      <c r="S10085">
        <v>0</v>
      </c>
      <c r="T10085">
        <v>1</v>
      </c>
      <c r="U10085">
        <v>0</v>
      </c>
      <c r="V10085">
        <v>0</v>
      </c>
      <c r="W10085">
        <v>1</v>
      </c>
      <c r="X10085">
        <v>0</v>
      </c>
      <c r="Y10085">
        <v>0</v>
      </c>
      <c r="Z10085">
        <v>1</v>
      </c>
      <c r="AA10085">
        <v>1</v>
      </c>
      <c r="AB10085">
        <v>0</v>
      </c>
      <c r="AC10085">
        <v>0</v>
      </c>
      <c r="AD10085">
        <v>1</v>
      </c>
      <c r="AE10085">
        <v>1</v>
      </c>
      <c r="AF10085">
        <v>1</v>
      </c>
      <c r="AG10085">
        <v>0</v>
      </c>
      <c r="AH10085">
        <v>1</v>
      </c>
      <c r="AI10085">
        <v>1</v>
      </c>
      <c r="AJ10085">
        <v>1</v>
      </c>
      <c r="AK10085">
        <v>1</v>
      </c>
      <c r="AL10085">
        <v>1</v>
      </c>
      <c r="AM10085">
        <v>1</v>
      </c>
    </row>
    <row r="10086" spans="1:39" x14ac:dyDescent="0.2">
      <c r="A10086" t="str">
        <f>"10082"</f>
        <v>10082</v>
      </c>
      <c r="B10086" t="str">
        <f t="shared" si="559"/>
        <v>1</v>
      </c>
      <c r="C10086" t="str">
        <f t="shared" si="560"/>
        <v>202</v>
      </c>
      <c r="D10086" t="str">
        <f>"12"</f>
        <v>12</v>
      </c>
      <c r="E10086" t="str">
        <f>"1-202-12"</f>
        <v>1-202-12</v>
      </c>
      <c r="F10086" t="s">
        <v>65</v>
      </c>
      <c r="G10086" t="s">
        <v>66</v>
      </c>
      <c r="H10086" t="s">
        <v>67</v>
      </c>
      <c r="S10086">
        <v>1</v>
      </c>
      <c r="T10086">
        <v>0</v>
      </c>
      <c r="U10086">
        <v>0</v>
      </c>
      <c r="V10086">
        <v>0</v>
      </c>
      <c r="W10086">
        <v>1</v>
      </c>
      <c r="X10086">
        <v>0</v>
      </c>
      <c r="Y10086">
        <v>1</v>
      </c>
      <c r="Z10086">
        <v>0</v>
      </c>
      <c r="AA10086">
        <v>0</v>
      </c>
      <c r="AB10086">
        <v>0</v>
      </c>
      <c r="AC10086">
        <v>1</v>
      </c>
      <c r="AD10086">
        <v>1</v>
      </c>
      <c r="AE10086">
        <v>1</v>
      </c>
      <c r="AF10086">
        <v>1</v>
      </c>
      <c r="AG10086">
        <v>1</v>
      </c>
      <c r="AH10086">
        <v>1</v>
      </c>
      <c r="AI10086">
        <v>1</v>
      </c>
      <c r="AJ10086">
        <v>1</v>
      </c>
      <c r="AK10086">
        <v>1</v>
      </c>
      <c r="AL10086">
        <v>1</v>
      </c>
      <c r="AM10086">
        <v>1</v>
      </c>
    </row>
    <row r="10087" spans="1:39" x14ac:dyDescent="0.2">
      <c r="A10087" t="str">
        <f>"10083"</f>
        <v>10083</v>
      </c>
      <c r="B10087" t="str">
        <f t="shared" si="559"/>
        <v>1</v>
      </c>
      <c r="C10087" t="str">
        <f t="shared" ref="C10087:C10104" si="561">"202"</f>
        <v>202</v>
      </c>
      <c r="D10087" t="str">
        <f>"44"</f>
        <v>44</v>
      </c>
      <c r="E10087" t="str">
        <f>"1-202-44"</f>
        <v>1-202-44</v>
      </c>
      <c r="F10087" t="s">
        <v>65</v>
      </c>
      <c r="G10087" t="s">
        <v>66</v>
      </c>
      <c r="H10087" t="s">
        <v>67</v>
      </c>
      <c r="S10087">
        <v>1</v>
      </c>
      <c r="T10087">
        <v>0</v>
      </c>
      <c r="U10087">
        <v>0</v>
      </c>
      <c r="V10087">
        <v>0</v>
      </c>
      <c r="W10087">
        <v>1</v>
      </c>
      <c r="X10087">
        <v>0</v>
      </c>
      <c r="Y10087">
        <v>0</v>
      </c>
      <c r="Z10087">
        <v>1</v>
      </c>
      <c r="AA10087">
        <v>1</v>
      </c>
      <c r="AB10087">
        <v>0</v>
      </c>
      <c r="AC10087">
        <v>0</v>
      </c>
      <c r="AD10087">
        <v>1</v>
      </c>
      <c r="AE10087">
        <v>1</v>
      </c>
      <c r="AF10087">
        <v>1</v>
      </c>
      <c r="AG10087">
        <v>1</v>
      </c>
      <c r="AH10087">
        <v>1</v>
      </c>
      <c r="AI10087">
        <v>1</v>
      </c>
      <c r="AJ10087">
        <v>1</v>
      </c>
      <c r="AK10087">
        <v>1</v>
      </c>
      <c r="AL10087">
        <v>1</v>
      </c>
      <c r="AM10087">
        <v>1</v>
      </c>
    </row>
    <row r="10088" spans="1:39" x14ac:dyDescent="0.2">
      <c r="A10088" t="str">
        <f>"10084"</f>
        <v>10084</v>
      </c>
      <c r="B10088" t="str">
        <f t="shared" si="559"/>
        <v>1</v>
      </c>
      <c r="C10088" t="str">
        <f t="shared" si="561"/>
        <v>202</v>
      </c>
      <c r="D10088" t="str">
        <f>"26"</f>
        <v>26</v>
      </c>
      <c r="E10088" t="str">
        <f>"1-202-26"</f>
        <v>1-202-26</v>
      </c>
      <c r="F10088" t="s">
        <v>65</v>
      </c>
      <c r="G10088" t="s">
        <v>66</v>
      </c>
      <c r="H10088" t="s">
        <v>67</v>
      </c>
      <c r="S10088">
        <v>0</v>
      </c>
      <c r="T10088">
        <v>0</v>
      </c>
      <c r="U10088">
        <v>0</v>
      </c>
      <c r="V10088">
        <v>0</v>
      </c>
      <c r="W10088">
        <v>1</v>
      </c>
      <c r="X10088">
        <v>0</v>
      </c>
      <c r="Y10088">
        <v>1</v>
      </c>
      <c r="Z10088">
        <v>0</v>
      </c>
      <c r="AA10088">
        <v>0</v>
      </c>
      <c r="AB10088">
        <v>0</v>
      </c>
      <c r="AC10088">
        <v>0</v>
      </c>
      <c r="AD10088">
        <v>1</v>
      </c>
      <c r="AE10088">
        <v>1</v>
      </c>
      <c r="AF10088">
        <v>1</v>
      </c>
      <c r="AG10088">
        <v>1</v>
      </c>
      <c r="AH10088">
        <v>1</v>
      </c>
      <c r="AI10088">
        <v>1</v>
      </c>
      <c r="AJ10088">
        <v>1</v>
      </c>
      <c r="AK10088">
        <v>1</v>
      </c>
      <c r="AL10088">
        <v>1</v>
      </c>
      <c r="AM10088">
        <v>1</v>
      </c>
    </row>
    <row r="10089" spans="1:39" x14ac:dyDescent="0.2">
      <c r="A10089" t="str">
        <f>"10085"</f>
        <v>10085</v>
      </c>
      <c r="B10089" t="str">
        <f t="shared" si="559"/>
        <v>1</v>
      </c>
      <c r="C10089" t="str">
        <f t="shared" si="561"/>
        <v>202</v>
      </c>
      <c r="D10089" t="str">
        <f>"11"</f>
        <v>11</v>
      </c>
      <c r="E10089" t="str">
        <f>"1-202-11"</f>
        <v>1-202-11</v>
      </c>
      <c r="F10089" t="s">
        <v>65</v>
      </c>
      <c r="G10089" t="s">
        <v>66</v>
      </c>
      <c r="H10089" t="s">
        <v>67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1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</row>
    <row r="10090" spans="1:39" x14ac:dyDescent="0.2">
      <c r="A10090" t="str">
        <f>"10086"</f>
        <v>10086</v>
      </c>
      <c r="B10090" t="str">
        <f t="shared" si="559"/>
        <v>1</v>
      </c>
      <c r="C10090" t="str">
        <f t="shared" si="561"/>
        <v>202</v>
      </c>
      <c r="D10090" t="str">
        <f>"45"</f>
        <v>45</v>
      </c>
      <c r="E10090" t="str">
        <f>"1-202-45"</f>
        <v>1-202-45</v>
      </c>
      <c r="F10090" t="s">
        <v>65</v>
      </c>
      <c r="G10090" t="s">
        <v>66</v>
      </c>
      <c r="H10090" t="s">
        <v>67</v>
      </c>
      <c r="S10090">
        <v>1</v>
      </c>
      <c r="T10090">
        <v>0</v>
      </c>
      <c r="U10090">
        <v>0</v>
      </c>
      <c r="V10090">
        <v>0</v>
      </c>
      <c r="W10090">
        <v>0</v>
      </c>
      <c r="X10090">
        <v>1</v>
      </c>
      <c r="Y10090">
        <v>1</v>
      </c>
      <c r="Z10090">
        <v>0</v>
      </c>
      <c r="AA10090">
        <v>1</v>
      </c>
      <c r="AB10090">
        <v>0</v>
      </c>
      <c r="AC10090">
        <v>0</v>
      </c>
      <c r="AD10090">
        <v>1</v>
      </c>
      <c r="AE10090">
        <v>1</v>
      </c>
      <c r="AF10090">
        <v>1</v>
      </c>
      <c r="AG10090">
        <v>1</v>
      </c>
      <c r="AH10090">
        <v>1</v>
      </c>
      <c r="AI10090">
        <v>1</v>
      </c>
      <c r="AJ10090">
        <v>1</v>
      </c>
      <c r="AK10090">
        <v>1</v>
      </c>
      <c r="AL10090">
        <v>1</v>
      </c>
      <c r="AM10090">
        <v>1</v>
      </c>
    </row>
    <row r="10091" spans="1:39" x14ac:dyDescent="0.2">
      <c r="A10091" t="str">
        <f>"10087"</f>
        <v>10087</v>
      </c>
      <c r="B10091" t="str">
        <f t="shared" si="559"/>
        <v>1</v>
      </c>
      <c r="C10091" t="str">
        <f t="shared" si="561"/>
        <v>202</v>
      </c>
      <c r="D10091" t="str">
        <f>"27"</f>
        <v>27</v>
      </c>
      <c r="E10091" t="str">
        <f>"1-202-27"</f>
        <v>1-202-27</v>
      </c>
      <c r="F10091" t="s">
        <v>65</v>
      </c>
      <c r="G10091" t="s">
        <v>66</v>
      </c>
      <c r="H10091" t="s">
        <v>67</v>
      </c>
      <c r="S10091">
        <v>1</v>
      </c>
      <c r="T10091">
        <v>0</v>
      </c>
      <c r="U10091">
        <v>0</v>
      </c>
      <c r="V10091">
        <v>0</v>
      </c>
      <c r="W10091">
        <v>1</v>
      </c>
      <c r="X10091">
        <v>0</v>
      </c>
      <c r="Y10091">
        <v>1</v>
      </c>
      <c r="Z10091">
        <v>0</v>
      </c>
      <c r="AA10091">
        <v>0</v>
      </c>
      <c r="AB10091">
        <v>1</v>
      </c>
      <c r="AC10091">
        <v>0</v>
      </c>
      <c r="AD10091">
        <v>1</v>
      </c>
      <c r="AE10091">
        <v>1</v>
      </c>
      <c r="AF10091">
        <v>1</v>
      </c>
      <c r="AG10091">
        <v>1</v>
      </c>
      <c r="AH10091">
        <v>1</v>
      </c>
      <c r="AI10091">
        <v>1</v>
      </c>
      <c r="AJ10091">
        <v>1</v>
      </c>
      <c r="AK10091">
        <v>1</v>
      </c>
      <c r="AL10091">
        <v>1</v>
      </c>
      <c r="AM10091">
        <v>1</v>
      </c>
    </row>
    <row r="10092" spans="1:39" x14ac:dyDescent="0.2">
      <c r="A10092" t="str">
        <f>"10088"</f>
        <v>10088</v>
      </c>
      <c r="B10092" t="str">
        <f t="shared" si="559"/>
        <v>1</v>
      </c>
      <c r="C10092" t="str">
        <f t="shared" si="561"/>
        <v>202</v>
      </c>
      <c r="D10092" t="str">
        <f>"5"</f>
        <v>5</v>
      </c>
      <c r="E10092" t="str">
        <f>"1-202-5"</f>
        <v>1-202-5</v>
      </c>
      <c r="F10092" t="s">
        <v>65</v>
      </c>
      <c r="G10092" t="s">
        <v>66</v>
      </c>
      <c r="H10092" t="s">
        <v>67</v>
      </c>
      <c r="S10092">
        <v>1</v>
      </c>
      <c r="T10092">
        <v>0</v>
      </c>
      <c r="U10092">
        <v>0</v>
      </c>
      <c r="V10092">
        <v>0</v>
      </c>
      <c r="W10092">
        <v>1</v>
      </c>
      <c r="X10092">
        <v>0</v>
      </c>
      <c r="Y10092">
        <v>0</v>
      </c>
      <c r="Z10092">
        <v>1</v>
      </c>
      <c r="AA10092">
        <v>0</v>
      </c>
      <c r="AB10092">
        <v>1</v>
      </c>
      <c r="AC10092">
        <v>0</v>
      </c>
      <c r="AD10092">
        <v>1</v>
      </c>
      <c r="AE10092">
        <v>1</v>
      </c>
      <c r="AF10092">
        <v>1</v>
      </c>
      <c r="AG10092">
        <v>1</v>
      </c>
      <c r="AH10092">
        <v>1</v>
      </c>
      <c r="AI10092">
        <v>1</v>
      </c>
      <c r="AJ10092">
        <v>1</v>
      </c>
      <c r="AK10092">
        <v>1</v>
      </c>
      <c r="AL10092">
        <v>1</v>
      </c>
      <c r="AM10092">
        <v>1</v>
      </c>
    </row>
    <row r="10093" spans="1:39" x14ac:dyDescent="0.2">
      <c r="A10093" t="str">
        <f>"10089"</f>
        <v>10089</v>
      </c>
      <c r="B10093" t="str">
        <f t="shared" si="559"/>
        <v>1</v>
      </c>
      <c r="C10093" t="str">
        <f t="shared" si="561"/>
        <v>202</v>
      </c>
      <c r="D10093" t="str">
        <f>"28"</f>
        <v>28</v>
      </c>
      <c r="E10093" t="str">
        <f>"1-202-28"</f>
        <v>1-202-28</v>
      </c>
      <c r="F10093" t="s">
        <v>65</v>
      </c>
      <c r="G10093" t="s">
        <v>66</v>
      </c>
      <c r="H10093" t="s">
        <v>67</v>
      </c>
      <c r="S10093">
        <v>1</v>
      </c>
      <c r="T10093">
        <v>0</v>
      </c>
      <c r="U10093">
        <v>0</v>
      </c>
      <c r="V10093">
        <v>0</v>
      </c>
      <c r="W10093">
        <v>0</v>
      </c>
      <c r="X10093">
        <v>1</v>
      </c>
      <c r="Y10093">
        <v>1</v>
      </c>
      <c r="Z10093">
        <v>0</v>
      </c>
      <c r="AA10093">
        <v>0</v>
      </c>
      <c r="AB10093">
        <v>1</v>
      </c>
      <c r="AC10093">
        <v>0</v>
      </c>
      <c r="AD10093">
        <v>1</v>
      </c>
      <c r="AE10093">
        <v>1</v>
      </c>
      <c r="AF10093">
        <v>1</v>
      </c>
      <c r="AG10093">
        <v>1</v>
      </c>
      <c r="AH10093">
        <v>1</v>
      </c>
      <c r="AI10093">
        <v>1</v>
      </c>
      <c r="AJ10093">
        <v>1</v>
      </c>
      <c r="AK10093">
        <v>1</v>
      </c>
      <c r="AL10093">
        <v>1</v>
      </c>
      <c r="AM10093">
        <v>1</v>
      </c>
    </row>
    <row r="10094" spans="1:39" x14ac:dyDescent="0.2">
      <c r="A10094" t="str">
        <f>"10090"</f>
        <v>10090</v>
      </c>
      <c r="B10094" t="str">
        <f t="shared" si="559"/>
        <v>1</v>
      </c>
      <c r="C10094" t="str">
        <f t="shared" si="561"/>
        <v>202</v>
      </c>
      <c r="D10094" t="str">
        <f>"14"</f>
        <v>14</v>
      </c>
      <c r="E10094" t="str">
        <f>"1-202-14"</f>
        <v>1-202-14</v>
      </c>
      <c r="F10094" t="s">
        <v>65</v>
      </c>
      <c r="G10094" t="s">
        <v>66</v>
      </c>
      <c r="H10094" t="s">
        <v>67</v>
      </c>
      <c r="S10094">
        <v>0</v>
      </c>
      <c r="T10094">
        <v>1</v>
      </c>
      <c r="U10094">
        <v>0</v>
      </c>
      <c r="V10094">
        <v>0</v>
      </c>
      <c r="W10094">
        <v>1</v>
      </c>
      <c r="X10094">
        <v>0</v>
      </c>
      <c r="Y10094">
        <v>0</v>
      </c>
      <c r="Z10094">
        <v>1</v>
      </c>
      <c r="AA10094">
        <v>0</v>
      </c>
      <c r="AB10094">
        <v>0</v>
      </c>
      <c r="AC10094">
        <v>1</v>
      </c>
      <c r="AD10094">
        <v>1</v>
      </c>
      <c r="AE10094">
        <v>1</v>
      </c>
      <c r="AF10094">
        <v>1</v>
      </c>
      <c r="AG10094">
        <v>1</v>
      </c>
      <c r="AH10094">
        <v>0</v>
      </c>
      <c r="AI10094">
        <v>1</v>
      </c>
      <c r="AJ10094">
        <v>1</v>
      </c>
      <c r="AK10094">
        <v>1</v>
      </c>
      <c r="AL10094">
        <v>1</v>
      </c>
      <c r="AM10094">
        <v>1</v>
      </c>
    </row>
    <row r="10095" spans="1:39" x14ac:dyDescent="0.2">
      <c r="A10095" t="str">
        <f>"10091"</f>
        <v>10091</v>
      </c>
      <c r="B10095" t="str">
        <f t="shared" si="559"/>
        <v>1</v>
      </c>
      <c r="C10095" t="str">
        <f t="shared" si="561"/>
        <v>202</v>
      </c>
      <c r="D10095" t="str">
        <f>"49"</f>
        <v>49</v>
      </c>
      <c r="E10095" t="str">
        <f>"1-202-49"</f>
        <v>1-202-49</v>
      </c>
      <c r="F10095" t="s">
        <v>65</v>
      </c>
      <c r="G10095" t="s">
        <v>66</v>
      </c>
      <c r="H10095" t="s">
        <v>67</v>
      </c>
      <c r="S10095">
        <v>1</v>
      </c>
      <c r="T10095">
        <v>0</v>
      </c>
      <c r="U10095">
        <v>0</v>
      </c>
      <c r="V10095">
        <v>0</v>
      </c>
      <c r="W10095">
        <v>1</v>
      </c>
      <c r="X10095">
        <v>0</v>
      </c>
      <c r="Y10095">
        <v>1</v>
      </c>
      <c r="Z10095">
        <v>0</v>
      </c>
      <c r="AA10095">
        <v>1</v>
      </c>
      <c r="AB10095">
        <v>0</v>
      </c>
      <c r="AC10095">
        <v>0</v>
      </c>
      <c r="AD10095">
        <v>1</v>
      </c>
      <c r="AE10095">
        <v>1</v>
      </c>
      <c r="AF10095">
        <v>1</v>
      </c>
      <c r="AG10095">
        <v>1</v>
      </c>
      <c r="AH10095">
        <v>1</v>
      </c>
      <c r="AI10095">
        <v>1</v>
      </c>
      <c r="AJ10095">
        <v>1</v>
      </c>
      <c r="AK10095">
        <v>1</v>
      </c>
      <c r="AL10095">
        <v>1</v>
      </c>
      <c r="AM10095">
        <v>1</v>
      </c>
    </row>
    <row r="10096" spans="1:39" x14ac:dyDescent="0.2">
      <c r="A10096" t="str">
        <f>"10092"</f>
        <v>10092</v>
      </c>
      <c r="B10096" t="str">
        <f t="shared" si="559"/>
        <v>1</v>
      </c>
      <c r="C10096" t="str">
        <f t="shared" si="561"/>
        <v>202</v>
      </c>
      <c r="D10096" t="str">
        <f>"29"</f>
        <v>29</v>
      </c>
      <c r="E10096" t="str">
        <f>"1-202-29"</f>
        <v>1-202-29</v>
      </c>
      <c r="F10096" t="s">
        <v>65</v>
      </c>
      <c r="G10096" t="s">
        <v>66</v>
      </c>
      <c r="H10096" t="s">
        <v>67</v>
      </c>
      <c r="S10096">
        <v>0</v>
      </c>
      <c r="T10096">
        <v>1</v>
      </c>
      <c r="U10096">
        <v>0</v>
      </c>
      <c r="V10096">
        <v>0</v>
      </c>
      <c r="W10096">
        <v>0</v>
      </c>
      <c r="X10096">
        <v>1</v>
      </c>
      <c r="Y10096">
        <v>0</v>
      </c>
      <c r="Z10096">
        <v>1</v>
      </c>
      <c r="AA10096">
        <v>0</v>
      </c>
      <c r="AB10096">
        <v>0</v>
      </c>
      <c r="AC10096">
        <v>1</v>
      </c>
      <c r="AD10096">
        <v>1</v>
      </c>
      <c r="AE10096">
        <v>1</v>
      </c>
      <c r="AF10096">
        <v>1</v>
      </c>
      <c r="AG10096">
        <v>1</v>
      </c>
      <c r="AH10096">
        <v>1</v>
      </c>
      <c r="AI10096">
        <v>1</v>
      </c>
      <c r="AJ10096">
        <v>1</v>
      </c>
      <c r="AK10096">
        <v>1</v>
      </c>
      <c r="AL10096">
        <v>1</v>
      </c>
      <c r="AM10096">
        <v>1</v>
      </c>
    </row>
    <row r="10097" spans="1:39" x14ac:dyDescent="0.2">
      <c r="A10097" t="str">
        <f>"10093"</f>
        <v>10093</v>
      </c>
      <c r="B10097" t="str">
        <f t="shared" si="559"/>
        <v>1</v>
      </c>
      <c r="C10097" t="str">
        <f t="shared" si="561"/>
        <v>202</v>
      </c>
      <c r="D10097" t="str">
        <f>"4"</f>
        <v>4</v>
      </c>
      <c r="E10097" t="str">
        <f>"1-202-4"</f>
        <v>1-202-4</v>
      </c>
      <c r="F10097" t="s">
        <v>65</v>
      </c>
      <c r="G10097" t="s">
        <v>66</v>
      </c>
      <c r="H10097" t="s">
        <v>67</v>
      </c>
      <c r="S10097">
        <v>0</v>
      </c>
      <c r="T10097">
        <v>1</v>
      </c>
      <c r="U10097">
        <v>0</v>
      </c>
      <c r="V10097">
        <v>0</v>
      </c>
      <c r="W10097">
        <v>1</v>
      </c>
      <c r="X10097">
        <v>0</v>
      </c>
      <c r="Y10097">
        <v>1</v>
      </c>
      <c r="Z10097">
        <v>0</v>
      </c>
      <c r="AA10097">
        <v>1</v>
      </c>
      <c r="AB10097">
        <v>0</v>
      </c>
      <c r="AC10097">
        <v>0</v>
      </c>
      <c r="AD10097">
        <v>1</v>
      </c>
      <c r="AE10097">
        <v>1</v>
      </c>
      <c r="AF10097">
        <v>1</v>
      </c>
      <c r="AG10097">
        <v>1</v>
      </c>
      <c r="AH10097">
        <v>1</v>
      </c>
      <c r="AI10097">
        <v>1</v>
      </c>
      <c r="AJ10097">
        <v>1</v>
      </c>
      <c r="AK10097">
        <v>1</v>
      </c>
      <c r="AL10097">
        <v>1</v>
      </c>
      <c r="AM10097">
        <v>1</v>
      </c>
    </row>
    <row r="10098" spans="1:39" x14ac:dyDescent="0.2">
      <c r="A10098" t="str">
        <f>"10094"</f>
        <v>10094</v>
      </c>
      <c r="B10098" t="str">
        <f t="shared" si="559"/>
        <v>1</v>
      </c>
      <c r="C10098" t="str">
        <f t="shared" si="561"/>
        <v>202</v>
      </c>
      <c r="D10098" t="str">
        <f>"48"</f>
        <v>48</v>
      </c>
      <c r="E10098" t="str">
        <f>"1-202-48"</f>
        <v>1-202-48</v>
      </c>
      <c r="F10098" t="s">
        <v>65</v>
      </c>
      <c r="G10098" t="s">
        <v>66</v>
      </c>
      <c r="H10098" t="s">
        <v>67</v>
      </c>
      <c r="S10098">
        <v>1</v>
      </c>
      <c r="T10098">
        <v>0</v>
      </c>
      <c r="U10098">
        <v>0</v>
      </c>
      <c r="V10098">
        <v>0</v>
      </c>
      <c r="W10098">
        <v>1</v>
      </c>
      <c r="X10098">
        <v>0</v>
      </c>
      <c r="Y10098">
        <v>1</v>
      </c>
      <c r="Z10098">
        <v>0</v>
      </c>
      <c r="AA10098">
        <v>1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</row>
    <row r="10099" spans="1:39" x14ac:dyDescent="0.2">
      <c r="A10099" t="str">
        <f>"10095"</f>
        <v>10095</v>
      </c>
      <c r="B10099" t="str">
        <f t="shared" si="559"/>
        <v>1</v>
      </c>
      <c r="C10099" t="str">
        <f t="shared" si="561"/>
        <v>202</v>
      </c>
      <c r="D10099" t="str">
        <f>"31"</f>
        <v>31</v>
      </c>
      <c r="E10099" t="str">
        <f>"1-202-31"</f>
        <v>1-202-31</v>
      </c>
      <c r="F10099" t="s">
        <v>65</v>
      </c>
      <c r="G10099" t="s">
        <v>66</v>
      </c>
      <c r="H10099" t="s">
        <v>67</v>
      </c>
      <c r="S10099">
        <v>0</v>
      </c>
      <c r="T10099">
        <v>1</v>
      </c>
      <c r="U10099">
        <v>0</v>
      </c>
      <c r="V10099">
        <v>0</v>
      </c>
      <c r="W10099">
        <v>0</v>
      </c>
      <c r="X10099">
        <v>1</v>
      </c>
      <c r="Y10099">
        <v>0</v>
      </c>
      <c r="Z10099">
        <v>1</v>
      </c>
      <c r="AA10099">
        <v>0</v>
      </c>
      <c r="AB10099">
        <v>0</v>
      </c>
      <c r="AC10099">
        <v>1</v>
      </c>
      <c r="AD10099">
        <v>1</v>
      </c>
      <c r="AE10099">
        <v>1</v>
      </c>
      <c r="AF10099">
        <v>1</v>
      </c>
      <c r="AG10099">
        <v>1</v>
      </c>
      <c r="AH10099">
        <v>1</v>
      </c>
      <c r="AI10099">
        <v>1</v>
      </c>
      <c r="AJ10099">
        <v>1</v>
      </c>
      <c r="AK10099">
        <v>1</v>
      </c>
      <c r="AL10099">
        <v>1</v>
      </c>
      <c r="AM10099">
        <v>1</v>
      </c>
    </row>
    <row r="10100" spans="1:39" x14ac:dyDescent="0.2">
      <c r="A10100" t="str">
        <f>"10096"</f>
        <v>10096</v>
      </c>
      <c r="B10100" t="str">
        <f t="shared" si="559"/>
        <v>1</v>
      </c>
      <c r="C10100" t="str">
        <f t="shared" si="561"/>
        <v>202</v>
      </c>
      <c r="D10100" t="str">
        <f>"13"</f>
        <v>13</v>
      </c>
      <c r="E10100" t="str">
        <f>"1-202-13"</f>
        <v>1-202-13</v>
      </c>
      <c r="F10100" t="s">
        <v>65</v>
      </c>
      <c r="G10100" t="s">
        <v>66</v>
      </c>
      <c r="H10100" t="s">
        <v>67</v>
      </c>
      <c r="S10100">
        <v>1</v>
      </c>
      <c r="T10100">
        <v>0</v>
      </c>
      <c r="U10100">
        <v>0</v>
      </c>
      <c r="V10100">
        <v>0</v>
      </c>
      <c r="W10100">
        <v>1</v>
      </c>
      <c r="X10100">
        <v>0</v>
      </c>
      <c r="Y10100">
        <v>1</v>
      </c>
      <c r="Z10100">
        <v>0</v>
      </c>
      <c r="AA10100">
        <v>0</v>
      </c>
      <c r="AB10100">
        <v>1</v>
      </c>
      <c r="AC10100">
        <v>0</v>
      </c>
      <c r="AD10100">
        <v>1</v>
      </c>
      <c r="AE10100">
        <v>1</v>
      </c>
      <c r="AF10100">
        <v>1</v>
      </c>
      <c r="AG10100">
        <v>1</v>
      </c>
      <c r="AH10100">
        <v>1</v>
      </c>
      <c r="AI10100">
        <v>1</v>
      </c>
      <c r="AJ10100">
        <v>1</v>
      </c>
      <c r="AK10100">
        <v>1</v>
      </c>
      <c r="AL10100">
        <v>1</v>
      </c>
      <c r="AM10100">
        <v>1</v>
      </c>
    </row>
    <row r="10101" spans="1:39" x14ac:dyDescent="0.2">
      <c r="A10101" t="str">
        <f>"10097"</f>
        <v>10097</v>
      </c>
      <c r="B10101" t="str">
        <f t="shared" si="559"/>
        <v>1</v>
      </c>
      <c r="C10101" t="str">
        <f t="shared" si="561"/>
        <v>202</v>
      </c>
      <c r="D10101" t="str">
        <f>"47"</f>
        <v>47</v>
      </c>
      <c r="E10101" t="str">
        <f>"1-202-47"</f>
        <v>1-202-47</v>
      </c>
      <c r="F10101" t="s">
        <v>65</v>
      </c>
      <c r="G10101" t="s">
        <v>66</v>
      </c>
      <c r="H10101" t="s">
        <v>67</v>
      </c>
      <c r="S10101">
        <v>0</v>
      </c>
      <c r="T10101">
        <v>1</v>
      </c>
      <c r="U10101">
        <v>0</v>
      </c>
      <c r="V10101">
        <v>0</v>
      </c>
      <c r="W10101">
        <v>1</v>
      </c>
      <c r="X10101">
        <v>0</v>
      </c>
      <c r="Y10101">
        <v>0</v>
      </c>
      <c r="Z10101">
        <v>1</v>
      </c>
      <c r="AA10101">
        <v>1</v>
      </c>
      <c r="AB10101">
        <v>0</v>
      </c>
      <c r="AC10101">
        <v>0</v>
      </c>
      <c r="AD10101">
        <v>1</v>
      </c>
      <c r="AE10101">
        <v>1</v>
      </c>
      <c r="AF10101">
        <v>1</v>
      </c>
      <c r="AG10101">
        <v>1</v>
      </c>
      <c r="AH10101">
        <v>1</v>
      </c>
      <c r="AI10101">
        <v>1</v>
      </c>
      <c r="AJ10101">
        <v>1</v>
      </c>
      <c r="AK10101">
        <v>1</v>
      </c>
      <c r="AL10101">
        <v>1</v>
      </c>
      <c r="AM10101">
        <v>1</v>
      </c>
    </row>
    <row r="10102" spans="1:39" x14ac:dyDescent="0.2">
      <c r="A10102" t="str">
        <f>"10098"</f>
        <v>10098</v>
      </c>
      <c r="B10102" t="str">
        <f t="shared" si="559"/>
        <v>1</v>
      </c>
      <c r="C10102" t="str">
        <f t="shared" si="561"/>
        <v>202</v>
      </c>
      <c r="D10102" t="str">
        <f>"32"</f>
        <v>32</v>
      </c>
      <c r="E10102" t="str">
        <f>"1-202-32"</f>
        <v>1-202-32</v>
      </c>
      <c r="F10102" t="s">
        <v>65</v>
      </c>
      <c r="G10102" t="s">
        <v>66</v>
      </c>
      <c r="H10102" t="s">
        <v>67</v>
      </c>
      <c r="S10102">
        <v>1</v>
      </c>
      <c r="T10102">
        <v>0</v>
      </c>
      <c r="U10102">
        <v>0</v>
      </c>
      <c r="V10102">
        <v>0</v>
      </c>
      <c r="W10102">
        <v>1</v>
      </c>
      <c r="X10102">
        <v>0</v>
      </c>
      <c r="Y10102">
        <v>1</v>
      </c>
      <c r="Z10102">
        <v>0</v>
      </c>
      <c r="AA10102">
        <v>1</v>
      </c>
      <c r="AB10102">
        <v>0</v>
      </c>
      <c r="AC10102">
        <v>0</v>
      </c>
      <c r="AD10102">
        <v>1</v>
      </c>
      <c r="AE10102">
        <v>1</v>
      </c>
      <c r="AF10102">
        <v>1</v>
      </c>
      <c r="AG10102">
        <v>1</v>
      </c>
      <c r="AH10102">
        <v>1</v>
      </c>
      <c r="AI10102">
        <v>1</v>
      </c>
      <c r="AJ10102">
        <v>1</v>
      </c>
      <c r="AK10102">
        <v>1</v>
      </c>
      <c r="AL10102">
        <v>1</v>
      </c>
      <c r="AM10102">
        <v>1</v>
      </c>
    </row>
    <row r="10103" spans="1:39" x14ac:dyDescent="0.2">
      <c r="A10103" t="str">
        <f>"10099"</f>
        <v>10099</v>
      </c>
      <c r="B10103" t="str">
        <f t="shared" ref="B10103:B10166" si="562">"1"</f>
        <v>1</v>
      </c>
      <c r="C10103" t="str">
        <f t="shared" si="561"/>
        <v>202</v>
      </c>
      <c r="D10103" t="str">
        <f>"10"</f>
        <v>10</v>
      </c>
      <c r="E10103" t="str">
        <f>"1-202-10"</f>
        <v>1-202-10</v>
      </c>
      <c r="F10103" t="s">
        <v>65</v>
      </c>
      <c r="G10103" t="s">
        <v>66</v>
      </c>
      <c r="H10103" t="s">
        <v>67</v>
      </c>
      <c r="S10103">
        <v>1</v>
      </c>
      <c r="T10103">
        <v>0</v>
      </c>
      <c r="U10103">
        <v>0</v>
      </c>
      <c r="V10103">
        <v>0</v>
      </c>
      <c r="W10103">
        <v>1</v>
      </c>
      <c r="X10103">
        <v>0</v>
      </c>
      <c r="Y10103">
        <v>1</v>
      </c>
      <c r="Z10103">
        <v>0</v>
      </c>
      <c r="AA10103">
        <v>0</v>
      </c>
      <c r="AB10103">
        <v>0</v>
      </c>
      <c r="AC10103">
        <v>1</v>
      </c>
      <c r="AD10103">
        <v>1</v>
      </c>
      <c r="AE10103">
        <v>1</v>
      </c>
      <c r="AF10103">
        <v>0</v>
      </c>
      <c r="AG10103">
        <v>1</v>
      </c>
      <c r="AH10103">
        <v>1</v>
      </c>
      <c r="AI10103">
        <v>1</v>
      </c>
      <c r="AJ10103">
        <v>1</v>
      </c>
      <c r="AK10103">
        <v>1</v>
      </c>
      <c r="AL10103">
        <v>1</v>
      </c>
      <c r="AM10103">
        <v>1</v>
      </c>
    </row>
    <row r="10104" spans="1:39" x14ac:dyDescent="0.2">
      <c r="A10104" t="str">
        <f>"10100"</f>
        <v>10100</v>
      </c>
      <c r="B10104" t="str">
        <f t="shared" si="562"/>
        <v>1</v>
      </c>
      <c r="C10104" t="str">
        <f t="shared" si="561"/>
        <v>202</v>
      </c>
      <c r="D10104" t="str">
        <f>"50"</f>
        <v>50</v>
      </c>
      <c r="E10104" t="str">
        <f>"1-202-50"</f>
        <v>1-202-50</v>
      </c>
      <c r="F10104" t="s">
        <v>65</v>
      </c>
      <c r="G10104" t="s">
        <v>66</v>
      </c>
      <c r="H10104" t="s">
        <v>67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1</v>
      </c>
      <c r="Y10104">
        <v>0</v>
      </c>
      <c r="Z10104">
        <v>1</v>
      </c>
      <c r="AA10104">
        <v>0</v>
      </c>
      <c r="AB10104">
        <v>0</v>
      </c>
      <c r="AC10104">
        <v>1</v>
      </c>
      <c r="AD10104">
        <v>1</v>
      </c>
      <c r="AE10104">
        <v>1</v>
      </c>
      <c r="AF10104">
        <v>1</v>
      </c>
      <c r="AG10104">
        <v>1</v>
      </c>
      <c r="AH10104">
        <v>1</v>
      </c>
      <c r="AI10104">
        <v>1</v>
      </c>
      <c r="AJ10104">
        <v>1</v>
      </c>
      <c r="AK10104">
        <v>1</v>
      </c>
      <c r="AL10104">
        <v>1</v>
      </c>
      <c r="AM10104">
        <v>1</v>
      </c>
    </row>
    <row r="10105" spans="1:39" x14ac:dyDescent="0.2">
      <c r="A10105" t="str">
        <f>"10101"</f>
        <v>10101</v>
      </c>
      <c r="B10105" t="str">
        <f t="shared" si="562"/>
        <v>1</v>
      </c>
      <c r="C10105" t="str">
        <f t="shared" ref="C10105:C10136" si="563">"203"</f>
        <v>203</v>
      </c>
      <c r="D10105" t="str">
        <f>"39"</f>
        <v>39</v>
      </c>
      <c r="E10105" t="str">
        <f>"1-203-39"</f>
        <v>1-203-39</v>
      </c>
      <c r="F10105" t="s">
        <v>65</v>
      </c>
      <c r="G10105" t="s">
        <v>66</v>
      </c>
      <c r="H10105" t="s">
        <v>67</v>
      </c>
      <c r="S10105">
        <v>1</v>
      </c>
      <c r="T10105">
        <v>0</v>
      </c>
      <c r="U10105">
        <v>0</v>
      </c>
      <c r="V10105">
        <v>0</v>
      </c>
      <c r="W10105">
        <v>1</v>
      </c>
      <c r="X10105">
        <v>0</v>
      </c>
      <c r="Y10105">
        <v>0</v>
      </c>
      <c r="Z10105">
        <v>1</v>
      </c>
      <c r="AA10105">
        <v>1</v>
      </c>
      <c r="AB10105">
        <v>0</v>
      </c>
      <c r="AC10105">
        <v>0</v>
      </c>
      <c r="AD10105">
        <v>1</v>
      </c>
      <c r="AE10105">
        <v>1</v>
      </c>
      <c r="AF10105">
        <v>1</v>
      </c>
      <c r="AG10105">
        <v>1</v>
      </c>
      <c r="AH10105">
        <v>1</v>
      </c>
      <c r="AI10105">
        <v>0</v>
      </c>
      <c r="AJ10105">
        <v>1</v>
      </c>
      <c r="AK10105">
        <v>1</v>
      </c>
      <c r="AL10105">
        <v>1</v>
      </c>
      <c r="AM10105">
        <v>1</v>
      </c>
    </row>
    <row r="10106" spans="1:39" x14ac:dyDescent="0.2">
      <c r="A10106" t="str">
        <f>"10102"</f>
        <v>10102</v>
      </c>
      <c r="B10106" t="str">
        <f t="shared" si="562"/>
        <v>1</v>
      </c>
      <c r="C10106" t="str">
        <f t="shared" si="563"/>
        <v>203</v>
      </c>
      <c r="D10106" t="str">
        <f>"38"</f>
        <v>38</v>
      </c>
      <c r="E10106" t="str">
        <f>"1-203-38"</f>
        <v>1-203-38</v>
      </c>
      <c r="F10106" t="s">
        <v>65</v>
      </c>
      <c r="G10106" t="s">
        <v>66</v>
      </c>
      <c r="H10106" t="s">
        <v>67</v>
      </c>
      <c r="S10106">
        <v>1</v>
      </c>
      <c r="T10106">
        <v>0</v>
      </c>
      <c r="U10106">
        <v>0</v>
      </c>
      <c r="V10106">
        <v>0</v>
      </c>
      <c r="W10106">
        <v>1</v>
      </c>
      <c r="X10106">
        <v>0</v>
      </c>
      <c r="Y10106">
        <v>1</v>
      </c>
      <c r="Z10106">
        <v>0</v>
      </c>
      <c r="AA10106">
        <v>1</v>
      </c>
      <c r="AB10106">
        <v>0</v>
      </c>
      <c r="AC10106">
        <v>0</v>
      </c>
      <c r="AD10106">
        <v>1</v>
      </c>
      <c r="AE10106">
        <v>1</v>
      </c>
      <c r="AF10106">
        <v>1</v>
      </c>
      <c r="AG10106">
        <v>1</v>
      </c>
      <c r="AH10106">
        <v>0</v>
      </c>
      <c r="AI10106">
        <v>1</v>
      </c>
      <c r="AJ10106">
        <v>1</v>
      </c>
      <c r="AK10106">
        <v>1</v>
      </c>
      <c r="AL10106">
        <v>1</v>
      </c>
      <c r="AM10106">
        <v>1</v>
      </c>
    </row>
    <row r="10107" spans="1:39" x14ac:dyDescent="0.2">
      <c r="A10107" t="str">
        <f>"10103"</f>
        <v>10103</v>
      </c>
      <c r="B10107" t="str">
        <f t="shared" si="562"/>
        <v>1</v>
      </c>
      <c r="C10107" t="str">
        <f t="shared" si="563"/>
        <v>203</v>
      </c>
      <c r="D10107" t="str">
        <f>"34"</f>
        <v>34</v>
      </c>
      <c r="E10107" t="str">
        <f>"1-203-34"</f>
        <v>1-203-34</v>
      </c>
      <c r="F10107" t="s">
        <v>65</v>
      </c>
      <c r="G10107" t="s">
        <v>66</v>
      </c>
      <c r="H10107" t="s">
        <v>67</v>
      </c>
      <c r="S10107">
        <v>1</v>
      </c>
      <c r="T10107">
        <v>0</v>
      </c>
      <c r="U10107">
        <v>0</v>
      </c>
      <c r="V10107">
        <v>0</v>
      </c>
      <c r="W10107">
        <v>1</v>
      </c>
      <c r="X10107">
        <v>0</v>
      </c>
      <c r="Y10107">
        <v>1</v>
      </c>
      <c r="Z10107">
        <v>0</v>
      </c>
      <c r="AA10107">
        <v>1</v>
      </c>
      <c r="AB10107">
        <v>0</v>
      </c>
      <c r="AC10107">
        <v>0</v>
      </c>
      <c r="AD10107">
        <v>1</v>
      </c>
      <c r="AE10107">
        <v>1</v>
      </c>
      <c r="AF10107">
        <v>0</v>
      </c>
      <c r="AG10107">
        <v>1</v>
      </c>
      <c r="AH10107">
        <v>1</v>
      </c>
      <c r="AI10107">
        <v>1</v>
      </c>
      <c r="AJ10107">
        <v>1</v>
      </c>
      <c r="AK10107">
        <v>1</v>
      </c>
      <c r="AL10107">
        <v>1</v>
      </c>
      <c r="AM10107">
        <v>1</v>
      </c>
    </row>
    <row r="10108" spans="1:39" x14ac:dyDescent="0.2">
      <c r="A10108" t="str">
        <f>"10104"</f>
        <v>10104</v>
      </c>
      <c r="B10108" t="str">
        <f t="shared" si="562"/>
        <v>1</v>
      </c>
      <c r="C10108" t="str">
        <f t="shared" si="563"/>
        <v>203</v>
      </c>
      <c r="D10108" t="str">
        <f>"33"</f>
        <v>33</v>
      </c>
      <c r="E10108" t="str">
        <f>"1-203-33"</f>
        <v>1-203-33</v>
      </c>
      <c r="F10108" t="s">
        <v>65</v>
      </c>
      <c r="G10108" t="s">
        <v>66</v>
      </c>
      <c r="H10108" t="s">
        <v>67</v>
      </c>
      <c r="S10108">
        <v>1</v>
      </c>
      <c r="T10108">
        <v>0</v>
      </c>
      <c r="U10108">
        <v>0</v>
      </c>
      <c r="V10108">
        <v>0</v>
      </c>
      <c r="W10108">
        <v>1</v>
      </c>
      <c r="X10108">
        <v>0</v>
      </c>
      <c r="Y10108">
        <v>1</v>
      </c>
      <c r="Z10108">
        <v>0</v>
      </c>
      <c r="AA10108">
        <v>1</v>
      </c>
      <c r="AB10108">
        <v>0</v>
      </c>
      <c r="AC10108">
        <v>0</v>
      </c>
      <c r="AD10108">
        <v>1</v>
      </c>
      <c r="AE10108">
        <v>0</v>
      </c>
      <c r="AF10108">
        <v>1</v>
      </c>
      <c r="AG10108">
        <v>1</v>
      </c>
      <c r="AH10108">
        <v>1</v>
      </c>
      <c r="AI10108">
        <v>1</v>
      </c>
      <c r="AJ10108">
        <v>1</v>
      </c>
      <c r="AK10108">
        <v>1</v>
      </c>
      <c r="AL10108">
        <v>1</v>
      </c>
      <c r="AM10108">
        <v>1</v>
      </c>
    </row>
    <row r="10109" spans="1:39" x14ac:dyDescent="0.2">
      <c r="A10109" t="str">
        <f>"10105"</f>
        <v>10105</v>
      </c>
      <c r="B10109" t="str">
        <f t="shared" si="562"/>
        <v>1</v>
      </c>
      <c r="C10109" t="str">
        <f t="shared" si="563"/>
        <v>203</v>
      </c>
      <c r="D10109" t="str">
        <f>"19"</f>
        <v>19</v>
      </c>
      <c r="E10109" t="str">
        <f>"1-203-19"</f>
        <v>1-203-19</v>
      </c>
      <c r="F10109" t="s">
        <v>65</v>
      </c>
      <c r="G10109" t="s">
        <v>66</v>
      </c>
      <c r="H10109" t="s">
        <v>67</v>
      </c>
      <c r="S10109">
        <v>1</v>
      </c>
      <c r="T10109">
        <v>0</v>
      </c>
      <c r="U10109">
        <v>0</v>
      </c>
      <c r="V10109">
        <v>0</v>
      </c>
      <c r="W10109">
        <v>1</v>
      </c>
      <c r="X10109">
        <v>0</v>
      </c>
      <c r="Y10109">
        <v>1</v>
      </c>
      <c r="Z10109">
        <v>0</v>
      </c>
      <c r="AA10109">
        <v>1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</row>
    <row r="10110" spans="1:39" x14ac:dyDescent="0.2">
      <c r="A10110" t="str">
        <f>"10106"</f>
        <v>10106</v>
      </c>
      <c r="B10110" t="str">
        <f t="shared" si="562"/>
        <v>1</v>
      </c>
      <c r="C10110" t="str">
        <f t="shared" si="563"/>
        <v>203</v>
      </c>
      <c r="D10110" t="str">
        <f>"18"</f>
        <v>18</v>
      </c>
      <c r="E10110" t="str">
        <f>"1-203-18"</f>
        <v>1-203-18</v>
      </c>
      <c r="F10110" t="s">
        <v>65</v>
      </c>
      <c r="G10110" t="s">
        <v>66</v>
      </c>
      <c r="H10110" t="s">
        <v>67</v>
      </c>
      <c r="S10110">
        <v>0</v>
      </c>
      <c r="T10110">
        <v>1</v>
      </c>
      <c r="U10110">
        <v>0</v>
      </c>
      <c r="V10110">
        <v>0</v>
      </c>
      <c r="W10110">
        <v>0</v>
      </c>
      <c r="X10110">
        <v>1</v>
      </c>
      <c r="Y10110">
        <v>1</v>
      </c>
      <c r="Z10110">
        <v>0</v>
      </c>
      <c r="AA10110">
        <v>0</v>
      </c>
      <c r="AB10110">
        <v>1</v>
      </c>
      <c r="AC10110">
        <v>0</v>
      </c>
      <c r="AD10110">
        <v>1</v>
      </c>
      <c r="AE10110">
        <v>1</v>
      </c>
      <c r="AF10110">
        <v>1</v>
      </c>
      <c r="AG10110">
        <v>1</v>
      </c>
      <c r="AH10110">
        <v>1</v>
      </c>
      <c r="AI10110">
        <v>1</v>
      </c>
      <c r="AJ10110">
        <v>1</v>
      </c>
      <c r="AK10110">
        <v>1</v>
      </c>
      <c r="AL10110">
        <v>1</v>
      </c>
      <c r="AM10110">
        <v>1</v>
      </c>
    </row>
    <row r="10111" spans="1:39" x14ac:dyDescent="0.2">
      <c r="A10111" t="str">
        <f>"10107"</f>
        <v>10107</v>
      </c>
      <c r="B10111" t="str">
        <f t="shared" si="562"/>
        <v>1</v>
      </c>
      <c r="C10111" t="str">
        <f t="shared" si="563"/>
        <v>203</v>
      </c>
      <c r="D10111" t="str">
        <f>"17"</f>
        <v>17</v>
      </c>
      <c r="E10111" t="str">
        <f>"1-203-17"</f>
        <v>1-203-17</v>
      </c>
      <c r="F10111" t="s">
        <v>65</v>
      </c>
      <c r="G10111" t="s">
        <v>66</v>
      </c>
      <c r="H10111" t="s">
        <v>67</v>
      </c>
      <c r="S10111">
        <v>0</v>
      </c>
      <c r="T10111">
        <v>1</v>
      </c>
      <c r="U10111">
        <v>0</v>
      </c>
      <c r="V10111">
        <v>0</v>
      </c>
      <c r="W10111">
        <v>0</v>
      </c>
      <c r="X10111">
        <v>1</v>
      </c>
      <c r="Y10111">
        <v>1</v>
      </c>
      <c r="Z10111">
        <v>0</v>
      </c>
      <c r="AA10111">
        <v>0</v>
      </c>
      <c r="AB10111">
        <v>1</v>
      </c>
      <c r="AC10111">
        <v>0</v>
      </c>
      <c r="AD10111">
        <v>1</v>
      </c>
      <c r="AE10111">
        <v>1</v>
      </c>
      <c r="AF10111">
        <v>1</v>
      </c>
      <c r="AG10111">
        <v>1</v>
      </c>
      <c r="AH10111">
        <v>1</v>
      </c>
      <c r="AI10111">
        <v>1</v>
      </c>
      <c r="AJ10111">
        <v>1</v>
      </c>
      <c r="AK10111">
        <v>1</v>
      </c>
      <c r="AL10111">
        <v>1</v>
      </c>
      <c r="AM10111">
        <v>1</v>
      </c>
    </row>
    <row r="10112" spans="1:39" x14ac:dyDescent="0.2">
      <c r="A10112" t="str">
        <f>"10108"</f>
        <v>10108</v>
      </c>
      <c r="B10112" t="str">
        <f t="shared" si="562"/>
        <v>1</v>
      </c>
      <c r="C10112" t="str">
        <f t="shared" si="563"/>
        <v>203</v>
      </c>
      <c r="D10112" t="str">
        <f>"15"</f>
        <v>15</v>
      </c>
      <c r="E10112" t="str">
        <f>"1-203-15"</f>
        <v>1-203-15</v>
      </c>
      <c r="F10112" t="s">
        <v>65</v>
      </c>
      <c r="G10112" t="s">
        <v>66</v>
      </c>
      <c r="H10112" t="s">
        <v>67</v>
      </c>
      <c r="S10112">
        <v>1</v>
      </c>
      <c r="T10112">
        <v>0</v>
      </c>
      <c r="U10112">
        <v>0</v>
      </c>
      <c r="V10112">
        <v>0</v>
      </c>
      <c r="W10112">
        <v>1</v>
      </c>
      <c r="X10112">
        <v>0</v>
      </c>
      <c r="Y10112">
        <v>1</v>
      </c>
      <c r="Z10112">
        <v>0</v>
      </c>
      <c r="AA10112">
        <v>1</v>
      </c>
      <c r="AB10112">
        <v>0</v>
      </c>
      <c r="AC10112">
        <v>0</v>
      </c>
      <c r="AD10112">
        <v>1</v>
      </c>
      <c r="AE10112">
        <v>1</v>
      </c>
      <c r="AF10112">
        <v>1</v>
      </c>
      <c r="AG10112">
        <v>1</v>
      </c>
      <c r="AH10112">
        <v>1</v>
      </c>
      <c r="AI10112">
        <v>1</v>
      </c>
      <c r="AJ10112">
        <v>1</v>
      </c>
      <c r="AK10112">
        <v>1</v>
      </c>
      <c r="AL10112">
        <v>1</v>
      </c>
      <c r="AM10112">
        <v>1</v>
      </c>
    </row>
    <row r="10113" spans="1:39" x14ac:dyDescent="0.2">
      <c r="A10113" t="str">
        <f>"10109"</f>
        <v>10109</v>
      </c>
      <c r="B10113" t="str">
        <f t="shared" si="562"/>
        <v>1</v>
      </c>
      <c r="C10113" t="str">
        <f t="shared" si="563"/>
        <v>203</v>
      </c>
      <c r="D10113" t="str">
        <f>"1"</f>
        <v>1</v>
      </c>
      <c r="E10113" t="str">
        <f>"1-203-1"</f>
        <v>1-203-1</v>
      </c>
      <c r="F10113" t="s">
        <v>65</v>
      </c>
      <c r="G10113" t="s">
        <v>66</v>
      </c>
      <c r="H10113" t="s">
        <v>67</v>
      </c>
      <c r="S10113">
        <v>1</v>
      </c>
      <c r="T10113">
        <v>0</v>
      </c>
      <c r="U10113">
        <v>0</v>
      </c>
      <c r="V10113">
        <v>0</v>
      </c>
      <c r="W10113">
        <v>0</v>
      </c>
      <c r="X10113">
        <v>1</v>
      </c>
      <c r="Y10113">
        <v>1</v>
      </c>
      <c r="Z10113">
        <v>0</v>
      </c>
      <c r="AA10113">
        <v>0</v>
      </c>
      <c r="AB10113">
        <v>1</v>
      </c>
      <c r="AC10113">
        <v>0</v>
      </c>
      <c r="AD10113">
        <v>1</v>
      </c>
      <c r="AE10113">
        <v>1</v>
      </c>
      <c r="AF10113">
        <v>1</v>
      </c>
      <c r="AG10113">
        <v>1</v>
      </c>
      <c r="AH10113">
        <v>1</v>
      </c>
      <c r="AI10113">
        <v>1</v>
      </c>
      <c r="AJ10113">
        <v>1</v>
      </c>
      <c r="AK10113">
        <v>1</v>
      </c>
      <c r="AL10113">
        <v>1</v>
      </c>
      <c r="AM10113">
        <v>1</v>
      </c>
    </row>
    <row r="10114" spans="1:39" x14ac:dyDescent="0.2">
      <c r="A10114" t="str">
        <f>"10110"</f>
        <v>10110</v>
      </c>
      <c r="B10114" t="str">
        <f t="shared" si="562"/>
        <v>1</v>
      </c>
      <c r="C10114" t="str">
        <f t="shared" si="563"/>
        <v>203</v>
      </c>
      <c r="D10114" t="str">
        <f>"36"</f>
        <v>36</v>
      </c>
      <c r="E10114" t="str">
        <f>"1-203-36"</f>
        <v>1-203-36</v>
      </c>
      <c r="F10114" t="s">
        <v>65</v>
      </c>
      <c r="G10114" t="s">
        <v>66</v>
      </c>
      <c r="H10114" t="s">
        <v>67</v>
      </c>
      <c r="S10114">
        <v>1</v>
      </c>
      <c r="T10114">
        <v>0</v>
      </c>
      <c r="U10114">
        <v>0</v>
      </c>
      <c r="V10114">
        <v>0</v>
      </c>
      <c r="W10114">
        <v>0</v>
      </c>
      <c r="X10114">
        <v>1</v>
      </c>
      <c r="Y10114">
        <v>1</v>
      </c>
      <c r="Z10114">
        <v>0</v>
      </c>
      <c r="AA10114">
        <v>0</v>
      </c>
      <c r="AB10114">
        <v>0</v>
      </c>
      <c r="AC10114">
        <v>1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</row>
    <row r="10115" spans="1:39" x14ac:dyDescent="0.2">
      <c r="A10115" t="str">
        <f>"10111"</f>
        <v>10111</v>
      </c>
      <c r="B10115" t="str">
        <f t="shared" si="562"/>
        <v>1</v>
      </c>
      <c r="C10115" t="str">
        <f t="shared" si="563"/>
        <v>203</v>
      </c>
      <c r="D10115" t="str">
        <f>"35"</f>
        <v>35</v>
      </c>
      <c r="E10115" t="str">
        <f>"1-203-35"</f>
        <v>1-203-35</v>
      </c>
      <c r="F10115" t="s">
        <v>65</v>
      </c>
      <c r="G10115" t="s">
        <v>66</v>
      </c>
      <c r="H10115" t="s">
        <v>67</v>
      </c>
      <c r="S10115">
        <v>1</v>
      </c>
      <c r="T10115">
        <v>0</v>
      </c>
      <c r="U10115">
        <v>0</v>
      </c>
      <c r="V10115">
        <v>0</v>
      </c>
      <c r="W10115">
        <v>1</v>
      </c>
      <c r="X10115">
        <v>0</v>
      </c>
      <c r="Y10115">
        <v>0</v>
      </c>
      <c r="Z10115">
        <v>1</v>
      </c>
      <c r="AA10115">
        <v>1</v>
      </c>
      <c r="AB10115">
        <v>0</v>
      </c>
      <c r="AC10115">
        <v>0</v>
      </c>
      <c r="AD10115">
        <v>1</v>
      </c>
      <c r="AE10115">
        <v>1</v>
      </c>
      <c r="AF10115">
        <v>1</v>
      </c>
      <c r="AG10115">
        <v>1</v>
      </c>
      <c r="AH10115">
        <v>0</v>
      </c>
      <c r="AI10115">
        <v>0</v>
      </c>
      <c r="AJ10115">
        <v>1</v>
      </c>
      <c r="AK10115">
        <v>1</v>
      </c>
      <c r="AL10115">
        <v>1</v>
      </c>
      <c r="AM10115">
        <v>0</v>
      </c>
    </row>
    <row r="10116" spans="1:39" x14ac:dyDescent="0.2">
      <c r="A10116" t="str">
        <f>"10112"</f>
        <v>10112</v>
      </c>
      <c r="B10116" t="str">
        <f t="shared" si="562"/>
        <v>1</v>
      </c>
      <c r="C10116" t="str">
        <f t="shared" si="563"/>
        <v>203</v>
      </c>
      <c r="D10116" t="str">
        <f>"29"</f>
        <v>29</v>
      </c>
      <c r="E10116" t="str">
        <f>"1-203-29"</f>
        <v>1-203-29</v>
      </c>
      <c r="F10116" t="s">
        <v>65</v>
      </c>
      <c r="G10116" t="s">
        <v>66</v>
      </c>
      <c r="H10116" t="s">
        <v>67</v>
      </c>
      <c r="S10116">
        <v>1</v>
      </c>
      <c r="T10116">
        <v>0</v>
      </c>
      <c r="U10116">
        <v>0</v>
      </c>
      <c r="V10116">
        <v>0</v>
      </c>
      <c r="W10116">
        <v>1</v>
      </c>
      <c r="X10116">
        <v>0</v>
      </c>
      <c r="Y10116">
        <v>1</v>
      </c>
      <c r="Z10116">
        <v>0</v>
      </c>
      <c r="AA10116">
        <v>1</v>
      </c>
      <c r="AB10116">
        <v>0</v>
      </c>
      <c r="AC10116">
        <v>0</v>
      </c>
      <c r="AD10116">
        <v>1</v>
      </c>
      <c r="AE10116">
        <v>1</v>
      </c>
      <c r="AF10116">
        <v>1</v>
      </c>
      <c r="AG10116">
        <v>1</v>
      </c>
      <c r="AH10116">
        <v>1</v>
      </c>
      <c r="AI10116">
        <v>1</v>
      </c>
      <c r="AJ10116">
        <v>1</v>
      </c>
      <c r="AK10116">
        <v>1</v>
      </c>
      <c r="AL10116">
        <v>1</v>
      </c>
      <c r="AM10116">
        <v>1</v>
      </c>
    </row>
    <row r="10117" spans="1:39" x14ac:dyDescent="0.2">
      <c r="A10117" t="str">
        <f>"10113"</f>
        <v>10113</v>
      </c>
      <c r="B10117" t="str">
        <f t="shared" si="562"/>
        <v>1</v>
      </c>
      <c r="C10117" t="str">
        <f t="shared" si="563"/>
        <v>203</v>
      </c>
      <c r="D10117" t="str">
        <f>"16"</f>
        <v>16</v>
      </c>
      <c r="E10117" t="str">
        <f>"1-203-16"</f>
        <v>1-203-16</v>
      </c>
      <c r="F10117" t="s">
        <v>65</v>
      </c>
      <c r="G10117" t="s">
        <v>66</v>
      </c>
      <c r="H10117" t="s">
        <v>67</v>
      </c>
      <c r="S10117">
        <v>1</v>
      </c>
      <c r="T10117">
        <v>0</v>
      </c>
      <c r="U10117">
        <v>0</v>
      </c>
      <c r="V10117">
        <v>0</v>
      </c>
      <c r="W10117">
        <v>1</v>
      </c>
      <c r="X10117">
        <v>0</v>
      </c>
      <c r="Y10117">
        <v>1</v>
      </c>
      <c r="Z10117">
        <v>0</v>
      </c>
      <c r="AA10117">
        <v>1</v>
      </c>
      <c r="AB10117">
        <v>0</v>
      </c>
      <c r="AC10117">
        <v>0</v>
      </c>
      <c r="AD10117">
        <v>1</v>
      </c>
      <c r="AE10117">
        <v>1</v>
      </c>
      <c r="AF10117">
        <v>1</v>
      </c>
      <c r="AG10117">
        <v>1</v>
      </c>
      <c r="AH10117">
        <v>1</v>
      </c>
      <c r="AI10117">
        <v>1</v>
      </c>
      <c r="AJ10117">
        <v>1</v>
      </c>
      <c r="AK10117">
        <v>1</v>
      </c>
      <c r="AL10117">
        <v>1</v>
      </c>
      <c r="AM10117">
        <v>1</v>
      </c>
    </row>
    <row r="10118" spans="1:39" x14ac:dyDescent="0.2">
      <c r="A10118" t="str">
        <f>"10114"</f>
        <v>10114</v>
      </c>
      <c r="B10118" t="str">
        <f t="shared" si="562"/>
        <v>1</v>
      </c>
      <c r="C10118" t="str">
        <f t="shared" si="563"/>
        <v>203</v>
      </c>
      <c r="D10118" t="str">
        <f>"3"</f>
        <v>3</v>
      </c>
      <c r="E10118" t="str">
        <f>"1-203-3"</f>
        <v>1-203-3</v>
      </c>
      <c r="F10118" t="s">
        <v>65</v>
      </c>
      <c r="G10118" t="s">
        <v>66</v>
      </c>
      <c r="H10118" t="s">
        <v>67</v>
      </c>
      <c r="S10118">
        <v>1</v>
      </c>
      <c r="T10118">
        <v>0</v>
      </c>
      <c r="U10118">
        <v>0</v>
      </c>
      <c r="V10118">
        <v>0</v>
      </c>
      <c r="W10118">
        <v>1</v>
      </c>
      <c r="X10118">
        <v>0</v>
      </c>
      <c r="Y10118">
        <v>1</v>
      </c>
      <c r="Z10118">
        <v>0</v>
      </c>
      <c r="AA10118">
        <v>1</v>
      </c>
      <c r="AB10118">
        <v>0</v>
      </c>
      <c r="AC10118">
        <v>0</v>
      </c>
      <c r="AD10118">
        <v>1</v>
      </c>
      <c r="AE10118">
        <v>1</v>
      </c>
      <c r="AF10118">
        <v>1</v>
      </c>
      <c r="AG10118">
        <v>1</v>
      </c>
      <c r="AH10118">
        <v>1</v>
      </c>
      <c r="AI10118">
        <v>1</v>
      </c>
      <c r="AJ10118">
        <v>1</v>
      </c>
      <c r="AK10118">
        <v>1</v>
      </c>
      <c r="AL10118">
        <v>1</v>
      </c>
      <c r="AM10118">
        <v>1</v>
      </c>
    </row>
    <row r="10119" spans="1:39" x14ac:dyDescent="0.2">
      <c r="A10119" t="str">
        <f>"10115"</f>
        <v>10115</v>
      </c>
      <c r="B10119" t="str">
        <f t="shared" si="562"/>
        <v>1</v>
      </c>
      <c r="C10119" t="str">
        <f t="shared" si="563"/>
        <v>203</v>
      </c>
      <c r="D10119" t="str">
        <f>"37"</f>
        <v>37</v>
      </c>
      <c r="E10119" t="str">
        <f>"1-203-37"</f>
        <v>1-203-37</v>
      </c>
      <c r="F10119" t="s">
        <v>65</v>
      </c>
      <c r="G10119" t="s">
        <v>66</v>
      </c>
      <c r="H10119" t="s">
        <v>67</v>
      </c>
      <c r="S10119">
        <v>1</v>
      </c>
      <c r="T10119">
        <v>0</v>
      </c>
      <c r="U10119">
        <v>0</v>
      </c>
      <c r="V10119">
        <v>0</v>
      </c>
      <c r="W10119">
        <v>1</v>
      </c>
      <c r="X10119">
        <v>0</v>
      </c>
      <c r="Y10119">
        <v>0</v>
      </c>
      <c r="Z10119">
        <v>1</v>
      </c>
      <c r="AA10119">
        <v>0</v>
      </c>
      <c r="AB10119">
        <v>0</v>
      </c>
      <c r="AC10119">
        <v>1</v>
      </c>
      <c r="AD10119">
        <v>1</v>
      </c>
      <c r="AE10119">
        <v>1</v>
      </c>
      <c r="AF10119">
        <v>1</v>
      </c>
      <c r="AG10119">
        <v>1</v>
      </c>
      <c r="AH10119">
        <v>1</v>
      </c>
      <c r="AI10119">
        <v>1</v>
      </c>
      <c r="AJ10119">
        <v>1</v>
      </c>
      <c r="AK10119">
        <v>1</v>
      </c>
      <c r="AL10119">
        <v>1</v>
      </c>
      <c r="AM10119">
        <v>1</v>
      </c>
    </row>
    <row r="10120" spans="1:39" x14ac:dyDescent="0.2">
      <c r="A10120" t="str">
        <f>"10116"</f>
        <v>10116</v>
      </c>
      <c r="B10120" t="str">
        <f t="shared" si="562"/>
        <v>1</v>
      </c>
      <c r="C10120" t="str">
        <f t="shared" si="563"/>
        <v>203</v>
      </c>
      <c r="D10120" t="str">
        <f>"20"</f>
        <v>20</v>
      </c>
      <c r="E10120" t="str">
        <f>"1-203-20"</f>
        <v>1-203-20</v>
      </c>
      <c r="F10120" t="s">
        <v>65</v>
      </c>
      <c r="G10120" t="s">
        <v>66</v>
      </c>
      <c r="H10120" t="s">
        <v>67</v>
      </c>
      <c r="S10120">
        <v>1</v>
      </c>
      <c r="T10120">
        <v>0</v>
      </c>
      <c r="U10120">
        <v>0</v>
      </c>
      <c r="V10120">
        <v>0</v>
      </c>
      <c r="W10120">
        <v>1</v>
      </c>
      <c r="X10120">
        <v>0</v>
      </c>
      <c r="Y10120">
        <v>1</v>
      </c>
      <c r="Z10120">
        <v>0</v>
      </c>
      <c r="AA10120">
        <v>1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</row>
    <row r="10121" spans="1:39" x14ac:dyDescent="0.2">
      <c r="A10121" t="str">
        <f>"10117"</f>
        <v>10117</v>
      </c>
      <c r="B10121" t="str">
        <f t="shared" si="562"/>
        <v>1</v>
      </c>
      <c r="C10121" t="str">
        <f t="shared" si="563"/>
        <v>203</v>
      </c>
      <c r="D10121" t="str">
        <f>"6"</f>
        <v>6</v>
      </c>
      <c r="E10121" t="str">
        <f>"1-203-6"</f>
        <v>1-203-6</v>
      </c>
      <c r="F10121" t="s">
        <v>65</v>
      </c>
      <c r="G10121" t="s">
        <v>66</v>
      </c>
      <c r="H10121" t="s">
        <v>67</v>
      </c>
      <c r="S10121">
        <v>0</v>
      </c>
      <c r="T10121">
        <v>1</v>
      </c>
      <c r="U10121">
        <v>0</v>
      </c>
      <c r="V10121">
        <v>0</v>
      </c>
      <c r="W10121">
        <v>1</v>
      </c>
      <c r="X10121">
        <v>0</v>
      </c>
      <c r="Y10121">
        <v>1</v>
      </c>
      <c r="Z10121">
        <v>0</v>
      </c>
      <c r="AA10121">
        <v>0</v>
      </c>
      <c r="AB10121">
        <v>1</v>
      </c>
      <c r="AC10121">
        <v>0</v>
      </c>
      <c r="AD10121">
        <v>1</v>
      </c>
      <c r="AE10121">
        <v>1</v>
      </c>
      <c r="AF10121">
        <v>1</v>
      </c>
      <c r="AG10121">
        <v>1</v>
      </c>
      <c r="AH10121">
        <v>1</v>
      </c>
      <c r="AI10121">
        <v>1</v>
      </c>
      <c r="AJ10121">
        <v>1</v>
      </c>
      <c r="AK10121">
        <v>1</v>
      </c>
      <c r="AL10121">
        <v>1</v>
      </c>
      <c r="AM10121">
        <v>1</v>
      </c>
    </row>
    <row r="10122" spans="1:39" x14ac:dyDescent="0.2">
      <c r="A10122" t="str">
        <f>"10118"</f>
        <v>10118</v>
      </c>
      <c r="B10122" t="str">
        <f t="shared" si="562"/>
        <v>1</v>
      </c>
      <c r="C10122" t="str">
        <f t="shared" si="563"/>
        <v>203</v>
      </c>
      <c r="D10122" t="str">
        <f>"40"</f>
        <v>40</v>
      </c>
      <c r="E10122" t="str">
        <f>"1-203-40"</f>
        <v>1-203-40</v>
      </c>
      <c r="F10122" t="s">
        <v>65</v>
      </c>
      <c r="G10122" t="s">
        <v>66</v>
      </c>
      <c r="H10122" t="s">
        <v>67</v>
      </c>
      <c r="S10122">
        <v>1</v>
      </c>
      <c r="T10122">
        <v>0</v>
      </c>
      <c r="U10122">
        <v>0</v>
      </c>
      <c r="V10122">
        <v>0</v>
      </c>
      <c r="W10122">
        <v>1</v>
      </c>
      <c r="X10122">
        <v>0</v>
      </c>
      <c r="Y10122">
        <v>1</v>
      </c>
      <c r="Z10122">
        <v>0</v>
      </c>
      <c r="AA10122">
        <v>0</v>
      </c>
      <c r="AB10122">
        <v>1</v>
      </c>
      <c r="AC10122">
        <v>0</v>
      </c>
      <c r="AD10122">
        <v>1</v>
      </c>
      <c r="AE10122">
        <v>1</v>
      </c>
      <c r="AF10122">
        <v>1</v>
      </c>
      <c r="AG10122">
        <v>1</v>
      </c>
      <c r="AH10122">
        <v>1</v>
      </c>
      <c r="AI10122">
        <v>1</v>
      </c>
      <c r="AJ10122">
        <v>1</v>
      </c>
      <c r="AK10122">
        <v>1</v>
      </c>
      <c r="AL10122">
        <v>1</v>
      </c>
      <c r="AM10122">
        <v>1</v>
      </c>
    </row>
    <row r="10123" spans="1:39" x14ac:dyDescent="0.2">
      <c r="A10123" t="str">
        <f>"10119"</f>
        <v>10119</v>
      </c>
      <c r="B10123" t="str">
        <f t="shared" si="562"/>
        <v>1</v>
      </c>
      <c r="C10123" t="str">
        <f t="shared" si="563"/>
        <v>203</v>
      </c>
      <c r="D10123" t="str">
        <f>"21"</f>
        <v>21</v>
      </c>
      <c r="E10123" t="str">
        <f>"1-203-21"</f>
        <v>1-203-21</v>
      </c>
      <c r="F10123" t="s">
        <v>65</v>
      </c>
      <c r="G10123" t="s">
        <v>66</v>
      </c>
      <c r="H10123" t="s">
        <v>67</v>
      </c>
      <c r="S10123">
        <v>1</v>
      </c>
      <c r="T10123">
        <v>0</v>
      </c>
      <c r="U10123">
        <v>0</v>
      </c>
      <c r="V10123">
        <v>0</v>
      </c>
      <c r="W10123">
        <v>1</v>
      </c>
      <c r="X10123">
        <v>0</v>
      </c>
      <c r="Y10123">
        <v>1</v>
      </c>
      <c r="Z10123">
        <v>0</v>
      </c>
      <c r="AA10123">
        <v>0</v>
      </c>
      <c r="AB10123">
        <v>0</v>
      </c>
      <c r="AC10123">
        <v>1</v>
      </c>
      <c r="AD10123">
        <v>0</v>
      </c>
      <c r="AE10123">
        <v>1</v>
      </c>
      <c r="AF10123">
        <v>0</v>
      </c>
      <c r="AG10123">
        <v>1</v>
      </c>
      <c r="AH10123">
        <v>0</v>
      </c>
      <c r="AI10123">
        <v>1</v>
      </c>
      <c r="AJ10123">
        <v>1</v>
      </c>
      <c r="AK10123">
        <v>1</v>
      </c>
      <c r="AL10123">
        <v>1</v>
      </c>
      <c r="AM10123">
        <v>0</v>
      </c>
    </row>
    <row r="10124" spans="1:39" x14ac:dyDescent="0.2">
      <c r="A10124" t="str">
        <f>"10120"</f>
        <v>10120</v>
      </c>
      <c r="B10124" t="str">
        <f t="shared" si="562"/>
        <v>1</v>
      </c>
      <c r="C10124" t="str">
        <f t="shared" si="563"/>
        <v>203</v>
      </c>
      <c r="D10124" t="str">
        <f>"14"</f>
        <v>14</v>
      </c>
      <c r="E10124" t="str">
        <f>"1-203-14"</f>
        <v>1-203-14</v>
      </c>
      <c r="F10124" t="s">
        <v>65</v>
      </c>
      <c r="G10124" t="s">
        <v>66</v>
      </c>
      <c r="H10124" t="s">
        <v>67</v>
      </c>
      <c r="S10124">
        <v>1</v>
      </c>
      <c r="T10124">
        <v>0</v>
      </c>
      <c r="U10124">
        <v>0</v>
      </c>
      <c r="V10124">
        <v>0</v>
      </c>
      <c r="W10124">
        <v>1</v>
      </c>
      <c r="X10124">
        <v>0</v>
      </c>
      <c r="Y10124">
        <v>1</v>
      </c>
      <c r="Z10124">
        <v>0</v>
      </c>
      <c r="AA10124">
        <v>1</v>
      </c>
      <c r="AB10124">
        <v>0</v>
      </c>
      <c r="AC10124">
        <v>0</v>
      </c>
      <c r="AD10124">
        <v>1</v>
      </c>
      <c r="AE10124">
        <v>1</v>
      </c>
      <c r="AF10124">
        <v>1</v>
      </c>
      <c r="AG10124">
        <v>1</v>
      </c>
      <c r="AH10124">
        <v>1</v>
      </c>
      <c r="AI10124">
        <v>1</v>
      </c>
      <c r="AJ10124">
        <v>1</v>
      </c>
      <c r="AK10124">
        <v>1</v>
      </c>
      <c r="AL10124">
        <v>1</v>
      </c>
      <c r="AM10124">
        <v>1</v>
      </c>
    </row>
    <row r="10125" spans="1:39" x14ac:dyDescent="0.2">
      <c r="A10125" t="str">
        <f>"10121"</f>
        <v>10121</v>
      </c>
      <c r="B10125" t="str">
        <f t="shared" si="562"/>
        <v>1</v>
      </c>
      <c r="C10125" t="str">
        <f t="shared" si="563"/>
        <v>203</v>
      </c>
      <c r="D10125" t="str">
        <f>"41"</f>
        <v>41</v>
      </c>
      <c r="E10125" t="str">
        <f>"1-203-41"</f>
        <v>1-203-41</v>
      </c>
      <c r="F10125" t="s">
        <v>65</v>
      </c>
      <c r="G10125" t="s">
        <v>66</v>
      </c>
      <c r="H10125" t="s">
        <v>67</v>
      </c>
      <c r="S10125">
        <v>1</v>
      </c>
      <c r="T10125">
        <v>0</v>
      </c>
      <c r="U10125">
        <v>0</v>
      </c>
      <c r="V10125">
        <v>0</v>
      </c>
      <c r="W10125">
        <v>1</v>
      </c>
      <c r="X10125">
        <v>0</v>
      </c>
      <c r="Y10125">
        <v>1</v>
      </c>
      <c r="Z10125">
        <v>0</v>
      </c>
      <c r="AA10125">
        <v>1</v>
      </c>
      <c r="AB10125">
        <v>0</v>
      </c>
      <c r="AC10125">
        <v>0</v>
      </c>
      <c r="AD10125">
        <v>1</v>
      </c>
      <c r="AE10125">
        <v>1</v>
      </c>
      <c r="AF10125">
        <v>1</v>
      </c>
      <c r="AG10125">
        <v>1</v>
      </c>
      <c r="AH10125">
        <v>1</v>
      </c>
      <c r="AI10125">
        <v>1</v>
      </c>
      <c r="AJ10125">
        <v>1</v>
      </c>
      <c r="AK10125">
        <v>1</v>
      </c>
      <c r="AL10125">
        <v>1</v>
      </c>
      <c r="AM10125">
        <v>1</v>
      </c>
    </row>
    <row r="10126" spans="1:39" x14ac:dyDescent="0.2">
      <c r="A10126" t="str">
        <f>"10122"</f>
        <v>10122</v>
      </c>
      <c r="B10126" t="str">
        <f t="shared" si="562"/>
        <v>1</v>
      </c>
      <c r="C10126" t="str">
        <f t="shared" si="563"/>
        <v>203</v>
      </c>
      <c r="D10126" t="str">
        <f>"22"</f>
        <v>22</v>
      </c>
      <c r="E10126" t="str">
        <f>"1-203-22"</f>
        <v>1-203-22</v>
      </c>
      <c r="F10126" t="s">
        <v>65</v>
      </c>
      <c r="G10126" t="s">
        <v>66</v>
      </c>
      <c r="H10126" t="s">
        <v>67</v>
      </c>
      <c r="S10126">
        <v>1</v>
      </c>
      <c r="T10126">
        <v>0</v>
      </c>
      <c r="U10126">
        <v>0</v>
      </c>
      <c r="V10126">
        <v>0</v>
      </c>
      <c r="W10126">
        <v>1</v>
      </c>
      <c r="X10126">
        <v>0</v>
      </c>
      <c r="Y10126">
        <v>1</v>
      </c>
      <c r="Z10126">
        <v>0</v>
      </c>
      <c r="AA10126">
        <v>0</v>
      </c>
      <c r="AB10126">
        <v>1</v>
      </c>
      <c r="AC10126">
        <v>0</v>
      </c>
      <c r="AD10126">
        <v>1</v>
      </c>
      <c r="AE10126">
        <v>1</v>
      </c>
      <c r="AF10126">
        <v>1</v>
      </c>
      <c r="AG10126">
        <v>1</v>
      </c>
      <c r="AH10126">
        <v>1</v>
      </c>
      <c r="AI10126">
        <v>1</v>
      </c>
      <c r="AJ10126">
        <v>1</v>
      </c>
      <c r="AK10126">
        <v>1</v>
      </c>
      <c r="AL10126">
        <v>1</v>
      </c>
      <c r="AM10126">
        <v>1</v>
      </c>
    </row>
    <row r="10127" spans="1:39" x14ac:dyDescent="0.2">
      <c r="A10127" t="str">
        <f>"10123"</f>
        <v>10123</v>
      </c>
      <c r="B10127" t="str">
        <f t="shared" si="562"/>
        <v>1</v>
      </c>
      <c r="C10127" t="str">
        <f t="shared" si="563"/>
        <v>203</v>
      </c>
      <c r="D10127" t="str">
        <f>"13"</f>
        <v>13</v>
      </c>
      <c r="E10127" t="str">
        <f>"1-203-13"</f>
        <v>1-203-13</v>
      </c>
      <c r="F10127" t="s">
        <v>65</v>
      </c>
      <c r="G10127" t="s">
        <v>66</v>
      </c>
      <c r="H10127" t="s">
        <v>67</v>
      </c>
      <c r="S10127">
        <v>1</v>
      </c>
      <c r="T10127">
        <v>0</v>
      </c>
      <c r="U10127">
        <v>0</v>
      </c>
      <c r="V10127">
        <v>0</v>
      </c>
      <c r="W10127">
        <v>1</v>
      </c>
      <c r="X10127">
        <v>0</v>
      </c>
      <c r="Y10127">
        <v>1</v>
      </c>
      <c r="Z10127">
        <v>0</v>
      </c>
      <c r="AA10127">
        <v>1</v>
      </c>
      <c r="AB10127">
        <v>0</v>
      </c>
      <c r="AC10127">
        <v>0</v>
      </c>
      <c r="AD10127">
        <v>1</v>
      </c>
      <c r="AE10127">
        <v>1</v>
      </c>
      <c r="AF10127">
        <v>1</v>
      </c>
      <c r="AG10127">
        <v>1</v>
      </c>
      <c r="AH10127">
        <v>1</v>
      </c>
      <c r="AI10127">
        <v>1</v>
      </c>
      <c r="AJ10127">
        <v>1</v>
      </c>
      <c r="AK10127">
        <v>1</v>
      </c>
      <c r="AL10127">
        <v>1</v>
      </c>
      <c r="AM10127">
        <v>1</v>
      </c>
    </row>
    <row r="10128" spans="1:39" x14ac:dyDescent="0.2">
      <c r="A10128" t="str">
        <f>"10124"</f>
        <v>10124</v>
      </c>
      <c r="B10128" t="str">
        <f t="shared" si="562"/>
        <v>1</v>
      </c>
      <c r="C10128" t="str">
        <f t="shared" si="563"/>
        <v>203</v>
      </c>
      <c r="D10128" t="str">
        <f>"49"</f>
        <v>49</v>
      </c>
      <c r="E10128" t="str">
        <f>"1-203-49"</f>
        <v>1-203-49</v>
      </c>
      <c r="F10128" t="s">
        <v>65</v>
      </c>
      <c r="G10128" t="s">
        <v>66</v>
      </c>
      <c r="H10128" t="s">
        <v>67</v>
      </c>
      <c r="S10128">
        <v>1</v>
      </c>
      <c r="T10128">
        <v>0</v>
      </c>
      <c r="U10128">
        <v>0</v>
      </c>
      <c r="V10128">
        <v>0</v>
      </c>
      <c r="W10128">
        <v>1</v>
      </c>
      <c r="X10128">
        <v>0</v>
      </c>
      <c r="Y10128">
        <v>1</v>
      </c>
      <c r="Z10128">
        <v>0</v>
      </c>
      <c r="AA10128">
        <v>1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1</v>
      </c>
      <c r="AH10128">
        <v>0</v>
      </c>
      <c r="AI10128">
        <v>0</v>
      </c>
      <c r="AJ10128">
        <v>1</v>
      </c>
      <c r="AK10128">
        <v>0</v>
      </c>
      <c r="AL10128">
        <v>1</v>
      </c>
      <c r="AM10128">
        <v>1</v>
      </c>
    </row>
    <row r="10129" spans="1:39" x14ac:dyDescent="0.2">
      <c r="A10129" t="str">
        <f>"10125"</f>
        <v>10125</v>
      </c>
      <c r="B10129" t="str">
        <f t="shared" si="562"/>
        <v>1</v>
      </c>
      <c r="C10129" t="str">
        <f t="shared" si="563"/>
        <v>203</v>
      </c>
      <c r="D10129" t="str">
        <f>"23"</f>
        <v>23</v>
      </c>
      <c r="E10129" t="str">
        <f>"1-203-23"</f>
        <v>1-203-23</v>
      </c>
      <c r="F10129" t="s">
        <v>65</v>
      </c>
      <c r="G10129" t="s">
        <v>66</v>
      </c>
      <c r="H10129" t="s">
        <v>67</v>
      </c>
      <c r="S10129">
        <v>1</v>
      </c>
      <c r="T10129">
        <v>0</v>
      </c>
      <c r="U10129">
        <v>0</v>
      </c>
      <c r="V10129">
        <v>0</v>
      </c>
      <c r="W10129">
        <v>1</v>
      </c>
      <c r="X10129">
        <v>0</v>
      </c>
      <c r="Y10129">
        <v>1</v>
      </c>
      <c r="Z10129">
        <v>0</v>
      </c>
      <c r="AA10129">
        <v>0</v>
      </c>
      <c r="AB10129">
        <v>1</v>
      </c>
      <c r="AC10129">
        <v>0</v>
      </c>
      <c r="AD10129">
        <v>1</v>
      </c>
      <c r="AE10129">
        <v>1</v>
      </c>
      <c r="AF10129">
        <v>1</v>
      </c>
      <c r="AG10129">
        <v>1</v>
      </c>
      <c r="AH10129">
        <v>1</v>
      </c>
      <c r="AI10129">
        <v>1</v>
      </c>
      <c r="AJ10129">
        <v>1</v>
      </c>
      <c r="AK10129">
        <v>1</v>
      </c>
      <c r="AL10129">
        <v>1</v>
      </c>
      <c r="AM10129">
        <v>1</v>
      </c>
    </row>
    <row r="10130" spans="1:39" x14ac:dyDescent="0.2">
      <c r="A10130" t="str">
        <f>"10126"</f>
        <v>10126</v>
      </c>
      <c r="B10130" t="str">
        <f t="shared" si="562"/>
        <v>1</v>
      </c>
      <c r="C10130" t="str">
        <f t="shared" si="563"/>
        <v>203</v>
      </c>
      <c r="D10130" t="str">
        <f>"12"</f>
        <v>12</v>
      </c>
      <c r="E10130" t="str">
        <f>"1-203-12"</f>
        <v>1-203-12</v>
      </c>
      <c r="F10130" t="s">
        <v>65</v>
      </c>
      <c r="G10130" t="s">
        <v>66</v>
      </c>
      <c r="H10130" t="s">
        <v>67</v>
      </c>
      <c r="S10130">
        <v>0</v>
      </c>
      <c r="T10130">
        <v>1</v>
      </c>
      <c r="U10130">
        <v>0</v>
      </c>
      <c r="V10130">
        <v>0</v>
      </c>
      <c r="W10130">
        <v>0</v>
      </c>
      <c r="X10130">
        <v>1</v>
      </c>
      <c r="Y10130">
        <v>0</v>
      </c>
      <c r="Z10130">
        <v>1</v>
      </c>
      <c r="AA10130">
        <v>0</v>
      </c>
      <c r="AB10130">
        <v>0</v>
      </c>
      <c r="AC10130">
        <v>1</v>
      </c>
      <c r="AD10130">
        <v>1</v>
      </c>
      <c r="AE10130">
        <v>1</v>
      </c>
      <c r="AF10130">
        <v>1</v>
      </c>
      <c r="AG10130">
        <v>1</v>
      </c>
      <c r="AH10130">
        <v>1</v>
      </c>
      <c r="AI10130">
        <v>1</v>
      </c>
      <c r="AJ10130">
        <v>1</v>
      </c>
      <c r="AK10130">
        <v>1</v>
      </c>
      <c r="AL10130">
        <v>1</v>
      </c>
      <c r="AM10130">
        <v>1</v>
      </c>
    </row>
    <row r="10131" spans="1:39" x14ac:dyDescent="0.2">
      <c r="A10131" t="str">
        <f>"10127"</f>
        <v>10127</v>
      </c>
      <c r="B10131" t="str">
        <f t="shared" si="562"/>
        <v>1</v>
      </c>
      <c r="C10131" t="str">
        <f t="shared" si="563"/>
        <v>203</v>
      </c>
      <c r="D10131" t="str">
        <f>"50"</f>
        <v>50</v>
      </c>
      <c r="E10131" t="str">
        <f>"1-203-50"</f>
        <v>1-203-50</v>
      </c>
      <c r="F10131" t="s">
        <v>65</v>
      </c>
      <c r="G10131" t="s">
        <v>66</v>
      </c>
      <c r="H10131" t="s">
        <v>67</v>
      </c>
      <c r="S10131">
        <v>1</v>
      </c>
      <c r="T10131">
        <v>0</v>
      </c>
      <c r="U10131">
        <v>0</v>
      </c>
      <c r="V10131">
        <v>0</v>
      </c>
      <c r="W10131">
        <v>1</v>
      </c>
      <c r="X10131">
        <v>0</v>
      </c>
      <c r="Y10131">
        <v>1</v>
      </c>
      <c r="Z10131">
        <v>0</v>
      </c>
      <c r="AA10131">
        <v>1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1</v>
      </c>
      <c r="AI10131">
        <v>0</v>
      </c>
      <c r="AJ10131">
        <v>0</v>
      </c>
      <c r="AK10131">
        <v>1</v>
      </c>
      <c r="AL10131">
        <v>0</v>
      </c>
      <c r="AM10131">
        <v>0</v>
      </c>
    </row>
    <row r="10132" spans="1:39" x14ac:dyDescent="0.2">
      <c r="A10132" t="str">
        <f>"10128"</f>
        <v>10128</v>
      </c>
      <c r="B10132" t="str">
        <f t="shared" si="562"/>
        <v>1</v>
      </c>
      <c r="C10132" t="str">
        <f t="shared" si="563"/>
        <v>203</v>
      </c>
      <c r="D10132" t="str">
        <f>"24"</f>
        <v>24</v>
      </c>
      <c r="E10132" t="str">
        <f>"1-203-24"</f>
        <v>1-203-24</v>
      </c>
      <c r="F10132" t="s">
        <v>65</v>
      </c>
      <c r="G10132" t="s">
        <v>66</v>
      </c>
      <c r="H10132" t="s">
        <v>67</v>
      </c>
      <c r="S10132">
        <v>1</v>
      </c>
      <c r="T10132">
        <v>0</v>
      </c>
      <c r="U10132">
        <v>0</v>
      </c>
      <c r="V10132">
        <v>0</v>
      </c>
      <c r="W10132">
        <v>1</v>
      </c>
      <c r="X10132">
        <v>0</v>
      </c>
      <c r="Y10132">
        <v>0</v>
      </c>
      <c r="Z10132">
        <v>1</v>
      </c>
      <c r="AA10132">
        <v>1</v>
      </c>
      <c r="AB10132">
        <v>0</v>
      </c>
      <c r="AC10132">
        <v>0</v>
      </c>
      <c r="AD10132">
        <v>1</v>
      </c>
      <c r="AE10132">
        <v>1</v>
      </c>
      <c r="AF10132">
        <v>1</v>
      </c>
      <c r="AG10132">
        <v>1</v>
      </c>
      <c r="AH10132">
        <v>1</v>
      </c>
      <c r="AI10132">
        <v>1</v>
      </c>
      <c r="AJ10132">
        <v>1</v>
      </c>
      <c r="AK10132">
        <v>1</v>
      </c>
      <c r="AL10132">
        <v>1</v>
      </c>
      <c r="AM10132">
        <v>1</v>
      </c>
    </row>
    <row r="10133" spans="1:39" x14ac:dyDescent="0.2">
      <c r="A10133" t="str">
        <f>"10129"</f>
        <v>10129</v>
      </c>
      <c r="B10133" t="str">
        <f t="shared" si="562"/>
        <v>1</v>
      </c>
      <c r="C10133" t="str">
        <f t="shared" si="563"/>
        <v>203</v>
      </c>
      <c r="D10133" t="str">
        <f>"9"</f>
        <v>9</v>
      </c>
      <c r="E10133" t="str">
        <f>"1-203-9"</f>
        <v>1-203-9</v>
      </c>
      <c r="F10133" t="s">
        <v>65</v>
      </c>
      <c r="G10133" t="s">
        <v>66</v>
      </c>
      <c r="H10133" t="s">
        <v>67</v>
      </c>
      <c r="S10133">
        <v>1</v>
      </c>
      <c r="T10133">
        <v>0</v>
      </c>
      <c r="U10133">
        <v>0</v>
      </c>
      <c r="V10133">
        <v>0</v>
      </c>
      <c r="W10133">
        <v>1</v>
      </c>
      <c r="X10133">
        <v>0</v>
      </c>
      <c r="Y10133">
        <v>0</v>
      </c>
      <c r="Z10133">
        <v>1</v>
      </c>
      <c r="AA10133">
        <v>0</v>
      </c>
      <c r="AB10133">
        <v>0</v>
      </c>
      <c r="AC10133">
        <v>1</v>
      </c>
      <c r="AD10133">
        <v>1</v>
      </c>
      <c r="AE10133">
        <v>1</v>
      </c>
      <c r="AF10133">
        <v>1</v>
      </c>
      <c r="AG10133">
        <v>1</v>
      </c>
      <c r="AH10133">
        <v>1</v>
      </c>
      <c r="AI10133">
        <v>1</v>
      </c>
      <c r="AJ10133">
        <v>1</v>
      </c>
      <c r="AK10133">
        <v>1</v>
      </c>
      <c r="AL10133">
        <v>1</v>
      </c>
      <c r="AM10133">
        <v>1</v>
      </c>
    </row>
    <row r="10134" spans="1:39" x14ac:dyDescent="0.2">
      <c r="A10134" t="str">
        <f>"10130"</f>
        <v>10130</v>
      </c>
      <c r="B10134" t="str">
        <f t="shared" si="562"/>
        <v>1</v>
      </c>
      <c r="C10134" t="str">
        <f t="shared" si="563"/>
        <v>203</v>
      </c>
      <c r="D10134" t="str">
        <f>"42"</f>
        <v>42</v>
      </c>
      <c r="E10134" t="str">
        <f>"1-203-42"</f>
        <v>1-203-42</v>
      </c>
      <c r="F10134" t="s">
        <v>65</v>
      </c>
      <c r="G10134" t="s">
        <v>66</v>
      </c>
      <c r="H10134" t="s">
        <v>67</v>
      </c>
      <c r="S10134">
        <v>1</v>
      </c>
      <c r="T10134">
        <v>0</v>
      </c>
      <c r="U10134">
        <v>0</v>
      </c>
      <c r="V10134">
        <v>0</v>
      </c>
      <c r="W10134">
        <v>1</v>
      </c>
      <c r="X10134">
        <v>0</v>
      </c>
      <c r="Y10134">
        <v>1</v>
      </c>
      <c r="Z10134">
        <v>0</v>
      </c>
      <c r="AA10134">
        <v>1</v>
      </c>
      <c r="AB10134">
        <v>0</v>
      </c>
      <c r="AC10134">
        <v>0</v>
      </c>
      <c r="AD10134">
        <v>1</v>
      </c>
      <c r="AE10134">
        <v>1</v>
      </c>
      <c r="AF10134">
        <v>1</v>
      </c>
      <c r="AG10134">
        <v>1</v>
      </c>
      <c r="AH10134">
        <v>1</v>
      </c>
      <c r="AI10134">
        <v>1</v>
      </c>
      <c r="AJ10134">
        <v>1</v>
      </c>
      <c r="AK10134">
        <v>1</v>
      </c>
      <c r="AL10134">
        <v>1</v>
      </c>
      <c r="AM10134">
        <v>1</v>
      </c>
    </row>
    <row r="10135" spans="1:39" x14ac:dyDescent="0.2">
      <c r="A10135" t="str">
        <f>"10131"</f>
        <v>10131</v>
      </c>
      <c r="B10135" t="str">
        <f t="shared" si="562"/>
        <v>1</v>
      </c>
      <c r="C10135" t="str">
        <f t="shared" si="563"/>
        <v>203</v>
      </c>
      <c r="D10135" t="str">
        <f>"25"</f>
        <v>25</v>
      </c>
      <c r="E10135" t="str">
        <f>"1-203-25"</f>
        <v>1-203-25</v>
      </c>
      <c r="F10135" t="s">
        <v>65</v>
      </c>
      <c r="G10135" t="s">
        <v>66</v>
      </c>
      <c r="H10135" t="s">
        <v>67</v>
      </c>
      <c r="S10135">
        <v>1</v>
      </c>
      <c r="T10135">
        <v>0</v>
      </c>
      <c r="U10135">
        <v>0</v>
      </c>
      <c r="V10135">
        <v>0</v>
      </c>
      <c r="W10135">
        <v>1</v>
      </c>
      <c r="X10135">
        <v>0</v>
      </c>
      <c r="Y10135">
        <v>1</v>
      </c>
      <c r="Z10135">
        <v>0</v>
      </c>
      <c r="AA10135">
        <v>1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</row>
    <row r="10136" spans="1:39" x14ac:dyDescent="0.2">
      <c r="A10136" t="str">
        <f>"10132"</f>
        <v>10132</v>
      </c>
      <c r="B10136" t="str">
        <f t="shared" si="562"/>
        <v>1</v>
      </c>
      <c r="C10136" t="str">
        <f t="shared" si="563"/>
        <v>203</v>
      </c>
      <c r="D10136" t="str">
        <f>"4"</f>
        <v>4</v>
      </c>
      <c r="E10136" t="str">
        <f>"1-203-4"</f>
        <v>1-203-4</v>
      </c>
      <c r="F10136" t="s">
        <v>65</v>
      </c>
      <c r="G10136" t="s">
        <v>66</v>
      </c>
      <c r="H10136" t="s">
        <v>67</v>
      </c>
      <c r="S10136">
        <v>1</v>
      </c>
      <c r="T10136">
        <v>0</v>
      </c>
      <c r="U10136">
        <v>0</v>
      </c>
      <c r="V10136">
        <v>0</v>
      </c>
      <c r="W10136">
        <v>1</v>
      </c>
      <c r="X10136">
        <v>0</v>
      </c>
      <c r="Y10136">
        <v>1</v>
      </c>
      <c r="Z10136">
        <v>0</v>
      </c>
      <c r="AA10136">
        <v>1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</row>
    <row r="10137" spans="1:39" x14ac:dyDescent="0.2">
      <c r="A10137" t="str">
        <f>"10133"</f>
        <v>10133</v>
      </c>
      <c r="B10137" t="str">
        <f t="shared" si="562"/>
        <v>1</v>
      </c>
      <c r="C10137" t="str">
        <f t="shared" ref="C10137:C10154" si="564">"203"</f>
        <v>203</v>
      </c>
      <c r="D10137" t="str">
        <f>"45"</f>
        <v>45</v>
      </c>
      <c r="E10137" t="str">
        <f>"1-203-45"</f>
        <v>1-203-45</v>
      </c>
      <c r="F10137" t="s">
        <v>65</v>
      </c>
      <c r="G10137" t="s">
        <v>66</v>
      </c>
      <c r="H10137" t="s">
        <v>67</v>
      </c>
      <c r="S10137">
        <v>1</v>
      </c>
      <c r="T10137">
        <v>0</v>
      </c>
      <c r="U10137">
        <v>0</v>
      </c>
      <c r="V10137">
        <v>0</v>
      </c>
      <c r="W10137">
        <v>0</v>
      </c>
      <c r="X10137">
        <v>1</v>
      </c>
      <c r="Y10137">
        <v>0</v>
      </c>
      <c r="Z10137">
        <v>1</v>
      </c>
      <c r="AA10137">
        <v>1</v>
      </c>
      <c r="AB10137">
        <v>0</v>
      </c>
      <c r="AC10137">
        <v>0</v>
      </c>
      <c r="AD10137">
        <v>1</v>
      </c>
      <c r="AE10137">
        <v>1</v>
      </c>
      <c r="AF10137">
        <v>1</v>
      </c>
      <c r="AG10137">
        <v>1</v>
      </c>
      <c r="AH10137">
        <v>1</v>
      </c>
      <c r="AI10137">
        <v>1</v>
      </c>
      <c r="AJ10137">
        <v>1</v>
      </c>
      <c r="AK10137">
        <v>1</v>
      </c>
      <c r="AL10137">
        <v>1</v>
      </c>
      <c r="AM10137">
        <v>1</v>
      </c>
    </row>
    <row r="10138" spans="1:39" x14ac:dyDescent="0.2">
      <c r="A10138" t="str">
        <f>"10134"</f>
        <v>10134</v>
      </c>
      <c r="B10138" t="str">
        <f t="shared" si="562"/>
        <v>1</v>
      </c>
      <c r="C10138" t="str">
        <f t="shared" si="564"/>
        <v>203</v>
      </c>
      <c r="D10138" t="str">
        <f>"26"</f>
        <v>26</v>
      </c>
      <c r="E10138" t="str">
        <f>"1-203-26"</f>
        <v>1-203-26</v>
      </c>
      <c r="F10138" t="s">
        <v>65</v>
      </c>
      <c r="G10138" t="s">
        <v>66</v>
      </c>
      <c r="H10138" t="s">
        <v>67</v>
      </c>
      <c r="S10138">
        <v>1</v>
      </c>
      <c r="T10138">
        <v>0</v>
      </c>
      <c r="U10138">
        <v>0</v>
      </c>
      <c r="V10138">
        <v>0</v>
      </c>
      <c r="W10138">
        <v>1</v>
      </c>
      <c r="X10138">
        <v>0</v>
      </c>
      <c r="Y10138">
        <v>1</v>
      </c>
      <c r="Z10138">
        <v>0</v>
      </c>
      <c r="AA10138">
        <v>1</v>
      </c>
      <c r="AB10138">
        <v>0</v>
      </c>
      <c r="AC10138">
        <v>0</v>
      </c>
      <c r="AD10138">
        <v>1</v>
      </c>
      <c r="AE10138">
        <v>1</v>
      </c>
      <c r="AF10138">
        <v>1</v>
      </c>
      <c r="AG10138">
        <v>1</v>
      </c>
      <c r="AH10138">
        <v>1</v>
      </c>
      <c r="AI10138">
        <v>1</v>
      </c>
      <c r="AJ10138">
        <v>1</v>
      </c>
      <c r="AK10138">
        <v>1</v>
      </c>
      <c r="AL10138">
        <v>1</v>
      </c>
      <c r="AM10138">
        <v>1</v>
      </c>
    </row>
    <row r="10139" spans="1:39" x14ac:dyDescent="0.2">
      <c r="A10139" t="str">
        <f>"10135"</f>
        <v>10135</v>
      </c>
      <c r="B10139" t="str">
        <f t="shared" si="562"/>
        <v>1</v>
      </c>
      <c r="C10139" t="str">
        <f t="shared" si="564"/>
        <v>203</v>
      </c>
      <c r="D10139" t="str">
        <f>"5"</f>
        <v>5</v>
      </c>
      <c r="E10139" t="str">
        <f>"1-203-5"</f>
        <v>1-203-5</v>
      </c>
      <c r="F10139" t="s">
        <v>65</v>
      </c>
      <c r="G10139" t="s">
        <v>66</v>
      </c>
      <c r="H10139" t="s">
        <v>67</v>
      </c>
      <c r="S10139">
        <v>1</v>
      </c>
      <c r="T10139">
        <v>0</v>
      </c>
      <c r="U10139">
        <v>0</v>
      </c>
      <c r="V10139">
        <v>0</v>
      </c>
      <c r="W10139">
        <v>1</v>
      </c>
      <c r="X10139">
        <v>0</v>
      </c>
      <c r="Y10139">
        <v>1</v>
      </c>
      <c r="Z10139">
        <v>0</v>
      </c>
      <c r="AA10139">
        <v>1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</row>
    <row r="10140" spans="1:39" x14ac:dyDescent="0.2">
      <c r="A10140" t="str">
        <f>"10136"</f>
        <v>10136</v>
      </c>
      <c r="B10140" t="str">
        <f t="shared" si="562"/>
        <v>1</v>
      </c>
      <c r="C10140" t="str">
        <f t="shared" si="564"/>
        <v>203</v>
      </c>
      <c r="D10140" t="str">
        <f>"43"</f>
        <v>43</v>
      </c>
      <c r="E10140" t="str">
        <f>"1-203-43"</f>
        <v>1-203-43</v>
      </c>
      <c r="F10140" t="s">
        <v>65</v>
      </c>
      <c r="G10140" t="s">
        <v>66</v>
      </c>
      <c r="H10140" t="s">
        <v>67</v>
      </c>
      <c r="S10140">
        <v>0</v>
      </c>
      <c r="T10140">
        <v>0</v>
      </c>
      <c r="U10140">
        <v>0</v>
      </c>
      <c r="V10140">
        <v>0</v>
      </c>
      <c r="W10140">
        <v>1</v>
      </c>
      <c r="X10140">
        <v>0</v>
      </c>
      <c r="Y10140">
        <v>1</v>
      </c>
      <c r="Z10140">
        <v>0</v>
      </c>
      <c r="AA10140">
        <v>0</v>
      </c>
      <c r="AB10140">
        <v>1</v>
      </c>
      <c r="AC10140">
        <v>0</v>
      </c>
      <c r="AD10140">
        <v>1</v>
      </c>
      <c r="AE10140">
        <v>1</v>
      </c>
      <c r="AF10140">
        <v>1</v>
      </c>
      <c r="AG10140">
        <v>1</v>
      </c>
      <c r="AH10140">
        <v>1</v>
      </c>
      <c r="AI10140">
        <v>1</v>
      </c>
      <c r="AJ10140">
        <v>1</v>
      </c>
      <c r="AK10140">
        <v>1</v>
      </c>
      <c r="AL10140">
        <v>1</v>
      </c>
      <c r="AM10140">
        <v>1</v>
      </c>
    </row>
    <row r="10141" spans="1:39" x14ac:dyDescent="0.2">
      <c r="A10141" t="str">
        <f>"10137"</f>
        <v>10137</v>
      </c>
      <c r="B10141" t="str">
        <f t="shared" si="562"/>
        <v>1</v>
      </c>
      <c r="C10141" t="str">
        <f t="shared" si="564"/>
        <v>203</v>
      </c>
      <c r="D10141" t="str">
        <f>"27"</f>
        <v>27</v>
      </c>
      <c r="E10141" t="str">
        <f>"1-203-27"</f>
        <v>1-203-27</v>
      </c>
      <c r="F10141" t="s">
        <v>65</v>
      </c>
      <c r="G10141" t="s">
        <v>66</v>
      </c>
      <c r="H10141" t="s">
        <v>67</v>
      </c>
      <c r="S10141">
        <v>1</v>
      </c>
      <c r="T10141">
        <v>0</v>
      </c>
      <c r="U10141">
        <v>0</v>
      </c>
      <c r="V10141">
        <v>0</v>
      </c>
      <c r="W10141">
        <v>1</v>
      </c>
      <c r="X10141">
        <v>0</v>
      </c>
      <c r="Y10141">
        <v>1</v>
      </c>
      <c r="Z10141">
        <v>0</v>
      </c>
      <c r="AA10141">
        <v>1</v>
      </c>
      <c r="AB10141">
        <v>0</v>
      </c>
      <c r="AC10141">
        <v>0</v>
      </c>
      <c r="AD10141">
        <v>1</v>
      </c>
      <c r="AE10141">
        <v>1</v>
      </c>
      <c r="AF10141">
        <v>1</v>
      </c>
      <c r="AG10141">
        <v>1</v>
      </c>
      <c r="AH10141">
        <v>1</v>
      </c>
      <c r="AI10141">
        <v>1</v>
      </c>
      <c r="AJ10141">
        <v>1</v>
      </c>
      <c r="AK10141">
        <v>1</v>
      </c>
      <c r="AL10141">
        <v>1</v>
      </c>
      <c r="AM10141">
        <v>1</v>
      </c>
    </row>
    <row r="10142" spans="1:39" x14ac:dyDescent="0.2">
      <c r="A10142" t="str">
        <f>"10138"</f>
        <v>10138</v>
      </c>
      <c r="B10142" t="str">
        <f t="shared" si="562"/>
        <v>1</v>
      </c>
      <c r="C10142" t="str">
        <f t="shared" si="564"/>
        <v>203</v>
      </c>
      <c r="D10142" t="str">
        <f>"8"</f>
        <v>8</v>
      </c>
      <c r="E10142" t="str">
        <f>"1-203-8"</f>
        <v>1-203-8</v>
      </c>
      <c r="F10142" t="s">
        <v>65</v>
      </c>
      <c r="G10142" t="s">
        <v>66</v>
      </c>
      <c r="H10142" t="s">
        <v>67</v>
      </c>
      <c r="S10142">
        <v>1</v>
      </c>
      <c r="T10142">
        <v>0</v>
      </c>
      <c r="U10142">
        <v>0</v>
      </c>
      <c r="V10142">
        <v>0</v>
      </c>
      <c r="W10142">
        <v>1</v>
      </c>
      <c r="X10142">
        <v>0</v>
      </c>
      <c r="Y10142">
        <v>0</v>
      </c>
      <c r="Z10142">
        <v>1</v>
      </c>
      <c r="AA10142">
        <v>1</v>
      </c>
      <c r="AB10142">
        <v>0</v>
      </c>
      <c r="AC10142">
        <v>0</v>
      </c>
      <c r="AD10142">
        <v>1</v>
      </c>
      <c r="AE10142">
        <v>1</v>
      </c>
      <c r="AF10142">
        <v>1</v>
      </c>
      <c r="AG10142">
        <v>1</v>
      </c>
      <c r="AH10142">
        <v>1</v>
      </c>
      <c r="AI10142">
        <v>1</v>
      </c>
      <c r="AJ10142">
        <v>1</v>
      </c>
      <c r="AK10142">
        <v>1</v>
      </c>
      <c r="AL10142">
        <v>1</v>
      </c>
      <c r="AM10142">
        <v>1</v>
      </c>
    </row>
    <row r="10143" spans="1:39" x14ac:dyDescent="0.2">
      <c r="A10143" t="str">
        <f>"10139"</f>
        <v>10139</v>
      </c>
      <c r="B10143" t="str">
        <f t="shared" si="562"/>
        <v>1</v>
      </c>
      <c r="C10143" t="str">
        <f t="shared" si="564"/>
        <v>203</v>
      </c>
      <c r="D10143" t="str">
        <f>"44"</f>
        <v>44</v>
      </c>
      <c r="E10143" t="str">
        <f>"1-203-44"</f>
        <v>1-203-44</v>
      </c>
      <c r="F10143" t="s">
        <v>65</v>
      </c>
      <c r="G10143" t="s">
        <v>66</v>
      </c>
      <c r="H10143" t="s">
        <v>67</v>
      </c>
      <c r="S10143">
        <v>1</v>
      </c>
      <c r="T10143">
        <v>0</v>
      </c>
      <c r="U10143">
        <v>0</v>
      </c>
      <c r="V10143">
        <v>0</v>
      </c>
      <c r="W10143">
        <v>1</v>
      </c>
      <c r="X10143">
        <v>0</v>
      </c>
      <c r="Y10143">
        <v>1</v>
      </c>
      <c r="Z10143">
        <v>0</v>
      </c>
      <c r="AA10143">
        <v>0</v>
      </c>
      <c r="AB10143">
        <v>1</v>
      </c>
      <c r="AC10143">
        <v>0</v>
      </c>
      <c r="AD10143">
        <v>1</v>
      </c>
      <c r="AE10143">
        <v>1</v>
      </c>
      <c r="AF10143">
        <v>1</v>
      </c>
      <c r="AG10143">
        <v>1</v>
      </c>
      <c r="AH10143">
        <v>1</v>
      </c>
      <c r="AI10143">
        <v>1</v>
      </c>
      <c r="AJ10143">
        <v>1</v>
      </c>
      <c r="AK10143">
        <v>1</v>
      </c>
      <c r="AL10143">
        <v>1</v>
      </c>
      <c r="AM10143">
        <v>1</v>
      </c>
    </row>
    <row r="10144" spans="1:39" x14ac:dyDescent="0.2">
      <c r="A10144" t="str">
        <f>"10140"</f>
        <v>10140</v>
      </c>
      <c r="B10144" t="str">
        <f t="shared" si="562"/>
        <v>1</v>
      </c>
      <c r="C10144" t="str">
        <f t="shared" si="564"/>
        <v>203</v>
      </c>
      <c r="D10144" t="str">
        <f>"28"</f>
        <v>28</v>
      </c>
      <c r="E10144" t="str">
        <f>"1-203-28"</f>
        <v>1-203-28</v>
      </c>
      <c r="F10144" t="s">
        <v>65</v>
      </c>
      <c r="G10144" t="s">
        <v>66</v>
      </c>
      <c r="H10144" t="s">
        <v>67</v>
      </c>
      <c r="S10144">
        <v>0</v>
      </c>
      <c r="T10144">
        <v>1</v>
      </c>
      <c r="U10144">
        <v>0</v>
      </c>
      <c r="V10144">
        <v>0</v>
      </c>
      <c r="W10144">
        <v>1</v>
      </c>
      <c r="X10144">
        <v>0</v>
      </c>
      <c r="Y10144">
        <v>1</v>
      </c>
      <c r="Z10144">
        <v>0</v>
      </c>
      <c r="AA10144">
        <v>0</v>
      </c>
      <c r="AB10144">
        <v>0</v>
      </c>
      <c r="AC10144">
        <v>1</v>
      </c>
      <c r="AD10144">
        <v>1</v>
      </c>
      <c r="AE10144">
        <v>1</v>
      </c>
      <c r="AF10144">
        <v>1</v>
      </c>
      <c r="AG10144">
        <v>1</v>
      </c>
      <c r="AH10144">
        <v>1</v>
      </c>
      <c r="AI10144">
        <v>1</v>
      </c>
      <c r="AJ10144">
        <v>1</v>
      </c>
      <c r="AK10144">
        <v>1</v>
      </c>
      <c r="AL10144">
        <v>1</v>
      </c>
      <c r="AM10144">
        <v>1</v>
      </c>
    </row>
    <row r="10145" spans="1:39" x14ac:dyDescent="0.2">
      <c r="A10145" t="str">
        <f>"10141"</f>
        <v>10141</v>
      </c>
      <c r="B10145" t="str">
        <f t="shared" si="562"/>
        <v>1</v>
      </c>
      <c r="C10145" t="str">
        <f t="shared" si="564"/>
        <v>203</v>
      </c>
      <c r="D10145" t="str">
        <f>"11"</f>
        <v>11</v>
      </c>
      <c r="E10145" t="str">
        <f>"1-203-11"</f>
        <v>1-203-11</v>
      </c>
      <c r="F10145" t="s">
        <v>65</v>
      </c>
      <c r="G10145" t="s">
        <v>66</v>
      </c>
      <c r="H10145" t="s">
        <v>67</v>
      </c>
      <c r="S10145">
        <v>1</v>
      </c>
      <c r="T10145">
        <v>0</v>
      </c>
      <c r="U10145">
        <v>0</v>
      </c>
      <c r="V10145">
        <v>0</v>
      </c>
      <c r="W10145">
        <v>1</v>
      </c>
      <c r="X10145">
        <v>0</v>
      </c>
      <c r="Y10145">
        <v>1</v>
      </c>
      <c r="Z10145">
        <v>0</v>
      </c>
      <c r="AA10145">
        <v>0</v>
      </c>
      <c r="AB10145">
        <v>1</v>
      </c>
      <c r="AC10145">
        <v>0</v>
      </c>
      <c r="AD10145">
        <v>1</v>
      </c>
      <c r="AE10145">
        <v>1</v>
      </c>
      <c r="AF10145">
        <v>1</v>
      </c>
      <c r="AG10145">
        <v>1</v>
      </c>
      <c r="AH10145">
        <v>1</v>
      </c>
      <c r="AI10145">
        <v>1</v>
      </c>
      <c r="AJ10145">
        <v>1</v>
      </c>
      <c r="AK10145">
        <v>1</v>
      </c>
      <c r="AL10145">
        <v>1</v>
      </c>
      <c r="AM10145">
        <v>1</v>
      </c>
    </row>
    <row r="10146" spans="1:39" x14ac:dyDescent="0.2">
      <c r="A10146" t="str">
        <f>"10142"</f>
        <v>10142</v>
      </c>
      <c r="B10146" t="str">
        <f t="shared" si="562"/>
        <v>1</v>
      </c>
      <c r="C10146" t="str">
        <f t="shared" si="564"/>
        <v>203</v>
      </c>
      <c r="D10146" t="str">
        <f>"48"</f>
        <v>48</v>
      </c>
      <c r="E10146" t="str">
        <f>"1-203-48"</f>
        <v>1-203-48</v>
      </c>
      <c r="F10146" t="s">
        <v>65</v>
      </c>
      <c r="G10146" t="s">
        <v>66</v>
      </c>
      <c r="H10146" t="s">
        <v>67</v>
      </c>
      <c r="S10146">
        <v>1</v>
      </c>
      <c r="T10146">
        <v>0</v>
      </c>
      <c r="U10146">
        <v>0</v>
      </c>
      <c r="V10146">
        <v>0</v>
      </c>
      <c r="W10146">
        <v>1</v>
      </c>
      <c r="X10146">
        <v>0</v>
      </c>
      <c r="Y10146">
        <v>1</v>
      </c>
      <c r="Z10146">
        <v>0</v>
      </c>
      <c r="AA10146">
        <v>0</v>
      </c>
      <c r="AB10146">
        <v>1</v>
      </c>
      <c r="AC10146">
        <v>0</v>
      </c>
      <c r="AD10146">
        <v>1</v>
      </c>
      <c r="AE10146">
        <v>1</v>
      </c>
      <c r="AF10146">
        <v>1</v>
      </c>
      <c r="AG10146">
        <v>1</v>
      </c>
      <c r="AH10146">
        <v>1</v>
      </c>
      <c r="AI10146">
        <v>1</v>
      </c>
      <c r="AJ10146">
        <v>1</v>
      </c>
      <c r="AK10146">
        <v>1</v>
      </c>
      <c r="AL10146">
        <v>1</v>
      </c>
      <c r="AM10146">
        <v>1</v>
      </c>
    </row>
    <row r="10147" spans="1:39" x14ac:dyDescent="0.2">
      <c r="A10147" t="str">
        <f>"10143"</f>
        <v>10143</v>
      </c>
      <c r="B10147" t="str">
        <f t="shared" si="562"/>
        <v>1</v>
      </c>
      <c r="C10147" t="str">
        <f t="shared" si="564"/>
        <v>203</v>
      </c>
      <c r="D10147" t="str">
        <f>"30"</f>
        <v>30</v>
      </c>
      <c r="E10147" t="str">
        <f>"1-203-30"</f>
        <v>1-203-30</v>
      </c>
      <c r="F10147" t="s">
        <v>65</v>
      </c>
      <c r="G10147" t="s">
        <v>66</v>
      </c>
      <c r="H10147" t="s">
        <v>67</v>
      </c>
      <c r="S10147">
        <v>1</v>
      </c>
      <c r="T10147">
        <v>0</v>
      </c>
      <c r="U10147">
        <v>0</v>
      </c>
      <c r="V10147">
        <v>0</v>
      </c>
      <c r="W10147">
        <v>1</v>
      </c>
      <c r="X10147">
        <v>0</v>
      </c>
      <c r="Y10147">
        <v>1</v>
      </c>
      <c r="Z10147">
        <v>0</v>
      </c>
      <c r="AA10147">
        <v>1</v>
      </c>
      <c r="AB10147">
        <v>0</v>
      </c>
      <c r="AC10147">
        <v>0</v>
      </c>
      <c r="AD10147">
        <v>1</v>
      </c>
      <c r="AE10147">
        <v>1</v>
      </c>
      <c r="AF10147">
        <v>1</v>
      </c>
      <c r="AG10147">
        <v>1</v>
      </c>
      <c r="AH10147">
        <v>1</v>
      </c>
      <c r="AI10147">
        <v>1</v>
      </c>
      <c r="AJ10147">
        <v>1</v>
      </c>
      <c r="AK10147">
        <v>1</v>
      </c>
      <c r="AL10147">
        <v>1</v>
      </c>
      <c r="AM10147">
        <v>1</v>
      </c>
    </row>
    <row r="10148" spans="1:39" x14ac:dyDescent="0.2">
      <c r="A10148" t="str">
        <f>"10144"</f>
        <v>10144</v>
      </c>
      <c r="B10148" t="str">
        <f t="shared" si="562"/>
        <v>1</v>
      </c>
      <c r="C10148" t="str">
        <f t="shared" si="564"/>
        <v>203</v>
      </c>
      <c r="D10148" t="str">
        <f>"2"</f>
        <v>2</v>
      </c>
      <c r="E10148" t="str">
        <f>"1-203-2"</f>
        <v>1-203-2</v>
      </c>
      <c r="F10148" t="s">
        <v>65</v>
      </c>
      <c r="G10148" t="s">
        <v>66</v>
      </c>
      <c r="H10148" t="s">
        <v>67</v>
      </c>
      <c r="S10148">
        <v>1</v>
      </c>
      <c r="T10148">
        <v>0</v>
      </c>
      <c r="U10148">
        <v>0</v>
      </c>
      <c r="V10148">
        <v>0</v>
      </c>
      <c r="W10148">
        <v>0</v>
      </c>
      <c r="X10148">
        <v>1</v>
      </c>
      <c r="Y10148">
        <v>1</v>
      </c>
      <c r="Z10148">
        <v>0</v>
      </c>
      <c r="AA10148">
        <v>1</v>
      </c>
      <c r="AB10148">
        <v>0</v>
      </c>
      <c r="AC10148">
        <v>0</v>
      </c>
      <c r="AD10148">
        <v>1</v>
      </c>
      <c r="AE10148">
        <v>1</v>
      </c>
      <c r="AF10148">
        <v>1</v>
      </c>
      <c r="AG10148">
        <v>1</v>
      </c>
      <c r="AH10148">
        <v>1</v>
      </c>
      <c r="AI10148">
        <v>1</v>
      </c>
      <c r="AJ10148">
        <v>1</v>
      </c>
      <c r="AK10148">
        <v>1</v>
      </c>
      <c r="AL10148">
        <v>1</v>
      </c>
      <c r="AM10148">
        <v>1</v>
      </c>
    </row>
    <row r="10149" spans="1:39" x14ac:dyDescent="0.2">
      <c r="A10149" t="str">
        <f>"10145"</f>
        <v>10145</v>
      </c>
      <c r="B10149" t="str">
        <f t="shared" si="562"/>
        <v>1</v>
      </c>
      <c r="C10149" t="str">
        <f t="shared" si="564"/>
        <v>203</v>
      </c>
      <c r="D10149" t="str">
        <f>"46"</f>
        <v>46</v>
      </c>
      <c r="E10149" t="str">
        <f>"1-203-46"</f>
        <v>1-203-46</v>
      </c>
      <c r="F10149" t="s">
        <v>65</v>
      </c>
      <c r="G10149" t="s">
        <v>66</v>
      </c>
      <c r="H10149" t="s">
        <v>67</v>
      </c>
      <c r="S10149">
        <v>1</v>
      </c>
      <c r="T10149">
        <v>0</v>
      </c>
      <c r="U10149">
        <v>0</v>
      </c>
      <c r="V10149">
        <v>0</v>
      </c>
      <c r="W10149">
        <v>1</v>
      </c>
      <c r="X10149">
        <v>0</v>
      </c>
      <c r="Y10149">
        <v>1</v>
      </c>
      <c r="Z10149">
        <v>0</v>
      </c>
      <c r="AA10149">
        <v>0</v>
      </c>
      <c r="AB10149">
        <v>1</v>
      </c>
      <c r="AC10149">
        <v>0</v>
      </c>
      <c r="AD10149">
        <v>1</v>
      </c>
      <c r="AE10149">
        <v>1</v>
      </c>
      <c r="AF10149">
        <v>1</v>
      </c>
      <c r="AG10149">
        <v>1</v>
      </c>
      <c r="AH10149">
        <v>1</v>
      </c>
      <c r="AI10149">
        <v>1</v>
      </c>
      <c r="AJ10149">
        <v>1</v>
      </c>
      <c r="AK10149">
        <v>1</v>
      </c>
      <c r="AL10149">
        <v>1</v>
      </c>
      <c r="AM10149">
        <v>1</v>
      </c>
    </row>
    <row r="10150" spans="1:39" x14ac:dyDescent="0.2">
      <c r="A10150" t="str">
        <f>"10146"</f>
        <v>10146</v>
      </c>
      <c r="B10150" t="str">
        <f t="shared" si="562"/>
        <v>1</v>
      </c>
      <c r="C10150" t="str">
        <f t="shared" si="564"/>
        <v>203</v>
      </c>
      <c r="D10150" t="str">
        <f>"31"</f>
        <v>31</v>
      </c>
      <c r="E10150" t="str">
        <f>"1-203-31"</f>
        <v>1-203-31</v>
      </c>
      <c r="F10150" t="s">
        <v>65</v>
      </c>
      <c r="G10150" t="s">
        <v>66</v>
      </c>
      <c r="H10150" t="s">
        <v>67</v>
      </c>
      <c r="S10150">
        <v>1</v>
      </c>
      <c r="T10150">
        <v>0</v>
      </c>
      <c r="U10150">
        <v>0</v>
      </c>
      <c r="V10150">
        <v>0</v>
      </c>
      <c r="W10150">
        <v>1</v>
      </c>
      <c r="X10150">
        <v>0</v>
      </c>
      <c r="Y10150">
        <v>1</v>
      </c>
      <c r="Z10150">
        <v>0</v>
      </c>
      <c r="AA10150">
        <v>1</v>
      </c>
      <c r="AB10150">
        <v>0</v>
      </c>
      <c r="AC10150">
        <v>0</v>
      </c>
      <c r="AD10150">
        <v>1</v>
      </c>
      <c r="AE10150">
        <v>1</v>
      </c>
      <c r="AF10150">
        <v>1</v>
      </c>
      <c r="AG10150">
        <v>1</v>
      </c>
      <c r="AH10150">
        <v>1</v>
      </c>
      <c r="AI10150">
        <v>1</v>
      </c>
      <c r="AJ10150">
        <v>1</v>
      </c>
      <c r="AK10150">
        <v>1</v>
      </c>
      <c r="AL10150">
        <v>1</v>
      </c>
      <c r="AM10150">
        <v>1</v>
      </c>
    </row>
    <row r="10151" spans="1:39" x14ac:dyDescent="0.2">
      <c r="A10151" t="str">
        <f>"10147"</f>
        <v>10147</v>
      </c>
      <c r="B10151" t="str">
        <f t="shared" si="562"/>
        <v>1</v>
      </c>
      <c r="C10151" t="str">
        <f t="shared" si="564"/>
        <v>203</v>
      </c>
      <c r="D10151" t="str">
        <f>"10"</f>
        <v>10</v>
      </c>
      <c r="E10151" t="str">
        <f>"1-203-10"</f>
        <v>1-203-10</v>
      </c>
      <c r="F10151" t="s">
        <v>65</v>
      </c>
      <c r="G10151" t="s">
        <v>66</v>
      </c>
      <c r="H10151" t="s">
        <v>67</v>
      </c>
      <c r="S10151">
        <v>1</v>
      </c>
      <c r="T10151">
        <v>0</v>
      </c>
      <c r="U10151">
        <v>0</v>
      </c>
      <c r="V10151">
        <v>0</v>
      </c>
      <c r="W10151">
        <v>1</v>
      </c>
      <c r="X10151">
        <v>0</v>
      </c>
      <c r="Y10151">
        <v>0</v>
      </c>
      <c r="Z10151">
        <v>1</v>
      </c>
      <c r="AA10151">
        <v>0</v>
      </c>
      <c r="AB10151">
        <v>0</v>
      </c>
      <c r="AC10151">
        <v>1</v>
      </c>
      <c r="AD10151">
        <v>1</v>
      </c>
      <c r="AE10151">
        <v>1</v>
      </c>
      <c r="AF10151">
        <v>1</v>
      </c>
      <c r="AG10151">
        <v>1</v>
      </c>
      <c r="AH10151">
        <v>1</v>
      </c>
      <c r="AI10151">
        <v>1</v>
      </c>
      <c r="AJ10151">
        <v>1</v>
      </c>
      <c r="AK10151">
        <v>1</v>
      </c>
      <c r="AL10151">
        <v>1</v>
      </c>
      <c r="AM10151">
        <v>1</v>
      </c>
    </row>
    <row r="10152" spans="1:39" x14ac:dyDescent="0.2">
      <c r="A10152" t="str">
        <f>"10148"</f>
        <v>10148</v>
      </c>
      <c r="B10152" t="str">
        <f t="shared" si="562"/>
        <v>1</v>
      </c>
      <c r="C10152" t="str">
        <f t="shared" si="564"/>
        <v>203</v>
      </c>
      <c r="D10152" t="str">
        <f>"47"</f>
        <v>47</v>
      </c>
      <c r="E10152" t="str">
        <f>"1-203-47"</f>
        <v>1-203-47</v>
      </c>
      <c r="F10152" t="s">
        <v>65</v>
      </c>
      <c r="G10152" t="s">
        <v>66</v>
      </c>
      <c r="H10152" t="s">
        <v>67</v>
      </c>
      <c r="S10152">
        <v>1</v>
      </c>
      <c r="T10152">
        <v>0</v>
      </c>
      <c r="U10152">
        <v>0</v>
      </c>
      <c r="V10152">
        <v>0</v>
      </c>
      <c r="W10152">
        <v>1</v>
      </c>
      <c r="X10152">
        <v>0</v>
      </c>
      <c r="Y10152">
        <v>1</v>
      </c>
      <c r="Z10152">
        <v>0</v>
      </c>
      <c r="AA10152">
        <v>0</v>
      </c>
      <c r="AB10152">
        <v>1</v>
      </c>
      <c r="AC10152">
        <v>0</v>
      </c>
      <c r="AD10152">
        <v>1</v>
      </c>
      <c r="AE10152">
        <v>1</v>
      </c>
      <c r="AF10152">
        <v>1</v>
      </c>
      <c r="AG10152">
        <v>1</v>
      </c>
      <c r="AH10152">
        <v>1</v>
      </c>
      <c r="AI10152">
        <v>1</v>
      </c>
      <c r="AJ10152">
        <v>1</v>
      </c>
      <c r="AK10152">
        <v>1</v>
      </c>
      <c r="AL10152">
        <v>1</v>
      </c>
      <c r="AM10152">
        <v>1</v>
      </c>
    </row>
    <row r="10153" spans="1:39" x14ac:dyDescent="0.2">
      <c r="A10153" t="str">
        <f>"10149"</f>
        <v>10149</v>
      </c>
      <c r="B10153" t="str">
        <f t="shared" si="562"/>
        <v>1</v>
      </c>
      <c r="C10153" t="str">
        <f t="shared" si="564"/>
        <v>203</v>
      </c>
      <c r="D10153" t="str">
        <f>"32"</f>
        <v>32</v>
      </c>
      <c r="E10153" t="str">
        <f>"1-203-32"</f>
        <v>1-203-32</v>
      </c>
      <c r="F10153" t="s">
        <v>65</v>
      </c>
      <c r="G10153" t="s">
        <v>66</v>
      </c>
      <c r="H10153" t="s">
        <v>67</v>
      </c>
      <c r="S10153">
        <v>1</v>
      </c>
      <c r="T10153">
        <v>0</v>
      </c>
      <c r="U10153">
        <v>0</v>
      </c>
      <c r="V10153">
        <v>0</v>
      </c>
      <c r="W10153">
        <v>1</v>
      </c>
      <c r="X10153">
        <v>0</v>
      </c>
      <c r="Y10153">
        <v>1</v>
      </c>
      <c r="Z10153">
        <v>0</v>
      </c>
      <c r="AA10153">
        <v>1</v>
      </c>
      <c r="AB10153">
        <v>0</v>
      </c>
      <c r="AC10153">
        <v>0</v>
      </c>
      <c r="AD10153">
        <v>1</v>
      </c>
      <c r="AE10153">
        <v>0</v>
      </c>
      <c r="AF10153">
        <v>1</v>
      </c>
      <c r="AG10153">
        <v>1</v>
      </c>
      <c r="AH10153">
        <v>1</v>
      </c>
      <c r="AI10153">
        <v>1</v>
      </c>
      <c r="AJ10153">
        <v>1</v>
      </c>
      <c r="AK10153">
        <v>1</v>
      </c>
      <c r="AL10153">
        <v>1</v>
      </c>
      <c r="AM10153">
        <v>1</v>
      </c>
    </row>
    <row r="10154" spans="1:39" x14ac:dyDescent="0.2">
      <c r="A10154" t="str">
        <f>"10150"</f>
        <v>10150</v>
      </c>
      <c r="B10154" t="str">
        <f t="shared" si="562"/>
        <v>1</v>
      </c>
      <c r="C10154" t="str">
        <f t="shared" si="564"/>
        <v>203</v>
      </c>
      <c r="D10154" t="str">
        <f>"7"</f>
        <v>7</v>
      </c>
      <c r="E10154" t="str">
        <f>"1-203-7"</f>
        <v>1-203-7</v>
      </c>
      <c r="F10154" t="s">
        <v>65</v>
      </c>
      <c r="G10154" t="s">
        <v>66</v>
      </c>
      <c r="H10154" t="s">
        <v>67</v>
      </c>
      <c r="S10154">
        <v>1</v>
      </c>
      <c r="T10154">
        <v>0</v>
      </c>
      <c r="U10154">
        <v>0</v>
      </c>
      <c r="V10154">
        <v>0</v>
      </c>
      <c r="W10154">
        <v>1</v>
      </c>
      <c r="X10154">
        <v>0</v>
      </c>
      <c r="Y10154">
        <v>0</v>
      </c>
      <c r="Z10154">
        <v>1</v>
      </c>
      <c r="AA10154">
        <v>0</v>
      </c>
      <c r="AB10154">
        <v>1</v>
      </c>
      <c r="AC10154">
        <v>0</v>
      </c>
      <c r="AD10154">
        <v>1</v>
      </c>
      <c r="AE10154">
        <v>1</v>
      </c>
      <c r="AF10154">
        <v>1</v>
      </c>
      <c r="AG10154">
        <v>1</v>
      </c>
      <c r="AH10154">
        <v>1</v>
      </c>
      <c r="AI10154">
        <v>1</v>
      </c>
      <c r="AJ10154">
        <v>1</v>
      </c>
      <c r="AK10154">
        <v>1</v>
      </c>
      <c r="AL10154">
        <v>1</v>
      </c>
      <c r="AM10154">
        <v>1</v>
      </c>
    </row>
    <row r="10155" spans="1:39" x14ac:dyDescent="0.2">
      <c r="A10155" t="str">
        <f>"10151"</f>
        <v>10151</v>
      </c>
      <c r="B10155" t="str">
        <f t="shared" si="562"/>
        <v>1</v>
      </c>
      <c r="C10155" t="str">
        <f t="shared" ref="C10155:C10186" si="565">"204"</f>
        <v>204</v>
      </c>
      <c r="D10155" t="str">
        <f>"47"</f>
        <v>47</v>
      </c>
      <c r="E10155" t="str">
        <f>"1-204-47"</f>
        <v>1-204-47</v>
      </c>
      <c r="F10155" t="s">
        <v>65</v>
      </c>
      <c r="G10155" t="s">
        <v>66</v>
      </c>
      <c r="H10155" t="s">
        <v>67</v>
      </c>
      <c r="S10155">
        <v>1</v>
      </c>
      <c r="T10155">
        <v>0</v>
      </c>
      <c r="U10155">
        <v>0</v>
      </c>
      <c r="V10155">
        <v>0</v>
      </c>
      <c r="W10155">
        <v>1</v>
      </c>
      <c r="X10155">
        <v>0</v>
      </c>
      <c r="Y10155">
        <v>0</v>
      </c>
      <c r="Z10155">
        <v>1</v>
      </c>
      <c r="AA10155">
        <v>0</v>
      </c>
      <c r="AB10155">
        <v>0</v>
      </c>
      <c r="AC10155">
        <v>1</v>
      </c>
      <c r="AD10155">
        <v>1</v>
      </c>
      <c r="AE10155">
        <v>1</v>
      </c>
      <c r="AF10155">
        <v>1</v>
      </c>
      <c r="AG10155">
        <v>1</v>
      </c>
      <c r="AH10155">
        <v>1</v>
      </c>
      <c r="AI10155">
        <v>1</v>
      </c>
      <c r="AJ10155">
        <v>1</v>
      </c>
      <c r="AK10155">
        <v>1</v>
      </c>
      <c r="AL10155">
        <v>1</v>
      </c>
      <c r="AM10155">
        <v>1</v>
      </c>
    </row>
    <row r="10156" spans="1:39" x14ac:dyDescent="0.2">
      <c r="A10156" t="str">
        <f>"10152"</f>
        <v>10152</v>
      </c>
      <c r="B10156" t="str">
        <f t="shared" si="562"/>
        <v>1</v>
      </c>
      <c r="C10156" t="str">
        <f t="shared" si="565"/>
        <v>204</v>
      </c>
      <c r="D10156" t="str">
        <f>"46"</f>
        <v>46</v>
      </c>
      <c r="E10156" t="str">
        <f>"1-204-46"</f>
        <v>1-204-46</v>
      </c>
      <c r="F10156" t="s">
        <v>65</v>
      </c>
      <c r="G10156" t="s">
        <v>66</v>
      </c>
      <c r="H10156" t="s">
        <v>67</v>
      </c>
      <c r="S10156">
        <v>1</v>
      </c>
      <c r="T10156">
        <v>0</v>
      </c>
      <c r="U10156">
        <v>0</v>
      </c>
      <c r="V10156">
        <v>0</v>
      </c>
      <c r="W10156">
        <v>1</v>
      </c>
      <c r="X10156">
        <v>0</v>
      </c>
      <c r="Y10156">
        <v>0</v>
      </c>
      <c r="Z10156">
        <v>1</v>
      </c>
      <c r="AA10156">
        <v>1</v>
      </c>
      <c r="AB10156">
        <v>0</v>
      </c>
      <c r="AC10156">
        <v>0</v>
      </c>
      <c r="AD10156">
        <v>1</v>
      </c>
      <c r="AE10156">
        <v>1</v>
      </c>
      <c r="AF10156">
        <v>1</v>
      </c>
      <c r="AG10156">
        <v>1</v>
      </c>
      <c r="AH10156">
        <v>1</v>
      </c>
      <c r="AI10156">
        <v>1</v>
      </c>
      <c r="AJ10156">
        <v>1</v>
      </c>
      <c r="AK10156">
        <v>1</v>
      </c>
      <c r="AL10156">
        <v>1</v>
      </c>
      <c r="AM10156">
        <v>1</v>
      </c>
    </row>
    <row r="10157" spans="1:39" x14ac:dyDescent="0.2">
      <c r="A10157" t="str">
        <f>"10153"</f>
        <v>10153</v>
      </c>
      <c r="B10157" t="str">
        <f t="shared" si="562"/>
        <v>1</v>
      </c>
      <c r="C10157" t="str">
        <f t="shared" si="565"/>
        <v>204</v>
      </c>
      <c r="D10157" t="str">
        <f>"36"</f>
        <v>36</v>
      </c>
      <c r="E10157" t="str">
        <f>"1-204-36"</f>
        <v>1-204-36</v>
      </c>
      <c r="F10157" t="s">
        <v>65</v>
      </c>
      <c r="G10157" t="s">
        <v>66</v>
      </c>
      <c r="H10157" t="s">
        <v>67</v>
      </c>
      <c r="S10157">
        <v>0</v>
      </c>
      <c r="T10157">
        <v>1</v>
      </c>
      <c r="U10157">
        <v>0</v>
      </c>
      <c r="V10157">
        <v>0</v>
      </c>
      <c r="W10157">
        <v>1</v>
      </c>
      <c r="X10157">
        <v>0</v>
      </c>
      <c r="Y10157">
        <v>0</v>
      </c>
      <c r="Z10157">
        <v>1</v>
      </c>
      <c r="AA10157">
        <v>0</v>
      </c>
      <c r="AB10157">
        <v>0</v>
      </c>
      <c r="AC10157">
        <v>1</v>
      </c>
      <c r="AD10157">
        <v>1</v>
      </c>
      <c r="AE10157">
        <v>1</v>
      </c>
      <c r="AF10157">
        <v>1</v>
      </c>
      <c r="AG10157">
        <v>1</v>
      </c>
      <c r="AH10157">
        <v>1</v>
      </c>
      <c r="AI10157">
        <v>1</v>
      </c>
      <c r="AJ10157">
        <v>1</v>
      </c>
      <c r="AK10157">
        <v>1</v>
      </c>
      <c r="AL10157">
        <v>1</v>
      </c>
      <c r="AM10157">
        <v>1</v>
      </c>
    </row>
    <row r="10158" spans="1:39" x14ac:dyDescent="0.2">
      <c r="A10158" t="str">
        <f>"10154"</f>
        <v>10154</v>
      </c>
      <c r="B10158" t="str">
        <f t="shared" si="562"/>
        <v>1</v>
      </c>
      <c r="C10158" t="str">
        <f t="shared" si="565"/>
        <v>204</v>
      </c>
      <c r="D10158" t="str">
        <f>"35"</f>
        <v>35</v>
      </c>
      <c r="E10158" t="str">
        <f>"1-204-35"</f>
        <v>1-204-35</v>
      </c>
      <c r="F10158" t="s">
        <v>65</v>
      </c>
      <c r="G10158" t="s">
        <v>66</v>
      </c>
      <c r="H10158" t="s">
        <v>67</v>
      </c>
      <c r="S10158">
        <v>0</v>
      </c>
      <c r="T10158">
        <v>1</v>
      </c>
      <c r="U10158">
        <v>0</v>
      </c>
      <c r="V10158">
        <v>0</v>
      </c>
      <c r="W10158">
        <v>0</v>
      </c>
      <c r="X10158">
        <v>1</v>
      </c>
      <c r="Y10158">
        <v>0</v>
      </c>
      <c r="Z10158">
        <v>1</v>
      </c>
      <c r="AA10158">
        <v>0</v>
      </c>
      <c r="AB10158">
        <v>0</v>
      </c>
      <c r="AC10158">
        <v>1</v>
      </c>
      <c r="AD10158">
        <v>0</v>
      </c>
      <c r="AE10158">
        <v>0</v>
      </c>
      <c r="AF10158">
        <v>0</v>
      </c>
      <c r="AG10158">
        <v>1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</row>
    <row r="10159" spans="1:39" x14ac:dyDescent="0.2">
      <c r="A10159" t="str">
        <f>"10155"</f>
        <v>10155</v>
      </c>
      <c r="B10159" t="str">
        <f t="shared" si="562"/>
        <v>1</v>
      </c>
      <c r="C10159" t="str">
        <f t="shared" si="565"/>
        <v>204</v>
      </c>
      <c r="D10159" t="str">
        <f>"21"</f>
        <v>21</v>
      </c>
      <c r="E10159" t="str">
        <f>"1-204-21"</f>
        <v>1-204-21</v>
      </c>
      <c r="F10159" t="s">
        <v>65</v>
      </c>
      <c r="G10159" t="s">
        <v>66</v>
      </c>
      <c r="H10159" t="s">
        <v>67</v>
      </c>
      <c r="S10159">
        <v>1</v>
      </c>
      <c r="T10159">
        <v>0</v>
      </c>
      <c r="U10159">
        <v>0</v>
      </c>
      <c r="V10159">
        <v>0</v>
      </c>
      <c r="W10159">
        <v>0</v>
      </c>
      <c r="X10159">
        <v>1</v>
      </c>
      <c r="Y10159">
        <v>1</v>
      </c>
      <c r="Z10159">
        <v>0</v>
      </c>
      <c r="AA10159">
        <v>0</v>
      </c>
      <c r="AB10159">
        <v>0</v>
      </c>
      <c r="AC10159">
        <v>1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</row>
    <row r="10160" spans="1:39" x14ac:dyDescent="0.2">
      <c r="A10160" t="str">
        <f>"10156"</f>
        <v>10156</v>
      </c>
      <c r="B10160" t="str">
        <f t="shared" si="562"/>
        <v>1</v>
      </c>
      <c r="C10160" t="str">
        <f t="shared" si="565"/>
        <v>204</v>
      </c>
      <c r="D10160" t="str">
        <f>"20"</f>
        <v>20</v>
      </c>
      <c r="E10160" t="str">
        <f>"1-204-20"</f>
        <v>1-204-20</v>
      </c>
      <c r="F10160" t="s">
        <v>65</v>
      </c>
      <c r="G10160" t="s">
        <v>66</v>
      </c>
      <c r="H10160" t="s">
        <v>67</v>
      </c>
      <c r="S10160">
        <v>0</v>
      </c>
      <c r="T10160">
        <v>0</v>
      </c>
      <c r="U10160">
        <v>0</v>
      </c>
      <c r="V10160">
        <v>0</v>
      </c>
      <c r="W10160">
        <v>1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</row>
    <row r="10161" spans="1:39" x14ac:dyDescent="0.2">
      <c r="A10161" t="str">
        <f>"10157"</f>
        <v>10157</v>
      </c>
      <c r="B10161" t="str">
        <f t="shared" si="562"/>
        <v>1</v>
      </c>
      <c r="C10161" t="str">
        <f t="shared" si="565"/>
        <v>204</v>
      </c>
      <c r="D10161" t="str">
        <f>"17"</f>
        <v>17</v>
      </c>
      <c r="E10161" t="str">
        <f>"1-204-17"</f>
        <v>1-204-17</v>
      </c>
      <c r="F10161" t="s">
        <v>65</v>
      </c>
      <c r="G10161" t="s">
        <v>66</v>
      </c>
      <c r="H10161" t="s">
        <v>67</v>
      </c>
      <c r="S10161">
        <v>1</v>
      </c>
      <c r="T10161">
        <v>0</v>
      </c>
      <c r="U10161">
        <v>0</v>
      </c>
      <c r="V10161">
        <v>0</v>
      </c>
      <c r="W10161">
        <v>1</v>
      </c>
      <c r="X10161">
        <v>0</v>
      </c>
      <c r="Y10161">
        <v>1</v>
      </c>
      <c r="Z10161">
        <v>0</v>
      </c>
      <c r="AA10161">
        <v>1</v>
      </c>
      <c r="AB10161">
        <v>0</v>
      </c>
      <c r="AC10161">
        <v>0</v>
      </c>
      <c r="AD10161">
        <v>1</v>
      </c>
      <c r="AE10161">
        <v>1</v>
      </c>
      <c r="AF10161">
        <v>1</v>
      </c>
      <c r="AG10161">
        <v>1</v>
      </c>
      <c r="AH10161">
        <v>1</v>
      </c>
      <c r="AI10161">
        <v>1</v>
      </c>
      <c r="AJ10161">
        <v>1</v>
      </c>
      <c r="AK10161">
        <v>1</v>
      </c>
      <c r="AL10161">
        <v>1</v>
      </c>
      <c r="AM10161">
        <v>1</v>
      </c>
    </row>
    <row r="10162" spans="1:39" x14ac:dyDescent="0.2">
      <c r="A10162" t="str">
        <f>"10158"</f>
        <v>10158</v>
      </c>
      <c r="B10162" t="str">
        <f t="shared" si="562"/>
        <v>1</v>
      </c>
      <c r="C10162" t="str">
        <f t="shared" si="565"/>
        <v>204</v>
      </c>
      <c r="D10162" t="str">
        <f>"15"</f>
        <v>15</v>
      </c>
      <c r="E10162" t="str">
        <f>"1-204-15"</f>
        <v>1-204-15</v>
      </c>
      <c r="F10162" t="s">
        <v>65</v>
      </c>
      <c r="G10162" t="s">
        <v>66</v>
      </c>
      <c r="H10162" t="s">
        <v>67</v>
      </c>
      <c r="S10162">
        <v>1</v>
      </c>
      <c r="T10162">
        <v>0</v>
      </c>
      <c r="U10162">
        <v>0</v>
      </c>
      <c r="V10162">
        <v>0</v>
      </c>
      <c r="W10162">
        <v>1</v>
      </c>
      <c r="X10162">
        <v>0</v>
      </c>
      <c r="Y10162">
        <v>1</v>
      </c>
      <c r="Z10162">
        <v>0</v>
      </c>
      <c r="AA10162">
        <v>1</v>
      </c>
      <c r="AB10162">
        <v>0</v>
      </c>
      <c r="AC10162">
        <v>0</v>
      </c>
      <c r="AD10162">
        <v>1</v>
      </c>
      <c r="AE10162">
        <v>1</v>
      </c>
      <c r="AF10162">
        <v>1</v>
      </c>
      <c r="AG10162">
        <v>1</v>
      </c>
      <c r="AH10162">
        <v>1</v>
      </c>
      <c r="AI10162">
        <v>1</v>
      </c>
      <c r="AJ10162">
        <v>1</v>
      </c>
      <c r="AK10162">
        <v>1</v>
      </c>
      <c r="AL10162">
        <v>1</v>
      </c>
      <c r="AM10162">
        <v>1</v>
      </c>
    </row>
    <row r="10163" spans="1:39" x14ac:dyDescent="0.2">
      <c r="A10163" t="str">
        <f>"10159"</f>
        <v>10159</v>
      </c>
      <c r="B10163" t="str">
        <f t="shared" si="562"/>
        <v>1</v>
      </c>
      <c r="C10163" t="str">
        <f t="shared" si="565"/>
        <v>204</v>
      </c>
      <c r="D10163" t="str">
        <f>"1"</f>
        <v>1</v>
      </c>
      <c r="E10163" t="str">
        <f>"1-204-1"</f>
        <v>1-204-1</v>
      </c>
      <c r="F10163" t="s">
        <v>65</v>
      </c>
      <c r="G10163" t="s">
        <v>66</v>
      </c>
      <c r="H10163" t="s">
        <v>67</v>
      </c>
      <c r="S10163">
        <v>1</v>
      </c>
      <c r="T10163">
        <v>0</v>
      </c>
      <c r="U10163">
        <v>0</v>
      </c>
      <c r="V10163">
        <v>0</v>
      </c>
      <c r="W10163">
        <v>1</v>
      </c>
      <c r="X10163">
        <v>0</v>
      </c>
      <c r="Y10163">
        <v>1</v>
      </c>
      <c r="Z10163">
        <v>0</v>
      </c>
      <c r="AA10163">
        <v>1</v>
      </c>
      <c r="AB10163">
        <v>0</v>
      </c>
      <c r="AC10163">
        <v>0</v>
      </c>
      <c r="AD10163">
        <v>1</v>
      </c>
      <c r="AE10163">
        <v>1</v>
      </c>
      <c r="AF10163">
        <v>0</v>
      </c>
      <c r="AG10163">
        <v>1</v>
      </c>
      <c r="AH10163">
        <v>0</v>
      </c>
      <c r="AI10163">
        <v>1</v>
      </c>
      <c r="AJ10163">
        <v>1</v>
      </c>
      <c r="AK10163">
        <v>1</v>
      </c>
      <c r="AL10163">
        <v>1</v>
      </c>
      <c r="AM10163">
        <v>1</v>
      </c>
    </row>
    <row r="10164" spans="1:39" x14ac:dyDescent="0.2">
      <c r="A10164" t="str">
        <f>"10160"</f>
        <v>10160</v>
      </c>
      <c r="B10164" t="str">
        <f t="shared" si="562"/>
        <v>1</v>
      </c>
      <c r="C10164" t="str">
        <f t="shared" si="565"/>
        <v>204</v>
      </c>
      <c r="D10164" t="str">
        <f>"34"</f>
        <v>34</v>
      </c>
      <c r="E10164" t="str">
        <f>"1-204-34"</f>
        <v>1-204-34</v>
      </c>
      <c r="F10164" t="s">
        <v>65</v>
      </c>
      <c r="G10164" t="s">
        <v>66</v>
      </c>
      <c r="H10164" t="s">
        <v>67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1</v>
      </c>
      <c r="Y10164">
        <v>1</v>
      </c>
      <c r="Z10164">
        <v>0</v>
      </c>
      <c r="AA10164">
        <v>0</v>
      </c>
      <c r="AB10164">
        <v>1</v>
      </c>
      <c r="AC10164">
        <v>0</v>
      </c>
      <c r="AD10164">
        <v>0</v>
      </c>
      <c r="AE10164">
        <v>1</v>
      </c>
      <c r="AF10164">
        <v>1</v>
      </c>
      <c r="AG10164">
        <v>1</v>
      </c>
      <c r="AH10164">
        <v>1</v>
      </c>
      <c r="AI10164">
        <v>1</v>
      </c>
      <c r="AJ10164">
        <v>1</v>
      </c>
      <c r="AK10164">
        <v>1</v>
      </c>
      <c r="AL10164">
        <v>1</v>
      </c>
      <c r="AM10164">
        <v>1</v>
      </c>
    </row>
    <row r="10165" spans="1:39" x14ac:dyDescent="0.2">
      <c r="A10165" t="str">
        <f>"10161"</f>
        <v>10161</v>
      </c>
      <c r="B10165" t="str">
        <f t="shared" si="562"/>
        <v>1</v>
      </c>
      <c r="C10165" t="str">
        <f t="shared" si="565"/>
        <v>204</v>
      </c>
      <c r="D10165" t="str">
        <f>"33"</f>
        <v>33</v>
      </c>
      <c r="E10165" t="str">
        <f>"1-204-33"</f>
        <v>1-204-33</v>
      </c>
      <c r="F10165" t="s">
        <v>65</v>
      </c>
      <c r="G10165" t="s">
        <v>66</v>
      </c>
      <c r="H10165" t="s">
        <v>67</v>
      </c>
      <c r="S10165">
        <v>1</v>
      </c>
      <c r="T10165">
        <v>0</v>
      </c>
      <c r="U10165">
        <v>0</v>
      </c>
      <c r="V10165">
        <v>0</v>
      </c>
      <c r="W10165">
        <v>1</v>
      </c>
      <c r="X10165">
        <v>0</v>
      </c>
      <c r="Y10165">
        <v>1</v>
      </c>
      <c r="Z10165">
        <v>0</v>
      </c>
      <c r="AA10165">
        <v>1</v>
      </c>
      <c r="AB10165">
        <v>0</v>
      </c>
      <c r="AC10165">
        <v>0</v>
      </c>
      <c r="AD10165">
        <v>1</v>
      </c>
      <c r="AE10165">
        <v>1</v>
      </c>
      <c r="AF10165">
        <v>1</v>
      </c>
      <c r="AG10165">
        <v>1</v>
      </c>
      <c r="AH10165">
        <v>1</v>
      </c>
      <c r="AI10165">
        <v>1</v>
      </c>
      <c r="AJ10165">
        <v>1</v>
      </c>
      <c r="AK10165">
        <v>1</v>
      </c>
      <c r="AL10165">
        <v>1</v>
      </c>
      <c r="AM10165">
        <v>1</v>
      </c>
    </row>
    <row r="10166" spans="1:39" x14ac:dyDescent="0.2">
      <c r="A10166" t="str">
        <f>"10162"</f>
        <v>10162</v>
      </c>
      <c r="B10166" t="str">
        <f t="shared" si="562"/>
        <v>1</v>
      </c>
      <c r="C10166" t="str">
        <f t="shared" si="565"/>
        <v>204</v>
      </c>
      <c r="D10166" t="str">
        <f>"22"</f>
        <v>22</v>
      </c>
      <c r="E10166" t="str">
        <f>"1-204-22"</f>
        <v>1-204-22</v>
      </c>
      <c r="F10166" t="s">
        <v>65</v>
      </c>
      <c r="G10166" t="s">
        <v>66</v>
      </c>
      <c r="H10166" t="s">
        <v>67</v>
      </c>
      <c r="S10166">
        <v>1</v>
      </c>
      <c r="T10166">
        <v>0</v>
      </c>
      <c r="U10166">
        <v>0</v>
      </c>
      <c r="V10166">
        <v>0</v>
      </c>
      <c r="W10166">
        <v>1</v>
      </c>
      <c r="X10166">
        <v>0</v>
      </c>
      <c r="Y10166">
        <v>1</v>
      </c>
      <c r="Z10166">
        <v>0</v>
      </c>
      <c r="AA10166">
        <v>1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</row>
    <row r="10167" spans="1:39" x14ac:dyDescent="0.2">
      <c r="A10167" t="str">
        <f>"10163"</f>
        <v>10163</v>
      </c>
      <c r="B10167" t="str">
        <f t="shared" ref="B10167:B10230" si="566">"1"</f>
        <v>1</v>
      </c>
      <c r="C10167" t="str">
        <f t="shared" si="565"/>
        <v>204</v>
      </c>
      <c r="D10167" t="str">
        <f>"16"</f>
        <v>16</v>
      </c>
      <c r="E10167" t="str">
        <f>"1-204-16"</f>
        <v>1-204-16</v>
      </c>
      <c r="F10167" t="s">
        <v>65</v>
      </c>
      <c r="G10167" t="s">
        <v>66</v>
      </c>
      <c r="H10167" t="s">
        <v>67</v>
      </c>
      <c r="S10167">
        <v>1</v>
      </c>
      <c r="T10167">
        <v>0</v>
      </c>
      <c r="U10167">
        <v>0</v>
      </c>
      <c r="V10167">
        <v>0</v>
      </c>
      <c r="W10167">
        <v>1</v>
      </c>
      <c r="X10167">
        <v>0</v>
      </c>
      <c r="Y10167">
        <v>1</v>
      </c>
      <c r="Z10167">
        <v>0</v>
      </c>
      <c r="AA10167">
        <v>1</v>
      </c>
      <c r="AB10167">
        <v>0</v>
      </c>
      <c r="AC10167">
        <v>0</v>
      </c>
      <c r="AD10167">
        <v>1</v>
      </c>
      <c r="AE10167">
        <v>1</v>
      </c>
      <c r="AF10167">
        <v>1</v>
      </c>
      <c r="AG10167">
        <v>1</v>
      </c>
      <c r="AH10167">
        <v>1</v>
      </c>
      <c r="AI10167">
        <v>1</v>
      </c>
      <c r="AJ10167">
        <v>1</v>
      </c>
      <c r="AK10167">
        <v>1</v>
      </c>
      <c r="AL10167">
        <v>1</v>
      </c>
      <c r="AM10167">
        <v>1</v>
      </c>
    </row>
    <row r="10168" spans="1:39" x14ac:dyDescent="0.2">
      <c r="A10168" t="str">
        <f>"10164"</f>
        <v>10164</v>
      </c>
      <c r="B10168" t="str">
        <f t="shared" si="566"/>
        <v>1</v>
      </c>
      <c r="C10168" t="str">
        <f t="shared" si="565"/>
        <v>204</v>
      </c>
      <c r="D10168" t="str">
        <f>"2"</f>
        <v>2</v>
      </c>
      <c r="E10168" t="str">
        <f>"1-204-2"</f>
        <v>1-204-2</v>
      </c>
      <c r="F10168" t="s">
        <v>65</v>
      </c>
      <c r="G10168" t="s">
        <v>66</v>
      </c>
      <c r="H10168" t="s">
        <v>67</v>
      </c>
      <c r="S10168">
        <v>1</v>
      </c>
      <c r="T10168">
        <v>0</v>
      </c>
      <c r="U10168">
        <v>0</v>
      </c>
      <c r="V10168">
        <v>0</v>
      </c>
      <c r="W10168">
        <v>1</v>
      </c>
      <c r="X10168">
        <v>0</v>
      </c>
      <c r="Y10168">
        <v>1</v>
      </c>
      <c r="Z10168">
        <v>0</v>
      </c>
      <c r="AA10168">
        <v>1</v>
      </c>
      <c r="AB10168">
        <v>0</v>
      </c>
      <c r="AC10168">
        <v>0</v>
      </c>
      <c r="AD10168">
        <v>1</v>
      </c>
      <c r="AE10168">
        <v>1</v>
      </c>
      <c r="AF10168">
        <v>1</v>
      </c>
      <c r="AG10168">
        <v>1</v>
      </c>
      <c r="AH10168">
        <v>1</v>
      </c>
      <c r="AI10168">
        <v>1</v>
      </c>
      <c r="AJ10168">
        <v>1</v>
      </c>
      <c r="AK10168">
        <v>1</v>
      </c>
      <c r="AL10168">
        <v>1</v>
      </c>
      <c r="AM10168">
        <v>1</v>
      </c>
    </row>
    <row r="10169" spans="1:39" x14ac:dyDescent="0.2">
      <c r="A10169" t="str">
        <f>"10165"</f>
        <v>10165</v>
      </c>
      <c r="B10169" t="str">
        <f t="shared" si="566"/>
        <v>1</v>
      </c>
      <c r="C10169" t="str">
        <f t="shared" si="565"/>
        <v>204</v>
      </c>
      <c r="D10169" t="str">
        <f>"38"</f>
        <v>38</v>
      </c>
      <c r="E10169" t="str">
        <f>"1-204-38"</f>
        <v>1-204-38</v>
      </c>
      <c r="F10169" t="s">
        <v>65</v>
      </c>
      <c r="G10169" t="s">
        <v>66</v>
      </c>
      <c r="H10169" t="s">
        <v>67</v>
      </c>
      <c r="S10169">
        <v>0</v>
      </c>
      <c r="T10169">
        <v>1</v>
      </c>
      <c r="U10169">
        <v>0</v>
      </c>
      <c r="V10169">
        <v>0</v>
      </c>
      <c r="W10169">
        <v>1</v>
      </c>
      <c r="X10169">
        <v>0</v>
      </c>
      <c r="Y10169">
        <v>0</v>
      </c>
      <c r="Z10169">
        <v>1</v>
      </c>
      <c r="AA10169">
        <v>0</v>
      </c>
      <c r="AB10169">
        <v>0</v>
      </c>
      <c r="AC10169">
        <v>1</v>
      </c>
      <c r="AD10169">
        <v>1</v>
      </c>
      <c r="AE10169">
        <v>1</v>
      </c>
      <c r="AF10169">
        <v>1</v>
      </c>
      <c r="AG10169">
        <v>1</v>
      </c>
      <c r="AH10169">
        <v>0</v>
      </c>
      <c r="AI10169">
        <v>1</v>
      </c>
      <c r="AJ10169">
        <v>1</v>
      </c>
      <c r="AK10169">
        <v>1</v>
      </c>
      <c r="AL10169">
        <v>1</v>
      </c>
      <c r="AM10169">
        <v>1</v>
      </c>
    </row>
    <row r="10170" spans="1:39" x14ac:dyDescent="0.2">
      <c r="A10170" t="str">
        <f>"10166"</f>
        <v>10166</v>
      </c>
      <c r="B10170" t="str">
        <f t="shared" si="566"/>
        <v>1</v>
      </c>
      <c r="C10170" t="str">
        <f t="shared" si="565"/>
        <v>204</v>
      </c>
      <c r="D10170" t="str">
        <f>"18"</f>
        <v>18</v>
      </c>
      <c r="E10170" t="str">
        <f>"1-204-18"</f>
        <v>1-204-18</v>
      </c>
      <c r="F10170" t="s">
        <v>65</v>
      </c>
      <c r="G10170" t="s">
        <v>66</v>
      </c>
      <c r="H10170" t="s">
        <v>67</v>
      </c>
      <c r="S10170">
        <v>0</v>
      </c>
      <c r="T10170">
        <v>1</v>
      </c>
      <c r="U10170">
        <v>0</v>
      </c>
      <c r="V10170">
        <v>0</v>
      </c>
      <c r="W10170">
        <v>0</v>
      </c>
      <c r="X10170">
        <v>1</v>
      </c>
      <c r="Y10170">
        <v>0</v>
      </c>
      <c r="Z10170">
        <v>1</v>
      </c>
      <c r="AA10170">
        <v>0</v>
      </c>
      <c r="AB10170">
        <v>0</v>
      </c>
      <c r="AC10170">
        <v>1</v>
      </c>
      <c r="AD10170">
        <v>1</v>
      </c>
      <c r="AE10170">
        <v>1</v>
      </c>
      <c r="AF10170">
        <v>1</v>
      </c>
      <c r="AG10170">
        <v>1</v>
      </c>
      <c r="AH10170">
        <v>1</v>
      </c>
      <c r="AI10170">
        <v>1</v>
      </c>
      <c r="AJ10170">
        <v>1</v>
      </c>
      <c r="AK10170">
        <v>1</v>
      </c>
      <c r="AL10170">
        <v>1</v>
      </c>
      <c r="AM10170">
        <v>1</v>
      </c>
    </row>
    <row r="10171" spans="1:39" x14ac:dyDescent="0.2">
      <c r="A10171" t="str">
        <f>"10167"</f>
        <v>10167</v>
      </c>
      <c r="B10171" t="str">
        <f t="shared" si="566"/>
        <v>1</v>
      </c>
      <c r="C10171" t="str">
        <f t="shared" si="565"/>
        <v>204</v>
      </c>
      <c r="D10171" t="str">
        <f>"7"</f>
        <v>7</v>
      </c>
      <c r="E10171" t="str">
        <f>"1-204-7"</f>
        <v>1-204-7</v>
      </c>
      <c r="F10171" t="s">
        <v>65</v>
      </c>
      <c r="G10171" t="s">
        <v>66</v>
      </c>
      <c r="H10171" t="s">
        <v>67</v>
      </c>
      <c r="S10171">
        <v>1</v>
      </c>
      <c r="T10171">
        <v>0</v>
      </c>
      <c r="U10171">
        <v>0</v>
      </c>
      <c r="V10171">
        <v>0</v>
      </c>
      <c r="W10171">
        <v>1</v>
      </c>
      <c r="X10171">
        <v>0</v>
      </c>
      <c r="Y10171">
        <v>1</v>
      </c>
      <c r="Z10171">
        <v>0</v>
      </c>
      <c r="AA10171">
        <v>1</v>
      </c>
      <c r="AB10171">
        <v>0</v>
      </c>
      <c r="AC10171">
        <v>0</v>
      </c>
      <c r="AD10171">
        <v>1</v>
      </c>
      <c r="AE10171">
        <v>1</v>
      </c>
      <c r="AF10171">
        <v>1</v>
      </c>
      <c r="AG10171">
        <v>1</v>
      </c>
      <c r="AH10171">
        <v>1</v>
      </c>
      <c r="AI10171">
        <v>1</v>
      </c>
      <c r="AJ10171">
        <v>1</v>
      </c>
      <c r="AK10171">
        <v>1</v>
      </c>
      <c r="AL10171">
        <v>1</v>
      </c>
      <c r="AM10171">
        <v>1</v>
      </c>
    </row>
    <row r="10172" spans="1:39" x14ac:dyDescent="0.2">
      <c r="A10172" t="str">
        <f>"10168"</f>
        <v>10168</v>
      </c>
      <c r="B10172" t="str">
        <f t="shared" si="566"/>
        <v>1</v>
      </c>
      <c r="C10172" t="str">
        <f t="shared" si="565"/>
        <v>204</v>
      </c>
      <c r="D10172" t="str">
        <f>"37"</f>
        <v>37</v>
      </c>
      <c r="E10172" t="str">
        <f>"1-204-37"</f>
        <v>1-204-37</v>
      </c>
      <c r="F10172" t="s">
        <v>65</v>
      </c>
      <c r="G10172" t="s">
        <v>66</v>
      </c>
      <c r="H10172" t="s">
        <v>67</v>
      </c>
      <c r="S10172">
        <v>1</v>
      </c>
      <c r="T10172">
        <v>0</v>
      </c>
      <c r="U10172">
        <v>0</v>
      </c>
      <c r="V10172">
        <v>0</v>
      </c>
      <c r="W10172">
        <v>1</v>
      </c>
      <c r="X10172">
        <v>0</v>
      </c>
      <c r="Y10172">
        <v>0</v>
      </c>
      <c r="Z10172">
        <v>1</v>
      </c>
      <c r="AA10172">
        <v>1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</row>
    <row r="10173" spans="1:39" x14ac:dyDescent="0.2">
      <c r="A10173" t="str">
        <f>"10169"</f>
        <v>10169</v>
      </c>
      <c r="B10173" t="str">
        <f t="shared" si="566"/>
        <v>1</v>
      </c>
      <c r="C10173" t="str">
        <f t="shared" si="565"/>
        <v>204</v>
      </c>
      <c r="D10173" t="str">
        <f>"19"</f>
        <v>19</v>
      </c>
      <c r="E10173" t="str">
        <f>"1-204-19"</f>
        <v>1-204-19</v>
      </c>
      <c r="F10173" t="s">
        <v>65</v>
      </c>
      <c r="G10173" t="s">
        <v>66</v>
      </c>
      <c r="H10173" t="s">
        <v>67</v>
      </c>
      <c r="S10173">
        <v>0</v>
      </c>
      <c r="T10173">
        <v>1</v>
      </c>
      <c r="U10173">
        <v>0</v>
      </c>
      <c r="V10173">
        <v>0</v>
      </c>
      <c r="W10173">
        <v>1</v>
      </c>
      <c r="X10173">
        <v>0</v>
      </c>
      <c r="Y10173">
        <v>0</v>
      </c>
      <c r="Z10173">
        <v>1</v>
      </c>
      <c r="AA10173">
        <v>0</v>
      </c>
      <c r="AB10173">
        <v>0</v>
      </c>
      <c r="AC10173">
        <v>1</v>
      </c>
      <c r="AD10173">
        <v>1</v>
      </c>
      <c r="AE10173">
        <v>1</v>
      </c>
      <c r="AF10173">
        <v>1</v>
      </c>
      <c r="AG10173">
        <v>1</v>
      </c>
      <c r="AH10173">
        <v>1</v>
      </c>
      <c r="AI10173">
        <v>1</v>
      </c>
      <c r="AJ10173">
        <v>1</v>
      </c>
      <c r="AK10173">
        <v>1</v>
      </c>
      <c r="AL10173">
        <v>1</v>
      </c>
      <c r="AM10173">
        <v>1</v>
      </c>
    </row>
    <row r="10174" spans="1:39" x14ac:dyDescent="0.2">
      <c r="A10174" t="str">
        <f>"10170"</f>
        <v>10170</v>
      </c>
      <c r="B10174" t="str">
        <f t="shared" si="566"/>
        <v>1</v>
      </c>
      <c r="C10174" t="str">
        <f t="shared" si="565"/>
        <v>204</v>
      </c>
      <c r="D10174" t="str">
        <f>"3"</f>
        <v>3</v>
      </c>
      <c r="E10174" t="str">
        <f>"1-204-3"</f>
        <v>1-204-3</v>
      </c>
      <c r="F10174" t="s">
        <v>65</v>
      </c>
      <c r="G10174" t="s">
        <v>66</v>
      </c>
      <c r="H10174" t="s">
        <v>67</v>
      </c>
      <c r="S10174">
        <v>1</v>
      </c>
      <c r="T10174">
        <v>0</v>
      </c>
      <c r="U10174">
        <v>0</v>
      </c>
      <c r="V10174">
        <v>0</v>
      </c>
      <c r="W10174">
        <v>1</v>
      </c>
      <c r="X10174">
        <v>0</v>
      </c>
      <c r="Y10174">
        <v>1</v>
      </c>
      <c r="Z10174">
        <v>0</v>
      </c>
      <c r="AA10174">
        <v>1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1</v>
      </c>
      <c r="AM10174">
        <v>1</v>
      </c>
    </row>
    <row r="10175" spans="1:39" x14ac:dyDescent="0.2">
      <c r="A10175" t="str">
        <f>"10171"</f>
        <v>10171</v>
      </c>
      <c r="B10175" t="str">
        <f t="shared" si="566"/>
        <v>1</v>
      </c>
      <c r="C10175" t="str">
        <f t="shared" si="565"/>
        <v>204</v>
      </c>
      <c r="D10175" t="str">
        <f>"39"</f>
        <v>39</v>
      </c>
      <c r="E10175" t="str">
        <f>"1-204-39"</f>
        <v>1-204-39</v>
      </c>
      <c r="F10175" t="s">
        <v>65</v>
      </c>
      <c r="G10175" t="s">
        <v>66</v>
      </c>
      <c r="H10175" t="s">
        <v>67</v>
      </c>
      <c r="S10175">
        <v>1</v>
      </c>
      <c r="T10175">
        <v>0</v>
      </c>
      <c r="U10175">
        <v>0</v>
      </c>
      <c r="V10175">
        <v>0</v>
      </c>
      <c r="W10175">
        <v>1</v>
      </c>
      <c r="X10175">
        <v>0</v>
      </c>
      <c r="Y10175">
        <v>1</v>
      </c>
      <c r="Z10175">
        <v>0</v>
      </c>
      <c r="AA10175">
        <v>1</v>
      </c>
      <c r="AB10175">
        <v>0</v>
      </c>
      <c r="AC10175">
        <v>0</v>
      </c>
      <c r="AD10175">
        <v>1</v>
      </c>
      <c r="AE10175">
        <v>1</v>
      </c>
      <c r="AF10175">
        <v>1</v>
      </c>
      <c r="AG10175">
        <v>1</v>
      </c>
      <c r="AH10175">
        <v>1</v>
      </c>
      <c r="AI10175">
        <v>1</v>
      </c>
      <c r="AJ10175">
        <v>1</v>
      </c>
      <c r="AK10175">
        <v>1</v>
      </c>
      <c r="AL10175">
        <v>1</v>
      </c>
      <c r="AM10175">
        <v>1</v>
      </c>
    </row>
    <row r="10176" spans="1:39" x14ac:dyDescent="0.2">
      <c r="A10176" t="str">
        <f>"10172"</f>
        <v>10172</v>
      </c>
      <c r="B10176" t="str">
        <f t="shared" si="566"/>
        <v>1</v>
      </c>
      <c r="C10176" t="str">
        <f t="shared" si="565"/>
        <v>204</v>
      </c>
      <c r="D10176" t="str">
        <f>"23"</f>
        <v>23</v>
      </c>
      <c r="E10176" t="str">
        <f>"1-204-23"</f>
        <v>1-204-23</v>
      </c>
      <c r="F10176" t="s">
        <v>65</v>
      </c>
      <c r="G10176" t="s">
        <v>66</v>
      </c>
      <c r="H10176" t="s">
        <v>67</v>
      </c>
      <c r="S10176">
        <v>1</v>
      </c>
      <c r="T10176">
        <v>0</v>
      </c>
      <c r="U10176">
        <v>0</v>
      </c>
      <c r="V10176">
        <v>0</v>
      </c>
      <c r="W10176">
        <v>1</v>
      </c>
      <c r="X10176">
        <v>0</v>
      </c>
      <c r="Y10176">
        <v>0</v>
      </c>
      <c r="Z10176">
        <v>1</v>
      </c>
      <c r="AA10176">
        <v>0</v>
      </c>
      <c r="AB10176">
        <v>0</v>
      </c>
      <c r="AC10176">
        <v>0</v>
      </c>
      <c r="AD10176">
        <v>1</v>
      </c>
      <c r="AE10176">
        <v>1</v>
      </c>
      <c r="AF10176">
        <v>1</v>
      </c>
      <c r="AG10176">
        <v>1</v>
      </c>
      <c r="AH10176">
        <v>1</v>
      </c>
      <c r="AI10176">
        <v>1</v>
      </c>
      <c r="AJ10176">
        <v>1</v>
      </c>
      <c r="AK10176">
        <v>1</v>
      </c>
      <c r="AL10176">
        <v>1</v>
      </c>
      <c r="AM10176">
        <v>1</v>
      </c>
    </row>
    <row r="10177" spans="1:39" x14ac:dyDescent="0.2">
      <c r="A10177" t="str">
        <f>"10173"</f>
        <v>10173</v>
      </c>
      <c r="B10177" t="str">
        <f t="shared" si="566"/>
        <v>1</v>
      </c>
      <c r="C10177" t="str">
        <f t="shared" si="565"/>
        <v>204</v>
      </c>
      <c r="D10177" t="str">
        <f>"6"</f>
        <v>6</v>
      </c>
      <c r="E10177" t="str">
        <f>"1-204-6"</f>
        <v>1-204-6</v>
      </c>
      <c r="F10177" t="s">
        <v>65</v>
      </c>
      <c r="G10177" t="s">
        <v>66</v>
      </c>
      <c r="H10177" t="s">
        <v>67</v>
      </c>
      <c r="S10177">
        <v>1</v>
      </c>
      <c r="T10177">
        <v>0</v>
      </c>
      <c r="U10177">
        <v>0</v>
      </c>
      <c r="V10177">
        <v>0</v>
      </c>
      <c r="W10177">
        <v>1</v>
      </c>
      <c r="X10177">
        <v>0</v>
      </c>
      <c r="Y10177">
        <v>1</v>
      </c>
      <c r="Z10177">
        <v>0</v>
      </c>
      <c r="AA10177">
        <v>0</v>
      </c>
      <c r="AB10177">
        <v>0</v>
      </c>
      <c r="AC10177">
        <v>1</v>
      </c>
      <c r="AD10177">
        <v>1</v>
      </c>
      <c r="AE10177">
        <v>0</v>
      </c>
      <c r="AF10177">
        <v>1</v>
      </c>
      <c r="AG10177">
        <v>1</v>
      </c>
      <c r="AH10177">
        <v>1</v>
      </c>
      <c r="AI10177">
        <v>1</v>
      </c>
      <c r="AJ10177">
        <v>1</v>
      </c>
      <c r="AK10177">
        <v>1</v>
      </c>
      <c r="AL10177">
        <v>0</v>
      </c>
      <c r="AM10177">
        <v>1</v>
      </c>
    </row>
    <row r="10178" spans="1:39" x14ac:dyDescent="0.2">
      <c r="A10178" t="str">
        <f>"10174"</f>
        <v>10174</v>
      </c>
      <c r="B10178" t="str">
        <f t="shared" si="566"/>
        <v>1</v>
      </c>
      <c r="C10178" t="str">
        <f t="shared" si="565"/>
        <v>204</v>
      </c>
      <c r="D10178" t="str">
        <f>"40"</f>
        <v>40</v>
      </c>
      <c r="E10178" t="str">
        <f>"1-204-40"</f>
        <v>1-204-40</v>
      </c>
      <c r="F10178" t="s">
        <v>65</v>
      </c>
      <c r="G10178" t="s">
        <v>66</v>
      </c>
      <c r="H10178" t="s">
        <v>67</v>
      </c>
      <c r="S10178">
        <v>0</v>
      </c>
      <c r="T10178">
        <v>1</v>
      </c>
      <c r="U10178">
        <v>0</v>
      </c>
      <c r="V10178">
        <v>0</v>
      </c>
      <c r="W10178">
        <v>1</v>
      </c>
      <c r="X10178">
        <v>0</v>
      </c>
      <c r="Y10178">
        <v>0</v>
      </c>
      <c r="Z10178">
        <v>1</v>
      </c>
      <c r="AA10178">
        <v>1</v>
      </c>
      <c r="AB10178">
        <v>0</v>
      </c>
      <c r="AC10178">
        <v>0</v>
      </c>
      <c r="AD10178">
        <v>1</v>
      </c>
      <c r="AE10178">
        <v>1</v>
      </c>
      <c r="AF10178">
        <v>1</v>
      </c>
      <c r="AG10178">
        <v>1</v>
      </c>
      <c r="AH10178">
        <v>1</v>
      </c>
      <c r="AI10178">
        <v>1</v>
      </c>
      <c r="AJ10178">
        <v>1</v>
      </c>
      <c r="AK10178">
        <v>1</v>
      </c>
      <c r="AL10178">
        <v>1</v>
      </c>
      <c r="AM10178">
        <v>1</v>
      </c>
    </row>
    <row r="10179" spans="1:39" x14ac:dyDescent="0.2">
      <c r="A10179" t="str">
        <f>"10175"</f>
        <v>10175</v>
      </c>
      <c r="B10179" t="str">
        <f t="shared" si="566"/>
        <v>1</v>
      </c>
      <c r="C10179" t="str">
        <f t="shared" si="565"/>
        <v>204</v>
      </c>
      <c r="D10179" t="str">
        <f>"24"</f>
        <v>24</v>
      </c>
      <c r="E10179" t="str">
        <f>"1-204-24"</f>
        <v>1-204-24</v>
      </c>
      <c r="F10179" t="s">
        <v>65</v>
      </c>
      <c r="G10179" t="s">
        <v>66</v>
      </c>
      <c r="H10179" t="s">
        <v>67</v>
      </c>
      <c r="S10179">
        <v>0</v>
      </c>
      <c r="T10179">
        <v>1</v>
      </c>
      <c r="U10179">
        <v>0</v>
      </c>
      <c r="V10179">
        <v>0</v>
      </c>
      <c r="W10179">
        <v>1</v>
      </c>
      <c r="X10179">
        <v>0</v>
      </c>
      <c r="Y10179">
        <v>1</v>
      </c>
      <c r="Z10179">
        <v>0</v>
      </c>
      <c r="AA10179">
        <v>1</v>
      </c>
      <c r="AB10179">
        <v>0</v>
      </c>
      <c r="AC10179">
        <v>0</v>
      </c>
      <c r="AD10179">
        <v>1</v>
      </c>
      <c r="AE10179">
        <v>1</v>
      </c>
      <c r="AF10179">
        <v>1</v>
      </c>
      <c r="AG10179">
        <v>1</v>
      </c>
      <c r="AH10179">
        <v>1</v>
      </c>
      <c r="AI10179">
        <v>1</v>
      </c>
      <c r="AJ10179">
        <v>1</v>
      </c>
      <c r="AK10179">
        <v>1</v>
      </c>
      <c r="AL10179">
        <v>1</v>
      </c>
      <c r="AM10179">
        <v>1</v>
      </c>
    </row>
    <row r="10180" spans="1:39" x14ac:dyDescent="0.2">
      <c r="A10180" t="str">
        <f>"10176"</f>
        <v>10176</v>
      </c>
      <c r="B10180" t="str">
        <f t="shared" si="566"/>
        <v>1</v>
      </c>
      <c r="C10180" t="str">
        <f t="shared" si="565"/>
        <v>204</v>
      </c>
      <c r="D10180" t="str">
        <f>"9"</f>
        <v>9</v>
      </c>
      <c r="E10180" t="str">
        <f>"1-204-9"</f>
        <v>1-204-9</v>
      </c>
      <c r="F10180" t="s">
        <v>65</v>
      </c>
      <c r="G10180" t="s">
        <v>66</v>
      </c>
      <c r="H10180" t="s">
        <v>67</v>
      </c>
      <c r="S10180">
        <v>1</v>
      </c>
      <c r="T10180">
        <v>0</v>
      </c>
      <c r="U10180">
        <v>0</v>
      </c>
      <c r="V10180">
        <v>0</v>
      </c>
      <c r="W10180">
        <v>1</v>
      </c>
      <c r="X10180">
        <v>0</v>
      </c>
      <c r="Y10180">
        <v>1</v>
      </c>
      <c r="Z10180">
        <v>0</v>
      </c>
      <c r="AA10180">
        <v>0</v>
      </c>
      <c r="AB10180">
        <v>1</v>
      </c>
      <c r="AC10180">
        <v>0</v>
      </c>
      <c r="AD10180">
        <v>1</v>
      </c>
      <c r="AE10180">
        <v>1</v>
      </c>
      <c r="AF10180">
        <v>1</v>
      </c>
      <c r="AG10180">
        <v>1</v>
      </c>
      <c r="AH10180">
        <v>1</v>
      </c>
      <c r="AI10180">
        <v>1</v>
      </c>
      <c r="AJ10180">
        <v>1</v>
      </c>
      <c r="AK10180">
        <v>0</v>
      </c>
      <c r="AL10180">
        <v>0</v>
      </c>
      <c r="AM10180">
        <v>0</v>
      </c>
    </row>
    <row r="10181" spans="1:39" x14ac:dyDescent="0.2">
      <c r="A10181" t="str">
        <f>"10177"</f>
        <v>10177</v>
      </c>
      <c r="B10181" t="str">
        <f t="shared" si="566"/>
        <v>1</v>
      </c>
      <c r="C10181" t="str">
        <f t="shared" si="565"/>
        <v>204</v>
      </c>
      <c r="D10181" t="str">
        <f>"25"</f>
        <v>25</v>
      </c>
      <c r="E10181" t="str">
        <f>"1-204-25"</f>
        <v>1-204-25</v>
      </c>
      <c r="F10181" t="s">
        <v>65</v>
      </c>
      <c r="G10181" t="s">
        <v>66</v>
      </c>
      <c r="H10181" t="s">
        <v>67</v>
      </c>
      <c r="S10181">
        <v>1</v>
      </c>
      <c r="T10181">
        <v>0</v>
      </c>
      <c r="U10181">
        <v>0</v>
      </c>
      <c r="V10181">
        <v>0</v>
      </c>
      <c r="W10181">
        <v>1</v>
      </c>
      <c r="X10181">
        <v>0</v>
      </c>
      <c r="Y10181">
        <v>1</v>
      </c>
      <c r="Z10181">
        <v>0</v>
      </c>
      <c r="AA10181">
        <v>1</v>
      </c>
      <c r="AB10181">
        <v>0</v>
      </c>
      <c r="AC10181">
        <v>0</v>
      </c>
      <c r="AD10181">
        <v>1</v>
      </c>
      <c r="AE10181">
        <v>1</v>
      </c>
      <c r="AF10181">
        <v>1</v>
      </c>
      <c r="AG10181">
        <v>1</v>
      </c>
      <c r="AH10181">
        <v>1</v>
      </c>
      <c r="AI10181">
        <v>1</v>
      </c>
      <c r="AJ10181">
        <v>1</v>
      </c>
      <c r="AK10181">
        <v>1</v>
      </c>
      <c r="AL10181">
        <v>1</v>
      </c>
      <c r="AM10181">
        <v>1</v>
      </c>
    </row>
    <row r="10182" spans="1:39" x14ac:dyDescent="0.2">
      <c r="A10182" t="str">
        <f>"10178"</f>
        <v>10178</v>
      </c>
      <c r="B10182" t="str">
        <f t="shared" si="566"/>
        <v>1</v>
      </c>
      <c r="C10182" t="str">
        <f t="shared" si="565"/>
        <v>204</v>
      </c>
      <c r="D10182" t="str">
        <f>"11"</f>
        <v>11</v>
      </c>
      <c r="E10182" t="str">
        <f>"1-204-11"</f>
        <v>1-204-11</v>
      </c>
      <c r="F10182" t="s">
        <v>65</v>
      </c>
      <c r="G10182" t="s">
        <v>66</v>
      </c>
      <c r="H10182" t="s">
        <v>67</v>
      </c>
      <c r="S10182">
        <v>1</v>
      </c>
      <c r="T10182">
        <v>0</v>
      </c>
      <c r="U10182">
        <v>0</v>
      </c>
      <c r="V10182">
        <v>0</v>
      </c>
      <c r="W10182">
        <v>1</v>
      </c>
      <c r="X10182">
        <v>0</v>
      </c>
      <c r="Y10182">
        <v>1</v>
      </c>
      <c r="Z10182">
        <v>0</v>
      </c>
      <c r="AA10182">
        <v>1</v>
      </c>
      <c r="AB10182">
        <v>0</v>
      </c>
      <c r="AC10182">
        <v>0</v>
      </c>
      <c r="AD10182">
        <v>1</v>
      </c>
      <c r="AE10182">
        <v>1</v>
      </c>
      <c r="AF10182">
        <v>1</v>
      </c>
      <c r="AG10182">
        <v>1</v>
      </c>
      <c r="AH10182">
        <v>1</v>
      </c>
      <c r="AI10182">
        <v>1</v>
      </c>
      <c r="AJ10182">
        <v>1</v>
      </c>
      <c r="AK10182">
        <v>1</v>
      </c>
      <c r="AL10182">
        <v>1</v>
      </c>
      <c r="AM10182">
        <v>1</v>
      </c>
    </row>
    <row r="10183" spans="1:39" x14ac:dyDescent="0.2">
      <c r="A10183" t="str">
        <f>"10179"</f>
        <v>10179</v>
      </c>
      <c r="B10183" t="str">
        <f t="shared" si="566"/>
        <v>1</v>
      </c>
      <c r="C10183" t="str">
        <f t="shared" si="565"/>
        <v>204</v>
      </c>
      <c r="D10183" t="str">
        <f>"41"</f>
        <v>41</v>
      </c>
      <c r="E10183" t="str">
        <f>"1-204-41"</f>
        <v>1-204-41</v>
      </c>
      <c r="F10183" t="s">
        <v>65</v>
      </c>
      <c r="G10183" t="s">
        <v>66</v>
      </c>
      <c r="H10183" t="s">
        <v>67</v>
      </c>
      <c r="S10183">
        <v>1</v>
      </c>
      <c r="T10183">
        <v>0</v>
      </c>
      <c r="U10183">
        <v>0</v>
      </c>
      <c r="V10183">
        <v>0</v>
      </c>
      <c r="W10183">
        <v>1</v>
      </c>
      <c r="X10183">
        <v>0</v>
      </c>
      <c r="Y10183">
        <v>1</v>
      </c>
      <c r="Z10183">
        <v>0</v>
      </c>
      <c r="AA10183">
        <v>0</v>
      </c>
      <c r="AB10183">
        <v>1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1</v>
      </c>
      <c r="AM10183">
        <v>0</v>
      </c>
    </row>
    <row r="10184" spans="1:39" x14ac:dyDescent="0.2">
      <c r="A10184" t="str">
        <f>"10180"</f>
        <v>10180</v>
      </c>
      <c r="B10184" t="str">
        <f t="shared" si="566"/>
        <v>1</v>
      </c>
      <c r="C10184" t="str">
        <f t="shared" si="565"/>
        <v>204</v>
      </c>
      <c r="D10184" t="str">
        <f>"26"</f>
        <v>26</v>
      </c>
      <c r="E10184" t="str">
        <f>"1-204-26"</f>
        <v>1-204-26</v>
      </c>
      <c r="F10184" t="s">
        <v>65</v>
      </c>
      <c r="G10184" t="s">
        <v>66</v>
      </c>
      <c r="H10184" t="s">
        <v>67</v>
      </c>
      <c r="S10184">
        <v>1</v>
      </c>
      <c r="T10184">
        <v>0</v>
      </c>
      <c r="U10184">
        <v>0</v>
      </c>
      <c r="V10184">
        <v>0</v>
      </c>
      <c r="W10184">
        <v>1</v>
      </c>
      <c r="X10184">
        <v>0</v>
      </c>
      <c r="Y10184">
        <v>1</v>
      </c>
      <c r="Z10184">
        <v>0</v>
      </c>
      <c r="AA10184">
        <v>0</v>
      </c>
      <c r="AB10184">
        <v>0</v>
      </c>
      <c r="AC10184">
        <v>1</v>
      </c>
      <c r="AD10184">
        <v>0</v>
      </c>
      <c r="AE10184">
        <v>0</v>
      </c>
      <c r="AF10184">
        <v>0</v>
      </c>
      <c r="AG10184">
        <v>1</v>
      </c>
      <c r="AH10184">
        <v>0</v>
      </c>
      <c r="AI10184">
        <v>1</v>
      </c>
      <c r="AJ10184">
        <v>0</v>
      </c>
      <c r="AK10184">
        <v>0</v>
      </c>
      <c r="AL10184">
        <v>0</v>
      </c>
      <c r="AM10184">
        <v>0</v>
      </c>
    </row>
    <row r="10185" spans="1:39" x14ac:dyDescent="0.2">
      <c r="A10185" t="str">
        <f>"10181"</f>
        <v>10181</v>
      </c>
      <c r="B10185" t="str">
        <f t="shared" si="566"/>
        <v>1</v>
      </c>
      <c r="C10185" t="str">
        <f t="shared" si="565"/>
        <v>204</v>
      </c>
      <c r="D10185" t="str">
        <f>"13"</f>
        <v>13</v>
      </c>
      <c r="E10185" t="str">
        <f>"1-204-13"</f>
        <v>1-204-13</v>
      </c>
      <c r="F10185" t="s">
        <v>65</v>
      </c>
      <c r="G10185" t="s">
        <v>66</v>
      </c>
      <c r="H10185" t="s">
        <v>67</v>
      </c>
      <c r="S10185">
        <v>0</v>
      </c>
      <c r="T10185">
        <v>1</v>
      </c>
      <c r="U10185">
        <v>0</v>
      </c>
      <c r="V10185">
        <v>0</v>
      </c>
      <c r="W10185">
        <v>1</v>
      </c>
      <c r="X10185">
        <v>0</v>
      </c>
      <c r="Y10185">
        <v>1</v>
      </c>
      <c r="Z10185">
        <v>0</v>
      </c>
      <c r="AA10185">
        <v>1</v>
      </c>
      <c r="AB10185">
        <v>0</v>
      </c>
      <c r="AC10185">
        <v>0</v>
      </c>
      <c r="AD10185">
        <v>1</v>
      </c>
      <c r="AE10185">
        <v>1</v>
      </c>
      <c r="AF10185">
        <v>1</v>
      </c>
      <c r="AG10185">
        <v>1</v>
      </c>
      <c r="AH10185">
        <v>1</v>
      </c>
      <c r="AI10185">
        <v>1</v>
      </c>
      <c r="AJ10185">
        <v>1</v>
      </c>
      <c r="AK10185">
        <v>1</v>
      </c>
      <c r="AL10185">
        <v>1</v>
      </c>
      <c r="AM10185">
        <v>1</v>
      </c>
    </row>
    <row r="10186" spans="1:39" x14ac:dyDescent="0.2">
      <c r="A10186" t="str">
        <f>"10182"</f>
        <v>10182</v>
      </c>
      <c r="B10186" t="str">
        <f t="shared" si="566"/>
        <v>1</v>
      </c>
      <c r="C10186" t="str">
        <f t="shared" si="565"/>
        <v>204</v>
      </c>
      <c r="D10186" t="str">
        <f>"45"</f>
        <v>45</v>
      </c>
      <c r="E10186" t="str">
        <f>"1-204-45"</f>
        <v>1-204-45</v>
      </c>
      <c r="F10186" t="s">
        <v>65</v>
      </c>
      <c r="G10186" t="s">
        <v>66</v>
      </c>
      <c r="H10186" t="s">
        <v>67</v>
      </c>
      <c r="S10186">
        <v>0</v>
      </c>
      <c r="T10186">
        <v>1</v>
      </c>
      <c r="U10186">
        <v>0</v>
      </c>
      <c r="V10186">
        <v>0</v>
      </c>
      <c r="W10186">
        <v>1</v>
      </c>
      <c r="X10186">
        <v>0</v>
      </c>
      <c r="Y10186">
        <v>0</v>
      </c>
      <c r="Z10186">
        <v>1</v>
      </c>
      <c r="AA10186">
        <v>0</v>
      </c>
      <c r="AB10186">
        <v>0</v>
      </c>
      <c r="AC10186">
        <v>1</v>
      </c>
      <c r="AD10186">
        <v>1</v>
      </c>
      <c r="AE10186">
        <v>1</v>
      </c>
      <c r="AF10186">
        <v>1</v>
      </c>
      <c r="AG10186">
        <v>1</v>
      </c>
      <c r="AH10186">
        <v>1</v>
      </c>
      <c r="AI10186">
        <v>1</v>
      </c>
      <c r="AJ10186">
        <v>1</v>
      </c>
      <c r="AK10186">
        <v>1</v>
      </c>
      <c r="AL10186">
        <v>1</v>
      </c>
      <c r="AM10186">
        <v>1</v>
      </c>
    </row>
    <row r="10187" spans="1:39" x14ac:dyDescent="0.2">
      <c r="A10187" t="str">
        <f>"10183"</f>
        <v>10183</v>
      </c>
      <c r="B10187" t="str">
        <f t="shared" si="566"/>
        <v>1</v>
      </c>
      <c r="C10187" t="str">
        <f t="shared" ref="C10187:C10204" si="567">"204"</f>
        <v>204</v>
      </c>
      <c r="D10187" t="str">
        <f>"27"</f>
        <v>27</v>
      </c>
      <c r="E10187" t="str">
        <f>"1-204-27"</f>
        <v>1-204-27</v>
      </c>
      <c r="F10187" t="s">
        <v>65</v>
      </c>
      <c r="G10187" t="s">
        <v>66</v>
      </c>
      <c r="H10187" t="s">
        <v>67</v>
      </c>
      <c r="S10187">
        <v>1</v>
      </c>
      <c r="T10187">
        <v>0</v>
      </c>
      <c r="U10187">
        <v>0</v>
      </c>
      <c r="V10187">
        <v>0</v>
      </c>
      <c r="W10187">
        <v>1</v>
      </c>
      <c r="X10187">
        <v>0</v>
      </c>
      <c r="Y10187">
        <v>1</v>
      </c>
      <c r="Z10187">
        <v>0</v>
      </c>
      <c r="AA10187">
        <v>0</v>
      </c>
      <c r="AB10187">
        <v>0</v>
      </c>
      <c r="AC10187">
        <v>1</v>
      </c>
      <c r="AD10187">
        <v>1</v>
      </c>
      <c r="AE10187">
        <v>1</v>
      </c>
      <c r="AF10187">
        <v>1</v>
      </c>
      <c r="AG10187">
        <v>1</v>
      </c>
      <c r="AH10187">
        <v>1</v>
      </c>
      <c r="AI10187">
        <v>1</v>
      </c>
      <c r="AJ10187">
        <v>1</v>
      </c>
      <c r="AK10187">
        <v>1</v>
      </c>
      <c r="AL10187">
        <v>1</v>
      </c>
      <c r="AM10187">
        <v>1</v>
      </c>
    </row>
    <row r="10188" spans="1:39" x14ac:dyDescent="0.2">
      <c r="A10188" t="str">
        <f>"10184"</f>
        <v>10184</v>
      </c>
      <c r="B10188" t="str">
        <f t="shared" si="566"/>
        <v>1</v>
      </c>
      <c r="C10188" t="str">
        <f t="shared" si="567"/>
        <v>204</v>
      </c>
      <c r="D10188" t="str">
        <f>"12"</f>
        <v>12</v>
      </c>
      <c r="E10188" t="str">
        <f>"1-204-12"</f>
        <v>1-204-12</v>
      </c>
      <c r="F10188" t="s">
        <v>65</v>
      </c>
      <c r="G10188" t="s">
        <v>66</v>
      </c>
      <c r="H10188" t="s">
        <v>67</v>
      </c>
      <c r="S10188">
        <v>0</v>
      </c>
      <c r="T10188">
        <v>1</v>
      </c>
      <c r="U10188">
        <v>0</v>
      </c>
      <c r="V10188">
        <v>0</v>
      </c>
      <c r="W10188">
        <v>1</v>
      </c>
      <c r="X10188">
        <v>0</v>
      </c>
      <c r="Y10188">
        <v>1</v>
      </c>
      <c r="Z10188">
        <v>0</v>
      </c>
      <c r="AA10188">
        <v>1</v>
      </c>
      <c r="AB10188">
        <v>0</v>
      </c>
      <c r="AC10188">
        <v>0</v>
      </c>
      <c r="AD10188">
        <v>1</v>
      </c>
      <c r="AE10188">
        <v>1</v>
      </c>
      <c r="AF10188">
        <v>1</v>
      </c>
      <c r="AG10188">
        <v>1</v>
      </c>
      <c r="AH10188">
        <v>1</v>
      </c>
      <c r="AI10188">
        <v>1</v>
      </c>
      <c r="AJ10188">
        <v>1</v>
      </c>
      <c r="AK10188">
        <v>1</v>
      </c>
      <c r="AL10188">
        <v>1</v>
      </c>
      <c r="AM10188">
        <v>1</v>
      </c>
    </row>
    <row r="10189" spans="1:39" x14ac:dyDescent="0.2">
      <c r="A10189" t="str">
        <f>"10185"</f>
        <v>10185</v>
      </c>
      <c r="B10189" t="str">
        <f t="shared" si="566"/>
        <v>1</v>
      </c>
      <c r="C10189" t="str">
        <f t="shared" si="567"/>
        <v>204</v>
      </c>
      <c r="D10189" t="str">
        <f>"28"</f>
        <v>28</v>
      </c>
      <c r="E10189" t="str">
        <f>"1-204-28"</f>
        <v>1-204-28</v>
      </c>
      <c r="F10189" t="s">
        <v>65</v>
      </c>
      <c r="G10189" t="s">
        <v>66</v>
      </c>
      <c r="H10189" t="s">
        <v>67</v>
      </c>
      <c r="S10189">
        <v>0</v>
      </c>
      <c r="T10189">
        <v>1</v>
      </c>
      <c r="U10189">
        <v>0</v>
      </c>
      <c r="V10189">
        <v>0</v>
      </c>
      <c r="W10189">
        <v>1</v>
      </c>
      <c r="X10189">
        <v>0</v>
      </c>
      <c r="Y10189">
        <v>1</v>
      </c>
      <c r="Z10189">
        <v>0</v>
      </c>
      <c r="AA10189">
        <v>1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</row>
    <row r="10190" spans="1:39" x14ac:dyDescent="0.2">
      <c r="A10190" t="str">
        <f>"10186"</f>
        <v>10186</v>
      </c>
      <c r="B10190" t="str">
        <f t="shared" si="566"/>
        <v>1</v>
      </c>
      <c r="C10190" t="str">
        <f t="shared" si="567"/>
        <v>204</v>
      </c>
      <c r="D10190" t="str">
        <f>"5"</f>
        <v>5</v>
      </c>
      <c r="E10190" t="str">
        <f>"1-204-5"</f>
        <v>1-204-5</v>
      </c>
      <c r="F10190" t="s">
        <v>65</v>
      </c>
      <c r="G10190" t="s">
        <v>66</v>
      </c>
      <c r="H10190" t="s">
        <v>67</v>
      </c>
      <c r="S10190">
        <v>1</v>
      </c>
      <c r="T10190">
        <v>0</v>
      </c>
      <c r="U10190">
        <v>0</v>
      </c>
      <c r="V10190">
        <v>0</v>
      </c>
      <c r="W10190">
        <v>1</v>
      </c>
      <c r="X10190">
        <v>0</v>
      </c>
      <c r="Y10190">
        <v>1</v>
      </c>
      <c r="Z10190">
        <v>0</v>
      </c>
      <c r="AA10190">
        <v>0</v>
      </c>
      <c r="AB10190">
        <v>0</v>
      </c>
      <c r="AC10190">
        <v>1</v>
      </c>
      <c r="AD10190">
        <v>1</v>
      </c>
      <c r="AE10190">
        <v>1</v>
      </c>
      <c r="AF10190">
        <v>1</v>
      </c>
      <c r="AG10190">
        <v>1</v>
      </c>
      <c r="AH10190">
        <v>1</v>
      </c>
      <c r="AI10190">
        <v>1</v>
      </c>
      <c r="AJ10190">
        <v>1</v>
      </c>
      <c r="AK10190">
        <v>1</v>
      </c>
      <c r="AL10190">
        <v>1</v>
      </c>
      <c r="AM10190">
        <v>1</v>
      </c>
    </row>
    <row r="10191" spans="1:39" x14ac:dyDescent="0.2">
      <c r="A10191" t="str">
        <f>"10187"</f>
        <v>10187</v>
      </c>
      <c r="B10191" t="str">
        <f t="shared" si="566"/>
        <v>1</v>
      </c>
      <c r="C10191" t="str">
        <f t="shared" si="567"/>
        <v>204</v>
      </c>
      <c r="D10191" t="str">
        <f>"42"</f>
        <v>42</v>
      </c>
      <c r="E10191" t="str">
        <f>"1-204-42"</f>
        <v>1-204-42</v>
      </c>
      <c r="F10191" t="s">
        <v>65</v>
      </c>
      <c r="G10191" t="s">
        <v>66</v>
      </c>
      <c r="H10191" t="s">
        <v>67</v>
      </c>
      <c r="S10191">
        <v>1</v>
      </c>
      <c r="T10191">
        <v>0</v>
      </c>
      <c r="U10191">
        <v>0</v>
      </c>
      <c r="V10191">
        <v>0</v>
      </c>
      <c r="W10191">
        <v>1</v>
      </c>
      <c r="X10191">
        <v>0</v>
      </c>
      <c r="Y10191">
        <v>1</v>
      </c>
      <c r="Z10191">
        <v>0</v>
      </c>
      <c r="AA10191">
        <v>1</v>
      </c>
      <c r="AB10191">
        <v>0</v>
      </c>
      <c r="AC10191">
        <v>0</v>
      </c>
      <c r="AD10191">
        <v>1</v>
      </c>
      <c r="AE10191">
        <v>1</v>
      </c>
      <c r="AF10191">
        <v>1</v>
      </c>
      <c r="AG10191">
        <v>1</v>
      </c>
      <c r="AH10191">
        <v>1</v>
      </c>
      <c r="AI10191">
        <v>1</v>
      </c>
      <c r="AJ10191">
        <v>1</v>
      </c>
      <c r="AK10191">
        <v>1</v>
      </c>
      <c r="AL10191">
        <v>1</v>
      </c>
      <c r="AM10191">
        <v>1</v>
      </c>
    </row>
    <row r="10192" spans="1:39" x14ac:dyDescent="0.2">
      <c r="A10192" t="str">
        <f>"10188"</f>
        <v>10188</v>
      </c>
      <c r="B10192" t="str">
        <f t="shared" si="566"/>
        <v>1</v>
      </c>
      <c r="C10192" t="str">
        <f t="shared" si="567"/>
        <v>204</v>
      </c>
      <c r="D10192" t="str">
        <f>"29"</f>
        <v>29</v>
      </c>
      <c r="E10192" t="str">
        <f>"1-204-29"</f>
        <v>1-204-29</v>
      </c>
      <c r="F10192" t="s">
        <v>65</v>
      </c>
      <c r="G10192" t="s">
        <v>66</v>
      </c>
      <c r="H10192" t="s">
        <v>67</v>
      </c>
      <c r="S10192">
        <v>0</v>
      </c>
      <c r="T10192">
        <v>1</v>
      </c>
      <c r="U10192">
        <v>0</v>
      </c>
      <c r="V10192">
        <v>0</v>
      </c>
      <c r="W10192">
        <v>1</v>
      </c>
      <c r="X10192">
        <v>0</v>
      </c>
      <c r="Y10192">
        <v>1</v>
      </c>
      <c r="Z10192">
        <v>0</v>
      </c>
      <c r="AA10192">
        <v>1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</row>
    <row r="10193" spans="1:39" x14ac:dyDescent="0.2">
      <c r="A10193" t="str">
        <f>"10189"</f>
        <v>10189</v>
      </c>
      <c r="B10193" t="str">
        <f t="shared" si="566"/>
        <v>1</v>
      </c>
      <c r="C10193" t="str">
        <f t="shared" si="567"/>
        <v>204</v>
      </c>
      <c r="D10193" t="str">
        <f>"10"</f>
        <v>10</v>
      </c>
      <c r="E10193" t="str">
        <f>"1-204-10"</f>
        <v>1-204-10</v>
      </c>
      <c r="F10193" t="s">
        <v>65</v>
      </c>
      <c r="G10193" t="s">
        <v>66</v>
      </c>
      <c r="H10193" t="s">
        <v>67</v>
      </c>
      <c r="S10193">
        <v>1</v>
      </c>
      <c r="T10193">
        <v>0</v>
      </c>
      <c r="U10193">
        <v>0</v>
      </c>
      <c r="V10193">
        <v>0</v>
      </c>
      <c r="W10193">
        <v>1</v>
      </c>
      <c r="X10193">
        <v>0</v>
      </c>
      <c r="Y10193">
        <v>1</v>
      </c>
      <c r="Z10193">
        <v>0</v>
      </c>
      <c r="AA10193">
        <v>1</v>
      </c>
      <c r="AB10193">
        <v>0</v>
      </c>
      <c r="AC10193">
        <v>0</v>
      </c>
      <c r="AD10193">
        <v>1</v>
      </c>
      <c r="AE10193">
        <v>1</v>
      </c>
      <c r="AF10193">
        <v>1</v>
      </c>
      <c r="AG10193">
        <v>1</v>
      </c>
      <c r="AH10193">
        <v>1</v>
      </c>
      <c r="AI10193">
        <v>1</v>
      </c>
      <c r="AJ10193">
        <v>1</v>
      </c>
      <c r="AK10193">
        <v>1</v>
      </c>
      <c r="AL10193">
        <v>1</v>
      </c>
      <c r="AM10193">
        <v>1</v>
      </c>
    </row>
    <row r="10194" spans="1:39" x14ac:dyDescent="0.2">
      <c r="A10194" t="str">
        <f>"10190"</f>
        <v>10190</v>
      </c>
      <c r="B10194" t="str">
        <f t="shared" si="566"/>
        <v>1</v>
      </c>
      <c r="C10194" t="str">
        <f t="shared" si="567"/>
        <v>204</v>
      </c>
      <c r="D10194" t="str">
        <f>"43"</f>
        <v>43</v>
      </c>
      <c r="E10194" t="str">
        <f>"1-204-43"</f>
        <v>1-204-43</v>
      </c>
      <c r="F10194" t="s">
        <v>65</v>
      </c>
      <c r="G10194" t="s">
        <v>66</v>
      </c>
      <c r="H10194" t="s">
        <v>67</v>
      </c>
      <c r="S10194">
        <v>1</v>
      </c>
      <c r="T10194">
        <v>0</v>
      </c>
      <c r="U10194">
        <v>0</v>
      </c>
      <c r="V10194">
        <v>0</v>
      </c>
      <c r="W10194">
        <v>1</v>
      </c>
      <c r="X10194">
        <v>0</v>
      </c>
      <c r="Y10194">
        <v>0</v>
      </c>
      <c r="Z10194">
        <v>1</v>
      </c>
      <c r="AA10194">
        <v>0</v>
      </c>
      <c r="AB10194">
        <v>0</v>
      </c>
      <c r="AC10194">
        <v>1</v>
      </c>
      <c r="AD10194">
        <v>1</v>
      </c>
      <c r="AE10194">
        <v>1</v>
      </c>
      <c r="AF10194">
        <v>1</v>
      </c>
      <c r="AG10194">
        <v>1</v>
      </c>
      <c r="AH10194">
        <v>1</v>
      </c>
      <c r="AI10194">
        <v>1</v>
      </c>
      <c r="AJ10194">
        <v>1</v>
      </c>
      <c r="AK10194">
        <v>1</v>
      </c>
      <c r="AL10194">
        <v>1</v>
      </c>
      <c r="AM10194">
        <v>1</v>
      </c>
    </row>
    <row r="10195" spans="1:39" x14ac:dyDescent="0.2">
      <c r="A10195" t="str">
        <f>"10191"</f>
        <v>10191</v>
      </c>
      <c r="B10195" t="str">
        <f t="shared" si="566"/>
        <v>1</v>
      </c>
      <c r="C10195" t="str">
        <f t="shared" si="567"/>
        <v>204</v>
      </c>
      <c r="D10195" t="str">
        <f>"30"</f>
        <v>30</v>
      </c>
      <c r="E10195" t="str">
        <f>"1-204-30"</f>
        <v>1-204-30</v>
      </c>
      <c r="F10195" t="s">
        <v>65</v>
      </c>
      <c r="G10195" t="s">
        <v>66</v>
      </c>
      <c r="H10195" t="s">
        <v>67</v>
      </c>
      <c r="S10195">
        <v>0</v>
      </c>
      <c r="T10195">
        <v>0</v>
      </c>
      <c r="U10195">
        <v>0</v>
      </c>
      <c r="V10195">
        <v>0</v>
      </c>
      <c r="W10195">
        <v>1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</row>
    <row r="10196" spans="1:39" x14ac:dyDescent="0.2">
      <c r="A10196" t="str">
        <f>"10192"</f>
        <v>10192</v>
      </c>
      <c r="B10196" t="str">
        <f t="shared" si="566"/>
        <v>1</v>
      </c>
      <c r="C10196" t="str">
        <f t="shared" si="567"/>
        <v>204</v>
      </c>
      <c r="D10196" t="str">
        <f>"8"</f>
        <v>8</v>
      </c>
      <c r="E10196" t="str">
        <f>"1-204-8"</f>
        <v>1-204-8</v>
      </c>
      <c r="F10196" t="s">
        <v>65</v>
      </c>
      <c r="G10196" t="s">
        <v>66</v>
      </c>
      <c r="H10196" t="s">
        <v>67</v>
      </c>
      <c r="S10196">
        <v>1</v>
      </c>
      <c r="T10196">
        <v>0</v>
      </c>
      <c r="U10196">
        <v>0</v>
      </c>
      <c r="V10196">
        <v>0</v>
      </c>
      <c r="W10196">
        <v>1</v>
      </c>
      <c r="X10196">
        <v>0</v>
      </c>
      <c r="Y10196">
        <v>1</v>
      </c>
      <c r="Z10196">
        <v>0</v>
      </c>
      <c r="AA10196">
        <v>0</v>
      </c>
      <c r="AB10196">
        <v>1</v>
      </c>
      <c r="AC10196">
        <v>0</v>
      </c>
      <c r="AD10196">
        <v>1</v>
      </c>
      <c r="AE10196">
        <v>1</v>
      </c>
      <c r="AF10196">
        <v>1</v>
      </c>
      <c r="AG10196">
        <v>1</v>
      </c>
      <c r="AH10196">
        <v>0</v>
      </c>
      <c r="AI10196">
        <v>1</v>
      </c>
      <c r="AJ10196">
        <v>1</v>
      </c>
      <c r="AK10196">
        <v>0</v>
      </c>
      <c r="AL10196">
        <v>0</v>
      </c>
      <c r="AM10196">
        <v>0</v>
      </c>
    </row>
    <row r="10197" spans="1:39" x14ac:dyDescent="0.2">
      <c r="A10197" t="str">
        <f>"10193"</f>
        <v>10193</v>
      </c>
      <c r="B10197" t="str">
        <f t="shared" si="566"/>
        <v>1</v>
      </c>
      <c r="C10197" t="str">
        <f t="shared" si="567"/>
        <v>204</v>
      </c>
      <c r="D10197" t="str">
        <f>"44"</f>
        <v>44</v>
      </c>
      <c r="E10197" t="str">
        <f>"1-204-44"</f>
        <v>1-204-44</v>
      </c>
      <c r="F10197" t="s">
        <v>65</v>
      </c>
      <c r="G10197" t="s">
        <v>66</v>
      </c>
      <c r="H10197" t="s">
        <v>67</v>
      </c>
      <c r="S10197">
        <v>1</v>
      </c>
      <c r="T10197">
        <v>0</v>
      </c>
      <c r="U10197">
        <v>0</v>
      </c>
      <c r="V10197">
        <v>0</v>
      </c>
      <c r="W10197">
        <v>1</v>
      </c>
      <c r="X10197">
        <v>0</v>
      </c>
      <c r="Y10197">
        <v>0</v>
      </c>
      <c r="Z10197">
        <v>1</v>
      </c>
      <c r="AA10197">
        <v>0</v>
      </c>
      <c r="AB10197">
        <v>0</v>
      </c>
      <c r="AC10197">
        <v>1</v>
      </c>
      <c r="AD10197">
        <v>1</v>
      </c>
      <c r="AE10197">
        <v>1</v>
      </c>
      <c r="AF10197">
        <v>1</v>
      </c>
      <c r="AG10197">
        <v>1</v>
      </c>
      <c r="AH10197">
        <v>1</v>
      </c>
      <c r="AI10197">
        <v>1</v>
      </c>
      <c r="AJ10197">
        <v>1</v>
      </c>
      <c r="AK10197">
        <v>1</v>
      </c>
      <c r="AL10197">
        <v>1</v>
      </c>
      <c r="AM10197">
        <v>1</v>
      </c>
    </row>
    <row r="10198" spans="1:39" x14ac:dyDescent="0.2">
      <c r="A10198" t="str">
        <f>"10194"</f>
        <v>10194</v>
      </c>
      <c r="B10198" t="str">
        <f t="shared" si="566"/>
        <v>1</v>
      </c>
      <c r="C10198" t="str">
        <f t="shared" si="567"/>
        <v>204</v>
      </c>
      <c r="D10198" t="str">
        <f>"31"</f>
        <v>31</v>
      </c>
      <c r="E10198" t="str">
        <f>"1-204-31"</f>
        <v>1-204-31</v>
      </c>
      <c r="F10198" t="s">
        <v>65</v>
      </c>
      <c r="G10198" t="s">
        <v>66</v>
      </c>
      <c r="H10198" t="s">
        <v>67</v>
      </c>
      <c r="S10198">
        <v>0</v>
      </c>
      <c r="T10198">
        <v>0</v>
      </c>
      <c r="U10198">
        <v>0</v>
      </c>
      <c r="V10198">
        <v>0</v>
      </c>
      <c r="W10198">
        <v>1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</row>
    <row r="10199" spans="1:39" x14ac:dyDescent="0.2">
      <c r="A10199" t="str">
        <f>"10195"</f>
        <v>10195</v>
      </c>
      <c r="B10199" t="str">
        <f t="shared" si="566"/>
        <v>1</v>
      </c>
      <c r="C10199" t="str">
        <f t="shared" si="567"/>
        <v>204</v>
      </c>
      <c r="D10199" t="str">
        <f>"4"</f>
        <v>4</v>
      </c>
      <c r="E10199" t="str">
        <f>"1-204-4"</f>
        <v>1-204-4</v>
      </c>
      <c r="F10199" t="s">
        <v>65</v>
      </c>
      <c r="G10199" t="s">
        <v>66</v>
      </c>
      <c r="H10199" t="s">
        <v>67</v>
      </c>
      <c r="S10199">
        <v>1</v>
      </c>
      <c r="T10199">
        <v>0</v>
      </c>
      <c r="U10199">
        <v>0</v>
      </c>
      <c r="V10199">
        <v>0</v>
      </c>
      <c r="W10199">
        <v>1</v>
      </c>
      <c r="X10199">
        <v>0</v>
      </c>
      <c r="Y10199">
        <v>1</v>
      </c>
      <c r="Z10199">
        <v>0</v>
      </c>
      <c r="AA10199">
        <v>1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1</v>
      </c>
      <c r="AM10199">
        <v>1</v>
      </c>
    </row>
    <row r="10200" spans="1:39" x14ac:dyDescent="0.2">
      <c r="A10200" t="str">
        <f>"10196"</f>
        <v>10196</v>
      </c>
      <c r="B10200" t="str">
        <f t="shared" si="566"/>
        <v>1</v>
      </c>
      <c r="C10200" t="str">
        <f t="shared" si="567"/>
        <v>204</v>
      </c>
      <c r="D10200" t="str">
        <f>"32"</f>
        <v>32</v>
      </c>
      <c r="E10200" t="str">
        <f>"1-204-32"</f>
        <v>1-204-32</v>
      </c>
      <c r="F10200" t="s">
        <v>65</v>
      </c>
      <c r="G10200" t="s">
        <v>66</v>
      </c>
      <c r="H10200" t="s">
        <v>67</v>
      </c>
      <c r="S10200">
        <v>1</v>
      </c>
      <c r="T10200">
        <v>0</v>
      </c>
      <c r="U10200">
        <v>0</v>
      </c>
      <c r="V10200">
        <v>0</v>
      </c>
      <c r="W10200">
        <v>1</v>
      </c>
      <c r="X10200">
        <v>0</v>
      </c>
      <c r="Y10200">
        <v>1</v>
      </c>
      <c r="Z10200">
        <v>0</v>
      </c>
      <c r="AA10200">
        <v>1</v>
      </c>
      <c r="AB10200">
        <v>0</v>
      </c>
      <c r="AC10200">
        <v>0</v>
      </c>
      <c r="AD10200">
        <v>1</v>
      </c>
      <c r="AE10200">
        <v>1</v>
      </c>
      <c r="AF10200">
        <v>1</v>
      </c>
      <c r="AG10200">
        <v>1</v>
      </c>
      <c r="AH10200">
        <v>1</v>
      </c>
      <c r="AI10200">
        <v>1</v>
      </c>
      <c r="AJ10200">
        <v>1</v>
      </c>
      <c r="AK10200">
        <v>1</v>
      </c>
      <c r="AL10200">
        <v>1</v>
      </c>
      <c r="AM10200">
        <v>1</v>
      </c>
    </row>
    <row r="10201" spans="1:39" x14ac:dyDescent="0.2">
      <c r="A10201" t="str">
        <f>"10197"</f>
        <v>10197</v>
      </c>
      <c r="B10201" t="str">
        <f t="shared" si="566"/>
        <v>1</v>
      </c>
      <c r="C10201" t="str">
        <f t="shared" si="567"/>
        <v>204</v>
      </c>
      <c r="D10201" t="str">
        <f>"14"</f>
        <v>14</v>
      </c>
      <c r="E10201" t="str">
        <f>"1-204-14"</f>
        <v>1-204-14</v>
      </c>
      <c r="F10201" t="s">
        <v>65</v>
      </c>
      <c r="G10201" t="s">
        <v>66</v>
      </c>
      <c r="H10201" t="s">
        <v>67</v>
      </c>
      <c r="S10201">
        <v>0</v>
      </c>
      <c r="T10201">
        <v>1</v>
      </c>
      <c r="U10201">
        <v>0</v>
      </c>
      <c r="V10201">
        <v>0</v>
      </c>
      <c r="W10201">
        <v>1</v>
      </c>
      <c r="X10201">
        <v>0</v>
      </c>
      <c r="Y10201">
        <v>1</v>
      </c>
      <c r="Z10201">
        <v>0</v>
      </c>
      <c r="AA10201">
        <v>0</v>
      </c>
      <c r="AB10201">
        <v>1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1</v>
      </c>
    </row>
    <row r="10202" spans="1:39" x14ac:dyDescent="0.2">
      <c r="A10202" t="str">
        <f>"10198"</f>
        <v>10198</v>
      </c>
      <c r="B10202" t="str">
        <f t="shared" si="566"/>
        <v>1</v>
      </c>
      <c r="C10202" t="str">
        <f t="shared" si="567"/>
        <v>204</v>
      </c>
      <c r="D10202" t="str">
        <f>"48"</f>
        <v>48</v>
      </c>
      <c r="E10202" t="str">
        <f>"1-204-48"</f>
        <v>1-204-48</v>
      </c>
      <c r="F10202" t="s">
        <v>65</v>
      </c>
      <c r="G10202" t="s">
        <v>66</v>
      </c>
      <c r="H10202" t="s">
        <v>67</v>
      </c>
      <c r="S10202">
        <v>1</v>
      </c>
      <c r="T10202">
        <v>0</v>
      </c>
      <c r="U10202">
        <v>0</v>
      </c>
      <c r="V10202">
        <v>0</v>
      </c>
      <c r="W10202">
        <v>0</v>
      </c>
      <c r="X10202">
        <v>1</v>
      </c>
      <c r="Y10202">
        <v>0</v>
      </c>
      <c r="Z10202">
        <v>1</v>
      </c>
      <c r="AA10202">
        <v>0</v>
      </c>
      <c r="AB10202">
        <v>0</v>
      </c>
      <c r="AC10202">
        <v>1</v>
      </c>
      <c r="AD10202">
        <v>1</v>
      </c>
      <c r="AE10202">
        <v>1</v>
      </c>
      <c r="AF10202">
        <v>1</v>
      </c>
      <c r="AG10202">
        <v>1</v>
      </c>
      <c r="AH10202">
        <v>1</v>
      </c>
      <c r="AI10202">
        <v>1</v>
      </c>
      <c r="AJ10202">
        <v>1</v>
      </c>
      <c r="AK10202">
        <v>1</v>
      </c>
      <c r="AL10202">
        <v>1</v>
      </c>
      <c r="AM10202">
        <v>1</v>
      </c>
    </row>
    <row r="10203" spans="1:39" x14ac:dyDescent="0.2">
      <c r="A10203" t="str">
        <f>"10199"</f>
        <v>10199</v>
      </c>
      <c r="B10203" t="str">
        <f t="shared" si="566"/>
        <v>1</v>
      </c>
      <c r="C10203" t="str">
        <f t="shared" si="567"/>
        <v>204</v>
      </c>
      <c r="D10203" t="str">
        <f>"50"</f>
        <v>50</v>
      </c>
      <c r="E10203" t="str">
        <f>"1-204-50"</f>
        <v>1-204-50</v>
      </c>
      <c r="F10203" t="s">
        <v>65</v>
      </c>
      <c r="G10203" t="s">
        <v>66</v>
      </c>
      <c r="H10203" t="s">
        <v>67</v>
      </c>
      <c r="S10203">
        <v>1</v>
      </c>
      <c r="T10203">
        <v>0</v>
      </c>
      <c r="U10203">
        <v>0</v>
      </c>
      <c r="V10203">
        <v>0</v>
      </c>
      <c r="W10203">
        <v>1</v>
      </c>
      <c r="X10203">
        <v>0</v>
      </c>
      <c r="Y10203">
        <v>1</v>
      </c>
      <c r="Z10203">
        <v>0</v>
      </c>
      <c r="AA10203">
        <v>1</v>
      </c>
      <c r="AB10203">
        <v>0</v>
      </c>
      <c r="AC10203">
        <v>0</v>
      </c>
      <c r="AD10203">
        <v>1</v>
      </c>
      <c r="AE10203">
        <v>1</v>
      </c>
      <c r="AF10203">
        <v>1</v>
      </c>
      <c r="AG10203">
        <v>1</v>
      </c>
      <c r="AH10203">
        <v>1</v>
      </c>
      <c r="AI10203">
        <v>1</v>
      </c>
      <c r="AJ10203">
        <v>1</v>
      </c>
      <c r="AK10203">
        <v>1</v>
      </c>
      <c r="AL10203">
        <v>1</v>
      </c>
      <c r="AM10203">
        <v>1</v>
      </c>
    </row>
    <row r="10204" spans="1:39" x14ac:dyDescent="0.2">
      <c r="A10204" t="str">
        <f>"10200"</f>
        <v>10200</v>
      </c>
      <c r="B10204" t="str">
        <f t="shared" si="566"/>
        <v>1</v>
      </c>
      <c r="C10204" t="str">
        <f t="shared" si="567"/>
        <v>204</v>
      </c>
      <c r="D10204" t="str">
        <f>"49"</f>
        <v>49</v>
      </c>
      <c r="E10204" t="str">
        <f>"1-204-49"</f>
        <v>1-204-49</v>
      </c>
      <c r="F10204" t="s">
        <v>65</v>
      </c>
      <c r="G10204" t="s">
        <v>66</v>
      </c>
      <c r="H10204" t="s">
        <v>67</v>
      </c>
      <c r="S10204">
        <v>1</v>
      </c>
      <c r="T10204">
        <v>0</v>
      </c>
      <c r="U10204">
        <v>0</v>
      </c>
      <c r="V10204">
        <v>0</v>
      </c>
      <c r="W10204">
        <v>1</v>
      </c>
      <c r="X10204">
        <v>0</v>
      </c>
      <c r="Y10204">
        <v>1</v>
      </c>
      <c r="Z10204">
        <v>0</v>
      </c>
      <c r="AA10204">
        <v>1</v>
      </c>
      <c r="AB10204">
        <v>0</v>
      </c>
      <c r="AC10204">
        <v>0</v>
      </c>
      <c r="AD10204">
        <v>1</v>
      </c>
      <c r="AE10204">
        <v>1</v>
      </c>
      <c r="AF10204">
        <v>1</v>
      </c>
      <c r="AG10204">
        <v>1</v>
      </c>
      <c r="AH10204">
        <v>1</v>
      </c>
      <c r="AI10204">
        <v>1</v>
      </c>
      <c r="AJ10204">
        <v>1</v>
      </c>
      <c r="AK10204">
        <v>1</v>
      </c>
      <c r="AL10204">
        <v>1</v>
      </c>
      <c r="AM10204">
        <v>1</v>
      </c>
    </row>
    <row r="10205" spans="1:39" x14ac:dyDescent="0.2">
      <c r="A10205" t="str">
        <f>"10201"</f>
        <v>10201</v>
      </c>
      <c r="B10205" t="str">
        <f t="shared" si="566"/>
        <v>1</v>
      </c>
      <c r="C10205" t="str">
        <f t="shared" ref="C10205:C10236" si="568">"205"</f>
        <v>205</v>
      </c>
      <c r="D10205" t="str">
        <f>"44"</f>
        <v>44</v>
      </c>
      <c r="E10205" t="str">
        <f>"1-205-44"</f>
        <v>1-205-44</v>
      </c>
      <c r="F10205" t="s">
        <v>65</v>
      </c>
      <c r="G10205" t="s">
        <v>66</v>
      </c>
      <c r="H10205" t="s">
        <v>68</v>
      </c>
      <c r="I10205">
        <v>1</v>
      </c>
      <c r="J10205">
        <v>0</v>
      </c>
      <c r="K10205">
        <v>0</v>
      </c>
      <c r="L10205">
        <v>1</v>
      </c>
      <c r="M10205">
        <v>1</v>
      </c>
      <c r="N10205">
        <v>1</v>
      </c>
      <c r="O10205">
        <v>1</v>
      </c>
      <c r="P10205">
        <v>1</v>
      </c>
      <c r="Q10205">
        <v>1</v>
      </c>
      <c r="R10205">
        <v>1</v>
      </c>
    </row>
    <row r="10206" spans="1:39" x14ac:dyDescent="0.2">
      <c r="A10206" t="str">
        <f>"10202"</f>
        <v>10202</v>
      </c>
      <c r="B10206" t="str">
        <f t="shared" si="566"/>
        <v>1</v>
      </c>
      <c r="C10206" t="str">
        <f t="shared" si="568"/>
        <v>205</v>
      </c>
      <c r="D10206" t="str">
        <f>"43"</f>
        <v>43</v>
      </c>
      <c r="E10206" t="str">
        <f>"1-205-43"</f>
        <v>1-205-43</v>
      </c>
      <c r="F10206" t="s">
        <v>65</v>
      </c>
      <c r="G10206" t="s">
        <v>66</v>
      </c>
      <c r="H10206" t="s">
        <v>68</v>
      </c>
      <c r="I10206">
        <v>1</v>
      </c>
      <c r="J10206">
        <v>0</v>
      </c>
      <c r="K10206">
        <v>0</v>
      </c>
      <c r="L10206">
        <v>1</v>
      </c>
      <c r="M10206">
        <v>1</v>
      </c>
      <c r="N10206">
        <v>1</v>
      </c>
      <c r="O10206">
        <v>1</v>
      </c>
      <c r="P10206">
        <v>1</v>
      </c>
      <c r="Q10206">
        <v>1</v>
      </c>
      <c r="R10206">
        <v>1</v>
      </c>
    </row>
    <row r="10207" spans="1:39" x14ac:dyDescent="0.2">
      <c r="A10207" t="str">
        <f>"10203"</f>
        <v>10203</v>
      </c>
      <c r="B10207" t="str">
        <f t="shared" si="566"/>
        <v>1</v>
      </c>
      <c r="C10207" t="str">
        <f t="shared" si="568"/>
        <v>205</v>
      </c>
      <c r="D10207" t="str">
        <f>"32"</f>
        <v>32</v>
      </c>
      <c r="E10207" t="str">
        <f>"1-205-32"</f>
        <v>1-205-32</v>
      </c>
      <c r="F10207" t="s">
        <v>65</v>
      </c>
      <c r="G10207" t="s">
        <v>66</v>
      </c>
      <c r="H10207" t="s">
        <v>68</v>
      </c>
      <c r="I10207">
        <v>1</v>
      </c>
      <c r="J10207">
        <v>0</v>
      </c>
      <c r="K10207">
        <v>0</v>
      </c>
      <c r="L10207">
        <v>0</v>
      </c>
      <c r="M10207">
        <v>1</v>
      </c>
      <c r="N10207">
        <v>1</v>
      </c>
      <c r="O10207">
        <v>1</v>
      </c>
      <c r="P10207">
        <v>1</v>
      </c>
      <c r="Q10207">
        <v>1</v>
      </c>
      <c r="R10207">
        <v>1</v>
      </c>
    </row>
    <row r="10208" spans="1:39" x14ac:dyDescent="0.2">
      <c r="A10208" t="str">
        <f>"10204"</f>
        <v>10204</v>
      </c>
      <c r="B10208" t="str">
        <f t="shared" si="566"/>
        <v>1</v>
      </c>
      <c r="C10208" t="str">
        <f t="shared" si="568"/>
        <v>205</v>
      </c>
      <c r="D10208" t="str">
        <f>"31"</f>
        <v>31</v>
      </c>
      <c r="E10208" t="str">
        <f>"1-205-31"</f>
        <v>1-205-31</v>
      </c>
      <c r="F10208" t="s">
        <v>65</v>
      </c>
      <c r="G10208" t="s">
        <v>66</v>
      </c>
      <c r="H10208" t="s">
        <v>68</v>
      </c>
      <c r="I10208">
        <v>1</v>
      </c>
      <c r="J10208">
        <v>0</v>
      </c>
      <c r="K10208">
        <v>0</v>
      </c>
      <c r="L10208">
        <v>1</v>
      </c>
      <c r="M10208">
        <v>1</v>
      </c>
      <c r="N10208">
        <v>1</v>
      </c>
      <c r="O10208">
        <v>1</v>
      </c>
      <c r="P10208">
        <v>1</v>
      </c>
      <c r="Q10208">
        <v>1</v>
      </c>
      <c r="R10208">
        <v>1</v>
      </c>
    </row>
    <row r="10209" spans="1:39" x14ac:dyDescent="0.2">
      <c r="A10209" t="str">
        <f>"10205"</f>
        <v>10205</v>
      </c>
      <c r="B10209" t="str">
        <f t="shared" si="566"/>
        <v>1</v>
      </c>
      <c r="C10209" t="str">
        <f t="shared" si="568"/>
        <v>205</v>
      </c>
      <c r="D10209" t="str">
        <f>"22"</f>
        <v>22</v>
      </c>
      <c r="E10209" t="str">
        <f>"1-205-22"</f>
        <v>1-205-22</v>
      </c>
      <c r="F10209" t="s">
        <v>65</v>
      </c>
      <c r="G10209" t="s">
        <v>66</v>
      </c>
      <c r="H10209" t="s">
        <v>68</v>
      </c>
      <c r="I10209">
        <v>0</v>
      </c>
      <c r="J10209">
        <v>0</v>
      </c>
      <c r="K10209">
        <v>0</v>
      </c>
      <c r="L10209">
        <v>1</v>
      </c>
      <c r="M10209">
        <v>0</v>
      </c>
      <c r="N10209">
        <v>1</v>
      </c>
      <c r="O10209">
        <v>0</v>
      </c>
      <c r="P10209">
        <v>0</v>
      </c>
      <c r="Q10209">
        <v>0</v>
      </c>
      <c r="R10209">
        <v>0</v>
      </c>
    </row>
    <row r="10210" spans="1:39" x14ac:dyDescent="0.2">
      <c r="A10210" t="str">
        <f>"10206"</f>
        <v>10206</v>
      </c>
      <c r="B10210" t="str">
        <f t="shared" si="566"/>
        <v>1</v>
      </c>
      <c r="C10210" t="str">
        <f t="shared" si="568"/>
        <v>205</v>
      </c>
      <c r="D10210" t="str">
        <f>"15"</f>
        <v>15</v>
      </c>
      <c r="E10210" t="str">
        <f>"1-205-15"</f>
        <v>1-205-15</v>
      </c>
      <c r="F10210" t="s">
        <v>65</v>
      </c>
      <c r="G10210" t="s">
        <v>66</v>
      </c>
      <c r="H10210" t="s">
        <v>68</v>
      </c>
      <c r="I10210">
        <v>1</v>
      </c>
      <c r="J10210">
        <v>0</v>
      </c>
      <c r="K10210">
        <v>0</v>
      </c>
      <c r="L10210">
        <v>1</v>
      </c>
      <c r="M10210">
        <v>1</v>
      </c>
      <c r="N10210">
        <v>1</v>
      </c>
      <c r="O10210">
        <v>1</v>
      </c>
      <c r="P10210">
        <v>1</v>
      </c>
      <c r="Q10210">
        <v>1</v>
      </c>
      <c r="R10210">
        <v>1</v>
      </c>
    </row>
    <row r="10211" spans="1:39" x14ac:dyDescent="0.2">
      <c r="A10211" t="str">
        <f>"10207"</f>
        <v>10207</v>
      </c>
      <c r="B10211" t="str">
        <f t="shared" si="566"/>
        <v>1</v>
      </c>
      <c r="C10211" t="str">
        <f t="shared" si="568"/>
        <v>205</v>
      </c>
      <c r="D10211" t="str">
        <f>"9"</f>
        <v>9</v>
      </c>
      <c r="E10211" t="str">
        <f>"1-205-9"</f>
        <v>1-205-9</v>
      </c>
      <c r="F10211" t="s">
        <v>65</v>
      </c>
      <c r="G10211" t="s">
        <v>66</v>
      </c>
      <c r="H10211" t="s">
        <v>68</v>
      </c>
      <c r="I10211">
        <v>1</v>
      </c>
      <c r="J10211">
        <v>0</v>
      </c>
      <c r="K10211">
        <v>0</v>
      </c>
      <c r="L10211">
        <v>1</v>
      </c>
      <c r="M10211">
        <v>1</v>
      </c>
      <c r="N10211">
        <v>1</v>
      </c>
      <c r="O10211">
        <v>1</v>
      </c>
      <c r="P10211">
        <v>1</v>
      </c>
      <c r="Q10211">
        <v>1</v>
      </c>
      <c r="R10211">
        <v>1</v>
      </c>
    </row>
    <row r="10212" spans="1:39" x14ac:dyDescent="0.2">
      <c r="A10212" t="str">
        <f>"10208"</f>
        <v>10208</v>
      </c>
      <c r="B10212" t="str">
        <f t="shared" si="566"/>
        <v>1</v>
      </c>
      <c r="C10212" t="str">
        <f t="shared" si="568"/>
        <v>205</v>
      </c>
      <c r="D10212" t="str">
        <f>"35"</f>
        <v>35</v>
      </c>
      <c r="E10212" t="str">
        <f>"1-205-35"</f>
        <v>1-205-35</v>
      </c>
      <c r="F10212" t="s">
        <v>65</v>
      </c>
      <c r="G10212" t="s">
        <v>66</v>
      </c>
      <c r="H10212" t="s">
        <v>68</v>
      </c>
      <c r="I10212">
        <v>1</v>
      </c>
      <c r="J10212">
        <v>0</v>
      </c>
      <c r="K10212">
        <v>0</v>
      </c>
      <c r="L10212">
        <v>1</v>
      </c>
      <c r="M10212">
        <v>1</v>
      </c>
      <c r="N10212">
        <v>1</v>
      </c>
      <c r="O10212">
        <v>1</v>
      </c>
      <c r="P10212">
        <v>1</v>
      </c>
      <c r="Q10212">
        <v>1</v>
      </c>
      <c r="R10212">
        <v>1</v>
      </c>
    </row>
    <row r="10213" spans="1:39" x14ac:dyDescent="0.2">
      <c r="A10213" t="str">
        <f>"10209"</f>
        <v>10209</v>
      </c>
      <c r="B10213" t="str">
        <f t="shared" si="566"/>
        <v>1</v>
      </c>
      <c r="C10213" t="str">
        <f t="shared" si="568"/>
        <v>205</v>
      </c>
      <c r="D10213" t="str">
        <f>"34"</f>
        <v>34</v>
      </c>
      <c r="E10213" t="str">
        <f>"1-205-34"</f>
        <v>1-205-34</v>
      </c>
      <c r="F10213" t="s">
        <v>65</v>
      </c>
      <c r="G10213" t="s">
        <v>66</v>
      </c>
      <c r="H10213" t="s">
        <v>68</v>
      </c>
      <c r="I10213">
        <v>1</v>
      </c>
      <c r="J10213">
        <v>0</v>
      </c>
      <c r="K10213">
        <v>0</v>
      </c>
      <c r="L10213">
        <v>1</v>
      </c>
      <c r="M10213">
        <v>1</v>
      </c>
      <c r="N10213">
        <v>1</v>
      </c>
      <c r="O10213">
        <v>1</v>
      </c>
      <c r="P10213">
        <v>1</v>
      </c>
      <c r="Q10213">
        <v>1</v>
      </c>
      <c r="R10213">
        <v>1</v>
      </c>
    </row>
    <row r="10214" spans="1:39" x14ac:dyDescent="0.2">
      <c r="A10214" t="str">
        <f>"10210"</f>
        <v>10210</v>
      </c>
      <c r="B10214" t="str">
        <f t="shared" si="566"/>
        <v>1</v>
      </c>
      <c r="C10214" t="str">
        <f t="shared" si="568"/>
        <v>205</v>
      </c>
      <c r="D10214" t="str">
        <f>"28"</f>
        <v>28</v>
      </c>
      <c r="E10214" t="str">
        <f>"1-205-28"</f>
        <v>1-205-28</v>
      </c>
      <c r="F10214" t="s">
        <v>65</v>
      </c>
      <c r="G10214" t="s">
        <v>66</v>
      </c>
      <c r="H10214" t="s">
        <v>68</v>
      </c>
      <c r="I10214">
        <v>1</v>
      </c>
      <c r="J10214">
        <v>1</v>
      </c>
      <c r="K10214">
        <v>0</v>
      </c>
      <c r="L10214">
        <v>0</v>
      </c>
      <c r="M10214">
        <v>1</v>
      </c>
      <c r="N10214">
        <v>1</v>
      </c>
      <c r="O10214">
        <v>1</v>
      </c>
      <c r="P10214">
        <v>1</v>
      </c>
      <c r="Q10214">
        <v>1</v>
      </c>
      <c r="R10214">
        <v>1</v>
      </c>
    </row>
    <row r="10215" spans="1:39" x14ac:dyDescent="0.2">
      <c r="A10215" t="str">
        <f>"10211"</f>
        <v>10211</v>
      </c>
      <c r="B10215" t="str">
        <f t="shared" si="566"/>
        <v>1</v>
      </c>
      <c r="C10215" t="str">
        <f t="shared" si="568"/>
        <v>205</v>
      </c>
      <c r="D10215" t="str">
        <f>"16"</f>
        <v>16</v>
      </c>
      <c r="E10215" t="str">
        <f>"1-205-16"</f>
        <v>1-205-16</v>
      </c>
      <c r="F10215" t="s">
        <v>65</v>
      </c>
      <c r="G10215" t="s">
        <v>66</v>
      </c>
      <c r="H10215" t="s">
        <v>68</v>
      </c>
      <c r="I10215">
        <v>1</v>
      </c>
      <c r="J10215">
        <v>0</v>
      </c>
      <c r="K10215">
        <v>0</v>
      </c>
      <c r="L10215">
        <v>1</v>
      </c>
      <c r="M10215">
        <v>1</v>
      </c>
      <c r="N10215">
        <v>1</v>
      </c>
      <c r="O10215">
        <v>1</v>
      </c>
      <c r="P10215">
        <v>1</v>
      </c>
      <c r="Q10215">
        <v>1</v>
      </c>
      <c r="R10215">
        <v>1</v>
      </c>
    </row>
    <row r="10216" spans="1:39" x14ac:dyDescent="0.2">
      <c r="A10216" t="str">
        <f>"10212"</f>
        <v>10212</v>
      </c>
      <c r="B10216" t="str">
        <f t="shared" si="566"/>
        <v>1</v>
      </c>
      <c r="C10216" t="str">
        <f t="shared" si="568"/>
        <v>205</v>
      </c>
      <c r="D10216" t="str">
        <f>"6"</f>
        <v>6</v>
      </c>
      <c r="E10216" t="str">
        <f>"1-205-6"</f>
        <v>1-205-6</v>
      </c>
      <c r="F10216" t="s">
        <v>65</v>
      </c>
      <c r="G10216" t="s">
        <v>66</v>
      </c>
      <c r="H10216" t="s">
        <v>67</v>
      </c>
      <c r="S10216">
        <v>0</v>
      </c>
      <c r="T10216">
        <v>1</v>
      </c>
      <c r="U10216">
        <v>0</v>
      </c>
      <c r="V10216">
        <v>0</v>
      </c>
      <c r="W10216">
        <v>1</v>
      </c>
      <c r="X10216">
        <v>0</v>
      </c>
      <c r="Y10216">
        <v>1</v>
      </c>
      <c r="Z10216">
        <v>0</v>
      </c>
      <c r="AA10216">
        <v>0</v>
      </c>
      <c r="AB10216">
        <v>1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1</v>
      </c>
      <c r="AK10216">
        <v>0</v>
      </c>
      <c r="AL10216">
        <v>0</v>
      </c>
      <c r="AM10216">
        <v>0</v>
      </c>
    </row>
    <row r="10217" spans="1:39" x14ac:dyDescent="0.2">
      <c r="A10217" t="str">
        <f>"10213"</f>
        <v>10213</v>
      </c>
      <c r="B10217" t="str">
        <f t="shared" si="566"/>
        <v>1</v>
      </c>
      <c r="C10217" t="str">
        <f t="shared" si="568"/>
        <v>205</v>
      </c>
      <c r="D10217" t="str">
        <f>"49"</f>
        <v>49</v>
      </c>
      <c r="E10217" t="str">
        <f>"1-205-49"</f>
        <v>1-205-49</v>
      </c>
      <c r="F10217" t="s">
        <v>65</v>
      </c>
      <c r="G10217" t="s">
        <v>66</v>
      </c>
      <c r="H10217" t="s">
        <v>68</v>
      </c>
      <c r="I10217">
        <v>1</v>
      </c>
      <c r="J10217">
        <v>0</v>
      </c>
      <c r="K10217">
        <v>1</v>
      </c>
      <c r="L10217">
        <v>0</v>
      </c>
      <c r="M10217">
        <v>1</v>
      </c>
      <c r="N10217">
        <v>1</v>
      </c>
      <c r="O10217">
        <v>1</v>
      </c>
      <c r="P10217">
        <v>1</v>
      </c>
      <c r="Q10217">
        <v>1</v>
      </c>
      <c r="R10217">
        <v>1</v>
      </c>
    </row>
    <row r="10218" spans="1:39" x14ac:dyDescent="0.2">
      <c r="A10218" t="str">
        <f>"10214"</f>
        <v>10214</v>
      </c>
      <c r="B10218" t="str">
        <f t="shared" si="566"/>
        <v>1</v>
      </c>
      <c r="C10218" t="str">
        <f t="shared" si="568"/>
        <v>205</v>
      </c>
      <c r="D10218" t="str">
        <f>"48"</f>
        <v>48</v>
      </c>
      <c r="E10218" t="str">
        <f>"1-205-48"</f>
        <v>1-205-48</v>
      </c>
      <c r="F10218" t="s">
        <v>65</v>
      </c>
      <c r="G10218" t="s">
        <v>66</v>
      </c>
      <c r="H10218" t="s">
        <v>68</v>
      </c>
      <c r="I10218">
        <v>0</v>
      </c>
      <c r="J10218">
        <v>1</v>
      </c>
      <c r="K10218">
        <v>0</v>
      </c>
      <c r="L10218">
        <v>0</v>
      </c>
      <c r="M10218">
        <v>1</v>
      </c>
      <c r="N10218">
        <v>0</v>
      </c>
      <c r="O10218">
        <v>0</v>
      </c>
      <c r="P10218">
        <v>0</v>
      </c>
      <c r="Q10218">
        <v>0</v>
      </c>
      <c r="R10218">
        <v>0</v>
      </c>
    </row>
    <row r="10219" spans="1:39" x14ac:dyDescent="0.2">
      <c r="A10219" t="str">
        <f>"10215"</f>
        <v>10215</v>
      </c>
      <c r="B10219" t="str">
        <f t="shared" si="566"/>
        <v>1</v>
      </c>
      <c r="C10219" t="str">
        <f t="shared" si="568"/>
        <v>205</v>
      </c>
      <c r="D10219" t="str">
        <f>"33"</f>
        <v>33</v>
      </c>
      <c r="E10219" t="str">
        <f>"1-205-33"</f>
        <v>1-205-33</v>
      </c>
      <c r="F10219" t="s">
        <v>65</v>
      </c>
      <c r="G10219" t="s">
        <v>66</v>
      </c>
      <c r="H10219" t="s">
        <v>68</v>
      </c>
      <c r="I10219">
        <v>1</v>
      </c>
      <c r="J10219">
        <v>1</v>
      </c>
      <c r="K10219">
        <v>0</v>
      </c>
      <c r="L10219">
        <v>0</v>
      </c>
      <c r="M10219">
        <v>1</v>
      </c>
      <c r="N10219">
        <v>1</v>
      </c>
      <c r="O10219">
        <v>1</v>
      </c>
      <c r="P10219">
        <v>1</v>
      </c>
      <c r="Q10219">
        <v>1</v>
      </c>
      <c r="R10219">
        <v>1</v>
      </c>
    </row>
    <row r="10220" spans="1:39" x14ac:dyDescent="0.2">
      <c r="A10220" t="str">
        <f>"10216"</f>
        <v>10216</v>
      </c>
      <c r="B10220" t="str">
        <f t="shared" si="566"/>
        <v>1</v>
      </c>
      <c r="C10220" t="str">
        <f t="shared" si="568"/>
        <v>205</v>
      </c>
      <c r="D10220" t="str">
        <f>"17"</f>
        <v>17</v>
      </c>
      <c r="E10220" t="str">
        <f>"1-205-17"</f>
        <v>1-205-17</v>
      </c>
      <c r="F10220" t="s">
        <v>65</v>
      </c>
      <c r="G10220" t="s">
        <v>66</v>
      </c>
      <c r="H10220" t="s">
        <v>68</v>
      </c>
      <c r="I10220">
        <v>1</v>
      </c>
      <c r="J10220">
        <v>0</v>
      </c>
      <c r="K10220">
        <v>0</v>
      </c>
      <c r="L10220">
        <v>0</v>
      </c>
      <c r="M10220">
        <v>1</v>
      </c>
      <c r="N10220">
        <v>1</v>
      </c>
      <c r="O10220">
        <v>1</v>
      </c>
      <c r="P10220">
        <v>1</v>
      </c>
      <c r="Q10220">
        <v>0</v>
      </c>
      <c r="R10220">
        <v>1</v>
      </c>
    </row>
    <row r="10221" spans="1:39" x14ac:dyDescent="0.2">
      <c r="A10221" t="str">
        <f>"10217"</f>
        <v>10217</v>
      </c>
      <c r="B10221" t="str">
        <f t="shared" si="566"/>
        <v>1</v>
      </c>
      <c r="C10221" t="str">
        <f t="shared" si="568"/>
        <v>205</v>
      </c>
      <c r="D10221" t="str">
        <f>"13"</f>
        <v>13</v>
      </c>
      <c r="E10221" t="str">
        <f>"1-205-13"</f>
        <v>1-205-13</v>
      </c>
      <c r="F10221" t="s">
        <v>65</v>
      </c>
      <c r="G10221" t="s">
        <v>66</v>
      </c>
      <c r="H10221" t="s">
        <v>68</v>
      </c>
      <c r="I10221">
        <v>1</v>
      </c>
      <c r="J10221">
        <v>0</v>
      </c>
      <c r="K10221">
        <v>0</v>
      </c>
      <c r="L10221">
        <v>1</v>
      </c>
      <c r="M10221">
        <v>1</v>
      </c>
      <c r="N10221">
        <v>1</v>
      </c>
      <c r="O10221">
        <v>1</v>
      </c>
      <c r="P10221">
        <v>1</v>
      </c>
      <c r="Q10221">
        <v>1</v>
      </c>
      <c r="R10221">
        <v>1</v>
      </c>
    </row>
    <row r="10222" spans="1:39" x14ac:dyDescent="0.2">
      <c r="A10222" t="str">
        <f>"10218"</f>
        <v>10218</v>
      </c>
      <c r="B10222" t="str">
        <f t="shared" si="566"/>
        <v>1</v>
      </c>
      <c r="C10222" t="str">
        <f t="shared" si="568"/>
        <v>205</v>
      </c>
      <c r="D10222" t="str">
        <f>"37"</f>
        <v>37</v>
      </c>
      <c r="E10222" t="str">
        <f>"1-205-37"</f>
        <v>1-205-37</v>
      </c>
      <c r="F10222" t="s">
        <v>65</v>
      </c>
      <c r="G10222" t="s">
        <v>66</v>
      </c>
      <c r="H10222" t="s">
        <v>68</v>
      </c>
      <c r="I10222">
        <v>1</v>
      </c>
      <c r="J10222">
        <v>0</v>
      </c>
      <c r="K10222">
        <v>0</v>
      </c>
      <c r="L10222">
        <v>1</v>
      </c>
      <c r="M10222">
        <v>1</v>
      </c>
      <c r="N10222">
        <v>1</v>
      </c>
      <c r="O10222">
        <v>1</v>
      </c>
      <c r="P10222">
        <v>1</v>
      </c>
      <c r="Q10222">
        <v>1</v>
      </c>
      <c r="R10222">
        <v>1</v>
      </c>
    </row>
    <row r="10223" spans="1:39" x14ac:dyDescent="0.2">
      <c r="A10223" t="str">
        <f>"10219"</f>
        <v>10219</v>
      </c>
      <c r="B10223" t="str">
        <f t="shared" si="566"/>
        <v>1</v>
      </c>
      <c r="C10223" t="str">
        <f t="shared" si="568"/>
        <v>205</v>
      </c>
      <c r="D10223" t="str">
        <f>"18"</f>
        <v>18</v>
      </c>
      <c r="E10223" t="str">
        <f>"1-205-18"</f>
        <v>1-205-18</v>
      </c>
      <c r="F10223" t="s">
        <v>65</v>
      </c>
      <c r="G10223" t="s">
        <v>66</v>
      </c>
      <c r="H10223" t="s">
        <v>68</v>
      </c>
      <c r="I10223">
        <v>1</v>
      </c>
      <c r="J10223">
        <v>1</v>
      </c>
      <c r="K10223">
        <v>0</v>
      </c>
      <c r="L10223">
        <v>0</v>
      </c>
      <c r="M10223">
        <v>1</v>
      </c>
      <c r="N10223">
        <v>1</v>
      </c>
      <c r="O10223">
        <v>1</v>
      </c>
      <c r="P10223">
        <v>1</v>
      </c>
      <c r="Q10223">
        <v>1</v>
      </c>
      <c r="R10223">
        <v>1</v>
      </c>
    </row>
    <row r="10224" spans="1:39" x14ac:dyDescent="0.2">
      <c r="A10224" t="str">
        <f>"10220"</f>
        <v>10220</v>
      </c>
      <c r="B10224" t="str">
        <f t="shared" si="566"/>
        <v>1</v>
      </c>
      <c r="C10224" t="str">
        <f t="shared" si="568"/>
        <v>205</v>
      </c>
      <c r="D10224" t="str">
        <f>"8"</f>
        <v>8</v>
      </c>
      <c r="E10224" t="str">
        <f>"1-205-8"</f>
        <v>1-205-8</v>
      </c>
      <c r="F10224" t="s">
        <v>65</v>
      </c>
      <c r="G10224" t="s">
        <v>66</v>
      </c>
      <c r="H10224" t="s">
        <v>68</v>
      </c>
      <c r="I10224">
        <v>1</v>
      </c>
      <c r="J10224">
        <v>0</v>
      </c>
      <c r="K10224">
        <v>0</v>
      </c>
      <c r="L10224">
        <v>1</v>
      </c>
      <c r="M10224">
        <v>1</v>
      </c>
      <c r="N10224">
        <v>1</v>
      </c>
      <c r="O10224">
        <v>1</v>
      </c>
      <c r="P10224">
        <v>1</v>
      </c>
      <c r="Q10224">
        <v>1</v>
      </c>
      <c r="R10224">
        <v>1</v>
      </c>
    </row>
    <row r="10225" spans="1:39" x14ac:dyDescent="0.2">
      <c r="A10225" t="str">
        <f>"10221"</f>
        <v>10221</v>
      </c>
      <c r="B10225" t="str">
        <f t="shared" si="566"/>
        <v>1</v>
      </c>
      <c r="C10225" t="str">
        <f t="shared" si="568"/>
        <v>205</v>
      </c>
      <c r="D10225" t="str">
        <f>"50"</f>
        <v>50</v>
      </c>
      <c r="E10225" t="str">
        <f>"1-205-50"</f>
        <v>1-205-50</v>
      </c>
      <c r="F10225" t="s">
        <v>65</v>
      </c>
      <c r="G10225" t="s">
        <v>66</v>
      </c>
      <c r="H10225" t="s">
        <v>68</v>
      </c>
      <c r="I10225">
        <v>1</v>
      </c>
      <c r="J10225">
        <v>0</v>
      </c>
      <c r="K10225">
        <v>0</v>
      </c>
      <c r="L10225">
        <v>1</v>
      </c>
      <c r="M10225">
        <v>1</v>
      </c>
      <c r="N10225">
        <v>1</v>
      </c>
      <c r="O10225">
        <v>1</v>
      </c>
      <c r="P10225">
        <v>1</v>
      </c>
      <c r="Q10225">
        <v>1</v>
      </c>
      <c r="R10225">
        <v>1</v>
      </c>
    </row>
    <row r="10226" spans="1:39" x14ac:dyDescent="0.2">
      <c r="A10226" t="str">
        <f>"10222"</f>
        <v>10222</v>
      </c>
      <c r="B10226" t="str">
        <f t="shared" si="566"/>
        <v>1</v>
      </c>
      <c r="C10226" t="str">
        <f t="shared" si="568"/>
        <v>205</v>
      </c>
      <c r="D10226" t="str">
        <f>"36"</f>
        <v>36</v>
      </c>
      <c r="E10226" t="str">
        <f>"1-205-36"</f>
        <v>1-205-36</v>
      </c>
      <c r="F10226" t="s">
        <v>65</v>
      </c>
      <c r="G10226" t="s">
        <v>66</v>
      </c>
      <c r="H10226" t="s">
        <v>68</v>
      </c>
      <c r="I10226">
        <v>1</v>
      </c>
      <c r="J10226">
        <v>0</v>
      </c>
      <c r="K10226">
        <v>0</v>
      </c>
      <c r="L10226">
        <v>1</v>
      </c>
      <c r="M10226">
        <v>1</v>
      </c>
      <c r="N10226">
        <v>1</v>
      </c>
      <c r="O10226">
        <v>1</v>
      </c>
      <c r="P10226">
        <v>1</v>
      </c>
      <c r="Q10226">
        <v>1</v>
      </c>
      <c r="R10226">
        <v>1</v>
      </c>
    </row>
    <row r="10227" spans="1:39" x14ac:dyDescent="0.2">
      <c r="A10227" t="str">
        <f>"10223"</f>
        <v>10223</v>
      </c>
      <c r="B10227" t="str">
        <f t="shared" si="566"/>
        <v>1</v>
      </c>
      <c r="C10227" t="str">
        <f t="shared" si="568"/>
        <v>205</v>
      </c>
      <c r="D10227" t="str">
        <f>"19"</f>
        <v>19</v>
      </c>
      <c r="E10227" t="str">
        <f>"1-205-19"</f>
        <v>1-205-19</v>
      </c>
      <c r="F10227" t="s">
        <v>65</v>
      </c>
      <c r="G10227" t="s">
        <v>66</v>
      </c>
      <c r="H10227" t="s">
        <v>68</v>
      </c>
      <c r="I10227">
        <v>1</v>
      </c>
      <c r="J10227">
        <v>0</v>
      </c>
      <c r="K10227">
        <v>0</v>
      </c>
      <c r="L10227">
        <v>1</v>
      </c>
      <c r="M10227">
        <v>1</v>
      </c>
      <c r="N10227">
        <v>1</v>
      </c>
      <c r="O10227">
        <v>1</v>
      </c>
      <c r="P10227">
        <v>1</v>
      </c>
      <c r="Q10227">
        <v>1</v>
      </c>
      <c r="R10227">
        <v>1</v>
      </c>
    </row>
    <row r="10228" spans="1:39" x14ac:dyDescent="0.2">
      <c r="A10228" t="str">
        <f>"10224"</f>
        <v>10224</v>
      </c>
      <c r="B10228" t="str">
        <f t="shared" si="566"/>
        <v>1</v>
      </c>
      <c r="C10228" t="str">
        <f t="shared" si="568"/>
        <v>205</v>
      </c>
      <c r="D10228" t="str">
        <f>"10"</f>
        <v>10</v>
      </c>
      <c r="E10228" t="str">
        <f>"1-205-10"</f>
        <v>1-205-10</v>
      </c>
      <c r="F10228" t="s">
        <v>65</v>
      </c>
      <c r="G10228" t="s">
        <v>66</v>
      </c>
      <c r="H10228" t="s">
        <v>68</v>
      </c>
      <c r="I10228">
        <v>1</v>
      </c>
      <c r="J10228">
        <v>0</v>
      </c>
      <c r="K10228">
        <v>1</v>
      </c>
      <c r="L10228">
        <v>0</v>
      </c>
      <c r="M10228">
        <v>1</v>
      </c>
      <c r="N10228">
        <v>0</v>
      </c>
      <c r="O10228">
        <v>0</v>
      </c>
      <c r="P10228">
        <v>0</v>
      </c>
      <c r="Q10228">
        <v>1</v>
      </c>
      <c r="R10228">
        <v>1</v>
      </c>
    </row>
    <row r="10229" spans="1:39" x14ac:dyDescent="0.2">
      <c r="A10229" t="str">
        <f>"10225"</f>
        <v>10225</v>
      </c>
      <c r="B10229" t="str">
        <f t="shared" si="566"/>
        <v>1</v>
      </c>
      <c r="C10229" t="str">
        <f t="shared" si="568"/>
        <v>205</v>
      </c>
      <c r="D10229" t="str">
        <f>"38"</f>
        <v>38</v>
      </c>
      <c r="E10229" t="str">
        <f>"1-205-38"</f>
        <v>1-205-38</v>
      </c>
      <c r="F10229" t="s">
        <v>65</v>
      </c>
      <c r="G10229" t="s">
        <v>66</v>
      </c>
      <c r="H10229" t="s">
        <v>68</v>
      </c>
      <c r="I10229">
        <v>1</v>
      </c>
      <c r="J10229">
        <v>1</v>
      </c>
      <c r="K10229">
        <v>0</v>
      </c>
      <c r="L10229">
        <v>0</v>
      </c>
      <c r="M10229">
        <v>1</v>
      </c>
      <c r="N10229">
        <v>1</v>
      </c>
      <c r="O10229">
        <v>1</v>
      </c>
      <c r="P10229">
        <v>1</v>
      </c>
      <c r="Q10229">
        <v>1</v>
      </c>
      <c r="R10229">
        <v>1</v>
      </c>
    </row>
    <row r="10230" spans="1:39" x14ac:dyDescent="0.2">
      <c r="A10230" t="str">
        <f>"10226"</f>
        <v>10226</v>
      </c>
      <c r="B10230" t="str">
        <f t="shared" si="566"/>
        <v>1</v>
      </c>
      <c r="C10230" t="str">
        <f t="shared" si="568"/>
        <v>205</v>
      </c>
      <c r="D10230" t="str">
        <f>"20"</f>
        <v>20</v>
      </c>
      <c r="E10230" t="str">
        <f>"1-205-20"</f>
        <v>1-205-20</v>
      </c>
      <c r="F10230" t="s">
        <v>65</v>
      </c>
      <c r="G10230" t="s">
        <v>66</v>
      </c>
      <c r="H10230" t="s">
        <v>68</v>
      </c>
      <c r="I10230">
        <v>1</v>
      </c>
      <c r="J10230">
        <v>1</v>
      </c>
      <c r="K10230">
        <v>0</v>
      </c>
      <c r="L10230">
        <v>0</v>
      </c>
      <c r="M10230">
        <v>1</v>
      </c>
      <c r="N10230">
        <v>1</v>
      </c>
      <c r="O10230">
        <v>1</v>
      </c>
      <c r="P10230">
        <v>1</v>
      </c>
      <c r="Q10230">
        <v>1</v>
      </c>
      <c r="R10230">
        <v>1</v>
      </c>
    </row>
    <row r="10231" spans="1:39" x14ac:dyDescent="0.2">
      <c r="A10231" t="str">
        <f>"10227"</f>
        <v>10227</v>
      </c>
      <c r="B10231" t="str">
        <f t="shared" ref="B10231:B10294" si="569">"1"</f>
        <v>1</v>
      </c>
      <c r="C10231" t="str">
        <f t="shared" si="568"/>
        <v>205</v>
      </c>
      <c r="D10231" t="str">
        <f>"11"</f>
        <v>11</v>
      </c>
      <c r="E10231" t="str">
        <f>"1-205-11"</f>
        <v>1-205-11</v>
      </c>
      <c r="F10231" t="s">
        <v>65</v>
      </c>
      <c r="G10231" t="s">
        <v>66</v>
      </c>
      <c r="H10231" t="s">
        <v>68</v>
      </c>
      <c r="I10231">
        <v>1</v>
      </c>
      <c r="J10231">
        <v>1</v>
      </c>
      <c r="K10231">
        <v>0</v>
      </c>
      <c r="L10231">
        <v>0</v>
      </c>
      <c r="M10231">
        <v>1</v>
      </c>
      <c r="N10231">
        <v>1</v>
      </c>
      <c r="O10231">
        <v>1</v>
      </c>
      <c r="P10231">
        <v>1</v>
      </c>
      <c r="Q10231">
        <v>1</v>
      </c>
      <c r="R10231">
        <v>1</v>
      </c>
    </row>
    <row r="10232" spans="1:39" x14ac:dyDescent="0.2">
      <c r="A10232" t="str">
        <f>"10228"</f>
        <v>10228</v>
      </c>
      <c r="B10232" t="str">
        <f t="shared" si="569"/>
        <v>1</v>
      </c>
      <c r="C10232" t="str">
        <f t="shared" si="568"/>
        <v>205</v>
      </c>
      <c r="D10232" t="str">
        <f>"39"</f>
        <v>39</v>
      </c>
      <c r="E10232" t="str">
        <f>"1-205-39"</f>
        <v>1-205-39</v>
      </c>
      <c r="F10232" t="s">
        <v>65</v>
      </c>
      <c r="G10232" t="s">
        <v>66</v>
      </c>
      <c r="H10232" t="s">
        <v>68</v>
      </c>
      <c r="I10232">
        <v>1</v>
      </c>
      <c r="J10232">
        <v>0</v>
      </c>
      <c r="K10232">
        <v>1</v>
      </c>
      <c r="L10232">
        <v>0</v>
      </c>
      <c r="M10232">
        <v>1</v>
      </c>
      <c r="N10232">
        <v>1</v>
      </c>
      <c r="O10232">
        <v>0</v>
      </c>
      <c r="P10232">
        <v>1</v>
      </c>
      <c r="Q10232">
        <v>1</v>
      </c>
      <c r="R10232">
        <v>0</v>
      </c>
    </row>
    <row r="10233" spans="1:39" x14ac:dyDescent="0.2">
      <c r="A10233" t="str">
        <f>"10229"</f>
        <v>10229</v>
      </c>
      <c r="B10233" t="str">
        <f t="shared" si="569"/>
        <v>1</v>
      </c>
      <c r="C10233" t="str">
        <f t="shared" si="568"/>
        <v>205</v>
      </c>
      <c r="D10233" t="str">
        <f>"21"</f>
        <v>21</v>
      </c>
      <c r="E10233" t="str">
        <f>"1-205-21"</f>
        <v>1-205-21</v>
      </c>
      <c r="F10233" t="s">
        <v>65</v>
      </c>
      <c r="G10233" t="s">
        <v>66</v>
      </c>
      <c r="H10233" t="s">
        <v>68</v>
      </c>
      <c r="I10233">
        <v>1</v>
      </c>
      <c r="J10233">
        <v>1</v>
      </c>
      <c r="K10233">
        <v>0</v>
      </c>
      <c r="L10233">
        <v>0</v>
      </c>
      <c r="M10233">
        <v>1</v>
      </c>
      <c r="N10233">
        <v>1</v>
      </c>
      <c r="O10233">
        <v>1</v>
      </c>
      <c r="P10233">
        <v>1</v>
      </c>
      <c r="Q10233">
        <v>1</v>
      </c>
      <c r="R10233">
        <v>1</v>
      </c>
    </row>
    <row r="10234" spans="1:39" x14ac:dyDescent="0.2">
      <c r="A10234" t="str">
        <f>"10230"</f>
        <v>10230</v>
      </c>
      <c r="B10234" t="str">
        <f t="shared" si="569"/>
        <v>1</v>
      </c>
      <c r="C10234" t="str">
        <f t="shared" si="568"/>
        <v>205</v>
      </c>
      <c r="D10234" t="str">
        <f>"12"</f>
        <v>12</v>
      </c>
      <c r="E10234" t="str">
        <f>"1-205-12"</f>
        <v>1-205-12</v>
      </c>
      <c r="F10234" t="s">
        <v>65</v>
      </c>
      <c r="G10234" t="s">
        <v>66</v>
      </c>
      <c r="H10234" t="s">
        <v>68</v>
      </c>
      <c r="I10234">
        <v>1</v>
      </c>
      <c r="J10234">
        <v>0</v>
      </c>
      <c r="K10234">
        <v>0</v>
      </c>
      <c r="L10234">
        <v>1</v>
      </c>
      <c r="M10234">
        <v>1</v>
      </c>
      <c r="N10234">
        <v>1</v>
      </c>
      <c r="O10234">
        <v>1</v>
      </c>
      <c r="P10234">
        <v>1</v>
      </c>
      <c r="Q10234">
        <v>1</v>
      </c>
      <c r="R10234">
        <v>1</v>
      </c>
    </row>
    <row r="10235" spans="1:39" x14ac:dyDescent="0.2">
      <c r="A10235" t="str">
        <f>"10231"</f>
        <v>10231</v>
      </c>
      <c r="B10235" t="str">
        <f t="shared" si="569"/>
        <v>1</v>
      </c>
      <c r="C10235" t="str">
        <f t="shared" si="568"/>
        <v>205</v>
      </c>
      <c r="D10235" t="str">
        <f>"23"</f>
        <v>23</v>
      </c>
      <c r="E10235" t="str">
        <f>"1-205-23"</f>
        <v>1-205-23</v>
      </c>
      <c r="F10235" t="s">
        <v>65</v>
      </c>
      <c r="G10235" t="s">
        <v>66</v>
      </c>
      <c r="H10235" t="s">
        <v>68</v>
      </c>
      <c r="I10235">
        <v>1</v>
      </c>
      <c r="J10235">
        <v>0</v>
      </c>
      <c r="K10235">
        <v>0</v>
      </c>
      <c r="L10235">
        <v>1</v>
      </c>
      <c r="M10235">
        <v>1</v>
      </c>
      <c r="N10235">
        <v>1</v>
      </c>
      <c r="O10235">
        <v>1</v>
      </c>
      <c r="P10235">
        <v>1</v>
      </c>
      <c r="Q10235">
        <v>1</v>
      </c>
      <c r="R10235">
        <v>0</v>
      </c>
    </row>
    <row r="10236" spans="1:39" x14ac:dyDescent="0.2">
      <c r="A10236" t="str">
        <f>"10232"</f>
        <v>10232</v>
      </c>
      <c r="B10236" t="str">
        <f t="shared" si="569"/>
        <v>1</v>
      </c>
      <c r="C10236" t="str">
        <f t="shared" si="568"/>
        <v>205</v>
      </c>
      <c r="D10236" t="str">
        <f>"3"</f>
        <v>3</v>
      </c>
      <c r="E10236" t="str">
        <f>"1-205-3"</f>
        <v>1-205-3</v>
      </c>
      <c r="F10236" t="s">
        <v>65</v>
      </c>
      <c r="G10236" t="s">
        <v>66</v>
      </c>
      <c r="H10236" t="s">
        <v>67</v>
      </c>
      <c r="S10236">
        <v>1</v>
      </c>
      <c r="T10236">
        <v>0</v>
      </c>
      <c r="U10236">
        <v>0</v>
      </c>
      <c r="V10236">
        <v>0</v>
      </c>
      <c r="W10236">
        <v>1</v>
      </c>
      <c r="X10236">
        <v>0</v>
      </c>
      <c r="Y10236">
        <v>1</v>
      </c>
      <c r="Z10236">
        <v>0</v>
      </c>
      <c r="AA10236">
        <v>1</v>
      </c>
      <c r="AB10236">
        <v>0</v>
      </c>
      <c r="AC10236">
        <v>0</v>
      </c>
      <c r="AD10236">
        <v>1</v>
      </c>
      <c r="AE10236">
        <v>1</v>
      </c>
      <c r="AF10236">
        <v>1</v>
      </c>
      <c r="AG10236">
        <v>1</v>
      </c>
      <c r="AH10236">
        <v>1</v>
      </c>
      <c r="AI10236">
        <v>1</v>
      </c>
      <c r="AJ10236">
        <v>1</v>
      </c>
      <c r="AK10236">
        <v>1</v>
      </c>
      <c r="AL10236">
        <v>1</v>
      </c>
      <c r="AM10236">
        <v>1</v>
      </c>
    </row>
    <row r="10237" spans="1:39" x14ac:dyDescent="0.2">
      <c r="A10237" t="str">
        <f>"10233"</f>
        <v>10233</v>
      </c>
      <c r="B10237" t="str">
        <f t="shared" si="569"/>
        <v>1</v>
      </c>
      <c r="C10237" t="str">
        <f t="shared" ref="C10237:C10254" si="570">"205"</f>
        <v>205</v>
      </c>
      <c r="D10237" t="str">
        <f>"40"</f>
        <v>40</v>
      </c>
      <c r="E10237" t="str">
        <f>"1-205-40"</f>
        <v>1-205-40</v>
      </c>
      <c r="F10237" t="s">
        <v>65</v>
      </c>
      <c r="G10237" t="s">
        <v>66</v>
      </c>
      <c r="H10237" t="s">
        <v>68</v>
      </c>
      <c r="I10237">
        <v>1</v>
      </c>
      <c r="J10237">
        <v>1</v>
      </c>
      <c r="K10237">
        <v>0</v>
      </c>
      <c r="L10237">
        <v>0</v>
      </c>
      <c r="M10237">
        <v>1</v>
      </c>
      <c r="N10237">
        <v>1</v>
      </c>
      <c r="O10237">
        <v>1</v>
      </c>
      <c r="P10237">
        <v>1</v>
      </c>
      <c r="Q10237">
        <v>1</v>
      </c>
      <c r="R10237">
        <v>1</v>
      </c>
    </row>
    <row r="10238" spans="1:39" x14ac:dyDescent="0.2">
      <c r="A10238" t="str">
        <f>"10234"</f>
        <v>10234</v>
      </c>
      <c r="B10238" t="str">
        <f t="shared" si="569"/>
        <v>1</v>
      </c>
      <c r="C10238" t="str">
        <f t="shared" si="570"/>
        <v>205</v>
      </c>
      <c r="D10238" t="str">
        <f>"24"</f>
        <v>24</v>
      </c>
      <c r="E10238" t="str">
        <f>"1-205-24"</f>
        <v>1-205-24</v>
      </c>
      <c r="F10238" t="s">
        <v>65</v>
      </c>
      <c r="G10238" t="s">
        <v>66</v>
      </c>
      <c r="H10238" t="s">
        <v>68</v>
      </c>
      <c r="I10238">
        <v>1</v>
      </c>
      <c r="J10238">
        <v>0</v>
      </c>
      <c r="K10238">
        <v>0</v>
      </c>
      <c r="L10238">
        <v>1</v>
      </c>
      <c r="M10238">
        <v>1</v>
      </c>
      <c r="N10238">
        <v>1</v>
      </c>
      <c r="O10238">
        <v>1</v>
      </c>
      <c r="P10238">
        <v>1</v>
      </c>
      <c r="Q10238">
        <v>1</v>
      </c>
      <c r="R10238">
        <v>1</v>
      </c>
    </row>
    <row r="10239" spans="1:39" x14ac:dyDescent="0.2">
      <c r="A10239" t="str">
        <f>"10235"</f>
        <v>10235</v>
      </c>
      <c r="B10239" t="str">
        <f t="shared" si="569"/>
        <v>1</v>
      </c>
      <c r="C10239" t="str">
        <f t="shared" si="570"/>
        <v>205</v>
      </c>
      <c r="D10239" t="str">
        <f>"4"</f>
        <v>4</v>
      </c>
      <c r="E10239" t="str">
        <f>"1-205-4"</f>
        <v>1-205-4</v>
      </c>
      <c r="F10239" t="s">
        <v>65</v>
      </c>
      <c r="G10239" t="s">
        <v>66</v>
      </c>
      <c r="H10239" t="s">
        <v>67</v>
      </c>
      <c r="S10239">
        <v>0</v>
      </c>
      <c r="T10239">
        <v>1</v>
      </c>
      <c r="U10239">
        <v>0</v>
      </c>
      <c r="V10239">
        <v>0</v>
      </c>
      <c r="W10239">
        <v>1</v>
      </c>
      <c r="X10239">
        <v>0</v>
      </c>
      <c r="Y10239">
        <v>1</v>
      </c>
      <c r="Z10239">
        <v>0</v>
      </c>
      <c r="AA10239">
        <v>0</v>
      </c>
      <c r="AB10239">
        <v>0</v>
      </c>
      <c r="AC10239">
        <v>1</v>
      </c>
      <c r="AD10239">
        <v>1</v>
      </c>
      <c r="AE10239">
        <v>1</v>
      </c>
      <c r="AF10239">
        <v>1</v>
      </c>
      <c r="AG10239">
        <v>0</v>
      </c>
      <c r="AH10239">
        <v>1</v>
      </c>
      <c r="AI10239">
        <v>1</v>
      </c>
      <c r="AJ10239">
        <v>1</v>
      </c>
      <c r="AK10239">
        <v>1</v>
      </c>
      <c r="AL10239">
        <v>1</v>
      </c>
      <c r="AM10239">
        <v>1</v>
      </c>
    </row>
    <row r="10240" spans="1:39" x14ac:dyDescent="0.2">
      <c r="A10240" t="str">
        <f>"10236"</f>
        <v>10236</v>
      </c>
      <c r="B10240" t="str">
        <f t="shared" si="569"/>
        <v>1</v>
      </c>
      <c r="C10240" t="str">
        <f t="shared" si="570"/>
        <v>205</v>
      </c>
      <c r="D10240" t="str">
        <f>"41"</f>
        <v>41</v>
      </c>
      <c r="E10240" t="str">
        <f>"1-205-41"</f>
        <v>1-205-41</v>
      </c>
      <c r="F10240" t="s">
        <v>65</v>
      </c>
      <c r="G10240" t="s">
        <v>66</v>
      </c>
      <c r="H10240" t="s">
        <v>68</v>
      </c>
      <c r="I10240">
        <v>1</v>
      </c>
      <c r="J10240">
        <v>1</v>
      </c>
      <c r="K10240">
        <v>0</v>
      </c>
      <c r="L10240">
        <v>0</v>
      </c>
      <c r="M10240">
        <v>1</v>
      </c>
      <c r="N10240">
        <v>1</v>
      </c>
      <c r="O10240">
        <v>1</v>
      </c>
      <c r="P10240">
        <v>1</v>
      </c>
      <c r="Q10240">
        <v>1</v>
      </c>
      <c r="R10240">
        <v>1</v>
      </c>
    </row>
    <row r="10241" spans="1:39" x14ac:dyDescent="0.2">
      <c r="A10241" t="str">
        <f>"10237"</f>
        <v>10237</v>
      </c>
      <c r="B10241" t="str">
        <f t="shared" si="569"/>
        <v>1</v>
      </c>
      <c r="C10241" t="str">
        <f t="shared" si="570"/>
        <v>205</v>
      </c>
      <c r="D10241" t="str">
        <f>"25"</f>
        <v>25</v>
      </c>
      <c r="E10241" t="str">
        <f>"1-205-25"</f>
        <v>1-205-25</v>
      </c>
      <c r="F10241" t="s">
        <v>65</v>
      </c>
      <c r="G10241" t="s">
        <v>66</v>
      </c>
      <c r="H10241" t="s">
        <v>68</v>
      </c>
      <c r="I10241">
        <v>1</v>
      </c>
      <c r="J10241">
        <v>1</v>
      </c>
      <c r="K10241">
        <v>0</v>
      </c>
      <c r="L10241">
        <v>0</v>
      </c>
      <c r="M10241">
        <v>1</v>
      </c>
      <c r="N10241">
        <v>1</v>
      </c>
      <c r="O10241">
        <v>1</v>
      </c>
      <c r="P10241">
        <v>1</v>
      </c>
      <c r="Q10241">
        <v>1</v>
      </c>
      <c r="R10241">
        <v>1</v>
      </c>
    </row>
    <row r="10242" spans="1:39" x14ac:dyDescent="0.2">
      <c r="A10242" t="str">
        <f>"10238"</f>
        <v>10238</v>
      </c>
      <c r="B10242" t="str">
        <f t="shared" si="569"/>
        <v>1</v>
      </c>
      <c r="C10242" t="str">
        <f t="shared" si="570"/>
        <v>205</v>
      </c>
      <c r="D10242" t="str">
        <f>"7"</f>
        <v>7</v>
      </c>
      <c r="E10242" t="str">
        <f>"1-205-7"</f>
        <v>1-205-7</v>
      </c>
      <c r="F10242" t="s">
        <v>65</v>
      </c>
      <c r="G10242" t="s">
        <v>66</v>
      </c>
      <c r="H10242" t="s">
        <v>67</v>
      </c>
      <c r="S10242">
        <v>1</v>
      </c>
      <c r="T10242">
        <v>0</v>
      </c>
      <c r="U10242">
        <v>0</v>
      </c>
      <c r="V10242">
        <v>0</v>
      </c>
      <c r="W10242">
        <v>1</v>
      </c>
      <c r="X10242">
        <v>0</v>
      </c>
      <c r="Y10242">
        <v>1</v>
      </c>
      <c r="Z10242">
        <v>0</v>
      </c>
      <c r="AA10242">
        <v>1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</row>
    <row r="10243" spans="1:39" x14ac:dyDescent="0.2">
      <c r="A10243" t="str">
        <f>"10239"</f>
        <v>10239</v>
      </c>
      <c r="B10243" t="str">
        <f t="shared" si="569"/>
        <v>1</v>
      </c>
      <c r="C10243" t="str">
        <f t="shared" si="570"/>
        <v>205</v>
      </c>
      <c r="D10243" t="str">
        <f>"46"</f>
        <v>46</v>
      </c>
      <c r="E10243" t="str">
        <f>"1-205-46"</f>
        <v>1-205-46</v>
      </c>
      <c r="F10243" t="s">
        <v>65</v>
      </c>
      <c r="G10243" t="s">
        <v>66</v>
      </c>
      <c r="H10243" t="s">
        <v>68</v>
      </c>
      <c r="I10243">
        <v>1</v>
      </c>
      <c r="J10243">
        <v>1</v>
      </c>
      <c r="K10243">
        <v>0</v>
      </c>
      <c r="L10243">
        <v>0</v>
      </c>
      <c r="M10243">
        <v>1</v>
      </c>
      <c r="N10243">
        <v>1</v>
      </c>
      <c r="O10243">
        <v>1</v>
      </c>
      <c r="P10243">
        <v>1</v>
      </c>
      <c r="Q10243">
        <v>1</v>
      </c>
      <c r="R10243">
        <v>1</v>
      </c>
    </row>
    <row r="10244" spans="1:39" x14ac:dyDescent="0.2">
      <c r="A10244" t="str">
        <f>"10240"</f>
        <v>10240</v>
      </c>
      <c r="B10244" t="str">
        <f t="shared" si="569"/>
        <v>1</v>
      </c>
      <c r="C10244" t="str">
        <f t="shared" si="570"/>
        <v>205</v>
      </c>
      <c r="D10244" t="str">
        <f>"26"</f>
        <v>26</v>
      </c>
      <c r="E10244" t="str">
        <f>"1-205-26"</f>
        <v>1-205-26</v>
      </c>
      <c r="F10244" t="s">
        <v>65</v>
      </c>
      <c r="G10244" t="s">
        <v>66</v>
      </c>
      <c r="H10244" t="s">
        <v>68</v>
      </c>
      <c r="I10244">
        <v>1</v>
      </c>
      <c r="J10244">
        <v>1</v>
      </c>
      <c r="K10244">
        <v>0</v>
      </c>
      <c r="L10244">
        <v>0</v>
      </c>
      <c r="M10244">
        <v>1</v>
      </c>
      <c r="N10244">
        <v>1</v>
      </c>
      <c r="O10244">
        <v>1</v>
      </c>
      <c r="P10244">
        <v>1</v>
      </c>
      <c r="Q10244">
        <v>1</v>
      </c>
      <c r="R10244">
        <v>1</v>
      </c>
    </row>
    <row r="10245" spans="1:39" x14ac:dyDescent="0.2">
      <c r="A10245" t="str">
        <f>"10241"</f>
        <v>10241</v>
      </c>
      <c r="B10245" t="str">
        <f t="shared" si="569"/>
        <v>1</v>
      </c>
      <c r="C10245" t="str">
        <f t="shared" si="570"/>
        <v>205</v>
      </c>
      <c r="D10245" t="str">
        <f>"14"</f>
        <v>14</v>
      </c>
      <c r="E10245" t="str">
        <f>"1-205-14"</f>
        <v>1-205-14</v>
      </c>
      <c r="F10245" t="s">
        <v>65</v>
      </c>
      <c r="G10245" t="s">
        <v>66</v>
      </c>
      <c r="H10245" t="s">
        <v>68</v>
      </c>
      <c r="I10245">
        <v>1</v>
      </c>
      <c r="J10245">
        <v>0</v>
      </c>
      <c r="K10245">
        <v>0</v>
      </c>
      <c r="L10245">
        <v>1</v>
      </c>
      <c r="M10245">
        <v>1</v>
      </c>
      <c r="N10245">
        <v>1</v>
      </c>
      <c r="O10245">
        <v>1</v>
      </c>
      <c r="P10245">
        <v>1</v>
      </c>
      <c r="Q10245">
        <v>1</v>
      </c>
      <c r="R10245">
        <v>1</v>
      </c>
    </row>
    <row r="10246" spans="1:39" x14ac:dyDescent="0.2">
      <c r="A10246" t="str">
        <f>"10242"</f>
        <v>10242</v>
      </c>
      <c r="B10246" t="str">
        <f t="shared" si="569"/>
        <v>1</v>
      </c>
      <c r="C10246" t="str">
        <f t="shared" si="570"/>
        <v>205</v>
      </c>
      <c r="D10246" t="str">
        <f>"45"</f>
        <v>45</v>
      </c>
      <c r="E10246" t="str">
        <f>"1-205-45"</f>
        <v>1-205-45</v>
      </c>
      <c r="F10246" t="s">
        <v>65</v>
      </c>
      <c r="G10246" t="s">
        <v>66</v>
      </c>
      <c r="H10246" t="s">
        <v>68</v>
      </c>
      <c r="I10246">
        <v>1</v>
      </c>
      <c r="J10246">
        <v>0</v>
      </c>
      <c r="K10246">
        <v>1</v>
      </c>
      <c r="L10246">
        <v>0</v>
      </c>
      <c r="M10246">
        <v>1</v>
      </c>
      <c r="N10246">
        <v>1</v>
      </c>
      <c r="O10246">
        <v>1</v>
      </c>
      <c r="P10246">
        <v>1</v>
      </c>
      <c r="Q10246">
        <v>1</v>
      </c>
      <c r="R10246">
        <v>1</v>
      </c>
    </row>
    <row r="10247" spans="1:39" x14ac:dyDescent="0.2">
      <c r="A10247" t="str">
        <f>"10243"</f>
        <v>10243</v>
      </c>
      <c r="B10247" t="str">
        <f t="shared" si="569"/>
        <v>1</v>
      </c>
      <c r="C10247" t="str">
        <f t="shared" si="570"/>
        <v>205</v>
      </c>
      <c r="D10247" t="str">
        <f>"27"</f>
        <v>27</v>
      </c>
      <c r="E10247" t="str">
        <f>"1-205-27"</f>
        <v>1-205-27</v>
      </c>
      <c r="F10247" t="s">
        <v>65</v>
      </c>
      <c r="G10247" t="s">
        <v>66</v>
      </c>
      <c r="H10247" t="s">
        <v>68</v>
      </c>
      <c r="I10247">
        <v>1</v>
      </c>
      <c r="J10247">
        <v>0</v>
      </c>
      <c r="K10247">
        <v>0</v>
      </c>
      <c r="L10247">
        <v>1</v>
      </c>
      <c r="M10247">
        <v>1</v>
      </c>
      <c r="N10247">
        <v>1</v>
      </c>
      <c r="O10247">
        <v>1</v>
      </c>
      <c r="P10247">
        <v>1</v>
      </c>
      <c r="Q10247">
        <v>1</v>
      </c>
      <c r="R10247">
        <v>1</v>
      </c>
    </row>
    <row r="10248" spans="1:39" x14ac:dyDescent="0.2">
      <c r="A10248" t="str">
        <f>"10244"</f>
        <v>10244</v>
      </c>
      <c r="B10248" t="str">
        <f t="shared" si="569"/>
        <v>1</v>
      </c>
      <c r="C10248" t="str">
        <f t="shared" si="570"/>
        <v>205</v>
      </c>
      <c r="D10248" t="str">
        <f>"2"</f>
        <v>2</v>
      </c>
      <c r="E10248" t="str">
        <f>"1-205-2"</f>
        <v>1-205-2</v>
      </c>
      <c r="F10248" t="s">
        <v>65</v>
      </c>
      <c r="G10248" t="s">
        <v>66</v>
      </c>
      <c r="H10248" t="s">
        <v>67</v>
      </c>
      <c r="S10248">
        <v>1</v>
      </c>
      <c r="T10248">
        <v>0</v>
      </c>
      <c r="U10248">
        <v>0</v>
      </c>
      <c r="V10248">
        <v>0</v>
      </c>
      <c r="W10248">
        <v>1</v>
      </c>
      <c r="X10248">
        <v>0</v>
      </c>
      <c r="Y10248">
        <v>0</v>
      </c>
      <c r="Z10248">
        <v>1</v>
      </c>
      <c r="AA10248">
        <v>1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</row>
    <row r="10249" spans="1:39" x14ac:dyDescent="0.2">
      <c r="A10249" t="str">
        <f>"10245"</f>
        <v>10245</v>
      </c>
      <c r="B10249" t="str">
        <f t="shared" si="569"/>
        <v>1</v>
      </c>
      <c r="C10249" t="str">
        <f t="shared" si="570"/>
        <v>205</v>
      </c>
      <c r="D10249" t="str">
        <f>"47"</f>
        <v>47</v>
      </c>
      <c r="E10249" t="str">
        <f>"1-205-47"</f>
        <v>1-205-47</v>
      </c>
      <c r="F10249" t="s">
        <v>65</v>
      </c>
      <c r="G10249" t="s">
        <v>66</v>
      </c>
      <c r="H10249" t="s">
        <v>68</v>
      </c>
      <c r="I10249">
        <v>1</v>
      </c>
      <c r="J10249">
        <v>1</v>
      </c>
      <c r="K10249">
        <v>0</v>
      </c>
      <c r="L10249">
        <v>0</v>
      </c>
      <c r="M10249">
        <v>1</v>
      </c>
      <c r="N10249">
        <v>1</v>
      </c>
      <c r="O10249">
        <v>1</v>
      </c>
      <c r="P10249">
        <v>1</v>
      </c>
      <c r="Q10249">
        <v>1</v>
      </c>
      <c r="R10249">
        <v>1</v>
      </c>
    </row>
    <row r="10250" spans="1:39" x14ac:dyDescent="0.2">
      <c r="A10250" t="str">
        <f>"10246"</f>
        <v>10246</v>
      </c>
      <c r="B10250" t="str">
        <f t="shared" si="569"/>
        <v>1</v>
      </c>
      <c r="C10250" t="str">
        <f t="shared" si="570"/>
        <v>205</v>
      </c>
      <c r="D10250" t="str">
        <f>"29"</f>
        <v>29</v>
      </c>
      <c r="E10250" t="str">
        <f>"1-205-29"</f>
        <v>1-205-29</v>
      </c>
      <c r="F10250" t="s">
        <v>65</v>
      </c>
      <c r="G10250" t="s">
        <v>66</v>
      </c>
      <c r="H10250" t="s">
        <v>68</v>
      </c>
      <c r="I10250">
        <v>1</v>
      </c>
      <c r="J10250">
        <v>1</v>
      </c>
      <c r="K10250">
        <v>0</v>
      </c>
      <c r="L10250">
        <v>0</v>
      </c>
      <c r="M10250">
        <v>1</v>
      </c>
      <c r="N10250">
        <v>1</v>
      </c>
      <c r="O10250">
        <v>1</v>
      </c>
      <c r="P10250">
        <v>1</v>
      </c>
      <c r="Q10250">
        <v>1</v>
      </c>
      <c r="R10250">
        <v>1</v>
      </c>
    </row>
    <row r="10251" spans="1:39" x14ac:dyDescent="0.2">
      <c r="A10251" t="str">
        <f>"10247"</f>
        <v>10247</v>
      </c>
      <c r="B10251" t="str">
        <f t="shared" si="569"/>
        <v>1</v>
      </c>
      <c r="C10251" t="str">
        <f t="shared" si="570"/>
        <v>205</v>
      </c>
      <c r="D10251" t="str">
        <f>"1"</f>
        <v>1</v>
      </c>
      <c r="E10251" t="str">
        <f>"1-205-1"</f>
        <v>1-205-1</v>
      </c>
      <c r="F10251" t="s">
        <v>65</v>
      </c>
      <c r="G10251" t="s">
        <v>66</v>
      </c>
      <c r="H10251" t="s">
        <v>67</v>
      </c>
      <c r="S10251">
        <v>0</v>
      </c>
      <c r="T10251">
        <v>1</v>
      </c>
      <c r="U10251">
        <v>0</v>
      </c>
      <c r="V10251">
        <v>0</v>
      </c>
      <c r="W10251">
        <v>1</v>
      </c>
      <c r="X10251">
        <v>0</v>
      </c>
      <c r="Y10251">
        <v>0</v>
      </c>
      <c r="Z10251">
        <v>1</v>
      </c>
      <c r="AA10251">
        <v>1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</row>
    <row r="10252" spans="1:39" x14ac:dyDescent="0.2">
      <c r="A10252" t="str">
        <f>"10248"</f>
        <v>10248</v>
      </c>
      <c r="B10252" t="str">
        <f t="shared" si="569"/>
        <v>1</v>
      </c>
      <c r="C10252" t="str">
        <f t="shared" si="570"/>
        <v>205</v>
      </c>
      <c r="D10252" t="str">
        <f>"42"</f>
        <v>42</v>
      </c>
      <c r="E10252" t="str">
        <f>"1-205-42"</f>
        <v>1-205-42</v>
      </c>
      <c r="F10252" t="s">
        <v>65</v>
      </c>
      <c r="G10252" t="s">
        <v>66</v>
      </c>
      <c r="H10252" t="s">
        <v>68</v>
      </c>
      <c r="I10252">
        <v>0</v>
      </c>
      <c r="J10252">
        <v>1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</row>
    <row r="10253" spans="1:39" x14ac:dyDescent="0.2">
      <c r="A10253" t="str">
        <f>"10249"</f>
        <v>10249</v>
      </c>
      <c r="B10253" t="str">
        <f t="shared" si="569"/>
        <v>1</v>
      </c>
      <c r="C10253" t="str">
        <f t="shared" si="570"/>
        <v>205</v>
      </c>
      <c r="D10253" t="str">
        <f>"30"</f>
        <v>30</v>
      </c>
      <c r="E10253" t="str">
        <f>"1-205-30"</f>
        <v>1-205-30</v>
      </c>
      <c r="F10253" t="s">
        <v>65</v>
      </c>
      <c r="G10253" t="s">
        <v>66</v>
      </c>
      <c r="H10253" t="s">
        <v>68</v>
      </c>
      <c r="I10253">
        <v>1</v>
      </c>
      <c r="J10253">
        <v>0</v>
      </c>
      <c r="K10253">
        <v>1</v>
      </c>
      <c r="L10253">
        <v>0</v>
      </c>
      <c r="M10253">
        <v>1</v>
      </c>
      <c r="N10253">
        <v>1</v>
      </c>
      <c r="O10253">
        <v>1</v>
      </c>
      <c r="P10253">
        <v>1</v>
      </c>
      <c r="Q10253">
        <v>1</v>
      </c>
      <c r="R10253">
        <v>1</v>
      </c>
    </row>
    <row r="10254" spans="1:39" x14ac:dyDescent="0.2">
      <c r="A10254" t="str">
        <f>"10250"</f>
        <v>10250</v>
      </c>
      <c r="B10254" t="str">
        <f t="shared" si="569"/>
        <v>1</v>
      </c>
      <c r="C10254" t="str">
        <f t="shared" si="570"/>
        <v>205</v>
      </c>
      <c r="D10254" t="str">
        <f>"5"</f>
        <v>5</v>
      </c>
      <c r="E10254" t="str">
        <f>"1-205-5"</f>
        <v>1-205-5</v>
      </c>
      <c r="F10254" t="s">
        <v>65</v>
      </c>
      <c r="G10254" t="s">
        <v>66</v>
      </c>
      <c r="H10254" t="s">
        <v>67</v>
      </c>
      <c r="S10254">
        <v>0</v>
      </c>
      <c r="T10254">
        <v>1</v>
      </c>
      <c r="U10254">
        <v>0</v>
      </c>
      <c r="V10254">
        <v>0</v>
      </c>
      <c r="W10254">
        <v>1</v>
      </c>
      <c r="X10254">
        <v>0</v>
      </c>
      <c r="Y10254">
        <v>1</v>
      </c>
      <c r="Z10254">
        <v>0</v>
      </c>
      <c r="AA10254">
        <v>0</v>
      </c>
      <c r="AB10254">
        <v>1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1</v>
      </c>
      <c r="AK10254">
        <v>0</v>
      </c>
      <c r="AL10254">
        <v>0</v>
      </c>
      <c r="AM10254">
        <v>0</v>
      </c>
    </row>
    <row r="10255" spans="1:39" x14ac:dyDescent="0.2">
      <c r="A10255" t="str">
        <f>"10251"</f>
        <v>10251</v>
      </c>
      <c r="B10255" t="str">
        <f t="shared" si="569"/>
        <v>1</v>
      </c>
      <c r="C10255" t="str">
        <f t="shared" ref="C10255:C10286" si="571">"206"</f>
        <v>206</v>
      </c>
      <c r="D10255" t="str">
        <f>"34"</f>
        <v>34</v>
      </c>
      <c r="E10255" t="str">
        <f>"1-206-34"</f>
        <v>1-206-34</v>
      </c>
      <c r="F10255" t="s">
        <v>65</v>
      </c>
      <c r="G10255" t="s">
        <v>66</v>
      </c>
      <c r="H10255" t="s">
        <v>68</v>
      </c>
      <c r="I10255">
        <v>1</v>
      </c>
      <c r="J10255">
        <v>0</v>
      </c>
      <c r="K10255">
        <v>1</v>
      </c>
      <c r="L10255">
        <v>0</v>
      </c>
      <c r="M10255">
        <v>1</v>
      </c>
      <c r="N10255">
        <v>1</v>
      </c>
      <c r="O10255">
        <v>1</v>
      </c>
      <c r="P10255">
        <v>1</v>
      </c>
      <c r="Q10255">
        <v>1</v>
      </c>
      <c r="R10255">
        <v>1</v>
      </c>
    </row>
    <row r="10256" spans="1:39" x14ac:dyDescent="0.2">
      <c r="A10256" t="str">
        <f>"10252"</f>
        <v>10252</v>
      </c>
      <c r="B10256" t="str">
        <f t="shared" si="569"/>
        <v>1</v>
      </c>
      <c r="C10256" t="str">
        <f t="shared" si="571"/>
        <v>206</v>
      </c>
      <c r="D10256" t="str">
        <f>"33"</f>
        <v>33</v>
      </c>
      <c r="E10256" t="str">
        <f>"1-206-33"</f>
        <v>1-206-33</v>
      </c>
      <c r="F10256" t="s">
        <v>65</v>
      </c>
      <c r="G10256" t="s">
        <v>66</v>
      </c>
      <c r="H10256" t="s">
        <v>68</v>
      </c>
      <c r="I10256">
        <v>1</v>
      </c>
      <c r="J10256">
        <v>0</v>
      </c>
      <c r="K10256">
        <v>0</v>
      </c>
      <c r="L10256">
        <v>1</v>
      </c>
      <c r="M10256">
        <v>1</v>
      </c>
      <c r="N10256">
        <v>1</v>
      </c>
      <c r="O10256">
        <v>1</v>
      </c>
      <c r="P10256">
        <v>1</v>
      </c>
      <c r="Q10256">
        <v>1</v>
      </c>
      <c r="R10256">
        <v>1</v>
      </c>
    </row>
    <row r="10257" spans="1:18" x14ac:dyDescent="0.2">
      <c r="A10257" t="str">
        <f>"10253"</f>
        <v>10253</v>
      </c>
      <c r="B10257" t="str">
        <f t="shared" si="569"/>
        <v>1</v>
      </c>
      <c r="C10257" t="str">
        <f t="shared" si="571"/>
        <v>206</v>
      </c>
      <c r="D10257" t="str">
        <f>"19"</f>
        <v>19</v>
      </c>
      <c r="E10257" t="str">
        <f>"1-206-19"</f>
        <v>1-206-19</v>
      </c>
      <c r="F10257" t="s">
        <v>65</v>
      </c>
      <c r="G10257" t="s">
        <v>66</v>
      </c>
      <c r="H10257" t="s">
        <v>68</v>
      </c>
      <c r="I10257">
        <v>1</v>
      </c>
      <c r="J10257">
        <v>1</v>
      </c>
      <c r="K10257">
        <v>0</v>
      </c>
      <c r="L10257">
        <v>0</v>
      </c>
      <c r="M10257">
        <v>1</v>
      </c>
      <c r="N10257">
        <v>1</v>
      </c>
      <c r="O10257">
        <v>1</v>
      </c>
      <c r="P10257">
        <v>1</v>
      </c>
      <c r="Q10257">
        <v>0</v>
      </c>
      <c r="R10257">
        <v>0</v>
      </c>
    </row>
    <row r="10258" spans="1:18" x14ac:dyDescent="0.2">
      <c r="A10258" t="str">
        <f>"10254"</f>
        <v>10254</v>
      </c>
      <c r="B10258" t="str">
        <f t="shared" si="569"/>
        <v>1</v>
      </c>
      <c r="C10258" t="str">
        <f t="shared" si="571"/>
        <v>206</v>
      </c>
      <c r="D10258" t="str">
        <f>"15"</f>
        <v>15</v>
      </c>
      <c r="E10258" t="str">
        <f>"1-206-15"</f>
        <v>1-206-15</v>
      </c>
      <c r="F10258" t="s">
        <v>65</v>
      </c>
      <c r="G10258" t="s">
        <v>66</v>
      </c>
      <c r="H10258" t="s">
        <v>68</v>
      </c>
      <c r="I10258">
        <v>1</v>
      </c>
      <c r="J10258">
        <v>0</v>
      </c>
      <c r="K10258">
        <v>0</v>
      </c>
      <c r="L10258">
        <v>1</v>
      </c>
      <c r="M10258">
        <v>1</v>
      </c>
      <c r="N10258">
        <v>1</v>
      </c>
      <c r="O10258">
        <v>1</v>
      </c>
      <c r="P10258">
        <v>1</v>
      </c>
      <c r="Q10258">
        <v>1</v>
      </c>
      <c r="R10258">
        <v>1</v>
      </c>
    </row>
    <row r="10259" spans="1:18" x14ac:dyDescent="0.2">
      <c r="A10259" t="str">
        <f>"10255"</f>
        <v>10255</v>
      </c>
      <c r="B10259" t="str">
        <f t="shared" si="569"/>
        <v>1</v>
      </c>
      <c r="C10259" t="str">
        <f t="shared" si="571"/>
        <v>206</v>
      </c>
      <c r="D10259" t="str">
        <f>"3"</f>
        <v>3</v>
      </c>
      <c r="E10259" t="str">
        <f>"1-206-3"</f>
        <v>1-206-3</v>
      </c>
      <c r="F10259" t="s">
        <v>65</v>
      </c>
      <c r="G10259" t="s">
        <v>66</v>
      </c>
      <c r="H10259" t="s">
        <v>68</v>
      </c>
      <c r="I10259">
        <v>1</v>
      </c>
      <c r="J10259">
        <v>0</v>
      </c>
      <c r="K10259">
        <v>0</v>
      </c>
      <c r="L10259">
        <v>1</v>
      </c>
      <c r="M10259">
        <v>1</v>
      </c>
      <c r="N10259">
        <v>1</v>
      </c>
      <c r="O10259">
        <v>1</v>
      </c>
      <c r="P10259">
        <v>1</v>
      </c>
      <c r="Q10259">
        <v>1</v>
      </c>
      <c r="R10259">
        <v>1</v>
      </c>
    </row>
    <row r="10260" spans="1:18" x14ac:dyDescent="0.2">
      <c r="A10260" t="str">
        <f>"10256"</f>
        <v>10256</v>
      </c>
      <c r="B10260" t="str">
        <f t="shared" si="569"/>
        <v>1</v>
      </c>
      <c r="C10260" t="str">
        <f t="shared" si="571"/>
        <v>206</v>
      </c>
      <c r="D10260" t="str">
        <f>"36"</f>
        <v>36</v>
      </c>
      <c r="E10260" t="str">
        <f>"1-206-36"</f>
        <v>1-206-36</v>
      </c>
      <c r="F10260" t="s">
        <v>65</v>
      </c>
      <c r="G10260" t="s">
        <v>66</v>
      </c>
      <c r="H10260" t="s">
        <v>68</v>
      </c>
      <c r="I10260">
        <v>1</v>
      </c>
      <c r="J10260">
        <v>0</v>
      </c>
      <c r="K10260">
        <v>0</v>
      </c>
      <c r="L10260">
        <v>1</v>
      </c>
      <c r="M10260">
        <v>1</v>
      </c>
      <c r="N10260">
        <v>1</v>
      </c>
      <c r="O10260">
        <v>1</v>
      </c>
      <c r="P10260">
        <v>1</v>
      </c>
      <c r="Q10260">
        <v>1</v>
      </c>
      <c r="R10260">
        <v>1</v>
      </c>
    </row>
    <row r="10261" spans="1:18" x14ac:dyDescent="0.2">
      <c r="A10261" t="str">
        <f>"10257"</f>
        <v>10257</v>
      </c>
      <c r="B10261" t="str">
        <f t="shared" si="569"/>
        <v>1</v>
      </c>
      <c r="C10261" t="str">
        <f t="shared" si="571"/>
        <v>206</v>
      </c>
      <c r="D10261" t="str">
        <f>"35"</f>
        <v>35</v>
      </c>
      <c r="E10261" t="str">
        <f>"1-206-35"</f>
        <v>1-206-35</v>
      </c>
      <c r="F10261" t="s">
        <v>65</v>
      </c>
      <c r="G10261" t="s">
        <v>66</v>
      </c>
      <c r="H10261" t="s">
        <v>68</v>
      </c>
      <c r="I10261">
        <v>1</v>
      </c>
      <c r="J10261">
        <v>0</v>
      </c>
      <c r="K10261">
        <v>0</v>
      </c>
      <c r="L10261">
        <v>1</v>
      </c>
      <c r="M10261">
        <v>1</v>
      </c>
      <c r="N10261">
        <v>1</v>
      </c>
      <c r="O10261">
        <v>1</v>
      </c>
      <c r="P10261">
        <v>1</v>
      </c>
      <c r="Q10261">
        <v>1</v>
      </c>
      <c r="R10261">
        <v>1</v>
      </c>
    </row>
    <row r="10262" spans="1:18" x14ac:dyDescent="0.2">
      <c r="A10262" t="str">
        <f>"10258"</f>
        <v>10258</v>
      </c>
      <c r="B10262" t="str">
        <f t="shared" si="569"/>
        <v>1</v>
      </c>
      <c r="C10262" t="str">
        <f t="shared" si="571"/>
        <v>206</v>
      </c>
      <c r="D10262" t="str">
        <f>"21"</f>
        <v>21</v>
      </c>
      <c r="E10262" t="str">
        <f>"1-206-21"</f>
        <v>1-206-21</v>
      </c>
      <c r="F10262" t="s">
        <v>65</v>
      </c>
      <c r="G10262" t="s">
        <v>66</v>
      </c>
      <c r="H10262" t="s">
        <v>68</v>
      </c>
      <c r="I10262">
        <v>1</v>
      </c>
      <c r="J10262">
        <v>0</v>
      </c>
      <c r="K10262">
        <v>0</v>
      </c>
      <c r="L10262">
        <v>1</v>
      </c>
      <c r="M10262">
        <v>1</v>
      </c>
      <c r="N10262">
        <v>1</v>
      </c>
      <c r="O10262">
        <v>1</v>
      </c>
      <c r="P10262">
        <v>1</v>
      </c>
      <c r="Q10262">
        <v>1</v>
      </c>
      <c r="R10262">
        <v>1</v>
      </c>
    </row>
    <row r="10263" spans="1:18" x14ac:dyDescent="0.2">
      <c r="A10263" t="str">
        <f>"10259"</f>
        <v>10259</v>
      </c>
      <c r="B10263" t="str">
        <f t="shared" si="569"/>
        <v>1</v>
      </c>
      <c r="C10263" t="str">
        <f t="shared" si="571"/>
        <v>206</v>
      </c>
      <c r="D10263" t="str">
        <f>"16"</f>
        <v>16</v>
      </c>
      <c r="E10263" t="str">
        <f>"1-206-16"</f>
        <v>1-206-16</v>
      </c>
      <c r="F10263" t="s">
        <v>65</v>
      </c>
      <c r="G10263" t="s">
        <v>66</v>
      </c>
      <c r="H10263" t="s">
        <v>68</v>
      </c>
      <c r="I10263">
        <v>1</v>
      </c>
      <c r="J10263">
        <v>0</v>
      </c>
      <c r="K10263">
        <v>0</v>
      </c>
      <c r="L10263">
        <v>0</v>
      </c>
      <c r="M10263">
        <v>1</v>
      </c>
      <c r="N10263">
        <v>1</v>
      </c>
      <c r="O10263">
        <v>1</v>
      </c>
      <c r="P10263">
        <v>1</v>
      </c>
      <c r="Q10263">
        <v>1</v>
      </c>
      <c r="R10263">
        <v>0</v>
      </c>
    </row>
    <row r="10264" spans="1:18" x14ac:dyDescent="0.2">
      <c r="A10264" t="str">
        <f>"10260"</f>
        <v>10260</v>
      </c>
      <c r="B10264" t="str">
        <f t="shared" si="569"/>
        <v>1</v>
      </c>
      <c r="C10264" t="str">
        <f t="shared" si="571"/>
        <v>206</v>
      </c>
      <c r="D10264" t="str">
        <f>"9"</f>
        <v>9</v>
      </c>
      <c r="E10264" t="str">
        <f>"1-206-9"</f>
        <v>1-206-9</v>
      </c>
      <c r="F10264" t="s">
        <v>65</v>
      </c>
      <c r="G10264" t="s">
        <v>66</v>
      </c>
      <c r="H10264" t="s">
        <v>68</v>
      </c>
      <c r="I10264">
        <v>1</v>
      </c>
      <c r="J10264">
        <v>0</v>
      </c>
      <c r="K10264">
        <v>0</v>
      </c>
      <c r="L10264">
        <v>1</v>
      </c>
      <c r="M10264">
        <v>1</v>
      </c>
      <c r="N10264">
        <v>1</v>
      </c>
      <c r="O10264">
        <v>1</v>
      </c>
      <c r="P10264">
        <v>1</v>
      </c>
      <c r="Q10264">
        <v>1</v>
      </c>
      <c r="R10264">
        <v>1</v>
      </c>
    </row>
    <row r="10265" spans="1:18" x14ac:dyDescent="0.2">
      <c r="A10265" t="str">
        <f>"10261"</f>
        <v>10261</v>
      </c>
      <c r="B10265" t="str">
        <f t="shared" si="569"/>
        <v>1</v>
      </c>
      <c r="C10265" t="str">
        <f t="shared" si="571"/>
        <v>206</v>
      </c>
      <c r="D10265" t="str">
        <f>"40"</f>
        <v>40</v>
      </c>
      <c r="E10265" t="str">
        <f>"1-206-40"</f>
        <v>1-206-40</v>
      </c>
      <c r="F10265" t="s">
        <v>65</v>
      </c>
      <c r="G10265" t="s">
        <v>66</v>
      </c>
      <c r="H10265" t="s">
        <v>68</v>
      </c>
      <c r="I10265">
        <v>1</v>
      </c>
      <c r="J10265">
        <v>0</v>
      </c>
      <c r="K10265">
        <v>0</v>
      </c>
      <c r="L10265">
        <v>1</v>
      </c>
      <c r="M10265">
        <v>1</v>
      </c>
      <c r="N10265">
        <v>1</v>
      </c>
      <c r="O10265">
        <v>1</v>
      </c>
      <c r="P10265">
        <v>1</v>
      </c>
      <c r="Q10265">
        <v>1</v>
      </c>
      <c r="R10265">
        <v>1</v>
      </c>
    </row>
    <row r="10266" spans="1:18" x14ac:dyDescent="0.2">
      <c r="A10266" t="str">
        <f>"10262"</f>
        <v>10262</v>
      </c>
      <c r="B10266" t="str">
        <f t="shared" si="569"/>
        <v>1</v>
      </c>
      <c r="C10266" t="str">
        <f t="shared" si="571"/>
        <v>206</v>
      </c>
      <c r="D10266" t="str">
        <f>"39"</f>
        <v>39</v>
      </c>
      <c r="E10266" t="str">
        <f>"1-206-39"</f>
        <v>1-206-39</v>
      </c>
      <c r="F10266" t="s">
        <v>65</v>
      </c>
      <c r="G10266" t="s">
        <v>66</v>
      </c>
      <c r="H10266" t="s">
        <v>68</v>
      </c>
      <c r="I10266">
        <v>1</v>
      </c>
      <c r="J10266">
        <v>0</v>
      </c>
      <c r="K10266">
        <v>0</v>
      </c>
      <c r="L10266">
        <v>1</v>
      </c>
      <c r="M10266">
        <v>1</v>
      </c>
      <c r="N10266">
        <v>1</v>
      </c>
      <c r="O10266">
        <v>1</v>
      </c>
      <c r="P10266">
        <v>1</v>
      </c>
      <c r="Q10266">
        <v>1</v>
      </c>
      <c r="R10266">
        <v>1</v>
      </c>
    </row>
    <row r="10267" spans="1:18" x14ac:dyDescent="0.2">
      <c r="A10267" t="str">
        <f>"10263"</f>
        <v>10263</v>
      </c>
      <c r="B10267" t="str">
        <f t="shared" si="569"/>
        <v>1</v>
      </c>
      <c r="C10267" t="str">
        <f t="shared" si="571"/>
        <v>206</v>
      </c>
      <c r="D10267" t="str">
        <f>"26"</f>
        <v>26</v>
      </c>
      <c r="E10267" t="str">
        <f>"1-206-26"</f>
        <v>1-206-26</v>
      </c>
      <c r="F10267" t="s">
        <v>65</v>
      </c>
      <c r="G10267" t="s">
        <v>66</v>
      </c>
      <c r="H10267" t="s">
        <v>68</v>
      </c>
      <c r="I10267">
        <v>1</v>
      </c>
      <c r="J10267">
        <v>0</v>
      </c>
      <c r="K10267">
        <v>1</v>
      </c>
      <c r="L10267">
        <v>0</v>
      </c>
      <c r="M10267">
        <v>1</v>
      </c>
      <c r="N10267">
        <v>1</v>
      </c>
      <c r="O10267">
        <v>1</v>
      </c>
      <c r="P10267">
        <v>1</v>
      </c>
      <c r="Q10267">
        <v>1</v>
      </c>
      <c r="R10267">
        <v>1</v>
      </c>
    </row>
    <row r="10268" spans="1:18" x14ac:dyDescent="0.2">
      <c r="A10268" t="str">
        <f>"10264"</f>
        <v>10264</v>
      </c>
      <c r="B10268" t="str">
        <f t="shared" si="569"/>
        <v>1</v>
      </c>
      <c r="C10268" t="str">
        <f t="shared" si="571"/>
        <v>206</v>
      </c>
      <c r="D10268" t="str">
        <f>"17"</f>
        <v>17</v>
      </c>
      <c r="E10268" t="str">
        <f>"1-206-17"</f>
        <v>1-206-17</v>
      </c>
      <c r="F10268" t="s">
        <v>65</v>
      </c>
      <c r="G10268" t="s">
        <v>66</v>
      </c>
      <c r="H10268" t="s">
        <v>68</v>
      </c>
      <c r="I10268">
        <v>1</v>
      </c>
      <c r="J10268">
        <v>0</v>
      </c>
      <c r="K10268">
        <v>0</v>
      </c>
      <c r="L10268">
        <v>1</v>
      </c>
      <c r="M10268">
        <v>1</v>
      </c>
      <c r="N10268">
        <v>1</v>
      </c>
      <c r="O10268">
        <v>1</v>
      </c>
      <c r="P10268">
        <v>1</v>
      </c>
      <c r="Q10268">
        <v>1</v>
      </c>
      <c r="R10268">
        <v>1</v>
      </c>
    </row>
    <row r="10269" spans="1:18" x14ac:dyDescent="0.2">
      <c r="A10269" t="str">
        <f>"10265"</f>
        <v>10265</v>
      </c>
      <c r="B10269" t="str">
        <f t="shared" si="569"/>
        <v>1</v>
      </c>
      <c r="C10269" t="str">
        <f t="shared" si="571"/>
        <v>206</v>
      </c>
      <c r="D10269" t="str">
        <f>"5"</f>
        <v>5</v>
      </c>
      <c r="E10269" t="str">
        <f>"1-206-5"</f>
        <v>1-206-5</v>
      </c>
      <c r="F10269" t="s">
        <v>65</v>
      </c>
      <c r="G10269" t="s">
        <v>66</v>
      </c>
      <c r="H10269" t="s">
        <v>68</v>
      </c>
      <c r="I10269">
        <v>1</v>
      </c>
      <c r="J10269">
        <v>1</v>
      </c>
      <c r="K10269">
        <v>0</v>
      </c>
      <c r="L10269">
        <v>0</v>
      </c>
      <c r="M10269">
        <v>1</v>
      </c>
      <c r="N10269">
        <v>1</v>
      </c>
      <c r="O10269">
        <v>1</v>
      </c>
      <c r="P10269">
        <v>1</v>
      </c>
      <c r="Q10269">
        <v>1</v>
      </c>
      <c r="R10269">
        <v>1</v>
      </c>
    </row>
    <row r="10270" spans="1:18" x14ac:dyDescent="0.2">
      <c r="A10270" t="str">
        <f>"10266"</f>
        <v>10266</v>
      </c>
      <c r="B10270" t="str">
        <f t="shared" si="569"/>
        <v>1</v>
      </c>
      <c r="C10270" t="str">
        <f t="shared" si="571"/>
        <v>206</v>
      </c>
      <c r="D10270" t="str">
        <f>"38"</f>
        <v>38</v>
      </c>
      <c r="E10270" t="str">
        <f>"1-206-38"</f>
        <v>1-206-38</v>
      </c>
      <c r="F10270" t="s">
        <v>65</v>
      </c>
      <c r="G10270" t="s">
        <v>66</v>
      </c>
      <c r="H10270" t="s">
        <v>68</v>
      </c>
      <c r="I10270">
        <v>1</v>
      </c>
      <c r="J10270">
        <v>0</v>
      </c>
      <c r="K10270">
        <v>0</v>
      </c>
      <c r="L10270">
        <v>1</v>
      </c>
      <c r="M10270">
        <v>1</v>
      </c>
      <c r="N10270">
        <v>1</v>
      </c>
      <c r="O10270">
        <v>1</v>
      </c>
      <c r="P10270">
        <v>1</v>
      </c>
      <c r="Q10270">
        <v>1</v>
      </c>
      <c r="R10270">
        <v>1</v>
      </c>
    </row>
    <row r="10271" spans="1:18" x14ac:dyDescent="0.2">
      <c r="A10271" t="str">
        <f>"10267"</f>
        <v>10267</v>
      </c>
      <c r="B10271" t="str">
        <f t="shared" si="569"/>
        <v>1</v>
      </c>
      <c r="C10271" t="str">
        <f t="shared" si="571"/>
        <v>206</v>
      </c>
      <c r="D10271" t="str">
        <f>"37"</f>
        <v>37</v>
      </c>
      <c r="E10271" t="str">
        <f>"1-206-37"</f>
        <v>1-206-37</v>
      </c>
      <c r="F10271" t="s">
        <v>65</v>
      </c>
      <c r="G10271" t="s">
        <v>66</v>
      </c>
      <c r="H10271" t="s">
        <v>68</v>
      </c>
      <c r="I10271">
        <v>1</v>
      </c>
      <c r="J10271">
        <v>0</v>
      </c>
      <c r="K10271">
        <v>0</v>
      </c>
      <c r="L10271">
        <v>1</v>
      </c>
      <c r="M10271">
        <v>1</v>
      </c>
      <c r="N10271">
        <v>1</v>
      </c>
      <c r="O10271">
        <v>1</v>
      </c>
      <c r="P10271">
        <v>1</v>
      </c>
      <c r="Q10271">
        <v>1</v>
      </c>
      <c r="R10271">
        <v>1</v>
      </c>
    </row>
    <row r="10272" spans="1:18" x14ac:dyDescent="0.2">
      <c r="A10272" t="str">
        <f>"10268"</f>
        <v>10268</v>
      </c>
      <c r="B10272" t="str">
        <f t="shared" si="569"/>
        <v>1</v>
      </c>
      <c r="C10272" t="str">
        <f t="shared" si="571"/>
        <v>206</v>
      </c>
      <c r="D10272" t="str">
        <f>"24"</f>
        <v>24</v>
      </c>
      <c r="E10272" t="str">
        <f>"1-206-24"</f>
        <v>1-206-24</v>
      </c>
      <c r="F10272" t="s">
        <v>65</v>
      </c>
      <c r="G10272" t="s">
        <v>66</v>
      </c>
      <c r="H10272" t="s">
        <v>68</v>
      </c>
      <c r="I10272">
        <v>1</v>
      </c>
      <c r="J10272">
        <v>0</v>
      </c>
      <c r="K10272">
        <v>0</v>
      </c>
      <c r="L10272">
        <v>1</v>
      </c>
      <c r="M10272">
        <v>1</v>
      </c>
      <c r="N10272">
        <v>1</v>
      </c>
      <c r="O10272">
        <v>1</v>
      </c>
      <c r="P10272">
        <v>1</v>
      </c>
      <c r="Q10272">
        <v>1</v>
      </c>
      <c r="R10272">
        <v>1</v>
      </c>
    </row>
    <row r="10273" spans="1:18" x14ac:dyDescent="0.2">
      <c r="A10273" t="str">
        <f>"10269"</f>
        <v>10269</v>
      </c>
      <c r="B10273" t="str">
        <f t="shared" si="569"/>
        <v>1</v>
      </c>
      <c r="C10273" t="str">
        <f t="shared" si="571"/>
        <v>206</v>
      </c>
      <c r="D10273" t="str">
        <f>"18"</f>
        <v>18</v>
      </c>
      <c r="E10273" t="str">
        <f>"1-206-18"</f>
        <v>1-206-18</v>
      </c>
      <c r="F10273" t="s">
        <v>65</v>
      </c>
      <c r="G10273" t="s">
        <v>66</v>
      </c>
      <c r="H10273" t="s">
        <v>68</v>
      </c>
      <c r="I10273">
        <v>1</v>
      </c>
      <c r="J10273">
        <v>0</v>
      </c>
      <c r="K10273">
        <v>1</v>
      </c>
      <c r="L10273">
        <v>0</v>
      </c>
      <c r="M10273">
        <v>1</v>
      </c>
      <c r="N10273">
        <v>1</v>
      </c>
      <c r="O10273">
        <v>1</v>
      </c>
      <c r="P10273">
        <v>1</v>
      </c>
      <c r="Q10273">
        <v>1</v>
      </c>
      <c r="R10273">
        <v>1</v>
      </c>
    </row>
    <row r="10274" spans="1:18" x14ac:dyDescent="0.2">
      <c r="A10274" t="str">
        <f>"10270"</f>
        <v>10270</v>
      </c>
      <c r="B10274" t="str">
        <f t="shared" si="569"/>
        <v>1</v>
      </c>
      <c r="C10274" t="str">
        <f t="shared" si="571"/>
        <v>206</v>
      </c>
      <c r="D10274" t="str">
        <f>"7"</f>
        <v>7</v>
      </c>
      <c r="E10274" t="str">
        <f>"1-206-7"</f>
        <v>1-206-7</v>
      </c>
      <c r="F10274" t="s">
        <v>65</v>
      </c>
      <c r="G10274" t="s">
        <v>66</v>
      </c>
      <c r="H10274" t="s">
        <v>68</v>
      </c>
      <c r="I10274">
        <v>1</v>
      </c>
      <c r="J10274">
        <v>0</v>
      </c>
      <c r="K10274">
        <v>0</v>
      </c>
      <c r="L10274">
        <v>1</v>
      </c>
      <c r="M10274">
        <v>1</v>
      </c>
      <c r="N10274">
        <v>0</v>
      </c>
      <c r="O10274">
        <v>1</v>
      </c>
      <c r="P10274">
        <v>1</v>
      </c>
      <c r="Q10274">
        <v>1</v>
      </c>
      <c r="R10274">
        <v>1</v>
      </c>
    </row>
    <row r="10275" spans="1:18" x14ac:dyDescent="0.2">
      <c r="A10275" t="str">
        <f>"10271"</f>
        <v>10271</v>
      </c>
      <c r="B10275" t="str">
        <f t="shared" si="569"/>
        <v>1</v>
      </c>
      <c r="C10275" t="str">
        <f t="shared" si="571"/>
        <v>206</v>
      </c>
      <c r="D10275" t="str">
        <f>"42"</f>
        <v>42</v>
      </c>
      <c r="E10275" t="str">
        <f>"1-206-42"</f>
        <v>1-206-42</v>
      </c>
      <c r="F10275" t="s">
        <v>65</v>
      </c>
      <c r="G10275" t="s">
        <v>66</v>
      </c>
      <c r="H10275" t="s">
        <v>68</v>
      </c>
      <c r="I10275">
        <v>1</v>
      </c>
      <c r="J10275">
        <v>0</v>
      </c>
      <c r="K10275">
        <v>0</v>
      </c>
      <c r="L10275">
        <v>1</v>
      </c>
      <c r="M10275">
        <v>1</v>
      </c>
      <c r="N10275">
        <v>1</v>
      </c>
      <c r="O10275">
        <v>1</v>
      </c>
      <c r="P10275">
        <v>1</v>
      </c>
      <c r="Q10275">
        <v>1</v>
      </c>
      <c r="R10275">
        <v>1</v>
      </c>
    </row>
    <row r="10276" spans="1:18" x14ac:dyDescent="0.2">
      <c r="A10276" t="str">
        <f>"10272"</f>
        <v>10272</v>
      </c>
      <c r="B10276" t="str">
        <f t="shared" si="569"/>
        <v>1</v>
      </c>
      <c r="C10276" t="str">
        <f t="shared" si="571"/>
        <v>206</v>
      </c>
      <c r="D10276" t="str">
        <f>"20"</f>
        <v>20</v>
      </c>
      <c r="E10276" t="str">
        <f>"1-206-20"</f>
        <v>1-206-20</v>
      </c>
      <c r="F10276" t="s">
        <v>65</v>
      </c>
      <c r="G10276" t="s">
        <v>66</v>
      </c>
      <c r="H10276" t="s">
        <v>68</v>
      </c>
      <c r="I10276">
        <v>0</v>
      </c>
      <c r="J10276">
        <v>1</v>
      </c>
      <c r="K10276">
        <v>0</v>
      </c>
      <c r="L10276">
        <v>0</v>
      </c>
      <c r="M10276">
        <v>1</v>
      </c>
      <c r="N10276">
        <v>1</v>
      </c>
      <c r="O10276">
        <v>1</v>
      </c>
      <c r="P10276">
        <v>1</v>
      </c>
      <c r="Q10276">
        <v>1</v>
      </c>
      <c r="R10276">
        <v>1</v>
      </c>
    </row>
    <row r="10277" spans="1:18" x14ac:dyDescent="0.2">
      <c r="A10277" t="str">
        <f>"10273"</f>
        <v>10273</v>
      </c>
      <c r="B10277" t="str">
        <f t="shared" si="569"/>
        <v>1</v>
      </c>
      <c r="C10277" t="str">
        <f t="shared" si="571"/>
        <v>206</v>
      </c>
      <c r="D10277" t="str">
        <f>"8"</f>
        <v>8</v>
      </c>
      <c r="E10277" t="str">
        <f>"1-206-8"</f>
        <v>1-206-8</v>
      </c>
      <c r="F10277" t="s">
        <v>65</v>
      </c>
      <c r="G10277" t="s">
        <v>66</v>
      </c>
      <c r="H10277" t="s">
        <v>68</v>
      </c>
      <c r="I10277">
        <v>1</v>
      </c>
      <c r="J10277">
        <v>0</v>
      </c>
      <c r="K10277">
        <v>0</v>
      </c>
      <c r="L10277">
        <v>1</v>
      </c>
      <c r="M10277">
        <v>1</v>
      </c>
      <c r="N10277">
        <v>1</v>
      </c>
      <c r="O10277">
        <v>1</v>
      </c>
      <c r="P10277">
        <v>1</v>
      </c>
      <c r="Q10277">
        <v>1</v>
      </c>
      <c r="R10277">
        <v>1</v>
      </c>
    </row>
    <row r="10278" spans="1:18" x14ac:dyDescent="0.2">
      <c r="A10278" t="str">
        <f>"10274"</f>
        <v>10274</v>
      </c>
      <c r="B10278" t="str">
        <f t="shared" si="569"/>
        <v>1</v>
      </c>
      <c r="C10278" t="str">
        <f t="shared" si="571"/>
        <v>206</v>
      </c>
      <c r="D10278" t="str">
        <f>"41"</f>
        <v>41</v>
      </c>
      <c r="E10278" t="str">
        <f>"1-206-41"</f>
        <v>1-206-41</v>
      </c>
      <c r="F10278" t="s">
        <v>65</v>
      </c>
      <c r="G10278" t="s">
        <v>66</v>
      </c>
      <c r="H10278" t="s">
        <v>68</v>
      </c>
      <c r="I10278">
        <v>1</v>
      </c>
      <c r="J10278">
        <v>0</v>
      </c>
      <c r="K10278">
        <v>0</v>
      </c>
      <c r="L10278">
        <v>1</v>
      </c>
      <c r="M10278">
        <v>1</v>
      </c>
      <c r="N10278">
        <v>1</v>
      </c>
      <c r="O10278">
        <v>1</v>
      </c>
      <c r="P10278">
        <v>1</v>
      </c>
      <c r="Q10278">
        <v>1</v>
      </c>
      <c r="R10278">
        <v>1</v>
      </c>
    </row>
    <row r="10279" spans="1:18" x14ac:dyDescent="0.2">
      <c r="A10279" t="str">
        <f>"10275"</f>
        <v>10275</v>
      </c>
      <c r="B10279" t="str">
        <f t="shared" si="569"/>
        <v>1</v>
      </c>
      <c r="C10279" t="str">
        <f t="shared" si="571"/>
        <v>206</v>
      </c>
      <c r="D10279" t="str">
        <f>"22"</f>
        <v>22</v>
      </c>
      <c r="E10279" t="str">
        <f>"1-206-22"</f>
        <v>1-206-22</v>
      </c>
      <c r="F10279" t="s">
        <v>65</v>
      </c>
      <c r="G10279" t="s">
        <v>66</v>
      </c>
      <c r="H10279" t="s">
        <v>68</v>
      </c>
      <c r="I10279">
        <v>1</v>
      </c>
      <c r="J10279">
        <v>0</v>
      </c>
      <c r="K10279">
        <v>1</v>
      </c>
      <c r="L10279">
        <v>0</v>
      </c>
      <c r="M10279">
        <v>1</v>
      </c>
      <c r="N10279">
        <v>1</v>
      </c>
      <c r="O10279">
        <v>1</v>
      </c>
      <c r="P10279">
        <v>1</v>
      </c>
      <c r="Q10279">
        <v>1</v>
      </c>
      <c r="R10279">
        <v>1</v>
      </c>
    </row>
    <row r="10280" spans="1:18" x14ac:dyDescent="0.2">
      <c r="A10280" t="str">
        <f>"10276"</f>
        <v>10276</v>
      </c>
      <c r="B10280" t="str">
        <f t="shared" si="569"/>
        <v>1</v>
      </c>
      <c r="C10280" t="str">
        <f t="shared" si="571"/>
        <v>206</v>
      </c>
      <c r="D10280" t="str">
        <f>"12"</f>
        <v>12</v>
      </c>
      <c r="E10280" t="str">
        <f>"1-206-12"</f>
        <v>1-206-12</v>
      </c>
      <c r="F10280" t="s">
        <v>65</v>
      </c>
      <c r="G10280" t="s">
        <v>66</v>
      </c>
      <c r="H10280" t="s">
        <v>68</v>
      </c>
      <c r="I10280">
        <v>1</v>
      </c>
      <c r="J10280">
        <v>0</v>
      </c>
      <c r="K10280">
        <v>0</v>
      </c>
      <c r="L10280">
        <v>0</v>
      </c>
      <c r="M10280">
        <v>1</v>
      </c>
      <c r="N10280">
        <v>1</v>
      </c>
      <c r="O10280">
        <v>1</v>
      </c>
      <c r="P10280">
        <v>1</v>
      </c>
      <c r="Q10280">
        <v>1</v>
      </c>
      <c r="R10280">
        <v>1</v>
      </c>
    </row>
    <row r="10281" spans="1:18" x14ac:dyDescent="0.2">
      <c r="A10281" t="str">
        <f>"10277"</f>
        <v>10277</v>
      </c>
      <c r="B10281" t="str">
        <f t="shared" si="569"/>
        <v>1</v>
      </c>
      <c r="C10281" t="str">
        <f t="shared" si="571"/>
        <v>206</v>
      </c>
      <c r="D10281" t="str">
        <f>"43"</f>
        <v>43</v>
      </c>
      <c r="E10281" t="str">
        <f>"1-206-43"</f>
        <v>1-206-43</v>
      </c>
      <c r="F10281" t="s">
        <v>65</v>
      </c>
      <c r="G10281" t="s">
        <v>66</v>
      </c>
      <c r="H10281" t="s">
        <v>68</v>
      </c>
      <c r="I10281">
        <v>1</v>
      </c>
      <c r="J10281">
        <v>0</v>
      </c>
      <c r="K10281">
        <v>0</v>
      </c>
      <c r="L10281">
        <v>1</v>
      </c>
      <c r="M10281">
        <v>1</v>
      </c>
      <c r="N10281">
        <v>0</v>
      </c>
      <c r="O10281">
        <v>1</v>
      </c>
      <c r="P10281">
        <v>1</v>
      </c>
      <c r="Q10281">
        <v>1</v>
      </c>
      <c r="R10281">
        <v>1</v>
      </c>
    </row>
    <row r="10282" spans="1:18" x14ac:dyDescent="0.2">
      <c r="A10282" t="str">
        <f>"10278"</f>
        <v>10278</v>
      </c>
      <c r="B10282" t="str">
        <f t="shared" si="569"/>
        <v>1</v>
      </c>
      <c r="C10282" t="str">
        <f t="shared" si="571"/>
        <v>206</v>
      </c>
      <c r="D10282" t="str">
        <f>"23"</f>
        <v>23</v>
      </c>
      <c r="E10282" t="str">
        <f>"1-206-23"</f>
        <v>1-206-23</v>
      </c>
      <c r="F10282" t="s">
        <v>65</v>
      </c>
      <c r="G10282" t="s">
        <v>66</v>
      </c>
      <c r="H10282" t="s">
        <v>68</v>
      </c>
      <c r="I10282">
        <v>1</v>
      </c>
      <c r="J10282">
        <v>0</v>
      </c>
      <c r="K10282">
        <v>0</v>
      </c>
      <c r="L10282">
        <v>1</v>
      </c>
      <c r="M10282">
        <v>1</v>
      </c>
      <c r="N10282">
        <v>1</v>
      </c>
      <c r="O10282">
        <v>1</v>
      </c>
      <c r="P10282">
        <v>1</v>
      </c>
      <c r="Q10282">
        <v>1</v>
      </c>
      <c r="R10282">
        <v>1</v>
      </c>
    </row>
    <row r="10283" spans="1:18" x14ac:dyDescent="0.2">
      <c r="A10283" t="str">
        <f>"10279"</f>
        <v>10279</v>
      </c>
      <c r="B10283" t="str">
        <f t="shared" si="569"/>
        <v>1</v>
      </c>
      <c r="C10283" t="str">
        <f t="shared" si="571"/>
        <v>206</v>
      </c>
      <c r="D10283" t="str">
        <f>"13"</f>
        <v>13</v>
      </c>
      <c r="E10283" t="str">
        <f>"1-206-13"</f>
        <v>1-206-13</v>
      </c>
      <c r="F10283" t="s">
        <v>65</v>
      </c>
      <c r="G10283" t="s">
        <v>66</v>
      </c>
      <c r="H10283" t="s">
        <v>68</v>
      </c>
      <c r="I10283">
        <v>1</v>
      </c>
      <c r="J10283">
        <v>1</v>
      </c>
      <c r="K10283">
        <v>0</v>
      </c>
      <c r="L10283">
        <v>0</v>
      </c>
      <c r="M10283">
        <v>1</v>
      </c>
      <c r="N10283">
        <v>1</v>
      </c>
      <c r="O10283">
        <v>1</v>
      </c>
      <c r="P10283">
        <v>1</v>
      </c>
      <c r="Q10283">
        <v>1</v>
      </c>
      <c r="R10283">
        <v>1</v>
      </c>
    </row>
    <row r="10284" spans="1:18" x14ac:dyDescent="0.2">
      <c r="A10284" t="str">
        <f>"10280"</f>
        <v>10280</v>
      </c>
      <c r="B10284" t="str">
        <f t="shared" si="569"/>
        <v>1</v>
      </c>
      <c r="C10284" t="str">
        <f t="shared" si="571"/>
        <v>206</v>
      </c>
      <c r="D10284" t="str">
        <f>"44"</f>
        <v>44</v>
      </c>
      <c r="E10284" t="str">
        <f>"1-206-44"</f>
        <v>1-206-44</v>
      </c>
      <c r="F10284" t="s">
        <v>65</v>
      </c>
      <c r="G10284" t="s">
        <v>66</v>
      </c>
      <c r="H10284" t="s">
        <v>68</v>
      </c>
      <c r="I10284">
        <v>1</v>
      </c>
      <c r="J10284">
        <v>1</v>
      </c>
      <c r="K10284">
        <v>0</v>
      </c>
      <c r="L10284">
        <v>0</v>
      </c>
      <c r="M10284">
        <v>1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2">
      <c r="A10285" t="str">
        <f>"10281"</f>
        <v>10281</v>
      </c>
      <c r="B10285" t="str">
        <f t="shared" si="569"/>
        <v>1</v>
      </c>
      <c r="C10285" t="str">
        <f t="shared" si="571"/>
        <v>206</v>
      </c>
      <c r="D10285" t="str">
        <f>"25"</f>
        <v>25</v>
      </c>
      <c r="E10285" t="str">
        <f>"1-206-25"</f>
        <v>1-206-25</v>
      </c>
      <c r="F10285" t="s">
        <v>65</v>
      </c>
      <c r="G10285" t="s">
        <v>66</v>
      </c>
      <c r="H10285" t="s">
        <v>68</v>
      </c>
      <c r="I10285">
        <v>1</v>
      </c>
      <c r="J10285">
        <v>0</v>
      </c>
      <c r="K10285">
        <v>0</v>
      </c>
      <c r="L10285">
        <v>1</v>
      </c>
      <c r="M10285">
        <v>1</v>
      </c>
      <c r="N10285">
        <v>1</v>
      </c>
      <c r="O10285">
        <v>1</v>
      </c>
      <c r="P10285">
        <v>1</v>
      </c>
      <c r="Q10285">
        <v>1</v>
      </c>
      <c r="R10285">
        <v>1</v>
      </c>
    </row>
    <row r="10286" spans="1:18" x14ac:dyDescent="0.2">
      <c r="A10286" t="str">
        <f>"10282"</f>
        <v>10282</v>
      </c>
      <c r="B10286" t="str">
        <f t="shared" si="569"/>
        <v>1</v>
      </c>
      <c r="C10286" t="str">
        <f t="shared" si="571"/>
        <v>206</v>
      </c>
      <c r="D10286" t="str">
        <f>"6"</f>
        <v>6</v>
      </c>
      <c r="E10286" t="str">
        <f>"1-206-6"</f>
        <v>1-206-6</v>
      </c>
      <c r="F10286" t="s">
        <v>65</v>
      </c>
      <c r="G10286" t="s">
        <v>66</v>
      </c>
      <c r="H10286" t="s">
        <v>68</v>
      </c>
      <c r="I10286">
        <v>1</v>
      </c>
      <c r="J10286">
        <v>0</v>
      </c>
      <c r="K10286">
        <v>0</v>
      </c>
      <c r="L10286">
        <v>1</v>
      </c>
      <c r="M10286">
        <v>1</v>
      </c>
      <c r="N10286">
        <v>1</v>
      </c>
      <c r="O10286">
        <v>1</v>
      </c>
      <c r="P10286">
        <v>1</v>
      </c>
      <c r="Q10286">
        <v>1</v>
      </c>
      <c r="R10286">
        <v>1</v>
      </c>
    </row>
    <row r="10287" spans="1:18" x14ac:dyDescent="0.2">
      <c r="A10287" t="str">
        <f>"10283"</f>
        <v>10283</v>
      </c>
      <c r="B10287" t="str">
        <f t="shared" si="569"/>
        <v>1</v>
      </c>
      <c r="C10287" t="str">
        <f t="shared" ref="C10287:C10304" si="572">"206"</f>
        <v>206</v>
      </c>
      <c r="D10287" t="str">
        <f>"45"</f>
        <v>45</v>
      </c>
      <c r="E10287" t="str">
        <f>"1-206-45"</f>
        <v>1-206-45</v>
      </c>
      <c r="F10287" t="s">
        <v>65</v>
      </c>
      <c r="G10287" t="s">
        <v>66</v>
      </c>
      <c r="H10287" t="s">
        <v>68</v>
      </c>
      <c r="I10287">
        <v>1</v>
      </c>
      <c r="J10287">
        <v>0</v>
      </c>
      <c r="K10287">
        <v>0</v>
      </c>
      <c r="L10287">
        <v>0</v>
      </c>
      <c r="M10287">
        <v>1</v>
      </c>
      <c r="N10287">
        <v>1</v>
      </c>
      <c r="O10287">
        <v>1</v>
      </c>
      <c r="P10287">
        <v>1</v>
      </c>
      <c r="Q10287">
        <v>1</v>
      </c>
      <c r="R10287">
        <v>1</v>
      </c>
    </row>
    <row r="10288" spans="1:18" x14ac:dyDescent="0.2">
      <c r="A10288" t="str">
        <f>"10284"</f>
        <v>10284</v>
      </c>
      <c r="B10288" t="str">
        <f t="shared" si="569"/>
        <v>1</v>
      </c>
      <c r="C10288" t="str">
        <f t="shared" si="572"/>
        <v>206</v>
      </c>
      <c r="D10288" t="str">
        <f>"27"</f>
        <v>27</v>
      </c>
      <c r="E10288" t="str">
        <f>"1-206-27"</f>
        <v>1-206-27</v>
      </c>
      <c r="F10288" t="s">
        <v>65</v>
      </c>
      <c r="G10288" t="s">
        <v>66</v>
      </c>
      <c r="H10288" t="s">
        <v>68</v>
      </c>
      <c r="I10288">
        <v>1</v>
      </c>
      <c r="J10288">
        <v>0</v>
      </c>
      <c r="K10288">
        <v>1</v>
      </c>
      <c r="L10288">
        <v>0</v>
      </c>
      <c r="M10288">
        <v>1</v>
      </c>
      <c r="N10288">
        <v>1</v>
      </c>
      <c r="O10288">
        <v>1</v>
      </c>
      <c r="P10288">
        <v>1</v>
      </c>
      <c r="Q10288">
        <v>1</v>
      </c>
      <c r="R10288">
        <v>1</v>
      </c>
    </row>
    <row r="10289" spans="1:18" x14ac:dyDescent="0.2">
      <c r="A10289" t="str">
        <f>"10285"</f>
        <v>10285</v>
      </c>
      <c r="B10289" t="str">
        <f t="shared" si="569"/>
        <v>1</v>
      </c>
      <c r="C10289" t="str">
        <f t="shared" si="572"/>
        <v>206</v>
      </c>
      <c r="D10289" t="str">
        <f>"1"</f>
        <v>1</v>
      </c>
      <c r="E10289" t="str">
        <f>"1-206-1"</f>
        <v>1-206-1</v>
      </c>
      <c r="F10289" t="s">
        <v>65</v>
      </c>
      <c r="G10289" t="s">
        <v>66</v>
      </c>
      <c r="H10289" t="s">
        <v>68</v>
      </c>
      <c r="I10289">
        <v>1</v>
      </c>
      <c r="J10289">
        <v>0</v>
      </c>
      <c r="K10289">
        <v>0</v>
      </c>
      <c r="L10289">
        <v>1</v>
      </c>
      <c r="M10289">
        <v>1</v>
      </c>
      <c r="N10289">
        <v>1</v>
      </c>
      <c r="O10289">
        <v>1</v>
      </c>
      <c r="P10289">
        <v>1</v>
      </c>
      <c r="Q10289">
        <v>1</v>
      </c>
      <c r="R10289">
        <v>1</v>
      </c>
    </row>
    <row r="10290" spans="1:18" x14ac:dyDescent="0.2">
      <c r="A10290" t="str">
        <f>"10286"</f>
        <v>10286</v>
      </c>
      <c r="B10290" t="str">
        <f t="shared" si="569"/>
        <v>1</v>
      </c>
      <c r="C10290" t="str">
        <f t="shared" si="572"/>
        <v>206</v>
      </c>
      <c r="D10290" t="str">
        <f>"46"</f>
        <v>46</v>
      </c>
      <c r="E10290" t="str">
        <f>"1-206-46"</f>
        <v>1-206-46</v>
      </c>
      <c r="F10290" t="s">
        <v>65</v>
      </c>
      <c r="G10290" t="s">
        <v>66</v>
      </c>
      <c r="H10290" t="s">
        <v>68</v>
      </c>
      <c r="I10290">
        <v>1</v>
      </c>
      <c r="J10290">
        <v>1</v>
      </c>
      <c r="K10290">
        <v>0</v>
      </c>
      <c r="L10290">
        <v>0</v>
      </c>
      <c r="M10290">
        <v>1</v>
      </c>
      <c r="N10290">
        <v>1</v>
      </c>
      <c r="O10290">
        <v>1</v>
      </c>
      <c r="P10290">
        <v>1</v>
      </c>
      <c r="Q10290">
        <v>1</v>
      </c>
      <c r="R10290">
        <v>1</v>
      </c>
    </row>
    <row r="10291" spans="1:18" x14ac:dyDescent="0.2">
      <c r="A10291" t="str">
        <f>"10287"</f>
        <v>10287</v>
      </c>
      <c r="B10291" t="str">
        <f t="shared" si="569"/>
        <v>1</v>
      </c>
      <c r="C10291" t="str">
        <f t="shared" si="572"/>
        <v>206</v>
      </c>
      <c r="D10291" t="str">
        <f>"28"</f>
        <v>28</v>
      </c>
      <c r="E10291" t="str">
        <f>"1-206-28"</f>
        <v>1-206-28</v>
      </c>
      <c r="F10291" t="s">
        <v>65</v>
      </c>
      <c r="G10291" t="s">
        <v>66</v>
      </c>
      <c r="H10291" t="s">
        <v>68</v>
      </c>
      <c r="I10291">
        <v>1</v>
      </c>
      <c r="J10291">
        <v>0</v>
      </c>
      <c r="K10291">
        <v>1</v>
      </c>
      <c r="L10291">
        <v>0</v>
      </c>
      <c r="M10291">
        <v>1</v>
      </c>
      <c r="N10291">
        <v>1</v>
      </c>
      <c r="O10291">
        <v>1</v>
      </c>
      <c r="P10291">
        <v>1</v>
      </c>
      <c r="Q10291">
        <v>1</v>
      </c>
      <c r="R10291">
        <v>1</v>
      </c>
    </row>
    <row r="10292" spans="1:18" x14ac:dyDescent="0.2">
      <c r="A10292" t="str">
        <f>"10288"</f>
        <v>10288</v>
      </c>
      <c r="B10292" t="str">
        <f t="shared" si="569"/>
        <v>1</v>
      </c>
      <c r="C10292" t="str">
        <f t="shared" si="572"/>
        <v>206</v>
      </c>
      <c r="D10292" t="str">
        <f>"11"</f>
        <v>11</v>
      </c>
      <c r="E10292" t="str">
        <f>"1-206-11"</f>
        <v>1-206-11</v>
      </c>
      <c r="F10292" t="s">
        <v>65</v>
      </c>
      <c r="G10292" t="s">
        <v>66</v>
      </c>
      <c r="H10292" t="s">
        <v>68</v>
      </c>
      <c r="I10292">
        <v>1</v>
      </c>
      <c r="J10292">
        <v>0</v>
      </c>
      <c r="K10292">
        <v>0</v>
      </c>
      <c r="L10292">
        <v>1</v>
      </c>
      <c r="M10292">
        <v>1</v>
      </c>
      <c r="N10292">
        <v>1</v>
      </c>
      <c r="O10292">
        <v>1</v>
      </c>
      <c r="P10292">
        <v>1</v>
      </c>
      <c r="Q10292">
        <v>1</v>
      </c>
      <c r="R10292">
        <v>1</v>
      </c>
    </row>
    <row r="10293" spans="1:18" x14ac:dyDescent="0.2">
      <c r="A10293" t="str">
        <f>"10289"</f>
        <v>10289</v>
      </c>
      <c r="B10293" t="str">
        <f t="shared" si="569"/>
        <v>1</v>
      </c>
      <c r="C10293" t="str">
        <f t="shared" si="572"/>
        <v>206</v>
      </c>
      <c r="D10293" t="str">
        <f>"47"</f>
        <v>47</v>
      </c>
      <c r="E10293" t="str">
        <f>"1-206-47"</f>
        <v>1-206-47</v>
      </c>
      <c r="F10293" t="s">
        <v>65</v>
      </c>
      <c r="G10293" t="s">
        <v>66</v>
      </c>
      <c r="H10293" t="s">
        <v>68</v>
      </c>
      <c r="I10293">
        <v>1</v>
      </c>
      <c r="J10293">
        <v>0</v>
      </c>
      <c r="K10293">
        <v>0</v>
      </c>
      <c r="L10293">
        <v>0</v>
      </c>
      <c r="M10293">
        <v>1</v>
      </c>
      <c r="N10293">
        <v>1</v>
      </c>
      <c r="O10293">
        <v>0</v>
      </c>
      <c r="P10293">
        <v>1</v>
      </c>
      <c r="Q10293">
        <v>1</v>
      </c>
      <c r="R10293">
        <v>1</v>
      </c>
    </row>
    <row r="10294" spans="1:18" x14ac:dyDescent="0.2">
      <c r="A10294" t="str">
        <f>"10290"</f>
        <v>10290</v>
      </c>
      <c r="B10294" t="str">
        <f t="shared" si="569"/>
        <v>1</v>
      </c>
      <c r="C10294" t="str">
        <f t="shared" si="572"/>
        <v>206</v>
      </c>
      <c r="D10294" t="str">
        <f>"29"</f>
        <v>29</v>
      </c>
      <c r="E10294" t="str">
        <f>"1-206-29"</f>
        <v>1-206-29</v>
      </c>
      <c r="F10294" t="s">
        <v>65</v>
      </c>
      <c r="G10294" t="s">
        <v>66</v>
      </c>
      <c r="H10294" t="s">
        <v>68</v>
      </c>
      <c r="I10294">
        <v>1</v>
      </c>
      <c r="J10294">
        <v>0</v>
      </c>
      <c r="K10294">
        <v>1</v>
      </c>
      <c r="L10294">
        <v>0</v>
      </c>
      <c r="M10294">
        <v>1</v>
      </c>
      <c r="N10294">
        <v>1</v>
      </c>
      <c r="O10294">
        <v>1</v>
      </c>
      <c r="P10294">
        <v>1</v>
      </c>
      <c r="Q10294">
        <v>1</v>
      </c>
      <c r="R10294">
        <v>1</v>
      </c>
    </row>
    <row r="10295" spans="1:18" x14ac:dyDescent="0.2">
      <c r="A10295" t="str">
        <f>"10291"</f>
        <v>10291</v>
      </c>
      <c r="B10295" t="str">
        <f t="shared" ref="B10295:B10358" si="573">"1"</f>
        <v>1</v>
      </c>
      <c r="C10295" t="str">
        <f t="shared" si="572"/>
        <v>206</v>
      </c>
      <c r="D10295" t="str">
        <f>"2"</f>
        <v>2</v>
      </c>
      <c r="E10295" t="str">
        <f>"1-206-2"</f>
        <v>1-206-2</v>
      </c>
      <c r="F10295" t="s">
        <v>65</v>
      </c>
      <c r="G10295" t="s">
        <v>66</v>
      </c>
      <c r="H10295" t="s">
        <v>68</v>
      </c>
      <c r="I10295">
        <v>1</v>
      </c>
      <c r="J10295">
        <v>0</v>
      </c>
      <c r="K10295">
        <v>0</v>
      </c>
      <c r="L10295">
        <v>1</v>
      </c>
      <c r="M10295">
        <v>1</v>
      </c>
      <c r="N10295">
        <v>1</v>
      </c>
      <c r="O10295">
        <v>1</v>
      </c>
      <c r="P10295">
        <v>1</v>
      </c>
      <c r="Q10295">
        <v>1</v>
      </c>
      <c r="R10295">
        <v>1</v>
      </c>
    </row>
    <row r="10296" spans="1:18" x14ac:dyDescent="0.2">
      <c r="A10296" t="str">
        <f>"10292"</f>
        <v>10292</v>
      </c>
      <c r="B10296" t="str">
        <f t="shared" si="573"/>
        <v>1</v>
      </c>
      <c r="C10296" t="str">
        <f t="shared" si="572"/>
        <v>206</v>
      </c>
      <c r="D10296" t="str">
        <f>"48"</f>
        <v>48</v>
      </c>
      <c r="E10296" t="str">
        <f>"1-206-48"</f>
        <v>1-206-48</v>
      </c>
      <c r="F10296" t="s">
        <v>65</v>
      </c>
      <c r="G10296" t="s">
        <v>66</v>
      </c>
      <c r="H10296" t="s">
        <v>68</v>
      </c>
      <c r="I10296">
        <v>1</v>
      </c>
      <c r="J10296">
        <v>0</v>
      </c>
      <c r="K10296">
        <v>0</v>
      </c>
      <c r="L10296">
        <v>1</v>
      </c>
      <c r="M10296">
        <v>1</v>
      </c>
      <c r="N10296">
        <v>1</v>
      </c>
      <c r="O10296">
        <v>1</v>
      </c>
      <c r="P10296">
        <v>1</v>
      </c>
      <c r="Q10296">
        <v>1</v>
      </c>
      <c r="R10296">
        <v>1</v>
      </c>
    </row>
    <row r="10297" spans="1:18" x14ac:dyDescent="0.2">
      <c r="A10297" t="str">
        <f>"10293"</f>
        <v>10293</v>
      </c>
      <c r="B10297" t="str">
        <f t="shared" si="573"/>
        <v>1</v>
      </c>
      <c r="C10297" t="str">
        <f t="shared" si="572"/>
        <v>206</v>
      </c>
      <c r="D10297" t="str">
        <f>"30"</f>
        <v>30</v>
      </c>
      <c r="E10297" t="str">
        <f>"1-206-30"</f>
        <v>1-206-30</v>
      </c>
      <c r="F10297" t="s">
        <v>65</v>
      </c>
      <c r="G10297" t="s">
        <v>66</v>
      </c>
      <c r="H10297" t="s">
        <v>68</v>
      </c>
      <c r="I10297">
        <v>1</v>
      </c>
      <c r="J10297">
        <v>0</v>
      </c>
      <c r="K10297">
        <v>0</v>
      </c>
      <c r="L10297">
        <v>1</v>
      </c>
      <c r="M10297">
        <v>1</v>
      </c>
      <c r="N10297">
        <v>1</v>
      </c>
      <c r="O10297">
        <v>1</v>
      </c>
      <c r="P10297">
        <v>1</v>
      </c>
      <c r="Q10297">
        <v>0</v>
      </c>
      <c r="R10297">
        <v>0</v>
      </c>
    </row>
    <row r="10298" spans="1:18" x14ac:dyDescent="0.2">
      <c r="A10298" t="str">
        <f>"10294"</f>
        <v>10294</v>
      </c>
      <c r="B10298" t="str">
        <f t="shared" si="573"/>
        <v>1</v>
      </c>
      <c r="C10298" t="str">
        <f t="shared" si="572"/>
        <v>206</v>
      </c>
      <c r="D10298" t="str">
        <f>"10"</f>
        <v>10</v>
      </c>
      <c r="E10298" t="str">
        <f>"1-206-10"</f>
        <v>1-206-10</v>
      </c>
      <c r="F10298" t="s">
        <v>65</v>
      </c>
      <c r="G10298" t="s">
        <v>66</v>
      </c>
      <c r="H10298" t="s">
        <v>68</v>
      </c>
      <c r="I10298">
        <v>1</v>
      </c>
      <c r="J10298">
        <v>1</v>
      </c>
      <c r="K10298">
        <v>0</v>
      </c>
      <c r="L10298">
        <v>0</v>
      </c>
      <c r="M10298">
        <v>1</v>
      </c>
      <c r="N10298">
        <v>1</v>
      </c>
      <c r="O10298">
        <v>1</v>
      </c>
      <c r="P10298">
        <v>1</v>
      </c>
      <c r="Q10298">
        <v>1</v>
      </c>
      <c r="R10298">
        <v>1</v>
      </c>
    </row>
    <row r="10299" spans="1:18" x14ac:dyDescent="0.2">
      <c r="A10299" t="str">
        <f>"10295"</f>
        <v>10295</v>
      </c>
      <c r="B10299" t="str">
        <f t="shared" si="573"/>
        <v>1</v>
      </c>
      <c r="C10299" t="str">
        <f t="shared" si="572"/>
        <v>206</v>
      </c>
      <c r="D10299" t="str">
        <f>"49"</f>
        <v>49</v>
      </c>
      <c r="E10299" t="str">
        <f>"1-206-49"</f>
        <v>1-206-49</v>
      </c>
      <c r="F10299" t="s">
        <v>65</v>
      </c>
      <c r="G10299" t="s">
        <v>66</v>
      </c>
      <c r="H10299" t="s">
        <v>68</v>
      </c>
      <c r="I10299">
        <v>1</v>
      </c>
      <c r="J10299">
        <v>0</v>
      </c>
      <c r="K10299">
        <v>0</v>
      </c>
      <c r="L10299">
        <v>1</v>
      </c>
      <c r="M10299">
        <v>1</v>
      </c>
      <c r="N10299">
        <v>1</v>
      </c>
      <c r="O10299">
        <v>1</v>
      </c>
      <c r="P10299">
        <v>1</v>
      </c>
      <c r="Q10299">
        <v>1</v>
      </c>
      <c r="R10299">
        <v>1</v>
      </c>
    </row>
    <row r="10300" spans="1:18" x14ac:dyDescent="0.2">
      <c r="A10300" t="str">
        <f>"10296"</f>
        <v>10296</v>
      </c>
      <c r="B10300" t="str">
        <f t="shared" si="573"/>
        <v>1</v>
      </c>
      <c r="C10300" t="str">
        <f t="shared" si="572"/>
        <v>206</v>
      </c>
      <c r="D10300" t="str">
        <f>"31"</f>
        <v>31</v>
      </c>
      <c r="E10300" t="str">
        <f>"1-206-31"</f>
        <v>1-206-31</v>
      </c>
      <c r="F10300" t="s">
        <v>65</v>
      </c>
      <c r="G10300" t="s">
        <v>66</v>
      </c>
      <c r="H10300" t="s">
        <v>68</v>
      </c>
      <c r="I10300">
        <v>1</v>
      </c>
      <c r="J10300">
        <v>0</v>
      </c>
      <c r="K10300">
        <v>0</v>
      </c>
      <c r="L10300">
        <v>1</v>
      </c>
      <c r="M10300">
        <v>1</v>
      </c>
      <c r="N10300">
        <v>1</v>
      </c>
      <c r="O10300">
        <v>1</v>
      </c>
      <c r="P10300">
        <v>1</v>
      </c>
      <c r="Q10300">
        <v>0</v>
      </c>
      <c r="R10300">
        <v>0</v>
      </c>
    </row>
    <row r="10301" spans="1:18" x14ac:dyDescent="0.2">
      <c r="A10301" t="str">
        <f>"10297"</f>
        <v>10297</v>
      </c>
      <c r="B10301" t="str">
        <f t="shared" si="573"/>
        <v>1</v>
      </c>
      <c r="C10301" t="str">
        <f t="shared" si="572"/>
        <v>206</v>
      </c>
      <c r="D10301" t="str">
        <f>"14"</f>
        <v>14</v>
      </c>
      <c r="E10301" t="str">
        <f>"1-206-14"</f>
        <v>1-206-14</v>
      </c>
      <c r="F10301" t="s">
        <v>65</v>
      </c>
      <c r="G10301" t="s">
        <v>66</v>
      </c>
      <c r="H10301" t="s">
        <v>68</v>
      </c>
      <c r="I10301">
        <v>1</v>
      </c>
      <c r="J10301">
        <v>0</v>
      </c>
      <c r="K10301">
        <v>0</v>
      </c>
      <c r="L10301">
        <v>1</v>
      </c>
      <c r="M10301">
        <v>1</v>
      </c>
      <c r="N10301">
        <v>1</v>
      </c>
      <c r="O10301">
        <v>1</v>
      </c>
      <c r="P10301">
        <v>1</v>
      </c>
      <c r="Q10301">
        <v>1</v>
      </c>
      <c r="R10301">
        <v>1</v>
      </c>
    </row>
    <row r="10302" spans="1:18" x14ac:dyDescent="0.2">
      <c r="A10302" t="str">
        <f>"10298"</f>
        <v>10298</v>
      </c>
      <c r="B10302" t="str">
        <f t="shared" si="573"/>
        <v>1</v>
      </c>
      <c r="C10302" t="str">
        <f t="shared" si="572"/>
        <v>206</v>
      </c>
      <c r="D10302" t="str">
        <f>"50"</f>
        <v>50</v>
      </c>
      <c r="E10302" t="str">
        <f>"1-206-50"</f>
        <v>1-206-50</v>
      </c>
      <c r="F10302" t="s">
        <v>65</v>
      </c>
      <c r="G10302" t="s">
        <v>66</v>
      </c>
      <c r="H10302" t="s">
        <v>68</v>
      </c>
      <c r="I10302">
        <v>1</v>
      </c>
      <c r="J10302">
        <v>0</v>
      </c>
      <c r="K10302">
        <v>0</v>
      </c>
      <c r="L10302">
        <v>1</v>
      </c>
      <c r="M10302">
        <v>1</v>
      </c>
      <c r="N10302">
        <v>1</v>
      </c>
      <c r="O10302">
        <v>1</v>
      </c>
      <c r="P10302">
        <v>1</v>
      </c>
      <c r="Q10302">
        <v>1</v>
      </c>
      <c r="R10302">
        <v>1</v>
      </c>
    </row>
    <row r="10303" spans="1:18" x14ac:dyDescent="0.2">
      <c r="A10303" t="str">
        <f>"10299"</f>
        <v>10299</v>
      </c>
      <c r="B10303" t="str">
        <f t="shared" si="573"/>
        <v>1</v>
      </c>
      <c r="C10303" t="str">
        <f t="shared" si="572"/>
        <v>206</v>
      </c>
      <c r="D10303" t="str">
        <f>"32"</f>
        <v>32</v>
      </c>
      <c r="E10303" t="str">
        <f>"1-206-32"</f>
        <v>1-206-32</v>
      </c>
      <c r="F10303" t="s">
        <v>65</v>
      </c>
      <c r="G10303" t="s">
        <v>66</v>
      </c>
      <c r="H10303" t="s">
        <v>68</v>
      </c>
      <c r="I10303">
        <v>0</v>
      </c>
      <c r="J10303">
        <v>0</v>
      </c>
      <c r="K10303">
        <v>0</v>
      </c>
      <c r="L10303">
        <v>1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</row>
    <row r="10304" spans="1:18" x14ac:dyDescent="0.2">
      <c r="A10304" t="str">
        <f>"10300"</f>
        <v>10300</v>
      </c>
      <c r="B10304" t="str">
        <f t="shared" si="573"/>
        <v>1</v>
      </c>
      <c r="C10304" t="str">
        <f t="shared" si="572"/>
        <v>206</v>
      </c>
      <c r="D10304" t="str">
        <f>"4"</f>
        <v>4</v>
      </c>
      <c r="E10304" t="str">
        <f>"1-206-4"</f>
        <v>1-206-4</v>
      </c>
      <c r="F10304" t="s">
        <v>65</v>
      </c>
      <c r="G10304" t="s">
        <v>66</v>
      </c>
      <c r="H10304" t="s">
        <v>68</v>
      </c>
      <c r="I10304">
        <v>1</v>
      </c>
      <c r="J10304">
        <v>0</v>
      </c>
      <c r="K10304">
        <v>1</v>
      </c>
      <c r="L10304">
        <v>0</v>
      </c>
      <c r="M10304">
        <v>1</v>
      </c>
      <c r="N10304">
        <v>1</v>
      </c>
      <c r="O10304">
        <v>1</v>
      </c>
      <c r="P10304">
        <v>1</v>
      </c>
      <c r="Q10304">
        <v>1</v>
      </c>
      <c r="R10304">
        <v>1</v>
      </c>
    </row>
    <row r="10305" spans="1:18" x14ac:dyDescent="0.2">
      <c r="A10305" t="str">
        <f>"10301"</f>
        <v>10301</v>
      </c>
      <c r="B10305" t="str">
        <f t="shared" si="573"/>
        <v>1</v>
      </c>
      <c r="C10305" t="str">
        <f t="shared" ref="C10305:C10336" si="574">"207"</f>
        <v>207</v>
      </c>
      <c r="D10305" t="str">
        <f>"36"</f>
        <v>36</v>
      </c>
      <c r="E10305" t="str">
        <f>"1-207-36"</f>
        <v>1-207-36</v>
      </c>
      <c r="F10305" t="s">
        <v>65</v>
      </c>
      <c r="G10305" t="s">
        <v>66</v>
      </c>
      <c r="H10305" t="s">
        <v>68</v>
      </c>
      <c r="I10305">
        <v>1</v>
      </c>
      <c r="J10305">
        <v>0</v>
      </c>
      <c r="K10305">
        <v>1</v>
      </c>
      <c r="L10305">
        <v>0</v>
      </c>
      <c r="M10305">
        <v>1</v>
      </c>
      <c r="N10305">
        <v>1</v>
      </c>
      <c r="O10305">
        <v>1</v>
      </c>
      <c r="P10305">
        <v>1</v>
      </c>
      <c r="Q10305">
        <v>1</v>
      </c>
      <c r="R10305">
        <v>1</v>
      </c>
    </row>
    <row r="10306" spans="1:18" x14ac:dyDescent="0.2">
      <c r="A10306" t="str">
        <f>"10302"</f>
        <v>10302</v>
      </c>
      <c r="B10306" t="str">
        <f t="shared" si="573"/>
        <v>1</v>
      </c>
      <c r="C10306" t="str">
        <f t="shared" si="574"/>
        <v>207</v>
      </c>
      <c r="D10306" t="str">
        <f>"35"</f>
        <v>35</v>
      </c>
      <c r="E10306" t="str">
        <f>"1-207-35"</f>
        <v>1-207-35</v>
      </c>
      <c r="F10306" t="s">
        <v>65</v>
      </c>
      <c r="G10306" t="s">
        <v>66</v>
      </c>
      <c r="H10306" t="s">
        <v>68</v>
      </c>
      <c r="I10306">
        <v>1</v>
      </c>
      <c r="J10306">
        <v>0</v>
      </c>
      <c r="K10306">
        <v>0</v>
      </c>
      <c r="L10306">
        <v>1</v>
      </c>
      <c r="M10306">
        <v>1</v>
      </c>
      <c r="N10306">
        <v>1</v>
      </c>
      <c r="O10306">
        <v>1</v>
      </c>
      <c r="P10306">
        <v>1</v>
      </c>
      <c r="Q10306">
        <v>1</v>
      </c>
      <c r="R10306">
        <v>1</v>
      </c>
    </row>
    <row r="10307" spans="1:18" x14ac:dyDescent="0.2">
      <c r="A10307" t="str">
        <f>"10303"</f>
        <v>10303</v>
      </c>
      <c r="B10307" t="str">
        <f t="shared" si="573"/>
        <v>1</v>
      </c>
      <c r="C10307" t="str">
        <f t="shared" si="574"/>
        <v>207</v>
      </c>
      <c r="D10307" t="str">
        <f>"24"</f>
        <v>24</v>
      </c>
      <c r="E10307" t="str">
        <f>"1-207-24"</f>
        <v>1-207-24</v>
      </c>
      <c r="F10307" t="s">
        <v>65</v>
      </c>
      <c r="G10307" t="s">
        <v>66</v>
      </c>
      <c r="H10307" t="s">
        <v>68</v>
      </c>
      <c r="I10307">
        <v>1</v>
      </c>
      <c r="J10307">
        <v>0</v>
      </c>
      <c r="K10307">
        <v>0</v>
      </c>
      <c r="L10307">
        <v>1</v>
      </c>
      <c r="M10307">
        <v>1</v>
      </c>
      <c r="N10307">
        <v>1</v>
      </c>
      <c r="O10307">
        <v>1</v>
      </c>
      <c r="P10307">
        <v>1</v>
      </c>
      <c r="Q10307">
        <v>1</v>
      </c>
      <c r="R10307">
        <v>1</v>
      </c>
    </row>
    <row r="10308" spans="1:18" x14ac:dyDescent="0.2">
      <c r="A10308" t="str">
        <f>"10304"</f>
        <v>10304</v>
      </c>
      <c r="B10308" t="str">
        <f t="shared" si="573"/>
        <v>1</v>
      </c>
      <c r="C10308" t="str">
        <f t="shared" si="574"/>
        <v>207</v>
      </c>
      <c r="D10308" t="str">
        <f>"15"</f>
        <v>15</v>
      </c>
      <c r="E10308" t="str">
        <f>"1-207-15"</f>
        <v>1-207-15</v>
      </c>
      <c r="F10308" t="s">
        <v>65</v>
      </c>
      <c r="G10308" t="s">
        <v>66</v>
      </c>
      <c r="H10308" t="s">
        <v>68</v>
      </c>
      <c r="I10308">
        <v>1</v>
      </c>
      <c r="J10308">
        <v>0</v>
      </c>
      <c r="K10308">
        <v>0</v>
      </c>
      <c r="L10308">
        <v>1</v>
      </c>
      <c r="M10308">
        <v>1</v>
      </c>
      <c r="N10308">
        <v>1</v>
      </c>
      <c r="O10308">
        <v>1</v>
      </c>
      <c r="P10308">
        <v>1</v>
      </c>
      <c r="Q10308">
        <v>1</v>
      </c>
      <c r="R10308">
        <v>1</v>
      </c>
    </row>
    <row r="10309" spans="1:18" x14ac:dyDescent="0.2">
      <c r="A10309" t="str">
        <f>"10305"</f>
        <v>10305</v>
      </c>
      <c r="B10309" t="str">
        <f t="shared" si="573"/>
        <v>1</v>
      </c>
      <c r="C10309" t="str">
        <f t="shared" si="574"/>
        <v>207</v>
      </c>
      <c r="D10309" t="str">
        <f>"3"</f>
        <v>3</v>
      </c>
      <c r="E10309" t="str">
        <f>"1-207-3"</f>
        <v>1-207-3</v>
      </c>
      <c r="F10309" t="s">
        <v>65</v>
      </c>
      <c r="G10309" t="s">
        <v>66</v>
      </c>
      <c r="H10309" t="s">
        <v>68</v>
      </c>
      <c r="I10309">
        <v>1</v>
      </c>
      <c r="J10309">
        <v>0</v>
      </c>
      <c r="K10309">
        <v>0</v>
      </c>
      <c r="L10309">
        <v>1</v>
      </c>
      <c r="M10309">
        <v>1</v>
      </c>
      <c r="N10309">
        <v>1</v>
      </c>
      <c r="O10309">
        <v>1</v>
      </c>
      <c r="P10309">
        <v>1</v>
      </c>
      <c r="Q10309">
        <v>1</v>
      </c>
      <c r="R10309">
        <v>1</v>
      </c>
    </row>
    <row r="10310" spans="1:18" x14ac:dyDescent="0.2">
      <c r="A10310" t="str">
        <f>"10306"</f>
        <v>10306</v>
      </c>
      <c r="B10310" t="str">
        <f t="shared" si="573"/>
        <v>1</v>
      </c>
      <c r="C10310" t="str">
        <f t="shared" si="574"/>
        <v>207</v>
      </c>
      <c r="D10310" t="str">
        <f>"34"</f>
        <v>34</v>
      </c>
      <c r="E10310" t="str">
        <f>"1-207-34"</f>
        <v>1-207-34</v>
      </c>
      <c r="F10310" t="s">
        <v>65</v>
      </c>
      <c r="G10310" t="s">
        <v>66</v>
      </c>
      <c r="H10310" t="s">
        <v>68</v>
      </c>
      <c r="I10310">
        <v>1</v>
      </c>
      <c r="J10310">
        <v>0</v>
      </c>
      <c r="K10310">
        <v>0</v>
      </c>
      <c r="L10310">
        <v>1</v>
      </c>
      <c r="M10310">
        <v>1</v>
      </c>
      <c r="N10310">
        <v>1</v>
      </c>
      <c r="O10310">
        <v>1</v>
      </c>
      <c r="P10310">
        <v>1</v>
      </c>
      <c r="Q10310">
        <v>1</v>
      </c>
      <c r="R10310">
        <v>1</v>
      </c>
    </row>
    <row r="10311" spans="1:18" x14ac:dyDescent="0.2">
      <c r="A10311" t="str">
        <f>"10307"</f>
        <v>10307</v>
      </c>
      <c r="B10311" t="str">
        <f t="shared" si="573"/>
        <v>1</v>
      </c>
      <c r="C10311" t="str">
        <f t="shared" si="574"/>
        <v>207</v>
      </c>
      <c r="D10311" t="str">
        <f>"33"</f>
        <v>33</v>
      </c>
      <c r="E10311" t="str">
        <f>"1-207-33"</f>
        <v>1-207-33</v>
      </c>
      <c r="F10311" t="s">
        <v>65</v>
      </c>
      <c r="G10311" t="s">
        <v>66</v>
      </c>
      <c r="H10311" t="s">
        <v>68</v>
      </c>
      <c r="I10311">
        <v>1</v>
      </c>
      <c r="J10311">
        <v>0</v>
      </c>
      <c r="K10311">
        <v>0</v>
      </c>
      <c r="L10311">
        <v>1</v>
      </c>
      <c r="M10311">
        <v>1</v>
      </c>
      <c r="N10311">
        <v>1</v>
      </c>
      <c r="O10311">
        <v>1</v>
      </c>
      <c r="P10311">
        <v>1</v>
      </c>
      <c r="Q10311">
        <v>1</v>
      </c>
      <c r="R10311">
        <v>1</v>
      </c>
    </row>
    <row r="10312" spans="1:18" x14ac:dyDescent="0.2">
      <c r="A10312" t="str">
        <f>"10308"</f>
        <v>10308</v>
      </c>
      <c r="B10312" t="str">
        <f t="shared" si="573"/>
        <v>1</v>
      </c>
      <c r="C10312" t="str">
        <f t="shared" si="574"/>
        <v>207</v>
      </c>
      <c r="D10312" t="str">
        <f>"22"</f>
        <v>22</v>
      </c>
      <c r="E10312" t="str">
        <f>"1-207-22"</f>
        <v>1-207-22</v>
      </c>
      <c r="F10312" t="s">
        <v>65</v>
      </c>
      <c r="G10312" t="s">
        <v>66</v>
      </c>
      <c r="H10312" t="s">
        <v>68</v>
      </c>
      <c r="I10312">
        <v>1</v>
      </c>
      <c r="J10312">
        <v>0</v>
      </c>
      <c r="K10312">
        <v>1</v>
      </c>
      <c r="L10312">
        <v>0</v>
      </c>
      <c r="M10312">
        <v>1</v>
      </c>
      <c r="N10312">
        <v>1</v>
      </c>
      <c r="O10312">
        <v>1</v>
      </c>
      <c r="P10312">
        <v>1</v>
      </c>
      <c r="Q10312">
        <v>1</v>
      </c>
      <c r="R10312">
        <v>1</v>
      </c>
    </row>
    <row r="10313" spans="1:18" x14ac:dyDescent="0.2">
      <c r="A10313" t="str">
        <f>"10309"</f>
        <v>10309</v>
      </c>
      <c r="B10313" t="str">
        <f t="shared" si="573"/>
        <v>1</v>
      </c>
      <c r="C10313" t="str">
        <f t="shared" si="574"/>
        <v>207</v>
      </c>
      <c r="D10313" t="str">
        <f>"16"</f>
        <v>16</v>
      </c>
      <c r="E10313" t="str">
        <f>"1-207-16"</f>
        <v>1-207-16</v>
      </c>
      <c r="F10313" t="s">
        <v>65</v>
      </c>
      <c r="G10313" t="s">
        <v>66</v>
      </c>
      <c r="H10313" t="s">
        <v>68</v>
      </c>
      <c r="I10313">
        <v>1</v>
      </c>
      <c r="J10313">
        <v>0</v>
      </c>
      <c r="K10313">
        <v>1</v>
      </c>
      <c r="L10313">
        <v>0</v>
      </c>
      <c r="M10313">
        <v>1</v>
      </c>
      <c r="N10313">
        <v>1</v>
      </c>
      <c r="O10313">
        <v>1</v>
      </c>
      <c r="P10313">
        <v>1</v>
      </c>
      <c r="Q10313">
        <v>1</v>
      </c>
      <c r="R10313">
        <v>1</v>
      </c>
    </row>
    <row r="10314" spans="1:18" x14ac:dyDescent="0.2">
      <c r="A10314" t="str">
        <f>"10310"</f>
        <v>10310</v>
      </c>
      <c r="B10314" t="str">
        <f t="shared" si="573"/>
        <v>1</v>
      </c>
      <c r="C10314" t="str">
        <f t="shared" si="574"/>
        <v>207</v>
      </c>
      <c r="D10314" t="str">
        <f>"1"</f>
        <v>1</v>
      </c>
      <c r="E10314" t="str">
        <f>"1-207-1"</f>
        <v>1-207-1</v>
      </c>
      <c r="F10314" t="s">
        <v>65</v>
      </c>
      <c r="G10314" t="s">
        <v>66</v>
      </c>
      <c r="H10314" t="s">
        <v>68</v>
      </c>
      <c r="I10314">
        <v>1</v>
      </c>
      <c r="J10314">
        <v>0</v>
      </c>
      <c r="K10314">
        <v>0</v>
      </c>
      <c r="L10314">
        <v>1</v>
      </c>
      <c r="M10314">
        <v>1</v>
      </c>
      <c r="N10314">
        <v>1</v>
      </c>
      <c r="O10314">
        <v>1</v>
      </c>
      <c r="P10314">
        <v>1</v>
      </c>
      <c r="Q10314">
        <v>1</v>
      </c>
      <c r="R10314">
        <v>1</v>
      </c>
    </row>
    <row r="10315" spans="1:18" x14ac:dyDescent="0.2">
      <c r="A10315" t="str">
        <f>"10311"</f>
        <v>10311</v>
      </c>
      <c r="B10315" t="str">
        <f t="shared" si="573"/>
        <v>1</v>
      </c>
      <c r="C10315" t="str">
        <f t="shared" si="574"/>
        <v>207</v>
      </c>
      <c r="D10315" t="str">
        <f>"40"</f>
        <v>40</v>
      </c>
      <c r="E10315" t="str">
        <f>"1-207-40"</f>
        <v>1-207-40</v>
      </c>
      <c r="F10315" t="s">
        <v>65</v>
      </c>
      <c r="G10315" t="s">
        <v>66</v>
      </c>
      <c r="H10315" t="s">
        <v>68</v>
      </c>
      <c r="I10315">
        <v>1</v>
      </c>
      <c r="J10315">
        <v>0</v>
      </c>
      <c r="K10315">
        <v>0</v>
      </c>
      <c r="L10315">
        <v>1</v>
      </c>
      <c r="M10315">
        <v>1</v>
      </c>
      <c r="N10315">
        <v>1</v>
      </c>
      <c r="O10315">
        <v>1</v>
      </c>
      <c r="P10315">
        <v>1</v>
      </c>
      <c r="Q10315">
        <v>1</v>
      </c>
      <c r="R10315">
        <v>1</v>
      </c>
    </row>
    <row r="10316" spans="1:18" x14ac:dyDescent="0.2">
      <c r="A10316" t="str">
        <f>"10312"</f>
        <v>10312</v>
      </c>
      <c r="B10316" t="str">
        <f t="shared" si="573"/>
        <v>1</v>
      </c>
      <c r="C10316" t="str">
        <f t="shared" si="574"/>
        <v>207</v>
      </c>
      <c r="D10316" t="str">
        <f>"39"</f>
        <v>39</v>
      </c>
      <c r="E10316" t="str">
        <f>"1-207-39"</f>
        <v>1-207-39</v>
      </c>
      <c r="F10316" t="s">
        <v>65</v>
      </c>
      <c r="G10316" t="s">
        <v>66</v>
      </c>
      <c r="H10316" t="s">
        <v>68</v>
      </c>
      <c r="I10316">
        <v>1</v>
      </c>
      <c r="J10316">
        <v>0</v>
      </c>
      <c r="K10316">
        <v>0</v>
      </c>
      <c r="L10316">
        <v>1</v>
      </c>
      <c r="M10316">
        <v>1</v>
      </c>
      <c r="N10316">
        <v>1</v>
      </c>
      <c r="O10316">
        <v>1</v>
      </c>
      <c r="P10316">
        <v>1</v>
      </c>
      <c r="Q10316">
        <v>1</v>
      </c>
      <c r="R10316">
        <v>1</v>
      </c>
    </row>
    <row r="10317" spans="1:18" x14ac:dyDescent="0.2">
      <c r="A10317" t="str">
        <f>"10313"</f>
        <v>10313</v>
      </c>
      <c r="B10317" t="str">
        <f t="shared" si="573"/>
        <v>1</v>
      </c>
      <c r="C10317" t="str">
        <f t="shared" si="574"/>
        <v>207</v>
      </c>
      <c r="D10317" t="str">
        <f>"28"</f>
        <v>28</v>
      </c>
      <c r="E10317" t="str">
        <f>"1-207-28"</f>
        <v>1-207-28</v>
      </c>
      <c r="F10317" t="s">
        <v>65</v>
      </c>
      <c r="G10317" t="s">
        <v>66</v>
      </c>
      <c r="H10317" t="s">
        <v>68</v>
      </c>
      <c r="I10317">
        <v>1</v>
      </c>
      <c r="J10317">
        <v>0</v>
      </c>
      <c r="K10317">
        <v>0</v>
      </c>
      <c r="L10317">
        <v>1</v>
      </c>
      <c r="M10317">
        <v>1</v>
      </c>
      <c r="N10317">
        <v>1</v>
      </c>
      <c r="O10317">
        <v>0</v>
      </c>
      <c r="P10317">
        <v>1</v>
      </c>
      <c r="Q10317">
        <v>1</v>
      </c>
      <c r="R10317">
        <v>0</v>
      </c>
    </row>
    <row r="10318" spans="1:18" x14ac:dyDescent="0.2">
      <c r="A10318" t="str">
        <f>"10314"</f>
        <v>10314</v>
      </c>
      <c r="B10318" t="str">
        <f t="shared" si="573"/>
        <v>1</v>
      </c>
      <c r="C10318" t="str">
        <f t="shared" si="574"/>
        <v>207</v>
      </c>
      <c r="D10318" t="str">
        <f>"17"</f>
        <v>17</v>
      </c>
      <c r="E10318" t="str">
        <f>"1-207-17"</f>
        <v>1-207-17</v>
      </c>
      <c r="F10318" t="s">
        <v>65</v>
      </c>
      <c r="G10318" t="s">
        <v>66</v>
      </c>
      <c r="H10318" t="s">
        <v>68</v>
      </c>
      <c r="I10318">
        <v>0</v>
      </c>
      <c r="J10318">
        <v>0</v>
      </c>
      <c r="K10318">
        <v>0</v>
      </c>
      <c r="L10318">
        <v>1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</row>
    <row r="10319" spans="1:18" x14ac:dyDescent="0.2">
      <c r="A10319" t="str">
        <f>"10315"</f>
        <v>10315</v>
      </c>
      <c r="B10319" t="str">
        <f t="shared" si="573"/>
        <v>1</v>
      </c>
      <c r="C10319" t="str">
        <f t="shared" si="574"/>
        <v>207</v>
      </c>
      <c r="D10319" t="str">
        <f>"14"</f>
        <v>14</v>
      </c>
      <c r="E10319" t="str">
        <f>"1-207-14"</f>
        <v>1-207-14</v>
      </c>
      <c r="F10319" t="s">
        <v>65</v>
      </c>
      <c r="G10319" t="s">
        <v>66</v>
      </c>
      <c r="H10319" t="s">
        <v>68</v>
      </c>
      <c r="I10319">
        <v>1</v>
      </c>
      <c r="J10319">
        <v>0</v>
      </c>
      <c r="K10319">
        <v>0</v>
      </c>
      <c r="L10319">
        <v>1</v>
      </c>
      <c r="M10319">
        <v>1</v>
      </c>
      <c r="N10319">
        <v>1</v>
      </c>
      <c r="O10319">
        <v>1</v>
      </c>
      <c r="P10319">
        <v>1</v>
      </c>
      <c r="Q10319">
        <v>1</v>
      </c>
      <c r="R10319">
        <v>1</v>
      </c>
    </row>
    <row r="10320" spans="1:18" x14ac:dyDescent="0.2">
      <c r="A10320" t="str">
        <f>"10316"</f>
        <v>10316</v>
      </c>
      <c r="B10320" t="str">
        <f t="shared" si="573"/>
        <v>1</v>
      </c>
      <c r="C10320" t="str">
        <f t="shared" si="574"/>
        <v>207</v>
      </c>
      <c r="D10320" t="str">
        <f>"38"</f>
        <v>38</v>
      </c>
      <c r="E10320" t="str">
        <f>"1-207-38"</f>
        <v>1-207-38</v>
      </c>
      <c r="F10320" t="s">
        <v>65</v>
      </c>
      <c r="G10320" t="s">
        <v>66</v>
      </c>
      <c r="H10320" t="s">
        <v>68</v>
      </c>
      <c r="I10320">
        <v>1</v>
      </c>
      <c r="J10320">
        <v>0</v>
      </c>
      <c r="K10320">
        <v>0</v>
      </c>
      <c r="L10320">
        <v>1</v>
      </c>
      <c r="M10320">
        <v>1</v>
      </c>
      <c r="N10320">
        <v>1</v>
      </c>
      <c r="O10320">
        <v>1</v>
      </c>
      <c r="P10320">
        <v>1</v>
      </c>
      <c r="Q10320">
        <v>1</v>
      </c>
      <c r="R10320">
        <v>1</v>
      </c>
    </row>
    <row r="10321" spans="1:18" x14ac:dyDescent="0.2">
      <c r="A10321" t="str">
        <f>"10317"</f>
        <v>10317</v>
      </c>
      <c r="B10321" t="str">
        <f t="shared" si="573"/>
        <v>1</v>
      </c>
      <c r="C10321" t="str">
        <f t="shared" si="574"/>
        <v>207</v>
      </c>
      <c r="D10321" t="str">
        <f>"37"</f>
        <v>37</v>
      </c>
      <c r="E10321" t="str">
        <f>"1-207-37"</f>
        <v>1-207-37</v>
      </c>
      <c r="F10321" t="s">
        <v>65</v>
      </c>
      <c r="G10321" t="s">
        <v>66</v>
      </c>
      <c r="H10321" t="s">
        <v>68</v>
      </c>
      <c r="I10321">
        <v>1</v>
      </c>
      <c r="J10321">
        <v>0</v>
      </c>
      <c r="K10321">
        <v>0</v>
      </c>
      <c r="L10321">
        <v>1</v>
      </c>
      <c r="M10321">
        <v>1</v>
      </c>
      <c r="N10321">
        <v>1</v>
      </c>
      <c r="O10321">
        <v>1</v>
      </c>
      <c r="P10321">
        <v>1</v>
      </c>
      <c r="Q10321">
        <v>1</v>
      </c>
      <c r="R10321">
        <v>1</v>
      </c>
    </row>
    <row r="10322" spans="1:18" x14ac:dyDescent="0.2">
      <c r="A10322" t="str">
        <f>"10318"</f>
        <v>10318</v>
      </c>
      <c r="B10322" t="str">
        <f t="shared" si="573"/>
        <v>1</v>
      </c>
      <c r="C10322" t="str">
        <f t="shared" si="574"/>
        <v>207</v>
      </c>
      <c r="D10322" t="str">
        <f>"26"</f>
        <v>26</v>
      </c>
      <c r="E10322" t="str">
        <f>"1-207-26"</f>
        <v>1-207-26</v>
      </c>
      <c r="F10322" t="s">
        <v>65</v>
      </c>
      <c r="G10322" t="s">
        <v>66</v>
      </c>
      <c r="H10322" t="s">
        <v>68</v>
      </c>
      <c r="I10322">
        <v>1</v>
      </c>
      <c r="J10322">
        <v>0</v>
      </c>
      <c r="K10322">
        <v>0</v>
      </c>
      <c r="L10322">
        <v>1</v>
      </c>
      <c r="M10322">
        <v>1</v>
      </c>
      <c r="N10322">
        <v>1</v>
      </c>
      <c r="O10322">
        <v>1</v>
      </c>
      <c r="P10322">
        <v>1</v>
      </c>
      <c r="Q10322">
        <v>1</v>
      </c>
      <c r="R10322">
        <v>1</v>
      </c>
    </row>
    <row r="10323" spans="1:18" x14ac:dyDescent="0.2">
      <c r="A10323" t="str">
        <f>"10319"</f>
        <v>10319</v>
      </c>
      <c r="B10323" t="str">
        <f t="shared" si="573"/>
        <v>1</v>
      </c>
      <c r="C10323" t="str">
        <f t="shared" si="574"/>
        <v>207</v>
      </c>
      <c r="D10323" t="str">
        <f>"18"</f>
        <v>18</v>
      </c>
      <c r="E10323" t="str">
        <f>"1-207-18"</f>
        <v>1-207-18</v>
      </c>
      <c r="F10323" t="s">
        <v>65</v>
      </c>
      <c r="G10323" t="s">
        <v>66</v>
      </c>
      <c r="H10323" t="s">
        <v>68</v>
      </c>
      <c r="I10323">
        <v>1</v>
      </c>
      <c r="J10323">
        <v>1</v>
      </c>
      <c r="K10323">
        <v>0</v>
      </c>
      <c r="L10323">
        <v>0</v>
      </c>
      <c r="M10323">
        <v>1</v>
      </c>
      <c r="N10323">
        <v>1</v>
      </c>
      <c r="O10323">
        <v>1</v>
      </c>
      <c r="P10323">
        <v>1</v>
      </c>
      <c r="Q10323">
        <v>1</v>
      </c>
      <c r="R10323">
        <v>1</v>
      </c>
    </row>
    <row r="10324" spans="1:18" x14ac:dyDescent="0.2">
      <c r="A10324" t="str">
        <f>"10320"</f>
        <v>10320</v>
      </c>
      <c r="B10324" t="str">
        <f t="shared" si="573"/>
        <v>1</v>
      </c>
      <c r="C10324" t="str">
        <f t="shared" si="574"/>
        <v>207</v>
      </c>
      <c r="D10324" t="str">
        <f>"7"</f>
        <v>7</v>
      </c>
      <c r="E10324" t="str">
        <f>"1-207-7"</f>
        <v>1-207-7</v>
      </c>
      <c r="F10324" t="s">
        <v>65</v>
      </c>
      <c r="G10324" t="s">
        <v>66</v>
      </c>
      <c r="H10324" t="s">
        <v>68</v>
      </c>
      <c r="I10324">
        <v>1</v>
      </c>
      <c r="J10324">
        <v>0</v>
      </c>
      <c r="K10324">
        <v>0</v>
      </c>
      <c r="L10324">
        <v>1</v>
      </c>
      <c r="M10324">
        <v>1</v>
      </c>
      <c r="N10324">
        <v>1</v>
      </c>
      <c r="O10324">
        <v>1</v>
      </c>
      <c r="P10324">
        <v>1</v>
      </c>
      <c r="Q10324">
        <v>1</v>
      </c>
      <c r="R10324">
        <v>1</v>
      </c>
    </row>
    <row r="10325" spans="1:18" x14ac:dyDescent="0.2">
      <c r="A10325" t="str">
        <f>"10321"</f>
        <v>10321</v>
      </c>
      <c r="B10325" t="str">
        <f t="shared" si="573"/>
        <v>1</v>
      </c>
      <c r="C10325" t="str">
        <f t="shared" si="574"/>
        <v>207</v>
      </c>
      <c r="D10325" t="str">
        <f>"41"</f>
        <v>41</v>
      </c>
      <c r="E10325" t="str">
        <f>"1-207-41"</f>
        <v>1-207-41</v>
      </c>
      <c r="F10325" t="s">
        <v>65</v>
      </c>
      <c r="G10325" t="s">
        <v>66</v>
      </c>
      <c r="H10325" t="s">
        <v>68</v>
      </c>
      <c r="I10325">
        <v>1</v>
      </c>
      <c r="J10325">
        <v>1</v>
      </c>
      <c r="K10325">
        <v>0</v>
      </c>
      <c r="L10325">
        <v>0</v>
      </c>
      <c r="M10325">
        <v>1</v>
      </c>
      <c r="N10325">
        <v>1</v>
      </c>
      <c r="O10325">
        <v>1</v>
      </c>
      <c r="P10325">
        <v>1</v>
      </c>
      <c r="Q10325">
        <v>1</v>
      </c>
      <c r="R10325">
        <v>1</v>
      </c>
    </row>
    <row r="10326" spans="1:18" x14ac:dyDescent="0.2">
      <c r="A10326" t="str">
        <f>"10322"</f>
        <v>10322</v>
      </c>
      <c r="B10326" t="str">
        <f t="shared" si="573"/>
        <v>1</v>
      </c>
      <c r="C10326" t="str">
        <f t="shared" si="574"/>
        <v>207</v>
      </c>
      <c r="D10326" t="str">
        <f>"19"</f>
        <v>19</v>
      </c>
      <c r="E10326" t="str">
        <f>"1-207-19"</f>
        <v>1-207-19</v>
      </c>
      <c r="F10326" t="s">
        <v>65</v>
      </c>
      <c r="G10326" t="s">
        <v>66</v>
      </c>
      <c r="H10326" t="s">
        <v>68</v>
      </c>
      <c r="I10326">
        <v>1</v>
      </c>
      <c r="J10326">
        <v>1</v>
      </c>
      <c r="K10326">
        <v>0</v>
      </c>
      <c r="L10326">
        <v>0</v>
      </c>
      <c r="M10326">
        <v>1</v>
      </c>
      <c r="N10326">
        <v>1</v>
      </c>
      <c r="O10326">
        <v>1</v>
      </c>
      <c r="P10326">
        <v>1</v>
      </c>
      <c r="Q10326">
        <v>1</v>
      </c>
      <c r="R10326">
        <v>1</v>
      </c>
    </row>
    <row r="10327" spans="1:18" x14ac:dyDescent="0.2">
      <c r="A10327" t="str">
        <f>"10323"</f>
        <v>10323</v>
      </c>
      <c r="B10327" t="str">
        <f t="shared" si="573"/>
        <v>1</v>
      </c>
      <c r="C10327" t="str">
        <f t="shared" si="574"/>
        <v>207</v>
      </c>
      <c r="D10327" t="str">
        <f>"9"</f>
        <v>9</v>
      </c>
      <c r="E10327" t="str">
        <f>"1-207-9"</f>
        <v>1-207-9</v>
      </c>
      <c r="F10327" t="s">
        <v>65</v>
      </c>
      <c r="G10327" t="s">
        <v>66</v>
      </c>
      <c r="H10327" t="s">
        <v>68</v>
      </c>
      <c r="I10327">
        <v>1</v>
      </c>
      <c r="J10327">
        <v>1</v>
      </c>
      <c r="K10327">
        <v>0</v>
      </c>
      <c r="L10327">
        <v>0</v>
      </c>
      <c r="M10327">
        <v>1</v>
      </c>
      <c r="N10327">
        <v>1</v>
      </c>
      <c r="O10327">
        <v>1</v>
      </c>
      <c r="P10327">
        <v>1</v>
      </c>
      <c r="Q10327">
        <v>1</v>
      </c>
      <c r="R10327">
        <v>1</v>
      </c>
    </row>
    <row r="10328" spans="1:18" x14ac:dyDescent="0.2">
      <c r="A10328" t="str">
        <f>"10324"</f>
        <v>10324</v>
      </c>
      <c r="B10328" t="str">
        <f t="shared" si="573"/>
        <v>1</v>
      </c>
      <c r="C10328" t="str">
        <f t="shared" si="574"/>
        <v>207</v>
      </c>
      <c r="D10328" t="str">
        <f>"42"</f>
        <v>42</v>
      </c>
      <c r="E10328" t="str">
        <f>"1-207-42"</f>
        <v>1-207-42</v>
      </c>
      <c r="F10328" t="s">
        <v>65</v>
      </c>
      <c r="G10328" t="s">
        <v>66</v>
      </c>
      <c r="H10328" t="s">
        <v>68</v>
      </c>
      <c r="I10328">
        <v>1</v>
      </c>
      <c r="J10328">
        <v>1</v>
      </c>
      <c r="K10328">
        <v>0</v>
      </c>
      <c r="L10328">
        <v>0</v>
      </c>
      <c r="M10328">
        <v>1</v>
      </c>
      <c r="N10328">
        <v>1</v>
      </c>
      <c r="O10328">
        <v>1</v>
      </c>
      <c r="P10328">
        <v>1</v>
      </c>
      <c r="Q10328">
        <v>1</v>
      </c>
      <c r="R10328">
        <v>1</v>
      </c>
    </row>
    <row r="10329" spans="1:18" x14ac:dyDescent="0.2">
      <c r="A10329" t="str">
        <f>"10325"</f>
        <v>10325</v>
      </c>
      <c r="B10329" t="str">
        <f t="shared" si="573"/>
        <v>1</v>
      </c>
      <c r="C10329" t="str">
        <f t="shared" si="574"/>
        <v>207</v>
      </c>
      <c r="D10329" t="str">
        <f>"20"</f>
        <v>20</v>
      </c>
      <c r="E10329" t="str">
        <f>"1-207-20"</f>
        <v>1-207-20</v>
      </c>
      <c r="F10329" t="s">
        <v>65</v>
      </c>
      <c r="G10329" t="s">
        <v>66</v>
      </c>
      <c r="H10329" t="s">
        <v>68</v>
      </c>
      <c r="I10329">
        <v>1</v>
      </c>
      <c r="J10329">
        <v>1</v>
      </c>
      <c r="K10329">
        <v>0</v>
      </c>
      <c r="L10329">
        <v>0</v>
      </c>
      <c r="M10329">
        <v>1</v>
      </c>
      <c r="N10329">
        <v>1</v>
      </c>
      <c r="O10329">
        <v>1</v>
      </c>
      <c r="P10329">
        <v>1</v>
      </c>
      <c r="Q10329">
        <v>1</v>
      </c>
      <c r="R10329">
        <v>1</v>
      </c>
    </row>
    <row r="10330" spans="1:18" x14ac:dyDescent="0.2">
      <c r="A10330" t="str">
        <f>"10326"</f>
        <v>10326</v>
      </c>
      <c r="B10330" t="str">
        <f t="shared" si="573"/>
        <v>1</v>
      </c>
      <c r="C10330" t="str">
        <f t="shared" si="574"/>
        <v>207</v>
      </c>
      <c r="D10330" t="str">
        <f>"2"</f>
        <v>2</v>
      </c>
      <c r="E10330" t="str">
        <f>"1-207-2"</f>
        <v>1-207-2</v>
      </c>
      <c r="F10330" t="s">
        <v>65</v>
      </c>
      <c r="G10330" t="s">
        <v>66</v>
      </c>
      <c r="H10330" t="s">
        <v>68</v>
      </c>
      <c r="I10330">
        <v>1</v>
      </c>
      <c r="J10330">
        <v>0</v>
      </c>
      <c r="K10330">
        <v>0</v>
      </c>
      <c r="L10330">
        <v>0</v>
      </c>
      <c r="M10330">
        <v>1</v>
      </c>
      <c r="N10330">
        <v>1</v>
      </c>
      <c r="O10330">
        <v>1</v>
      </c>
      <c r="P10330">
        <v>1</v>
      </c>
      <c r="Q10330">
        <v>1</v>
      </c>
      <c r="R10330">
        <v>1</v>
      </c>
    </row>
    <row r="10331" spans="1:18" x14ac:dyDescent="0.2">
      <c r="A10331" t="str">
        <f>"10327"</f>
        <v>10327</v>
      </c>
      <c r="B10331" t="str">
        <f t="shared" si="573"/>
        <v>1</v>
      </c>
      <c r="C10331" t="str">
        <f t="shared" si="574"/>
        <v>207</v>
      </c>
      <c r="D10331" t="str">
        <f>"44"</f>
        <v>44</v>
      </c>
      <c r="E10331" t="str">
        <f>"1-207-44"</f>
        <v>1-207-44</v>
      </c>
      <c r="F10331" t="s">
        <v>65</v>
      </c>
      <c r="G10331" t="s">
        <v>66</v>
      </c>
      <c r="H10331" t="s">
        <v>68</v>
      </c>
      <c r="I10331">
        <v>1</v>
      </c>
      <c r="J10331">
        <v>0</v>
      </c>
      <c r="K10331">
        <v>0</v>
      </c>
      <c r="L10331">
        <v>1</v>
      </c>
      <c r="M10331">
        <v>1</v>
      </c>
      <c r="N10331">
        <v>1</v>
      </c>
      <c r="O10331">
        <v>1</v>
      </c>
      <c r="P10331">
        <v>1</v>
      </c>
      <c r="Q10331">
        <v>1</v>
      </c>
      <c r="R10331">
        <v>1</v>
      </c>
    </row>
    <row r="10332" spans="1:18" x14ac:dyDescent="0.2">
      <c r="A10332" t="str">
        <f>"10328"</f>
        <v>10328</v>
      </c>
      <c r="B10332" t="str">
        <f t="shared" si="573"/>
        <v>1</v>
      </c>
      <c r="C10332" t="str">
        <f t="shared" si="574"/>
        <v>207</v>
      </c>
      <c r="D10332" t="str">
        <f>"21"</f>
        <v>21</v>
      </c>
      <c r="E10332" t="str">
        <f>"1-207-21"</f>
        <v>1-207-21</v>
      </c>
      <c r="F10332" t="s">
        <v>65</v>
      </c>
      <c r="G10332" t="s">
        <v>66</v>
      </c>
      <c r="H10332" t="s">
        <v>68</v>
      </c>
      <c r="I10332">
        <v>1</v>
      </c>
      <c r="J10332">
        <v>1</v>
      </c>
      <c r="K10332">
        <v>0</v>
      </c>
      <c r="L10332">
        <v>0</v>
      </c>
      <c r="M10332">
        <v>1</v>
      </c>
      <c r="N10332">
        <v>1</v>
      </c>
      <c r="O10332">
        <v>1</v>
      </c>
      <c r="P10332">
        <v>1</v>
      </c>
      <c r="Q10332">
        <v>1</v>
      </c>
      <c r="R10332">
        <v>1</v>
      </c>
    </row>
    <row r="10333" spans="1:18" x14ac:dyDescent="0.2">
      <c r="A10333" t="str">
        <f>"10329"</f>
        <v>10329</v>
      </c>
      <c r="B10333" t="str">
        <f t="shared" si="573"/>
        <v>1</v>
      </c>
      <c r="C10333" t="str">
        <f t="shared" si="574"/>
        <v>207</v>
      </c>
      <c r="D10333" t="str">
        <f>"8"</f>
        <v>8</v>
      </c>
      <c r="E10333" t="str">
        <f>"1-207-8"</f>
        <v>1-207-8</v>
      </c>
      <c r="F10333" t="s">
        <v>65</v>
      </c>
      <c r="G10333" t="s">
        <v>66</v>
      </c>
      <c r="H10333" t="s">
        <v>68</v>
      </c>
      <c r="I10333">
        <v>1</v>
      </c>
      <c r="J10333">
        <v>1</v>
      </c>
      <c r="K10333">
        <v>0</v>
      </c>
      <c r="L10333">
        <v>0</v>
      </c>
      <c r="M10333">
        <v>1</v>
      </c>
      <c r="N10333">
        <v>1</v>
      </c>
      <c r="O10333">
        <v>1</v>
      </c>
      <c r="P10333">
        <v>1</v>
      </c>
      <c r="Q10333">
        <v>1</v>
      </c>
      <c r="R10333">
        <v>1</v>
      </c>
    </row>
    <row r="10334" spans="1:18" x14ac:dyDescent="0.2">
      <c r="A10334" t="str">
        <f>"10330"</f>
        <v>10330</v>
      </c>
      <c r="B10334" t="str">
        <f t="shared" si="573"/>
        <v>1</v>
      </c>
      <c r="C10334" t="str">
        <f t="shared" si="574"/>
        <v>207</v>
      </c>
      <c r="D10334" t="str">
        <f>"43"</f>
        <v>43</v>
      </c>
      <c r="E10334" t="str">
        <f>"1-207-43"</f>
        <v>1-207-43</v>
      </c>
      <c r="F10334" t="s">
        <v>65</v>
      </c>
      <c r="G10334" t="s">
        <v>66</v>
      </c>
      <c r="H10334" t="s">
        <v>68</v>
      </c>
      <c r="I10334">
        <v>1</v>
      </c>
      <c r="J10334">
        <v>0</v>
      </c>
      <c r="K10334">
        <v>0</v>
      </c>
      <c r="L10334">
        <v>1</v>
      </c>
      <c r="M10334">
        <v>1</v>
      </c>
      <c r="N10334">
        <v>1</v>
      </c>
      <c r="O10334">
        <v>1</v>
      </c>
      <c r="P10334">
        <v>1</v>
      </c>
      <c r="Q10334">
        <v>0</v>
      </c>
      <c r="R10334">
        <v>0</v>
      </c>
    </row>
    <row r="10335" spans="1:18" x14ac:dyDescent="0.2">
      <c r="A10335" t="str">
        <f>"10331"</f>
        <v>10331</v>
      </c>
      <c r="B10335" t="str">
        <f t="shared" si="573"/>
        <v>1</v>
      </c>
      <c r="C10335" t="str">
        <f t="shared" si="574"/>
        <v>207</v>
      </c>
      <c r="D10335" t="str">
        <f>"23"</f>
        <v>23</v>
      </c>
      <c r="E10335" t="str">
        <f>"1-207-23"</f>
        <v>1-207-23</v>
      </c>
      <c r="F10335" t="s">
        <v>65</v>
      </c>
      <c r="G10335" t="s">
        <v>66</v>
      </c>
      <c r="H10335" t="s">
        <v>68</v>
      </c>
      <c r="I10335">
        <v>1</v>
      </c>
      <c r="J10335">
        <v>1</v>
      </c>
      <c r="K10335">
        <v>0</v>
      </c>
      <c r="L10335">
        <v>0</v>
      </c>
      <c r="M10335">
        <v>1</v>
      </c>
      <c r="N10335">
        <v>1</v>
      </c>
      <c r="O10335">
        <v>1</v>
      </c>
      <c r="P10335">
        <v>1</v>
      </c>
      <c r="Q10335">
        <v>1</v>
      </c>
      <c r="R10335">
        <v>1</v>
      </c>
    </row>
    <row r="10336" spans="1:18" x14ac:dyDescent="0.2">
      <c r="A10336" t="str">
        <f>"10332"</f>
        <v>10332</v>
      </c>
      <c r="B10336" t="str">
        <f t="shared" si="573"/>
        <v>1</v>
      </c>
      <c r="C10336" t="str">
        <f t="shared" si="574"/>
        <v>207</v>
      </c>
      <c r="D10336" t="str">
        <f>"10"</f>
        <v>10</v>
      </c>
      <c r="E10336" t="str">
        <f>"1-207-10"</f>
        <v>1-207-10</v>
      </c>
      <c r="F10336" t="s">
        <v>65</v>
      </c>
      <c r="G10336" t="s">
        <v>66</v>
      </c>
      <c r="H10336" t="s">
        <v>68</v>
      </c>
      <c r="I10336">
        <v>1</v>
      </c>
      <c r="J10336">
        <v>0</v>
      </c>
      <c r="K10336">
        <v>1</v>
      </c>
      <c r="L10336">
        <v>0</v>
      </c>
      <c r="M10336">
        <v>1</v>
      </c>
      <c r="N10336">
        <v>1</v>
      </c>
      <c r="O10336">
        <v>1</v>
      </c>
      <c r="P10336">
        <v>1</v>
      </c>
      <c r="Q10336">
        <v>1</v>
      </c>
      <c r="R10336">
        <v>1</v>
      </c>
    </row>
    <row r="10337" spans="1:18" x14ac:dyDescent="0.2">
      <c r="A10337" t="str">
        <f>"10333"</f>
        <v>10333</v>
      </c>
      <c r="B10337" t="str">
        <f t="shared" si="573"/>
        <v>1</v>
      </c>
      <c r="C10337" t="str">
        <f t="shared" ref="C10337:C10354" si="575">"207"</f>
        <v>207</v>
      </c>
      <c r="D10337" t="str">
        <f>"50"</f>
        <v>50</v>
      </c>
      <c r="E10337" t="str">
        <f>"1-207-50"</f>
        <v>1-207-50</v>
      </c>
      <c r="F10337" t="s">
        <v>65</v>
      </c>
      <c r="G10337" t="s">
        <v>66</v>
      </c>
      <c r="H10337" t="s">
        <v>68</v>
      </c>
      <c r="I10337">
        <v>1</v>
      </c>
      <c r="J10337">
        <v>0</v>
      </c>
      <c r="K10337">
        <v>0</v>
      </c>
      <c r="L10337">
        <v>0</v>
      </c>
      <c r="M10337">
        <v>1</v>
      </c>
      <c r="N10337">
        <v>1</v>
      </c>
      <c r="O10337">
        <v>1</v>
      </c>
      <c r="P10337">
        <v>1</v>
      </c>
      <c r="Q10337">
        <v>1</v>
      </c>
      <c r="R10337">
        <v>1</v>
      </c>
    </row>
    <row r="10338" spans="1:18" x14ac:dyDescent="0.2">
      <c r="A10338" t="str">
        <f>"10334"</f>
        <v>10334</v>
      </c>
      <c r="B10338" t="str">
        <f t="shared" si="573"/>
        <v>1</v>
      </c>
      <c r="C10338" t="str">
        <f t="shared" si="575"/>
        <v>207</v>
      </c>
      <c r="D10338" t="str">
        <f>"25"</f>
        <v>25</v>
      </c>
      <c r="E10338" t="str">
        <f>"1-207-25"</f>
        <v>1-207-25</v>
      </c>
      <c r="F10338" t="s">
        <v>65</v>
      </c>
      <c r="G10338" t="s">
        <v>66</v>
      </c>
      <c r="H10338" t="s">
        <v>68</v>
      </c>
      <c r="I10338">
        <v>1</v>
      </c>
      <c r="J10338">
        <v>1</v>
      </c>
      <c r="K10338">
        <v>0</v>
      </c>
      <c r="L10338">
        <v>0</v>
      </c>
      <c r="M10338">
        <v>1</v>
      </c>
      <c r="N10338">
        <v>1</v>
      </c>
      <c r="O10338">
        <v>1</v>
      </c>
      <c r="P10338">
        <v>1</v>
      </c>
      <c r="Q10338">
        <v>1</v>
      </c>
      <c r="R10338">
        <v>1</v>
      </c>
    </row>
    <row r="10339" spans="1:18" x14ac:dyDescent="0.2">
      <c r="A10339" t="str">
        <f>"10335"</f>
        <v>10335</v>
      </c>
      <c r="B10339" t="str">
        <f t="shared" si="573"/>
        <v>1</v>
      </c>
      <c r="C10339" t="str">
        <f t="shared" si="575"/>
        <v>207</v>
      </c>
      <c r="D10339" t="str">
        <f>"11"</f>
        <v>11</v>
      </c>
      <c r="E10339" t="str">
        <f>"1-207-11"</f>
        <v>1-207-11</v>
      </c>
      <c r="F10339" t="s">
        <v>65</v>
      </c>
      <c r="G10339" t="s">
        <v>66</v>
      </c>
      <c r="H10339" t="s">
        <v>68</v>
      </c>
      <c r="I10339">
        <v>1</v>
      </c>
      <c r="J10339">
        <v>0</v>
      </c>
      <c r="K10339">
        <v>1</v>
      </c>
      <c r="L10339">
        <v>0</v>
      </c>
      <c r="M10339">
        <v>1</v>
      </c>
      <c r="N10339">
        <v>1</v>
      </c>
      <c r="O10339">
        <v>1</v>
      </c>
      <c r="P10339">
        <v>1</v>
      </c>
      <c r="Q10339">
        <v>1</v>
      </c>
      <c r="R10339">
        <v>1</v>
      </c>
    </row>
    <row r="10340" spans="1:18" x14ac:dyDescent="0.2">
      <c r="A10340" t="str">
        <f>"10336"</f>
        <v>10336</v>
      </c>
      <c r="B10340" t="str">
        <f t="shared" si="573"/>
        <v>1</v>
      </c>
      <c r="C10340" t="str">
        <f t="shared" si="575"/>
        <v>207</v>
      </c>
      <c r="D10340" t="str">
        <f>"45"</f>
        <v>45</v>
      </c>
      <c r="E10340" t="str">
        <f>"1-207-45"</f>
        <v>1-207-45</v>
      </c>
      <c r="F10340" t="s">
        <v>65</v>
      </c>
      <c r="G10340" t="s">
        <v>66</v>
      </c>
      <c r="H10340" t="s">
        <v>68</v>
      </c>
      <c r="I10340">
        <v>1</v>
      </c>
      <c r="J10340">
        <v>0</v>
      </c>
      <c r="K10340">
        <v>0</v>
      </c>
      <c r="L10340">
        <v>1</v>
      </c>
      <c r="M10340">
        <v>1</v>
      </c>
      <c r="N10340">
        <v>1</v>
      </c>
      <c r="O10340">
        <v>1</v>
      </c>
      <c r="P10340">
        <v>1</v>
      </c>
      <c r="Q10340">
        <v>1</v>
      </c>
      <c r="R10340">
        <v>1</v>
      </c>
    </row>
    <row r="10341" spans="1:18" x14ac:dyDescent="0.2">
      <c r="A10341" t="str">
        <f>"10337"</f>
        <v>10337</v>
      </c>
      <c r="B10341" t="str">
        <f t="shared" si="573"/>
        <v>1</v>
      </c>
      <c r="C10341" t="str">
        <f t="shared" si="575"/>
        <v>207</v>
      </c>
      <c r="D10341" t="str">
        <f>"27"</f>
        <v>27</v>
      </c>
      <c r="E10341" t="str">
        <f>"1-207-27"</f>
        <v>1-207-27</v>
      </c>
      <c r="F10341" t="s">
        <v>65</v>
      </c>
      <c r="G10341" t="s">
        <v>66</v>
      </c>
      <c r="H10341" t="s">
        <v>68</v>
      </c>
      <c r="I10341">
        <v>1</v>
      </c>
      <c r="J10341">
        <v>1</v>
      </c>
      <c r="K10341">
        <v>0</v>
      </c>
      <c r="L10341">
        <v>0</v>
      </c>
      <c r="M10341">
        <v>1</v>
      </c>
      <c r="N10341">
        <v>1</v>
      </c>
      <c r="O10341">
        <v>1</v>
      </c>
      <c r="P10341">
        <v>1</v>
      </c>
      <c r="Q10341">
        <v>1</v>
      </c>
      <c r="R10341">
        <v>1</v>
      </c>
    </row>
    <row r="10342" spans="1:18" x14ac:dyDescent="0.2">
      <c r="A10342" t="str">
        <f>"10338"</f>
        <v>10338</v>
      </c>
      <c r="B10342" t="str">
        <f t="shared" si="573"/>
        <v>1</v>
      </c>
      <c r="C10342" t="str">
        <f t="shared" si="575"/>
        <v>207</v>
      </c>
      <c r="D10342" t="str">
        <f>"4"</f>
        <v>4</v>
      </c>
      <c r="E10342" t="str">
        <f>"1-207-4"</f>
        <v>1-207-4</v>
      </c>
      <c r="F10342" t="s">
        <v>65</v>
      </c>
      <c r="G10342" t="s">
        <v>66</v>
      </c>
      <c r="H10342" t="s">
        <v>68</v>
      </c>
      <c r="I10342">
        <v>1</v>
      </c>
      <c r="J10342">
        <v>1</v>
      </c>
      <c r="K10342">
        <v>0</v>
      </c>
      <c r="L10342">
        <v>0</v>
      </c>
      <c r="M10342">
        <v>1</v>
      </c>
      <c r="N10342">
        <v>1</v>
      </c>
      <c r="O10342">
        <v>1</v>
      </c>
      <c r="P10342">
        <v>1</v>
      </c>
      <c r="Q10342">
        <v>1</v>
      </c>
      <c r="R10342">
        <v>1</v>
      </c>
    </row>
    <row r="10343" spans="1:18" x14ac:dyDescent="0.2">
      <c r="A10343" t="str">
        <f>"10339"</f>
        <v>10339</v>
      </c>
      <c r="B10343" t="str">
        <f t="shared" si="573"/>
        <v>1</v>
      </c>
      <c r="C10343" t="str">
        <f t="shared" si="575"/>
        <v>207</v>
      </c>
      <c r="D10343" t="str">
        <f>"46"</f>
        <v>46</v>
      </c>
      <c r="E10343" t="str">
        <f>"1-207-46"</f>
        <v>1-207-46</v>
      </c>
      <c r="F10343" t="s">
        <v>65</v>
      </c>
      <c r="G10343" t="s">
        <v>66</v>
      </c>
      <c r="H10343" t="s">
        <v>68</v>
      </c>
      <c r="I10343">
        <v>1</v>
      </c>
      <c r="J10343">
        <v>0</v>
      </c>
      <c r="K10343">
        <v>0</v>
      </c>
      <c r="L10343">
        <v>1</v>
      </c>
      <c r="M10343">
        <v>1</v>
      </c>
      <c r="N10343">
        <v>1</v>
      </c>
      <c r="O10343">
        <v>1</v>
      </c>
      <c r="P10343">
        <v>1</v>
      </c>
      <c r="Q10343">
        <v>1</v>
      </c>
      <c r="R10343">
        <v>1</v>
      </c>
    </row>
    <row r="10344" spans="1:18" x14ac:dyDescent="0.2">
      <c r="A10344" t="str">
        <f>"10340"</f>
        <v>10340</v>
      </c>
      <c r="B10344" t="str">
        <f t="shared" si="573"/>
        <v>1</v>
      </c>
      <c r="C10344" t="str">
        <f t="shared" si="575"/>
        <v>207</v>
      </c>
      <c r="D10344" t="str">
        <f>"29"</f>
        <v>29</v>
      </c>
      <c r="E10344" t="str">
        <f>"1-207-29"</f>
        <v>1-207-29</v>
      </c>
      <c r="F10344" t="s">
        <v>65</v>
      </c>
      <c r="G10344" t="s">
        <v>66</v>
      </c>
      <c r="H10344" t="s">
        <v>68</v>
      </c>
      <c r="I10344">
        <v>1</v>
      </c>
      <c r="J10344">
        <v>0</v>
      </c>
      <c r="K10344">
        <v>0</v>
      </c>
      <c r="L10344">
        <v>1</v>
      </c>
      <c r="M10344">
        <v>1</v>
      </c>
      <c r="N10344">
        <v>1</v>
      </c>
      <c r="O10344">
        <v>1</v>
      </c>
      <c r="P10344">
        <v>1</v>
      </c>
      <c r="Q10344">
        <v>0</v>
      </c>
      <c r="R10344">
        <v>1</v>
      </c>
    </row>
    <row r="10345" spans="1:18" x14ac:dyDescent="0.2">
      <c r="A10345" t="str">
        <f>"10341"</f>
        <v>10341</v>
      </c>
      <c r="B10345" t="str">
        <f t="shared" si="573"/>
        <v>1</v>
      </c>
      <c r="C10345" t="str">
        <f t="shared" si="575"/>
        <v>207</v>
      </c>
      <c r="D10345" t="str">
        <f>"6"</f>
        <v>6</v>
      </c>
      <c r="E10345" t="str">
        <f>"1-207-6"</f>
        <v>1-207-6</v>
      </c>
      <c r="F10345" t="s">
        <v>65</v>
      </c>
      <c r="G10345" t="s">
        <v>66</v>
      </c>
      <c r="H10345" t="s">
        <v>68</v>
      </c>
      <c r="I10345">
        <v>1</v>
      </c>
      <c r="J10345">
        <v>0</v>
      </c>
      <c r="K10345">
        <v>0</v>
      </c>
      <c r="L10345">
        <v>1</v>
      </c>
      <c r="M10345">
        <v>1</v>
      </c>
      <c r="N10345">
        <v>1</v>
      </c>
      <c r="O10345">
        <v>1</v>
      </c>
      <c r="P10345">
        <v>1</v>
      </c>
      <c r="Q10345">
        <v>1</v>
      </c>
      <c r="R10345">
        <v>1</v>
      </c>
    </row>
    <row r="10346" spans="1:18" x14ac:dyDescent="0.2">
      <c r="A10346" t="str">
        <f>"10342"</f>
        <v>10342</v>
      </c>
      <c r="B10346" t="str">
        <f t="shared" si="573"/>
        <v>1</v>
      </c>
      <c r="C10346" t="str">
        <f t="shared" si="575"/>
        <v>207</v>
      </c>
      <c r="D10346" t="str">
        <f>"48"</f>
        <v>48</v>
      </c>
      <c r="E10346" t="str">
        <f>"1-207-48"</f>
        <v>1-207-48</v>
      </c>
      <c r="F10346" t="s">
        <v>65</v>
      </c>
      <c r="G10346" t="s">
        <v>66</v>
      </c>
      <c r="H10346" t="s">
        <v>68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1</v>
      </c>
      <c r="R10346">
        <v>0</v>
      </c>
    </row>
    <row r="10347" spans="1:18" x14ac:dyDescent="0.2">
      <c r="A10347" t="str">
        <f>"10343"</f>
        <v>10343</v>
      </c>
      <c r="B10347" t="str">
        <f t="shared" si="573"/>
        <v>1</v>
      </c>
      <c r="C10347" t="str">
        <f t="shared" si="575"/>
        <v>207</v>
      </c>
      <c r="D10347" t="str">
        <f>"30"</f>
        <v>30</v>
      </c>
      <c r="E10347" t="str">
        <f>"1-207-30"</f>
        <v>1-207-30</v>
      </c>
      <c r="F10347" t="s">
        <v>65</v>
      </c>
      <c r="G10347" t="s">
        <v>66</v>
      </c>
      <c r="H10347" t="s">
        <v>68</v>
      </c>
      <c r="I10347">
        <v>1</v>
      </c>
      <c r="J10347">
        <v>0</v>
      </c>
      <c r="K10347">
        <v>1</v>
      </c>
      <c r="L10347">
        <v>0</v>
      </c>
      <c r="M10347">
        <v>1</v>
      </c>
      <c r="N10347">
        <v>1</v>
      </c>
      <c r="O10347">
        <v>1</v>
      </c>
      <c r="P10347">
        <v>1</v>
      </c>
      <c r="Q10347">
        <v>1</v>
      </c>
      <c r="R10347">
        <v>1</v>
      </c>
    </row>
    <row r="10348" spans="1:18" x14ac:dyDescent="0.2">
      <c r="A10348" t="str">
        <f>"10344"</f>
        <v>10344</v>
      </c>
      <c r="B10348" t="str">
        <f t="shared" si="573"/>
        <v>1</v>
      </c>
      <c r="C10348" t="str">
        <f t="shared" si="575"/>
        <v>207</v>
      </c>
      <c r="D10348" t="str">
        <f>"5"</f>
        <v>5</v>
      </c>
      <c r="E10348" t="str">
        <f>"1-207-5"</f>
        <v>1-207-5</v>
      </c>
      <c r="F10348" t="s">
        <v>65</v>
      </c>
      <c r="G10348" t="s">
        <v>66</v>
      </c>
      <c r="H10348" t="s">
        <v>68</v>
      </c>
      <c r="I10348">
        <v>1</v>
      </c>
      <c r="J10348">
        <v>0</v>
      </c>
      <c r="K10348">
        <v>0</v>
      </c>
      <c r="L10348">
        <v>1</v>
      </c>
      <c r="M10348">
        <v>1</v>
      </c>
      <c r="N10348">
        <v>1</v>
      </c>
      <c r="O10348">
        <v>1</v>
      </c>
      <c r="P10348">
        <v>1</v>
      </c>
      <c r="Q10348">
        <v>1</v>
      </c>
      <c r="R10348">
        <v>1</v>
      </c>
    </row>
    <row r="10349" spans="1:18" x14ac:dyDescent="0.2">
      <c r="A10349" t="str">
        <f>"10345"</f>
        <v>10345</v>
      </c>
      <c r="B10349" t="str">
        <f t="shared" si="573"/>
        <v>1</v>
      </c>
      <c r="C10349" t="str">
        <f t="shared" si="575"/>
        <v>207</v>
      </c>
      <c r="D10349" t="str">
        <f>"49"</f>
        <v>49</v>
      </c>
      <c r="E10349" t="str">
        <f>"1-207-49"</f>
        <v>1-207-49</v>
      </c>
      <c r="F10349" t="s">
        <v>65</v>
      </c>
      <c r="G10349" t="s">
        <v>66</v>
      </c>
      <c r="H10349" t="s">
        <v>68</v>
      </c>
      <c r="I10349">
        <v>0</v>
      </c>
      <c r="J10349">
        <v>0</v>
      </c>
      <c r="K10349">
        <v>0</v>
      </c>
      <c r="L10349">
        <v>1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</row>
    <row r="10350" spans="1:18" x14ac:dyDescent="0.2">
      <c r="A10350" t="str">
        <f>"10346"</f>
        <v>10346</v>
      </c>
      <c r="B10350" t="str">
        <f t="shared" si="573"/>
        <v>1</v>
      </c>
      <c r="C10350" t="str">
        <f t="shared" si="575"/>
        <v>207</v>
      </c>
      <c r="D10350" t="str">
        <f>"31"</f>
        <v>31</v>
      </c>
      <c r="E10350" t="str">
        <f>"1-207-31"</f>
        <v>1-207-31</v>
      </c>
      <c r="F10350" t="s">
        <v>65</v>
      </c>
      <c r="G10350" t="s">
        <v>66</v>
      </c>
      <c r="H10350" t="s">
        <v>68</v>
      </c>
      <c r="I10350">
        <v>1</v>
      </c>
      <c r="J10350">
        <v>1</v>
      </c>
      <c r="K10350">
        <v>0</v>
      </c>
      <c r="L10350">
        <v>0</v>
      </c>
      <c r="M10350">
        <v>1</v>
      </c>
      <c r="N10350">
        <v>1</v>
      </c>
      <c r="O10350">
        <v>1</v>
      </c>
      <c r="P10350">
        <v>1</v>
      </c>
      <c r="Q10350">
        <v>1</v>
      </c>
      <c r="R10350">
        <v>1</v>
      </c>
    </row>
    <row r="10351" spans="1:18" x14ac:dyDescent="0.2">
      <c r="A10351" t="str">
        <f>"10347"</f>
        <v>10347</v>
      </c>
      <c r="B10351" t="str">
        <f t="shared" si="573"/>
        <v>1</v>
      </c>
      <c r="C10351" t="str">
        <f t="shared" si="575"/>
        <v>207</v>
      </c>
      <c r="D10351" t="str">
        <f>"12"</f>
        <v>12</v>
      </c>
      <c r="E10351" t="str">
        <f>"1-207-12"</f>
        <v>1-207-12</v>
      </c>
      <c r="F10351" t="s">
        <v>65</v>
      </c>
      <c r="G10351" t="s">
        <v>66</v>
      </c>
      <c r="H10351" t="s">
        <v>68</v>
      </c>
      <c r="I10351">
        <v>1</v>
      </c>
      <c r="J10351">
        <v>0</v>
      </c>
      <c r="K10351">
        <v>0</v>
      </c>
      <c r="L10351">
        <v>1</v>
      </c>
      <c r="M10351">
        <v>1</v>
      </c>
      <c r="N10351">
        <v>1</v>
      </c>
      <c r="O10351">
        <v>1</v>
      </c>
      <c r="P10351">
        <v>1</v>
      </c>
      <c r="Q10351">
        <v>1</v>
      </c>
      <c r="R10351">
        <v>1</v>
      </c>
    </row>
    <row r="10352" spans="1:18" x14ac:dyDescent="0.2">
      <c r="A10352" t="str">
        <f>"10348"</f>
        <v>10348</v>
      </c>
      <c r="B10352" t="str">
        <f t="shared" si="573"/>
        <v>1</v>
      </c>
      <c r="C10352" t="str">
        <f t="shared" si="575"/>
        <v>207</v>
      </c>
      <c r="D10352" t="str">
        <f>"47"</f>
        <v>47</v>
      </c>
      <c r="E10352" t="str">
        <f>"1-207-47"</f>
        <v>1-207-47</v>
      </c>
      <c r="F10352" t="s">
        <v>65</v>
      </c>
      <c r="G10352" t="s">
        <v>66</v>
      </c>
      <c r="H10352" t="s">
        <v>68</v>
      </c>
      <c r="I10352">
        <v>1</v>
      </c>
      <c r="J10352">
        <v>1</v>
      </c>
      <c r="K10352">
        <v>0</v>
      </c>
      <c r="L10352">
        <v>0</v>
      </c>
      <c r="M10352">
        <v>1</v>
      </c>
      <c r="N10352">
        <v>1</v>
      </c>
      <c r="O10352">
        <v>1</v>
      </c>
      <c r="P10352">
        <v>1</v>
      </c>
      <c r="Q10352">
        <v>1</v>
      </c>
      <c r="R10352">
        <v>1</v>
      </c>
    </row>
    <row r="10353" spans="1:18" x14ac:dyDescent="0.2">
      <c r="A10353" t="str">
        <f>"10349"</f>
        <v>10349</v>
      </c>
      <c r="B10353" t="str">
        <f t="shared" si="573"/>
        <v>1</v>
      </c>
      <c r="C10353" t="str">
        <f t="shared" si="575"/>
        <v>207</v>
      </c>
      <c r="D10353" t="str">
        <f>"32"</f>
        <v>32</v>
      </c>
      <c r="E10353" t="str">
        <f>"1-207-32"</f>
        <v>1-207-32</v>
      </c>
      <c r="F10353" t="s">
        <v>65</v>
      </c>
      <c r="G10353" t="s">
        <v>66</v>
      </c>
      <c r="H10353" t="s">
        <v>68</v>
      </c>
      <c r="I10353">
        <v>0</v>
      </c>
      <c r="J10353">
        <v>1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</row>
    <row r="10354" spans="1:18" x14ac:dyDescent="0.2">
      <c r="A10354" t="str">
        <f>"10350"</f>
        <v>10350</v>
      </c>
      <c r="B10354" t="str">
        <f t="shared" si="573"/>
        <v>1</v>
      </c>
      <c r="C10354" t="str">
        <f t="shared" si="575"/>
        <v>207</v>
      </c>
      <c r="D10354" t="str">
        <f>"13"</f>
        <v>13</v>
      </c>
      <c r="E10354" t="str">
        <f>"1-207-13"</f>
        <v>1-207-13</v>
      </c>
      <c r="F10354" t="s">
        <v>65</v>
      </c>
      <c r="G10354" t="s">
        <v>66</v>
      </c>
      <c r="H10354" t="s">
        <v>68</v>
      </c>
      <c r="I10354">
        <v>1</v>
      </c>
      <c r="J10354">
        <v>0</v>
      </c>
      <c r="K10354">
        <v>0</v>
      </c>
      <c r="L10354">
        <v>1</v>
      </c>
      <c r="M10354">
        <v>1</v>
      </c>
      <c r="N10354">
        <v>1</v>
      </c>
      <c r="O10354">
        <v>1</v>
      </c>
      <c r="P10354">
        <v>1</v>
      </c>
      <c r="Q10354">
        <v>1</v>
      </c>
      <c r="R10354">
        <v>1</v>
      </c>
    </row>
    <row r="10355" spans="1:18" x14ac:dyDescent="0.2">
      <c r="A10355" t="str">
        <f>"10351"</f>
        <v>10351</v>
      </c>
      <c r="B10355" t="str">
        <f t="shared" si="573"/>
        <v>1</v>
      </c>
      <c r="C10355" t="str">
        <f t="shared" ref="C10355:C10386" si="576">"208"</f>
        <v>208</v>
      </c>
      <c r="D10355" t="str">
        <f>"34"</f>
        <v>34</v>
      </c>
      <c r="E10355" t="str">
        <f>"1-208-34"</f>
        <v>1-208-34</v>
      </c>
      <c r="F10355" t="s">
        <v>65</v>
      </c>
      <c r="G10355" t="s">
        <v>66</v>
      </c>
      <c r="H10355" t="s">
        <v>68</v>
      </c>
      <c r="I10355">
        <v>1</v>
      </c>
      <c r="J10355">
        <v>0</v>
      </c>
      <c r="K10355">
        <v>0</v>
      </c>
      <c r="L10355">
        <v>1</v>
      </c>
      <c r="M10355">
        <v>1</v>
      </c>
      <c r="N10355">
        <v>1</v>
      </c>
      <c r="O10355">
        <v>1</v>
      </c>
      <c r="P10355">
        <v>1</v>
      </c>
      <c r="Q10355">
        <v>1</v>
      </c>
      <c r="R10355">
        <v>1</v>
      </c>
    </row>
    <row r="10356" spans="1:18" x14ac:dyDescent="0.2">
      <c r="A10356" t="str">
        <f>"10352"</f>
        <v>10352</v>
      </c>
      <c r="B10356" t="str">
        <f t="shared" si="573"/>
        <v>1</v>
      </c>
      <c r="C10356" t="str">
        <f t="shared" si="576"/>
        <v>208</v>
      </c>
      <c r="D10356" t="str">
        <f>"33"</f>
        <v>33</v>
      </c>
      <c r="E10356" t="str">
        <f>"1-208-33"</f>
        <v>1-208-33</v>
      </c>
      <c r="F10356" t="s">
        <v>65</v>
      </c>
      <c r="G10356" t="s">
        <v>66</v>
      </c>
      <c r="H10356" t="s">
        <v>68</v>
      </c>
      <c r="I10356">
        <v>1</v>
      </c>
      <c r="J10356">
        <v>0</v>
      </c>
      <c r="K10356">
        <v>0</v>
      </c>
      <c r="L10356">
        <v>1</v>
      </c>
      <c r="M10356">
        <v>1</v>
      </c>
      <c r="N10356">
        <v>1</v>
      </c>
      <c r="O10356">
        <v>1</v>
      </c>
      <c r="P10356">
        <v>1</v>
      </c>
      <c r="Q10356">
        <v>1</v>
      </c>
      <c r="R10356">
        <v>1</v>
      </c>
    </row>
    <row r="10357" spans="1:18" x14ac:dyDescent="0.2">
      <c r="A10357" t="str">
        <f>"10353"</f>
        <v>10353</v>
      </c>
      <c r="B10357" t="str">
        <f t="shared" si="573"/>
        <v>1</v>
      </c>
      <c r="C10357" t="str">
        <f t="shared" si="576"/>
        <v>208</v>
      </c>
      <c r="D10357" t="str">
        <f>"21"</f>
        <v>21</v>
      </c>
      <c r="E10357" t="str">
        <f>"1-208-21"</f>
        <v>1-208-21</v>
      </c>
      <c r="F10357" t="s">
        <v>65</v>
      </c>
      <c r="G10357" t="s">
        <v>66</v>
      </c>
      <c r="H10357" t="s">
        <v>68</v>
      </c>
      <c r="I10357">
        <v>1</v>
      </c>
      <c r="J10357">
        <v>1</v>
      </c>
      <c r="K10357">
        <v>0</v>
      </c>
      <c r="L10357">
        <v>0</v>
      </c>
      <c r="M10357">
        <v>1</v>
      </c>
      <c r="N10357">
        <v>1</v>
      </c>
      <c r="O10357">
        <v>1</v>
      </c>
      <c r="P10357">
        <v>1</v>
      </c>
      <c r="Q10357">
        <v>1</v>
      </c>
      <c r="R10357">
        <v>1</v>
      </c>
    </row>
    <row r="10358" spans="1:18" x14ac:dyDescent="0.2">
      <c r="A10358" t="str">
        <f>"10354"</f>
        <v>10354</v>
      </c>
      <c r="B10358" t="str">
        <f t="shared" si="573"/>
        <v>1</v>
      </c>
      <c r="C10358" t="str">
        <f t="shared" si="576"/>
        <v>208</v>
      </c>
      <c r="D10358" t="str">
        <f>"15"</f>
        <v>15</v>
      </c>
      <c r="E10358" t="str">
        <f>"1-208-15"</f>
        <v>1-208-15</v>
      </c>
      <c r="F10358" t="s">
        <v>65</v>
      </c>
      <c r="G10358" t="s">
        <v>66</v>
      </c>
      <c r="H10358" t="s">
        <v>68</v>
      </c>
      <c r="I10358">
        <v>1</v>
      </c>
      <c r="J10358">
        <v>0</v>
      </c>
      <c r="K10358">
        <v>0</v>
      </c>
      <c r="L10358">
        <v>1</v>
      </c>
      <c r="M10358">
        <v>1</v>
      </c>
      <c r="N10358">
        <v>1</v>
      </c>
      <c r="O10358">
        <v>1</v>
      </c>
      <c r="P10358">
        <v>1</v>
      </c>
      <c r="Q10358">
        <v>1</v>
      </c>
      <c r="R10358">
        <v>1</v>
      </c>
    </row>
    <row r="10359" spans="1:18" x14ac:dyDescent="0.2">
      <c r="A10359" t="str">
        <f>"10355"</f>
        <v>10355</v>
      </c>
      <c r="B10359" t="str">
        <f t="shared" ref="B10359:B10422" si="577">"1"</f>
        <v>1</v>
      </c>
      <c r="C10359" t="str">
        <f t="shared" si="576"/>
        <v>208</v>
      </c>
      <c r="D10359" t="str">
        <f>"4"</f>
        <v>4</v>
      </c>
      <c r="E10359" t="str">
        <f>"1-208-4"</f>
        <v>1-208-4</v>
      </c>
      <c r="F10359" t="s">
        <v>65</v>
      </c>
      <c r="G10359" t="s">
        <v>66</v>
      </c>
      <c r="H10359" t="s">
        <v>68</v>
      </c>
      <c r="I10359">
        <v>1</v>
      </c>
      <c r="J10359">
        <v>1</v>
      </c>
      <c r="K10359">
        <v>0</v>
      </c>
      <c r="L10359">
        <v>0</v>
      </c>
      <c r="M10359">
        <v>1</v>
      </c>
      <c r="N10359">
        <v>1</v>
      </c>
      <c r="O10359">
        <v>1</v>
      </c>
      <c r="P10359">
        <v>1</v>
      </c>
      <c r="Q10359">
        <v>1</v>
      </c>
      <c r="R10359">
        <v>1</v>
      </c>
    </row>
    <row r="10360" spans="1:18" x14ac:dyDescent="0.2">
      <c r="A10360" t="str">
        <f>"10356"</f>
        <v>10356</v>
      </c>
      <c r="B10360" t="str">
        <f t="shared" si="577"/>
        <v>1</v>
      </c>
      <c r="C10360" t="str">
        <f t="shared" si="576"/>
        <v>208</v>
      </c>
      <c r="D10360" t="str">
        <f>"38"</f>
        <v>38</v>
      </c>
      <c r="E10360" t="str">
        <f>"1-208-38"</f>
        <v>1-208-38</v>
      </c>
      <c r="F10360" t="s">
        <v>65</v>
      </c>
      <c r="G10360" t="s">
        <v>66</v>
      </c>
      <c r="H10360" t="s">
        <v>68</v>
      </c>
      <c r="I10360">
        <v>1</v>
      </c>
      <c r="J10360">
        <v>0</v>
      </c>
      <c r="K10360">
        <v>0</v>
      </c>
      <c r="L10360">
        <v>1</v>
      </c>
      <c r="M10360">
        <v>1</v>
      </c>
      <c r="N10360">
        <v>1</v>
      </c>
      <c r="O10360">
        <v>1</v>
      </c>
      <c r="P10360">
        <v>1</v>
      </c>
      <c r="Q10360">
        <v>0</v>
      </c>
      <c r="R10360">
        <v>1</v>
      </c>
    </row>
    <row r="10361" spans="1:18" x14ac:dyDescent="0.2">
      <c r="A10361" t="str">
        <f>"10357"</f>
        <v>10357</v>
      </c>
      <c r="B10361" t="str">
        <f t="shared" si="577"/>
        <v>1</v>
      </c>
      <c r="C10361" t="str">
        <f t="shared" si="576"/>
        <v>208</v>
      </c>
      <c r="D10361" t="str">
        <f>"37"</f>
        <v>37</v>
      </c>
      <c r="E10361" t="str">
        <f>"1-208-37"</f>
        <v>1-208-37</v>
      </c>
      <c r="F10361" t="s">
        <v>65</v>
      </c>
      <c r="G10361" t="s">
        <v>66</v>
      </c>
      <c r="H10361" t="s">
        <v>68</v>
      </c>
      <c r="I10361">
        <v>1</v>
      </c>
      <c r="J10361">
        <v>1</v>
      </c>
      <c r="K10361">
        <v>0</v>
      </c>
      <c r="L10361">
        <v>0</v>
      </c>
      <c r="M10361">
        <v>1</v>
      </c>
      <c r="N10361">
        <v>1</v>
      </c>
      <c r="O10361">
        <v>1</v>
      </c>
      <c r="P10361">
        <v>1</v>
      </c>
      <c r="Q10361">
        <v>1</v>
      </c>
      <c r="R10361">
        <v>1</v>
      </c>
    </row>
    <row r="10362" spans="1:18" x14ac:dyDescent="0.2">
      <c r="A10362" t="str">
        <f>"10358"</f>
        <v>10358</v>
      </c>
      <c r="B10362" t="str">
        <f t="shared" si="577"/>
        <v>1</v>
      </c>
      <c r="C10362" t="str">
        <f t="shared" si="576"/>
        <v>208</v>
      </c>
      <c r="D10362" t="str">
        <f>"26"</f>
        <v>26</v>
      </c>
      <c r="E10362" t="str">
        <f>"1-208-26"</f>
        <v>1-208-26</v>
      </c>
      <c r="F10362" t="s">
        <v>65</v>
      </c>
      <c r="G10362" t="s">
        <v>66</v>
      </c>
      <c r="H10362" t="s">
        <v>68</v>
      </c>
      <c r="I10362">
        <v>1</v>
      </c>
      <c r="J10362">
        <v>0</v>
      </c>
      <c r="K10362">
        <v>0</v>
      </c>
      <c r="L10362">
        <v>1</v>
      </c>
      <c r="M10362">
        <v>1</v>
      </c>
      <c r="N10362">
        <v>1</v>
      </c>
      <c r="O10362">
        <v>1</v>
      </c>
      <c r="P10362">
        <v>1</v>
      </c>
      <c r="Q10362">
        <v>1</v>
      </c>
      <c r="R10362">
        <v>1</v>
      </c>
    </row>
    <row r="10363" spans="1:18" x14ac:dyDescent="0.2">
      <c r="A10363" t="str">
        <f>"10359"</f>
        <v>10359</v>
      </c>
      <c r="B10363" t="str">
        <f t="shared" si="577"/>
        <v>1</v>
      </c>
      <c r="C10363" t="str">
        <f t="shared" si="576"/>
        <v>208</v>
      </c>
      <c r="D10363" t="str">
        <f>"16"</f>
        <v>16</v>
      </c>
      <c r="E10363" t="str">
        <f>"1-208-16"</f>
        <v>1-208-16</v>
      </c>
      <c r="F10363" t="s">
        <v>65</v>
      </c>
      <c r="G10363" t="s">
        <v>66</v>
      </c>
      <c r="H10363" t="s">
        <v>68</v>
      </c>
      <c r="I10363">
        <v>1</v>
      </c>
      <c r="J10363">
        <v>0</v>
      </c>
      <c r="K10363">
        <v>0</v>
      </c>
      <c r="L10363">
        <v>1</v>
      </c>
      <c r="M10363">
        <v>1</v>
      </c>
      <c r="N10363">
        <v>1</v>
      </c>
      <c r="O10363">
        <v>1</v>
      </c>
      <c r="P10363">
        <v>1</v>
      </c>
      <c r="Q10363">
        <v>1</v>
      </c>
      <c r="R10363">
        <v>1</v>
      </c>
    </row>
    <row r="10364" spans="1:18" x14ac:dyDescent="0.2">
      <c r="A10364" t="str">
        <f>"10360"</f>
        <v>10360</v>
      </c>
      <c r="B10364" t="str">
        <f t="shared" si="577"/>
        <v>1</v>
      </c>
      <c r="C10364" t="str">
        <f t="shared" si="576"/>
        <v>208</v>
      </c>
      <c r="D10364" t="str">
        <f>"3"</f>
        <v>3</v>
      </c>
      <c r="E10364" t="str">
        <f>"1-208-3"</f>
        <v>1-208-3</v>
      </c>
      <c r="F10364" t="s">
        <v>65</v>
      </c>
      <c r="G10364" t="s">
        <v>66</v>
      </c>
      <c r="H10364" t="s">
        <v>68</v>
      </c>
      <c r="I10364">
        <v>1</v>
      </c>
      <c r="J10364">
        <v>0</v>
      </c>
      <c r="K10364">
        <v>0</v>
      </c>
      <c r="L10364">
        <v>1</v>
      </c>
      <c r="M10364">
        <v>1</v>
      </c>
      <c r="N10364">
        <v>1</v>
      </c>
      <c r="O10364">
        <v>1</v>
      </c>
      <c r="P10364">
        <v>1</v>
      </c>
      <c r="Q10364">
        <v>1</v>
      </c>
      <c r="R10364">
        <v>1</v>
      </c>
    </row>
    <row r="10365" spans="1:18" x14ac:dyDescent="0.2">
      <c r="A10365" t="str">
        <f>"10361"</f>
        <v>10361</v>
      </c>
      <c r="B10365" t="str">
        <f t="shared" si="577"/>
        <v>1</v>
      </c>
      <c r="C10365" t="str">
        <f t="shared" si="576"/>
        <v>208</v>
      </c>
      <c r="D10365" t="str">
        <f>"40"</f>
        <v>40</v>
      </c>
      <c r="E10365" t="str">
        <f>"1-208-40"</f>
        <v>1-208-40</v>
      </c>
      <c r="F10365" t="s">
        <v>65</v>
      </c>
      <c r="G10365" t="s">
        <v>66</v>
      </c>
      <c r="H10365" t="s">
        <v>68</v>
      </c>
      <c r="I10365">
        <v>1</v>
      </c>
      <c r="J10365">
        <v>0</v>
      </c>
      <c r="K10365">
        <v>0</v>
      </c>
      <c r="L10365">
        <v>1</v>
      </c>
      <c r="M10365">
        <v>1</v>
      </c>
      <c r="N10365">
        <v>1</v>
      </c>
      <c r="O10365">
        <v>1</v>
      </c>
      <c r="P10365">
        <v>1</v>
      </c>
      <c r="Q10365">
        <v>1</v>
      </c>
      <c r="R10365">
        <v>1</v>
      </c>
    </row>
    <row r="10366" spans="1:18" x14ac:dyDescent="0.2">
      <c r="A10366" t="str">
        <f>"10362"</f>
        <v>10362</v>
      </c>
      <c r="B10366" t="str">
        <f t="shared" si="577"/>
        <v>1</v>
      </c>
      <c r="C10366" t="str">
        <f t="shared" si="576"/>
        <v>208</v>
      </c>
      <c r="D10366" t="str">
        <f>"39"</f>
        <v>39</v>
      </c>
      <c r="E10366" t="str">
        <f>"1-208-39"</f>
        <v>1-208-39</v>
      </c>
      <c r="F10366" t="s">
        <v>65</v>
      </c>
      <c r="G10366" t="s">
        <v>66</v>
      </c>
      <c r="H10366" t="s">
        <v>68</v>
      </c>
      <c r="I10366">
        <v>1</v>
      </c>
      <c r="J10366">
        <v>0</v>
      </c>
      <c r="K10366">
        <v>0</v>
      </c>
      <c r="L10366">
        <v>1</v>
      </c>
      <c r="M10366">
        <v>1</v>
      </c>
      <c r="N10366">
        <v>1</v>
      </c>
      <c r="O10366">
        <v>1</v>
      </c>
      <c r="P10366">
        <v>1</v>
      </c>
      <c r="Q10366">
        <v>1</v>
      </c>
      <c r="R10366">
        <v>1</v>
      </c>
    </row>
    <row r="10367" spans="1:18" x14ac:dyDescent="0.2">
      <c r="A10367" t="str">
        <f>"10363"</f>
        <v>10363</v>
      </c>
      <c r="B10367" t="str">
        <f t="shared" si="577"/>
        <v>1</v>
      </c>
      <c r="C10367" t="str">
        <f t="shared" si="576"/>
        <v>208</v>
      </c>
      <c r="D10367" t="str">
        <f>"28"</f>
        <v>28</v>
      </c>
      <c r="E10367" t="str">
        <f>"1-208-28"</f>
        <v>1-208-28</v>
      </c>
      <c r="F10367" t="s">
        <v>65</v>
      </c>
      <c r="G10367" t="s">
        <v>66</v>
      </c>
      <c r="H10367" t="s">
        <v>68</v>
      </c>
      <c r="I10367">
        <v>1</v>
      </c>
      <c r="J10367">
        <v>0</v>
      </c>
      <c r="K10367">
        <v>0</v>
      </c>
      <c r="L10367">
        <v>1</v>
      </c>
      <c r="M10367">
        <v>1</v>
      </c>
      <c r="N10367">
        <v>1</v>
      </c>
      <c r="O10367">
        <v>1</v>
      </c>
      <c r="P10367">
        <v>1</v>
      </c>
      <c r="Q10367">
        <v>1</v>
      </c>
      <c r="R10367">
        <v>1</v>
      </c>
    </row>
    <row r="10368" spans="1:18" x14ac:dyDescent="0.2">
      <c r="A10368" t="str">
        <f>"10364"</f>
        <v>10364</v>
      </c>
      <c r="B10368" t="str">
        <f t="shared" si="577"/>
        <v>1</v>
      </c>
      <c r="C10368" t="str">
        <f t="shared" si="576"/>
        <v>208</v>
      </c>
      <c r="D10368" t="str">
        <f>"17"</f>
        <v>17</v>
      </c>
      <c r="E10368" t="str">
        <f>"1-208-17"</f>
        <v>1-208-17</v>
      </c>
      <c r="F10368" t="s">
        <v>65</v>
      </c>
      <c r="G10368" t="s">
        <v>66</v>
      </c>
      <c r="H10368" t="s">
        <v>68</v>
      </c>
      <c r="I10368">
        <v>0</v>
      </c>
      <c r="J10368">
        <v>1</v>
      </c>
      <c r="K10368">
        <v>0</v>
      </c>
      <c r="L10368">
        <v>0</v>
      </c>
      <c r="M10368">
        <v>1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 x14ac:dyDescent="0.2">
      <c r="A10369" t="str">
        <f>"10365"</f>
        <v>10365</v>
      </c>
      <c r="B10369" t="str">
        <f t="shared" si="577"/>
        <v>1</v>
      </c>
      <c r="C10369" t="str">
        <f t="shared" si="576"/>
        <v>208</v>
      </c>
      <c r="D10369" t="str">
        <f>"14"</f>
        <v>14</v>
      </c>
      <c r="E10369" t="str">
        <f>"1-208-14"</f>
        <v>1-208-14</v>
      </c>
      <c r="F10369" t="s">
        <v>65</v>
      </c>
      <c r="G10369" t="s">
        <v>66</v>
      </c>
      <c r="H10369" t="s">
        <v>68</v>
      </c>
      <c r="I10369">
        <v>1</v>
      </c>
      <c r="J10369">
        <v>0</v>
      </c>
      <c r="K10369">
        <v>0</v>
      </c>
      <c r="L10369">
        <v>1</v>
      </c>
      <c r="M10369">
        <v>1</v>
      </c>
      <c r="N10369">
        <v>1</v>
      </c>
      <c r="O10369">
        <v>1</v>
      </c>
      <c r="P10369">
        <v>1</v>
      </c>
      <c r="Q10369">
        <v>1</v>
      </c>
      <c r="R10369">
        <v>1</v>
      </c>
    </row>
    <row r="10370" spans="1:18" x14ac:dyDescent="0.2">
      <c r="A10370" t="str">
        <f>"10366"</f>
        <v>10366</v>
      </c>
      <c r="B10370" t="str">
        <f t="shared" si="577"/>
        <v>1</v>
      </c>
      <c r="C10370" t="str">
        <f t="shared" si="576"/>
        <v>208</v>
      </c>
      <c r="D10370" t="str">
        <f>"36"</f>
        <v>36</v>
      </c>
      <c r="E10370" t="str">
        <f>"1-208-36"</f>
        <v>1-208-36</v>
      </c>
      <c r="F10370" t="s">
        <v>65</v>
      </c>
      <c r="G10370" t="s">
        <v>66</v>
      </c>
      <c r="H10370" t="s">
        <v>68</v>
      </c>
      <c r="I10370">
        <v>1</v>
      </c>
      <c r="J10370">
        <v>0</v>
      </c>
      <c r="K10370">
        <v>1</v>
      </c>
      <c r="L10370">
        <v>0</v>
      </c>
      <c r="M10370">
        <v>1</v>
      </c>
      <c r="N10370">
        <v>1</v>
      </c>
      <c r="O10370">
        <v>1</v>
      </c>
      <c r="P10370">
        <v>1</v>
      </c>
      <c r="Q10370">
        <v>1</v>
      </c>
      <c r="R10370">
        <v>1</v>
      </c>
    </row>
    <row r="10371" spans="1:18" x14ac:dyDescent="0.2">
      <c r="A10371" t="str">
        <f>"10367"</f>
        <v>10367</v>
      </c>
      <c r="B10371" t="str">
        <f t="shared" si="577"/>
        <v>1</v>
      </c>
      <c r="C10371" t="str">
        <f t="shared" si="576"/>
        <v>208</v>
      </c>
      <c r="D10371" t="str">
        <f>"35"</f>
        <v>35</v>
      </c>
      <c r="E10371" t="str">
        <f>"1-208-35"</f>
        <v>1-208-35</v>
      </c>
      <c r="F10371" t="s">
        <v>65</v>
      </c>
      <c r="G10371" t="s">
        <v>66</v>
      </c>
      <c r="H10371" t="s">
        <v>68</v>
      </c>
      <c r="I10371">
        <v>1</v>
      </c>
      <c r="J10371">
        <v>0</v>
      </c>
      <c r="K10371">
        <v>0</v>
      </c>
      <c r="L10371">
        <v>1</v>
      </c>
      <c r="M10371">
        <v>1</v>
      </c>
      <c r="N10371">
        <v>1</v>
      </c>
      <c r="O10371">
        <v>1</v>
      </c>
      <c r="P10371">
        <v>1</v>
      </c>
      <c r="Q10371">
        <v>0</v>
      </c>
      <c r="R10371">
        <v>0</v>
      </c>
    </row>
    <row r="10372" spans="1:18" x14ac:dyDescent="0.2">
      <c r="A10372" t="str">
        <f>"10368"</f>
        <v>10368</v>
      </c>
      <c r="B10372" t="str">
        <f t="shared" si="577"/>
        <v>1</v>
      </c>
      <c r="C10372" t="str">
        <f t="shared" si="576"/>
        <v>208</v>
      </c>
      <c r="D10372" t="str">
        <f>"23"</f>
        <v>23</v>
      </c>
      <c r="E10372" t="str">
        <f>"1-208-23"</f>
        <v>1-208-23</v>
      </c>
      <c r="F10372" t="s">
        <v>65</v>
      </c>
      <c r="G10372" t="s">
        <v>66</v>
      </c>
      <c r="H10372" t="s">
        <v>68</v>
      </c>
      <c r="I10372">
        <v>1</v>
      </c>
      <c r="J10372">
        <v>1</v>
      </c>
      <c r="K10372">
        <v>0</v>
      </c>
      <c r="L10372">
        <v>0</v>
      </c>
      <c r="M10372">
        <v>1</v>
      </c>
      <c r="N10372">
        <v>1</v>
      </c>
      <c r="O10372">
        <v>1</v>
      </c>
      <c r="P10372">
        <v>1</v>
      </c>
      <c r="Q10372">
        <v>1</v>
      </c>
      <c r="R10372">
        <v>1</v>
      </c>
    </row>
    <row r="10373" spans="1:18" x14ac:dyDescent="0.2">
      <c r="A10373" t="str">
        <f>"10369"</f>
        <v>10369</v>
      </c>
      <c r="B10373" t="str">
        <f t="shared" si="577"/>
        <v>1</v>
      </c>
      <c r="C10373" t="str">
        <f t="shared" si="576"/>
        <v>208</v>
      </c>
      <c r="D10373" t="str">
        <f>"18"</f>
        <v>18</v>
      </c>
      <c r="E10373" t="str">
        <f>"1-208-18"</f>
        <v>1-208-18</v>
      </c>
      <c r="F10373" t="s">
        <v>65</v>
      </c>
      <c r="G10373" t="s">
        <v>66</v>
      </c>
      <c r="H10373" t="s">
        <v>68</v>
      </c>
      <c r="I10373">
        <v>1</v>
      </c>
      <c r="J10373">
        <v>0</v>
      </c>
      <c r="K10373">
        <v>1</v>
      </c>
      <c r="L10373">
        <v>0</v>
      </c>
      <c r="M10373">
        <v>1</v>
      </c>
      <c r="N10373">
        <v>1</v>
      </c>
      <c r="O10373">
        <v>1</v>
      </c>
      <c r="P10373">
        <v>1</v>
      </c>
      <c r="Q10373">
        <v>1</v>
      </c>
      <c r="R10373">
        <v>1</v>
      </c>
    </row>
    <row r="10374" spans="1:18" x14ac:dyDescent="0.2">
      <c r="A10374" t="str">
        <f>"10370"</f>
        <v>10370</v>
      </c>
      <c r="B10374" t="str">
        <f t="shared" si="577"/>
        <v>1</v>
      </c>
      <c r="C10374" t="str">
        <f t="shared" si="576"/>
        <v>208</v>
      </c>
      <c r="D10374" t="str">
        <f>"8"</f>
        <v>8</v>
      </c>
      <c r="E10374" t="str">
        <f>"1-208-8"</f>
        <v>1-208-8</v>
      </c>
      <c r="F10374" t="s">
        <v>65</v>
      </c>
      <c r="G10374" t="s">
        <v>66</v>
      </c>
      <c r="H10374" t="s">
        <v>68</v>
      </c>
      <c r="I10374">
        <v>1</v>
      </c>
      <c r="J10374">
        <v>1</v>
      </c>
      <c r="K10374">
        <v>0</v>
      </c>
      <c r="L10374">
        <v>0</v>
      </c>
      <c r="M10374">
        <v>1</v>
      </c>
      <c r="N10374">
        <v>1</v>
      </c>
      <c r="O10374">
        <v>1</v>
      </c>
      <c r="P10374">
        <v>1</v>
      </c>
      <c r="Q10374">
        <v>1</v>
      </c>
      <c r="R10374">
        <v>1</v>
      </c>
    </row>
    <row r="10375" spans="1:18" x14ac:dyDescent="0.2">
      <c r="A10375" t="str">
        <f>"10371"</f>
        <v>10371</v>
      </c>
      <c r="B10375" t="str">
        <f t="shared" si="577"/>
        <v>1</v>
      </c>
      <c r="C10375" t="str">
        <f t="shared" si="576"/>
        <v>208</v>
      </c>
      <c r="D10375" t="str">
        <f>"41"</f>
        <v>41</v>
      </c>
      <c r="E10375" t="str">
        <f>"1-208-41"</f>
        <v>1-208-41</v>
      </c>
      <c r="F10375" t="s">
        <v>65</v>
      </c>
      <c r="G10375" t="s">
        <v>66</v>
      </c>
      <c r="H10375" t="s">
        <v>68</v>
      </c>
      <c r="I10375">
        <v>1</v>
      </c>
      <c r="J10375">
        <v>0</v>
      </c>
      <c r="K10375">
        <v>0</v>
      </c>
      <c r="L10375">
        <v>1</v>
      </c>
      <c r="M10375">
        <v>1</v>
      </c>
      <c r="N10375">
        <v>1</v>
      </c>
      <c r="O10375">
        <v>1</v>
      </c>
      <c r="P10375">
        <v>1</v>
      </c>
      <c r="Q10375">
        <v>1</v>
      </c>
      <c r="R10375">
        <v>1</v>
      </c>
    </row>
    <row r="10376" spans="1:18" x14ac:dyDescent="0.2">
      <c r="A10376" t="str">
        <f>"10372"</f>
        <v>10372</v>
      </c>
      <c r="B10376" t="str">
        <f t="shared" si="577"/>
        <v>1</v>
      </c>
      <c r="C10376" t="str">
        <f t="shared" si="576"/>
        <v>208</v>
      </c>
      <c r="D10376" t="str">
        <f>"19"</f>
        <v>19</v>
      </c>
      <c r="E10376" t="str">
        <f>"1-208-19"</f>
        <v>1-208-19</v>
      </c>
      <c r="F10376" t="s">
        <v>65</v>
      </c>
      <c r="G10376" t="s">
        <v>66</v>
      </c>
      <c r="H10376" t="s">
        <v>68</v>
      </c>
      <c r="I10376">
        <v>0</v>
      </c>
      <c r="J10376">
        <v>0</v>
      </c>
      <c r="K10376">
        <v>0</v>
      </c>
      <c r="L10376">
        <v>1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</row>
    <row r="10377" spans="1:18" x14ac:dyDescent="0.2">
      <c r="A10377" t="str">
        <f>"10373"</f>
        <v>10373</v>
      </c>
      <c r="B10377" t="str">
        <f t="shared" si="577"/>
        <v>1</v>
      </c>
      <c r="C10377" t="str">
        <f t="shared" si="576"/>
        <v>208</v>
      </c>
      <c r="D10377" t="str">
        <f>"6"</f>
        <v>6</v>
      </c>
      <c r="E10377" t="str">
        <f>"1-208-6"</f>
        <v>1-208-6</v>
      </c>
      <c r="F10377" t="s">
        <v>65</v>
      </c>
      <c r="G10377" t="s">
        <v>66</v>
      </c>
      <c r="H10377" t="s">
        <v>68</v>
      </c>
      <c r="I10377">
        <v>1</v>
      </c>
      <c r="J10377">
        <v>1</v>
      </c>
      <c r="K10377">
        <v>0</v>
      </c>
      <c r="L10377">
        <v>0</v>
      </c>
      <c r="M10377">
        <v>0</v>
      </c>
      <c r="N10377">
        <v>1</v>
      </c>
      <c r="O10377">
        <v>0</v>
      </c>
      <c r="P10377">
        <v>0</v>
      </c>
      <c r="Q10377">
        <v>0</v>
      </c>
      <c r="R10377">
        <v>0</v>
      </c>
    </row>
    <row r="10378" spans="1:18" x14ac:dyDescent="0.2">
      <c r="A10378" t="str">
        <f>"10374"</f>
        <v>10374</v>
      </c>
      <c r="B10378" t="str">
        <f t="shared" si="577"/>
        <v>1</v>
      </c>
      <c r="C10378" t="str">
        <f t="shared" si="576"/>
        <v>208</v>
      </c>
      <c r="D10378" t="str">
        <f>"42"</f>
        <v>42</v>
      </c>
      <c r="E10378" t="str">
        <f>"1-208-42"</f>
        <v>1-208-42</v>
      </c>
      <c r="F10378" t="s">
        <v>65</v>
      </c>
      <c r="G10378" t="s">
        <v>66</v>
      </c>
      <c r="H10378" t="s">
        <v>68</v>
      </c>
      <c r="I10378">
        <v>1</v>
      </c>
      <c r="J10378">
        <v>0</v>
      </c>
      <c r="K10378">
        <v>1</v>
      </c>
      <c r="L10378">
        <v>0</v>
      </c>
      <c r="M10378">
        <v>1</v>
      </c>
      <c r="N10378">
        <v>1</v>
      </c>
      <c r="O10378">
        <v>1</v>
      </c>
      <c r="P10378">
        <v>1</v>
      </c>
      <c r="Q10378">
        <v>1</v>
      </c>
      <c r="R10378">
        <v>1</v>
      </c>
    </row>
    <row r="10379" spans="1:18" x14ac:dyDescent="0.2">
      <c r="A10379" t="str">
        <f>"10375"</f>
        <v>10375</v>
      </c>
      <c r="B10379" t="str">
        <f t="shared" si="577"/>
        <v>1</v>
      </c>
      <c r="C10379" t="str">
        <f t="shared" si="576"/>
        <v>208</v>
      </c>
      <c r="D10379" t="str">
        <f>"20"</f>
        <v>20</v>
      </c>
      <c r="E10379" t="str">
        <f>"1-208-20"</f>
        <v>1-208-20</v>
      </c>
      <c r="F10379" t="s">
        <v>65</v>
      </c>
      <c r="G10379" t="s">
        <v>66</v>
      </c>
      <c r="H10379" t="s">
        <v>68</v>
      </c>
      <c r="I10379">
        <v>1</v>
      </c>
      <c r="J10379">
        <v>0</v>
      </c>
      <c r="K10379">
        <v>0</v>
      </c>
      <c r="L10379">
        <v>1</v>
      </c>
      <c r="M10379">
        <v>1</v>
      </c>
      <c r="N10379">
        <v>1</v>
      </c>
      <c r="O10379">
        <v>1</v>
      </c>
      <c r="P10379">
        <v>1</v>
      </c>
      <c r="Q10379">
        <v>1</v>
      </c>
      <c r="R10379">
        <v>1</v>
      </c>
    </row>
    <row r="10380" spans="1:18" x14ac:dyDescent="0.2">
      <c r="A10380" t="str">
        <f>"10376"</f>
        <v>10376</v>
      </c>
      <c r="B10380" t="str">
        <f t="shared" si="577"/>
        <v>1</v>
      </c>
      <c r="C10380" t="str">
        <f t="shared" si="576"/>
        <v>208</v>
      </c>
      <c r="D10380" t="str">
        <f>"1"</f>
        <v>1</v>
      </c>
      <c r="E10380" t="str">
        <f>"1-208-1"</f>
        <v>1-208-1</v>
      </c>
      <c r="F10380" t="s">
        <v>65</v>
      </c>
      <c r="G10380" t="s">
        <v>66</v>
      </c>
      <c r="H10380" t="s">
        <v>68</v>
      </c>
      <c r="I10380">
        <v>1</v>
      </c>
      <c r="J10380">
        <v>1</v>
      </c>
      <c r="K10380">
        <v>0</v>
      </c>
      <c r="L10380">
        <v>0</v>
      </c>
      <c r="M10380">
        <v>1</v>
      </c>
      <c r="N10380">
        <v>1</v>
      </c>
      <c r="O10380">
        <v>1</v>
      </c>
      <c r="P10380">
        <v>1</v>
      </c>
      <c r="Q10380">
        <v>1</v>
      </c>
      <c r="R10380">
        <v>1</v>
      </c>
    </row>
    <row r="10381" spans="1:18" x14ac:dyDescent="0.2">
      <c r="A10381" t="str">
        <f>"10377"</f>
        <v>10377</v>
      </c>
      <c r="B10381" t="str">
        <f t="shared" si="577"/>
        <v>1</v>
      </c>
      <c r="C10381" t="str">
        <f t="shared" si="576"/>
        <v>208</v>
      </c>
      <c r="D10381" t="str">
        <f>"44"</f>
        <v>44</v>
      </c>
      <c r="E10381" t="str">
        <f>"1-208-44"</f>
        <v>1-208-44</v>
      </c>
      <c r="F10381" t="s">
        <v>65</v>
      </c>
      <c r="G10381" t="s">
        <v>66</v>
      </c>
      <c r="H10381" t="s">
        <v>68</v>
      </c>
      <c r="I10381">
        <v>1</v>
      </c>
      <c r="J10381">
        <v>0</v>
      </c>
      <c r="K10381">
        <v>0</v>
      </c>
      <c r="L10381">
        <v>1</v>
      </c>
      <c r="M10381">
        <v>1</v>
      </c>
      <c r="N10381">
        <v>1</v>
      </c>
      <c r="O10381">
        <v>1</v>
      </c>
      <c r="P10381">
        <v>1</v>
      </c>
      <c r="Q10381">
        <v>1</v>
      </c>
      <c r="R10381">
        <v>1</v>
      </c>
    </row>
    <row r="10382" spans="1:18" x14ac:dyDescent="0.2">
      <c r="A10382" t="str">
        <f>"10378"</f>
        <v>10378</v>
      </c>
      <c r="B10382" t="str">
        <f t="shared" si="577"/>
        <v>1</v>
      </c>
      <c r="C10382" t="str">
        <f t="shared" si="576"/>
        <v>208</v>
      </c>
      <c r="D10382" t="str">
        <f>"22"</f>
        <v>22</v>
      </c>
      <c r="E10382" t="str">
        <f>"1-208-22"</f>
        <v>1-208-22</v>
      </c>
      <c r="F10382" t="s">
        <v>65</v>
      </c>
      <c r="G10382" t="s">
        <v>66</v>
      </c>
      <c r="H10382" t="s">
        <v>68</v>
      </c>
      <c r="I10382">
        <v>1</v>
      </c>
      <c r="J10382">
        <v>0</v>
      </c>
      <c r="K10382">
        <v>0</v>
      </c>
      <c r="L10382">
        <v>1</v>
      </c>
      <c r="M10382">
        <v>0</v>
      </c>
      <c r="N10382">
        <v>1</v>
      </c>
      <c r="O10382">
        <v>1</v>
      </c>
      <c r="P10382">
        <v>1</v>
      </c>
      <c r="Q10382">
        <v>0</v>
      </c>
      <c r="R10382">
        <v>0</v>
      </c>
    </row>
    <row r="10383" spans="1:18" x14ac:dyDescent="0.2">
      <c r="A10383" t="str">
        <f>"10379"</f>
        <v>10379</v>
      </c>
      <c r="B10383" t="str">
        <f t="shared" si="577"/>
        <v>1</v>
      </c>
      <c r="C10383" t="str">
        <f t="shared" si="576"/>
        <v>208</v>
      </c>
      <c r="D10383" t="str">
        <f>"2"</f>
        <v>2</v>
      </c>
      <c r="E10383" t="str">
        <f>"1-208-2"</f>
        <v>1-208-2</v>
      </c>
      <c r="F10383" t="s">
        <v>65</v>
      </c>
      <c r="G10383" t="s">
        <v>66</v>
      </c>
      <c r="H10383" t="s">
        <v>68</v>
      </c>
      <c r="I10383">
        <v>1</v>
      </c>
      <c r="J10383">
        <v>1</v>
      </c>
      <c r="K10383">
        <v>0</v>
      </c>
      <c r="L10383">
        <v>0</v>
      </c>
      <c r="M10383">
        <v>1</v>
      </c>
      <c r="N10383">
        <v>1</v>
      </c>
      <c r="O10383">
        <v>1</v>
      </c>
      <c r="P10383">
        <v>1</v>
      </c>
      <c r="Q10383">
        <v>1</v>
      </c>
      <c r="R10383">
        <v>1</v>
      </c>
    </row>
    <row r="10384" spans="1:18" x14ac:dyDescent="0.2">
      <c r="A10384" t="str">
        <f>"10380"</f>
        <v>10380</v>
      </c>
      <c r="B10384" t="str">
        <f t="shared" si="577"/>
        <v>1</v>
      </c>
      <c r="C10384" t="str">
        <f t="shared" si="576"/>
        <v>208</v>
      </c>
      <c r="D10384" t="str">
        <f>"45"</f>
        <v>45</v>
      </c>
      <c r="E10384" t="str">
        <f>"1-208-45"</f>
        <v>1-208-45</v>
      </c>
      <c r="F10384" t="s">
        <v>65</v>
      </c>
      <c r="G10384" t="s">
        <v>66</v>
      </c>
      <c r="H10384" t="s">
        <v>68</v>
      </c>
      <c r="I10384">
        <v>1</v>
      </c>
      <c r="J10384">
        <v>0</v>
      </c>
      <c r="K10384">
        <v>0</v>
      </c>
      <c r="L10384">
        <v>1</v>
      </c>
      <c r="M10384">
        <v>1</v>
      </c>
      <c r="N10384">
        <v>1</v>
      </c>
      <c r="O10384">
        <v>1</v>
      </c>
      <c r="P10384">
        <v>1</v>
      </c>
      <c r="Q10384">
        <v>1</v>
      </c>
      <c r="R10384">
        <v>1</v>
      </c>
    </row>
    <row r="10385" spans="1:18" x14ac:dyDescent="0.2">
      <c r="A10385" t="str">
        <f>"10381"</f>
        <v>10381</v>
      </c>
      <c r="B10385" t="str">
        <f t="shared" si="577"/>
        <v>1</v>
      </c>
      <c r="C10385" t="str">
        <f t="shared" si="576"/>
        <v>208</v>
      </c>
      <c r="D10385" t="str">
        <f>"24"</f>
        <v>24</v>
      </c>
      <c r="E10385" t="str">
        <f>"1-208-24"</f>
        <v>1-208-24</v>
      </c>
      <c r="F10385" t="s">
        <v>65</v>
      </c>
      <c r="G10385" t="s">
        <v>66</v>
      </c>
      <c r="H10385" t="s">
        <v>68</v>
      </c>
      <c r="I10385">
        <v>1</v>
      </c>
      <c r="J10385">
        <v>1</v>
      </c>
      <c r="K10385">
        <v>0</v>
      </c>
      <c r="L10385">
        <v>0</v>
      </c>
      <c r="M10385">
        <v>1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2">
      <c r="A10386" t="str">
        <f>"10382"</f>
        <v>10382</v>
      </c>
      <c r="B10386" t="str">
        <f t="shared" si="577"/>
        <v>1</v>
      </c>
      <c r="C10386" t="str">
        <f t="shared" si="576"/>
        <v>208</v>
      </c>
      <c r="D10386" t="str">
        <f>"10"</f>
        <v>10</v>
      </c>
      <c r="E10386" t="str">
        <f>"1-208-10"</f>
        <v>1-208-10</v>
      </c>
      <c r="F10386" t="s">
        <v>65</v>
      </c>
      <c r="G10386" t="s">
        <v>66</v>
      </c>
      <c r="H10386" t="s">
        <v>68</v>
      </c>
      <c r="I10386">
        <v>0</v>
      </c>
      <c r="J10386">
        <v>0</v>
      </c>
      <c r="K10386">
        <v>1</v>
      </c>
      <c r="L10386">
        <v>0</v>
      </c>
      <c r="M10386">
        <v>1</v>
      </c>
      <c r="N10386">
        <v>1</v>
      </c>
      <c r="O10386">
        <v>1</v>
      </c>
      <c r="P10386">
        <v>1</v>
      </c>
      <c r="Q10386">
        <v>1</v>
      </c>
      <c r="R10386">
        <v>1</v>
      </c>
    </row>
    <row r="10387" spans="1:18" x14ac:dyDescent="0.2">
      <c r="A10387" t="str">
        <f>"10383"</f>
        <v>10383</v>
      </c>
      <c r="B10387" t="str">
        <f t="shared" si="577"/>
        <v>1</v>
      </c>
      <c r="C10387" t="str">
        <f t="shared" ref="C10387:C10404" si="578">"208"</f>
        <v>208</v>
      </c>
      <c r="D10387" t="str">
        <f>"43"</f>
        <v>43</v>
      </c>
      <c r="E10387" t="str">
        <f>"1-208-43"</f>
        <v>1-208-43</v>
      </c>
      <c r="F10387" t="s">
        <v>65</v>
      </c>
      <c r="G10387" t="s">
        <v>66</v>
      </c>
      <c r="H10387" t="s">
        <v>68</v>
      </c>
      <c r="I10387">
        <v>1</v>
      </c>
      <c r="J10387">
        <v>1</v>
      </c>
      <c r="K10387">
        <v>0</v>
      </c>
      <c r="L10387">
        <v>0</v>
      </c>
      <c r="M10387">
        <v>1</v>
      </c>
      <c r="N10387">
        <v>1</v>
      </c>
      <c r="O10387">
        <v>1</v>
      </c>
      <c r="P10387">
        <v>1</v>
      </c>
      <c r="Q10387">
        <v>1</v>
      </c>
      <c r="R10387">
        <v>1</v>
      </c>
    </row>
    <row r="10388" spans="1:18" x14ac:dyDescent="0.2">
      <c r="A10388" t="str">
        <f>"10384"</f>
        <v>10384</v>
      </c>
      <c r="B10388" t="str">
        <f t="shared" si="577"/>
        <v>1</v>
      </c>
      <c r="C10388" t="str">
        <f t="shared" si="578"/>
        <v>208</v>
      </c>
      <c r="D10388" t="str">
        <f>"25"</f>
        <v>25</v>
      </c>
      <c r="E10388" t="str">
        <f>"1-208-25"</f>
        <v>1-208-25</v>
      </c>
      <c r="F10388" t="s">
        <v>65</v>
      </c>
      <c r="G10388" t="s">
        <v>66</v>
      </c>
      <c r="H10388" t="s">
        <v>68</v>
      </c>
      <c r="I10388">
        <v>1</v>
      </c>
      <c r="J10388">
        <v>0</v>
      </c>
      <c r="K10388">
        <v>0</v>
      </c>
      <c r="L10388">
        <v>1</v>
      </c>
      <c r="M10388">
        <v>1</v>
      </c>
      <c r="N10388">
        <v>1</v>
      </c>
      <c r="O10388">
        <v>1</v>
      </c>
      <c r="P10388">
        <v>1</v>
      </c>
      <c r="Q10388">
        <v>1</v>
      </c>
      <c r="R10388">
        <v>1</v>
      </c>
    </row>
    <row r="10389" spans="1:18" x14ac:dyDescent="0.2">
      <c r="A10389" t="str">
        <f>"10385"</f>
        <v>10385</v>
      </c>
      <c r="B10389" t="str">
        <f t="shared" si="577"/>
        <v>1</v>
      </c>
      <c r="C10389" t="str">
        <f t="shared" si="578"/>
        <v>208</v>
      </c>
      <c r="D10389" t="str">
        <f>"13"</f>
        <v>13</v>
      </c>
      <c r="E10389" t="str">
        <f>"1-208-13"</f>
        <v>1-208-13</v>
      </c>
      <c r="F10389" t="s">
        <v>65</v>
      </c>
      <c r="G10389" t="s">
        <v>66</v>
      </c>
      <c r="H10389" t="s">
        <v>68</v>
      </c>
      <c r="I10389">
        <v>1</v>
      </c>
      <c r="J10389">
        <v>0</v>
      </c>
      <c r="K10389">
        <v>0</v>
      </c>
      <c r="L10389">
        <v>1</v>
      </c>
      <c r="M10389">
        <v>1</v>
      </c>
      <c r="N10389">
        <v>1</v>
      </c>
      <c r="O10389">
        <v>1</v>
      </c>
      <c r="P10389">
        <v>1</v>
      </c>
      <c r="Q10389">
        <v>1</v>
      </c>
      <c r="R10389">
        <v>1</v>
      </c>
    </row>
    <row r="10390" spans="1:18" x14ac:dyDescent="0.2">
      <c r="A10390" t="str">
        <f>"10386"</f>
        <v>10386</v>
      </c>
      <c r="B10390" t="str">
        <f t="shared" si="577"/>
        <v>1</v>
      </c>
      <c r="C10390" t="str">
        <f t="shared" si="578"/>
        <v>208</v>
      </c>
      <c r="D10390" t="str">
        <f>"46"</f>
        <v>46</v>
      </c>
      <c r="E10390" t="str">
        <f>"1-208-46"</f>
        <v>1-208-46</v>
      </c>
      <c r="F10390" t="s">
        <v>65</v>
      </c>
      <c r="G10390" t="s">
        <v>66</v>
      </c>
      <c r="H10390" t="s">
        <v>68</v>
      </c>
      <c r="I10390">
        <v>1</v>
      </c>
      <c r="J10390">
        <v>1</v>
      </c>
      <c r="K10390">
        <v>0</v>
      </c>
      <c r="L10390">
        <v>0</v>
      </c>
      <c r="M10390">
        <v>1</v>
      </c>
      <c r="N10390">
        <v>1</v>
      </c>
      <c r="O10390">
        <v>1</v>
      </c>
      <c r="P10390">
        <v>1</v>
      </c>
      <c r="Q10390">
        <v>1</v>
      </c>
      <c r="R10390">
        <v>1</v>
      </c>
    </row>
    <row r="10391" spans="1:18" x14ac:dyDescent="0.2">
      <c r="A10391" t="str">
        <f>"10387"</f>
        <v>10387</v>
      </c>
      <c r="B10391" t="str">
        <f t="shared" si="577"/>
        <v>1</v>
      </c>
      <c r="C10391" t="str">
        <f t="shared" si="578"/>
        <v>208</v>
      </c>
      <c r="D10391" t="str">
        <f>"27"</f>
        <v>27</v>
      </c>
      <c r="E10391" t="str">
        <f>"1-208-27"</f>
        <v>1-208-27</v>
      </c>
      <c r="F10391" t="s">
        <v>65</v>
      </c>
      <c r="G10391" t="s">
        <v>66</v>
      </c>
      <c r="H10391" t="s">
        <v>68</v>
      </c>
      <c r="I10391">
        <v>1</v>
      </c>
      <c r="J10391">
        <v>0</v>
      </c>
      <c r="K10391">
        <v>0</v>
      </c>
      <c r="L10391">
        <v>1</v>
      </c>
      <c r="M10391">
        <v>1</v>
      </c>
      <c r="N10391">
        <v>1</v>
      </c>
      <c r="O10391">
        <v>0</v>
      </c>
      <c r="P10391">
        <v>1</v>
      </c>
      <c r="Q10391">
        <v>1</v>
      </c>
      <c r="R10391">
        <v>1</v>
      </c>
    </row>
    <row r="10392" spans="1:18" x14ac:dyDescent="0.2">
      <c r="A10392" t="str">
        <f>"10388"</f>
        <v>10388</v>
      </c>
      <c r="B10392" t="str">
        <f t="shared" si="577"/>
        <v>1</v>
      </c>
      <c r="C10392" t="str">
        <f t="shared" si="578"/>
        <v>208</v>
      </c>
      <c r="D10392" t="str">
        <f>"7"</f>
        <v>7</v>
      </c>
      <c r="E10392" t="str">
        <f>"1-208-7"</f>
        <v>1-208-7</v>
      </c>
      <c r="F10392" t="s">
        <v>65</v>
      </c>
      <c r="G10392" t="s">
        <v>66</v>
      </c>
      <c r="H10392" t="s">
        <v>68</v>
      </c>
      <c r="I10392">
        <v>1</v>
      </c>
      <c r="J10392">
        <v>1</v>
      </c>
      <c r="K10392">
        <v>0</v>
      </c>
      <c r="L10392">
        <v>0</v>
      </c>
      <c r="M10392">
        <v>1</v>
      </c>
      <c r="N10392">
        <v>1</v>
      </c>
      <c r="O10392">
        <v>1</v>
      </c>
      <c r="P10392">
        <v>1</v>
      </c>
      <c r="Q10392">
        <v>1</v>
      </c>
      <c r="R10392">
        <v>1</v>
      </c>
    </row>
    <row r="10393" spans="1:18" x14ac:dyDescent="0.2">
      <c r="A10393" t="str">
        <f>"10389"</f>
        <v>10389</v>
      </c>
      <c r="B10393" t="str">
        <f t="shared" si="577"/>
        <v>1</v>
      </c>
      <c r="C10393" t="str">
        <f t="shared" si="578"/>
        <v>208</v>
      </c>
      <c r="D10393" t="str">
        <f>"48"</f>
        <v>48</v>
      </c>
      <c r="E10393" t="str">
        <f>"1-208-48"</f>
        <v>1-208-48</v>
      </c>
      <c r="F10393" t="s">
        <v>65</v>
      </c>
      <c r="G10393" t="s">
        <v>66</v>
      </c>
      <c r="H10393" t="s">
        <v>68</v>
      </c>
      <c r="I10393">
        <v>1</v>
      </c>
      <c r="J10393">
        <v>1</v>
      </c>
      <c r="K10393">
        <v>0</v>
      </c>
      <c r="L10393">
        <v>0</v>
      </c>
      <c r="M10393">
        <v>1</v>
      </c>
      <c r="N10393">
        <v>1</v>
      </c>
      <c r="O10393">
        <v>1</v>
      </c>
      <c r="P10393">
        <v>1</v>
      </c>
      <c r="Q10393">
        <v>1</v>
      </c>
      <c r="R10393">
        <v>1</v>
      </c>
    </row>
    <row r="10394" spans="1:18" x14ac:dyDescent="0.2">
      <c r="A10394" t="str">
        <f>"10390"</f>
        <v>10390</v>
      </c>
      <c r="B10394" t="str">
        <f t="shared" si="577"/>
        <v>1</v>
      </c>
      <c r="C10394" t="str">
        <f t="shared" si="578"/>
        <v>208</v>
      </c>
      <c r="D10394" t="str">
        <f>"29"</f>
        <v>29</v>
      </c>
      <c r="E10394" t="str">
        <f>"1-208-29"</f>
        <v>1-208-29</v>
      </c>
      <c r="F10394" t="s">
        <v>65</v>
      </c>
      <c r="G10394" t="s">
        <v>66</v>
      </c>
      <c r="H10394" t="s">
        <v>68</v>
      </c>
      <c r="I10394">
        <v>1</v>
      </c>
      <c r="J10394">
        <v>1</v>
      </c>
      <c r="K10394">
        <v>0</v>
      </c>
      <c r="L10394">
        <v>0</v>
      </c>
      <c r="M10394">
        <v>1</v>
      </c>
      <c r="N10394">
        <v>1</v>
      </c>
      <c r="O10394">
        <v>1</v>
      </c>
      <c r="P10394">
        <v>1</v>
      </c>
      <c r="Q10394">
        <v>1</v>
      </c>
      <c r="R10394">
        <v>1</v>
      </c>
    </row>
    <row r="10395" spans="1:18" x14ac:dyDescent="0.2">
      <c r="A10395" t="str">
        <f>"10391"</f>
        <v>10391</v>
      </c>
      <c r="B10395" t="str">
        <f t="shared" si="577"/>
        <v>1</v>
      </c>
      <c r="C10395" t="str">
        <f t="shared" si="578"/>
        <v>208</v>
      </c>
      <c r="D10395" t="str">
        <f>"5"</f>
        <v>5</v>
      </c>
      <c r="E10395" t="str">
        <f>"1-208-5"</f>
        <v>1-208-5</v>
      </c>
      <c r="F10395" t="s">
        <v>65</v>
      </c>
      <c r="G10395" t="s">
        <v>66</v>
      </c>
      <c r="H10395" t="s">
        <v>68</v>
      </c>
      <c r="I10395">
        <v>0</v>
      </c>
      <c r="J10395">
        <v>1</v>
      </c>
      <c r="K10395">
        <v>0</v>
      </c>
      <c r="L10395">
        <v>0</v>
      </c>
      <c r="M10395">
        <v>1</v>
      </c>
      <c r="N10395">
        <v>1</v>
      </c>
      <c r="O10395">
        <v>1</v>
      </c>
      <c r="P10395">
        <v>0</v>
      </c>
      <c r="Q10395">
        <v>0</v>
      </c>
      <c r="R10395">
        <v>0</v>
      </c>
    </row>
    <row r="10396" spans="1:18" x14ac:dyDescent="0.2">
      <c r="A10396" t="str">
        <f>"10392"</f>
        <v>10392</v>
      </c>
      <c r="B10396" t="str">
        <f t="shared" si="577"/>
        <v>1</v>
      </c>
      <c r="C10396" t="str">
        <f t="shared" si="578"/>
        <v>208</v>
      </c>
      <c r="D10396" t="str">
        <f>"47"</f>
        <v>47</v>
      </c>
      <c r="E10396" t="str">
        <f>"1-208-47"</f>
        <v>1-208-47</v>
      </c>
      <c r="F10396" t="s">
        <v>65</v>
      </c>
      <c r="G10396" t="s">
        <v>66</v>
      </c>
      <c r="H10396" t="s">
        <v>68</v>
      </c>
      <c r="I10396">
        <v>1</v>
      </c>
      <c r="J10396">
        <v>1</v>
      </c>
      <c r="K10396">
        <v>0</v>
      </c>
      <c r="L10396">
        <v>0</v>
      </c>
      <c r="M10396">
        <v>1</v>
      </c>
      <c r="N10396">
        <v>1</v>
      </c>
      <c r="O10396">
        <v>1</v>
      </c>
      <c r="P10396">
        <v>1</v>
      </c>
      <c r="Q10396">
        <v>1</v>
      </c>
      <c r="R10396">
        <v>1</v>
      </c>
    </row>
    <row r="10397" spans="1:18" x14ac:dyDescent="0.2">
      <c r="A10397" t="str">
        <f>"10393"</f>
        <v>10393</v>
      </c>
      <c r="B10397" t="str">
        <f t="shared" si="577"/>
        <v>1</v>
      </c>
      <c r="C10397" t="str">
        <f t="shared" si="578"/>
        <v>208</v>
      </c>
      <c r="D10397" t="str">
        <f>"30"</f>
        <v>30</v>
      </c>
      <c r="E10397" t="str">
        <f>"1-208-30"</f>
        <v>1-208-30</v>
      </c>
      <c r="F10397" t="s">
        <v>65</v>
      </c>
      <c r="G10397" t="s">
        <v>66</v>
      </c>
      <c r="H10397" t="s">
        <v>68</v>
      </c>
      <c r="I10397">
        <v>0</v>
      </c>
      <c r="J10397">
        <v>0</v>
      </c>
      <c r="K10397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2">
      <c r="A10398" t="str">
        <f>"10394"</f>
        <v>10394</v>
      </c>
      <c r="B10398" t="str">
        <f t="shared" si="577"/>
        <v>1</v>
      </c>
      <c r="C10398" t="str">
        <f t="shared" si="578"/>
        <v>208</v>
      </c>
      <c r="D10398" t="str">
        <f>"9"</f>
        <v>9</v>
      </c>
      <c r="E10398" t="str">
        <f>"1-208-9"</f>
        <v>1-208-9</v>
      </c>
      <c r="F10398" t="s">
        <v>65</v>
      </c>
      <c r="G10398" t="s">
        <v>66</v>
      </c>
      <c r="H10398" t="s">
        <v>68</v>
      </c>
      <c r="I10398">
        <v>1</v>
      </c>
      <c r="J10398">
        <v>0</v>
      </c>
      <c r="K10398">
        <v>1</v>
      </c>
      <c r="L10398">
        <v>0</v>
      </c>
      <c r="M10398">
        <v>1</v>
      </c>
      <c r="N10398">
        <v>1</v>
      </c>
      <c r="O10398">
        <v>1</v>
      </c>
      <c r="P10398">
        <v>1</v>
      </c>
      <c r="Q10398">
        <v>1</v>
      </c>
      <c r="R10398">
        <v>1</v>
      </c>
    </row>
    <row r="10399" spans="1:18" x14ac:dyDescent="0.2">
      <c r="A10399" t="str">
        <f>"10395"</f>
        <v>10395</v>
      </c>
      <c r="B10399" t="str">
        <f t="shared" si="577"/>
        <v>1</v>
      </c>
      <c r="C10399" t="str">
        <f t="shared" si="578"/>
        <v>208</v>
      </c>
      <c r="D10399" t="str">
        <f>"50"</f>
        <v>50</v>
      </c>
      <c r="E10399" t="str">
        <f>"1-208-50"</f>
        <v>1-208-50</v>
      </c>
      <c r="F10399" t="s">
        <v>65</v>
      </c>
      <c r="G10399" t="s">
        <v>66</v>
      </c>
      <c r="H10399" t="s">
        <v>68</v>
      </c>
      <c r="I10399">
        <v>0</v>
      </c>
      <c r="J10399">
        <v>0</v>
      </c>
      <c r="K10399">
        <v>0</v>
      </c>
      <c r="L10399">
        <v>1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</row>
    <row r="10400" spans="1:18" x14ac:dyDescent="0.2">
      <c r="A10400" t="str">
        <f>"10396"</f>
        <v>10396</v>
      </c>
      <c r="B10400" t="str">
        <f t="shared" si="577"/>
        <v>1</v>
      </c>
      <c r="C10400" t="str">
        <f t="shared" si="578"/>
        <v>208</v>
      </c>
      <c r="D10400" t="str">
        <f>"31"</f>
        <v>31</v>
      </c>
      <c r="E10400" t="str">
        <f>"1-208-31"</f>
        <v>1-208-31</v>
      </c>
      <c r="F10400" t="s">
        <v>65</v>
      </c>
      <c r="G10400" t="s">
        <v>66</v>
      </c>
      <c r="H10400" t="s">
        <v>68</v>
      </c>
      <c r="I10400">
        <v>1</v>
      </c>
      <c r="J10400">
        <v>1</v>
      </c>
      <c r="K10400">
        <v>0</v>
      </c>
      <c r="L10400">
        <v>0</v>
      </c>
      <c r="M10400">
        <v>1</v>
      </c>
      <c r="N10400">
        <v>1</v>
      </c>
      <c r="O10400">
        <v>1</v>
      </c>
      <c r="P10400">
        <v>1</v>
      </c>
      <c r="Q10400">
        <v>1</v>
      </c>
      <c r="R10400">
        <v>1</v>
      </c>
    </row>
    <row r="10401" spans="1:18" x14ac:dyDescent="0.2">
      <c r="A10401" t="str">
        <f>"10397"</f>
        <v>10397</v>
      </c>
      <c r="B10401" t="str">
        <f t="shared" si="577"/>
        <v>1</v>
      </c>
      <c r="C10401" t="str">
        <f t="shared" si="578"/>
        <v>208</v>
      </c>
      <c r="D10401" t="str">
        <f>"12"</f>
        <v>12</v>
      </c>
      <c r="E10401" t="str">
        <f>"1-208-12"</f>
        <v>1-208-12</v>
      </c>
      <c r="F10401" t="s">
        <v>65</v>
      </c>
      <c r="G10401" t="s">
        <v>66</v>
      </c>
      <c r="H10401" t="s">
        <v>68</v>
      </c>
      <c r="I10401">
        <v>1</v>
      </c>
      <c r="J10401">
        <v>0</v>
      </c>
      <c r="K10401">
        <v>0</v>
      </c>
      <c r="L10401">
        <v>1</v>
      </c>
      <c r="M10401">
        <v>1</v>
      </c>
      <c r="N10401">
        <v>1</v>
      </c>
      <c r="O10401">
        <v>1</v>
      </c>
      <c r="P10401">
        <v>1</v>
      </c>
      <c r="Q10401">
        <v>1</v>
      </c>
      <c r="R10401">
        <v>1</v>
      </c>
    </row>
    <row r="10402" spans="1:18" x14ac:dyDescent="0.2">
      <c r="A10402" t="str">
        <f>"10398"</f>
        <v>10398</v>
      </c>
      <c r="B10402" t="str">
        <f t="shared" si="577"/>
        <v>1</v>
      </c>
      <c r="C10402" t="str">
        <f t="shared" si="578"/>
        <v>208</v>
      </c>
      <c r="D10402" t="str">
        <f>"49"</f>
        <v>49</v>
      </c>
      <c r="E10402" t="str">
        <f>"1-208-49"</f>
        <v>1-208-49</v>
      </c>
      <c r="F10402" t="s">
        <v>65</v>
      </c>
      <c r="G10402" t="s">
        <v>66</v>
      </c>
      <c r="H10402" t="s">
        <v>68</v>
      </c>
      <c r="I10402">
        <v>1</v>
      </c>
      <c r="J10402">
        <v>0</v>
      </c>
      <c r="K10402">
        <v>0</v>
      </c>
      <c r="L10402">
        <v>1</v>
      </c>
      <c r="M10402">
        <v>1</v>
      </c>
      <c r="N10402">
        <v>1</v>
      </c>
      <c r="O10402">
        <v>1</v>
      </c>
      <c r="P10402">
        <v>1</v>
      </c>
      <c r="Q10402">
        <v>1</v>
      </c>
      <c r="R10402">
        <v>1</v>
      </c>
    </row>
    <row r="10403" spans="1:18" x14ac:dyDescent="0.2">
      <c r="A10403" t="str">
        <f>"10399"</f>
        <v>10399</v>
      </c>
      <c r="B10403" t="str">
        <f t="shared" si="577"/>
        <v>1</v>
      </c>
      <c r="C10403" t="str">
        <f t="shared" si="578"/>
        <v>208</v>
      </c>
      <c r="D10403" t="str">
        <f>"32"</f>
        <v>32</v>
      </c>
      <c r="E10403" t="str">
        <f>"1-208-32"</f>
        <v>1-208-32</v>
      </c>
      <c r="F10403" t="s">
        <v>65</v>
      </c>
      <c r="G10403" t="s">
        <v>66</v>
      </c>
      <c r="H10403" t="s">
        <v>68</v>
      </c>
      <c r="I10403">
        <v>1</v>
      </c>
      <c r="J10403">
        <v>0</v>
      </c>
      <c r="K10403">
        <v>0</v>
      </c>
      <c r="L10403">
        <v>1</v>
      </c>
      <c r="M10403">
        <v>1</v>
      </c>
      <c r="N10403">
        <v>1</v>
      </c>
      <c r="O10403">
        <v>1</v>
      </c>
      <c r="P10403">
        <v>1</v>
      </c>
      <c r="Q10403">
        <v>1</v>
      </c>
      <c r="R10403">
        <v>1</v>
      </c>
    </row>
    <row r="10404" spans="1:18" x14ac:dyDescent="0.2">
      <c r="A10404" t="str">
        <f>"10400"</f>
        <v>10400</v>
      </c>
      <c r="B10404" t="str">
        <f t="shared" si="577"/>
        <v>1</v>
      </c>
      <c r="C10404" t="str">
        <f t="shared" si="578"/>
        <v>208</v>
      </c>
      <c r="D10404" t="str">
        <f>"11"</f>
        <v>11</v>
      </c>
      <c r="E10404" t="str">
        <f>"1-208-11"</f>
        <v>1-208-11</v>
      </c>
      <c r="F10404" t="s">
        <v>65</v>
      </c>
      <c r="G10404" t="s">
        <v>66</v>
      </c>
      <c r="H10404" t="s">
        <v>68</v>
      </c>
      <c r="I10404">
        <v>1</v>
      </c>
      <c r="J10404">
        <v>0</v>
      </c>
      <c r="K10404">
        <v>0</v>
      </c>
      <c r="L10404">
        <v>1</v>
      </c>
      <c r="M10404">
        <v>1</v>
      </c>
      <c r="N10404">
        <v>1</v>
      </c>
      <c r="O10404">
        <v>1</v>
      </c>
      <c r="P10404">
        <v>1</v>
      </c>
      <c r="Q10404">
        <v>1</v>
      </c>
      <c r="R10404">
        <v>1</v>
      </c>
    </row>
    <row r="10405" spans="1:18" x14ac:dyDescent="0.2">
      <c r="A10405" t="str">
        <f>"10401"</f>
        <v>10401</v>
      </c>
      <c r="B10405" t="str">
        <f t="shared" si="577"/>
        <v>1</v>
      </c>
      <c r="C10405" t="str">
        <f t="shared" ref="C10405:C10436" si="579">"209"</f>
        <v>209</v>
      </c>
      <c r="D10405" t="str">
        <f>"38"</f>
        <v>38</v>
      </c>
      <c r="E10405" t="str">
        <f>"1-209-38"</f>
        <v>1-209-38</v>
      </c>
      <c r="F10405" t="s">
        <v>65</v>
      </c>
      <c r="G10405" t="s">
        <v>66</v>
      </c>
      <c r="H10405" t="s">
        <v>68</v>
      </c>
      <c r="I10405">
        <v>1</v>
      </c>
      <c r="J10405">
        <v>0</v>
      </c>
      <c r="K10405">
        <v>0</v>
      </c>
      <c r="L10405">
        <v>1</v>
      </c>
      <c r="M10405">
        <v>1</v>
      </c>
      <c r="N10405">
        <v>1</v>
      </c>
      <c r="O10405">
        <v>1</v>
      </c>
      <c r="P10405">
        <v>1</v>
      </c>
      <c r="Q10405">
        <v>1</v>
      </c>
      <c r="R10405">
        <v>1</v>
      </c>
    </row>
    <row r="10406" spans="1:18" x14ac:dyDescent="0.2">
      <c r="A10406" t="str">
        <f>"10402"</f>
        <v>10402</v>
      </c>
      <c r="B10406" t="str">
        <f t="shared" si="577"/>
        <v>1</v>
      </c>
      <c r="C10406" t="str">
        <f t="shared" si="579"/>
        <v>209</v>
      </c>
      <c r="D10406" t="str">
        <f>"37"</f>
        <v>37</v>
      </c>
      <c r="E10406" t="str">
        <f>"1-209-37"</f>
        <v>1-209-37</v>
      </c>
      <c r="F10406" t="s">
        <v>65</v>
      </c>
      <c r="G10406" t="s">
        <v>66</v>
      </c>
      <c r="H10406" t="s">
        <v>68</v>
      </c>
      <c r="I10406">
        <v>1</v>
      </c>
      <c r="J10406">
        <v>1</v>
      </c>
      <c r="K10406">
        <v>0</v>
      </c>
      <c r="L10406">
        <v>0</v>
      </c>
      <c r="M10406">
        <v>1</v>
      </c>
      <c r="N10406">
        <v>1</v>
      </c>
      <c r="O10406">
        <v>1</v>
      </c>
      <c r="P10406">
        <v>1</v>
      </c>
      <c r="Q10406">
        <v>1</v>
      </c>
      <c r="R10406">
        <v>1</v>
      </c>
    </row>
    <row r="10407" spans="1:18" x14ac:dyDescent="0.2">
      <c r="A10407" t="str">
        <f>"10403"</f>
        <v>10403</v>
      </c>
      <c r="B10407" t="str">
        <f t="shared" si="577"/>
        <v>1</v>
      </c>
      <c r="C10407" t="str">
        <f t="shared" si="579"/>
        <v>209</v>
      </c>
      <c r="D10407" t="str">
        <f>"22"</f>
        <v>22</v>
      </c>
      <c r="E10407" t="str">
        <f>"1-209-22"</f>
        <v>1-209-22</v>
      </c>
      <c r="F10407" t="s">
        <v>65</v>
      </c>
      <c r="G10407" t="s">
        <v>66</v>
      </c>
      <c r="H10407" t="s">
        <v>68</v>
      </c>
      <c r="I10407">
        <v>1</v>
      </c>
      <c r="J10407">
        <v>0</v>
      </c>
      <c r="K10407">
        <v>0</v>
      </c>
      <c r="L10407">
        <v>1</v>
      </c>
      <c r="M10407">
        <v>1</v>
      </c>
      <c r="N10407">
        <v>1</v>
      </c>
      <c r="O10407">
        <v>1</v>
      </c>
      <c r="P10407">
        <v>1</v>
      </c>
      <c r="Q10407">
        <v>1</v>
      </c>
      <c r="R10407">
        <v>1</v>
      </c>
    </row>
    <row r="10408" spans="1:18" x14ac:dyDescent="0.2">
      <c r="A10408" t="str">
        <f>"10404"</f>
        <v>10404</v>
      </c>
      <c r="B10408" t="str">
        <f t="shared" si="577"/>
        <v>1</v>
      </c>
      <c r="C10408" t="str">
        <f t="shared" si="579"/>
        <v>209</v>
      </c>
      <c r="D10408" t="str">
        <f>"15"</f>
        <v>15</v>
      </c>
      <c r="E10408" t="str">
        <f>"1-209-15"</f>
        <v>1-209-15</v>
      </c>
      <c r="F10408" t="s">
        <v>65</v>
      </c>
      <c r="G10408" t="s">
        <v>66</v>
      </c>
      <c r="H10408" t="s">
        <v>68</v>
      </c>
      <c r="I10408">
        <v>1</v>
      </c>
      <c r="J10408">
        <v>0</v>
      </c>
      <c r="K10408">
        <v>0</v>
      </c>
      <c r="L10408">
        <v>1</v>
      </c>
      <c r="M10408">
        <v>1</v>
      </c>
      <c r="N10408">
        <v>1</v>
      </c>
      <c r="O10408">
        <v>1</v>
      </c>
      <c r="P10408">
        <v>1</v>
      </c>
      <c r="Q10408">
        <v>1</v>
      </c>
      <c r="R10408">
        <v>1</v>
      </c>
    </row>
    <row r="10409" spans="1:18" x14ac:dyDescent="0.2">
      <c r="A10409" t="str">
        <f>"10405"</f>
        <v>10405</v>
      </c>
      <c r="B10409" t="str">
        <f t="shared" si="577"/>
        <v>1</v>
      </c>
      <c r="C10409" t="str">
        <f t="shared" si="579"/>
        <v>209</v>
      </c>
      <c r="D10409" t="str">
        <f>"1"</f>
        <v>1</v>
      </c>
      <c r="E10409" t="str">
        <f>"1-209-1"</f>
        <v>1-209-1</v>
      </c>
      <c r="F10409" t="s">
        <v>65</v>
      </c>
      <c r="G10409" t="s">
        <v>66</v>
      </c>
      <c r="H10409" t="s">
        <v>68</v>
      </c>
      <c r="I10409">
        <v>1</v>
      </c>
      <c r="J10409">
        <v>1</v>
      </c>
      <c r="K10409">
        <v>0</v>
      </c>
      <c r="L10409">
        <v>0</v>
      </c>
      <c r="M10409">
        <v>1</v>
      </c>
      <c r="N10409">
        <v>1</v>
      </c>
      <c r="O10409">
        <v>1</v>
      </c>
      <c r="P10409">
        <v>1</v>
      </c>
      <c r="Q10409">
        <v>1</v>
      </c>
      <c r="R10409">
        <v>1</v>
      </c>
    </row>
    <row r="10410" spans="1:18" x14ac:dyDescent="0.2">
      <c r="A10410" t="str">
        <f>"10406"</f>
        <v>10406</v>
      </c>
      <c r="B10410" t="str">
        <f t="shared" si="577"/>
        <v>1</v>
      </c>
      <c r="C10410" t="str">
        <f t="shared" si="579"/>
        <v>209</v>
      </c>
      <c r="D10410" t="str">
        <f>"36"</f>
        <v>36</v>
      </c>
      <c r="E10410" t="str">
        <f>"1-209-36"</f>
        <v>1-209-36</v>
      </c>
      <c r="F10410" t="s">
        <v>65</v>
      </c>
      <c r="G10410" t="s">
        <v>66</v>
      </c>
      <c r="H10410" t="s">
        <v>68</v>
      </c>
      <c r="I10410">
        <v>1</v>
      </c>
      <c r="J10410">
        <v>0</v>
      </c>
      <c r="K10410">
        <v>1</v>
      </c>
      <c r="L10410">
        <v>0</v>
      </c>
      <c r="M10410">
        <v>1</v>
      </c>
      <c r="N10410">
        <v>1</v>
      </c>
      <c r="O10410">
        <v>1</v>
      </c>
      <c r="P10410">
        <v>1</v>
      </c>
      <c r="Q10410">
        <v>1</v>
      </c>
      <c r="R10410">
        <v>1</v>
      </c>
    </row>
    <row r="10411" spans="1:18" x14ac:dyDescent="0.2">
      <c r="A10411" t="str">
        <f>"10407"</f>
        <v>10407</v>
      </c>
      <c r="B10411" t="str">
        <f t="shared" si="577"/>
        <v>1</v>
      </c>
      <c r="C10411" t="str">
        <f t="shared" si="579"/>
        <v>209</v>
      </c>
      <c r="D10411" t="str">
        <f>"35"</f>
        <v>35</v>
      </c>
      <c r="E10411" t="str">
        <f>"1-209-35"</f>
        <v>1-209-35</v>
      </c>
      <c r="F10411" t="s">
        <v>65</v>
      </c>
      <c r="G10411" t="s">
        <v>66</v>
      </c>
      <c r="H10411" t="s">
        <v>68</v>
      </c>
      <c r="I10411">
        <v>1</v>
      </c>
      <c r="J10411">
        <v>0</v>
      </c>
      <c r="K10411">
        <v>1</v>
      </c>
      <c r="L10411">
        <v>0</v>
      </c>
      <c r="M10411">
        <v>1</v>
      </c>
      <c r="N10411">
        <v>1</v>
      </c>
      <c r="O10411">
        <v>1</v>
      </c>
      <c r="P10411">
        <v>1</v>
      </c>
      <c r="Q10411">
        <v>1</v>
      </c>
      <c r="R10411">
        <v>1</v>
      </c>
    </row>
    <row r="10412" spans="1:18" x14ac:dyDescent="0.2">
      <c r="A10412" t="str">
        <f>"10408"</f>
        <v>10408</v>
      </c>
      <c r="B10412" t="str">
        <f t="shared" si="577"/>
        <v>1</v>
      </c>
      <c r="C10412" t="str">
        <f t="shared" si="579"/>
        <v>209</v>
      </c>
      <c r="D10412" t="str">
        <f>"21"</f>
        <v>21</v>
      </c>
      <c r="E10412" t="str">
        <f>"1-209-21"</f>
        <v>1-209-21</v>
      </c>
      <c r="F10412" t="s">
        <v>65</v>
      </c>
      <c r="G10412" t="s">
        <v>66</v>
      </c>
      <c r="H10412" t="s">
        <v>68</v>
      </c>
      <c r="I10412">
        <v>1</v>
      </c>
      <c r="J10412">
        <v>0</v>
      </c>
      <c r="K10412">
        <v>1</v>
      </c>
      <c r="L10412">
        <v>0</v>
      </c>
      <c r="M10412">
        <v>1</v>
      </c>
      <c r="N10412">
        <v>1</v>
      </c>
      <c r="O10412">
        <v>1</v>
      </c>
      <c r="P10412">
        <v>1</v>
      </c>
      <c r="Q10412">
        <v>1</v>
      </c>
      <c r="R10412">
        <v>1</v>
      </c>
    </row>
    <row r="10413" spans="1:18" x14ac:dyDescent="0.2">
      <c r="A10413" t="str">
        <f>"10409"</f>
        <v>10409</v>
      </c>
      <c r="B10413" t="str">
        <f t="shared" si="577"/>
        <v>1</v>
      </c>
      <c r="C10413" t="str">
        <f t="shared" si="579"/>
        <v>209</v>
      </c>
      <c r="D10413" t="str">
        <f>"16"</f>
        <v>16</v>
      </c>
      <c r="E10413" t="str">
        <f>"1-209-16"</f>
        <v>1-209-16</v>
      </c>
      <c r="F10413" t="s">
        <v>65</v>
      </c>
      <c r="G10413" t="s">
        <v>66</v>
      </c>
      <c r="H10413" t="s">
        <v>68</v>
      </c>
      <c r="I10413">
        <v>1</v>
      </c>
      <c r="J10413">
        <v>0</v>
      </c>
      <c r="K10413">
        <v>1</v>
      </c>
      <c r="L10413">
        <v>0</v>
      </c>
      <c r="M10413">
        <v>1</v>
      </c>
      <c r="N10413">
        <v>1</v>
      </c>
      <c r="O10413">
        <v>1</v>
      </c>
      <c r="P10413">
        <v>1</v>
      </c>
      <c r="Q10413">
        <v>1</v>
      </c>
      <c r="R10413">
        <v>1</v>
      </c>
    </row>
    <row r="10414" spans="1:18" x14ac:dyDescent="0.2">
      <c r="A10414" t="str">
        <f>"10410"</f>
        <v>10410</v>
      </c>
      <c r="B10414" t="str">
        <f t="shared" si="577"/>
        <v>1</v>
      </c>
      <c r="C10414" t="str">
        <f t="shared" si="579"/>
        <v>209</v>
      </c>
      <c r="D10414" t="str">
        <f>"11"</f>
        <v>11</v>
      </c>
      <c r="E10414" t="str">
        <f>"1-209-11"</f>
        <v>1-209-11</v>
      </c>
      <c r="F10414" t="s">
        <v>65</v>
      </c>
      <c r="G10414" t="s">
        <v>66</v>
      </c>
      <c r="H10414" t="s">
        <v>68</v>
      </c>
      <c r="I10414">
        <v>1</v>
      </c>
      <c r="J10414">
        <v>0</v>
      </c>
      <c r="K10414">
        <v>0</v>
      </c>
      <c r="L10414">
        <v>1</v>
      </c>
      <c r="M10414">
        <v>1</v>
      </c>
      <c r="N10414">
        <v>1</v>
      </c>
      <c r="O10414">
        <v>1</v>
      </c>
      <c r="P10414">
        <v>1</v>
      </c>
      <c r="Q10414">
        <v>1</v>
      </c>
      <c r="R10414">
        <v>1</v>
      </c>
    </row>
    <row r="10415" spans="1:18" x14ac:dyDescent="0.2">
      <c r="A10415" t="str">
        <f>"10411"</f>
        <v>10411</v>
      </c>
      <c r="B10415" t="str">
        <f t="shared" si="577"/>
        <v>1</v>
      </c>
      <c r="C10415" t="str">
        <f t="shared" si="579"/>
        <v>209</v>
      </c>
      <c r="D10415" t="str">
        <f>"40"</f>
        <v>40</v>
      </c>
      <c r="E10415" t="str">
        <f>"1-209-40"</f>
        <v>1-209-40</v>
      </c>
      <c r="F10415" t="s">
        <v>65</v>
      </c>
      <c r="G10415" t="s">
        <v>66</v>
      </c>
      <c r="H10415" t="s">
        <v>68</v>
      </c>
      <c r="I10415">
        <v>1</v>
      </c>
      <c r="J10415">
        <v>1</v>
      </c>
      <c r="K10415">
        <v>0</v>
      </c>
      <c r="L10415">
        <v>0</v>
      </c>
      <c r="M10415">
        <v>1</v>
      </c>
      <c r="N10415">
        <v>1</v>
      </c>
      <c r="O10415">
        <v>1</v>
      </c>
      <c r="P10415">
        <v>1</v>
      </c>
      <c r="Q10415">
        <v>1</v>
      </c>
      <c r="R10415">
        <v>1</v>
      </c>
    </row>
    <row r="10416" spans="1:18" x14ac:dyDescent="0.2">
      <c r="A10416" t="str">
        <f>"10412"</f>
        <v>10412</v>
      </c>
      <c r="B10416" t="str">
        <f t="shared" si="577"/>
        <v>1</v>
      </c>
      <c r="C10416" t="str">
        <f t="shared" si="579"/>
        <v>209</v>
      </c>
      <c r="D10416" t="str">
        <f>"39"</f>
        <v>39</v>
      </c>
      <c r="E10416" t="str">
        <f>"1-209-39"</f>
        <v>1-209-39</v>
      </c>
      <c r="F10416" t="s">
        <v>65</v>
      </c>
      <c r="G10416" t="s">
        <v>66</v>
      </c>
      <c r="H10416" t="s">
        <v>68</v>
      </c>
      <c r="I10416">
        <v>1</v>
      </c>
      <c r="J10416">
        <v>0</v>
      </c>
      <c r="K10416">
        <v>1</v>
      </c>
      <c r="L10416">
        <v>0</v>
      </c>
      <c r="M10416">
        <v>1</v>
      </c>
      <c r="N10416">
        <v>1</v>
      </c>
      <c r="O10416">
        <v>1</v>
      </c>
      <c r="P10416">
        <v>1</v>
      </c>
      <c r="Q10416">
        <v>1</v>
      </c>
      <c r="R10416">
        <v>1</v>
      </c>
    </row>
    <row r="10417" spans="1:18" x14ac:dyDescent="0.2">
      <c r="A10417" t="str">
        <f>"10413"</f>
        <v>10413</v>
      </c>
      <c r="B10417" t="str">
        <f t="shared" si="577"/>
        <v>1</v>
      </c>
      <c r="C10417" t="str">
        <f t="shared" si="579"/>
        <v>209</v>
      </c>
      <c r="D10417" t="str">
        <f>"25"</f>
        <v>25</v>
      </c>
      <c r="E10417" t="str">
        <f>"1-209-25"</f>
        <v>1-209-25</v>
      </c>
      <c r="F10417" t="s">
        <v>65</v>
      </c>
      <c r="G10417" t="s">
        <v>66</v>
      </c>
      <c r="H10417" t="s">
        <v>68</v>
      </c>
      <c r="I10417">
        <v>1</v>
      </c>
      <c r="J10417">
        <v>1</v>
      </c>
      <c r="K10417">
        <v>0</v>
      </c>
      <c r="L10417">
        <v>0</v>
      </c>
      <c r="M10417">
        <v>1</v>
      </c>
      <c r="N10417">
        <v>1</v>
      </c>
      <c r="O10417">
        <v>1</v>
      </c>
      <c r="P10417">
        <v>1</v>
      </c>
      <c r="Q10417">
        <v>1</v>
      </c>
      <c r="R10417">
        <v>1</v>
      </c>
    </row>
    <row r="10418" spans="1:18" x14ac:dyDescent="0.2">
      <c r="A10418" t="str">
        <f>"10414"</f>
        <v>10414</v>
      </c>
      <c r="B10418" t="str">
        <f t="shared" si="577"/>
        <v>1</v>
      </c>
      <c r="C10418" t="str">
        <f t="shared" si="579"/>
        <v>209</v>
      </c>
      <c r="D10418" t="str">
        <f>"17"</f>
        <v>17</v>
      </c>
      <c r="E10418" t="str">
        <f>"1-209-17"</f>
        <v>1-209-17</v>
      </c>
      <c r="F10418" t="s">
        <v>65</v>
      </c>
      <c r="G10418" t="s">
        <v>66</v>
      </c>
      <c r="H10418" t="s">
        <v>68</v>
      </c>
      <c r="I10418">
        <v>1</v>
      </c>
      <c r="J10418">
        <v>0</v>
      </c>
      <c r="K10418">
        <v>0</v>
      </c>
      <c r="L10418">
        <v>1</v>
      </c>
      <c r="M10418">
        <v>1</v>
      </c>
      <c r="N10418">
        <v>0</v>
      </c>
      <c r="O10418">
        <v>0</v>
      </c>
      <c r="P10418">
        <v>0</v>
      </c>
      <c r="Q10418">
        <v>0</v>
      </c>
      <c r="R10418">
        <v>1</v>
      </c>
    </row>
    <row r="10419" spans="1:18" x14ac:dyDescent="0.2">
      <c r="A10419" t="str">
        <f>"10415"</f>
        <v>10415</v>
      </c>
      <c r="B10419" t="str">
        <f t="shared" si="577"/>
        <v>1</v>
      </c>
      <c r="C10419" t="str">
        <f t="shared" si="579"/>
        <v>209</v>
      </c>
      <c r="D10419" t="str">
        <f>"3"</f>
        <v>3</v>
      </c>
      <c r="E10419" t="str">
        <f>"1-209-3"</f>
        <v>1-209-3</v>
      </c>
      <c r="F10419" t="s">
        <v>65</v>
      </c>
      <c r="G10419" t="s">
        <v>66</v>
      </c>
      <c r="H10419" t="s">
        <v>68</v>
      </c>
      <c r="I10419">
        <v>1</v>
      </c>
      <c r="J10419">
        <v>0</v>
      </c>
      <c r="K10419">
        <v>0</v>
      </c>
      <c r="L10419">
        <v>1</v>
      </c>
      <c r="M10419">
        <v>1</v>
      </c>
      <c r="N10419">
        <v>1</v>
      </c>
      <c r="O10419">
        <v>1</v>
      </c>
      <c r="P10419">
        <v>1</v>
      </c>
      <c r="Q10419">
        <v>1</v>
      </c>
      <c r="R10419">
        <v>1</v>
      </c>
    </row>
    <row r="10420" spans="1:18" x14ac:dyDescent="0.2">
      <c r="A10420" t="str">
        <f>"10416"</f>
        <v>10416</v>
      </c>
      <c r="B10420" t="str">
        <f t="shared" si="577"/>
        <v>1</v>
      </c>
      <c r="C10420" t="str">
        <f t="shared" si="579"/>
        <v>209</v>
      </c>
      <c r="D10420" t="str">
        <f>"34"</f>
        <v>34</v>
      </c>
      <c r="E10420" t="str">
        <f>"1-209-34"</f>
        <v>1-209-34</v>
      </c>
      <c r="F10420" t="s">
        <v>65</v>
      </c>
      <c r="G10420" t="s">
        <v>66</v>
      </c>
      <c r="H10420" t="s">
        <v>68</v>
      </c>
      <c r="I10420">
        <v>1</v>
      </c>
      <c r="J10420">
        <v>1</v>
      </c>
      <c r="K10420">
        <v>0</v>
      </c>
      <c r="L10420">
        <v>0</v>
      </c>
      <c r="M10420">
        <v>1</v>
      </c>
      <c r="N10420">
        <v>1</v>
      </c>
      <c r="O10420">
        <v>1</v>
      </c>
      <c r="P10420">
        <v>1</v>
      </c>
      <c r="Q10420">
        <v>1</v>
      </c>
      <c r="R10420">
        <v>1</v>
      </c>
    </row>
    <row r="10421" spans="1:18" x14ac:dyDescent="0.2">
      <c r="A10421" t="str">
        <f>"10417"</f>
        <v>10417</v>
      </c>
      <c r="B10421" t="str">
        <f t="shared" si="577"/>
        <v>1</v>
      </c>
      <c r="C10421" t="str">
        <f t="shared" si="579"/>
        <v>209</v>
      </c>
      <c r="D10421" t="str">
        <f>"33"</f>
        <v>33</v>
      </c>
      <c r="E10421" t="str">
        <f>"1-209-33"</f>
        <v>1-209-33</v>
      </c>
      <c r="F10421" t="s">
        <v>65</v>
      </c>
      <c r="G10421" t="s">
        <v>66</v>
      </c>
      <c r="H10421" t="s">
        <v>68</v>
      </c>
      <c r="I10421">
        <v>0</v>
      </c>
      <c r="J10421">
        <v>1</v>
      </c>
      <c r="K10421">
        <v>0</v>
      </c>
      <c r="L10421">
        <v>0</v>
      </c>
      <c r="M10421">
        <v>1</v>
      </c>
      <c r="N10421">
        <v>1</v>
      </c>
      <c r="O10421">
        <v>1</v>
      </c>
      <c r="P10421">
        <v>1</v>
      </c>
      <c r="Q10421">
        <v>1</v>
      </c>
      <c r="R10421">
        <v>1</v>
      </c>
    </row>
    <row r="10422" spans="1:18" x14ac:dyDescent="0.2">
      <c r="A10422" t="str">
        <f>"10418"</f>
        <v>10418</v>
      </c>
      <c r="B10422" t="str">
        <f t="shared" si="577"/>
        <v>1</v>
      </c>
      <c r="C10422" t="str">
        <f t="shared" si="579"/>
        <v>209</v>
      </c>
      <c r="D10422" t="str">
        <f>"20"</f>
        <v>20</v>
      </c>
      <c r="E10422" t="str">
        <f>"1-209-20"</f>
        <v>1-209-20</v>
      </c>
      <c r="F10422" t="s">
        <v>65</v>
      </c>
      <c r="G10422" t="s">
        <v>66</v>
      </c>
      <c r="H10422" t="s">
        <v>68</v>
      </c>
      <c r="I10422">
        <v>0</v>
      </c>
      <c r="J10422">
        <v>1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</row>
    <row r="10423" spans="1:18" x14ac:dyDescent="0.2">
      <c r="A10423" t="str">
        <f>"10419"</f>
        <v>10419</v>
      </c>
      <c r="B10423" t="str">
        <f t="shared" ref="B10423:B10486" si="580">"1"</f>
        <v>1</v>
      </c>
      <c r="C10423" t="str">
        <f t="shared" si="579"/>
        <v>209</v>
      </c>
      <c r="D10423" t="str">
        <f>"18"</f>
        <v>18</v>
      </c>
      <c r="E10423" t="str">
        <f>"1-209-18"</f>
        <v>1-209-18</v>
      </c>
      <c r="F10423" t="s">
        <v>65</v>
      </c>
      <c r="G10423" t="s">
        <v>66</v>
      </c>
      <c r="H10423" t="s">
        <v>68</v>
      </c>
      <c r="I10423">
        <v>1</v>
      </c>
      <c r="J10423">
        <v>0</v>
      </c>
      <c r="K10423">
        <v>1</v>
      </c>
      <c r="L10423">
        <v>0</v>
      </c>
      <c r="M10423">
        <v>1</v>
      </c>
      <c r="N10423">
        <v>1</v>
      </c>
      <c r="O10423">
        <v>1</v>
      </c>
      <c r="P10423">
        <v>1</v>
      </c>
      <c r="Q10423">
        <v>1</v>
      </c>
      <c r="R10423">
        <v>1</v>
      </c>
    </row>
    <row r="10424" spans="1:18" x14ac:dyDescent="0.2">
      <c r="A10424" t="str">
        <f>"10420"</f>
        <v>10420</v>
      </c>
      <c r="B10424" t="str">
        <f t="shared" si="580"/>
        <v>1</v>
      </c>
      <c r="C10424" t="str">
        <f t="shared" si="579"/>
        <v>209</v>
      </c>
      <c r="D10424" t="str">
        <f>"5"</f>
        <v>5</v>
      </c>
      <c r="E10424" t="str">
        <f>"1-209-5"</f>
        <v>1-209-5</v>
      </c>
      <c r="F10424" t="s">
        <v>65</v>
      </c>
      <c r="G10424" t="s">
        <v>66</v>
      </c>
      <c r="H10424" t="s">
        <v>68</v>
      </c>
      <c r="I10424">
        <v>1</v>
      </c>
      <c r="J10424">
        <v>0</v>
      </c>
      <c r="K10424">
        <v>0</v>
      </c>
      <c r="L10424">
        <v>1</v>
      </c>
      <c r="M10424">
        <v>1</v>
      </c>
      <c r="N10424">
        <v>1</v>
      </c>
      <c r="O10424">
        <v>1</v>
      </c>
      <c r="P10424">
        <v>1</v>
      </c>
      <c r="Q10424">
        <v>1</v>
      </c>
      <c r="R10424">
        <v>1</v>
      </c>
    </row>
    <row r="10425" spans="1:18" x14ac:dyDescent="0.2">
      <c r="A10425" t="str">
        <f>"10421"</f>
        <v>10421</v>
      </c>
      <c r="B10425" t="str">
        <f t="shared" si="580"/>
        <v>1</v>
      </c>
      <c r="C10425" t="str">
        <f t="shared" si="579"/>
        <v>209</v>
      </c>
      <c r="D10425" t="str">
        <f>"41"</f>
        <v>41</v>
      </c>
      <c r="E10425" t="str">
        <f>"1-209-41"</f>
        <v>1-209-41</v>
      </c>
      <c r="F10425" t="s">
        <v>65</v>
      </c>
      <c r="G10425" t="s">
        <v>66</v>
      </c>
      <c r="H10425" t="s">
        <v>68</v>
      </c>
      <c r="I10425">
        <v>0</v>
      </c>
      <c r="J10425">
        <v>1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</row>
    <row r="10426" spans="1:18" x14ac:dyDescent="0.2">
      <c r="A10426" t="str">
        <f>"10422"</f>
        <v>10422</v>
      </c>
      <c r="B10426" t="str">
        <f t="shared" si="580"/>
        <v>1</v>
      </c>
      <c r="C10426" t="str">
        <f t="shared" si="579"/>
        <v>209</v>
      </c>
      <c r="D10426" t="str">
        <f>"19"</f>
        <v>19</v>
      </c>
      <c r="E10426" t="str">
        <f>"1-209-19"</f>
        <v>1-209-19</v>
      </c>
      <c r="F10426" t="s">
        <v>65</v>
      </c>
      <c r="G10426" t="s">
        <v>66</v>
      </c>
      <c r="H10426" t="s">
        <v>68</v>
      </c>
      <c r="I10426">
        <v>1</v>
      </c>
      <c r="J10426">
        <v>0</v>
      </c>
      <c r="K10426">
        <v>1</v>
      </c>
      <c r="L10426">
        <v>0</v>
      </c>
      <c r="M10426">
        <v>1</v>
      </c>
      <c r="N10426">
        <v>1</v>
      </c>
      <c r="O10426">
        <v>1</v>
      </c>
      <c r="P10426">
        <v>1</v>
      </c>
      <c r="Q10426">
        <v>1</v>
      </c>
      <c r="R10426">
        <v>1</v>
      </c>
    </row>
    <row r="10427" spans="1:18" x14ac:dyDescent="0.2">
      <c r="A10427" t="str">
        <f>"10423"</f>
        <v>10423</v>
      </c>
      <c r="B10427" t="str">
        <f t="shared" si="580"/>
        <v>1</v>
      </c>
      <c r="C10427" t="str">
        <f t="shared" si="579"/>
        <v>209</v>
      </c>
      <c r="D10427" t="str">
        <f>"4"</f>
        <v>4</v>
      </c>
      <c r="E10427" t="str">
        <f>"1-209-4"</f>
        <v>1-209-4</v>
      </c>
      <c r="F10427" t="s">
        <v>65</v>
      </c>
      <c r="G10427" t="s">
        <v>66</v>
      </c>
      <c r="H10427" t="s">
        <v>68</v>
      </c>
      <c r="I10427">
        <v>1</v>
      </c>
      <c r="J10427">
        <v>0</v>
      </c>
      <c r="K10427">
        <v>0</v>
      </c>
      <c r="L10427">
        <v>1</v>
      </c>
      <c r="M10427">
        <v>1</v>
      </c>
      <c r="N10427">
        <v>1</v>
      </c>
      <c r="O10427">
        <v>1</v>
      </c>
      <c r="P10427">
        <v>1</v>
      </c>
      <c r="Q10427">
        <v>1</v>
      </c>
      <c r="R10427">
        <v>1</v>
      </c>
    </row>
    <row r="10428" spans="1:18" x14ac:dyDescent="0.2">
      <c r="A10428" t="str">
        <f>"10424"</f>
        <v>10424</v>
      </c>
      <c r="B10428" t="str">
        <f t="shared" si="580"/>
        <v>1</v>
      </c>
      <c r="C10428" t="str">
        <f t="shared" si="579"/>
        <v>209</v>
      </c>
      <c r="D10428" t="str">
        <f>"49"</f>
        <v>49</v>
      </c>
      <c r="E10428" t="str">
        <f>"1-209-49"</f>
        <v>1-209-49</v>
      </c>
      <c r="F10428" t="s">
        <v>65</v>
      </c>
      <c r="G10428" t="s">
        <v>66</v>
      </c>
      <c r="H10428" t="s">
        <v>68</v>
      </c>
      <c r="I10428">
        <v>1</v>
      </c>
      <c r="J10428">
        <v>0</v>
      </c>
      <c r="K10428">
        <v>0</v>
      </c>
      <c r="L10428">
        <v>1</v>
      </c>
      <c r="M10428">
        <v>1</v>
      </c>
      <c r="N10428">
        <v>1</v>
      </c>
      <c r="O10428">
        <v>1</v>
      </c>
      <c r="P10428">
        <v>1</v>
      </c>
      <c r="Q10428">
        <v>1</v>
      </c>
      <c r="R10428">
        <v>1</v>
      </c>
    </row>
    <row r="10429" spans="1:18" x14ac:dyDescent="0.2">
      <c r="A10429" t="str">
        <f>"10425"</f>
        <v>10425</v>
      </c>
      <c r="B10429" t="str">
        <f t="shared" si="580"/>
        <v>1</v>
      </c>
      <c r="C10429" t="str">
        <f t="shared" si="579"/>
        <v>209</v>
      </c>
      <c r="D10429" t="str">
        <f>"23"</f>
        <v>23</v>
      </c>
      <c r="E10429" t="str">
        <f>"1-209-23"</f>
        <v>1-209-23</v>
      </c>
      <c r="F10429" t="s">
        <v>65</v>
      </c>
      <c r="G10429" t="s">
        <v>66</v>
      </c>
      <c r="H10429" t="s">
        <v>68</v>
      </c>
      <c r="I10429">
        <v>1</v>
      </c>
      <c r="J10429">
        <v>0</v>
      </c>
      <c r="K10429">
        <v>0</v>
      </c>
      <c r="L10429">
        <v>1</v>
      </c>
      <c r="M10429">
        <v>1</v>
      </c>
      <c r="N10429">
        <v>1</v>
      </c>
      <c r="O10429">
        <v>1</v>
      </c>
      <c r="P10429">
        <v>1</v>
      </c>
      <c r="Q10429">
        <v>1</v>
      </c>
      <c r="R10429">
        <v>1</v>
      </c>
    </row>
    <row r="10430" spans="1:18" x14ac:dyDescent="0.2">
      <c r="A10430" t="str">
        <f>"10426"</f>
        <v>10426</v>
      </c>
      <c r="B10430" t="str">
        <f t="shared" si="580"/>
        <v>1</v>
      </c>
      <c r="C10430" t="str">
        <f t="shared" si="579"/>
        <v>209</v>
      </c>
      <c r="D10430" t="str">
        <f>"8"</f>
        <v>8</v>
      </c>
      <c r="E10430" t="str">
        <f>"1-209-8"</f>
        <v>1-209-8</v>
      </c>
      <c r="F10430" t="s">
        <v>65</v>
      </c>
      <c r="G10430" t="s">
        <v>66</v>
      </c>
      <c r="H10430" t="s">
        <v>68</v>
      </c>
      <c r="I10430">
        <v>1</v>
      </c>
      <c r="J10430">
        <v>1</v>
      </c>
      <c r="K10430">
        <v>0</v>
      </c>
      <c r="L10430">
        <v>0</v>
      </c>
      <c r="M10430">
        <v>1</v>
      </c>
      <c r="N10430">
        <v>1</v>
      </c>
      <c r="O10430">
        <v>1</v>
      </c>
      <c r="P10430">
        <v>1</v>
      </c>
      <c r="Q10430">
        <v>1</v>
      </c>
      <c r="R10430">
        <v>1</v>
      </c>
    </row>
    <row r="10431" spans="1:18" x14ac:dyDescent="0.2">
      <c r="A10431" t="str">
        <f>"10427"</f>
        <v>10427</v>
      </c>
      <c r="B10431" t="str">
        <f t="shared" si="580"/>
        <v>1</v>
      </c>
      <c r="C10431" t="str">
        <f t="shared" si="579"/>
        <v>209</v>
      </c>
      <c r="D10431" t="str">
        <f>"43"</f>
        <v>43</v>
      </c>
      <c r="E10431" t="str">
        <f>"1-209-43"</f>
        <v>1-209-43</v>
      </c>
      <c r="F10431" t="s">
        <v>65</v>
      </c>
      <c r="G10431" t="s">
        <v>66</v>
      </c>
      <c r="H10431" t="s">
        <v>68</v>
      </c>
      <c r="I10431">
        <v>1</v>
      </c>
      <c r="J10431">
        <v>0</v>
      </c>
      <c r="K10431">
        <v>0</v>
      </c>
      <c r="L10431">
        <v>1</v>
      </c>
      <c r="M10431">
        <v>1</v>
      </c>
      <c r="N10431">
        <v>1</v>
      </c>
      <c r="O10431">
        <v>1</v>
      </c>
      <c r="P10431">
        <v>1</v>
      </c>
      <c r="Q10431">
        <v>1</v>
      </c>
      <c r="R10431">
        <v>1</v>
      </c>
    </row>
    <row r="10432" spans="1:18" x14ac:dyDescent="0.2">
      <c r="A10432" t="str">
        <f>"10428"</f>
        <v>10428</v>
      </c>
      <c r="B10432" t="str">
        <f t="shared" si="580"/>
        <v>1</v>
      </c>
      <c r="C10432" t="str">
        <f t="shared" si="579"/>
        <v>209</v>
      </c>
      <c r="D10432" t="str">
        <f>"24"</f>
        <v>24</v>
      </c>
      <c r="E10432" t="str">
        <f>"1-209-24"</f>
        <v>1-209-24</v>
      </c>
      <c r="F10432" t="s">
        <v>65</v>
      </c>
      <c r="G10432" t="s">
        <v>66</v>
      </c>
      <c r="H10432" t="s">
        <v>68</v>
      </c>
      <c r="I10432">
        <v>1</v>
      </c>
      <c r="J10432">
        <v>1</v>
      </c>
      <c r="K10432">
        <v>0</v>
      </c>
      <c r="L10432">
        <v>0</v>
      </c>
      <c r="M10432">
        <v>1</v>
      </c>
      <c r="N10432">
        <v>1</v>
      </c>
      <c r="O10432">
        <v>1</v>
      </c>
      <c r="P10432">
        <v>1</v>
      </c>
      <c r="Q10432">
        <v>1</v>
      </c>
      <c r="R10432">
        <v>1</v>
      </c>
    </row>
    <row r="10433" spans="1:18" x14ac:dyDescent="0.2">
      <c r="A10433" t="str">
        <f>"10429"</f>
        <v>10429</v>
      </c>
      <c r="B10433" t="str">
        <f t="shared" si="580"/>
        <v>1</v>
      </c>
      <c r="C10433" t="str">
        <f t="shared" si="579"/>
        <v>209</v>
      </c>
      <c r="D10433" t="str">
        <f>"10"</f>
        <v>10</v>
      </c>
      <c r="E10433" t="str">
        <f>"1-209-10"</f>
        <v>1-209-10</v>
      </c>
      <c r="F10433" t="s">
        <v>65</v>
      </c>
      <c r="G10433" t="s">
        <v>66</v>
      </c>
      <c r="H10433" t="s">
        <v>68</v>
      </c>
      <c r="I10433">
        <v>1</v>
      </c>
      <c r="J10433">
        <v>0</v>
      </c>
      <c r="K10433">
        <v>0</v>
      </c>
      <c r="L10433">
        <v>1</v>
      </c>
      <c r="M10433">
        <v>1</v>
      </c>
      <c r="N10433">
        <v>1</v>
      </c>
      <c r="O10433">
        <v>1</v>
      </c>
      <c r="P10433">
        <v>1</v>
      </c>
      <c r="Q10433">
        <v>1</v>
      </c>
      <c r="R10433">
        <v>1</v>
      </c>
    </row>
    <row r="10434" spans="1:18" x14ac:dyDescent="0.2">
      <c r="A10434" t="str">
        <f>"10430"</f>
        <v>10430</v>
      </c>
      <c r="B10434" t="str">
        <f t="shared" si="580"/>
        <v>1</v>
      </c>
      <c r="C10434" t="str">
        <f t="shared" si="579"/>
        <v>209</v>
      </c>
      <c r="D10434" t="str">
        <f>"45"</f>
        <v>45</v>
      </c>
      <c r="E10434" t="str">
        <f>"1-209-45"</f>
        <v>1-209-45</v>
      </c>
      <c r="F10434" t="s">
        <v>65</v>
      </c>
      <c r="G10434" t="s">
        <v>66</v>
      </c>
      <c r="H10434" t="s">
        <v>68</v>
      </c>
      <c r="I10434">
        <v>1</v>
      </c>
      <c r="J10434">
        <v>0</v>
      </c>
      <c r="K10434">
        <v>0</v>
      </c>
      <c r="L10434">
        <v>1</v>
      </c>
      <c r="M10434">
        <v>1</v>
      </c>
      <c r="N10434">
        <v>1</v>
      </c>
      <c r="O10434">
        <v>1</v>
      </c>
      <c r="P10434">
        <v>1</v>
      </c>
      <c r="Q10434">
        <v>1</v>
      </c>
      <c r="R10434">
        <v>1</v>
      </c>
    </row>
    <row r="10435" spans="1:18" x14ac:dyDescent="0.2">
      <c r="A10435" t="str">
        <f>"10431"</f>
        <v>10431</v>
      </c>
      <c r="B10435" t="str">
        <f t="shared" si="580"/>
        <v>1</v>
      </c>
      <c r="C10435" t="str">
        <f t="shared" si="579"/>
        <v>209</v>
      </c>
      <c r="D10435" t="str">
        <f>"26"</f>
        <v>26</v>
      </c>
      <c r="E10435" t="str">
        <f>"1-209-26"</f>
        <v>1-209-26</v>
      </c>
      <c r="F10435" t="s">
        <v>65</v>
      </c>
      <c r="G10435" t="s">
        <v>66</v>
      </c>
      <c r="H10435" t="s">
        <v>68</v>
      </c>
      <c r="I10435">
        <v>1</v>
      </c>
      <c r="J10435">
        <v>0</v>
      </c>
      <c r="K10435">
        <v>0</v>
      </c>
      <c r="L10435">
        <v>1</v>
      </c>
      <c r="M10435">
        <v>1</v>
      </c>
      <c r="N10435">
        <v>1</v>
      </c>
      <c r="O10435">
        <v>1</v>
      </c>
      <c r="P10435">
        <v>1</v>
      </c>
      <c r="Q10435">
        <v>1</v>
      </c>
      <c r="R10435">
        <v>1</v>
      </c>
    </row>
    <row r="10436" spans="1:18" x14ac:dyDescent="0.2">
      <c r="A10436" t="str">
        <f>"10432"</f>
        <v>10432</v>
      </c>
      <c r="B10436" t="str">
        <f t="shared" si="580"/>
        <v>1</v>
      </c>
      <c r="C10436" t="str">
        <f t="shared" si="579"/>
        <v>209</v>
      </c>
      <c r="D10436" t="str">
        <f>"13"</f>
        <v>13</v>
      </c>
      <c r="E10436" t="str">
        <f>"1-209-13"</f>
        <v>1-209-13</v>
      </c>
      <c r="F10436" t="s">
        <v>65</v>
      </c>
      <c r="G10436" t="s">
        <v>66</v>
      </c>
      <c r="H10436" t="s">
        <v>68</v>
      </c>
      <c r="I10436">
        <v>1</v>
      </c>
      <c r="J10436">
        <v>0</v>
      </c>
      <c r="K10436">
        <v>0</v>
      </c>
      <c r="L10436">
        <v>1</v>
      </c>
      <c r="M10436">
        <v>1</v>
      </c>
      <c r="N10436">
        <v>1</v>
      </c>
      <c r="O10436">
        <v>1</v>
      </c>
      <c r="P10436">
        <v>1</v>
      </c>
      <c r="Q10436">
        <v>1</v>
      </c>
      <c r="R10436">
        <v>1</v>
      </c>
    </row>
    <row r="10437" spans="1:18" x14ac:dyDescent="0.2">
      <c r="A10437" t="str">
        <f>"10433"</f>
        <v>10433</v>
      </c>
      <c r="B10437" t="str">
        <f t="shared" si="580"/>
        <v>1</v>
      </c>
      <c r="C10437" t="str">
        <f t="shared" ref="C10437:C10454" si="581">"209"</f>
        <v>209</v>
      </c>
      <c r="D10437" t="str">
        <f>"50"</f>
        <v>50</v>
      </c>
      <c r="E10437" t="str">
        <f>"1-209-50"</f>
        <v>1-209-50</v>
      </c>
      <c r="F10437" t="s">
        <v>65</v>
      </c>
      <c r="G10437" t="s">
        <v>66</v>
      </c>
      <c r="H10437" t="s">
        <v>68</v>
      </c>
      <c r="I10437">
        <v>1</v>
      </c>
      <c r="J10437">
        <v>0</v>
      </c>
      <c r="K10437">
        <v>0</v>
      </c>
      <c r="L10437">
        <v>1</v>
      </c>
      <c r="M10437">
        <v>1</v>
      </c>
      <c r="N10437">
        <v>1</v>
      </c>
      <c r="O10437">
        <v>1</v>
      </c>
      <c r="P10437">
        <v>1</v>
      </c>
      <c r="Q10437">
        <v>1</v>
      </c>
      <c r="R10437">
        <v>1</v>
      </c>
    </row>
    <row r="10438" spans="1:18" x14ac:dyDescent="0.2">
      <c r="A10438" t="str">
        <f>"10434"</f>
        <v>10434</v>
      </c>
      <c r="B10438" t="str">
        <f t="shared" si="580"/>
        <v>1</v>
      </c>
      <c r="C10438" t="str">
        <f t="shared" si="581"/>
        <v>209</v>
      </c>
      <c r="D10438" t="str">
        <f>"27"</f>
        <v>27</v>
      </c>
      <c r="E10438" t="str">
        <f>"1-209-27"</f>
        <v>1-209-27</v>
      </c>
      <c r="F10438" t="s">
        <v>65</v>
      </c>
      <c r="G10438" t="s">
        <v>66</v>
      </c>
      <c r="H10438" t="s">
        <v>68</v>
      </c>
      <c r="I10438">
        <v>1</v>
      </c>
      <c r="J10438">
        <v>0</v>
      </c>
      <c r="K10438">
        <v>0</v>
      </c>
      <c r="L10438">
        <v>1</v>
      </c>
      <c r="M10438">
        <v>1</v>
      </c>
      <c r="N10438">
        <v>1</v>
      </c>
      <c r="O10438">
        <v>1</v>
      </c>
      <c r="P10438">
        <v>1</v>
      </c>
      <c r="Q10438">
        <v>1</v>
      </c>
      <c r="R10438">
        <v>1</v>
      </c>
    </row>
    <row r="10439" spans="1:18" x14ac:dyDescent="0.2">
      <c r="A10439" t="str">
        <f>"10435"</f>
        <v>10435</v>
      </c>
      <c r="B10439" t="str">
        <f t="shared" si="580"/>
        <v>1</v>
      </c>
      <c r="C10439" t="str">
        <f t="shared" si="581"/>
        <v>209</v>
      </c>
      <c r="D10439" t="str">
        <f>"12"</f>
        <v>12</v>
      </c>
      <c r="E10439" t="str">
        <f>"1-209-12"</f>
        <v>1-209-12</v>
      </c>
      <c r="F10439" t="s">
        <v>65</v>
      </c>
      <c r="G10439" t="s">
        <v>66</v>
      </c>
      <c r="H10439" t="s">
        <v>68</v>
      </c>
      <c r="I10439">
        <v>1</v>
      </c>
      <c r="J10439">
        <v>1</v>
      </c>
      <c r="K10439">
        <v>0</v>
      </c>
      <c r="L10439">
        <v>0</v>
      </c>
      <c r="M10439">
        <v>1</v>
      </c>
      <c r="N10439">
        <v>1</v>
      </c>
      <c r="O10439">
        <v>1</v>
      </c>
      <c r="P10439">
        <v>1</v>
      </c>
      <c r="Q10439">
        <v>1</v>
      </c>
      <c r="R10439">
        <v>1</v>
      </c>
    </row>
    <row r="10440" spans="1:18" x14ac:dyDescent="0.2">
      <c r="A10440" t="str">
        <f>"10436"</f>
        <v>10436</v>
      </c>
      <c r="B10440" t="str">
        <f t="shared" si="580"/>
        <v>1</v>
      </c>
      <c r="C10440" t="str">
        <f t="shared" si="581"/>
        <v>209</v>
      </c>
      <c r="D10440" t="str">
        <f>"42"</f>
        <v>42</v>
      </c>
      <c r="E10440" t="str">
        <f>"1-209-42"</f>
        <v>1-209-42</v>
      </c>
      <c r="F10440" t="s">
        <v>65</v>
      </c>
      <c r="G10440" t="s">
        <v>66</v>
      </c>
      <c r="H10440" t="s">
        <v>68</v>
      </c>
      <c r="I10440">
        <v>1</v>
      </c>
      <c r="J10440">
        <v>0</v>
      </c>
      <c r="K10440">
        <v>0</v>
      </c>
      <c r="L10440">
        <v>0</v>
      </c>
      <c r="M10440">
        <v>1</v>
      </c>
      <c r="N10440">
        <v>1</v>
      </c>
      <c r="O10440">
        <v>1</v>
      </c>
      <c r="P10440">
        <v>1</v>
      </c>
      <c r="Q10440">
        <v>1</v>
      </c>
      <c r="R10440">
        <v>1</v>
      </c>
    </row>
    <row r="10441" spans="1:18" x14ac:dyDescent="0.2">
      <c r="A10441" t="str">
        <f>"10437"</f>
        <v>10437</v>
      </c>
      <c r="B10441" t="str">
        <f t="shared" si="580"/>
        <v>1</v>
      </c>
      <c r="C10441" t="str">
        <f t="shared" si="581"/>
        <v>209</v>
      </c>
      <c r="D10441" t="str">
        <f>"28"</f>
        <v>28</v>
      </c>
      <c r="E10441" t="str">
        <f>"1-209-28"</f>
        <v>1-209-28</v>
      </c>
      <c r="F10441" t="s">
        <v>65</v>
      </c>
      <c r="G10441" t="s">
        <v>66</v>
      </c>
      <c r="H10441" t="s">
        <v>68</v>
      </c>
      <c r="I10441">
        <v>1</v>
      </c>
      <c r="J10441">
        <v>0</v>
      </c>
      <c r="K10441">
        <v>0</v>
      </c>
      <c r="L10441">
        <v>1</v>
      </c>
      <c r="M10441">
        <v>1</v>
      </c>
      <c r="N10441">
        <v>1</v>
      </c>
      <c r="O10441">
        <v>1</v>
      </c>
      <c r="P10441">
        <v>1</v>
      </c>
      <c r="Q10441">
        <v>1</v>
      </c>
      <c r="R10441">
        <v>1</v>
      </c>
    </row>
    <row r="10442" spans="1:18" x14ac:dyDescent="0.2">
      <c r="A10442" t="str">
        <f>"10438"</f>
        <v>10438</v>
      </c>
      <c r="B10442" t="str">
        <f t="shared" si="580"/>
        <v>1</v>
      </c>
      <c r="C10442" t="str">
        <f t="shared" si="581"/>
        <v>209</v>
      </c>
      <c r="D10442" t="str">
        <f>"14"</f>
        <v>14</v>
      </c>
      <c r="E10442" t="str">
        <f>"1-209-14"</f>
        <v>1-209-14</v>
      </c>
      <c r="F10442" t="s">
        <v>65</v>
      </c>
      <c r="G10442" t="s">
        <v>66</v>
      </c>
      <c r="H10442" t="s">
        <v>68</v>
      </c>
      <c r="I10442">
        <v>1</v>
      </c>
      <c r="J10442">
        <v>0</v>
      </c>
      <c r="K10442">
        <v>0</v>
      </c>
      <c r="L10442">
        <v>1</v>
      </c>
      <c r="M10442">
        <v>1</v>
      </c>
      <c r="N10442">
        <v>1</v>
      </c>
      <c r="O10442">
        <v>1</v>
      </c>
      <c r="P10442">
        <v>1</v>
      </c>
      <c r="Q10442">
        <v>1</v>
      </c>
      <c r="R10442">
        <v>1</v>
      </c>
    </row>
    <row r="10443" spans="1:18" x14ac:dyDescent="0.2">
      <c r="A10443" t="str">
        <f>"10439"</f>
        <v>10439</v>
      </c>
      <c r="B10443" t="str">
        <f t="shared" si="580"/>
        <v>1</v>
      </c>
      <c r="C10443" t="str">
        <f t="shared" si="581"/>
        <v>209</v>
      </c>
      <c r="D10443" t="str">
        <f>"47"</f>
        <v>47</v>
      </c>
      <c r="E10443" t="str">
        <f>"1-209-47"</f>
        <v>1-209-47</v>
      </c>
      <c r="F10443" t="s">
        <v>65</v>
      </c>
      <c r="G10443" t="s">
        <v>66</v>
      </c>
      <c r="H10443" t="s">
        <v>68</v>
      </c>
      <c r="I10443">
        <v>1</v>
      </c>
      <c r="J10443">
        <v>0</v>
      </c>
      <c r="K10443">
        <v>0</v>
      </c>
      <c r="L10443">
        <v>0</v>
      </c>
      <c r="M10443">
        <v>1</v>
      </c>
      <c r="N10443">
        <v>0</v>
      </c>
      <c r="O10443">
        <v>0</v>
      </c>
      <c r="P10443">
        <v>0</v>
      </c>
      <c r="Q10443">
        <v>0</v>
      </c>
      <c r="R10443">
        <v>0</v>
      </c>
    </row>
    <row r="10444" spans="1:18" x14ac:dyDescent="0.2">
      <c r="A10444" t="str">
        <f>"10440"</f>
        <v>10440</v>
      </c>
      <c r="B10444" t="str">
        <f t="shared" si="580"/>
        <v>1</v>
      </c>
      <c r="C10444" t="str">
        <f t="shared" si="581"/>
        <v>209</v>
      </c>
      <c r="D10444" t="str">
        <f>"29"</f>
        <v>29</v>
      </c>
      <c r="E10444" t="str">
        <f>"1-209-29"</f>
        <v>1-209-29</v>
      </c>
      <c r="F10444" t="s">
        <v>65</v>
      </c>
      <c r="G10444" t="s">
        <v>66</v>
      </c>
      <c r="H10444" t="s">
        <v>68</v>
      </c>
      <c r="I10444">
        <v>1</v>
      </c>
      <c r="J10444">
        <v>1</v>
      </c>
      <c r="K10444">
        <v>0</v>
      </c>
      <c r="L10444">
        <v>0</v>
      </c>
      <c r="M10444">
        <v>1</v>
      </c>
      <c r="N10444">
        <v>1</v>
      </c>
      <c r="O10444">
        <v>1</v>
      </c>
      <c r="P10444">
        <v>1</v>
      </c>
      <c r="Q10444">
        <v>1</v>
      </c>
      <c r="R10444">
        <v>1</v>
      </c>
    </row>
    <row r="10445" spans="1:18" x14ac:dyDescent="0.2">
      <c r="A10445" t="str">
        <f>"10441"</f>
        <v>10441</v>
      </c>
      <c r="B10445" t="str">
        <f t="shared" si="580"/>
        <v>1</v>
      </c>
      <c r="C10445" t="str">
        <f t="shared" si="581"/>
        <v>209</v>
      </c>
      <c r="D10445" t="str">
        <f>"6"</f>
        <v>6</v>
      </c>
      <c r="E10445" t="str">
        <f>"1-209-6"</f>
        <v>1-209-6</v>
      </c>
      <c r="F10445" t="s">
        <v>65</v>
      </c>
      <c r="G10445" t="s">
        <v>66</v>
      </c>
      <c r="H10445" t="s">
        <v>68</v>
      </c>
      <c r="I10445">
        <v>1</v>
      </c>
      <c r="J10445">
        <v>1</v>
      </c>
      <c r="K10445">
        <v>0</v>
      </c>
      <c r="L10445">
        <v>0</v>
      </c>
      <c r="M10445">
        <v>1</v>
      </c>
      <c r="N10445">
        <v>1</v>
      </c>
      <c r="O10445">
        <v>1</v>
      </c>
      <c r="P10445">
        <v>1</v>
      </c>
      <c r="Q10445">
        <v>1</v>
      </c>
      <c r="R10445">
        <v>1</v>
      </c>
    </row>
    <row r="10446" spans="1:18" x14ac:dyDescent="0.2">
      <c r="A10446" t="str">
        <f>"10442"</f>
        <v>10442</v>
      </c>
      <c r="B10446" t="str">
        <f t="shared" si="580"/>
        <v>1</v>
      </c>
      <c r="C10446" t="str">
        <f t="shared" si="581"/>
        <v>209</v>
      </c>
      <c r="D10446" t="str">
        <f>"44"</f>
        <v>44</v>
      </c>
      <c r="E10446" t="str">
        <f>"1-209-44"</f>
        <v>1-209-44</v>
      </c>
      <c r="F10446" t="s">
        <v>65</v>
      </c>
      <c r="G10446" t="s">
        <v>66</v>
      </c>
      <c r="H10446" t="s">
        <v>68</v>
      </c>
      <c r="I10446">
        <v>0</v>
      </c>
      <c r="J10446">
        <v>1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</row>
    <row r="10447" spans="1:18" x14ac:dyDescent="0.2">
      <c r="A10447" t="str">
        <f>"10443"</f>
        <v>10443</v>
      </c>
      <c r="B10447" t="str">
        <f t="shared" si="580"/>
        <v>1</v>
      </c>
      <c r="C10447" t="str">
        <f t="shared" si="581"/>
        <v>209</v>
      </c>
      <c r="D10447" t="str">
        <f>"30"</f>
        <v>30</v>
      </c>
      <c r="E10447" t="str">
        <f>"1-209-30"</f>
        <v>1-209-30</v>
      </c>
      <c r="F10447" t="s">
        <v>65</v>
      </c>
      <c r="G10447" t="s">
        <v>66</v>
      </c>
      <c r="H10447" t="s">
        <v>68</v>
      </c>
      <c r="I10447">
        <v>1</v>
      </c>
      <c r="J10447">
        <v>0</v>
      </c>
      <c r="K10447">
        <v>0</v>
      </c>
      <c r="L10447">
        <v>1</v>
      </c>
      <c r="M10447">
        <v>1</v>
      </c>
      <c r="N10447">
        <v>1</v>
      </c>
      <c r="O10447">
        <v>1</v>
      </c>
      <c r="P10447">
        <v>1</v>
      </c>
      <c r="Q10447">
        <v>1</v>
      </c>
      <c r="R10447">
        <v>1</v>
      </c>
    </row>
    <row r="10448" spans="1:18" x14ac:dyDescent="0.2">
      <c r="A10448" t="str">
        <f>"10444"</f>
        <v>10444</v>
      </c>
      <c r="B10448" t="str">
        <f t="shared" si="580"/>
        <v>1</v>
      </c>
      <c r="C10448" t="str">
        <f t="shared" si="581"/>
        <v>209</v>
      </c>
      <c r="D10448" t="str">
        <f>"2"</f>
        <v>2</v>
      </c>
      <c r="E10448" t="str">
        <f>"1-209-2"</f>
        <v>1-209-2</v>
      </c>
      <c r="F10448" t="s">
        <v>65</v>
      </c>
      <c r="G10448" t="s">
        <v>66</v>
      </c>
      <c r="H10448" t="s">
        <v>68</v>
      </c>
      <c r="I10448">
        <v>1</v>
      </c>
      <c r="J10448">
        <v>0</v>
      </c>
      <c r="K10448">
        <v>0</v>
      </c>
      <c r="L10448">
        <v>1</v>
      </c>
      <c r="M10448">
        <v>1</v>
      </c>
      <c r="N10448">
        <v>1</v>
      </c>
      <c r="O10448">
        <v>1</v>
      </c>
      <c r="P10448">
        <v>1</v>
      </c>
      <c r="Q10448">
        <v>1</v>
      </c>
      <c r="R10448">
        <v>1</v>
      </c>
    </row>
    <row r="10449" spans="1:18" x14ac:dyDescent="0.2">
      <c r="A10449" t="str">
        <f>"10445"</f>
        <v>10445</v>
      </c>
      <c r="B10449" t="str">
        <f t="shared" si="580"/>
        <v>1</v>
      </c>
      <c r="C10449" t="str">
        <f t="shared" si="581"/>
        <v>209</v>
      </c>
      <c r="D10449" t="str">
        <f>"48"</f>
        <v>48</v>
      </c>
      <c r="E10449" t="str">
        <f>"1-209-48"</f>
        <v>1-209-48</v>
      </c>
      <c r="F10449" t="s">
        <v>65</v>
      </c>
      <c r="G10449" t="s">
        <v>66</v>
      </c>
      <c r="H10449" t="s">
        <v>68</v>
      </c>
      <c r="I10449">
        <v>1</v>
      </c>
      <c r="J10449">
        <v>0</v>
      </c>
      <c r="K10449">
        <v>0</v>
      </c>
      <c r="L10449">
        <v>1</v>
      </c>
      <c r="M10449">
        <v>1</v>
      </c>
      <c r="N10449">
        <v>1</v>
      </c>
      <c r="O10449">
        <v>1</v>
      </c>
      <c r="P10449">
        <v>1</v>
      </c>
      <c r="Q10449">
        <v>1</v>
      </c>
      <c r="R10449">
        <v>1</v>
      </c>
    </row>
    <row r="10450" spans="1:18" x14ac:dyDescent="0.2">
      <c r="A10450" t="str">
        <f>"10446"</f>
        <v>10446</v>
      </c>
      <c r="B10450" t="str">
        <f t="shared" si="580"/>
        <v>1</v>
      </c>
      <c r="C10450" t="str">
        <f t="shared" si="581"/>
        <v>209</v>
      </c>
      <c r="D10450" t="str">
        <f>"31"</f>
        <v>31</v>
      </c>
      <c r="E10450" t="str">
        <f>"1-209-31"</f>
        <v>1-209-31</v>
      </c>
      <c r="F10450" t="s">
        <v>65</v>
      </c>
      <c r="G10450" t="s">
        <v>66</v>
      </c>
      <c r="H10450" t="s">
        <v>68</v>
      </c>
      <c r="I10450">
        <v>1</v>
      </c>
      <c r="J10450">
        <v>0</v>
      </c>
      <c r="K10450">
        <v>1</v>
      </c>
      <c r="L10450">
        <v>0</v>
      </c>
      <c r="M10450">
        <v>1</v>
      </c>
      <c r="N10450">
        <v>1</v>
      </c>
      <c r="O10450">
        <v>1</v>
      </c>
      <c r="P10450">
        <v>1</v>
      </c>
      <c r="Q10450">
        <v>1</v>
      </c>
      <c r="R10450">
        <v>1</v>
      </c>
    </row>
    <row r="10451" spans="1:18" x14ac:dyDescent="0.2">
      <c r="A10451" t="str">
        <f>"10447"</f>
        <v>10447</v>
      </c>
      <c r="B10451" t="str">
        <f t="shared" si="580"/>
        <v>1</v>
      </c>
      <c r="C10451" t="str">
        <f t="shared" si="581"/>
        <v>209</v>
      </c>
      <c r="D10451" t="str">
        <f>"7"</f>
        <v>7</v>
      </c>
      <c r="E10451" t="str">
        <f>"1-209-7"</f>
        <v>1-209-7</v>
      </c>
      <c r="F10451" t="s">
        <v>65</v>
      </c>
      <c r="G10451" t="s">
        <v>66</v>
      </c>
      <c r="H10451" t="s">
        <v>68</v>
      </c>
      <c r="I10451">
        <v>1</v>
      </c>
      <c r="J10451">
        <v>0</v>
      </c>
      <c r="K10451">
        <v>1</v>
      </c>
      <c r="L10451">
        <v>0</v>
      </c>
      <c r="M10451">
        <v>1</v>
      </c>
      <c r="N10451">
        <v>1</v>
      </c>
      <c r="O10451">
        <v>1</v>
      </c>
      <c r="P10451">
        <v>1</v>
      </c>
      <c r="Q10451">
        <v>1</v>
      </c>
      <c r="R10451">
        <v>1</v>
      </c>
    </row>
    <row r="10452" spans="1:18" x14ac:dyDescent="0.2">
      <c r="A10452" t="str">
        <f>"10448"</f>
        <v>10448</v>
      </c>
      <c r="B10452" t="str">
        <f t="shared" si="580"/>
        <v>1</v>
      </c>
      <c r="C10452" t="str">
        <f t="shared" si="581"/>
        <v>209</v>
      </c>
      <c r="D10452" t="str">
        <f>"46"</f>
        <v>46</v>
      </c>
      <c r="E10452" t="str">
        <f>"1-209-46"</f>
        <v>1-209-46</v>
      </c>
      <c r="F10452" t="s">
        <v>65</v>
      </c>
      <c r="G10452" t="s">
        <v>66</v>
      </c>
      <c r="H10452" t="s">
        <v>68</v>
      </c>
      <c r="I10452">
        <v>1</v>
      </c>
      <c r="J10452">
        <v>0</v>
      </c>
      <c r="K10452">
        <v>0</v>
      </c>
      <c r="L10452">
        <v>1</v>
      </c>
      <c r="M10452">
        <v>1</v>
      </c>
      <c r="N10452">
        <v>1</v>
      </c>
      <c r="O10452">
        <v>1</v>
      </c>
      <c r="P10452">
        <v>1</v>
      </c>
      <c r="Q10452">
        <v>1</v>
      </c>
      <c r="R10452">
        <v>1</v>
      </c>
    </row>
    <row r="10453" spans="1:18" x14ac:dyDescent="0.2">
      <c r="A10453" t="str">
        <f>"10449"</f>
        <v>10449</v>
      </c>
      <c r="B10453" t="str">
        <f t="shared" si="580"/>
        <v>1</v>
      </c>
      <c r="C10453" t="str">
        <f t="shared" si="581"/>
        <v>209</v>
      </c>
      <c r="D10453" t="str">
        <f>"32"</f>
        <v>32</v>
      </c>
      <c r="E10453" t="str">
        <f>"1-209-32"</f>
        <v>1-209-32</v>
      </c>
      <c r="F10453" t="s">
        <v>65</v>
      </c>
      <c r="G10453" t="s">
        <v>66</v>
      </c>
      <c r="H10453" t="s">
        <v>68</v>
      </c>
      <c r="I10453">
        <v>1</v>
      </c>
      <c r="J10453">
        <v>0</v>
      </c>
      <c r="K10453">
        <v>0</v>
      </c>
      <c r="L10453">
        <v>1</v>
      </c>
      <c r="M10453">
        <v>1</v>
      </c>
      <c r="N10453">
        <v>1</v>
      </c>
      <c r="O10453">
        <v>1</v>
      </c>
      <c r="P10453">
        <v>1</v>
      </c>
      <c r="Q10453">
        <v>1</v>
      </c>
      <c r="R10453">
        <v>1</v>
      </c>
    </row>
    <row r="10454" spans="1:18" x14ac:dyDescent="0.2">
      <c r="A10454" t="str">
        <f>"10450"</f>
        <v>10450</v>
      </c>
      <c r="B10454" t="str">
        <f t="shared" si="580"/>
        <v>1</v>
      </c>
      <c r="C10454" t="str">
        <f t="shared" si="581"/>
        <v>209</v>
      </c>
      <c r="D10454" t="str">
        <f>"9"</f>
        <v>9</v>
      </c>
      <c r="E10454" t="str">
        <f>"1-209-9"</f>
        <v>1-209-9</v>
      </c>
      <c r="F10454" t="s">
        <v>65</v>
      </c>
      <c r="G10454" t="s">
        <v>66</v>
      </c>
      <c r="H10454" t="s">
        <v>68</v>
      </c>
      <c r="I10454">
        <v>1</v>
      </c>
      <c r="J10454">
        <v>1</v>
      </c>
      <c r="K10454">
        <v>0</v>
      </c>
      <c r="L10454">
        <v>0</v>
      </c>
      <c r="M10454">
        <v>1</v>
      </c>
      <c r="N10454">
        <v>1</v>
      </c>
      <c r="O10454">
        <v>1</v>
      </c>
      <c r="P10454">
        <v>1</v>
      </c>
      <c r="Q10454">
        <v>1</v>
      </c>
      <c r="R10454">
        <v>1</v>
      </c>
    </row>
    <row r="10455" spans="1:18" x14ac:dyDescent="0.2">
      <c r="A10455" t="str">
        <f>"10451"</f>
        <v>10451</v>
      </c>
      <c r="B10455" t="str">
        <f t="shared" si="580"/>
        <v>1</v>
      </c>
      <c r="C10455" t="str">
        <f t="shared" ref="C10455:C10486" si="582">"210"</f>
        <v>210</v>
      </c>
      <c r="D10455" t="str">
        <f>"38"</f>
        <v>38</v>
      </c>
      <c r="E10455" t="str">
        <f>"1-210-38"</f>
        <v>1-210-38</v>
      </c>
      <c r="F10455" t="s">
        <v>65</v>
      </c>
      <c r="G10455" t="s">
        <v>66</v>
      </c>
      <c r="H10455" t="s">
        <v>68</v>
      </c>
      <c r="I10455">
        <v>1</v>
      </c>
      <c r="J10455">
        <v>0</v>
      </c>
      <c r="K10455">
        <v>0</v>
      </c>
      <c r="L10455">
        <v>1</v>
      </c>
      <c r="M10455">
        <v>1</v>
      </c>
      <c r="N10455">
        <v>1</v>
      </c>
      <c r="O10455">
        <v>1</v>
      </c>
      <c r="P10455">
        <v>1</v>
      </c>
      <c r="Q10455">
        <v>1</v>
      </c>
      <c r="R10455">
        <v>1</v>
      </c>
    </row>
    <row r="10456" spans="1:18" x14ac:dyDescent="0.2">
      <c r="A10456" t="str">
        <f>"10452"</f>
        <v>10452</v>
      </c>
      <c r="B10456" t="str">
        <f t="shared" si="580"/>
        <v>1</v>
      </c>
      <c r="C10456" t="str">
        <f t="shared" si="582"/>
        <v>210</v>
      </c>
      <c r="D10456" t="str">
        <f>"37"</f>
        <v>37</v>
      </c>
      <c r="E10456" t="str">
        <f>"1-210-37"</f>
        <v>1-210-37</v>
      </c>
      <c r="F10456" t="s">
        <v>65</v>
      </c>
      <c r="G10456" t="s">
        <v>66</v>
      </c>
      <c r="H10456" t="s">
        <v>68</v>
      </c>
      <c r="I10456">
        <v>1</v>
      </c>
      <c r="J10456">
        <v>0</v>
      </c>
      <c r="K10456">
        <v>0</v>
      </c>
      <c r="L10456">
        <v>1</v>
      </c>
      <c r="M10456">
        <v>1</v>
      </c>
      <c r="N10456">
        <v>1</v>
      </c>
      <c r="O10456">
        <v>1</v>
      </c>
      <c r="P10456">
        <v>1</v>
      </c>
      <c r="Q10456">
        <v>1</v>
      </c>
      <c r="R10456">
        <v>1</v>
      </c>
    </row>
    <row r="10457" spans="1:18" x14ac:dyDescent="0.2">
      <c r="A10457" t="str">
        <f>"10453"</f>
        <v>10453</v>
      </c>
      <c r="B10457" t="str">
        <f t="shared" si="580"/>
        <v>1</v>
      </c>
      <c r="C10457" t="str">
        <f t="shared" si="582"/>
        <v>210</v>
      </c>
      <c r="D10457" t="str">
        <f>"21"</f>
        <v>21</v>
      </c>
      <c r="E10457" t="str">
        <f>"1-210-21"</f>
        <v>1-210-21</v>
      </c>
      <c r="F10457" t="s">
        <v>65</v>
      </c>
      <c r="G10457" t="s">
        <v>66</v>
      </c>
      <c r="H10457" t="s">
        <v>68</v>
      </c>
      <c r="I10457">
        <v>1</v>
      </c>
      <c r="J10457">
        <v>0</v>
      </c>
      <c r="K10457">
        <v>0</v>
      </c>
      <c r="L10457">
        <v>1</v>
      </c>
      <c r="M10457">
        <v>1</v>
      </c>
      <c r="N10457">
        <v>1</v>
      </c>
      <c r="O10457">
        <v>1</v>
      </c>
      <c r="P10457">
        <v>1</v>
      </c>
      <c r="Q10457">
        <v>1</v>
      </c>
      <c r="R10457">
        <v>1</v>
      </c>
    </row>
    <row r="10458" spans="1:18" x14ac:dyDescent="0.2">
      <c r="A10458" t="str">
        <f>"10454"</f>
        <v>10454</v>
      </c>
      <c r="B10458" t="str">
        <f t="shared" si="580"/>
        <v>1</v>
      </c>
      <c r="C10458" t="str">
        <f t="shared" si="582"/>
        <v>210</v>
      </c>
      <c r="D10458" t="str">
        <f>"15"</f>
        <v>15</v>
      </c>
      <c r="E10458" t="str">
        <f>"1-210-15"</f>
        <v>1-210-15</v>
      </c>
      <c r="F10458" t="s">
        <v>65</v>
      </c>
      <c r="G10458" t="s">
        <v>66</v>
      </c>
      <c r="H10458" t="s">
        <v>68</v>
      </c>
      <c r="I10458">
        <v>1</v>
      </c>
      <c r="J10458">
        <v>0</v>
      </c>
      <c r="K10458">
        <v>0</v>
      </c>
      <c r="L10458">
        <v>1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</row>
    <row r="10459" spans="1:18" x14ac:dyDescent="0.2">
      <c r="A10459" t="str">
        <f>"10455"</f>
        <v>10455</v>
      </c>
      <c r="B10459" t="str">
        <f t="shared" si="580"/>
        <v>1</v>
      </c>
      <c r="C10459" t="str">
        <f t="shared" si="582"/>
        <v>210</v>
      </c>
      <c r="D10459" t="str">
        <f>"4"</f>
        <v>4</v>
      </c>
      <c r="E10459" t="str">
        <f>"1-210-4"</f>
        <v>1-210-4</v>
      </c>
      <c r="F10459" t="s">
        <v>65</v>
      </c>
      <c r="G10459" t="s">
        <v>66</v>
      </c>
      <c r="H10459" t="s">
        <v>68</v>
      </c>
      <c r="I10459">
        <v>1</v>
      </c>
      <c r="J10459">
        <v>0</v>
      </c>
      <c r="K10459">
        <v>0</v>
      </c>
      <c r="L10459">
        <v>1</v>
      </c>
      <c r="M10459">
        <v>1</v>
      </c>
      <c r="N10459">
        <v>1</v>
      </c>
      <c r="O10459">
        <v>1</v>
      </c>
      <c r="P10459">
        <v>1</v>
      </c>
      <c r="Q10459">
        <v>1</v>
      </c>
      <c r="R10459">
        <v>1</v>
      </c>
    </row>
    <row r="10460" spans="1:18" x14ac:dyDescent="0.2">
      <c r="A10460" t="str">
        <f>"10456"</f>
        <v>10456</v>
      </c>
      <c r="B10460" t="str">
        <f t="shared" si="580"/>
        <v>1</v>
      </c>
      <c r="C10460" t="str">
        <f t="shared" si="582"/>
        <v>210</v>
      </c>
      <c r="D10460" t="str">
        <f>"34"</f>
        <v>34</v>
      </c>
      <c r="E10460" t="str">
        <f>"1-210-34"</f>
        <v>1-210-34</v>
      </c>
      <c r="F10460" t="s">
        <v>65</v>
      </c>
      <c r="G10460" t="s">
        <v>66</v>
      </c>
      <c r="H10460" t="s">
        <v>68</v>
      </c>
      <c r="I10460">
        <v>1</v>
      </c>
      <c r="J10460">
        <v>0</v>
      </c>
      <c r="K10460">
        <v>1</v>
      </c>
      <c r="L10460">
        <v>0</v>
      </c>
      <c r="M10460">
        <v>1</v>
      </c>
      <c r="N10460">
        <v>1</v>
      </c>
      <c r="O10460">
        <v>1</v>
      </c>
      <c r="P10460">
        <v>1</v>
      </c>
      <c r="Q10460">
        <v>1</v>
      </c>
      <c r="R10460">
        <v>1</v>
      </c>
    </row>
    <row r="10461" spans="1:18" x14ac:dyDescent="0.2">
      <c r="A10461" t="str">
        <f>"10457"</f>
        <v>10457</v>
      </c>
      <c r="B10461" t="str">
        <f t="shared" si="580"/>
        <v>1</v>
      </c>
      <c r="C10461" t="str">
        <f t="shared" si="582"/>
        <v>210</v>
      </c>
      <c r="D10461" t="str">
        <f>"33"</f>
        <v>33</v>
      </c>
      <c r="E10461" t="str">
        <f>"1-210-33"</f>
        <v>1-210-33</v>
      </c>
      <c r="F10461" t="s">
        <v>65</v>
      </c>
      <c r="G10461" t="s">
        <v>66</v>
      </c>
      <c r="H10461" t="s">
        <v>68</v>
      </c>
      <c r="I10461">
        <v>1</v>
      </c>
      <c r="J10461">
        <v>1</v>
      </c>
      <c r="K10461">
        <v>0</v>
      </c>
      <c r="L10461">
        <v>0</v>
      </c>
      <c r="M10461">
        <v>1</v>
      </c>
      <c r="N10461">
        <v>1</v>
      </c>
      <c r="O10461">
        <v>1</v>
      </c>
      <c r="P10461">
        <v>1</v>
      </c>
      <c r="Q10461">
        <v>1</v>
      </c>
      <c r="R10461">
        <v>1</v>
      </c>
    </row>
    <row r="10462" spans="1:18" x14ac:dyDescent="0.2">
      <c r="A10462" t="str">
        <f>"10458"</f>
        <v>10458</v>
      </c>
      <c r="B10462" t="str">
        <f t="shared" si="580"/>
        <v>1</v>
      </c>
      <c r="C10462" t="str">
        <f t="shared" si="582"/>
        <v>210</v>
      </c>
      <c r="D10462" t="str">
        <f>"19"</f>
        <v>19</v>
      </c>
      <c r="E10462" t="str">
        <f>"1-210-19"</f>
        <v>1-210-19</v>
      </c>
      <c r="F10462" t="s">
        <v>65</v>
      </c>
      <c r="G10462" t="s">
        <v>66</v>
      </c>
      <c r="H10462" t="s">
        <v>68</v>
      </c>
      <c r="I10462">
        <v>1</v>
      </c>
      <c r="J10462">
        <v>0</v>
      </c>
      <c r="K10462">
        <v>1</v>
      </c>
      <c r="L10462">
        <v>0</v>
      </c>
      <c r="M10462">
        <v>0</v>
      </c>
      <c r="N10462">
        <v>1</v>
      </c>
      <c r="O10462">
        <v>1</v>
      </c>
      <c r="P10462">
        <v>1</v>
      </c>
      <c r="Q10462">
        <v>0</v>
      </c>
      <c r="R10462">
        <v>1</v>
      </c>
    </row>
    <row r="10463" spans="1:18" x14ac:dyDescent="0.2">
      <c r="A10463" t="str">
        <f>"10459"</f>
        <v>10459</v>
      </c>
      <c r="B10463" t="str">
        <f t="shared" si="580"/>
        <v>1</v>
      </c>
      <c r="C10463" t="str">
        <f t="shared" si="582"/>
        <v>210</v>
      </c>
      <c r="D10463" t="str">
        <f>"16"</f>
        <v>16</v>
      </c>
      <c r="E10463" t="str">
        <f>"1-210-16"</f>
        <v>1-210-16</v>
      </c>
      <c r="F10463" t="s">
        <v>65</v>
      </c>
      <c r="G10463" t="s">
        <v>66</v>
      </c>
      <c r="H10463" t="s">
        <v>68</v>
      </c>
      <c r="I10463">
        <v>1</v>
      </c>
      <c r="J10463">
        <v>0</v>
      </c>
      <c r="K10463">
        <v>0</v>
      </c>
      <c r="L10463">
        <v>1</v>
      </c>
      <c r="M10463">
        <v>1</v>
      </c>
      <c r="N10463">
        <v>0</v>
      </c>
      <c r="O10463">
        <v>0</v>
      </c>
      <c r="P10463">
        <v>1</v>
      </c>
      <c r="Q10463">
        <v>1</v>
      </c>
      <c r="R10463">
        <v>1</v>
      </c>
    </row>
    <row r="10464" spans="1:18" x14ac:dyDescent="0.2">
      <c r="A10464" t="str">
        <f>"10460"</f>
        <v>10460</v>
      </c>
      <c r="B10464" t="str">
        <f t="shared" si="580"/>
        <v>1</v>
      </c>
      <c r="C10464" t="str">
        <f t="shared" si="582"/>
        <v>210</v>
      </c>
      <c r="D10464" t="str">
        <f>"3"</f>
        <v>3</v>
      </c>
      <c r="E10464" t="str">
        <f>"1-210-3"</f>
        <v>1-210-3</v>
      </c>
      <c r="F10464" t="s">
        <v>65</v>
      </c>
      <c r="G10464" t="s">
        <v>66</v>
      </c>
      <c r="H10464" t="s">
        <v>68</v>
      </c>
      <c r="I10464">
        <v>1</v>
      </c>
      <c r="J10464">
        <v>1</v>
      </c>
      <c r="K10464">
        <v>0</v>
      </c>
      <c r="L10464">
        <v>0</v>
      </c>
      <c r="M10464">
        <v>1</v>
      </c>
      <c r="N10464">
        <v>1</v>
      </c>
      <c r="O10464">
        <v>0</v>
      </c>
      <c r="P10464">
        <v>1</v>
      </c>
      <c r="Q10464">
        <v>0</v>
      </c>
      <c r="R10464">
        <v>0</v>
      </c>
    </row>
    <row r="10465" spans="1:18" x14ac:dyDescent="0.2">
      <c r="A10465" t="str">
        <f>"10461"</f>
        <v>10461</v>
      </c>
      <c r="B10465" t="str">
        <f t="shared" si="580"/>
        <v>1</v>
      </c>
      <c r="C10465" t="str">
        <f t="shared" si="582"/>
        <v>210</v>
      </c>
      <c r="D10465" t="str">
        <f>"36"</f>
        <v>36</v>
      </c>
      <c r="E10465" t="str">
        <f>"1-210-36"</f>
        <v>1-210-36</v>
      </c>
      <c r="F10465" t="s">
        <v>65</v>
      </c>
      <c r="G10465" t="s">
        <v>66</v>
      </c>
      <c r="H10465" t="s">
        <v>68</v>
      </c>
      <c r="I10465">
        <v>1</v>
      </c>
      <c r="J10465">
        <v>0</v>
      </c>
      <c r="K10465">
        <v>0</v>
      </c>
      <c r="L10465">
        <v>1</v>
      </c>
      <c r="M10465">
        <v>1</v>
      </c>
      <c r="N10465">
        <v>1</v>
      </c>
      <c r="O10465">
        <v>1</v>
      </c>
      <c r="P10465">
        <v>1</v>
      </c>
      <c r="Q10465">
        <v>1</v>
      </c>
      <c r="R10465">
        <v>1</v>
      </c>
    </row>
    <row r="10466" spans="1:18" x14ac:dyDescent="0.2">
      <c r="A10466" t="str">
        <f>"10462"</f>
        <v>10462</v>
      </c>
      <c r="B10466" t="str">
        <f t="shared" si="580"/>
        <v>1</v>
      </c>
      <c r="C10466" t="str">
        <f t="shared" si="582"/>
        <v>210</v>
      </c>
      <c r="D10466" t="str">
        <f>"35"</f>
        <v>35</v>
      </c>
      <c r="E10466" t="str">
        <f>"1-210-35"</f>
        <v>1-210-35</v>
      </c>
      <c r="F10466" t="s">
        <v>65</v>
      </c>
      <c r="G10466" t="s">
        <v>66</v>
      </c>
      <c r="H10466" t="s">
        <v>68</v>
      </c>
      <c r="I10466">
        <v>1</v>
      </c>
      <c r="J10466">
        <v>0</v>
      </c>
      <c r="K10466">
        <v>0</v>
      </c>
      <c r="L10466">
        <v>1</v>
      </c>
      <c r="M10466">
        <v>1</v>
      </c>
      <c r="N10466">
        <v>1</v>
      </c>
      <c r="O10466">
        <v>1</v>
      </c>
      <c r="P10466">
        <v>1</v>
      </c>
      <c r="Q10466">
        <v>1</v>
      </c>
      <c r="R10466">
        <v>1</v>
      </c>
    </row>
    <row r="10467" spans="1:18" x14ac:dyDescent="0.2">
      <c r="A10467" t="str">
        <f>"10463"</f>
        <v>10463</v>
      </c>
      <c r="B10467" t="str">
        <f t="shared" si="580"/>
        <v>1</v>
      </c>
      <c r="C10467" t="str">
        <f t="shared" si="582"/>
        <v>210</v>
      </c>
      <c r="D10467" t="str">
        <f>"20"</f>
        <v>20</v>
      </c>
      <c r="E10467" t="str">
        <f>"1-210-20"</f>
        <v>1-210-20</v>
      </c>
      <c r="F10467" t="s">
        <v>65</v>
      </c>
      <c r="G10467" t="s">
        <v>66</v>
      </c>
      <c r="H10467" t="s">
        <v>68</v>
      </c>
      <c r="I10467">
        <v>1</v>
      </c>
      <c r="J10467">
        <v>0</v>
      </c>
      <c r="K10467">
        <v>1</v>
      </c>
      <c r="L10467">
        <v>0</v>
      </c>
      <c r="M10467">
        <v>1</v>
      </c>
      <c r="N10467">
        <v>1</v>
      </c>
      <c r="O10467">
        <v>1</v>
      </c>
      <c r="P10467">
        <v>1</v>
      </c>
      <c r="Q10467">
        <v>1</v>
      </c>
      <c r="R10467">
        <v>1</v>
      </c>
    </row>
    <row r="10468" spans="1:18" x14ac:dyDescent="0.2">
      <c r="A10468" t="str">
        <f>"10464"</f>
        <v>10464</v>
      </c>
      <c r="B10468" t="str">
        <f t="shared" si="580"/>
        <v>1</v>
      </c>
      <c r="C10468" t="str">
        <f t="shared" si="582"/>
        <v>210</v>
      </c>
      <c r="D10468" t="str">
        <f>"17"</f>
        <v>17</v>
      </c>
      <c r="E10468" t="str">
        <f>"1-210-17"</f>
        <v>1-210-17</v>
      </c>
      <c r="F10468" t="s">
        <v>65</v>
      </c>
      <c r="G10468" t="s">
        <v>66</v>
      </c>
      <c r="H10468" t="s">
        <v>68</v>
      </c>
      <c r="I10468">
        <v>1</v>
      </c>
      <c r="J10468">
        <v>0</v>
      </c>
      <c r="K10468">
        <v>0</v>
      </c>
      <c r="L10468">
        <v>0</v>
      </c>
      <c r="M10468">
        <v>1</v>
      </c>
      <c r="N10468">
        <v>0</v>
      </c>
      <c r="O10468">
        <v>0</v>
      </c>
      <c r="P10468">
        <v>0</v>
      </c>
      <c r="Q10468">
        <v>0</v>
      </c>
      <c r="R10468">
        <v>0</v>
      </c>
    </row>
    <row r="10469" spans="1:18" x14ac:dyDescent="0.2">
      <c r="A10469" t="str">
        <f>"10465"</f>
        <v>10465</v>
      </c>
      <c r="B10469" t="str">
        <f t="shared" si="580"/>
        <v>1</v>
      </c>
      <c r="C10469" t="str">
        <f t="shared" si="582"/>
        <v>210</v>
      </c>
      <c r="D10469" t="str">
        <f>"2"</f>
        <v>2</v>
      </c>
      <c r="E10469" t="str">
        <f>"1-210-2"</f>
        <v>1-210-2</v>
      </c>
      <c r="F10469" t="s">
        <v>65</v>
      </c>
      <c r="G10469" t="s">
        <v>66</v>
      </c>
      <c r="H10469" t="s">
        <v>68</v>
      </c>
      <c r="I10469">
        <v>0</v>
      </c>
      <c r="J10469">
        <v>0</v>
      </c>
      <c r="K10469">
        <v>1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</row>
    <row r="10470" spans="1:18" x14ac:dyDescent="0.2">
      <c r="A10470" t="str">
        <f>"10466"</f>
        <v>10466</v>
      </c>
      <c r="B10470" t="str">
        <f t="shared" si="580"/>
        <v>1</v>
      </c>
      <c r="C10470" t="str">
        <f t="shared" si="582"/>
        <v>210</v>
      </c>
      <c r="D10470" t="str">
        <f>"40"</f>
        <v>40</v>
      </c>
      <c r="E10470" t="str">
        <f>"1-210-40"</f>
        <v>1-210-40</v>
      </c>
      <c r="F10470" t="s">
        <v>65</v>
      </c>
      <c r="G10470" t="s">
        <v>66</v>
      </c>
      <c r="H10470" t="s">
        <v>68</v>
      </c>
      <c r="I10470">
        <v>0</v>
      </c>
      <c r="J10470">
        <v>0</v>
      </c>
      <c r="K10470">
        <v>0</v>
      </c>
      <c r="L10470">
        <v>1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</row>
    <row r="10471" spans="1:18" x14ac:dyDescent="0.2">
      <c r="A10471" t="str">
        <f>"10467"</f>
        <v>10467</v>
      </c>
      <c r="B10471" t="str">
        <f t="shared" si="580"/>
        <v>1</v>
      </c>
      <c r="C10471" t="str">
        <f t="shared" si="582"/>
        <v>210</v>
      </c>
      <c r="D10471" t="str">
        <f>"39"</f>
        <v>39</v>
      </c>
      <c r="E10471" t="str">
        <f>"1-210-39"</f>
        <v>1-210-39</v>
      </c>
      <c r="F10471" t="s">
        <v>65</v>
      </c>
      <c r="G10471" t="s">
        <v>66</v>
      </c>
      <c r="H10471" t="s">
        <v>68</v>
      </c>
      <c r="I10471">
        <v>1</v>
      </c>
      <c r="J10471">
        <v>0</v>
      </c>
      <c r="K10471">
        <v>0</v>
      </c>
      <c r="L10471">
        <v>1</v>
      </c>
      <c r="M10471">
        <v>1</v>
      </c>
      <c r="N10471">
        <v>1</v>
      </c>
      <c r="O10471">
        <v>1</v>
      </c>
      <c r="P10471">
        <v>1</v>
      </c>
      <c r="Q10471">
        <v>0</v>
      </c>
      <c r="R10471">
        <v>1</v>
      </c>
    </row>
    <row r="10472" spans="1:18" x14ac:dyDescent="0.2">
      <c r="A10472" t="str">
        <f>"10468"</f>
        <v>10468</v>
      </c>
      <c r="B10472" t="str">
        <f t="shared" si="580"/>
        <v>1</v>
      </c>
      <c r="C10472" t="str">
        <f t="shared" si="582"/>
        <v>210</v>
      </c>
      <c r="D10472" t="str">
        <f>"31"</f>
        <v>31</v>
      </c>
      <c r="E10472" t="str">
        <f>"1-210-31"</f>
        <v>1-210-31</v>
      </c>
      <c r="F10472" t="s">
        <v>65</v>
      </c>
      <c r="G10472" t="s">
        <v>66</v>
      </c>
      <c r="H10472" t="s">
        <v>68</v>
      </c>
      <c r="I10472">
        <v>1</v>
      </c>
      <c r="J10472">
        <v>0</v>
      </c>
      <c r="K10472">
        <v>0</v>
      </c>
      <c r="L10472">
        <v>1</v>
      </c>
      <c r="M10472">
        <v>1</v>
      </c>
      <c r="N10472">
        <v>1</v>
      </c>
      <c r="O10472">
        <v>1</v>
      </c>
      <c r="P10472">
        <v>1</v>
      </c>
      <c r="Q10472">
        <v>1</v>
      </c>
      <c r="R10472">
        <v>1</v>
      </c>
    </row>
    <row r="10473" spans="1:18" x14ac:dyDescent="0.2">
      <c r="A10473" t="str">
        <f>"10469"</f>
        <v>10469</v>
      </c>
      <c r="B10473" t="str">
        <f t="shared" si="580"/>
        <v>1</v>
      </c>
      <c r="C10473" t="str">
        <f t="shared" si="582"/>
        <v>210</v>
      </c>
      <c r="D10473" t="str">
        <f>"18"</f>
        <v>18</v>
      </c>
      <c r="E10473" t="str">
        <f>"1-210-18"</f>
        <v>1-210-18</v>
      </c>
      <c r="F10473" t="s">
        <v>65</v>
      </c>
      <c r="G10473" t="s">
        <v>66</v>
      </c>
      <c r="H10473" t="s">
        <v>68</v>
      </c>
      <c r="I10473">
        <v>1</v>
      </c>
      <c r="J10473">
        <v>0</v>
      </c>
      <c r="K10473">
        <v>0</v>
      </c>
      <c r="L10473">
        <v>1</v>
      </c>
      <c r="M10473">
        <v>1</v>
      </c>
      <c r="N10473">
        <v>1</v>
      </c>
      <c r="O10473">
        <v>1</v>
      </c>
      <c r="P10473">
        <v>1</v>
      </c>
      <c r="Q10473">
        <v>1</v>
      </c>
      <c r="R10473">
        <v>1</v>
      </c>
    </row>
    <row r="10474" spans="1:18" x14ac:dyDescent="0.2">
      <c r="A10474" t="str">
        <f>"10470"</f>
        <v>10470</v>
      </c>
      <c r="B10474" t="str">
        <f t="shared" si="580"/>
        <v>1</v>
      </c>
      <c r="C10474" t="str">
        <f t="shared" si="582"/>
        <v>210</v>
      </c>
      <c r="D10474" t="str">
        <f>"14"</f>
        <v>14</v>
      </c>
      <c r="E10474" t="str">
        <f>"1-210-14"</f>
        <v>1-210-14</v>
      </c>
      <c r="F10474" t="s">
        <v>65</v>
      </c>
      <c r="G10474" t="s">
        <v>66</v>
      </c>
      <c r="H10474" t="s">
        <v>68</v>
      </c>
      <c r="I10474">
        <v>0</v>
      </c>
      <c r="J10474">
        <v>1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</row>
    <row r="10475" spans="1:18" x14ac:dyDescent="0.2">
      <c r="A10475" t="str">
        <f>"10471"</f>
        <v>10471</v>
      </c>
      <c r="B10475" t="str">
        <f t="shared" si="580"/>
        <v>1</v>
      </c>
      <c r="C10475" t="str">
        <f t="shared" si="582"/>
        <v>210</v>
      </c>
      <c r="D10475" t="str">
        <f>"41"</f>
        <v>41</v>
      </c>
      <c r="E10475" t="str">
        <f>"1-210-41"</f>
        <v>1-210-41</v>
      </c>
      <c r="F10475" t="s">
        <v>65</v>
      </c>
      <c r="G10475" t="s">
        <v>66</v>
      </c>
      <c r="H10475" t="s">
        <v>68</v>
      </c>
      <c r="I10475">
        <v>1</v>
      </c>
      <c r="J10475">
        <v>1</v>
      </c>
      <c r="K10475">
        <v>0</v>
      </c>
      <c r="L10475">
        <v>0</v>
      </c>
      <c r="M10475">
        <v>1</v>
      </c>
      <c r="N10475">
        <v>1</v>
      </c>
      <c r="O10475">
        <v>1</v>
      </c>
      <c r="P10475">
        <v>1</v>
      </c>
      <c r="Q10475">
        <v>1</v>
      </c>
      <c r="R10475">
        <v>1</v>
      </c>
    </row>
    <row r="10476" spans="1:18" x14ac:dyDescent="0.2">
      <c r="A10476" t="str">
        <f>"10472"</f>
        <v>10472</v>
      </c>
      <c r="B10476" t="str">
        <f t="shared" si="580"/>
        <v>1</v>
      </c>
      <c r="C10476" t="str">
        <f t="shared" si="582"/>
        <v>210</v>
      </c>
      <c r="D10476" t="str">
        <f>"22"</f>
        <v>22</v>
      </c>
      <c r="E10476" t="str">
        <f>"1-210-22"</f>
        <v>1-210-22</v>
      </c>
      <c r="F10476" t="s">
        <v>65</v>
      </c>
      <c r="G10476" t="s">
        <v>66</v>
      </c>
      <c r="H10476" t="s">
        <v>68</v>
      </c>
      <c r="I10476">
        <v>1</v>
      </c>
      <c r="J10476">
        <v>0</v>
      </c>
      <c r="K10476">
        <v>0</v>
      </c>
      <c r="L10476">
        <v>0</v>
      </c>
      <c r="M10476">
        <v>1</v>
      </c>
      <c r="N10476">
        <v>0</v>
      </c>
      <c r="O10476">
        <v>0</v>
      </c>
      <c r="P10476">
        <v>0</v>
      </c>
      <c r="Q10476">
        <v>0</v>
      </c>
      <c r="R10476">
        <v>0</v>
      </c>
    </row>
    <row r="10477" spans="1:18" x14ac:dyDescent="0.2">
      <c r="A10477" t="str">
        <f>"10473"</f>
        <v>10473</v>
      </c>
      <c r="B10477" t="str">
        <f t="shared" si="580"/>
        <v>1</v>
      </c>
      <c r="C10477" t="str">
        <f t="shared" si="582"/>
        <v>210</v>
      </c>
      <c r="D10477" t="str">
        <f>"5"</f>
        <v>5</v>
      </c>
      <c r="E10477" t="str">
        <f>"1-210-5"</f>
        <v>1-210-5</v>
      </c>
      <c r="F10477" t="s">
        <v>65</v>
      </c>
      <c r="G10477" t="s">
        <v>66</v>
      </c>
      <c r="H10477" t="s">
        <v>68</v>
      </c>
      <c r="I10477">
        <v>1</v>
      </c>
      <c r="J10477">
        <v>0</v>
      </c>
      <c r="K10477">
        <v>0</v>
      </c>
      <c r="L10477">
        <v>1</v>
      </c>
      <c r="M10477">
        <v>1</v>
      </c>
      <c r="N10477">
        <v>1</v>
      </c>
      <c r="O10477">
        <v>1</v>
      </c>
      <c r="P10477">
        <v>1</v>
      </c>
      <c r="Q10477">
        <v>1</v>
      </c>
      <c r="R10477">
        <v>1</v>
      </c>
    </row>
    <row r="10478" spans="1:18" x14ac:dyDescent="0.2">
      <c r="A10478" t="str">
        <f>"10474"</f>
        <v>10474</v>
      </c>
      <c r="B10478" t="str">
        <f t="shared" si="580"/>
        <v>1</v>
      </c>
      <c r="C10478" t="str">
        <f t="shared" si="582"/>
        <v>210</v>
      </c>
      <c r="D10478" t="str">
        <f>"50"</f>
        <v>50</v>
      </c>
      <c r="E10478" t="str">
        <f>"1-210-50"</f>
        <v>1-210-50</v>
      </c>
      <c r="F10478" t="s">
        <v>65</v>
      </c>
      <c r="G10478" t="s">
        <v>66</v>
      </c>
      <c r="H10478" t="s">
        <v>68</v>
      </c>
      <c r="I10478">
        <v>1</v>
      </c>
      <c r="J10478">
        <v>0</v>
      </c>
      <c r="K10478">
        <v>0</v>
      </c>
      <c r="L10478">
        <v>1</v>
      </c>
      <c r="M10478">
        <v>1</v>
      </c>
      <c r="N10478">
        <v>1</v>
      </c>
      <c r="O10478">
        <v>1</v>
      </c>
      <c r="P10478">
        <v>1</v>
      </c>
      <c r="Q10478">
        <v>1</v>
      </c>
      <c r="R10478">
        <v>1</v>
      </c>
    </row>
    <row r="10479" spans="1:18" x14ac:dyDescent="0.2">
      <c r="A10479" t="str">
        <f>"10475"</f>
        <v>10475</v>
      </c>
      <c r="B10479" t="str">
        <f t="shared" si="580"/>
        <v>1</v>
      </c>
      <c r="C10479" t="str">
        <f t="shared" si="582"/>
        <v>210</v>
      </c>
      <c r="D10479" t="str">
        <f>"23"</f>
        <v>23</v>
      </c>
      <c r="E10479" t="str">
        <f>"1-210-23"</f>
        <v>1-210-23</v>
      </c>
      <c r="F10479" t="s">
        <v>65</v>
      </c>
      <c r="G10479" t="s">
        <v>66</v>
      </c>
      <c r="H10479" t="s">
        <v>68</v>
      </c>
      <c r="I10479">
        <v>1</v>
      </c>
      <c r="J10479">
        <v>1</v>
      </c>
      <c r="K10479">
        <v>0</v>
      </c>
      <c r="L10479">
        <v>0</v>
      </c>
      <c r="M10479">
        <v>1</v>
      </c>
      <c r="N10479">
        <v>1</v>
      </c>
      <c r="O10479">
        <v>1</v>
      </c>
      <c r="P10479">
        <v>1</v>
      </c>
      <c r="Q10479">
        <v>1</v>
      </c>
      <c r="R10479">
        <v>1</v>
      </c>
    </row>
    <row r="10480" spans="1:18" x14ac:dyDescent="0.2">
      <c r="A10480" t="str">
        <f>"10476"</f>
        <v>10476</v>
      </c>
      <c r="B10480" t="str">
        <f t="shared" si="580"/>
        <v>1</v>
      </c>
      <c r="C10480" t="str">
        <f t="shared" si="582"/>
        <v>210</v>
      </c>
      <c r="D10480" t="str">
        <f>"8"</f>
        <v>8</v>
      </c>
      <c r="E10480" t="str">
        <f>"1-210-8"</f>
        <v>1-210-8</v>
      </c>
      <c r="F10480" t="s">
        <v>65</v>
      </c>
      <c r="G10480" t="s">
        <v>66</v>
      </c>
      <c r="H10480" t="s">
        <v>68</v>
      </c>
      <c r="I10480">
        <v>1</v>
      </c>
      <c r="J10480">
        <v>1</v>
      </c>
      <c r="K10480">
        <v>0</v>
      </c>
      <c r="L10480">
        <v>0</v>
      </c>
      <c r="M10480">
        <v>1</v>
      </c>
      <c r="N10480">
        <v>1</v>
      </c>
      <c r="O10480">
        <v>1</v>
      </c>
      <c r="P10480">
        <v>1</v>
      </c>
      <c r="Q10480">
        <v>1</v>
      </c>
      <c r="R10480">
        <v>1</v>
      </c>
    </row>
    <row r="10481" spans="1:18" x14ac:dyDescent="0.2">
      <c r="A10481" t="str">
        <f>"10477"</f>
        <v>10477</v>
      </c>
      <c r="B10481" t="str">
        <f t="shared" si="580"/>
        <v>1</v>
      </c>
      <c r="C10481" t="str">
        <f t="shared" si="582"/>
        <v>210</v>
      </c>
      <c r="D10481" t="str">
        <f>"42"</f>
        <v>42</v>
      </c>
      <c r="E10481" t="str">
        <f>"1-210-42"</f>
        <v>1-210-42</v>
      </c>
      <c r="F10481" t="s">
        <v>65</v>
      </c>
      <c r="G10481" t="s">
        <v>66</v>
      </c>
      <c r="H10481" t="s">
        <v>68</v>
      </c>
      <c r="I10481">
        <v>0</v>
      </c>
      <c r="J10481">
        <v>1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</row>
    <row r="10482" spans="1:18" x14ac:dyDescent="0.2">
      <c r="A10482" t="str">
        <f>"10478"</f>
        <v>10478</v>
      </c>
      <c r="B10482" t="str">
        <f t="shared" si="580"/>
        <v>1</v>
      </c>
      <c r="C10482" t="str">
        <f t="shared" si="582"/>
        <v>210</v>
      </c>
      <c r="D10482" t="str">
        <f>"24"</f>
        <v>24</v>
      </c>
      <c r="E10482" t="str">
        <f>"1-210-24"</f>
        <v>1-210-24</v>
      </c>
      <c r="F10482" t="s">
        <v>65</v>
      </c>
      <c r="G10482" t="s">
        <v>66</v>
      </c>
      <c r="H10482" t="s">
        <v>68</v>
      </c>
      <c r="I10482">
        <v>1</v>
      </c>
      <c r="J10482">
        <v>0</v>
      </c>
      <c r="K10482">
        <v>0</v>
      </c>
      <c r="L10482">
        <v>1</v>
      </c>
      <c r="M10482">
        <v>1</v>
      </c>
      <c r="N10482">
        <v>1</v>
      </c>
      <c r="O10482">
        <v>1</v>
      </c>
      <c r="P10482">
        <v>1</v>
      </c>
      <c r="Q10482">
        <v>1</v>
      </c>
      <c r="R10482">
        <v>1</v>
      </c>
    </row>
    <row r="10483" spans="1:18" x14ac:dyDescent="0.2">
      <c r="A10483" t="str">
        <f>"10479"</f>
        <v>10479</v>
      </c>
      <c r="B10483" t="str">
        <f t="shared" si="580"/>
        <v>1</v>
      </c>
      <c r="C10483" t="str">
        <f t="shared" si="582"/>
        <v>210</v>
      </c>
      <c r="D10483" t="str">
        <f>"11"</f>
        <v>11</v>
      </c>
      <c r="E10483" t="str">
        <f>"1-210-11"</f>
        <v>1-210-11</v>
      </c>
      <c r="F10483" t="s">
        <v>65</v>
      </c>
      <c r="G10483" t="s">
        <v>66</v>
      </c>
      <c r="H10483" t="s">
        <v>68</v>
      </c>
      <c r="I10483">
        <v>1</v>
      </c>
      <c r="J10483">
        <v>0</v>
      </c>
      <c r="K10483">
        <v>0</v>
      </c>
      <c r="L10483">
        <v>1</v>
      </c>
      <c r="M10483">
        <v>1</v>
      </c>
      <c r="N10483">
        <v>1</v>
      </c>
      <c r="O10483">
        <v>1</v>
      </c>
      <c r="P10483">
        <v>1</v>
      </c>
      <c r="Q10483">
        <v>1</v>
      </c>
      <c r="R10483">
        <v>1</v>
      </c>
    </row>
    <row r="10484" spans="1:18" x14ac:dyDescent="0.2">
      <c r="A10484" t="str">
        <f>"10480"</f>
        <v>10480</v>
      </c>
      <c r="B10484" t="str">
        <f t="shared" si="580"/>
        <v>1</v>
      </c>
      <c r="C10484" t="str">
        <f t="shared" si="582"/>
        <v>210</v>
      </c>
      <c r="D10484" t="str">
        <f>"43"</f>
        <v>43</v>
      </c>
      <c r="E10484" t="str">
        <f>"1-210-43"</f>
        <v>1-210-43</v>
      </c>
      <c r="F10484" t="s">
        <v>65</v>
      </c>
      <c r="G10484" t="s">
        <v>66</v>
      </c>
      <c r="H10484" t="s">
        <v>68</v>
      </c>
      <c r="I10484">
        <v>1</v>
      </c>
      <c r="J10484">
        <v>1</v>
      </c>
      <c r="K10484">
        <v>0</v>
      </c>
      <c r="L10484">
        <v>0</v>
      </c>
      <c r="M10484">
        <v>1</v>
      </c>
      <c r="N10484">
        <v>1</v>
      </c>
      <c r="O10484">
        <v>1</v>
      </c>
      <c r="P10484">
        <v>1</v>
      </c>
      <c r="Q10484">
        <v>1</v>
      </c>
      <c r="R10484">
        <v>1</v>
      </c>
    </row>
    <row r="10485" spans="1:18" x14ac:dyDescent="0.2">
      <c r="A10485" t="str">
        <f>"10481"</f>
        <v>10481</v>
      </c>
      <c r="B10485" t="str">
        <f t="shared" si="580"/>
        <v>1</v>
      </c>
      <c r="C10485" t="str">
        <f t="shared" si="582"/>
        <v>210</v>
      </c>
      <c r="D10485" t="str">
        <f>"25"</f>
        <v>25</v>
      </c>
      <c r="E10485" t="str">
        <f>"1-210-25"</f>
        <v>1-210-25</v>
      </c>
      <c r="F10485" t="s">
        <v>65</v>
      </c>
      <c r="G10485" t="s">
        <v>66</v>
      </c>
      <c r="H10485" t="s">
        <v>68</v>
      </c>
      <c r="I10485">
        <v>1</v>
      </c>
      <c r="J10485">
        <v>1</v>
      </c>
      <c r="K10485">
        <v>0</v>
      </c>
      <c r="L10485">
        <v>0</v>
      </c>
      <c r="M10485">
        <v>1</v>
      </c>
      <c r="N10485">
        <v>1</v>
      </c>
      <c r="O10485">
        <v>1</v>
      </c>
      <c r="P10485">
        <v>1</v>
      </c>
      <c r="Q10485">
        <v>1</v>
      </c>
      <c r="R10485">
        <v>1</v>
      </c>
    </row>
    <row r="10486" spans="1:18" x14ac:dyDescent="0.2">
      <c r="A10486" t="str">
        <f>"10482"</f>
        <v>10482</v>
      </c>
      <c r="B10486" t="str">
        <f t="shared" si="580"/>
        <v>1</v>
      </c>
      <c r="C10486" t="str">
        <f t="shared" si="582"/>
        <v>210</v>
      </c>
      <c r="D10486" t="str">
        <f>"7"</f>
        <v>7</v>
      </c>
      <c r="E10486" t="str">
        <f>"1-210-7"</f>
        <v>1-210-7</v>
      </c>
      <c r="F10486" t="s">
        <v>65</v>
      </c>
      <c r="G10486" t="s">
        <v>66</v>
      </c>
      <c r="H10486" t="s">
        <v>68</v>
      </c>
      <c r="I10486">
        <v>1</v>
      </c>
      <c r="J10486">
        <v>0</v>
      </c>
      <c r="K10486">
        <v>0</v>
      </c>
      <c r="L10486">
        <v>1</v>
      </c>
      <c r="M10486">
        <v>1</v>
      </c>
      <c r="N10486">
        <v>1</v>
      </c>
      <c r="O10486">
        <v>1</v>
      </c>
      <c r="P10486">
        <v>1</v>
      </c>
      <c r="Q10486">
        <v>1</v>
      </c>
      <c r="R10486">
        <v>1</v>
      </c>
    </row>
    <row r="10487" spans="1:18" x14ac:dyDescent="0.2">
      <c r="A10487" t="str">
        <f>"10483"</f>
        <v>10483</v>
      </c>
      <c r="B10487" t="str">
        <f t="shared" ref="B10487:B10550" si="583">"1"</f>
        <v>1</v>
      </c>
      <c r="C10487" t="str">
        <f t="shared" ref="C10487:C10504" si="584">"210"</f>
        <v>210</v>
      </c>
      <c r="D10487" t="str">
        <f>"45"</f>
        <v>45</v>
      </c>
      <c r="E10487" t="str">
        <f>"1-210-45"</f>
        <v>1-210-45</v>
      </c>
      <c r="F10487" t="s">
        <v>65</v>
      </c>
      <c r="G10487" t="s">
        <v>66</v>
      </c>
      <c r="H10487" t="s">
        <v>68</v>
      </c>
      <c r="I10487">
        <v>1</v>
      </c>
      <c r="J10487">
        <v>0</v>
      </c>
      <c r="K10487">
        <v>0</v>
      </c>
      <c r="L10487">
        <v>0</v>
      </c>
      <c r="M10487">
        <v>1</v>
      </c>
      <c r="N10487">
        <v>1</v>
      </c>
      <c r="O10487">
        <v>1</v>
      </c>
      <c r="P10487">
        <v>1</v>
      </c>
      <c r="Q10487">
        <v>1</v>
      </c>
      <c r="R10487">
        <v>1</v>
      </c>
    </row>
    <row r="10488" spans="1:18" x14ac:dyDescent="0.2">
      <c r="A10488" t="str">
        <f>"10484"</f>
        <v>10484</v>
      </c>
      <c r="B10488" t="str">
        <f t="shared" si="583"/>
        <v>1</v>
      </c>
      <c r="C10488" t="str">
        <f t="shared" si="584"/>
        <v>210</v>
      </c>
      <c r="D10488" t="str">
        <f>"26"</f>
        <v>26</v>
      </c>
      <c r="E10488" t="str">
        <f>"1-210-26"</f>
        <v>1-210-26</v>
      </c>
      <c r="F10488" t="s">
        <v>65</v>
      </c>
      <c r="G10488" t="s">
        <v>66</v>
      </c>
      <c r="H10488" t="s">
        <v>68</v>
      </c>
      <c r="I10488">
        <v>1</v>
      </c>
      <c r="J10488">
        <v>1</v>
      </c>
      <c r="K10488">
        <v>0</v>
      </c>
      <c r="L10488">
        <v>0</v>
      </c>
      <c r="M10488">
        <v>1</v>
      </c>
      <c r="N10488">
        <v>1</v>
      </c>
      <c r="O10488">
        <v>1</v>
      </c>
      <c r="P10488">
        <v>1</v>
      </c>
      <c r="Q10488">
        <v>1</v>
      </c>
      <c r="R10488">
        <v>1</v>
      </c>
    </row>
    <row r="10489" spans="1:18" x14ac:dyDescent="0.2">
      <c r="A10489" t="str">
        <f>"10485"</f>
        <v>10485</v>
      </c>
      <c r="B10489" t="str">
        <f t="shared" si="583"/>
        <v>1</v>
      </c>
      <c r="C10489" t="str">
        <f t="shared" si="584"/>
        <v>210</v>
      </c>
      <c r="D10489" t="str">
        <f>"6"</f>
        <v>6</v>
      </c>
      <c r="E10489" t="str">
        <f>"1-210-6"</f>
        <v>1-210-6</v>
      </c>
      <c r="F10489" t="s">
        <v>65</v>
      </c>
      <c r="G10489" t="s">
        <v>66</v>
      </c>
      <c r="H10489" t="s">
        <v>68</v>
      </c>
      <c r="I10489">
        <v>1</v>
      </c>
      <c r="J10489">
        <v>0</v>
      </c>
      <c r="K10489">
        <v>0</v>
      </c>
      <c r="L10489">
        <v>1</v>
      </c>
      <c r="M10489">
        <v>1</v>
      </c>
      <c r="N10489">
        <v>1</v>
      </c>
      <c r="O10489">
        <v>1</v>
      </c>
      <c r="P10489">
        <v>1</v>
      </c>
      <c r="Q10489">
        <v>1</v>
      </c>
      <c r="R10489">
        <v>1</v>
      </c>
    </row>
    <row r="10490" spans="1:18" x14ac:dyDescent="0.2">
      <c r="A10490" t="str">
        <f>"10486"</f>
        <v>10486</v>
      </c>
      <c r="B10490" t="str">
        <f t="shared" si="583"/>
        <v>1</v>
      </c>
      <c r="C10490" t="str">
        <f t="shared" si="584"/>
        <v>210</v>
      </c>
      <c r="D10490" t="str">
        <f>"44"</f>
        <v>44</v>
      </c>
      <c r="E10490" t="str">
        <f>"1-210-44"</f>
        <v>1-210-44</v>
      </c>
      <c r="F10490" t="s">
        <v>65</v>
      </c>
      <c r="G10490" t="s">
        <v>66</v>
      </c>
      <c r="H10490" t="s">
        <v>68</v>
      </c>
      <c r="I10490">
        <v>1</v>
      </c>
      <c r="J10490">
        <v>0</v>
      </c>
      <c r="K10490">
        <v>1</v>
      </c>
      <c r="L10490">
        <v>0</v>
      </c>
      <c r="M10490">
        <v>1</v>
      </c>
      <c r="N10490">
        <v>1</v>
      </c>
      <c r="O10490">
        <v>1</v>
      </c>
      <c r="P10490">
        <v>1</v>
      </c>
      <c r="Q10490">
        <v>1</v>
      </c>
      <c r="R10490">
        <v>1</v>
      </c>
    </row>
    <row r="10491" spans="1:18" x14ac:dyDescent="0.2">
      <c r="A10491" t="str">
        <f>"10487"</f>
        <v>10487</v>
      </c>
      <c r="B10491" t="str">
        <f t="shared" si="583"/>
        <v>1</v>
      </c>
      <c r="C10491" t="str">
        <f t="shared" si="584"/>
        <v>210</v>
      </c>
      <c r="D10491" t="str">
        <f>"27"</f>
        <v>27</v>
      </c>
      <c r="E10491" t="str">
        <f>"1-210-27"</f>
        <v>1-210-27</v>
      </c>
      <c r="F10491" t="s">
        <v>65</v>
      </c>
      <c r="G10491" t="s">
        <v>66</v>
      </c>
      <c r="H10491" t="s">
        <v>68</v>
      </c>
      <c r="I10491">
        <v>1</v>
      </c>
      <c r="J10491">
        <v>0</v>
      </c>
      <c r="K10491">
        <v>0</v>
      </c>
      <c r="L10491">
        <v>1</v>
      </c>
      <c r="M10491">
        <v>1</v>
      </c>
      <c r="N10491">
        <v>1</v>
      </c>
      <c r="O10491">
        <v>1</v>
      </c>
      <c r="P10491">
        <v>1</v>
      </c>
      <c r="Q10491">
        <v>1</v>
      </c>
      <c r="R10491">
        <v>1</v>
      </c>
    </row>
    <row r="10492" spans="1:18" x14ac:dyDescent="0.2">
      <c r="A10492" t="str">
        <f>"10488"</f>
        <v>10488</v>
      </c>
      <c r="B10492" t="str">
        <f t="shared" si="583"/>
        <v>1</v>
      </c>
      <c r="C10492" t="str">
        <f t="shared" si="584"/>
        <v>210</v>
      </c>
      <c r="D10492" t="str">
        <f>"1"</f>
        <v>1</v>
      </c>
      <c r="E10492" t="str">
        <f>"1-210-1"</f>
        <v>1-210-1</v>
      </c>
      <c r="F10492" t="s">
        <v>65</v>
      </c>
      <c r="G10492" t="s">
        <v>66</v>
      </c>
      <c r="H10492" t="s">
        <v>68</v>
      </c>
      <c r="I10492">
        <v>1</v>
      </c>
      <c r="J10492">
        <v>1</v>
      </c>
      <c r="K10492">
        <v>0</v>
      </c>
      <c r="L10492">
        <v>0</v>
      </c>
      <c r="M10492">
        <v>1</v>
      </c>
      <c r="N10492">
        <v>1</v>
      </c>
      <c r="O10492">
        <v>1</v>
      </c>
      <c r="P10492">
        <v>1</v>
      </c>
      <c r="Q10492">
        <v>1</v>
      </c>
      <c r="R10492">
        <v>1</v>
      </c>
    </row>
    <row r="10493" spans="1:18" x14ac:dyDescent="0.2">
      <c r="A10493" t="str">
        <f>"10489"</f>
        <v>10489</v>
      </c>
      <c r="B10493" t="str">
        <f t="shared" si="583"/>
        <v>1</v>
      </c>
      <c r="C10493" t="str">
        <f t="shared" si="584"/>
        <v>210</v>
      </c>
      <c r="D10493" t="str">
        <f>"49"</f>
        <v>49</v>
      </c>
      <c r="E10493" t="str">
        <f>"1-210-49"</f>
        <v>1-210-49</v>
      </c>
      <c r="F10493" t="s">
        <v>65</v>
      </c>
      <c r="G10493" t="s">
        <v>66</v>
      </c>
      <c r="H10493" t="s">
        <v>68</v>
      </c>
      <c r="I10493">
        <v>1</v>
      </c>
      <c r="J10493">
        <v>1</v>
      </c>
      <c r="K10493">
        <v>0</v>
      </c>
      <c r="L10493">
        <v>0</v>
      </c>
      <c r="M10493">
        <v>1</v>
      </c>
      <c r="N10493">
        <v>1</v>
      </c>
      <c r="O10493">
        <v>1</v>
      </c>
      <c r="P10493">
        <v>1</v>
      </c>
      <c r="Q10493">
        <v>1</v>
      </c>
      <c r="R10493">
        <v>1</v>
      </c>
    </row>
    <row r="10494" spans="1:18" x14ac:dyDescent="0.2">
      <c r="A10494" t="str">
        <f>"10490"</f>
        <v>10490</v>
      </c>
      <c r="B10494" t="str">
        <f t="shared" si="583"/>
        <v>1</v>
      </c>
      <c r="C10494" t="str">
        <f t="shared" si="584"/>
        <v>210</v>
      </c>
      <c r="D10494" t="str">
        <f>"28"</f>
        <v>28</v>
      </c>
      <c r="E10494" t="str">
        <f>"1-210-28"</f>
        <v>1-210-28</v>
      </c>
      <c r="F10494" t="s">
        <v>65</v>
      </c>
      <c r="G10494" t="s">
        <v>66</v>
      </c>
      <c r="H10494" t="s">
        <v>68</v>
      </c>
      <c r="I10494">
        <v>1</v>
      </c>
      <c r="J10494">
        <v>1</v>
      </c>
      <c r="K10494">
        <v>0</v>
      </c>
      <c r="L10494">
        <v>0</v>
      </c>
      <c r="M10494">
        <v>1</v>
      </c>
      <c r="N10494">
        <v>1</v>
      </c>
      <c r="O10494">
        <v>1</v>
      </c>
      <c r="P10494">
        <v>1</v>
      </c>
      <c r="Q10494">
        <v>1</v>
      </c>
      <c r="R10494">
        <v>1</v>
      </c>
    </row>
    <row r="10495" spans="1:18" x14ac:dyDescent="0.2">
      <c r="A10495" t="str">
        <f>"10491"</f>
        <v>10491</v>
      </c>
      <c r="B10495" t="str">
        <f t="shared" si="583"/>
        <v>1</v>
      </c>
      <c r="C10495" t="str">
        <f t="shared" si="584"/>
        <v>210</v>
      </c>
      <c r="D10495" t="str">
        <f>"12"</f>
        <v>12</v>
      </c>
      <c r="E10495" t="str">
        <f>"1-210-12"</f>
        <v>1-210-12</v>
      </c>
      <c r="F10495" t="s">
        <v>65</v>
      </c>
      <c r="G10495" t="s">
        <v>66</v>
      </c>
      <c r="H10495" t="s">
        <v>68</v>
      </c>
      <c r="I10495">
        <v>1</v>
      </c>
      <c r="J10495">
        <v>0</v>
      </c>
      <c r="K10495">
        <v>1</v>
      </c>
      <c r="L10495">
        <v>0</v>
      </c>
      <c r="M10495">
        <v>1</v>
      </c>
      <c r="N10495">
        <v>1</v>
      </c>
      <c r="O10495">
        <v>1</v>
      </c>
      <c r="P10495">
        <v>1</v>
      </c>
      <c r="Q10495">
        <v>1</v>
      </c>
      <c r="R10495">
        <v>1</v>
      </c>
    </row>
    <row r="10496" spans="1:18" x14ac:dyDescent="0.2">
      <c r="A10496" t="str">
        <f>"10492"</f>
        <v>10492</v>
      </c>
      <c r="B10496" t="str">
        <f t="shared" si="583"/>
        <v>1</v>
      </c>
      <c r="C10496" t="str">
        <f t="shared" si="584"/>
        <v>210</v>
      </c>
      <c r="D10496" t="str">
        <f>"46"</f>
        <v>46</v>
      </c>
      <c r="E10496" t="str">
        <f>"1-210-46"</f>
        <v>1-210-46</v>
      </c>
      <c r="F10496" t="s">
        <v>65</v>
      </c>
      <c r="G10496" t="s">
        <v>66</v>
      </c>
      <c r="H10496" t="s">
        <v>68</v>
      </c>
      <c r="I10496">
        <v>1</v>
      </c>
      <c r="J10496">
        <v>1</v>
      </c>
      <c r="K10496">
        <v>0</v>
      </c>
      <c r="L10496">
        <v>0</v>
      </c>
      <c r="M10496">
        <v>1</v>
      </c>
      <c r="N10496">
        <v>1</v>
      </c>
      <c r="O10496">
        <v>1</v>
      </c>
      <c r="P10496">
        <v>1</v>
      </c>
      <c r="Q10496">
        <v>1</v>
      </c>
      <c r="R10496">
        <v>1</v>
      </c>
    </row>
    <row r="10497" spans="1:39" x14ac:dyDescent="0.2">
      <c r="A10497" t="str">
        <f>"10493"</f>
        <v>10493</v>
      </c>
      <c r="B10497" t="str">
        <f t="shared" si="583"/>
        <v>1</v>
      </c>
      <c r="C10497" t="str">
        <f t="shared" si="584"/>
        <v>210</v>
      </c>
      <c r="D10497" t="str">
        <f>"29"</f>
        <v>29</v>
      </c>
      <c r="E10497" t="str">
        <f>"1-210-29"</f>
        <v>1-210-29</v>
      </c>
      <c r="F10497" t="s">
        <v>65</v>
      </c>
      <c r="G10497" t="s">
        <v>66</v>
      </c>
      <c r="H10497" t="s">
        <v>68</v>
      </c>
      <c r="I10497">
        <v>1</v>
      </c>
      <c r="J10497">
        <v>0</v>
      </c>
      <c r="K10497">
        <v>0</v>
      </c>
      <c r="L10497">
        <v>0</v>
      </c>
      <c r="M10497">
        <v>1</v>
      </c>
      <c r="N10497">
        <v>1</v>
      </c>
      <c r="O10497">
        <v>1</v>
      </c>
      <c r="P10497">
        <v>1</v>
      </c>
      <c r="Q10497">
        <v>1</v>
      </c>
      <c r="R10497">
        <v>1</v>
      </c>
    </row>
    <row r="10498" spans="1:39" x14ac:dyDescent="0.2">
      <c r="A10498" t="str">
        <f>"10494"</f>
        <v>10494</v>
      </c>
      <c r="B10498" t="str">
        <f t="shared" si="583"/>
        <v>1</v>
      </c>
      <c r="C10498" t="str">
        <f t="shared" si="584"/>
        <v>210</v>
      </c>
      <c r="D10498" t="str">
        <f>"13"</f>
        <v>13</v>
      </c>
      <c r="E10498" t="str">
        <f>"1-210-13"</f>
        <v>1-210-13</v>
      </c>
      <c r="F10498" t="s">
        <v>65</v>
      </c>
      <c r="G10498" t="s">
        <v>66</v>
      </c>
      <c r="H10498" t="s">
        <v>68</v>
      </c>
      <c r="I10498">
        <v>1</v>
      </c>
      <c r="J10498">
        <v>0</v>
      </c>
      <c r="K10498">
        <v>0</v>
      </c>
      <c r="L10498">
        <v>1</v>
      </c>
      <c r="M10498">
        <v>1</v>
      </c>
      <c r="N10498">
        <v>1</v>
      </c>
      <c r="O10498">
        <v>1</v>
      </c>
      <c r="P10498">
        <v>1</v>
      </c>
      <c r="Q10498">
        <v>1</v>
      </c>
      <c r="R10498">
        <v>1</v>
      </c>
    </row>
    <row r="10499" spans="1:39" x14ac:dyDescent="0.2">
      <c r="A10499" t="str">
        <f>"10495"</f>
        <v>10495</v>
      </c>
      <c r="B10499" t="str">
        <f t="shared" si="583"/>
        <v>1</v>
      </c>
      <c r="C10499" t="str">
        <f t="shared" si="584"/>
        <v>210</v>
      </c>
      <c r="D10499" t="str">
        <f>"48"</f>
        <v>48</v>
      </c>
      <c r="E10499" t="str">
        <f>"1-210-48"</f>
        <v>1-210-48</v>
      </c>
      <c r="F10499" t="s">
        <v>65</v>
      </c>
      <c r="G10499" t="s">
        <v>66</v>
      </c>
      <c r="H10499" t="s">
        <v>68</v>
      </c>
      <c r="I10499">
        <v>1</v>
      </c>
      <c r="J10499">
        <v>1</v>
      </c>
      <c r="K10499">
        <v>0</v>
      </c>
      <c r="L10499">
        <v>0</v>
      </c>
      <c r="M10499">
        <v>1</v>
      </c>
      <c r="N10499">
        <v>1</v>
      </c>
      <c r="O10499">
        <v>1</v>
      </c>
      <c r="P10499">
        <v>1</v>
      </c>
      <c r="Q10499">
        <v>1</v>
      </c>
      <c r="R10499">
        <v>1</v>
      </c>
    </row>
    <row r="10500" spans="1:39" x14ac:dyDescent="0.2">
      <c r="A10500" t="str">
        <f>"10496"</f>
        <v>10496</v>
      </c>
      <c r="B10500" t="str">
        <f t="shared" si="583"/>
        <v>1</v>
      </c>
      <c r="C10500" t="str">
        <f t="shared" si="584"/>
        <v>210</v>
      </c>
      <c r="D10500" t="str">
        <f>"30"</f>
        <v>30</v>
      </c>
      <c r="E10500" t="str">
        <f>"1-210-30"</f>
        <v>1-210-30</v>
      </c>
      <c r="F10500" t="s">
        <v>65</v>
      </c>
      <c r="G10500" t="s">
        <v>66</v>
      </c>
      <c r="H10500" t="s">
        <v>68</v>
      </c>
      <c r="I10500">
        <v>1</v>
      </c>
      <c r="J10500">
        <v>0</v>
      </c>
      <c r="K10500">
        <v>0</v>
      </c>
      <c r="L10500">
        <v>0</v>
      </c>
      <c r="M10500">
        <v>1</v>
      </c>
      <c r="N10500">
        <v>1</v>
      </c>
      <c r="O10500">
        <v>1</v>
      </c>
      <c r="P10500">
        <v>1</v>
      </c>
      <c r="Q10500">
        <v>1</v>
      </c>
      <c r="R10500">
        <v>1</v>
      </c>
    </row>
    <row r="10501" spans="1:39" x14ac:dyDescent="0.2">
      <c r="A10501" t="str">
        <f>"10497"</f>
        <v>10497</v>
      </c>
      <c r="B10501" t="str">
        <f t="shared" si="583"/>
        <v>1</v>
      </c>
      <c r="C10501" t="str">
        <f t="shared" si="584"/>
        <v>210</v>
      </c>
      <c r="D10501" t="str">
        <f>"10"</f>
        <v>10</v>
      </c>
      <c r="E10501" t="str">
        <f>"1-210-10"</f>
        <v>1-210-10</v>
      </c>
      <c r="F10501" t="s">
        <v>65</v>
      </c>
      <c r="G10501" t="s">
        <v>66</v>
      </c>
      <c r="H10501" t="s">
        <v>68</v>
      </c>
      <c r="I10501">
        <v>1</v>
      </c>
      <c r="J10501">
        <v>1</v>
      </c>
      <c r="K10501">
        <v>0</v>
      </c>
      <c r="L10501">
        <v>0</v>
      </c>
      <c r="M10501">
        <v>1</v>
      </c>
      <c r="N10501">
        <v>1</v>
      </c>
      <c r="O10501">
        <v>1</v>
      </c>
      <c r="P10501">
        <v>1</v>
      </c>
      <c r="Q10501">
        <v>1</v>
      </c>
      <c r="R10501">
        <v>1</v>
      </c>
    </row>
    <row r="10502" spans="1:39" x14ac:dyDescent="0.2">
      <c r="A10502" t="str">
        <f>"10498"</f>
        <v>10498</v>
      </c>
      <c r="B10502" t="str">
        <f t="shared" si="583"/>
        <v>1</v>
      </c>
      <c r="C10502" t="str">
        <f t="shared" si="584"/>
        <v>210</v>
      </c>
      <c r="D10502" t="str">
        <f>"47"</f>
        <v>47</v>
      </c>
      <c r="E10502" t="str">
        <f>"1-210-47"</f>
        <v>1-210-47</v>
      </c>
      <c r="F10502" t="s">
        <v>65</v>
      </c>
      <c r="G10502" t="s">
        <v>66</v>
      </c>
      <c r="H10502" t="s">
        <v>68</v>
      </c>
      <c r="I10502">
        <v>1</v>
      </c>
      <c r="J10502">
        <v>0</v>
      </c>
      <c r="K10502">
        <v>0</v>
      </c>
      <c r="L10502">
        <v>1</v>
      </c>
      <c r="M10502">
        <v>1</v>
      </c>
      <c r="N10502">
        <v>1</v>
      </c>
      <c r="O10502">
        <v>1</v>
      </c>
      <c r="P10502">
        <v>1</v>
      </c>
      <c r="Q10502">
        <v>1</v>
      </c>
      <c r="R10502">
        <v>1</v>
      </c>
    </row>
    <row r="10503" spans="1:39" x14ac:dyDescent="0.2">
      <c r="A10503" t="str">
        <f>"10499"</f>
        <v>10499</v>
      </c>
      <c r="B10503" t="str">
        <f t="shared" si="583"/>
        <v>1</v>
      </c>
      <c r="C10503" t="str">
        <f t="shared" si="584"/>
        <v>210</v>
      </c>
      <c r="D10503" t="str">
        <f>"32"</f>
        <v>32</v>
      </c>
      <c r="E10503" t="str">
        <f>"1-210-32"</f>
        <v>1-210-32</v>
      </c>
      <c r="F10503" t="s">
        <v>65</v>
      </c>
      <c r="G10503" t="s">
        <v>66</v>
      </c>
      <c r="H10503" t="s">
        <v>68</v>
      </c>
      <c r="I10503">
        <v>1</v>
      </c>
      <c r="J10503">
        <v>0</v>
      </c>
      <c r="K10503">
        <v>0</v>
      </c>
      <c r="L10503">
        <v>1</v>
      </c>
      <c r="M10503">
        <v>1</v>
      </c>
      <c r="N10503">
        <v>1</v>
      </c>
      <c r="O10503">
        <v>1</v>
      </c>
      <c r="P10503">
        <v>1</v>
      </c>
      <c r="Q10503">
        <v>0</v>
      </c>
      <c r="R10503">
        <v>1</v>
      </c>
    </row>
    <row r="10504" spans="1:39" x14ac:dyDescent="0.2">
      <c r="A10504" t="str">
        <f>"10500"</f>
        <v>10500</v>
      </c>
      <c r="B10504" t="str">
        <f t="shared" si="583"/>
        <v>1</v>
      </c>
      <c r="C10504" t="str">
        <f t="shared" si="584"/>
        <v>210</v>
      </c>
      <c r="D10504" t="str">
        <f>"9"</f>
        <v>9</v>
      </c>
      <c r="E10504" t="str">
        <f>"1-210-9"</f>
        <v>1-210-9</v>
      </c>
      <c r="F10504" t="s">
        <v>65</v>
      </c>
      <c r="G10504" t="s">
        <v>66</v>
      </c>
      <c r="H10504" t="s">
        <v>68</v>
      </c>
      <c r="I10504">
        <v>1</v>
      </c>
      <c r="J10504">
        <v>0</v>
      </c>
      <c r="K10504">
        <v>0</v>
      </c>
      <c r="L10504">
        <v>1</v>
      </c>
      <c r="M10504">
        <v>1</v>
      </c>
      <c r="N10504">
        <v>1</v>
      </c>
      <c r="O10504">
        <v>1</v>
      </c>
      <c r="P10504">
        <v>1</v>
      </c>
      <c r="Q10504">
        <v>1</v>
      </c>
      <c r="R10504">
        <v>1</v>
      </c>
    </row>
    <row r="10505" spans="1:39" x14ac:dyDescent="0.2">
      <c r="A10505" t="str">
        <f>"10501"</f>
        <v>10501</v>
      </c>
      <c r="B10505" t="str">
        <f t="shared" si="583"/>
        <v>1</v>
      </c>
      <c r="C10505" t="str">
        <f t="shared" ref="C10505:C10536" si="585">"211"</f>
        <v>211</v>
      </c>
      <c r="D10505" t="str">
        <f>"40"</f>
        <v>40</v>
      </c>
      <c r="E10505" t="str">
        <f>"1-211-40"</f>
        <v>1-211-40</v>
      </c>
      <c r="F10505" t="s">
        <v>65</v>
      </c>
      <c r="G10505" t="s">
        <v>66</v>
      </c>
      <c r="H10505" t="s">
        <v>67</v>
      </c>
      <c r="S10505">
        <v>0</v>
      </c>
      <c r="T10505">
        <v>1</v>
      </c>
      <c r="U10505">
        <v>0</v>
      </c>
      <c r="V10505">
        <v>0</v>
      </c>
      <c r="W10505">
        <v>0</v>
      </c>
      <c r="X10505">
        <v>1</v>
      </c>
      <c r="Y10505">
        <v>0</v>
      </c>
      <c r="Z10505">
        <v>0</v>
      </c>
      <c r="AA10505">
        <v>0</v>
      </c>
      <c r="AB10505">
        <v>0</v>
      </c>
      <c r="AC10505">
        <v>1</v>
      </c>
      <c r="AD10505">
        <v>0</v>
      </c>
      <c r="AE10505">
        <v>0</v>
      </c>
      <c r="AF10505">
        <v>0</v>
      </c>
      <c r="AG10505">
        <v>0</v>
      </c>
      <c r="AH10505">
        <v>1</v>
      </c>
      <c r="AI10505">
        <v>0</v>
      </c>
      <c r="AJ10505">
        <v>1</v>
      </c>
      <c r="AK10505">
        <v>1</v>
      </c>
      <c r="AL10505">
        <v>1</v>
      </c>
      <c r="AM10505">
        <v>0</v>
      </c>
    </row>
    <row r="10506" spans="1:39" x14ac:dyDescent="0.2">
      <c r="A10506" t="str">
        <f>"10502"</f>
        <v>10502</v>
      </c>
      <c r="B10506" t="str">
        <f t="shared" si="583"/>
        <v>1</v>
      </c>
      <c r="C10506" t="str">
        <f t="shared" si="585"/>
        <v>211</v>
      </c>
      <c r="D10506" t="str">
        <f>"39"</f>
        <v>39</v>
      </c>
      <c r="E10506" t="str">
        <f>"1-211-39"</f>
        <v>1-211-39</v>
      </c>
      <c r="F10506" t="s">
        <v>65</v>
      </c>
      <c r="G10506" t="s">
        <v>66</v>
      </c>
      <c r="H10506" t="s">
        <v>67</v>
      </c>
      <c r="S10506">
        <v>0</v>
      </c>
      <c r="T10506">
        <v>1</v>
      </c>
      <c r="U10506">
        <v>0</v>
      </c>
      <c r="V10506">
        <v>0</v>
      </c>
      <c r="W10506">
        <v>0</v>
      </c>
      <c r="X10506">
        <v>1</v>
      </c>
      <c r="Y10506">
        <v>1</v>
      </c>
      <c r="Z10506">
        <v>0</v>
      </c>
      <c r="AA10506">
        <v>0</v>
      </c>
      <c r="AB10506">
        <v>0</v>
      </c>
      <c r="AC10506">
        <v>1</v>
      </c>
      <c r="AD10506">
        <v>1</v>
      </c>
      <c r="AE10506">
        <v>1</v>
      </c>
      <c r="AF10506">
        <v>1</v>
      </c>
      <c r="AG10506">
        <v>1</v>
      </c>
      <c r="AH10506">
        <v>1</v>
      </c>
      <c r="AI10506">
        <v>1</v>
      </c>
      <c r="AJ10506">
        <v>1</v>
      </c>
      <c r="AK10506">
        <v>1</v>
      </c>
      <c r="AL10506">
        <v>1</v>
      </c>
      <c r="AM10506">
        <v>1</v>
      </c>
    </row>
    <row r="10507" spans="1:39" x14ac:dyDescent="0.2">
      <c r="A10507" t="str">
        <f>"10503"</f>
        <v>10503</v>
      </c>
      <c r="B10507" t="str">
        <f t="shared" si="583"/>
        <v>1</v>
      </c>
      <c r="C10507" t="str">
        <f t="shared" si="585"/>
        <v>211</v>
      </c>
      <c r="D10507" t="str">
        <f>"26"</f>
        <v>26</v>
      </c>
      <c r="E10507" t="str">
        <f>"1-211-26"</f>
        <v>1-211-26</v>
      </c>
      <c r="F10507" t="s">
        <v>65</v>
      </c>
      <c r="G10507" t="s">
        <v>66</v>
      </c>
      <c r="H10507" t="s">
        <v>67</v>
      </c>
      <c r="S10507">
        <v>0</v>
      </c>
      <c r="T10507">
        <v>1</v>
      </c>
      <c r="U10507">
        <v>0</v>
      </c>
      <c r="V10507">
        <v>0</v>
      </c>
      <c r="W10507">
        <v>0</v>
      </c>
      <c r="X10507">
        <v>1</v>
      </c>
      <c r="Y10507">
        <v>0</v>
      </c>
      <c r="Z10507">
        <v>1</v>
      </c>
      <c r="AA10507">
        <v>0</v>
      </c>
      <c r="AB10507">
        <v>0</v>
      </c>
      <c r="AC10507">
        <v>1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</row>
    <row r="10508" spans="1:39" x14ac:dyDescent="0.2">
      <c r="A10508" t="str">
        <f>"10504"</f>
        <v>10504</v>
      </c>
      <c r="B10508" t="str">
        <f t="shared" si="583"/>
        <v>1</v>
      </c>
      <c r="C10508" t="str">
        <f t="shared" si="585"/>
        <v>211</v>
      </c>
      <c r="D10508" t="str">
        <f>"15"</f>
        <v>15</v>
      </c>
      <c r="E10508" t="str">
        <f>"1-211-15"</f>
        <v>1-211-15</v>
      </c>
      <c r="F10508" t="s">
        <v>65</v>
      </c>
      <c r="G10508" t="s">
        <v>66</v>
      </c>
      <c r="H10508" t="s">
        <v>67</v>
      </c>
      <c r="S10508">
        <v>1</v>
      </c>
      <c r="T10508">
        <v>0</v>
      </c>
      <c r="U10508">
        <v>0</v>
      </c>
      <c r="V10508">
        <v>0</v>
      </c>
      <c r="W10508">
        <v>1</v>
      </c>
      <c r="X10508">
        <v>0</v>
      </c>
      <c r="Y10508">
        <v>1</v>
      </c>
      <c r="Z10508">
        <v>0</v>
      </c>
      <c r="AA10508">
        <v>0</v>
      </c>
      <c r="AB10508">
        <v>0</v>
      </c>
      <c r="AC10508">
        <v>1</v>
      </c>
      <c r="AD10508">
        <v>1</v>
      </c>
      <c r="AE10508">
        <v>1</v>
      </c>
      <c r="AF10508">
        <v>1</v>
      </c>
      <c r="AG10508">
        <v>1</v>
      </c>
      <c r="AH10508">
        <v>1</v>
      </c>
      <c r="AI10508">
        <v>1</v>
      </c>
      <c r="AJ10508">
        <v>1</v>
      </c>
      <c r="AK10508">
        <v>1</v>
      </c>
      <c r="AL10508">
        <v>1</v>
      </c>
      <c r="AM10508">
        <v>1</v>
      </c>
    </row>
    <row r="10509" spans="1:39" x14ac:dyDescent="0.2">
      <c r="A10509" t="str">
        <f>"10505"</f>
        <v>10505</v>
      </c>
      <c r="B10509" t="str">
        <f t="shared" si="583"/>
        <v>1</v>
      </c>
      <c r="C10509" t="str">
        <f t="shared" si="585"/>
        <v>211</v>
      </c>
      <c r="D10509" t="str">
        <f>"7"</f>
        <v>7</v>
      </c>
      <c r="E10509" t="str">
        <f>"1-211-7"</f>
        <v>1-211-7</v>
      </c>
      <c r="F10509" t="s">
        <v>65</v>
      </c>
      <c r="G10509" t="s">
        <v>66</v>
      </c>
      <c r="H10509" t="s">
        <v>67</v>
      </c>
      <c r="S10509">
        <v>0</v>
      </c>
      <c r="T10509">
        <v>1</v>
      </c>
      <c r="U10509">
        <v>0</v>
      </c>
      <c r="V10509">
        <v>0</v>
      </c>
      <c r="W10509">
        <v>0</v>
      </c>
      <c r="X10509">
        <v>1</v>
      </c>
      <c r="Y10509">
        <v>0</v>
      </c>
      <c r="Z10509">
        <v>1</v>
      </c>
      <c r="AA10509">
        <v>0</v>
      </c>
      <c r="AB10509">
        <v>0</v>
      </c>
      <c r="AC10509">
        <v>1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</row>
    <row r="10510" spans="1:39" x14ac:dyDescent="0.2">
      <c r="A10510" t="str">
        <f>"10506"</f>
        <v>10506</v>
      </c>
      <c r="B10510" t="str">
        <f t="shared" si="583"/>
        <v>1</v>
      </c>
      <c r="C10510" t="str">
        <f t="shared" si="585"/>
        <v>211</v>
      </c>
      <c r="D10510" t="str">
        <f>"38"</f>
        <v>38</v>
      </c>
      <c r="E10510" t="str">
        <f>"1-211-38"</f>
        <v>1-211-38</v>
      </c>
      <c r="F10510" t="s">
        <v>65</v>
      </c>
      <c r="G10510" t="s">
        <v>66</v>
      </c>
      <c r="H10510" t="s">
        <v>67</v>
      </c>
      <c r="S10510">
        <v>0</v>
      </c>
      <c r="T10510">
        <v>1</v>
      </c>
      <c r="U10510">
        <v>0</v>
      </c>
      <c r="V10510">
        <v>0</v>
      </c>
      <c r="W10510">
        <v>0</v>
      </c>
      <c r="X10510">
        <v>1</v>
      </c>
      <c r="Y10510">
        <v>0</v>
      </c>
      <c r="Z10510">
        <v>1</v>
      </c>
      <c r="AA10510">
        <v>0</v>
      </c>
      <c r="AB10510">
        <v>0</v>
      </c>
      <c r="AC10510">
        <v>1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</row>
    <row r="10511" spans="1:39" x14ac:dyDescent="0.2">
      <c r="A10511" t="str">
        <f>"10507"</f>
        <v>10507</v>
      </c>
      <c r="B10511" t="str">
        <f t="shared" si="583"/>
        <v>1</v>
      </c>
      <c r="C10511" t="str">
        <f t="shared" si="585"/>
        <v>211</v>
      </c>
      <c r="D10511" t="str">
        <f>"37"</f>
        <v>37</v>
      </c>
      <c r="E10511" t="str">
        <f>"1-211-37"</f>
        <v>1-211-37</v>
      </c>
      <c r="F10511" t="s">
        <v>65</v>
      </c>
      <c r="G10511" t="s">
        <v>66</v>
      </c>
      <c r="H10511" t="s">
        <v>67</v>
      </c>
      <c r="S10511">
        <v>0</v>
      </c>
      <c r="T10511">
        <v>1</v>
      </c>
      <c r="U10511">
        <v>0</v>
      </c>
      <c r="V10511">
        <v>0</v>
      </c>
      <c r="W10511">
        <v>0</v>
      </c>
      <c r="X10511">
        <v>1</v>
      </c>
      <c r="Y10511">
        <v>0</v>
      </c>
      <c r="Z10511">
        <v>1</v>
      </c>
      <c r="AA10511">
        <v>0</v>
      </c>
      <c r="AB10511">
        <v>0</v>
      </c>
      <c r="AC10511">
        <v>1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</row>
    <row r="10512" spans="1:39" x14ac:dyDescent="0.2">
      <c r="A10512" t="str">
        <f>"10508"</f>
        <v>10508</v>
      </c>
      <c r="B10512" t="str">
        <f t="shared" si="583"/>
        <v>1</v>
      </c>
      <c r="C10512" t="str">
        <f t="shared" si="585"/>
        <v>211</v>
      </c>
      <c r="D10512" t="str">
        <f>"22"</f>
        <v>22</v>
      </c>
      <c r="E10512" t="str">
        <f>"1-211-22"</f>
        <v>1-211-22</v>
      </c>
      <c r="F10512" t="s">
        <v>65</v>
      </c>
      <c r="G10512" t="s">
        <v>66</v>
      </c>
      <c r="H10512" t="s">
        <v>67</v>
      </c>
      <c r="S10512">
        <v>0</v>
      </c>
      <c r="T10512">
        <v>1</v>
      </c>
      <c r="U10512">
        <v>0</v>
      </c>
      <c r="V10512">
        <v>0</v>
      </c>
      <c r="W10512">
        <v>0</v>
      </c>
      <c r="X10512">
        <v>1</v>
      </c>
      <c r="Y10512">
        <v>0</v>
      </c>
      <c r="Z10512">
        <v>0</v>
      </c>
      <c r="AA10512">
        <v>0</v>
      </c>
      <c r="AB10512">
        <v>1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</row>
    <row r="10513" spans="1:39" x14ac:dyDescent="0.2">
      <c r="A10513" t="str">
        <f>"10509"</f>
        <v>10509</v>
      </c>
      <c r="B10513" t="str">
        <f t="shared" si="583"/>
        <v>1</v>
      </c>
      <c r="C10513" t="str">
        <f t="shared" si="585"/>
        <v>211</v>
      </c>
      <c r="D10513" t="str">
        <f>"16"</f>
        <v>16</v>
      </c>
      <c r="E10513" t="str">
        <f>"1-211-16"</f>
        <v>1-211-16</v>
      </c>
      <c r="F10513" t="s">
        <v>65</v>
      </c>
      <c r="G10513" t="s">
        <v>66</v>
      </c>
      <c r="H10513" t="s">
        <v>68</v>
      </c>
      <c r="I10513">
        <v>1</v>
      </c>
      <c r="J10513">
        <v>1</v>
      </c>
      <c r="K10513">
        <v>0</v>
      </c>
      <c r="L10513">
        <v>0</v>
      </c>
      <c r="M10513">
        <v>1</v>
      </c>
      <c r="N10513">
        <v>1</v>
      </c>
      <c r="O10513">
        <v>1</v>
      </c>
      <c r="P10513">
        <v>1</v>
      </c>
      <c r="Q10513">
        <v>1</v>
      </c>
      <c r="R10513">
        <v>1</v>
      </c>
    </row>
    <row r="10514" spans="1:39" x14ac:dyDescent="0.2">
      <c r="A10514" t="str">
        <f>"10510"</f>
        <v>10510</v>
      </c>
      <c r="B10514" t="str">
        <f t="shared" si="583"/>
        <v>1</v>
      </c>
      <c r="C10514" t="str">
        <f t="shared" si="585"/>
        <v>211</v>
      </c>
      <c r="D10514" t="str">
        <f>"4"</f>
        <v>4</v>
      </c>
      <c r="E10514" t="str">
        <f>"1-211-4"</f>
        <v>1-211-4</v>
      </c>
      <c r="F10514" t="s">
        <v>65</v>
      </c>
      <c r="G10514" t="s">
        <v>66</v>
      </c>
      <c r="H10514" t="s">
        <v>67</v>
      </c>
      <c r="S10514">
        <v>0</v>
      </c>
      <c r="T10514">
        <v>1</v>
      </c>
      <c r="U10514">
        <v>0</v>
      </c>
      <c r="V10514">
        <v>0</v>
      </c>
      <c r="W10514">
        <v>1</v>
      </c>
      <c r="X10514">
        <v>0</v>
      </c>
      <c r="Y10514">
        <v>0</v>
      </c>
      <c r="Z10514">
        <v>1</v>
      </c>
      <c r="AA10514">
        <v>0</v>
      </c>
      <c r="AB10514">
        <v>0</v>
      </c>
      <c r="AC10514">
        <v>1</v>
      </c>
      <c r="AD10514">
        <v>1</v>
      </c>
      <c r="AE10514">
        <v>1</v>
      </c>
      <c r="AF10514">
        <v>1</v>
      </c>
      <c r="AG10514">
        <v>1</v>
      </c>
      <c r="AH10514">
        <v>1</v>
      </c>
      <c r="AI10514">
        <v>1</v>
      </c>
      <c r="AJ10514">
        <v>1</v>
      </c>
      <c r="AK10514">
        <v>1</v>
      </c>
      <c r="AL10514">
        <v>1</v>
      </c>
      <c r="AM10514">
        <v>1</v>
      </c>
    </row>
    <row r="10515" spans="1:39" x14ac:dyDescent="0.2">
      <c r="A10515" t="str">
        <f>"10511"</f>
        <v>10511</v>
      </c>
      <c r="B10515" t="str">
        <f t="shared" si="583"/>
        <v>1</v>
      </c>
      <c r="C10515" t="str">
        <f t="shared" si="585"/>
        <v>211</v>
      </c>
      <c r="D10515" t="str">
        <f>"36"</f>
        <v>36</v>
      </c>
      <c r="E10515" t="str">
        <f>"1-211-36"</f>
        <v>1-211-36</v>
      </c>
      <c r="F10515" t="s">
        <v>65</v>
      </c>
      <c r="G10515" t="s">
        <v>66</v>
      </c>
      <c r="H10515" t="s">
        <v>67</v>
      </c>
      <c r="S10515">
        <v>0</v>
      </c>
      <c r="T10515">
        <v>1</v>
      </c>
      <c r="U10515">
        <v>0</v>
      </c>
      <c r="V10515">
        <v>0</v>
      </c>
      <c r="W10515">
        <v>1</v>
      </c>
      <c r="X10515">
        <v>0</v>
      </c>
      <c r="Y10515">
        <v>1</v>
      </c>
      <c r="Z10515">
        <v>0</v>
      </c>
      <c r="AA10515">
        <v>1</v>
      </c>
      <c r="AB10515">
        <v>0</v>
      </c>
      <c r="AC10515">
        <v>0</v>
      </c>
      <c r="AD10515">
        <v>1</v>
      </c>
      <c r="AE10515">
        <v>1</v>
      </c>
      <c r="AF10515">
        <v>1</v>
      </c>
      <c r="AG10515">
        <v>1</v>
      </c>
      <c r="AH10515">
        <v>1</v>
      </c>
      <c r="AI10515">
        <v>1</v>
      </c>
      <c r="AJ10515">
        <v>1</v>
      </c>
      <c r="AK10515">
        <v>1</v>
      </c>
      <c r="AL10515">
        <v>1</v>
      </c>
      <c r="AM10515">
        <v>1</v>
      </c>
    </row>
    <row r="10516" spans="1:39" x14ac:dyDescent="0.2">
      <c r="A10516" t="str">
        <f>"10512"</f>
        <v>10512</v>
      </c>
      <c r="B10516" t="str">
        <f t="shared" si="583"/>
        <v>1</v>
      </c>
      <c r="C10516" t="str">
        <f t="shared" si="585"/>
        <v>211</v>
      </c>
      <c r="D10516" t="str">
        <f>"35"</f>
        <v>35</v>
      </c>
      <c r="E10516" t="str">
        <f>"1-211-35"</f>
        <v>1-211-35</v>
      </c>
      <c r="F10516" t="s">
        <v>65</v>
      </c>
      <c r="G10516" t="s">
        <v>66</v>
      </c>
      <c r="H10516" t="s">
        <v>67</v>
      </c>
      <c r="S10516">
        <v>0</v>
      </c>
      <c r="T10516">
        <v>1</v>
      </c>
      <c r="U10516">
        <v>0</v>
      </c>
      <c r="V10516">
        <v>0</v>
      </c>
      <c r="W10516">
        <v>0</v>
      </c>
      <c r="X10516">
        <v>1</v>
      </c>
      <c r="Y10516">
        <v>0</v>
      </c>
      <c r="Z10516">
        <v>1</v>
      </c>
      <c r="AA10516">
        <v>0</v>
      </c>
      <c r="AB10516">
        <v>1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</row>
    <row r="10517" spans="1:39" x14ac:dyDescent="0.2">
      <c r="A10517" t="str">
        <f>"10513"</f>
        <v>10513</v>
      </c>
      <c r="B10517" t="str">
        <f t="shared" si="583"/>
        <v>1</v>
      </c>
      <c r="C10517" t="str">
        <f t="shared" si="585"/>
        <v>211</v>
      </c>
      <c r="D10517" t="str">
        <f>"23"</f>
        <v>23</v>
      </c>
      <c r="E10517" t="str">
        <f>"1-211-23"</f>
        <v>1-211-23</v>
      </c>
      <c r="F10517" t="s">
        <v>65</v>
      </c>
      <c r="G10517" t="s">
        <v>66</v>
      </c>
      <c r="H10517" t="s">
        <v>67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1</v>
      </c>
      <c r="Y10517">
        <v>0</v>
      </c>
      <c r="Z10517">
        <v>0</v>
      </c>
      <c r="AA10517">
        <v>1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</row>
    <row r="10518" spans="1:39" x14ac:dyDescent="0.2">
      <c r="A10518" t="str">
        <f>"10514"</f>
        <v>10514</v>
      </c>
      <c r="B10518" t="str">
        <f t="shared" si="583"/>
        <v>1</v>
      </c>
      <c r="C10518" t="str">
        <f t="shared" si="585"/>
        <v>211</v>
      </c>
      <c r="D10518" t="str">
        <f>"17"</f>
        <v>17</v>
      </c>
      <c r="E10518" t="str">
        <f>"1-211-17"</f>
        <v>1-211-17</v>
      </c>
      <c r="F10518" t="s">
        <v>65</v>
      </c>
      <c r="G10518" t="s">
        <v>66</v>
      </c>
      <c r="H10518" t="s">
        <v>68</v>
      </c>
      <c r="I10518">
        <v>1</v>
      </c>
      <c r="J10518">
        <v>1</v>
      </c>
      <c r="K10518">
        <v>0</v>
      </c>
      <c r="L10518">
        <v>0</v>
      </c>
      <c r="M10518">
        <v>1</v>
      </c>
      <c r="N10518">
        <v>1</v>
      </c>
      <c r="O10518">
        <v>1</v>
      </c>
      <c r="P10518">
        <v>1</v>
      </c>
      <c r="Q10518">
        <v>1</v>
      </c>
      <c r="R10518">
        <v>1</v>
      </c>
    </row>
    <row r="10519" spans="1:39" x14ac:dyDescent="0.2">
      <c r="A10519" t="str">
        <f>"10515"</f>
        <v>10515</v>
      </c>
      <c r="B10519" t="str">
        <f t="shared" si="583"/>
        <v>1</v>
      </c>
      <c r="C10519" t="str">
        <f t="shared" si="585"/>
        <v>211</v>
      </c>
      <c r="D10519" t="str">
        <f>"9"</f>
        <v>9</v>
      </c>
      <c r="E10519" t="str">
        <f>"1-211-9"</f>
        <v>1-211-9</v>
      </c>
      <c r="F10519" t="s">
        <v>65</v>
      </c>
      <c r="G10519" t="s">
        <v>66</v>
      </c>
      <c r="H10519" t="s">
        <v>67</v>
      </c>
      <c r="S10519">
        <v>1</v>
      </c>
      <c r="T10519">
        <v>0</v>
      </c>
      <c r="U10519">
        <v>0</v>
      </c>
      <c r="V10519">
        <v>0</v>
      </c>
      <c r="W10519">
        <v>1</v>
      </c>
      <c r="X10519">
        <v>0</v>
      </c>
      <c r="Y10519">
        <v>1</v>
      </c>
      <c r="Z10519">
        <v>0</v>
      </c>
      <c r="AA10519">
        <v>1</v>
      </c>
      <c r="AB10519">
        <v>0</v>
      </c>
      <c r="AC10519">
        <v>0</v>
      </c>
      <c r="AD10519">
        <v>1</v>
      </c>
      <c r="AE10519">
        <v>1</v>
      </c>
      <c r="AF10519">
        <v>1</v>
      </c>
      <c r="AG10519">
        <v>1</v>
      </c>
      <c r="AH10519">
        <v>1</v>
      </c>
      <c r="AI10519">
        <v>1</v>
      </c>
      <c r="AJ10519">
        <v>1</v>
      </c>
      <c r="AK10519">
        <v>1</v>
      </c>
      <c r="AL10519">
        <v>1</v>
      </c>
      <c r="AM10519">
        <v>1</v>
      </c>
    </row>
    <row r="10520" spans="1:39" x14ac:dyDescent="0.2">
      <c r="A10520" t="str">
        <f>"10516"</f>
        <v>10516</v>
      </c>
      <c r="B10520" t="str">
        <f t="shared" si="583"/>
        <v>1</v>
      </c>
      <c r="C10520" t="str">
        <f t="shared" si="585"/>
        <v>211</v>
      </c>
      <c r="D10520" t="str">
        <f>"34"</f>
        <v>34</v>
      </c>
      <c r="E10520" t="str">
        <f>"1-211-34"</f>
        <v>1-211-34</v>
      </c>
      <c r="F10520" t="s">
        <v>65</v>
      </c>
      <c r="G10520" t="s">
        <v>66</v>
      </c>
      <c r="H10520" t="s">
        <v>67</v>
      </c>
      <c r="S10520">
        <v>0</v>
      </c>
      <c r="T10520">
        <v>1</v>
      </c>
      <c r="U10520">
        <v>0</v>
      </c>
      <c r="V10520">
        <v>0</v>
      </c>
      <c r="W10520">
        <v>0</v>
      </c>
      <c r="X10520">
        <v>1</v>
      </c>
      <c r="Y10520">
        <v>1</v>
      </c>
      <c r="Z10520">
        <v>0</v>
      </c>
      <c r="AA10520">
        <v>1</v>
      </c>
      <c r="AB10520">
        <v>0</v>
      </c>
      <c r="AC10520">
        <v>0</v>
      </c>
      <c r="AD10520">
        <v>1</v>
      </c>
      <c r="AE10520">
        <v>1</v>
      </c>
      <c r="AF10520">
        <v>1</v>
      </c>
      <c r="AG10520">
        <v>1</v>
      </c>
      <c r="AH10520">
        <v>1</v>
      </c>
      <c r="AI10520">
        <v>1</v>
      </c>
      <c r="AJ10520">
        <v>1</v>
      </c>
      <c r="AK10520">
        <v>1</v>
      </c>
      <c r="AL10520">
        <v>1</v>
      </c>
      <c r="AM10520">
        <v>1</v>
      </c>
    </row>
    <row r="10521" spans="1:39" x14ac:dyDescent="0.2">
      <c r="A10521" t="str">
        <f>"10517"</f>
        <v>10517</v>
      </c>
      <c r="B10521" t="str">
        <f t="shared" si="583"/>
        <v>1</v>
      </c>
      <c r="C10521" t="str">
        <f t="shared" si="585"/>
        <v>211</v>
      </c>
      <c r="D10521" t="str">
        <f>"33"</f>
        <v>33</v>
      </c>
      <c r="E10521" t="str">
        <f>"1-211-33"</f>
        <v>1-211-33</v>
      </c>
      <c r="F10521" t="s">
        <v>65</v>
      </c>
      <c r="G10521" t="s">
        <v>66</v>
      </c>
      <c r="H10521" t="s">
        <v>67</v>
      </c>
      <c r="S10521">
        <v>0</v>
      </c>
      <c r="T10521">
        <v>1</v>
      </c>
      <c r="U10521">
        <v>0</v>
      </c>
      <c r="V10521">
        <v>0</v>
      </c>
      <c r="W10521">
        <v>0</v>
      </c>
      <c r="X10521">
        <v>1</v>
      </c>
      <c r="Y10521">
        <v>0</v>
      </c>
      <c r="Z10521">
        <v>1</v>
      </c>
      <c r="AA10521">
        <v>0</v>
      </c>
      <c r="AB10521">
        <v>0</v>
      </c>
      <c r="AC10521">
        <v>1</v>
      </c>
      <c r="AD10521">
        <v>1</v>
      </c>
      <c r="AE10521">
        <v>1</v>
      </c>
      <c r="AF10521">
        <v>1</v>
      </c>
      <c r="AG10521">
        <v>1</v>
      </c>
      <c r="AH10521">
        <v>1</v>
      </c>
      <c r="AI10521">
        <v>1</v>
      </c>
      <c r="AJ10521">
        <v>1</v>
      </c>
      <c r="AK10521">
        <v>1</v>
      </c>
      <c r="AL10521">
        <v>1</v>
      </c>
      <c r="AM10521">
        <v>1</v>
      </c>
    </row>
    <row r="10522" spans="1:39" x14ac:dyDescent="0.2">
      <c r="A10522" t="str">
        <f>"10518"</f>
        <v>10518</v>
      </c>
      <c r="B10522" t="str">
        <f t="shared" si="583"/>
        <v>1</v>
      </c>
      <c r="C10522" t="str">
        <f t="shared" si="585"/>
        <v>211</v>
      </c>
      <c r="D10522" t="str">
        <f>"29"</f>
        <v>29</v>
      </c>
      <c r="E10522" t="str">
        <f>"1-211-29"</f>
        <v>1-211-29</v>
      </c>
      <c r="F10522" t="s">
        <v>65</v>
      </c>
      <c r="G10522" t="s">
        <v>66</v>
      </c>
      <c r="H10522" t="s">
        <v>68</v>
      </c>
      <c r="I10522">
        <v>1</v>
      </c>
      <c r="J10522">
        <v>0</v>
      </c>
      <c r="K10522">
        <v>0</v>
      </c>
      <c r="L10522">
        <v>1</v>
      </c>
      <c r="M10522">
        <v>1</v>
      </c>
      <c r="N10522">
        <v>1</v>
      </c>
      <c r="O10522">
        <v>1</v>
      </c>
      <c r="P10522">
        <v>1</v>
      </c>
      <c r="Q10522">
        <v>1</v>
      </c>
      <c r="R10522">
        <v>1</v>
      </c>
    </row>
    <row r="10523" spans="1:39" x14ac:dyDescent="0.2">
      <c r="A10523" t="str">
        <f>"10519"</f>
        <v>10519</v>
      </c>
      <c r="B10523" t="str">
        <f t="shared" si="583"/>
        <v>1</v>
      </c>
      <c r="C10523" t="str">
        <f t="shared" si="585"/>
        <v>211</v>
      </c>
      <c r="D10523" t="str">
        <f>"18"</f>
        <v>18</v>
      </c>
      <c r="E10523" t="str">
        <f>"1-211-18"</f>
        <v>1-211-18</v>
      </c>
      <c r="F10523" t="s">
        <v>65</v>
      </c>
      <c r="G10523" t="s">
        <v>66</v>
      </c>
      <c r="H10523" t="s">
        <v>67</v>
      </c>
      <c r="S10523">
        <v>0</v>
      </c>
      <c r="T10523">
        <v>1</v>
      </c>
      <c r="U10523">
        <v>0</v>
      </c>
      <c r="V10523">
        <v>0</v>
      </c>
      <c r="W10523">
        <v>0</v>
      </c>
      <c r="X10523">
        <v>1</v>
      </c>
      <c r="Y10523">
        <v>0</v>
      </c>
      <c r="Z10523">
        <v>1</v>
      </c>
      <c r="AA10523">
        <v>0</v>
      </c>
      <c r="AB10523">
        <v>0</v>
      </c>
      <c r="AC10523">
        <v>1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</row>
    <row r="10524" spans="1:39" x14ac:dyDescent="0.2">
      <c r="A10524" t="str">
        <f>"10520"</f>
        <v>10520</v>
      </c>
      <c r="B10524" t="str">
        <f t="shared" si="583"/>
        <v>1</v>
      </c>
      <c r="C10524" t="str">
        <f t="shared" si="585"/>
        <v>211</v>
      </c>
      <c r="D10524" t="str">
        <f>"5"</f>
        <v>5</v>
      </c>
      <c r="E10524" t="str">
        <f>"1-211-5"</f>
        <v>1-211-5</v>
      </c>
      <c r="F10524" t="s">
        <v>65</v>
      </c>
      <c r="G10524" t="s">
        <v>66</v>
      </c>
      <c r="H10524" t="s">
        <v>67</v>
      </c>
      <c r="S10524">
        <v>0</v>
      </c>
      <c r="T10524">
        <v>1</v>
      </c>
      <c r="U10524">
        <v>0</v>
      </c>
      <c r="V10524">
        <v>0</v>
      </c>
      <c r="W10524">
        <v>1</v>
      </c>
      <c r="X10524">
        <v>0</v>
      </c>
      <c r="Y10524">
        <v>0</v>
      </c>
      <c r="Z10524">
        <v>1</v>
      </c>
      <c r="AA10524">
        <v>0</v>
      </c>
      <c r="AB10524">
        <v>0</v>
      </c>
      <c r="AC10524">
        <v>1</v>
      </c>
      <c r="AD10524">
        <v>1</v>
      </c>
      <c r="AE10524">
        <v>1</v>
      </c>
      <c r="AF10524">
        <v>1</v>
      </c>
      <c r="AG10524">
        <v>1</v>
      </c>
      <c r="AH10524">
        <v>1</v>
      </c>
      <c r="AI10524">
        <v>1</v>
      </c>
      <c r="AJ10524">
        <v>1</v>
      </c>
      <c r="AK10524">
        <v>1</v>
      </c>
      <c r="AL10524">
        <v>1</v>
      </c>
      <c r="AM10524">
        <v>1</v>
      </c>
    </row>
    <row r="10525" spans="1:39" x14ac:dyDescent="0.2">
      <c r="A10525" t="str">
        <f>"10521"</f>
        <v>10521</v>
      </c>
      <c r="B10525" t="str">
        <f t="shared" si="583"/>
        <v>1</v>
      </c>
      <c r="C10525" t="str">
        <f t="shared" si="585"/>
        <v>211</v>
      </c>
      <c r="D10525" t="str">
        <f>"42"</f>
        <v>42</v>
      </c>
      <c r="E10525" t="str">
        <f>"1-211-42"</f>
        <v>1-211-42</v>
      </c>
      <c r="F10525" t="s">
        <v>65</v>
      </c>
      <c r="G10525" t="s">
        <v>66</v>
      </c>
      <c r="H10525" t="s">
        <v>68</v>
      </c>
      <c r="I10525">
        <v>1</v>
      </c>
      <c r="J10525">
        <v>0</v>
      </c>
      <c r="K10525">
        <v>0</v>
      </c>
      <c r="L10525">
        <v>1</v>
      </c>
      <c r="M10525">
        <v>1</v>
      </c>
      <c r="N10525">
        <v>1</v>
      </c>
      <c r="O10525">
        <v>1</v>
      </c>
      <c r="P10525">
        <v>1</v>
      </c>
      <c r="Q10525">
        <v>1</v>
      </c>
      <c r="R10525">
        <v>1</v>
      </c>
    </row>
    <row r="10526" spans="1:39" x14ac:dyDescent="0.2">
      <c r="A10526" t="str">
        <f>"10522"</f>
        <v>10522</v>
      </c>
      <c r="B10526" t="str">
        <f t="shared" si="583"/>
        <v>1</v>
      </c>
      <c r="C10526" t="str">
        <f t="shared" si="585"/>
        <v>211</v>
      </c>
      <c r="D10526" t="str">
        <f>"19"</f>
        <v>19</v>
      </c>
      <c r="E10526" t="str">
        <f>"1-211-19"</f>
        <v>1-211-19</v>
      </c>
      <c r="F10526" t="s">
        <v>65</v>
      </c>
      <c r="G10526" t="s">
        <v>66</v>
      </c>
      <c r="H10526" t="s">
        <v>67</v>
      </c>
      <c r="S10526">
        <v>1</v>
      </c>
      <c r="T10526">
        <v>0</v>
      </c>
      <c r="U10526">
        <v>0</v>
      </c>
      <c r="V10526">
        <v>0</v>
      </c>
      <c r="W10526">
        <v>1</v>
      </c>
      <c r="X10526">
        <v>0</v>
      </c>
      <c r="Y10526">
        <v>0</v>
      </c>
      <c r="Z10526">
        <v>1</v>
      </c>
      <c r="AA10526">
        <v>1</v>
      </c>
      <c r="AB10526">
        <v>0</v>
      </c>
      <c r="AC10526">
        <v>0</v>
      </c>
      <c r="AD10526">
        <v>1</v>
      </c>
      <c r="AE10526">
        <v>1</v>
      </c>
      <c r="AF10526">
        <v>1</v>
      </c>
      <c r="AG10526">
        <v>1</v>
      </c>
      <c r="AH10526">
        <v>1</v>
      </c>
      <c r="AI10526">
        <v>1</v>
      </c>
      <c r="AJ10526">
        <v>1</v>
      </c>
      <c r="AK10526">
        <v>1</v>
      </c>
      <c r="AL10526">
        <v>1</v>
      </c>
      <c r="AM10526">
        <v>1</v>
      </c>
    </row>
    <row r="10527" spans="1:39" x14ac:dyDescent="0.2">
      <c r="A10527" t="str">
        <f>"10523"</f>
        <v>10523</v>
      </c>
      <c r="B10527" t="str">
        <f t="shared" si="583"/>
        <v>1</v>
      </c>
      <c r="C10527" t="str">
        <f t="shared" si="585"/>
        <v>211</v>
      </c>
      <c r="D10527" t="str">
        <f>"11"</f>
        <v>11</v>
      </c>
      <c r="E10527" t="str">
        <f>"1-211-11"</f>
        <v>1-211-11</v>
      </c>
      <c r="F10527" t="s">
        <v>65</v>
      </c>
      <c r="G10527" t="s">
        <v>66</v>
      </c>
      <c r="H10527" t="s">
        <v>68</v>
      </c>
      <c r="I10527">
        <v>1</v>
      </c>
      <c r="J10527">
        <v>0</v>
      </c>
      <c r="K10527">
        <v>0</v>
      </c>
      <c r="L10527">
        <v>1</v>
      </c>
      <c r="M10527">
        <v>1</v>
      </c>
      <c r="N10527">
        <v>1</v>
      </c>
      <c r="O10527">
        <v>1</v>
      </c>
      <c r="P10527">
        <v>1</v>
      </c>
      <c r="Q10527">
        <v>1</v>
      </c>
      <c r="R10527">
        <v>1</v>
      </c>
    </row>
    <row r="10528" spans="1:39" x14ac:dyDescent="0.2">
      <c r="A10528" t="str">
        <f>"10524"</f>
        <v>10524</v>
      </c>
      <c r="B10528" t="str">
        <f t="shared" si="583"/>
        <v>1</v>
      </c>
      <c r="C10528" t="str">
        <f t="shared" si="585"/>
        <v>211</v>
      </c>
      <c r="D10528" t="str">
        <f>"41"</f>
        <v>41</v>
      </c>
      <c r="E10528" t="str">
        <f>"1-211-41"</f>
        <v>1-211-41</v>
      </c>
      <c r="F10528" t="s">
        <v>65</v>
      </c>
      <c r="G10528" t="s">
        <v>66</v>
      </c>
      <c r="H10528" t="s">
        <v>67</v>
      </c>
      <c r="S10528">
        <v>0</v>
      </c>
      <c r="T10528">
        <v>1</v>
      </c>
      <c r="U10528">
        <v>0</v>
      </c>
      <c r="V10528">
        <v>0</v>
      </c>
      <c r="W10528">
        <v>1</v>
      </c>
      <c r="X10528">
        <v>0</v>
      </c>
      <c r="Y10528">
        <v>1</v>
      </c>
      <c r="Z10528">
        <v>0</v>
      </c>
      <c r="AA10528">
        <v>1</v>
      </c>
      <c r="AB10528">
        <v>0</v>
      </c>
      <c r="AC10528">
        <v>0</v>
      </c>
      <c r="AD10528">
        <v>1</v>
      </c>
      <c r="AE10528">
        <v>1</v>
      </c>
      <c r="AF10528">
        <v>1</v>
      </c>
      <c r="AG10528">
        <v>1</v>
      </c>
      <c r="AH10528">
        <v>1</v>
      </c>
      <c r="AI10528">
        <v>1</v>
      </c>
      <c r="AJ10528">
        <v>1</v>
      </c>
      <c r="AK10528">
        <v>1</v>
      </c>
      <c r="AL10528">
        <v>1</v>
      </c>
      <c r="AM10528">
        <v>1</v>
      </c>
    </row>
    <row r="10529" spans="1:39" x14ac:dyDescent="0.2">
      <c r="A10529" t="str">
        <f>"10525"</f>
        <v>10525</v>
      </c>
      <c r="B10529" t="str">
        <f t="shared" si="583"/>
        <v>1</v>
      </c>
      <c r="C10529" t="str">
        <f t="shared" si="585"/>
        <v>211</v>
      </c>
      <c r="D10529" t="str">
        <f>"20"</f>
        <v>20</v>
      </c>
      <c r="E10529" t="str">
        <f>"1-211-20"</f>
        <v>1-211-20</v>
      </c>
      <c r="F10529" t="s">
        <v>65</v>
      </c>
      <c r="G10529" t="s">
        <v>66</v>
      </c>
      <c r="H10529" t="s">
        <v>67</v>
      </c>
      <c r="S10529">
        <v>1</v>
      </c>
      <c r="T10529">
        <v>0</v>
      </c>
      <c r="U10529">
        <v>0</v>
      </c>
      <c r="V10529">
        <v>0</v>
      </c>
      <c r="W10529">
        <v>1</v>
      </c>
      <c r="X10529">
        <v>0</v>
      </c>
      <c r="Y10529">
        <v>1</v>
      </c>
      <c r="Z10529">
        <v>0</v>
      </c>
      <c r="AA10529">
        <v>1</v>
      </c>
      <c r="AB10529">
        <v>0</v>
      </c>
      <c r="AC10529">
        <v>0</v>
      </c>
      <c r="AD10529">
        <v>1</v>
      </c>
      <c r="AE10529">
        <v>1</v>
      </c>
      <c r="AF10529">
        <v>1</v>
      </c>
      <c r="AG10529">
        <v>0</v>
      </c>
      <c r="AH10529">
        <v>1</v>
      </c>
      <c r="AI10529">
        <v>1</v>
      </c>
      <c r="AJ10529">
        <v>0</v>
      </c>
      <c r="AK10529">
        <v>1</v>
      </c>
      <c r="AL10529">
        <v>1</v>
      </c>
      <c r="AM10529">
        <v>1</v>
      </c>
    </row>
    <row r="10530" spans="1:39" x14ac:dyDescent="0.2">
      <c r="A10530" t="str">
        <f>"10526"</f>
        <v>10526</v>
      </c>
      <c r="B10530" t="str">
        <f t="shared" si="583"/>
        <v>1</v>
      </c>
      <c r="C10530" t="str">
        <f t="shared" si="585"/>
        <v>211</v>
      </c>
      <c r="D10530" t="str">
        <f>"6"</f>
        <v>6</v>
      </c>
      <c r="E10530" t="str">
        <f>"1-211-6"</f>
        <v>1-211-6</v>
      </c>
      <c r="F10530" t="s">
        <v>65</v>
      </c>
      <c r="G10530" t="s">
        <v>66</v>
      </c>
      <c r="H10530" t="s">
        <v>68</v>
      </c>
      <c r="I10530">
        <v>1</v>
      </c>
      <c r="J10530">
        <v>1</v>
      </c>
      <c r="K10530">
        <v>0</v>
      </c>
      <c r="L10530">
        <v>0</v>
      </c>
      <c r="M10530">
        <v>1</v>
      </c>
      <c r="N10530">
        <v>1</v>
      </c>
      <c r="O10530">
        <v>1</v>
      </c>
      <c r="P10530">
        <v>1</v>
      </c>
      <c r="Q10530">
        <v>1</v>
      </c>
      <c r="R10530">
        <v>1</v>
      </c>
    </row>
    <row r="10531" spans="1:39" x14ac:dyDescent="0.2">
      <c r="A10531" t="str">
        <f>"10527"</f>
        <v>10527</v>
      </c>
      <c r="B10531" t="str">
        <f t="shared" si="583"/>
        <v>1</v>
      </c>
      <c r="C10531" t="str">
        <f t="shared" si="585"/>
        <v>211</v>
      </c>
      <c r="D10531" t="str">
        <f>"43"</f>
        <v>43</v>
      </c>
      <c r="E10531" t="str">
        <f>"1-211-43"</f>
        <v>1-211-43</v>
      </c>
      <c r="F10531" t="s">
        <v>65</v>
      </c>
      <c r="G10531" t="s">
        <v>66</v>
      </c>
      <c r="H10531" t="s">
        <v>67</v>
      </c>
      <c r="S10531">
        <v>0</v>
      </c>
      <c r="T10531">
        <v>1</v>
      </c>
      <c r="U10531">
        <v>0</v>
      </c>
      <c r="V10531">
        <v>0</v>
      </c>
      <c r="W10531">
        <v>0</v>
      </c>
      <c r="X10531">
        <v>1</v>
      </c>
      <c r="Y10531">
        <v>0</v>
      </c>
      <c r="Z10531">
        <v>1</v>
      </c>
      <c r="AA10531">
        <v>0</v>
      </c>
      <c r="AB10531">
        <v>1</v>
      </c>
      <c r="AC10531">
        <v>0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</row>
    <row r="10532" spans="1:39" x14ac:dyDescent="0.2">
      <c r="A10532" t="str">
        <f>"10528"</f>
        <v>10528</v>
      </c>
      <c r="B10532" t="str">
        <f t="shared" si="583"/>
        <v>1</v>
      </c>
      <c r="C10532" t="str">
        <f t="shared" si="585"/>
        <v>211</v>
      </c>
      <c r="D10532" t="str">
        <f>"21"</f>
        <v>21</v>
      </c>
      <c r="E10532" t="str">
        <f>"1-211-21"</f>
        <v>1-211-21</v>
      </c>
      <c r="F10532" t="s">
        <v>65</v>
      </c>
      <c r="G10532" t="s">
        <v>66</v>
      </c>
      <c r="H10532" t="s">
        <v>67</v>
      </c>
      <c r="S10532">
        <v>0</v>
      </c>
      <c r="T10532">
        <v>1</v>
      </c>
      <c r="U10532">
        <v>0</v>
      </c>
      <c r="V10532">
        <v>0</v>
      </c>
      <c r="W10532">
        <v>0</v>
      </c>
      <c r="X10532">
        <v>1</v>
      </c>
      <c r="Y10532">
        <v>0</v>
      </c>
      <c r="Z10532">
        <v>1</v>
      </c>
      <c r="AA10532">
        <v>0</v>
      </c>
      <c r="AB10532">
        <v>0</v>
      </c>
      <c r="AC10532">
        <v>1</v>
      </c>
      <c r="AD10532">
        <v>0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</row>
    <row r="10533" spans="1:39" x14ac:dyDescent="0.2">
      <c r="A10533" t="str">
        <f>"10529"</f>
        <v>10529</v>
      </c>
      <c r="B10533" t="str">
        <f t="shared" si="583"/>
        <v>1</v>
      </c>
      <c r="C10533" t="str">
        <f t="shared" si="585"/>
        <v>211</v>
      </c>
      <c r="D10533" t="str">
        <f>"2"</f>
        <v>2</v>
      </c>
      <c r="E10533" t="str">
        <f>"1-211-2"</f>
        <v>1-211-2</v>
      </c>
      <c r="F10533" t="s">
        <v>65</v>
      </c>
      <c r="G10533" t="s">
        <v>66</v>
      </c>
      <c r="H10533" t="s">
        <v>67</v>
      </c>
      <c r="S10533">
        <v>0</v>
      </c>
      <c r="T10533">
        <v>0</v>
      </c>
      <c r="U10533">
        <v>0</v>
      </c>
      <c r="V10533">
        <v>0</v>
      </c>
      <c r="W10533">
        <v>1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1</v>
      </c>
      <c r="AD10533">
        <v>0</v>
      </c>
      <c r="AE10533">
        <v>0</v>
      </c>
      <c r="AF10533">
        <v>0</v>
      </c>
      <c r="AG10533">
        <v>1</v>
      </c>
      <c r="AH10533">
        <v>0</v>
      </c>
      <c r="AI10533">
        <v>1</v>
      </c>
      <c r="AJ10533">
        <v>0</v>
      </c>
      <c r="AK10533">
        <v>0</v>
      </c>
      <c r="AL10533">
        <v>1</v>
      </c>
      <c r="AM10533">
        <v>0</v>
      </c>
    </row>
    <row r="10534" spans="1:39" x14ac:dyDescent="0.2">
      <c r="A10534" t="str">
        <f>"10530"</f>
        <v>10530</v>
      </c>
      <c r="B10534" t="str">
        <f t="shared" si="583"/>
        <v>1</v>
      </c>
      <c r="C10534" t="str">
        <f t="shared" si="585"/>
        <v>211</v>
      </c>
      <c r="D10534" t="str">
        <f>"24"</f>
        <v>24</v>
      </c>
      <c r="E10534" t="str">
        <f>"1-211-24"</f>
        <v>1-211-24</v>
      </c>
      <c r="F10534" t="s">
        <v>65</v>
      </c>
      <c r="G10534" t="s">
        <v>66</v>
      </c>
      <c r="H10534" t="s">
        <v>67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1</v>
      </c>
      <c r="Y10534">
        <v>0</v>
      </c>
      <c r="Z10534">
        <v>0</v>
      </c>
      <c r="AA10534">
        <v>1</v>
      </c>
      <c r="AB10534">
        <v>0</v>
      </c>
      <c r="AC10534">
        <v>0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</row>
    <row r="10535" spans="1:39" x14ac:dyDescent="0.2">
      <c r="A10535" t="str">
        <f>"10531"</f>
        <v>10531</v>
      </c>
      <c r="B10535" t="str">
        <f t="shared" si="583"/>
        <v>1</v>
      </c>
      <c r="C10535" t="str">
        <f t="shared" si="585"/>
        <v>211</v>
      </c>
      <c r="D10535" t="str">
        <f>"12"</f>
        <v>12</v>
      </c>
      <c r="E10535" t="str">
        <f>"1-211-12"</f>
        <v>1-211-12</v>
      </c>
      <c r="F10535" t="s">
        <v>65</v>
      </c>
      <c r="G10535" t="s">
        <v>66</v>
      </c>
      <c r="H10535" t="s">
        <v>67</v>
      </c>
      <c r="S10535">
        <v>1</v>
      </c>
      <c r="T10535">
        <v>0</v>
      </c>
      <c r="U10535">
        <v>0</v>
      </c>
      <c r="V10535">
        <v>0</v>
      </c>
      <c r="W10535">
        <v>1</v>
      </c>
      <c r="X10535">
        <v>0</v>
      </c>
      <c r="Y10535">
        <v>1</v>
      </c>
      <c r="Z10535">
        <v>0</v>
      </c>
      <c r="AA10535">
        <v>1</v>
      </c>
      <c r="AB10535">
        <v>0</v>
      </c>
      <c r="AC10535">
        <v>0</v>
      </c>
      <c r="AD10535">
        <v>1</v>
      </c>
      <c r="AE10535">
        <v>1</v>
      </c>
      <c r="AF10535">
        <v>1</v>
      </c>
      <c r="AG10535">
        <v>1</v>
      </c>
      <c r="AH10535">
        <v>1</v>
      </c>
      <c r="AI10535">
        <v>1</v>
      </c>
      <c r="AJ10535">
        <v>1</v>
      </c>
      <c r="AK10535">
        <v>1</v>
      </c>
      <c r="AL10535">
        <v>1</v>
      </c>
      <c r="AM10535">
        <v>1</v>
      </c>
    </row>
    <row r="10536" spans="1:39" x14ac:dyDescent="0.2">
      <c r="A10536" t="str">
        <f>"10532"</f>
        <v>10532</v>
      </c>
      <c r="B10536" t="str">
        <f t="shared" si="583"/>
        <v>1</v>
      </c>
      <c r="C10536" t="str">
        <f t="shared" si="585"/>
        <v>211</v>
      </c>
      <c r="D10536" t="str">
        <f>"44"</f>
        <v>44</v>
      </c>
      <c r="E10536" t="str">
        <f>"1-211-44"</f>
        <v>1-211-44</v>
      </c>
      <c r="F10536" t="s">
        <v>65</v>
      </c>
      <c r="G10536" t="s">
        <v>66</v>
      </c>
      <c r="H10536" t="s">
        <v>67</v>
      </c>
      <c r="S10536">
        <v>0</v>
      </c>
      <c r="T10536">
        <v>1</v>
      </c>
      <c r="U10536">
        <v>0</v>
      </c>
      <c r="V10536">
        <v>0</v>
      </c>
      <c r="W10536">
        <v>1</v>
      </c>
      <c r="X10536">
        <v>0</v>
      </c>
      <c r="Y10536">
        <v>0</v>
      </c>
      <c r="Z10536">
        <v>1</v>
      </c>
      <c r="AA10536">
        <v>0</v>
      </c>
      <c r="AB10536">
        <v>0</v>
      </c>
      <c r="AC10536">
        <v>1</v>
      </c>
      <c r="AD10536">
        <v>1</v>
      </c>
      <c r="AE10536">
        <v>1</v>
      </c>
      <c r="AF10536">
        <v>1</v>
      </c>
      <c r="AG10536">
        <v>1</v>
      </c>
      <c r="AH10536">
        <v>1</v>
      </c>
      <c r="AI10536">
        <v>1</v>
      </c>
      <c r="AJ10536">
        <v>1</v>
      </c>
      <c r="AK10536">
        <v>1</v>
      </c>
      <c r="AL10536">
        <v>1</v>
      </c>
      <c r="AM10536">
        <v>1</v>
      </c>
    </row>
    <row r="10537" spans="1:39" x14ac:dyDescent="0.2">
      <c r="A10537" t="str">
        <f>"10533"</f>
        <v>10533</v>
      </c>
      <c r="B10537" t="str">
        <f t="shared" si="583"/>
        <v>1</v>
      </c>
      <c r="C10537" t="str">
        <f t="shared" ref="C10537:C10554" si="586">"211"</f>
        <v>211</v>
      </c>
      <c r="D10537" t="str">
        <f>"25"</f>
        <v>25</v>
      </c>
      <c r="E10537" t="str">
        <f>"1-211-25"</f>
        <v>1-211-25</v>
      </c>
      <c r="F10537" t="s">
        <v>65</v>
      </c>
      <c r="G10537" t="s">
        <v>66</v>
      </c>
      <c r="H10537" t="s">
        <v>67</v>
      </c>
      <c r="S10537">
        <v>0</v>
      </c>
      <c r="T10537">
        <v>1</v>
      </c>
      <c r="U10537">
        <v>0</v>
      </c>
      <c r="V10537">
        <v>0</v>
      </c>
      <c r="W10537">
        <v>1</v>
      </c>
      <c r="X10537">
        <v>0</v>
      </c>
      <c r="Y10537">
        <v>0</v>
      </c>
      <c r="Z10537">
        <v>1</v>
      </c>
      <c r="AA10537">
        <v>1</v>
      </c>
      <c r="AB10537">
        <v>0</v>
      </c>
      <c r="AC10537">
        <v>0</v>
      </c>
      <c r="AD10537">
        <v>1</v>
      </c>
      <c r="AE10537">
        <v>1</v>
      </c>
      <c r="AF10537">
        <v>1</v>
      </c>
      <c r="AG10537">
        <v>1</v>
      </c>
      <c r="AH10537">
        <v>1</v>
      </c>
      <c r="AI10537">
        <v>1</v>
      </c>
      <c r="AJ10537">
        <v>1</v>
      </c>
      <c r="AK10537">
        <v>1</v>
      </c>
      <c r="AL10537">
        <v>1</v>
      </c>
      <c r="AM10537">
        <v>1</v>
      </c>
    </row>
    <row r="10538" spans="1:39" x14ac:dyDescent="0.2">
      <c r="A10538" t="str">
        <f>"10534"</f>
        <v>10534</v>
      </c>
      <c r="B10538" t="str">
        <f t="shared" si="583"/>
        <v>1</v>
      </c>
      <c r="C10538" t="str">
        <f t="shared" si="586"/>
        <v>211</v>
      </c>
      <c r="D10538" t="str">
        <f>"14"</f>
        <v>14</v>
      </c>
      <c r="E10538" t="str">
        <f>"1-211-14"</f>
        <v>1-211-14</v>
      </c>
      <c r="F10538" t="s">
        <v>65</v>
      </c>
      <c r="G10538" t="s">
        <v>66</v>
      </c>
      <c r="H10538" t="s">
        <v>67</v>
      </c>
      <c r="S10538">
        <v>0</v>
      </c>
      <c r="T10538">
        <v>1</v>
      </c>
      <c r="U10538">
        <v>0</v>
      </c>
      <c r="V10538">
        <v>0</v>
      </c>
      <c r="W10538">
        <v>0</v>
      </c>
      <c r="X10538">
        <v>1</v>
      </c>
      <c r="Y10538">
        <v>0</v>
      </c>
      <c r="Z10538">
        <v>1</v>
      </c>
      <c r="AA10538">
        <v>0</v>
      </c>
      <c r="AB10538">
        <v>1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1</v>
      </c>
      <c r="AJ10538">
        <v>0</v>
      </c>
      <c r="AK10538">
        <v>0</v>
      </c>
      <c r="AL10538">
        <v>0</v>
      </c>
      <c r="AM10538">
        <v>0</v>
      </c>
    </row>
    <row r="10539" spans="1:39" x14ac:dyDescent="0.2">
      <c r="A10539" t="str">
        <f>"10535"</f>
        <v>10535</v>
      </c>
      <c r="B10539" t="str">
        <f t="shared" si="583"/>
        <v>1</v>
      </c>
      <c r="C10539" t="str">
        <f t="shared" si="586"/>
        <v>211</v>
      </c>
      <c r="D10539" t="str">
        <f>"47"</f>
        <v>47</v>
      </c>
      <c r="E10539" t="str">
        <f>"1-211-47"</f>
        <v>1-211-47</v>
      </c>
      <c r="F10539" t="s">
        <v>65</v>
      </c>
      <c r="G10539" t="s">
        <v>66</v>
      </c>
      <c r="H10539" t="s">
        <v>67</v>
      </c>
      <c r="S10539">
        <v>0</v>
      </c>
      <c r="T10539">
        <v>1</v>
      </c>
      <c r="U10539">
        <v>0</v>
      </c>
      <c r="V10539">
        <v>0</v>
      </c>
      <c r="W10539">
        <v>0</v>
      </c>
      <c r="X10539">
        <v>1</v>
      </c>
      <c r="Y10539">
        <v>0</v>
      </c>
      <c r="Z10539">
        <v>0</v>
      </c>
      <c r="AA10539">
        <v>0</v>
      </c>
      <c r="AB10539">
        <v>0</v>
      </c>
      <c r="AC10539">
        <v>1</v>
      </c>
      <c r="AD10539">
        <v>0</v>
      </c>
      <c r="AE10539">
        <v>0</v>
      </c>
      <c r="AF10539">
        <v>0</v>
      </c>
      <c r="AG10539">
        <v>0</v>
      </c>
      <c r="AH10539">
        <v>1</v>
      </c>
      <c r="AI10539">
        <v>0</v>
      </c>
      <c r="AJ10539">
        <v>0</v>
      </c>
      <c r="AK10539">
        <v>0</v>
      </c>
      <c r="AL10539">
        <v>0</v>
      </c>
      <c r="AM10539">
        <v>0</v>
      </c>
    </row>
    <row r="10540" spans="1:39" x14ac:dyDescent="0.2">
      <c r="A10540" t="str">
        <f>"10536"</f>
        <v>10536</v>
      </c>
      <c r="B10540" t="str">
        <f t="shared" si="583"/>
        <v>1</v>
      </c>
      <c r="C10540" t="str">
        <f t="shared" si="586"/>
        <v>211</v>
      </c>
      <c r="D10540" t="str">
        <f>"27"</f>
        <v>27</v>
      </c>
      <c r="E10540" t="str">
        <f>"1-211-27"</f>
        <v>1-211-27</v>
      </c>
      <c r="F10540" t="s">
        <v>65</v>
      </c>
      <c r="G10540" t="s">
        <v>66</v>
      </c>
      <c r="H10540" t="s">
        <v>67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1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</row>
    <row r="10541" spans="1:39" x14ac:dyDescent="0.2">
      <c r="A10541" t="str">
        <f>"10537"</f>
        <v>10537</v>
      </c>
      <c r="B10541" t="str">
        <f t="shared" si="583"/>
        <v>1</v>
      </c>
      <c r="C10541" t="str">
        <f t="shared" si="586"/>
        <v>211</v>
      </c>
      <c r="D10541" t="str">
        <f>"8"</f>
        <v>8</v>
      </c>
      <c r="E10541" t="str">
        <f>"1-211-8"</f>
        <v>1-211-8</v>
      </c>
      <c r="F10541" t="s">
        <v>65</v>
      </c>
      <c r="G10541" t="s">
        <v>66</v>
      </c>
      <c r="H10541" t="s">
        <v>67</v>
      </c>
      <c r="S10541">
        <v>0</v>
      </c>
      <c r="T10541">
        <v>1</v>
      </c>
      <c r="U10541">
        <v>0</v>
      </c>
      <c r="V10541">
        <v>0</v>
      </c>
      <c r="W10541">
        <v>0</v>
      </c>
      <c r="X10541">
        <v>1</v>
      </c>
      <c r="Y10541">
        <v>0</v>
      </c>
      <c r="Z10541">
        <v>1</v>
      </c>
      <c r="AA10541">
        <v>0</v>
      </c>
      <c r="AB10541">
        <v>0</v>
      </c>
      <c r="AC10541">
        <v>1</v>
      </c>
      <c r="AD10541">
        <v>1</v>
      </c>
      <c r="AE10541">
        <v>1</v>
      </c>
      <c r="AF10541">
        <v>1</v>
      </c>
      <c r="AG10541">
        <v>1</v>
      </c>
      <c r="AH10541">
        <v>1</v>
      </c>
      <c r="AI10541">
        <v>1</v>
      </c>
      <c r="AJ10541">
        <v>1</v>
      </c>
      <c r="AK10541">
        <v>1</v>
      </c>
      <c r="AL10541">
        <v>1</v>
      </c>
      <c r="AM10541">
        <v>1</v>
      </c>
    </row>
    <row r="10542" spans="1:39" x14ac:dyDescent="0.2">
      <c r="A10542" t="str">
        <f>"10538"</f>
        <v>10538</v>
      </c>
      <c r="B10542" t="str">
        <f t="shared" si="583"/>
        <v>1</v>
      </c>
      <c r="C10542" t="str">
        <f t="shared" si="586"/>
        <v>211</v>
      </c>
      <c r="D10542" t="str">
        <f>"46"</f>
        <v>46</v>
      </c>
      <c r="E10542" t="str">
        <f>"1-211-46"</f>
        <v>1-211-46</v>
      </c>
      <c r="F10542" t="s">
        <v>65</v>
      </c>
      <c r="G10542" t="s">
        <v>66</v>
      </c>
      <c r="H10542" t="s">
        <v>67</v>
      </c>
      <c r="S10542">
        <v>1</v>
      </c>
      <c r="T10542">
        <v>0</v>
      </c>
      <c r="U10542">
        <v>0</v>
      </c>
      <c r="V10542">
        <v>0</v>
      </c>
      <c r="W10542">
        <v>1</v>
      </c>
      <c r="X10542">
        <v>0</v>
      </c>
      <c r="Y10542">
        <v>0</v>
      </c>
      <c r="Z10542">
        <v>1</v>
      </c>
      <c r="AA10542">
        <v>1</v>
      </c>
      <c r="AB10542">
        <v>0</v>
      </c>
      <c r="AC10542">
        <v>0</v>
      </c>
      <c r="AD10542">
        <v>1</v>
      </c>
      <c r="AE10542">
        <v>1</v>
      </c>
      <c r="AF10542">
        <v>1</v>
      </c>
      <c r="AG10542">
        <v>1</v>
      </c>
      <c r="AH10542">
        <v>1</v>
      </c>
      <c r="AI10542">
        <v>1</v>
      </c>
      <c r="AJ10542">
        <v>1</v>
      </c>
      <c r="AK10542">
        <v>1</v>
      </c>
      <c r="AL10542">
        <v>1</v>
      </c>
      <c r="AM10542">
        <v>1</v>
      </c>
    </row>
    <row r="10543" spans="1:39" x14ac:dyDescent="0.2">
      <c r="A10543" t="str">
        <f>"10539"</f>
        <v>10539</v>
      </c>
      <c r="B10543" t="str">
        <f t="shared" si="583"/>
        <v>1</v>
      </c>
      <c r="C10543" t="str">
        <f t="shared" si="586"/>
        <v>211</v>
      </c>
      <c r="D10543" t="str">
        <f>"28"</f>
        <v>28</v>
      </c>
      <c r="E10543" t="str">
        <f>"1-211-28"</f>
        <v>1-211-28</v>
      </c>
      <c r="F10543" t="s">
        <v>65</v>
      </c>
      <c r="G10543" t="s">
        <v>66</v>
      </c>
      <c r="H10543" t="s">
        <v>67</v>
      </c>
      <c r="S10543">
        <v>1</v>
      </c>
      <c r="T10543">
        <v>0</v>
      </c>
      <c r="U10543">
        <v>0</v>
      </c>
      <c r="V10543">
        <v>0</v>
      </c>
      <c r="W10543">
        <v>1</v>
      </c>
      <c r="X10543">
        <v>0</v>
      </c>
      <c r="Y10543">
        <v>1</v>
      </c>
      <c r="Z10543">
        <v>0</v>
      </c>
      <c r="AA10543">
        <v>1</v>
      </c>
      <c r="AB10543">
        <v>0</v>
      </c>
      <c r="AC10543">
        <v>0</v>
      </c>
      <c r="AD10543">
        <v>1</v>
      </c>
      <c r="AE10543">
        <v>1</v>
      </c>
      <c r="AF10543">
        <v>1</v>
      </c>
      <c r="AG10543">
        <v>1</v>
      </c>
      <c r="AH10543">
        <v>1</v>
      </c>
      <c r="AI10543">
        <v>1</v>
      </c>
      <c r="AJ10543">
        <v>1</v>
      </c>
      <c r="AK10543">
        <v>1</v>
      </c>
      <c r="AL10543">
        <v>1</v>
      </c>
      <c r="AM10543">
        <v>1</v>
      </c>
    </row>
    <row r="10544" spans="1:39" x14ac:dyDescent="0.2">
      <c r="A10544" t="str">
        <f>"10540"</f>
        <v>10540</v>
      </c>
      <c r="B10544" t="str">
        <f t="shared" si="583"/>
        <v>1</v>
      </c>
      <c r="C10544" t="str">
        <f t="shared" si="586"/>
        <v>211</v>
      </c>
      <c r="D10544" t="str">
        <f>"10"</f>
        <v>10</v>
      </c>
      <c r="E10544" t="str">
        <f>"1-211-10"</f>
        <v>1-211-10</v>
      </c>
      <c r="F10544" t="s">
        <v>65</v>
      </c>
      <c r="G10544" t="s">
        <v>66</v>
      </c>
      <c r="H10544" t="s">
        <v>67</v>
      </c>
      <c r="S10544">
        <v>0</v>
      </c>
      <c r="T10544">
        <v>1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1</v>
      </c>
      <c r="AA10544">
        <v>0</v>
      </c>
      <c r="AB10544">
        <v>1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1</v>
      </c>
      <c r="AJ10544">
        <v>1</v>
      </c>
      <c r="AK10544">
        <v>1</v>
      </c>
      <c r="AL10544">
        <v>1</v>
      </c>
      <c r="AM10544">
        <v>1</v>
      </c>
    </row>
    <row r="10545" spans="1:39" x14ac:dyDescent="0.2">
      <c r="A10545" t="str">
        <f>"10541"</f>
        <v>10541</v>
      </c>
      <c r="B10545" t="str">
        <f t="shared" si="583"/>
        <v>1</v>
      </c>
      <c r="C10545" t="str">
        <f t="shared" si="586"/>
        <v>211</v>
      </c>
      <c r="D10545" t="str">
        <f>"45"</f>
        <v>45</v>
      </c>
      <c r="E10545" t="str">
        <f>"1-211-45"</f>
        <v>1-211-45</v>
      </c>
      <c r="F10545" t="s">
        <v>65</v>
      </c>
      <c r="G10545" t="s">
        <v>66</v>
      </c>
      <c r="H10545" t="s">
        <v>67</v>
      </c>
      <c r="S10545">
        <v>1</v>
      </c>
      <c r="T10545">
        <v>0</v>
      </c>
      <c r="U10545">
        <v>0</v>
      </c>
      <c r="V10545">
        <v>0</v>
      </c>
      <c r="W10545">
        <v>0</v>
      </c>
      <c r="X10545">
        <v>1</v>
      </c>
      <c r="Y10545">
        <v>0</v>
      </c>
      <c r="Z10545">
        <v>1</v>
      </c>
      <c r="AA10545">
        <v>0</v>
      </c>
      <c r="AB10545">
        <v>0</v>
      </c>
      <c r="AC10545">
        <v>1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</row>
    <row r="10546" spans="1:39" x14ac:dyDescent="0.2">
      <c r="A10546" t="str">
        <f>"10542"</f>
        <v>10542</v>
      </c>
      <c r="B10546" t="str">
        <f t="shared" si="583"/>
        <v>1</v>
      </c>
      <c r="C10546" t="str">
        <f t="shared" si="586"/>
        <v>211</v>
      </c>
      <c r="D10546" t="str">
        <f>"30"</f>
        <v>30</v>
      </c>
      <c r="E10546" t="str">
        <f>"1-211-30"</f>
        <v>1-211-30</v>
      </c>
      <c r="F10546" t="s">
        <v>65</v>
      </c>
      <c r="G10546" t="s">
        <v>66</v>
      </c>
      <c r="H10546" t="s">
        <v>68</v>
      </c>
      <c r="I10546">
        <v>0</v>
      </c>
      <c r="J10546">
        <v>0</v>
      </c>
      <c r="K10546">
        <v>0</v>
      </c>
      <c r="L10546">
        <v>1</v>
      </c>
      <c r="M10546">
        <v>0</v>
      </c>
      <c r="N10546">
        <v>0</v>
      </c>
      <c r="O10546">
        <v>0</v>
      </c>
      <c r="P10546">
        <v>0</v>
      </c>
      <c r="Q10546">
        <v>0</v>
      </c>
      <c r="R10546">
        <v>0</v>
      </c>
    </row>
    <row r="10547" spans="1:39" x14ac:dyDescent="0.2">
      <c r="A10547" t="str">
        <f>"10543"</f>
        <v>10543</v>
      </c>
      <c r="B10547" t="str">
        <f t="shared" si="583"/>
        <v>1</v>
      </c>
      <c r="C10547" t="str">
        <f t="shared" si="586"/>
        <v>211</v>
      </c>
      <c r="D10547" t="str">
        <f>"3"</f>
        <v>3</v>
      </c>
      <c r="E10547" t="str">
        <f>"1-211-3"</f>
        <v>1-211-3</v>
      </c>
      <c r="F10547" t="s">
        <v>65</v>
      </c>
      <c r="G10547" t="s">
        <v>66</v>
      </c>
      <c r="H10547" t="s">
        <v>67</v>
      </c>
      <c r="S10547">
        <v>0</v>
      </c>
      <c r="T10547">
        <v>1</v>
      </c>
      <c r="U10547">
        <v>0</v>
      </c>
      <c r="V10547">
        <v>0</v>
      </c>
      <c r="W10547">
        <v>1</v>
      </c>
      <c r="X10547">
        <v>0</v>
      </c>
      <c r="Y10547">
        <v>0</v>
      </c>
      <c r="Z10547">
        <v>1</v>
      </c>
      <c r="AA10547">
        <v>0</v>
      </c>
      <c r="AB10547">
        <v>0</v>
      </c>
      <c r="AC10547">
        <v>1</v>
      </c>
      <c r="AD10547">
        <v>1</v>
      </c>
      <c r="AE10547">
        <v>1</v>
      </c>
      <c r="AF10547">
        <v>1</v>
      </c>
      <c r="AG10547">
        <v>1</v>
      </c>
      <c r="AH10547">
        <v>1</v>
      </c>
      <c r="AI10547">
        <v>1</v>
      </c>
      <c r="AJ10547">
        <v>1</v>
      </c>
      <c r="AK10547">
        <v>1</v>
      </c>
      <c r="AL10547">
        <v>1</v>
      </c>
      <c r="AM10547">
        <v>1</v>
      </c>
    </row>
    <row r="10548" spans="1:39" x14ac:dyDescent="0.2">
      <c r="A10548" t="str">
        <f>"10544"</f>
        <v>10544</v>
      </c>
      <c r="B10548" t="str">
        <f t="shared" si="583"/>
        <v>1</v>
      </c>
      <c r="C10548" t="str">
        <f t="shared" si="586"/>
        <v>211</v>
      </c>
      <c r="D10548" t="str">
        <f>"48"</f>
        <v>48</v>
      </c>
      <c r="E10548" t="str">
        <f>"1-211-48"</f>
        <v>1-211-48</v>
      </c>
      <c r="F10548" t="s">
        <v>65</v>
      </c>
      <c r="G10548" t="s">
        <v>66</v>
      </c>
      <c r="H10548" t="s">
        <v>67</v>
      </c>
      <c r="S10548">
        <v>0</v>
      </c>
      <c r="T10548">
        <v>1</v>
      </c>
      <c r="U10548">
        <v>0</v>
      </c>
      <c r="V10548">
        <v>0</v>
      </c>
      <c r="W10548">
        <v>1</v>
      </c>
      <c r="X10548">
        <v>0</v>
      </c>
      <c r="Y10548">
        <v>1</v>
      </c>
      <c r="Z10548">
        <v>0</v>
      </c>
      <c r="AA10548">
        <v>1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</row>
    <row r="10549" spans="1:39" x14ac:dyDescent="0.2">
      <c r="A10549" t="str">
        <f>"10545"</f>
        <v>10545</v>
      </c>
      <c r="B10549" t="str">
        <f t="shared" si="583"/>
        <v>1</v>
      </c>
      <c r="C10549" t="str">
        <f t="shared" si="586"/>
        <v>211</v>
      </c>
      <c r="D10549" t="str">
        <f>"31"</f>
        <v>31</v>
      </c>
      <c r="E10549" t="str">
        <f>"1-211-31"</f>
        <v>1-211-31</v>
      </c>
      <c r="F10549" t="s">
        <v>65</v>
      </c>
      <c r="G10549" t="s">
        <v>66</v>
      </c>
      <c r="H10549" t="s">
        <v>67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1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</row>
    <row r="10550" spans="1:39" x14ac:dyDescent="0.2">
      <c r="A10550" t="str">
        <f>"10546"</f>
        <v>10546</v>
      </c>
      <c r="B10550" t="str">
        <f t="shared" si="583"/>
        <v>1</v>
      </c>
      <c r="C10550" t="str">
        <f t="shared" si="586"/>
        <v>211</v>
      </c>
      <c r="D10550" t="str">
        <f>"1"</f>
        <v>1</v>
      </c>
      <c r="E10550" t="str">
        <f>"1-211-1"</f>
        <v>1-211-1</v>
      </c>
      <c r="F10550" t="s">
        <v>65</v>
      </c>
      <c r="G10550" t="s">
        <v>66</v>
      </c>
      <c r="H10550" t="s">
        <v>67</v>
      </c>
      <c r="S10550">
        <v>0</v>
      </c>
      <c r="T10550">
        <v>1</v>
      </c>
      <c r="U10550">
        <v>0</v>
      </c>
      <c r="V10550">
        <v>0</v>
      </c>
      <c r="W10550">
        <v>0</v>
      </c>
      <c r="X10550">
        <v>1</v>
      </c>
      <c r="Y10550">
        <v>1</v>
      </c>
      <c r="Z10550">
        <v>0</v>
      </c>
      <c r="AA10550">
        <v>0</v>
      </c>
      <c r="AB10550">
        <v>1</v>
      </c>
      <c r="AC10550">
        <v>0</v>
      </c>
      <c r="AD10550">
        <v>1</v>
      </c>
      <c r="AE10550">
        <v>1</v>
      </c>
      <c r="AF10550">
        <v>1</v>
      </c>
      <c r="AG10550">
        <v>1</v>
      </c>
      <c r="AH10550">
        <v>1</v>
      </c>
      <c r="AI10550">
        <v>1</v>
      </c>
      <c r="AJ10550">
        <v>1</v>
      </c>
      <c r="AK10550">
        <v>1</v>
      </c>
      <c r="AL10550">
        <v>1</v>
      </c>
      <c r="AM10550">
        <v>0</v>
      </c>
    </row>
    <row r="10551" spans="1:39" x14ac:dyDescent="0.2">
      <c r="A10551" t="str">
        <f>"10547"</f>
        <v>10547</v>
      </c>
      <c r="B10551" t="str">
        <f t="shared" ref="B10551:B10614" si="587">"1"</f>
        <v>1</v>
      </c>
      <c r="C10551" t="str">
        <f t="shared" si="586"/>
        <v>211</v>
      </c>
      <c r="D10551" t="str">
        <f>"32"</f>
        <v>32</v>
      </c>
      <c r="E10551" t="str">
        <f>"1-211-32"</f>
        <v>1-211-32</v>
      </c>
      <c r="F10551" t="s">
        <v>65</v>
      </c>
      <c r="G10551" t="s">
        <v>66</v>
      </c>
      <c r="H10551" t="s">
        <v>67</v>
      </c>
      <c r="S10551">
        <v>0</v>
      </c>
      <c r="T10551">
        <v>1</v>
      </c>
      <c r="U10551">
        <v>0</v>
      </c>
      <c r="V10551">
        <v>0</v>
      </c>
      <c r="W10551">
        <v>0</v>
      </c>
      <c r="X10551">
        <v>1</v>
      </c>
      <c r="Y10551">
        <v>1</v>
      </c>
      <c r="Z10551">
        <v>0</v>
      </c>
      <c r="AA10551">
        <v>0</v>
      </c>
      <c r="AB10551">
        <v>0</v>
      </c>
      <c r="AC10551">
        <v>1</v>
      </c>
      <c r="AD10551">
        <v>1</v>
      </c>
      <c r="AE10551">
        <v>1</v>
      </c>
      <c r="AF10551">
        <v>1</v>
      </c>
      <c r="AG10551">
        <v>1</v>
      </c>
      <c r="AH10551">
        <v>1</v>
      </c>
      <c r="AI10551">
        <v>1</v>
      </c>
      <c r="AJ10551">
        <v>1</v>
      </c>
      <c r="AK10551">
        <v>1</v>
      </c>
      <c r="AL10551">
        <v>1</v>
      </c>
      <c r="AM10551">
        <v>1</v>
      </c>
    </row>
    <row r="10552" spans="1:39" x14ac:dyDescent="0.2">
      <c r="A10552" t="str">
        <f>"10548"</f>
        <v>10548</v>
      </c>
      <c r="B10552" t="str">
        <f t="shared" si="587"/>
        <v>1</v>
      </c>
      <c r="C10552" t="str">
        <f t="shared" si="586"/>
        <v>211</v>
      </c>
      <c r="D10552" t="str">
        <f>"13"</f>
        <v>13</v>
      </c>
      <c r="E10552" t="str">
        <f>"1-211-13"</f>
        <v>1-211-13</v>
      </c>
      <c r="F10552" t="s">
        <v>65</v>
      </c>
      <c r="G10552" t="s">
        <v>66</v>
      </c>
      <c r="H10552" t="s">
        <v>67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1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1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</row>
    <row r="10553" spans="1:39" x14ac:dyDescent="0.2">
      <c r="A10553" t="str">
        <f>"10549"</f>
        <v>10549</v>
      </c>
      <c r="B10553" t="str">
        <f t="shared" si="587"/>
        <v>1</v>
      </c>
      <c r="C10553" t="str">
        <f t="shared" si="586"/>
        <v>211</v>
      </c>
      <c r="D10553" t="str">
        <f>"50"</f>
        <v>50</v>
      </c>
      <c r="E10553" t="str">
        <f>"1-211-50"</f>
        <v>1-211-50</v>
      </c>
      <c r="F10553" t="s">
        <v>65</v>
      </c>
      <c r="G10553" t="s">
        <v>66</v>
      </c>
      <c r="H10553" t="s">
        <v>67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1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</row>
    <row r="10554" spans="1:39" x14ac:dyDescent="0.2">
      <c r="A10554" t="str">
        <f>"10550"</f>
        <v>10550</v>
      </c>
      <c r="B10554" t="str">
        <f t="shared" si="587"/>
        <v>1</v>
      </c>
      <c r="C10554" t="str">
        <f t="shared" si="586"/>
        <v>211</v>
      </c>
      <c r="D10554" t="str">
        <f>"49"</f>
        <v>49</v>
      </c>
      <c r="E10554" t="str">
        <f>"1-211-49"</f>
        <v>1-211-49</v>
      </c>
      <c r="F10554" t="s">
        <v>65</v>
      </c>
      <c r="G10554" t="s">
        <v>66</v>
      </c>
      <c r="H10554" t="s">
        <v>67</v>
      </c>
      <c r="S10554">
        <v>0</v>
      </c>
      <c r="T10554">
        <v>1</v>
      </c>
      <c r="U10554">
        <v>0</v>
      </c>
      <c r="V10554">
        <v>0</v>
      </c>
      <c r="W10554">
        <v>0</v>
      </c>
      <c r="X10554">
        <v>1</v>
      </c>
      <c r="Y10554">
        <v>1</v>
      </c>
      <c r="Z10554">
        <v>0</v>
      </c>
      <c r="AA10554">
        <v>0</v>
      </c>
      <c r="AB10554">
        <v>1</v>
      </c>
      <c r="AC10554">
        <v>0</v>
      </c>
      <c r="AD10554">
        <v>1</v>
      </c>
      <c r="AE10554">
        <v>1</v>
      </c>
      <c r="AF10554">
        <v>1</v>
      </c>
      <c r="AG10554">
        <v>1</v>
      </c>
      <c r="AH10554">
        <v>1</v>
      </c>
      <c r="AI10554">
        <v>1</v>
      </c>
      <c r="AJ10554">
        <v>1</v>
      </c>
      <c r="AK10554">
        <v>1</v>
      </c>
      <c r="AL10554">
        <v>1</v>
      </c>
      <c r="AM10554">
        <v>1</v>
      </c>
    </row>
    <row r="10555" spans="1:39" x14ac:dyDescent="0.2">
      <c r="A10555" t="str">
        <f>"10551"</f>
        <v>10551</v>
      </c>
      <c r="B10555" t="str">
        <f t="shared" si="587"/>
        <v>1</v>
      </c>
      <c r="C10555" t="str">
        <f t="shared" ref="C10555:C10586" si="588">"212"</f>
        <v>212</v>
      </c>
      <c r="D10555" t="str">
        <f>"38"</f>
        <v>38</v>
      </c>
      <c r="E10555" t="str">
        <f>"1-212-38"</f>
        <v>1-212-38</v>
      </c>
      <c r="F10555" t="s">
        <v>65</v>
      </c>
      <c r="G10555" t="s">
        <v>66</v>
      </c>
      <c r="H10555" t="s">
        <v>67</v>
      </c>
      <c r="S10555">
        <v>1</v>
      </c>
      <c r="T10555">
        <v>0</v>
      </c>
      <c r="U10555">
        <v>0</v>
      </c>
      <c r="V10555">
        <v>0</v>
      </c>
      <c r="W10555">
        <v>0</v>
      </c>
      <c r="X10555">
        <v>1</v>
      </c>
      <c r="Y10555">
        <v>1</v>
      </c>
      <c r="Z10555">
        <v>0</v>
      </c>
      <c r="AA10555">
        <v>0</v>
      </c>
      <c r="AB10555">
        <v>0</v>
      </c>
      <c r="AC10555">
        <v>0</v>
      </c>
      <c r="AD10555">
        <v>1</v>
      </c>
      <c r="AE10555">
        <v>0</v>
      </c>
      <c r="AF10555">
        <v>0</v>
      </c>
      <c r="AG10555">
        <v>0</v>
      </c>
      <c r="AH10555">
        <v>1</v>
      </c>
      <c r="AI10555">
        <v>0</v>
      </c>
      <c r="AJ10555">
        <v>1</v>
      </c>
      <c r="AK10555">
        <v>0</v>
      </c>
      <c r="AL10555">
        <v>1</v>
      </c>
      <c r="AM10555">
        <v>1</v>
      </c>
    </row>
    <row r="10556" spans="1:39" x14ac:dyDescent="0.2">
      <c r="A10556" t="str">
        <f>"10552"</f>
        <v>10552</v>
      </c>
      <c r="B10556" t="str">
        <f t="shared" si="587"/>
        <v>1</v>
      </c>
      <c r="C10556" t="str">
        <f t="shared" si="588"/>
        <v>212</v>
      </c>
      <c r="D10556" t="str">
        <f>"37"</f>
        <v>37</v>
      </c>
      <c r="E10556" t="str">
        <f>"1-212-37"</f>
        <v>1-212-37</v>
      </c>
      <c r="F10556" t="s">
        <v>65</v>
      </c>
      <c r="G10556" t="s">
        <v>66</v>
      </c>
      <c r="H10556" t="s">
        <v>67</v>
      </c>
      <c r="S10556">
        <v>0</v>
      </c>
      <c r="T10556">
        <v>1</v>
      </c>
      <c r="U10556">
        <v>0</v>
      </c>
      <c r="V10556">
        <v>0</v>
      </c>
      <c r="W10556">
        <v>0</v>
      </c>
      <c r="X10556">
        <v>1</v>
      </c>
      <c r="Y10556">
        <v>0</v>
      </c>
      <c r="Z10556">
        <v>1</v>
      </c>
      <c r="AA10556">
        <v>0</v>
      </c>
      <c r="AB10556">
        <v>0</v>
      </c>
      <c r="AC10556">
        <v>1</v>
      </c>
      <c r="AD10556">
        <v>1</v>
      </c>
      <c r="AE10556">
        <v>1</v>
      </c>
      <c r="AF10556">
        <v>1</v>
      </c>
      <c r="AG10556">
        <v>1</v>
      </c>
      <c r="AH10556">
        <v>1</v>
      </c>
      <c r="AI10556">
        <v>1</v>
      </c>
      <c r="AJ10556">
        <v>1</v>
      </c>
      <c r="AK10556">
        <v>1</v>
      </c>
      <c r="AL10556">
        <v>1</v>
      </c>
      <c r="AM10556">
        <v>1</v>
      </c>
    </row>
    <row r="10557" spans="1:39" x14ac:dyDescent="0.2">
      <c r="A10557" t="str">
        <f>"10553"</f>
        <v>10553</v>
      </c>
      <c r="B10557" t="str">
        <f t="shared" si="587"/>
        <v>1</v>
      </c>
      <c r="C10557" t="str">
        <f t="shared" si="588"/>
        <v>212</v>
      </c>
      <c r="D10557" t="str">
        <f>"28"</f>
        <v>28</v>
      </c>
      <c r="E10557" t="str">
        <f>"1-212-28"</f>
        <v>1-212-28</v>
      </c>
      <c r="F10557" t="s">
        <v>65</v>
      </c>
      <c r="G10557" t="s">
        <v>66</v>
      </c>
      <c r="H10557" t="s">
        <v>67</v>
      </c>
      <c r="S10557">
        <v>1</v>
      </c>
      <c r="T10557">
        <v>0</v>
      </c>
      <c r="U10557">
        <v>0</v>
      </c>
      <c r="V10557">
        <v>0</v>
      </c>
      <c r="W10557">
        <v>1</v>
      </c>
      <c r="X10557">
        <v>0</v>
      </c>
      <c r="Y10557">
        <v>1</v>
      </c>
      <c r="Z10557">
        <v>0</v>
      </c>
      <c r="AA10557">
        <v>0</v>
      </c>
      <c r="AB10557">
        <v>0</v>
      </c>
      <c r="AC10557">
        <v>1</v>
      </c>
      <c r="AD10557">
        <v>1</v>
      </c>
      <c r="AE10557">
        <v>1</v>
      </c>
      <c r="AF10557">
        <v>1</v>
      </c>
      <c r="AG10557">
        <v>1</v>
      </c>
      <c r="AH10557">
        <v>1</v>
      </c>
      <c r="AI10557">
        <v>1</v>
      </c>
      <c r="AJ10557">
        <v>1</v>
      </c>
      <c r="AK10557">
        <v>1</v>
      </c>
      <c r="AL10557">
        <v>1</v>
      </c>
      <c r="AM10557">
        <v>1</v>
      </c>
    </row>
    <row r="10558" spans="1:39" x14ac:dyDescent="0.2">
      <c r="A10558" t="str">
        <f>"10554"</f>
        <v>10554</v>
      </c>
      <c r="B10558" t="str">
        <f t="shared" si="587"/>
        <v>1</v>
      </c>
      <c r="C10558" t="str">
        <f t="shared" si="588"/>
        <v>212</v>
      </c>
      <c r="D10558" t="str">
        <f>"15"</f>
        <v>15</v>
      </c>
      <c r="E10558" t="str">
        <f>"1-212-15"</f>
        <v>1-212-15</v>
      </c>
      <c r="F10558" t="s">
        <v>65</v>
      </c>
      <c r="G10558" t="s">
        <v>66</v>
      </c>
      <c r="H10558" t="s">
        <v>67</v>
      </c>
      <c r="S10558">
        <v>1</v>
      </c>
      <c r="T10558">
        <v>0</v>
      </c>
      <c r="U10558">
        <v>0</v>
      </c>
      <c r="V10558">
        <v>0</v>
      </c>
      <c r="W10558">
        <v>1</v>
      </c>
      <c r="X10558">
        <v>0</v>
      </c>
      <c r="Y10558">
        <v>0</v>
      </c>
      <c r="Z10558">
        <v>1</v>
      </c>
      <c r="AA10558">
        <v>0</v>
      </c>
      <c r="AB10558">
        <v>0</v>
      </c>
      <c r="AC10558">
        <v>1</v>
      </c>
      <c r="AD10558">
        <v>1</v>
      </c>
      <c r="AE10558">
        <v>1</v>
      </c>
      <c r="AF10558">
        <v>1</v>
      </c>
      <c r="AG10558">
        <v>1</v>
      </c>
      <c r="AH10558">
        <v>1</v>
      </c>
      <c r="AI10558">
        <v>1</v>
      </c>
      <c r="AJ10558">
        <v>1</v>
      </c>
      <c r="AK10558">
        <v>1</v>
      </c>
      <c r="AL10558">
        <v>1</v>
      </c>
      <c r="AM10558">
        <v>1</v>
      </c>
    </row>
    <row r="10559" spans="1:39" x14ac:dyDescent="0.2">
      <c r="A10559" t="str">
        <f>"10555"</f>
        <v>10555</v>
      </c>
      <c r="B10559" t="str">
        <f t="shared" si="587"/>
        <v>1</v>
      </c>
      <c r="C10559" t="str">
        <f t="shared" si="588"/>
        <v>212</v>
      </c>
      <c r="D10559" t="str">
        <f>"11"</f>
        <v>11</v>
      </c>
      <c r="E10559" t="str">
        <f>"1-212-11"</f>
        <v>1-212-11</v>
      </c>
      <c r="F10559" t="s">
        <v>65</v>
      </c>
      <c r="G10559" t="s">
        <v>66</v>
      </c>
      <c r="H10559" t="s">
        <v>67</v>
      </c>
      <c r="S10559">
        <v>0</v>
      </c>
      <c r="T10559">
        <v>1</v>
      </c>
      <c r="U10559">
        <v>0</v>
      </c>
      <c r="V10559">
        <v>0</v>
      </c>
      <c r="W10559">
        <v>1</v>
      </c>
      <c r="X10559">
        <v>0</v>
      </c>
      <c r="Y10559">
        <v>0</v>
      </c>
      <c r="Z10559">
        <v>1</v>
      </c>
      <c r="AA10559">
        <v>0</v>
      </c>
      <c r="AB10559">
        <v>0</v>
      </c>
      <c r="AC10559">
        <v>1</v>
      </c>
      <c r="AD10559">
        <v>1</v>
      </c>
      <c r="AE10559">
        <v>1</v>
      </c>
      <c r="AF10559">
        <v>1</v>
      </c>
      <c r="AG10559">
        <v>1</v>
      </c>
      <c r="AH10559">
        <v>1</v>
      </c>
      <c r="AI10559">
        <v>1</v>
      </c>
      <c r="AJ10559">
        <v>1</v>
      </c>
      <c r="AK10559">
        <v>1</v>
      </c>
      <c r="AL10559">
        <v>1</v>
      </c>
      <c r="AM10559">
        <v>1</v>
      </c>
    </row>
    <row r="10560" spans="1:39" x14ac:dyDescent="0.2">
      <c r="A10560" t="str">
        <f>"10556"</f>
        <v>10556</v>
      </c>
      <c r="B10560" t="str">
        <f t="shared" si="587"/>
        <v>1</v>
      </c>
      <c r="C10560" t="str">
        <f t="shared" si="588"/>
        <v>212</v>
      </c>
      <c r="D10560" t="str">
        <f>"40"</f>
        <v>40</v>
      </c>
      <c r="E10560" t="str">
        <f>"1-212-40"</f>
        <v>1-212-40</v>
      </c>
      <c r="F10560" t="s">
        <v>65</v>
      </c>
      <c r="G10560" t="s">
        <v>66</v>
      </c>
      <c r="H10560" t="s">
        <v>67</v>
      </c>
      <c r="S10560">
        <v>1</v>
      </c>
      <c r="T10560">
        <v>0</v>
      </c>
      <c r="U10560">
        <v>0</v>
      </c>
      <c r="V10560">
        <v>0</v>
      </c>
      <c r="W10560">
        <v>1</v>
      </c>
      <c r="X10560">
        <v>0</v>
      </c>
      <c r="Y10560">
        <v>0</v>
      </c>
      <c r="Z10560">
        <v>1</v>
      </c>
      <c r="AA10560">
        <v>0</v>
      </c>
      <c r="AB10560">
        <v>0</v>
      </c>
      <c r="AC10560">
        <v>1</v>
      </c>
      <c r="AD10560">
        <v>1</v>
      </c>
      <c r="AE10560">
        <v>1</v>
      </c>
      <c r="AF10560">
        <v>1</v>
      </c>
      <c r="AG10560">
        <v>1</v>
      </c>
      <c r="AH10560">
        <v>1</v>
      </c>
      <c r="AI10560">
        <v>1</v>
      </c>
      <c r="AJ10560">
        <v>1</v>
      </c>
      <c r="AK10560">
        <v>1</v>
      </c>
      <c r="AL10560">
        <v>1</v>
      </c>
      <c r="AM10560">
        <v>1</v>
      </c>
    </row>
    <row r="10561" spans="1:39" x14ac:dyDescent="0.2">
      <c r="A10561" t="str">
        <f>"10557"</f>
        <v>10557</v>
      </c>
      <c r="B10561" t="str">
        <f t="shared" si="587"/>
        <v>1</v>
      </c>
      <c r="C10561" t="str">
        <f t="shared" si="588"/>
        <v>212</v>
      </c>
      <c r="D10561" t="str">
        <f>"39"</f>
        <v>39</v>
      </c>
      <c r="E10561" t="str">
        <f>"1-212-39"</f>
        <v>1-212-39</v>
      </c>
      <c r="F10561" t="s">
        <v>65</v>
      </c>
      <c r="G10561" t="s">
        <v>66</v>
      </c>
      <c r="H10561" t="s">
        <v>67</v>
      </c>
      <c r="S10561">
        <v>0</v>
      </c>
      <c r="T10561">
        <v>1</v>
      </c>
      <c r="U10561">
        <v>0</v>
      </c>
      <c r="V10561">
        <v>0</v>
      </c>
      <c r="W10561">
        <v>0</v>
      </c>
      <c r="X10561">
        <v>1</v>
      </c>
      <c r="Y10561">
        <v>0</v>
      </c>
      <c r="Z10561">
        <v>1</v>
      </c>
      <c r="AA10561">
        <v>0</v>
      </c>
      <c r="AB10561">
        <v>0</v>
      </c>
      <c r="AC10561">
        <v>1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</row>
    <row r="10562" spans="1:39" x14ac:dyDescent="0.2">
      <c r="A10562" t="str">
        <f>"10558"</f>
        <v>10558</v>
      </c>
      <c r="B10562" t="str">
        <f t="shared" si="587"/>
        <v>1</v>
      </c>
      <c r="C10562" t="str">
        <f t="shared" si="588"/>
        <v>212</v>
      </c>
      <c r="D10562" t="str">
        <f>"30"</f>
        <v>30</v>
      </c>
      <c r="E10562" t="str">
        <f>"1-212-30"</f>
        <v>1-212-30</v>
      </c>
      <c r="F10562" t="s">
        <v>65</v>
      </c>
      <c r="G10562" t="s">
        <v>66</v>
      </c>
      <c r="H10562" t="s">
        <v>67</v>
      </c>
      <c r="S10562">
        <v>1</v>
      </c>
      <c r="T10562">
        <v>0</v>
      </c>
      <c r="U10562">
        <v>0</v>
      </c>
      <c r="V10562">
        <v>0</v>
      </c>
      <c r="W10562">
        <v>1</v>
      </c>
      <c r="X10562">
        <v>0</v>
      </c>
      <c r="Y10562">
        <v>1</v>
      </c>
      <c r="Z10562">
        <v>0</v>
      </c>
      <c r="AA10562">
        <v>0</v>
      </c>
      <c r="AB10562">
        <v>1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</row>
    <row r="10563" spans="1:39" x14ac:dyDescent="0.2">
      <c r="A10563" t="str">
        <f>"10559"</f>
        <v>10559</v>
      </c>
      <c r="B10563" t="str">
        <f t="shared" si="587"/>
        <v>1</v>
      </c>
      <c r="C10563" t="str">
        <f t="shared" si="588"/>
        <v>212</v>
      </c>
      <c r="D10563" t="str">
        <f>"16"</f>
        <v>16</v>
      </c>
      <c r="E10563" t="str">
        <f>"1-212-16"</f>
        <v>1-212-16</v>
      </c>
      <c r="F10563" t="s">
        <v>65</v>
      </c>
      <c r="G10563" t="s">
        <v>66</v>
      </c>
      <c r="H10563" t="s">
        <v>67</v>
      </c>
      <c r="S10563">
        <v>1</v>
      </c>
      <c r="T10563">
        <v>0</v>
      </c>
      <c r="U10563">
        <v>0</v>
      </c>
      <c r="V10563">
        <v>0</v>
      </c>
      <c r="W10563">
        <v>1</v>
      </c>
      <c r="X10563">
        <v>0</v>
      </c>
      <c r="Y10563">
        <v>0</v>
      </c>
      <c r="Z10563">
        <v>1</v>
      </c>
      <c r="AA10563">
        <v>0</v>
      </c>
      <c r="AB10563">
        <v>0</v>
      </c>
      <c r="AC10563">
        <v>1</v>
      </c>
      <c r="AD10563">
        <v>1</v>
      </c>
      <c r="AE10563">
        <v>1</v>
      </c>
      <c r="AF10563">
        <v>1</v>
      </c>
      <c r="AG10563">
        <v>1</v>
      </c>
      <c r="AH10563">
        <v>1</v>
      </c>
      <c r="AI10563">
        <v>1</v>
      </c>
      <c r="AJ10563">
        <v>1</v>
      </c>
      <c r="AK10563">
        <v>1</v>
      </c>
      <c r="AL10563">
        <v>1</v>
      </c>
      <c r="AM10563">
        <v>1</v>
      </c>
    </row>
    <row r="10564" spans="1:39" x14ac:dyDescent="0.2">
      <c r="A10564" t="str">
        <f>"10560"</f>
        <v>10560</v>
      </c>
      <c r="B10564" t="str">
        <f t="shared" si="587"/>
        <v>1</v>
      </c>
      <c r="C10564" t="str">
        <f t="shared" si="588"/>
        <v>212</v>
      </c>
      <c r="D10564" t="str">
        <f>"3"</f>
        <v>3</v>
      </c>
      <c r="E10564" t="str">
        <f>"1-212-3"</f>
        <v>1-212-3</v>
      </c>
      <c r="F10564" t="s">
        <v>65</v>
      </c>
      <c r="G10564" t="s">
        <v>66</v>
      </c>
      <c r="H10564" t="s">
        <v>67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1</v>
      </c>
      <c r="Y10564">
        <v>0</v>
      </c>
      <c r="Z10564">
        <v>1</v>
      </c>
      <c r="AA10564">
        <v>0</v>
      </c>
      <c r="AB10564">
        <v>0</v>
      </c>
      <c r="AC10564">
        <v>1</v>
      </c>
      <c r="AD10564">
        <v>0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</row>
    <row r="10565" spans="1:39" x14ac:dyDescent="0.2">
      <c r="A10565" t="str">
        <f>"10561"</f>
        <v>10561</v>
      </c>
      <c r="B10565" t="str">
        <f t="shared" si="587"/>
        <v>1</v>
      </c>
      <c r="C10565" t="str">
        <f t="shared" si="588"/>
        <v>212</v>
      </c>
      <c r="D10565" t="str">
        <f>"34"</f>
        <v>34</v>
      </c>
      <c r="E10565" t="str">
        <f>"1-212-34"</f>
        <v>1-212-34</v>
      </c>
      <c r="F10565" t="s">
        <v>65</v>
      </c>
      <c r="G10565" t="s">
        <v>66</v>
      </c>
      <c r="H10565" t="s">
        <v>67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1</v>
      </c>
      <c r="Y10565">
        <v>0</v>
      </c>
      <c r="Z10565">
        <v>0</v>
      </c>
      <c r="AA10565">
        <v>0</v>
      </c>
      <c r="AB10565">
        <v>1</v>
      </c>
      <c r="AC10565">
        <v>0</v>
      </c>
      <c r="AD10565">
        <v>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</row>
    <row r="10566" spans="1:39" x14ac:dyDescent="0.2">
      <c r="A10566" t="str">
        <f>"10562"</f>
        <v>10562</v>
      </c>
      <c r="B10566" t="str">
        <f t="shared" si="587"/>
        <v>1</v>
      </c>
      <c r="C10566" t="str">
        <f t="shared" si="588"/>
        <v>212</v>
      </c>
      <c r="D10566" t="str">
        <f>"33"</f>
        <v>33</v>
      </c>
      <c r="E10566" t="str">
        <f>"1-212-33"</f>
        <v>1-212-33</v>
      </c>
      <c r="F10566" t="s">
        <v>65</v>
      </c>
      <c r="G10566" t="s">
        <v>66</v>
      </c>
      <c r="H10566" t="s">
        <v>67</v>
      </c>
      <c r="S10566">
        <v>1</v>
      </c>
      <c r="T10566">
        <v>0</v>
      </c>
      <c r="U10566">
        <v>0</v>
      </c>
      <c r="V10566">
        <v>0</v>
      </c>
      <c r="W10566">
        <v>1</v>
      </c>
      <c r="X10566">
        <v>0</v>
      </c>
      <c r="Y10566">
        <v>1</v>
      </c>
      <c r="Z10566">
        <v>0</v>
      </c>
      <c r="AA10566">
        <v>0</v>
      </c>
      <c r="AB10566">
        <v>1</v>
      </c>
      <c r="AC10566">
        <v>0</v>
      </c>
      <c r="AD10566">
        <v>1</v>
      </c>
      <c r="AE10566">
        <v>1</v>
      </c>
      <c r="AF10566">
        <v>1</v>
      </c>
      <c r="AG10566">
        <v>1</v>
      </c>
      <c r="AH10566">
        <v>1</v>
      </c>
      <c r="AI10566">
        <v>1</v>
      </c>
      <c r="AJ10566">
        <v>1</v>
      </c>
      <c r="AK10566">
        <v>1</v>
      </c>
      <c r="AL10566">
        <v>1</v>
      </c>
      <c r="AM10566">
        <v>1</v>
      </c>
    </row>
    <row r="10567" spans="1:39" x14ac:dyDescent="0.2">
      <c r="A10567" t="str">
        <f>"10563"</f>
        <v>10563</v>
      </c>
      <c r="B10567" t="str">
        <f t="shared" si="587"/>
        <v>1</v>
      </c>
      <c r="C10567" t="str">
        <f t="shared" si="588"/>
        <v>212</v>
      </c>
      <c r="D10567" t="str">
        <f>"26"</f>
        <v>26</v>
      </c>
      <c r="E10567" t="str">
        <f>"1-212-26"</f>
        <v>1-212-26</v>
      </c>
      <c r="F10567" t="s">
        <v>65</v>
      </c>
      <c r="G10567" t="s">
        <v>66</v>
      </c>
      <c r="H10567" t="s">
        <v>67</v>
      </c>
      <c r="S10567">
        <v>0</v>
      </c>
      <c r="T10567">
        <v>0</v>
      </c>
      <c r="U10567">
        <v>0</v>
      </c>
      <c r="V10567">
        <v>0</v>
      </c>
      <c r="W10567">
        <v>1</v>
      </c>
      <c r="X10567">
        <v>0</v>
      </c>
      <c r="Y10567">
        <v>0</v>
      </c>
      <c r="Z10567">
        <v>1</v>
      </c>
      <c r="AA10567">
        <v>0</v>
      </c>
      <c r="AB10567">
        <v>0</v>
      </c>
      <c r="AC10567">
        <v>1</v>
      </c>
      <c r="AD10567">
        <v>1</v>
      </c>
      <c r="AE10567">
        <v>1</v>
      </c>
      <c r="AF10567">
        <v>0</v>
      </c>
      <c r="AG10567">
        <v>1</v>
      </c>
      <c r="AH10567">
        <v>0</v>
      </c>
      <c r="AI10567">
        <v>1</v>
      </c>
      <c r="AJ10567">
        <v>1</v>
      </c>
      <c r="AK10567">
        <v>0</v>
      </c>
      <c r="AL10567">
        <v>1</v>
      </c>
      <c r="AM10567">
        <v>1</v>
      </c>
    </row>
    <row r="10568" spans="1:39" x14ac:dyDescent="0.2">
      <c r="A10568" t="str">
        <f>"10564"</f>
        <v>10564</v>
      </c>
      <c r="B10568" t="str">
        <f t="shared" si="587"/>
        <v>1</v>
      </c>
      <c r="C10568" t="str">
        <f t="shared" si="588"/>
        <v>212</v>
      </c>
      <c r="D10568" t="str">
        <f>"17"</f>
        <v>17</v>
      </c>
      <c r="E10568" t="str">
        <f>"1-212-17"</f>
        <v>1-212-17</v>
      </c>
      <c r="F10568" t="s">
        <v>65</v>
      </c>
      <c r="G10568" t="s">
        <v>66</v>
      </c>
      <c r="H10568" t="s">
        <v>68</v>
      </c>
      <c r="I10568">
        <v>1</v>
      </c>
      <c r="J10568">
        <v>0</v>
      </c>
      <c r="K10568">
        <v>0</v>
      </c>
      <c r="L10568">
        <v>1</v>
      </c>
      <c r="M10568">
        <v>1</v>
      </c>
      <c r="N10568">
        <v>1</v>
      </c>
      <c r="O10568">
        <v>1</v>
      </c>
      <c r="P10568">
        <v>1</v>
      </c>
      <c r="Q10568">
        <v>1</v>
      </c>
      <c r="R10568">
        <v>1</v>
      </c>
    </row>
    <row r="10569" spans="1:39" x14ac:dyDescent="0.2">
      <c r="A10569" t="str">
        <f>"10565"</f>
        <v>10565</v>
      </c>
      <c r="B10569" t="str">
        <f t="shared" si="587"/>
        <v>1</v>
      </c>
      <c r="C10569" t="str">
        <f t="shared" si="588"/>
        <v>212</v>
      </c>
      <c r="D10569" t="str">
        <f>"12"</f>
        <v>12</v>
      </c>
      <c r="E10569" t="str">
        <f>"1-212-12"</f>
        <v>1-212-12</v>
      </c>
      <c r="F10569" t="s">
        <v>65</v>
      </c>
      <c r="G10569" t="s">
        <v>66</v>
      </c>
      <c r="H10569" t="s">
        <v>67</v>
      </c>
      <c r="S10569">
        <v>0</v>
      </c>
      <c r="T10569">
        <v>1</v>
      </c>
      <c r="U10569">
        <v>0</v>
      </c>
      <c r="V10569">
        <v>0</v>
      </c>
      <c r="W10569">
        <v>1</v>
      </c>
      <c r="X10569">
        <v>0</v>
      </c>
      <c r="Y10569">
        <v>0</v>
      </c>
      <c r="Z10569">
        <v>0</v>
      </c>
      <c r="AA10569">
        <v>0</v>
      </c>
      <c r="AB10569">
        <v>1</v>
      </c>
      <c r="AC10569">
        <v>0</v>
      </c>
      <c r="AD10569">
        <v>1</v>
      </c>
      <c r="AE10569">
        <v>1</v>
      </c>
      <c r="AF10569">
        <v>1</v>
      </c>
      <c r="AG10569">
        <v>1</v>
      </c>
      <c r="AH10569">
        <v>1</v>
      </c>
      <c r="AI10569">
        <v>1</v>
      </c>
      <c r="AJ10569">
        <v>1</v>
      </c>
      <c r="AK10569">
        <v>1</v>
      </c>
      <c r="AL10569">
        <v>1</v>
      </c>
      <c r="AM10569">
        <v>1</v>
      </c>
    </row>
    <row r="10570" spans="1:39" x14ac:dyDescent="0.2">
      <c r="A10570" t="str">
        <f>"10566"</f>
        <v>10566</v>
      </c>
      <c r="B10570" t="str">
        <f t="shared" si="587"/>
        <v>1</v>
      </c>
      <c r="C10570" t="str">
        <f t="shared" si="588"/>
        <v>212</v>
      </c>
      <c r="D10570" t="str">
        <f>"36"</f>
        <v>36</v>
      </c>
      <c r="E10570" t="str">
        <f>"1-212-36"</f>
        <v>1-212-36</v>
      </c>
      <c r="F10570" t="s">
        <v>65</v>
      </c>
      <c r="G10570" t="s">
        <v>66</v>
      </c>
      <c r="H10570" t="s">
        <v>67</v>
      </c>
      <c r="S10570">
        <v>0</v>
      </c>
      <c r="T10570">
        <v>1</v>
      </c>
      <c r="U10570">
        <v>0</v>
      </c>
      <c r="V10570">
        <v>0</v>
      </c>
      <c r="W10570">
        <v>0</v>
      </c>
      <c r="X10570">
        <v>1</v>
      </c>
      <c r="Y10570">
        <v>0</v>
      </c>
      <c r="Z10570">
        <v>1</v>
      </c>
      <c r="AA10570">
        <v>0</v>
      </c>
      <c r="AB10570">
        <v>1</v>
      </c>
      <c r="AC10570">
        <v>0</v>
      </c>
      <c r="AD10570">
        <v>0</v>
      </c>
      <c r="AE10570">
        <v>0</v>
      </c>
      <c r="AF10570">
        <v>0</v>
      </c>
      <c r="AG10570">
        <v>1</v>
      </c>
      <c r="AH10570">
        <v>1</v>
      </c>
      <c r="AI10570">
        <v>1</v>
      </c>
      <c r="AJ10570">
        <v>1</v>
      </c>
      <c r="AK10570">
        <v>1</v>
      </c>
      <c r="AL10570">
        <v>1</v>
      </c>
      <c r="AM10570">
        <v>1</v>
      </c>
    </row>
    <row r="10571" spans="1:39" x14ac:dyDescent="0.2">
      <c r="A10571" t="str">
        <f>"10567"</f>
        <v>10567</v>
      </c>
      <c r="B10571" t="str">
        <f t="shared" si="587"/>
        <v>1</v>
      </c>
      <c r="C10571" t="str">
        <f t="shared" si="588"/>
        <v>212</v>
      </c>
      <c r="D10571" t="str">
        <f>"35"</f>
        <v>35</v>
      </c>
      <c r="E10571" t="str">
        <f>"1-212-35"</f>
        <v>1-212-35</v>
      </c>
      <c r="F10571" t="s">
        <v>65</v>
      </c>
      <c r="G10571" t="s">
        <v>66</v>
      </c>
      <c r="H10571" t="s">
        <v>67</v>
      </c>
      <c r="S10571">
        <v>0</v>
      </c>
      <c r="T10571">
        <v>1</v>
      </c>
      <c r="U10571">
        <v>0</v>
      </c>
      <c r="V10571">
        <v>0</v>
      </c>
      <c r="W10571">
        <v>0</v>
      </c>
      <c r="X10571">
        <v>1</v>
      </c>
      <c r="Y10571">
        <v>0</v>
      </c>
      <c r="Z10571">
        <v>1</v>
      </c>
      <c r="AA10571">
        <v>0</v>
      </c>
      <c r="AB10571">
        <v>0</v>
      </c>
      <c r="AC10571">
        <v>1</v>
      </c>
      <c r="AD10571">
        <v>0</v>
      </c>
      <c r="AE10571">
        <v>0</v>
      </c>
      <c r="AF10571">
        <v>0</v>
      </c>
      <c r="AG10571">
        <v>0</v>
      </c>
      <c r="AH10571">
        <v>0</v>
      </c>
      <c r="AI10571">
        <v>1</v>
      </c>
      <c r="AJ10571">
        <v>0</v>
      </c>
      <c r="AK10571">
        <v>0</v>
      </c>
      <c r="AL10571">
        <v>0</v>
      </c>
      <c r="AM10571">
        <v>0</v>
      </c>
    </row>
    <row r="10572" spans="1:39" x14ac:dyDescent="0.2">
      <c r="A10572" t="str">
        <f>"10568"</f>
        <v>10568</v>
      </c>
      <c r="B10572" t="str">
        <f t="shared" si="587"/>
        <v>1</v>
      </c>
      <c r="C10572" t="str">
        <f t="shared" si="588"/>
        <v>212</v>
      </c>
      <c r="D10572" t="str">
        <f>"24"</f>
        <v>24</v>
      </c>
      <c r="E10572" t="str">
        <f>"1-212-24"</f>
        <v>1-212-24</v>
      </c>
      <c r="F10572" t="s">
        <v>65</v>
      </c>
      <c r="G10572" t="s">
        <v>66</v>
      </c>
      <c r="H10572" t="s">
        <v>67</v>
      </c>
      <c r="S10572">
        <v>1</v>
      </c>
      <c r="T10572">
        <v>0</v>
      </c>
      <c r="U10572">
        <v>0</v>
      </c>
      <c r="V10572">
        <v>0</v>
      </c>
      <c r="W10572">
        <v>1</v>
      </c>
      <c r="X10572">
        <v>0</v>
      </c>
      <c r="Y10572">
        <v>1</v>
      </c>
      <c r="Z10572">
        <v>0</v>
      </c>
      <c r="AA10572">
        <v>1</v>
      </c>
      <c r="AB10572">
        <v>0</v>
      </c>
      <c r="AC10572">
        <v>0</v>
      </c>
      <c r="AD10572">
        <v>1</v>
      </c>
      <c r="AE10572">
        <v>1</v>
      </c>
      <c r="AF10572">
        <v>1</v>
      </c>
      <c r="AG10572">
        <v>1</v>
      </c>
      <c r="AH10572">
        <v>1</v>
      </c>
      <c r="AI10572">
        <v>1</v>
      </c>
      <c r="AJ10572">
        <v>1</v>
      </c>
      <c r="AK10572">
        <v>1</v>
      </c>
      <c r="AL10572">
        <v>1</v>
      </c>
      <c r="AM10572">
        <v>1</v>
      </c>
    </row>
    <row r="10573" spans="1:39" x14ac:dyDescent="0.2">
      <c r="A10573" t="str">
        <f>"10569"</f>
        <v>10569</v>
      </c>
      <c r="B10573" t="str">
        <f t="shared" si="587"/>
        <v>1</v>
      </c>
      <c r="C10573" t="str">
        <f t="shared" si="588"/>
        <v>212</v>
      </c>
      <c r="D10573" t="str">
        <f>"18"</f>
        <v>18</v>
      </c>
      <c r="E10573" t="str">
        <f>"1-212-18"</f>
        <v>1-212-18</v>
      </c>
      <c r="F10573" t="s">
        <v>65</v>
      </c>
      <c r="G10573" t="s">
        <v>66</v>
      </c>
      <c r="H10573" t="s">
        <v>67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1</v>
      </c>
      <c r="Y10573">
        <v>0</v>
      </c>
      <c r="Z10573">
        <v>0</v>
      </c>
      <c r="AA10573">
        <v>0</v>
      </c>
      <c r="AB10573">
        <v>1</v>
      </c>
      <c r="AC10573">
        <v>0</v>
      </c>
      <c r="AD10573">
        <v>0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</row>
    <row r="10574" spans="1:39" x14ac:dyDescent="0.2">
      <c r="A10574" t="str">
        <f>"10570"</f>
        <v>10570</v>
      </c>
      <c r="B10574" t="str">
        <f t="shared" si="587"/>
        <v>1</v>
      </c>
      <c r="C10574" t="str">
        <f t="shared" si="588"/>
        <v>212</v>
      </c>
      <c r="D10574" t="str">
        <f>"2"</f>
        <v>2</v>
      </c>
      <c r="E10574" t="str">
        <f>"1-212-2"</f>
        <v>1-212-2</v>
      </c>
      <c r="F10574" t="s">
        <v>65</v>
      </c>
      <c r="G10574" t="s">
        <v>66</v>
      </c>
      <c r="H10574" t="s">
        <v>67</v>
      </c>
      <c r="S10574">
        <v>1</v>
      </c>
      <c r="T10574">
        <v>0</v>
      </c>
      <c r="U10574">
        <v>0</v>
      </c>
      <c r="V10574">
        <v>0</v>
      </c>
      <c r="W10574">
        <v>1</v>
      </c>
      <c r="X10574">
        <v>0</v>
      </c>
      <c r="Y10574">
        <v>1</v>
      </c>
      <c r="Z10574">
        <v>0</v>
      </c>
      <c r="AA10574">
        <v>0</v>
      </c>
      <c r="AB10574">
        <v>1</v>
      </c>
      <c r="AC10574">
        <v>0</v>
      </c>
      <c r="AD10574">
        <v>1</v>
      </c>
      <c r="AE10574">
        <v>1</v>
      </c>
      <c r="AF10574">
        <v>1</v>
      </c>
      <c r="AG10574">
        <v>1</v>
      </c>
      <c r="AH10574">
        <v>1</v>
      </c>
      <c r="AI10574">
        <v>1</v>
      </c>
      <c r="AJ10574">
        <v>1</v>
      </c>
      <c r="AK10574">
        <v>1</v>
      </c>
      <c r="AL10574">
        <v>1</v>
      </c>
      <c r="AM10574">
        <v>1</v>
      </c>
    </row>
    <row r="10575" spans="1:39" x14ac:dyDescent="0.2">
      <c r="A10575" t="str">
        <f>"10571"</f>
        <v>10571</v>
      </c>
      <c r="B10575" t="str">
        <f t="shared" si="587"/>
        <v>1</v>
      </c>
      <c r="C10575" t="str">
        <f t="shared" si="588"/>
        <v>212</v>
      </c>
      <c r="D10575" t="str">
        <f>"41"</f>
        <v>41</v>
      </c>
      <c r="E10575" t="str">
        <f>"1-212-41"</f>
        <v>1-212-41</v>
      </c>
      <c r="F10575" t="s">
        <v>65</v>
      </c>
      <c r="G10575" t="s">
        <v>66</v>
      </c>
      <c r="H10575" t="s">
        <v>67</v>
      </c>
      <c r="S10575">
        <v>1</v>
      </c>
      <c r="T10575">
        <v>0</v>
      </c>
      <c r="U10575">
        <v>0</v>
      </c>
      <c r="V10575">
        <v>0</v>
      </c>
      <c r="W10575">
        <v>0</v>
      </c>
      <c r="X10575">
        <v>1</v>
      </c>
      <c r="Y10575">
        <v>1</v>
      </c>
      <c r="Z10575">
        <v>0</v>
      </c>
      <c r="AA10575">
        <v>0</v>
      </c>
      <c r="AB10575">
        <v>0</v>
      </c>
      <c r="AC10575">
        <v>1</v>
      </c>
      <c r="AD10575">
        <v>1</v>
      </c>
      <c r="AE10575">
        <v>1</v>
      </c>
      <c r="AF10575">
        <v>1</v>
      </c>
      <c r="AG10575">
        <v>1</v>
      </c>
      <c r="AH10575">
        <v>1</v>
      </c>
      <c r="AI10575">
        <v>1</v>
      </c>
      <c r="AJ10575">
        <v>1</v>
      </c>
      <c r="AK10575">
        <v>1</v>
      </c>
      <c r="AL10575">
        <v>1</v>
      </c>
      <c r="AM10575">
        <v>1</v>
      </c>
    </row>
    <row r="10576" spans="1:39" x14ac:dyDescent="0.2">
      <c r="A10576" t="str">
        <f>"10572"</f>
        <v>10572</v>
      </c>
      <c r="B10576" t="str">
        <f t="shared" si="587"/>
        <v>1</v>
      </c>
      <c r="C10576" t="str">
        <f t="shared" si="588"/>
        <v>212</v>
      </c>
      <c r="D10576" t="str">
        <f>"19"</f>
        <v>19</v>
      </c>
      <c r="E10576" t="str">
        <f>"1-212-19"</f>
        <v>1-212-19</v>
      </c>
      <c r="F10576" t="s">
        <v>65</v>
      </c>
      <c r="G10576" t="s">
        <v>66</v>
      </c>
      <c r="H10576" t="s">
        <v>67</v>
      </c>
      <c r="S10576">
        <v>1</v>
      </c>
      <c r="T10576">
        <v>0</v>
      </c>
      <c r="U10576">
        <v>0</v>
      </c>
      <c r="V10576">
        <v>0</v>
      </c>
      <c r="W10576">
        <v>1</v>
      </c>
      <c r="X10576">
        <v>0</v>
      </c>
      <c r="Y10576">
        <v>1</v>
      </c>
      <c r="Z10576">
        <v>0</v>
      </c>
      <c r="AA10576">
        <v>1</v>
      </c>
      <c r="AB10576">
        <v>0</v>
      </c>
      <c r="AC10576">
        <v>0</v>
      </c>
      <c r="AD10576">
        <v>1</v>
      </c>
      <c r="AE10576">
        <v>1</v>
      </c>
      <c r="AF10576">
        <v>1</v>
      </c>
      <c r="AG10576">
        <v>1</v>
      </c>
      <c r="AH10576">
        <v>1</v>
      </c>
      <c r="AI10576">
        <v>1</v>
      </c>
      <c r="AJ10576">
        <v>1</v>
      </c>
      <c r="AK10576">
        <v>1</v>
      </c>
      <c r="AL10576">
        <v>1</v>
      </c>
      <c r="AM10576">
        <v>1</v>
      </c>
    </row>
    <row r="10577" spans="1:39" x14ac:dyDescent="0.2">
      <c r="A10577" t="str">
        <f>"10573"</f>
        <v>10573</v>
      </c>
      <c r="B10577" t="str">
        <f t="shared" si="587"/>
        <v>1</v>
      </c>
      <c r="C10577" t="str">
        <f t="shared" si="588"/>
        <v>212</v>
      </c>
      <c r="D10577" t="str">
        <f>"8"</f>
        <v>8</v>
      </c>
      <c r="E10577" t="str">
        <f>"1-212-8"</f>
        <v>1-212-8</v>
      </c>
      <c r="F10577" t="s">
        <v>65</v>
      </c>
      <c r="G10577" t="s">
        <v>66</v>
      </c>
      <c r="H10577" t="s">
        <v>68</v>
      </c>
      <c r="I10577">
        <v>1</v>
      </c>
      <c r="J10577">
        <v>0</v>
      </c>
      <c r="K10577">
        <v>1</v>
      </c>
      <c r="L10577">
        <v>0</v>
      </c>
      <c r="M10577">
        <v>1</v>
      </c>
      <c r="N10577">
        <v>1</v>
      </c>
      <c r="O10577">
        <v>1</v>
      </c>
      <c r="P10577">
        <v>1</v>
      </c>
      <c r="Q10577">
        <v>1</v>
      </c>
      <c r="R10577">
        <v>1</v>
      </c>
    </row>
    <row r="10578" spans="1:39" x14ac:dyDescent="0.2">
      <c r="A10578" t="str">
        <f>"10574"</f>
        <v>10574</v>
      </c>
      <c r="B10578" t="str">
        <f t="shared" si="587"/>
        <v>1</v>
      </c>
      <c r="C10578" t="str">
        <f t="shared" si="588"/>
        <v>212</v>
      </c>
      <c r="D10578" t="str">
        <f>"43"</f>
        <v>43</v>
      </c>
      <c r="E10578" t="str">
        <f>"1-212-43"</f>
        <v>1-212-43</v>
      </c>
      <c r="F10578" t="s">
        <v>65</v>
      </c>
      <c r="G10578" t="s">
        <v>66</v>
      </c>
      <c r="H10578" t="s">
        <v>67</v>
      </c>
      <c r="S10578">
        <v>0</v>
      </c>
      <c r="T10578">
        <v>1</v>
      </c>
      <c r="U10578">
        <v>0</v>
      </c>
      <c r="V10578">
        <v>0</v>
      </c>
      <c r="W10578">
        <v>0</v>
      </c>
      <c r="X10578">
        <v>1</v>
      </c>
      <c r="Y10578">
        <v>1</v>
      </c>
      <c r="Z10578">
        <v>0</v>
      </c>
      <c r="AA10578">
        <v>0</v>
      </c>
      <c r="AB10578">
        <v>0</v>
      </c>
      <c r="AC10578">
        <v>1</v>
      </c>
      <c r="AD10578">
        <v>1</v>
      </c>
      <c r="AE10578">
        <v>1</v>
      </c>
      <c r="AF10578">
        <v>1</v>
      </c>
      <c r="AG10578">
        <v>1</v>
      </c>
      <c r="AH10578">
        <v>1</v>
      </c>
      <c r="AI10578">
        <v>1</v>
      </c>
      <c r="AJ10578">
        <v>1</v>
      </c>
      <c r="AK10578">
        <v>1</v>
      </c>
      <c r="AL10578">
        <v>1</v>
      </c>
      <c r="AM10578">
        <v>1</v>
      </c>
    </row>
    <row r="10579" spans="1:39" x14ac:dyDescent="0.2">
      <c r="A10579" t="str">
        <f>"10575"</f>
        <v>10575</v>
      </c>
      <c r="B10579" t="str">
        <f t="shared" si="587"/>
        <v>1</v>
      </c>
      <c r="C10579" t="str">
        <f t="shared" si="588"/>
        <v>212</v>
      </c>
      <c r="D10579" t="str">
        <f>"20"</f>
        <v>20</v>
      </c>
      <c r="E10579" t="str">
        <f>"1-212-20"</f>
        <v>1-212-20</v>
      </c>
      <c r="F10579" t="s">
        <v>65</v>
      </c>
      <c r="G10579" t="s">
        <v>66</v>
      </c>
      <c r="H10579" t="s">
        <v>67</v>
      </c>
      <c r="S10579">
        <v>0</v>
      </c>
      <c r="T10579">
        <v>1</v>
      </c>
      <c r="U10579">
        <v>0</v>
      </c>
      <c r="V10579">
        <v>0</v>
      </c>
      <c r="W10579">
        <v>0</v>
      </c>
      <c r="X10579">
        <v>1</v>
      </c>
      <c r="Y10579">
        <v>0</v>
      </c>
      <c r="Z10579">
        <v>1</v>
      </c>
      <c r="AA10579">
        <v>0</v>
      </c>
      <c r="AB10579">
        <v>0</v>
      </c>
      <c r="AC10579">
        <v>1</v>
      </c>
      <c r="AD10579">
        <v>0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</row>
    <row r="10580" spans="1:39" x14ac:dyDescent="0.2">
      <c r="A10580" t="str">
        <f>"10576"</f>
        <v>10576</v>
      </c>
      <c r="B10580" t="str">
        <f t="shared" si="587"/>
        <v>1</v>
      </c>
      <c r="C10580" t="str">
        <f t="shared" si="588"/>
        <v>212</v>
      </c>
      <c r="D10580" t="str">
        <f>"14"</f>
        <v>14</v>
      </c>
      <c r="E10580" t="str">
        <f>"1-212-14"</f>
        <v>1-212-14</v>
      </c>
      <c r="F10580" t="s">
        <v>65</v>
      </c>
      <c r="G10580" t="s">
        <v>66</v>
      </c>
      <c r="H10580" t="s">
        <v>67</v>
      </c>
      <c r="S10580">
        <v>1</v>
      </c>
      <c r="T10580">
        <v>0</v>
      </c>
      <c r="U10580">
        <v>0</v>
      </c>
      <c r="V10580">
        <v>0</v>
      </c>
      <c r="W10580">
        <v>1</v>
      </c>
      <c r="X10580">
        <v>0</v>
      </c>
      <c r="Y10580">
        <v>1</v>
      </c>
      <c r="Z10580">
        <v>0</v>
      </c>
      <c r="AA10580">
        <v>1</v>
      </c>
      <c r="AB10580">
        <v>0</v>
      </c>
      <c r="AC10580">
        <v>0</v>
      </c>
      <c r="AD10580">
        <v>1</v>
      </c>
      <c r="AE10580">
        <v>1</v>
      </c>
      <c r="AF10580">
        <v>1</v>
      </c>
      <c r="AG10580">
        <v>1</v>
      </c>
      <c r="AH10580">
        <v>1</v>
      </c>
      <c r="AI10580">
        <v>1</v>
      </c>
      <c r="AJ10580">
        <v>1</v>
      </c>
      <c r="AK10580">
        <v>1</v>
      </c>
      <c r="AL10580">
        <v>1</v>
      </c>
      <c r="AM10580">
        <v>1</v>
      </c>
    </row>
    <row r="10581" spans="1:39" x14ac:dyDescent="0.2">
      <c r="A10581" t="str">
        <f>"10577"</f>
        <v>10577</v>
      </c>
      <c r="B10581" t="str">
        <f t="shared" si="587"/>
        <v>1</v>
      </c>
      <c r="C10581" t="str">
        <f t="shared" si="588"/>
        <v>212</v>
      </c>
      <c r="D10581" t="str">
        <f>"21"</f>
        <v>21</v>
      </c>
      <c r="E10581" t="str">
        <f>"1-212-21"</f>
        <v>1-212-21</v>
      </c>
      <c r="F10581" t="s">
        <v>65</v>
      </c>
      <c r="G10581" t="s">
        <v>66</v>
      </c>
      <c r="H10581" t="s">
        <v>67</v>
      </c>
      <c r="S10581">
        <v>0</v>
      </c>
      <c r="T10581">
        <v>1</v>
      </c>
      <c r="U10581">
        <v>0</v>
      </c>
      <c r="V10581">
        <v>0</v>
      </c>
      <c r="W10581">
        <v>0</v>
      </c>
      <c r="X10581">
        <v>1</v>
      </c>
      <c r="Y10581">
        <v>0</v>
      </c>
      <c r="Z10581">
        <v>1</v>
      </c>
      <c r="AA10581">
        <v>0</v>
      </c>
      <c r="AB10581">
        <v>0</v>
      </c>
      <c r="AC10581">
        <v>1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</row>
    <row r="10582" spans="1:39" x14ac:dyDescent="0.2">
      <c r="A10582" t="str">
        <f>"10578"</f>
        <v>10578</v>
      </c>
      <c r="B10582" t="str">
        <f t="shared" si="587"/>
        <v>1</v>
      </c>
      <c r="C10582" t="str">
        <f t="shared" si="588"/>
        <v>212</v>
      </c>
      <c r="D10582" t="str">
        <f>"4"</f>
        <v>4</v>
      </c>
      <c r="E10582" t="str">
        <f>"1-212-4"</f>
        <v>1-212-4</v>
      </c>
      <c r="F10582" t="s">
        <v>65</v>
      </c>
      <c r="G10582" t="s">
        <v>66</v>
      </c>
      <c r="H10582" t="s">
        <v>67</v>
      </c>
      <c r="S10582">
        <v>0</v>
      </c>
      <c r="T10582">
        <v>1</v>
      </c>
      <c r="U10582">
        <v>0</v>
      </c>
      <c r="V10582">
        <v>0</v>
      </c>
      <c r="W10582">
        <v>0</v>
      </c>
      <c r="X10582">
        <v>1</v>
      </c>
      <c r="Y10582">
        <v>0</v>
      </c>
      <c r="Z10582">
        <v>1</v>
      </c>
      <c r="AA10582">
        <v>0</v>
      </c>
      <c r="AB10582">
        <v>0</v>
      </c>
      <c r="AC10582">
        <v>1</v>
      </c>
      <c r="AD10582">
        <v>1</v>
      </c>
      <c r="AE10582">
        <v>1</v>
      </c>
      <c r="AF10582">
        <v>1</v>
      </c>
      <c r="AG10582">
        <v>1</v>
      </c>
      <c r="AH10582">
        <v>1</v>
      </c>
      <c r="AI10582">
        <v>1</v>
      </c>
      <c r="AJ10582">
        <v>1</v>
      </c>
      <c r="AK10582">
        <v>1</v>
      </c>
      <c r="AL10582">
        <v>1</v>
      </c>
      <c r="AM10582">
        <v>1</v>
      </c>
    </row>
    <row r="10583" spans="1:39" x14ac:dyDescent="0.2">
      <c r="A10583" t="str">
        <f>"10579"</f>
        <v>10579</v>
      </c>
      <c r="B10583" t="str">
        <f t="shared" si="587"/>
        <v>1</v>
      </c>
      <c r="C10583" t="str">
        <f t="shared" si="588"/>
        <v>212</v>
      </c>
      <c r="D10583" t="str">
        <f>"42"</f>
        <v>42</v>
      </c>
      <c r="E10583" t="str">
        <f>"1-212-42"</f>
        <v>1-212-42</v>
      </c>
      <c r="F10583" t="s">
        <v>65</v>
      </c>
      <c r="G10583" t="s">
        <v>66</v>
      </c>
      <c r="H10583" t="s">
        <v>67</v>
      </c>
      <c r="S10583">
        <v>0</v>
      </c>
      <c r="T10583">
        <v>1</v>
      </c>
      <c r="U10583">
        <v>0</v>
      </c>
      <c r="V10583">
        <v>0</v>
      </c>
      <c r="W10583">
        <v>0</v>
      </c>
      <c r="X10583">
        <v>1</v>
      </c>
      <c r="Y10583">
        <v>0</v>
      </c>
      <c r="Z10583">
        <v>0</v>
      </c>
      <c r="AA10583">
        <v>0</v>
      </c>
      <c r="AB10583">
        <v>0</v>
      </c>
      <c r="AC10583">
        <v>1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</row>
    <row r="10584" spans="1:39" x14ac:dyDescent="0.2">
      <c r="A10584" t="str">
        <f>"10580"</f>
        <v>10580</v>
      </c>
      <c r="B10584" t="str">
        <f t="shared" si="587"/>
        <v>1</v>
      </c>
      <c r="C10584" t="str">
        <f t="shared" si="588"/>
        <v>212</v>
      </c>
      <c r="D10584" t="str">
        <f>"22"</f>
        <v>22</v>
      </c>
      <c r="E10584" t="str">
        <f>"1-212-22"</f>
        <v>1-212-22</v>
      </c>
      <c r="F10584" t="s">
        <v>65</v>
      </c>
      <c r="G10584" t="s">
        <v>66</v>
      </c>
      <c r="H10584" t="s">
        <v>68</v>
      </c>
      <c r="I10584">
        <v>1</v>
      </c>
      <c r="J10584">
        <v>0</v>
      </c>
      <c r="K10584">
        <v>0</v>
      </c>
      <c r="L10584">
        <v>1</v>
      </c>
      <c r="M10584">
        <v>1</v>
      </c>
      <c r="N10584">
        <v>1</v>
      </c>
      <c r="O10584">
        <v>1</v>
      </c>
      <c r="P10584">
        <v>1</v>
      </c>
      <c r="Q10584">
        <v>1</v>
      </c>
      <c r="R10584">
        <v>1</v>
      </c>
    </row>
    <row r="10585" spans="1:39" x14ac:dyDescent="0.2">
      <c r="A10585" t="str">
        <f>"10581"</f>
        <v>10581</v>
      </c>
      <c r="B10585" t="str">
        <f t="shared" si="587"/>
        <v>1</v>
      </c>
      <c r="C10585" t="str">
        <f t="shared" si="588"/>
        <v>212</v>
      </c>
      <c r="D10585" t="str">
        <f>"1"</f>
        <v>1</v>
      </c>
      <c r="E10585" t="str">
        <f>"1-212-1"</f>
        <v>1-212-1</v>
      </c>
      <c r="F10585" t="s">
        <v>65</v>
      </c>
      <c r="G10585" t="s">
        <v>66</v>
      </c>
      <c r="H10585" t="s">
        <v>67</v>
      </c>
      <c r="S10585">
        <v>0</v>
      </c>
      <c r="T10585">
        <v>1</v>
      </c>
      <c r="U10585">
        <v>0</v>
      </c>
      <c r="V10585">
        <v>0</v>
      </c>
      <c r="W10585">
        <v>1</v>
      </c>
      <c r="X10585">
        <v>0</v>
      </c>
      <c r="Y10585">
        <v>0</v>
      </c>
      <c r="Z10585">
        <v>1</v>
      </c>
      <c r="AA10585">
        <v>0</v>
      </c>
      <c r="AB10585">
        <v>0</v>
      </c>
      <c r="AC10585">
        <v>1</v>
      </c>
      <c r="AD10585">
        <v>1</v>
      </c>
      <c r="AE10585">
        <v>1</v>
      </c>
      <c r="AF10585">
        <v>1</v>
      </c>
      <c r="AG10585">
        <v>1</v>
      </c>
      <c r="AH10585">
        <v>1</v>
      </c>
      <c r="AI10585">
        <v>1</v>
      </c>
      <c r="AJ10585">
        <v>1</v>
      </c>
      <c r="AK10585">
        <v>1</v>
      </c>
      <c r="AL10585">
        <v>1</v>
      </c>
      <c r="AM10585">
        <v>1</v>
      </c>
    </row>
    <row r="10586" spans="1:39" x14ac:dyDescent="0.2">
      <c r="A10586" t="str">
        <f>"10582"</f>
        <v>10582</v>
      </c>
      <c r="B10586" t="str">
        <f t="shared" si="587"/>
        <v>1</v>
      </c>
      <c r="C10586" t="str">
        <f t="shared" si="588"/>
        <v>212</v>
      </c>
      <c r="D10586" t="str">
        <f>"23"</f>
        <v>23</v>
      </c>
      <c r="E10586" t="str">
        <f>"1-212-23"</f>
        <v>1-212-23</v>
      </c>
      <c r="F10586" t="s">
        <v>65</v>
      </c>
      <c r="G10586" t="s">
        <v>66</v>
      </c>
      <c r="H10586" t="s">
        <v>67</v>
      </c>
      <c r="S10586">
        <v>1</v>
      </c>
      <c r="T10586">
        <v>0</v>
      </c>
      <c r="U10586">
        <v>0</v>
      </c>
      <c r="V10586">
        <v>0</v>
      </c>
      <c r="W10586">
        <v>1</v>
      </c>
      <c r="X10586">
        <v>0</v>
      </c>
      <c r="Y10586">
        <v>1</v>
      </c>
      <c r="Z10586">
        <v>0</v>
      </c>
      <c r="AA10586">
        <v>0</v>
      </c>
      <c r="AB10586">
        <v>1</v>
      </c>
      <c r="AC10586">
        <v>0</v>
      </c>
      <c r="AD10586">
        <v>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</row>
    <row r="10587" spans="1:39" x14ac:dyDescent="0.2">
      <c r="A10587" t="str">
        <f>"10583"</f>
        <v>10583</v>
      </c>
      <c r="B10587" t="str">
        <f t="shared" si="587"/>
        <v>1</v>
      </c>
      <c r="C10587" t="str">
        <f t="shared" ref="C10587:C10604" si="589">"212"</f>
        <v>212</v>
      </c>
      <c r="D10587" t="str">
        <f>"6"</f>
        <v>6</v>
      </c>
      <c r="E10587" t="str">
        <f>"1-212-6"</f>
        <v>1-212-6</v>
      </c>
      <c r="F10587" t="s">
        <v>65</v>
      </c>
      <c r="G10587" t="s">
        <v>66</v>
      </c>
      <c r="H10587" t="s">
        <v>67</v>
      </c>
      <c r="S10587">
        <v>0</v>
      </c>
      <c r="T10587">
        <v>1</v>
      </c>
      <c r="U10587">
        <v>0</v>
      </c>
      <c r="V10587">
        <v>0</v>
      </c>
      <c r="W10587">
        <v>0</v>
      </c>
      <c r="X10587">
        <v>1</v>
      </c>
      <c r="Y10587">
        <v>0</v>
      </c>
      <c r="Z10587">
        <v>1</v>
      </c>
      <c r="AA10587">
        <v>0</v>
      </c>
      <c r="AB10587">
        <v>0</v>
      </c>
      <c r="AC10587">
        <v>1</v>
      </c>
      <c r="AD10587">
        <v>0</v>
      </c>
      <c r="AE10587">
        <v>0</v>
      </c>
      <c r="AF10587">
        <v>0</v>
      </c>
      <c r="AG10587">
        <v>1</v>
      </c>
      <c r="AH10587">
        <v>1</v>
      </c>
      <c r="AI10587">
        <v>1</v>
      </c>
      <c r="AJ10587">
        <v>0</v>
      </c>
      <c r="AK10587">
        <v>1</v>
      </c>
      <c r="AL10587">
        <v>1</v>
      </c>
      <c r="AM10587">
        <v>0</v>
      </c>
    </row>
    <row r="10588" spans="1:39" x14ac:dyDescent="0.2">
      <c r="A10588" t="str">
        <f>"10584"</f>
        <v>10584</v>
      </c>
      <c r="B10588" t="str">
        <f t="shared" si="587"/>
        <v>1</v>
      </c>
      <c r="C10588" t="str">
        <f t="shared" si="589"/>
        <v>212</v>
      </c>
      <c r="D10588" t="str">
        <f>"44"</f>
        <v>44</v>
      </c>
      <c r="E10588" t="str">
        <f>"1-212-44"</f>
        <v>1-212-44</v>
      </c>
      <c r="F10588" t="s">
        <v>65</v>
      </c>
      <c r="G10588" t="s">
        <v>66</v>
      </c>
      <c r="H10588" t="s">
        <v>67</v>
      </c>
      <c r="S10588">
        <v>1</v>
      </c>
      <c r="T10588">
        <v>0</v>
      </c>
      <c r="U10588">
        <v>0</v>
      </c>
      <c r="V10588">
        <v>0</v>
      </c>
      <c r="W10588">
        <v>1</v>
      </c>
      <c r="X10588">
        <v>0</v>
      </c>
      <c r="Y10588">
        <v>0</v>
      </c>
      <c r="Z10588">
        <v>1</v>
      </c>
      <c r="AA10588">
        <v>1</v>
      </c>
      <c r="AB10588">
        <v>0</v>
      </c>
      <c r="AC10588">
        <v>0</v>
      </c>
      <c r="AD10588">
        <v>1</v>
      </c>
      <c r="AE10588">
        <v>1</v>
      </c>
      <c r="AF10588">
        <v>1</v>
      </c>
      <c r="AG10588">
        <v>1</v>
      </c>
      <c r="AH10588">
        <v>1</v>
      </c>
      <c r="AI10588">
        <v>1</v>
      </c>
      <c r="AJ10588">
        <v>1</v>
      </c>
      <c r="AK10588">
        <v>1</v>
      </c>
      <c r="AL10588">
        <v>1</v>
      </c>
      <c r="AM10588">
        <v>1</v>
      </c>
    </row>
    <row r="10589" spans="1:39" x14ac:dyDescent="0.2">
      <c r="A10589" t="str">
        <f>"10585"</f>
        <v>10585</v>
      </c>
      <c r="B10589" t="str">
        <f t="shared" si="587"/>
        <v>1</v>
      </c>
      <c r="C10589" t="str">
        <f t="shared" si="589"/>
        <v>212</v>
      </c>
      <c r="D10589" t="str">
        <f>"25"</f>
        <v>25</v>
      </c>
      <c r="E10589" t="str">
        <f>"1-212-25"</f>
        <v>1-212-25</v>
      </c>
      <c r="F10589" t="s">
        <v>65</v>
      </c>
      <c r="G10589" t="s">
        <v>66</v>
      </c>
      <c r="H10589" t="s">
        <v>67</v>
      </c>
      <c r="S10589">
        <v>0</v>
      </c>
      <c r="T10589">
        <v>1</v>
      </c>
      <c r="U10589">
        <v>0</v>
      </c>
      <c r="V10589">
        <v>0</v>
      </c>
      <c r="W10589">
        <v>0</v>
      </c>
      <c r="X10589">
        <v>1</v>
      </c>
      <c r="Y10589">
        <v>0</v>
      </c>
      <c r="Z10589">
        <v>1</v>
      </c>
      <c r="AA10589">
        <v>0</v>
      </c>
      <c r="AB10589">
        <v>0</v>
      </c>
      <c r="AC10589">
        <v>1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</row>
    <row r="10590" spans="1:39" x14ac:dyDescent="0.2">
      <c r="A10590" t="str">
        <f>"10586"</f>
        <v>10586</v>
      </c>
      <c r="B10590" t="str">
        <f t="shared" si="587"/>
        <v>1</v>
      </c>
      <c r="C10590" t="str">
        <f t="shared" si="589"/>
        <v>212</v>
      </c>
      <c r="D10590" t="str">
        <f>"13"</f>
        <v>13</v>
      </c>
      <c r="E10590" t="str">
        <f>"1-212-13"</f>
        <v>1-212-13</v>
      </c>
      <c r="F10590" t="s">
        <v>65</v>
      </c>
      <c r="G10590" t="s">
        <v>66</v>
      </c>
      <c r="H10590" t="s">
        <v>67</v>
      </c>
      <c r="S10590">
        <v>1</v>
      </c>
      <c r="T10590">
        <v>0</v>
      </c>
      <c r="U10590">
        <v>0</v>
      </c>
      <c r="V10590">
        <v>0</v>
      </c>
      <c r="W10590">
        <v>1</v>
      </c>
      <c r="X10590">
        <v>0</v>
      </c>
      <c r="Y10590">
        <v>1</v>
      </c>
      <c r="Z10590">
        <v>0</v>
      </c>
      <c r="AA10590">
        <v>1</v>
      </c>
      <c r="AB10590">
        <v>0</v>
      </c>
      <c r="AC10590">
        <v>0</v>
      </c>
      <c r="AD10590">
        <v>1</v>
      </c>
      <c r="AE10590">
        <v>1</v>
      </c>
      <c r="AF10590">
        <v>1</v>
      </c>
      <c r="AG10590">
        <v>1</v>
      </c>
      <c r="AH10590">
        <v>1</v>
      </c>
      <c r="AI10590">
        <v>1</v>
      </c>
      <c r="AJ10590">
        <v>1</v>
      </c>
      <c r="AK10590">
        <v>1</v>
      </c>
      <c r="AL10590">
        <v>1</v>
      </c>
      <c r="AM10590">
        <v>1</v>
      </c>
    </row>
    <row r="10591" spans="1:39" x14ac:dyDescent="0.2">
      <c r="A10591" t="str">
        <f>"10587"</f>
        <v>10587</v>
      </c>
      <c r="B10591" t="str">
        <f t="shared" si="587"/>
        <v>1</v>
      </c>
      <c r="C10591" t="str">
        <f t="shared" si="589"/>
        <v>212</v>
      </c>
      <c r="D10591" t="str">
        <f>"45"</f>
        <v>45</v>
      </c>
      <c r="E10591" t="str">
        <f>"1-212-45"</f>
        <v>1-212-45</v>
      </c>
      <c r="F10591" t="s">
        <v>65</v>
      </c>
      <c r="G10591" t="s">
        <v>66</v>
      </c>
      <c r="H10591" t="s">
        <v>67</v>
      </c>
      <c r="S10591">
        <v>1</v>
      </c>
      <c r="T10591">
        <v>0</v>
      </c>
      <c r="U10591">
        <v>0</v>
      </c>
      <c r="V10591">
        <v>0</v>
      </c>
      <c r="W10591">
        <v>1</v>
      </c>
      <c r="X10591">
        <v>0</v>
      </c>
      <c r="Y10591">
        <v>1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1</v>
      </c>
      <c r="AH10591">
        <v>1</v>
      </c>
      <c r="AI10591">
        <v>1</v>
      </c>
      <c r="AJ10591">
        <v>1</v>
      </c>
      <c r="AK10591">
        <v>1</v>
      </c>
      <c r="AL10591">
        <v>1</v>
      </c>
      <c r="AM10591">
        <v>1</v>
      </c>
    </row>
    <row r="10592" spans="1:39" x14ac:dyDescent="0.2">
      <c r="A10592" t="str">
        <f>"10588"</f>
        <v>10588</v>
      </c>
      <c r="B10592" t="str">
        <f t="shared" si="587"/>
        <v>1</v>
      </c>
      <c r="C10592" t="str">
        <f t="shared" si="589"/>
        <v>212</v>
      </c>
      <c r="D10592" t="str">
        <f>"27"</f>
        <v>27</v>
      </c>
      <c r="E10592" t="str">
        <f>"1-212-27"</f>
        <v>1-212-27</v>
      </c>
      <c r="F10592" t="s">
        <v>65</v>
      </c>
      <c r="G10592" t="s">
        <v>66</v>
      </c>
      <c r="H10592" t="s">
        <v>67</v>
      </c>
      <c r="S10592">
        <v>1</v>
      </c>
      <c r="T10592">
        <v>0</v>
      </c>
      <c r="U10592">
        <v>0</v>
      </c>
      <c r="V10592">
        <v>0</v>
      </c>
      <c r="W10592">
        <v>1</v>
      </c>
      <c r="X10592">
        <v>0</v>
      </c>
      <c r="Y10592">
        <v>0</v>
      </c>
      <c r="Z10592">
        <v>1</v>
      </c>
      <c r="AA10592">
        <v>0</v>
      </c>
      <c r="AB10592">
        <v>0</v>
      </c>
      <c r="AC10592">
        <v>1</v>
      </c>
      <c r="AD10592">
        <v>0</v>
      </c>
      <c r="AE10592">
        <v>1</v>
      </c>
      <c r="AF10592">
        <v>0</v>
      </c>
      <c r="AG10592">
        <v>1</v>
      </c>
      <c r="AH10592">
        <v>0</v>
      </c>
      <c r="AI10592">
        <v>1</v>
      </c>
      <c r="AJ10592">
        <v>1</v>
      </c>
      <c r="AK10592">
        <v>1</v>
      </c>
      <c r="AL10592">
        <v>1</v>
      </c>
      <c r="AM10592">
        <v>1</v>
      </c>
    </row>
    <row r="10593" spans="1:39" x14ac:dyDescent="0.2">
      <c r="A10593" t="str">
        <f>"10589"</f>
        <v>10589</v>
      </c>
      <c r="B10593" t="str">
        <f t="shared" si="587"/>
        <v>1</v>
      </c>
      <c r="C10593" t="str">
        <f t="shared" si="589"/>
        <v>212</v>
      </c>
      <c r="D10593" t="str">
        <f>"10"</f>
        <v>10</v>
      </c>
      <c r="E10593" t="str">
        <f>"1-212-10"</f>
        <v>1-212-10</v>
      </c>
      <c r="F10593" t="s">
        <v>65</v>
      </c>
      <c r="G10593" t="s">
        <v>66</v>
      </c>
      <c r="H10593" t="s">
        <v>67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1</v>
      </c>
      <c r="Y10593">
        <v>0</v>
      </c>
      <c r="Z10593">
        <v>0</v>
      </c>
      <c r="AA10593">
        <v>0</v>
      </c>
      <c r="AB10593">
        <v>0</v>
      </c>
      <c r="AC10593">
        <v>1</v>
      </c>
      <c r="AD10593">
        <v>0</v>
      </c>
      <c r="AE10593">
        <v>0</v>
      </c>
      <c r="AF10593">
        <v>0</v>
      </c>
      <c r="AG10593">
        <v>1</v>
      </c>
      <c r="AH10593">
        <v>0</v>
      </c>
      <c r="AI10593">
        <v>1</v>
      </c>
      <c r="AJ10593">
        <v>0</v>
      </c>
      <c r="AK10593">
        <v>0</v>
      </c>
      <c r="AL10593">
        <v>0</v>
      </c>
      <c r="AM10593">
        <v>0</v>
      </c>
    </row>
    <row r="10594" spans="1:39" x14ac:dyDescent="0.2">
      <c r="A10594" t="str">
        <f>"10590"</f>
        <v>10590</v>
      </c>
      <c r="B10594" t="str">
        <f t="shared" si="587"/>
        <v>1</v>
      </c>
      <c r="C10594" t="str">
        <f t="shared" si="589"/>
        <v>212</v>
      </c>
      <c r="D10594" t="str">
        <f>"46"</f>
        <v>46</v>
      </c>
      <c r="E10594" t="str">
        <f>"1-212-46"</f>
        <v>1-212-46</v>
      </c>
      <c r="F10594" t="s">
        <v>65</v>
      </c>
      <c r="G10594" t="s">
        <v>66</v>
      </c>
      <c r="H10594" t="s">
        <v>67</v>
      </c>
      <c r="S10594">
        <v>1</v>
      </c>
      <c r="T10594">
        <v>0</v>
      </c>
      <c r="U10594">
        <v>0</v>
      </c>
      <c r="V10594">
        <v>0</v>
      </c>
      <c r="W10594">
        <v>1</v>
      </c>
      <c r="X10594">
        <v>0</v>
      </c>
      <c r="Y10594">
        <v>1</v>
      </c>
      <c r="Z10594">
        <v>0</v>
      </c>
      <c r="AA10594">
        <v>0</v>
      </c>
      <c r="AB10594">
        <v>1</v>
      </c>
      <c r="AC10594">
        <v>0</v>
      </c>
      <c r="AD10594">
        <v>1</v>
      </c>
      <c r="AE10594">
        <v>1</v>
      </c>
      <c r="AF10594">
        <v>1</v>
      </c>
      <c r="AG10594">
        <v>1</v>
      </c>
      <c r="AH10594">
        <v>1</v>
      </c>
      <c r="AI10594">
        <v>1</v>
      </c>
      <c r="AJ10594">
        <v>1</v>
      </c>
      <c r="AK10594">
        <v>1</v>
      </c>
      <c r="AL10594">
        <v>0</v>
      </c>
      <c r="AM10594">
        <v>1</v>
      </c>
    </row>
    <row r="10595" spans="1:39" x14ac:dyDescent="0.2">
      <c r="A10595" t="str">
        <f>"10591"</f>
        <v>10591</v>
      </c>
      <c r="B10595" t="str">
        <f t="shared" si="587"/>
        <v>1</v>
      </c>
      <c r="C10595" t="str">
        <f t="shared" si="589"/>
        <v>212</v>
      </c>
      <c r="D10595" t="str">
        <f>"29"</f>
        <v>29</v>
      </c>
      <c r="E10595" t="str">
        <f>"1-212-29"</f>
        <v>1-212-29</v>
      </c>
      <c r="F10595" t="s">
        <v>65</v>
      </c>
      <c r="G10595" t="s">
        <v>66</v>
      </c>
      <c r="H10595" t="s">
        <v>67</v>
      </c>
      <c r="S10595">
        <v>0</v>
      </c>
      <c r="T10595">
        <v>1</v>
      </c>
      <c r="U10595">
        <v>0</v>
      </c>
      <c r="V10595">
        <v>0</v>
      </c>
      <c r="W10595">
        <v>0</v>
      </c>
      <c r="X10595">
        <v>1</v>
      </c>
      <c r="Y10595">
        <v>0</v>
      </c>
      <c r="Z10595">
        <v>1</v>
      </c>
      <c r="AA10595">
        <v>0</v>
      </c>
      <c r="AB10595">
        <v>0</v>
      </c>
      <c r="AC10595">
        <v>1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</row>
    <row r="10596" spans="1:39" x14ac:dyDescent="0.2">
      <c r="A10596" t="str">
        <f>"10592"</f>
        <v>10592</v>
      </c>
      <c r="B10596" t="str">
        <f t="shared" si="587"/>
        <v>1</v>
      </c>
      <c r="C10596" t="str">
        <f t="shared" si="589"/>
        <v>212</v>
      </c>
      <c r="D10596" t="str">
        <f>"5"</f>
        <v>5</v>
      </c>
      <c r="E10596" t="str">
        <f>"1-212-5"</f>
        <v>1-212-5</v>
      </c>
      <c r="F10596" t="s">
        <v>65</v>
      </c>
      <c r="G10596" t="s">
        <v>66</v>
      </c>
      <c r="H10596" t="s">
        <v>67</v>
      </c>
      <c r="S10596">
        <v>1</v>
      </c>
      <c r="T10596">
        <v>0</v>
      </c>
      <c r="U10596">
        <v>0</v>
      </c>
      <c r="V10596">
        <v>0</v>
      </c>
      <c r="W10596">
        <v>1</v>
      </c>
      <c r="X10596">
        <v>0</v>
      </c>
      <c r="Y10596">
        <v>1</v>
      </c>
      <c r="Z10596">
        <v>0</v>
      </c>
      <c r="AA10596">
        <v>1</v>
      </c>
      <c r="AB10596">
        <v>0</v>
      </c>
      <c r="AC10596">
        <v>0</v>
      </c>
      <c r="AD10596">
        <v>1</v>
      </c>
      <c r="AE10596">
        <v>1</v>
      </c>
      <c r="AF10596">
        <v>1</v>
      </c>
      <c r="AG10596">
        <v>1</v>
      </c>
      <c r="AH10596">
        <v>1</v>
      </c>
      <c r="AI10596">
        <v>1</v>
      </c>
      <c r="AJ10596">
        <v>1</v>
      </c>
      <c r="AK10596">
        <v>1</v>
      </c>
      <c r="AL10596">
        <v>1</v>
      </c>
      <c r="AM10596">
        <v>1</v>
      </c>
    </row>
    <row r="10597" spans="1:39" x14ac:dyDescent="0.2">
      <c r="A10597" t="str">
        <f>"10593"</f>
        <v>10593</v>
      </c>
      <c r="B10597" t="str">
        <f t="shared" si="587"/>
        <v>1</v>
      </c>
      <c r="C10597" t="str">
        <f t="shared" si="589"/>
        <v>212</v>
      </c>
      <c r="D10597" t="str">
        <f>"31"</f>
        <v>31</v>
      </c>
      <c r="E10597" t="str">
        <f>"1-212-31"</f>
        <v>1-212-31</v>
      </c>
      <c r="F10597" t="s">
        <v>65</v>
      </c>
      <c r="G10597" t="s">
        <v>66</v>
      </c>
      <c r="H10597" t="s">
        <v>67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1</v>
      </c>
      <c r="Y10597">
        <v>0</v>
      </c>
      <c r="Z10597">
        <v>0</v>
      </c>
      <c r="AA10597">
        <v>0</v>
      </c>
      <c r="AB10597">
        <v>1</v>
      </c>
      <c r="AC10597">
        <v>0</v>
      </c>
      <c r="AD10597">
        <v>0</v>
      </c>
      <c r="AE10597">
        <v>0</v>
      </c>
      <c r="AF10597">
        <v>0</v>
      </c>
      <c r="AG10597">
        <v>1</v>
      </c>
      <c r="AH10597">
        <v>1</v>
      </c>
      <c r="AI10597">
        <v>1</v>
      </c>
      <c r="AJ10597">
        <v>1</v>
      </c>
      <c r="AK10597">
        <v>1</v>
      </c>
      <c r="AL10597">
        <v>1</v>
      </c>
      <c r="AM10597">
        <v>0</v>
      </c>
    </row>
    <row r="10598" spans="1:39" x14ac:dyDescent="0.2">
      <c r="A10598" t="str">
        <f>"10594"</f>
        <v>10594</v>
      </c>
      <c r="B10598" t="str">
        <f t="shared" si="587"/>
        <v>1</v>
      </c>
      <c r="C10598" t="str">
        <f t="shared" si="589"/>
        <v>212</v>
      </c>
      <c r="D10598" t="str">
        <f>"7"</f>
        <v>7</v>
      </c>
      <c r="E10598" t="str">
        <f>"1-212-7"</f>
        <v>1-212-7</v>
      </c>
      <c r="F10598" t="s">
        <v>65</v>
      </c>
      <c r="G10598" t="s">
        <v>66</v>
      </c>
      <c r="H10598" t="s">
        <v>67</v>
      </c>
      <c r="S10598">
        <v>0</v>
      </c>
      <c r="T10598">
        <v>1</v>
      </c>
      <c r="U10598">
        <v>0</v>
      </c>
      <c r="V10598">
        <v>0</v>
      </c>
      <c r="W10598">
        <v>0</v>
      </c>
      <c r="X10598">
        <v>1</v>
      </c>
      <c r="Y10598">
        <v>0</v>
      </c>
      <c r="Z10598">
        <v>1</v>
      </c>
      <c r="AA10598">
        <v>0</v>
      </c>
      <c r="AB10598">
        <v>0</v>
      </c>
      <c r="AC10598">
        <v>1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</row>
    <row r="10599" spans="1:39" x14ac:dyDescent="0.2">
      <c r="A10599" t="str">
        <f>"10595"</f>
        <v>10595</v>
      </c>
      <c r="B10599" t="str">
        <f t="shared" si="587"/>
        <v>1</v>
      </c>
      <c r="C10599" t="str">
        <f t="shared" si="589"/>
        <v>212</v>
      </c>
      <c r="D10599" t="str">
        <f>"47"</f>
        <v>47</v>
      </c>
      <c r="E10599" t="str">
        <f>"1-212-47"</f>
        <v>1-212-47</v>
      </c>
      <c r="F10599" t="s">
        <v>65</v>
      </c>
      <c r="G10599" t="s">
        <v>66</v>
      </c>
      <c r="H10599" t="s">
        <v>67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1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</row>
    <row r="10600" spans="1:39" x14ac:dyDescent="0.2">
      <c r="A10600" t="str">
        <f>"10596"</f>
        <v>10596</v>
      </c>
      <c r="B10600" t="str">
        <f t="shared" si="587"/>
        <v>1</v>
      </c>
      <c r="C10600" t="str">
        <f t="shared" si="589"/>
        <v>212</v>
      </c>
      <c r="D10600" t="str">
        <f>"32"</f>
        <v>32</v>
      </c>
      <c r="E10600" t="str">
        <f>"1-212-32"</f>
        <v>1-212-32</v>
      </c>
      <c r="F10600" t="s">
        <v>65</v>
      </c>
      <c r="G10600" t="s">
        <v>66</v>
      </c>
      <c r="H10600" t="s">
        <v>67</v>
      </c>
      <c r="S10600">
        <v>1</v>
      </c>
      <c r="T10600">
        <v>0</v>
      </c>
      <c r="U10600">
        <v>0</v>
      </c>
      <c r="V10600">
        <v>0</v>
      </c>
      <c r="W10600">
        <v>1</v>
      </c>
      <c r="X10600">
        <v>0</v>
      </c>
      <c r="Y10600">
        <v>1</v>
      </c>
      <c r="Z10600">
        <v>0</v>
      </c>
      <c r="AA10600">
        <v>0</v>
      </c>
      <c r="AB10600">
        <v>1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</row>
    <row r="10601" spans="1:39" x14ac:dyDescent="0.2">
      <c r="A10601" t="str">
        <f>"10597"</f>
        <v>10597</v>
      </c>
      <c r="B10601" t="str">
        <f t="shared" si="587"/>
        <v>1</v>
      </c>
      <c r="C10601" t="str">
        <f t="shared" si="589"/>
        <v>212</v>
      </c>
      <c r="D10601" t="str">
        <f>"9"</f>
        <v>9</v>
      </c>
      <c r="E10601" t="str">
        <f>"1-212-9"</f>
        <v>1-212-9</v>
      </c>
      <c r="F10601" t="s">
        <v>65</v>
      </c>
      <c r="G10601" t="s">
        <v>66</v>
      </c>
      <c r="H10601" t="s">
        <v>67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1</v>
      </c>
      <c r="Y10601">
        <v>0</v>
      </c>
      <c r="Z10601">
        <v>1</v>
      </c>
      <c r="AA10601">
        <v>0</v>
      </c>
      <c r="AB10601">
        <v>0</v>
      </c>
      <c r="AC10601">
        <v>1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</row>
    <row r="10602" spans="1:39" x14ac:dyDescent="0.2">
      <c r="A10602" t="str">
        <f>"10598"</f>
        <v>10598</v>
      </c>
      <c r="B10602" t="str">
        <f t="shared" si="587"/>
        <v>1</v>
      </c>
      <c r="C10602" t="str">
        <f t="shared" si="589"/>
        <v>212</v>
      </c>
      <c r="D10602" t="str">
        <f>"50"</f>
        <v>50</v>
      </c>
      <c r="E10602" t="str">
        <f>"1-212-50"</f>
        <v>1-212-50</v>
      </c>
      <c r="F10602" t="s">
        <v>65</v>
      </c>
      <c r="G10602" t="s">
        <v>66</v>
      </c>
      <c r="H10602" t="s">
        <v>67</v>
      </c>
      <c r="S10602">
        <v>1</v>
      </c>
      <c r="T10602">
        <v>0</v>
      </c>
      <c r="U10602">
        <v>0</v>
      </c>
      <c r="V10602">
        <v>0</v>
      </c>
      <c r="W10602">
        <v>1</v>
      </c>
      <c r="X10602">
        <v>0</v>
      </c>
      <c r="Y10602">
        <v>0</v>
      </c>
      <c r="Z10602">
        <v>1</v>
      </c>
      <c r="AA10602">
        <v>0</v>
      </c>
      <c r="AB10602">
        <v>1</v>
      </c>
      <c r="AC10602">
        <v>0</v>
      </c>
      <c r="AD10602">
        <v>1</v>
      </c>
      <c r="AE10602">
        <v>1</v>
      </c>
      <c r="AF10602">
        <v>1</v>
      </c>
      <c r="AG10602">
        <v>1</v>
      </c>
      <c r="AH10602">
        <v>1</v>
      </c>
      <c r="AI10602">
        <v>1</v>
      </c>
      <c r="AJ10602">
        <v>1</v>
      </c>
      <c r="AK10602">
        <v>1</v>
      </c>
      <c r="AL10602">
        <v>1</v>
      </c>
      <c r="AM10602">
        <v>1</v>
      </c>
    </row>
    <row r="10603" spans="1:39" x14ac:dyDescent="0.2">
      <c r="A10603" t="str">
        <f>"10599"</f>
        <v>10599</v>
      </c>
      <c r="B10603" t="str">
        <f t="shared" si="587"/>
        <v>1</v>
      </c>
      <c r="C10603" t="str">
        <f t="shared" si="589"/>
        <v>212</v>
      </c>
      <c r="D10603" t="str">
        <f>"48"</f>
        <v>48</v>
      </c>
      <c r="E10603" t="str">
        <f>"1-212-48"</f>
        <v>1-212-48</v>
      </c>
      <c r="F10603" t="s">
        <v>65</v>
      </c>
      <c r="G10603" t="s">
        <v>66</v>
      </c>
      <c r="H10603" t="s">
        <v>67</v>
      </c>
      <c r="S10603">
        <v>1</v>
      </c>
      <c r="T10603">
        <v>0</v>
      </c>
      <c r="U10603">
        <v>0</v>
      </c>
      <c r="V10603">
        <v>0</v>
      </c>
      <c r="W10603">
        <v>1</v>
      </c>
      <c r="X10603">
        <v>0</v>
      </c>
      <c r="Y10603">
        <v>0</v>
      </c>
      <c r="Z10603">
        <v>1</v>
      </c>
      <c r="AA10603">
        <v>1</v>
      </c>
      <c r="AB10603">
        <v>0</v>
      </c>
      <c r="AC10603">
        <v>0</v>
      </c>
      <c r="AD10603">
        <v>1</v>
      </c>
      <c r="AE10603">
        <v>1</v>
      </c>
      <c r="AF10603">
        <v>1</v>
      </c>
      <c r="AG10603">
        <v>1</v>
      </c>
      <c r="AH10603">
        <v>1</v>
      </c>
      <c r="AI10603">
        <v>1</v>
      </c>
      <c r="AJ10603">
        <v>1</v>
      </c>
      <c r="AK10603">
        <v>1</v>
      </c>
      <c r="AL10603">
        <v>1</v>
      </c>
      <c r="AM10603">
        <v>1</v>
      </c>
    </row>
    <row r="10604" spans="1:39" x14ac:dyDescent="0.2">
      <c r="A10604" t="str">
        <f>"10600"</f>
        <v>10600</v>
      </c>
      <c r="B10604" t="str">
        <f t="shared" si="587"/>
        <v>1</v>
      </c>
      <c r="C10604" t="str">
        <f t="shared" si="589"/>
        <v>212</v>
      </c>
      <c r="D10604" t="str">
        <f>"49"</f>
        <v>49</v>
      </c>
      <c r="E10604" t="str">
        <f>"1-212-49"</f>
        <v>1-212-49</v>
      </c>
      <c r="F10604" t="s">
        <v>65</v>
      </c>
      <c r="G10604" t="s">
        <v>66</v>
      </c>
      <c r="H10604" t="s">
        <v>67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1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0</v>
      </c>
      <c r="AG10604">
        <v>0</v>
      </c>
      <c r="AH10604">
        <v>0</v>
      </c>
      <c r="AI10604">
        <v>1</v>
      </c>
      <c r="AJ10604">
        <v>1</v>
      </c>
      <c r="AK10604">
        <v>0</v>
      </c>
      <c r="AL10604">
        <v>1</v>
      </c>
      <c r="AM10604">
        <v>0</v>
      </c>
    </row>
    <row r="10605" spans="1:39" x14ac:dyDescent="0.2">
      <c r="A10605" t="str">
        <f>"10601"</f>
        <v>10601</v>
      </c>
      <c r="B10605" t="str">
        <f t="shared" si="587"/>
        <v>1</v>
      </c>
      <c r="C10605" t="str">
        <f t="shared" ref="C10605:C10636" si="590">"213"</f>
        <v>213</v>
      </c>
      <c r="D10605" t="str">
        <f>"34"</f>
        <v>34</v>
      </c>
      <c r="E10605" t="str">
        <f>"1-213-34"</f>
        <v>1-213-34</v>
      </c>
      <c r="F10605" t="s">
        <v>65</v>
      </c>
      <c r="G10605" t="s">
        <v>66</v>
      </c>
      <c r="H10605" t="s">
        <v>67</v>
      </c>
      <c r="S10605">
        <v>0</v>
      </c>
      <c r="T10605">
        <v>1</v>
      </c>
      <c r="U10605">
        <v>0</v>
      </c>
      <c r="V10605">
        <v>0</v>
      </c>
      <c r="W10605">
        <v>1</v>
      </c>
      <c r="X10605">
        <v>0</v>
      </c>
      <c r="Y10605">
        <v>0</v>
      </c>
      <c r="Z10605">
        <v>1</v>
      </c>
      <c r="AA10605">
        <v>0</v>
      </c>
      <c r="AB10605">
        <v>1</v>
      </c>
      <c r="AC10605">
        <v>0</v>
      </c>
      <c r="AD10605">
        <v>1</v>
      </c>
      <c r="AE10605">
        <v>1</v>
      </c>
      <c r="AF10605">
        <v>1</v>
      </c>
      <c r="AG10605">
        <v>1</v>
      </c>
      <c r="AH10605">
        <v>1</v>
      </c>
      <c r="AI10605">
        <v>1</v>
      </c>
      <c r="AJ10605">
        <v>1</v>
      </c>
      <c r="AK10605">
        <v>1</v>
      </c>
      <c r="AL10605">
        <v>1</v>
      </c>
      <c r="AM10605">
        <v>1</v>
      </c>
    </row>
    <row r="10606" spans="1:39" x14ac:dyDescent="0.2">
      <c r="A10606" t="str">
        <f>"10602"</f>
        <v>10602</v>
      </c>
      <c r="B10606" t="str">
        <f t="shared" si="587"/>
        <v>1</v>
      </c>
      <c r="C10606" t="str">
        <f t="shared" si="590"/>
        <v>213</v>
      </c>
      <c r="D10606" t="str">
        <f>"33"</f>
        <v>33</v>
      </c>
      <c r="E10606" t="str">
        <f>"1-213-33"</f>
        <v>1-213-33</v>
      </c>
      <c r="F10606" t="s">
        <v>65</v>
      </c>
      <c r="G10606" t="s">
        <v>66</v>
      </c>
      <c r="H10606" t="s">
        <v>67</v>
      </c>
      <c r="S10606">
        <v>0</v>
      </c>
      <c r="T10606">
        <v>1</v>
      </c>
      <c r="U10606">
        <v>0</v>
      </c>
      <c r="V10606">
        <v>0</v>
      </c>
      <c r="W10606">
        <v>1</v>
      </c>
      <c r="X10606">
        <v>0</v>
      </c>
      <c r="Y10606">
        <v>0</v>
      </c>
      <c r="Z10606">
        <v>1</v>
      </c>
      <c r="AA10606">
        <v>0</v>
      </c>
      <c r="AB10606">
        <v>0</v>
      </c>
      <c r="AC10606">
        <v>1</v>
      </c>
      <c r="AD10606">
        <v>1</v>
      </c>
      <c r="AE10606">
        <v>1</v>
      </c>
      <c r="AF10606">
        <v>1</v>
      </c>
      <c r="AG10606">
        <v>1</v>
      </c>
      <c r="AH10606">
        <v>1</v>
      </c>
      <c r="AI10606">
        <v>1</v>
      </c>
      <c r="AJ10606">
        <v>1</v>
      </c>
      <c r="AK10606">
        <v>1</v>
      </c>
      <c r="AL10606">
        <v>1</v>
      </c>
      <c r="AM10606">
        <v>1</v>
      </c>
    </row>
    <row r="10607" spans="1:39" x14ac:dyDescent="0.2">
      <c r="A10607" t="str">
        <f>"10603"</f>
        <v>10603</v>
      </c>
      <c r="B10607" t="str">
        <f t="shared" si="587"/>
        <v>1</v>
      </c>
      <c r="C10607" t="str">
        <f t="shared" si="590"/>
        <v>213</v>
      </c>
      <c r="D10607" t="str">
        <f>"24"</f>
        <v>24</v>
      </c>
      <c r="E10607" t="str">
        <f>"1-213-24"</f>
        <v>1-213-24</v>
      </c>
      <c r="F10607" t="s">
        <v>65</v>
      </c>
      <c r="G10607" t="s">
        <v>66</v>
      </c>
      <c r="H10607" t="s">
        <v>67</v>
      </c>
      <c r="S10607">
        <v>1</v>
      </c>
      <c r="T10607">
        <v>0</v>
      </c>
      <c r="U10607">
        <v>0</v>
      </c>
      <c r="V10607">
        <v>0</v>
      </c>
      <c r="W10607">
        <v>1</v>
      </c>
      <c r="X10607">
        <v>0</v>
      </c>
      <c r="Y10607">
        <v>1</v>
      </c>
      <c r="Z10607">
        <v>0</v>
      </c>
      <c r="AA10607">
        <v>1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</row>
    <row r="10608" spans="1:39" x14ac:dyDescent="0.2">
      <c r="A10608" t="str">
        <f>"10604"</f>
        <v>10604</v>
      </c>
      <c r="B10608" t="str">
        <f t="shared" si="587"/>
        <v>1</v>
      </c>
      <c r="C10608" t="str">
        <f t="shared" si="590"/>
        <v>213</v>
      </c>
      <c r="D10608" t="str">
        <f>"15"</f>
        <v>15</v>
      </c>
      <c r="E10608" t="str">
        <f>"1-213-15"</f>
        <v>1-213-15</v>
      </c>
      <c r="F10608" t="s">
        <v>65</v>
      </c>
      <c r="G10608" t="s">
        <v>66</v>
      </c>
      <c r="H10608" t="s">
        <v>67</v>
      </c>
      <c r="S10608">
        <v>1</v>
      </c>
      <c r="T10608">
        <v>0</v>
      </c>
      <c r="U10608">
        <v>0</v>
      </c>
      <c r="V10608">
        <v>0</v>
      </c>
      <c r="W10608">
        <v>1</v>
      </c>
      <c r="X10608">
        <v>0</v>
      </c>
      <c r="Y10608">
        <v>0</v>
      </c>
      <c r="Z10608">
        <v>1</v>
      </c>
      <c r="AA10608">
        <v>0</v>
      </c>
      <c r="AB10608">
        <v>0</v>
      </c>
      <c r="AC10608">
        <v>1</v>
      </c>
      <c r="AD10608">
        <v>1</v>
      </c>
      <c r="AE10608">
        <v>1</v>
      </c>
      <c r="AF10608">
        <v>1</v>
      </c>
      <c r="AG10608">
        <v>1</v>
      </c>
      <c r="AH10608">
        <v>1</v>
      </c>
      <c r="AI10608">
        <v>1</v>
      </c>
      <c r="AJ10608">
        <v>1</v>
      </c>
      <c r="AK10608">
        <v>1</v>
      </c>
      <c r="AL10608">
        <v>1</v>
      </c>
      <c r="AM10608">
        <v>1</v>
      </c>
    </row>
    <row r="10609" spans="1:39" x14ac:dyDescent="0.2">
      <c r="A10609" t="str">
        <f>"10605"</f>
        <v>10605</v>
      </c>
      <c r="B10609" t="str">
        <f t="shared" si="587"/>
        <v>1</v>
      </c>
      <c r="C10609" t="str">
        <f t="shared" si="590"/>
        <v>213</v>
      </c>
      <c r="D10609" t="str">
        <f>"2"</f>
        <v>2</v>
      </c>
      <c r="E10609" t="str">
        <f>"1-213-2"</f>
        <v>1-213-2</v>
      </c>
      <c r="F10609" t="s">
        <v>65</v>
      </c>
      <c r="G10609" t="s">
        <v>66</v>
      </c>
      <c r="H10609" t="s">
        <v>67</v>
      </c>
      <c r="S10609">
        <v>1</v>
      </c>
      <c r="T10609">
        <v>0</v>
      </c>
      <c r="U10609">
        <v>0</v>
      </c>
      <c r="V10609">
        <v>0</v>
      </c>
      <c r="W10609">
        <v>1</v>
      </c>
      <c r="X10609">
        <v>0</v>
      </c>
      <c r="Y10609">
        <v>1</v>
      </c>
      <c r="Z10609">
        <v>0</v>
      </c>
      <c r="AA10609">
        <v>1</v>
      </c>
      <c r="AB10609">
        <v>0</v>
      </c>
      <c r="AC10609">
        <v>0</v>
      </c>
      <c r="AD10609">
        <v>1</v>
      </c>
      <c r="AE10609">
        <v>1</v>
      </c>
      <c r="AF10609">
        <v>1</v>
      </c>
      <c r="AG10609">
        <v>1</v>
      </c>
      <c r="AH10609">
        <v>1</v>
      </c>
      <c r="AI10609">
        <v>1</v>
      </c>
      <c r="AJ10609">
        <v>1</v>
      </c>
      <c r="AK10609">
        <v>1</v>
      </c>
      <c r="AL10609">
        <v>1</v>
      </c>
      <c r="AM10609">
        <v>1</v>
      </c>
    </row>
    <row r="10610" spans="1:39" x14ac:dyDescent="0.2">
      <c r="A10610" t="str">
        <f>"10606"</f>
        <v>10606</v>
      </c>
      <c r="B10610" t="str">
        <f t="shared" si="587"/>
        <v>1</v>
      </c>
      <c r="C10610" t="str">
        <f t="shared" si="590"/>
        <v>213</v>
      </c>
      <c r="D10610" t="str">
        <f>"40"</f>
        <v>40</v>
      </c>
      <c r="E10610" t="str">
        <f>"1-213-40"</f>
        <v>1-213-40</v>
      </c>
      <c r="F10610" t="s">
        <v>65</v>
      </c>
      <c r="G10610" t="s">
        <v>66</v>
      </c>
      <c r="H10610" t="s">
        <v>67</v>
      </c>
      <c r="S10610">
        <v>0</v>
      </c>
      <c r="T10610">
        <v>1</v>
      </c>
      <c r="U10610">
        <v>0</v>
      </c>
      <c r="V10610">
        <v>0</v>
      </c>
      <c r="W10610">
        <v>0</v>
      </c>
      <c r="X10610">
        <v>1</v>
      </c>
      <c r="Y10610">
        <v>0</v>
      </c>
      <c r="Z10610">
        <v>1</v>
      </c>
      <c r="AA10610">
        <v>0</v>
      </c>
      <c r="AB10610">
        <v>0</v>
      </c>
      <c r="AC10610">
        <v>1</v>
      </c>
      <c r="AD10610">
        <v>1</v>
      </c>
      <c r="AE10610">
        <v>1</v>
      </c>
      <c r="AF10610">
        <v>1</v>
      </c>
      <c r="AG10610">
        <v>1</v>
      </c>
      <c r="AH10610">
        <v>1</v>
      </c>
      <c r="AI10610">
        <v>1</v>
      </c>
      <c r="AJ10610">
        <v>1</v>
      </c>
      <c r="AK10610">
        <v>1</v>
      </c>
      <c r="AL10610">
        <v>1</v>
      </c>
      <c r="AM10610">
        <v>1</v>
      </c>
    </row>
    <row r="10611" spans="1:39" x14ac:dyDescent="0.2">
      <c r="A10611" t="str">
        <f>"10607"</f>
        <v>10607</v>
      </c>
      <c r="B10611" t="str">
        <f t="shared" si="587"/>
        <v>1</v>
      </c>
      <c r="C10611" t="str">
        <f t="shared" si="590"/>
        <v>213</v>
      </c>
      <c r="D10611" t="str">
        <f>"39"</f>
        <v>39</v>
      </c>
      <c r="E10611" t="str">
        <f>"1-213-39"</f>
        <v>1-213-39</v>
      </c>
      <c r="F10611" t="s">
        <v>65</v>
      </c>
      <c r="G10611" t="s">
        <v>66</v>
      </c>
      <c r="H10611" t="s">
        <v>67</v>
      </c>
      <c r="S10611">
        <v>1</v>
      </c>
      <c r="T10611">
        <v>0</v>
      </c>
      <c r="U10611">
        <v>0</v>
      </c>
      <c r="V10611">
        <v>0</v>
      </c>
      <c r="W10611">
        <v>1</v>
      </c>
      <c r="X10611">
        <v>0</v>
      </c>
      <c r="Y10611">
        <v>1</v>
      </c>
      <c r="Z10611">
        <v>0</v>
      </c>
      <c r="AA10611">
        <v>1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</row>
    <row r="10612" spans="1:39" x14ac:dyDescent="0.2">
      <c r="A10612" t="str">
        <f>"10608"</f>
        <v>10608</v>
      </c>
      <c r="B10612" t="str">
        <f t="shared" si="587"/>
        <v>1</v>
      </c>
      <c r="C10612" t="str">
        <f t="shared" si="590"/>
        <v>213</v>
      </c>
      <c r="D10612" t="str">
        <f>"29"</f>
        <v>29</v>
      </c>
      <c r="E10612" t="str">
        <f>"1-213-29"</f>
        <v>1-213-29</v>
      </c>
      <c r="F10612" t="s">
        <v>65</v>
      </c>
      <c r="G10612" t="s">
        <v>66</v>
      </c>
      <c r="H10612" t="s">
        <v>67</v>
      </c>
      <c r="S10612">
        <v>1</v>
      </c>
      <c r="T10612">
        <v>0</v>
      </c>
      <c r="U10612">
        <v>0</v>
      </c>
      <c r="V10612">
        <v>0</v>
      </c>
      <c r="W10612">
        <v>1</v>
      </c>
      <c r="X10612">
        <v>0</v>
      </c>
      <c r="Y10612">
        <v>1</v>
      </c>
      <c r="Z10612">
        <v>0</v>
      </c>
      <c r="AA10612">
        <v>1</v>
      </c>
      <c r="AB10612">
        <v>0</v>
      </c>
      <c r="AC10612">
        <v>0</v>
      </c>
      <c r="AD10612">
        <v>1</v>
      </c>
      <c r="AE10612">
        <v>1</v>
      </c>
      <c r="AF10612">
        <v>1</v>
      </c>
      <c r="AG10612">
        <v>1</v>
      </c>
      <c r="AH10612">
        <v>1</v>
      </c>
      <c r="AI10612">
        <v>1</v>
      </c>
      <c r="AJ10612">
        <v>1</v>
      </c>
      <c r="AK10612">
        <v>1</v>
      </c>
      <c r="AL10612">
        <v>1</v>
      </c>
      <c r="AM10612">
        <v>1</v>
      </c>
    </row>
    <row r="10613" spans="1:39" x14ac:dyDescent="0.2">
      <c r="A10613" t="str">
        <f>"10609"</f>
        <v>10609</v>
      </c>
      <c r="B10613" t="str">
        <f t="shared" si="587"/>
        <v>1</v>
      </c>
      <c r="C10613" t="str">
        <f t="shared" si="590"/>
        <v>213</v>
      </c>
      <c r="D10613" t="str">
        <f>"16"</f>
        <v>16</v>
      </c>
      <c r="E10613" t="str">
        <f>"1-213-16"</f>
        <v>1-213-16</v>
      </c>
      <c r="F10613" t="s">
        <v>65</v>
      </c>
      <c r="G10613" t="s">
        <v>66</v>
      </c>
      <c r="H10613" t="s">
        <v>67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1</v>
      </c>
      <c r="Y10613">
        <v>0</v>
      </c>
      <c r="Z10613">
        <v>0</v>
      </c>
      <c r="AA10613">
        <v>0</v>
      </c>
      <c r="AB10613">
        <v>0</v>
      </c>
      <c r="AC10613">
        <v>1</v>
      </c>
      <c r="AD10613">
        <v>0</v>
      </c>
      <c r="AE10613">
        <v>0</v>
      </c>
      <c r="AF10613">
        <v>0</v>
      </c>
      <c r="AG10613">
        <v>1</v>
      </c>
      <c r="AH10613">
        <v>1</v>
      </c>
      <c r="AI10613">
        <v>0</v>
      </c>
      <c r="AJ10613">
        <v>1</v>
      </c>
      <c r="AK10613">
        <v>0</v>
      </c>
      <c r="AL10613">
        <v>0</v>
      </c>
      <c r="AM10613">
        <v>0</v>
      </c>
    </row>
    <row r="10614" spans="1:39" x14ac:dyDescent="0.2">
      <c r="A10614" t="str">
        <f>"10610"</f>
        <v>10610</v>
      </c>
      <c r="B10614" t="str">
        <f t="shared" si="587"/>
        <v>1</v>
      </c>
      <c r="C10614" t="str">
        <f t="shared" si="590"/>
        <v>213</v>
      </c>
      <c r="D10614" t="str">
        <f>"1"</f>
        <v>1</v>
      </c>
      <c r="E10614" t="str">
        <f>"1-213-1"</f>
        <v>1-213-1</v>
      </c>
      <c r="F10614" t="s">
        <v>65</v>
      </c>
      <c r="G10614" t="s">
        <v>66</v>
      </c>
      <c r="H10614" t="s">
        <v>67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1</v>
      </c>
      <c r="Y10614">
        <v>0</v>
      </c>
      <c r="Z10614">
        <v>1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</row>
    <row r="10615" spans="1:39" x14ac:dyDescent="0.2">
      <c r="A10615" t="str">
        <f>"10611"</f>
        <v>10611</v>
      </c>
      <c r="B10615" t="str">
        <f t="shared" ref="B10615:B10678" si="591">"1"</f>
        <v>1</v>
      </c>
      <c r="C10615" t="str">
        <f t="shared" si="590"/>
        <v>213</v>
      </c>
      <c r="D10615" t="str">
        <f>"38"</f>
        <v>38</v>
      </c>
      <c r="E10615" t="str">
        <f>"1-213-38"</f>
        <v>1-213-38</v>
      </c>
      <c r="F10615" t="s">
        <v>65</v>
      </c>
      <c r="G10615" t="s">
        <v>66</v>
      </c>
      <c r="H10615" t="s">
        <v>67</v>
      </c>
      <c r="S10615">
        <v>0</v>
      </c>
      <c r="T10615">
        <v>1</v>
      </c>
      <c r="U10615">
        <v>0</v>
      </c>
      <c r="V10615">
        <v>0</v>
      </c>
      <c r="W10615">
        <v>1</v>
      </c>
      <c r="X10615">
        <v>0</v>
      </c>
      <c r="Y10615">
        <v>0</v>
      </c>
      <c r="Z10615">
        <v>1</v>
      </c>
      <c r="AA10615">
        <v>1</v>
      </c>
      <c r="AB10615">
        <v>0</v>
      </c>
      <c r="AC10615">
        <v>0</v>
      </c>
      <c r="AD10615">
        <v>1</v>
      </c>
      <c r="AE10615">
        <v>1</v>
      </c>
      <c r="AF10615">
        <v>1</v>
      </c>
      <c r="AG10615">
        <v>1</v>
      </c>
      <c r="AH10615">
        <v>1</v>
      </c>
      <c r="AI10615">
        <v>1</v>
      </c>
      <c r="AJ10615">
        <v>1</v>
      </c>
      <c r="AK10615">
        <v>1</v>
      </c>
      <c r="AL10615">
        <v>1</v>
      </c>
      <c r="AM10615">
        <v>1</v>
      </c>
    </row>
    <row r="10616" spans="1:39" x14ac:dyDescent="0.2">
      <c r="A10616" t="str">
        <f>"10612"</f>
        <v>10612</v>
      </c>
      <c r="B10616" t="str">
        <f t="shared" si="591"/>
        <v>1</v>
      </c>
      <c r="C10616" t="str">
        <f t="shared" si="590"/>
        <v>213</v>
      </c>
      <c r="D10616" t="str">
        <f>"37"</f>
        <v>37</v>
      </c>
      <c r="E10616" t="str">
        <f>"1-213-37"</f>
        <v>1-213-37</v>
      </c>
      <c r="F10616" t="s">
        <v>65</v>
      </c>
      <c r="G10616" t="s">
        <v>66</v>
      </c>
      <c r="H10616" t="s">
        <v>67</v>
      </c>
      <c r="S10616">
        <v>0</v>
      </c>
      <c r="T10616">
        <v>1</v>
      </c>
      <c r="U10616">
        <v>0</v>
      </c>
      <c r="V10616">
        <v>0</v>
      </c>
      <c r="W10616">
        <v>1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1</v>
      </c>
      <c r="AD10616">
        <v>1</v>
      </c>
      <c r="AE10616">
        <v>1</v>
      </c>
      <c r="AF10616">
        <v>1</v>
      </c>
      <c r="AG10616">
        <v>0</v>
      </c>
      <c r="AH10616">
        <v>0</v>
      </c>
      <c r="AI10616">
        <v>1</v>
      </c>
      <c r="AJ10616">
        <v>1</v>
      </c>
      <c r="AK10616">
        <v>1</v>
      </c>
      <c r="AL10616">
        <v>1</v>
      </c>
      <c r="AM10616">
        <v>1</v>
      </c>
    </row>
    <row r="10617" spans="1:39" x14ac:dyDescent="0.2">
      <c r="A10617" t="str">
        <f>"10613"</f>
        <v>10613</v>
      </c>
      <c r="B10617" t="str">
        <f t="shared" si="591"/>
        <v>1</v>
      </c>
      <c r="C10617" t="str">
        <f t="shared" si="590"/>
        <v>213</v>
      </c>
      <c r="D10617" t="str">
        <f>"27"</f>
        <v>27</v>
      </c>
      <c r="E10617" t="str">
        <f>"1-213-27"</f>
        <v>1-213-27</v>
      </c>
      <c r="F10617" t="s">
        <v>65</v>
      </c>
      <c r="G10617" t="s">
        <v>66</v>
      </c>
      <c r="H10617" t="s">
        <v>67</v>
      </c>
      <c r="S10617">
        <v>1</v>
      </c>
      <c r="T10617">
        <v>0</v>
      </c>
      <c r="U10617">
        <v>0</v>
      </c>
      <c r="V10617">
        <v>0</v>
      </c>
      <c r="W10617">
        <v>1</v>
      </c>
      <c r="X10617">
        <v>0</v>
      </c>
      <c r="Y10617">
        <v>1</v>
      </c>
      <c r="Z10617">
        <v>0</v>
      </c>
      <c r="AA10617">
        <v>1</v>
      </c>
      <c r="AB10617">
        <v>0</v>
      </c>
      <c r="AC10617">
        <v>0</v>
      </c>
      <c r="AD10617">
        <v>1</v>
      </c>
      <c r="AE10617">
        <v>1</v>
      </c>
      <c r="AF10617">
        <v>1</v>
      </c>
      <c r="AG10617">
        <v>1</v>
      </c>
      <c r="AH10617">
        <v>1</v>
      </c>
      <c r="AI10617">
        <v>1</v>
      </c>
      <c r="AJ10617">
        <v>1</v>
      </c>
      <c r="AK10617">
        <v>1</v>
      </c>
      <c r="AL10617">
        <v>1</v>
      </c>
      <c r="AM10617">
        <v>1</v>
      </c>
    </row>
    <row r="10618" spans="1:39" x14ac:dyDescent="0.2">
      <c r="A10618" t="str">
        <f>"10614"</f>
        <v>10614</v>
      </c>
      <c r="B10618" t="str">
        <f t="shared" si="591"/>
        <v>1</v>
      </c>
      <c r="C10618" t="str">
        <f t="shared" si="590"/>
        <v>213</v>
      </c>
      <c r="D10618" t="str">
        <f>"17"</f>
        <v>17</v>
      </c>
      <c r="E10618" t="str">
        <f>"1-213-17"</f>
        <v>1-213-17</v>
      </c>
      <c r="F10618" t="s">
        <v>65</v>
      </c>
      <c r="G10618" t="s">
        <v>66</v>
      </c>
      <c r="H10618" t="s">
        <v>67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1</v>
      </c>
      <c r="Y10618">
        <v>0</v>
      </c>
      <c r="Z10618">
        <v>0</v>
      </c>
      <c r="AA10618">
        <v>0</v>
      </c>
      <c r="AB10618">
        <v>0</v>
      </c>
      <c r="AC10618">
        <v>1</v>
      </c>
      <c r="AD10618">
        <v>0</v>
      </c>
      <c r="AE10618">
        <v>0</v>
      </c>
      <c r="AF10618">
        <v>0</v>
      </c>
      <c r="AG10618">
        <v>1</v>
      </c>
      <c r="AH10618">
        <v>1</v>
      </c>
      <c r="AI10618">
        <v>0</v>
      </c>
      <c r="AJ10618">
        <v>1</v>
      </c>
      <c r="AK10618">
        <v>0</v>
      </c>
      <c r="AL10618">
        <v>0</v>
      </c>
      <c r="AM10618">
        <v>0</v>
      </c>
    </row>
    <row r="10619" spans="1:39" x14ac:dyDescent="0.2">
      <c r="A10619" t="str">
        <f>"10615"</f>
        <v>10615</v>
      </c>
      <c r="B10619" t="str">
        <f t="shared" si="591"/>
        <v>1</v>
      </c>
      <c r="C10619" t="str">
        <f t="shared" si="590"/>
        <v>213</v>
      </c>
      <c r="D10619" t="str">
        <f>"14"</f>
        <v>14</v>
      </c>
      <c r="E10619" t="str">
        <f>"1-213-14"</f>
        <v>1-213-14</v>
      </c>
      <c r="F10619" t="s">
        <v>65</v>
      </c>
      <c r="G10619" t="s">
        <v>66</v>
      </c>
      <c r="H10619" t="s">
        <v>67</v>
      </c>
      <c r="S10619">
        <v>1</v>
      </c>
      <c r="T10619">
        <v>0</v>
      </c>
      <c r="U10619">
        <v>0</v>
      </c>
      <c r="V10619">
        <v>0</v>
      </c>
      <c r="W10619">
        <v>0</v>
      </c>
      <c r="X10619">
        <v>1</v>
      </c>
      <c r="Y10619">
        <v>1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</row>
    <row r="10620" spans="1:39" x14ac:dyDescent="0.2">
      <c r="A10620" t="str">
        <f>"10616"</f>
        <v>10616</v>
      </c>
      <c r="B10620" t="str">
        <f t="shared" si="591"/>
        <v>1</v>
      </c>
      <c r="C10620" t="str">
        <f t="shared" si="590"/>
        <v>213</v>
      </c>
      <c r="D10620" t="str">
        <f>"36"</f>
        <v>36</v>
      </c>
      <c r="E10620" t="str">
        <f>"1-213-36"</f>
        <v>1-213-36</v>
      </c>
      <c r="F10620" t="s">
        <v>65</v>
      </c>
      <c r="G10620" t="s">
        <v>66</v>
      </c>
      <c r="H10620" t="s">
        <v>67</v>
      </c>
      <c r="S10620">
        <v>0</v>
      </c>
      <c r="T10620">
        <v>1</v>
      </c>
      <c r="U10620">
        <v>0</v>
      </c>
      <c r="V10620">
        <v>0</v>
      </c>
      <c r="W10620">
        <v>0</v>
      </c>
      <c r="X10620">
        <v>1</v>
      </c>
      <c r="Y10620">
        <v>1</v>
      </c>
      <c r="Z10620">
        <v>0</v>
      </c>
      <c r="AA10620">
        <v>0</v>
      </c>
      <c r="AB10620">
        <v>0</v>
      </c>
      <c r="AC10620">
        <v>1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</row>
    <row r="10621" spans="1:39" x14ac:dyDescent="0.2">
      <c r="A10621" t="str">
        <f>"10617"</f>
        <v>10617</v>
      </c>
      <c r="B10621" t="str">
        <f t="shared" si="591"/>
        <v>1</v>
      </c>
      <c r="C10621" t="str">
        <f t="shared" si="590"/>
        <v>213</v>
      </c>
      <c r="D10621" t="str">
        <f>"35"</f>
        <v>35</v>
      </c>
      <c r="E10621" t="str">
        <f>"1-213-35"</f>
        <v>1-213-35</v>
      </c>
      <c r="F10621" t="s">
        <v>65</v>
      </c>
      <c r="G10621" t="s">
        <v>66</v>
      </c>
      <c r="H10621" t="s">
        <v>67</v>
      </c>
      <c r="S10621">
        <v>0</v>
      </c>
      <c r="T10621">
        <v>1</v>
      </c>
      <c r="U10621">
        <v>0</v>
      </c>
      <c r="V10621">
        <v>0</v>
      </c>
      <c r="W10621">
        <v>0</v>
      </c>
      <c r="X10621">
        <v>1</v>
      </c>
      <c r="Y10621">
        <v>0</v>
      </c>
      <c r="Z10621">
        <v>1</v>
      </c>
      <c r="AA10621">
        <v>0</v>
      </c>
      <c r="AB10621">
        <v>0</v>
      </c>
      <c r="AC10621">
        <v>1</v>
      </c>
      <c r="AD10621">
        <v>1</v>
      </c>
      <c r="AE10621">
        <v>1</v>
      </c>
      <c r="AF10621">
        <v>1</v>
      </c>
      <c r="AG10621">
        <v>1</v>
      </c>
      <c r="AH10621">
        <v>1</v>
      </c>
      <c r="AI10621">
        <v>1</v>
      </c>
      <c r="AJ10621">
        <v>1</v>
      </c>
      <c r="AK10621">
        <v>1</v>
      </c>
      <c r="AL10621">
        <v>1</v>
      </c>
      <c r="AM10621">
        <v>1</v>
      </c>
    </row>
    <row r="10622" spans="1:39" x14ac:dyDescent="0.2">
      <c r="A10622" t="str">
        <f>"10618"</f>
        <v>10618</v>
      </c>
      <c r="B10622" t="str">
        <f t="shared" si="591"/>
        <v>1</v>
      </c>
      <c r="C10622" t="str">
        <f t="shared" si="590"/>
        <v>213</v>
      </c>
      <c r="D10622" t="str">
        <f>"26"</f>
        <v>26</v>
      </c>
      <c r="E10622" t="str">
        <f>"1-213-26"</f>
        <v>1-213-26</v>
      </c>
      <c r="F10622" t="s">
        <v>65</v>
      </c>
      <c r="G10622" t="s">
        <v>66</v>
      </c>
      <c r="H10622" t="s">
        <v>67</v>
      </c>
      <c r="S10622">
        <v>0</v>
      </c>
      <c r="T10622">
        <v>1</v>
      </c>
      <c r="U10622">
        <v>0</v>
      </c>
      <c r="V10622">
        <v>0</v>
      </c>
      <c r="W10622">
        <v>0</v>
      </c>
      <c r="X10622">
        <v>1</v>
      </c>
      <c r="Y10622">
        <v>0</v>
      </c>
      <c r="Z10622">
        <v>1</v>
      </c>
      <c r="AA10622">
        <v>0</v>
      </c>
      <c r="AB10622">
        <v>0</v>
      </c>
      <c r="AC10622">
        <v>1</v>
      </c>
      <c r="AD10622">
        <v>1</v>
      </c>
      <c r="AE10622">
        <v>1</v>
      </c>
      <c r="AF10622">
        <v>1</v>
      </c>
      <c r="AG10622">
        <v>1</v>
      </c>
      <c r="AH10622">
        <v>1</v>
      </c>
      <c r="AI10622">
        <v>1</v>
      </c>
      <c r="AJ10622">
        <v>1</v>
      </c>
      <c r="AK10622">
        <v>1</v>
      </c>
      <c r="AL10622">
        <v>1</v>
      </c>
      <c r="AM10622">
        <v>1</v>
      </c>
    </row>
    <row r="10623" spans="1:39" x14ac:dyDescent="0.2">
      <c r="A10623" t="str">
        <f>"10619"</f>
        <v>10619</v>
      </c>
      <c r="B10623" t="str">
        <f t="shared" si="591"/>
        <v>1</v>
      </c>
      <c r="C10623" t="str">
        <f t="shared" si="590"/>
        <v>213</v>
      </c>
      <c r="D10623" t="str">
        <f>"18"</f>
        <v>18</v>
      </c>
      <c r="E10623" t="str">
        <f>"1-213-18"</f>
        <v>1-213-18</v>
      </c>
      <c r="F10623" t="s">
        <v>65</v>
      </c>
      <c r="G10623" t="s">
        <v>66</v>
      </c>
      <c r="H10623" t="s">
        <v>67</v>
      </c>
      <c r="S10623">
        <v>0</v>
      </c>
      <c r="T10623">
        <v>1</v>
      </c>
      <c r="U10623">
        <v>0</v>
      </c>
      <c r="V10623">
        <v>0</v>
      </c>
      <c r="W10623">
        <v>0</v>
      </c>
      <c r="X10623">
        <v>1</v>
      </c>
      <c r="Y10623">
        <v>0</v>
      </c>
      <c r="Z10623">
        <v>1</v>
      </c>
      <c r="AA10623">
        <v>0</v>
      </c>
      <c r="AB10623">
        <v>0</v>
      </c>
      <c r="AC10623">
        <v>1</v>
      </c>
      <c r="AD10623">
        <v>0</v>
      </c>
      <c r="AE10623">
        <v>0</v>
      </c>
      <c r="AF10623">
        <v>0</v>
      </c>
      <c r="AG10623">
        <v>0</v>
      </c>
      <c r="AH10623">
        <v>1</v>
      </c>
      <c r="AI10623">
        <v>1</v>
      </c>
      <c r="AJ10623">
        <v>1</v>
      </c>
      <c r="AK10623">
        <v>0</v>
      </c>
      <c r="AL10623">
        <v>0</v>
      </c>
      <c r="AM10623">
        <v>0</v>
      </c>
    </row>
    <row r="10624" spans="1:39" x14ac:dyDescent="0.2">
      <c r="A10624" t="str">
        <f>"10620"</f>
        <v>10620</v>
      </c>
      <c r="B10624" t="str">
        <f t="shared" si="591"/>
        <v>1</v>
      </c>
      <c r="C10624" t="str">
        <f t="shared" si="590"/>
        <v>213</v>
      </c>
      <c r="D10624" t="str">
        <f>"10"</f>
        <v>10</v>
      </c>
      <c r="E10624" t="str">
        <f>"1-213-10"</f>
        <v>1-213-10</v>
      </c>
      <c r="F10624" t="s">
        <v>65</v>
      </c>
      <c r="G10624" t="s">
        <v>66</v>
      </c>
      <c r="H10624" t="s">
        <v>67</v>
      </c>
      <c r="S10624">
        <v>0</v>
      </c>
      <c r="T10624">
        <v>1</v>
      </c>
      <c r="U10624">
        <v>0</v>
      </c>
      <c r="V10624">
        <v>0</v>
      </c>
      <c r="W10624">
        <v>1</v>
      </c>
      <c r="X10624">
        <v>0</v>
      </c>
      <c r="Y10624">
        <v>0</v>
      </c>
      <c r="Z10624">
        <v>1</v>
      </c>
      <c r="AA10624">
        <v>1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</row>
    <row r="10625" spans="1:39" x14ac:dyDescent="0.2">
      <c r="A10625" t="str">
        <f>"10621"</f>
        <v>10621</v>
      </c>
      <c r="B10625" t="str">
        <f t="shared" si="591"/>
        <v>1</v>
      </c>
      <c r="C10625" t="str">
        <f t="shared" si="590"/>
        <v>213</v>
      </c>
      <c r="D10625" t="str">
        <f>"41"</f>
        <v>41</v>
      </c>
      <c r="E10625" t="str">
        <f>"1-213-41"</f>
        <v>1-213-41</v>
      </c>
      <c r="F10625" t="s">
        <v>65</v>
      </c>
      <c r="G10625" t="s">
        <v>66</v>
      </c>
      <c r="H10625" t="s">
        <v>67</v>
      </c>
      <c r="S10625">
        <v>1</v>
      </c>
      <c r="T10625">
        <v>0</v>
      </c>
      <c r="U10625">
        <v>0</v>
      </c>
      <c r="V10625">
        <v>0</v>
      </c>
      <c r="W10625">
        <v>1</v>
      </c>
      <c r="X10625">
        <v>0</v>
      </c>
      <c r="Y10625">
        <v>0</v>
      </c>
      <c r="Z10625">
        <v>0</v>
      </c>
      <c r="AA10625">
        <v>0</v>
      </c>
      <c r="AB10625">
        <v>1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</row>
    <row r="10626" spans="1:39" x14ac:dyDescent="0.2">
      <c r="A10626" t="str">
        <f>"10622"</f>
        <v>10622</v>
      </c>
      <c r="B10626" t="str">
        <f t="shared" si="591"/>
        <v>1</v>
      </c>
      <c r="C10626" t="str">
        <f t="shared" si="590"/>
        <v>213</v>
      </c>
      <c r="D10626" t="str">
        <f>"19"</f>
        <v>19</v>
      </c>
      <c r="E10626" t="str">
        <f>"1-213-19"</f>
        <v>1-213-19</v>
      </c>
      <c r="F10626" t="s">
        <v>65</v>
      </c>
      <c r="G10626" t="s">
        <v>66</v>
      </c>
      <c r="H10626" t="s">
        <v>67</v>
      </c>
      <c r="S10626">
        <v>0</v>
      </c>
      <c r="T10626">
        <v>1</v>
      </c>
      <c r="U10626">
        <v>0</v>
      </c>
      <c r="V10626">
        <v>0</v>
      </c>
      <c r="W10626">
        <v>0</v>
      </c>
      <c r="X10626">
        <v>1</v>
      </c>
      <c r="Y10626">
        <v>0</v>
      </c>
      <c r="Z10626">
        <v>1</v>
      </c>
      <c r="AA10626">
        <v>0</v>
      </c>
      <c r="AB10626">
        <v>0</v>
      </c>
      <c r="AC10626">
        <v>1</v>
      </c>
      <c r="AD10626">
        <v>1</v>
      </c>
      <c r="AE10626">
        <v>1</v>
      </c>
      <c r="AF10626">
        <v>1</v>
      </c>
      <c r="AG10626">
        <v>1</v>
      </c>
      <c r="AH10626">
        <v>1</v>
      </c>
      <c r="AI10626">
        <v>1</v>
      </c>
      <c r="AJ10626">
        <v>1</v>
      </c>
      <c r="AK10626">
        <v>1</v>
      </c>
      <c r="AL10626">
        <v>1</v>
      </c>
      <c r="AM10626">
        <v>1</v>
      </c>
    </row>
    <row r="10627" spans="1:39" x14ac:dyDescent="0.2">
      <c r="A10627" t="str">
        <f>"10623"</f>
        <v>10623</v>
      </c>
      <c r="B10627" t="str">
        <f t="shared" si="591"/>
        <v>1</v>
      </c>
      <c r="C10627" t="str">
        <f t="shared" si="590"/>
        <v>213</v>
      </c>
      <c r="D10627" t="str">
        <f>"13"</f>
        <v>13</v>
      </c>
      <c r="E10627" t="str">
        <f>"1-213-13"</f>
        <v>1-213-13</v>
      </c>
      <c r="F10627" t="s">
        <v>65</v>
      </c>
      <c r="G10627" t="s">
        <v>66</v>
      </c>
      <c r="H10627" t="s">
        <v>68</v>
      </c>
      <c r="I10627">
        <v>1</v>
      </c>
      <c r="J10627">
        <v>0</v>
      </c>
      <c r="K10627">
        <v>1</v>
      </c>
      <c r="L10627">
        <v>0</v>
      </c>
      <c r="M10627">
        <v>1</v>
      </c>
      <c r="N10627">
        <v>1</v>
      </c>
      <c r="O10627">
        <v>1</v>
      </c>
      <c r="P10627">
        <v>1</v>
      </c>
      <c r="Q10627">
        <v>1</v>
      </c>
      <c r="R10627">
        <v>1</v>
      </c>
    </row>
    <row r="10628" spans="1:39" x14ac:dyDescent="0.2">
      <c r="A10628" t="str">
        <f>"10624"</f>
        <v>10624</v>
      </c>
      <c r="B10628" t="str">
        <f t="shared" si="591"/>
        <v>1</v>
      </c>
      <c r="C10628" t="str">
        <f t="shared" si="590"/>
        <v>213</v>
      </c>
      <c r="D10628" t="str">
        <f>"43"</f>
        <v>43</v>
      </c>
      <c r="E10628" t="str">
        <f>"1-213-43"</f>
        <v>1-213-43</v>
      </c>
      <c r="F10628" t="s">
        <v>65</v>
      </c>
      <c r="G10628" t="s">
        <v>66</v>
      </c>
      <c r="H10628" t="s">
        <v>67</v>
      </c>
      <c r="S10628">
        <v>0</v>
      </c>
      <c r="T10628">
        <v>1</v>
      </c>
      <c r="U10628">
        <v>0</v>
      </c>
      <c r="V10628">
        <v>0</v>
      </c>
      <c r="W10628">
        <v>1</v>
      </c>
      <c r="X10628">
        <v>0</v>
      </c>
      <c r="Y10628">
        <v>1</v>
      </c>
      <c r="Z10628">
        <v>0</v>
      </c>
      <c r="AA10628">
        <v>0</v>
      </c>
      <c r="AB10628">
        <v>1</v>
      </c>
      <c r="AC10628">
        <v>0</v>
      </c>
      <c r="AD10628">
        <v>1</v>
      </c>
      <c r="AE10628">
        <v>1</v>
      </c>
      <c r="AF10628">
        <v>1</v>
      </c>
      <c r="AG10628">
        <v>1</v>
      </c>
      <c r="AH10628">
        <v>1</v>
      </c>
      <c r="AI10628">
        <v>1</v>
      </c>
      <c r="AJ10628">
        <v>1</v>
      </c>
      <c r="AK10628">
        <v>1</v>
      </c>
      <c r="AL10628">
        <v>1</v>
      </c>
      <c r="AM10628">
        <v>1</v>
      </c>
    </row>
    <row r="10629" spans="1:39" x14ac:dyDescent="0.2">
      <c r="A10629" t="str">
        <f>"10625"</f>
        <v>10625</v>
      </c>
      <c r="B10629" t="str">
        <f t="shared" si="591"/>
        <v>1</v>
      </c>
      <c r="C10629" t="str">
        <f t="shared" si="590"/>
        <v>213</v>
      </c>
      <c r="D10629" t="str">
        <f>"20"</f>
        <v>20</v>
      </c>
      <c r="E10629" t="str">
        <f>"1-213-20"</f>
        <v>1-213-20</v>
      </c>
      <c r="F10629" t="s">
        <v>65</v>
      </c>
      <c r="G10629" t="s">
        <v>66</v>
      </c>
      <c r="H10629" t="s">
        <v>67</v>
      </c>
      <c r="S10629">
        <v>0</v>
      </c>
      <c r="T10629">
        <v>1</v>
      </c>
      <c r="U10629">
        <v>0</v>
      </c>
      <c r="V10629">
        <v>0</v>
      </c>
      <c r="W10629">
        <v>0</v>
      </c>
      <c r="X10629">
        <v>1</v>
      </c>
      <c r="Y10629">
        <v>0</v>
      </c>
      <c r="Z10629">
        <v>1</v>
      </c>
      <c r="AA10629">
        <v>0</v>
      </c>
      <c r="AB10629">
        <v>0</v>
      </c>
      <c r="AC10629">
        <v>1</v>
      </c>
      <c r="AD10629">
        <v>1</v>
      </c>
      <c r="AE10629">
        <v>1</v>
      </c>
      <c r="AF10629">
        <v>1</v>
      </c>
      <c r="AG10629">
        <v>1</v>
      </c>
      <c r="AH10629">
        <v>1</v>
      </c>
      <c r="AI10629">
        <v>1</v>
      </c>
      <c r="AJ10629">
        <v>1</v>
      </c>
      <c r="AK10629">
        <v>1</v>
      </c>
      <c r="AL10629">
        <v>1</v>
      </c>
      <c r="AM10629">
        <v>1</v>
      </c>
    </row>
    <row r="10630" spans="1:39" x14ac:dyDescent="0.2">
      <c r="A10630" t="str">
        <f>"10626"</f>
        <v>10626</v>
      </c>
      <c r="B10630" t="str">
        <f t="shared" si="591"/>
        <v>1</v>
      </c>
      <c r="C10630" t="str">
        <f t="shared" si="590"/>
        <v>213</v>
      </c>
      <c r="D10630" t="str">
        <f>"11"</f>
        <v>11</v>
      </c>
      <c r="E10630" t="str">
        <f>"1-213-11"</f>
        <v>1-213-11</v>
      </c>
      <c r="F10630" t="s">
        <v>65</v>
      </c>
      <c r="G10630" t="s">
        <v>66</v>
      </c>
      <c r="H10630" t="s">
        <v>67</v>
      </c>
      <c r="S10630">
        <v>1</v>
      </c>
      <c r="T10630">
        <v>0</v>
      </c>
      <c r="U10630">
        <v>0</v>
      </c>
      <c r="V10630">
        <v>0</v>
      </c>
      <c r="W10630">
        <v>1</v>
      </c>
      <c r="X10630">
        <v>0</v>
      </c>
      <c r="Y10630">
        <v>1</v>
      </c>
      <c r="Z10630">
        <v>0</v>
      </c>
      <c r="AA10630">
        <v>1</v>
      </c>
      <c r="AB10630">
        <v>0</v>
      </c>
      <c r="AC10630">
        <v>0</v>
      </c>
      <c r="AD10630">
        <v>1</v>
      </c>
      <c r="AE10630">
        <v>1</v>
      </c>
      <c r="AF10630">
        <v>1</v>
      </c>
      <c r="AG10630">
        <v>1</v>
      </c>
      <c r="AH10630">
        <v>1</v>
      </c>
      <c r="AI10630">
        <v>1</v>
      </c>
      <c r="AJ10630">
        <v>1</v>
      </c>
      <c r="AK10630">
        <v>1</v>
      </c>
      <c r="AL10630">
        <v>1</v>
      </c>
      <c r="AM10630">
        <v>1</v>
      </c>
    </row>
    <row r="10631" spans="1:39" x14ac:dyDescent="0.2">
      <c r="A10631" t="str">
        <f>"10627"</f>
        <v>10627</v>
      </c>
      <c r="B10631" t="str">
        <f t="shared" si="591"/>
        <v>1</v>
      </c>
      <c r="C10631" t="str">
        <f t="shared" si="590"/>
        <v>213</v>
      </c>
      <c r="D10631" t="str">
        <f>"42"</f>
        <v>42</v>
      </c>
      <c r="E10631" t="str">
        <f>"1-213-42"</f>
        <v>1-213-42</v>
      </c>
      <c r="F10631" t="s">
        <v>65</v>
      </c>
      <c r="G10631" t="s">
        <v>66</v>
      </c>
      <c r="H10631" t="s">
        <v>68</v>
      </c>
      <c r="I10631">
        <v>1</v>
      </c>
      <c r="J10631">
        <v>1</v>
      </c>
      <c r="K10631">
        <v>0</v>
      </c>
      <c r="L10631">
        <v>0</v>
      </c>
      <c r="M10631">
        <v>1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39" x14ac:dyDescent="0.2">
      <c r="A10632" t="str">
        <f>"10628"</f>
        <v>10628</v>
      </c>
      <c r="B10632" t="str">
        <f t="shared" si="591"/>
        <v>1</v>
      </c>
      <c r="C10632" t="str">
        <f t="shared" si="590"/>
        <v>213</v>
      </c>
      <c r="D10632" t="str">
        <f>"21"</f>
        <v>21</v>
      </c>
      <c r="E10632" t="str">
        <f>"1-213-21"</f>
        <v>1-213-21</v>
      </c>
      <c r="F10632" t="s">
        <v>65</v>
      </c>
      <c r="G10632" t="s">
        <v>66</v>
      </c>
      <c r="H10632" t="s">
        <v>67</v>
      </c>
      <c r="S10632">
        <v>0</v>
      </c>
      <c r="T10632">
        <v>1</v>
      </c>
      <c r="U10632">
        <v>0</v>
      </c>
      <c r="V10632">
        <v>0</v>
      </c>
      <c r="W10632">
        <v>0</v>
      </c>
      <c r="X10632">
        <v>1</v>
      </c>
      <c r="Y10632">
        <v>0</v>
      </c>
      <c r="Z10632">
        <v>1</v>
      </c>
      <c r="AA10632">
        <v>0</v>
      </c>
      <c r="AB10632">
        <v>0</v>
      </c>
      <c r="AC10632">
        <v>1</v>
      </c>
      <c r="AD10632">
        <v>1</v>
      </c>
      <c r="AE10632">
        <v>1</v>
      </c>
      <c r="AF10632">
        <v>1</v>
      </c>
      <c r="AG10632">
        <v>1</v>
      </c>
      <c r="AH10632">
        <v>1</v>
      </c>
      <c r="AI10632">
        <v>1</v>
      </c>
      <c r="AJ10632">
        <v>1</v>
      </c>
      <c r="AK10632">
        <v>1</v>
      </c>
      <c r="AL10632">
        <v>1</v>
      </c>
      <c r="AM10632">
        <v>1</v>
      </c>
    </row>
    <row r="10633" spans="1:39" x14ac:dyDescent="0.2">
      <c r="A10633" t="str">
        <f>"10629"</f>
        <v>10629</v>
      </c>
      <c r="B10633" t="str">
        <f t="shared" si="591"/>
        <v>1</v>
      </c>
      <c r="C10633" t="str">
        <f t="shared" si="590"/>
        <v>213</v>
      </c>
      <c r="D10633" t="str">
        <f>"6"</f>
        <v>6</v>
      </c>
      <c r="E10633" t="str">
        <f>"1-213-6"</f>
        <v>1-213-6</v>
      </c>
      <c r="F10633" t="s">
        <v>65</v>
      </c>
      <c r="G10633" t="s">
        <v>66</v>
      </c>
      <c r="H10633" t="s">
        <v>67</v>
      </c>
      <c r="S10633">
        <v>1</v>
      </c>
      <c r="T10633">
        <v>0</v>
      </c>
      <c r="U10633">
        <v>0</v>
      </c>
      <c r="V10633">
        <v>0</v>
      </c>
      <c r="W10633">
        <v>1</v>
      </c>
      <c r="X10633">
        <v>0</v>
      </c>
      <c r="Y10633">
        <v>1</v>
      </c>
      <c r="Z10633">
        <v>0</v>
      </c>
      <c r="AA10633">
        <v>1</v>
      </c>
      <c r="AB10633">
        <v>0</v>
      </c>
      <c r="AC10633">
        <v>0</v>
      </c>
      <c r="AD10633">
        <v>1</v>
      </c>
      <c r="AE10633">
        <v>1</v>
      </c>
      <c r="AF10633">
        <v>1</v>
      </c>
      <c r="AG10633">
        <v>1</v>
      </c>
      <c r="AH10633">
        <v>1</v>
      </c>
      <c r="AI10633">
        <v>1</v>
      </c>
      <c r="AJ10633">
        <v>1</v>
      </c>
      <c r="AK10633">
        <v>1</v>
      </c>
      <c r="AL10633">
        <v>1</v>
      </c>
      <c r="AM10633">
        <v>1</v>
      </c>
    </row>
    <row r="10634" spans="1:39" x14ac:dyDescent="0.2">
      <c r="A10634" t="str">
        <f>"10630"</f>
        <v>10630</v>
      </c>
      <c r="B10634" t="str">
        <f t="shared" si="591"/>
        <v>1</v>
      </c>
      <c r="C10634" t="str">
        <f t="shared" si="590"/>
        <v>213</v>
      </c>
      <c r="D10634" t="str">
        <f>"44"</f>
        <v>44</v>
      </c>
      <c r="E10634" t="str">
        <f>"1-213-44"</f>
        <v>1-213-44</v>
      </c>
      <c r="F10634" t="s">
        <v>65</v>
      </c>
      <c r="G10634" t="s">
        <v>66</v>
      </c>
      <c r="H10634" t="s">
        <v>67</v>
      </c>
      <c r="S10634">
        <v>0</v>
      </c>
      <c r="T10634">
        <v>1</v>
      </c>
      <c r="U10634">
        <v>0</v>
      </c>
      <c r="V10634">
        <v>0</v>
      </c>
      <c r="W10634">
        <v>0</v>
      </c>
      <c r="X10634">
        <v>1</v>
      </c>
      <c r="Y10634">
        <v>1</v>
      </c>
      <c r="Z10634">
        <v>0</v>
      </c>
      <c r="AA10634">
        <v>0</v>
      </c>
      <c r="AB10634">
        <v>0</v>
      </c>
      <c r="AC10634">
        <v>1</v>
      </c>
      <c r="AD10634">
        <v>1</v>
      </c>
      <c r="AE10634">
        <v>1</v>
      </c>
      <c r="AF10634">
        <v>1</v>
      </c>
      <c r="AG10634">
        <v>1</v>
      </c>
      <c r="AH10634">
        <v>1</v>
      </c>
      <c r="AI10634">
        <v>1</v>
      </c>
      <c r="AJ10634">
        <v>1</v>
      </c>
      <c r="AK10634">
        <v>1</v>
      </c>
      <c r="AL10634">
        <v>1</v>
      </c>
      <c r="AM10634">
        <v>1</v>
      </c>
    </row>
    <row r="10635" spans="1:39" x14ac:dyDescent="0.2">
      <c r="A10635" t="str">
        <f>"10631"</f>
        <v>10631</v>
      </c>
      <c r="B10635" t="str">
        <f t="shared" si="591"/>
        <v>1</v>
      </c>
      <c r="C10635" t="str">
        <f t="shared" si="590"/>
        <v>213</v>
      </c>
      <c r="D10635" t="str">
        <f>"22"</f>
        <v>22</v>
      </c>
      <c r="E10635" t="str">
        <f>"1-213-22"</f>
        <v>1-213-22</v>
      </c>
      <c r="F10635" t="s">
        <v>65</v>
      </c>
      <c r="G10635" t="s">
        <v>66</v>
      </c>
      <c r="H10635" t="s">
        <v>67</v>
      </c>
      <c r="S10635">
        <v>1</v>
      </c>
      <c r="T10635">
        <v>0</v>
      </c>
      <c r="U10635">
        <v>0</v>
      </c>
      <c r="V10635">
        <v>0</v>
      </c>
      <c r="W10635">
        <v>1</v>
      </c>
      <c r="X10635">
        <v>0</v>
      </c>
      <c r="Y10635">
        <v>1</v>
      </c>
      <c r="Z10635">
        <v>0</v>
      </c>
      <c r="AA10635">
        <v>1</v>
      </c>
      <c r="AB10635">
        <v>0</v>
      </c>
      <c r="AC10635">
        <v>0</v>
      </c>
      <c r="AD10635">
        <v>1</v>
      </c>
      <c r="AE10635">
        <v>1</v>
      </c>
      <c r="AF10635">
        <v>1</v>
      </c>
      <c r="AG10635">
        <v>1</v>
      </c>
      <c r="AH10635">
        <v>1</v>
      </c>
      <c r="AI10635">
        <v>1</v>
      </c>
      <c r="AJ10635">
        <v>1</v>
      </c>
      <c r="AK10635">
        <v>1</v>
      </c>
      <c r="AL10635">
        <v>1</v>
      </c>
      <c r="AM10635">
        <v>1</v>
      </c>
    </row>
    <row r="10636" spans="1:39" x14ac:dyDescent="0.2">
      <c r="A10636" t="str">
        <f>"10632"</f>
        <v>10632</v>
      </c>
      <c r="B10636" t="str">
        <f t="shared" si="591"/>
        <v>1</v>
      </c>
      <c r="C10636" t="str">
        <f t="shared" si="590"/>
        <v>213</v>
      </c>
      <c r="D10636" t="str">
        <f>"7"</f>
        <v>7</v>
      </c>
      <c r="E10636" t="str">
        <f>"1-213-7"</f>
        <v>1-213-7</v>
      </c>
      <c r="F10636" t="s">
        <v>65</v>
      </c>
      <c r="G10636" t="s">
        <v>66</v>
      </c>
      <c r="H10636" t="s">
        <v>67</v>
      </c>
      <c r="S10636">
        <v>0</v>
      </c>
      <c r="T10636">
        <v>1</v>
      </c>
      <c r="U10636">
        <v>0</v>
      </c>
      <c r="V10636">
        <v>0</v>
      </c>
      <c r="W10636">
        <v>0</v>
      </c>
      <c r="X10636">
        <v>1</v>
      </c>
      <c r="Y10636">
        <v>0</v>
      </c>
      <c r="Z10636">
        <v>1</v>
      </c>
      <c r="AA10636">
        <v>0</v>
      </c>
      <c r="AB10636">
        <v>0</v>
      </c>
      <c r="AC10636">
        <v>1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</row>
    <row r="10637" spans="1:39" x14ac:dyDescent="0.2">
      <c r="A10637" t="str">
        <f>"10633"</f>
        <v>10633</v>
      </c>
      <c r="B10637" t="str">
        <f t="shared" si="591"/>
        <v>1</v>
      </c>
      <c r="C10637" t="str">
        <f t="shared" ref="C10637:C10654" si="592">"213"</f>
        <v>213</v>
      </c>
      <c r="D10637" t="str">
        <f>"45"</f>
        <v>45</v>
      </c>
      <c r="E10637" t="str">
        <f>"1-213-45"</f>
        <v>1-213-45</v>
      </c>
      <c r="F10637" t="s">
        <v>65</v>
      </c>
      <c r="G10637" t="s">
        <v>66</v>
      </c>
      <c r="H10637" t="s">
        <v>67</v>
      </c>
      <c r="S10637">
        <v>0</v>
      </c>
      <c r="T10637">
        <v>1</v>
      </c>
      <c r="U10637">
        <v>0</v>
      </c>
      <c r="V10637">
        <v>0</v>
      </c>
      <c r="W10637">
        <v>0</v>
      </c>
      <c r="X10637">
        <v>1</v>
      </c>
      <c r="Y10637">
        <v>0</v>
      </c>
      <c r="Z10637">
        <v>1</v>
      </c>
      <c r="AA10637">
        <v>0</v>
      </c>
      <c r="AB10637">
        <v>1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</row>
    <row r="10638" spans="1:39" x14ac:dyDescent="0.2">
      <c r="A10638" t="str">
        <f>"10634"</f>
        <v>10634</v>
      </c>
      <c r="B10638" t="str">
        <f t="shared" si="591"/>
        <v>1</v>
      </c>
      <c r="C10638" t="str">
        <f t="shared" si="592"/>
        <v>213</v>
      </c>
      <c r="D10638" t="str">
        <f>"23"</f>
        <v>23</v>
      </c>
      <c r="E10638" t="str">
        <f>"1-213-23"</f>
        <v>1-213-23</v>
      </c>
      <c r="F10638" t="s">
        <v>65</v>
      </c>
      <c r="G10638" t="s">
        <v>66</v>
      </c>
      <c r="H10638" t="s">
        <v>67</v>
      </c>
      <c r="S10638">
        <v>0</v>
      </c>
      <c r="T10638">
        <v>1</v>
      </c>
      <c r="U10638">
        <v>0</v>
      </c>
      <c r="V10638">
        <v>0</v>
      </c>
      <c r="W10638">
        <v>0</v>
      </c>
      <c r="X10638">
        <v>1</v>
      </c>
      <c r="Y10638">
        <v>1</v>
      </c>
      <c r="Z10638">
        <v>0</v>
      </c>
      <c r="AA10638">
        <v>0</v>
      </c>
      <c r="AB10638">
        <v>1</v>
      </c>
      <c r="AC10638">
        <v>0</v>
      </c>
      <c r="AD10638">
        <v>1</v>
      </c>
      <c r="AE10638">
        <v>1</v>
      </c>
      <c r="AF10638">
        <v>1</v>
      </c>
      <c r="AG10638">
        <v>1</v>
      </c>
      <c r="AH10638">
        <v>1</v>
      </c>
      <c r="AI10638">
        <v>1</v>
      </c>
      <c r="AJ10638">
        <v>1</v>
      </c>
      <c r="AK10638">
        <v>1</v>
      </c>
      <c r="AL10638">
        <v>1</v>
      </c>
      <c r="AM10638">
        <v>1</v>
      </c>
    </row>
    <row r="10639" spans="1:39" x14ac:dyDescent="0.2">
      <c r="A10639" t="str">
        <f>"10635"</f>
        <v>10635</v>
      </c>
      <c r="B10639" t="str">
        <f t="shared" si="591"/>
        <v>1</v>
      </c>
      <c r="C10639" t="str">
        <f t="shared" si="592"/>
        <v>213</v>
      </c>
      <c r="D10639" t="str">
        <f>"12"</f>
        <v>12</v>
      </c>
      <c r="E10639" t="str">
        <f>"1-213-12"</f>
        <v>1-213-12</v>
      </c>
      <c r="F10639" t="s">
        <v>65</v>
      </c>
      <c r="G10639" t="s">
        <v>66</v>
      </c>
      <c r="H10639" t="s">
        <v>67</v>
      </c>
      <c r="S10639">
        <v>0</v>
      </c>
      <c r="T10639">
        <v>1</v>
      </c>
      <c r="U10639">
        <v>0</v>
      </c>
      <c r="V10639">
        <v>0</v>
      </c>
      <c r="W10639">
        <v>1</v>
      </c>
      <c r="X10639">
        <v>0</v>
      </c>
      <c r="Y10639">
        <v>0</v>
      </c>
      <c r="Z10639">
        <v>1</v>
      </c>
      <c r="AA10639">
        <v>1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</row>
    <row r="10640" spans="1:39" x14ac:dyDescent="0.2">
      <c r="A10640" t="str">
        <f>"10636"</f>
        <v>10636</v>
      </c>
      <c r="B10640" t="str">
        <f t="shared" si="591"/>
        <v>1</v>
      </c>
      <c r="C10640" t="str">
        <f t="shared" si="592"/>
        <v>213</v>
      </c>
      <c r="D10640" t="str">
        <f>"46"</f>
        <v>46</v>
      </c>
      <c r="E10640" t="str">
        <f>"1-213-46"</f>
        <v>1-213-46</v>
      </c>
      <c r="F10640" t="s">
        <v>65</v>
      </c>
      <c r="G10640" t="s">
        <v>66</v>
      </c>
      <c r="H10640" t="s">
        <v>68</v>
      </c>
      <c r="I10640">
        <v>1</v>
      </c>
      <c r="J10640">
        <v>0</v>
      </c>
      <c r="K10640">
        <v>0</v>
      </c>
      <c r="L10640">
        <v>1</v>
      </c>
      <c r="M10640">
        <v>1</v>
      </c>
      <c r="N10640">
        <v>1</v>
      </c>
      <c r="O10640">
        <v>1</v>
      </c>
      <c r="P10640">
        <v>1</v>
      </c>
      <c r="Q10640">
        <v>1</v>
      </c>
      <c r="R10640">
        <v>1</v>
      </c>
    </row>
    <row r="10641" spans="1:39" x14ac:dyDescent="0.2">
      <c r="A10641" t="str">
        <f>"10637"</f>
        <v>10637</v>
      </c>
      <c r="B10641" t="str">
        <f t="shared" si="591"/>
        <v>1</v>
      </c>
      <c r="C10641" t="str">
        <f t="shared" si="592"/>
        <v>213</v>
      </c>
      <c r="D10641" t="str">
        <f>"25"</f>
        <v>25</v>
      </c>
      <c r="E10641" t="str">
        <f>"1-213-25"</f>
        <v>1-213-25</v>
      </c>
      <c r="F10641" t="s">
        <v>65</v>
      </c>
      <c r="G10641" t="s">
        <v>66</v>
      </c>
      <c r="H10641" t="s">
        <v>67</v>
      </c>
      <c r="S10641">
        <v>1</v>
      </c>
      <c r="T10641">
        <v>0</v>
      </c>
      <c r="U10641">
        <v>0</v>
      </c>
      <c r="V10641">
        <v>0</v>
      </c>
      <c r="W10641">
        <v>0</v>
      </c>
      <c r="X10641">
        <v>1</v>
      </c>
      <c r="Y10641">
        <v>1</v>
      </c>
      <c r="Z10641">
        <v>0</v>
      </c>
      <c r="AA10641">
        <v>0</v>
      </c>
      <c r="AB10641">
        <v>0</v>
      </c>
      <c r="AC10641">
        <v>1</v>
      </c>
      <c r="AD10641">
        <v>1</v>
      </c>
      <c r="AE10641">
        <v>1</v>
      </c>
      <c r="AF10641">
        <v>1</v>
      </c>
      <c r="AG10641">
        <v>1</v>
      </c>
      <c r="AH10641">
        <v>1</v>
      </c>
      <c r="AI10641">
        <v>1</v>
      </c>
      <c r="AJ10641">
        <v>1</v>
      </c>
      <c r="AK10641">
        <v>1</v>
      </c>
      <c r="AL10641">
        <v>1</v>
      </c>
      <c r="AM10641">
        <v>1</v>
      </c>
    </row>
    <row r="10642" spans="1:39" x14ac:dyDescent="0.2">
      <c r="A10642" t="str">
        <f>"10638"</f>
        <v>10638</v>
      </c>
      <c r="B10642" t="str">
        <f t="shared" si="591"/>
        <v>1</v>
      </c>
      <c r="C10642" t="str">
        <f t="shared" si="592"/>
        <v>213</v>
      </c>
      <c r="D10642" t="str">
        <f>"5"</f>
        <v>5</v>
      </c>
      <c r="E10642" t="str">
        <f>"1-213-5"</f>
        <v>1-213-5</v>
      </c>
      <c r="F10642" t="s">
        <v>65</v>
      </c>
      <c r="G10642" t="s">
        <v>66</v>
      </c>
      <c r="H10642" t="s">
        <v>67</v>
      </c>
      <c r="S10642">
        <v>0</v>
      </c>
      <c r="T10642">
        <v>1</v>
      </c>
      <c r="U10642">
        <v>0</v>
      </c>
      <c r="V10642">
        <v>0</v>
      </c>
      <c r="W10642">
        <v>0</v>
      </c>
      <c r="X10642">
        <v>1</v>
      </c>
      <c r="Y10642">
        <v>0</v>
      </c>
      <c r="Z10642">
        <v>1</v>
      </c>
      <c r="AA10642">
        <v>0</v>
      </c>
      <c r="AB10642">
        <v>0</v>
      </c>
      <c r="AC10642">
        <v>1</v>
      </c>
      <c r="AD10642">
        <v>1</v>
      </c>
      <c r="AE10642">
        <v>1</v>
      </c>
      <c r="AF10642">
        <v>1</v>
      </c>
      <c r="AG10642">
        <v>1</v>
      </c>
      <c r="AH10642">
        <v>1</v>
      </c>
      <c r="AI10642">
        <v>1</v>
      </c>
      <c r="AJ10642">
        <v>1</v>
      </c>
      <c r="AK10642">
        <v>1</v>
      </c>
      <c r="AL10642">
        <v>1</v>
      </c>
      <c r="AM10642">
        <v>1</v>
      </c>
    </row>
    <row r="10643" spans="1:39" x14ac:dyDescent="0.2">
      <c r="A10643" t="str">
        <f>"10639"</f>
        <v>10639</v>
      </c>
      <c r="B10643" t="str">
        <f t="shared" si="591"/>
        <v>1</v>
      </c>
      <c r="C10643" t="str">
        <f t="shared" si="592"/>
        <v>213</v>
      </c>
      <c r="D10643" t="str">
        <f>"47"</f>
        <v>47</v>
      </c>
      <c r="E10643" t="str">
        <f>"1-213-47"</f>
        <v>1-213-47</v>
      </c>
      <c r="F10643" t="s">
        <v>65</v>
      </c>
      <c r="G10643" t="s">
        <v>66</v>
      </c>
      <c r="H10643" t="s">
        <v>67</v>
      </c>
      <c r="S10643">
        <v>0</v>
      </c>
      <c r="T10643">
        <v>1</v>
      </c>
      <c r="U10643">
        <v>0</v>
      </c>
      <c r="V10643">
        <v>0</v>
      </c>
      <c r="W10643">
        <v>0</v>
      </c>
      <c r="X10643">
        <v>1</v>
      </c>
      <c r="Y10643">
        <v>1</v>
      </c>
      <c r="Z10643">
        <v>0</v>
      </c>
      <c r="AA10643">
        <v>0</v>
      </c>
      <c r="AB10643">
        <v>1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</row>
    <row r="10644" spans="1:39" x14ac:dyDescent="0.2">
      <c r="A10644" t="str">
        <f>"10640"</f>
        <v>10640</v>
      </c>
      <c r="B10644" t="str">
        <f t="shared" si="591"/>
        <v>1</v>
      </c>
      <c r="C10644" t="str">
        <f t="shared" si="592"/>
        <v>213</v>
      </c>
      <c r="D10644" t="str">
        <f>"28"</f>
        <v>28</v>
      </c>
      <c r="E10644" t="str">
        <f>"1-213-28"</f>
        <v>1-213-28</v>
      </c>
      <c r="F10644" t="s">
        <v>65</v>
      </c>
      <c r="G10644" t="s">
        <v>66</v>
      </c>
      <c r="H10644" t="s">
        <v>67</v>
      </c>
      <c r="S10644">
        <v>0</v>
      </c>
      <c r="T10644">
        <v>1</v>
      </c>
      <c r="U10644">
        <v>0</v>
      </c>
      <c r="V10644">
        <v>0</v>
      </c>
      <c r="W10644">
        <v>0</v>
      </c>
      <c r="X10644">
        <v>1</v>
      </c>
      <c r="Y10644">
        <v>0</v>
      </c>
      <c r="Z10644">
        <v>1</v>
      </c>
      <c r="AA10644">
        <v>0</v>
      </c>
      <c r="AB10644">
        <v>0</v>
      </c>
      <c r="AC10644">
        <v>1</v>
      </c>
      <c r="AD10644">
        <v>1</v>
      </c>
      <c r="AE10644">
        <v>1</v>
      </c>
      <c r="AF10644">
        <v>1</v>
      </c>
      <c r="AG10644">
        <v>1</v>
      </c>
      <c r="AH10644">
        <v>1</v>
      </c>
      <c r="AI10644">
        <v>1</v>
      </c>
      <c r="AJ10644">
        <v>1</v>
      </c>
      <c r="AK10644">
        <v>1</v>
      </c>
      <c r="AL10644">
        <v>1</v>
      </c>
      <c r="AM10644">
        <v>1</v>
      </c>
    </row>
    <row r="10645" spans="1:39" x14ac:dyDescent="0.2">
      <c r="A10645" t="str">
        <f>"10641"</f>
        <v>10641</v>
      </c>
      <c r="B10645" t="str">
        <f t="shared" si="591"/>
        <v>1</v>
      </c>
      <c r="C10645" t="str">
        <f t="shared" si="592"/>
        <v>213</v>
      </c>
      <c r="D10645" t="str">
        <f>"8"</f>
        <v>8</v>
      </c>
      <c r="E10645" t="str">
        <f>"1-213-8"</f>
        <v>1-213-8</v>
      </c>
      <c r="F10645" t="s">
        <v>65</v>
      </c>
      <c r="G10645" t="s">
        <v>66</v>
      </c>
      <c r="H10645" t="s">
        <v>67</v>
      </c>
      <c r="S10645">
        <v>0</v>
      </c>
      <c r="T10645">
        <v>1</v>
      </c>
      <c r="U10645">
        <v>0</v>
      </c>
      <c r="V10645">
        <v>0</v>
      </c>
      <c r="W10645">
        <v>0</v>
      </c>
      <c r="X10645">
        <v>1</v>
      </c>
      <c r="Y10645">
        <v>0</v>
      </c>
      <c r="Z10645">
        <v>1</v>
      </c>
      <c r="AA10645">
        <v>0</v>
      </c>
      <c r="AB10645">
        <v>0</v>
      </c>
      <c r="AC10645">
        <v>1</v>
      </c>
      <c r="AD10645">
        <v>1</v>
      </c>
      <c r="AE10645">
        <v>1</v>
      </c>
      <c r="AF10645">
        <v>1</v>
      </c>
      <c r="AG10645">
        <v>1</v>
      </c>
      <c r="AH10645">
        <v>1</v>
      </c>
      <c r="AI10645">
        <v>1</v>
      </c>
      <c r="AJ10645">
        <v>1</v>
      </c>
      <c r="AK10645">
        <v>1</v>
      </c>
      <c r="AL10645">
        <v>1</v>
      </c>
      <c r="AM10645">
        <v>1</v>
      </c>
    </row>
    <row r="10646" spans="1:39" x14ac:dyDescent="0.2">
      <c r="A10646" t="str">
        <f>"10642"</f>
        <v>10642</v>
      </c>
      <c r="B10646" t="str">
        <f t="shared" si="591"/>
        <v>1</v>
      </c>
      <c r="C10646" t="str">
        <f t="shared" si="592"/>
        <v>213</v>
      </c>
      <c r="D10646" t="str">
        <f>"49"</f>
        <v>49</v>
      </c>
      <c r="E10646" t="str">
        <f>"1-213-49"</f>
        <v>1-213-49</v>
      </c>
      <c r="F10646" t="s">
        <v>65</v>
      </c>
      <c r="G10646" t="s">
        <v>66</v>
      </c>
      <c r="H10646" t="s">
        <v>67</v>
      </c>
      <c r="S10646">
        <v>1</v>
      </c>
      <c r="T10646">
        <v>0</v>
      </c>
      <c r="U10646">
        <v>0</v>
      </c>
      <c r="V10646">
        <v>0</v>
      </c>
      <c r="W10646">
        <v>0</v>
      </c>
      <c r="X10646">
        <v>1</v>
      </c>
      <c r="Y10646">
        <v>0</v>
      </c>
      <c r="Z10646">
        <v>1</v>
      </c>
      <c r="AA10646">
        <v>0</v>
      </c>
      <c r="AB10646">
        <v>0</v>
      </c>
      <c r="AC10646">
        <v>1</v>
      </c>
      <c r="AD10646">
        <v>1</v>
      </c>
      <c r="AE10646">
        <v>1</v>
      </c>
      <c r="AF10646">
        <v>1</v>
      </c>
      <c r="AG10646">
        <v>1</v>
      </c>
      <c r="AH10646">
        <v>1</v>
      </c>
      <c r="AI10646">
        <v>1</v>
      </c>
      <c r="AJ10646">
        <v>1</v>
      </c>
      <c r="AK10646">
        <v>1</v>
      </c>
      <c r="AL10646">
        <v>1</v>
      </c>
      <c r="AM10646">
        <v>1</v>
      </c>
    </row>
    <row r="10647" spans="1:39" x14ac:dyDescent="0.2">
      <c r="A10647" t="str">
        <f>"10643"</f>
        <v>10643</v>
      </c>
      <c r="B10647" t="str">
        <f t="shared" si="591"/>
        <v>1</v>
      </c>
      <c r="C10647" t="str">
        <f t="shared" si="592"/>
        <v>213</v>
      </c>
      <c r="D10647" t="str">
        <f>"30"</f>
        <v>30</v>
      </c>
      <c r="E10647" t="str">
        <f>"1-213-30"</f>
        <v>1-213-30</v>
      </c>
      <c r="F10647" t="s">
        <v>65</v>
      </c>
      <c r="G10647" t="s">
        <v>66</v>
      </c>
      <c r="H10647" t="s">
        <v>67</v>
      </c>
      <c r="S10647">
        <v>1</v>
      </c>
      <c r="T10647">
        <v>0</v>
      </c>
      <c r="U10647">
        <v>0</v>
      </c>
      <c r="V10647">
        <v>0</v>
      </c>
      <c r="W10647">
        <v>1</v>
      </c>
      <c r="X10647">
        <v>0</v>
      </c>
      <c r="Y10647">
        <v>1</v>
      </c>
      <c r="Z10647">
        <v>0</v>
      </c>
      <c r="AA10647">
        <v>0</v>
      </c>
      <c r="AB10647">
        <v>1</v>
      </c>
      <c r="AC10647">
        <v>0</v>
      </c>
      <c r="AD10647">
        <v>1</v>
      </c>
      <c r="AE10647">
        <v>1</v>
      </c>
      <c r="AF10647">
        <v>1</v>
      </c>
      <c r="AG10647">
        <v>1</v>
      </c>
      <c r="AH10647">
        <v>1</v>
      </c>
      <c r="AI10647">
        <v>1</v>
      </c>
      <c r="AJ10647">
        <v>1</v>
      </c>
      <c r="AK10647">
        <v>1</v>
      </c>
      <c r="AL10647">
        <v>1</v>
      </c>
      <c r="AM10647">
        <v>1</v>
      </c>
    </row>
    <row r="10648" spans="1:39" x14ac:dyDescent="0.2">
      <c r="A10648" t="str">
        <f>"10644"</f>
        <v>10644</v>
      </c>
      <c r="B10648" t="str">
        <f t="shared" si="591"/>
        <v>1</v>
      </c>
      <c r="C10648" t="str">
        <f t="shared" si="592"/>
        <v>213</v>
      </c>
      <c r="D10648" t="str">
        <f>"4"</f>
        <v>4</v>
      </c>
      <c r="E10648" t="str">
        <f>"1-213-4"</f>
        <v>1-213-4</v>
      </c>
      <c r="F10648" t="s">
        <v>65</v>
      </c>
      <c r="G10648" t="s">
        <v>66</v>
      </c>
      <c r="H10648" t="s">
        <v>67</v>
      </c>
      <c r="S10648">
        <v>0</v>
      </c>
      <c r="T10648">
        <v>1</v>
      </c>
      <c r="U10648">
        <v>0</v>
      </c>
      <c r="V10648">
        <v>0</v>
      </c>
      <c r="W10648">
        <v>0</v>
      </c>
      <c r="X10648">
        <v>1</v>
      </c>
      <c r="Y10648">
        <v>0</v>
      </c>
      <c r="Z10648">
        <v>1</v>
      </c>
      <c r="AA10648">
        <v>0</v>
      </c>
      <c r="AB10648">
        <v>0</v>
      </c>
      <c r="AC10648">
        <v>1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>
        <v>0</v>
      </c>
      <c r="AM10648">
        <v>0</v>
      </c>
    </row>
    <row r="10649" spans="1:39" x14ac:dyDescent="0.2">
      <c r="A10649" t="str">
        <f>"10645"</f>
        <v>10645</v>
      </c>
      <c r="B10649" t="str">
        <f t="shared" si="591"/>
        <v>1</v>
      </c>
      <c r="C10649" t="str">
        <f t="shared" si="592"/>
        <v>213</v>
      </c>
      <c r="D10649" t="str">
        <f>"31"</f>
        <v>31</v>
      </c>
      <c r="E10649" t="str">
        <f>"1-213-31"</f>
        <v>1-213-31</v>
      </c>
      <c r="F10649" t="s">
        <v>65</v>
      </c>
      <c r="G10649" t="s">
        <v>66</v>
      </c>
      <c r="H10649" t="s">
        <v>67</v>
      </c>
      <c r="S10649">
        <v>0</v>
      </c>
      <c r="T10649">
        <v>1</v>
      </c>
      <c r="U10649">
        <v>0</v>
      </c>
      <c r="V10649">
        <v>0</v>
      </c>
      <c r="W10649">
        <v>1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1</v>
      </c>
      <c r="AE10649">
        <v>1</v>
      </c>
      <c r="AF10649">
        <v>1</v>
      </c>
      <c r="AG10649">
        <v>1</v>
      </c>
      <c r="AH10649">
        <v>1</v>
      </c>
      <c r="AI10649">
        <v>1</v>
      </c>
      <c r="AJ10649">
        <v>1</v>
      </c>
      <c r="AK10649">
        <v>1</v>
      </c>
      <c r="AL10649">
        <v>1</v>
      </c>
      <c r="AM10649">
        <v>1</v>
      </c>
    </row>
    <row r="10650" spans="1:39" x14ac:dyDescent="0.2">
      <c r="A10650" t="str">
        <f>"10646"</f>
        <v>10646</v>
      </c>
      <c r="B10650" t="str">
        <f t="shared" si="591"/>
        <v>1</v>
      </c>
      <c r="C10650" t="str">
        <f t="shared" si="592"/>
        <v>213</v>
      </c>
      <c r="D10650" t="str">
        <f>"9"</f>
        <v>9</v>
      </c>
      <c r="E10650" t="str">
        <f>"1-213-9"</f>
        <v>1-213-9</v>
      </c>
      <c r="F10650" t="s">
        <v>65</v>
      </c>
      <c r="G10650" t="s">
        <v>66</v>
      </c>
      <c r="H10650" t="s">
        <v>67</v>
      </c>
      <c r="S10650">
        <v>0</v>
      </c>
      <c r="T10650">
        <v>1</v>
      </c>
      <c r="U10650">
        <v>0</v>
      </c>
      <c r="V10650">
        <v>0</v>
      </c>
      <c r="W10650">
        <v>0</v>
      </c>
      <c r="X10650">
        <v>1</v>
      </c>
      <c r="Y10650">
        <v>0</v>
      </c>
      <c r="Z10650">
        <v>1</v>
      </c>
      <c r="AA10650">
        <v>0</v>
      </c>
      <c r="AB10650">
        <v>0</v>
      </c>
      <c r="AC10650">
        <v>1</v>
      </c>
      <c r="AD10650">
        <v>1</v>
      </c>
      <c r="AE10650">
        <v>1</v>
      </c>
      <c r="AF10650">
        <v>1</v>
      </c>
      <c r="AG10650">
        <v>1</v>
      </c>
      <c r="AH10650">
        <v>1</v>
      </c>
      <c r="AI10650">
        <v>1</v>
      </c>
      <c r="AJ10650">
        <v>1</v>
      </c>
      <c r="AK10650">
        <v>1</v>
      </c>
      <c r="AL10650">
        <v>1</v>
      </c>
      <c r="AM10650">
        <v>1</v>
      </c>
    </row>
    <row r="10651" spans="1:39" x14ac:dyDescent="0.2">
      <c r="A10651" t="str">
        <f>"10647"</f>
        <v>10647</v>
      </c>
      <c r="B10651" t="str">
        <f t="shared" si="591"/>
        <v>1</v>
      </c>
      <c r="C10651" t="str">
        <f t="shared" si="592"/>
        <v>213</v>
      </c>
      <c r="D10651" t="str">
        <f>"48"</f>
        <v>48</v>
      </c>
      <c r="E10651" t="str">
        <f>"1-213-48"</f>
        <v>1-213-48</v>
      </c>
      <c r="F10651" t="s">
        <v>65</v>
      </c>
      <c r="G10651" t="s">
        <v>66</v>
      </c>
      <c r="H10651" t="s">
        <v>67</v>
      </c>
      <c r="S10651">
        <v>1</v>
      </c>
      <c r="T10651">
        <v>0</v>
      </c>
      <c r="U10651">
        <v>0</v>
      </c>
      <c r="V10651">
        <v>0</v>
      </c>
      <c r="W10651">
        <v>1</v>
      </c>
      <c r="X10651">
        <v>0</v>
      </c>
      <c r="Y10651">
        <v>0</v>
      </c>
      <c r="Z10651">
        <v>1</v>
      </c>
      <c r="AA10651">
        <v>0</v>
      </c>
      <c r="AB10651">
        <v>1</v>
      </c>
      <c r="AC10651">
        <v>0</v>
      </c>
      <c r="AD10651">
        <v>1</v>
      </c>
      <c r="AE10651">
        <v>1</v>
      </c>
      <c r="AF10651">
        <v>1</v>
      </c>
      <c r="AG10651">
        <v>1</v>
      </c>
      <c r="AH10651">
        <v>1</v>
      </c>
      <c r="AI10651">
        <v>1</v>
      </c>
      <c r="AJ10651">
        <v>1</v>
      </c>
      <c r="AK10651">
        <v>1</v>
      </c>
      <c r="AL10651">
        <v>1</v>
      </c>
      <c r="AM10651">
        <v>1</v>
      </c>
    </row>
    <row r="10652" spans="1:39" x14ac:dyDescent="0.2">
      <c r="A10652" t="str">
        <f>"10648"</f>
        <v>10648</v>
      </c>
      <c r="B10652" t="str">
        <f t="shared" si="591"/>
        <v>1</v>
      </c>
      <c r="C10652" t="str">
        <f t="shared" si="592"/>
        <v>213</v>
      </c>
      <c r="D10652" t="str">
        <f>"32"</f>
        <v>32</v>
      </c>
      <c r="E10652" t="str">
        <f>"1-213-32"</f>
        <v>1-213-32</v>
      </c>
      <c r="F10652" t="s">
        <v>65</v>
      </c>
      <c r="G10652" t="s">
        <v>66</v>
      </c>
      <c r="H10652" t="s">
        <v>67</v>
      </c>
      <c r="S10652">
        <v>0</v>
      </c>
      <c r="T10652">
        <v>1</v>
      </c>
      <c r="U10652">
        <v>0</v>
      </c>
      <c r="V10652">
        <v>0</v>
      </c>
      <c r="W10652">
        <v>1</v>
      </c>
      <c r="X10652">
        <v>0</v>
      </c>
      <c r="Y10652">
        <v>0</v>
      </c>
      <c r="Z10652">
        <v>0</v>
      </c>
      <c r="AA10652">
        <v>0</v>
      </c>
      <c r="AB10652">
        <v>1</v>
      </c>
      <c r="AC10652">
        <v>0</v>
      </c>
      <c r="AD10652">
        <v>1</v>
      </c>
      <c r="AE10652">
        <v>1</v>
      </c>
      <c r="AF10652">
        <v>1</v>
      </c>
      <c r="AG10652">
        <v>1</v>
      </c>
      <c r="AH10652">
        <v>1</v>
      </c>
      <c r="AI10652">
        <v>1</v>
      </c>
      <c r="AJ10652">
        <v>1</v>
      </c>
      <c r="AK10652">
        <v>1</v>
      </c>
      <c r="AL10652">
        <v>1</v>
      </c>
      <c r="AM10652">
        <v>1</v>
      </c>
    </row>
    <row r="10653" spans="1:39" x14ac:dyDescent="0.2">
      <c r="A10653" t="str">
        <f>"10649"</f>
        <v>10649</v>
      </c>
      <c r="B10653" t="str">
        <f t="shared" si="591"/>
        <v>1</v>
      </c>
      <c r="C10653" t="str">
        <f t="shared" si="592"/>
        <v>213</v>
      </c>
      <c r="D10653" t="str">
        <f>"3"</f>
        <v>3</v>
      </c>
      <c r="E10653" t="str">
        <f>"1-213-3"</f>
        <v>1-213-3</v>
      </c>
      <c r="F10653" t="s">
        <v>65</v>
      </c>
      <c r="G10653" t="s">
        <v>66</v>
      </c>
      <c r="H10653" t="s">
        <v>67</v>
      </c>
      <c r="S10653">
        <v>0</v>
      </c>
      <c r="T10653">
        <v>1</v>
      </c>
      <c r="U10653">
        <v>0</v>
      </c>
      <c r="V10653">
        <v>0</v>
      </c>
      <c r="W10653">
        <v>0</v>
      </c>
      <c r="X10653">
        <v>1</v>
      </c>
      <c r="Y10653">
        <v>1</v>
      </c>
      <c r="Z10653">
        <v>0</v>
      </c>
      <c r="AA10653">
        <v>0</v>
      </c>
      <c r="AB10653">
        <v>0</v>
      </c>
      <c r="AC10653">
        <v>1</v>
      </c>
      <c r="AD10653">
        <v>0</v>
      </c>
      <c r="AE10653">
        <v>1</v>
      </c>
      <c r="AF10653">
        <v>1</v>
      </c>
      <c r="AG10653">
        <v>1</v>
      </c>
      <c r="AH10653">
        <v>1</v>
      </c>
      <c r="AI10653">
        <v>0</v>
      </c>
      <c r="AJ10653">
        <v>1</v>
      </c>
      <c r="AK10653">
        <v>0</v>
      </c>
      <c r="AL10653">
        <v>1</v>
      </c>
      <c r="AM10653">
        <v>0</v>
      </c>
    </row>
    <row r="10654" spans="1:39" x14ac:dyDescent="0.2">
      <c r="A10654" t="str">
        <f>"10650"</f>
        <v>10650</v>
      </c>
      <c r="B10654" t="str">
        <f t="shared" si="591"/>
        <v>1</v>
      </c>
      <c r="C10654" t="str">
        <f t="shared" si="592"/>
        <v>213</v>
      </c>
      <c r="D10654" t="str">
        <f>"50"</f>
        <v>50</v>
      </c>
      <c r="E10654" t="str">
        <f>"1-213-50"</f>
        <v>1-213-50</v>
      </c>
      <c r="F10654" t="s">
        <v>65</v>
      </c>
      <c r="G10654" t="s">
        <v>66</v>
      </c>
      <c r="H10654" t="s">
        <v>67</v>
      </c>
      <c r="S10654">
        <v>1</v>
      </c>
      <c r="T10654">
        <v>0</v>
      </c>
      <c r="U10654">
        <v>0</v>
      </c>
      <c r="V10654">
        <v>0</v>
      </c>
      <c r="W10654">
        <v>1</v>
      </c>
      <c r="X10654">
        <v>0</v>
      </c>
      <c r="Y10654">
        <v>1</v>
      </c>
      <c r="Z10654">
        <v>0</v>
      </c>
      <c r="AA10654">
        <v>1</v>
      </c>
      <c r="AB10654">
        <v>0</v>
      </c>
      <c r="AC10654">
        <v>0</v>
      </c>
      <c r="AD10654">
        <v>1</v>
      </c>
      <c r="AE10654">
        <v>1</v>
      </c>
      <c r="AF10654">
        <v>1</v>
      </c>
      <c r="AG10654">
        <v>1</v>
      </c>
      <c r="AH10654">
        <v>1</v>
      </c>
      <c r="AI10654">
        <v>1</v>
      </c>
      <c r="AJ10654">
        <v>1</v>
      </c>
      <c r="AK10654">
        <v>1</v>
      </c>
      <c r="AL10654">
        <v>1</v>
      </c>
      <c r="AM10654">
        <v>0</v>
      </c>
    </row>
    <row r="10655" spans="1:39" x14ac:dyDescent="0.2">
      <c r="A10655" t="str">
        <f>"10651"</f>
        <v>10651</v>
      </c>
      <c r="B10655" t="str">
        <f t="shared" si="591"/>
        <v>1</v>
      </c>
      <c r="C10655" t="str">
        <f t="shared" ref="C10655:C10686" si="593">"214"</f>
        <v>214</v>
      </c>
      <c r="D10655" t="str">
        <f>"40"</f>
        <v>40</v>
      </c>
      <c r="E10655" t="str">
        <f>"1-214-40"</f>
        <v>1-214-40</v>
      </c>
      <c r="F10655" t="s">
        <v>65</v>
      </c>
      <c r="G10655" t="s">
        <v>66</v>
      </c>
      <c r="H10655" t="s">
        <v>67</v>
      </c>
      <c r="S10655">
        <v>1</v>
      </c>
      <c r="T10655">
        <v>0</v>
      </c>
      <c r="U10655">
        <v>0</v>
      </c>
      <c r="V10655">
        <v>0</v>
      </c>
      <c r="W10655">
        <v>0</v>
      </c>
      <c r="X10655">
        <v>1</v>
      </c>
      <c r="Y10655">
        <v>0</v>
      </c>
      <c r="Z10655">
        <v>1</v>
      </c>
      <c r="AA10655">
        <v>0</v>
      </c>
      <c r="AB10655">
        <v>0</v>
      </c>
      <c r="AC10655">
        <v>1</v>
      </c>
      <c r="AD10655">
        <v>1</v>
      </c>
      <c r="AE10655">
        <v>1</v>
      </c>
      <c r="AF10655">
        <v>1</v>
      </c>
      <c r="AG10655">
        <v>1</v>
      </c>
      <c r="AH10655">
        <v>1</v>
      </c>
      <c r="AI10655">
        <v>1</v>
      </c>
      <c r="AJ10655">
        <v>1</v>
      </c>
      <c r="AK10655">
        <v>1</v>
      </c>
      <c r="AL10655">
        <v>1</v>
      </c>
      <c r="AM10655">
        <v>1</v>
      </c>
    </row>
    <row r="10656" spans="1:39" x14ac:dyDescent="0.2">
      <c r="A10656" t="str">
        <f>"10652"</f>
        <v>10652</v>
      </c>
      <c r="B10656" t="str">
        <f t="shared" si="591"/>
        <v>1</v>
      </c>
      <c r="C10656" t="str">
        <f t="shared" si="593"/>
        <v>214</v>
      </c>
      <c r="D10656" t="str">
        <f>"39"</f>
        <v>39</v>
      </c>
      <c r="E10656" t="str">
        <f>"1-214-39"</f>
        <v>1-214-39</v>
      </c>
      <c r="F10656" t="s">
        <v>65</v>
      </c>
      <c r="G10656" t="s">
        <v>66</v>
      </c>
      <c r="H10656" t="s">
        <v>67</v>
      </c>
      <c r="S10656">
        <v>0</v>
      </c>
      <c r="T10656">
        <v>1</v>
      </c>
      <c r="U10656">
        <v>0</v>
      </c>
      <c r="V10656">
        <v>0</v>
      </c>
      <c r="W10656">
        <v>1</v>
      </c>
      <c r="X10656">
        <v>0</v>
      </c>
      <c r="Y10656">
        <v>1</v>
      </c>
      <c r="Z10656">
        <v>0</v>
      </c>
      <c r="AA10656">
        <v>0</v>
      </c>
      <c r="AB10656">
        <v>1</v>
      </c>
      <c r="AC10656">
        <v>0</v>
      </c>
      <c r="AD10656">
        <v>1</v>
      </c>
      <c r="AE10656">
        <v>1</v>
      </c>
      <c r="AF10656">
        <v>1</v>
      </c>
      <c r="AG10656">
        <v>1</v>
      </c>
      <c r="AH10656">
        <v>1</v>
      </c>
      <c r="AI10656">
        <v>1</v>
      </c>
      <c r="AJ10656">
        <v>1</v>
      </c>
      <c r="AK10656">
        <v>1</v>
      </c>
      <c r="AL10656">
        <v>1</v>
      </c>
      <c r="AM10656">
        <v>1</v>
      </c>
    </row>
    <row r="10657" spans="1:39" x14ac:dyDescent="0.2">
      <c r="A10657" t="str">
        <f>"10653"</f>
        <v>10653</v>
      </c>
      <c r="B10657" t="str">
        <f t="shared" si="591"/>
        <v>1</v>
      </c>
      <c r="C10657" t="str">
        <f t="shared" si="593"/>
        <v>214</v>
      </c>
      <c r="D10657" t="str">
        <f>"31"</f>
        <v>31</v>
      </c>
      <c r="E10657" t="str">
        <f>"1-214-31"</f>
        <v>1-214-31</v>
      </c>
      <c r="F10657" t="s">
        <v>65</v>
      </c>
      <c r="G10657" t="s">
        <v>66</v>
      </c>
      <c r="H10657" t="s">
        <v>67</v>
      </c>
      <c r="S10657">
        <v>0</v>
      </c>
      <c r="T10657">
        <v>0</v>
      </c>
      <c r="U10657">
        <v>0</v>
      </c>
      <c r="V10657">
        <v>0</v>
      </c>
      <c r="W10657">
        <v>1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1</v>
      </c>
      <c r="AD10657">
        <v>0</v>
      </c>
      <c r="AE10657">
        <v>0</v>
      </c>
      <c r="AF10657">
        <v>0</v>
      </c>
      <c r="AG10657">
        <v>1</v>
      </c>
      <c r="AH10657">
        <v>1</v>
      </c>
      <c r="AI10657">
        <v>1</v>
      </c>
      <c r="AJ10657">
        <v>1</v>
      </c>
      <c r="AK10657">
        <v>1</v>
      </c>
      <c r="AL10657">
        <v>1</v>
      </c>
      <c r="AM10657">
        <v>0</v>
      </c>
    </row>
    <row r="10658" spans="1:39" x14ac:dyDescent="0.2">
      <c r="A10658" t="str">
        <f>"10654"</f>
        <v>10654</v>
      </c>
      <c r="B10658" t="str">
        <f t="shared" si="591"/>
        <v>1</v>
      </c>
      <c r="C10658" t="str">
        <f t="shared" si="593"/>
        <v>214</v>
      </c>
      <c r="D10658" t="str">
        <f>"15"</f>
        <v>15</v>
      </c>
      <c r="E10658" t="str">
        <f>"1-214-15"</f>
        <v>1-214-15</v>
      </c>
      <c r="F10658" t="s">
        <v>65</v>
      </c>
      <c r="G10658" t="s">
        <v>66</v>
      </c>
      <c r="H10658" t="s">
        <v>67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1</v>
      </c>
      <c r="Y10658">
        <v>0</v>
      </c>
      <c r="Z10658">
        <v>0</v>
      </c>
      <c r="AA10658">
        <v>0</v>
      </c>
      <c r="AB10658">
        <v>1</v>
      </c>
      <c r="AC10658">
        <v>0</v>
      </c>
      <c r="AD10658">
        <v>0</v>
      </c>
      <c r="AE10658">
        <v>0</v>
      </c>
      <c r="AF10658">
        <v>0</v>
      </c>
      <c r="AG10658">
        <v>1</v>
      </c>
      <c r="AH10658">
        <v>1</v>
      </c>
      <c r="AI10658">
        <v>0</v>
      </c>
      <c r="AJ10658">
        <v>0</v>
      </c>
      <c r="AK10658">
        <v>0</v>
      </c>
      <c r="AL10658">
        <v>1</v>
      </c>
      <c r="AM10658">
        <v>0</v>
      </c>
    </row>
    <row r="10659" spans="1:39" x14ac:dyDescent="0.2">
      <c r="A10659" t="str">
        <f>"10655"</f>
        <v>10655</v>
      </c>
      <c r="B10659" t="str">
        <f t="shared" si="591"/>
        <v>1</v>
      </c>
      <c r="C10659" t="str">
        <f t="shared" si="593"/>
        <v>214</v>
      </c>
      <c r="D10659" t="str">
        <f>"2"</f>
        <v>2</v>
      </c>
      <c r="E10659" t="str">
        <f>"1-214-2"</f>
        <v>1-214-2</v>
      </c>
      <c r="F10659" t="s">
        <v>65</v>
      </c>
      <c r="G10659" t="s">
        <v>66</v>
      </c>
      <c r="H10659" t="s">
        <v>67</v>
      </c>
      <c r="S10659">
        <v>0</v>
      </c>
      <c r="T10659">
        <v>1</v>
      </c>
      <c r="U10659">
        <v>0</v>
      </c>
      <c r="V10659">
        <v>0</v>
      </c>
      <c r="W10659">
        <v>0</v>
      </c>
      <c r="X10659">
        <v>1</v>
      </c>
      <c r="Y10659">
        <v>0</v>
      </c>
      <c r="Z10659">
        <v>1</v>
      </c>
      <c r="AA10659">
        <v>0</v>
      </c>
      <c r="AB10659">
        <v>0</v>
      </c>
      <c r="AC10659">
        <v>1</v>
      </c>
      <c r="AD10659">
        <v>0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>
        <v>0</v>
      </c>
      <c r="AM10659">
        <v>0</v>
      </c>
    </row>
    <row r="10660" spans="1:39" x14ac:dyDescent="0.2">
      <c r="A10660" t="str">
        <f>"10656"</f>
        <v>10656</v>
      </c>
      <c r="B10660" t="str">
        <f t="shared" si="591"/>
        <v>1</v>
      </c>
      <c r="C10660" t="str">
        <f t="shared" si="593"/>
        <v>214</v>
      </c>
      <c r="D10660" t="str">
        <f>"36"</f>
        <v>36</v>
      </c>
      <c r="E10660" t="str">
        <f>"1-214-36"</f>
        <v>1-214-36</v>
      </c>
      <c r="F10660" t="s">
        <v>65</v>
      </c>
      <c r="G10660" t="s">
        <v>66</v>
      </c>
      <c r="H10660" t="s">
        <v>67</v>
      </c>
      <c r="S10660">
        <v>0</v>
      </c>
      <c r="T10660">
        <v>1</v>
      </c>
      <c r="U10660">
        <v>0</v>
      </c>
      <c r="V10660">
        <v>0</v>
      </c>
      <c r="W10660">
        <v>1</v>
      </c>
      <c r="X10660">
        <v>0</v>
      </c>
      <c r="Y10660">
        <v>0</v>
      </c>
      <c r="Z10660">
        <v>1</v>
      </c>
      <c r="AA10660">
        <v>0</v>
      </c>
      <c r="AB10660">
        <v>1</v>
      </c>
      <c r="AC10660">
        <v>0</v>
      </c>
      <c r="AD10660">
        <v>1</v>
      </c>
      <c r="AE10660">
        <v>1</v>
      </c>
      <c r="AF10660">
        <v>1</v>
      </c>
      <c r="AG10660">
        <v>1</v>
      </c>
      <c r="AH10660">
        <v>1</v>
      </c>
      <c r="AI10660">
        <v>1</v>
      </c>
      <c r="AJ10660">
        <v>1</v>
      </c>
      <c r="AK10660">
        <v>1</v>
      </c>
      <c r="AL10660">
        <v>1</v>
      </c>
      <c r="AM10660">
        <v>1</v>
      </c>
    </row>
    <row r="10661" spans="1:39" x14ac:dyDescent="0.2">
      <c r="A10661" t="str">
        <f>"10657"</f>
        <v>10657</v>
      </c>
      <c r="B10661" t="str">
        <f t="shared" si="591"/>
        <v>1</v>
      </c>
      <c r="C10661" t="str">
        <f t="shared" si="593"/>
        <v>214</v>
      </c>
      <c r="D10661" t="str">
        <f>"35"</f>
        <v>35</v>
      </c>
      <c r="E10661" t="str">
        <f>"1-214-35"</f>
        <v>1-214-35</v>
      </c>
      <c r="F10661" t="s">
        <v>65</v>
      </c>
      <c r="G10661" t="s">
        <v>66</v>
      </c>
      <c r="H10661" t="s">
        <v>68</v>
      </c>
      <c r="I10661">
        <v>0</v>
      </c>
      <c r="J10661">
        <v>0</v>
      </c>
      <c r="K10661">
        <v>1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</row>
    <row r="10662" spans="1:39" x14ac:dyDescent="0.2">
      <c r="A10662" t="str">
        <f>"10658"</f>
        <v>10658</v>
      </c>
      <c r="B10662" t="str">
        <f t="shared" si="591"/>
        <v>1</v>
      </c>
      <c r="C10662" t="str">
        <f t="shared" si="593"/>
        <v>214</v>
      </c>
      <c r="D10662" t="str">
        <f>"23"</f>
        <v>23</v>
      </c>
      <c r="E10662" t="str">
        <f>"1-214-23"</f>
        <v>1-214-23</v>
      </c>
      <c r="F10662" t="s">
        <v>65</v>
      </c>
      <c r="G10662" t="s">
        <v>66</v>
      </c>
      <c r="H10662" t="s">
        <v>67</v>
      </c>
      <c r="S10662">
        <v>0</v>
      </c>
      <c r="T10662">
        <v>1</v>
      </c>
      <c r="U10662">
        <v>0</v>
      </c>
      <c r="V10662">
        <v>0</v>
      </c>
      <c r="W10662">
        <v>0</v>
      </c>
      <c r="X10662">
        <v>1</v>
      </c>
      <c r="Y10662">
        <v>0</v>
      </c>
      <c r="Z10662">
        <v>1</v>
      </c>
      <c r="AA10662">
        <v>0</v>
      </c>
      <c r="AB10662">
        <v>0</v>
      </c>
      <c r="AC10662">
        <v>1</v>
      </c>
      <c r="AD10662">
        <v>1</v>
      </c>
      <c r="AE10662">
        <v>1</v>
      </c>
      <c r="AF10662">
        <v>1</v>
      </c>
      <c r="AG10662">
        <v>1</v>
      </c>
      <c r="AH10662">
        <v>1</v>
      </c>
      <c r="AI10662">
        <v>1</v>
      </c>
      <c r="AJ10662">
        <v>1</v>
      </c>
      <c r="AK10662">
        <v>1</v>
      </c>
      <c r="AL10662">
        <v>1</v>
      </c>
      <c r="AM10662">
        <v>1</v>
      </c>
    </row>
    <row r="10663" spans="1:39" x14ac:dyDescent="0.2">
      <c r="A10663" t="str">
        <f>"10659"</f>
        <v>10659</v>
      </c>
      <c r="B10663" t="str">
        <f t="shared" si="591"/>
        <v>1</v>
      </c>
      <c r="C10663" t="str">
        <f t="shared" si="593"/>
        <v>214</v>
      </c>
      <c r="D10663" t="str">
        <f>"16"</f>
        <v>16</v>
      </c>
      <c r="E10663" t="str">
        <f>"1-214-16"</f>
        <v>1-214-16</v>
      </c>
      <c r="F10663" t="s">
        <v>65</v>
      </c>
      <c r="G10663" t="s">
        <v>66</v>
      </c>
      <c r="H10663" t="s">
        <v>67</v>
      </c>
      <c r="S10663">
        <v>0</v>
      </c>
      <c r="T10663">
        <v>1</v>
      </c>
      <c r="U10663">
        <v>0</v>
      </c>
      <c r="V10663">
        <v>0</v>
      </c>
      <c r="W10663">
        <v>1</v>
      </c>
      <c r="X10663">
        <v>0</v>
      </c>
      <c r="Y10663">
        <v>1</v>
      </c>
      <c r="Z10663">
        <v>0</v>
      </c>
      <c r="AA10663">
        <v>1</v>
      </c>
      <c r="AB10663">
        <v>0</v>
      </c>
      <c r="AC10663">
        <v>0</v>
      </c>
      <c r="AD10663">
        <v>1</v>
      </c>
      <c r="AE10663">
        <v>1</v>
      </c>
      <c r="AF10663">
        <v>1</v>
      </c>
      <c r="AG10663">
        <v>1</v>
      </c>
      <c r="AH10663">
        <v>1</v>
      </c>
      <c r="AI10663">
        <v>1</v>
      </c>
      <c r="AJ10663">
        <v>1</v>
      </c>
      <c r="AK10663">
        <v>1</v>
      </c>
      <c r="AL10663">
        <v>1</v>
      </c>
      <c r="AM10663">
        <v>1</v>
      </c>
    </row>
    <row r="10664" spans="1:39" x14ac:dyDescent="0.2">
      <c r="A10664" t="str">
        <f>"10660"</f>
        <v>10660</v>
      </c>
      <c r="B10664" t="str">
        <f t="shared" si="591"/>
        <v>1</v>
      </c>
      <c r="C10664" t="str">
        <f t="shared" si="593"/>
        <v>214</v>
      </c>
      <c r="D10664" t="str">
        <f>"12"</f>
        <v>12</v>
      </c>
      <c r="E10664" t="str">
        <f>"1-214-12"</f>
        <v>1-214-12</v>
      </c>
      <c r="F10664" t="s">
        <v>65</v>
      </c>
      <c r="G10664" t="s">
        <v>66</v>
      </c>
      <c r="H10664" t="s">
        <v>67</v>
      </c>
      <c r="S10664">
        <v>1</v>
      </c>
      <c r="T10664">
        <v>0</v>
      </c>
      <c r="U10664">
        <v>0</v>
      </c>
      <c r="V10664">
        <v>0</v>
      </c>
      <c r="W10664">
        <v>1</v>
      </c>
      <c r="X10664">
        <v>0</v>
      </c>
      <c r="Y10664">
        <v>1</v>
      </c>
      <c r="Z10664">
        <v>0</v>
      </c>
      <c r="AA10664">
        <v>0</v>
      </c>
      <c r="AB10664">
        <v>1</v>
      </c>
      <c r="AC10664">
        <v>0</v>
      </c>
      <c r="AD10664">
        <v>1</v>
      </c>
      <c r="AE10664">
        <v>1</v>
      </c>
      <c r="AF10664">
        <v>1</v>
      </c>
      <c r="AG10664">
        <v>1</v>
      </c>
      <c r="AH10664">
        <v>1</v>
      </c>
      <c r="AI10664">
        <v>1</v>
      </c>
      <c r="AJ10664">
        <v>1</v>
      </c>
      <c r="AK10664">
        <v>1</v>
      </c>
      <c r="AL10664">
        <v>1</v>
      </c>
      <c r="AM10664">
        <v>1</v>
      </c>
    </row>
    <row r="10665" spans="1:39" x14ac:dyDescent="0.2">
      <c r="A10665" t="str">
        <f>"10661"</f>
        <v>10661</v>
      </c>
      <c r="B10665" t="str">
        <f t="shared" si="591"/>
        <v>1</v>
      </c>
      <c r="C10665" t="str">
        <f t="shared" si="593"/>
        <v>214</v>
      </c>
      <c r="D10665" t="str">
        <f>"34"</f>
        <v>34</v>
      </c>
      <c r="E10665" t="str">
        <f>"1-214-34"</f>
        <v>1-214-34</v>
      </c>
      <c r="F10665" t="s">
        <v>65</v>
      </c>
      <c r="G10665" t="s">
        <v>66</v>
      </c>
      <c r="H10665" t="s">
        <v>67</v>
      </c>
      <c r="S10665">
        <v>1</v>
      </c>
      <c r="T10665">
        <v>0</v>
      </c>
      <c r="U10665">
        <v>0</v>
      </c>
      <c r="V10665">
        <v>0</v>
      </c>
      <c r="W10665">
        <v>1</v>
      </c>
      <c r="X10665">
        <v>0</v>
      </c>
      <c r="Y10665">
        <v>0</v>
      </c>
      <c r="Z10665">
        <v>1</v>
      </c>
      <c r="AA10665">
        <v>0</v>
      </c>
      <c r="AB10665">
        <v>0</v>
      </c>
      <c r="AC10665">
        <v>1</v>
      </c>
      <c r="AD10665">
        <v>1</v>
      </c>
      <c r="AE10665">
        <v>1</v>
      </c>
      <c r="AF10665">
        <v>1</v>
      </c>
      <c r="AG10665">
        <v>1</v>
      </c>
      <c r="AH10665">
        <v>1</v>
      </c>
      <c r="AI10665">
        <v>1</v>
      </c>
      <c r="AJ10665">
        <v>1</v>
      </c>
      <c r="AK10665">
        <v>1</v>
      </c>
      <c r="AL10665">
        <v>1</v>
      </c>
      <c r="AM10665">
        <v>1</v>
      </c>
    </row>
    <row r="10666" spans="1:39" x14ac:dyDescent="0.2">
      <c r="A10666" t="str">
        <f>"10662"</f>
        <v>10662</v>
      </c>
      <c r="B10666" t="str">
        <f t="shared" si="591"/>
        <v>1</v>
      </c>
      <c r="C10666" t="str">
        <f t="shared" si="593"/>
        <v>214</v>
      </c>
      <c r="D10666" t="str">
        <f>"33"</f>
        <v>33</v>
      </c>
      <c r="E10666" t="str">
        <f>"1-214-33"</f>
        <v>1-214-33</v>
      </c>
      <c r="F10666" t="s">
        <v>65</v>
      </c>
      <c r="G10666" t="s">
        <v>66</v>
      </c>
      <c r="H10666" t="s">
        <v>67</v>
      </c>
      <c r="S10666">
        <v>1</v>
      </c>
      <c r="T10666">
        <v>0</v>
      </c>
      <c r="U10666">
        <v>0</v>
      </c>
      <c r="V10666">
        <v>0</v>
      </c>
      <c r="W10666">
        <v>1</v>
      </c>
      <c r="X10666">
        <v>0</v>
      </c>
      <c r="Y10666">
        <v>1</v>
      </c>
      <c r="Z10666">
        <v>0</v>
      </c>
      <c r="AA10666">
        <v>0</v>
      </c>
      <c r="AB10666">
        <v>1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>
        <v>0</v>
      </c>
      <c r="AM10666">
        <v>0</v>
      </c>
    </row>
    <row r="10667" spans="1:39" x14ac:dyDescent="0.2">
      <c r="A10667" t="str">
        <f>"10663"</f>
        <v>10663</v>
      </c>
      <c r="B10667" t="str">
        <f t="shared" si="591"/>
        <v>1</v>
      </c>
      <c r="C10667" t="str">
        <f t="shared" si="593"/>
        <v>214</v>
      </c>
      <c r="D10667" t="str">
        <f>"24"</f>
        <v>24</v>
      </c>
      <c r="E10667" t="str">
        <f>"1-214-24"</f>
        <v>1-214-24</v>
      </c>
      <c r="F10667" t="s">
        <v>65</v>
      </c>
      <c r="G10667" t="s">
        <v>66</v>
      </c>
      <c r="H10667" t="s">
        <v>67</v>
      </c>
      <c r="S10667">
        <v>0</v>
      </c>
      <c r="T10667">
        <v>1</v>
      </c>
      <c r="U10667">
        <v>0</v>
      </c>
      <c r="V10667">
        <v>0</v>
      </c>
      <c r="W10667">
        <v>0</v>
      </c>
      <c r="X10667">
        <v>1</v>
      </c>
      <c r="Y10667">
        <v>0</v>
      </c>
      <c r="Z10667">
        <v>1</v>
      </c>
      <c r="AA10667">
        <v>0</v>
      </c>
      <c r="AB10667">
        <v>0</v>
      </c>
      <c r="AC10667">
        <v>1</v>
      </c>
      <c r="AD10667">
        <v>0</v>
      </c>
      <c r="AE10667">
        <v>0</v>
      </c>
      <c r="AF10667">
        <v>0</v>
      </c>
      <c r="AG10667">
        <v>1</v>
      </c>
      <c r="AH10667">
        <v>1</v>
      </c>
      <c r="AI10667">
        <v>1</v>
      </c>
      <c r="AJ10667">
        <v>0</v>
      </c>
      <c r="AK10667">
        <v>0</v>
      </c>
      <c r="AL10667">
        <v>1</v>
      </c>
      <c r="AM10667">
        <v>0</v>
      </c>
    </row>
    <row r="10668" spans="1:39" x14ac:dyDescent="0.2">
      <c r="A10668" t="str">
        <f>"10664"</f>
        <v>10664</v>
      </c>
      <c r="B10668" t="str">
        <f t="shared" si="591"/>
        <v>1</v>
      </c>
      <c r="C10668" t="str">
        <f t="shared" si="593"/>
        <v>214</v>
      </c>
      <c r="D10668" t="str">
        <f>"17"</f>
        <v>17</v>
      </c>
      <c r="E10668" t="str">
        <f>"1-214-17"</f>
        <v>1-214-17</v>
      </c>
      <c r="F10668" t="s">
        <v>65</v>
      </c>
      <c r="G10668" t="s">
        <v>66</v>
      </c>
      <c r="H10668" t="s">
        <v>67</v>
      </c>
      <c r="S10668">
        <v>1</v>
      </c>
      <c r="T10668">
        <v>0</v>
      </c>
      <c r="U10668">
        <v>0</v>
      </c>
      <c r="V10668">
        <v>0</v>
      </c>
      <c r="W10668">
        <v>1</v>
      </c>
      <c r="X10668">
        <v>0</v>
      </c>
      <c r="Y10668">
        <v>1</v>
      </c>
      <c r="Z10668">
        <v>0</v>
      </c>
      <c r="AA10668">
        <v>0</v>
      </c>
      <c r="AB10668">
        <v>1</v>
      </c>
      <c r="AC10668">
        <v>0</v>
      </c>
      <c r="AD10668">
        <v>1</v>
      </c>
      <c r="AE10668">
        <v>1</v>
      </c>
      <c r="AF10668">
        <v>1</v>
      </c>
      <c r="AG10668">
        <v>1</v>
      </c>
      <c r="AH10668">
        <v>1</v>
      </c>
      <c r="AI10668">
        <v>1</v>
      </c>
      <c r="AJ10668">
        <v>1</v>
      </c>
      <c r="AK10668">
        <v>1</v>
      </c>
      <c r="AL10668">
        <v>1</v>
      </c>
      <c r="AM10668">
        <v>1</v>
      </c>
    </row>
    <row r="10669" spans="1:39" x14ac:dyDescent="0.2">
      <c r="A10669" t="str">
        <f>"10665"</f>
        <v>10665</v>
      </c>
      <c r="B10669" t="str">
        <f t="shared" si="591"/>
        <v>1</v>
      </c>
      <c r="C10669" t="str">
        <f t="shared" si="593"/>
        <v>214</v>
      </c>
      <c r="D10669" t="str">
        <f>"10"</f>
        <v>10</v>
      </c>
      <c r="E10669" t="str">
        <f>"1-214-10"</f>
        <v>1-214-10</v>
      </c>
      <c r="F10669" t="s">
        <v>65</v>
      </c>
      <c r="G10669" t="s">
        <v>66</v>
      </c>
      <c r="H10669" t="s">
        <v>67</v>
      </c>
      <c r="S10669">
        <v>0</v>
      </c>
      <c r="T10669">
        <v>1</v>
      </c>
      <c r="U10669">
        <v>0</v>
      </c>
      <c r="V10669">
        <v>0</v>
      </c>
      <c r="W10669">
        <v>0</v>
      </c>
      <c r="X10669">
        <v>1</v>
      </c>
      <c r="Y10669">
        <v>0</v>
      </c>
      <c r="Z10669">
        <v>1</v>
      </c>
      <c r="AA10669">
        <v>0</v>
      </c>
      <c r="AB10669">
        <v>1</v>
      </c>
      <c r="AC10669">
        <v>0</v>
      </c>
      <c r="AD10669">
        <v>1</v>
      </c>
      <c r="AE10669">
        <v>1</v>
      </c>
      <c r="AF10669">
        <v>1</v>
      </c>
      <c r="AG10669">
        <v>1</v>
      </c>
      <c r="AH10669">
        <v>1</v>
      </c>
      <c r="AI10669">
        <v>1</v>
      </c>
      <c r="AJ10669">
        <v>1</v>
      </c>
      <c r="AK10669">
        <v>1</v>
      </c>
      <c r="AL10669">
        <v>1</v>
      </c>
      <c r="AM10669">
        <v>1</v>
      </c>
    </row>
    <row r="10670" spans="1:39" x14ac:dyDescent="0.2">
      <c r="A10670" t="str">
        <f>"10666"</f>
        <v>10666</v>
      </c>
      <c r="B10670" t="str">
        <f t="shared" si="591"/>
        <v>1</v>
      </c>
      <c r="C10670" t="str">
        <f t="shared" si="593"/>
        <v>214</v>
      </c>
      <c r="D10670" t="str">
        <f>"38"</f>
        <v>38</v>
      </c>
      <c r="E10670" t="str">
        <f>"1-214-38"</f>
        <v>1-214-38</v>
      </c>
      <c r="F10670" t="s">
        <v>65</v>
      </c>
      <c r="G10670" t="s">
        <v>66</v>
      </c>
      <c r="H10670" t="s">
        <v>67</v>
      </c>
      <c r="S10670">
        <v>1</v>
      </c>
      <c r="T10670">
        <v>0</v>
      </c>
      <c r="U10670">
        <v>0</v>
      </c>
      <c r="V10670">
        <v>0</v>
      </c>
      <c r="W10670">
        <v>1</v>
      </c>
      <c r="X10670">
        <v>0</v>
      </c>
      <c r="Y10670">
        <v>1</v>
      </c>
      <c r="Z10670">
        <v>0</v>
      </c>
      <c r="AA10670">
        <v>0</v>
      </c>
      <c r="AB10670">
        <v>0</v>
      </c>
      <c r="AC10670">
        <v>1</v>
      </c>
      <c r="AD10670">
        <v>1</v>
      </c>
      <c r="AE10670">
        <v>1</v>
      </c>
      <c r="AF10670">
        <v>1</v>
      </c>
      <c r="AG10670">
        <v>1</v>
      </c>
      <c r="AH10670">
        <v>1</v>
      </c>
      <c r="AI10670">
        <v>1</v>
      </c>
      <c r="AJ10670">
        <v>1</v>
      </c>
      <c r="AK10670">
        <v>1</v>
      </c>
      <c r="AL10670">
        <v>1</v>
      </c>
      <c r="AM10670">
        <v>1</v>
      </c>
    </row>
    <row r="10671" spans="1:39" x14ac:dyDescent="0.2">
      <c r="A10671" t="str">
        <f>"10667"</f>
        <v>10667</v>
      </c>
      <c r="B10671" t="str">
        <f t="shared" si="591"/>
        <v>1</v>
      </c>
      <c r="C10671" t="str">
        <f t="shared" si="593"/>
        <v>214</v>
      </c>
      <c r="D10671" t="str">
        <f>"37"</f>
        <v>37</v>
      </c>
      <c r="E10671" t="str">
        <f>"1-214-37"</f>
        <v>1-214-37</v>
      </c>
      <c r="F10671" t="s">
        <v>65</v>
      </c>
      <c r="G10671" t="s">
        <v>66</v>
      </c>
      <c r="H10671" t="s">
        <v>67</v>
      </c>
      <c r="S10671">
        <v>1</v>
      </c>
      <c r="T10671">
        <v>0</v>
      </c>
      <c r="U10671">
        <v>0</v>
      </c>
      <c r="V10671">
        <v>0</v>
      </c>
      <c r="W10671">
        <v>0</v>
      </c>
      <c r="X10671">
        <v>1</v>
      </c>
      <c r="Y10671">
        <v>0</v>
      </c>
      <c r="Z10671">
        <v>1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>
        <v>0</v>
      </c>
      <c r="AM10671">
        <v>0</v>
      </c>
    </row>
    <row r="10672" spans="1:39" x14ac:dyDescent="0.2">
      <c r="A10672" t="str">
        <f>"10668"</f>
        <v>10668</v>
      </c>
      <c r="B10672" t="str">
        <f t="shared" si="591"/>
        <v>1</v>
      </c>
      <c r="C10672" t="str">
        <f t="shared" si="593"/>
        <v>214</v>
      </c>
      <c r="D10672" t="str">
        <f>"27"</f>
        <v>27</v>
      </c>
      <c r="E10672" t="str">
        <f>"1-214-27"</f>
        <v>1-214-27</v>
      </c>
      <c r="F10672" t="s">
        <v>65</v>
      </c>
      <c r="G10672" t="s">
        <v>66</v>
      </c>
      <c r="H10672" t="s">
        <v>67</v>
      </c>
      <c r="S10672">
        <v>0</v>
      </c>
      <c r="T10672">
        <v>1</v>
      </c>
      <c r="U10672">
        <v>0</v>
      </c>
      <c r="V10672">
        <v>0</v>
      </c>
      <c r="W10672">
        <v>0</v>
      </c>
      <c r="X10672">
        <v>1</v>
      </c>
      <c r="Y10672">
        <v>1</v>
      </c>
      <c r="Z10672">
        <v>0</v>
      </c>
      <c r="AA10672">
        <v>0</v>
      </c>
      <c r="AB10672">
        <v>0</v>
      </c>
      <c r="AC10672">
        <v>1</v>
      </c>
      <c r="AD10672">
        <v>0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>
        <v>0</v>
      </c>
      <c r="AM10672">
        <v>0</v>
      </c>
    </row>
    <row r="10673" spans="1:39" x14ac:dyDescent="0.2">
      <c r="A10673" t="str">
        <f>"10669"</f>
        <v>10669</v>
      </c>
      <c r="B10673" t="str">
        <f t="shared" si="591"/>
        <v>1</v>
      </c>
      <c r="C10673" t="str">
        <f t="shared" si="593"/>
        <v>214</v>
      </c>
      <c r="D10673" t="str">
        <f>"18"</f>
        <v>18</v>
      </c>
      <c r="E10673" t="str">
        <f>"1-214-18"</f>
        <v>1-214-18</v>
      </c>
      <c r="F10673" t="s">
        <v>65</v>
      </c>
      <c r="G10673" t="s">
        <v>66</v>
      </c>
      <c r="H10673" t="s">
        <v>67</v>
      </c>
      <c r="S10673">
        <v>0</v>
      </c>
      <c r="T10673">
        <v>1</v>
      </c>
      <c r="U10673">
        <v>0</v>
      </c>
      <c r="V10673">
        <v>0</v>
      </c>
      <c r="W10673">
        <v>0</v>
      </c>
      <c r="X10673">
        <v>1</v>
      </c>
      <c r="Y10673">
        <v>0</v>
      </c>
      <c r="Z10673">
        <v>1</v>
      </c>
      <c r="AA10673">
        <v>0</v>
      </c>
      <c r="AB10673">
        <v>0</v>
      </c>
      <c r="AC10673">
        <v>1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</row>
    <row r="10674" spans="1:39" x14ac:dyDescent="0.2">
      <c r="A10674" t="str">
        <f>"10670"</f>
        <v>10670</v>
      </c>
      <c r="B10674" t="str">
        <f t="shared" si="591"/>
        <v>1</v>
      </c>
      <c r="C10674" t="str">
        <f t="shared" si="593"/>
        <v>214</v>
      </c>
      <c r="D10674" t="str">
        <f>"6"</f>
        <v>6</v>
      </c>
      <c r="E10674" t="str">
        <f>"1-214-6"</f>
        <v>1-214-6</v>
      </c>
      <c r="F10674" t="s">
        <v>65</v>
      </c>
      <c r="G10674" t="s">
        <v>66</v>
      </c>
      <c r="H10674" t="s">
        <v>67</v>
      </c>
      <c r="S10674">
        <v>0</v>
      </c>
      <c r="T10674">
        <v>1</v>
      </c>
      <c r="U10674">
        <v>0</v>
      </c>
      <c r="V10674">
        <v>0</v>
      </c>
      <c r="W10674">
        <v>0</v>
      </c>
      <c r="X10674">
        <v>1</v>
      </c>
      <c r="Y10674">
        <v>0</v>
      </c>
      <c r="Z10674">
        <v>1</v>
      </c>
      <c r="AA10674">
        <v>0</v>
      </c>
      <c r="AB10674">
        <v>1</v>
      </c>
      <c r="AC10674">
        <v>0</v>
      </c>
      <c r="AD10674">
        <v>1</v>
      </c>
      <c r="AE10674">
        <v>1</v>
      </c>
      <c r="AF10674">
        <v>1</v>
      </c>
      <c r="AG10674">
        <v>1</v>
      </c>
      <c r="AH10674">
        <v>1</v>
      </c>
      <c r="AI10674">
        <v>1</v>
      </c>
      <c r="AJ10674">
        <v>1</v>
      </c>
      <c r="AK10674">
        <v>1</v>
      </c>
      <c r="AL10674">
        <v>1</v>
      </c>
      <c r="AM10674">
        <v>1</v>
      </c>
    </row>
    <row r="10675" spans="1:39" x14ac:dyDescent="0.2">
      <c r="A10675" t="str">
        <f>"10671"</f>
        <v>10671</v>
      </c>
      <c r="B10675" t="str">
        <f t="shared" si="591"/>
        <v>1</v>
      </c>
      <c r="C10675" t="str">
        <f t="shared" si="593"/>
        <v>214</v>
      </c>
      <c r="D10675" t="str">
        <f>"41"</f>
        <v>41</v>
      </c>
      <c r="E10675" t="str">
        <f>"1-214-41"</f>
        <v>1-214-41</v>
      </c>
      <c r="F10675" t="s">
        <v>65</v>
      </c>
      <c r="G10675" t="s">
        <v>66</v>
      </c>
      <c r="H10675" t="s">
        <v>68</v>
      </c>
      <c r="I10675">
        <v>1</v>
      </c>
      <c r="J10675">
        <v>0</v>
      </c>
      <c r="K10675">
        <v>0</v>
      </c>
      <c r="L10675">
        <v>1</v>
      </c>
      <c r="M10675">
        <v>1</v>
      </c>
      <c r="N10675">
        <v>1</v>
      </c>
      <c r="O10675">
        <v>1</v>
      </c>
      <c r="P10675">
        <v>1</v>
      </c>
      <c r="Q10675">
        <v>1</v>
      </c>
      <c r="R10675">
        <v>1</v>
      </c>
    </row>
    <row r="10676" spans="1:39" x14ac:dyDescent="0.2">
      <c r="A10676" t="str">
        <f>"10672"</f>
        <v>10672</v>
      </c>
      <c r="B10676" t="str">
        <f t="shared" si="591"/>
        <v>1</v>
      </c>
      <c r="C10676" t="str">
        <f t="shared" si="593"/>
        <v>214</v>
      </c>
      <c r="D10676" t="str">
        <f>"19"</f>
        <v>19</v>
      </c>
      <c r="E10676" t="str">
        <f>"1-214-19"</f>
        <v>1-214-19</v>
      </c>
      <c r="F10676" t="s">
        <v>65</v>
      </c>
      <c r="G10676" t="s">
        <v>66</v>
      </c>
      <c r="H10676" t="s">
        <v>67</v>
      </c>
      <c r="S10676">
        <v>0</v>
      </c>
      <c r="T10676">
        <v>1</v>
      </c>
      <c r="U10676">
        <v>0</v>
      </c>
      <c r="V10676">
        <v>0</v>
      </c>
      <c r="W10676">
        <v>0</v>
      </c>
      <c r="X10676">
        <v>1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>
        <v>1</v>
      </c>
      <c r="AM10676">
        <v>0</v>
      </c>
    </row>
    <row r="10677" spans="1:39" x14ac:dyDescent="0.2">
      <c r="A10677" t="str">
        <f>"10673"</f>
        <v>10673</v>
      </c>
      <c r="B10677" t="str">
        <f t="shared" si="591"/>
        <v>1</v>
      </c>
      <c r="C10677" t="str">
        <f t="shared" si="593"/>
        <v>214</v>
      </c>
      <c r="D10677" t="str">
        <f>"13"</f>
        <v>13</v>
      </c>
      <c r="E10677" t="str">
        <f>"1-214-13"</f>
        <v>1-214-13</v>
      </c>
      <c r="F10677" t="s">
        <v>65</v>
      </c>
      <c r="G10677" t="s">
        <v>66</v>
      </c>
      <c r="H10677" t="s">
        <v>68</v>
      </c>
      <c r="I10677">
        <v>1</v>
      </c>
      <c r="J10677">
        <v>0</v>
      </c>
      <c r="K10677">
        <v>1</v>
      </c>
      <c r="L10677">
        <v>0</v>
      </c>
      <c r="M10677">
        <v>1</v>
      </c>
      <c r="N10677">
        <v>1</v>
      </c>
      <c r="O10677">
        <v>1</v>
      </c>
      <c r="P10677">
        <v>1</v>
      </c>
      <c r="Q10677">
        <v>1</v>
      </c>
      <c r="R10677">
        <v>1</v>
      </c>
    </row>
    <row r="10678" spans="1:39" x14ac:dyDescent="0.2">
      <c r="A10678" t="str">
        <f>"10674"</f>
        <v>10674</v>
      </c>
      <c r="B10678" t="str">
        <f t="shared" si="591"/>
        <v>1</v>
      </c>
      <c r="C10678" t="str">
        <f t="shared" si="593"/>
        <v>214</v>
      </c>
      <c r="D10678" t="str">
        <f>"42"</f>
        <v>42</v>
      </c>
      <c r="E10678" t="str">
        <f>"1-214-42"</f>
        <v>1-214-42</v>
      </c>
      <c r="F10678" t="s">
        <v>65</v>
      </c>
      <c r="G10678" t="s">
        <v>66</v>
      </c>
      <c r="H10678" t="s">
        <v>67</v>
      </c>
      <c r="S10678">
        <v>1</v>
      </c>
      <c r="T10678">
        <v>0</v>
      </c>
      <c r="U10678">
        <v>0</v>
      </c>
      <c r="V10678">
        <v>0</v>
      </c>
      <c r="W10678">
        <v>1</v>
      </c>
      <c r="X10678">
        <v>0</v>
      </c>
      <c r="Y10678">
        <v>0</v>
      </c>
      <c r="Z10678">
        <v>1</v>
      </c>
      <c r="AA10678">
        <v>0</v>
      </c>
      <c r="AB10678">
        <v>1</v>
      </c>
      <c r="AC10678">
        <v>0</v>
      </c>
      <c r="AD10678">
        <v>1</v>
      </c>
      <c r="AE10678">
        <v>1</v>
      </c>
      <c r="AF10678">
        <v>1</v>
      </c>
      <c r="AG10678">
        <v>1</v>
      </c>
      <c r="AH10678">
        <v>0</v>
      </c>
      <c r="AI10678">
        <v>1</v>
      </c>
      <c r="AJ10678">
        <v>1</v>
      </c>
      <c r="AK10678">
        <v>1</v>
      </c>
      <c r="AL10678">
        <v>1</v>
      </c>
      <c r="AM10678">
        <v>1</v>
      </c>
    </row>
    <row r="10679" spans="1:39" x14ac:dyDescent="0.2">
      <c r="A10679" t="str">
        <f>"10675"</f>
        <v>10675</v>
      </c>
      <c r="B10679" t="str">
        <f t="shared" ref="B10679:B10742" si="594">"1"</f>
        <v>1</v>
      </c>
      <c r="C10679" t="str">
        <f t="shared" si="593"/>
        <v>214</v>
      </c>
      <c r="D10679" t="str">
        <f>"20"</f>
        <v>20</v>
      </c>
      <c r="E10679" t="str">
        <f>"1-214-20"</f>
        <v>1-214-20</v>
      </c>
      <c r="F10679" t="s">
        <v>65</v>
      </c>
      <c r="G10679" t="s">
        <v>66</v>
      </c>
      <c r="H10679" t="s">
        <v>67</v>
      </c>
      <c r="S10679">
        <v>1</v>
      </c>
      <c r="T10679">
        <v>0</v>
      </c>
      <c r="U10679">
        <v>0</v>
      </c>
      <c r="V10679">
        <v>0</v>
      </c>
      <c r="W10679">
        <v>1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1</v>
      </c>
      <c r="AD10679">
        <v>0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>
        <v>0</v>
      </c>
      <c r="AM10679">
        <v>0</v>
      </c>
    </row>
    <row r="10680" spans="1:39" x14ac:dyDescent="0.2">
      <c r="A10680" t="str">
        <f>"10676"</f>
        <v>10676</v>
      </c>
      <c r="B10680" t="str">
        <f t="shared" si="594"/>
        <v>1</v>
      </c>
      <c r="C10680" t="str">
        <f t="shared" si="593"/>
        <v>214</v>
      </c>
      <c r="D10680" t="str">
        <f>"9"</f>
        <v>9</v>
      </c>
      <c r="E10680" t="str">
        <f>"1-214-9"</f>
        <v>1-214-9</v>
      </c>
      <c r="F10680" t="s">
        <v>65</v>
      </c>
      <c r="G10680" t="s">
        <v>66</v>
      </c>
      <c r="H10680" t="s">
        <v>68</v>
      </c>
      <c r="I10680">
        <v>1</v>
      </c>
      <c r="J10680">
        <v>0</v>
      </c>
      <c r="K10680">
        <v>0</v>
      </c>
      <c r="L10680">
        <v>1</v>
      </c>
      <c r="M10680">
        <v>1</v>
      </c>
      <c r="N10680">
        <v>1</v>
      </c>
      <c r="O10680">
        <v>1</v>
      </c>
      <c r="P10680">
        <v>1</v>
      </c>
      <c r="Q10680">
        <v>1</v>
      </c>
      <c r="R10680">
        <v>1</v>
      </c>
    </row>
    <row r="10681" spans="1:39" x14ac:dyDescent="0.2">
      <c r="A10681" t="str">
        <f>"10677"</f>
        <v>10677</v>
      </c>
      <c r="B10681" t="str">
        <f t="shared" si="594"/>
        <v>1</v>
      </c>
      <c r="C10681" t="str">
        <f t="shared" si="593"/>
        <v>214</v>
      </c>
      <c r="D10681" t="str">
        <f>"46"</f>
        <v>46</v>
      </c>
      <c r="E10681" t="str">
        <f>"1-214-46"</f>
        <v>1-214-46</v>
      </c>
      <c r="F10681" t="s">
        <v>65</v>
      </c>
      <c r="G10681" t="s">
        <v>66</v>
      </c>
      <c r="H10681" t="s">
        <v>67</v>
      </c>
      <c r="S10681">
        <v>0</v>
      </c>
      <c r="T10681">
        <v>1</v>
      </c>
      <c r="U10681">
        <v>0</v>
      </c>
      <c r="V10681">
        <v>0</v>
      </c>
      <c r="W10681">
        <v>0</v>
      </c>
      <c r="X10681">
        <v>1</v>
      </c>
      <c r="Y10681">
        <v>0</v>
      </c>
      <c r="Z10681">
        <v>1</v>
      </c>
      <c r="AA10681">
        <v>1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>
        <v>0</v>
      </c>
      <c r="AM10681">
        <v>0</v>
      </c>
    </row>
    <row r="10682" spans="1:39" x14ac:dyDescent="0.2">
      <c r="A10682" t="str">
        <f>"10678"</f>
        <v>10678</v>
      </c>
      <c r="B10682" t="str">
        <f t="shared" si="594"/>
        <v>1</v>
      </c>
      <c r="C10682" t="str">
        <f t="shared" si="593"/>
        <v>214</v>
      </c>
      <c r="D10682" t="str">
        <f>"21"</f>
        <v>21</v>
      </c>
      <c r="E10682" t="str">
        <f>"1-214-21"</f>
        <v>1-214-21</v>
      </c>
      <c r="F10682" t="s">
        <v>65</v>
      </c>
      <c r="G10682" t="s">
        <v>66</v>
      </c>
      <c r="H10682" t="s">
        <v>67</v>
      </c>
      <c r="S10682">
        <v>0</v>
      </c>
      <c r="T10682">
        <v>1</v>
      </c>
      <c r="U10682">
        <v>0</v>
      </c>
      <c r="V10682">
        <v>0</v>
      </c>
      <c r="W10682">
        <v>1</v>
      </c>
      <c r="X10682">
        <v>0</v>
      </c>
      <c r="Y10682">
        <v>0</v>
      </c>
      <c r="Z10682">
        <v>1</v>
      </c>
      <c r="AA10682">
        <v>0</v>
      </c>
      <c r="AB10682">
        <v>0</v>
      </c>
      <c r="AC10682">
        <v>1</v>
      </c>
      <c r="AD10682">
        <v>1</v>
      </c>
      <c r="AE10682">
        <v>1</v>
      </c>
      <c r="AF10682">
        <v>1</v>
      </c>
      <c r="AG10682">
        <v>1</v>
      </c>
      <c r="AH10682">
        <v>1</v>
      </c>
      <c r="AI10682">
        <v>1</v>
      </c>
      <c r="AJ10682">
        <v>1</v>
      </c>
      <c r="AK10682">
        <v>1</v>
      </c>
      <c r="AL10682">
        <v>1</v>
      </c>
      <c r="AM10682">
        <v>1</v>
      </c>
    </row>
    <row r="10683" spans="1:39" x14ac:dyDescent="0.2">
      <c r="A10683" t="str">
        <f>"10679"</f>
        <v>10679</v>
      </c>
      <c r="B10683" t="str">
        <f t="shared" si="594"/>
        <v>1</v>
      </c>
      <c r="C10683" t="str">
        <f t="shared" si="593"/>
        <v>214</v>
      </c>
      <c r="D10683" t="str">
        <f>"5"</f>
        <v>5</v>
      </c>
      <c r="E10683" t="str">
        <f>"1-214-5"</f>
        <v>1-214-5</v>
      </c>
      <c r="F10683" t="s">
        <v>65</v>
      </c>
      <c r="G10683" t="s">
        <v>66</v>
      </c>
      <c r="H10683" t="s">
        <v>67</v>
      </c>
      <c r="S10683">
        <v>0</v>
      </c>
      <c r="T10683">
        <v>1</v>
      </c>
      <c r="U10683">
        <v>0</v>
      </c>
      <c r="V10683">
        <v>0</v>
      </c>
      <c r="W10683">
        <v>0</v>
      </c>
      <c r="X10683">
        <v>1</v>
      </c>
      <c r="Y10683">
        <v>1</v>
      </c>
      <c r="Z10683">
        <v>0</v>
      </c>
      <c r="AA10683">
        <v>0</v>
      </c>
      <c r="AB10683">
        <v>0</v>
      </c>
      <c r="AC10683">
        <v>1</v>
      </c>
      <c r="AD10683">
        <v>1</v>
      </c>
      <c r="AE10683">
        <v>1</v>
      </c>
      <c r="AF10683">
        <v>1</v>
      </c>
      <c r="AG10683">
        <v>1</v>
      </c>
      <c r="AH10683">
        <v>1</v>
      </c>
      <c r="AI10683">
        <v>1</v>
      </c>
      <c r="AJ10683">
        <v>1</v>
      </c>
      <c r="AK10683">
        <v>1</v>
      </c>
      <c r="AL10683">
        <v>1</v>
      </c>
      <c r="AM10683">
        <v>1</v>
      </c>
    </row>
    <row r="10684" spans="1:39" x14ac:dyDescent="0.2">
      <c r="A10684" t="str">
        <f>"10680"</f>
        <v>10680</v>
      </c>
      <c r="B10684" t="str">
        <f t="shared" si="594"/>
        <v>1</v>
      </c>
      <c r="C10684" t="str">
        <f t="shared" si="593"/>
        <v>214</v>
      </c>
      <c r="D10684" t="str">
        <f>"45"</f>
        <v>45</v>
      </c>
      <c r="E10684" t="str">
        <f>"1-214-45"</f>
        <v>1-214-45</v>
      </c>
      <c r="F10684" t="s">
        <v>65</v>
      </c>
      <c r="G10684" t="s">
        <v>66</v>
      </c>
      <c r="H10684" t="s">
        <v>67</v>
      </c>
      <c r="S10684">
        <v>1</v>
      </c>
      <c r="T10684">
        <v>0</v>
      </c>
      <c r="U10684">
        <v>0</v>
      </c>
      <c r="V10684">
        <v>0</v>
      </c>
      <c r="W10684">
        <v>1</v>
      </c>
      <c r="X10684">
        <v>0</v>
      </c>
      <c r="Y10684">
        <v>1</v>
      </c>
      <c r="Z10684">
        <v>0</v>
      </c>
      <c r="AA10684">
        <v>0</v>
      </c>
      <c r="AB10684">
        <v>1</v>
      </c>
      <c r="AC10684">
        <v>0</v>
      </c>
      <c r="AD10684">
        <v>0</v>
      </c>
      <c r="AE10684">
        <v>0</v>
      </c>
      <c r="AF10684">
        <v>0</v>
      </c>
      <c r="AG10684">
        <v>1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</row>
    <row r="10685" spans="1:39" x14ac:dyDescent="0.2">
      <c r="A10685" t="str">
        <f>"10681"</f>
        <v>10681</v>
      </c>
      <c r="B10685" t="str">
        <f t="shared" si="594"/>
        <v>1</v>
      </c>
      <c r="C10685" t="str">
        <f t="shared" si="593"/>
        <v>214</v>
      </c>
      <c r="D10685" t="str">
        <f>"22"</f>
        <v>22</v>
      </c>
      <c r="E10685" t="str">
        <f>"1-214-22"</f>
        <v>1-214-22</v>
      </c>
      <c r="F10685" t="s">
        <v>65</v>
      </c>
      <c r="G10685" t="s">
        <v>66</v>
      </c>
      <c r="H10685" t="s">
        <v>67</v>
      </c>
      <c r="S10685">
        <v>0</v>
      </c>
      <c r="T10685">
        <v>1</v>
      </c>
      <c r="U10685">
        <v>0</v>
      </c>
      <c r="V10685">
        <v>0</v>
      </c>
      <c r="W10685">
        <v>0</v>
      </c>
      <c r="X10685">
        <v>1</v>
      </c>
      <c r="Y10685">
        <v>0</v>
      </c>
      <c r="Z10685">
        <v>1</v>
      </c>
      <c r="AA10685">
        <v>0</v>
      </c>
      <c r="AB10685">
        <v>0</v>
      </c>
      <c r="AC10685">
        <v>1</v>
      </c>
      <c r="AD10685">
        <v>1</v>
      </c>
      <c r="AE10685">
        <v>1</v>
      </c>
      <c r="AF10685">
        <v>1</v>
      </c>
      <c r="AG10685">
        <v>1</v>
      </c>
      <c r="AH10685">
        <v>1</v>
      </c>
      <c r="AI10685">
        <v>1</v>
      </c>
      <c r="AJ10685">
        <v>1</v>
      </c>
      <c r="AK10685">
        <v>1</v>
      </c>
      <c r="AL10685">
        <v>1</v>
      </c>
      <c r="AM10685">
        <v>1</v>
      </c>
    </row>
    <row r="10686" spans="1:39" x14ac:dyDescent="0.2">
      <c r="A10686" t="str">
        <f>"10682"</f>
        <v>10682</v>
      </c>
      <c r="B10686" t="str">
        <f t="shared" si="594"/>
        <v>1</v>
      </c>
      <c r="C10686" t="str">
        <f t="shared" si="593"/>
        <v>214</v>
      </c>
      <c r="D10686" t="str">
        <f>"11"</f>
        <v>11</v>
      </c>
      <c r="E10686" t="str">
        <f>"1-214-11"</f>
        <v>1-214-11</v>
      </c>
      <c r="F10686" t="s">
        <v>65</v>
      </c>
      <c r="G10686" t="s">
        <v>66</v>
      </c>
      <c r="H10686" t="s">
        <v>67</v>
      </c>
      <c r="S10686">
        <v>1</v>
      </c>
      <c r="T10686">
        <v>0</v>
      </c>
      <c r="U10686">
        <v>0</v>
      </c>
      <c r="V10686">
        <v>0</v>
      </c>
      <c r="W10686">
        <v>1</v>
      </c>
      <c r="X10686">
        <v>0</v>
      </c>
      <c r="Y10686">
        <v>0</v>
      </c>
      <c r="Z10686">
        <v>1</v>
      </c>
      <c r="AA10686">
        <v>0</v>
      </c>
      <c r="AB10686">
        <v>1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>
        <v>1</v>
      </c>
      <c r="AM10686">
        <v>0</v>
      </c>
    </row>
    <row r="10687" spans="1:39" x14ac:dyDescent="0.2">
      <c r="A10687" t="str">
        <f>"10683"</f>
        <v>10683</v>
      </c>
      <c r="B10687" t="str">
        <f t="shared" si="594"/>
        <v>1</v>
      </c>
      <c r="C10687" t="str">
        <f t="shared" ref="C10687:C10704" si="595">"214"</f>
        <v>214</v>
      </c>
      <c r="D10687" t="str">
        <f>"47"</f>
        <v>47</v>
      </c>
      <c r="E10687" t="str">
        <f>"1-214-47"</f>
        <v>1-214-47</v>
      </c>
      <c r="F10687" t="s">
        <v>65</v>
      </c>
      <c r="G10687" t="s">
        <v>66</v>
      </c>
      <c r="H10687" t="s">
        <v>67</v>
      </c>
      <c r="S10687">
        <v>0</v>
      </c>
      <c r="T10687">
        <v>1</v>
      </c>
      <c r="U10687">
        <v>0</v>
      </c>
      <c r="V10687">
        <v>0</v>
      </c>
      <c r="W10687">
        <v>0</v>
      </c>
      <c r="X10687">
        <v>1</v>
      </c>
      <c r="Y10687">
        <v>0</v>
      </c>
      <c r="Z10687">
        <v>1</v>
      </c>
      <c r="AA10687">
        <v>0</v>
      </c>
      <c r="AB10687">
        <v>0</v>
      </c>
      <c r="AC10687">
        <v>1</v>
      </c>
      <c r="AD10687">
        <v>1</v>
      </c>
      <c r="AE10687">
        <v>1</v>
      </c>
      <c r="AF10687">
        <v>1</v>
      </c>
      <c r="AG10687">
        <v>1</v>
      </c>
      <c r="AH10687">
        <v>1</v>
      </c>
      <c r="AI10687">
        <v>1</v>
      </c>
      <c r="AJ10687">
        <v>1</v>
      </c>
      <c r="AK10687">
        <v>1</v>
      </c>
      <c r="AL10687">
        <v>1</v>
      </c>
      <c r="AM10687">
        <v>1</v>
      </c>
    </row>
    <row r="10688" spans="1:39" x14ac:dyDescent="0.2">
      <c r="A10688" t="str">
        <f>"10684"</f>
        <v>10684</v>
      </c>
      <c r="B10688" t="str">
        <f t="shared" si="594"/>
        <v>1</v>
      </c>
      <c r="C10688" t="str">
        <f t="shared" si="595"/>
        <v>214</v>
      </c>
      <c r="D10688" t="str">
        <f>"25"</f>
        <v>25</v>
      </c>
      <c r="E10688" t="str">
        <f>"1-214-25"</f>
        <v>1-214-25</v>
      </c>
      <c r="F10688" t="s">
        <v>65</v>
      </c>
      <c r="G10688" t="s">
        <v>66</v>
      </c>
      <c r="H10688" t="s">
        <v>67</v>
      </c>
      <c r="S10688">
        <v>0</v>
      </c>
      <c r="T10688">
        <v>1</v>
      </c>
      <c r="U10688">
        <v>0</v>
      </c>
      <c r="V10688">
        <v>0</v>
      </c>
      <c r="W10688">
        <v>0</v>
      </c>
      <c r="X10688">
        <v>1</v>
      </c>
      <c r="Y10688">
        <v>0</v>
      </c>
      <c r="Z10688">
        <v>1</v>
      </c>
      <c r="AA10688">
        <v>0</v>
      </c>
      <c r="AB10688">
        <v>0</v>
      </c>
      <c r="AC10688">
        <v>1</v>
      </c>
      <c r="AD10688">
        <v>0</v>
      </c>
      <c r="AE10688">
        <v>0</v>
      </c>
      <c r="AF10688">
        <v>0</v>
      </c>
      <c r="AG10688">
        <v>1</v>
      </c>
      <c r="AH10688">
        <v>1</v>
      </c>
      <c r="AI10688">
        <v>1</v>
      </c>
      <c r="AJ10688">
        <v>0</v>
      </c>
      <c r="AK10688">
        <v>0</v>
      </c>
      <c r="AL10688">
        <v>1</v>
      </c>
      <c r="AM10688">
        <v>0</v>
      </c>
    </row>
    <row r="10689" spans="1:39" x14ac:dyDescent="0.2">
      <c r="A10689" t="str">
        <f>"10685"</f>
        <v>10685</v>
      </c>
      <c r="B10689" t="str">
        <f t="shared" si="594"/>
        <v>1</v>
      </c>
      <c r="C10689" t="str">
        <f t="shared" si="595"/>
        <v>214</v>
      </c>
      <c r="D10689" t="str">
        <f>"8"</f>
        <v>8</v>
      </c>
      <c r="E10689" t="str">
        <f>"1-214-8"</f>
        <v>1-214-8</v>
      </c>
      <c r="F10689" t="s">
        <v>65</v>
      </c>
      <c r="G10689" t="s">
        <v>66</v>
      </c>
      <c r="H10689" t="s">
        <v>67</v>
      </c>
      <c r="S10689">
        <v>0</v>
      </c>
      <c r="T10689">
        <v>0</v>
      </c>
      <c r="U10689">
        <v>0</v>
      </c>
      <c r="V10689">
        <v>0</v>
      </c>
      <c r="W10689">
        <v>1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1</v>
      </c>
      <c r="AI10689">
        <v>0</v>
      </c>
      <c r="AJ10689">
        <v>0</v>
      </c>
      <c r="AK10689">
        <v>0</v>
      </c>
      <c r="AL10689">
        <v>1</v>
      </c>
      <c r="AM10689">
        <v>0</v>
      </c>
    </row>
    <row r="10690" spans="1:39" x14ac:dyDescent="0.2">
      <c r="A10690" t="str">
        <f>"10686"</f>
        <v>10686</v>
      </c>
      <c r="B10690" t="str">
        <f t="shared" si="594"/>
        <v>1</v>
      </c>
      <c r="C10690" t="str">
        <f t="shared" si="595"/>
        <v>214</v>
      </c>
      <c r="D10690" t="str">
        <f>"48"</f>
        <v>48</v>
      </c>
      <c r="E10690" t="str">
        <f>"1-214-48"</f>
        <v>1-214-48</v>
      </c>
      <c r="F10690" t="s">
        <v>65</v>
      </c>
      <c r="G10690" t="s">
        <v>66</v>
      </c>
      <c r="H10690" t="s">
        <v>67</v>
      </c>
      <c r="S10690">
        <v>1</v>
      </c>
      <c r="T10690">
        <v>0</v>
      </c>
      <c r="U10690">
        <v>0</v>
      </c>
      <c r="V10690">
        <v>0</v>
      </c>
      <c r="W10690">
        <v>1</v>
      </c>
      <c r="X10690">
        <v>0</v>
      </c>
      <c r="Y10690">
        <v>0</v>
      </c>
      <c r="Z10690">
        <v>1</v>
      </c>
      <c r="AA10690">
        <v>1</v>
      </c>
      <c r="AB10690">
        <v>0</v>
      </c>
      <c r="AC10690">
        <v>0</v>
      </c>
      <c r="AD10690">
        <v>1</v>
      </c>
      <c r="AE10690">
        <v>1</v>
      </c>
      <c r="AF10690">
        <v>1</v>
      </c>
      <c r="AG10690">
        <v>1</v>
      </c>
      <c r="AH10690">
        <v>1</v>
      </c>
      <c r="AI10690">
        <v>1</v>
      </c>
      <c r="AJ10690">
        <v>1</v>
      </c>
      <c r="AK10690">
        <v>1</v>
      </c>
      <c r="AL10690">
        <v>1</v>
      </c>
      <c r="AM10690">
        <v>1</v>
      </c>
    </row>
    <row r="10691" spans="1:39" x14ac:dyDescent="0.2">
      <c r="A10691" t="str">
        <f>"10687"</f>
        <v>10687</v>
      </c>
      <c r="B10691" t="str">
        <f t="shared" si="594"/>
        <v>1</v>
      </c>
      <c r="C10691" t="str">
        <f t="shared" si="595"/>
        <v>214</v>
      </c>
      <c r="D10691" t="str">
        <f>"26"</f>
        <v>26</v>
      </c>
      <c r="E10691" t="str">
        <f>"1-214-26"</f>
        <v>1-214-26</v>
      </c>
      <c r="F10691" t="s">
        <v>65</v>
      </c>
      <c r="G10691" t="s">
        <v>66</v>
      </c>
      <c r="H10691" t="s">
        <v>67</v>
      </c>
      <c r="S10691">
        <v>0</v>
      </c>
      <c r="T10691">
        <v>1</v>
      </c>
      <c r="U10691">
        <v>0</v>
      </c>
      <c r="V10691">
        <v>0</v>
      </c>
      <c r="W10691">
        <v>0</v>
      </c>
      <c r="X10691">
        <v>1</v>
      </c>
      <c r="Y10691">
        <v>1</v>
      </c>
      <c r="Z10691">
        <v>0</v>
      </c>
      <c r="AA10691">
        <v>0</v>
      </c>
      <c r="AB10691">
        <v>1</v>
      </c>
      <c r="AC10691">
        <v>0</v>
      </c>
      <c r="AD10691">
        <v>1</v>
      </c>
      <c r="AE10691">
        <v>1</v>
      </c>
      <c r="AF10691">
        <v>1</v>
      </c>
      <c r="AG10691">
        <v>1</v>
      </c>
      <c r="AH10691">
        <v>1</v>
      </c>
      <c r="AI10691">
        <v>1</v>
      </c>
      <c r="AJ10691">
        <v>1</v>
      </c>
      <c r="AK10691">
        <v>1</v>
      </c>
      <c r="AL10691">
        <v>1</v>
      </c>
      <c r="AM10691">
        <v>1</v>
      </c>
    </row>
    <row r="10692" spans="1:39" x14ac:dyDescent="0.2">
      <c r="A10692" t="str">
        <f>"10688"</f>
        <v>10688</v>
      </c>
      <c r="B10692" t="str">
        <f t="shared" si="594"/>
        <v>1</v>
      </c>
      <c r="C10692" t="str">
        <f t="shared" si="595"/>
        <v>214</v>
      </c>
      <c r="D10692" t="str">
        <f>"7"</f>
        <v>7</v>
      </c>
      <c r="E10692" t="str">
        <f>"1-214-7"</f>
        <v>1-214-7</v>
      </c>
      <c r="F10692" t="s">
        <v>65</v>
      </c>
      <c r="G10692" t="s">
        <v>66</v>
      </c>
      <c r="H10692" t="s">
        <v>67</v>
      </c>
      <c r="S10692">
        <v>1</v>
      </c>
      <c r="T10692">
        <v>0</v>
      </c>
      <c r="U10692">
        <v>0</v>
      </c>
      <c r="V10692">
        <v>0</v>
      </c>
      <c r="W10692">
        <v>1</v>
      </c>
      <c r="X10692">
        <v>0</v>
      </c>
      <c r="Y10692">
        <v>1</v>
      </c>
      <c r="Z10692">
        <v>0</v>
      </c>
      <c r="AA10692">
        <v>1</v>
      </c>
      <c r="AB10692">
        <v>0</v>
      </c>
      <c r="AC10692">
        <v>0</v>
      </c>
      <c r="AD10692">
        <v>1</v>
      </c>
      <c r="AE10692">
        <v>1</v>
      </c>
      <c r="AF10692">
        <v>1</v>
      </c>
      <c r="AG10692">
        <v>1</v>
      </c>
      <c r="AH10692">
        <v>1</v>
      </c>
      <c r="AI10692">
        <v>1</v>
      </c>
      <c r="AJ10692">
        <v>1</v>
      </c>
      <c r="AK10692">
        <v>1</v>
      </c>
      <c r="AL10692">
        <v>1</v>
      </c>
      <c r="AM10692">
        <v>1</v>
      </c>
    </row>
    <row r="10693" spans="1:39" x14ac:dyDescent="0.2">
      <c r="A10693" t="str">
        <f>"10689"</f>
        <v>10689</v>
      </c>
      <c r="B10693" t="str">
        <f t="shared" si="594"/>
        <v>1</v>
      </c>
      <c r="C10693" t="str">
        <f t="shared" si="595"/>
        <v>214</v>
      </c>
      <c r="D10693" t="str">
        <f>"43"</f>
        <v>43</v>
      </c>
      <c r="E10693" t="str">
        <f>"1-214-43"</f>
        <v>1-214-43</v>
      </c>
      <c r="F10693" t="s">
        <v>65</v>
      </c>
      <c r="G10693" t="s">
        <v>66</v>
      </c>
      <c r="H10693" t="s">
        <v>67</v>
      </c>
      <c r="S10693">
        <v>1</v>
      </c>
      <c r="T10693">
        <v>0</v>
      </c>
      <c r="U10693">
        <v>0</v>
      </c>
      <c r="V10693">
        <v>0</v>
      </c>
      <c r="W10693">
        <v>1</v>
      </c>
      <c r="X10693">
        <v>0</v>
      </c>
      <c r="Y10693">
        <v>1</v>
      </c>
      <c r="Z10693">
        <v>0</v>
      </c>
      <c r="AA10693">
        <v>1</v>
      </c>
      <c r="AB10693">
        <v>0</v>
      </c>
      <c r="AC10693">
        <v>0</v>
      </c>
      <c r="AD10693">
        <v>1</v>
      </c>
      <c r="AE10693">
        <v>1</v>
      </c>
      <c r="AF10693">
        <v>1</v>
      </c>
      <c r="AG10693">
        <v>1</v>
      </c>
      <c r="AH10693">
        <v>1</v>
      </c>
      <c r="AI10693">
        <v>1</v>
      </c>
      <c r="AJ10693">
        <v>1</v>
      </c>
      <c r="AK10693">
        <v>1</v>
      </c>
      <c r="AL10693">
        <v>1</v>
      </c>
      <c r="AM10693">
        <v>1</v>
      </c>
    </row>
    <row r="10694" spans="1:39" x14ac:dyDescent="0.2">
      <c r="A10694" t="str">
        <f>"10690"</f>
        <v>10690</v>
      </c>
      <c r="B10694" t="str">
        <f t="shared" si="594"/>
        <v>1</v>
      </c>
      <c r="C10694" t="str">
        <f t="shared" si="595"/>
        <v>214</v>
      </c>
      <c r="D10694" t="str">
        <f>"28"</f>
        <v>28</v>
      </c>
      <c r="E10694" t="str">
        <f>"1-214-28"</f>
        <v>1-214-28</v>
      </c>
      <c r="F10694" t="s">
        <v>65</v>
      </c>
      <c r="G10694" t="s">
        <v>66</v>
      </c>
      <c r="H10694" t="s">
        <v>68</v>
      </c>
      <c r="I10694">
        <v>1</v>
      </c>
      <c r="J10694">
        <v>1</v>
      </c>
      <c r="K10694">
        <v>0</v>
      </c>
      <c r="L10694">
        <v>0</v>
      </c>
      <c r="M10694">
        <v>1</v>
      </c>
      <c r="N10694">
        <v>1</v>
      </c>
      <c r="O10694">
        <v>1</v>
      </c>
      <c r="P10694">
        <v>1</v>
      </c>
      <c r="Q10694">
        <v>1</v>
      </c>
      <c r="R10694">
        <v>1</v>
      </c>
    </row>
    <row r="10695" spans="1:39" x14ac:dyDescent="0.2">
      <c r="A10695" t="str">
        <f>"10691"</f>
        <v>10691</v>
      </c>
      <c r="B10695" t="str">
        <f t="shared" si="594"/>
        <v>1</v>
      </c>
      <c r="C10695" t="str">
        <f t="shared" si="595"/>
        <v>214</v>
      </c>
      <c r="D10695" t="str">
        <f>"4"</f>
        <v>4</v>
      </c>
      <c r="E10695" t="str">
        <f>"1-214-4"</f>
        <v>1-214-4</v>
      </c>
      <c r="F10695" t="s">
        <v>65</v>
      </c>
      <c r="G10695" t="s">
        <v>66</v>
      </c>
      <c r="H10695" t="s">
        <v>67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1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0</v>
      </c>
      <c r="AM10695">
        <v>0</v>
      </c>
    </row>
    <row r="10696" spans="1:39" x14ac:dyDescent="0.2">
      <c r="A10696" t="str">
        <f>"10692"</f>
        <v>10692</v>
      </c>
      <c r="B10696" t="str">
        <f t="shared" si="594"/>
        <v>1</v>
      </c>
      <c r="C10696" t="str">
        <f t="shared" si="595"/>
        <v>214</v>
      </c>
      <c r="D10696" t="str">
        <f>"44"</f>
        <v>44</v>
      </c>
      <c r="E10696" t="str">
        <f>"1-214-44"</f>
        <v>1-214-44</v>
      </c>
      <c r="F10696" t="s">
        <v>65</v>
      </c>
      <c r="G10696" t="s">
        <v>66</v>
      </c>
      <c r="H10696" t="s">
        <v>67</v>
      </c>
      <c r="S10696">
        <v>1</v>
      </c>
      <c r="T10696">
        <v>0</v>
      </c>
      <c r="U10696">
        <v>0</v>
      </c>
      <c r="V10696">
        <v>0</v>
      </c>
      <c r="W10696">
        <v>0</v>
      </c>
      <c r="X10696">
        <v>1</v>
      </c>
      <c r="Y10696">
        <v>0</v>
      </c>
      <c r="Z10696">
        <v>1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>
        <v>0</v>
      </c>
      <c r="AM10696">
        <v>0</v>
      </c>
    </row>
    <row r="10697" spans="1:39" x14ac:dyDescent="0.2">
      <c r="A10697" t="str">
        <f>"10693"</f>
        <v>10693</v>
      </c>
      <c r="B10697" t="str">
        <f t="shared" si="594"/>
        <v>1</v>
      </c>
      <c r="C10697" t="str">
        <f t="shared" si="595"/>
        <v>214</v>
      </c>
      <c r="D10697" t="str">
        <f>"29"</f>
        <v>29</v>
      </c>
      <c r="E10697" t="str">
        <f>"1-214-29"</f>
        <v>1-214-29</v>
      </c>
      <c r="F10697" t="s">
        <v>65</v>
      </c>
      <c r="G10697" t="s">
        <v>66</v>
      </c>
      <c r="H10697" t="s">
        <v>68</v>
      </c>
      <c r="I10697">
        <v>1</v>
      </c>
      <c r="J10697">
        <v>0</v>
      </c>
      <c r="K10697">
        <v>0</v>
      </c>
      <c r="L10697">
        <v>0</v>
      </c>
      <c r="M10697">
        <v>1</v>
      </c>
      <c r="N10697">
        <v>1</v>
      </c>
      <c r="O10697">
        <v>1</v>
      </c>
      <c r="P10697">
        <v>1</v>
      </c>
      <c r="Q10697">
        <v>1</v>
      </c>
      <c r="R10697">
        <v>1</v>
      </c>
    </row>
    <row r="10698" spans="1:39" x14ac:dyDescent="0.2">
      <c r="A10698" t="str">
        <f>"10694"</f>
        <v>10694</v>
      </c>
      <c r="B10698" t="str">
        <f t="shared" si="594"/>
        <v>1</v>
      </c>
      <c r="C10698" t="str">
        <f t="shared" si="595"/>
        <v>214</v>
      </c>
      <c r="D10698" t="str">
        <f>"3"</f>
        <v>3</v>
      </c>
      <c r="E10698" t="str">
        <f>"1-214-3"</f>
        <v>1-214-3</v>
      </c>
      <c r="F10698" t="s">
        <v>65</v>
      </c>
      <c r="G10698" t="s">
        <v>66</v>
      </c>
      <c r="H10698" t="s">
        <v>67</v>
      </c>
      <c r="S10698">
        <v>0</v>
      </c>
      <c r="T10698">
        <v>1</v>
      </c>
      <c r="U10698">
        <v>0</v>
      </c>
      <c r="V10698">
        <v>0</v>
      </c>
      <c r="W10698">
        <v>0</v>
      </c>
      <c r="X10698">
        <v>1</v>
      </c>
      <c r="Y10698">
        <v>0</v>
      </c>
      <c r="Z10698">
        <v>1</v>
      </c>
      <c r="AA10698">
        <v>0</v>
      </c>
      <c r="AB10698">
        <v>0</v>
      </c>
      <c r="AC10698">
        <v>1</v>
      </c>
      <c r="AD10698">
        <v>1</v>
      </c>
      <c r="AE10698">
        <v>1</v>
      </c>
      <c r="AF10698">
        <v>1</v>
      </c>
      <c r="AG10698">
        <v>1</v>
      </c>
      <c r="AH10698">
        <v>1</v>
      </c>
      <c r="AI10698">
        <v>1</v>
      </c>
      <c r="AJ10698">
        <v>1</v>
      </c>
      <c r="AK10698">
        <v>1</v>
      </c>
      <c r="AL10698">
        <v>1</v>
      </c>
      <c r="AM10698">
        <v>0</v>
      </c>
    </row>
    <row r="10699" spans="1:39" x14ac:dyDescent="0.2">
      <c r="A10699" t="str">
        <f>"10695"</f>
        <v>10695</v>
      </c>
      <c r="B10699" t="str">
        <f t="shared" si="594"/>
        <v>1</v>
      </c>
      <c r="C10699" t="str">
        <f t="shared" si="595"/>
        <v>214</v>
      </c>
      <c r="D10699" t="str">
        <f>"49"</f>
        <v>49</v>
      </c>
      <c r="E10699" t="str">
        <f>"1-214-49"</f>
        <v>1-214-49</v>
      </c>
      <c r="F10699" t="s">
        <v>65</v>
      </c>
      <c r="G10699" t="s">
        <v>66</v>
      </c>
      <c r="H10699" t="s">
        <v>67</v>
      </c>
      <c r="S10699">
        <v>1</v>
      </c>
      <c r="T10699">
        <v>0</v>
      </c>
      <c r="U10699">
        <v>0</v>
      </c>
      <c r="V10699">
        <v>0</v>
      </c>
      <c r="W10699">
        <v>1</v>
      </c>
      <c r="X10699">
        <v>0</v>
      </c>
      <c r="Y10699">
        <v>0</v>
      </c>
      <c r="Z10699">
        <v>1</v>
      </c>
      <c r="AA10699">
        <v>0</v>
      </c>
      <c r="AB10699">
        <v>0</v>
      </c>
      <c r="AC10699">
        <v>1</v>
      </c>
      <c r="AD10699">
        <v>1</v>
      </c>
      <c r="AE10699">
        <v>1</v>
      </c>
      <c r="AF10699">
        <v>1</v>
      </c>
      <c r="AG10699">
        <v>1</v>
      </c>
      <c r="AH10699">
        <v>1</v>
      </c>
      <c r="AI10699">
        <v>1</v>
      </c>
      <c r="AJ10699">
        <v>1</v>
      </c>
      <c r="AK10699">
        <v>1</v>
      </c>
      <c r="AL10699">
        <v>1</v>
      </c>
      <c r="AM10699">
        <v>1</v>
      </c>
    </row>
    <row r="10700" spans="1:39" x14ac:dyDescent="0.2">
      <c r="A10700" t="str">
        <f>"10696"</f>
        <v>10696</v>
      </c>
      <c r="B10700" t="str">
        <f t="shared" si="594"/>
        <v>1</v>
      </c>
      <c r="C10700" t="str">
        <f t="shared" si="595"/>
        <v>214</v>
      </c>
      <c r="D10700" t="str">
        <f>"30"</f>
        <v>30</v>
      </c>
      <c r="E10700" t="str">
        <f>"1-214-30"</f>
        <v>1-214-30</v>
      </c>
      <c r="F10700" t="s">
        <v>65</v>
      </c>
      <c r="G10700" t="s">
        <v>66</v>
      </c>
      <c r="H10700" t="s">
        <v>67</v>
      </c>
      <c r="S10700">
        <v>0</v>
      </c>
      <c r="T10700">
        <v>1</v>
      </c>
      <c r="U10700">
        <v>0</v>
      </c>
      <c r="V10700">
        <v>0</v>
      </c>
      <c r="W10700">
        <v>1</v>
      </c>
      <c r="X10700">
        <v>0</v>
      </c>
      <c r="Y10700">
        <v>1</v>
      </c>
      <c r="Z10700">
        <v>0</v>
      </c>
      <c r="AA10700">
        <v>0</v>
      </c>
      <c r="AB10700">
        <v>1</v>
      </c>
      <c r="AC10700">
        <v>0</v>
      </c>
      <c r="AD10700">
        <v>1</v>
      </c>
      <c r="AE10700">
        <v>1</v>
      </c>
      <c r="AF10700">
        <v>1</v>
      </c>
      <c r="AG10700">
        <v>1</v>
      </c>
      <c r="AH10700">
        <v>1</v>
      </c>
      <c r="AI10700">
        <v>1</v>
      </c>
      <c r="AJ10700">
        <v>1</v>
      </c>
      <c r="AK10700">
        <v>1</v>
      </c>
      <c r="AL10700">
        <v>1</v>
      </c>
      <c r="AM10700">
        <v>1</v>
      </c>
    </row>
    <row r="10701" spans="1:39" x14ac:dyDescent="0.2">
      <c r="A10701" t="str">
        <f>"10697"</f>
        <v>10697</v>
      </c>
      <c r="B10701" t="str">
        <f t="shared" si="594"/>
        <v>1</v>
      </c>
      <c r="C10701" t="str">
        <f t="shared" si="595"/>
        <v>214</v>
      </c>
      <c r="D10701" t="str">
        <f>"1"</f>
        <v>1</v>
      </c>
      <c r="E10701" t="str">
        <f>"1-214-1"</f>
        <v>1-214-1</v>
      </c>
      <c r="F10701" t="s">
        <v>65</v>
      </c>
      <c r="G10701" t="s">
        <v>66</v>
      </c>
      <c r="H10701" t="s">
        <v>67</v>
      </c>
      <c r="S10701">
        <v>0</v>
      </c>
      <c r="T10701">
        <v>1</v>
      </c>
      <c r="U10701">
        <v>0</v>
      </c>
      <c r="V10701">
        <v>0</v>
      </c>
      <c r="W10701">
        <v>0</v>
      </c>
      <c r="X10701">
        <v>1</v>
      </c>
      <c r="Y10701">
        <v>0</v>
      </c>
      <c r="Z10701">
        <v>1</v>
      </c>
      <c r="AA10701">
        <v>0</v>
      </c>
      <c r="AB10701">
        <v>1</v>
      </c>
      <c r="AC10701">
        <v>0</v>
      </c>
      <c r="AD10701">
        <v>1</v>
      </c>
      <c r="AE10701">
        <v>1</v>
      </c>
      <c r="AF10701">
        <v>1</v>
      </c>
      <c r="AG10701">
        <v>1</v>
      </c>
      <c r="AH10701">
        <v>1</v>
      </c>
      <c r="AI10701">
        <v>1</v>
      </c>
      <c r="AJ10701">
        <v>1</v>
      </c>
      <c r="AK10701">
        <v>1</v>
      </c>
      <c r="AL10701">
        <v>1</v>
      </c>
      <c r="AM10701">
        <v>1</v>
      </c>
    </row>
    <row r="10702" spans="1:39" x14ac:dyDescent="0.2">
      <c r="A10702" t="str">
        <f>"10698"</f>
        <v>10698</v>
      </c>
      <c r="B10702" t="str">
        <f t="shared" si="594"/>
        <v>1</v>
      </c>
      <c r="C10702" t="str">
        <f t="shared" si="595"/>
        <v>214</v>
      </c>
      <c r="D10702" t="str">
        <f>"32"</f>
        <v>32</v>
      </c>
      <c r="E10702" t="str">
        <f>"1-214-32"</f>
        <v>1-214-32</v>
      </c>
      <c r="F10702" t="s">
        <v>65</v>
      </c>
      <c r="G10702" t="s">
        <v>66</v>
      </c>
      <c r="H10702" t="s">
        <v>67</v>
      </c>
      <c r="S10702">
        <v>0</v>
      </c>
      <c r="T10702">
        <v>1</v>
      </c>
      <c r="U10702">
        <v>0</v>
      </c>
      <c r="V10702">
        <v>0</v>
      </c>
      <c r="W10702">
        <v>1</v>
      </c>
      <c r="X10702">
        <v>0</v>
      </c>
      <c r="Y10702">
        <v>0</v>
      </c>
      <c r="Z10702">
        <v>1</v>
      </c>
      <c r="AA10702">
        <v>1</v>
      </c>
      <c r="AB10702">
        <v>0</v>
      </c>
      <c r="AC10702">
        <v>0</v>
      </c>
      <c r="AD10702">
        <v>1</v>
      </c>
      <c r="AE10702">
        <v>1</v>
      </c>
      <c r="AF10702">
        <v>1</v>
      </c>
      <c r="AG10702">
        <v>1</v>
      </c>
      <c r="AH10702">
        <v>1</v>
      </c>
      <c r="AI10702">
        <v>1</v>
      </c>
      <c r="AJ10702">
        <v>1</v>
      </c>
      <c r="AK10702">
        <v>1</v>
      </c>
      <c r="AL10702">
        <v>1</v>
      </c>
      <c r="AM10702">
        <v>1</v>
      </c>
    </row>
    <row r="10703" spans="1:39" x14ac:dyDescent="0.2">
      <c r="A10703" t="str">
        <f>"10699"</f>
        <v>10699</v>
      </c>
      <c r="B10703" t="str">
        <f t="shared" si="594"/>
        <v>1</v>
      </c>
      <c r="C10703" t="str">
        <f t="shared" si="595"/>
        <v>214</v>
      </c>
      <c r="D10703" t="str">
        <f>"14"</f>
        <v>14</v>
      </c>
      <c r="E10703" t="str">
        <f>"1-214-14"</f>
        <v>1-214-14</v>
      </c>
      <c r="F10703" t="s">
        <v>65</v>
      </c>
      <c r="G10703" t="s">
        <v>66</v>
      </c>
      <c r="H10703" t="s">
        <v>67</v>
      </c>
      <c r="S10703">
        <v>1</v>
      </c>
      <c r="T10703">
        <v>0</v>
      </c>
      <c r="U10703">
        <v>0</v>
      </c>
      <c r="V10703">
        <v>0</v>
      </c>
      <c r="W10703">
        <v>1</v>
      </c>
      <c r="X10703">
        <v>0</v>
      </c>
      <c r="Y10703">
        <v>0</v>
      </c>
      <c r="Z10703">
        <v>1</v>
      </c>
      <c r="AA10703">
        <v>0</v>
      </c>
      <c r="AB10703">
        <v>1</v>
      </c>
      <c r="AC10703">
        <v>0</v>
      </c>
      <c r="AD10703">
        <v>1</v>
      </c>
      <c r="AE10703">
        <v>1</v>
      </c>
      <c r="AF10703">
        <v>1</v>
      </c>
      <c r="AG10703">
        <v>1</v>
      </c>
      <c r="AH10703">
        <v>1</v>
      </c>
      <c r="AI10703">
        <v>1</v>
      </c>
      <c r="AJ10703">
        <v>1</v>
      </c>
      <c r="AK10703">
        <v>1</v>
      </c>
      <c r="AL10703">
        <v>1</v>
      </c>
      <c r="AM10703">
        <v>1</v>
      </c>
    </row>
    <row r="10704" spans="1:39" x14ac:dyDescent="0.2">
      <c r="A10704" t="str">
        <f>"10700"</f>
        <v>10700</v>
      </c>
      <c r="B10704" t="str">
        <f t="shared" si="594"/>
        <v>1</v>
      </c>
      <c r="C10704" t="str">
        <f t="shared" si="595"/>
        <v>214</v>
      </c>
      <c r="D10704" t="str">
        <f>"50"</f>
        <v>50</v>
      </c>
      <c r="E10704" t="str">
        <f>"1-214-50"</f>
        <v>1-214-50</v>
      </c>
      <c r="F10704" t="s">
        <v>65</v>
      </c>
      <c r="G10704" t="s">
        <v>66</v>
      </c>
      <c r="H10704" t="s">
        <v>67</v>
      </c>
      <c r="S10704">
        <v>0</v>
      </c>
      <c r="T10704">
        <v>1</v>
      </c>
      <c r="U10704">
        <v>0</v>
      </c>
      <c r="V10704">
        <v>0</v>
      </c>
      <c r="W10704">
        <v>0</v>
      </c>
      <c r="X10704">
        <v>1</v>
      </c>
      <c r="Y10704">
        <v>0</v>
      </c>
      <c r="Z10704">
        <v>0</v>
      </c>
      <c r="AA10704">
        <v>0</v>
      </c>
      <c r="AB10704">
        <v>0</v>
      </c>
      <c r="AC10704">
        <v>1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>
        <v>0</v>
      </c>
      <c r="AM10704">
        <v>0</v>
      </c>
    </row>
    <row r="10705" spans="1:39" x14ac:dyDescent="0.2">
      <c r="A10705" t="str">
        <f>"10701"</f>
        <v>10701</v>
      </c>
      <c r="B10705" t="str">
        <f t="shared" si="594"/>
        <v>1</v>
      </c>
      <c r="C10705" t="str">
        <f t="shared" ref="C10705:C10736" si="596">"215"</f>
        <v>215</v>
      </c>
      <c r="D10705" t="str">
        <f>"36"</f>
        <v>36</v>
      </c>
      <c r="E10705" t="str">
        <f>"1-215-36"</f>
        <v>1-215-36</v>
      </c>
      <c r="F10705" t="s">
        <v>65</v>
      </c>
      <c r="G10705" t="s">
        <v>66</v>
      </c>
      <c r="H10705" t="s">
        <v>67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1</v>
      </c>
      <c r="Y10705">
        <v>0</v>
      </c>
      <c r="Z10705">
        <v>0</v>
      </c>
      <c r="AA10705">
        <v>0</v>
      </c>
      <c r="AB10705">
        <v>0</v>
      </c>
      <c r="AC10705">
        <v>1</v>
      </c>
      <c r="AD10705">
        <v>0</v>
      </c>
      <c r="AE10705">
        <v>0</v>
      </c>
      <c r="AF10705">
        <v>0</v>
      </c>
      <c r="AG10705">
        <v>1</v>
      </c>
      <c r="AH10705">
        <v>1</v>
      </c>
      <c r="AI10705">
        <v>1</v>
      </c>
      <c r="AJ10705">
        <v>1</v>
      </c>
      <c r="AK10705">
        <v>1</v>
      </c>
      <c r="AL10705">
        <v>1</v>
      </c>
      <c r="AM10705">
        <v>1</v>
      </c>
    </row>
    <row r="10706" spans="1:39" x14ac:dyDescent="0.2">
      <c r="A10706" t="str">
        <f>"10702"</f>
        <v>10702</v>
      </c>
      <c r="B10706" t="str">
        <f t="shared" si="594"/>
        <v>1</v>
      </c>
      <c r="C10706" t="str">
        <f t="shared" si="596"/>
        <v>215</v>
      </c>
      <c r="D10706" t="str">
        <f>"35"</f>
        <v>35</v>
      </c>
      <c r="E10706" t="str">
        <f>"1-215-35"</f>
        <v>1-215-35</v>
      </c>
      <c r="F10706" t="s">
        <v>65</v>
      </c>
      <c r="G10706" t="s">
        <v>66</v>
      </c>
      <c r="H10706" t="s">
        <v>67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1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>
        <v>0</v>
      </c>
      <c r="AM10706">
        <v>0</v>
      </c>
    </row>
    <row r="10707" spans="1:39" x14ac:dyDescent="0.2">
      <c r="A10707" t="str">
        <f>"10703"</f>
        <v>10703</v>
      </c>
      <c r="B10707" t="str">
        <f t="shared" si="594"/>
        <v>1</v>
      </c>
      <c r="C10707" t="str">
        <f t="shared" si="596"/>
        <v>215</v>
      </c>
      <c r="D10707" t="str">
        <f>"25"</f>
        <v>25</v>
      </c>
      <c r="E10707" t="str">
        <f>"1-215-25"</f>
        <v>1-215-25</v>
      </c>
      <c r="F10707" t="s">
        <v>65</v>
      </c>
      <c r="G10707" t="s">
        <v>66</v>
      </c>
      <c r="H10707" t="s">
        <v>67</v>
      </c>
      <c r="S10707">
        <v>0</v>
      </c>
      <c r="T10707">
        <v>1</v>
      </c>
      <c r="U10707">
        <v>0</v>
      </c>
      <c r="V10707">
        <v>0</v>
      </c>
      <c r="W10707">
        <v>0</v>
      </c>
      <c r="X10707">
        <v>1</v>
      </c>
      <c r="Y10707">
        <v>1</v>
      </c>
      <c r="Z10707">
        <v>0</v>
      </c>
      <c r="AA10707">
        <v>0</v>
      </c>
      <c r="AB10707">
        <v>0</v>
      </c>
      <c r="AC10707">
        <v>1</v>
      </c>
      <c r="AD10707">
        <v>1</v>
      </c>
      <c r="AE10707">
        <v>1</v>
      </c>
      <c r="AF10707">
        <v>1</v>
      </c>
      <c r="AG10707">
        <v>1</v>
      </c>
      <c r="AH10707">
        <v>1</v>
      </c>
      <c r="AI10707">
        <v>1</v>
      </c>
      <c r="AJ10707">
        <v>1</v>
      </c>
      <c r="AK10707">
        <v>1</v>
      </c>
      <c r="AL10707">
        <v>1</v>
      </c>
      <c r="AM10707">
        <v>1</v>
      </c>
    </row>
    <row r="10708" spans="1:39" x14ac:dyDescent="0.2">
      <c r="A10708" t="str">
        <f>"10704"</f>
        <v>10704</v>
      </c>
      <c r="B10708" t="str">
        <f t="shared" si="594"/>
        <v>1</v>
      </c>
      <c r="C10708" t="str">
        <f t="shared" si="596"/>
        <v>215</v>
      </c>
      <c r="D10708" t="str">
        <f>"15"</f>
        <v>15</v>
      </c>
      <c r="E10708" t="str">
        <f>"1-215-15"</f>
        <v>1-215-15</v>
      </c>
      <c r="F10708" t="s">
        <v>65</v>
      </c>
      <c r="G10708" t="s">
        <v>66</v>
      </c>
      <c r="H10708" t="s">
        <v>67</v>
      </c>
      <c r="S10708">
        <v>1</v>
      </c>
      <c r="T10708">
        <v>0</v>
      </c>
      <c r="U10708">
        <v>0</v>
      </c>
      <c r="V10708">
        <v>0</v>
      </c>
      <c r="W10708">
        <v>1</v>
      </c>
      <c r="X10708">
        <v>0</v>
      </c>
      <c r="Y10708">
        <v>0</v>
      </c>
      <c r="Z10708">
        <v>0</v>
      </c>
      <c r="AA10708">
        <v>1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1</v>
      </c>
      <c r="AH10708">
        <v>0</v>
      </c>
      <c r="AI10708">
        <v>0</v>
      </c>
      <c r="AJ10708">
        <v>0</v>
      </c>
      <c r="AK10708">
        <v>0</v>
      </c>
      <c r="AL10708">
        <v>0</v>
      </c>
      <c r="AM10708">
        <v>0</v>
      </c>
    </row>
    <row r="10709" spans="1:39" x14ac:dyDescent="0.2">
      <c r="A10709" t="str">
        <f>"10705"</f>
        <v>10705</v>
      </c>
      <c r="B10709" t="str">
        <f t="shared" si="594"/>
        <v>1</v>
      </c>
      <c r="C10709" t="str">
        <f t="shared" si="596"/>
        <v>215</v>
      </c>
      <c r="D10709" t="str">
        <f>"7"</f>
        <v>7</v>
      </c>
      <c r="E10709" t="str">
        <f>"1-215-7"</f>
        <v>1-215-7</v>
      </c>
      <c r="F10709" t="s">
        <v>65</v>
      </c>
      <c r="G10709" t="s">
        <v>66</v>
      </c>
      <c r="H10709" t="s">
        <v>67</v>
      </c>
      <c r="S10709">
        <v>1</v>
      </c>
      <c r="T10709">
        <v>0</v>
      </c>
      <c r="U10709">
        <v>0</v>
      </c>
      <c r="V10709">
        <v>0</v>
      </c>
      <c r="W10709">
        <v>1</v>
      </c>
      <c r="X10709">
        <v>0</v>
      </c>
      <c r="Y10709">
        <v>1</v>
      </c>
      <c r="Z10709">
        <v>0</v>
      </c>
      <c r="AA10709">
        <v>1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>
        <v>0</v>
      </c>
      <c r="AM10709">
        <v>0</v>
      </c>
    </row>
    <row r="10710" spans="1:39" x14ac:dyDescent="0.2">
      <c r="A10710" t="str">
        <f>"10706"</f>
        <v>10706</v>
      </c>
      <c r="B10710" t="str">
        <f t="shared" si="594"/>
        <v>1</v>
      </c>
      <c r="C10710" t="str">
        <f t="shared" si="596"/>
        <v>215</v>
      </c>
      <c r="D10710" t="str">
        <f>"42"</f>
        <v>42</v>
      </c>
      <c r="E10710" t="str">
        <f>"1-215-42"</f>
        <v>1-215-42</v>
      </c>
      <c r="F10710" t="s">
        <v>65</v>
      </c>
      <c r="G10710" t="s">
        <v>66</v>
      </c>
      <c r="H10710" t="s">
        <v>67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1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</row>
    <row r="10711" spans="1:39" x14ac:dyDescent="0.2">
      <c r="A10711" t="str">
        <f>"10707"</f>
        <v>10707</v>
      </c>
      <c r="B10711" t="str">
        <f t="shared" si="594"/>
        <v>1</v>
      </c>
      <c r="C10711" t="str">
        <f t="shared" si="596"/>
        <v>215</v>
      </c>
      <c r="D10711" t="str">
        <f>"41"</f>
        <v>41</v>
      </c>
      <c r="E10711" t="str">
        <f>"1-215-41"</f>
        <v>1-215-41</v>
      </c>
      <c r="F10711" t="s">
        <v>65</v>
      </c>
      <c r="G10711" t="s">
        <v>66</v>
      </c>
      <c r="H10711" t="s">
        <v>67</v>
      </c>
      <c r="S10711">
        <v>1</v>
      </c>
      <c r="T10711">
        <v>0</v>
      </c>
      <c r="U10711">
        <v>0</v>
      </c>
      <c r="V10711">
        <v>0</v>
      </c>
      <c r="W10711">
        <v>1</v>
      </c>
      <c r="X10711">
        <v>0</v>
      </c>
      <c r="Y10711">
        <v>0</v>
      </c>
      <c r="Z10711">
        <v>1</v>
      </c>
      <c r="AA10711">
        <v>0</v>
      </c>
      <c r="AB10711">
        <v>1</v>
      </c>
      <c r="AC10711">
        <v>0</v>
      </c>
      <c r="AD10711">
        <v>1</v>
      </c>
      <c r="AE10711">
        <v>1</v>
      </c>
      <c r="AF10711">
        <v>1</v>
      </c>
      <c r="AG10711">
        <v>1</v>
      </c>
      <c r="AH10711">
        <v>1</v>
      </c>
      <c r="AI10711">
        <v>1</v>
      </c>
      <c r="AJ10711">
        <v>1</v>
      </c>
      <c r="AK10711">
        <v>1</v>
      </c>
      <c r="AL10711">
        <v>1</v>
      </c>
      <c r="AM10711">
        <v>1</v>
      </c>
    </row>
    <row r="10712" spans="1:39" x14ac:dyDescent="0.2">
      <c r="A10712" t="str">
        <f>"10708"</f>
        <v>10708</v>
      </c>
      <c r="B10712" t="str">
        <f t="shared" si="594"/>
        <v>1</v>
      </c>
      <c r="C10712" t="str">
        <f t="shared" si="596"/>
        <v>215</v>
      </c>
      <c r="D10712" t="str">
        <f>"29"</f>
        <v>29</v>
      </c>
      <c r="E10712" t="str">
        <f>"1-215-29"</f>
        <v>1-215-29</v>
      </c>
      <c r="F10712" t="s">
        <v>65</v>
      </c>
      <c r="G10712" t="s">
        <v>66</v>
      </c>
      <c r="H10712" t="s">
        <v>67</v>
      </c>
      <c r="S10712">
        <v>1</v>
      </c>
      <c r="T10712">
        <v>0</v>
      </c>
      <c r="U10712">
        <v>0</v>
      </c>
      <c r="V10712">
        <v>0</v>
      </c>
      <c r="W10712">
        <v>0</v>
      </c>
      <c r="X10712">
        <v>1</v>
      </c>
      <c r="Y10712">
        <v>0</v>
      </c>
      <c r="Z10712">
        <v>1</v>
      </c>
      <c r="AA10712">
        <v>0</v>
      </c>
      <c r="AB10712">
        <v>1</v>
      </c>
      <c r="AC10712">
        <v>0</v>
      </c>
      <c r="AD10712">
        <v>1</v>
      </c>
      <c r="AE10712">
        <v>1</v>
      </c>
      <c r="AF10712">
        <v>1</v>
      </c>
      <c r="AG10712">
        <v>1</v>
      </c>
      <c r="AH10712">
        <v>1</v>
      </c>
      <c r="AI10712">
        <v>1</v>
      </c>
      <c r="AJ10712">
        <v>1</v>
      </c>
      <c r="AK10712">
        <v>1</v>
      </c>
      <c r="AL10712">
        <v>1</v>
      </c>
      <c r="AM10712">
        <v>1</v>
      </c>
    </row>
    <row r="10713" spans="1:39" x14ac:dyDescent="0.2">
      <c r="A10713" t="str">
        <f>"10709"</f>
        <v>10709</v>
      </c>
      <c r="B10713" t="str">
        <f t="shared" si="594"/>
        <v>1</v>
      </c>
      <c r="C10713" t="str">
        <f t="shared" si="596"/>
        <v>215</v>
      </c>
      <c r="D10713" t="str">
        <f>"16"</f>
        <v>16</v>
      </c>
      <c r="E10713" t="str">
        <f>"1-215-16"</f>
        <v>1-215-16</v>
      </c>
      <c r="F10713" t="s">
        <v>65</v>
      </c>
      <c r="G10713" t="s">
        <v>66</v>
      </c>
      <c r="H10713" t="s">
        <v>67</v>
      </c>
      <c r="S10713">
        <v>0</v>
      </c>
      <c r="T10713">
        <v>1</v>
      </c>
      <c r="U10713">
        <v>0</v>
      </c>
      <c r="V10713">
        <v>0</v>
      </c>
      <c r="W10713">
        <v>0</v>
      </c>
      <c r="X10713">
        <v>1</v>
      </c>
      <c r="Y10713">
        <v>0</v>
      </c>
      <c r="Z10713">
        <v>1</v>
      </c>
      <c r="AA10713">
        <v>0</v>
      </c>
      <c r="AB10713">
        <v>0</v>
      </c>
      <c r="AC10713">
        <v>1</v>
      </c>
      <c r="AD10713">
        <v>0</v>
      </c>
      <c r="AE10713">
        <v>0</v>
      </c>
      <c r="AF10713">
        <v>0</v>
      </c>
      <c r="AG10713">
        <v>1</v>
      </c>
      <c r="AH10713">
        <v>1</v>
      </c>
      <c r="AI10713">
        <v>0</v>
      </c>
      <c r="AJ10713">
        <v>0</v>
      </c>
      <c r="AK10713">
        <v>0</v>
      </c>
      <c r="AL10713">
        <v>0</v>
      </c>
      <c r="AM10713">
        <v>0</v>
      </c>
    </row>
    <row r="10714" spans="1:39" x14ac:dyDescent="0.2">
      <c r="A10714" t="str">
        <f>"10710"</f>
        <v>10710</v>
      </c>
      <c r="B10714" t="str">
        <f t="shared" si="594"/>
        <v>1</v>
      </c>
      <c r="C10714" t="str">
        <f t="shared" si="596"/>
        <v>215</v>
      </c>
      <c r="D10714" t="str">
        <f>"2"</f>
        <v>2</v>
      </c>
      <c r="E10714" t="str">
        <f>"1-215-2"</f>
        <v>1-215-2</v>
      </c>
      <c r="F10714" t="s">
        <v>65</v>
      </c>
      <c r="G10714" t="s">
        <v>66</v>
      </c>
      <c r="H10714" t="s">
        <v>67</v>
      </c>
      <c r="S10714">
        <v>0</v>
      </c>
      <c r="T10714">
        <v>1</v>
      </c>
      <c r="U10714">
        <v>0</v>
      </c>
      <c r="V10714">
        <v>0</v>
      </c>
      <c r="W10714">
        <v>0</v>
      </c>
      <c r="X10714">
        <v>1</v>
      </c>
      <c r="Y10714">
        <v>1</v>
      </c>
      <c r="Z10714">
        <v>0</v>
      </c>
      <c r="AA10714">
        <v>1</v>
      </c>
      <c r="AB10714">
        <v>0</v>
      </c>
      <c r="AC10714">
        <v>0</v>
      </c>
      <c r="AD10714">
        <v>1</v>
      </c>
      <c r="AE10714">
        <v>1</v>
      </c>
      <c r="AF10714">
        <v>1</v>
      </c>
      <c r="AG10714">
        <v>1</v>
      </c>
      <c r="AH10714">
        <v>1</v>
      </c>
      <c r="AI10714">
        <v>1</v>
      </c>
      <c r="AJ10714">
        <v>1</v>
      </c>
      <c r="AK10714">
        <v>1</v>
      </c>
      <c r="AL10714">
        <v>1</v>
      </c>
      <c r="AM10714">
        <v>1</v>
      </c>
    </row>
    <row r="10715" spans="1:39" x14ac:dyDescent="0.2">
      <c r="A10715" t="str">
        <f>"10711"</f>
        <v>10711</v>
      </c>
      <c r="B10715" t="str">
        <f t="shared" si="594"/>
        <v>1</v>
      </c>
      <c r="C10715" t="str">
        <f t="shared" si="596"/>
        <v>215</v>
      </c>
      <c r="D10715" t="str">
        <f>"38"</f>
        <v>38</v>
      </c>
      <c r="E10715" t="str">
        <f>"1-215-38"</f>
        <v>1-215-38</v>
      </c>
      <c r="F10715" t="s">
        <v>65</v>
      </c>
      <c r="G10715" t="s">
        <v>66</v>
      </c>
      <c r="H10715" t="s">
        <v>67</v>
      </c>
      <c r="S10715">
        <v>1</v>
      </c>
      <c r="T10715">
        <v>0</v>
      </c>
      <c r="U10715">
        <v>0</v>
      </c>
      <c r="V10715">
        <v>0</v>
      </c>
      <c r="W10715">
        <v>0</v>
      </c>
      <c r="X10715">
        <v>1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>
        <v>0</v>
      </c>
      <c r="AM10715">
        <v>0</v>
      </c>
    </row>
    <row r="10716" spans="1:39" x14ac:dyDescent="0.2">
      <c r="A10716" t="str">
        <f>"10712"</f>
        <v>10712</v>
      </c>
      <c r="B10716" t="str">
        <f t="shared" si="594"/>
        <v>1</v>
      </c>
      <c r="C10716" t="str">
        <f t="shared" si="596"/>
        <v>215</v>
      </c>
      <c r="D10716" t="str">
        <f>"37"</f>
        <v>37</v>
      </c>
      <c r="E10716" t="str">
        <f>"1-215-37"</f>
        <v>1-215-37</v>
      </c>
      <c r="F10716" t="s">
        <v>65</v>
      </c>
      <c r="G10716" t="s">
        <v>66</v>
      </c>
      <c r="H10716" t="s">
        <v>68</v>
      </c>
      <c r="I10716">
        <v>1</v>
      </c>
      <c r="J10716">
        <v>0</v>
      </c>
      <c r="K10716">
        <v>1</v>
      </c>
      <c r="L10716">
        <v>0</v>
      </c>
      <c r="M10716">
        <v>1</v>
      </c>
      <c r="N10716">
        <v>1</v>
      </c>
      <c r="O10716">
        <v>1</v>
      </c>
      <c r="P10716">
        <v>1</v>
      </c>
      <c r="Q10716">
        <v>1</v>
      </c>
      <c r="R10716">
        <v>1</v>
      </c>
    </row>
    <row r="10717" spans="1:39" x14ac:dyDescent="0.2">
      <c r="A10717" t="str">
        <f>"10713"</f>
        <v>10713</v>
      </c>
      <c r="B10717" t="str">
        <f t="shared" si="594"/>
        <v>1</v>
      </c>
      <c r="C10717" t="str">
        <f t="shared" si="596"/>
        <v>215</v>
      </c>
      <c r="D10717" t="str">
        <f>"23"</f>
        <v>23</v>
      </c>
      <c r="E10717" t="str">
        <f>"1-215-23"</f>
        <v>1-215-23</v>
      </c>
      <c r="F10717" t="s">
        <v>65</v>
      </c>
      <c r="G10717" t="s">
        <v>66</v>
      </c>
      <c r="H10717" t="s">
        <v>67</v>
      </c>
      <c r="S10717">
        <v>0</v>
      </c>
      <c r="T10717">
        <v>1</v>
      </c>
      <c r="U10717">
        <v>0</v>
      </c>
      <c r="V10717">
        <v>0</v>
      </c>
      <c r="W10717">
        <v>0</v>
      </c>
      <c r="X10717">
        <v>1</v>
      </c>
      <c r="Y10717">
        <v>1</v>
      </c>
      <c r="Z10717">
        <v>0</v>
      </c>
      <c r="AA10717">
        <v>1</v>
      </c>
      <c r="AB10717">
        <v>0</v>
      </c>
      <c r="AC10717">
        <v>0</v>
      </c>
      <c r="AD10717">
        <v>1</v>
      </c>
      <c r="AE10717">
        <v>1</v>
      </c>
      <c r="AF10717">
        <v>1</v>
      </c>
      <c r="AG10717">
        <v>1</v>
      </c>
      <c r="AH10717">
        <v>1</v>
      </c>
      <c r="AI10717">
        <v>1</v>
      </c>
      <c r="AJ10717">
        <v>1</v>
      </c>
      <c r="AK10717">
        <v>1</v>
      </c>
      <c r="AL10717">
        <v>1</v>
      </c>
      <c r="AM10717">
        <v>1</v>
      </c>
    </row>
    <row r="10718" spans="1:39" x14ac:dyDescent="0.2">
      <c r="A10718" t="str">
        <f>"10714"</f>
        <v>10714</v>
      </c>
      <c r="B10718" t="str">
        <f t="shared" si="594"/>
        <v>1</v>
      </c>
      <c r="C10718" t="str">
        <f t="shared" si="596"/>
        <v>215</v>
      </c>
      <c r="D10718" t="str">
        <f>"17"</f>
        <v>17</v>
      </c>
      <c r="E10718" t="str">
        <f>"1-215-17"</f>
        <v>1-215-17</v>
      </c>
      <c r="F10718" t="s">
        <v>65</v>
      </c>
      <c r="G10718" t="s">
        <v>66</v>
      </c>
      <c r="H10718" t="s">
        <v>67</v>
      </c>
      <c r="S10718">
        <v>0</v>
      </c>
      <c r="T10718">
        <v>1</v>
      </c>
      <c r="U10718">
        <v>0</v>
      </c>
      <c r="V10718">
        <v>0</v>
      </c>
      <c r="W10718">
        <v>1</v>
      </c>
      <c r="X10718">
        <v>0</v>
      </c>
      <c r="Y10718">
        <v>1</v>
      </c>
      <c r="Z10718">
        <v>0</v>
      </c>
      <c r="AA10718">
        <v>1</v>
      </c>
      <c r="AB10718">
        <v>0</v>
      </c>
      <c r="AC10718">
        <v>0</v>
      </c>
      <c r="AD10718">
        <v>1</v>
      </c>
      <c r="AE10718">
        <v>1</v>
      </c>
      <c r="AF10718">
        <v>1</v>
      </c>
      <c r="AG10718">
        <v>1</v>
      </c>
      <c r="AH10718">
        <v>1</v>
      </c>
      <c r="AI10718">
        <v>1</v>
      </c>
      <c r="AJ10718">
        <v>1</v>
      </c>
      <c r="AK10718">
        <v>1</v>
      </c>
      <c r="AL10718">
        <v>1</v>
      </c>
      <c r="AM10718">
        <v>1</v>
      </c>
    </row>
    <row r="10719" spans="1:39" x14ac:dyDescent="0.2">
      <c r="A10719" t="str">
        <f>"10715"</f>
        <v>10715</v>
      </c>
      <c r="B10719" t="str">
        <f t="shared" si="594"/>
        <v>1</v>
      </c>
      <c r="C10719" t="str">
        <f t="shared" si="596"/>
        <v>215</v>
      </c>
      <c r="D10719" t="str">
        <f>"11"</f>
        <v>11</v>
      </c>
      <c r="E10719" t="str">
        <f>"1-215-11"</f>
        <v>1-215-11</v>
      </c>
      <c r="F10719" t="s">
        <v>65</v>
      </c>
      <c r="G10719" t="s">
        <v>66</v>
      </c>
      <c r="H10719" t="s">
        <v>67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1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H10719">
        <v>0</v>
      </c>
      <c r="AI10719">
        <v>1</v>
      </c>
      <c r="AJ10719">
        <v>1</v>
      </c>
      <c r="AK10719">
        <v>0</v>
      </c>
      <c r="AL10719">
        <v>0</v>
      </c>
      <c r="AM10719">
        <v>0</v>
      </c>
    </row>
    <row r="10720" spans="1:39" x14ac:dyDescent="0.2">
      <c r="A10720" t="str">
        <f>"10716"</f>
        <v>10716</v>
      </c>
      <c r="B10720" t="str">
        <f t="shared" si="594"/>
        <v>1</v>
      </c>
      <c r="C10720" t="str">
        <f t="shared" si="596"/>
        <v>215</v>
      </c>
      <c r="D10720" t="str">
        <f>"40"</f>
        <v>40</v>
      </c>
      <c r="E10720" t="str">
        <f>"1-215-40"</f>
        <v>1-215-40</v>
      </c>
      <c r="F10720" t="s">
        <v>65</v>
      </c>
      <c r="G10720" t="s">
        <v>66</v>
      </c>
      <c r="H10720" t="s">
        <v>67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1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>
        <v>0</v>
      </c>
      <c r="AM10720">
        <v>0</v>
      </c>
    </row>
    <row r="10721" spans="1:39" x14ac:dyDescent="0.2">
      <c r="A10721" t="str">
        <f>"10717"</f>
        <v>10717</v>
      </c>
      <c r="B10721" t="str">
        <f t="shared" si="594"/>
        <v>1</v>
      </c>
      <c r="C10721" t="str">
        <f t="shared" si="596"/>
        <v>215</v>
      </c>
      <c r="D10721" t="str">
        <f>"39"</f>
        <v>39</v>
      </c>
      <c r="E10721" t="str">
        <f>"1-215-39"</f>
        <v>1-215-39</v>
      </c>
      <c r="F10721" t="s">
        <v>65</v>
      </c>
      <c r="G10721" t="s">
        <v>66</v>
      </c>
      <c r="H10721" t="s">
        <v>67</v>
      </c>
      <c r="S10721">
        <v>1</v>
      </c>
      <c r="T10721">
        <v>0</v>
      </c>
      <c r="U10721">
        <v>0</v>
      </c>
      <c r="V10721">
        <v>0</v>
      </c>
      <c r="W10721">
        <v>1</v>
      </c>
      <c r="X10721">
        <v>0</v>
      </c>
      <c r="Y10721">
        <v>0</v>
      </c>
      <c r="Z10721">
        <v>1</v>
      </c>
      <c r="AA10721">
        <v>1</v>
      </c>
      <c r="AB10721">
        <v>0</v>
      </c>
      <c r="AC10721">
        <v>0</v>
      </c>
      <c r="AD10721">
        <v>1</v>
      </c>
      <c r="AE10721">
        <v>1</v>
      </c>
      <c r="AF10721">
        <v>1</v>
      </c>
      <c r="AG10721">
        <v>1</v>
      </c>
      <c r="AH10721">
        <v>1</v>
      </c>
      <c r="AI10721">
        <v>1</v>
      </c>
      <c r="AJ10721">
        <v>1</v>
      </c>
      <c r="AK10721">
        <v>1</v>
      </c>
      <c r="AL10721">
        <v>1</v>
      </c>
      <c r="AM10721">
        <v>1</v>
      </c>
    </row>
    <row r="10722" spans="1:39" x14ac:dyDescent="0.2">
      <c r="A10722" t="str">
        <f>"10718"</f>
        <v>10718</v>
      </c>
      <c r="B10722" t="str">
        <f t="shared" si="594"/>
        <v>1</v>
      </c>
      <c r="C10722" t="str">
        <f t="shared" si="596"/>
        <v>215</v>
      </c>
      <c r="D10722" t="str">
        <f>"27"</f>
        <v>27</v>
      </c>
      <c r="E10722" t="str">
        <f>"1-215-27"</f>
        <v>1-215-27</v>
      </c>
      <c r="F10722" t="s">
        <v>65</v>
      </c>
      <c r="G10722" t="s">
        <v>66</v>
      </c>
      <c r="H10722" t="s">
        <v>67</v>
      </c>
      <c r="S10722">
        <v>0</v>
      </c>
      <c r="T10722">
        <v>1</v>
      </c>
      <c r="U10722">
        <v>0</v>
      </c>
      <c r="V10722">
        <v>0</v>
      </c>
      <c r="W10722">
        <v>0</v>
      </c>
      <c r="X10722">
        <v>1</v>
      </c>
      <c r="Y10722">
        <v>1</v>
      </c>
      <c r="Z10722">
        <v>0</v>
      </c>
      <c r="AA10722">
        <v>0</v>
      </c>
      <c r="AB10722">
        <v>0</v>
      </c>
      <c r="AC10722">
        <v>1</v>
      </c>
      <c r="AD10722">
        <v>1</v>
      </c>
      <c r="AE10722">
        <v>1</v>
      </c>
      <c r="AF10722">
        <v>1</v>
      </c>
      <c r="AG10722">
        <v>1</v>
      </c>
      <c r="AH10722">
        <v>1</v>
      </c>
      <c r="AI10722">
        <v>1</v>
      </c>
      <c r="AJ10722">
        <v>1</v>
      </c>
      <c r="AK10722">
        <v>1</v>
      </c>
      <c r="AL10722">
        <v>1</v>
      </c>
      <c r="AM10722">
        <v>1</v>
      </c>
    </row>
    <row r="10723" spans="1:39" x14ac:dyDescent="0.2">
      <c r="A10723" t="str">
        <f>"10719"</f>
        <v>10719</v>
      </c>
      <c r="B10723" t="str">
        <f t="shared" si="594"/>
        <v>1</v>
      </c>
      <c r="C10723" t="str">
        <f t="shared" si="596"/>
        <v>215</v>
      </c>
      <c r="D10723" t="str">
        <f>"18"</f>
        <v>18</v>
      </c>
      <c r="E10723" t="str">
        <f>"1-215-18"</f>
        <v>1-215-18</v>
      </c>
      <c r="F10723" t="s">
        <v>65</v>
      </c>
      <c r="G10723" t="s">
        <v>66</v>
      </c>
      <c r="H10723" t="s">
        <v>67</v>
      </c>
      <c r="S10723">
        <v>0</v>
      </c>
      <c r="T10723">
        <v>1</v>
      </c>
      <c r="U10723">
        <v>0</v>
      </c>
      <c r="V10723">
        <v>0</v>
      </c>
      <c r="W10723">
        <v>0</v>
      </c>
      <c r="X10723">
        <v>1</v>
      </c>
      <c r="Y10723">
        <v>0</v>
      </c>
      <c r="Z10723">
        <v>1</v>
      </c>
      <c r="AA10723">
        <v>0</v>
      </c>
      <c r="AB10723">
        <v>1</v>
      </c>
      <c r="AC10723">
        <v>0</v>
      </c>
      <c r="AD10723">
        <v>1</v>
      </c>
      <c r="AE10723">
        <v>1</v>
      </c>
      <c r="AF10723">
        <v>1</v>
      </c>
      <c r="AG10723">
        <v>1</v>
      </c>
      <c r="AH10723">
        <v>1</v>
      </c>
      <c r="AI10723">
        <v>1</v>
      </c>
      <c r="AJ10723">
        <v>1</v>
      </c>
      <c r="AK10723">
        <v>1</v>
      </c>
      <c r="AL10723">
        <v>1</v>
      </c>
      <c r="AM10723">
        <v>1</v>
      </c>
    </row>
    <row r="10724" spans="1:39" x14ac:dyDescent="0.2">
      <c r="A10724" t="str">
        <f>"10720"</f>
        <v>10720</v>
      </c>
      <c r="B10724" t="str">
        <f t="shared" si="594"/>
        <v>1</v>
      </c>
      <c r="C10724" t="str">
        <f t="shared" si="596"/>
        <v>215</v>
      </c>
      <c r="D10724" t="str">
        <f>"4"</f>
        <v>4</v>
      </c>
      <c r="E10724" t="str">
        <f>"1-215-4"</f>
        <v>1-215-4</v>
      </c>
      <c r="F10724" t="s">
        <v>65</v>
      </c>
      <c r="G10724" t="s">
        <v>66</v>
      </c>
      <c r="H10724" t="s">
        <v>67</v>
      </c>
      <c r="S10724">
        <v>0</v>
      </c>
      <c r="T10724">
        <v>1</v>
      </c>
      <c r="U10724">
        <v>0</v>
      </c>
      <c r="V10724">
        <v>0</v>
      </c>
      <c r="W10724">
        <v>1</v>
      </c>
      <c r="X10724">
        <v>0</v>
      </c>
      <c r="Y10724">
        <v>0</v>
      </c>
      <c r="Z10724">
        <v>1</v>
      </c>
      <c r="AA10724">
        <v>1</v>
      </c>
      <c r="AB10724">
        <v>0</v>
      </c>
      <c r="AC10724">
        <v>0</v>
      </c>
      <c r="AD10724">
        <v>1</v>
      </c>
      <c r="AE10724">
        <v>1</v>
      </c>
      <c r="AF10724">
        <v>1</v>
      </c>
      <c r="AG10724">
        <v>1</v>
      </c>
      <c r="AH10724">
        <v>1</v>
      </c>
      <c r="AI10724">
        <v>1</v>
      </c>
      <c r="AJ10724">
        <v>1</v>
      </c>
      <c r="AK10724">
        <v>1</v>
      </c>
      <c r="AL10724">
        <v>1</v>
      </c>
      <c r="AM10724">
        <v>1</v>
      </c>
    </row>
    <row r="10725" spans="1:39" x14ac:dyDescent="0.2">
      <c r="A10725" t="str">
        <f>"10721"</f>
        <v>10721</v>
      </c>
      <c r="B10725" t="str">
        <f t="shared" si="594"/>
        <v>1</v>
      </c>
      <c r="C10725" t="str">
        <f t="shared" si="596"/>
        <v>215</v>
      </c>
      <c r="D10725" t="str">
        <f>"33"</f>
        <v>33</v>
      </c>
      <c r="E10725" t="str">
        <f>"1-215-33"</f>
        <v>1-215-33</v>
      </c>
      <c r="F10725" t="s">
        <v>65</v>
      </c>
      <c r="G10725" t="s">
        <v>66</v>
      </c>
      <c r="H10725" t="s">
        <v>67</v>
      </c>
      <c r="S10725">
        <v>1</v>
      </c>
      <c r="T10725">
        <v>0</v>
      </c>
      <c r="U10725">
        <v>0</v>
      </c>
      <c r="V10725">
        <v>0</v>
      </c>
      <c r="W10725">
        <v>1</v>
      </c>
      <c r="X10725">
        <v>0</v>
      </c>
      <c r="Y10725">
        <v>1</v>
      </c>
      <c r="Z10725">
        <v>0</v>
      </c>
      <c r="AA10725">
        <v>1</v>
      </c>
      <c r="AB10725">
        <v>0</v>
      </c>
      <c r="AC10725">
        <v>0</v>
      </c>
      <c r="AD10725">
        <v>1</v>
      </c>
      <c r="AE10725">
        <v>1</v>
      </c>
      <c r="AF10725">
        <v>1</v>
      </c>
      <c r="AG10725">
        <v>1</v>
      </c>
      <c r="AH10725">
        <v>1</v>
      </c>
      <c r="AI10725">
        <v>0</v>
      </c>
      <c r="AJ10725">
        <v>1</v>
      </c>
      <c r="AK10725">
        <v>1</v>
      </c>
      <c r="AL10725">
        <v>1</v>
      </c>
      <c r="AM10725">
        <v>1</v>
      </c>
    </row>
    <row r="10726" spans="1:39" x14ac:dyDescent="0.2">
      <c r="A10726" t="str">
        <f>"10722"</f>
        <v>10722</v>
      </c>
      <c r="B10726" t="str">
        <f t="shared" si="594"/>
        <v>1</v>
      </c>
      <c r="C10726" t="str">
        <f t="shared" si="596"/>
        <v>215</v>
      </c>
      <c r="D10726" t="str">
        <f>"19"</f>
        <v>19</v>
      </c>
      <c r="E10726" t="str">
        <f>"1-215-19"</f>
        <v>1-215-19</v>
      </c>
      <c r="F10726" t="s">
        <v>65</v>
      </c>
      <c r="G10726" t="s">
        <v>66</v>
      </c>
      <c r="H10726" t="s">
        <v>67</v>
      </c>
      <c r="S10726">
        <v>0</v>
      </c>
      <c r="T10726">
        <v>1</v>
      </c>
      <c r="U10726">
        <v>0</v>
      </c>
      <c r="V10726">
        <v>0</v>
      </c>
      <c r="W10726">
        <v>1</v>
      </c>
      <c r="X10726">
        <v>0</v>
      </c>
      <c r="Y10726">
        <v>1</v>
      </c>
      <c r="Z10726">
        <v>0</v>
      </c>
      <c r="AA10726">
        <v>1</v>
      </c>
      <c r="AB10726">
        <v>0</v>
      </c>
      <c r="AC10726">
        <v>0</v>
      </c>
      <c r="AD10726">
        <v>1</v>
      </c>
      <c r="AE10726">
        <v>1</v>
      </c>
      <c r="AF10726">
        <v>1</v>
      </c>
      <c r="AG10726">
        <v>1</v>
      </c>
      <c r="AH10726">
        <v>1</v>
      </c>
      <c r="AI10726">
        <v>1</v>
      </c>
      <c r="AJ10726">
        <v>1</v>
      </c>
      <c r="AK10726">
        <v>1</v>
      </c>
      <c r="AL10726">
        <v>1</v>
      </c>
      <c r="AM10726">
        <v>1</v>
      </c>
    </row>
    <row r="10727" spans="1:39" x14ac:dyDescent="0.2">
      <c r="A10727" t="str">
        <f>"10723"</f>
        <v>10723</v>
      </c>
      <c r="B10727" t="str">
        <f t="shared" si="594"/>
        <v>1</v>
      </c>
      <c r="C10727" t="str">
        <f t="shared" si="596"/>
        <v>215</v>
      </c>
      <c r="D10727" t="str">
        <f>"13"</f>
        <v>13</v>
      </c>
      <c r="E10727" t="str">
        <f>"1-215-13"</f>
        <v>1-215-13</v>
      </c>
      <c r="F10727" t="s">
        <v>65</v>
      </c>
      <c r="G10727" t="s">
        <v>66</v>
      </c>
      <c r="H10727" t="s">
        <v>68</v>
      </c>
      <c r="I10727">
        <v>0</v>
      </c>
      <c r="J10727">
        <v>0</v>
      </c>
      <c r="K10727">
        <v>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39" x14ac:dyDescent="0.2">
      <c r="A10728" t="str">
        <f>"10724"</f>
        <v>10724</v>
      </c>
      <c r="B10728" t="str">
        <f t="shared" si="594"/>
        <v>1</v>
      </c>
      <c r="C10728" t="str">
        <f t="shared" si="596"/>
        <v>215</v>
      </c>
      <c r="D10728" t="str">
        <f>"34"</f>
        <v>34</v>
      </c>
      <c r="E10728" t="str">
        <f>"1-215-34"</f>
        <v>1-215-34</v>
      </c>
      <c r="F10728" t="s">
        <v>65</v>
      </c>
      <c r="G10728" t="s">
        <v>66</v>
      </c>
      <c r="H10728" t="s">
        <v>68</v>
      </c>
      <c r="I10728">
        <v>1</v>
      </c>
      <c r="J10728">
        <v>1</v>
      </c>
      <c r="K10728">
        <v>0</v>
      </c>
      <c r="L10728">
        <v>0</v>
      </c>
      <c r="M10728">
        <v>1</v>
      </c>
      <c r="N10728">
        <v>1</v>
      </c>
      <c r="O10728">
        <v>1</v>
      </c>
      <c r="P10728">
        <v>1</v>
      </c>
      <c r="Q10728">
        <v>1</v>
      </c>
      <c r="R10728">
        <v>1</v>
      </c>
    </row>
    <row r="10729" spans="1:39" x14ac:dyDescent="0.2">
      <c r="A10729" t="str">
        <f>"10725"</f>
        <v>10725</v>
      </c>
      <c r="B10729" t="str">
        <f t="shared" si="594"/>
        <v>1</v>
      </c>
      <c r="C10729" t="str">
        <f t="shared" si="596"/>
        <v>215</v>
      </c>
      <c r="D10729" t="str">
        <f>"20"</f>
        <v>20</v>
      </c>
      <c r="E10729" t="str">
        <f>"1-215-20"</f>
        <v>1-215-20</v>
      </c>
      <c r="F10729" t="s">
        <v>65</v>
      </c>
      <c r="G10729" t="s">
        <v>66</v>
      </c>
      <c r="H10729" t="s">
        <v>67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1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>
        <v>0</v>
      </c>
      <c r="AM10729">
        <v>0</v>
      </c>
    </row>
    <row r="10730" spans="1:39" x14ac:dyDescent="0.2">
      <c r="A10730" t="str">
        <f>"10726"</f>
        <v>10726</v>
      </c>
      <c r="B10730" t="str">
        <f t="shared" si="594"/>
        <v>1</v>
      </c>
      <c r="C10730" t="str">
        <f t="shared" si="596"/>
        <v>215</v>
      </c>
      <c r="D10730" t="str">
        <f>"1"</f>
        <v>1</v>
      </c>
      <c r="E10730" t="str">
        <f>"1-215-1"</f>
        <v>1-215-1</v>
      </c>
      <c r="F10730" t="s">
        <v>65</v>
      </c>
      <c r="G10730" t="s">
        <v>66</v>
      </c>
      <c r="H10730" t="s">
        <v>67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1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1</v>
      </c>
      <c r="AF10730">
        <v>0</v>
      </c>
      <c r="AG10730">
        <v>0</v>
      </c>
      <c r="AH10730">
        <v>1</v>
      </c>
      <c r="AI10730">
        <v>1</v>
      </c>
      <c r="AJ10730">
        <v>1</v>
      </c>
      <c r="AK10730">
        <v>1</v>
      </c>
      <c r="AL10730">
        <v>0</v>
      </c>
      <c r="AM10730">
        <v>0</v>
      </c>
    </row>
    <row r="10731" spans="1:39" x14ac:dyDescent="0.2">
      <c r="A10731" t="str">
        <f>"10727"</f>
        <v>10727</v>
      </c>
      <c r="B10731" t="str">
        <f t="shared" si="594"/>
        <v>1</v>
      </c>
      <c r="C10731" t="str">
        <f t="shared" si="596"/>
        <v>215</v>
      </c>
      <c r="D10731" t="str">
        <f>"43"</f>
        <v>43</v>
      </c>
      <c r="E10731" t="str">
        <f>"1-215-43"</f>
        <v>1-215-43</v>
      </c>
      <c r="F10731" t="s">
        <v>65</v>
      </c>
      <c r="G10731" t="s">
        <v>66</v>
      </c>
      <c r="H10731" t="s">
        <v>67</v>
      </c>
      <c r="S10731">
        <v>0</v>
      </c>
      <c r="T10731">
        <v>0</v>
      </c>
      <c r="U10731">
        <v>0</v>
      </c>
      <c r="V10731">
        <v>0</v>
      </c>
      <c r="W10731">
        <v>0</v>
      </c>
      <c r="X10731">
        <v>1</v>
      </c>
      <c r="Y10731">
        <v>0</v>
      </c>
      <c r="Z10731">
        <v>1</v>
      </c>
      <c r="AA10731">
        <v>0</v>
      </c>
      <c r="AB10731">
        <v>0</v>
      </c>
      <c r="AC10731">
        <v>1</v>
      </c>
      <c r="AD10731">
        <v>1</v>
      </c>
      <c r="AE10731">
        <v>1</v>
      </c>
      <c r="AF10731">
        <v>1</v>
      </c>
      <c r="AG10731">
        <v>1</v>
      </c>
      <c r="AH10731">
        <v>1</v>
      </c>
      <c r="AI10731">
        <v>1</v>
      </c>
      <c r="AJ10731">
        <v>1</v>
      </c>
      <c r="AK10731">
        <v>1</v>
      </c>
      <c r="AL10731">
        <v>1</v>
      </c>
      <c r="AM10731">
        <v>1</v>
      </c>
    </row>
    <row r="10732" spans="1:39" x14ac:dyDescent="0.2">
      <c r="A10732" t="str">
        <f>"10728"</f>
        <v>10728</v>
      </c>
      <c r="B10732" t="str">
        <f t="shared" si="594"/>
        <v>1</v>
      </c>
      <c r="C10732" t="str">
        <f t="shared" si="596"/>
        <v>215</v>
      </c>
      <c r="D10732" t="str">
        <f>"21"</f>
        <v>21</v>
      </c>
      <c r="E10732" t="str">
        <f>"1-215-21"</f>
        <v>1-215-21</v>
      </c>
      <c r="F10732" t="s">
        <v>65</v>
      </c>
      <c r="G10732" t="s">
        <v>66</v>
      </c>
      <c r="H10732" t="s">
        <v>67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1</v>
      </c>
      <c r="Y10732">
        <v>0</v>
      </c>
      <c r="Z10732">
        <v>0</v>
      </c>
      <c r="AA10732">
        <v>0</v>
      </c>
      <c r="AB10732">
        <v>1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>
        <v>0</v>
      </c>
      <c r="AM10732">
        <v>0</v>
      </c>
    </row>
    <row r="10733" spans="1:39" x14ac:dyDescent="0.2">
      <c r="A10733" t="str">
        <f>"10729"</f>
        <v>10729</v>
      </c>
      <c r="B10733" t="str">
        <f t="shared" si="594"/>
        <v>1</v>
      </c>
      <c r="C10733" t="str">
        <f t="shared" si="596"/>
        <v>215</v>
      </c>
      <c r="D10733" t="str">
        <f>"3"</f>
        <v>3</v>
      </c>
      <c r="E10733" t="str">
        <f>"1-215-3"</f>
        <v>1-215-3</v>
      </c>
      <c r="F10733" t="s">
        <v>65</v>
      </c>
      <c r="G10733" t="s">
        <v>66</v>
      </c>
      <c r="H10733" t="s">
        <v>67</v>
      </c>
      <c r="S10733">
        <v>0</v>
      </c>
      <c r="T10733">
        <v>1</v>
      </c>
      <c r="U10733">
        <v>0</v>
      </c>
      <c r="V10733">
        <v>0</v>
      </c>
      <c r="W10733">
        <v>0</v>
      </c>
      <c r="X10733">
        <v>1</v>
      </c>
      <c r="Y10733">
        <v>0</v>
      </c>
      <c r="Z10733">
        <v>1</v>
      </c>
      <c r="AA10733">
        <v>0</v>
      </c>
      <c r="AB10733">
        <v>0</v>
      </c>
      <c r="AC10733">
        <v>1</v>
      </c>
      <c r="AD10733">
        <v>1</v>
      </c>
      <c r="AE10733">
        <v>1</v>
      </c>
      <c r="AF10733">
        <v>1</v>
      </c>
      <c r="AG10733">
        <v>1</v>
      </c>
      <c r="AH10733">
        <v>1</v>
      </c>
      <c r="AI10733">
        <v>1</v>
      </c>
      <c r="AJ10733">
        <v>1</v>
      </c>
      <c r="AK10733">
        <v>1</v>
      </c>
      <c r="AL10733">
        <v>1</v>
      </c>
      <c r="AM10733">
        <v>1</v>
      </c>
    </row>
    <row r="10734" spans="1:39" x14ac:dyDescent="0.2">
      <c r="A10734" t="str">
        <f>"10730"</f>
        <v>10730</v>
      </c>
      <c r="B10734" t="str">
        <f t="shared" si="594"/>
        <v>1</v>
      </c>
      <c r="C10734" t="str">
        <f t="shared" si="596"/>
        <v>215</v>
      </c>
      <c r="D10734" t="str">
        <f>"44"</f>
        <v>44</v>
      </c>
      <c r="E10734" t="str">
        <f>"1-215-44"</f>
        <v>1-215-44</v>
      </c>
      <c r="F10734" t="s">
        <v>65</v>
      </c>
      <c r="G10734" t="s">
        <v>66</v>
      </c>
      <c r="H10734" t="s">
        <v>68</v>
      </c>
      <c r="I10734">
        <v>1</v>
      </c>
      <c r="J10734">
        <v>0</v>
      </c>
      <c r="K10734">
        <v>1</v>
      </c>
      <c r="L10734">
        <v>0</v>
      </c>
      <c r="M10734">
        <v>1</v>
      </c>
      <c r="N10734">
        <v>1</v>
      </c>
      <c r="O10734">
        <v>1</v>
      </c>
      <c r="P10734">
        <v>1</v>
      </c>
      <c r="Q10734">
        <v>1</v>
      </c>
      <c r="R10734">
        <v>1</v>
      </c>
    </row>
    <row r="10735" spans="1:39" x14ac:dyDescent="0.2">
      <c r="A10735" t="str">
        <f>"10731"</f>
        <v>10731</v>
      </c>
      <c r="B10735" t="str">
        <f t="shared" si="594"/>
        <v>1</v>
      </c>
      <c r="C10735" t="str">
        <f t="shared" si="596"/>
        <v>215</v>
      </c>
      <c r="D10735" t="str">
        <f>"22"</f>
        <v>22</v>
      </c>
      <c r="E10735" t="str">
        <f>"1-215-22"</f>
        <v>1-215-22</v>
      </c>
      <c r="F10735" t="s">
        <v>65</v>
      </c>
      <c r="G10735" t="s">
        <v>66</v>
      </c>
      <c r="H10735" t="s">
        <v>67</v>
      </c>
      <c r="S10735">
        <v>0</v>
      </c>
      <c r="T10735">
        <v>1</v>
      </c>
      <c r="U10735">
        <v>0</v>
      </c>
      <c r="V10735">
        <v>0</v>
      </c>
      <c r="W10735">
        <v>1</v>
      </c>
      <c r="X10735">
        <v>0</v>
      </c>
      <c r="Y10735">
        <v>0</v>
      </c>
      <c r="Z10735">
        <v>1</v>
      </c>
      <c r="AA10735">
        <v>0</v>
      </c>
      <c r="AB10735">
        <v>1</v>
      </c>
      <c r="AC10735">
        <v>0</v>
      </c>
      <c r="AD10735">
        <v>1</v>
      </c>
      <c r="AE10735">
        <v>1</v>
      </c>
      <c r="AF10735">
        <v>1</v>
      </c>
      <c r="AG10735">
        <v>1</v>
      </c>
      <c r="AH10735">
        <v>0</v>
      </c>
      <c r="AI10735">
        <v>1</v>
      </c>
      <c r="AJ10735">
        <v>1</v>
      </c>
      <c r="AK10735">
        <v>1</v>
      </c>
      <c r="AL10735">
        <v>1</v>
      </c>
      <c r="AM10735">
        <v>1</v>
      </c>
    </row>
    <row r="10736" spans="1:39" x14ac:dyDescent="0.2">
      <c r="A10736" t="str">
        <f>"10732"</f>
        <v>10732</v>
      </c>
      <c r="B10736" t="str">
        <f t="shared" si="594"/>
        <v>1</v>
      </c>
      <c r="C10736" t="str">
        <f t="shared" si="596"/>
        <v>215</v>
      </c>
      <c r="D10736" t="str">
        <f>"6"</f>
        <v>6</v>
      </c>
      <c r="E10736" t="str">
        <f>"1-215-6"</f>
        <v>1-215-6</v>
      </c>
      <c r="F10736" t="s">
        <v>65</v>
      </c>
      <c r="G10736" t="s">
        <v>66</v>
      </c>
      <c r="H10736" t="s">
        <v>67</v>
      </c>
      <c r="S10736">
        <v>0</v>
      </c>
      <c r="T10736">
        <v>1</v>
      </c>
      <c r="U10736">
        <v>0</v>
      </c>
      <c r="V10736">
        <v>0</v>
      </c>
      <c r="W10736">
        <v>1</v>
      </c>
      <c r="X10736">
        <v>0</v>
      </c>
      <c r="Y10736">
        <v>1</v>
      </c>
      <c r="Z10736">
        <v>0</v>
      </c>
      <c r="AA10736">
        <v>1</v>
      </c>
      <c r="AB10736">
        <v>0</v>
      </c>
      <c r="AC10736">
        <v>0</v>
      </c>
      <c r="AD10736">
        <v>1</v>
      </c>
      <c r="AE10736">
        <v>1</v>
      </c>
      <c r="AF10736">
        <v>1</v>
      </c>
      <c r="AG10736">
        <v>1</v>
      </c>
      <c r="AH10736">
        <v>1</v>
      </c>
      <c r="AI10736">
        <v>1</v>
      </c>
      <c r="AJ10736">
        <v>1</v>
      </c>
      <c r="AK10736">
        <v>1</v>
      </c>
      <c r="AL10736">
        <v>0</v>
      </c>
      <c r="AM10736">
        <v>1</v>
      </c>
    </row>
    <row r="10737" spans="1:39" x14ac:dyDescent="0.2">
      <c r="A10737" t="str">
        <f>"10733"</f>
        <v>10733</v>
      </c>
      <c r="B10737" t="str">
        <f t="shared" si="594"/>
        <v>1</v>
      </c>
      <c r="C10737" t="str">
        <f t="shared" ref="C10737:C10754" si="597">"215"</f>
        <v>215</v>
      </c>
      <c r="D10737" t="str">
        <f>"46"</f>
        <v>46</v>
      </c>
      <c r="E10737" t="str">
        <f>"1-215-46"</f>
        <v>1-215-46</v>
      </c>
      <c r="F10737" t="s">
        <v>65</v>
      </c>
      <c r="G10737" t="s">
        <v>66</v>
      </c>
      <c r="H10737" t="s">
        <v>67</v>
      </c>
      <c r="S10737">
        <v>0</v>
      </c>
      <c r="T10737">
        <v>1</v>
      </c>
      <c r="U10737">
        <v>0</v>
      </c>
      <c r="V10737">
        <v>0</v>
      </c>
      <c r="W10737">
        <v>0</v>
      </c>
      <c r="X10737">
        <v>1</v>
      </c>
      <c r="Y10737">
        <v>0</v>
      </c>
      <c r="Z10737">
        <v>1</v>
      </c>
      <c r="AA10737">
        <v>0</v>
      </c>
      <c r="AB10737">
        <v>0</v>
      </c>
      <c r="AC10737">
        <v>1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</row>
    <row r="10738" spans="1:39" x14ac:dyDescent="0.2">
      <c r="A10738" t="str">
        <f>"10734"</f>
        <v>10734</v>
      </c>
      <c r="B10738" t="str">
        <f t="shared" si="594"/>
        <v>1</v>
      </c>
      <c r="C10738" t="str">
        <f t="shared" si="597"/>
        <v>215</v>
      </c>
      <c r="D10738" t="str">
        <f>"24"</f>
        <v>24</v>
      </c>
      <c r="E10738" t="str">
        <f>"1-215-24"</f>
        <v>1-215-24</v>
      </c>
      <c r="F10738" t="s">
        <v>65</v>
      </c>
      <c r="G10738" t="s">
        <v>66</v>
      </c>
      <c r="H10738" t="s">
        <v>67</v>
      </c>
      <c r="S10738">
        <v>0</v>
      </c>
      <c r="T10738">
        <v>1</v>
      </c>
      <c r="U10738">
        <v>0</v>
      </c>
      <c r="V10738">
        <v>0</v>
      </c>
      <c r="W10738">
        <v>0</v>
      </c>
      <c r="X10738">
        <v>1</v>
      </c>
      <c r="Y10738">
        <v>0</v>
      </c>
      <c r="Z10738">
        <v>1</v>
      </c>
      <c r="AA10738">
        <v>0</v>
      </c>
      <c r="AB10738">
        <v>1</v>
      </c>
      <c r="AC10738">
        <v>0</v>
      </c>
      <c r="AD10738">
        <v>1</v>
      </c>
      <c r="AE10738">
        <v>1</v>
      </c>
      <c r="AF10738">
        <v>1</v>
      </c>
      <c r="AG10738">
        <v>1</v>
      </c>
      <c r="AH10738">
        <v>1</v>
      </c>
      <c r="AI10738">
        <v>1</v>
      </c>
      <c r="AJ10738">
        <v>1</v>
      </c>
      <c r="AK10738">
        <v>1</v>
      </c>
      <c r="AL10738">
        <v>1</v>
      </c>
      <c r="AM10738">
        <v>1</v>
      </c>
    </row>
    <row r="10739" spans="1:39" x14ac:dyDescent="0.2">
      <c r="A10739" t="str">
        <f>"10735"</f>
        <v>10735</v>
      </c>
      <c r="B10739" t="str">
        <f t="shared" si="594"/>
        <v>1</v>
      </c>
      <c r="C10739" t="str">
        <f t="shared" si="597"/>
        <v>215</v>
      </c>
      <c r="D10739" t="str">
        <f>"12"</f>
        <v>12</v>
      </c>
      <c r="E10739" t="str">
        <f>"1-215-12"</f>
        <v>1-215-12</v>
      </c>
      <c r="F10739" t="s">
        <v>65</v>
      </c>
      <c r="G10739" t="s">
        <v>66</v>
      </c>
      <c r="H10739" t="s">
        <v>67</v>
      </c>
      <c r="S10739">
        <v>0</v>
      </c>
      <c r="T10739">
        <v>1</v>
      </c>
      <c r="U10739">
        <v>0</v>
      </c>
      <c r="V10739">
        <v>0</v>
      </c>
      <c r="W10739">
        <v>0</v>
      </c>
      <c r="X10739">
        <v>1</v>
      </c>
      <c r="Y10739">
        <v>0</v>
      </c>
      <c r="Z10739">
        <v>1</v>
      </c>
      <c r="AA10739">
        <v>1</v>
      </c>
      <c r="AB10739">
        <v>0</v>
      </c>
      <c r="AC10739">
        <v>0</v>
      </c>
      <c r="AD10739">
        <v>1</v>
      </c>
      <c r="AE10739">
        <v>1</v>
      </c>
      <c r="AF10739">
        <v>1</v>
      </c>
      <c r="AG10739">
        <v>1</v>
      </c>
      <c r="AH10739">
        <v>1</v>
      </c>
      <c r="AI10739">
        <v>1</v>
      </c>
      <c r="AJ10739">
        <v>1</v>
      </c>
      <c r="AK10739">
        <v>1</v>
      </c>
      <c r="AL10739">
        <v>1</v>
      </c>
      <c r="AM10739">
        <v>1</v>
      </c>
    </row>
    <row r="10740" spans="1:39" x14ac:dyDescent="0.2">
      <c r="A10740" t="str">
        <f>"10736"</f>
        <v>10736</v>
      </c>
      <c r="B10740" t="str">
        <f t="shared" si="594"/>
        <v>1</v>
      </c>
      <c r="C10740" t="str">
        <f t="shared" si="597"/>
        <v>215</v>
      </c>
      <c r="D10740" t="str">
        <f>"47"</f>
        <v>47</v>
      </c>
      <c r="E10740" t="str">
        <f>"1-215-47"</f>
        <v>1-215-47</v>
      </c>
      <c r="F10740" t="s">
        <v>65</v>
      </c>
      <c r="G10740" t="s">
        <v>66</v>
      </c>
      <c r="H10740" t="s">
        <v>67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1</v>
      </c>
      <c r="Y10740">
        <v>0</v>
      </c>
      <c r="Z10740">
        <v>1</v>
      </c>
      <c r="AA10740">
        <v>0</v>
      </c>
      <c r="AB10740">
        <v>1</v>
      </c>
      <c r="AC10740">
        <v>0</v>
      </c>
      <c r="AD10740">
        <v>0</v>
      </c>
      <c r="AE10740">
        <v>0</v>
      </c>
      <c r="AF10740">
        <v>0</v>
      </c>
      <c r="AG10740">
        <v>1</v>
      </c>
      <c r="AH10740">
        <v>1</v>
      </c>
      <c r="AI10740">
        <v>1</v>
      </c>
      <c r="AJ10740">
        <v>0</v>
      </c>
      <c r="AK10740">
        <v>1</v>
      </c>
      <c r="AL10740">
        <v>1</v>
      </c>
      <c r="AM10740">
        <v>0</v>
      </c>
    </row>
    <row r="10741" spans="1:39" x14ac:dyDescent="0.2">
      <c r="A10741" t="str">
        <f>"10737"</f>
        <v>10737</v>
      </c>
      <c r="B10741" t="str">
        <f t="shared" si="594"/>
        <v>1</v>
      </c>
      <c r="C10741" t="str">
        <f t="shared" si="597"/>
        <v>215</v>
      </c>
      <c r="D10741" t="str">
        <f>"26"</f>
        <v>26</v>
      </c>
      <c r="E10741" t="str">
        <f>"1-215-26"</f>
        <v>1-215-26</v>
      </c>
      <c r="F10741" t="s">
        <v>65</v>
      </c>
      <c r="G10741" t="s">
        <v>66</v>
      </c>
      <c r="H10741" t="s">
        <v>67</v>
      </c>
      <c r="S10741">
        <v>0</v>
      </c>
      <c r="T10741">
        <v>1</v>
      </c>
      <c r="U10741">
        <v>0</v>
      </c>
      <c r="V10741">
        <v>0</v>
      </c>
      <c r="W10741">
        <v>1</v>
      </c>
      <c r="X10741">
        <v>0</v>
      </c>
      <c r="Y10741">
        <v>0</v>
      </c>
      <c r="Z10741">
        <v>1</v>
      </c>
      <c r="AA10741">
        <v>0</v>
      </c>
      <c r="AB10741">
        <v>0</v>
      </c>
      <c r="AC10741">
        <v>1</v>
      </c>
      <c r="AD10741">
        <v>1</v>
      </c>
      <c r="AE10741">
        <v>1</v>
      </c>
      <c r="AF10741">
        <v>1</v>
      </c>
      <c r="AG10741">
        <v>1</v>
      </c>
      <c r="AH10741">
        <v>1</v>
      </c>
      <c r="AI10741">
        <v>1</v>
      </c>
      <c r="AJ10741">
        <v>1</v>
      </c>
      <c r="AK10741">
        <v>1</v>
      </c>
      <c r="AL10741">
        <v>1</v>
      </c>
      <c r="AM10741">
        <v>1</v>
      </c>
    </row>
    <row r="10742" spans="1:39" x14ac:dyDescent="0.2">
      <c r="A10742" t="str">
        <f>"10738"</f>
        <v>10738</v>
      </c>
      <c r="B10742" t="str">
        <f t="shared" si="594"/>
        <v>1</v>
      </c>
      <c r="C10742" t="str">
        <f t="shared" si="597"/>
        <v>215</v>
      </c>
      <c r="D10742" t="str">
        <f>"9"</f>
        <v>9</v>
      </c>
      <c r="E10742" t="str">
        <f>"1-215-9"</f>
        <v>1-215-9</v>
      </c>
      <c r="F10742" t="s">
        <v>65</v>
      </c>
      <c r="G10742" t="s">
        <v>66</v>
      </c>
      <c r="H10742" t="s">
        <v>67</v>
      </c>
      <c r="S10742">
        <v>0</v>
      </c>
      <c r="T10742">
        <v>1</v>
      </c>
      <c r="U10742">
        <v>0</v>
      </c>
      <c r="V10742">
        <v>0</v>
      </c>
      <c r="W10742">
        <v>0</v>
      </c>
      <c r="X10742">
        <v>1</v>
      </c>
      <c r="Y10742">
        <v>0</v>
      </c>
      <c r="Z10742">
        <v>0</v>
      </c>
      <c r="AA10742">
        <v>0</v>
      </c>
      <c r="AB10742">
        <v>0</v>
      </c>
      <c r="AC10742">
        <v>1</v>
      </c>
      <c r="AD10742">
        <v>1</v>
      </c>
      <c r="AE10742">
        <v>1</v>
      </c>
      <c r="AF10742">
        <v>1</v>
      </c>
      <c r="AG10742">
        <v>1</v>
      </c>
      <c r="AH10742">
        <v>1</v>
      </c>
      <c r="AI10742">
        <v>1</v>
      </c>
      <c r="AJ10742">
        <v>1</v>
      </c>
      <c r="AK10742">
        <v>1</v>
      </c>
      <c r="AL10742">
        <v>1</v>
      </c>
      <c r="AM10742">
        <v>1</v>
      </c>
    </row>
    <row r="10743" spans="1:39" x14ac:dyDescent="0.2">
      <c r="A10743" t="str">
        <f>"10739"</f>
        <v>10739</v>
      </c>
      <c r="B10743" t="str">
        <f t="shared" ref="B10743:B10806" si="598">"1"</f>
        <v>1</v>
      </c>
      <c r="C10743" t="str">
        <f t="shared" si="597"/>
        <v>215</v>
      </c>
      <c r="D10743" t="str">
        <f>"28"</f>
        <v>28</v>
      </c>
      <c r="E10743" t="str">
        <f>"1-215-28"</f>
        <v>1-215-28</v>
      </c>
      <c r="F10743" t="s">
        <v>65</v>
      </c>
      <c r="G10743" t="s">
        <v>66</v>
      </c>
      <c r="H10743" t="s">
        <v>67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1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>
        <v>0</v>
      </c>
      <c r="AM10743">
        <v>0</v>
      </c>
    </row>
    <row r="10744" spans="1:39" x14ac:dyDescent="0.2">
      <c r="A10744" t="str">
        <f>"10740"</f>
        <v>10740</v>
      </c>
      <c r="B10744" t="str">
        <f t="shared" si="598"/>
        <v>1</v>
      </c>
      <c r="C10744" t="str">
        <f t="shared" si="597"/>
        <v>215</v>
      </c>
      <c r="D10744" t="str">
        <f>"10"</f>
        <v>10</v>
      </c>
      <c r="E10744" t="str">
        <f>"1-215-10"</f>
        <v>1-215-10</v>
      </c>
      <c r="F10744" t="s">
        <v>65</v>
      </c>
      <c r="G10744" t="s">
        <v>66</v>
      </c>
      <c r="H10744" t="s">
        <v>67</v>
      </c>
      <c r="S10744">
        <v>0</v>
      </c>
      <c r="T10744">
        <v>1</v>
      </c>
      <c r="U10744">
        <v>0</v>
      </c>
      <c r="V10744">
        <v>0</v>
      </c>
      <c r="W10744">
        <v>0</v>
      </c>
      <c r="X10744">
        <v>1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0</v>
      </c>
      <c r="AM10744">
        <v>0</v>
      </c>
    </row>
    <row r="10745" spans="1:39" x14ac:dyDescent="0.2">
      <c r="A10745" t="str">
        <f>"10741"</f>
        <v>10741</v>
      </c>
      <c r="B10745" t="str">
        <f t="shared" si="598"/>
        <v>1</v>
      </c>
      <c r="C10745" t="str">
        <f t="shared" si="597"/>
        <v>215</v>
      </c>
      <c r="D10745" t="str">
        <f>"45"</f>
        <v>45</v>
      </c>
      <c r="E10745" t="str">
        <f>"1-215-45"</f>
        <v>1-215-45</v>
      </c>
      <c r="F10745" t="s">
        <v>65</v>
      </c>
      <c r="G10745" t="s">
        <v>66</v>
      </c>
      <c r="H10745" t="s">
        <v>67</v>
      </c>
      <c r="S10745">
        <v>1</v>
      </c>
      <c r="T10745">
        <v>0</v>
      </c>
      <c r="U10745">
        <v>0</v>
      </c>
      <c r="V10745">
        <v>0</v>
      </c>
      <c r="W10745">
        <v>1</v>
      </c>
      <c r="X10745">
        <v>0</v>
      </c>
      <c r="Y10745">
        <v>0</v>
      </c>
      <c r="Z10745">
        <v>1</v>
      </c>
      <c r="AA10745">
        <v>1</v>
      </c>
      <c r="AB10745">
        <v>0</v>
      </c>
      <c r="AC10745">
        <v>0</v>
      </c>
      <c r="AD10745">
        <v>1</v>
      </c>
      <c r="AE10745">
        <v>1</v>
      </c>
      <c r="AF10745">
        <v>1</v>
      </c>
      <c r="AG10745">
        <v>1</v>
      </c>
      <c r="AH10745">
        <v>1</v>
      </c>
      <c r="AI10745">
        <v>1</v>
      </c>
      <c r="AJ10745">
        <v>1</v>
      </c>
      <c r="AK10745">
        <v>1</v>
      </c>
      <c r="AL10745">
        <v>1</v>
      </c>
      <c r="AM10745">
        <v>1</v>
      </c>
    </row>
    <row r="10746" spans="1:39" x14ac:dyDescent="0.2">
      <c r="A10746" t="str">
        <f>"10742"</f>
        <v>10742</v>
      </c>
      <c r="B10746" t="str">
        <f t="shared" si="598"/>
        <v>1</v>
      </c>
      <c r="C10746" t="str">
        <f t="shared" si="597"/>
        <v>215</v>
      </c>
      <c r="D10746" t="str">
        <f>"30"</f>
        <v>30</v>
      </c>
      <c r="E10746" t="str">
        <f>"1-215-30"</f>
        <v>1-215-30</v>
      </c>
      <c r="F10746" t="s">
        <v>65</v>
      </c>
      <c r="G10746" t="s">
        <v>66</v>
      </c>
      <c r="H10746" t="s">
        <v>68</v>
      </c>
      <c r="I10746">
        <v>1</v>
      </c>
      <c r="J10746">
        <v>0</v>
      </c>
      <c r="K10746">
        <v>0</v>
      </c>
      <c r="L10746">
        <v>1</v>
      </c>
      <c r="M10746">
        <v>1</v>
      </c>
      <c r="N10746">
        <v>0</v>
      </c>
      <c r="O10746">
        <v>0</v>
      </c>
      <c r="P10746">
        <v>1</v>
      </c>
      <c r="Q10746">
        <v>1</v>
      </c>
      <c r="R10746">
        <v>0</v>
      </c>
    </row>
    <row r="10747" spans="1:39" x14ac:dyDescent="0.2">
      <c r="A10747" t="str">
        <f>"10743"</f>
        <v>10743</v>
      </c>
      <c r="B10747" t="str">
        <f t="shared" si="598"/>
        <v>1</v>
      </c>
      <c r="C10747" t="str">
        <f t="shared" si="597"/>
        <v>215</v>
      </c>
      <c r="D10747" t="str">
        <f>"5"</f>
        <v>5</v>
      </c>
      <c r="E10747" t="str">
        <f>"1-215-5"</f>
        <v>1-215-5</v>
      </c>
      <c r="F10747" t="s">
        <v>65</v>
      </c>
      <c r="G10747" t="s">
        <v>66</v>
      </c>
      <c r="H10747" t="s">
        <v>67</v>
      </c>
      <c r="S10747">
        <v>1</v>
      </c>
      <c r="T10747">
        <v>0</v>
      </c>
      <c r="U10747">
        <v>0</v>
      </c>
      <c r="V10747">
        <v>0</v>
      </c>
      <c r="W10747">
        <v>1</v>
      </c>
      <c r="X10747">
        <v>0</v>
      </c>
      <c r="Y10747">
        <v>0</v>
      </c>
      <c r="Z10747">
        <v>1</v>
      </c>
      <c r="AA10747">
        <v>0</v>
      </c>
      <c r="AB10747">
        <v>1</v>
      </c>
      <c r="AC10747">
        <v>0</v>
      </c>
      <c r="AD10747">
        <v>1</v>
      </c>
      <c r="AE10747">
        <v>1</v>
      </c>
      <c r="AF10747">
        <v>1</v>
      </c>
      <c r="AG10747">
        <v>1</v>
      </c>
      <c r="AH10747">
        <v>1</v>
      </c>
      <c r="AI10747">
        <v>1</v>
      </c>
      <c r="AJ10747">
        <v>1</v>
      </c>
      <c r="AK10747">
        <v>1</v>
      </c>
      <c r="AL10747">
        <v>1</v>
      </c>
      <c r="AM10747">
        <v>1</v>
      </c>
    </row>
    <row r="10748" spans="1:39" x14ac:dyDescent="0.2">
      <c r="A10748" t="str">
        <f>"10744"</f>
        <v>10744</v>
      </c>
      <c r="B10748" t="str">
        <f t="shared" si="598"/>
        <v>1</v>
      </c>
      <c r="C10748" t="str">
        <f t="shared" si="597"/>
        <v>215</v>
      </c>
      <c r="D10748" t="str">
        <f>"49"</f>
        <v>49</v>
      </c>
      <c r="E10748" t="str">
        <f>"1-215-49"</f>
        <v>1-215-49</v>
      </c>
      <c r="F10748" t="s">
        <v>65</v>
      </c>
      <c r="G10748" t="s">
        <v>66</v>
      </c>
      <c r="H10748" t="s">
        <v>67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1</v>
      </c>
      <c r="Y10748">
        <v>1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>
        <v>0</v>
      </c>
      <c r="AM10748">
        <v>0</v>
      </c>
    </row>
    <row r="10749" spans="1:39" x14ac:dyDescent="0.2">
      <c r="A10749" t="str">
        <f>"10745"</f>
        <v>10745</v>
      </c>
      <c r="B10749" t="str">
        <f t="shared" si="598"/>
        <v>1</v>
      </c>
      <c r="C10749" t="str">
        <f t="shared" si="597"/>
        <v>215</v>
      </c>
      <c r="D10749" t="str">
        <f>"31"</f>
        <v>31</v>
      </c>
      <c r="E10749" t="str">
        <f>"1-215-31"</f>
        <v>1-215-31</v>
      </c>
      <c r="F10749" t="s">
        <v>65</v>
      </c>
      <c r="G10749" t="s">
        <v>66</v>
      </c>
      <c r="H10749" t="s">
        <v>67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1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1</v>
      </c>
      <c r="AE10749">
        <v>1</v>
      </c>
      <c r="AF10749">
        <v>1</v>
      </c>
      <c r="AG10749">
        <v>1</v>
      </c>
      <c r="AH10749">
        <v>1</v>
      </c>
      <c r="AI10749">
        <v>1</v>
      </c>
      <c r="AJ10749">
        <v>1</v>
      </c>
      <c r="AK10749">
        <v>1</v>
      </c>
      <c r="AL10749">
        <v>1</v>
      </c>
      <c r="AM10749">
        <v>1</v>
      </c>
    </row>
    <row r="10750" spans="1:39" x14ac:dyDescent="0.2">
      <c r="A10750" t="str">
        <f>"10746"</f>
        <v>10746</v>
      </c>
      <c r="B10750" t="str">
        <f t="shared" si="598"/>
        <v>1</v>
      </c>
      <c r="C10750" t="str">
        <f t="shared" si="597"/>
        <v>215</v>
      </c>
      <c r="D10750" t="str">
        <f>"8"</f>
        <v>8</v>
      </c>
      <c r="E10750" t="str">
        <f>"1-215-8"</f>
        <v>1-215-8</v>
      </c>
      <c r="F10750" t="s">
        <v>65</v>
      </c>
      <c r="G10750" t="s">
        <v>66</v>
      </c>
      <c r="H10750" t="s">
        <v>67</v>
      </c>
      <c r="S10750">
        <v>0</v>
      </c>
      <c r="T10750">
        <v>1</v>
      </c>
      <c r="U10750">
        <v>0</v>
      </c>
      <c r="V10750">
        <v>0</v>
      </c>
      <c r="W10750">
        <v>0</v>
      </c>
      <c r="X10750">
        <v>1</v>
      </c>
      <c r="Y10750">
        <v>0</v>
      </c>
      <c r="Z10750">
        <v>1</v>
      </c>
      <c r="AA10750">
        <v>0</v>
      </c>
      <c r="AB10750">
        <v>1</v>
      </c>
      <c r="AC10750">
        <v>0</v>
      </c>
      <c r="AD10750">
        <v>0</v>
      </c>
      <c r="AE10750">
        <v>0</v>
      </c>
      <c r="AF10750">
        <v>0</v>
      </c>
      <c r="AG10750">
        <v>1</v>
      </c>
      <c r="AH10750">
        <v>1</v>
      </c>
      <c r="AI10750">
        <v>1</v>
      </c>
      <c r="AJ10750">
        <v>1</v>
      </c>
      <c r="AK10750">
        <v>1</v>
      </c>
      <c r="AL10750">
        <v>1</v>
      </c>
      <c r="AM10750">
        <v>0</v>
      </c>
    </row>
    <row r="10751" spans="1:39" x14ac:dyDescent="0.2">
      <c r="A10751" t="str">
        <f>"10747"</f>
        <v>10747</v>
      </c>
      <c r="B10751" t="str">
        <f t="shared" si="598"/>
        <v>1</v>
      </c>
      <c r="C10751" t="str">
        <f t="shared" si="597"/>
        <v>215</v>
      </c>
      <c r="D10751" t="str">
        <f>"48"</f>
        <v>48</v>
      </c>
      <c r="E10751" t="str">
        <f>"1-215-48"</f>
        <v>1-215-48</v>
      </c>
      <c r="F10751" t="s">
        <v>65</v>
      </c>
      <c r="G10751" t="s">
        <v>66</v>
      </c>
      <c r="H10751" t="s">
        <v>67</v>
      </c>
      <c r="S10751">
        <v>1</v>
      </c>
      <c r="T10751">
        <v>0</v>
      </c>
      <c r="U10751">
        <v>0</v>
      </c>
      <c r="V10751">
        <v>0</v>
      </c>
      <c r="W10751">
        <v>1</v>
      </c>
      <c r="X10751">
        <v>0</v>
      </c>
      <c r="Y10751">
        <v>1</v>
      </c>
      <c r="Z10751">
        <v>0</v>
      </c>
      <c r="AA10751">
        <v>1</v>
      </c>
      <c r="AB10751">
        <v>0</v>
      </c>
      <c r="AC10751">
        <v>0</v>
      </c>
      <c r="AD10751">
        <v>1</v>
      </c>
      <c r="AE10751">
        <v>1</v>
      </c>
      <c r="AF10751">
        <v>1</v>
      </c>
      <c r="AG10751">
        <v>1</v>
      </c>
      <c r="AH10751">
        <v>1</v>
      </c>
      <c r="AI10751">
        <v>1</v>
      </c>
      <c r="AJ10751">
        <v>1</v>
      </c>
      <c r="AK10751">
        <v>1</v>
      </c>
      <c r="AL10751">
        <v>1</v>
      </c>
      <c r="AM10751">
        <v>1</v>
      </c>
    </row>
    <row r="10752" spans="1:39" x14ac:dyDescent="0.2">
      <c r="A10752" t="str">
        <f>"10748"</f>
        <v>10748</v>
      </c>
      <c r="B10752" t="str">
        <f t="shared" si="598"/>
        <v>1</v>
      </c>
      <c r="C10752" t="str">
        <f t="shared" si="597"/>
        <v>215</v>
      </c>
      <c r="D10752" t="str">
        <f>"32"</f>
        <v>32</v>
      </c>
      <c r="E10752" t="str">
        <f>"1-215-32"</f>
        <v>1-215-32</v>
      </c>
      <c r="F10752" t="s">
        <v>65</v>
      </c>
      <c r="G10752" t="s">
        <v>66</v>
      </c>
      <c r="H10752" t="s">
        <v>67</v>
      </c>
      <c r="S10752">
        <v>1</v>
      </c>
      <c r="T10752">
        <v>0</v>
      </c>
      <c r="U10752">
        <v>0</v>
      </c>
      <c r="V10752">
        <v>0</v>
      </c>
      <c r="W10752">
        <v>0</v>
      </c>
      <c r="X10752">
        <v>1</v>
      </c>
      <c r="Y10752">
        <v>1</v>
      </c>
      <c r="Z10752">
        <v>0</v>
      </c>
      <c r="AA10752">
        <v>1</v>
      </c>
      <c r="AB10752">
        <v>0</v>
      </c>
      <c r="AC10752">
        <v>0</v>
      </c>
      <c r="AD10752">
        <v>1</v>
      </c>
      <c r="AE10752">
        <v>1</v>
      </c>
      <c r="AF10752">
        <v>1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>
        <v>0</v>
      </c>
      <c r="AM10752">
        <v>0</v>
      </c>
    </row>
    <row r="10753" spans="1:39" x14ac:dyDescent="0.2">
      <c r="A10753" t="str">
        <f>"10749"</f>
        <v>10749</v>
      </c>
      <c r="B10753" t="str">
        <f t="shared" si="598"/>
        <v>1</v>
      </c>
      <c r="C10753" t="str">
        <f t="shared" si="597"/>
        <v>215</v>
      </c>
      <c r="D10753" t="str">
        <f>"14"</f>
        <v>14</v>
      </c>
      <c r="E10753" t="str">
        <f>"1-215-14"</f>
        <v>1-215-14</v>
      </c>
      <c r="F10753" t="s">
        <v>65</v>
      </c>
      <c r="G10753" t="s">
        <v>66</v>
      </c>
      <c r="H10753" t="s">
        <v>67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1</v>
      </c>
      <c r="Y10753">
        <v>0</v>
      </c>
      <c r="Z10753">
        <v>1</v>
      </c>
      <c r="AA10753">
        <v>1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>
        <v>0</v>
      </c>
      <c r="AM10753">
        <v>0</v>
      </c>
    </row>
    <row r="10754" spans="1:39" x14ac:dyDescent="0.2">
      <c r="A10754" t="str">
        <f>"10750"</f>
        <v>10750</v>
      </c>
      <c r="B10754" t="str">
        <f t="shared" si="598"/>
        <v>1</v>
      </c>
      <c r="C10754" t="str">
        <f t="shared" si="597"/>
        <v>215</v>
      </c>
      <c r="D10754" t="str">
        <f>"50"</f>
        <v>50</v>
      </c>
      <c r="E10754" t="str">
        <f>"1-215-50"</f>
        <v>1-215-50</v>
      </c>
      <c r="F10754" t="s">
        <v>65</v>
      </c>
      <c r="G10754" t="s">
        <v>66</v>
      </c>
      <c r="H10754" t="s">
        <v>67</v>
      </c>
      <c r="S10754">
        <v>0</v>
      </c>
      <c r="T10754">
        <v>0</v>
      </c>
      <c r="U10754">
        <v>0</v>
      </c>
      <c r="V10754">
        <v>0</v>
      </c>
      <c r="W10754">
        <v>1</v>
      </c>
      <c r="X10754">
        <v>0</v>
      </c>
      <c r="Y10754">
        <v>0</v>
      </c>
      <c r="Z10754">
        <v>1</v>
      </c>
      <c r="AA10754">
        <v>1</v>
      </c>
      <c r="AB10754">
        <v>0</v>
      </c>
      <c r="AC10754">
        <v>0</v>
      </c>
      <c r="AD10754">
        <v>1</v>
      </c>
      <c r="AE10754">
        <v>1</v>
      </c>
      <c r="AF10754">
        <v>1</v>
      </c>
      <c r="AG10754">
        <v>1</v>
      </c>
      <c r="AH10754">
        <v>1</v>
      </c>
      <c r="AI10754">
        <v>1</v>
      </c>
      <c r="AJ10754">
        <v>1</v>
      </c>
      <c r="AK10754">
        <v>1</v>
      </c>
      <c r="AL10754">
        <v>1</v>
      </c>
      <c r="AM10754">
        <v>1</v>
      </c>
    </row>
    <row r="10755" spans="1:39" x14ac:dyDescent="0.2">
      <c r="A10755" t="str">
        <f>"10751"</f>
        <v>10751</v>
      </c>
      <c r="B10755" t="str">
        <f t="shared" si="598"/>
        <v>1</v>
      </c>
      <c r="C10755" t="str">
        <f t="shared" ref="C10755:C10786" si="599">"216"</f>
        <v>216</v>
      </c>
      <c r="D10755" t="str">
        <f>"44"</f>
        <v>44</v>
      </c>
      <c r="E10755" t="str">
        <f>"1-216-44"</f>
        <v>1-216-44</v>
      </c>
      <c r="F10755" t="s">
        <v>65</v>
      </c>
      <c r="G10755" t="s">
        <v>66</v>
      </c>
      <c r="H10755" t="s">
        <v>67</v>
      </c>
      <c r="S10755">
        <v>0</v>
      </c>
      <c r="T10755">
        <v>1</v>
      </c>
      <c r="U10755">
        <v>0</v>
      </c>
      <c r="V10755">
        <v>0</v>
      </c>
      <c r="W10755">
        <v>1</v>
      </c>
      <c r="X10755">
        <v>0</v>
      </c>
      <c r="Y10755">
        <v>1</v>
      </c>
      <c r="Z10755">
        <v>0</v>
      </c>
      <c r="AA10755">
        <v>0</v>
      </c>
      <c r="AB10755">
        <v>0</v>
      </c>
      <c r="AC10755">
        <v>1</v>
      </c>
      <c r="AD10755">
        <v>1</v>
      </c>
      <c r="AE10755">
        <v>1</v>
      </c>
      <c r="AF10755">
        <v>1</v>
      </c>
      <c r="AG10755">
        <v>1</v>
      </c>
      <c r="AH10755">
        <v>1</v>
      </c>
      <c r="AI10755">
        <v>1</v>
      </c>
      <c r="AJ10755">
        <v>1</v>
      </c>
      <c r="AK10755">
        <v>1</v>
      </c>
      <c r="AL10755">
        <v>1</v>
      </c>
      <c r="AM10755">
        <v>1</v>
      </c>
    </row>
    <row r="10756" spans="1:39" x14ac:dyDescent="0.2">
      <c r="A10756" t="str">
        <f>"10752"</f>
        <v>10752</v>
      </c>
      <c r="B10756" t="str">
        <f t="shared" si="598"/>
        <v>1</v>
      </c>
      <c r="C10756" t="str">
        <f t="shared" si="599"/>
        <v>216</v>
      </c>
      <c r="D10756" t="str">
        <f>"43"</f>
        <v>43</v>
      </c>
      <c r="E10756" t="str">
        <f>"1-216-43"</f>
        <v>1-216-43</v>
      </c>
      <c r="F10756" t="s">
        <v>65</v>
      </c>
      <c r="G10756" t="s">
        <v>66</v>
      </c>
      <c r="H10756" t="s">
        <v>67</v>
      </c>
      <c r="S10756">
        <v>0</v>
      </c>
      <c r="T10756">
        <v>1</v>
      </c>
      <c r="U10756">
        <v>0</v>
      </c>
      <c r="V10756">
        <v>0</v>
      </c>
      <c r="W10756">
        <v>0</v>
      </c>
      <c r="X10756">
        <v>1</v>
      </c>
      <c r="Y10756">
        <v>0</v>
      </c>
      <c r="Z10756">
        <v>1</v>
      </c>
      <c r="AA10756">
        <v>0</v>
      </c>
      <c r="AB10756">
        <v>0</v>
      </c>
      <c r="AC10756">
        <v>1</v>
      </c>
      <c r="AD10756">
        <v>0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</row>
    <row r="10757" spans="1:39" x14ac:dyDescent="0.2">
      <c r="A10757" t="str">
        <f>"10753"</f>
        <v>10753</v>
      </c>
      <c r="B10757" t="str">
        <f t="shared" si="598"/>
        <v>1</v>
      </c>
      <c r="C10757" t="str">
        <f t="shared" si="599"/>
        <v>216</v>
      </c>
      <c r="D10757" t="str">
        <f>"26"</f>
        <v>26</v>
      </c>
      <c r="E10757" t="str">
        <f>"1-216-26"</f>
        <v>1-216-26</v>
      </c>
      <c r="F10757" t="s">
        <v>65</v>
      </c>
      <c r="G10757" t="s">
        <v>66</v>
      </c>
      <c r="H10757" t="s">
        <v>67</v>
      </c>
      <c r="S10757">
        <v>1</v>
      </c>
      <c r="T10757">
        <v>0</v>
      </c>
      <c r="U10757">
        <v>0</v>
      </c>
      <c r="V10757">
        <v>0</v>
      </c>
      <c r="W10757">
        <v>1</v>
      </c>
      <c r="X10757">
        <v>0</v>
      </c>
      <c r="Y10757">
        <v>1</v>
      </c>
      <c r="Z10757">
        <v>0</v>
      </c>
      <c r="AA10757">
        <v>0</v>
      </c>
      <c r="AB10757">
        <v>1</v>
      </c>
      <c r="AC10757">
        <v>0</v>
      </c>
      <c r="AD10757">
        <v>0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</row>
    <row r="10758" spans="1:39" x14ac:dyDescent="0.2">
      <c r="A10758" t="str">
        <f>"10754"</f>
        <v>10754</v>
      </c>
      <c r="B10758" t="str">
        <f t="shared" si="598"/>
        <v>1</v>
      </c>
      <c r="C10758" t="str">
        <f t="shared" si="599"/>
        <v>216</v>
      </c>
      <c r="D10758" t="str">
        <f>"25"</f>
        <v>25</v>
      </c>
      <c r="E10758" t="str">
        <f>"1-216-25"</f>
        <v>1-216-25</v>
      </c>
      <c r="F10758" t="s">
        <v>65</v>
      </c>
      <c r="G10758" t="s">
        <v>66</v>
      </c>
      <c r="H10758" t="s">
        <v>67</v>
      </c>
      <c r="S10758">
        <v>0</v>
      </c>
      <c r="T10758">
        <v>1</v>
      </c>
      <c r="U10758">
        <v>0</v>
      </c>
      <c r="V10758">
        <v>0</v>
      </c>
      <c r="W10758">
        <v>0</v>
      </c>
      <c r="X10758">
        <v>1</v>
      </c>
      <c r="Y10758">
        <v>0</v>
      </c>
      <c r="Z10758">
        <v>1</v>
      </c>
      <c r="AA10758">
        <v>0</v>
      </c>
      <c r="AB10758">
        <v>0</v>
      </c>
      <c r="AC10758">
        <v>1</v>
      </c>
      <c r="AD10758">
        <v>0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>
        <v>0</v>
      </c>
      <c r="AM10758">
        <v>0</v>
      </c>
    </row>
    <row r="10759" spans="1:39" x14ac:dyDescent="0.2">
      <c r="A10759" t="str">
        <f>"10755"</f>
        <v>10755</v>
      </c>
      <c r="B10759" t="str">
        <f t="shared" si="598"/>
        <v>1</v>
      </c>
      <c r="C10759" t="str">
        <f t="shared" si="599"/>
        <v>216</v>
      </c>
      <c r="D10759" t="str">
        <f>"19"</f>
        <v>19</v>
      </c>
      <c r="E10759" t="str">
        <f>"1-216-19"</f>
        <v>1-216-19</v>
      </c>
      <c r="F10759" t="s">
        <v>65</v>
      </c>
      <c r="G10759" t="s">
        <v>66</v>
      </c>
      <c r="H10759" t="s">
        <v>67</v>
      </c>
      <c r="S10759">
        <v>0</v>
      </c>
      <c r="T10759">
        <v>1</v>
      </c>
      <c r="U10759">
        <v>0</v>
      </c>
      <c r="V10759">
        <v>0</v>
      </c>
      <c r="W10759">
        <v>0</v>
      </c>
      <c r="X10759">
        <v>1</v>
      </c>
      <c r="Y10759">
        <v>0</v>
      </c>
      <c r="Z10759">
        <v>0</v>
      </c>
      <c r="AA10759">
        <v>0</v>
      </c>
      <c r="AB10759">
        <v>0</v>
      </c>
      <c r="AC10759">
        <v>1</v>
      </c>
      <c r="AD10759">
        <v>0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>
        <v>0</v>
      </c>
      <c r="AM10759">
        <v>0</v>
      </c>
    </row>
    <row r="10760" spans="1:39" x14ac:dyDescent="0.2">
      <c r="A10760" t="str">
        <f>"10756"</f>
        <v>10756</v>
      </c>
      <c r="B10760" t="str">
        <f t="shared" si="598"/>
        <v>1</v>
      </c>
      <c r="C10760" t="str">
        <f t="shared" si="599"/>
        <v>216</v>
      </c>
      <c r="D10760" t="str">
        <f>"15"</f>
        <v>15</v>
      </c>
      <c r="E10760" t="str">
        <f>"1-216-15"</f>
        <v>1-216-15</v>
      </c>
      <c r="F10760" t="s">
        <v>65</v>
      </c>
      <c r="G10760" t="s">
        <v>66</v>
      </c>
      <c r="H10760" t="s">
        <v>67</v>
      </c>
      <c r="S10760">
        <v>1</v>
      </c>
      <c r="T10760">
        <v>0</v>
      </c>
      <c r="U10760">
        <v>0</v>
      </c>
      <c r="V10760">
        <v>0</v>
      </c>
      <c r="W10760">
        <v>1</v>
      </c>
      <c r="X10760">
        <v>0</v>
      </c>
      <c r="Y10760">
        <v>0</v>
      </c>
      <c r="Z10760">
        <v>1</v>
      </c>
      <c r="AA10760">
        <v>1</v>
      </c>
      <c r="AB10760">
        <v>0</v>
      </c>
      <c r="AC10760">
        <v>0</v>
      </c>
      <c r="AD10760">
        <v>1</v>
      </c>
      <c r="AE10760">
        <v>1</v>
      </c>
      <c r="AF10760">
        <v>1</v>
      </c>
      <c r="AG10760">
        <v>1</v>
      </c>
      <c r="AH10760">
        <v>1</v>
      </c>
      <c r="AI10760">
        <v>1</v>
      </c>
      <c r="AJ10760">
        <v>1</v>
      </c>
      <c r="AK10760">
        <v>1</v>
      </c>
      <c r="AL10760">
        <v>1</v>
      </c>
      <c r="AM10760">
        <v>1</v>
      </c>
    </row>
    <row r="10761" spans="1:39" x14ac:dyDescent="0.2">
      <c r="A10761" t="str">
        <f>"10757"</f>
        <v>10757</v>
      </c>
      <c r="B10761" t="str">
        <f t="shared" si="598"/>
        <v>1</v>
      </c>
      <c r="C10761" t="str">
        <f t="shared" si="599"/>
        <v>216</v>
      </c>
      <c r="D10761" t="str">
        <f>"1"</f>
        <v>1</v>
      </c>
      <c r="E10761" t="str">
        <f>"1-216-1"</f>
        <v>1-216-1</v>
      </c>
      <c r="F10761" t="s">
        <v>65</v>
      </c>
      <c r="G10761" t="s">
        <v>66</v>
      </c>
      <c r="H10761" t="s">
        <v>68</v>
      </c>
      <c r="I10761">
        <v>1</v>
      </c>
      <c r="J10761">
        <v>1</v>
      </c>
      <c r="K10761">
        <v>0</v>
      </c>
      <c r="L10761">
        <v>0</v>
      </c>
      <c r="M10761">
        <v>1</v>
      </c>
      <c r="N10761">
        <v>1</v>
      </c>
      <c r="O10761">
        <v>1</v>
      </c>
      <c r="P10761">
        <v>1</v>
      </c>
      <c r="Q10761">
        <v>1</v>
      </c>
      <c r="R10761">
        <v>1</v>
      </c>
    </row>
    <row r="10762" spans="1:39" x14ac:dyDescent="0.2">
      <c r="A10762" t="str">
        <f>"10758"</f>
        <v>10758</v>
      </c>
      <c r="B10762" t="str">
        <f t="shared" si="598"/>
        <v>1</v>
      </c>
      <c r="C10762" t="str">
        <f t="shared" si="599"/>
        <v>216</v>
      </c>
      <c r="D10762" t="str">
        <f>"38"</f>
        <v>38</v>
      </c>
      <c r="E10762" t="str">
        <f>"1-216-38"</f>
        <v>1-216-38</v>
      </c>
      <c r="F10762" t="s">
        <v>65</v>
      </c>
      <c r="G10762" t="s">
        <v>66</v>
      </c>
      <c r="H10762" t="s">
        <v>67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1</v>
      </c>
      <c r="Y10762">
        <v>0</v>
      </c>
      <c r="Z10762">
        <v>0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</row>
    <row r="10763" spans="1:39" x14ac:dyDescent="0.2">
      <c r="A10763" t="str">
        <f>"10759"</f>
        <v>10759</v>
      </c>
      <c r="B10763" t="str">
        <f t="shared" si="598"/>
        <v>1</v>
      </c>
      <c r="C10763" t="str">
        <f t="shared" si="599"/>
        <v>216</v>
      </c>
      <c r="D10763" t="str">
        <f>"37"</f>
        <v>37</v>
      </c>
      <c r="E10763" t="str">
        <f>"1-216-37"</f>
        <v>1-216-37</v>
      </c>
      <c r="F10763" t="s">
        <v>65</v>
      </c>
      <c r="G10763" t="s">
        <v>66</v>
      </c>
      <c r="H10763" t="s">
        <v>67</v>
      </c>
      <c r="S10763">
        <v>1</v>
      </c>
      <c r="T10763">
        <v>0</v>
      </c>
      <c r="U10763">
        <v>0</v>
      </c>
      <c r="V10763">
        <v>0</v>
      </c>
      <c r="W10763">
        <v>1</v>
      </c>
      <c r="X10763">
        <v>0</v>
      </c>
      <c r="Y10763">
        <v>1</v>
      </c>
      <c r="Z10763">
        <v>0</v>
      </c>
      <c r="AA10763">
        <v>1</v>
      </c>
      <c r="AB10763">
        <v>0</v>
      </c>
      <c r="AC10763">
        <v>0</v>
      </c>
      <c r="AD10763">
        <v>1</v>
      </c>
      <c r="AE10763">
        <v>1</v>
      </c>
      <c r="AF10763">
        <v>1</v>
      </c>
      <c r="AG10763">
        <v>1</v>
      </c>
      <c r="AH10763">
        <v>1</v>
      </c>
      <c r="AI10763">
        <v>1</v>
      </c>
      <c r="AJ10763">
        <v>1</v>
      </c>
      <c r="AK10763">
        <v>1</v>
      </c>
      <c r="AL10763">
        <v>1</v>
      </c>
      <c r="AM10763">
        <v>1</v>
      </c>
    </row>
    <row r="10764" spans="1:39" x14ac:dyDescent="0.2">
      <c r="A10764" t="str">
        <f>"10760"</f>
        <v>10760</v>
      </c>
      <c r="B10764" t="str">
        <f t="shared" si="598"/>
        <v>1</v>
      </c>
      <c r="C10764" t="str">
        <f t="shared" si="599"/>
        <v>216</v>
      </c>
      <c r="D10764" t="str">
        <f>"33"</f>
        <v>33</v>
      </c>
      <c r="E10764" t="str">
        <f>"1-216-33"</f>
        <v>1-216-33</v>
      </c>
      <c r="F10764" t="s">
        <v>65</v>
      </c>
      <c r="G10764" t="s">
        <v>66</v>
      </c>
      <c r="H10764" t="s">
        <v>67</v>
      </c>
      <c r="S10764">
        <v>0</v>
      </c>
      <c r="T10764">
        <v>1</v>
      </c>
      <c r="U10764">
        <v>0</v>
      </c>
      <c r="V10764">
        <v>0</v>
      </c>
      <c r="W10764">
        <v>0</v>
      </c>
      <c r="X10764">
        <v>1</v>
      </c>
      <c r="Y10764">
        <v>0</v>
      </c>
      <c r="Z10764">
        <v>1</v>
      </c>
      <c r="AA10764">
        <v>0</v>
      </c>
      <c r="AB10764">
        <v>0</v>
      </c>
      <c r="AC10764">
        <v>1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>
        <v>0</v>
      </c>
      <c r="AM10764">
        <v>0</v>
      </c>
    </row>
    <row r="10765" spans="1:39" x14ac:dyDescent="0.2">
      <c r="A10765" t="str">
        <f>"10761"</f>
        <v>10761</v>
      </c>
      <c r="B10765" t="str">
        <f t="shared" si="598"/>
        <v>1</v>
      </c>
      <c r="C10765" t="str">
        <f t="shared" si="599"/>
        <v>216</v>
      </c>
      <c r="D10765" t="str">
        <f>"16"</f>
        <v>16</v>
      </c>
      <c r="E10765" t="str">
        <f>"1-216-16"</f>
        <v>1-216-16</v>
      </c>
      <c r="F10765" t="s">
        <v>65</v>
      </c>
      <c r="G10765" t="s">
        <v>66</v>
      </c>
      <c r="H10765" t="s">
        <v>67</v>
      </c>
      <c r="S10765">
        <v>0</v>
      </c>
      <c r="T10765">
        <v>1</v>
      </c>
      <c r="U10765">
        <v>0</v>
      </c>
      <c r="V10765">
        <v>0</v>
      </c>
      <c r="W10765">
        <v>0</v>
      </c>
      <c r="X10765">
        <v>1</v>
      </c>
      <c r="Y10765">
        <v>1</v>
      </c>
      <c r="Z10765">
        <v>0</v>
      </c>
      <c r="AA10765">
        <v>0</v>
      </c>
      <c r="AB10765">
        <v>0</v>
      </c>
      <c r="AC10765">
        <v>0</v>
      </c>
      <c r="AD10765">
        <v>1</v>
      </c>
      <c r="AE10765">
        <v>1</v>
      </c>
      <c r="AF10765">
        <v>1</v>
      </c>
      <c r="AG10765">
        <v>1</v>
      </c>
      <c r="AH10765">
        <v>1</v>
      </c>
      <c r="AI10765">
        <v>1</v>
      </c>
      <c r="AJ10765">
        <v>1</v>
      </c>
      <c r="AK10765">
        <v>1</v>
      </c>
      <c r="AL10765">
        <v>1</v>
      </c>
      <c r="AM10765">
        <v>1</v>
      </c>
    </row>
    <row r="10766" spans="1:39" x14ac:dyDescent="0.2">
      <c r="A10766" t="str">
        <f>"10762"</f>
        <v>10762</v>
      </c>
      <c r="B10766" t="str">
        <f t="shared" si="598"/>
        <v>1</v>
      </c>
      <c r="C10766" t="str">
        <f t="shared" si="599"/>
        <v>216</v>
      </c>
      <c r="D10766" t="str">
        <f>"5"</f>
        <v>5</v>
      </c>
      <c r="E10766" t="str">
        <f>"1-216-5"</f>
        <v>1-216-5</v>
      </c>
      <c r="F10766" t="s">
        <v>65</v>
      </c>
      <c r="G10766" t="s">
        <v>66</v>
      </c>
      <c r="H10766" t="s">
        <v>67</v>
      </c>
      <c r="S10766">
        <v>1</v>
      </c>
      <c r="T10766">
        <v>0</v>
      </c>
      <c r="U10766">
        <v>0</v>
      </c>
      <c r="V10766">
        <v>0</v>
      </c>
      <c r="W10766">
        <v>1</v>
      </c>
      <c r="X10766">
        <v>0</v>
      </c>
      <c r="Y10766">
        <v>1</v>
      </c>
      <c r="Z10766">
        <v>0</v>
      </c>
      <c r="AA10766">
        <v>1</v>
      </c>
      <c r="AB10766">
        <v>0</v>
      </c>
      <c r="AC10766">
        <v>0</v>
      </c>
      <c r="AD10766">
        <v>1</v>
      </c>
      <c r="AE10766">
        <v>1</v>
      </c>
      <c r="AF10766">
        <v>1</v>
      </c>
      <c r="AG10766">
        <v>1</v>
      </c>
      <c r="AH10766">
        <v>1</v>
      </c>
      <c r="AI10766">
        <v>1</v>
      </c>
      <c r="AJ10766">
        <v>1</v>
      </c>
      <c r="AK10766">
        <v>1</v>
      </c>
      <c r="AL10766">
        <v>1</v>
      </c>
      <c r="AM10766">
        <v>1</v>
      </c>
    </row>
    <row r="10767" spans="1:39" x14ac:dyDescent="0.2">
      <c r="A10767" t="str">
        <f>"10763"</f>
        <v>10763</v>
      </c>
      <c r="B10767" t="str">
        <f t="shared" si="598"/>
        <v>1</v>
      </c>
      <c r="C10767" t="str">
        <f t="shared" si="599"/>
        <v>216</v>
      </c>
      <c r="D10767" t="str">
        <f>"36"</f>
        <v>36</v>
      </c>
      <c r="E10767" t="str">
        <f>"1-216-36"</f>
        <v>1-216-36</v>
      </c>
      <c r="F10767" t="s">
        <v>65</v>
      </c>
      <c r="G10767" t="s">
        <v>66</v>
      </c>
      <c r="H10767" t="s">
        <v>67</v>
      </c>
      <c r="S10767">
        <v>0</v>
      </c>
      <c r="T10767">
        <v>1</v>
      </c>
      <c r="U10767">
        <v>0</v>
      </c>
      <c r="V10767">
        <v>0</v>
      </c>
      <c r="W10767">
        <v>0</v>
      </c>
      <c r="X10767">
        <v>1</v>
      </c>
      <c r="Y10767">
        <v>0</v>
      </c>
      <c r="Z10767">
        <v>1</v>
      </c>
      <c r="AA10767">
        <v>0</v>
      </c>
      <c r="AB10767">
        <v>0</v>
      </c>
      <c r="AC10767">
        <v>1</v>
      </c>
      <c r="AD10767">
        <v>1</v>
      </c>
      <c r="AE10767">
        <v>1</v>
      </c>
      <c r="AF10767">
        <v>1</v>
      </c>
      <c r="AG10767">
        <v>1</v>
      </c>
      <c r="AH10767">
        <v>1</v>
      </c>
      <c r="AI10767">
        <v>1</v>
      </c>
      <c r="AJ10767">
        <v>1</v>
      </c>
      <c r="AK10767">
        <v>1</v>
      </c>
      <c r="AL10767">
        <v>1</v>
      </c>
      <c r="AM10767">
        <v>1</v>
      </c>
    </row>
    <row r="10768" spans="1:39" x14ac:dyDescent="0.2">
      <c r="A10768" t="str">
        <f>"10764"</f>
        <v>10764</v>
      </c>
      <c r="B10768" t="str">
        <f t="shared" si="598"/>
        <v>1</v>
      </c>
      <c r="C10768" t="str">
        <f t="shared" si="599"/>
        <v>216</v>
      </c>
      <c r="D10768" t="str">
        <f>"35"</f>
        <v>35</v>
      </c>
      <c r="E10768" t="str">
        <f>"1-216-35"</f>
        <v>1-216-35</v>
      </c>
      <c r="F10768" t="s">
        <v>65</v>
      </c>
      <c r="G10768" t="s">
        <v>66</v>
      </c>
      <c r="H10768" t="s">
        <v>67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1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>
        <v>0</v>
      </c>
      <c r="AM10768">
        <v>0</v>
      </c>
    </row>
    <row r="10769" spans="1:39" x14ac:dyDescent="0.2">
      <c r="A10769" t="str">
        <f>"10765"</f>
        <v>10765</v>
      </c>
      <c r="B10769" t="str">
        <f t="shared" si="598"/>
        <v>1</v>
      </c>
      <c r="C10769" t="str">
        <f t="shared" si="599"/>
        <v>216</v>
      </c>
      <c r="D10769" t="str">
        <f>"27"</f>
        <v>27</v>
      </c>
      <c r="E10769" t="str">
        <f>"1-216-27"</f>
        <v>1-216-27</v>
      </c>
      <c r="F10769" t="s">
        <v>65</v>
      </c>
      <c r="G10769" t="s">
        <v>66</v>
      </c>
      <c r="H10769" t="s">
        <v>67</v>
      </c>
      <c r="S10769">
        <v>1</v>
      </c>
      <c r="T10769">
        <v>0</v>
      </c>
      <c r="U10769">
        <v>0</v>
      </c>
      <c r="V10769">
        <v>0</v>
      </c>
      <c r="W10769">
        <v>0</v>
      </c>
      <c r="X10769">
        <v>1</v>
      </c>
      <c r="Y10769">
        <v>1</v>
      </c>
      <c r="Z10769">
        <v>0</v>
      </c>
      <c r="AA10769">
        <v>1</v>
      </c>
      <c r="AB10769">
        <v>0</v>
      </c>
      <c r="AC10769">
        <v>0</v>
      </c>
      <c r="AD10769">
        <v>1</v>
      </c>
      <c r="AE10769">
        <v>1</v>
      </c>
      <c r="AF10769">
        <v>1</v>
      </c>
      <c r="AG10769">
        <v>1</v>
      </c>
      <c r="AH10769">
        <v>1</v>
      </c>
      <c r="AI10769">
        <v>1</v>
      </c>
      <c r="AJ10769">
        <v>1</v>
      </c>
      <c r="AK10769">
        <v>1</v>
      </c>
      <c r="AL10769">
        <v>1</v>
      </c>
      <c r="AM10769">
        <v>1</v>
      </c>
    </row>
    <row r="10770" spans="1:39" x14ac:dyDescent="0.2">
      <c r="A10770" t="str">
        <f>"10766"</f>
        <v>10766</v>
      </c>
      <c r="B10770" t="str">
        <f t="shared" si="598"/>
        <v>1</v>
      </c>
      <c r="C10770" t="str">
        <f t="shared" si="599"/>
        <v>216</v>
      </c>
      <c r="D10770" t="str">
        <f>"17"</f>
        <v>17</v>
      </c>
      <c r="E10770" t="str">
        <f>"1-216-17"</f>
        <v>1-216-17</v>
      </c>
      <c r="F10770" t="s">
        <v>65</v>
      </c>
      <c r="G10770" t="s">
        <v>66</v>
      </c>
      <c r="H10770" t="s">
        <v>67</v>
      </c>
      <c r="S10770">
        <v>0</v>
      </c>
      <c r="T10770">
        <v>1</v>
      </c>
      <c r="U10770">
        <v>0</v>
      </c>
      <c r="V10770">
        <v>0</v>
      </c>
      <c r="W10770">
        <v>0</v>
      </c>
      <c r="X10770">
        <v>1</v>
      </c>
      <c r="Y10770">
        <v>0</v>
      </c>
      <c r="Z10770">
        <v>1</v>
      </c>
      <c r="AA10770">
        <v>0</v>
      </c>
      <c r="AB10770">
        <v>1</v>
      </c>
      <c r="AC10770">
        <v>0</v>
      </c>
      <c r="AD10770">
        <v>1</v>
      </c>
      <c r="AE10770">
        <v>1</v>
      </c>
      <c r="AF10770">
        <v>1</v>
      </c>
      <c r="AG10770">
        <v>1</v>
      </c>
      <c r="AH10770">
        <v>1</v>
      </c>
      <c r="AI10770">
        <v>1</v>
      </c>
      <c r="AJ10770">
        <v>1</v>
      </c>
      <c r="AK10770">
        <v>1</v>
      </c>
      <c r="AL10770">
        <v>1</v>
      </c>
      <c r="AM10770">
        <v>1</v>
      </c>
    </row>
    <row r="10771" spans="1:39" x14ac:dyDescent="0.2">
      <c r="A10771" t="str">
        <f>"10767"</f>
        <v>10767</v>
      </c>
      <c r="B10771" t="str">
        <f t="shared" si="598"/>
        <v>1</v>
      </c>
      <c r="C10771" t="str">
        <f t="shared" si="599"/>
        <v>216</v>
      </c>
      <c r="D10771" t="str">
        <f>"3"</f>
        <v>3</v>
      </c>
      <c r="E10771" t="str">
        <f>"1-216-3"</f>
        <v>1-216-3</v>
      </c>
      <c r="F10771" t="s">
        <v>65</v>
      </c>
      <c r="G10771" t="s">
        <v>66</v>
      </c>
      <c r="H10771" t="s">
        <v>67</v>
      </c>
      <c r="S10771">
        <v>1</v>
      </c>
      <c r="T10771">
        <v>0</v>
      </c>
      <c r="U10771">
        <v>0</v>
      </c>
      <c r="V10771">
        <v>0</v>
      </c>
      <c r="W10771">
        <v>1</v>
      </c>
      <c r="X10771">
        <v>0</v>
      </c>
      <c r="Y10771">
        <v>1</v>
      </c>
      <c r="Z10771">
        <v>0</v>
      </c>
      <c r="AA10771">
        <v>0</v>
      </c>
      <c r="AB10771">
        <v>1</v>
      </c>
      <c r="AC10771">
        <v>0</v>
      </c>
      <c r="AD10771">
        <v>1</v>
      </c>
      <c r="AE10771">
        <v>1</v>
      </c>
      <c r="AF10771">
        <v>1</v>
      </c>
      <c r="AG10771">
        <v>1</v>
      </c>
      <c r="AH10771">
        <v>1</v>
      </c>
      <c r="AI10771">
        <v>1</v>
      </c>
      <c r="AJ10771">
        <v>1</v>
      </c>
      <c r="AK10771">
        <v>1</v>
      </c>
      <c r="AL10771">
        <v>1</v>
      </c>
      <c r="AM10771">
        <v>1</v>
      </c>
    </row>
    <row r="10772" spans="1:39" x14ac:dyDescent="0.2">
      <c r="A10772" t="str">
        <f>"10768"</f>
        <v>10768</v>
      </c>
      <c r="B10772" t="str">
        <f t="shared" si="598"/>
        <v>1</v>
      </c>
      <c r="C10772" t="str">
        <f t="shared" si="599"/>
        <v>216</v>
      </c>
      <c r="D10772" t="str">
        <f>"40"</f>
        <v>40</v>
      </c>
      <c r="E10772" t="str">
        <f>"1-216-40"</f>
        <v>1-216-40</v>
      </c>
      <c r="F10772" t="s">
        <v>65</v>
      </c>
      <c r="G10772" t="s">
        <v>66</v>
      </c>
      <c r="H10772" t="s">
        <v>67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1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>
        <v>0</v>
      </c>
      <c r="AM10772">
        <v>0</v>
      </c>
    </row>
    <row r="10773" spans="1:39" x14ac:dyDescent="0.2">
      <c r="A10773" t="str">
        <f>"10769"</f>
        <v>10769</v>
      </c>
      <c r="B10773" t="str">
        <f t="shared" si="598"/>
        <v>1</v>
      </c>
      <c r="C10773" t="str">
        <f t="shared" si="599"/>
        <v>216</v>
      </c>
      <c r="D10773" t="str">
        <f>"39"</f>
        <v>39</v>
      </c>
      <c r="E10773" t="str">
        <f>"1-216-39"</f>
        <v>1-216-39</v>
      </c>
      <c r="F10773" t="s">
        <v>65</v>
      </c>
      <c r="G10773" t="s">
        <v>66</v>
      </c>
      <c r="H10773" t="s">
        <v>67</v>
      </c>
      <c r="S10773">
        <v>0</v>
      </c>
      <c r="T10773">
        <v>1</v>
      </c>
      <c r="U10773">
        <v>0</v>
      </c>
      <c r="V10773">
        <v>0</v>
      </c>
      <c r="W10773">
        <v>0</v>
      </c>
      <c r="X10773">
        <v>1</v>
      </c>
      <c r="Y10773">
        <v>1</v>
      </c>
      <c r="Z10773">
        <v>0</v>
      </c>
      <c r="AA10773">
        <v>0</v>
      </c>
      <c r="AB10773">
        <v>0</v>
      </c>
      <c r="AC10773">
        <v>1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>
        <v>0</v>
      </c>
      <c r="AM10773">
        <v>0</v>
      </c>
    </row>
    <row r="10774" spans="1:39" x14ac:dyDescent="0.2">
      <c r="A10774" t="str">
        <f>"10770"</f>
        <v>10770</v>
      </c>
      <c r="B10774" t="str">
        <f t="shared" si="598"/>
        <v>1</v>
      </c>
      <c r="C10774" t="str">
        <f t="shared" si="599"/>
        <v>216</v>
      </c>
      <c r="D10774" t="str">
        <f>"30"</f>
        <v>30</v>
      </c>
      <c r="E10774" t="str">
        <f>"1-216-30"</f>
        <v>1-216-30</v>
      </c>
      <c r="F10774" t="s">
        <v>65</v>
      </c>
      <c r="G10774" t="s">
        <v>66</v>
      </c>
      <c r="H10774" t="s">
        <v>67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1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>
        <v>0</v>
      </c>
      <c r="AM10774">
        <v>0</v>
      </c>
    </row>
    <row r="10775" spans="1:39" x14ac:dyDescent="0.2">
      <c r="A10775" t="str">
        <f>"10771"</f>
        <v>10771</v>
      </c>
      <c r="B10775" t="str">
        <f t="shared" si="598"/>
        <v>1</v>
      </c>
      <c r="C10775" t="str">
        <f t="shared" si="599"/>
        <v>216</v>
      </c>
      <c r="D10775" t="str">
        <f>"18"</f>
        <v>18</v>
      </c>
      <c r="E10775" t="str">
        <f>"1-216-18"</f>
        <v>1-216-18</v>
      </c>
      <c r="F10775" t="s">
        <v>65</v>
      </c>
      <c r="G10775" t="s">
        <v>66</v>
      </c>
      <c r="H10775" t="s">
        <v>67</v>
      </c>
      <c r="S10775">
        <v>0</v>
      </c>
      <c r="T10775">
        <v>1</v>
      </c>
      <c r="U10775">
        <v>0</v>
      </c>
      <c r="V10775">
        <v>0</v>
      </c>
      <c r="W10775">
        <v>0</v>
      </c>
      <c r="X10775">
        <v>1</v>
      </c>
      <c r="Y10775">
        <v>0</v>
      </c>
      <c r="Z10775">
        <v>1</v>
      </c>
      <c r="AA10775">
        <v>0</v>
      </c>
      <c r="AB10775">
        <v>0</v>
      </c>
      <c r="AC10775">
        <v>1</v>
      </c>
      <c r="AD10775">
        <v>1</v>
      </c>
      <c r="AE10775">
        <v>1</v>
      </c>
      <c r="AF10775">
        <v>1</v>
      </c>
      <c r="AG10775">
        <v>1</v>
      </c>
      <c r="AH10775">
        <v>1</v>
      </c>
      <c r="AI10775">
        <v>1</v>
      </c>
      <c r="AJ10775">
        <v>1</v>
      </c>
      <c r="AK10775">
        <v>1</v>
      </c>
      <c r="AL10775">
        <v>1</v>
      </c>
      <c r="AM10775">
        <v>1</v>
      </c>
    </row>
    <row r="10776" spans="1:39" x14ac:dyDescent="0.2">
      <c r="A10776" t="str">
        <f>"10772"</f>
        <v>10772</v>
      </c>
      <c r="B10776" t="str">
        <f t="shared" si="598"/>
        <v>1</v>
      </c>
      <c r="C10776" t="str">
        <f t="shared" si="599"/>
        <v>216</v>
      </c>
      <c r="D10776" t="str">
        <f>"14"</f>
        <v>14</v>
      </c>
      <c r="E10776" t="str">
        <f>"1-216-14"</f>
        <v>1-216-14</v>
      </c>
      <c r="F10776" t="s">
        <v>65</v>
      </c>
      <c r="G10776" t="s">
        <v>66</v>
      </c>
      <c r="H10776" t="s">
        <v>67</v>
      </c>
      <c r="S10776">
        <v>0</v>
      </c>
      <c r="T10776">
        <v>1</v>
      </c>
      <c r="U10776">
        <v>0</v>
      </c>
      <c r="V10776">
        <v>0</v>
      </c>
      <c r="W10776">
        <v>0</v>
      </c>
      <c r="X10776">
        <v>1</v>
      </c>
      <c r="Y10776">
        <v>0</v>
      </c>
      <c r="Z10776">
        <v>1</v>
      </c>
      <c r="AA10776">
        <v>0</v>
      </c>
      <c r="AB10776">
        <v>1</v>
      </c>
      <c r="AC10776">
        <v>0</v>
      </c>
      <c r="AD10776">
        <v>1</v>
      </c>
      <c r="AE10776">
        <v>1</v>
      </c>
      <c r="AF10776">
        <v>1</v>
      </c>
      <c r="AG10776">
        <v>1</v>
      </c>
      <c r="AH10776">
        <v>1</v>
      </c>
      <c r="AI10776">
        <v>1</v>
      </c>
      <c r="AJ10776">
        <v>1</v>
      </c>
      <c r="AK10776">
        <v>1</v>
      </c>
      <c r="AL10776">
        <v>1</v>
      </c>
      <c r="AM10776">
        <v>1</v>
      </c>
    </row>
    <row r="10777" spans="1:39" x14ac:dyDescent="0.2">
      <c r="A10777" t="str">
        <f>"10773"</f>
        <v>10773</v>
      </c>
      <c r="B10777" t="str">
        <f t="shared" si="598"/>
        <v>1</v>
      </c>
      <c r="C10777" t="str">
        <f t="shared" si="599"/>
        <v>216</v>
      </c>
      <c r="D10777" t="str">
        <f>"41"</f>
        <v>41</v>
      </c>
      <c r="E10777" t="str">
        <f>"1-216-41"</f>
        <v>1-216-41</v>
      </c>
      <c r="F10777" t="s">
        <v>65</v>
      </c>
      <c r="G10777" t="s">
        <v>66</v>
      </c>
      <c r="H10777" t="s">
        <v>67</v>
      </c>
      <c r="S10777">
        <v>0</v>
      </c>
      <c r="T10777">
        <v>1</v>
      </c>
      <c r="U10777">
        <v>0</v>
      </c>
      <c r="V10777">
        <v>0</v>
      </c>
      <c r="W10777">
        <v>0</v>
      </c>
      <c r="X10777">
        <v>1</v>
      </c>
      <c r="Y10777">
        <v>1</v>
      </c>
      <c r="Z10777">
        <v>0</v>
      </c>
      <c r="AA10777">
        <v>1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>
        <v>0</v>
      </c>
      <c r="AM10777">
        <v>0</v>
      </c>
    </row>
    <row r="10778" spans="1:39" x14ac:dyDescent="0.2">
      <c r="A10778" t="str">
        <f>"10774"</f>
        <v>10774</v>
      </c>
      <c r="B10778" t="str">
        <f t="shared" si="598"/>
        <v>1</v>
      </c>
      <c r="C10778" t="str">
        <f t="shared" si="599"/>
        <v>216</v>
      </c>
      <c r="D10778" t="str">
        <f>"20"</f>
        <v>20</v>
      </c>
      <c r="E10778" t="str">
        <f>"1-216-20"</f>
        <v>1-216-20</v>
      </c>
      <c r="F10778" t="s">
        <v>65</v>
      </c>
      <c r="G10778" t="s">
        <v>66</v>
      </c>
      <c r="H10778" t="s">
        <v>67</v>
      </c>
      <c r="S10778">
        <v>0</v>
      </c>
      <c r="T10778">
        <v>1</v>
      </c>
      <c r="U10778">
        <v>0</v>
      </c>
      <c r="V10778">
        <v>0</v>
      </c>
      <c r="W10778">
        <v>0</v>
      </c>
      <c r="X10778">
        <v>1</v>
      </c>
      <c r="Y10778">
        <v>0</v>
      </c>
      <c r="Z10778">
        <v>0</v>
      </c>
      <c r="AA10778">
        <v>0</v>
      </c>
      <c r="AB10778">
        <v>0</v>
      </c>
      <c r="AC10778">
        <v>1</v>
      </c>
      <c r="AD10778">
        <v>0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>
        <v>0</v>
      </c>
      <c r="AM10778">
        <v>0</v>
      </c>
    </row>
    <row r="10779" spans="1:39" x14ac:dyDescent="0.2">
      <c r="A10779" t="str">
        <f>"10775"</f>
        <v>10775</v>
      </c>
      <c r="B10779" t="str">
        <f t="shared" si="598"/>
        <v>1</v>
      </c>
      <c r="C10779" t="str">
        <f t="shared" si="599"/>
        <v>216</v>
      </c>
      <c r="D10779" t="str">
        <f>"10"</f>
        <v>10</v>
      </c>
      <c r="E10779" t="str">
        <f>"1-216-10"</f>
        <v>1-216-10</v>
      </c>
      <c r="F10779" t="s">
        <v>65</v>
      </c>
      <c r="G10779" t="s">
        <v>66</v>
      </c>
      <c r="H10779" t="s">
        <v>68</v>
      </c>
      <c r="I10779">
        <v>1</v>
      </c>
      <c r="J10779">
        <v>0</v>
      </c>
      <c r="K10779">
        <v>0</v>
      </c>
      <c r="L10779">
        <v>1</v>
      </c>
      <c r="M10779">
        <v>1</v>
      </c>
      <c r="N10779">
        <v>1</v>
      </c>
      <c r="O10779">
        <v>1</v>
      </c>
      <c r="P10779">
        <v>1</v>
      </c>
      <c r="Q10779">
        <v>1</v>
      </c>
      <c r="R10779">
        <v>1</v>
      </c>
    </row>
    <row r="10780" spans="1:39" x14ac:dyDescent="0.2">
      <c r="A10780" t="str">
        <f>"10776"</f>
        <v>10776</v>
      </c>
      <c r="B10780" t="str">
        <f t="shared" si="598"/>
        <v>1</v>
      </c>
      <c r="C10780" t="str">
        <f t="shared" si="599"/>
        <v>216</v>
      </c>
      <c r="D10780" t="str">
        <f>"42"</f>
        <v>42</v>
      </c>
      <c r="E10780" t="str">
        <f>"1-216-42"</f>
        <v>1-216-42</v>
      </c>
      <c r="F10780" t="s">
        <v>65</v>
      </c>
      <c r="G10780" t="s">
        <v>66</v>
      </c>
      <c r="H10780" t="s">
        <v>67</v>
      </c>
      <c r="S10780">
        <v>0</v>
      </c>
      <c r="T10780">
        <v>1</v>
      </c>
      <c r="U10780">
        <v>0</v>
      </c>
      <c r="V10780">
        <v>0</v>
      </c>
      <c r="W10780">
        <v>1</v>
      </c>
      <c r="X10780">
        <v>0</v>
      </c>
      <c r="Y10780">
        <v>1</v>
      </c>
      <c r="Z10780">
        <v>0</v>
      </c>
      <c r="AA10780">
        <v>0</v>
      </c>
      <c r="AB10780">
        <v>0</v>
      </c>
      <c r="AC10780">
        <v>1</v>
      </c>
      <c r="AD10780">
        <v>1</v>
      </c>
      <c r="AE10780">
        <v>1</v>
      </c>
      <c r="AF10780">
        <v>1</v>
      </c>
      <c r="AG10780">
        <v>1</v>
      </c>
      <c r="AH10780">
        <v>1</v>
      </c>
      <c r="AI10780">
        <v>1</v>
      </c>
      <c r="AJ10780">
        <v>1</v>
      </c>
      <c r="AK10780">
        <v>1</v>
      </c>
      <c r="AL10780">
        <v>1</v>
      </c>
      <c r="AM10780">
        <v>1</v>
      </c>
    </row>
    <row r="10781" spans="1:39" x14ac:dyDescent="0.2">
      <c r="A10781" t="str">
        <f>"10777"</f>
        <v>10777</v>
      </c>
      <c r="B10781" t="str">
        <f t="shared" si="598"/>
        <v>1</v>
      </c>
      <c r="C10781" t="str">
        <f t="shared" si="599"/>
        <v>216</v>
      </c>
      <c r="D10781" t="str">
        <f>"21"</f>
        <v>21</v>
      </c>
      <c r="E10781" t="str">
        <f>"1-216-21"</f>
        <v>1-216-21</v>
      </c>
      <c r="F10781" t="s">
        <v>65</v>
      </c>
      <c r="G10781" t="s">
        <v>66</v>
      </c>
      <c r="H10781" t="s">
        <v>68</v>
      </c>
      <c r="I10781">
        <v>1</v>
      </c>
      <c r="J10781">
        <v>0</v>
      </c>
      <c r="K10781">
        <v>1</v>
      </c>
      <c r="L10781">
        <v>0</v>
      </c>
      <c r="M10781">
        <v>1</v>
      </c>
      <c r="N10781">
        <v>1</v>
      </c>
      <c r="O10781">
        <v>1</v>
      </c>
      <c r="P10781">
        <v>1</v>
      </c>
      <c r="Q10781">
        <v>1</v>
      </c>
      <c r="R10781">
        <v>1</v>
      </c>
    </row>
    <row r="10782" spans="1:39" x14ac:dyDescent="0.2">
      <c r="A10782" t="str">
        <f>"10778"</f>
        <v>10778</v>
      </c>
      <c r="B10782" t="str">
        <f t="shared" si="598"/>
        <v>1</v>
      </c>
      <c r="C10782" t="str">
        <f t="shared" si="599"/>
        <v>216</v>
      </c>
      <c r="D10782" t="str">
        <f>"11"</f>
        <v>11</v>
      </c>
      <c r="E10782" t="str">
        <f>"1-216-11"</f>
        <v>1-216-11</v>
      </c>
      <c r="F10782" t="s">
        <v>65</v>
      </c>
      <c r="G10782" t="s">
        <v>66</v>
      </c>
      <c r="H10782" t="s">
        <v>67</v>
      </c>
      <c r="S10782">
        <v>1</v>
      </c>
      <c r="T10782">
        <v>0</v>
      </c>
      <c r="U10782">
        <v>0</v>
      </c>
      <c r="V10782">
        <v>0</v>
      </c>
      <c r="W10782">
        <v>1</v>
      </c>
      <c r="X10782">
        <v>0</v>
      </c>
      <c r="Y10782">
        <v>1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>
        <v>0</v>
      </c>
      <c r="AM10782">
        <v>0</v>
      </c>
    </row>
    <row r="10783" spans="1:39" x14ac:dyDescent="0.2">
      <c r="A10783" t="str">
        <f>"10779"</f>
        <v>10779</v>
      </c>
      <c r="B10783" t="str">
        <f t="shared" si="598"/>
        <v>1</v>
      </c>
      <c r="C10783" t="str">
        <f t="shared" si="599"/>
        <v>216</v>
      </c>
      <c r="D10783" t="str">
        <f>"46"</f>
        <v>46</v>
      </c>
      <c r="E10783" t="str">
        <f>"1-216-46"</f>
        <v>1-216-46</v>
      </c>
      <c r="F10783" t="s">
        <v>65</v>
      </c>
      <c r="G10783" t="s">
        <v>66</v>
      </c>
      <c r="H10783" t="s">
        <v>67</v>
      </c>
      <c r="S10783">
        <v>1</v>
      </c>
      <c r="T10783">
        <v>0</v>
      </c>
      <c r="U10783">
        <v>0</v>
      </c>
      <c r="V10783">
        <v>0</v>
      </c>
      <c r="W10783">
        <v>1</v>
      </c>
      <c r="X10783">
        <v>0</v>
      </c>
      <c r="Y10783">
        <v>0</v>
      </c>
      <c r="Z10783">
        <v>0</v>
      </c>
      <c r="AA10783">
        <v>0</v>
      </c>
      <c r="AB10783">
        <v>1</v>
      </c>
      <c r="AC10783">
        <v>0</v>
      </c>
      <c r="AD10783">
        <v>0</v>
      </c>
      <c r="AE10783">
        <v>0</v>
      </c>
      <c r="AF10783">
        <v>0</v>
      </c>
      <c r="AG10783">
        <v>0</v>
      </c>
      <c r="AH10783">
        <v>1</v>
      </c>
      <c r="AI10783">
        <v>1</v>
      </c>
      <c r="AJ10783">
        <v>1</v>
      </c>
      <c r="AK10783">
        <v>1</v>
      </c>
      <c r="AL10783">
        <v>1</v>
      </c>
      <c r="AM10783">
        <v>1</v>
      </c>
    </row>
    <row r="10784" spans="1:39" x14ac:dyDescent="0.2">
      <c r="A10784" t="str">
        <f>"10780"</f>
        <v>10780</v>
      </c>
      <c r="B10784" t="str">
        <f t="shared" si="598"/>
        <v>1</v>
      </c>
      <c r="C10784" t="str">
        <f t="shared" si="599"/>
        <v>216</v>
      </c>
      <c r="D10784" t="str">
        <f>"22"</f>
        <v>22</v>
      </c>
      <c r="E10784" t="str">
        <f>"1-216-22"</f>
        <v>1-216-22</v>
      </c>
      <c r="F10784" t="s">
        <v>65</v>
      </c>
      <c r="G10784" t="s">
        <v>66</v>
      </c>
      <c r="H10784" t="s">
        <v>67</v>
      </c>
      <c r="S10784">
        <v>0</v>
      </c>
      <c r="T10784">
        <v>1</v>
      </c>
      <c r="U10784">
        <v>0</v>
      </c>
      <c r="V10784">
        <v>0</v>
      </c>
      <c r="W10784">
        <v>1</v>
      </c>
      <c r="X10784">
        <v>0</v>
      </c>
      <c r="Y10784">
        <v>0</v>
      </c>
      <c r="Z10784">
        <v>1</v>
      </c>
      <c r="AA10784">
        <v>0</v>
      </c>
      <c r="AB10784">
        <v>1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>
        <v>0</v>
      </c>
      <c r="AM10784">
        <v>0</v>
      </c>
    </row>
    <row r="10785" spans="1:39" x14ac:dyDescent="0.2">
      <c r="A10785" t="str">
        <f>"10781"</f>
        <v>10781</v>
      </c>
      <c r="B10785" t="str">
        <f t="shared" si="598"/>
        <v>1</v>
      </c>
      <c r="C10785" t="str">
        <f t="shared" si="599"/>
        <v>216</v>
      </c>
      <c r="D10785" t="str">
        <f>"2"</f>
        <v>2</v>
      </c>
      <c r="E10785" t="str">
        <f>"1-216-2"</f>
        <v>1-216-2</v>
      </c>
      <c r="F10785" t="s">
        <v>65</v>
      </c>
      <c r="G10785" t="s">
        <v>66</v>
      </c>
      <c r="H10785" t="s">
        <v>67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1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>
        <v>0</v>
      </c>
      <c r="AM10785">
        <v>0</v>
      </c>
    </row>
    <row r="10786" spans="1:39" x14ac:dyDescent="0.2">
      <c r="A10786" t="str">
        <f>"10782"</f>
        <v>10782</v>
      </c>
      <c r="B10786" t="str">
        <f t="shared" si="598"/>
        <v>1</v>
      </c>
      <c r="C10786" t="str">
        <f t="shared" si="599"/>
        <v>216</v>
      </c>
      <c r="D10786" t="str">
        <f>"45"</f>
        <v>45</v>
      </c>
      <c r="E10786" t="str">
        <f>"1-216-45"</f>
        <v>1-216-45</v>
      </c>
      <c r="F10786" t="s">
        <v>65</v>
      </c>
      <c r="G10786" t="s">
        <v>66</v>
      </c>
      <c r="H10786" t="s">
        <v>67</v>
      </c>
      <c r="S10786">
        <v>0</v>
      </c>
      <c r="T10786">
        <v>1</v>
      </c>
      <c r="U10786">
        <v>0</v>
      </c>
      <c r="V10786">
        <v>0</v>
      </c>
      <c r="W10786">
        <v>0</v>
      </c>
      <c r="X10786">
        <v>1</v>
      </c>
      <c r="Y10786">
        <v>0</v>
      </c>
      <c r="Z10786">
        <v>1</v>
      </c>
      <c r="AA10786">
        <v>0</v>
      </c>
      <c r="AB10786">
        <v>0</v>
      </c>
      <c r="AC10786">
        <v>1</v>
      </c>
      <c r="AD10786">
        <v>1</v>
      </c>
      <c r="AE10786">
        <v>1</v>
      </c>
      <c r="AF10786">
        <v>1</v>
      </c>
      <c r="AG10786">
        <v>1</v>
      </c>
      <c r="AH10786">
        <v>1</v>
      </c>
      <c r="AI10786">
        <v>1</v>
      </c>
      <c r="AJ10786">
        <v>1</v>
      </c>
      <c r="AK10786">
        <v>1</v>
      </c>
      <c r="AL10786">
        <v>1</v>
      </c>
      <c r="AM10786">
        <v>1</v>
      </c>
    </row>
    <row r="10787" spans="1:39" x14ac:dyDescent="0.2">
      <c r="A10787" t="str">
        <f>"10783"</f>
        <v>10783</v>
      </c>
      <c r="B10787" t="str">
        <f t="shared" si="598"/>
        <v>1</v>
      </c>
      <c r="C10787" t="str">
        <f t="shared" ref="C10787:C10804" si="600">"216"</f>
        <v>216</v>
      </c>
      <c r="D10787" t="str">
        <f>"23"</f>
        <v>23</v>
      </c>
      <c r="E10787" t="str">
        <f>"1-216-23"</f>
        <v>1-216-23</v>
      </c>
      <c r="F10787" t="s">
        <v>65</v>
      </c>
      <c r="G10787" t="s">
        <v>66</v>
      </c>
      <c r="H10787" t="s">
        <v>68</v>
      </c>
      <c r="I10787">
        <v>1</v>
      </c>
      <c r="J10787">
        <v>0</v>
      </c>
      <c r="K10787">
        <v>0</v>
      </c>
      <c r="L10787">
        <v>1</v>
      </c>
      <c r="M10787">
        <v>1</v>
      </c>
      <c r="N10787">
        <v>1</v>
      </c>
      <c r="O10787">
        <v>0</v>
      </c>
      <c r="P10787">
        <v>1</v>
      </c>
      <c r="Q10787">
        <v>1</v>
      </c>
      <c r="R10787">
        <v>1</v>
      </c>
    </row>
    <row r="10788" spans="1:39" x14ac:dyDescent="0.2">
      <c r="A10788" t="str">
        <f>"10784"</f>
        <v>10784</v>
      </c>
      <c r="B10788" t="str">
        <f t="shared" si="598"/>
        <v>1</v>
      </c>
      <c r="C10788" t="str">
        <f t="shared" si="600"/>
        <v>216</v>
      </c>
      <c r="D10788" t="str">
        <f>"13"</f>
        <v>13</v>
      </c>
      <c r="E10788" t="str">
        <f>"1-216-13"</f>
        <v>1-216-13</v>
      </c>
      <c r="F10788" t="s">
        <v>65</v>
      </c>
      <c r="G10788" t="s">
        <v>66</v>
      </c>
      <c r="H10788" t="s">
        <v>67</v>
      </c>
      <c r="S10788">
        <v>1</v>
      </c>
      <c r="T10788">
        <v>0</v>
      </c>
      <c r="U10788">
        <v>0</v>
      </c>
      <c r="V10788">
        <v>0</v>
      </c>
      <c r="W10788">
        <v>1</v>
      </c>
      <c r="X10788">
        <v>0</v>
      </c>
      <c r="Y10788">
        <v>1</v>
      </c>
      <c r="Z10788">
        <v>0</v>
      </c>
      <c r="AA10788">
        <v>1</v>
      </c>
      <c r="AB10788">
        <v>0</v>
      </c>
      <c r="AC10788">
        <v>0</v>
      </c>
      <c r="AD10788">
        <v>1</v>
      </c>
      <c r="AE10788">
        <v>1</v>
      </c>
      <c r="AF10788">
        <v>1</v>
      </c>
      <c r="AG10788">
        <v>1</v>
      </c>
      <c r="AH10788">
        <v>1</v>
      </c>
      <c r="AI10788">
        <v>1</v>
      </c>
      <c r="AJ10788">
        <v>1</v>
      </c>
      <c r="AK10788">
        <v>1</v>
      </c>
      <c r="AL10788">
        <v>1</v>
      </c>
      <c r="AM10788">
        <v>1</v>
      </c>
    </row>
    <row r="10789" spans="1:39" x14ac:dyDescent="0.2">
      <c r="A10789" t="str">
        <f>"10785"</f>
        <v>10785</v>
      </c>
      <c r="B10789" t="str">
        <f t="shared" si="598"/>
        <v>1</v>
      </c>
      <c r="C10789" t="str">
        <f t="shared" si="600"/>
        <v>216</v>
      </c>
      <c r="D10789" t="str">
        <f>"47"</f>
        <v>47</v>
      </c>
      <c r="E10789" t="str">
        <f>"1-216-47"</f>
        <v>1-216-47</v>
      </c>
      <c r="F10789" t="s">
        <v>65</v>
      </c>
      <c r="G10789" t="s">
        <v>66</v>
      </c>
      <c r="H10789" t="s">
        <v>67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1</v>
      </c>
      <c r="Y10789">
        <v>0</v>
      </c>
      <c r="Z10789">
        <v>0</v>
      </c>
      <c r="AA10789">
        <v>0</v>
      </c>
      <c r="AB10789">
        <v>0</v>
      </c>
      <c r="AC10789">
        <v>1</v>
      </c>
      <c r="AD10789">
        <v>0</v>
      </c>
      <c r="AE10789">
        <v>0</v>
      </c>
      <c r="AF10789">
        <v>0</v>
      </c>
      <c r="AG10789">
        <v>1</v>
      </c>
      <c r="AH10789">
        <v>1</v>
      </c>
      <c r="AI10789">
        <v>1</v>
      </c>
      <c r="AJ10789">
        <v>1</v>
      </c>
      <c r="AK10789">
        <v>1</v>
      </c>
      <c r="AL10789">
        <v>1</v>
      </c>
      <c r="AM10789">
        <v>1</v>
      </c>
    </row>
    <row r="10790" spans="1:39" x14ac:dyDescent="0.2">
      <c r="A10790" t="str">
        <f>"10786"</f>
        <v>10786</v>
      </c>
      <c r="B10790" t="str">
        <f t="shared" si="598"/>
        <v>1</v>
      </c>
      <c r="C10790" t="str">
        <f t="shared" si="600"/>
        <v>216</v>
      </c>
      <c r="D10790" t="str">
        <f>"24"</f>
        <v>24</v>
      </c>
      <c r="E10790" t="str">
        <f>"1-216-24"</f>
        <v>1-216-24</v>
      </c>
      <c r="F10790" t="s">
        <v>65</v>
      </c>
      <c r="G10790" t="s">
        <v>66</v>
      </c>
      <c r="H10790" t="s">
        <v>67</v>
      </c>
      <c r="S10790">
        <v>0</v>
      </c>
      <c r="T10790">
        <v>1</v>
      </c>
      <c r="U10790">
        <v>0</v>
      </c>
      <c r="V10790">
        <v>0</v>
      </c>
      <c r="W10790">
        <v>1</v>
      </c>
      <c r="X10790">
        <v>0</v>
      </c>
      <c r="Y10790">
        <v>1</v>
      </c>
      <c r="Z10790">
        <v>0</v>
      </c>
      <c r="AA10790">
        <v>1</v>
      </c>
      <c r="AB10790">
        <v>0</v>
      </c>
      <c r="AC10790">
        <v>0</v>
      </c>
      <c r="AD10790">
        <v>1</v>
      </c>
      <c r="AE10790">
        <v>1</v>
      </c>
      <c r="AF10790">
        <v>1</v>
      </c>
      <c r="AG10790">
        <v>1</v>
      </c>
      <c r="AH10790">
        <v>1</v>
      </c>
      <c r="AI10790">
        <v>1</v>
      </c>
      <c r="AJ10790">
        <v>1</v>
      </c>
      <c r="AK10790">
        <v>1</v>
      </c>
      <c r="AL10790">
        <v>1</v>
      </c>
      <c r="AM10790">
        <v>1</v>
      </c>
    </row>
    <row r="10791" spans="1:39" x14ac:dyDescent="0.2">
      <c r="A10791" t="str">
        <f>"10787"</f>
        <v>10787</v>
      </c>
      <c r="B10791" t="str">
        <f t="shared" si="598"/>
        <v>1</v>
      </c>
      <c r="C10791" t="str">
        <f t="shared" si="600"/>
        <v>216</v>
      </c>
      <c r="D10791" t="str">
        <f>"9"</f>
        <v>9</v>
      </c>
      <c r="E10791" t="str">
        <f>"1-216-9"</f>
        <v>1-216-9</v>
      </c>
      <c r="F10791" t="s">
        <v>65</v>
      </c>
      <c r="G10791" t="s">
        <v>66</v>
      </c>
      <c r="H10791" t="s">
        <v>67</v>
      </c>
      <c r="S10791">
        <v>1</v>
      </c>
      <c r="T10791">
        <v>0</v>
      </c>
      <c r="U10791">
        <v>0</v>
      </c>
      <c r="V10791">
        <v>0</v>
      </c>
      <c r="W10791">
        <v>1</v>
      </c>
      <c r="X10791">
        <v>0</v>
      </c>
      <c r="Y10791">
        <v>1</v>
      </c>
      <c r="Z10791">
        <v>0</v>
      </c>
      <c r="AA10791">
        <v>0</v>
      </c>
      <c r="AB10791">
        <v>1</v>
      </c>
      <c r="AC10791">
        <v>0</v>
      </c>
      <c r="AD10791">
        <v>1</v>
      </c>
      <c r="AE10791">
        <v>1</v>
      </c>
      <c r="AF10791">
        <v>1</v>
      </c>
      <c r="AG10791">
        <v>1</v>
      </c>
      <c r="AH10791">
        <v>1</v>
      </c>
      <c r="AI10791">
        <v>1</v>
      </c>
      <c r="AJ10791">
        <v>1</v>
      </c>
      <c r="AK10791">
        <v>1</v>
      </c>
      <c r="AL10791">
        <v>1</v>
      </c>
      <c r="AM10791">
        <v>1</v>
      </c>
    </row>
    <row r="10792" spans="1:39" x14ac:dyDescent="0.2">
      <c r="A10792" t="str">
        <f>"10788"</f>
        <v>10788</v>
      </c>
      <c r="B10792" t="str">
        <f t="shared" si="598"/>
        <v>1</v>
      </c>
      <c r="C10792" t="str">
        <f t="shared" si="600"/>
        <v>216</v>
      </c>
      <c r="D10792" t="str">
        <f>"28"</f>
        <v>28</v>
      </c>
      <c r="E10792" t="str">
        <f>"1-216-28"</f>
        <v>1-216-28</v>
      </c>
      <c r="F10792" t="s">
        <v>65</v>
      </c>
      <c r="G10792" t="s">
        <v>66</v>
      </c>
      <c r="H10792" t="s">
        <v>67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1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1</v>
      </c>
      <c r="AH10792">
        <v>0</v>
      </c>
      <c r="AI10792">
        <v>0</v>
      </c>
      <c r="AJ10792">
        <v>0</v>
      </c>
      <c r="AK10792">
        <v>0</v>
      </c>
      <c r="AL10792">
        <v>0</v>
      </c>
      <c r="AM10792">
        <v>0</v>
      </c>
    </row>
    <row r="10793" spans="1:39" x14ac:dyDescent="0.2">
      <c r="A10793" t="str">
        <f>"10789"</f>
        <v>10789</v>
      </c>
      <c r="B10793" t="str">
        <f t="shared" si="598"/>
        <v>1</v>
      </c>
      <c r="C10793" t="str">
        <f t="shared" si="600"/>
        <v>216</v>
      </c>
      <c r="D10793" t="str">
        <f>"6"</f>
        <v>6</v>
      </c>
      <c r="E10793" t="str">
        <f>"1-216-6"</f>
        <v>1-216-6</v>
      </c>
      <c r="F10793" t="s">
        <v>65</v>
      </c>
      <c r="G10793" t="s">
        <v>66</v>
      </c>
      <c r="H10793" t="s">
        <v>67</v>
      </c>
      <c r="S10793">
        <v>0</v>
      </c>
      <c r="T10793">
        <v>1</v>
      </c>
      <c r="U10793">
        <v>0</v>
      </c>
      <c r="V10793">
        <v>0</v>
      </c>
      <c r="W10793">
        <v>1</v>
      </c>
      <c r="X10793">
        <v>0</v>
      </c>
      <c r="Y10793">
        <v>0</v>
      </c>
      <c r="Z10793">
        <v>1</v>
      </c>
      <c r="AA10793">
        <v>0</v>
      </c>
      <c r="AB10793">
        <v>1</v>
      </c>
      <c r="AC10793">
        <v>0</v>
      </c>
      <c r="AD10793">
        <v>1</v>
      </c>
      <c r="AE10793">
        <v>1</v>
      </c>
      <c r="AF10793">
        <v>1</v>
      </c>
      <c r="AG10793">
        <v>1</v>
      </c>
      <c r="AH10793">
        <v>1</v>
      </c>
      <c r="AI10793">
        <v>1</v>
      </c>
      <c r="AJ10793">
        <v>1</v>
      </c>
      <c r="AK10793">
        <v>1</v>
      </c>
      <c r="AL10793">
        <v>1</v>
      </c>
      <c r="AM10793">
        <v>1</v>
      </c>
    </row>
    <row r="10794" spans="1:39" x14ac:dyDescent="0.2">
      <c r="A10794" t="str">
        <f>"10790"</f>
        <v>10790</v>
      </c>
      <c r="B10794" t="str">
        <f t="shared" si="598"/>
        <v>1</v>
      </c>
      <c r="C10794" t="str">
        <f t="shared" si="600"/>
        <v>216</v>
      </c>
      <c r="D10794" t="str">
        <f>"29"</f>
        <v>29</v>
      </c>
      <c r="E10794" t="str">
        <f>"1-216-29"</f>
        <v>1-216-29</v>
      </c>
      <c r="F10794" t="s">
        <v>65</v>
      </c>
      <c r="G10794" t="s">
        <v>66</v>
      </c>
      <c r="H10794" t="s">
        <v>67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1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>
        <v>0</v>
      </c>
      <c r="AM10794">
        <v>0</v>
      </c>
    </row>
    <row r="10795" spans="1:39" x14ac:dyDescent="0.2">
      <c r="A10795" t="str">
        <f>"10791"</f>
        <v>10791</v>
      </c>
      <c r="B10795" t="str">
        <f t="shared" si="598"/>
        <v>1</v>
      </c>
      <c r="C10795" t="str">
        <f t="shared" si="600"/>
        <v>216</v>
      </c>
      <c r="D10795" t="str">
        <f>"12"</f>
        <v>12</v>
      </c>
      <c r="E10795" t="str">
        <f>"1-216-12"</f>
        <v>1-216-12</v>
      </c>
      <c r="F10795" t="s">
        <v>65</v>
      </c>
      <c r="G10795" t="s">
        <v>66</v>
      </c>
      <c r="H10795" t="s">
        <v>67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1</v>
      </c>
      <c r="Y10795">
        <v>0</v>
      </c>
      <c r="Z10795">
        <v>0</v>
      </c>
      <c r="AA10795">
        <v>0</v>
      </c>
      <c r="AB10795">
        <v>1</v>
      </c>
      <c r="AC10795">
        <v>0</v>
      </c>
      <c r="AD10795">
        <v>0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>
        <v>0</v>
      </c>
      <c r="AM10795">
        <v>0</v>
      </c>
    </row>
    <row r="10796" spans="1:39" x14ac:dyDescent="0.2">
      <c r="A10796" t="str">
        <f>"10792"</f>
        <v>10792</v>
      </c>
      <c r="B10796" t="str">
        <f t="shared" si="598"/>
        <v>1</v>
      </c>
      <c r="C10796" t="str">
        <f t="shared" si="600"/>
        <v>216</v>
      </c>
      <c r="D10796" t="str">
        <f>"50"</f>
        <v>50</v>
      </c>
      <c r="E10796" t="str">
        <f>"1-216-50"</f>
        <v>1-216-50</v>
      </c>
      <c r="F10796" t="s">
        <v>65</v>
      </c>
      <c r="G10796" t="s">
        <v>66</v>
      </c>
      <c r="H10796" t="s">
        <v>67</v>
      </c>
      <c r="S10796">
        <v>1</v>
      </c>
      <c r="T10796">
        <v>0</v>
      </c>
      <c r="U10796">
        <v>0</v>
      </c>
      <c r="V10796">
        <v>0</v>
      </c>
      <c r="W10796">
        <v>1</v>
      </c>
      <c r="X10796">
        <v>0</v>
      </c>
      <c r="Y10796">
        <v>0</v>
      </c>
      <c r="Z10796">
        <v>1</v>
      </c>
      <c r="AA10796">
        <v>0</v>
      </c>
      <c r="AB10796">
        <v>1</v>
      </c>
      <c r="AC10796">
        <v>0</v>
      </c>
      <c r="AD10796">
        <v>1</v>
      </c>
      <c r="AE10796">
        <v>1</v>
      </c>
      <c r="AF10796">
        <v>1</v>
      </c>
      <c r="AG10796">
        <v>1</v>
      </c>
      <c r="AH10796">
        <v>1</v>
      </c>
      <c r="AI10796">
        <v>1</v>
      </c>
      <c r="AJ10796">
        <v>1</v>
      </c>
      <c r="AK10796">
        <v>1</v>
      </c>
      <c r="AL10796">
        <v>1</v>
      </c>
      <c r="AM10796">
        <v>1</v>
      </c>
    </row>
    <row r="10797" spans="1:39" x14ac:dyDescent="0.2">
      <c r="A10797" t="str">
        <f>"10793"</f>
        <v>10793</v>
      </c>
      <c r="B10797" t="str">
        <f t="shared" si="598"/>
        <v>1</v>
      </c>
      <c r="C10797" t="str">
        <f t="shared" si="600"/>
        <v>216</v>
      </c>
      <c r="D10797" t="str">
        <f>"31"</f>
        <v>31</v>
      </c>
      <c r="E10797" t="str">
        <f>"1-216-31"</f>
        <v>1-216-31</v>
      </c>
      <c r="F10797" t="s">
        <v>65</v>
      </c>
      <c r="G10797" t="s">
        <v>66</v>
      </c>
      <c r="H10797" t="s">
        <v>67</v>
      </c>
      <c r="S10797">
        <v>1</v>
      </c>
      <c r="T10797">
        <v>0</v>
      </c>
      <c r="U10797">
        <v>0</v>
      </c>
      <c r="V10797">
        <v>0</v>
      </c>
      <c r="W10797">
        <v>1</v>
      </c>
      <c r="X10797">
        <v>0</v>
      </c>
      <c r="Y10797">
        <v>0</v>
      </c>
      <c r="Z10797">
        <v>1</v>
      </c>
      <c r="AA10797">
        <v>0</v>
      </c>
      <c r="AB10797">
        <v>0</v>
      </c>
      <c r="AC10797">
        <v>1</v>
      </c>
      <c r="AD10797">
        <v>1</v>
      </c>
      <c r="AE10797">
        <v>1</v>
      </c>
      <c r="AF10797">
        <v>1</v>
      </c>
      <c r="AG10797">
        <v>1</v>
      </c>
      <c r="AH10797">
        <v>1</v>
      </c>
      <c r="AI10797">
        <v>1</v>
      </c>
      <c r="AJ10797">
        <v>1</v>
      </c>
      <c r="AK10797">
        <v>1</v>
      </c>
      <c r="AL10797">
        <v>1</v>
      </c>
      <c r="AM10797">
        <v>1</v>
      </c>
    </row>
    <row r="10798" spans="1:39" x14ac:dyDescent="0.2">
      <c r="A10798" t="str">
        <f>"10794"</f>
        <v>10794</v>
      </c>
      <c r="B10798" t="str">
        <f t="shared" si="598"/>
        <v>1</v>
      </c>
      <c r="C10798" t="str">
        <f t="shared" si="600"/>
        <v>216</v>
      </c>
      <c r="D10798" t="str">
        <f>"7"</f>
        <v>7</v>
      </c>
      <c r="E10798" t="str">
        <f>"1-216-7"</f>
        <v>1-216-7</v>
      </c>
      <c r="F10798" t="s">
        <v>65</v>
      </c>
      <c r="G10798" t="s">
        <v>66</v>
      </c>
      <c r="H10798" t="s">
        <v>67</v>
      </c>
      <c r="S10798">
        <v>1</v>
      </c>
      <c r="T10798">
        <v>0</v>
      </c>
      <c r="U10798">
        <v>0</v>
      </c>
      <c r="V10798">
        <v>0</v>
      </c>
      <c r="W10798">
        <v>1</v>
      </c>
      <c r="X10798">
        <v>0</v>
      </c>
      <c r="Y10798">
        <v>1</v>
      </c>
      <c r="Z10798">
        <v>0</v>
      </c>
      <c r="AA10798">
        <v>1</v>
      </c>
      <c r="AB10798">
        <v>0</v>
      </c>
      <c r="AC10798">
        <v>0</v>
      </c>
      <c r="AD10798">
        <v>1</v>
      </c>
      <c r="AE10798">
        <v>1</v>
      </c>
      <c r="AF10798">
        <v>1</v>
      </c>
      <c r="AG10798">
        <v>1</v>
      </c>
      <c r="AH10798">
        <v>1</v>
      </c>
      <c r="AI10798">
        <v>1</v>
      </c>
      <c r="AJ10798">
        <v>1</v>
      </c>
      <c r="AK10798">
        <v>1</v>
      </c>
      <c r="AL10798">
        <v>1</v>
      </c>
      <c r="AM10798">
        <v>1</v>
      </c>
    </row>
    <row r="10799" spans="1:39" x14ac:dyDescent="0.2">
      <c r="A10799" t="str">
        <f>"10795"</f>
        <v>10795</v>
      </c>
      <c r="B10799" t="str">
        <f t="shared" si="598"/>
        <v>1</v>
      </c>
      <c r="C10799" t="str">
        <f t="shared" si="600"/>
        <v>216</v>
      </c>
      <c r="D10799" t="str">
        <f>"32"</f>
        <v>32</v>
      </c>
      <c r="E10799" t="str">
        <f>"1-216-32"</f>
        <v>1-216-32</v>
      </c>
      <c r="F10799" t="s">
        <v>65</v>
      </c>
      <c r="G10799" t="s">
        <v>66</v>
      </c>
      <c r="H10799" t="s">
        <v>67</v>
      </c>
      <c r="S10799">
        <v>0</v>
      </c>
      <c r="T10799">
        <v>1</v>
      </c>
      <c r="U10799">
        <v>0</v>
      </c>
      <c r="V10799">
        <v>0</v>
      </c>
      <c r="W10799">
        <v>1</v>
      </c>
      <c r="X10799">
        <v>0</v>
      </c>
      <c r="Y10799">
        <v>1</v>
      </c>
      <c r="Z10799">
        <v>0</v>
      </c>
      <c r="AA10799">
        <v>0</v>
      </c>
      <c r="AB10799">
        <v>1</v>
      </c>
      <c r="AC10799">
        <v>0</v>
      </c>
      <c r="AD10799">
        <v>1</v>
      </c>
      <c r="AE10799">
        <v>1</v>
      </c>
      <c r="AF10799">
        <v>1</v>
      </c>
      <c r="AG10799">
        <v>1</v>
      </c>
      <c r="AH10799">
        <v>1</v>
      </c>
      <c r="AI10799">
        <v>1</v>
      </c>
      <c r="AJ10799">
        <v>1</v>
      </c>
      <c r="AK10799">
        <v>1</v>
      </c>
      <c r="AL10799">
        <v>1</v>
      </c>
      <c r="AM10799">
        <v>1</v>
      </c>
    </row>
    <row r="10800" spans="1:39" x14ac:dyDescent="0.2">
      <c r="A10800" t="str">
        <f>"10796"</f>
        <v>10796</v>
      </c>
      <c r="B10800" t="str">
        <f t="shared" si="598"/>
        <v>1</v>
      </c>
      <c r="C10800" t="str">
        <f t="shared" si="600"/>
        <v>216</v>
      </c>
      <c r="D10800" t="str">
        <f>"8"</f>
        <v>8</v>
      </c>
      <c r="E10800" t="str">
        <f>"1-216-8"</f>
        <v>1-216-8</v>
      </c>
      <c r="F10800" t="s">
        <v>65</v>
      </c>
      <c r="G10800" t="s">
        <v>66</v>
      </c>
      <c r="H10800" t="s">
        <v>67</v>
      </c>
      <c r="S10800">
        <v>0</v>
      </c>
      <c r="T10800">
        <v>1</v>
      </c>
      <c r="U10800">
        <v>0</v>
      </c>
      <c r="V10800">
        <v>0</v>
      </c>
      <c r="W10800">
        <v>0</v>
      </c>
      <c r="X10800">
        <v>1</v>
      </c>
      <c r="Y10800">
        <v>0</v>
      </c>
      <c r="Z10800">
        <v>1</v>
      </c>
      <c r="AA10800">
        <v>0</v>
      </c>
      <c r="AB10800">
        <v>0</v>
      </c>
      <c r="AC10800">
        <v>1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  <c r="AK10800">
        <v>0</v>
      </c>
      <c r="AL10800">
        <v>0</v>
      </c>
      <c r="AM10800">
        <v>0</v>
      </c>
    </row>
    <row r="10801" spans="1:39" x14ac:dyDescent="0.2">
      <c r="A10801" t="str">
        <f>"10797"</f>
        <v>10797</v>
      </c>
      <c r="B10801" t="str">
        <f t="shared" si="598"/>
        <v>1</v>
      </c>
      <c r="C10801" t="str">
        <f t="shared" si="600"/>
        <v>216</v>
      </c>
      <c r="D10801" t="str">
        <f>"34"</f>
        <v>34</v>
      </c>
      <c r="E10801" t="str">
        <f>"1-216-34"</f>
        <v>1-216-34</v>
      </c>
      <c r="F10801" t="s">
        <v>65</v>
      </c>
      <c r="G10801" t="s">
        <v>66</v>
      </c>
      <c r="H10801" t="s">
        <v>67</v>
      </c>
      <c r="S10801">
        <v>0</v>
      </c>
      <c r="T10801">
        <v>1</v>
      </c>
      <c r="U10801">
        <v>0</v>
      </c>
      <c r="V10801">
        <v>0</v>
      </c>
      <c r="W10801">
        <v>1</v>
      </c>
      <c r="X10801">
        <v>0</v>
      </c>
      <c r="Y10801">
        <v>0</v>
      </c>
      <c r="Z10801">
        <v>1</v>
      </c>
      <c r="AA10801">
        <v>1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1</v>
      </c>
      <c r="AJ10801">
        <v>1</v>
      </c>
      <c r="AK10801">
        <v>1</v>
      </c>
      <c r="AL10801">
        <v>1</v>
      </c>
      <c r="AM10801">
        <v>1</v>
      </c>
    </row>
    <row r="10802" spans="1:39" x14ac:dyDescent="0.2">
      <c r="A10802" t="str">
        <f>"10798"</f>
        <v>10798</v>
      </c>
      <c r="B10802" t="str">
        <f t="shared" si="598"/>
        <v>1</v>
      </c>
      <c r="C10802" t="str">
        <f t="shared" si="600"/>
        <v>216</v>
      </c>
      <c r="D10802" t="str">
        <f>"4"</f>
        <v>4</v>
      </c>
      <c r="E10802" t="str">
        <f>"1-216-4"</f>
        <v>1-216-4</v>
      </c>
      <c r="F10802" t="s">
        <v>65</v>
      </c>
      <c r="G10802" t="s">
        <v>66</v>
      </c>
      <c r="H10802" t="s">
        <v>67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1</v>
      </c>
      <c r="Y10802">
        <v>0</v>
      </c>
      <c r="Z10802">
        <v>0</v>
      </c>
      <c r="AA10802">
        <v>0</v>
      </c>
      <c r="AB10802">
        <v>0</v>
      </c>
      <c r="AC10802">
        <v>1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  <c r="AK10802">
        <v>0</v>
      </c>
      <c r="AL10802">
        <v>0</v>
      </c>
      <c r="AM10802">
        <v>0</v>
      </c>
    </row>
    <row r="10803" spans="1:39" x14ac:dyDescent="0.2">
      <c r="A10803" t="str">
        <f>"10799"</f>
        <v>10799</v>
      </c>
      <c r="B10803" t="str">
        <f t="shared" si="598"/>
        <v>1</v>
      </c>
      <c r="C10803" t="str">
        <f t="shared" si="600"/>
        <v>216</v>
      </c>
      <c r="D10803" t="str">
        <f>"48"</f>
        <v>48</v>
      </c>
      <c r="E10803" t="str">
        <f>"1-216-48"</f>
        <v>1-216-48</v>
      </c>
      <c r="F10803" t="s">
        <v>65</v>
      </c>
      <c r="G10803" t="s">
        <v>66</v>
      </c>
      <c r="H10803" t="s">
        <v>67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1</v>
      </c>
      <c r="Y10803">
        <v>0</v>
      </c>
      <c r="Z10803">
        <v>0</v>
      </c>
      <c r="AA10803">
        <v>0</v>
      </c>
      <c r="AB10803">
        <v>0</v>
      </c>
      <c r="AC10803">
        <v>1</v>
      </c>
      <c r="AD10803">
        <v>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  <c r="AK10803">
        <v>0</v>
      </c>
      <c r="AL10803">
        <v>0</v>
      </c>
      <c r="AM10803">
        <v>0</v>
      </c>
    </row>
    <row r="10804" spans="1:39" x14ac:dyDescent="0.2">
      <c r="A10804" t="str">
        <f>"10800"</f>
        <v>10800</v>
      </c>
      <c r="B10804" t="str">
        <f t="shared" si="598"/>
        <v>1</v>
      </c>
      <c r="C10804" t="str">
        <f t="shared" si="600"/>
        <v>216</v>
      </c>
      <c r="D10804" t="str">
        <f>"49"</f>
        <v>49</v>
      </c>
      <c r="E10804" t="str">
        <f>"1-216-49"</f>
        <v>1-216-49</v>
      </c>
      <c r="F10804" t="s">
        <v>65</v>
      </c>
      <c r="G10804" t="s">
        <v>66</v>
      </c>
      <c r="H10804" t="s">
        <v>67</v>
      </c>
      <c r="S10804">
        <v>0</v>
      </c>
      <c r="T10804">
        <v>1</v>
      </c>
      <c r="U10804">
        <v>0</v>
      </c>
      <c r="V10804">
        <v>0</v>
      </c>
      <c r="W10804">
        <v>0</v>
      </c>
      <c r="X10804">
        <v>1</v>
      </c>
      <c r="Y10804">
        <v>0</v>
      </c>
      <c r="Z10804">
        <v>1</v>
      </c>
      <c r="AA10804">
        <v>0</v>
      </c>
      <c r="AB10804">
        <v>0</v>
      </c>
      <c r="AC10804">
        <v>1</v>
      </c>
      <c r="AD10804">
        <v>1</v>
      </c>
      <c r="AE10804">
        <v>1</v>
      </c>
      <c r="AF10804">
        <v>1</v>
      </c>
      <c r="AG10804">
        <v>1</v>
      </c>
      <c r="AH10804">
        <v>1</v>
      </c>
      <c r="AI10804">
        <v>1</v>
      </c>
      <c r="AJ10804">
        <v>1</v>
      </c>
      <c r="AK10804">
        <v>1</v>
      </c>
      <c r="AL10804">
        <v>1</v>
      </c>
      <c r="AM10804">
        <v>1</v>
      </c>
    </row>
    <row r="10805" spans="1:39" x14ac:dyDescent="0.2">
      <c r="A10805" t="str">
        <f>"10801"</f>
        <v>10801</v>
      </c>
      <c r="B10805" t="str">
        <f t="shared" si="598"/>
        <v>1</v>
      </c>
      <c r="C10805" t="str">
        <f t="shared" ref="C10805:C10836" si="601">"217"</f>
        <v>217</v>
      </c>
      <c r="D10805" t="str">
        <f>"38"</f>
        <v>38</v>
      </c>
      <c r="E10805" t="str">
        <f>"1-217-38"</f>
        <v>1-217-38</v>
      </c>
      <c r="F10805" t="s">
        <v>65</v>
      </c>
      <c r="G10805" t="s">
        <v>66</v>
      </c>
      <c r="H10805" t="s">
        <v>67</v>
      </c>
      <c r="S10805">
        <v>0</v>
      </c>
      <c r="T10805">
        <v>1</v>
      </c>
      <c r="U10805">
        <v>0</v>
      </c>
      <c r="V10805">
        <v>0</v>
      </c>
      <c r="W10805">
        <v>0</v>
      </c>
      <c r="X10805">
        <v>1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1</v>
      </c>
      <c r="AE10805">
        <v>1</v>
      </c>
      <c r="AF10805">
        <v>1</v>
      </c>
      <c r="AG10805">
        <v>1</v>
      </c>
      <c r="AH10805">
        <v>1</v>
      </c>
      <c r="AI10805">
        <v>1</v>
      </c>
      <c r="AJ10805">
        <v>1</v>
      </c>
      <c r="AK10805">
        <v>1</v>
      </c>
      <c r="AL10805">
        <v>1</v>
      </c>
      <c r="AM10805">
        <v>1</v>
      </c>
    </row>
    <row r="10806" spans="1:39" x14ac:dyDescent="0.2">
      <c r="A10806" t="str">
        <f>"10802"</f>
        <v>10802</v>
      </c>
      <c r="B10806" t="str">
        <f t="shared" si="598"/>
        <v>1</v>
      </c>
      <c r="C10806" t="str">
        <f t="shared" si="601"/>
        <v>217</v>
      </c>
      <c r="D10806" t="str">
        <f>"37"</f>
        <v>37</v>
      </c>
      <c r="E10806" t="str">
        <f>"1-217-37"</f>
        <v>1-217-37</v>
      </c>
      <c r="F10806" t="s">
        <v>65</v>
      </c>
      <c r="G10806" t="s">
        <v>66</v>
      </c>
      <c r="H10806" t="s">
        <v>67</v>
      </c>
      <c r="S10806">
        <v>0</v>
      </c>
      <c r="T10806">
        <v>1</v>
      </c>
      <c r="U10806">
        <v>0</v>
      </c>
      <c r="V10806">
        <v>0</v>
      </c>
      <c r="W10806">
        <v>0</v>
      </c>
      <c r="X10806">
        <v>1</v>
      </c>
      <c r="Y10806">
        <v>0</v>
      </c>
      <c r="Z10806">
        <v>1</v>
      </c>
      <c r="AA10806">
        <v>0</v>
      </c>
      <c r="AB10806">
        <v>0</v>
      </c>
      <c r="AC10806">
        <v>1</v>
      </c>
      <c r="AD10806">
        <v>0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  <c r="AK10806">
        <v>0</v>
      </c>
      <c r="AL10806">
        <v>0</v>
      </c>
      <c r="AM10806">
        <v>0</v>
      </c>
    </row>
    <row r="10807" spans="1:39" x14ac:dyDescent="0.2">
      <c r="A10807" t="str">
        <f>"10803"</f>
        <v>10803</v>
      </c>
      <c r="B10807" t="str">
        <f t="shared" ref="B10807:B10870" si="602">"1"</f>
        <v>1</v>
      </c>
      <c r="C10807" t="str">
        <f t="shared" si="601"/>
        <v>217</v>
      </c>
      <c r="D10807" t="str">
        <f>"36"</f>
        <v>36</v>
      </c>
      <c r="E10807" t="str">
        <f>"1-217-36"</f>
        <v>1-217-36</v>
      </c>
      <c r="F10807" t="s">
        <v>65</v>
      </c>
      <c r="G10807" t="s">
        <v>66</v>
      </c>
      <c r="H10807" t="s">
        <v>67</v>
      </c>
      <c r="S10807">
        <v>0</v>
      </c>
      <c r="T10807">
        <v>1</v>
      </c>
      <c r="U10807">
        <v>0</v>
      </c>
      <c r="V10807">
        <v>0</v>
      </c>
      <c r="W10807">
        <v>0</v>
      </c>
      <c r="X10807">
        <v>1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1</v>
      </c>
      <c r="AE10807">
        <v>1</v>
      </c>
      <c r="AF10807">
        <v>1</v>
      </c>
      <c r="AG10807">
        <v>1</v>
      </c>
      <c r="AH10807">
        <v>1</v>
      </c>
      <c r="AI10807">
        <v>1</v>
      </c>
      <c r="AJ10807">
        <v>1</v>
      </c>
      <c r="AK10807">
        <v>1</v>
      </c>
      <c r="AL10807">
        <v>1</v>
      </c>
      <c r="AM10807">
        <v>1</v>
      </c>
    </row>
    <row r="10808" spans="1:39" x14ac:dyDescent="0.2">
      <c r="A10808" t="str">
        <f>"10804"</f>
        <v>10804</v>
      </c>
      <c r="B10808" t="str">
        <f t="shared" si="602"/>
        <v>1</v>
      </c>
      <c r="C10808" t="str">
        <f t="shared" si="601"/>
        <v>217</v>
      </c>
      <c r="D10808" t="str">
        <f>"35"</f>
        <v>35</v>
      </c>
      <c r="E10808" t="str">
        <f>"1-217-35"</f>
        <v>1-217-35</v>
      </c>
      <c r="F10808" t="s">
        <v>65</v>
      </c>
      <c r="G10808" t="s">
        <v>66</v>
      </c>
      <c r="H10808" t="s">
        <v>68</v>
      </c>
      <c r="I10808">
        <v>0</v>
      </c>
      <c r="J10808">
        <v>0</v>
      </c>
      <c r="K10808">
        <v>0</v>
      </c>
      <c r="L10808">
        <v>1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</row>
    <row r="10809" spans="1:39" x14ac:dyDescent="0.2">
      <c r="A10809" t="str">
        <f>"10805"</f>
        <v>10805</v>
      </c>
      <c r="B10809" t="str">
        <f t="shared" si="602"/>
        <v>1</v>
      </c>
      <c r="C10809" t="str">
        <f t="shared" si="601"/>
        <v>217</v>
      </c>
      <c r="D10809" t="str">
        <f>"20"</f>
        <v>20</v>
      </c>
      <c r="E10809" t="str">
        <f>"1-217-20"</f>
        <v>1-217-20</v>
      </c>
      <c r="F10809" t="s">
        <v>65</v>
      </c>
      <c r="G10809" t="s">
        <v>66</v>
      </c>
      <c r="H10809" t="s">
        <v>67</v>
      </c>
      <c r="S10809">
        <v>0</v>
      </c>
      <c r="T10809">
        <v>1</v>
      </c>
      <c r="U10809">
        <v>0</v>
      </c>
      <c r="V10809">
        <v>0</v>
      </c>
      <c r="W10809">
        <v>1</v>
      </c>
      <c r="X10809">
        <v>0</v>
      </c>
      <c r="Y10809">
        <v>1</v>
      </c>
      <c r="Z10809">
        <v>0</v>
      </c>
      <c r="AA10809">
        <v>0</v>
      </c>
      <c r="AB10809">
        <v>1</v>
      </c>
      <c r="AC10809">
        <v>0</v>
      </c>
      <c r="AD10809">
        <v>1</v>
      </c>
      <c r="AE10809">
        <v>1</v>
      </c>
      <c r="AF10809">
        <v>1</v>
      </c>
      <c r="AG10809">
        <v>1</v>
      </c>
      <c r="AH10809">
        <v>1</v>
      </c>
      <c r="AI10809">
        <v>1</v>
      </c>
      <c r="AJ10809">
        <v>1</v>
      </c>
      <c r="AK10809">
        <v>1</v>
      </c>
      <c r="AL10809">
        <v>1</v>
      </c>
      <c r="AM10809">
        <v>1</v>
      </c>
    </row>
    <row r="10810" spans="1:39" x14ac:dyDescent="0.2">
      <c r="A10810" t="str">
        <f>"10806"</f>
        <v>10806</v>
      </c>
      <c r="B10810" t="str">
        <f t="shared" si="602"/>
        <v>1</v>
      </c>
      <c r="C10810" t="str">
        <f t="shared" si="601"/>
        <v>217</v>
      </c>
      <c r="D10810" t="str">
        <f>"19"</f>
        <v>19</v>
      </c>
      <c r="E10810" t="str">
        <f>"1-217-19"</f>
        <v>1-217-19</v>
      </c>
      <c r="F10810" t="s">
        <v>65</v>
      </c>
      <c r="G10810" t="s">
        <v>66</v>
      </c>
      <c r="H10810" t="s">
        <v>67</v>
      </c>
      <c r="S10810">
        <v>1</v>
      </c>
      <c r="T10810">
        <v>0</v>
      </c>
      <c r="U10810">
        <v>0</v>
      </c>
      <c r="V10810">
        <v>0</v>
      </c>
      <c r="W10810">
        <v>1</v>
      </c>
      <c r="X10810">
        <v>0</v>
      </c>
      <c r="Y10810">
        <v>1</v>
      </c>
      <c r="Z10810">
        <v>0</v>
      </c>
      <c r="AA10810">
        <v>1</v>
      </c>
      <c r="AB10810">
        <v>0</v>
      </c>
      <c r="AC10810">
        <v>0</v>
      </c>
      <c r="AD10810">
        <v>1</v>
      </c>
      <c r="AE10810">
        <v>1</v>
      </c>
      <c r="AF10810">
        <v>0</v>
      </c>
      <c r="AG10810">
        <v>0</v>
      </c>
      <c r="AH10810">
        <v>0</v>
      </c>
      <c r="AI10810">
        <v>1</v>
      </c>
      <c r="AJ10810">
        <v>0</v>
      </c>
      <c r="AK10810">
        <v>0</v>
      </c>
      <c r="AL10810">
        <v>1</v>
      </c>
      <c r="AM10810">
        <v>1</v>
      </c>
    </row>
    <row r="10811" spans="1:39" x14ac:dyDescent="0.2">
      <c r="A10811" t="str">
        <f>"10807"</f>
        <v>10807</v>
      </c>
      <c r="B10811" t="str">
        <f t="shared" si="602"/>
        <v>1</v>
      </c>
      <c r="C10811" t="str">
        <f t="shared" si="601"/>
        <v>217</v>
      </c>
      <c r="D10811" t="str">
        <f>"17"</f>
        <v>17</v>
      </c>
      <c r="E10811" t="str">
        <f>"1-217-17"</f>
        <v>1-217-17</v>
      </c>
      <c r="F10811" t="s">
        <v>65</v>
      </c>
      <c r="G10811" t="s">
        <v>66</v>
      </c>
      <c r="H10811" t="s">
        <v>67</v>
      </c>
      <c r="S10811">
        <v>0</v>
      </c>
      <c r="T10811">
        <v>1</v>
      </c>
      <c r="U10811">
        <v>0</v>
      </c>
      <c r="V10811">
        <v>0</v>
      </c>
      <c r="W10811">
        <v>1</v>
      </c>
      <c r="X10811">
        <v>0</v>
      </c>
      <c r="Y10811">
        <v>1</v>
      </c>
      <c r="Z10811">
        <v>0</v>
      </c>
      <c r="AA10811">
        <v>0</v>
      </c>
      <c r="AB10811">
        <v>0</v>
      </c>
      <c r="AC10811">
        <v>1</v>
      </c>
      <c r="AD10811">
        <v>1</v>
      </c>
      <c r="AE10811">
        <v>1</v>
      </c>
      <c r="AF10811">
        <v>1</v>
      </c>
      <c r="AG10811">
        <v>1</v>
      </c>
      <c r="AH10811">
        <v>1</v>
      </c>
      <c r="AI10811">
        <v>1</v>
      </c>
      <c r="AJ10811">
        <v>1</v>
      </c>
      <c r="AK10811">
        <v>1</v>
      </c>
      <c r="AL10811">
        <v>1</v>
      </c>
      <c r="AM10811">
        <v>1</v>
      </c>
    </row>
    <row r="10812" spans="1:39" x14ac:dyDescent="0.2">
      <c r="A10812" t="str">
        <f>"10808"</f>
        <v>10808</v>
      </c>
      <c r="B10812" t="str">
        <f t="shared" si="602"/>
        <v>1</v>
      </c>
      <c r="C10812" t="str">
        <f t="shared" si="601"/>
        <v>217</v>
      </c>
      <c r="D10812" t="str">
        <f>"15"</f>
        <v>15</v>
      </c>
      <c r="E10812" t="str">
        <f>"1-217-15"</f>
        <v>1-217-15</v>
      </c>
      <c r="F10812" t="s">
        <v>65</v>
      </c>
      <c r="G10812" t="s">
        <v>66</v>
      </c>
      <c r="H10812" t="s">
        <v>67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1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0</v>
      </c>
      <c r="AH10812">
        <v>0</v>
      </c>
      <c r="AI10812">
        <v>0</v>
      </c>
      <c r="AJ10812">
        <v>0</v>
      </c>
      <c r="AK10812">
        <v>0</v>
      </c>
      <c r="AL10812">
        <v>0</v>
      </c>
      <c r="AM10812">
        <v>0</v>
      </c>
    </row>
    <row r="10813" spans="1:39" x14ac:dyDescent="0.2">
      <c r="A10813" t="str">
        <f>"10809"</f>
        <v>10809</v>
      </c>
      <c r="B10813" t="str">
        <f t="shared" si="602"/>
        <v>1</v>
      </c>
      <c r="C10813" t="str">
        <f t="shared" si="601"/>
        <v>217</v>
      </c>
      <c r="D10813" t="str">
        <f>"5"</f>
        <v>5</v>
      </c>
      <c r="E10813" t="str">
        <f>"1-217-5"</f>
        <v>1-217-5</v>
      </c>
      <c r="F10813" t="s">
        <v>65</v>
      </c>
      <c r="G10813" t="s">
        <v>66</v>
      </c>
      <c r="H10813" t="s">
        <v>67</v>
      </c>
      <c r="S10813">
        <v>1</v>
      </c>
      <c r="T10813">
        <v>0</v>
      </c>
      <c r="U10813">
        <v>0</v>
      </c>
      <c r="V10813">
        <v>0</v>
      </c>
      <c r="W10813">
        <v>1</v>
      </c>
      <c r="X10813">
        <v>0</v>
      </c>
      <c r="Y10813">
        <v>1</v>
      </c>
      <c r="Z10813">
        <v>0</v>
      </c>
      <c r="AA10813">
        <v>1</v>
      </c>
      <c r="AB10813">
        <v>0</v>
      </c>
      <c r="AC10813">
        <v>0</v>
      </c>
      <c r="AD10813">
        <v>1</v>
      </c>
      <c r="AE10813">
        <v>1</v>
      </c>
      <c r="AF10813">
        <v>1</v>
      </c>
      <c r="AG10813">
        <v>1</v>
      </c>
      <c r="AH10813">
        <v>1</v>
      </c>
      <c r="AI10813">
        <v>1</v>
      </c>
      <c r="AJ10813">
        <v>1</v>
      </c>
      <c r="AK10813">
        <v>1</v>
      </c>
      <c r="AL10813">
        <v>1</v>
      </c>
      <c r="AM10813">
        <v>1</v>
      </c>
    </row>
    <row r="10814" spans="1:39" x14ac:dyDescent="0.2">
      <c r="A10814" t="str">
        <f>"10810"</f>
        <v>10810</v>
      </c>
      <c r="B10814" t="str">
        <f t="shared" si="602"/>
        <v>1</v>
      </c>
      <c r="C10814" t="str">
        <f t="shared" si="601"/>
        <v>217</v>
      </c>
      <c r="D10814" t="str">
        <f>"40"</f>
        <v>40</v>
      </c>
      <c r="E10814" t="str">
        <f>"1-217-40"</f>
        <v>1-217-40</v>
      </c>
      <c r="F10814" t="s">
        <v>65</v>
      </c>
      <c r="G10814" t="s">
        <v>66</v>
      </c>
      <c r="H10814" t="s">
        <v>67</v>
      </c>
      <c r="S10814">
        <v>0</v>
      </c>
      <c r="T10814">
        <v>1</v>
      </c>
      <c r="U10814">
        <v>0</v>
      </c>
      <c r="V10814">
        <v>0</v>
      </c>
      <c r="W10814">
        <v>0</v>
      </c>
      <c r="X10814">
        <v>1</v>
      </c>
      <c r="Y10814">
        <v>0</v>
      </c>
      <c r="Z10814">
        <v>1</v>
      </c>
      <c r="AA10814">
        <v>0</v>
      </c>
      <c r="AB10814">
        <v>0</v>
      </c>
      <c r="AC10814">
        <v>1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  <c r="AK10814">
        <v>0</v>
      </c>
      <c r="AL10814">
        <v>0</v>
      </c>
      <c r="AM10814">
        <v>0</v>
      </c>
    </row>
    <row r="10815" spans="1:39" x14ac:dyDescent="0.2">
      <c r="A10815" t="str">
        <f>"10811"</f>
        <v>10811</v>
      </c>
      <c r="B10815" t="str">
        <f t="shared" si="602"/>
        <v>1</v>
      </c>
      <c r="C10815" t="str">
        <f t="shared" si="601"/>
        <v>217</v>
      </c>
      <c r="D10815" t="str">
        <f>"39"</f>
        <v>39</v>
      </c>
      <c r="E10815" t="str">
        <f>"1-217-39"</f>
        <v>1-217-39</v>
      </c>
      <c r="F10815" t="s">
        <v>65</v>
      </c>
      <c r="G10815" t="s">
        <v>66</v>
      </c>
      <c r="H10815" t="s">
        <v>67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1</v>
      </c>
      <c r="Y10815">
        <v>0</v>
      </c>
      <c r="Z10815">
        <v>0</v>
      </c>
      <c r="AA10815">
        <v>0</v>
      </c>
      <c r="AB10815">
        <v>1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1</v>
      </c>
      <c r="AJ10815">
        <v>1</v>
      </c>
      <c r="AK10815">
        <v>1</v>
      </c>
      <c r="AL10815">
        <v>1</v>
      </c>
      <c r="AM10815">
        <v>0</v>
      </c>
    </row>
    <row r="10816" spans="1:39" x14ac:dyDescent="0.2">
      <c r="A10816" t="str">
        <f>"10812"</f>
        <v>10812</v>
      </c>
      <c r="B10816" t="str">
        <f t="shared" si="602"/>
        <v>1</v>
      </c>
      <c r="C10816" t="str">
        <f t="shared" si="601"/>
        <v>217</v>
      </c>
      <c r="D10816" t="str">
        <f>"28"</f>
        <v>28</v>
      </c>
      <c r="E10816" t="str">
        <f>"1-217-28"</f>
        <v>1-217-28</v>
      </c>
      <c r="F10816" t="s">
        <v>65</v>
      </c>
      <c r="G10816" t="s">
        <v>66</v>
      </c>
      <c r="H10816" t="s">
        <v>67</v>
      </c>
      <c r="S10816">
        <v>0</v>
      </c>
      <c r="T10816">
        <v>1</v>
      </c>
      <c r="U10816">
        <v>0</v>
      </c>
      <c r="V10816">
        <v>0</v>
      </c>
      <c r="W10816">
        <v>0</v>
      </c>
      <c r="X10816">
        <v>1</v>
      </c>
      <c r="Y10816">
        <v>0</v>
      </c>
      <c r="Z10816">
        <v>1</v>
      </c>
      <c r="AA10816">
        <v>0</v>
      </c>
      <c r="AB10816">
        <v>0</v>
      </c>
      <c r="AC10816">
        <v>1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  <c r="AK10816">
        <v>0</v>
      </c>
      <c r="AL10816">
        <v>0</v>
      </c>
      <c r="AM10816">
        <v>0</v>
      </c>
    </row>
    <row r="10817" spans="1:39" x14ac:dyDescent="0.2">
      <c r="A10817" t="str">
        <f>"10813"</f>
        <v>10813</v>
      </c>
      <c r="B10817" t="str">
        <f t="shared" si="602"/>
        <v>1</v>
      </c>
      <c r="C10817" t="str">
        <f t="shared" si="601"/>
        <v>217</v>
      </c>
      <c r="D10817" t="str">
        <f>"27"</f>
        <v>27</v>
      </c>
      <c r="E10817" t="str">
        <f>"1-217-27"</f>
        <v>1-217-27</v>
      </c>
      <c r="F10817" t="s">
        <v>65</v>
      </c>
      <c r="G10817" t="s">
        <v>66</v>
      </c>
      <c r="H10817" t="s">
        <v>67</v>
      </c>
      <c r="S10817">
        <v>1</v>
      </c>
      <c r="T10817">
        <v>0</v>
      </c>
      <c r="U10817">
        <v>0</v>
      </c>
      <c r="V10817">
        <v>0</v>
      </c>
      <c r="W10817">
        <v>1</v>
      </c>
      <c r="X10817">
        <v>0</v>
      </c>
      <c r="Y10817">
        <v>1</v>
      </c>
      <c r="Z10817">
        <v>0</v>
      </c>
      <c r="AA10817">
        <v>1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  <c r="AK10817">
        <v>0</v>
      </c>
      <c r="AL10817">
        <v>0</v>
      </c>
      <c r="AM10817">
        <v>0</v>
      </c>
    </row>
    <row r="10818" spans="1:39" x14ac:dyDescent="0.2">
      <c r="A10818" t="str">
        <f>"10814"</f>
        <v>10814</v>
      </c>
      <c r="B10818" t="str">
        <f t="shared" si="602"/>
        <v>1</v>
      </c>
      <c r="C10818" t="str">
        <f t="shared" si="601"/>
        <v>217</v>
      </c>
      <c r="D10818" t="str">
        <f>"18"</f>
        <v>18</v>
      </c>
      <c r="E10818" t="str">
        <f>"1-217-18"</f>
        <v>1-217-18</v>
      </c>
      <c r="F10818" t="s">
        <v>65</v>
      </c>
      <c r="G10818" t="s">
        <v>66</v>
      </c>
      <c r="H10818" t="s">
        <v>67</v>
      </c>
      <c r="S10818">
        <v>0</v>
      </c>
      <c r="T10818">
        <v>1</v>
      </c>
      <c r="U10818">
        <v>0</v>
      </c>
      <c r="V10818">
        <v>0</v>
      </c>
      <c r="W10818">
        <v>1</v>
      </c>
      <c r="X10818">
        <v>0</v>
      </c>
      <c r="Y10818">
        <v>1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</row>
    <row r="10819" spans="1:39" x14ac:dyDescent="0.2">
      <c r="A10819" t="str">
        <f>"10815"</f>
        <v>10815</v>
      </c>
      <c r="B10819" t="str">
        <f t="shared" si="602"/>
        <v>1</v>
      </c>
      <c r="C10819" t="str">
        <f t="shared" si="601"/>
        <v>217</v>
      </c>
      <c r="D10819" t="str">
        <f>"16"</f>
        <v>16</v>
      </c>
      <c r="E10819" t="str">
        <f>"1-217-16"</f>
        <v>1-217-16</v>
      </c>
      <c r="F10819" t="s">
        <v>65</v>
      </c>
      <c r="G10819" t="s">
        <v>66</v>
      </c>
      <c r="H10819" t="s">
        <v>67</v>
      </c>
      <c r="S10819">
        <v>0</v>
      </c>
      <c r="T10819">
        <v>1</v>
      </c>
      <c r="U10819">
        <v>0</v>
      </c>
      <c r="V10819">
        <v>0</v>
      </c>
      <c r="W10819">
        <v>1</v>
      </c>
      <c r="X10819">
        <v>0</v>
      </c>
      <c r="Y10819">
        <v>1</v>
      </c>
      <c r="Z10819">
        <v>0</v>
      </c>
      <c r="AA10819">
        <v>0</v>
      </c>
      <c r="AB10819">
        <v>0</v>
      </c>
      <c r="AC10819">
        <v>1</v>
      </c>
      <c r="AD10819">
        <v>1</v>
      </c>
      <c r="AE10819">
        <v>1</v>
      </c>
      <c r="AF10819">
        <v>1</v>
      </c>
      <c r="AG10819">
        <v>1</v>
      </c>
      <c r="AH10819">
        <v>1</v>
      </c>
      <c r="AI10819">
        <v>1</v>
      </c>
      <c r="AJ10819">
        <v>1</v>
      </c>
      <c r="AK10819">
        <v>1</v>
      </c>
      <c r="AL10819">
        <v>1</v>
      </c>
      <c r="AM10819">
        <v>1</v>
      </c>
    </row>
    <row r="10820" spans="1:39" x14ac:dyDescent="0.2">
      <c r="A10820" t="str">
        <f>"10816"</f>
        <v>10816</v>
      </c>
      <c r="B10820" t="str">
        <f t="shared" si="602"/>
        <v>1</v>
      </c>
      <c r="C10820" t="str">
        <f t="shared" si="601"/>
        <v>217</v>
      </c>
      <c r="D10820" t="str">
        <f>"1"</f>
        <v>1</v>
      </c>
      <c r="E10820" t="str">
        <f>"1-217-1"</f>
        <v>1-217-1</v>
      </c>
      <c r="F10820" t="s">
        <v>65</v>
      </c>
      <c r="G10820" t="s">
        <v>66</v>
      </c>
      <c r="H10820" t="s">
        <v>67</v>
      </c>
      <c r="S10820">
        <v>1</v>
      </c>
      <c r="T10820">
        <v>0</v>
      </c>
      <c r="U10820">
        <v>0</v>
      </c>
      <c r="V10820">
        <v>0</v>
      </c>
      <c r="W10820">
        <v>1</v>
      </c>
      <c r="X10820">
        <v>0</v>
      </c>
      <c r="Y10820">
        <v>0</v>
      </c>
      <c r="Z10820">
        <v>1</v>
      </c>
      <c r="AA10820">
        <v>0</v>
      </c>
      <c r="AB10820">
        <v>1</v>
      </c>
      <c r="AC10820">
        <v>0</v>
      </c>
      <c r="AD10820">
        <v>1</v>
      </c>
      <c r="AE10820">
        <v>1</v>
      </c>
      <c r="AF10820">
        <v>0</v>
      </c>
      <c r="AG10820">
        <v>1</v>
      </c>
      <c r="AH10820">
        <v>1</v>
      </c>
      <c r="AI10820">
        <v>1</v>
      </c>
      <c r="AJ10820">
        <v>1</v>
      </c>
      <c r="AK10820">
        <v>1</v>
      </c>
      <c r="AL10820">
        <v>1</v>
      </c>
      <c r="AM10820">
        <v>1</v>
      </c>
    </row>
    <row r="10821" spans="1:39" x14ac:dyDescent="0.2">
      <c r="A10821" t="str">
        <f>"10817"</f>
        <v>10817</v>
      </c>
      <c r="B10821" t="str">
        <f t="shared" si="602"/>
        <v>1</v>
      </c>
      <c r="C10821" t="str">
        <f t="shared" si="601"/>
        <v>217</v>
      </c>
      <c r="D10821" t="str">
        <f>"21"</f>
        <v>21</v>
      </c>
      <c r="E10821" t="str">
        <f>"1-217-21"</f>
        <v>1-217-21</v>
      </c>
      <c r="F10821" t="s">
        <v>65</v>
      </c>
      <c r="G10821" t="s">
        <v>66</v>
      </c>
      <c r="H10821" t="s">
        <v>67</v>
      </c>
      <c r="S10821">
        <v>0</v>
      </c>
      <c r="T10821">
        <v>1</v>
      </c>
      <c r="U10821">
        <v>0</v>
      </c>
      <c r="V10821">
        <v>0</v>
      </c>
      <c r="W10821">
        <v>0</v>
      </c>
      <c r="X10821">
        <v>1</v>
      </c>
      <c r="Y10821">
        <v>0</v>
      </c>
      <c r="Z10821">
        <v>1</v>
      </c>
      <c r="AA10821">
        <v>0</v>
      </c>
      <c r="AB10821">
        <v>0</v>
      </c>
      <c r="AC10821">
        <v>1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  <c r="AK10821">
        <v>0</v>
      </c>
      <c r="AL10821">
        <v>0</v>
      </c>
      <c r="AM10821">
        <v>0</v>
      </c>
    </row>
    <row r="10822" spans="1:39" x14ac:dyDescent="0.2">
      <c r="A10822" t="str">
        <f>"10818"</f>
        <v>10818</v>
      </c>
      <c r="B10822" t="str">
        <f t="shared" si="602"/>
        <v>1</v>
      </c>
      <c r="C10822" t="str">
        <f t="shared" si="601"/>
        <v>217</v>
      </c>
      <c r="D10822" t="str">
        <f>"7"</f>
        <v>7</v>
      </c>
      <c r="E10822" t="str">
        <f>"1-217-7"</f>
        <v>1-217-7</v>
      </c>
      <c r="F10822" t="s">
        <v>65</v>
      </c>
      <c r="G10822" t="s">
        <v>66</v>
      </c>
      <c r="H10822" t="s">
        <v>67</v>
      </c>
      <c r="S10822">
        <v>1</v>
      </c>
      <c r="T10822">
        <v>0</v>
      </c>
      <c r="U10822">
        <v>0</v>
      </c>
      <c r="V10822">
        <v>0</v>
      </c>
      <c r="W10822">
        <v>0</v>
      </c>
      <c r="X10822">
        <v>1</v>
      </c>
      <c r="Y10822">
        <v>1</v>
      </c>
      <c r="Z10822">
        <v>0</v>
      </c>
      <c r="AA10822">
        <v>0</v>
      </c>
      <c r="AB10822">
        <v>1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  <c r="AK10822">
        <v>0</v>
      </c>
      <c r="AL10822">
        <v>0</v>
      </c>
      <c r="AM10822">
        <v>0</v>
      </c>
    </row>
    <row r="10823" spans="1:39" x14ac:dyDescent="0.2">
      <c r="A10823" t="str">
        <f>"10819"</f>
        <v>10819</v>
      </c>
      <c r="B10823" t="str">
        <f t="shared" si="602"/>
        <v>1</v>
      </c>
      <c r="C10823" t="str">
        <f t="shared" si="601"/>
        <v>217</v>
      </c>
      <c r="D10823" t="str">
        <f>"43"</f>
        <v>43</v>
      </c>
      <c r="E10823" t="str">
        <f>"1-217-43"</f>
        <v>1-217-43</v>
      </c>
      <c r="F10823" t="s">
        <v>65</v>
      </c>
      <c r="G10823" t="s">
        <v>66</v>
      </c>
      <c r="H10823" t="s">
        <v>67</v>
      </c>
      <c r="S10823">
        <v>0</v>
      </c>
      <c r="T10823">
        <v>1</v>
      </c>
      <c r="U10823">
        <v>0</v>
      </c>
      <c r="V10823">
        <v>0</v>
      </c>
      <c r="W10823">
        <v>1</v>
      </c>
      <c r="X10823">
        <v>0</v>
      </c>
      <c r="Y10823">
        <v>0</v>
      </c>
      <c r="Z10823">
        <v>1</v>
      </c>
      <c r="AA10823">
        <v>0</v>
      </c>
      <c r="AB10823">
        <v>0</v>
      </c>
      <c r="AC10823">
        <v>1</v>
      </c>
      <c r="AD10823">
        <v>1</v>
      </c>
      <c r="AE10823">
        <v>1</v>
      </c>
      <c r="AF10823">
        <v>1</v>
      </c>
      <c r="AG10823">
        <v>1</v>
      </c>
      <c r="AH10823">
        <v>1</v>
      </c>
      <c r="AI10823">
        <v>1</v>
      </c>
      <c r="AJ10823">
        <v>1</v>
      </c>
      <c r="AK10823">
        <v>1</v>
      </c>
      <c r="AL10823">
        <v>1</v>
      </c>
      <c r="AM10823">
        <v>1</v>
      </c>
    </row>
    <row r="10824" spans="1:39" x14ac:dyDescent="0.2">
      <c r="A10824" t="str">
        <f>"10820"</f>
        <v>10820</v>
      </c>
      <c r="B10824" t="str">
        <f t="shared" si="602"/>
        <v>1</v>
      </c>
      <c r="C10824" t="str">
        <f t="shared" si="601"/>
        <v>217</v>
      </c>
      <c r="D10824" t="str">
        <f>"22"</f>
        <v>22</v>
      </c>
      <c r="E10824" t="str">
        <f>"1-217-22"</f>
        <v>1-217-22</v>
      </c>
      <c r="F10824" t="s">
        <v>65</v>
      </c>
      <c r="G10824" t="s">
        <v>66</v>
      </c>
      <c r="H10824" t="s">
        <v>67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1</v>
      </c>
      <c r="Y10824">
        <v>0</v>
      </c>
      <c r="Z10824">
        <v>0</v>
      </c>
      <c r="AA10824">
        <v>0</v>
      </c>
      <c r="AB10824">
        <v>0</v>
      </c>
      <c r="AC10824">
        <v>1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  <c r="AK10824">
        <v>0</v>
      </c>
      <c r="AL10824">
        <v>0</v>
      </c>
      <c r="AM10824">
        <v>0</v>
      </c>
    </row>
    <row r="10825" spans="1:39" x14ac:dyDescent="0.2">
      <c r="A10825" t="str">
        <f>"10821"</f>
        <v>10821</v>
      </c>
      <c r="B10825" t="str">
        <f t="shared" si="602"/>
        <v>1</v>
      </c>
      <c r="C10825" t="str">
        <f t="shared" si="601"/>
        <v>217</v>
      </c>
      <c r="D10825" t="str">
        <f>"2"</f>
        <v>2</v>
      </c>
      <c r="E10825" t="str">
        <f>"1-217-2"</f>
        <v>1-217-2</v>
      </c>
      <c r="F10825" t="s">
        <v>65</v>
      </c>
      <c r="G10825" t="s">
        <v>66</v>
      </c>
      <c r="H10825" t="s">
        <v>67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1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  <c r="AK10825">
        <v>0</v>
      </c>
      <c r="AL10825">
        <v>0</v>
      </c>
      <c r="AM10825">
        <v>0</v>
      </c>
    </row>
    <row r="10826" spans="1:39" x14ac:dyDescent="0.2">
      <c r="A10826" t="str">
        <f>"10822"</f>
        <v>10822</v>
      </c>
      <c r="B10826" t="str">
        <f t="shared" si="602"/>
        <v>1</v>
      </c>
      <c r="C10826" t="str">
        <f t="shared" si="601"/>
        <v>217</v>
      </c>
      <c r="D10826" t="str">
        <f>"23"</f>
        <v>23</v>
      </c>
      <c r="E10826" t="str">
        <f>"1-217-23"</f>
        <v>1-217-23</v>
      </c>
      <c r="F10826" t="s">
        <v>65</v>
      </c>
      <c r="G10826" t="s">
        <v>66</v>
      </c>
      <c r="H10826" t="s">
        <v>67</v>
      </c>
      <c r="S10826">
        <v>0</v>
      </c>
      <c r="T10826">
        <v>0</v>
      </c>
      <c r="U10826">
        <v>0</v>
      </c>
      <c r="V10826">
        <v>0</v>
      </c>
      <c r="W10826">
        <v>1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  <c r="AK10826">
        <v>0</v>
      </c>
      <c r="AL10826">
        <v>0</v>
      </c>
      <c r="AM10826">
        <v>0</v>
      </c>
    </row>
    <row r="10827" spans="1:39" x14ac:dyDescent="0.2">
      <c r="A10827" t="str">
        <f>"10823"</f>
        <v>10823</v>
      </c>
      <c r="B10827" t="str">
        <f t="shared" si="602"/>
        <v>1</v>
      </c>
      <c r="C10827" t="str">
        <f t="shared" si="601"/>
        <v>217</v>
      </c>
      <c r="D10827" t="str">
        <f>"9"</f>
        <v>9</v>
      </c>
      <c r="E10827" t="str">
        <f>"1-217-9"</f>
        <v>1-217-9</v>
      </c>
      <c r="F10827" t="s">
        <v>65</v>
      </c>
      <c r="G10827" t="s">
        <v>66</v>
      </c>
      <c r="H10827" t="s">
        <v>67</v>
      </c>
      <c r="S10827">
        <v>1</v>
      </c>
      <c r="T10827">
        <v>0</v>
      </c>
      <c r="U10827">
        <v>0</v>
      </c>
      <c r="V10827">
        <v>0</v>
      </c>
      <c r="W10827">
        <v>1</v>
      </c>
      <c r="X10827">
        <v>0</v>
      </c>
      <c r="Y10827">
        <v>0</v>
      </c>
      <c r="Z10827">
        <v>1</v>
      </c>
      <c r="AA10827">
        <v>0</v>
      </c>
      <c r="AB10827">
        <v>1</v>
      </c>
      <c r="AC10827">
        <v>0</v>
      </c>
      <c r="AD10827">
        <v>1</v>
      </c>
      <c r="AE10827">
        <v>1</v>
      </c>
      <c r="AF10827">
        <v>1</v>
      </c>
      <c r="AG10827">
        <v>1</v>
      </c>
      <c r="AH10827">
        <v>1</v>
      </c>
      <c r="AI10827">
        <v>1</v>
      </c>
      <c r="AJ10827">
        <v>1</v>
      </c>
      <c r="AK10827">
        <v>1</v>
      </c>
      <c r="AL10827">
        <v>1</v>
      </c>
      <c r="AM10827">
        <v>1</v>
      </c>
    </row>
    <row r="10828" spans="1:39" x14ac:dyDescent="0.2">
      <c r="A10828" t="str">
        <f>"10824"</f>
        <v>10824</v>
      </c>
      <c r="B10828" t="str">
        <f t="shared" si="602"/>
        <v>1</v>
      </c>
      <c r="C10828" t="str">
        <f t="shared" si="601"/>
        <v>217</v>
      </c>
      <c r="D10828" t="str">
        <f>"42"</f>
        <v>42</v>
      </c>
      <c r="E10828" t="str">
        <f>"1-217-42"</f>
        <v>1-217-42</v>
      </c>
      <c r="F10828" t="s">
        <v>65</v>
      </c>
      <c r="G10828" t="s">
        <v>66</v>
      </c>
      <c r="H10828" t="s">
        <v>67</v>
      </c>
      <c r="S10828">
        <v>0</v>
      </c>
      <c r="T10828">
        <v>1</v>
      </c>
      <c r="U10828">
        <v>0</v>
      </c>
      <c r="V10828">
        <v>0</v>
      </c>
      <c r="W10828">
        <v>1</v>
      </c>
      <c r="X10828">
        <v>0</v>
      </c>
      <c r="Y10828">
        <v>0</v>
      </c>
      <c r="Z10828">
        <v>1</v>
      </c>
      <c r="AA10828">
        <v>0</v>
      </c>
      <c r="AB10828">
        <v>0</v>
      </c>
      <c r="AC10828">
        <v>1</v>
      </c>
      <c r="AD10828">
        <v>1</v>
      </c>
      <c r="AE10828">
        <v>1</v>
      </c>
      <c r="AF10828">
        <v>1</v>
      </c>
      <c r="AG10828">
        <v>1</v>
      </c>
      <c r="AH10828">
        <v>1</v>
      </c>
      <c r="AI10828">
        <v>1</v>
      </c>
      <c r="AJ10828">
        <v>1</v>
      </c>
      <c r="AK10828">
        <v>1</v>
      </c>
      <c r="AL10828">
        <v>1</v>
      </c>
      <c r="AM10828">
        <v>1</v>
      </c>
    </row>
    <row r="10829" spans="1:39" x14ac:dyDescent="0.2">
      <c r="A10829" t="str">
        <f>"10825"</f>
        <v>10825</v>
      </c>
      <c r="B10829" t="str">
        <f t="shared" si="602"/>
        <v>1</v>
      </c>
      <c r="C10829" t="str">
        <f t="shared" si="601"/>
        <v>217</v>
      </c>
      <c r="D10829" t="str">
        <f>"24"</f>
        <v>24</v>
      </c>
      <c r="E10829" t="str">
        <f>"1-217-24"</f>
        <v>1-217-24</v>
      </c>
      <c r="F10829" t="s">
        <v>65</v>
      </c>
      <c r="G10829" t="s">
        <v>66</v>
      </c>
      <c r="H10829" t="s">
        <v>67</v>
      </c>
      <c r="S10829">
        <v>0</v>
      </c>
      <c r="T10829">
        <v>0</v>
      </c>
      <c r="U10829">
        <v>0</v>
      </c>
      <c r="V10829">
        <v>0</v>
      </c>
      <c r="W10829">
        <v>1</v>
      </c>
      <c r="X10829">
        <v>0</v>
      </c>
      <c r="Y10829">
        <v>1</v>
      </c>
      <c r="Z10829">
        <v>0</v>
      </c>
      <c r="AA10829">
        <v>1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1</v>
      </c>
      <c r="AK10829">
        <v>0</v>
      </c>
      <c r="AL10829">
        <v>1</v>
      </c>
      <c r="AM10829">
        <v>1</v>
      </c>
    </row>
    <row r="10830" spans="1:39" x14ac:dyDescent="0.2">
      <c r="A10830" t="str">
        <f>"10826"</f>
        <v>10826</v>
      </c>
      <c r="B10830" t="str">
        <f t="shared" si="602"/>
        <v>1</v>
      </c>
      <c r="C10830" t="str">
        <f t="shared" si="601"/>
        <v>217</v>
      </c>
      <c r="D10830" t="str">
        <f>"4"</f>
        <v>4</v>
      </c>
      <c r="E10830" t="str">
        <f>"1-217-4"</f>
        <v>1-217-4</v>
      </c>
      <c r="F10830" t="s">
        <v>65</v>
      </c>
      <c r="G10830" t="s">
        <v>66</v>
      </c>
      <c r="H10830" t="s">
        <v>67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1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  <c r="AK10830">
        <v>0</v>
      </c>
      <c r="AL10830">
        <v>0</v>
      </c>
      <c r="AM10830">
        <v>0</v>
      </c>
    </row>
    <row r="10831" spans="1:39" x14ac:dyDescent="0.2">
      <c r="A10831" t="str">
        <f>"10827"</f>
        <v>10827</v>
      </c>
      <c r="B10831" t="str">
        <f t="shared" si="602"/>
        <v>1</v>
      </c>
      <c r="C10831" t="str">
        <f t="shared" si="601"/>
        <v>217</v>
      </c>
      <c r="D10831" t="str">
        <f>"44"</f>
        <v>44</v>
      </c>
      <c r="E10831" t="str">
        <f>"1-217-44"</f>
        <v>1-217-44</v>
      </c>
      <c r="F10831" t="s">
        <v>65</v>
      </c>
      <c r="G10831" t="s">
        <v>66</v>
      </c>
      <c r="H10831" t="s">
        <v>67</v>
      </c>
      <c r="S10831">
        <v>1</v>
      </c>
      <c r="T10831">
        <v>0</v>
      </c>
      <c r="U10831">
        <v>0</v>
      </c>
      <c r="V10831">
        <v>0</v>
      </c>
      <c r="W10831">
        <v>1</v>
      </c>
      <c r="X10831">
        <v>0</v>
      </c>
      <c r="Y10831">
        <v>0</v>
      </c>
      <c r="Z10831">
        <v>1</v>
      </c>
      <c r="AA10831">
        <v>0</v>
      </c>
      <c r="AB10831">
        <v>1</v>
      </c>
      <c r="AC10831">
        <v>0</v>
      </c>
      <c r="AD10831">
        <v>0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  <c r="AK10831">
        <v>0</v>
      </c>
      <c r="AL10831">
        <v>1</v>
      </c>
      <c r="AM10831">
        <v>1</v>
      </c>
    </row>
    <row r="10832" spans="1:39" x14ac:dyDescent="0.2">
      <c r="A10832" t="str">
        <f>"10828"</f>
        <v>10828</v>
      </c>
      <c r="B10832" t="str">
        <f t="shared" si="602"/>
        <v>1</v>
      </c>
      <c r="C10832" t="str">
        <f t="shared" si="601"/>
        <v>217</v>
      </c>
      <c r="D10832" t="str">
        <f>"25"</f>
        <v>25</v>
      </c>
      <c r="E10832" t="str">
        <f>"1-217-25"</f>
        <v>1-217-25</v>
      </c>
      <c r="F10832" t="s">
        <v>65</v>
      </c>
      <c r="G10832" t="s">
        <v>66</v>
      </c>
      <c r="H10832" t="s">
        <v>67</v>
      </c>
      <c r="S10832">
        <v>0</v>
      </c>
      <c r="T10832">
        <v>1</v>
      </c>
      <c r="U10832">
        <v>0</v>
      </c>
      <c r="V10832">
        <v>0</v>
      </c>
      <c r="W10832">
        <v>1</v>
      </c>
      <c r="X10832">
        <v>0</v>
      </c>
      <c r="Y10832">
        <v>1</v>
      </c>
      <c r="Z10832">
        <v>0</v>
      </c>
      <c r="AA10832">
        <v>0</v>
      </c>
      <c r="AB10832">
        <v>0</v>
      </c>
      <c r="AC10832">
        <v>1</v>
      </c>
      <c r="AD10832">
        <v>1</v>
      </c>
      <c r="AE10832">
        <v>1</v>
      </c>
      <c r="AF10832">
        <v>1</v>
      </c>
      <c r="AG10832">
        <v>1</v>
      </c>
      <c r="AH10832">
        <v>1</v>
      </c>
      <c r="AI10832">
        <v>1</v>
      </c>
      <c r="AJ10832">
        <v>1</v>
      </c>
      <c r="AK10832">
        <v>1</v>
      </c>
      <c r="AL10832">
        <v>1</v>
      </c>
      <c r="AM10832">
        <v>1</v>
      </c>
    </row>
    <row r="10833" spans="1:39" x14ac:dyDescent="0.2">
      <c r="A10833" t="str">
        <f>"10829"</f>
        <v>10829</v>
      </c>
      <c r="B10833" t="str">
        <f t="shared" si="602"/>
        <v>1</v>
      </c>
      <c r="C10833" t="str">
        <f t="shared" si="601"/>
        <v>217</v>
      </c>
      <c r="D10833" t="str">
        <f>"13"</f>
        <v>13</v>
      </c>
      <c r="E10833" t="str">
        <f>"1-217-13"</f>
        <v>1-217-13</v>
      </c>
      <c r="F10833" t="s">
        <v>65</v>
      </c>
      <c r="G10833" t="s">
        <v>66</v>
      </c>
      <c r="H10833" t="s">
        <v>67</v>
      </c>
      <c r="S10833">
        <v>0</v>
      </c>
      <c r="T10833">
        <v>1</v>
      </c>
      <c r="U10833">
        <v>0</v>
      </c>
      <c r="V10833">
        <v>0</v>
      </c>
      <c r="W10833">
        <v>1</v>
      </c>
      <c r="X10833">
        <v>0</v>
      </c>
      <c r="Y10833">
        <v>1</v>
      </c>
      <c r="Z10833">
        <v>0</v>
      </c>
      <c r="AA10833">
        <v>0</v>
      </c>
      <c r="AB10833">
        <v>1</v>
      </c>
      <c r="AC10833">
        <v>0</v>
      </c>
      <c r="AD10833">
        <v>1</v>
      </c>
      <c r="AE10833">
        <v>1</v>
      </c>
      <c r="AF10833">
        <v>1</v>
      </c>
      <c r="AG10833">
        <v>1</v>
      </c>
      <c r="AH10833">
        <v>1</v>
      </c>
      <c r="AI10833">
        <v>1</v>
      </c>
      <c r="AJ10833">
        <v>1</v>
      </c>
      <c r="AK10833">
        <v>1</v>
      </c>
      <c r="AL10833">
        <v>1</v>
      </c>
      <c r="AM10833">
        <v>1</v>
      </c>
    </row>
    <row r="10834" spans="1:39" x14ac:dyDescent="0.2">
      <c r="A10834" t="str">
        <f>"10830"</f>
        <v>10830</v>
      </c>
      <c r="B10834" t="str">
        <f t="shared" si="602"/>
        <v>1</v>
      </c>
      <c r="C10834" t="str">
        <f t="shared" si="601"/>
        <v>217</v>
      </c>
      <c r="D10834" t="str">
        <f>"45"</f>
        <v>45</v>
      </c>
      <c r="E10834" t="str">
        <f>"1-217-45"</f>
        <v>1-217-45</v>
      </c>
      <c r="F10834" t="s">
        <v>65</v>
      </c>
      <c r="G10834" t="s">
        <v>66</v>
      </c>
      <c r="H10834" t="s">
        <v>67</v>
      </c>
      <c r="S10834">
        <v>1</v>
      </c>
      <c r="T10834">
        <v>0</v>
      </c>
      <c r="U10834">
        <v>0</v>
      </c>
      <c r="V10834">
        <v>0</v>
      </c>
      <c r="W10834">
        <v>1</v>
      </c>
      <c r="X10834">
        <v>0</v>
      </c>
      <c r="Y10834">
        <v>1</v>
      </c>
      <c r="Z10834">
        <v>0</v>
      </c>
      <c r="AA10834">
        <v>1</v>
      </c>
      <c r="AB10834">
        <v>0</v>
      </c>
      <c r="AC10834">
        <v>0</v>
      </c>
      <c r="AD10834">
        <v>1</v>
      </c>
      <c r="AE10834">
        <v>1</v>
      </c>
      <c r="AF10834">
        <v>1</v>
      </c>
      <c r="AG10834">
        <v>1</v>
      </c>
      <c r="AH10834">
        <v>1</v>
      </c>
      <c r="AI10834">
        <v>1</v>
      </c>
      <c r="AJ10834">
        <v>1</v>
      </c>
      <c r="AK10834">
        <v>1</v>
      </c>
      <c r="AL10834">
        <v>1</v>
      </c>
      <c r="AM10834">
        <v>1</v>
      </c>
    </row>
    <row r="10835" spans="1:39" x14ac:dyDescent="0.2">
      <c r="A10835" t="str">
        <f>"10831"</f>
        <v>10831</v>
      </c>
      <c r="B10835" t="str">
        <f t="shared" si="602"/>
        <v>1</v>
      </c>
      <c r="C10835" t="str">
        <f t="shared" si="601"/>
        <v>217</v>
      </c>
      <c r="D10835" t="str">
        <f>"26"</f>
        <v>26</v>
      </c>
      <c r="E10835" t="str">
        <f>"1-217-26"</f>
        <v>1-217-26</v>
      </c>
      <c r="F10835" t="s">
        <v>65</v>
      </c>
      <c r="G10835" t="s">
        <v>66</v>
      </c>
      <c r="H10835" t="s">
        <v>67</v>
      </c>
      <c r="S10835">
        <v>0</v>
      </c>
      <c r="T10835">
        <v>1</v>
      </c>
      <c r="U10835">
        <v>0</v>
      </c>
      <c r="V10835">
        <v>0</v>
      </c>
      <c r="W10835">
        <v>1</v>
      </c>
      <c r="X10835">
        <v>0</v>
      </c>
      <c r="Y10835">
        <v>0</v>
      </c>
      <c r="Z10835">
        <v>1</v>
      </c>
      <c r="AA10835">
        <v>1</v>
      </c>
      <c r="AB10835">
        <v>0</v>
      </c>
      <c r="AC10835">
        <v>0</v>
      </c>
      <c r="AD10835">
        <v>0</v>
      </c>
      <c r="AE10835">
        <v>0</v>
      </c>
      <c r="AF10835">
        <v>0</v>
      </c>
      <c r="AG10835">
        <v>1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1</v>
      </c>
    </row>
    <row r="10836" spans="1:39" x14ac:dyDescent="0.2">
      <c r="A10836" t="str">
        <f>"10832"</f>
        <v>10832</v>
      </c>
      <c r="B10836" t="str">
        <f t="shared" si="602"/>
        <v>1</v>
      </c>
      <c r="C10836" t="str">
        <f t="shared" si="601"/>
        <v>217</v>
      </c>
      <c r="D10836" t="str">
        <f>"6"</f>
        <v>6</v>
      </c>
      <c r="E10836" t="str">
        <f>"1-217-6"</f>
        <v>1-217-6</v>
      </c>
      <c r="F10836" t="s">
        <v>65</v>
      </c>
      <c r="G10836" t="s">
        <v>66</v>
      </c>
      <c r="H10836" t="s">
        <v>67</v>
      </c>
      <c r="S10836">
        <v>1</v>
      </c>
      <c r="T10836">
        <v>0</v>
      </c>
      <c r="U10836">
        <v>0</v>
      </c>
      <c r="V10836">
        <v>0</v>
      </c>
      <c r="W10836">
        <v>1</v>
      </c>
      <c r="X10836">
        <v>0</v>
      </c>
      <c r="Y10836">
        <v>0</v>
      </c>
      <c r="Z10836">
        <v>1</v>
      </c>
      <c r="AA10836">
        <v>1</v>
      </c>
      <c r="AB10836">
        <v>0</v>
      </c>
      <c r="AC10836">
        <v>0</v>
      </c>
      <c r="AD10836">
        <v>1</v>
      </c>
      <c r="AE10836">
        <v>1</v>
      </c>
      <c r="AF10836">
        <v>1</v>
      </c>
      <c r="AG10836">
        <v>1</v>
      </c>
      <c r="AH10836">
        <v>1</v>
      </c>
      <c r="AI10836">
        <v>1</v>
      </c>
      <c r="AJ10836">
        <v>1</v>
      </c>
      <c r="AK10836">
        <v>1</v>
      </c>
      <c r="AL10836">
        <v>1</v>
      </c>
      <c r="AM10836">
        <v>1</v>
      </c>
    </row>
    <row r="10837" spans="1:39" x14ac:dyDescent="0.2">
      <c r="A10837" t="str">
        <f>"10833"</f>
        <v>10833</v>
      </c>
      <c r="B10837" t="str">
        <f t="shared" si="602"/>
        <v>1</v>
      </c>
      <c r="C10837" t="str">
        <f t="shared" ref="C10837:C10854" si="603">"217"</f>
        <v>217</v>
      </c>
      <c r="D10837" t="str">
        <f>"46"</f>
        <v>46</v>
      </c>
      <c r="E10837" t="str">
        <f>"1-217-46"</f>
        <v>1-217-46</v>
      </c>
      <c r="F10837" t="s">
        <v>65</v>
      </c>
      <c r="G10837" t="s">
        <v>66</v>
      </c>
      <c r="H10837" t="s">
        <v>67</v>
      </c>
      <c r="S10837">
        <v>1</v>
      </c>
      <c r="T10837">
        <v>0</v>
      </c>
      <c r="U10837">
        <v>0</v>
      </c>
      <c r="V10837">
        <v>0</v>
      </c>
      <c r="W10837">
        <v>1</v>
      </c>
      <c r="X10837">
        <v>0</v>
      </c>
      <c r="Y10837">
        <v>1</v>
      </c>
      <c r="Z10837">
        <v>0</v>
      </c>
      <c r="AA10837">
        <v>1</v>
      </c>
      <c r="AB10837">
        <v>0</v>
      </c>
      <c r="AC10837">
        <v>0</v>
      </c>
      <c r="AD10837">
        <v>1</v>
      </c>
      <c r="AE10837">
        <v>1</v>
      </c>
      <c r="AF10837">
        <v>1</v>
      </c>
      <c r="AG10837">
        <v>1</v>
      </c>
      <c r="AH10837">
        <v>1</v>
      </c>
      <c r="AI10837">
        <v>1</v>
      </c>
      <c r="AJ10837">
        <v>1</v>
      </c>
      <c r="AK10837">
        <v>1</v>
      </c>
      <c r="AL10837">
        <v>1</v>
      </c>
      <c r="AM10837">
        <v>0</v>
      </c>
    </row>
    <row r="10838" spans="1:39" x14ac:dyDescent="0.2">
      <c r="A10838" t="str">
        <f>"10834"</f>
        <v>10834</v>
      </c>
      <c r="B10838" t="str">
        <f t="shared" si="602"/>
        <v>1</v>
      </c>
      <c r="C10838" t="str">
        <f t="shared" si="603"/>
        <v>217</v>
      </c>
      <c r="D10838" t="str">
        <f>"29"</f>
        <v>29</v>
      </c>
      <c r="E10838" t="str">
        <f>"1-217-29"</f>
        <v>1-217-29</v>
      </c>
      <c r="F10838" t="s">
        <v>65</v>
      </c>
      <c r="G10838" t="s">
        <v>66</v>
      </c>
      <c r="H10838" t="s">
        <v>67</v>
      </c>
      <c r="S10838">
        <v>1</v>
      </c>
      <c r="T10838">
        <v>0</v>
      </c>
      <c r="U10838">
        <v>0</v>
      </c>
      <c r="V10838">
        <v>0</v>
      </c>
      <c r="W10838">
        <v>0</v>
      </c>
      <c r="X10838">
        <v>1</v>
      </c>
      <c r="Y10838">
        <v>1</v>
      </c>
      <c r="Z10838">
        <v>0</v>
      </c>
      <c r="AA10838">
        <v>0</v>
      </c>
      <c r="AB10838">
        <v>0</v>
      </c>
      <c r="AC10838">
        <v>1</v>
      </c>
      <c r="AD10838">
        <v>1</v>
      </c>
      <c r="AE10838">
        <v>1</v>
      </c>
      <c r="AF10838">
        <v>1</v>
      </c>
      <c r="AG10838">
        <v>1</v>
      </c>
      <c r="AH10838">
        <v>1</v>
      </c>
      <c r="AI10838">
        <v>1</v>
      </c>
      <c r="AJ10838">
        <v>1</v>
      </c>
      <c r="AK10838">
        <v>1</v>
      </c>
      <c r="AL10838">
        <v>1</v>
      </c>
      <c r="AM10838">
        <v>0</v>
      </c>
    </row>
    <row r="10839" spans="1:39" x14ac:dyDescent="0.2">
      <c r="A10839" t="str">
        <f>"10835"</f>
        <v>10835</v>
      </c>
      <c r="B10839" t="str">
        <f t="shared" si="602"/>
        <v>1</v>
      </c>
      <c r="C10839" t="str">
        <f t="shared" si="603"/>
        <v>217</v>
      </c>
      <c r="D10839" t="str">
        <f>"11"</f>
        <v>11</v>
      </c>
      <c r="E10839" t="str">
        <f>"1-217-11"</f>
        <v>1-217-11</v>
      </c>
      <c r="F10839" t="s">
        <v>65</v>
      </c>
      <c r="G10839" t="s">
        <v>66</v>
      </c>
      <c r="H10839" t="s">
        <v>67</v>
      </c>
      <c r="S10839">
        <v>0</v>
      </c>
      <c r="T10839">
        <v>1</v>
      </c>
      <c r="U10839">
        <v>0</v>
      </c>
      <c r="V10839">
        <v>0</v>
      </c>
      <c r="W10839">
        <v>0</v>
      </c>
      <c r="X10839">
        <v>1</v>
      </c>
      <c r="Y10839">
        <v>0</v>
      </c>
      <c r="Z10839">
        <v>1</v>
      </c>
      <c r="AA10839">
        <v>0</v>
      </c>
      <c r="AB10839">
        <v>1</v>
      </c>
      <c r="AC10839">
        <v>0</v>
      </c>
      <c r="AD10839">
        <v>1</v>
      </c>
      <c r="AE10839">
        <v>1</v>
      </c>
      <c r="AF10839">
        <v>1</v>
      </c>
      <c r="AG10839">
        <v>1</v>
      </c>
      <c r="AH10839">
        <v>1</v>
      </c>
      <c r="AI10839">
        <v>1</v>
      </c>
      <c r="AJ10839">
        <v>1</v>
      </c>
      <c r="AK10839">
        <v>1</v>
      </c>
      <c r="AL10839">
        <v>1</v>
      </c>
      <c r="AM10839">
        <v>1</v>
      </c>
    </row>
    <row r="10840" spans="1:39" x14ac:dyDescent="0.2">
      <c r="A10840" t="str">
        <f>"10836"</f>
        <v>10836</v>
      </c>
      <c r="B10840" t="str">
        <f t="shared" si="602"/>
        <v>1</v>
      </c>
      <c r="C10840" t="str">
        <f t="shared" si="603"/>
        <v>217</v>
      </c>
      <c r="D10840" t="str">
        <f>"47"</f>
        <v>47</v>
      </c>
      <c r="E10840" t="str">
        <f>"1-217-47"</f>
        <v>1-217-47</v>
      </c>
      <c r="F10840" t="s">
        <v>65</v>
      </c>
      <c r="G10840" t="s">
        <v>66</v>
      </c>
      <c r="H10840" t="s">
        <v>67</v>
      </c>
      <c r="S10840">
        <v>0</v>
      </c>
      <c r="T10840">
        <v>0</v>
      </c>
      <c r="U10840">
        <v>0</v>
      </c>
      <c r="V10840">
        <v>0</v>
      </c>
      <c r="W10840">
        <v>1</v>
      </c>
      <c r="X10840">
        <v>0</v>
      </c>
      <c r="Y10840">
        <v>1</v>
      </c>
      <c r="Z10840">
        <v>0</v>
      </c>
      <c r="AA10840">
        <v>1</v>
      </c>
      <c r="AB10840">
        <v>0</v>
      </c>
      <c r="AC10840">
        <v>0</v>
      </c>
      <c r="AD10840">
        <v>1</v>
      </c>
      <c r="AE10840">
        <v>1</v>
      </c>
      <c r="AF10840">
        <v>1</v>
      </c>
      <c r="AG10840">
        <v>1</v>
      </c>
      <c r="AH10840">
        <v>1</v>
      </c>
      <c r="AI10840">
        <v>1</v>
      </c>
      <c r="AJ10840">
        <v>1</v>
      </c>
      <c r="AK10840">
        <v>1</v>
      </c>
      <c r="AL10840">
        <v>1</v>
      </c>
      <c r="AM10840">
        <v>1</v>
      </c>
    </row>
    <row r="10841" spans="1:39" x14ac:dyDescent="0.2">
      <c r="A10841" t="str">
        <f>"10837"</f>
        <v>10837</v>
      </c>
      <c r="B10841" t="str">
        <f t="shared" si="602"/>
        <v>1</v>
      </c>
      <c r="C10841" t="str">
        <f t="shared" si="603"/>
        <v>217</v>
      </c>
      <c r="D10841" t="str">
        <f>"30"</f>
        <v>30</v>
      </c>
      <c r="E10841" t="str">
        <f>"1-217-30"</f>
        <v>1-217-30</v>
      </c>
      <c r="F10841" t="s">
        <v>65</v>
      </c>
      <c r="G10841" t="s">
        <v>66</v>
      </c>
      <c r="H10841" t="s">
        <v>67</v>
      </c>
      <c r="S10841">
        <v>1</v>
      </c>
      <c r="T10841">
        <v>0</v>
      </c>
      <c r="U10841">
        <v>0</v>
      </c>
      <c r="V10841">
        <v>0</v>
      </c>
      <c r="W10841">
        <v>0</v>
      </c>
      <c r="X10841">
        <v>1</v>
      </c>
      <c r="Y10841">
        <v>1</v>
      </c>
      <c r="Z10841">
        <v>0</v>
      </c>
      <c r="AA10841">
        <v>0</v>
      </c>
      <c r="AB10841">
        <v>1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  <c r="AK10841">
        <v>0</v>
      </c>
      <c r="AL10841">
        <v>0</v>
      </c>
      <c r="AM10841">
        <v>0</v>
      </c>
    </row>
    <row r="10842" spans="1:39" x14ac:dyDescent="0.2">
      <c r="A10842" t="str">
        <f>"10838"</f>
        <v>10838</v>
      </c>
      <c r="B10842" t="str">
        <f t="shared" si="602"/>
        <v>1</v>
      </c>
      <c r="C10842" t="str">
        <f t="shared" si="603"/>
        <v>217</v>
      </c>
      <c r="D10842" t="str">
        <f>"10"</f>
        <v>10</v>
      </c>
      <c r="E10842" t="str">
        <f>"1-217-10"</f>
        <v>1-217-10</v>
      </c>
      <c r="F10842" t="s">
        <v>65</v>
      </c>
      <c r="G10842" t="s">
        <v>66</v>
      </c>
      <c r="H10842" t="s">
        <v>67</v>
      </c>
      <c r="S10842">
        <v>1</v>
      </c>
      <c r="T10842">
        <v>0</v>
      </c>
      <c r="U10842">
        <v>0</v>
      </c>
      <c r="V10842">
        <v>0</v>
      </c>
      <c r="W10842">
        <v>1</v>
      </c>
      <c r="X10842">
        <v>0</v>
      </c>
      <c r="Y10842">
        <v>1</v>
      </c>
      <c r="Z10842">
        <v>0</v>
      </c>
      <c r="AA10842">
        <v>1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0</v>
      </c>
      <c r="AH10842">
        <v>0</v>
      </c>
      <c r="AI10842">
        <v>1</v>
      </c>
      <c r="AJ10842">
        <v>0</v>
      </c>
      <c r="AK10842">
        <v>0</v>
      </c>
      <c r="AL10842">
        <v>1</v>
      </c>
      <c r="AM10842">
        <v>1</v>
      </c>
    </row>
    <row r="10843" spans="1:39" x14ac:dyDescent="0.2">
      <c r="A10843" t="str">
        <f>"10839"</f>
        <v>10839</v>
      </c>
      <c r="B10843" t="str">
        <f t="shared" si="602"/>
        <v>1</v>
      </c>
      <c r="C10843" t="str">
        <f t="shared" si="603"/>
        <v>217</v>
      </c>
      <c r="D10843" t="str">
        <f>"48"</f>
        <v>48</v>
      </c>
      <c r="E10843" t="str">
        <f>"1-217-48"</f>
        <v>1-217-48</v>
      </c>
      <c r="F10843" t="s">
        <v>65</v>
      </c>
      <c r="G10843" t="s">
        <v>66</v>
      </c>
      <c r="H10843" t="s">
        <v>67</v>
      </c>
      <c r="S10843">
        <v>0</v>
      </c>
      <c r="T10843">
        <v>1</v>
      </c>
      <c r="U10843">
        <v>0</v>
      </c>
      <c r="V10843">
        <v>0</v>
      </c>
      <c r="W10843">
        <v>1</v>
      </c>
      <c r="X10843">
        <v>0</v>
      </c>
      <c r="Y10843">
        <v>0</v>
      </c>
      <c r="Z10843">
        <v>1</v>
      </c>
      <c r="AA10843">
        <v>0</v>
      </c>
      <c r="AB10843">
        <v>1</v>
      </c>
      <c r="AC10843">
        <v>0</v>
      </c>
      <c r="AD10843">
        <v>1</v>
      </c>
      <c r="AE10843">
        <v>1</v>
      </c>
      <c r="AF10843">
        <v>1</v>
      </c>
      <c r="AG10843">
        <v>1</v>
      </c>
      <c r="AH10843">
        <v>1</v>
      </c>
      <c r="AI10843">
        <v>1</v>
      </c>
      <c r="AJ10843">
        <v>1</v>
      </c>
      <c r="AK10843">
        <v>1</v>
      </c>
      <c r="AL10843">
        <v>1</v>
      </c>
      <c r="AM10843">
        <v>1</v>
      </c>
    </row>
    <row r="10844" spans="1:39" x14ac:dyDescent="0.2">
      <c r="A10844" t="str">
        <f>"10840"</f>
        <v>10840</v>
      </c>
      <c r="B10844" t="str">
        <f t="shared" si="602"/>
        <v>1</v>
      </c>
      <c r="C10844" t="str">
        <f t="shared" si="603"/>
        <v>217</v>
      </c>
      <c r="D10844" t="str">
        <f>"31"</f>
        <v>31</v>
      </c>
      <c r="E10844" t="str">
        <f>"1-217-31"</f>
        <v>1-217-31</v>
      </c>
      <c r="F10844" t="s">
        <v>65</v>
      </c>
      <c r="G10844" t="s">
        <v>66</v>
      </c>
      <c r="H10844" t="s">
        <v>67</v>
      </c>
      <c r="S10844">
        <v>0</v>
      </c>
      <c r="T10844">
        <v>1</v>
      </c>
      <c r="U10844">
        <v>0</v>
      </c>
      <c r="V10844">
        <v>0</v>
      </c>
      <c r="W10844">
        <v>1</v>
      </c>
      <c r="X10844">
        <v>0</v>
      </c>
      <c r="Y10844">
        <v>0</v>
      </c>
      <c r="Z10844">
        <v>1</v>
      </c>
      <c r="AA10844">
        <v>1</v>
      </c>
      <c r="AB10844">
        <v>0</v>
      </c>
      <c r="AC10844">
        <v>0</v>
      </c>
      <c r="AD10844">
        <v>1</v>
      </c>
      <c r="AE10844">
        <v>1</v>
      </c>
      <c r="AF10844">
        <v>1</v>
      </c>
      <c r="AG10844">
        <v>1</v>
      </c>
      <c r="AH10844">
        <v>1</v>
      </c>
      <c r="AI10844">
        <v>1</v>
      </c>
      <c r="AJ10844">
        <v>1</v>
      </c>
      <c r="AK10844">
        <v>1</v>
      </c>
      <c r="AL10844">
        <v>1</v>
      </c>
      <c r="AM10844">
        <v>1</v>
      </c>
    </row>
    <row r="10845" spans="1:39" x14ac:dyDescent="0.2">
      <c r="A10845" t="str">
        <f>"10841"</f>
        <v>10841</v>
      </c>
      <c r="B10845" t="str">
        <f t="shared" si="602"/>
        <v>1</v>
      </c>
      <c r="C10845" t="str">
        <f t="shared" si="603"/>
        <v>217</v>
      </c>
      <c r="D10845" t="str">
        <f>"12"</f>
        <v>12</v>
      </c>
      <c r="E10845" t="str">
        <f>"1-217-12"</f>
        <v>1-217-12</v>
      </c>
      <c r="F10845" t="s">
        <v>65</v>
      </c>
      <c r="G10845" t="s">
        <v>66</v>
      </c>
      <c r="H10845" t="s">
        <v>67</v>
      </c>
      <c r="S10845">
        <v>0</v>
      </c>
      <c r="T10845">
        <v>1</v>
      </c>
      <c r="U10845">
        <v>0</v>
      </c>
      <c r="V10845">
        <v>0</v>
      </c>
      <c r="W10845">
        <v>0</v>
      </c>
      <c r="X10845">
        <v>1</v>
      </c>
      <c r="Y10845">
        <v>0</v>
      </c>
      <c r="Z10845">
        <v>1</v>
      </c>
      <c r="AA10845">
        <v>0</v>
      </c>
      <c r="AB10845">
        <v>0</v>
      </c>
      <c r="AC10845">
        <v>1</v>
      </c>
      <c r="AD10845">
        <v>1</v>
      </c>
      <c r="AE10845">
        <v>1</v>
      </c>
      <c r="AF10845">
        <v>1</v>
      </c>
      <c r="AG10845">
        <v>1</v>
      </c>
      <c r="AH10845">
        <v>1</v>
      </c>
      <c r="AI10845">
        <v>1</v>
      </c>
      <c r="AJ10845">
        <v>1</v>
      </c>
      <c r="AK10845">
        <v>1</v>
      </c>
      <c r="AL10845">
        <v>1</v>
      </c>
      <c r="AM10845">
        <v>1</v>
      </c>
    </row>
    <row r="10846" spans="1:39" x14ac:dyDescent="0.2">
      <c r="A10846" t="str">
        <f>"10842"</f>
        <v>10842</v>
      </c>
      <c r="B10846" t="str">
        <f t="shared" si="602"/>
        <v>1</v>
      </c>
      <c r="C10846" t="str">
        <f t="shared" si="603"/>
        <v>217</v>
      </c>
      <c r="D10846" t="str">
        <f>"50"</f>
        <v>50</v>
      </c>
      <c r="E10846" t="str">
        <f>"1-217-50"</f>
        <v>1-217-50</v>
      </c>
      <c r="F10846" t="s">
        <v>65</v>
      </c>
      <c r="G10846" t="s">
        <v>66</v>
      </c>
      <c r="H10846" t="s">
        <v>67</v>
      </c>
      <c r="S10846">
        <v>0</v>
      </c>
      <c r="T10846">
        <v>1</v>
      </c>
      <c r="U10846">
        <v>0</v>
      </c>
      <c r="V10846">
        <v>0</v>
      </c>
      <c r="W10846">
        <v>1</v>
      </c>
      <c r="X10846">
        <v>0</v>
      </c>
      <c r="Y10846">
        <v>1</v>
      </c>
      <c r="Z10846">
        <v>0</v>
      </c>
      <c r="AA10846">
        <v>0</v>
      </c>
      <c r="AB10846">
        <v>0</v>
      </c>
      <c r="AC10846">
        <v>1</v>
      </c>
      <c r="AD10846">
        <v>1</v>
      </c>
      <c r="AE10846">
        <v>1</v>
      </c>
      <c r="AF10846">
        <v>1</v>
      </c>
      <c r="AG10846">
        <v>1</v>
      </c>
      <c r="AH10846">
        <v>1</v>
      </c>
      <c r="AI10846">
        <v>1</v>
      </c>
      <c r="AJ10846">
        <v>1</v>
      </c>
      <c r="AK10846">
        <v>1</v>
      </c>
      <c r="AL10846">
        <v>1</v>
      </c>
      <c r="AM10846">
        <v>1</v>
      </c>
    </row>
    <row r="10847" spans="1:39" x14ac:dyDescent="0.2">
      <c r="A10847" t="str">
        <f>"10843"</f>
        <v>10843</v>
      </c>
      <c r="B10847" t="str">
        <f t="shared" si="602"/>
        <v>1</v>
      </c>
      <c r="C10847" t="str">
        <f t="shared" si="603"/>
        <v>217</v>
      </c>
      <c r="D10847" t="str">
        <f>"32"</f>
        <v>32</v>
      </c>
      <c r="E10847" t="str">
        <f>"1-217-32"</f>
        <v>1-217-32</v>
      </c>
      <c r="F10847" t="s">
        <v>65</v>
      </c>
      <c r="G10847" t="s">
        <v>66</v>
      </c>
      <c r="H10847" t="s">
        <v>67</v>
      </c>
      <c r="S10847">
        <v>0</v>
      </c>
      <c r="T10847">
        <v>1</v>
      </c>
      <c r="U10847">
        <v>0</v>
      </c>
      <c r="V10847">
        <v>0</v>
      </c>
      <c r="W10847">
        <v>1</v>
      </c>
      <c r="X10847">
        <v>0</v>
      </c>
      <c r="Y10847">
        <v>0</v>
      </c>
      <c r="Z10847">
        <v>1</v>
      </c>
      <c r="AA10847">
        <v>0</v>
      </c>
      <c r="AB10847">
        <v>0</v>
      </c>
      <c r="AC10847">
        <v>1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1</v>
      </c>
      <c r="AJ10847">
        <v>1</v>
      </c>
      <c r="AK10847">
        <v>0</v>
      </c>
      <c r="AL10847">
        <v>1</v>
      </c>
      <c r="AM10847">
        <v>0</v>
      </c>
    </row>
    <row r="10848" spans="1:39" x14ac:dyDescent="0.2">
      <c r="A10848" t="str">
        <f>"10844"</f>
        <v>10844</v>
      </c>
      <c r="B10848" t="str">
        <f t="shared" si="602"/>
        <v>1</v>
      </c>
      <c r="C10848" t="str">
        <f t="shared" si="603"/>
        <v>217</v>
      </c>
      <c r="D10848" t="str">
        <f>"3"</f>
        <v>3</v>
      </c>
      <c r="E10848" t="str">
        <f>"1-217-3"</f>
        <v>1-217-3</v>
      </c>
      <c r="F10848" t="s">
        <v>65</v>
      </c>
      <c r="G10848" t="s">
        <v>66</v>
      </c>
      <c r="H10848" t="s">
        <v>67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1</v>
      </c>
      <c r="Y10848">
        <v>1</v>
      </c>
      <c r="Z10848">
        <v>0</v>
      </c>
      <c r="AA10848">
        <v>0</v>
      </c>
      <c r="AB10848">
        <v>1</v>
      </c>
      <c r="AC10848">
        <v>0</v>
      </c>
      <c r="AD10848">
        <v>0</v>
      </c>
      <c r="AE10848">
        <v>0</v>
      </c>
      <c r="AF10848">
        <v>0</v>
      </c>
      <c r="AG10848">
        <v>1</v>
      </c>
      <c r="AH10848">
        <v>1</v>
      </c>
      <c r="AI10848">
        <v>1</v>
      </c>
      <c r="AJ10848">
        <v>1</v>
      </c>
      <c r="AK10848">
        <v>1</v>
      </c>
      <c r="AL10848">
        <v>1</v>
      </c>
      <c r="AM10848">
        <v>1</v>
      </c>
    </row>
    <row r="10849" spans="1:39" x14ac:dyDescent="0.2">
      <c r="A10849" t="str">
        <f>"10845"</f>
        <v>10845</v>
      </c>
      <c r="B10849" t="str">
        <f t="shared" si="602"/>
        <v>1</v>
      </c>
      <c r="C10849" t="str">
        <f t="shared" si="603"/>
        <v>217</v>
      </c>
      <c r="D10849" t="str">
        <f>"33"</f>
        <v>33</v>
      </c>
      <c r="E10849" t="str">
        <f>"1-217-33"</f>
        <v>1-217-33</v>
      </c>
      <c r="F10849" t="s">
        <v>65</v>
      </c>
      <c r="G10849" t="s">
        <v>66</v>
      </c>
      <c r="H10849" t="s">
        <v>67</v>
      </c>
      <c r="S10849">
        <v>0</v>
      </c>
      <c r="T10849">
        <v>1</v>
      </c>
      <c r="U10849">
        <v>0</v>
      </c>
      <c r="V10849">
        <v>0</v>
      </c>
      <c r="W10849">
        <v>1</v>
      </c>
      <c r="X10849">
        <v>0</v>
      </c>
      <c r="Y10849">
        <v>0</v>
      </c>
      <c r="Z10849">
        <v>1</v>
      </c>
      <c r="AA10849">
        <v>1</v>
      </c>
      <c r="AB10849">
        <v>0</v>
      </c>
      <c r="AC10849">
        <v>0</v>
      </c>
      <c r="AD10849">
        <v>1</v>
      </c>
      <c r="AE10849">
        <v>1</v>
      </c>
      <c r="AF10849">
        <v>1</v>
      </c>
      <c r="AG10849">
        <v>1</v>
      </c>
      <c r="AH10849">
        <v>1</v>
      </c>
      <c r="AI10849">
        <v>1</v>
      </c>
      <c r="AJ10849">
        <v>1</v>
      </c>
      <c r="AK10849">
        <v>1</v>
      </c>
      <c r="AL10849">
        <v>1</v>
      </c>
      <c r="AM10849">
        <v>1</v>
      </c>
    </row>
    <row r="10850" spans="1:39" x14ac:dyDescent="0.2">
      <c r="A10850" t="str">
        <f>"10846"</f>
        <v>10846</v>
      </c>
      <c r="B10850" t="str">
        <f t="shared" si="602"/>
        <v>1</v>
      </c>
      <c r="C10850" t="str">
        <f t="shared" si="603"/>
        <v>217</v>
      </c>
      <c r="D10850" t="str">
        <f>"14"</f>
        <v>14</v>
      </c>
      <c r="E10850" t="str">
        <f>"1-217-14"</f>
        <v>1-217-14</v>
      </c>
      <c r="F10850" t="s">
        <v>65</v>
      </c>
      <c r="G10850" t="s">
        <v>66</v>
      </c>
      <c r="H10850" t="s">
        <v>67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1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  <c r="AK10850">
        <v>0</v>
      </c>
      <c r="AL10850">
        <v>0</v>
      </c>
      <c r="AM10850">
        <v>0</v>
      </c>
    </row>
    <row r="10851" spans="1:39" x14ac:dyDescent="0.2">
      <c r="A10851" t="str">
        <f>"10847"</f>
        <v>10847</v>
      </c>
      <c r="B10851" t="str">
        <f t="shared" si="602"/>
        <v>1</v>
      </c>
      <c r="C10851" t="str">
        <f t="shared" si="603"/>
        <v>217</v>
      </c>
      <c r="D10851" t="str">
        <f>"34"</f>
        <v>34</v>
      </c>
      <c r="E10851" t="str">
        <f>"1-217-34"</f>
        <v>1-217-34</v>
      </c>
      <c r="F10851" t="s">
        <v>65</v>
      </c>
      <c r="G10851" t="s">
        <v>66</v>
      </c>
      <c r="H10851" t="s">
        <v>67</v>
      </c>
      <c r="S10851">
        <v>0</v>
      </c>
      <c r="T10851">
        <v>1</v>
      </c>
      <c r="U10851">
        <v>0</v>
      </c>
      <c r="V10851">
        <v>0</v>
      </c>
      <c r="W10851">
        <v>1</v>
      </c>
      <c r="X10851">
        <v>0</v>
      </c>
      <c r="Y10851">
        <v>1</v>
      </c>
      <c r="Z10851">
        <v>0</v>
      </c>
      <c r="AA10851">
        <v>1</v>
      </c>
      <c r="AB10851">
        <v>0</v>
      </c>
      <c r="AC10851">
        <v>0</v>
      </c>
      <c r="AD10851">
        <v>1</v>
      </c>
      <c r="AE10851">
        <v>1</v>
      </c>
      <c r="AF10851">
        <v>1</v>
      </c>
      <c r="AG10851">
        <v>1</v>
      </c>
      <c r="AH10851">
        <v>1</v>
      </c>
      <c r="AI10851">
        <v>1</v>
      </c>
      <c r="AJ10851">
        <v>1</v>
      </c>
      <c r="AK10851">
        <v>1</v>
      </c>
      <c r="AL10851">
        <v>1</v>
      </c>
      <c r="AM10851">
        <v>1</v>
      </c>
    </row>
    <row r="10852" spans="1:39" x14ac:dyDescent="0.2">
      <c r="A10852" t="str">
        <f>"10848"</f>
        <v>10848</v>
      </c>
      <c r="B10852" t="str">
        <f t="shared" si="602"/>
        <v>1</v>
      </c>
      <c r="C10852" t="str">
        <f t="shared" si="603"/>
        <v>217</v>
      </c>
      <c r="D10852" t="str">
        <f>"8"</f>
        <v>8</v>
      </c>
      <c r="E10852" t="str">
        <f>"1-217-8"</f>
        <v>1-217-8</v>
      </c>
      <c r="F10852" t="s">
        <v>65</v>
      </c>
      <c r="G10852" t="s">
        <v>66</v>
      </c>
      <c r="H10852" t="s">
        <v>67</v>
      </c>
      <c r="S10852">
        <v>1</v>
      </c>
      <c r="T10852">
        <v>0</v>
      </c>
      <c r="U10852">
        <v>0</v>
      </c>
      <c r="V10852">
        <v>0</v>
      </c>
      <c r="W10852">
        <v>1</v>
      </c>
      <c r="X10852">
        <v>0</v>
      </c>
      <c r="Y10852">
        <v>1</v>
      </c>
      <c r="Z10852">
        <v>0</v>
      </c>
      <c r="AA10852">
        <v>1</v>
      </c>
      <c r="AB10852">
        <v>0</v>
      </c>
      <c r="AC10852">
        <v>0</v>
      </c>
      <c r="AD10852">
        <v>1</v>
      </c>
      <c r="AE10852">
        <v>1</v>
      </c>
      <c r="AF10852">
        <v>1</v>
      </c>
      <c r="AG10852">
        <v>1</v>
      </c>
      <c r="AH10852">
        <v>1</v>
      </c>
      <c r="AI10852">
        <v>1</v>
      </c>
      <c r="AJ10852">
        <v>1</v>
      </c>
      <c r="AK10852">
        <v>1</v>
      </c>
      <c r="AL10852">
        <v>1</v>
      </c>
      <c r="AM10852">
        <v>1</v>
      </c>
    </row>
    <row r="10853" spans="1:39" x14ac:dyDescent="0.2">
      <c r="A10853" t="str">
        <f>"10849"</f>
        <v>10849</v>
      </c>
      <c r="B10853" t="str">
        <f t="shared" si="602"/>
        <v>1</v>
      </c>
      <c r="C10853" t="str">
        <f t="shared" si="603"/>
        <v>217</v>
      </c>
      <c r="D10853" t="str">
        <f>"49"</f>
        <v>49</v>
      </c>
      <c r="E10853" t="str">
        <f>"1-217-49"</f>
        <v>1-217-49</v>
      </c>
      <c r="F10853" t="s">
        <v>65</v>
      </c>
      <c r="G10853" t="s">
        <v>66</v>
      </c>
      <c r="H10853" t="s">
        <v>67</v>
      </c>
      <c r="S10853">
        <v>1</v>
      </c>
      <c r="T10853">
        <v>0</v>
      </c>
      <c r="U10853">
        <v>0</v>
      </c>
      <c r="V10853">
        <v>0</v>
      </c>
      <c r="W10853">
        <v>0</v>
      </c>
      <c r="X10853">
        <v>1</v>
      </c>
      <c r="Y10853">
        <v>0</v>
      </c>
      <c r="Z10853">
        <v>1</v>
      </c>
      <c r="AA10853">
        <v>0</v>
      </c>
      <c r="AB10853">
        <v>1</v>
      </c>
      <c r="AC10853">
        <v>0</v>
      </c>
      <c r="AD10853">
        <v>1</v>
      </c>
      <c r="AE10853">
        <v>1</v>
      </c>
      <c r="AF10853">
        <v>1</v>
      </c>
      <c r="AG10853">
        <v>1</v>
      </c>
      <c r="AH10853">
        <v>1</v>
      </c>
      <c r="AI10853">
        <v>1</v>
      </c>
      <c r="AJ10853">
        <v>1</v>
      </c>
      <c r="AK10853">
        <v>1</v>
      </c>
      <c r="AL10853">
        <v>1</v>
      </c>
      <c r="AM10853">
        <v>1</v>
      </c>
    </row>
    <row r="10854" spans="1:39" x14ac:dyDescent="0.2">
      <c r="A10854" t="str">
        <f>"10850"</f>
        <v>10850</v>
      </c>
      <c r="B10854" t="str">
        <f t="shared" si="602"/>
        <v>1</v>
      </c>
      <c r="C10854" t="str">
        <f t="shared" si="603"/>
        <v>217</v>
      </c>
      <c r="D10854" t="str">
        <f>"41"</f>
        <v>41</v>
      </c>
      <c r="E10854" t="str">
        <f>"1-217-41"</f>
        <v>1-217-41</v>
      </c>
      <c r="F10854" t="s">
        <v>65</v>
      </c>
      <c r="G10854" t="s">
        <v>66</v>
      </c>
      <c r="H10854" t="s">
        <v>67</v>
      </c>
      <c r="S10854">
        <v>1</v>
      </c>
      <c r="T10854">
        <v>0</v>
      </c>
      <c r="U10854">
        <v>0</v>
      </c>
      <c r="V10854">
        <v>0</v>
      </c>
      <c r="W10854">
        <v>0</v>
      </c>
      <c r="X10854">
        <v>1</v>
      </c>
      <c r="Y10854">
        <v>1</v>
      </c>
      <c r="Z10854">
        <v>0</v>
      </c>
      <c r="AA10854">
        <v>0</v>
      </c>
      <c r="AB10854">
        <v>0</v>
      </c>
      <c r="AC10854">
        <v>1</v>
      </c>
      <c r="AD10854">
        <v>1</v>
      </c>
      <c r="AE10854">
        <v>1</v>
      </c>
      <c r="AF10854">
        <v>1</v>
      </c>
      <c r="AG10854">
        <v>1</v>
      </c>
      <c r="AH10854">
        <v>1</v>
      </c>
      <c r="AI10854">
        <v>1</v>
      </c>
      <c r="AJ10854">
        <v>1</v>
      </c>
      <c r="AK10854">
        <v>1</v>
      </c>
      <c r="AL10854">
        <v>1</v>
      </c>
      <c r="AM10854">
        <v>0</v>
      </c>
    </row>
    <row r="10855" spans="1:39" x14ac:dyDescent="0.2">
      <c r="A10855" t="str">
        <f>"10851"</f>
        <v>10851</v>
      </c>
      <c r="B10855" t="str">
        <f t="shared" si="602"/>
        <v>1</v>
      </c>
      <c r="C10855" t="str">
        <f t="shared" ref="C10855:C10886" si="604">"218"</f>
        <v>218</v>
      </c>
      <c r="D10855" t="str">
        <f>"31"</f>
        <v>31</v>
      </c>
      <c r="E10855" t="str">
        <f>"1-218-31"</f>
        <v>1-218-31</v>
      </c>
      <c r="F10855" t="s">
        <v>65</v>
      </c>
      <c r="G10855" t="s">
        <v>66</v>
      </c>
      <c r="H10855" t="s">
        <v>67</v>
      </c>
      <c r="S10855">
        <v>1</v>
      </c>
      <c r="T10855">
        <v>0</v>
      </c>
      <c r="U10855">
        <v>0</v>
      </c>
      <c r="V10855">
        <v>0</v>
      </c>
      <c r="W10855">
        <v>1</v>
      </c>
      <c r="X10855">
        <v>0</v>
      </c>
      <c r="Y10855">
        <v>0</v>
      </c>
      <c r="Z10855">
        <v>1</v>
      </c>
      <c r="AA10855">
        <v>0</v>
      </c>
      <c r="AB10855">
        <v>0</v>
      </c>
      <c r="AC10855">
        <v>1</v>
      </c>
      <c r="AD10855">
        <v>1</v>
      </c>
      <c r="AE10855">
        <v>1</v>
      </c>
      <c r="AF10855">
        <v>1</v>
      </c>
      <c r="AG10855">
        <v>1</v>
      </c>
      <c r="AH10855">
        <v>1</v>
      </c>
      <c r="AI10855">
        <v>1</v>
      </c>
      <c r="AJ10855">
        <v>1</v>
      </c>
      <c r="AK10855">
        <v>1</v>
      </c>
      <c r="AL10855">
        <v>1</v>
      </c>
      <c r="AM10855">
        <v>1</v>
      </c>
    </row>
    <row r="10856" spans="1:39" x14ac:dyDescent="0.2">
      <c r="A10856" t="str">
        <f>"10852"</f>
        <v>10852</v>
      </c>
      <c r="B10856" t="str">
        <f t="shared" si="602"/>
        <v>1</v>
      </c>
      <c r="C10856" t="str">
        <f t="shared" si="604"/>
        <v>218</v>
      </c>
      <c r="D10856" t="str">
        <f>"30"</f>
        <v>30</v>
      </c>
      <c r="E10856" t="str">
        <f>"1-218-30"</f>
        <v>1-218-30</v>
      </c>
      <c r="F10856" t="s">
        <v>65</v>
      </c>
      <c r="G10856" t="s">
        <v>66</v>
      </c>
      <c r="H10856" t="s">
        <v>67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1</v>
      </c>
      <c r="Y10856">
        <v>0</v>
      </c>
      <c r="Z10856">
        <v>0</v>
      </c>
      <c r="AA10856">
        <v>0</v>
      </c>
      <c r="AB10856">
        <v>0</v>
      </c>
      <c r="AC10856">
        <v>1</v>
      </c>
      <c r="AD10856">
        <v>0</v>
      </c>
      <c r="AE10856">
        <v>0</v>
      </c>
      <c r="AF10856">
        <v>0</v>
      </c>
      <c r="AG10856">
        <v>0</v>
      </c>
      <c r="AH10856">
        <v>1</v>
      </c>
      <c r="AI10856">
        <v>0</v>
      </c>
      <c r="AJ10856">
        <v>0</v>
      </c>
      <c r="AK10856">
        <v>0</v>
      </c>
      <c r="AL10856">
        <v>0</v>
      </c>
      <c r="AM10856">
        <v>0</v>
      </c>
    </row>
    <row r="10857" spans="1:39" x14ac:dyDescent="0.2">
      <c r="A10857" t="str">
        <f>"10853"</f>
        <v>10853</v>
      </c>
      <c r="B10857" t="str">
        <f t="shared" si="602"/>
        <v>1</v>
      </c>
      <c r="C10857" t="str">
        <f t="shared" si="604"/>
        <v>218</v>
      </c>
      <c r="D10857" t="str">
        <f>"20"</f>
        <v>20</v>
      </c>
      <c r="E10857" t="str">
        <f>"1-218-20"</f>
        <v>1-218-20</v>
      </c>
      <c r="F10857" t="s">
        <v>65</v>
      </c>
      <c r="G10857" t="s">
        <v>66</v>
      </c>
      <c r="H10857" t="s">
        <v>67</v>
      </c>
      <c r="S10857">
        <v>0</v>
      </c>
      <c r="T10857">
        <v>1</v>
      </c>
      <c r="U10857">
        <v>0</v>
      </c>
      <c r="V10857">
        <v>0</v>
      </c>
      <c r="W10857">
        <v>1</v>
      </c>
      <c r="X10857">
        <v>0</v>
      </c>
      <c r="Y10857">
        <v>0</v>
      </c>
      <c r="Z10857">
        <v>1</v>
      </c>
      <c r="AA10857">
        <v>1</v>
      </c>
      <c r="AB10857">
        <v>0</v>
      </c>
      <c r="AC10857">
        <v>0</v>
      </c>
      <c r="AD10857">
        <v>1</v>
      </c>
      <c r="AE10857">
        <v>1</v>
      </c>
      <c r="AF10857">
        <v>1</v>
      </c>
      <c r="AG10857">
        <v>1</v>
      </c>
      <c r="AH10857">
        <v>1</v>
      </c>
      <c r="AI10857">
        <v>1</v>
      </c>
      <c r="AJ10857">
        <v>1</v>
      </c>
      <c r="AK10857">
        <v>1</v>
      </c>
      <c r="AL10857">
        <v>1</v>
      </c>
      <c r="AM10857">
        <v>1</v>
      </c>
    </row>
    <row r="10858" spans="1:39" x14ac:dyDescent="0.2">
      <c r="A10858" t="str">
        <f>"10854"</f>
        <v>10854</v>
      </c>
      <c r="B10858" t="str">
        <f t="shared" si="602"/>
        <v>1</v>
      </c>
      <c r="C10858" t="str">
        <f t="shared" si="604"/>
        <v>218</v>
      </c>
      <c r="D10858" t="str">
        <f>"15"</f>
        <v>15</v>
      </c>
      <c r="E10858" t="str">
        <f>"1-218-15"</f>
        <v>1-218-15</v>
      </c>
      <c r="F10858" t="s">
        <v>65</v>
      </c>
      <c r="G10858" t="s">
        <v>66</v>
      </c>
      <c r="H10858" t="s">
        <v>67</v>
      </c>
      <c r="S10858">
        <v>1</v>
      </c>
      <c r="T10858">
        <v>0</v>
      </c>
      <c r="U10858">
        <v>0</v>
      </c>
      <c r="V10858">
        <v>0</v>
      </c>
      <c r="W10858">
        <v>1</v>
      </c>
      <c r="X10858">
        <v>0</v>
      </c>
      <c r="Y10858">
        <v>0</v>
      </c>
      <c r="Z10858">
        <v>1</v>
      </c>
      <c r="AA10858">
        <v>1</v>
      </c>
      <c r="AB10858">
        <v>0</v>
      </c>
      <c r="AC10858">
        <v>0</v>
      </c>
      <c r="AD10858">
        <v>1</v>
      </c>
      <c r="AE10858">
        <v>1</v>
      </c>
      <c r="AF10858">
        <v>1</v>
      </c>
      <c r="AG10858">
        <v>1</v>
      </c>
      <c r="AH10858">
        <v>1</v>
      </c>
      <c r="AI10858">
        <v>1</v>
      </c>
      <c r="AJ10858">
        <v>1</v>
      </c>
      <c r="AK10858">
        <v>1</v>
      </c>
      <c r="AL10858">
        <v>1</v>
      </c>
      <c r="AM10858">
        <v>1</v>
      </c>
    </row>
    <row r="10859" spans="1:39" x14ac:dyDescent="0.2">
      <c r="A10859" t="str">
        <f>"10855"</f>
        <v>10855</v>
      </c>
      <c r="B10859" t="str">
        <f t="shared" si="602"/>
        <v>1</v>
      </c>
      <c r="C10859" t="str">
        <f t="shared" si="604"/>
        <v>218</v>
      </c>
      <c r="D10859" t="str">
        <f>"1"</f>
        <v>1</v>
      </c>
      <c r="E10859" t="str">
        <f>"1-218-1"</f>
        <v>1-218-1</v>
      </c>
      <c r="F10859" t="s">
        <v>65</v>
      </c>
      <c r="G10859" t="s">
        <v>66</v>
      </c>
      <c r="H10859" t="s">
        <v>67</v>
      </c>
      <c r="S10859">
        <v>0</v>
      </c>
      <c r="T10859">
        <v>1</v>
      </c>
      <c r="U10859">
        <v>0</v>
      </c>
      <c r="V10859">
        <v>0</v>
      </c>
      <c r="W10859">
        <v>0</v>
      </c>
      <c r="X10859">
        <v>1</v>
      </c>
      <c r="Y10859">
        <v>0</v>
      </c>
      <c r="Z10859">
        <v>1</v>
      </c>
      <c r="AA10859">
        <v>0</v>
      </c>
      <c r="AB10859">
        <v>0</v>
      </c>
      <c r="AC10859">
        <v>1</v>
      </c>
      <c r="AD10859">
        <v>1</v>
      </c>
      <c r="AE10859">
        <v>1</v>
      </c>
      <c r="AF10859">
        <v>1</v>
      </c>
      <c r="AG10859">
        <v>1</v>
      </c>
      <c r="AH10859">
        <v>1</v>
      </c>
      <c r="AI10859">
        <v>1</v>
      </c>
      <c r="AJ10859">
        <v>1</v>
      </c>
      <c r="AK10859">
        <v>1</v>
      </c>
      <c r="AL10859">
        <v>1</v>
      </c>
      <c r="AM10859">
        <v>1</v>
      </c>
    </row>
    <row r="10860" spans="1:39" x14ac:dyDescent="0.2">
      <c r="A10860" t="str">
        <f>"10856"</f>
        <v>10856</v>
      </c>
      <c r="B10860" t="str">
        <f t="shared" si="602"/>
        <v>1</v>
      </c>
      <c r="C10860" t="str">
        <f t="shared" si="604"/>
        <v>218</v>
      </c>
      <c r="D10860" t="str">
        <f>"38"</f>
        <v>38</v>
      </c>
      <c r="E10860" t="str">
        <f>"1-218-38"</f>
        <v>1-218-38</v>
      </c>
      <c r="F10860" t="s">
        <v>65</v>
      </c>
      <c r="G10860" t="s">
        <v>66</v>
      </c>
      <c r="H10860" t="s">
        <v>67</v>
      </c>
      <c r="S10860">
        <v>0</v>
      </c>
      <c r="T10860">
        <v>1</v>
      </c>
      <c r="U10860">
        <v>0</v>
      </c>
      <c r="V10860">
        <v>0</v>
      </c>
      <c r="W10860">
        <v>0</v>
      </c>
      <c r="X10860">
        <v>1</v>
      </c>
      <c r="Y10860">
        <v>0</v>
      </c>
      <c r="Z10860">
        <v>1</v>
      </c>
      <c r="AA10860">
        <v>0</v>
      </c>
      <c r="AB10860">
        <v>0</v>
      </c>
      <c r="AC10860">
        <v>1</v>
      </c>
      <c r="AD10860">
        <v>1</v>
      </c>
      <c r="AE10860">
        <v>1</v>
      </c>
      <c r="AF10860">
        <v>1</v>
      </c>
      <c r="AG10860">
        <v>1</v>
      </c>
      <c r="AH10860">
        <v>1</v>
      </c>
      <c r="AI10860">
        <v>1</v>
      </c>
      <c r="AJ10860">
        <v>1</v>
      </c>
      <c r="AK10860">
        <v>1</v>
      </c>
      <c r="AL10860">
        <v>1</v>
      </c>
      <c r="AM10860">
        <v>0</v>
      </c>
    </row>
    <row r="10861" spans="1:39" x14ac:dyDescent="0.2">
      <c r="A10861" t="str">
        <f>"10857"</f>
        <v>10857</v>
      </c>
      <c r="B10861" t="str">
        <f t="shared" si="602"/>
        <v>1</v>
      </c>
      <c r="C10861" t="str">
        <f t="shared" si="604"/>
        <v>218</v>
      </c>
      <c r="D10861" t="str">
        <f>"37"</f>
        <v>37</v>
      </c>
      <c r="E10861" t="str">
        <f>"1-218-37"</f>
        <v>1-218-37</v>
      </c>
      <c r="F10861" t="s">
        <v>65</v>
      </c>
      <c r="G10861" t="s">
        <v>66</v>
      </c>
      <c r="H10861" t="s">
        <v>67</v>
      </c>
      <c r="S10861">
        <v>0</v>
      </c>
      <c r="T10861">
        <v>1</v>
      </c>
      <c r="U10861">
        <v>0</v>
      </c>
      <c r="V10861">
        <v>0</v>
      </c>
      <c r="W10861">
        <v>0</v>
      </c>
      <c r="X10861">
        <v>1</v>
      </c>
      <c r="Y10861">
        <v>0</v>
      </c>
      <c r="Z10861">
        <v>1</v>
      </c>
      <c r="AA10861">
        <v>0</v>
      </c>
      <c r="AB10861">
        <v>0</v>
      </c>
      <c r="AC10861">
        <v>1</v>
      </c>
      <c r="AD10861">
        <v>1</v>
      </c>
      <c r="AE10861">
        <v>1</v>
      </c>
      <c r="AF10861">
        <v>1</v>
      </c>
      <c r="AG10861">
        <v>1</v>
      </c>
      <c r="AH10861">
        <v>1</v>
      </c>
      <c r="AI10861">
        <v>1</v>
      </c>
      <c r="AJ10861">
        <v>1</v>
      </c>
      <c r="AK10861">
        <v>1</v>
      </c>
      <c r="AL10861">
        <v>1</v>
      </c>
      <c r="AM10861">
        <v>1</v>
      </c>
    </row>
    <row r="10862" spans="1:39" x14ac:dyDescent="0.2">
      <c r="A10862" t="str">
        <f>"10858"</f>
        <v>10858</v>
      </c>
      <c r="B10862" t="str">
        <f t="shared" si="602"/>
        <v>1</v>
      </c>
      <c r="C10862" t="str">
        <f t="shared" si="604"/>
        <v>218</v>
      </c>
      <c r="D10862" t="str">
        <f>"22"</f>
        <v>22</v>
      </c>
      <c r="E10862" t="str">
        <f>"1-218-22"</f>
        <v>1-218-22</v>
      </c>
      <c r="F10862" t="s">
        <v>65</v>
      </c>
      <c r="G10862" t="s">
        <v>66</v>
      </c>
      <c r="H10862" t="s">
        <v>67</v>
      </c>
      <c r="S10862">
        <v>0</v>
      </c>
      <c r="T10862">
        <v>0</v>
      </c>
      <c r="U10862">
        <v>0</v>
      </c>
      <c r="V10862">
        <v>0</v>
      </c>
      <c r="W10862">
        <v>1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1</v>
      </c>
      <c r="AD10862">
        <v>1</v>
      </c>
      <c r="AE10862">
        <v>1</v>
      </c>
      <c r="AF10862">
        <v>1</v>
      </c>
      <c r="AG10862">
        <v>1</v>
      </c>
      <c r="AH10862">
        <v>1</v>
      </c>
      <c r="AI10862">
        <v>1</v>
      </c>
      <c r="AJ10862">
        <v>1</v>
      </c>
      <c r="AK10862">
        <v>1</v>
      </c>
      <c r="AL10862">
        <v>1</v>
      </c>
      <c r="AM10862">
        <v>0</v>
      </c>
    </row>
    <row r="10863" spans="1:39" x14ac:dyDescent="0.2">
      <c r="A10863" t="str">
        <f>"10859"</f>
        <v>10859</v>
      </c>
      <c r="B10863" t="str">
        <f t="shared" si="602"/>
        <v>1</v>
      </c>
      <c r="C10863" t="str">
        <f t="shared" si="604"/>
        <v>218</v>
      </c>
      <c r="D10863" t="str">
        <f>"16"</f>
        <v>16</v>
      </c>
      <c r="E10863" t="str">
        <f>"1-218-16"</f>
        <v>1-218-16</v>
      </c>
      <c r="F10863" t="s">
        <v>65</v>
      </c>
      <c r="G10863" t="s">
        <v>66</v>
      </c>
      <c r="H10863" t="s">
        <v>67</v>
      </c>
      <c r="S10863">
        <v>0</v>
      </c>
      <c r="T10863">
        <v>1</v>
      </c>
      <c r="U10863">
        <v>0</v>
      </c>
      <c r="V10863">
        <v>0</v>
      </c>
      <c r="W10863">
        <v>0</v>
      </c>
      <c r="X10863">
        <v>1</v>
      </c>
      <c r="Y10863">
        <v>0</v>
      </c>
      <c r="Z10863">
        <v>1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  <c r="AK10863">
        <v>0</v>
      </c>
      <c r="AL10863">
        <v>0</v>
      </c>
      <c r="AM10863">
        <v>0</v>
      </c>
    </row>
    <row r="10864" spans="1:39" x14ac:dyDescent="0.2">
      <c r="A10864" t="str">
        <f>"10860"</f>
        <v>10860</v>
      </c>
      <c r="B10864" t="str">
        <f t="shared" si="602"/>
        <v>1</v>
      </c>
      <c r="C10864" t="str">
        <f t="shared" si="604"/>
        <v>218</v>
      </c>
      <c r="D10864" t="str">
        <f>"2"</f>
        <v>2</v>
      </c>
      <c r="E10864" t="str">
        <f>"1-218-2"</f>
        <v>1-218-2</v>
      </c>
      <c r="F10864" t="s">
        <v>65</v>
      </c>
      <c r="G10864" t="s">
        <v>66</v>
      </c>
      <c r="H10864" t="s">
        <v>67</v>
      </c>
      <c r="S10864">
        <v>0</v>
      </c>
      <c r="T10864">
        <v>1</v>
      </c>
      <c r="U10864">
        <v>0</v>
      </c>
      <c r="V10864">
        <v>0</v>
      </c>
      <c r="W10864">
        <v>0</v>
      </c>
      <c r="X10864">
        <v>1</v>
      </c>
      <c r="Y10864">
        <v>0</v>
      </c>
      <c r="Z10864">
        <v>1</v>
      </c>
      <c r="AA10864">
        <v>0</v>
      </c>
      <c r="AB10864">
        <v>0</v>
      </c>
      <c r="AC10864">
        <v>1</v>
      </c>
      <c r="AD10864">
        <v>1</v>
      </c>
      <c r="AE10864">
        <v>1</v>
      </c>
      <c r="AF10864">
        <v>1</v>
      </c>
      <c r="AG10864">
        <v>1</v>
      </c>
      <c r="AH10864">
        <v>1</v>
      </c>
      <c r="AI10864">
        <v>1</v>
      </c>
      <c r="AJ10864">
        <v>1</v>
      </c>
      <c r="AK10864">
        <v>1</v>
      </c>
      <c r="AL10864">
        <v>1</v>
      </c>
      <c r="AM10864">
        <v>1</v>
      </c>
    </row>
    <row r="10865" spans="1:39" x14ac:dyDescent="0.2">
      <c r="A10865" t="str">
        <f>"10861"</f>
        <v>10861</v>
      </c>
      <c r="B10865" t="str">
        <f t="shared" si="602"/>
        <v>1</v>
      </c>
      <c r="C10865" t="str">
        <f t="shared" si="604"/>
        <v>218</v>
      </c>
      <c r="D10865" t="str">
        <f>"36"</f>
        <v>36</v>
      </c>
      <c r="E10865" t="str">
        <f>"1-218-36"</f>
        <v>1-218-36</v>
      </c>
      <c r="F10865" t="s">
        <v>65</v>
      </c>
      <c r="G10865" t="s">
        <v>66</v>
      </c>
      <c r="H10865" t="s">
        <v>67</v>
      </c>
      <c r="S10865">
        <v>0</v>
      </c>
      <c r="T10865">
        <v>1</v>
      </c>
      <c r="U10865">
        <v>0</v>
      </c>
      <c r="V10865">
        <v>0</v>
      </c>
      <c r="W10865">
        <v>0</v>
      </c>
      <c r="X10865">
        <v>1</v>
      </c>
      <c r="Y10865">
        <v>0</v>
      </c>
      <c r="Z10865">
        <v>0</v>
      </c>
      <c r="AA10865">
        <v>0</v>
      </c>
      <c r="AB10865">
        <v>0</v>
      </c>
      <c r="AC10865">
        <v>1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  <c r="AK10865">
        <v>0</v>
      </c>
      <c r="AL10865">
        <v>0</v>
      </c>
      <c r="AM10865">
        <v>0</v>
      </c>
    </row>
    <row r="10866" spans="1:39" x14ac:dyDescent="0.2">
      <c r="A10866" t="str">
        <f>"10862"</f>
        <v>10862</v>
      </c>
      <c r="B10866" t="str">
        <f t="shared" si="602"/>
        <v>1</v>
      </c>
      <c r="C10866" t="str">
        <f t="shared" si="604"/>
        <v>218</v>
      </c>
      <c r="D10866" t="str">
        <f>"35"</f>
        <v>35</v>
      </c>
      <c r="E10866" t="str">
        <f>"1-218-35"</f>
        <v>1-218-35</v>
      </c>
      <c r="F10866" t="s">
        <v>65</v>
      </c>
      <c r="G10866" t="s">
        <v>66</v>
      </c>
      <c r="H10866" t="s">
        <v>67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1</v>
      </c>
      <c r="Y10866">
        <v>0</v>
      </c>
      <c r="Z10866">
        <v>0</v>
      </c>
      <c r="AA10866">
        <v>0</v>
      </c>
      <c r="AB10866">
        <v>0</v>
      </c>
      <c r="AC10866">
        <v>1</v>
      </c>
      <c r="AD10866">
        <v>0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  <c r="AK10866">
        <v>0</v>
      </c>
      <c r="AL10866">
        <v>0</v>
      </c>
      <c r="AM10866">
        <v>0</v>
      </c>
    </row>
    <row r="10867" spans="1:39" x14ac:dyDescent="0.2">
      <c r="A10867" t="str">
        <f>"10863"</f>
        <v>10863</v>
      </c>
      <c r="B10867" t="str">
        <f t="shared" si="602"/>
        <v>1</v>
      </c>
      <c r="C10867" t="str">
        <f t="shared" si="604"/>
        <v>218</v>
      </c>
      <c r="D10867" t="str">
        <f>"27"</f>
        <v>27</v>
      </c>
      <c r="E10867" t="str">
        <f>"1-218-27"</f>
        <v>1-218-27</v>
      </c>
      <c r="F10867" t="s">
        <v>65</v>
      </c>
      <c r="G10867" t="s">
        <v>66</v>
      </c>
      <c r="H10867" t="s">
        <v>67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1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  <c r="AK10867">
        <v>0</v>
      </c>
      <c r="AL10867">
        <v>0</v>
      </c>
      <c r="AM10867">
        <v>0</v>
      </c>
    </row>
    <row r="10868" spans="1:39" x14ac:dyDescent="0.2">
      <c r="A10868" t="str">
        <f>"10864"</f>
        <v>10864</v>
      </c>
      <c r="B10868" t="str">
        <f t="shared" si="602"/>
        <v>1</v>
      </c>
      <c r="C10868" t="str">
        <f t="shared" si="604"/>
        <v>218</v>
      </c>
      <c r="D10868" t="str">
        <f>"17"</f>
        <v>17</v>
      </c>
      <c r="E10868" t="str">
        <f>"1-218-17"</f>
        <v>1-218-17</v>
      </c>
      <c r="F10868" t="s">
        <v>65</v>
      </c>
      <c r="G10868" t="s">
        <v>66</v>
      </c>
      <c r="H10868" t="s">
        <v>67</v>
      </c>
      <c r="S10868">
        <v>0</v>
      </c>
      <c r="T10868">
        <v>1</v>
      </c>
      <c r="U10868">
        <v>0</v>
      </c>
      <c r="V10868">
        <v>0</v>
      </c>
      <c r="W10868">
        <v>0</v>
      </c>
      <c r="X10868">
        <v>1</v>
      </c>
      <c r="Y10868">
        <v>0</v>
      </c>
      <c r="Z10868">
        <v>1</v>
      </c>
      <c r="AA10868">
        <v>1</v>
      </c>
      <c r="AB10868">
        <v>0</v>
      </c>
      <c r="AC10868">
        <v>0</v>
      </c>
      <c r="AD10868">
        <v>1</v>
      </c>
      <c r="AE10868">
        <v>1</v>
      </c>
      <c r="AF10868">
        <v>1</v>
      </c>
      <c r="AG10868">
        <v>1</v>
      </c>
      <c r="AH10868">
        <v>1</v>
      </c>
      <c r="AI10868">
        <v>1</v>
      </c>
      <c r="AJ10868">
        <v>1</v>
      </c>
      <c r="AK10868">
        <v>1</v>
      </c>
      <c r="AL10868">
        <v>1</v>
      </c>
      <c r="AM10868">
        <v>1</v>
      </c>
    </row>
    <row r="10869" spans="1:39" x14ac:dyDescent="0.2">
      <c r="A10869" t="str">
        <f>"10865"</f>
        <v>10865</v>
      </c>
      <c r="B10869" t="str">
        <f t="shared" si="602"/>
        <v>1</v>
      </c>
      <c r="C10869" t="str">
        <f t="shared" si="604"/>
        <v>218</v>
      </c>
      <c r="D10869" t="str">
        <f>"10"</f>
        <v>10</v>
      </c>
      <c r="E10869" t="str">
        <f>"1-218-10"</f>
        <v>1-218-10</v>
      </c>
      <c r="F10869" t="s">
        <v>65</v>
      </c>
      <c r="G10869" t="s">
        <v>66</v>
      </c>
      <c r="H10869" t="s">
        <v>67</v>
      </c>
      <c r="S10869">
        <v>0</v>
      </c>
      <c r="T10869">
        <v>1</v>
      </c>
      <c r="U10869">
        <v>0</v>
      </c>
      <c r="V10869">
        <v>0</v>
      </c>
      <c r="W10869">
        <v>0</v>
      </c>
      <c r="X10869">
        <v>1</v>
      </c>
      <c r="Y10869">
        <v>0</v>
      </c>
      <c r="Z10869">
        <v>0</v>
      </c>
      <c r="AA10869">
        <v>0</v>
      </c>
      <c r="AB10869">
        <v>0</v>
      </c>
      <c r="AC10869">
        <v>1</v>
      </c>
      <c r="AD10869">
        <v>0</v>
      </c>
      <c r="AE10869">
        <v>0</v>
      </c>
      <c r="AF10869">
        <v>0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</row>
    <row r="10870" spans="1:39" x14ac:dyDescent="0.2">
      <c r="A10870" t="str">
        <f>"10866"</f>
        <v>10866</v>
      </c>
      <c r="B10870" t="str">
        <f t="shared" si="602"/>
        <v>1</v>
      </c>
      <c r="C10870" t="str">
        <f t="shared" si="604"/>
        <v>218</v>
      </c>
      <c r="D10870" t="str">
        <f>"40"</f>
        <v>40</v>
      </c>
      <c r="E10870" t="str">
        <f>"1-218-40"</f>
        <v>1-218-40</v>
      </c>
      <c r="F10870" t="s">
        <v>65</v>
      </c>
      <c r="G10870" t="s">
        <v>66</v>
      </c>
      <c r="H10870" t="s">
        <v>67</v>
      </c>
      <c r="S10870">
        <v>1</v>
      </c>
      <c r="T10870">
        <v>0</v>
      </c>
      <c r="U10870">
        <v>0</v>
      </c>
      <c r="V10870">
        <v>0</v>
      </c>
      <c r="W10870">
        <v>1</v>
      </c>
      <c r="X10870">
        <v>0</v>
      </c>
      <c r="Y10870">
        <v>1</v>
      </c>
      <c r="Z10870">
        <v>0</v>
      </c>
      <c r="AA10870">
        <v>1</v>
      </c>
      <c r="AB10870">
        <v>0</v>
      </c>
      <c r="AC10870">
        <v>0</v>
      </c>
      <c r="AD10870">
        <v>1</v>
      </c>
      <c r="AE10870">
        <v>1</v>
      </c>
      <c r="AF10870">
        <v>1</v>
      </c>
      <c r="AG10870">
        <v>1</v>
      </c>
      <c r="AH10870">
        <v>1</v>
      </c>
      <c r="AI10870">
        <v>1</v>
      </c>
      <c r="AJ10870">
        <v>1</v>
      </c>
      <c r="AK10870">
        <v>1</v>
      </c>
      <c r="AL10870">
        <v>1</v>
      </c>
      <c r="AM10870">
        <v>1</v>
      </c>
    </row>
    <row r="10871" spans="1:39" x14ac:dyDescent="0.2">
      <c r="A10871" t="str">
        <f>"10867"</f>
        <v>10867</v>
      </c>
      <c r="B10871" t="str">
        <f t="shared" ref="B10871:B10934" si="605">"1"</f>
        <v>1</v>
      </c>
      <c r="C10871" t="str">
        <f t="shared" si="604"/>
        <v>218</v>
      </c>
      <c r="D10871" t="str">
        <f>"39"</f>
        <v>39</v>
      </c>
      <c r="E10871" t="str">
        <f>"1-218-39"</f>
        <v>1-218-39</v>
      </c>
      <c r="F10871" t="s">
        <v>65</v>
      </c>
      <c r="G10871" t="s">
        <v>66</v>
      </c>
      <c r="H10871" t="s">
        <v>67</v>
      </c>
      <c r="S10871">
        <v>0</v>
      </c>
      <c r="T10871">
        <v>1</v>
      </c>
      <c r="U10871">
        <v>0</v>
      </c>
      <c r="V10871">
        <v>0</v>
      </c>
      <c r="W10871">
        <v>0</v>
      </c>
      <c r="X10871">
        <v>1</v>
      </c>
      <c r="Y10871">
        <v>0</v>
      </c>
      <c r="Z10871">
        <v>1</v>
      </c>
      <c r="AA10871">
        <v>0</v>
      </c>
      <c r="AB10871">
        <v>0</v>
      </c>
      <c r="AC10871">
        <v>1</v>
      </c>
      <c r="AD10871">
        <v>1</v>
      </c>
      <c r="AE10871">
        <v>1</v>
      </c>
      <c r="AF10871">
        <v>1</v>
      </c>
      <c r="AG10871">
        <v>1</v>
      </c>
      <c r="AH10871">
        <v>1</v>
      </c>
      <c r="AI10871">
        <v>1</v>
      </c>
      <c r="AJ10871">
        <v>1</v>
      </c>
      <c r="AK10871">
        <v>1</v>
      </c>
      <c r="AL10871">
        <v>1</v>
      </c>
      <c r="AM10871">
        <v>1</v>
      </c>
    </row>
    <row r="10872" spans="1:39" x14ac:dyDescent="0.2">
      <c r="A10872" t="str">
        <f>"10868"</f>
        <v>10868</v>
      </c>
      <c r="B10872" t="str">
        <f t="shared" si="605"/>
        <v>1</v>
      </c>
      <c r="C10872" t="str">
        <f t="shared" si="604"/>
        <v>218</v>
      </c>
      <c r="D10872" t="str">
        <f>"24"</f>
        <v>24</v>
      </c>
      <c r="E10872" t="str">
        <f>"1-218-24"</f>
        <v>1-218-24</v>
      </c>
      <c r="F10872" t="s">
        <v>65</v>
      </c>
      <c r="G10872" t="s">
        <v>66</v>
      </c>
      <c r="H10872" t="s">
        <v>67</v>
      </c>
      <c r="S10872">
        <v>0</v>
      </c>
      <c r="T10872">
        <v>0</v>
      </c>
      <c r="U10872">
        <v>0</v>
      </c>
      <c r="V10872">
        <v>0</v>
      </c>
      <c r="W10872">
        <v>0</v>
      </c>
      <c r="X10872">
        <v>1</v>
      </c>
      <c r="Y10872">
        <v>0</v>
      </c>
      <c r="Z10872">
        <v>0</v>
      </c>
      <c r="AA10872">
        <v>0</v>
      </c>
      <c r="AB10872">
        <v>0</v>
      </c>
      <c r="AC10872">
        <v>0</v>
      </c>
      <c r="AD10872">
        <v>0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</row>
    <row r="10873" spans="1:39" x14ac:dyDescent="0.2">
      <c r="A10873" t="str">
        <f>"10869"</f>
        <v>10869</v>
      </c>
      <c r="B10873" t="str">
        <f t="shared" si="605"/>
        <v>1</v>
      </c>
      <c r="C10873" t="str">
        <f t="shared" si="604"/>
        <v>218</v>
      </c>
      <c r="D10873" t="str">
        <f>"18"</f>
        <v>18</v>
      </c>
      <c r="E10873" t="str">
        <f>"1-218-18"</f>
        <v>1-218-18</v>
      </c>
      <c r="F10873" t="s">
        <v>65</v>
      </c>
      <c r="G10873" t="s">
        <v>66</v>
      </c>
      <c r="H10873" t="s">
        <v>67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1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1</v>
      </c>
      <c r="AH10873">
        <v>1</v>
      </c>
      <c r="AI10873">
        <v>0</v>
      </c>
      <c r="AJ10873">
        <v>0</v>
      </c>
      <c r="AK10873">
        <v>0</v>
      </c>
      <c r="AL10873">
        <v>0</v>
      </c>
      <c r="AM10873">
        <v>0</v>
      </c>
    </row>
    <row r="10874" spans="1:39" x14ac:dyDescent="0.2">
      <c r="A10874" t="str">
        <f>"10870"</f>
        <v>10870</v>
      </c>
      <c r="B10874" t="str">
        <f t="shared" si="605"/>
        <v>1</v>
      </c>
      <c r="C10874" t="str">
        <f t="shared" si="604"/>
        <v>218</v>
      </c>
      <c r="D10874" t="str">
        <f>"13"</f>
        <v>13</v>
      </c>
      <c r="E10874" t="str">
        <f>"1-218-13"</f>
        <v>1-218-13</v>
      </c>
      <c r="F10874" t="s">
        <v>65</v>
      </c>
      <c r="G10874" t="s">
        <v>66</v>
      </c>
      <c r="H10874" t="s">
        <v>67</v>
      </c>
      <c r="S10874">
        <v>0</v>
      </c>
      <c r="T10874">
        <v>1</v>
      </c>
      <c r="U10874">
        <v>0</v>
      </c>
      <c r="V10874">
        <v>0</v>
      </c>
      <c r="W10874">
        <v>0</v>
      </c>
      <c r="X10874">
        <v>1</v>
      </c>
      <c r="Y10874">
        <v>1</v>
      </c>
      <c r="Z10874">
        <v>0</v>
      </c>
      <c r="AA10874">
        <v>0</v>
      </c>
      <c r="AB10874">
        <v>0</v>
      </c>
      <c r="AC10874">
        <v>1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  <c r="AK10874">
        <v>0</v>
      </c>
      <c r="AL10874">
        <v>0</v>
      </c>
      <c r="AM10874">
        <v>0</v>
      </c>
    </row>
    <row r="10875" spans="1:39" x14ac:dyDescent="0.2">
      <c r="A10875" t="str">
        <f>"10871"</f>
        <v>10871</v>
      </c>
      <c r="B10875" t="str">
        <f t="shared" si="605"/>
        <v>1</v>
      </c>
      <c r="C10875" t="str">
        <f t="shared" si="604"/>
        <v>218</v>
      </c>
      <c r="D10875" t="str">
        <f>"41"</f>
        <v>41</v>
      </c>
      <c r="E10875" t="str">
        <f>"1-218-41"</f>
        <v>1-218-41</v>
      </c>
      <c r="F10875" t="s">
        <v>65</v>
      </c>
      <c r="G10875" t="s">
        <v>66</v>
      </c>
      <c r="H10875" t="s">
        <v>67</v>
      </c>
      <c r="S10875">
        <v>1</v>
      </c>
      <c r="T10875">
        <v>0</v>
      </c>
      <c r="U10875">
        <v>0</v>
      </c>
      <c r="V10875">
        <v>0</v>
      </c>
      <c r="W10875">
        <v>1</v>
      </c>
      <c r="X10875">
        <v>0</v>
      </c>
      <c r="Y10875">
        <v>1</v>
      </c>
      <c r="Z10875">
        <v>0</v>
      </c>
      <c r="AA10875">
        <v>1</v>
      </c>
      <c r="AB10875">
        <v>0</v>
      </c>
      <c r="AC10875">
        <v>0</v>
      </c>
      <c r="AD10875">
        <v>1</v>
      </c>
      <c r="AE10875">
        <v>1</v>
      </c>
      <c r="AF10875">
        <v>1</v>
      </c>
      <c r="AG10875">
        <v>1</v>
      </c>
      <c r="AH10875">
        <v>1</v>
      </c>
      <c r="AI10875">
        <v>1</v>
      </c>
      <c r="AJ10875">
        <v>1</v>
      </c>
      <c r="AK10875">
        <v>1</v>
      </c>
      <c r="AL10875">
        <v>1</v>
      </c>
      <c r="AM10875">
        <v>1</v>
      </c>
    </row>
    <row r="10876" spans="1:39" x14ac:dyDescent="0.2">
      <c r="A10876" t="str">
        <f>"10872"</f>
        <v>10872</v>
      </c>
      <c r="B10876" t="str">
        <f t="shared" si="605"/>
        <v>1</v>
      </c>
      <c r="C10876" t="str">
        <f t="shared" si="604"/>
        <v>218</v>
      </c>
      <c r="D10876" t="str">
        <f>"19"</f>
        <v>19</v>
      </c>
      <c r="E10876" t="str">
        <f>"1-218-19"</f>
        <v>1-218-19</v>
      </c>
      <c r="F10876" t="s">
        <v>65</v>
      </c>
      <c r="G10876" t="s">
        <v>66</v>
      </c>
      <c r="H10876" t="s">
        <v>67</v>
      </c>
      <c r="S10876">
        <v>1</v>
      </c>
      <c r="T10876">
        <v>0</v>
      </c>
      <c r="U10876">
        <v>0</v>
      </c>
      <c r="V10876">
        <v>0</v>
      </c>
      <c r="W10876">
        <v>1</v>
      </c>
      <c r="X10876">
        <v>0</v>
      </c>
      <c r="Y10876">
        <v>1</v>
      </c>
      <c r="Z10876">
        <v>0</v>
      </c>
      <c r="AA10876">
        <v>1</v>
      </c>
      <c r="AB10876">
        <v>0</v>
      </c>
      <c r="AC10876">
        <v>0</v>
      </c>
      <c r="AD10876">
        <v>1</v>
      </c>
      <c r="AE10876">
        <v>1</v>
      </c>
      <c r="AF10876">
        <v>1</v>
      </c>
      <c r="AG10876">
        <v>1</v>
      </c>
      <c r="AH10876">
        <v>1</v>
      </c>
      <c r="AI10876">
        <v>1</v>
      </c>
      <c r="AJ10876">
        <v>1</v>
      </c>
      <c r="AK10876">
        <v>1</v>
      </c>
      <c r="AL10876">
        <v>1</v>
      </c>
      <c r="AM10876">
        <v>1</v>
      </c>
    </row>
    <row r="10877" spans="1:39" x14ac:dyDescent="0.2">
      <c r="A10877" t="str">
        <f>"10873"</f>
        <v>10873</v>
      </c>
      <c r="B10877" t="str">
        <f t="shared" si="605"/>
        <v>1</v>
      </c>
      <c r="C10877" t="str">
        <f t="shared" si="604"/>
        <v>218</v>
      </c>
      <c r="D10877" t="str">
        <f>"3"</f>
        <v>3</v>
      </c>
      <c r="E10877" t="str">
        <f>"1-218-3"</f>
        <v>1-218-3</v>
      </c>
      <c r="F10877" t="s">
        <v>65</v>
      </c>
      <c r="G10877" t="s">
        <v>66</v>
      </c>
      <c r="H10877" t="s">
        <v>68</v>
      </c>
      <c r="I10877">
        <v>1</v>
      </c>
      <c r="J10877">
        <v>1</v>
      </c>
      <c r="K10877">
        <v>0</v>
      </c>
      <c r="L10877">
        <v>0</v>
      </c>
      <c r="M10877">
        <v>1</v>
      </c>
      <c r="N10877">
        <v>1</v>
      </c>
      <c r="O10877">
        <v>1</v>
      </c>
      <c r="P10877">
        <v>1</v>
      </c>
      <c r="Q10877">
        <v>1</v>
      </c>
      <c r="R10877">
        <v>1</v>
      </c>
    </row>
    <row r="10878" spans="1:39" x14ac:dyDescent="0.2">
      <c r="A10878" t="str">
        <f>"10874"</f>
        <v>10874</v>
      </c>
      <c r="B10878" t="str">
        <f t="shared" si="605"/>
        <v>1</v>
      </c>
      <c r="C10878" t="str">
        <f t="shared" si="604"/>
        <v>218</v>
      </c>
      <c r="D10878" t="str">
        <f>"46"</f>
        <v>46</v>
      </c>
      <c r="E10878" t="str">
        <f>"1-218-46"</f>
        <v>1-218-46</v>
      </c>
      <c r="F10878" t="s">
        <v>65</v>
      </c>
      <c r="G10878" t="s">
        <v>66</v>
      </c>
      <c r="H10878" t="s">
        <v>67</v>
      </c>
      <c r="S10878">
        <v>0</v>
      </c>
      <c r="T10878">
        <v>1</v>
      </c>
      <c r="U10878">
        <v>0</v>
      </c>
      <c r="V10878">
        <v>0</v>
      </c>
      <c r="W10878">
        <v>0</v>
      </c>
      <c r="X10878">
        <v>1</v>
      </c>
      <c r="Y10878">
        <v>1</v>
      </c>
      <c r="Z10878">
        <v>0</v>
      </c>
      <c r="AA10878">
        <v>0</v>
      </c>
      <c r="AB10878">
        <v>0</v>
      </c>
      <c r="AC10878">
        <v>1</v>
      </c>
      <c r="AD10878">
        <v>0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  <c r="AK10878">
        <v>0</v>
      </c>
      <c r="AL10878">
        <v>0</v>
      </c>
      <c r="AM10878">
        <v>0</v>
      </c>
    </row>
    <row r="10879" spans="1:39" x14ac:dyDescent="0.2">
      <c r="A10879" t="str">
        <f>"10875"</f>
        <v>10875</v>
      </c>
      <c r="B10879" t="str">
        <f t="shared" si="605"/>
        <v>1</v>
      </c>
      <c r="C10879" t="str">
        <f t="shared" si="604"/>
        <v>218</v>
      </c>
      <c r="D10879" t="str">
        <f>"21"</f>
        <v>21</v>
      </c>
      <c r="E10879" t="str">
        <f>"1-218-21"</f>
        <v>1-218-21</v>
      </c>
      <c r="F10879" t="s">
        <v>65</v>
      </c>
      <c r="G10879" t="s">
        <v>66</v>
      </c>
      <c r="H10879" t="s">
        <v>67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1</v>
      </c>
      <c r="Y10879">
        <v>1</v>
      </c>
      <c r="Z10879">
        <v>0</v>
      </c>
      <c r="AA10879">
        <v>0</v>
      </c>
      <c r="AB10879">
        <v>0</v>
      </c>
      <c r="AC10879">
        <v>1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  <c r="AK10879">
        <v>0</v>
      </c>
      <c r="AL10879">
        <v>0</v>
      </c>
      <c r="AM10879">
        <v>0</v>
      </c>
    </row>
    <row r="10880" spans="1:39" x14ac:dyDescent="0.2">
      <c r="A10880" t="str">
        <f>"10876"</f>
        <v>10876</v>
      </c>
      <c r="B10880" t="str">
        <f t="shared" si="605"/>
        <v>1</v>
      </c>
      <c r="C10880" t="str">
        <f t="shared" si="604"/>
        <v>218</v>
      </c>
      <c r="D10880" t="str">
        <f>"11"</f>
        <v>11</v>
      </c>
      <c r="E10880" t="str">
        <f>"1-218-11"</f>
        <v>1-218-11</v>
      </c>
      <c r="F10880" t="s">
        <v>65</v>
      </c>
      <c r="G10880" t="s">
        <v>66</v>
      </c>
      <c r="H10880" t="s">
        <v>67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1</v>
      </c>
      <c r="Y10880">
        <v>0</v>
      </c>
      <c r="Z10880">
        <v>0</v>
      </c>
      <c r="AA10880">
        <v>0</v>
      </c>
      <c r="AB10880">
        <v>0</v>
      </c>
      <c r="AC10880">
        <v>1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  <c r="AK10880">
        <v>0</v>
      </c>
      <c r="AL10880">
        <v>0</v>
      </c>
      <c r="AM10880">
        <v>0</v>
      </c>
    </row>
    <row r="10881" spans="1:39" x14ac:dyDescent="0.2">
      <c r="A10881" t="str">
        <f>"10877"</f>
        <v>10877</v>
      </c>
      <c r="B10881" t="str">
        <f t="shared" si="605"/>
        <v>1</v>
      </c>
      <c r="C10881" t="str">
        <f t="shared" si="604"/>
        <v>218</v>
      </c>
      <c r="D10881" t="str">
        <f>"45"</f>
        <v>45</v>
      </c>
      <c r="E10881" t="str">
        <f>"1-218-45"</f>
        <v>1-218-45</v>
      </c>
      <c r="F10881" t="s">
        <v>65</v>
      </c>
      <c r="G10881" t="s">
        <v>66</v>
      </c>
      <c r="H10881" t="s">
        <v>67</v>
      </c>
      <c r="S10881">
        <v>0</v>
      </c>
      <c r="T10881">
        <v>1</v>
      </c>
      <c r="U10881">
        <v>0</v>
      </c>
      <c r="V10881">
        <v>0</v>
      </c>
      <c r="W10881">
        <v>0</v>
      </c>
      <c r="X10881">
        <v>1</v>
      </c>
      <c r="Y10881">
        <v>0</v>
      </c>
      <c r="Z10881">
        <v>1</v>
      </c>
      <c r="AA10881">
        <v>1</v>
      </c>
      <c r="AB10881">
        <v>0</v>
      </c>
      <c r="AC10881">
        <v>0</v>
      </c>
      <c r="AD10881">
        <v>1</v>
      </c>
      <c r="AE10881">
        <v>1</v>
      </c>
      <c r="AF10881">
        <v>1</v>
      </c>
      <c r="AG10881">
        <v>1</v>
      </c>
      <c r="AH10881">
        <v>1</v>
      </c>
      <c r="AI10881">
        <v>1</v>
      </c>
      <c r="AJ10881">
        <v>1</v>
      </c>
      <c r="AK10881">
        <v>1</v>
      </c>
      <c r="AL10881">
        <v>1</v>
      </c>
      <c r="AM10881">
        <v>1</v>
      </c>
    </row>
    <row r="10882" spans="1:39" x14ac:dyDescent="0.2">
      <c r="A10882" t="str">
        <f>"10878"</f>
        <v>10878</v>
      </c>
      <c r="B10882" t="str">
        <f t="shared" si="605"/>
        <v>1</v>
      </c>
      <c r="C10882" t="str">
        <f t="shared" si="604"/>
        <v>218</v>
      </c>
      <c r="D10882" t="str">
        <f>"23"</f>
        <v>23</v>
      </c>
      <c r="E10882" t="str">
        <f>"1-218-23"</f>
        <v>1-218-23</v>
      </c>
      <c r="F10882" t="s">
        <v>65</v>
      </c>
      <c r="G10882" t="s">
        <v>66</v>
      </c>
      <c r="H10882" t="s">
        <v>67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1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  <c r="AK10882">
        <v>0</v>
      </c>
      <c r="AL10882">
        <v>0</v>
      </c>
      <c r="AM10882">
        <v>0</v>
      </c>
    </row>
    <row r="10883" spans="1:39" x14ac:dyDescent="0.2">
      <c r="A10883" t="str">
        <f>"10879"</f>
        <v>10879</v>
      </c>
      <c r="B10883" t="str">
        <f t="shared" si="605"/>
        <v>1</v>
      </c>
      <c r="C10883" t="str">
        <f t="shared" si="604"/>
        <v>218</v>
      </c>
      <c r="D10883" t="str">
        <f>"9"</f>
        <v>9</v>
      </c>
      <c r="E10883" t="str">
        <f>"1-218-9"</f>
        <v>1-218-9</v>
      </c>
      <c r="F10883" t="s">
        <v>65</v>
      </c>
      <c r="G10883" t="s">
        <v>66</v>
      </c>
      <c r="H10883" t="s">
        <v>67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1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0</v>
      </c>
      <c r="AH10883">
        <v>1</v>
      </c>
      <c r="AI10883">
        <v>1</v>
      </c>
      <c r="AJ10883">
        <v>1</v>
      </c>
      <c r="AK10883">
        <v>1</v>
      </c>
      <c r="AL10883">
        <v>1</v>
      </c>
      <c r="AM10883">
        <v>1</v>
      </c>
    </row>
    <row r="10884" spans="1:39" x14ac:dyDescent="0.2">
      <c r="A10884" t="str">
        <f>"10880"</f>
        <v>10880</v>
      </c>
      <c r="B10884" t="str">
        <f t="shared" si="605"/>
        <v>1</v>
      </c>
      <c r="C10884" t="str">
        <f t="shared" si="604"/>
        <v>218</v>
      </c>
      <c r="D10884" t="str">
        <f>"44"</f>
        <v>44</v>
      </c>
      <c r="E10884" t="str">
        <f>"1-218-44"</f>
        <v>1-218-44</v>
      </c>
      <c r="F10884" t="s">
        <v>65</v>
      </c>
      <c r="G10884" t="s">
        <v>66</v>
      </c>
      <c r="H10884" t="s">
        <v>67</v>
      </c>
      <c r="S10884">
        <v>0</v>
      </c>
      <c r="T10884">
        <v>1</v>
      </c>
      <c r="U10884">
        <v>0</v>
      </c>
      <c r="V10884">
        <v>0</v>
      </c>
      <c r="W10884">
        <v>1</v>
      </c>
      <c r="X10884">
        <v>0</v>
      </c>
      <c r="Y10884">
        <v>1</v>
      </c>
      <c r="Z10884">
        <v>0</v>
      </c>
      <c r="AA10884">
        <v>1</v>
      </c>
      <c r="AB10884">
        <v>0</v>
      </c>
      <c r="AC10884">
        <v>0</v>
      </c>
      <c r="AD10884">
        <v>1</v>
      </c>
      <c r="AE10884">
        <v>1</v>
      </c>
      <c r="AF10884">
        <v>1</v>
      </c>
      <c r="AG10884">
        <v>1</v>
      </c>
      <c r="AH10884">
        <v>1</v>
      </c>
      <c r="AI10884">
        <v>1</v>
      </c>
      <c r="AJ10884">
        <v>1</v>
      </c>
      <c r="AK10884">
        <v>1</v>
      </c>
      <c r="AL10884">
        <v>1</v>
      </c>
      <c r="AM10884">
        <v>1</v>
      </c>
    </row>
    <row r="10885" spans="1:39" x14ac:dyDescent="0.2">
      <c r="A10885" t="str">
        <f>"10881"</f>
        <v>10881</v>
      </c>
      <c r="B10885" t="str">
        <f t="shared" si="605"/>
        <v>1</v>
      </c>
      <c r="C10885" t="str">
        <f t="shared" si="604"/>
        <v>218</v>
      </c>
      <c r="D10885" t="str">
        <f>"25"</f>
        <v>25</v>
      </c>
      <c r="E10885" t="str">
        <f>"1-218-25"</f>
        <v>1-218-25</v>
      </c>
      <c r="F10885" t="s">
        <v>65</v>
      </c>
      <c r="G10885" t="s">
        <v>66</v>
      </c>
      <c r="H10885" t="s">
        <v>67</v>
      </c>
      <c r="S10885">
        <v>1</v>
      </c>
      <c r="T10885">
        <v>0</v>
      </c>
      <c r="U10885">
        <v>0</v>
      </c>
      <c r="V10885">
        <v>0</v>
      </c>
      <c r="W10885">
        <v>1</v>
      </c>
      <c r="X10885">
        <v>0</v>
      </c>
      <c r="Y10885">
        <v>1</v>
      </c>
      <c r="Z10885">
        <v>0</v>
      </c>
      <c r="AA10885">
        <v>0</v>
      </c>
      <c r="AB10885">
        <v>1</v>
      </c>
      <c r="AC10885">
        <v>0</v>
      </c>
      <c r="AD10885">
        <v>1</v>
      </c>
      <c r="AE10885">
        <v>1</v>
      </c>
      <c r="AF10885">
        <v>1</v>
      </c>
      <c r="AG10885">
        <v>1</v>
      </c>
      <c r="AH10885">
        <v>1</v>
      </c>
      <c r="AI10885">
        <v>1</v>
      </c>
      <c r="AJ10885">
        <v>1</v>
      </c>
      <c r="AK10885">
        <v>1</v>
      </c>
      <c r="AL10885">
        <v>1</v>
      </c>
      <c r="AM10885">
        <v>1</v>
      </c>
    </row>
    <row r="10886" spans="1:39" x14ac:dyDescent="0.2">
      <c r="A10886" t="str">
        <f>"10882"</f>
        <v>10882</v>
      </c>
      <c r="B10886" t="str">
        <f t="shared" si="605"/>
        <v>1</v>
      </c>
      <c r="C10886" t="str">
        <f t="shared" si="604"/>
        <v>218</v>
      </c>
      <c r="D10886" t="str">
        <f>"5"</f>
        <v>5</v>
      </c>
      <c r="E10886" t="str">
        <f>"1-218-5"</f>
        <v>1-218-5</v>
      </c>
      <c r="F10886" t="s">
        <v>65</v>
      </c>
      <c r="G10886" t="s">
        <v>66</v>
      </c>
      <c r="H10886" t="s">
        <v>67</v>
      </c>
      <c r="S10886">
        <v>1</v>
      </c>
      <c r="T10886">
        <v>0</v>
      </c>
      <c r="U10886">
        <v>0</v>
      </c>
      <c r="V10886">
        <v>0</v>
      </c>
      <c r="W10886">
        <v>1</v>
      </c>
      <c r="X10886">
        <v>0</v>
      </c>
      <c r="Y10886">
        <v>1</v>
      </c>
      <c r="Z10886">
        <v>0</v>
      </c>
      <c r="AA10886">
        <v>1</v>
      </c>
      <c r="AB10886">
        <v>0</v>
      </c>
      <c r="AC10886">
        <v>0</v>
      </c>
      <c r="AD10886">
        <v>1</v>
      </c>
      <c r="AE10886">
        <v>1</v>
      </c>
      <c r="AF10886">
        <v>1</v>
      </c>
      <c r="AG10886">
        <v>1</v>
      </c>
      <c r="AH10886">
        <v>1</v>
      </c>
      <c r="AI10886">
        <v>1</v>
      </c>
      <c r="AJ10886">
        <v>1</v>
      </c>
      <c r="AK10886">
        <v>1</v>
      </c>
      <c r="AL10886">
        <v>1</v>
      </c>
      <c r="AM10886">
        <v>1</v>
      </c>
    </row>
    <row r="10887" spans="1:39" x14ac:dyDescent="0.2">
      <c r="A10887" t="str">
        <f>"10883"</f>
        <v>10883</v>
      </c>
      <c r="B10887" t="str">
        <f t="shared" si="605"/>
        <v>1</v>
      </c>
      <c r="C10887" t="str">
        <f t="shared" ref="C10887:C10904" si="606">"218"</f>
        <v>218</v>
      </c>
      <c r="D10887" t="str">
        <f>"42"</f>
        <v>42</v>
      </c>
      <c r="E10887" t="str">
        <f>"1-218-42"</f>
        <v>1-218-42</v>
      </c>
      <c r="F10887" t="s">
        <v>65</v>
      </c>
      <c r="G10887" t="s">
        <v>66</v>
      </c>
      <c r="H10887" t="s">
        <v>67</v>
      </c>
      <c r="S10887">
        <v>1</v>
      </c>
      <c r="T10887">
        <v>0</v>
      </c>
      <c r="U10887">
        <v>0</v>
      </c>
      <c r="V10887">
        <v>0</v>
      </c>
      <c r="W10887">
        <v>1</v>
      </c>
      <c r="X10887">
        <v>0</v>
      </c>
      <c r="Y10887">
        <v>1</v>
      </c>
      <c r="Z10887">
        <v>0</v>
      </c>
      <c r="AA10887">
        <v>1</v>
      </c>
      <c r="AB10887">
        <v>0</v>
      </c>
      <c r="AC10887">
        <v>0</v>
      </c>
      <c r="AD10887">
        <v>0</v>
      </c>
      <c r="AE10887">
        <v>0</v>
      </c>
      <c r="AF10887">
        <v>0</v>
      </c>
      <c r="AG10887">
        <v>1</v>
      </c>
      <c r="AH10887">
        <v>0</v>
      </c>
      <c r="AI10887">
        <v>0</v>
      </c>
      <c r="AJ10887">
        <v>0</v>
      </c>
      <c r="AK10887">
        <v>0</v>
      </c>
      <c r="AL10887">
        <v>1</v>
      </c>
      <c r="AM10887">
        <v>0</v>
      </c>
    </row>
    <row r="10888" spans="1:39" x14ac:dyDescent="0.2">
      <c r="A10888" t="str">
        <f>"10884"</f>
        <v>10884</v>
      </c>
      <c r="B10888" t="str">
        <f t="shared" si="605"/>
        <v>1</v>
      </c>
      <c r="C10888" t="str">
        <f t="shared" si="606"/>
        <v>218</v>
      </c>
      <c r="D10888" t="str">
        <f>"26"</f>
        <v>26</v>
      </c>
      <c r="E10888" t="str">
        <f>"1-218-26"</f>
        <v>1-218-26</v>
      </c>
      <c r="F10888" t="s">
        <v>65</v>
      </c>
      <c r="G10888" t="s">
        <v>66</v>
      </c>
      <c r="H10888" t="s">
        <v>67</v>
      </c>
      <c r="S10888">
        <v>0</v>
      </c>
      <c r="T10888">
        <v>1</v>
      </c>
      <c r="U10888">
        <v>0</v>
      </c>
      <c r="V10888">
        <v>0</v>
      </c>
      <c r="W10888">
        <v>0</v>
      </c>
      <c r="X10888">
        <v>1</v>
      </c>
      <c r="Y10888">
        <v>0</v>
      </c>
      <c r="Z10888">
        <v>1</v>
      </c>
      <c r="AA10888">
        <v>0</v>
      </c>
      <c r="AB10888">
        <v>0</v>
      </c>
      <c r="AC10888">
        <v>1</v>
      </c>
      <c r="AD10888">
        <v>1</v>
      </c>
      <c r="AE10888">
        <v>1</v>
      </c>
      <c r="AF10888">
        <v>1</v>
      </c>
      <c r="AG10888">
        <v>1</v>
      </c>
      <c r="AH10888">
        <v>1</v>
      </c>
      <c r="AI10888">
        <v>1</v>
      </c>
      <c r="AJ10888">
        <v>1</v>
      </c>
      <c r="AK10888">
        <v>1</v>
      </c>
      <c r="AL10888">
        <v>1</v>
      </c>
      <c r="AM10888">
        <v>1</v>
      </c>
    </row>
    <row r="10889" spans="1:39" x14ac:dyDescent="0.2">
      <c r="A10889" t="str">
        <f>"10885"</f>
        <v>10885</v>
      </c>
      <c r="B10889" t="str">
        <f t="shared" si="605"/>
        <v>1</v>
      </c>
      <c r="C10889" t="str">
        <f t="shared" si="606"/>
        <v>218</v>
      </c>
      <c r="D10889" t="str">
        <f>"7"</f>
        <v>7</v>
      </c>
      <c r="E10889" t="str">
        <f>"1-218-7"</f>
        <v>1-218-7</v>
      </c>
      <c r="F10889" t="s">
        <v>65</v>
      </c>
      <c r="G10889" t="s">
        <v>66</v>
      </c>
      <c r="H10889" t="s">
        <v>67</v>
      </c>
      <c r="S10889">
        <v>0</v>
      </c>
      <c r="T10889">
        <v>1</v>
      </c>
      <c r="U10889">
        <v>0</v>
      </c>
      <c r="V10889">
        <v>0</v>
      </c>
      <c r="W10889">
        <v>0</v>
      </c>
      <c r="X10889">
        <v>1</v>
      </c>
      <c r="Y10889">
        <v>0</v>
      </c>
      <c r="Z10889">
        <v>1</v>
      </c>
      <c r="AA10889">
        <v>0</v>
      </c>
      <c r="AB10889">
        <v>0</v>
      </c>
      <c r="AC10889">
        <v>1</v>
      </c>
      <c r="AD10889">
        <v>0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  <c r="AK10889">
        <v>0</v>
      </c>
      <c r="AL10889">
        <v>0</v>
      </c>
      <c r="AM10889">
        <v>0</v>
      </c>
    </row>
    <row r="10890" spans="1:39" x14ac:dyDescent="0.2">
      <c r="A10890" t="str">
        <f>"10886"</f>
        <v>10886</v>
      </c>
      <c r="B10890" t="str">
        <f t="shared" si="605"/>
        <v>1</v>
      </c>
      <c r="C10890" t="str">
        <f t="shared" si="606"/>
        <v>218</v>
      </c>
      <c r="D10890" t="str">
        <f>"43"</f>
        <v>43</v>
      </c>
      <c r="E10890" t="str">
        <f>"1-218-43"</f>
        <v>1-218-43</v>
      </c>
      <c r="F10890" t="s">
        <v>65</v>
      </c>
      <c r="G10890" t="s">
        <v>66</v>
      </c>
      <c r="H10890" t="s">
        <v>67</v>
      </c>
      <c r="S10890">
        <v>0</v>
      </c>
      <c r="T10890">
        <v>1</v>
      </c>
      <c r="U10890">
        <v>0</v>
      </c>
      <c r="V10890">
        <v>0</v>
      </c>
      <c r="W10890">
        <v>1</v>
      </c>
      <c r="X10890">
        <v>0</v>
      </c>
      <c r="Y10890">
        <v>1</v>
      </c>
      <c r="Z10890">
        <v>0</v>
      </c>
      <c r="AA10890">
        <v>1</v>
      </c>
      <c r="AB10890">
        <v>0</v>
      </c>
      <c r="AC10890">
        <v>0</v>
      </c>
      <c r="AD10890">
        <v>1</v>
      </c>
      <c r="AE10890">
        <v>1</v>
      </c>
      <c r="AF10890">
        <v>1</v>
      </c>
      <c r="AG10890">
        <v>1</v>
      </c>
      <c r="AH10890">
        <v>1</v>
      </c>
      <c r="AI10890">
        <v>1</v>
      </c>
      <c r="AJ10890">
        <v>1</v>
      </c>
      <c r="AK10890">
        <v>1</v>
      </c>
      <c r="AL10890">
        <v>1</v>
      </c>
      <c r="AM10890">
        <v>1</v>
      </c>
    </row>
    <row r="10891" spans="1:39" x14ac:dyDescent="0.2">
      <c r="A10891" t="str">
        <f>"10887"</f>
        <v>10887</v>
      </c>
      <c r="B10891" t="str">
        <f t="shared" si="605"/>
        <v>1</v>
      </c>
      <c r="C10891" t="str">
        <f t="shared" si="606"/>
        <v>218</v>
      </c>
      <c r="D10891" t="str">
        <f>"28"</f>
        <v>28</v>
      </c>
      <c r="E10891" t="str">
        <f>"1-218-28"</f>
        <v>1-218-28</v>
      </c>
      <c r="F10891" t="s">
        <v>65</v>
      </c>
      <c r="G10891" t="s">
        <v>66</v>
      </c>
      <c r="H10891" t="s">
        <v>67</v>
      </c>
      <c r="S10891">
        <v>0</v>
      </c>
      <c r="T10891">
        <v>1</v>
      </c>
      <c r="U10891">
        <v>0</v>
      </c>
      <c r="V10891">
        <v>0</v>
      </c>
      <c r="W10891">
        <v>0</v>
      </c>
      <c r="X10891">
        <v>1</v>
      </c>
      <c r="Y10891">
        <v>1</v>
      </c>
      <c r="Z10891">
        <v>0</v>
      </c>
      <c r="AA10891">
        <v>0</v>
      </c>
      <c r="AB10891">
        <v>1</v>
      </c>
      <c r="AC10891">
        <v>0</v>
      </c>
      <c r="AD10891">
        <v>1</v>
      </c>
      <c r="AE10891">
        <v>1</v>
      </c>
      <c r="AF10891">
        <v>1</v>
      </c>
      <c r="AG10891">
        <v>1</v>
      </c>
      <c r="AH10891">
        <v>1</v>
      </c>
      <c r="AI10891">
        <v>1</v>
      </c>
      <c r="AJ10891">
        <v>1</v>
      </c>
      <c r="AK10891">
        <v>1</v>
      </c>
      <c r="AL10891">
        <v>1</v>
      </c>
      <c r="AM10891">
        <v>1</v>
      </c>
    </row>
    <row r="10892" spans="1:39" x14ac:dyDescent="0.2">
      <c r="A10892" t="str">
        <f>"10888"</f>
        <v>10888</v>
      </c>
      <c r="B10892" t="str">
        <f t="shared" si="605"/>
        <v>1</v>
      </c>
      <c r="C10892" t="str">
        <f t="shared" si="606"/>
        <v>218</v>
      </c>
      <c r="D10892" t="str">
        <f>"4"</f>
        <v>4</v>
      </c>
      <c r="E10892" t="str">
        <f>"1-218-4"</f>
        <v>1-218-4</v>
      </c>
      <c r="F10892" t="s">
        <v>65</v>
      </c>
      <c r="G10892" t="s">
        <v>66</v>
      </c>
      <c r="H10892" t="s">
        <v>67</v>
      </c>
      <c r="S10892">
        <v>1</v>
      </c>
      <c r="T10892">
        <v>0</v>
      </c>
      <c r="U10892">
        <v>0</v>
      </c>
      <c r="V10892">
        <v>0</v>
      </c>
      <c r="W10892">
        <v>1</v>
      </c>
      <c r="X10892">
        <v>0</v>
      </c>
      <c r="Y10892">
        <v>1</v>
      </c>
      <c r="Z10892">
        <v>0</v>
      </c>
      <c r="AA10892">
        <v>0</v>
      </c>
      <c r="AB10892">
        <v>1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  <c r="AK10892">
        <v>0</v>
      </c>
      <c r="AL10892">
        <v>0</v>
      </c>
      <c r="AM10892">
        <v>0</v>
      </c>
    </row>
    <row r="10893" spans="1:39" x14ac:dyDescent="0.2">
      <c r="A10893" t="str">
        <f>"10889"</f>
        <v>10889</v>
      </c>
      <c r="B10893" t="str">
        <f t="shared" si="605"/>
        <v>1</v>
      </c>
      <c r="C10893" t="str">
        <f t="shared" si="606"/>
        <v>218</v>
      </c>
      <c r="D10893" t="str">
        <f>"29"</f>
        <v>29</v>
      </c>
      <c r="E10893" t="str">
        <f>"1-218-29"</f>
        <v>1-218-29</v>
      </c>
      <c r="F10893" t="s">
        <v>65</v>
      </c>
      <c r="G10893" t="s">
        <v>66</v>
      </c>
      <c r="H10893" t="s">
        <v>67</v>
      </c>
      <c r="S10893">
        <v>1</v>
      </c>
      <c r="T10893">
        <v>0</v>
      </c>
      <c r="U10893">
        <v>0</v>
      </c>
      <c r="V10893">
        <v>0</v>
      </c>
      <c r="W10893">
        <v>1</v>
      </c>
      <c r="X10893">
        <v>0</v>
      </c>
      <c r="Y10893">
        <v>0</v>
      </c>
      <c r="Z10893">
        <v>1</v>
      </c>
      <c r="AA10893">
        <v>0</v>
      </c>
      <c r="AB10893">
        <v>0</v>
      </c>
      <c r="AC10893">
        <v>1</v>
      </c>
      <c r="AD10893">
        <v>1</v>
      </c>
      <c r="AE10893">
        <v>1</v>
      </c>
      <c r="AF10893">
        <v>1</v>
      </c>
      <c r="AG10893">
        <v>1</v>
      </c>
      <c r="AH10893">
        <v>1</v>
      </c>
      <c r="AI10893">
        <v>1</v>
      </c>
      <c r="AJ10893">
        <v>1</v>
      </c>
      <c r="AK10893">
        <v>1</v>
      </c>
      <c r="AL10893">
        <v>1</v>
      </c>
      <c r="AM10893">
        <v>1</v>
      </c>
    </row>
    <row r="10894" spans="1:39" x14ac:dyDescent="0.2">
      <c r="A10894" t="str">
        <f>"10890"</f>
        <v>10890</v>
      </c>
      <c r="B10894" t="str">
        <f t="shared" si="605"/>
        <v>1</v>
      </c>
      <c r="C10894" t="str">
        <f t="shared" si="606"/>
        <v>218</v>
      </c>
      <c r="D10894" t="str">
        <f>"14"</f>
        <v>14</v>
      </c>
      <c r="E10894" t="str">
        <f>"1-218-14"</f>
        <v>1-218-14</v>
      </c>
      <c r="F10894" t="s">
        <v>65</v>
      </c>
      <c r="G10894" t="s">
        <v>66</v>
      </c>
      <c r="H10894" t="s">
        <v>67</v>
      </c>
      <c r="S10894">
        <v>0</v>
      </c>
      <c r="T10894">
        <v>1</v>
      </c>
      <c r="U10894">
        <v>0</v>
      </c>
      <c r="V10894">
        <v>0</v>
      </c>
      <c r="W10894">
        <v>0</v>
      </c>
      <c r="X10894">
        <v>1</v>
      </c>
      <c r="Y10894">
        <v>1</v>
      </c>
      <c r="Z10894">
        <v>0</v>
      </c>
      <c r="AA10894">
        <v>0</v>
      </c>
      <c r="AB10894">
        <v>0</v>
      </c>
      <c r="AC10894">
        <v>1</v>
      </c>
      <c r="AD10894">
        <v>0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</row>
    <row r="10895" spans="1:39" x14ac:dyDescent="0.2">
      <c r="A10895" t="str">
        <f>"10891"</f>
        <v>10891</v>
      </c>
      <c r="B10895" t="str">
        <f t="shared" si="605"/>
        <v>1</v>
      </c>
      <c r="C10895" t="str">
        <f t="shared" si="606"/>
        <v>218</v>
      </c>
      <c r="D10895" t="str">
        <f>"49"</f>
        <v>49</v>
      </c>
      <c r="E10895" t="str">
        <f>"1-218-49"</f>
        <v>1-218-49</v>
      </c>
      <c r="F10895" t="s">
        <v>65</v>
      </c>
      <c r="G10895" t="s">
        <v>66</v>
      </c>
      <c r="H10895" t="s">
        <v>67</v>
      </c>
      <c r="S10895">
        <v>1</v>
      </c>
      <c r="T10895">
        <v>0</v>
      </c>
      <c r="U10895">
        <v>0</v>
      </c>
      <c r="V10895">
        <v>0</v>
      </c>
      <c r="W10895">
        <v>0</v>
      </c>
      <c r="X10895">
        <v>1</v>
      </c>
      <c r="Y10895">
        <v>0</v>
      </c>
      <c r="Z10895">
        <v>1</v>
      </c>
      <c r="AA10895">
        <v>0</v>
      </c>
      <c r="AB10895">
        <v>1</v>
      </c>
      <c r="AC10895">
        <v>0</v>
      </c>
      <c r="AD10895">
        <v>1</v>
      </c>
      <c r="AE10895">
        <v>1</v>
      </c>
      <c r="AF10895">
        <v>1</v>
      </c>
      <c r="AG10895">
        <v>1</v>
      </c>
      <c r="AH10895">
        <v>1</v>
      </c>
      <c r="AI10895">
        <v>1</v>
      </c>
      <c r="AJ10895">
        <v>1</v>
      </c>
      <c r="AK10895">
        <v>1</v>
      </c>
      <c r="AL10895">
        <v>1</v>
      </c>
      <c r="AM10895">
        <v>1</v>
      </c>
    </row>
    <row r="10896" spans="1:39" x14ac:dyDescent="0.2">
      <c r="A10896" t="str">
        <f>"10892"</f>
        <v>10892</v>
      </c>
      <c r="B10896" t="str">
        <f t="shared" si="605"/>
        <v>1</v>
      </c>
      <c r="C10896" t="str">
        <f t="shared" si="606"/>
        <v>218</v>
      </c>
      <c r="D10896" t="str">
        <f>"32"</f>
        <v>32</v>
      </c>
      <c r="E10896" t="str">
        <f>"1-218-32"</f>
        <v>1-218-32</v>
      </c>
      <c r="F10896" t="s">
        <v>65</v>
      </c>
      <c r="G10896" t="s">
        <v>66</v>
      </c>
      <c r="H10896" t="s">
        <v>67</v>
      </c>
      <c r="S10896">
        <v>0</v>
      </c>
      <c r="T10896">
        <v>1</v>
      </c>
      <c r="U10896">
        <v>0</v>
      </c>
      <c r="V10896">
        <v>0</v>
      </c>
      <c r="W10896">
        <v>0</v>
      </c>
      <c r="X10896">
        <v>1</v>
      </c>
      <c r="Y10896">
        <v>0</v>
      </c>
      <c r="Z10896">
        <v>1</v>
      </c>
      <c r="AA10896">
        <v>0</v>
      </c>
      <c r="AB10896">
        <v>0</v>
      </c>
      <c r="AC10896">
        <v>1</v>
      </c>
      <c r="AD10896">
        <v>1</v>
      </c>
      <c r="AE10896">
        <v>1</v>
      </c>
      <c r="AF10896">
        <v>1</v>
      </c>
      <c r="AG10896">
        <v>1</v>
      </c>
      <c r="AH10896">
        <v>1</v>
      </c>
      <c r="AI10896">
        <v>1</v>
      </c>
      <c r="AJ10896">
        <v>1</v>
      </c>
      <c r="AK10896">
        <v>1</v>
      </c>
      <c r="AL10896">
        <v>1</v>
      </c>
      <c r="AM10896">
        <v>1</v>
      </c>
    </row>
    <row r="10897" spans="1:39" x14ac:dyDescent="0.2">
      <c r="A10897" t="str">
        <f>"10893"</f>
        <v>10893</v>
      </c>
      <c r="B10897" t="str">
        <f t="shared" si="605"/>
        <v>1</v>
      </c>
      <c r="C10897" t="str">
        <f t="shared" si="606"/>
        <v>218</v>
      </c>
      <c r="D10897" t="str">
        <f>"12"</f>
        <v>12</v>
      </c>
      <c r="E10897" t="str">
        <f>"1-218-12"</f>
        <v>1-218-12</v>
      </c>
      <c r="F10897" t="s">
        <v>65</v>
      </c>
      <c r="G10897" t="s">
        <v>66</v>
      </c>
      <c r="H10897" t="s">
        <v>67</v>
      </c>
      <c r="S10897">
        <v>0</v>
      </c>
      <c r="T10897">
        <v>1</v>
      </c>
      <c r="U10897">
        <v>0</v>
      </c>
      <c r="V10897">
        <v>0</v>
      </c>
      <c r="W10897">
        <v>0</v>
      </c>
      <c r="X10897">
        <v>1</v>
      </c>
      <c r="Y10897">
        <v>1</v>
      </c>
      <c r="Z10897">
        <v>0</v>
      </c>
      <c r="AA10897">
        <v>0</v>
      </c>
      <c r="AB10897">
        <v>0</v>
      </c>
      <c r="AC10897">
        <v>1</v>
      </c>
      <c r="AD10897">
        <v>1</v>
      </c>
      <c r="AE10897">
        <v>1</v>
      </c>
      <c r="AF10897">
        <v>1</v>
      </c>
      <c r="AG10897">
        <v>1</v>
      </c>
      <c r="AH10897">
        <v>1</v>
      </c>
      <c r="AI10897">
        <v>1</v>
      </c>
      <c r="AJ10897">
        <v>1</v>
      </c>
      <c r="AK10897">
        <v>1</v>
      </c>
      <c r="AL10897">
        <v>1</v>
      </c>
      <c r="AM10897">
        <v>1</v>
      </c>
    </row>
    <row r="10898" spans="1:39" x14ac:dyDescent="0.2">
      <c r="A10898" t="str">
        <f>"10894"</f>
        <v>10894</v>
      </c>
      <c r="B10898" t="str">
        <f t="shared" si="605"/>
        <v>1</v>
      </c>
      <c r="C10898" t="str">
        <f t="shared" si="606"/>
        <v>218</v>
      </c>
      <c r="D10898" t="str">
        <f>"50"</f>
        <v>50</v>
      </c>
      <c r="E10898" t="str">
        <f>"1-218-50"</f>
        <v>1-218-50</v>
      </c>
      <c r="F10898" t="s">
        <v>65</v>
      </c>
      <c r="G10898" t="s">
        <v>66</v>
      </c>
      <c r="H10898" t="s">
        <v>67</v>
      </c>
      <c r="S10898">
        <v>1</v>
      </c>
      <c r="T10898">
        <v>0</v>
      </c>
      <c r="U10898">
        <v>0</v>
      </c>
      <c r="V10898">
        <v>0</v>
      </c>
      <c r="W10898">
        <v>1</v>
      </c>
      <c r="X10898">
        <v>0</v>
      </c>
      <c r="Y10898">
        <v>1</v>
      </c>
      <c r="Z10898">
        <v>0</v>
      </c>
      <c r="AA10898">
        <v>1</v>
      </c>
      <c r="AB10898">
        <v>0</v>
      </c>
      <c r="AC10898">
        <v>0</v>
      </c>
      <c r="AD10898">
        <v>1</v>
      </c>
      <c r="AE10898">
        <v>1</v>
      </c>
      <c r="AF10898">
        <v>1</v>
      </c>
      <c r="AG10898">
        <v>1</v>
      </c>
      <c r="AH10898">
        <v>1</v>
      </c>
      <c r="AI10898">
        <v>1</v>
      </c>
      <c r="AJ10898">
        <v>1</v>
      </c>
      <c r="AK10898">
        <v>1</v>
      </c>
      <c r="AL10898">
        <v>1</v>
      </c>
      <c r="AM10898">
        <v>1</v>
      </c>
    </row>
    <row r="10899" spans="1:39" x14ac:dyDescent="0.2">
      <c r="A10899" t="str">
        <f>"10895"</f>
        <v>10895</v>
      </c>
      <c r="B10899" t="str">
        <f t="shared" si="605"/>
        <v>1</v>
      </c>
      <c r="C10899" t="str">
        <f t="shared" si="606"/>
        <v>218</v>
      </c>
      <c r="D10899" t="str">
        <f>"33"</f>
        <v>33</v>
      </c>
      <c r="E10899" t="str">
        <f>"1-218-33"</f>
        <v>1-218-33</v>
      </c>
      <c r="F10899" t="s">
        <v>65</v>
      </c>
      <c r="G10899" t="s">
        <v>66</v>
      </c>
      <c r="H10899" t="s">
        <v>67</v>
      </c>
      <c r="S10899">
        <v>0</v>
      </c>
      <c r="T10899">
        <v>1</v>
      </c>
      <c r="U10899">
        <v>0</v>
      </c>
      <c r="V10899">
        <v>0</v>
      </c>
      <c r="W10899">
        <v>0</v>
      </c>
      <c r="X10899">
        <v>1</v>
      </c>
      <c r="Y10899">
        <v>0</v>
      </c>
      <c r="Z10899">
        <v>0</v>
      </c>
      <c r="AA10899">
        <v>0</v>
      </c>
      <c r="AB10899">
        <v>0</v>
      </c>
      <c r="AC10899">
        <v>1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</row>
    <row r="10900" spans="1:39" x14ac:dyDescent="0.2">
      <c r="A10900" t="str">
        <f>"10896"</f>
        <v>10896</v>
      </c>
      <c r="B10900" t="str">
        <f t="shared" si="605"/>
        <v>1</v>
      </c>
      <c r="C10900" t="str">
        <f t="shared" si="606"/>
        <v>218</v>
      </c>
      <c r="D10900" t="str">
        <f>"8"</f>
        <v>8</v>
      </c>
      <c r="E10900" t="str">
        <f>"1-218-8"</f>
        <v>1-218-8</v>
      </c>
      <c r="F10900" t="s">
        <v>65</v>
      </c>
      <c r="G10900" t="s">
        <v>66</v>
      </c>
      <c r="H10900" t="s">
        <v>67</v>
      </c>
      <c r="S10900">
        <v>1</v>
      </c>
      <c r="T10900">
        <v>0</v>
      </c>
      <c r="U10900">
        <v>0</v>
      </c>
      <c r="V10900">
        <v>0</v>
      </c>
      <c r="W10900">
        <v>1</v>
      </c>
      <c r="X10900">
        <v>0</v>
      </c>
      <c r="Y10900">
        <v>0</v>
      </c>
      <c r="Z10900">
        <v>1</v>
      </c>
      <c r="AA10900">
        <v>0</v>
      </c>
      <c r="AB10900">
        <v>1</v>
      </c>
      <c r="AC10900">
        <v>0</v>
      </c>
      <c r="AD10900">
        <v>1</v>
      </c>
      <c r="AE10900">
        <v>1</v>
      </c>
      <c r="AF10900">
        <v>1</v>
      </c>
      <c r="AG10900">
        <v>1</v>
      </c>
      <c r="AH10900">
        <v>1</v>
      </c>
      <c r="AI10900">
        <v>1</v>
      </c>
      <c r="AJ10900">
        <v>1</v>
      </c>
      <c r="AK10900">
        <v>1</v>
      </c>
      <c r="AL10900">
        <v>1</v>
      </c>
      <c r="AM10900">
        <v>1</v>
      </c>
    </row>
    <row r="10901" spans="1:39" x14ac:dyDescent="0.2">
      <c r="A10901" t="str">
        <f>"10897"</f>
        <v>10897</v>
      </c>
      <c r="B10901" t="str">
        <f t="shared" si="605"/>
        <v>1</v>
      </c>
      <c r="C10901" t="str">
        <f t="shared" si="606"/>
        <v>218</v>
      </c>
      <c r="D10901" t="str">
        <f>"47"</f>
        <v>47</v>
      </c>
      <c r="E10901" t="str">
        <f>"1-218-47"</f>
        <v>1-218-47</v>
      </c>
      <c r="F10901" t="s">
        <v>65</v>
      </c>
      <c r="G10901" t="s">
        <v>66</v>
      </c>
      <c r="H10901" t="s">
        <v>68</v>
      </c>
      <c r="I10901">
        <v>1</v>
      </c>
      <c r="J10901">
        <v>1</v>
      </c>
      <c r="K10901">
        <v>0</v>
      </c>
      <c r="L10901">
        <v>0</v>
      </c>
      <c r="M10901">
        <v>1</v>
      </c>
      <c r="N10901">
        <v>1</v>
      </c>
      <c r="O10901">
        <v>1</v>
      </c>
      <c r="P10901">
        <v>1</v>
      </c>
      <c r="Q10901">
        <v>1</v>
      </c>
      <c r="R10901">
        <v>1</v>
      </c>
    </row>
    <row r="10902" spans="1:39" x14ac:dyDescent="0.2">
      <c r="A10902" t="str">
        <f>"10898"</f>
        <v>10898</v>
      </c>
      <c r="B10902" t="str">
        <f t="shared" si="605"/>
        <v>1</v>
      </c>
      <c r="C10902" t="str">
        <f t="shared" si="606"/>
        <v>218</v>
      </c>
      <c r="D10902" t="str">
        <f>"34"</f>
        <v>34</v>
      </c>
      <c r="E10902" t="str">
        <f>"1-218-34"</f>
        <v>1-218-34</v>
      </c>
      <c r="F10902" t="s">
        <v>65</v>
      </c>
      <c r="G10902" t="s">
        <v>66</v>
      </c>
      <c r="H10902" t="s">
        <v>68</v>
      </c>
      <c r="I10902">
        <v>1</v>
      </c>
      <c r="J10902">
        <v>0</v>
      </c>
      <c r="K10902">
        <v>0</v>
      </c>
      <c r="L10902">
        <v>1</v>
      </c>
      <c r="M10902">
        <v>1</v>
      </c>
      <c r="N10902">
        <v>1</v>
      </c>
      <c r="O10902">
        <v>1</v>
      </c>
      <c r="P10902">
        <v>1</v>
      </c>
      <c r="Q10902">
        <v>1</v>
      </c>
      <c r="R10902">
        <v>1</v>
      </c>
    </row>
    <row r="10903" spans="1:39" x14ac:dyDescent="0.2">
      <c r="A10903" t="str">
        <f>"10899"</f>
        <v>10899</v>
      </c>
      <c r="B10903" t="str">
        <f t="shared" si="605"/>
        <v>1</v>
      </c>
      <c r="C10903" t="str">
        <f t="shared" si="606"/>
        <v>218</v>
      </c>
      <c r="D10903" t="str">
        <f>"6"</f>
        <v>6</v>
      </c>
      <c r="E10903" t="str">
        <f>"1-218-6"</f>
        <v>1-218-6</v>
      </c>
      <c r="F10903" t="s">
        <v>65</v>
      </c>
      <c r="G10903" t="s">
        <v>66</v>
      </c>
      <c r="H10903" t="s">
        <v>67</v>
      </c>
      <c r="S10903">
        <v>1</v>
      </c>
      <c r="T10903">
        <v>0</v>
      </c>
      <c r="U10903">
        <v>0</v>
      </c>
      <c r="V10903">
        <v>0</v>
      </c>
      <c r="W10903">
        <v>1</v>
      </c>
      <c r="X10903">
        <v>0</v>
      </c>
      <c r="Y10903">
        <v>1</v>
      </c>
      <c r="Z10903">
        <v>0</v>
      </c>
      <c r="AA10903">
        <v>0</v>
      </c>
      <c r="AB10903">
        <v>1</v>
      </c>
      <c r="AC10903">
        <v>0</v>
      </c>
      <c r="AD10903">
        <v>1</v>
      </c>
      <c r="AE10903">
        <v>1</v>
      </c>
      <c r="AF10903">
        <v>1</v>
      </c>
      <c r="AG10903">
        <v>1</v>
      </c>
      <c r="AH10903">
        <v>1</v>
      </c>
      <c r="AI10903">
        <v>1</v>
      </c>
      <c r="AJ10903">
        <v>1</v>
      </c>
      <c r="AK10903">
        <v>1</v>
      </c>
      <c r="AL10903">
        <v>1</v>
      </c>
      <c r="AM10903">
        <v>1</v>
      </c>
    </row>
    <row r="10904" spans="1:39" x14ac:dyDescent="0.2">
      <c r="A10904" t="str">
        <f>"10900"</f>
        <v>10900</v>
      </c>
      <c r="B10904" t="str">
        <f t="shared" si="605"/>
        <v>1</v>
      </c>
      <c r="C10904" t="str">
        <f t="shared" si="606"/>
        <v>218</v>
      </c>
      <c r="D10904" t="str">
        <f>"48"</f>
        <v>48</v>
      </c>
      <c r="E10904" t="str">
        <f>"1-218-48"</f>
        <v>1-218-48</v>
      </c>
      <c r="F10904" t="s">
        <v>65</v>
      </c>
      <c r="G10904" t="s">
        <v>66</v>
      </c>
      <c r="H10904" t="s">
        <v>67</v>
      </c>
      <c r="S10904">
        <v>0</v>
      </c>
      <c r="T10904">
        <v>1</v>
      </c>
      <c r="U10904">
        <v>0</v>
      </c>
      <c r="V10904">
        <v>0</v>
      </c>
      <c r="W10904">
        <v>0</v>
      </c>
      <c r="X10904">
        <v>1</v>
      </c>
      <c r="Y10904">
        <v>0</v>
      </c>
      <c r="Z10904">
        <v>1</v>
      </c>
      <c r="AA10904">
        <v>0</v>
      </c>
      <c r="AB10904">
        <v>0</v>
      </c>
      <c r="AC10904">
        <v>1</v>
      </c>
      <c r="AD10904">
        <v>0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0</v>
      </c>
      <c r="AM10904">
        <v>0</v>
      </c>
    </row>
    <row r="10905" spans="1:39" x14ac:dyDescent="0.2">
      <c r="A10905" t="str">
        <f>"10901"</f>
        <v>10901</v>
      </c>
      <c r="B10905" t="str">
        <f t="shared" si="605"/>
        <v>1</v>
      </c>
      <c r="C10905" t="str">
        <f t="shared" ref="C10905:C10936" si="607">"219"</f>
        <v>219</v>
      </c>
      <c r="D10905" t="str">
        <f>"36"</f>
        <v>36</v>
      </c>
      <c r="E10905" t="str">
        <f>"1-219-36"</f>
        <v>1-219-36</v>
      </c>
      <c r="F10905" t="s">
        <v>65</v>
      </c>
      <c r="G10905" t="s">
        <v>66</v>
      </c>
      <c r="H10905" t="s">
        <v>67</v>
      </c>
      <c r="S10905">
        <v>1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1</v>
      </c>
      <c r="Z10905">
        <v>0</v>
      </c>
      <c r="AA10905">
        <v>1</v>
      </c>
      <c r="AB10905">
        <v>0</v>
      </c>
      <c r="AC10905">
        <v>0</v>
      </c>
      <c r="AD10905">
        <v>0</v>
      </c>
      <c r="AE10905">
        <v>0</v>
      </c>
      <c r="AF10905">
        <v>0</v>
      </c>
      <c r="AG10905">
        <v>0</v>
      </c>
      <c r="AH10905">
        <v>0</v>
      </c>
      <c r="AI10905">
        <v>1</v>
      </c>
      <c r="AJ10905">
        <v>1</v>
      </c>
      <c r="AK10905">
        <v>1</v>
      </c>
      <c r="AL10905">
        <v>1</v>
      </c>
      <c r="AM10905">
        <v>1</v>
      </c>
    </row>
    <row r="10906" spans="1:39" x14ac:dyDescent="0.2">
      <c r="A10906" t="str">
        <f>"10902"</f>
        <v>10902</v>
      </c>
      <c r="B10906" t="str">
        <f t="shared" si="605"/>
        <v>1</v>
      </c>
      <c r="C10906" t="str">
        <f t="shared" si="607"/>
        <v>219</v>
      </c>
      <c r="D10906" t="str">
        <f>"35"</f>
        <v>35</v>
      </c>
      <c r="E10906" t="str">
        <f>"1-219-35"</f>
        <v>1-219-35</v>
      </c>
      <c r="F10906" t="s">
        <v>65</v>
      </c>
      <c r="G10906" t="s">
        <v>66</v>
      </c>
      <c r="H10906" t="s">
        <v>67</v>
      </c>
      <c r="S10906">
        <v>0</v>
      </c>
      <c r="T10906">
        <v>1</v>
      </c>
      <c r="U10906">
        <v>0</v>
      </c>
      <c r="V10906">
        <v>0</v>
      </c>
      <c r="W10906">
        <v>0</v>
      </c>
      <c r="X10906">
        <v>1</v>
      </c>
      <c r="Y10906">
        <v>0</v>
      </c>
      <c r="Z10906">
        <v>0</v>
      </c>
      <c r="AA10906">
        <v>0</v>
      </c>
      <c r="AB10906">
        <v>0</v>
      </c>
      <c r="AC10906">
        <v>1</v>
      </c>
      <c r="AD10906">
        <v>1</v>
      </c>
      <c r="AE10906">
        <v>0</v>
      </c>
      <c r="AF10906">
        <v>0</v>
      </c>
      <c r="AG10906">
        <v>0</v>
      </c>
      <c r="AH10906">
        <v>0</v>
      </c>
      <c r="AI10906">
        <v>0</v>
      </c>
      <c r="AJ10906">
        <v>0</v>
      </c>
      <c r="AK10906">
        <v>0</v>
      </c>
      <c r="AL10906">
        <v>0</v>
      </c>
      <c r="AM10906">
        <v>0</v>
      </c>
    </row>
    <row r="10907" spans="1:39" x14ac:dyDescent="0.2">
      <c r="A10907" t="str">
        <f>"10903"</f>
        <v>10903</v>
      </c>
      <c r="B10907" t="str">
        <f t="shared" si="605"/>
        <v>1</v>
      </c>
      <c r="C10907" t="str">
        <f t="shared" si="607"/>
        <v>219</v>
      </c>
      <c r="D10907" t="str">
        <f>"20"</f>
        <v>20</v>
      </c>
      <c r="E10907" t="str">
        <f>"1-219-20"</f>
        <v>1-219-20</v>
      </c>
      <c r="F10907" t="s">
        <v>65</v>
      </c>
      <c r="G10907" t="s">
        <v>66</v>
      </c>
      <c r="H10907" t="s">
        <v>67</v>
      </c>
      <c r="S10907">
        <v>1</v>
      </c>
      <c r="T10907">
        <v>0</v>
      </c>
      <c r="U10907">
        <v>0</v>
      </c>
      <c r="V10907">
        <v>0</v>
      </c>
      <c r="W10907">
        <v>1</v>
      </c>
      <c r="X10907">
        <v>0</v>
      </c>
      <c r="Y10907">
        <v>0</v>
      </c>
      <c r="Z10907">
        <v>1</v>
      </c>
      <c r="AA10907">
        <v>1</v>
      </c>
      <c r="AB10907">
        <v>0</v>
      </c>
      <c r="AC10907">
        <v>0</v>
      </c>
      <c r="AD10907">
        <v>1</v>
      </c>
      <c r="AE10907">
        <v>1</v>
      </c>
      <c r="AF10907">
        <v>1</v>
      </c>
      <c r="AG10907">
        <v>1</v>
      </c>
      <c r="AH10907">
        <v>1</v>
      </c>
      <c r="AI10907">
        <v>1</v>
      </c>
      <c r="AJ10907">
        <v>1</v>
      </c>
      <c r="AK10907">
        <v>1</v>
      </c>
      <c r="AL10907">
        <v>1</v>
      </c>
      <c r="AM10907">
        <v>1</v>
      </c>
    </row>
    <row r="10908" spans="1:39" x14ac:dyDescent="0.2">
      <c r="A10908" t="str">
        <f>"10904"</f>
        <v>10904</v>
      </c>
      <c r="B10908" t="str">
        <f t="shared" si="605"/>
        <v>1</v>
      </c>
      <c r="C10908" t="str">
        <f t="shared" si="607"/>
        <v>219</v>
      </c>
      <c r="D10908" t="str">
        <f>"15"</f>
        <v>15</v>
      </c>
      <c r="E10908" t="str">
        <f>"1-219-15"</f>
        <v>1-219-15</v>
      </c>
      <c r="F10908" t="s">
        <v>65</v>
      </c>
      <c r="G10908" t="s">
        <v>66</v>
      </c>
      <c r="H10908" t="s">
        <v>67</v>
      </c>
      <c r="S10908">
        <v>0</v>
      </c>
      <c r="T10908">
        <v>1</v>
      </c>
      <c r="U10908">
        <v>0</v>
      </c>
      <c r="V10908">
        <v>0</v>
      </c>
      <c r="W10908">
        <v>0</v>
      </c>
      <c r="X10908">
        <v>1</v>
      </c>
      <c r="Y10908">
        <v>1</v>
      </c>
      <c r="Z10908">
        <v>0</v>
      </c>
      <c r="AA10908">
        <v>0</v>
      </c>
      <c r="AB10908">
        <v>1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0</v>
      </c>
      <c r="AJ10908">
        <v>0</v>
      </c>
      <c r="AK10908">
        <v>0</v>
      </c>
      <c r="AL10908">
        <v>0</v>
      </c>
      <c r="AM10908">
        <v>0</v>
      </c>
    </row>
    <row r="10909" spans="1:39" x14ac:dyDescent="0.2">
      <c r="A10909" t="str">
        <f>"10905"</f>
        <v>10905</v>
      </c>
      <c r="B10909" t="str">
        <f t="shared" si="605"/>
        <v>1</v>
      </c>
      <c r="C10909" t="str">
        <f t="shared" si="607"/>
        <v>219</v>
      </c>
      <c r="D10909" t="str">
        <f>"4"</f>
        <v>4</v>
      </c>
      <c r="E10909" t="str">
        <f>"1-219-4"</f>
        <v>1-219-4</v>
      </c>
      <c r="F10909" t="s">
        <v>65</v>
      </c>
      <c r="G10909" t="s">
        <v>66</v>
      </c>
      <c r="H10909" t="s">
        <v>68</v>
      </c>
      <c r="I10909">
        <v>1</v>
      </c>
      <c r="J10909">
        <v>0</v>
      </c>
      <c r="K10909">
        <v>1</v>
      </c>
      <c r="L10909">
        <v>0</v>
      </c>
      <c r="M10909">
        <v>1</v>
      </c>
      <c r="N10909">
        <v>1</v>
      </c>
      <c r="O10909">
        <v>1</v>
      </c>
      <c r="P10909">
        <v>1</v>
      </c>
      <c r="Q10909">
        <v>1</v>
      </c>
      <c r="R10909">
        <v>1</v>
      </c>
    </row>
    <row r="10910" spans="1:39" x14ac:dyDescent="0.2">
      <c r="A10910" t="str">
        <f>"10906"</f>
        <v>10906</v>
      </c>
      <c r="B10910" t="str">
        <f t="shared" si="605"/>
        <v>1</v>
      </c>
      <c r="C10910" t="str">
        <f t="shared" si="607"/>
        <v>219</v>
      </c>
      <c r="D10910" t="str">
        <f>"33"</f>
        <v>33</v>
      </c>
      <c r="E10910" t="str">
        <f>"1-219-33"</f>
        <v>1-219-33</v>
      </c>
      <c r="F10910" t="s">
        <v>65</v>
      </c>
      <c r="G10910" t="s">
        <v>66</v>
      </c>
      <c r="H10910" t="s">
        <v>67</v>
      </c>
      <c r="S10910">
        <v>0</v>
      </c>
      <c r="T10910">
        <v>1</v>
      </c>
      <c r="U10910">
        <v>0</v>
      </c>
      <c r="V10910">
        <v>0</v>
      </c>
      <c r="W10910">
        <v>0</v>
      </c>
      <c r="X10910">
        <v>1</v>
      </c>
      <c r="Y10910">
        <v>0</v>
      </c>
      <c r="Z10910">
        <v>1</v>
      </c>
      <c r="AA10910">
        <v>0</v>
      </c>
      <c r="AB10910">
        <v>1</v>
      </c>
      <c r="AC10910">
        <v>0</v>
      </c>
      <c r="AD10910">
        <v>1</v>
      </c>
      <c r="AE10910">
        <v>1</v>
      </c>
      <c r="AF10910">
        <v>1</v>
      </c>
      <c r="AG10910">
        <v>1</v>
      </c>
      <c r="AH10910">
        <v>1</v>
      </c>
      <c r="AI10910">
        <v>1</v>
      </c>
      <c r="AJ10910">
        <v>1</v>
      </c>
      <c r="AK10910">
        <v>1</v>
      </c>
      <c r="AL10910">
        <v>1</v>
      </c>
      <c r="AM10910">
        <v>1</v>
      </c>
    </row>
    <row r="10911" spans="1:39" x14ac:dyDescent="0.2">
      <c r="A10911" t="str">
        <f>"10907"</f>
        <v>10907</v>
      </c>
      <c r="B10911" t="str">
        <f t="shared" si="605"/>
        <v>1</v>
      </c>
      <c r="C10911" t="str">
        <f t="shared" si="607"/>
        <v>219</v>
      </c>
      <c r="D10911" t="str">
        <f>"32"</f>
        <v>32</v>
      </c>
      <c r="E10911" t="str">
        <f>"1-219-32"</f>
        <v>1-219-32</v>
      </c>
      <c r="F10911" t="s">
        <v>65</v>
      </c>
      <c r="G10911" t="s">
        <v>66</v>
      </c>
      <c r="H10911" t="s">
        <v>67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1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0</v>
      </c>
      <c r="AG10911">
        <v>0</v>
      </c>
      <c r="AH10911">
        <v>0</v>
      </c>
      <c r="AI10911">
        <v>0</v>
      </c>
      <c r="AJ10911">
        <v>0</v>
      </c>
      <c r="AK10911">
        <v>0</v>
      </c>
      <c r="AL10911">
        <v>0</v>
      </c>
      <c r="AM10911">
        <v>0</v>
      </c>
    </row>
    <row r="10912" spans="1:39" x14ac:dyDescent="0.2">
      <c r="A10912" t="str">
        <f>"10908"</f>
        <v>10908</v>
      </c>
      <c r="B10912" t="str">
        <f t="shared" si="605"/>
        <v>1</v>
      </c>
      <c r="C10912" t="str">
        <f t="shared" si="607"/>
        <v>219</v>
      </c>
      <c r="D10912" t="str">
        <f>"19"</f>
        <v>19</v>
      </c>
      <c r="E10912" t="str">
        <f>"1-219-19"</f>
        <v>1-219-19</v>
      </c>
      <c r="F10912" t="s">
        <v>65</v>
      </c>
      <c r="G10912" t="s">
        <v>66</v>
      </c>
      <c r="H10912" t="s">
        <v>67</v>
      </c>
      <c r="S10912">
        <v>0</v>
      </c>
      <c r="T10912">
        <v>1</v>
      </c>
      <c r="U10912">
        <v>0</v>
      </c>
      <c r="V10912">
        <v>0</v>
      </c>
      <c r="W10912">
        <v>1</v>
      </c>
      <c r="X10912">
        <v>0</v>
      </c>
      <c r="Y10912">
        <v>0</v>
      </c>
      <c r="Z10912">
        <v>1</v>
      </c>
      <c r="AA10912">
        <v>0</v>
      </c>
      <c r="AB10912">
        <v>0</v>
      </c>
      <c r="AC10912">
        <v>1</v>
      </c>
      <c r="AD10912">
        <v>1</v>
      </c>
      <c r="AE10912">
        <v>1</v>
      </c>
      <c r="AF10912">
        <v>1</v>
      </c>
      <c r="AG10912">
        <v>1</v>
      </c>
      <c r="AH10912">
        <v>1</v>
      </c>
      <c r="AI10912">
        <v>1</v>
      </c>
      <c r="AJ10912">
        <v>1</v>
      </c>
      <c r="AK10912">
        <v>1</v>
      </c>
      <c r="AL10912">
        <v>1</v>
      </c>
      <c r="AM10912">
        <v>1</v>
      </c>
    </row>
    <row r="10913" spans="1:39" x14ac:dyDescent="0.2">
      <c r="A10913" t="str">
        <f>"10909"</f>
        <v>10909</v>
      </c>
      <c r="B10913" t="str">
        <f t="shared" si="605"/>
        <v>1</v>
      </c>
      <c r="C10913" t="str">
        <f t="shared" si="607"/>
        <v>219</v>
      </c>
      <c r="D10913" t="str">
        <f>"16"</f>
        <v>16</v>
      </c>
      <c r="E10913" t="str">
        <f>"1-219-16"</f>
        <v>1-219-16</v>
      </c>
      <c r="F10913" t="s">
        <v>65</v>
      </c>
      <c r="G10913" t="s">
        <v>66</v>
      </c>
      <c r="H10913" t="s">
        <v>67</v>
      </c>
      <c r="S10913">
        <v>1</v>
      </c>
      <c r="T10913">
        <v>0</v>
      </c>
      <c r="U10913">
        <v>0</v>
      </c>
      <c r="V10913">
        <v>0</v>
      </c>
      <c r="W10913">
        <v>1</v>
      </c>
      <c r="X10913">
        <v>0</v>
      </c>
      <c r="Y10913">
        <v>0</v>
      </c>
      <c r="Z10913">
        <v>1</v>
      </c>
      <c r="AA10913">
        <v>1</v>
      </c>
      <c r="AB10913">
        <v>0</v>
      </c>
      <c r="AC10913">
        <v>0</v>
      </c>
      <c r="AD10913">
        <v>1</v>
      </c>
      <c r="AE10913">
        <v>1</v>
      </c>
      <c r="AF10913">
        <v>1</v>
      </c>
      <c r="AG10913">
        <v>1</v>
      </c>
      <c r="AH10913">
        <v>1</v>
      </c>
      <c r="AI10913">
        <v>1</v>
      </c>
      <c r="AJ10913">
        <v>1</v>
      </c>
      <c r="AK10913">
        <v>0</v>
      </c>
      <c r="AL10913">
        <v>1</v>
      </c>
      <c r="AM10913">
        <v>1</v>
      </c>
    </row>
    <row r="10914" spans="1:39" x14ac:dyDescent="0.2">
      <c r="A10914" t="str">
        <f>"10910"</f>
        <v>10910</v>
      </c>
      <c r="B10914" t="str">
        <f t="shared" si="605"/>
        <v>1</v>
      </c>
      <c r="C10914" t="str">
        <f t="shared" si="607"/>
        <v>219</v>
      </c>
      <c r="D10914" t="str">
        <f>"1"</f>
        <v>1</v>
      </c>
      <c r="E10914" t="str">
        <f>"1-219-1"</f>
        <v>1-219-1</v>
      </c>
      <c r="F10914" t="s">
        <v>65</v>
      </c>
      <c r="G10914" t="s">
        <v>66</v>
      </c>
      <c r="H10914" t="s">
        <v>67</v>
      </c>
      <c r="S10914">
        <v>0</v>
      </c>
      <c r="T10914">
        <v>1</v>
      </c>
      <c r="U10914">
        <v>0</v>
      </c>
      <c r="V10914">
        <v>0</v>
      </c>
      <c r="W10914">
        <v>1</v>
      </c>
      <c r="X10914">
        <v>0</v>
      </c>
      <c r="Y10914">
        <v>1</v>
      </c>
      <c r="Z10914">
        <v>0</v>
      </c>
      <c r="AA10914">
        <v>0</v>
      </c>
      <c r="AB10914">
        <v>0</v>
      </c>
      <c r="AC10914">
        <v>1</v>
      </c>
      <c r="AD10914">
        <v>0</v>
      </c>
      <c r="AE10914">
        <v>0</v>
      </c>
      <c r="AF10914">
        <v>0</v>
      </c>
      <c r="AG10914">
        <v>0</v>
      </c>
      <c r="AH10914">
        <v>0</v>
      </c>
      <c r="AI10914">
        <v>1</v>
      </c>
      <c r="AJ10914">
        <v>0</v>
      </c>
      <c r="AK10914">
        <v>0</v>
      </c>
      <c r="AL10914">
        <v>1</v>
      </c>
      <c r="AM10914">
        <v>0</v>
      </c>
    </row>
    <row r="10915" spans="1:39" x14ac:dyDescent="0.2">
      <c r="A10915" t="str">
        <f>"10911"</f>
        <v>10911</v>
      </c>
      <c r="B10915" t="str">
        <f t="shared" si="605"/>
        <v>1</v>
      </c>
      <c r="C10915" t="str">
        <f t="shared" si="607"/>
        <v>219</v>
      </c>
      <c r="D10915" t="str">
        <f>"40"</f>
        <v>40</v>
      </c>
      <c r="E10915" t="str">
        <f>"1-219-40"</f>
        <v>1-219-40</v>
      </c>
      <c r="F10915" t="s">
        <v>65</v>
      </c>
      <c r="G10915" t="s">
        <v>66</v>
      </c>
      <c r="H10915" t="s">
        <v>67</v>
      </c>
      <c r="S10915">
        <v>0</v>
      </c>
      <c r="T10915">
        <v>1</v>
      </c>
      <c r="U10915">
        <v>0</v>
      </c>
      <c r="V10915">
        <v>0</v>
      </c>
      <c r="W10915">
        <v>1</v>
      </c>
      <c r="X10915">
        <v>0</v>
      </c>
      <c r="Y10915">
        <v>1</v>
      </c>
      <c r="Z10915">
        <v>0</v>
      </c>
      <c r="AA10915">
        <v>0</v>
      </c>
      <c r="AB10915">
        <v>1</v>
      </c>
      <c r="AC10915">
        <v>0</v>
      </c>
      <c r="AD10915">
        <v>1</v>
      </c>
      <c r="AE10915">
        <v>1</v>
      </c>
      <c r="AF10915">
        <v>1</v>
      </c>
      <c r="AG10915">
        <v>1</v>
      </c>
      <c r="AH10915">
        <v>1</v>
      </c>
      <c r="AI10915">
        <v>1</v>
      </c>
      <c r="AJ10915">
        <v>1</v>
      </c>
      <c r="AK10915">
        <v>1</v>
      </c>
      <c r="AL10915">
        <v>1</v>
      </c>
      <c r="AM10915">
        <v>1</v>
      </c>
    </row>
    <row r="10916" spans="1:39" x14ac:dyDescent="0.2">
      <c r="A10916" t="str">
        <f>"10912"</f>
        <v>10912</v>
      </c>
      <c r="B10916" t="str">
        <f t="shared" si="605"/>
        <v>1</v>
      </c>
      <c r="C10916" t="str">
        <f t="shared" si="607"/>
        <v>219</v>
      </c>
      <c r="D10916" t="str">
        <f>"39"</f>
        <v>39</v>
      </c>
      <c r="E10916" t="str">
        <f>"1-219-39"</f>
        <v>1-219-39</v>
      </c>
      <c r="F10916" t="s">
        <v>65</v>
      </c>
      <c r="G10916" t="s">
        <v>66</v>
      </c>
      <c r="H10916" t="s">
        <v>67</v>
      </c>
      <c r="S10916">
        <v>0</v>
      </c>
      <c r="T10916">
        <v>1</v>
      </c>
      <c r="U10916">
        <v>0</v>
      </c>
      <c r="V10916">
        <v>0</v>
      </c>
      <c r="W10916">
        <v>0</v>
      </c>
      <c r="X10916">
        <v>1</v>
      </c>
      <c r="Y10916">
        <v>0</v>
      </c>
      <c r="Z10916">
        <v>0</v>
      </c>
      <c r="AA10916">
        <v>0</v>
      </c>
      <c r="AB10916">
        <v>1</v>
      </c>
      <c r="AC10916">
        <v>0</v>
      </c>
      <c r="AD10916">
        <v>0</v>
      </c>
      <c r="AE10916">
        <v>0</v>
      </c>
      <c r="AF10916">
        <v>0</v>
      </c>
      <c r="AG10916">
        <v>0</v>
      </c>
      <c r="AH10916">
        <v>1</v>
      </c>
      <c r="AI10916">
        <v>0</v>
      </c>
      <c r="AJ10916">
        <v>0</v>
      </c>
      <c r="AK10916">
        <v>0</v>
      </c>
      <c r="AL10916">
        <v>0</v>
      </c>
      <c r="AM10916">
        <v>0</v>
      </c>
    </row>
    <row r="10917" spans="1:39" x14ac:dyDescent="0.2">
      <c r="A10917" t="str">
        <f>"10913"</f>
        <v>10913</v>
      </c>
      <c r="B10917" t="str">
        <f t="shared" si="605"/>
        <v>1</v>
      </c>
      <c r="C10917" t="str">
        <f t="shared" si="607"/>
        <v>219</v>
      </c>
      <c r="D10917" t="str">
        <f>"27"</f>
        <v>27</v>
      </c>
      <c r="E10917" t="str">
        <f>"1-219-27"</f>
        <v>1-219-27</v>
      </c>
      <c r="F10917" t="s">
        <v>65</v>
      </c>
      <c r="G10917" t="s">
        <v>66</v>
      </c>
      <c r="H10917" t="s">
        <v>67</v>
      </c>
      <c r="S10917">
        <v>1</v>
      </c>
      <c r="T10917">
        <v>0</v>
      </c>
      <c r="U10917">
        <v>0</v>
      </c>
      <c r="V10917">
        <v>0</v>
      </c>
      <c r="W10917">
        <v>1</v>
      </c>
      <c r="X10917">
        <v>0</v>
      </c>
      <c r="Y10917">
        <v>0</v>
      </c>
      <c r="Z10917">
        <v>1</v>
      </c>
      <c r="AA10917">
        <v>1</v>
      </c>
      <c r="AB10917">
        <v>0</v>
      </c>
      <c r="AC10917">
        <v>0</v>
      </c>
      <c r="AD10917">
        <v>1</v>
      </c>
      <c r="AE10917">
        <v>1</v>
      </c>
      <c r="AF10917">
        <v>1</v>
      </c>
      <c r="AG10917">
        <v>1</v>
      </c>
      <c r="AH10917">
        <v>1</v>
      </c>
      <c r="AI10917">
        <v>1</v>
      </c>
      <c r="AJ10917">
        <v>1</v>
      </c>
      <c r="AK10917">
        <v>1</v>
      </c>
      <c r="AL10917">
        <v>1</v>
      </c>
      <c r="AM10917">
        <v>1</v>
      </c>
    </row>
    <row r="10918" spans="1:39" x14ac:dyDescent="0.2">
      <c r="A10918" t="str">
        <f>"10914"</f>
        <v>10914</v>
      </c>
      <c r="B10918" t="str">
        <f t="shared" si="605"/>
        <v>1</v>
      </c>
      <c r="C10918" t="str">
        <f t="shared" si="607"/>
        <v>219</v>
      </c>
      <c r="D10918" t="str">
        <f>"17"</f>
        <v>17</v>
      </c>
      <c r="E10918" t="str">
        <f>"1-219-17"</f>
        <v>1-219-17</v>
      </c>
      <c r="F10918" t="s">
        <v>65</v>
      </c>
      <c r="G10918" t="s">
        <v>66</v>
      </c>
      <c r="H10918" t="s">
        <v>67</v>
      </c>
      <c r="S10918">
        <v>1</v>
      </c>
      <c r="T10918">
        <v>0</v>
      </c>
      <c r="U10918">
        <v>0</v>
      </c>
      <c r="V10918">
        <v>0</v>
      </c>
      <c r="W10918">
        <v>1</v>
      </c>
      <c r="X10918">
        <v>0</v>
      </c>
      <c r="Y10918">
        <v>0</v>
      </c>
      <c r="Z10918">
        <v>1</v>
      </c>
      <c r="AA10918">
        <v>1</v>
      </c>
      <c r="AB10918">
        <v>0</v>
      </c>
      <c r="AC10918">
        <v>0</v>
      </c>
      <c r="AD10918">
        <v>1</v>
      </c>
      <c r="AE10918">
        <v>1</v>
      </c>
      <c r="AF10918">
        <v>1</v>
      </c>
      <c r="AG10918">
        <v>1</v>
      </c>
      <c r="AH10918">
        <v>1</v>
      </c>
      <c r="AI10918">
        <v>1</v>
      </c>
      <c r="AJ10918">
        <v>1</v>
      </c>
      <c r="AK10918">
        <v>1</v>
      </c>
      <c r="AL10918">
        <v>1</v>
      </c>
      <c r="AM10918">
        <v>1</v>
      </c>
    </row>
    <row r="10919" spans="1:39" x14ac:dyDescent="0.2">
      <c r="A10919" t="str">
        <f>"10915"</f>
        <v>10915</v>
      </c>
      <c r="B10919" t="str">
        <f t="shared" si="605"/>
        <v>1</v>
      </c>
      <c r="C10919" t="str">
        <f t="shared" si="607"/>
        <v>219</v>
      </c>
      <c r="D10919" t="str">
        <f>"2"</f>
        <v>2</v>
      </c>
      <c r="E10919" t="str">
        <f>"1-219-2"</f>
        <v>1-219-2</v>
      </c>
      <c r="F10919" t="s">
        <v>65</v>
      </c>
      <c r="G10919" t="s">
        <v>66</v>
      </c>
      <c r="H10919" t="s">
        <v>67</v>
      </c>
      <c r="S10919">
        <v>0</v>
      </c>
      <c r="T10919">
        <v>1</v>
      </c>
      <c r="U10919">
        <v>0</v>
      </c>
      <c r="V10919">
        <v>0</v>
      </c>
      <c r="W10919">
        <v>0</v>
      </c>
      <c r="X10919">
        <v>1</v>
      </c>
      <c r="Y10919">
        <v>0</v>
      </c>
      <c r="Z10919">
        <v>0</v>
      </c>
      <c r="AA10919">
        <v>0</v>
      </c>
      <c r="AB10919">
        <v>0</v>
      </c>
      <c r="AC10919">
        <v>1</v>
      </c>
      <c r="AD10919">
        <v>0</v>
      </c>
      <c r="AE10919">
        <v>0</v>
      </c>
      <c r="AF10919">
        <v>0</v>
      </c>
      <c r="AG10919">
        <v>1</v>
      </c>
      <c r="AH10919">
        <v>1</v>
      </c>
      <c r="AI10919">
        <v>1</v>
      </c>
      <c r="AJ10919">
        <v>1</v>
      </c>
      <c r="AK10919">
        <v>1</v>
      </c>
      <c r="AL10919">
        <v>1</v>
      </c>
      <c r="AM10919">
        <v>0</v>
      </c>
    </row>
    <row r="10920" spans="1:39" x14ac:dyDescent="0.2">
      <c r="A10920" t="str">
        <f>"10916"</f>
        <v>10916</v>
      </c>
      <c r="B10920" t="str">
        <f t="shared" si="605"/>
        <v>1</v>
      </c>
      <c r="C10920" t="str">
        <f t="shared" si="607"/>
        <v>219</v>
      </c>
      <c r="D10920" t="str">
        <f>"38"</f>
        <v>38</v>
      </c>
      <c r="E10920" t="str">
        <f>"1-219-38"</f>
        <v>1-219-38</v>
      </c>
      <c r="F10920" t="s">
        <v>65</v>
      </c>
      <c r="G10920" t="s">
        <v>66</v>
      </c>
      <c r="H10920" t="s">
        <v>67</v>
      </c>
      <c r="S10920">
        <v>0</v>
      </c>
      <c r="T10920">
        <v>1</v>
      </c>
      <c r="U10920">
        <v>0</v>
      </c>
      <c r="V10920">
        <v>0</v>
      </c>
      <c r="W10920">
        <v>0</v>
      </c>
      <c r="X10920">
        <v>1</v>
      </c>
      <c r="Y10920">
        <v>0</v>
      </c>
      <c r="Z10920">
        <v>1</v>
      </c>
      <c r="AA10920">
        <v>0</v>
      </c>
      <c r="AB10920">
        <v>0</v>
      </c>
      <c r="AC10920">
        <v>1</v>
      </c>
      <c r="AD10920">
        <v>1</v>
      </c>
      <c r="AE10920">
        <v>1</v>
      </c>
      <c r="AF10920">
        <v>1</v>
      </c>
      <c r="AG10920">
        <v>1</v>
      </c>
      <c r="AH10920">
        <v>1</v>
      </c>
      <c r="AI10920">
        <v>1</v>
      </c>
      <c r="AJ10920">
        <v>1</v>
      </c>
      <c r="AK10920">
        <v>1</v>
      </c>
      <c r="AL10920">
        <v>1</v>
      </c>
      <c r="AM10920">
        <v>1</v>
      </c>
    </row>
    <row r="10921" spans="1:39" x14ac:dyDescent="0.2">
      <c r="A10921" t="str">
        <f>"10917"</f>
        <v>10917</v>
      </c>
      <c r="B10921" t="str">
        <f t="shared" si="605"/>
        <v>1</v>
      </c>
      <c r="C10921" t="str">
        <f t="shared" si="607"/>
        <v>219</v>
      </c>
      <c r="D10921" t="str">
        <f>"37"</f>
        <v>37</v>
      </c>
      <c r="E10921" t="str">
        <f>"1-219-37"</f>
        <v>1-219-37</v>
      </c>
      <c r="F10921" t="s">
        <v>65</v>
      </c>
      <c r="G10921" t="s">
        <v>66</v>
      </c>
      <c r="H10921" t="s">
        <v>67</v>
      </c>
      <c r="S10921">
        <v>0</v>
      </c>
      <c r="T10921">
        <v>1</v>
      </c>
      <c r="U10921">
        <v>0</v>
      </c>
      <c r="V10921">
        <v>0</v>
      </c>
      <c r="W10921">
        <v>0</v>
      </c>
      <c r="X10921">
        <v>1</v>
      </c>
      <c r="Y10921">
        <v>0</v>
      </c>
      <c r="Z10921">
        <v>1</v>
      </c>
      <c r="AA10921">
        <v>0</v>
      </c>
      <c r="AB10921">
        <v>1</v>
      </c>
      <c r="AC10921">
        <v>0</v>
      </c>
      <c r="AD10921">
        <v>0</v>
      </c>
      <c r="AE10921">
        <v>0</v>
      </c>
      <c r="AF10921">
        <v>0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0</v>
      </c>
      <c r="AM10921">
        <v>0</v>
      </c>
    </row>
    <row r="10922" spans="1:39" x14ac:dyDescent="0.2">
      <c r="A10922" t="str">
        <f>"10918"</f>
        <v>10918</v>
      </c>
      <c r="B10922" t="str">
        <f t="shared" si="605"/>
        <v>1</v>
      </c>
      <c r="C10922" t="str">
        <f t="shared" si="607"/>
        <v>219</v>
      </c>
      <c r="D10922" t="str">
        <f>"26"</f>
        <v>26</v>
      </c>
      <c r="E10922" t="str">
        <f>"1-219-26"</f>
        <v>1-219-26</v>
      </c>
      <c r="F10922" t="s">
        <v>65</v>
      </c>
      <c r="G10922" t="s">
        <v>66</v>
      </c>
      <c r="H10922" t="s">
        <v>67</v>
      </c>
      <c r="S10922">
        <v>1</v>
      </c>
      <c r="T10922">
        <v>0</v>
      </c>
      <c r="U10922">
        <v>0</v>
      </c>
      <c r="V10922">
        <v>0</v>
      </c>
      <c r="W10922">
        <v>1</v>
      </c>
      <c r="X10922">
        <v>0</v>
      </c>
      <c r="Y10922">
        <v>1</v>
      </c>
      <c r="Z10922">
        <v>0</v>
      </c>
      <c r="AA10922">
        <v>0</v>
      </c>
      <c r="AB10922">
        <v>1</v>
      </c>
      <c r="AC10922">
        <v>0</v>
      </c>
      <c r="AD10922">
        <v>1</v>
      </c>
      <c r="AE10922">
        <v>1</v>
      </c>
      <c r="AF10922">
        <v>1</v>
      </c>
      <c r="AG10922">
        <v>1</v>
      </c>
      <c r="AH10922">
        <v>1</v>
      </c>
      <c r="AI10922">
        <v>1</v>
      </c>
      <c r="AJ10922">
        <v>1</v>
      </c>
      <c r="AK10922">
        <v>1</v>
      </c>
      <c r="AL10922">
        <v>1</v>
      </c>
      <c r="AM10922">
        <v>1</v>
      </c>
    </row>
    <row r="10923" spans="1:39" x14ac:dyDescent="0.2">
      <c r="A10923" t="str">
        <f>"10919"</f>
        <v>10919</v>
      </c>
      <c r="B10923" t="str">
        <f t="shared" si="605"/>
        <v>1</v>
      </c>
      <c r="C10923" t="str">
        <f t="shared" si="607"/>
        <v>219</v>
      </c>
      <c r="D10923" t="str">
        <f>"18"</f>
        <v>18</v>
      </c>
      <c r="E10923" t="str">
        <f>"1-219-18"</f>
        <v>1-219-18</v>
      </c>
      <c r="F10923" t="s">
        <v>65</v>
      </c>
      <c r="G10923" t="s">
        <v>66</v>
      </c>
      <c r="H10923" t="s">
        <v>67</v>
      </c>
      <c r="S10923">
        <v>1</v>
      </c>
      <c r="T10923">
        <v>0</v>
      </c>
      <c r="U10923">
        <v>0</v>
      </c>
      <c r="V10923">
        <v>0</v>
      </c>
      <c r="W10923">
        <v>1</v>
      </c>
      <c r="X10923">
        <v>0</v>
      </c>
      <c r="Y10923">
        <v>1</v>
      </c>
      <c r="Z10923">
        <v>0</v>
      </c>
      <c r="AA10923">
        <v>1</v>
      </c>
      <c r="AB10923">
        <v>0</v>
      </c>
      <c r="AC10923">
        <v>0</v>
      </c>
      <c r="AD10923">
        <v>1</v>
      </c>
      <c r="AE10923">
        <v>1</v>
      </c>
      <c r="AF10923">
        <v>1</v>
      </c>
      <c r="AG10923">
        <v>1</v>
      </c>
      <c r="AH10923">
        <v>1</v>
      </c>
      <c r="AI10923">
        <v>0</v>
      </c>
      <c r="AJ10923">
        <v>1</v>
      </c>
      <c r="AK10923">
        <v>1</v>
      </c>
      <c r="AL10923">
        <v>1</v>
      </c>
      <c r="AM10923">
        <v>1</v>
      </c>
    </row>
    <row r="10924" spans="1:39" x14ac:dyDescent="0.2">
      <c r="A10924" t="str">
        <f>"10920"</f>
        <v>10920</v>
      </c>
      <c r="B10924" t="str">
        <f t="shared" si="605"/>
        <v>1</v>
      </c>
      <c r="C10924" t="str">
        <f t="shared" si="607"/>
        <v>219</v>
      </c>
      <c r="D10924" t="str">
        <f>"10"</f>
        <v>10</v>
      </c>
      <c r="E10924" t="str">
        <f>"1-219-10"</f>
        <v>1-219-10</v>
      </c>
      <c r="F10924" t="s">
        <v>65</v>
      </c>
      <c r="G10924" t="s">
        <v>66</v>
      </c>
      <c r="H10924" t="s">
        <v>67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1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1</v>
      </c>
      <c r="AI10924">
        <v>1</v>
      </c>
      <c r="AJ10924">
        <v>1</v>
      </c>
      <c r="AK10924">
        <v>1</v>
      </c>
      <c r="AL10924">
        <v>1</v>
      </c>
      <c r="AM10924">
        <v>0</v>
      </c>
    </row>
    <row r="10925" spans="1:39" x14ac:dyDescent="0.2">
      <c r="A10925" t="str">
        <f>"10921"</f>
        <v>10921</v>
      </c>
      <c r="B10925" t="str">
        <f t="shared" si="605"/>
        <v>1</v>
      </c>
      <c r="C10925" t="str">
        <f t="shared" si="607"/>
        <v>219</v>
      </c>
      <c r="D10925" t="str">
        <f>"41"</f>
        <v>41</v>
      </c>
      <c r="E10925" t="str">
        <f>"1-219-41"</f>
        <v>1-219-41</v>
      </c>
      <c r="F10925" t="s">
        <v>65</v>
      </c>
      <c r="G10925" t="s">
        <v>66</v>
      </c>
      <c r="H10925" t="s">
        <v>67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1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</row>
    <row r="10926" spans="1:39" x14ac:dyDescent="0.2">
      <c r="A10926" t="str">
        <f>"10922"</f>
        <v>10922</v>
      </c>
      <c r="B10926" t="str">
        <f t="shared" si="605"/>
        <v>1</v>
      </c>
      <c r="C10926" t="str">
        <f t="shared" si="607"/>
        <v>219</v>
      </c>
      <c r="D10926" t="str">
        <f>"21"</f>
        <v>21</v>
      </c>
      <c r="E10926" t="str">
        <f>"1-219-21"</f>
        <v>1-219-21</v>
      </c>
      <c r="F10926" t="s">
        <v>65</v>
      </c>
      <c r="G10926" t="s">
        <v>66</v>
      </c>
      <c r="H10926" t="s">
        <v>67</v>
      </c>
      <c r="S10926">
        <v>1</v>
      </c>
      <c r="T10926">
        <v>0</v>
      </c>
      <c r="U10926">
        <v>0</v>
      </c>
      <c r="V10926">
        <v>0</v>
      </c>
      <c r="W10926">
        <v>1</v>
      </c>
      <c r="X10926">
        <v>0</v>
      </c>
      <c r="Y10926">
        <v>1</v>
      </c>
      <c r="Z10926">
        <v>0</v>
      </c>
      <c r="AA10926">
        <v>1</v>
      </c>
      <c r="AB10926">
        <v>0</v>
      </c>
      <c r="AC10926">
        <v>0</v>
      </c>
      <c r="AD10926">
        <v>1</v>
      </c>
      <c r="AE10926">
        <v>1</v>
      </c>
      <c r="AF10926">
        <v>1</v>
      </c>
      <c r="AG10926">
        <v>1</v>
      </c>
      <c r="AH10926">
        <v>1</v>
      </c>
      <c r="AI10926">
        <v>1</v>
      </c>
      <c r="AJ10926">
        <v>1</v>
      </c>
      <c r="AK10926">
        <v>1</v>
      </c>
      <c r="AL10926">
        <v>1</v>
      </c>
      <c r="AM10926">
        <v>0</v>
      </c>
    </row>
    <row r="10927" spans="1:39" x14ac:dyDescent="0.2">
      <c r="A10927" t="str">
        <f>"10923"</f>
        <v>10923</v>
      </c>
      <c r="B10927" t="str">
        <f t="shared" si="605"/>
        <v>1</v>
      </c>
      <c r="C10927" t="str">
        <f t="shared" si="607"/>
        <v>219</v>
      </c>
      <c r="D10927" t="str">
        <f>"5"</f>
        <v>5</v>
      </c>
      <c r="E10927" t="str">
        <f>"1-219-5"</f>
        <v>1-219-5</v>
      </c>
      <c r="F10927" t="s">
        <v>65</v>
      </c>
      <c r="G10927" t="s">
        <v>66</v>
      </c>
      <c r="H10927" t="s">
        <v>67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1</v>
      </c>
      <c r="Y10927">
        <v>1</v>
      </c>
      <c r="Z10927">
        <v>0</v>
      </c>
      <c r="AA10927">
        <v>0</v>
      </c>
      <c r="AB10927">
        <v>1</v>
      </c>
      <c r="AC10927">
        <v>0</v>
      </c>
      <c r="AD10927">
        <v>1</v>
      </c>
      <c r="AE10927">
        <v>1</v>
      </c>
      <c r="AF10927">
        <v>1</v>
      </c>
      <c r="AG10927">
        <v>1</v>
      </c>
      <c r="AH10927">
        <v>1</v>
      </c>
      <c r="AI10927">
        <v>1</v>
      </c>
      <c r="AJ10927">
        <v>1</v>
      </c>
      <c r="AK10927">
        <v>1</v>
      </c>
      <c r="AL10927">
        <v>1</v>
      </c>
      <c r="AM10927">
        <v>1</v>
      </c>
    </row>
    <row r="10928" spans="1:39" x14ac:dyDescent="0.2">
      <c r="A10928" t="str">
        <f>"10924"</f>
        <v>10924</v>
      </c>
      <c r="B10928" t="str">
        <f t="shared" si="605"/>
        <v>1</v>
      </c>
      <c r="C10928" t="str">
        <f t="shared" si="607"/>
        <v>219</v>
      </c>
      <c r="D10928" t="str">
        <f>"42"</f>
        <v>42</v>
      </c>
      <c r="E10928" t="str">
        <f>"1-219-42"</f>
        <v>1-219-42</v>
      </c>
      <c r="F10928" t="s">
        <v>65</v>
      </c>
      <c r="G10928" t="s">
        <v>66</v>
      </c>
      <c r="H10928" t="s">
        <v>67</v>
      </c>
      <c r="S10928">
        <v>0</v>
      </c>
      <c r="T10928">
        <v>1</v>
      </c>
      <c r="U10928">
        <v>0</v>
      </c>
      <c r="V10928">
        <v>0</v>
      </c>
      <c r="W10928">
        <v>1</v>
      </c>
      <c r="X10928">
        <v>0</v>
      </c>
      <c r="Y10928">
        <v>0</v>
      </c>
      <c r="Z10928">
        <v>0</v>
      </c>
      <c r="AA10928">
        <v>1</v>
      </c>
      <c r="AB10928">
        <v>0</v>
      </c>
      <c r="AC10928">
        <v>0</v>
      </c>
      <c r="AD10928">
        <v>0</v>
      </c>
      <c r="AE10928">
        <v>0</v>
      </c>
      <c r="AF10928">
        <v>0</v>
      </c>
      <c r="AG10928">
        <v>0</v>
      </c>
      <c r="AH10928">
        <v>0</v>
      </c>
      <c r="AI10928">
        <v>0</v>
      </c>
      <c r="AJ10928">
        <v>0</v>
      </c>
      <c r="AK10928">
        <v>0</v>
      </c>
      <c r="AL10928">
        <v>0</v>
      </c>
      <c r="AM10928">
        <v>0</v>
      </c>
    </row>
    <row r="10929" spans="1:39" x14ac:dyDescent="0.2">
      <c r="A10929" t="str">
        <f>"10925"</f>
        <v>10925</v>
      </c>
      <c r="B10929" t="str">
        <f t="shared" si="605"/>
        <v>1</v>
      </c>
      <c r="C10929" t="str">
        <f t="shared" si="607"/>
        <v>219</v>
      </c>
      <c r="D10929" t="str">
        <f>"22"</f>
        <v>22</v>
      </c>
      <c r="E10929" t="str">
        <f>"1-219-22"</f>
        <v>1-219-22</v>
      </c>
      <c r="F10929" t="s">
        <v>65</v>
      </c>
      <c r="G10929" t="s">
        <v>66</v>
      </c>
      <c r="H10929" t="s">
        <v>67</v>
      </c>
      <c r="S10929">
        <v>1</v>
      </c>
      <c r="T10929">
        <v>0</v>
      </c>
      <c r="U10929">
        <v>0</v>
      </c>
      <c r="V10929">
        <v>0</v>
      </c>
      <c r="W10929">
        <v>1</v>
      </c>
      <c r="X10929">
        <v>0</v>
      </c>
      <c r="Y10929">
        <v>1</v>
      </c>
      <c r="Z10929">
        <v>0</v>
      </c>
      <c r="AA10929">
        <v>1</v>
      </c>
      <c r="AB10929">
        <v>0</v>
      </c>
      <c r="AC10929">
        <v>0</v>
      </c>
      <c r="AD10929">
        <v>1</v>
      </c>
      <c r="AE10929">
        <v>1</v>
      </c>
      <c r="AF10929">
        <v>1</v>
      </c>
      <c r="AG10929">
        <v>1</v>
      </c>
      <c r="AH10929">
        <v>1</v>
      </c>
      <c r="AI10929">
        <v>1</v>
      </c>
      <c r="AJ10929">
        <v>1</v>
      </c>
      <c r="AK10929">
        <v>1</v>
      </c>
      <c r="AL10929">
        <v>1</v>
      </c>
      <c r="AM10929">
        <v>1</v>
      </c>
    </row>
    <row r="10930" spans="1:39" x14ac:dyDescent="0.2">
      <c r="A10930" t="str">
        <f>"10926"</f>
        <v>10926</v>
      </c>
      <c r="B10930" t="str">
        <f t="shared" si="605"/>
        <v>1</v>
      </c>
      <c r="C10930" t="str">
        <f t="shared" si="607"/>
        <v>219</v>
      </c>
      <c r="D10930" t="str">
        <f>"13"</f>
        <v>13</v>
      </c>
      <c r="E10930" t="str">
        <f>"1-219-13"</f>
        <v>1-219-13</v>
      </c>
      <c r="F10930" t="s">
        <v>65</v>
      </c>
      <c r="G10930" t="s">
        <v>66</v>
      </c>
      <c r="H10930" t="s">
        <v>67</v>
      </c>
      <c r="S10930">
        <v>1</v>
      </c>
      <c r="T10930">
        <v>0</v>
      </c>
      <c r="U10930">
        <v>0</v>
      </c>
      <c r="V10930">
        <v>0</v>
      </c>
      <c r="W10930">
        <v>1</v>
      </c>
      <c r="X10930">
        <v>0</v>
      </c>
      <c r="Y10930">
        <v>1</v>
      </c>
      <c r="Z10930">
        <v>0</v>
      </c>
      <c r="AA10930">
        <v>1</v>
      </c>
      <c r="AB10930">
        <v>0</v>
      </c>
      <c r="AC10930">
        <v>0</v>
      </c>
      <c r="AD10930">
        <v>1</v>
      </c>
      <c r="AE10930">
        <v>1</v>
      </c>
      <c r="AF10930">
        <v>1</v>
      </c>
      <c r="AG10930">
        <v>1</v>
      </c>
      <c r="AH10930">
        <v>1</v>
      </c>
      <c r="AI10930">
        <v>1</v>
      </c>
      <c r="AJ10930">
        <v>1</v>
      </c>
      <c r="AK10930">
        <v>1</v>
      </c>
      <c r="AL10930">
        <v>1</v>
      </c>
      <c r="AM10930">
        <v>1</v>
      </c>
    </row>
    <row r="10931" spans="1:39" x14ac:dyDescent="0.2">
      <c r="A10931" t="str">
        <f>"10927"</f>
        <v>10927</v>
      </c>
      <c r="B10931" t="str">
        <f t="shared" si="605"/>
        <v>1</v>
      </c>
      <c r="C10931" t="str">
        <f t="shared" si="607"/>
        <v>219</v>
      </c>
      <c r="D10931" t="str">
        <f>"43"</f>
        <v>43</v>
      </c>
      <c r="E10931" t="str">
        <f>"1-219-43"</f>
        <v>1-219-43</v>
      </c>
      <c r="F10931" t="s">
        <v>65</v>
      </c>
      <c r="G10931" t="s">
        <v>66</v>
      </c>
      <c r="H10931" t="s">
        <v>67</v>
      </c>
      <c r="S10931">
        <v>0</v>
      </c>
      <c r="T10931">
        <v>1</v>
      </c>
      <c r="U10931">
        <v>0</v>
      </c>
      <c r="V10931">
        <v>0</v>
      </c>
      <c r="W10931">
        <v>0</v>
      </c>
      <c r="X10931">
        <v>1</v>
      </c>
      <c r="Y10931">
        <v>0</v>
      </c>
      <c r="Z10931">
        <v>1</v>
      </c>
      <c r="AA10931">
        <v>0</v>
      </c>
      <c r="AB10931">
        <v>0</v>
      </c>
      <c r="AC10931">
        <v>1</v>
      </c>
      <c r="AD10931">
        <v>0</v>
      </c>
      <c r="AE10931">
        <v>0</v>
      </c>
      <c r="AF10931">
        <v>0</v>
      </c>
      <c r="AG10931">
        <v>0</v>
      </c>
      <c r="AH10931">
        <v>0</v>
      </c>
      <c r="AI10931">
        <v>0</v>
      </c>
      <c r="AJ10931">
        <v>0</v>
      </c>
      <c r="AK10931">
        <v>0</v>
      </c>
      <c r="AL10931">
        <v>0</v>
      </c>
      <c r="AM10931">
        <v>0</v>
      </c>
    </row>
    <row r="10932" spans="1:39" x14ac:dyDescent="0.2">
      <c r="A10932" t="str">
        <f>"10928"</f>
        <v>10928</v>
      </c>
      <c r="B10932" t="str">
        <f t="shared" si="605"/>
        <v>1</v>
      </c>
      <c r="C10932" t="str">
        <f t="shared" si="607"/>
        <v>219</v>
      </c>
      <c r="D10932" t="str">
        <f>"23"</f>
        <v>23</v>
      </c>
      <c r="E10932" t="str">
        <f>"1-219-23"</f>
        <v>1-219-23</v>
      </c>
      <c r="F10932" t="s">
        <v>65</v>
      </c>
      <c r="G10932" t="s">
        <v>66</v>
      </c>
      <c r="H10932" t="s">
        <v>67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1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>
        <v>1</v>
      </c>
      <c r="AE10932">
        <v>1</v>
      </c>
      <c r="AF10932">
        <v>1</v>
      </c>
      <c r="AG10932">
        <v>1</v>
      </c>
      <c r="AH10932">
        <v>1</v>
      </c>
      <c r="AI10932">
        <v>1</v>
      </c>
      <c r="AJ10932">
        <v>1</v>
      </c>
      <c r="AK10932">
        <v>1</v>
      </c>
      <c r="AL10932">
        <v>1</v>
      </c>
      <c r="AM10932">
        <v>1</v>
      </c>
    </row>
    <row r="10933" spans="1:39" x14ac:dyDescent="0.2">
      <c r="A10933" t="str">
        <f>"10929"</f>
        <v>10929</v>
      </c>
      <c r="B10933" t="str">
        <f t="shared" si="605"/>
        <v>1</v>
      </c>
      <c r="C10933" t="str">
        <f t="shared" si="607"/>
        <v>219</v>
      </c>
      <c r="D10933" t="str">
        <f>"6"</f>
        <v>6</v>
      </c>
      <c r="E10933" t="str">
        <f>"1-219-6"</f>
        <v>1-219-6</v>
      </c>
      <c r="F10933" t="s">
        <v>65</v>
      </c>
      <c r="G10933" t="s">
        <v>66</v>
      </c>
      <c r="H10933" t="s">
        <v>67</v>
      </c>
      <c r="S10933">
        <v>0</v>
      </c>
      <c r="T10933">
        <v>1</v>
      </c>
      <c r="U10933">
        <v>0</v>
      </c>
      <c r="V10933">
        <v>0</v>
      </c>
      <c r="W10933">
        <v>0</v>
      </c>
      <c r="X10933">
        <v>1</v>
      </c>
      <c r="Y10933">
        <v>0</v>
      </c>
      <c r="Z10933">
        <v>1</v>
      </c>
      <c r="AA10933">
        <v>0</v>
      </c>
      <c r="AB10933">
        <v>0</v>
      </c>
      <c r="AC10933">
        <v>1</v>
      </c>
      <c r="AD10933">
        <v>1</v>
      </c>
      <c r="AE10933">
        <v>1</v>
      </c>
      <c r="AF10933">
        <v>1</v>
      </c>
      <c r="AG10933">
        <v>1</v>
      </c>
      <c r="AH10933">
        <v>1</v>
      </c>
      <c r="AI10933">
        <v>1</v>
      </c>
      <c r="AJ10933">
        <v>1</v>
      </c>
      <c r="AK10933">
        <v>1</v>
      </c>
      <c r="AL10933">
        <v>1</v>
      </c>
      <c r="AM10933">
        <v>1</v>
      </c>
    </row>
    <row r="10934" spans="1:39" x14ac:dyDescent="0.2">
      <c r="A10934" t="str">
        <f>"10930"</f>
        <v>10930</v>
      </c>
      <c r="B10934" t="str">
        <f t="shared" si="605"/>
        <v>1</v>
      </c>
      <c r="C10934" t="str">
        <f t="shared" si="607"/>
        <v>219</v>
      </c>
      <c r="D10934" t="str">
        <f>"44"</f>
        <v>44</v>
      </c>
      <c r="E10934" t="str">
        <f>"1-219-44"</f>
        <v>1-219-44</v>
      </c>
      <c r="F10934" t="s">
        <v>65</v>
      </c>
      <c r="G10934" t="s">
        <v>66</v>
      </c>
      <c r="H10934" t="s">
        <v>67</v>
      </c>
      <c r="S10934">
        <v>1</v>
      </c>
      <c r="T10934">
        <v>0</v>
      </c>
      <c r="U10934">
        <v>0</v>
      </c>
      <c r="V10934">
        <v>0</v>
      </c>
      <c r="W10934">
        <v>1</v>
      </c>
      <c r="X10934">
        <v>0</v>
      </c>
      <c r="Y10934">
        <v>1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0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</row>
    <row r="10935" spans="1:39" x14ac:dyDescent="0.2">
      <c r="A10935" t="str">
        <f>"10931"</f>
        <v>10931</v>
      </c>
      <c r="B10935" t="str">
        <f t="shared" ref="B10935:B10998" si="608">"1"</f>
        <v>1</v>
      </c>
      <c r="C10935" t="str">
        <f t="shared" si="607"/>
        <v>219</v>
      </c>
      <c r="D10935" t="str">
        <f>"24"</f>
        <v>24</v>
      </c>
      <c r="E10935" t="str">
        <f>"1-219-24"</f>
        <v>1-219-24</v>
      </c>
      <c r="F10935" t="s">
        <v>65</v>
      </c>
      <c r="G10935" t="s">
        <v>66</v>
      </c>
      <c r="H10935" t="s">
        <v>67</v>
      </c>
      <c r="S10935">
        <v>1</v>
      </c>
      <c r="T10935">
        <v>0</v>
      </c>
      <c r="U10935">
        <v>0</v>
      </c>
      <c r="V10935">
        <v>0</v>
      </c>
      <c r="W10935">
        <v>1</v>
      </c>
      <c r="X10935">
        <v>0</v>
      </c>
      <c r="Y10935">
        <v>0</v>
      </c>
      <c r="Z10935">
        <v>1</v>
      </c>
      <c r="AA10935">
        <v>1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0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</row>
    <row r="10936" spans="1:39" x14ac:dyDescent="0.2">
      <c r="A10936" t="str">
        <f>"10932"</f>
        <v>10932</v>
      </c>
      <c r="B10936" t="str">
        <f t="shared" si="608"/>
        <v>1</v>
      </c>
      <c r="C10936" t="str">
        <f t="shared" si="607"/>
        <v>219</v>
      </c>
      <c r="D10936" t="str">
        <f>"8"</f>
        <v>8</v>
      </c>
      <c r="E10936" t="str">
        <f>"1-219-8"</f>
        <v>1-219-8</v>
      </c>
      <c r="F10936" t="s">
        <v>65</v>
      </c>
      <c r="G10936" t="s">
        <v>66</v>
      </c>
      <c r="H10936" t="s">
        <v>67</v>
      </c>
      <c r="S10936">
        <v>1</v>
      </c>
      <c r="T10936">
        <v>0</v>
      </c>
      <c r="U10936">
        <v>0</v>
      </c>
      <c r="V10936">
        <v>0</v>
      </c>
      <c r="W10936">
        <v>0</v>
      </c>
      <c r="X10936">
        <v>1</v>
      </c>
      <c r="Y10936">
        <v>0</v>
      </c>
      <c r="Z10936">
        <v>1</v>
      </c>
      <c r="AA10936">
        <v>0</v>
      </c>
      <c r="AB10936">
        <v>0</v>
      </c>
      <c r="AC10936">
        <v>1</v>
      </c>
      <c r="AD10936">
        <v>1</v>
      </c>
      <c r="AE10936">
        <v>1</v>
      </c>
      <c r="AF10936">
        <v>1</v>
      </c>
      <c r="AG10936">
        <v>1</v>
      </c>
      <c r="AH10936">
        <v>1</v>
      </c>
      <c r="AI10936">
        <v>1</v>
      </c>
      <c r="AJ10936">
        <v>1</v>
      </c>
      <c r="AK10936">
        <v>1</v>
      </c>
      <c r="AL10936">
        <v>1</v>
      </c>
      <c r="AM10936">
        <v>1</v>
      </c>
    </row>
    <row r="10937" spans="1:39" x14ac:dyDescent="0.2">
      <c r="A10937" t="str">
        <f>"10933"</f>
        <v>10933</v>
      </c>
      <c r="B10937" t="str">
        <f t="shared" si="608"/>
        <v>1</v>
      </c>
      <c r="C10937" t="str">
        <f t="shared" ref="C10937:C10954" si="609">"219"</f>
        <v>219</v>
      </c>
      <c r="D10937" t="str">
        <f>"45"</f>
        <v>45</v>
      </c>
      <c r="E10937" t="str">
        <f>"1-219-45"</f>
        <v>1-219-45</v>
      </c>
      <c r="F10937" t="s">
        <v>65</v>
      </c>
      <c r="G10937" t="s">
        <v>66</v>
      </c>
      <c r="H10937" t="s">
        <v>67</v>
      </c>
      <c r="S10937">
        <v>0</v>
      </c>
      <c r="T10937">
        <v>1</v>
      </c>
      <c r="U10937">
        <v>0</v>
      </c>
      <c r="V10937">
        <v>0</v>
      </c>
      <c r="W10937">
        <v>0</v>
      </c>
      <c r="X10937">
        <v>1</v>
      </c>
      <c r="Y10937">
        <v>0</v>
      </c>
      <c r="Z10937">
        <v>1</v>
      </c>
      <c r="AA10937">
        <v>0</v>
      </c>
      <c r="AB10937">
        <v>0</v>
      </c>
      <c r="AC10937">
        <v>1</v>
      </c>
      <c r="AD10937">
        <v>0</v>
      </c>
      <c r="AE10937">
        <v>0</v>
      </c>
      <c r="AF10937">
        <v>0</v>
      </c>
      <c r="AG10937">
        <v>0</v>
      </c>
      <c r="AH10937">
        <v>0</v>
      </c>
      <c r="AI10937">
        <v>0</v>
      </c>
      <c r="AJ10937">
        <v>0</v>
      </c>
      <c r="AK10937">
        <v>0</v>
      </c>
      <c r="AL10937">
        <v>0</v>
      </c>
      <c r="AM10937">
        <v>0</v>
      </c>
    </row>
    <row r="10938" spans="1:39" x14ac:dyDescent="0.2">
      <c r="A10938" t="str">
        <f>"10934"</f>
        <v>10934</v>
      </c>
      <c r="B10938" t="str">
        <f t="shared" si="608"/>
        <v>1</v>
      </c>
      <c r="C10938" t="str">
        <f t="shared" si="609"/>
        <v>219</v>
      </c>
      <c r="D10938" t="str">
        <f>"25"</f>
        <v>25</v>
      </c>
      <c r="E10938" t="str">
        <f>"1-219-25"</f>
        <v>1-219-25</v>
      </c>
      <c r="F10938" t="s">
        <v>65</v>
      </c>
      <c r="G10938" t="s">
        <v>66</v>
      </c>
      <c r="H10938" t="s">
        <v>67</v>
      </c>
      <c r="S10938">
        <v>0</v>
      </c>
      <c r="T10938">
        <v>1</v>
      </c>
      <c r="U10938">
        <v>0</v>
      </c>
      <c r="V10938">
        <v>0</v>
      </c>
      <c r="W10938">
        <v>0</v>
      </c>
      <c r="X10938">
        <v>1</v>
      </c>
      <c r="Y10938">
        <v>0</v>
      </c>
      <c r="Z10938">
        <v>1</v>
      </c>
      <c r="AA10938">
        <v>0</v>
      </c>
      <c r="AB10938">
        <v>0</v>
      </c>
      <c r="AC10938">
        <v>1</v>
      </c>
      <c r="AD10938">
        <v>0</v>
      </c>
      <c r="AE10938">
        <v>0</v>
      </c>
      <c r="AF10938">
        <v>0</v>
      </c>
      <c r="AG10938">
        <v>0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</row>
    <row r="10939" spans="1:39" x14ac:dyDescent="0.2">
      <c r="A10939" t="str">
        <f>"10935"</f>
        <v>10935</v>
      </c>
      <c r="B10939" t="str">
        <f t="shared" si="608"/>
        <v>1</v>
      </c>
      <c r="C10939" t="str">
        <f t="shared" si="609"/>
        <v>219</v>
      </c>
      <c r="D10939" t="str">
        <f>"12"</f>
        <v>12</v>
      </c>
      <c r="E10939" t="str">
        <f>"1-219-12"</f>
        <v>1-219-12</v>
      </c>
      <c r="F10939" t="s">
        <v>65</v>
      </c>
      <c r="G10939" t="s">
        <v>66</v>
      </c>
      <c r="H10939" t="s">
        <v>67</v>
      </c>
      <c r="S10939">
        <v>0</v>
      </c>
      <c r="T10939">
        <v>1</v>
      </c>
      <c r="U10939">
        <v>0</v>
      </c>
      <c r="V10939">
        <v>0</v>
      </c>
      <c r="W10939">
        <v>0</v>
      </c>
      <c r="X10939">
        <v>1</v>
      </c>
      <c r="Y10939">
        <v>1</v>
      </c>
      <c r="Z10939">
        <v>0</v>
      </c>
      <c r="AA10939">
        <v>1</v>
      </c>
      <c r="AB10939">
        <v>0</v>
      </c>
      <c r="AC10939">
        <v>0</v>
      </c>
      <c r="AD10939">
        <v>1</v>
      </c>
      <c r="AE10939">
        <v>1</v>
      </c>
      <c r="AF10939">
        <v>1</v>
      </c>
      <c r="AG10939">
        <v>1</v>
      </c>
      <c r="AH10939">
        <v>1</v>
      </c>
      <c r="AI10939">
        <v>1</v>
      </c>
      <c r="AJ10939">
        <v>1</v>
      </c>
      <c r="AK10939">
        <v>1</v>
      </c>
      <c r="AL10939">
        <v>1</v>
      </c>
      <c r="AM10939">
        <v>1</v>
      </c>
    </row>
    <row r="10940" spans="1:39" x14ac:dyDescent="0.2">
      <c r="A10940" t="str">
        <f>"10936"</f>
        <v>10936</v>
      </c>
      <c r="B10940" t="str">
        <f t="shared" si="608"/>
        <v>1</v>
      </c>
      <c r="C10940" t="str">
        <f t="shared" si="609"/>
        <v>219</v>
      </c>
      <c r="D10940" t="str">
        <f>"46"</f>
        <v>46</v>
      </c>
      <c r="E10940" t="str">
        <f>"1-219-46"</f>
        <v>1-219-46</v>
      </c>
      <c r="F10940" t="s">
        <v>65</v>
      </c>
      <c r="G10940" t="s">
        <v>66</v>
      </c>
      <c r="H10940" t="s">
        <v>67</v>
      </c>
      <c r="S10940">
        <v>0</v>
      </c>
      <c r="T10940">
        <v>1</v>
      </c>
      <c r="U10940">
        <v>0</v>
      </c>
      <c r="V10940">
        <v>0</v>
      </c>
      <c r="W10940">
        <v>0</v>
      </c>
      <c r="X10940">
        <v>1</v>
      </c>
      <c r="Y10940">
        <v>0</v>
      </c>
      <c r="Z10940">
        <v>1</v>
      </c>
      <c r="AA10940">
        <v>0</v>
      </c>
      <c r="AB10940">
        <v>1</v>
      </c>
      <c r="AC10940">
        <v>0</v>
      </c>
      <c r="AD10940">
        <v>0</v>
      </c>
      <c r="AE10940">
        <v>0</v>
      </c>
      <c r="AF10940">
        <v>0</v>
      </c>
      <c r="AG10940">
        <v>0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</row>
    <row r="10941" spans="1:39" x14ac:dyDescent="0.2">
      <c r="A10941" t="str">
        <f>"10937"</f>
        <v>10937</v>
      </c>
      <c r="B10941" t="str">
        <f t="shared" si="608"/>
        <v>1</v>
      </c>
      <c r="C10941" t="str">
        <f t="shared" si="609"/>
        <v>219</v>
      </c>
      <c r="D10941" t="str">
        <f>"28"</f>
        <v>28</v>
      </c>
      <c r="E10941" t="str">
        <f>"1-219-28"</f>
        <v>1-219-28</v>
      </c>
      <c r="F10941" t="s">
        <v>65</v>
      </c>
      <c r="G10941" t="s">
        <v>66</v>
      </c>
      <c r="H10941" t="s">
        <v>67</v>
      </c>
      <c r="S10941">
        <v>0</v>
      </c>
      <c r="T10941">
        <v>1</v>
      </c>
      <c r="U10941">
        <v>0</v>
      </c>
      <c r="V10941">
        <v>0</v>
      </c>
      <c r="W10941">
        <v>1</v>
      </c>
      <c r="X10941">
        <v>0</v>
      </c>
      <c r="Y10941">
        <v>0</v>
      </c>
      <c r="Z10941">
        <v>1</v>
      </c>
      <c r="AA10941">
        <v>0</v>
      </c>
      <c r="AB10941">
        <v>0</v>
      </c>
      <c r="AC10941">
        <v>1</v>
      </c>
      <c r="AD10941">
        <v>1</v>
      </c>
      <c r="AE10941">
        <v>1</v>
      </c>
      <c r="AF10941">
        <v>1</v>
      </c>
      <c r="AG10941">
        <v>1</v>
      </c>
      <c r="AH10941">
        <v>1</v>
      </c>
      <c r="AI10941">
        <v>1</v>
      </c>
      <c r="AJ10941">
        <v>1</v>
      </c>
      <c r="AK10941">
        <v>1</v>
      </c>
      <c r="AL10941">
        <v>1</v>
      </c>
      <c r="AM10941">
        <v>1</v>
      </c>
    </row>
    <row r="10942" spans="1:39" x14ac:dyDescent="0.2">
      <c r="A10942" t="str">
        <f>"10938"</f>
        <v>10938</v>
      </c>
      <c r="B10942" t="str">
        <f t="shared" si="608"/>
        <v>1</v>
      </c>
      <c r="C10942" t="str">
        <f t="shared" si="609"/>
        <v>219</v>
      </c>
      <c r="D10942" t="str">
        <f>"14"</f>
        <v>14</v>
      </c>
      <c r="E10942" t="str">
        <f>"1-219-14"</f>
        <v>1-219-14</v>
      </c>
      <c r="F10942" t="s">
        <v>65</v>
      </c>
      <c r="G10942" t="s">
        <v>66</v>
      </c>
      <c r="H10942" t="s">
        <v>67</v>
      </c>
      <c r="S10942">
        <v>1</v>
      </c>
      <c r="T10942">
        <v>0</v>
      </c>
      <c r="U10942">
        <v>0</v>
      </c>
      <c r="V10942">
        <v>0</v>
      </c>
      <c r="W10942">
        <v>1</v>
      </c>
      <c r="X10942">
        <v>0</v>
      </c>
      <c r="Y10942">
        <v>1</v>
      </c>
      <c r="Z10942">
        <v>0</v>
      </c>
      <c r="AA10942">
        <v>1</v>
      </c>
      <c r="AB10942">
        <v>0</v>
      </c>
      <c r="AC10942">
        <v>0</v>
      </c>
      <c r="AD10942">
        <v>1</v>
      </c>
      <c r="AE10942">
        <v>1</v>
      </c>
      <c r="AF10942">
        <v>1</v>
      </c>
      <c r="AG10942">
        <v>1</v>
      </c>
      <c r="AH10942">
        <v>1</v>
      </c>
      <c r="AI10942">
        <v>1</v>
      </c>
      <c r="AJ10942">
        <v>1</v>
      </c>
      <c r="AK10942">
        <v>1</v>
      </c>
      <c r="AL10942">
        <v>1</v>
      </c>
      <c r="AM10942">
        <v>1</v>
      </c>
    </row>
    <row r="10943" spans="1:39" x14ac:dyDescent="0.2">
      <c r="A10943" t="str">
        <f>"10939"</f>
        <v>10939</v>
      </c>
      <c r="B10943" t="str">
        <f t="shared" si="608"/>
        <v>1</v>
      </c>
      <c r="C10943" t="str">
        <f t="shared" si="609"/>
        <v>219</v>
      </c>
      <c r="D10943" t="str">
        <f>"29"</f>
        <v>29</v>
      </c>
      <c r="E10943" t="str">
        <f>"1-219-29"</f>
        <v>1-219-29</v>
      </c>
      <c r="F10943" t="s">
        <v>65</v>
      </c>
      <c r="G10943" t="s">
        <v>66</v>
      </c>
      <c r="H10943" t="s">
        <v>67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1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0</v>
      </c>
      <c r="AH10943">
        <v>1</v>
      </c>
      <c r="AI10943">
        <v>1</v>
      </c>
      <c r="AJ10943">
        <v>1</v>
      </c>
      <c r="AK10943">
        <v>1</v>
      </c>
      <c r="AL10943">
        <v>1</v>
      </c>
      <c r="AM10943">
        <v>1</v>
      </c>
    </row>
    <row r="10944" spans="1:39" x14ac:dyDescent="0.2">
      <c r="A10944" t="str">
        <f>"10940"</f>
        <v>10940</v>
      </c>
      <c r="B10944" t="str">
        <f t="shared" si="608"/>
        <v>1</v>
      </c>
      <c r="C10944" t="str">
        <f t="shared" si="609"/>
        <v>219</v>
      </c>
      <c r="D10944" t="str">
        <f>"11"</f>
        <v>11</v>
      </c>
      <c r="E10944" t="str">
        <f>"1-219-11"</f>
        <v>1-219-11</v>
      </c>
      <c r="F10944" t="s">
        <v>65</v>
      </c>
      <c r="G10944" t="s">
        <v>66</v>
      </c>
      <c r="H10944" t="s">
        <v>67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1</v>
      </c>
      <c r="Y10944">
        <v>1</v>
      </c>
      <c r="Z10944">
        <v>0</v>
      </c>
      <c r="AA10944">
        <v>0</v>
      </c>
      <c r="AB10944">
        <v>1</v>
      </c>
      <c r="AC10944">
        <v>0</v>
      </c>
      <c r="AD10944">
        <v>0</v>
      </c>
      <c r="AE10944">
        <v>0</v>
      </c>
      <c r="AF10944">
        <v>0</v>
      </c>
      <c r="AG10944">
        <v>0</v>
      </c>
      <c r="AH10944">
        <v>1</v>
      </c>
      <c r="AI10944">
        <v>1</v>
      </c>
      <c r="AJ10944">
        <v>1</v>
      </c>
      <c r="AK10944">
        <v>1</v>
      </c>
      <c r="AL10944">
        <v>1</v>
      </c>
      <c r="AM10944">
        <v>0</v>
      </c>
    </row>
    <row r="10945" spans="1:39" x14ac:dyDescent="0.2">
      <c r="A10945" t="str">
        <f>"10941"</f>
        <v>10941</v>
      </c>
      <c r="B10945" t="str">
        <f t="shared" si="608"/>
        <v>1</v>
      </c>
      <c r="C10945" t="str">
        <f t="shared" si="609"/>
        <v>219</v>
      </c>
      <c r="D10945" t="str">
        <f>"47"</f>
        <v>47</v>
      </c>
      <c r="E10945" t="str">
        <f>"1-219-47"</f>
        <v>1-219-47</v>
      </c>
      <c r="F10945" t="s">
        <v>65</v>
      </c>
      <c r="G10945" t="s">
        <v>66</v>
      </c>
      <c r="H10945" t="s">
        <v>68</v>
      </c>
      <c r="I10945">
        <v>1</v>
      </c>
      <c r="J10945">
        <v>0</v>
      </c>
      <c r="K10945">
        <v>0</v>
      </c>
      <c r="L10945">
        <v>1</v>
      </c>
      <c r="M10945">
        <v>1</v>
      </c>
      <c r="N10945">
        <v>1</v>
      </c>
      <c r="O10945">
        <v>1</v>
      </c>
      <c r="P10945">
        <v>1</v>
      </c>
      <c r="Q10945">
        <v>1</v>
      </c>
      <c r="R10945">
        <v>1</v>
      </c>
    </row>
    <row r="10946" spans="1:39" x14ac:dyDescent="0.2">
      <c r="A10946" t="str">
        <f>"10942"</f>
        <v>10942</v>
      </c>
      <c r="B10946" t="str">
        <f t="shared" si="608"/>
        <v>1</v>
      </c>
      <c r="C10946" t="str">
        <f t="shared" si="609"/>
        <v>219</v>
      </c>
      <c r="D10946" t="str">
        <f>"30"</f>
        <v>30</v>
      </c>
      <c r="E10946" t="str">
        <f>"1-219-30"</f>
        <v>1-219-30</v>
      </c>
      <c r="F10946" t="s">
        <v>65</v>
      </c>
      <c r="G10946" t="s">
        <v>66</v>
      </c>
      <c r="H10946" t="s">
        <v>67</v>
      </c>
      <c r="S10946">
        <v>0</v>
      </c>
      <c r="T10946">
        <v>1</v>
      </c>
      <c r="U10946">
        <v>0</v>
      </c>
      <c r="V10946">
        <v>0</v>
      </c>
      <c r="W10946">
        <v>0</v>
      </c>
      <c r="X10946">
        <v>1</v>
      </c>
      <c r="Y10946">
        <v>1</v>
      </c>
      <c r="Z10946">
        <v>0</v>
      </c>
      <c r="AA10946">
        <v>0</v>
      </c>
      <c r="AB10946">
        <v>1</v>
      </c>
      <c r="AC10946">
        <v>0</v>
      </c>
      <c r="AD10946">
        <v>0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</row>
    <row r="10947" spans="1:39" x14ac:dyDescent="0.2">
      <c r="A10947" t="str">
        <f>"10943"</f>
        <v>10943</v>
      </c>
      <c r="B10947" t="str">
        <f t="shared" si="608"/>
        <v>1</v>
      </c>
      <c r="C10947" t="str">
        <f t="shared" si="609"/>
        <v>219</v>
      </c>
      <c r="D10947" t="str">
        <f>"3"</f>
        <v>3</v>
      </c>
      <c r="E10947" t="str">
        <f>"1-219-3"</f>
        <v>1-219-3</v>
      </c>
      <c r="F10947" t="s">
        <v>65</v>
      </c>
      <c r="G10947" t="s">
        <v>66</v>
      </c>
      <c r="H10947" t="s">
        <v>67</v>
      </c>
      <c r="S10947">
        <v>0</v>
      </c>
      <c r="T10947">
        <v>1</v>
      </c>
      <c r="U10947">
        <v>0</v>
      </c>
      <c r="V10947">
        <v>0</v>
      </c>
      <c r="W10947">
        <v>1</v>
      </c>
      <c r="X10947">
        <v>0</v>
      </c>
      <c r="Y10947">
        <v>1</v>
      </c>
      <c r="Z10947">
        <v>0</v>
      </c>
      <c r="AA10947">
        <v>0</v>
      </c>
      <c r="AB10947">
        <v>0</v>
      </c>
      <c r="AC10947">
        <v>1</v>
      </c>
      <c r="AD10947">
        <v>1</v>
      </c>
      <c r="AE10947">
        <v>1</v>
      </c>
      <c r="AF10947">
        <v>1</v>
      </c>
      <c r="AG10947">
        <v>1</v>
      </c>
      <c r="AH10947">
        <v>1</v>
      </c>
      <c r="AI10947">
        <v>1</v>
      </c>
      <c r="AJ10947">
        <v>1</v>
      </c>
      <c r="AK10947">
        <v>1</v>
      </c>
      <c r="AL10947">
        <v>1</v>
      </c>
      <c r="AM10947">
        <v>1</v>
      </c>
    </row>
    <row r="10948" spans="1:39" x14ac:dyDescent="0.2">
      <c r="A10948" t="str">
        <f>"10944"</f>
        <v>10944</v>
      </c>
      <c r="B10948" t="str">
        <f t="shared" si="608"/>
        <v>1</v>
      </c>
      <c r="C10948" t="str">
        <f t="shared" si="609"/>
        <v>219</v>
      </c>
      <c r="D10948" t="str">
        <f>"48"</f>
        <v>48</v>
      </c>
      <c r="E10948" t="str">
        <f>"1-219-48"</f>
        <v>1-219-48</v>
      </c>
      <c r="F10948" t="s">
        <v>65</v>
      </c>
      <c r="G10948" t="s">
        <v>66</v>
      </c>
      <c r="H10948" t="s">
        <v>67</v>
      </c>
      <c r="S10948">
        <v>0</v>
      </c>
      <c r="T10948">
        <v>1</v>
      </c>
      <c r="U10948">
        <v>0</v>
      </c>
      <c r="V10948">
        <v>0</v>
      </c>
      <c r="W10948">
        <v>1</v>
      </c>
      <c r="X10948">
        <v>0</v>
      </c>
      <c r="Y10948">
        <v>1</v>
      </c>
      <c r="Z10948">
        <v>0</v>
      </c>
      <c r="AA10948">
        <v>1</v>
      </c>
      <c r="AB10948">
        <v>0</v>
      </c>
      <c r="AC10948">
        <v>0</v>
      </c>
      <c r="AD10948">
        <v>1</v>
      </c>
      <c r="AE10948">
        <v>1</v>
      </c>
      <c r="AF10948">
        <v>1</v>
      </c>
      <c r="AG10948">
        <v>1</v>
      </c>
      <c r="AH10948">
        <v>1</v>
      </c>
      <c r="AI10948">
        <v>1</v>
      </c>
      <c r="AJ10948">
        <v>1</v>
      </c>
      <c r="AK10948">
        <v>1</v>
      </c>
      <c r="AL10948">
        <v>1</v>
      </c>
      <c r="AM10948">
        <v>1</v>
      </c>
    </row>
    <row r="10949" spans="1:39" x14ac:dyDescent="0.2">
      <c r="A10949" t="str">
        <f>"10945"</f>
        <v>10945</v>
      </c>
      <c r="B10949" t="str">
        <f t="shared" si="608"/>
        <v>1</v>
      </c>
      <c r="C10949" t="str">
        <f t="shared" si="609"/>
        <v>219</v>
      </c>
      <c r="D10949" t="str">
        <f>"31"</f>
        <v>31</v>
      </c>
      <c r="E10949" t="str">
        <f>"1-219-31"</f>
        <v>1-219-31</v>
      </c>
      <c r="F10949" t="s">
        <v>65</v>
      </c>
      <c r="G10949" t="s">
        <v>66</v>
      </c>
      <c r="H10949" t="s">
        <v>67</v>
      </c>
      <c r="S10949">
        <v>1</v>
      </c>
      <c r="T10949">
        <v>0</v>
      </c>
      <c r="U10949">
        <v>0</v>
      </c>
      <c r="V10949">
        <v>0</v>
      </c>
      <c r="W10949">
        <v>1</v>
      </c>
      <c r="X10949">
        <v>0</v>
      </c>
      <c r="Y10949">
        <v>0</v>
      </c>
      <c r="Z10949">
        <v>1</v>
      </c>
      <c r="AA10949">
        <v>1</v>
      </c>
      <c r="AB10949">
        <v>0</v>
      </c>
      <c r="AC10949">
        <v>0</v>
      </c>
      <c r="AD10949">
        <v>1</v>
      </c>
      <c r="AE10949">
        <v>1</v>
      </c>
      <c r="AF10949">
        <v>1</v>
      </c>
      <c r="AG10949">
        <v>0</v>
      </c>
      <c r="AH10949">
        <v>1</v>
      </c>
      <c r="AI10949">
        <v>1</v>
      </c>
      <c r="AJ10949">
        <v>1</v>
      </c>
      <c r="AK10949">
        <v>1</v>
      </c>
      <c r="AL10949">
        <v>1</v>
      </c>
      <c r="AM10949">
        <v>1</v>
      </c>
    </row>
    <row r="10950" spans="1:39" x14ac:dyDescent="0.2">
      <c r="A10950" t="str">
        <f>"10946"</f>
        <v>10946</v>
      </c>
      <c r="B10950" t="str">
        <f t="shared" si="608"/>
        <v>1</v>
      </c>
      <c r="C10950" t="str">
        <f t="shared" si="609"/>
        <v>219</v>
      </c>
      <c r="D10950" t="str">
        <f>"7"</f>
        <v>7</v>
      </c>
      <c r="E10950" t="str">
        <f>"1-219-7"</f>
        <v>1-219-7</v>
      </c>
      <c r="F10950" t="s">
        <v>65</v>
      </c>
      <c r="G10950" t="s">
        <v>66</v>
      </c>
      <c r="H10950" t="s">
        <v>67</v>
      </c>
      <c r="S10950">
        <v>1</v>
      </c>
      <c r="T10950">
        <v>0</v>
      </c>
      <c r="U10950">
        <v>0</v>
      </c>
      <c r="V10950">
        <v>0</v>
      </c>
      <c r="W10950">
        <v>1</v>
      </c>
      <c r="X10950">
        <v>0</v>
      </c>
      <c r="Y10950">
        <v>1</v>
      </c>
      <c r="Z10950">
        <v>0</v>
      </c>
      <c r="AA10950">
        <v>1</v>
      </c>
      <c r="AB10950">
        <v>0</v>
      </c>
      <c r="AC10950">
        <v>0</v>
      </c>
      <c r="AD10950">
        <v>1</v>
      </c>
      <c r="AE10950">
        <v>1</v>
      </c>
      <c r="AF10950">
        <v>1</v>
      </c>
      <c r="AG10950">
        <v>1</v>
      </c>
      <c r="AH10950">
        <v>1</v>
      </c>
      <c r="AI10950">
        <v>1</v>
      </c>
      <c r="AJ10950">
        <v>1</v>
      </c>
      <c r="AK10950">
        <v>1</v>
      </c>
      <c r="AL10950">
        <v>1</v>
      </c>
      <c r="AM10950">
        <v>1</v>
      </c>
    </row>
    <row r="10951" spans="1:39" x14ac:dyDescent="0.2">
      <c r="A10951" t="str">
        <f>"10947"</f>
        <v>10947</v>
      </c>
      <c r="B10951" t="str">
        <f t="shared" si="608"/>
        <v>1</v>
      </c>
      <c r="C10951" t="str">
        <f t="shared" si="609"/>
        <v>219</v>
      </c>
      <c r="D10951" t="str">
        <f>"50"</f>
        <v>50</v>
      </c>
      <c r="E10951" t="str">
        <f>"1-219-50"</f>
        <v>1-219-50</v>
      </c>
      <c r="F10951" t="s">
        <v>65</v>
      </c>
      <c r="G10951" t="s">
        <v>66</v>
      </c>
      <c r="H10951" t="s">
        <v>67</v>
      </c>
      <c r="S10951">
        <v>0</v>
      </c>
      <c r="T10951">
        <v>1</v>
      </c>
      <c r="U10951">
        <v>0</v>
      </c>
      <c r="V10951">
        <v>0</v>
      </c>
      <c r="W10951">
        <v>0</v>
      </c>
      <c r="X10951">
        <v>1</v>
      </c>
      <c r="Y10951">
        <v>0</v>
      </c>
      <c r="Z10951">
        <v>1</v>
      </c>
      <c r="AA10951">
        <v>0</v>
      </c>
      <c r="AB10951">
        <v>0</v>
      </c>
      <c r="AC10951">
        <v>1</v>
      </c>
      <c r="AD10951">
        <v>0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</row>
    <row r="10952" spans="1:39" x14ac:dyDescent="0.2">
      <c r="A10952" t="str">
        <f>"10948"</f>
        <v>10948</v>
      </c>
      <c r="B10952" t="str">
        <f t="shared" si="608"/>
        <v>1</v>
      </c>
      <c r="C10952" t="str">
        <f t="shared" si="609"/>
        <v>219</v>
      </c>
      <c r="D10952" t="str">
        <f>"34"</f>
        <v>34</v>
      </c>
      <c r="E10952" t="str">
        <f>"1-219-34"</f>
        <v>1-219-34</v>
      </c>
      <c r="F10952" t="s">
        <v>65</v>
      </c>
      <c r="G10952" t="s">
        <v>66</v>
      </c>
      <c r="H10952" t="s">
        <v>67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1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0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</row>
    <row r="10953" spans="1:39" x14ac:dyDescent="0.2">
      <c r="A10953" t="str">
        <f>"10949"</f>
        <v>10949</v>
      </c>
      <c r="B10953" t="str">
        <f t="shared" si="608"/>
        <v>1</v>
      </c>
      <c r="C10953" t="str">
        <f t="shared" si="609"/>
        <v>219</v>
      </c>
      <c r="D10953" t="str">
        <f>"9"</f>
        <v>9</v>
      </c>
      <c r="E10953" t="str">
        <f>"1-219-9"</f>
        <v>1-219-9</v>
      </c>
      <c r="F10953" t="s">
        <v>65</v>
      </c>
      <c r="G10953" t="s">
        <v>66</v>
      </c>
      <c r="H10953" t="s">
        <v>67</v>
      </c>
      <c r="S10953">
        <v>0</v>
      </c>
      <c r="T10953">
        <v>1</v>
      </c>
      <c r="U10953">
        <v>0</v>
      </c>
      <c r="V10953">
        <v>0</v>
      </c>
      <c r="W10953">
        <v>0</v>
      </c>
      <c r="X10953">
        <v>1</v>
      </c>
      <c r="Y10953">
        <v>0</v>
      </c>
      <c r="Z10953">
        <v>1</v>
      </c>
      <c r="AA10953">
        <v>0</v>
      </c>
      <c r="AB10953">
        <v>0</v>
      </c>
      <c r="AC10953">
        <v>1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  <c r="AK10953">
        <v>0</v>
      </c>
      <c r="AL10953">
        <v>0</v>
      </c>
      <c r="AM10953">
        <v>0</v>
      </c>
    </row>
    <row r="10954" spans="1:39" x14ac:dyDescent="0.2">
      <c r="A10954" t="str">
        <f>"10950"</f>
        <v>10950</v>
      </c>
      <c r="B10954" t="str">
        <f t="shared" si="608"/>
        <v>1</v>
      </c>
      <c r="C10954" t="str">
        <f t="shared" si="609"/>
        <v>219</v>
      </c>
      <c r="D10954" t="str">
        <f>"49"</f>
        <v>49</v>
      </c>
      <c r="E10954" t="str">
        <f>"1-219-49"</f>
        <v>1-219-49</v>
      </c>
      <c r="F10954" t="s">
        <v>65</v>
      </c>
      <c r="G10954" t="s">
        <v>66</v>
      </c>
      <c r="H10954" t="s">
        <v>67</v>
      </c>
      <c r="S10954">
        <v>1</v>
      </c>
      <c r="T10954">
        <v>0</v>
      </c>
      <c r="U10954">
        <v>0</v>
      </c>
      <c r="V10954">
        <v>0</v>
      </c>
      <c r="W10954">
        <v>1</v>
      </c>
      <c r="X10954">
        <v>0</v>
      </c>
      <c r="Y10954">
        <v>1</v>
      </c>
      <c r="Z10954">
        <v>0</v>
      </c>
      <c r="AA10954">
        <v>0</v>
      </c>
      <c r="AB10954">
        <v>0</v>
      </c>
      <c r="AC10954">
        <v>0</v>
      </c>
      <c r="AD10954">
        <v>1</v>
      </c>
      <c r="AE10954">
        <v>1</v>
      </c>
      <c r="AF10954">
        <v>1</v>
      </c>
      <c r="AG10954">
        <v>1</v>
      </c>
      <c r="AH10954">
        <v>1</v>
      </c>
      <c r="AI10954">
        <v>1</v>
      </c>
      <c r="AJ10954">
        <v>1</v>
      </c>
      <c r="AK10954">
        <v>1</v>
      </c>
      <c r="AL10954">
        <v>1</v>
      </c>
      <c r="AM10954">
        <v>1</v>
      </c>
    </row>
    <row r="10955" spans="1:39" x14ac:dyDescent="0.2">
      <c r="A10955" t="str">
        <f>"10951"</f>
        <v>10951</v>
      </c>
      <c r="B10955" t="str">
        <f t="shared" si="608"/>
        <v>1</v>
      </c>
      <c r="C10955" t="str">
        <f t="shared" ref="C10955:C10986" si="610">"220"</f>
        <v>220</v>
      </c>
      <c r="D10955" t="str">
        <f>"36"</f>
        <v>36</v>
      </c>
      <c r="E10955" t="str">
        <f>"1-220-36"</f>
        <v>1-220-36</v>
      </c>
      <c r="F10955" t="s">
        <v>65</v>
      </c>
      <c r="G10955" t="s">
        <v>66</v>
      </c>
      <c r="H10955" t="s">
        <v>67</v>
      </c>
      <c r="S10955">
        <v>1</v>
      </c>
      <c r="T10955">
        <v>0</v>
      </c>
      <c r="U10955">
        <v>0</v>
      </c>
      <c r="V10955">
        <v>0</v>
      </c>
      <c r="W10955">
        <v>0</v>
      </c>
      <c r="X10955">
        <v>1</v>
      </c>
      <c r="Y10955">
        <v>1</v>
      </c>
      <c r="Z10955">
        <v>0</v>
      </c>
      <c r="AA10955">
        <v>0</v>
      </c>
      <c r="AB10955">
        <v>1</v>
      </c>
      <c r="AC10955">
        <v>0</v>
      </c>
      <c r="AD10955">
        <v>1</v>
      </c>
      <c r="AE10955">
        <v>1</v>
      </c>
      <c r="AF10955">
        <v>1</v>
      </c>
      <c r="AG10955">
        <v>1</v>
      </c>
      <c r="AH10955">
        <v>1</v>
      </c>
      <c r="AI10955">
        <v>1</v>
      </c>
      <c r="AJ10955">
        <v>1</v>
      </c>
      <c r="AK10955">
        <v>1</v>
      </c>
      <c r="AL10955">
        <v>1</v>
      </c>
      <c r="AM10955">
        <v>1</v>
      </c>
    </row>
    <row r="10956" spans="1:39" x14ac:dyDescent="0.2">
      <c r="A10956" t="str">
        <f>"10952"</f>
        <v>10952</v>
      </c>
      <c r="B10956" t="str">
        <f t="shared" si="608"/>
        <v>1</v>
      </c>
      <c r="C10956" t="str">
        <f t="shared" si="610"/>
        <v>220</v>
      </c>
      <c r="D10956" t="str">
        <f>"35"</f>
        <v>35</v>
      </c>
      <c r="E10956" t="str">
        <f>"1-220-35"</f>
        <v>1-220-35</v>
      </c>
      <c r="F10956" t="s">
        <v>65</v>
      </c>
      <c r="G10956" t="s">
        <v>66</v>
      </c>
      <c r="H10956" t="s">
        <v>67</v>
      </c>
      <c r="S10956">
        <v>1</v>
      </c>
      <c r="T10956">
        <v>0</v>
      </c>
      <c r="U10956">
        <v>0</v>
      </c>
      <c r="V10956">
        <v>0</v>
      </c>
      <c r="W10956">
        <v>0</v>
      </c>
      <c r="X10956">
        <v>1</v>
      </c>
      <c r="Y10956">
        <v>1</v>
      </c>
      <c r="Z10956">
        <v>0</v>
      </c>
      <c r="AA10956">
        <v>1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</row>
    <row r="10957" spans="1:39" x14ac:dyDescent="0.2">
      <c r="A10957" t="str">
        <f>"10953"</f>
        <v>10953</v>
      </c>
      <c r="B10957" t="str">
        <f t="shared" si="608"/>
        <v>1</v>
      </c>
      <c r="C10957" t="str">
        <f t="shared" si="610"/>
        <v>220</v>
      </c>
      <c r="D10957" t="str">
        <f>"21"</f>
        <v>21</v>
      </c>
      <c r="E10957" t="str">
        <f>"1-220-21"</f>
        <v>1-220-21</v>
      </c>
      <c r="F10957" t="s">
        <v>65</v>
      </c>
      <c r="G10957" t="s">
        <v>66</v>
      </c>
      <c r="H10957" t="s">
        <v>67</v>
      </c>
      <c r="S10957">
        <v>1</v>
      </c>
      <c r="T10957">
        <v>0</v>
      </c>
      <c r="U10957">
        <v>0</v>
      </c>
      <c r="V10957">
        <v>0</v>
      </c>
      <c r="W10957">
        <v>1</v>
      </c>
      <c r="X10957">
        <v>0</v>
      </c>
      <c r="Y10957">
        <v>0</v>
      </c>
      <c r="Z10957">
        <v>1</v>
      </c>
      <c r="AA10957">
        <v>1</v>
      </c>
      <c r="AB10957">
        <v>0</v>
      </c>
      <c r="AC10957">
        <v>0</v>
      </c>
      <c r="AD10957">
        <v>1</v>
      </c>
      <c r="AE10957">
        <v>1</v>
      </c>
      <c r="AF10957">
        <v>1</v>
      </c>
      <c r="AG10957">
        <v>1</v>
      </c>
      <c r="AH10957">
        <v>1</v>
      </c>
      <c r="AI10957">
        <v>1</v>
      </c>
      <c r="AJ10957">
        <v>1</v>
      </c>
      <c r="AK10957">
        <v>1</v>
      </c>
      <c r="AL10957">
        <v>1</v>
      </c>
      <c r="AM10957">
        <v>1</v>
      </c>
    </row>
    <row r="10958" spans="1:39" x14ac:dyDescent="0.2">
      <c r="A10958" t="str">
        <f>"10954"</f>
        <v>10954</v>
      </c>
      <c r="B10958" t="str">
        <f t="shared" si="608"/>
        <v>1</v>
      </c>
      <c r="C10958" t="str">
        <f t="shared" si="610"/>
        <v>220</v>
      </c>
      <c r="D10958" t="str">
        <f>"15"</f>
        <v>15</v>
      </c>
      <c r="E10958" t="str">
        <f>"1-220-15"</f>
        <v>1-220-15</v>
      </c>
      <c r="F10958" t="s">
        <v>65</v>
      </c>
      <c r="G10958" t="s">
        <v>66</v>
      </c>
      <c r="H10958" t="s">
        <v>67</v>
      </c>
      <c r="S10958">
        <v>1</v>
      </c>
      <c r="T10958">
        <v>0</v>
      </c>
      <c r="U10958">
        <v>0</v>
      </c>
      <c r="V10958">
        <v>0</v>
      </c>
      <c r="W10958">
        <v>1</v>
      </c>
      <c r="X10958">
        <v>0</v>
      </c>
      <c r="Y10958">
        <v>0</v>
      </c>
      <c r="Z10958">
        <v>1</v>
      </c>
      <c r="AA10958">
        <v>1</v>
      </c>
      <c r="AB10958">
        <v>0</v>
      </c>
      <c r="AC10958">
        <v>0</v>
      </c>
      <c r="AD10958">
        <v>1</v>
      </c>
      <c r="AE10958">
        <v>1</v>
      </c>
      <c r="AF10958">
        <v>1</v>
      </c>
      <c r="AG10958">
        <v>1</v>
      </c>
      <c r="AH10958">
        <v>1</v>
      </c>
      <c r="AI10958">
        <v>1</v>
      </c>
      <c r="AJ10958">
        <v>1</v>
      </c>
      <c r="AK10958">
        <v>1</v>
      </c>
      <c r="AL10958">
        <v>1</v>
      </c>
      <c r="AM10958">
        <v>1</v>
      </c>
    </row>
    <row r="10959" spans="1:39" x14ac:dyDescent="0.2">
      <c r="A10959" t="str">
        <f>"10955"</f>
        <v>10955</v>
      </c>
      <c r="B10959" t="str">
        <f t="shared" si="608"/>
        <v>1</v>
      </c>
      <c r="C10959" t="str">
        <f t="shared" si="610"/>
        <v>220</v>
      </c>
      <c r="D10959" t="str">
        <f>"3"</f>
        <v>3</v>
      </c>
      <c r="E10959" t="str">
        <f>"1-220-3"</f>
        <v>1-220-3</v>
      </c>
      <c r="F10959" t="s">
        <v>65</v>
      </c>
      <c r="G10959" t="s">
        <v>66</v>
      </c>
      <c r="H10959" t="s">
        <v>68</v>
      </c>
      <c r="I10959">
        <v>1</v>
      </c>
      <c r="J10959">
        <v>1</v>
      </c>
      <c r="K10959">
        <v>0</v>
      </c>
      <c r="L10959">
        <v>0</v>
      </c>
      <c r="M10959">
        <v>1</v>
      </c>
      <c r="N10959">
        <v>1</v>
      </c>
      <c r="O10959">
        <v>1</v>
      </c>
      <c r="P10959">
        <v>1</v>
      </c>
      <c r="Q10959">
        <v>1</v>
      </c>
      <c r="R10959">
        <v>1</v>
      </c>
    </row>
    <row r="10960" spans="1:39" x14ac:dyDescent="0.2">
      <c r="A10960" t="str">
        <f>"10956"</f>
        <v>10956</v>
      </c>
      <c r="B10960" t="str">
        <f t="shared" si="608"/>
        <v>1</v>
      </c>
      <c r="C10960" t="str">
        <f t="shared" si="610"/>
        <v>220</v>
      </c>
      <c r="D10960" t="str">
        <f>"38"</f>
        <v>38</v>
      </c>
      <c r="E10960" t="str">
        <f>"1-220-38"</f>
        <v>1-220-38</v>
      </c>
      <c r="F10960" t="s">
        <v>65</v>
      </c>
      <c r="G10960" t="s">
        <v>66</v>
      </c>
      <c r="H10960" t="s">
        <v>67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1</v>
      </c>
      <c r="Y10960">
        <v>0</v>
      </c>
      <c r="Z10960">
        <v>0</v>
      </c>
      <c r="AA10960">
        <v>0</v>
      </c>
      <c r="AB10960">
        <v>1</v>
      </c>
      <c r="AC10960">
        <v>0</v>
      </c>
      <c r="AD10960">
        <v>0</v>
      </c>
      <c r="AE10960">
        <v>0</v>
      </c>
      <c r="AF10960">
        <v>0</v>
      </c>
      <c r="AG10960">
        <v>0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</row>
    <row r="10961" spans="1:39" x14ac:dyDescent="0.2">
      <c r="A10961" t="str">
        <f>"10957"</f>
        <v>10957</v>
      </c>
      <c r="B10961" t="str">
        <f t="shared" si="608"/>
        <v>1</v>
      </c>
      <c r="C10961" t="str">
        <f t="shared" si="610"/>
        <v>220</v>
      </c>
      <c r="D10961" t="str">
        <f>"37"</f>
        <v>37</v>
      </c>
      <c r="E10961" t="str">
        <f>"1-220-37"</f>
        <v>1-220-37</v>
      </c>
      <c r="F10961" t="s">
        <v>65</v>
      </c>
      <c r="G10961" t="s">
        <v>66</v>
      </c>
      <c r="H10961" t="s">
        <v>67</v>
      </c>
      <c r="S10961">
        <v>0</v>
      </c>
      <c r="T10961">
        <v>0</v>
      </c>
      <c r="U10961">
        <v>0</v>
      </c>
      <c r="V10961">
        <v>0</v>
      </c>
      <c r="W10961">
        <v>1</v>
      </c>
      <c r="X10961">
        <v>0</v>
      </c>
      <c r="Y10961">
        <v>0</v>
      </c>
      <c r="Z10961">
        <v>1</v>
      </c>
      <c r="AA10961">
        <v>0</v>
      </c>
      <c r="AB10961">
        <v>1</v>
      </c>
      <c r="AC10961">
        <v>0</v>
      </c>
      <c r="AD10961">
        <v>0</v>
      </c>
      <c r="AE10961">
        <v>0</v>
      </c>
      <c r="AF10961">
        <v>0</v>
      </c>
      <c r="AG10961">
        <v>1</v>
      </c>
      <c r="AH10961">
        <v>0</v>
      </c>
      <c r="AI10961">
        <v>0</v>
      </c>
      <c r="AJ10961">
        <v>0</v>
      </c>
      <c r="AK10961">
        <v>0</v>
      </c>
      <c r="AL10961">
        <v>1</v>
      </c>
      <c r="AM10961">
        <v>0</v>
      </c>
    </row>
    <row r="10962" spans="1:39" x14ac:dyDescent="0.2">
      <c r="A10962" t="str">
        <f>"10958"</f>
        <v>10958</v>
      </c>
      <c r="B10962" t="str">
        <f t="shared" si="608"/>
        <v>1</v>
      </c>
      <c r="C10962" t="str">
        <f t="shared" si="610"/>
        <v>220</v>
      </c>
      <c r="D10962" t="str">
        <f>"24"</f>
        <v>24</v>
      </c>
      <c r="E10962" t="str">
        <f>"1-220-24"</f>
        <v>1-220-24</v>
      </c>
      <c r="F10962" t="s">
        <v>65</v>
      </c>
      <c r="G10962" t="s">
        <v>66</v>
      </c>
      <c r="H10962" t="s">
        <v>68</v>
      </c>
      <c r="I10962">
        <v>1</v>
      </c>
      <c r="J10962">
        <v>0</v>
      </c>
      <c r="K10962">
        <v>0</v>
      </c>
      <c r="L10962">
        <v>1</v>
      </c>
      <c r="M10962">
        <v>1</v>
      </c>
      <c r="N10962">
        <v>1</v>
      </c>
      <c r="O10962">
        <v>1</v>
      </c>
      <c r="P10962">
        <v>1</v>
      </c>
      <c r="Q10962">
        <v>1</v>
      </c>
      <c r="R10962">
        <v>1</v>
      </c>
    </row>
    <row r="10963" spans="1:39" x14ac:dyDescent="0.2">
      <c r="A10963" t="str">
        <f>"10959"</f>
        <v>10959</v>
      </c>
      <c r="B10963" t="str">
        <f t="shared" si="608"/>
        <v>1</v>
      </c>
      <c r="C10963" t="str">
        <f t="shared" si="610"/>
        <v>220</v>
      </c>
      <c r="D10963" t="str">
        <f>"16"</f>
        <v>16</v>
      </c>
      <c r="E10963" t="str">
        <f>"1-220-16"</f>
        <v>1-220-16</v>
      </c>
      <c r="F10963" t="s">
        <v>65</v>
      </c>
      <c r="G10963" t="s">
        <v>66</v>
      </c>
      <c r="H10963" t="s">
        <v>67</v>
      </c>
      <c r="S10963">
        <v>0</v>
      </c>
      <c r="T10963">
        <v>0</v>
      </c>
      <c r="U10963">
        <v>0</v>
      </c>
      <c r="V10963">
        <v>0</v>
      </c>
      <c r="W10963">
        <v>1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1</v>
      </c>
      <c r="AE10963">
        <v>1</v>
      </c>
      <c r="AF10963">
        <v>1</v>
      </c>
      <c r="AG10963">
        <v>1</v>
      </c>
      <c r="AH10963">
        <v>1</v>
      </c>
      <c r="AI10963">
        <v>1</v>
      </c>
      <c r="AJ10963">
        <v>1</v>
      </c>
      <c r="AK10963">
        <v>1</v>
      </c>
      <c r="AL10963">
        <v>1</v>
      </c>
      <c r="AM10963">
        <v>1</v>
      </c>
    </row>
    <row r="10964" spans="1:39" x14ac:dyDescent="0.2">
      <c r="A10964" t="str">
        <f>"10960"</f>
        <v>10960</v>
      </c>
      <c r="B10964" t="str">
        <f t="shared" si="608"/>
        <v>1</v>
      </c>
      <c r="C10964" t="str">
        <f t="shared" si="610"/>
        <v>220</v>
      </c>
      <c r="D10964" t="str">
        <f>"8"</f>
        <v>8</v>
      </c>
      <c r="E10964" t="str">
        <f>"1-220-8"</f>
        <v>1-220-8</v>
      </c>
      <c r="F10964" t="s">
        <v>65</v>
      </c>
      <c r="G10964" t="s">
        <v>66</v>
      </c>
      <c r="H10964" t="s">
        <v>67</v>
      </c>
      <c r="S10964">
        <v>0</v>
      </c>
      <c r="T10964">
        <v>1</v>
      </c>
      <c r="U10964">
        <v>0</v>
      </c>
      <c r="V10964">
        <v>0</v>
      </c>
      <c r="W10964">
        <v>0</v>
      </c>
      <c r="X10964">
        <v>1</v>
      </c>
      <c r="Y10964">
        <v>0</v>
      </c>
      <c r="Z10964">
        <v>1</v>
      </c>
      <c r="AA10964">
        <v>0</v>
      </c>
      <c r="AB10964">
        <v>0</v>
      </c>
      <c r="AC10964">
        <v>1</v>
      </c>
      <c r="AD10964">
        <v>0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  <c r="AK10964">
        <v>0</v>
      </c>
      <c r="AL10964">
        <v>1</v>
      </c>
      <c r="AM10964">
        <v>0</v>
      </c>
    </row>
    <row r="10965" spans="1:39" x14ac:dyDescent="0.2">
      <c r="A10965" t="str">
        <f>"10961"</f>
        <v>10961</v>
      </c>
      <c r="B10965" t="str">
        <f t="shared" si="608"/>
        <v>1</v>
      </c>
      <c r="C10965" t="str">
        <f t="shared" si="610"/>
        <v>220</v>
      </c>
      <c r="D10965" t="str">
        <f>"42"</f>
        <v>42</v>
      </c>
      <c r="E10965" t="str">
        <f>"1-220-42"</f>
        <v>1-220-42</v>
      </c>
      <c r="F10965" t="s">
        <v>65</v>
      </c>
      <c r="G10965" t="s">
        <v>66</v>
      </c>
      <c r="H10965" t="s">
        <v>67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1</v>
      </c>
      <c r="Y10965">
        <v>0</v>
      </c>
      <c r="Z10965">
        <v>0</v>
      </c>
      <c r="AA10965">
        <v>0</v>
      </c>
      <c r="AB10965">
        <v>1</v>
      </c>
      <c r="AC10965">
        <v>0</v>
      </c>
      <c r="AD10965">
        <v>0</v>
      </c>
      <c r="AE10965">
        <v>0</v>
      </c>
      <c r="AF10965">
        <v>0</v>
      </c>
      <c r="AG10965">
        <v>1</v>
      </c>
      <c r="AH10965">
        <v>1</v>
      </c>
      <c r="AI10965">
        <v>1</v>
      </c>
      <c r="AJ10965">
        <v>1</v>
      </c>
      <c r="AK10965">
        <v>0</v>
      </c>
      <c r="AL10965">
        <v>1</v>
      </c>
      <c r="AM10965">
        <v>0</v>
      </c>
    </row>
    <row r="10966" spans="1:39" x14ac:dyDescent="0.2">
      <c r="A10966" t="str">
        <f>"10962"</f>
        <v>10962</v>
      </c>
      <c r="B10966" t="str">
        <f t="shared" si="608"/>
        <v>1</v>
      </c>
      <c r="C10966" t="str">
        <f t="shared" si="610"/>
        <v>220</v>
      </c>
      <c r="D10966" t="str">
        <f>"41"</f>
        <v>41</v>
      </c>
      <c r="E10966" t="str">
        <f>"1-220-41"</f>
        <v>1-220-41</v>
      </c>
      <c r="F10966" t="s">
        <v>65</v>
      </c>
      <c r="G10966" t="s">
        <v>66</v>
      </c>
      <c r="H10966" t="s">
        <v>67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1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1</v>
      </c>
      <c r="AI10966">
        <v>1</v>
      </c>
      <c r="AJ10966">
        <v>1</v>
      </c>
      <c r="AK10966">
        <v>0</v>
      </c>
      <c r="AL10966">
        <v>0</v>
      </c>
      <c r="AM10966">
        <v>0</v>
      </c>
    </row>
    <row r="10967" spans="1:39" x14ac:dyDescent="0.2">
      <c r="A10967" t="str">
        <f>"10963"</f>
        <v>10963</v>
      </c>
      <c r="B10967" t="str">
        <f t="shared" si="608"/>
        <v>1</v>
      </c>
      <c r="C10967" t="str">
        <f t="shared" si="610"/>
        <v>220</v>
      </c>
      <c r="D10967" t="str">
        <f>"29"</f>
        <v>29</v>
      </c>
      <c r="E10967" t="str">
        <f>"1-220-29"</f>
        <v>1-220-29</v>
      </c>
      <c r="F10967" t="s">
        <v>65</v>
      </c>
      <c r="G10967" t="s">
        <v>66</v>
      </c>
      <c r="H10967" t="s">
        <v>67</v>
      </c>
      <c r="S10967">
        <v>0</v>
      </c>
      <c r="T10967">
        <v>1</v>
      </c>
      <c r="U10967">
        <v>0</v>
      </c>
      <c r="V10967">
        <v>0</v>
      </c>
      <c r="W10967">
        <v>0</v>
      </c>
      <c r="X10967">
        <v>1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</row>
    <row r="10968" spans="1:39" x14ac:dyDescent="0.2">
      <c r="A10968" t="str">
        <f>"10964"</f>
        <v>10964</v>
      </c>
      <c r="B10968" t="str">
        <f t="shared" si="608"/>
        <v>1</v>
      </c>
      <c r="C10968" t="str">
        <f t="shared" si="610"/>
        <v>220</v>
      </c>
      <c r="D10968" t="str">
        <f>"17"</f>
        <v>17</v>
      </c>
      <c r="E10968" t="str">
        <f>"1-220-17"</f>
        <v>1-220-17</v>
      </c>
      <c r="F10968" t="s">
        <v>65</v>
      </c>
      <c r="G10968" t="s">
        <v>66</v>
      </c>
      <c r="H10968" t="s">
        <v>67</v>
      </c>
      <c r="S10968">
        <v>1</v>
      </c>
      <c r="T10968">
        <v>0</v>
      </c>
      <c r="U10968">
        <v>0</v>
      </c>
      <c r="V10968">
        <v>0</v>
      </c>
      <c r="W10968">
        <v>1</v>
      </c>
      <c r="X10968">
        <v>0</v>
      </c>
      <c r="Y10968">
        <v>1</v>
      </c>
      <c r="Z10968">
        <v>0</v>
      </c>
      <c r="AA10968">
        <v>0</v>
      </c>
      <c r="AB10968">
        <v>1</v>
      </c>
      <c r="AC10968">
        <v>0</v>
      </c>
      <c r="AD10968">
        <v>1</v>
      </c>
      <c r="AE10968">
        <v>1</v>
      </c>
      <c r="AF10968">
        <v>1</v>
      </c>
      <c r="AG10968">
        <v>1</v>
      </c>
      <c r="AH10968">
        <v>1</v>
      </c>
      <c r="AI10968">
        <v>1</v>
      </c>
      <c r="AJ10968">
        <v>1</v>
      </c>
      <c r="AK10968">
        <v>1</v>
      </c>
      <c r="AL10968">
        <v>1</v>
      </c>
      <c r="AM10968">
        <v>1</v>
      </c>
    </row>
    <row r="10969" spans="1:39" x14ac:dyDescent="0.2">
      <c r="A10969" t="str">
        <f>"10965"</f>
        <v>10965</v>
      </c>
      <c r="B10969" t="str">
        <f t="shared" si="608"/>
        <v>1</v>
      </c>
      <c r="C10969" t="str">
        <f t="shared" si="610"/>
        <v>220</v>
      </c>
      <c r="D10969" t="str">
        <f>"5"</f>
        <v>5</v>
      </c>
      <c r="E10969" t="str">
        <f>"1-220-5"</f>
        <v>1-220-5</v>
      </c>
      <c r="F10969" t="s">
        <v>65</v>
      </c>
      <c r="G10969" t="s">
        <v>66</v>
      </c>
      <c r="H10969" t="s">
        <v>67</v>
      </c>
      <c r="S10969">
        <v>0</v>
      </c>
      <c r="T10969">
        <v>1</v>
      </c>
      <c r="U10969">
        <v>0</v>
      </c>
      <c r="V10969">
        <v>0</v>
      </c>
      <c r="W10969">
        <v>1</v>
      </c>
      <c r="X10969">
        <v>0</v>
      </c>
      <c r="Y10969">
        <v>0</v>
      </c>
      <c r="Z10969">
        <v>1</v>
      </c>
      <c r="AA10969">
        <v>0</v>
      </c>
      <c r="AB10969">
        <v>0</v>
      </c>
      <c r="AC10969">
        <v>1</v>
      </c>
      <c r="AD10969">
        <v>0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</row>
    <row r="10970" spans="1:39" x14ac:dyDescent="0.2">
      <c r="A10970" t="str">
        <f>"10966"</f>
        <v>10966</v>
      </c>
      <c r="B10970" t="str">
        <f t="shared" si="608"/>
        <v>1</v>
      </c>
      <c r="C10970" t="str">
        <f t="shared" si="610"/>
        <v>220</v>
      </c>
      <c r="D10970" t="str">
        <f>"40"</f>
        <v>40</v>
      </c>
      <c r="E10970" t="str">
        <f>"1-220-40"</f>
        <v>1-220-40</v>
      </c>
      <c r="F10970" t="s">
        <v>65</v>
      </c>
      <c r="G10970" t="s">
        <v>66</v>
      </c>
      <c r="H10970" t="s">
        <v>68</v>
      </c>
      <c r="I10970">
        <v>1</v>
      </c>
      <c r="J10970">
        <v>1</v>
      </c>
      <c r="K10970">
        <v>0</v>
      </c>
      <c r="L10970">
        <v>0</v>
      </c>
      <c r="M10970">
        <v>1</v>
      </c>
      <c r="N10970">
        <v>1</v>
      </c>
      <c r="O10970">
        <v>1</v>
      </c>
      <c r="P10970">
        <v>1</v>
      </c>
      <c r="Q10970">
        <v>1</v>
      </c>
      <c r="R10970">
        <v>1</v>
      </c>
    </row>
    <row r="10971" spans="1:39" x14ac:dyDescent="0.2">
      <c r="A10971" t="str">
        <f>"10967"</f>
        <v>10967</v>
      </c>
      <c r="B10971" t="str">
        <f t="shared" si="608"/>
        <v>1</v>
      </c>
      <c r="C10971" t="str">
        <f t="shared" si="610"/>
        <v>220</v>
      </c>
      <c r="D10971" t="str">
        <f>"39"</f>
        <v>39</v>
      </c>
      <c r="E10971" t="str">
        <f>"1-220-39"</f>
        <v>1-220-39</v>
      </c>
      <c r="F10971" t="s">
        <v>65</v>
      </c>
      <c r="G10971" t="s">
        <v>66</v>
      </c>
      <c r="H10971" t="s">
        <v>67</v>
      </c>
      <c r="S10971">
        <v>1</v>
      </c>
      <c r="T10971">
        <v>0</v>
      </c>
      <c r="U10971">
        <v>0</v>
      </c>
      <c r="V10971">
        <v>0</v>
      </c>
      <c r="W10971">
        <v>1</v>
      </c>
      <c r="X10971">
        <v>0</v>
      </c>
      <c r="Y10971">
        <v>1</v>
      </c>
      <c r="Z10971">
        <v>0</v>
      </c>
      <c r="AA10971">
        <v>1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1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</row>
    <row r="10972" spans="1:39" x14ac:dyDescent="0.2">
      <c r="A10972" t="str">
        <f>"10968"</f>
        <v>10968</v>
      </c>
      <c r="B10972" t="str">
        <f t="shared" si="608"/>
        <v>1</v>
      </c>
      <c r="C10972" t="str">
        <f t="shared" si="610"/>
        <v>220</v>
      </c>
      <c r="D10972" t="str">
        <f>"28"</f>
        <v>28</v>
      </c>
      <c r="E10972" t="str">
        <f>"1-220-28"</f>
        <v>1-220-28</v>
      </c>
      <c r="F10972" t="s">
        <v>65</v>
      </c>
      <c r="G10972" t="s">
        <v>66</v>
      </c>
      <c r="H10972" t="s">
        <v>67</v>
      </c>
      <c r="S10972">
        <v>0</v>
      </c>
      <c r="T10972">
        <v>1</v>
      </c>
      <c r="U10972">
        <v>0</v>
      </c>
      <c r="V10972">
        <v>0</v>
      </c>
      <c r="W10972">
        <v>1</v>
      </c>
      <c r="X10972">
        <v>0</v>
      </c>
      <c r="Y10972">
        <v>1</v>
      </c>
      <c r="Z10972">
        <v>0</v>
      </c>
      <c r="AA10972">
        <v>1</v>
      </c>
      <c r="AB10972">
        <v>0</v>
      </c>
      <c r="AC10972">
        <v>0</v>
      </c>
      <c r="AD10972">
        <v>1</v>
      </c>
      <c r="AE10972">
        <v>1</v>
      </c>
      <c r="AF10972">
        <v>1</v>
      </c>
      <c r="AG10972">
        <v>1</v>
      </c>
      <c r="AH10972">
        <v>1</v>
      </c>
      <c r="AI10972">
        <v>1</v>
      </c>
      <c r="AJ10972">
        <v>1</v>
      </c>
      <c r="AK10972">
        <v>1</v>
      </c>
      <c r="AL10972">
        <v>1</v>
      </c>
      <c r="AM10972">
        <v>1</v>
      </c>
    </row>
    <row r="10973" spans="1:39" x14ac:dyDescent="0.2">
      <c r="A10973" t="str">
        <f>"10969"</f>
        <v>10969</v>
      </c>
      <c r="B10973" t="str">
        <f t="shared" si="608"/>
        <v>1</v>
      </c>
      <c r="C10973" t="str">
        <f t="shared" si="610"/>
        <v>220</v>
      </c>
      <c r="D10973" t="str">
        <f>"18"</f>
        <v>18</v>
      </c>
      <c r="E10973" t="str">
        <f>"1-220-18"</f>
        <v>1-220-18</v>
      </c>
      <c r="F10973" t="s">
        <v>65</v>
      </c>
      <c r="G10973" t="s">
        <v>66</v>
      </c>
      <c r="H10973" t="s">
        <v>67</v>
      </c>
      <c r="S10973">
        <v>0</v>
      </c>
      <c r="T10973">
        <v>1</v>
      </c>
      <c r="U10973">
        <v>0</v>
      </c>
      <c r="V10973">
        <v>0</v>
      </c>
      <c r="W10973">
        <v>1</v>
      </c>
      <c r="X10973">
        <v>0</v>
      </c>
      <c r="Y10973">
        <v>0</v>
      </c>
      <c r="Z10973">
        <v>1</v>
      </c>
      <c r="AA10973">
        <v>1</v>
      </c>
      <c r="AB10973">
        <v>0</v>
      </c>
      <c r="AC10973">
        <v>0</v>
      </c>
      <c r="AD10973">
        <v>1</v>
      </c>
      <c r="AE10973">
        <v>1</v>
      </c>
      <c r="AF10973">
        <v>1</v>
      </c>
      <c r="AG10973">
        <v>1</v>
      </c>
      <c r="AH10973">
        <v>1</v>
      </c>
      <c r="AI10973">
        <v>1</v>
      </c>
      <c r="AJ10973">
        <v>1</v>
      </c>
      <c r="AK10973">
        <v>1</v>
      </c>
      <c r="AL10973">
        <v>1</v>
      </c>
      <c r="AM10973">
        <v>1</v>
      </c>
    </row>
    <row r="10974" spans="1:39" x14ac:dyDescent="0.2">
      <c r="A10974" t="str">
        <f>"10970"</f>
        <v>10970</v>
      </c>
      <c r="B10974" t="str">
        <f t="shared" si="608"/>
        <v>1</v>
      </c>
      <c r="C10974" t="str">
        <f t="shared" si="610"/>
        <v>220</v>
      </c>
      <c r="D10974" t="str">
        <f>"6"</f>
        <v>6</v>
      </c>
      <c r="E10974" t="str">
        <f>"1-220-6"</f>
        <v>1-220-6</v>
      </c>
      <c r="F10974" t="s">
        <v>65</v>
      </c>
      <c r="G10974" t="s">
        <v>66</v>
      </c>
      <c r="H10974" t="s">
        <v>67</v>
      </c>
      <c r="S10974">
        <v>1</v>
      </c>
      <c r="T10974">
        <v>0</v>
      </c>
      <c r="U10974">
        <v>0</v>
      </c>
      <c r="V10974">
        <v>0</v>
      </c>
      <c r="W10974">
        <v>0</v>
      </c>
      <c r="X10974">
        <v>1</v>
      </c>
      <c r="Y10974">
        <v>0</v>
      </c>
      <c r="Z10974">
        <v>1</v>
      </c>
      <c r="AA10974">
        <v>0</v>
      </c>
      <c r="AB10974">
        <v>0</v>
      </c>
      <c r="AC10974">
        <v>1</v>
      </c>
      <c r="AD10974">
        <v>1</v>
      </c>
      <c r="AE10974">
        <v>1</v>
      </c>
      <c r="AF10974">
        <v>1</v>
      </c>
      <c r="AG10974">
        <v>1</v>
      </c>
      <c r="AH10974">
        <v>1</v>
      </c>
      <c r="AI10974">
        <v>1</v>
      </c>
      <c r="AJ10974">
        <v>1</v>
      </c>
      <c r="AK10974">
        <v>1</v>
      </c>
      <c r="AL10974">
        <v>1</v>
      </c>
      <c r="AM10974">
        <v>1</v>
      </c>
    </row>
    <row r="10975" spans="1:39" x14ac:dyDescent="0.2">
      <c r="A10975" t="str">
        <f>"10971"</f>
        <v>10971</v>
      </c>
      <c r="B10975" t="str">
        <f t="shared" si="608"/>
        <v>1</v>
      </c>
      <c r="C10975" t="str">
        <f t="shared" si="610"/>
        <v>220</v>
      </c>
      <c r="D10975" t="str">
        <f>"33"</f>
        <v>33</v>
      </c>
      <c r="E10975" t="str">
        <f>"1-220-33"</f>
        <v>1-220-33</v>
      </c>
      <c r="F10975" t="s">
        <v>65</v>
      </c>
      <c r="G10975" t="s">
        <v>66</v>
      </c>
      <c r="H10975" t="s">
        <v>67</v>
      </c>
      <c r="S10975">
        <v>0</v>
      </c>
      <c r="T10975">
        <v>0</v>
      </c>
      <c r="U10975">
        <v>0</v>
      </c>
      <c r="V10975">
        <v>0</v>
      </c>
      <c r="W10975">
        <v>1</v>
      </c>
      <c r="X10975">
        <v>0</v>
      </c>
      <c r="Y10975">
        <v>0</v>
      </c>
      <c r="Z10975">
        <v>1</v>
      </c>
      <c r="AA10975">
        <v>0</v>
      </c>
      <c r="AB10975">
        <v>1</v>
      </c>
      <c r="AC10975">
        <v>0</v>
      </c>
      <c r="AD10975">
        <v>1</v>
      </c>
      <c r="AE10975">
        <v>0</v>
      </c>
      <c r="AF10975">
        <v>0</v>
      </c>
      <c r="AG10975">
        <v>1</v>
      </c>
      <c r="AH10975">
        <v>1</v>
      </c>
      <c r="AI10975">
        <v>0</v>
      </c>
      <c r="AJ10975">
        <v>0</v>
      </c>
      <c r="AK10975">
        <v>1</v>
      </c>
      <c r="AL10975">
        <v>0</v>
      </c>
      <c r="AM10975">
        <v>1</v>
      </c>
    </row>
    <row r="10976" spans="1:39" x14ac:dyDescent="0.2">
      <c r="A10976" t="str">
        <f>"10972"</f>
        <v>10972</v>
      </c>
      <c r="B10976" t="str">
        <f t="shared" si="608"/>
        <v>1</v>
      </c>
      <c r="C10976" t="str">
        <f t="shared" si="610"/>
        <v>220</v>
      </c>
      <c r="D10976" t="str">
        <f>"19"</f>
        <v>19</v>
      </c>
      <c r="E10976" t="str">
        <f>"1-220-19"</f>
        <v>1-220-19</v>
      </c>
      <c r="F10976" t="s">
        <v>65</v>
      </c>
      <c r="G10976" t="s">
        <v>66</v>
      </c>
      <c r="H10976" t="s">
        <v>68</v>
      </c>
      <c r="I10976">
        <v>1</v>
      </c>
      <c r="J10976">
        <v>0</v>
      </c>
      <c r="K10976">
        <v>0</v>
      </c>
      <c r="L10976">
        <v>1</v>
      </c>
      <c r="M10976">
        <v>1</v>
      </c>
      <c r="N10976">
        <v>1</v>
      </c>
      <c r="O10976">
        <v>1</v>
      </c>
      <c r="P10976">
        <v>1</v>
      </c>
      <c r="Q10976">
        <v>1</v>
      </c>
      <c r="R10976">
        <v>1</v>
      </c>
    </row>
    <row r="10977" spans="1:39" x14ac:dyDescent="0.2">
      <c r="A10977" t="str">
        <f>"10973"</f>
        <v>10973</v>
      </c>
      <c r="B10977" t="str">
        <f t="shared" si="608"/>
        <v>1</v>
      </c>
      <c r="C10977" t="str">
        <f t="shared" si="610"/>
        <v>220</v>
      </c>
      <c r="D10977" t="str">
        <f>"1"</f>
        <v>1</v>
      </c>
      <c r="E10977" t="str">
        <f>"1-220-1"</f>
        <v>1-220-1</v>
      </c>
      <c r="F10977" t="s">
        <v>65</v>
      </c>
      <c r="G10977" t="s">
        <v>66</v>
      </c>
      <c r="H10977" t="s">
        <v>67</v>
      </c>
      <c r="S10977">
        <v>1</v>
      </c>
      <c r="T10977">
        <v>0</v>
      </c>
      <c r="U10977">
        <v>0</v>
      </c>
      <c r="V10977">
        <v>0</v>
      </c>
      <c r="W10977">
        <v>1</v>
      </c>
      <c r="X10977">
        <v>0</v>
      </c>
      <c r="Y10977">
        <v>1</v>
      </c>
      <c r="Z10977">
        <v>0</v>
      </c>
      <c r="AA10977">
        <v>0</v>
      </c>
      <c r="AB10977">
        <v>0</v>
      </c>
      <c r="AC10977">
        <v>1</v>
      </c>
      <c r="AD10977">
        <v>1</v>
      </c>
      <c r="AE10977">
        <v>1</v>
      </c>
      <c r="AF10977">
        <v>1</v>
      </c>
      <c r="AG10977">
        <v>1</v>
      </c>
      <c r="AH10977">
        <v>1</v>
      </c>
      <c r="AI10977">
        <v>1</v>
      </c>
      <c r="AJ10977">
        <v>1</v>
      </c>
      <c r="AK10977">
        <v>1</v>
      </c>
      <c r="AL10977">
        <v>1</v>
      </c>
      <c r="AM10977">
        <v>1</v>
      </c>
    </row>
    <row r="10978" spans="1:39" x14ac:dyDescent="0.2">
      <c r="A10978" t="str">
        <f>"10974"</f>
        <v>10974</v>
      </c>
      <c r="B10978" t="str">
        <f t="shared" si="608"/>
        <v>1</v>
      </c>
      <c r="C10978" t="str">
        <f t="shared" si="610"/>
        <v>220</v>
      </c>
      <c r="D10978" t="str">
        <f>"47"</f>
        <v>47</v>
      </c>
      <c r="E10978" t="str">
        <f>"1-220-47"</f>
        <v>1-220-47</v>
      </c>
      <c r="F10978" t="s">
        <v>65</v>
      </c>
      <c r="G10978" t="s">
        <v>66</v>
      </c>
      <c r="H10978" t="s">
        <v>67</v>
      </c>
      <c r="S10978">
        <v>0</v>
      </c>
      <c r="T10978">
        <v>1</v>
      </c>
      <c r="U10978">
        <v>0</v>
      </c>
      <c r="V10978">
        <v>0</v>
      </c>
      <c r="W10978">
        <v>0</v>
      </c>
      <c r="X10978">
        <v>1</v>
      </c>
      <c r="Y10978">
        <v>0</v>
      </c>
      <c r="Z10978">
        <v>0</v>
      </c>
      <c r="AA10978">
        <v>1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1</v>
      </c>
      <c r="AH10978">
        <v>1</v>
      </c>
      <c r="AI10978">
        <v>0</v>
      </c>
      <c r="AJ10978">
        <v>0</v>
      </c>
      <c r="AK10978">
        <v>0</v>
      </c>
      <c r="AL10978">
        <v>1</v>
      </c>
      <c r="AM10978">
        <v>0</v>
      </c>
    </row>
    <row r="10979" spans="1:39" x14ac:dyDescent="0.2">
      <c r="A10979" t="str">
        <f>"10975"</f>
        <v>10975</v>
      </c>
      <c r="B10979" t="str">
        <f t="shared" si="608"/>
        <v>1</v>
      </c>
      <c r="C10979" t="str">
        <f t="shared" si="610"/>
        <v>220</v>
      </c>
      <c r="D10979" t="str">
        <f>"46"</f>
        <v>46</v>
      </c>
      <c r="E10979" t="str">
        <f>"1-220-46"</f>
        <v>1-220-46</v>
      </c>
      <c r="F10979" t="s">
        <v>65</v>
      </c>
      <c r="G10979" t="s">
        <v>66</v>
      </c>
      <c r="H10979" t="s">
        <v>67</v>
      </c>
      <c r="S10979">
        <v>0</v>
      </c>
      <c r="T10979">
        <v>1</v>
      </c>
      <c r="U10979">
        <v>0</v>
      </c>
      <c r="V10979">
        <v>0</v>
      </c>
      <c r="W10979">
        <v>0</v>
      </c>
      <c r="X10979">
        <v>1</v>
      </c>
      <c r="Y10979">
        <v>0</v>
      </c>
      <c r="Z10979">
        <v>1</v>
      </c>
      <c r="AA10979">
        <v>0</v>
      </c>
      <c r="AB10979">
        <v>0</v>
      </c>
      <c r="AC10979">
        <v>1</v>
      </c>
      <c r="AD10979">
        <v>1</v>
      </c>
      <c r="AE10979">
        <v>1</v>
      </c>
      <c r="AF10979">
        <v>1</v>
      </c>
      <c r="AG10979">
        <v>1</v>
      </c>
      <c r="AH10979">
        <v>1</v>
      </c>
      <c r="AI10979">
        <v>1</v>
      </c>
      <c r="AJ10979">
        <v>1</v>
      </c>
      <c r="AK10979">
        <v>1</v>
      </c>
      <c r="AL10979">
        <v>1</v>
      </c>
      <c r="AM10979">
        <v>1</v>
      </c>
    </row>
    <row r="10980" spans="1:39" x14ac:dyDescent="0.2">
      <c r="A10980" t="str">
        <f>"10976"</f>
        <v>10976</v>
      </c>
      <c r="B10980" t="str">
        <f t="shared" si="608"/>
        <v>1</v>
      </c>
      <c r="C10980" t="str">
        <f t="shared" si="610"/>
        <v>220</v>
      </c>
      <c r="D10980" t="str">
        <f>"34"</f>
        <v>34</v>
      </c>
      <c r="E10980" t="str">
        <f>"1-220-34"</f>
        <v>1-220-34</v>
      </c>
      <c r="F10980" t="s">
        <v>65</v>
      </c>
      <c r="G10980" t="s">
        <v>66</v>
      </c>
      <c r="H10980" t="s">
        <v>67</v>
      </c>
      <c r="S10980">
        <v>1</v>
      </c>
      <c r="T10980">
        <v>0</v>
      </c>
      <c r="U10980">
        <v>0</v>
      </c>
      <c r="V10980">
        <v>0</v>
      </c>
      <c r="W10980">
        <v>1</v>
      </c>
      <c r="X10980">
        <v>0</v>
      </c>
      <c r="Y10980">
        <v>1</v>
      </c>
      <c r="Z10980">
        <v>0</v>
      </c>
      <c r="AA10980">
        <v>1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1</v>
      </c>
      <c r="AH10980">
        <v>0</v>
      </c>
      <c r="AI10980">
        <v>0</v>
      </c>
      <c r="AJ10980">
        <v>1</v>
      </c>
      <c r="AK10980">
        <v>1</v>
      </c>
      <c r="AL10980">
        <v>1</v>
      </c>
      <c r="AM10980">
        <v>0</v>
      </c>
    </row>
    <row r="10981" spans="1:39" x14ac:dyDescent="0.2">
      <c r="A10981" t="str">
        <f>"10977"</f>
        <v>10977</v>
      </c>
      <c r="B10981" t="str">
        <f t="shared" si="608"/>
        <v>1</v>
      </c>
      <c r="C10981" t="str">
        <f t="shared" si="610"/>
        <v>220</v>
      </c>
      <c r="D10981" t="str">
        <f>"20"</f>
        <v>20</v>
      </c>
      <c r="E10981" t="str">
        <f>"1-220-20"</f>
        <v>1-220-20</v>
      </c>
      <c r="F10981" t="s">
        <v>65</v>
      </c>
      <c r="G10981" t="s">
        <v>66</v>
      </c>
      <c r="H10981" t="s">
        <v>68</v>
      </c>
      <c r="I10981">
        <v>1</v>
      </c>
      <c r="J10981">
        <v>1</v>
      </c>
      <c r="K10981">
        <v>0</v>
      </c>
      <c r="L10981">
        <v>0</v>
      </c>
      <c r="M10981">
        <v>1</v>
      </c>
      <c r="N10981">
        <v>1</v>
      </c>
      <c r="O10981">
        <v>1</v>
      </c>
      <c r="P10981">
        <v>1</v>
      </c>
      <c r="Q10981">
        <v>1</v>
      </c>
      <c r="R10981">
        <v>1</v>
      </c>
    </row>
    <row r="10982" spans="1:39" x14ac:dyDescent="0.2">
      <c r="A10982" t="str">
        <f>"10978"</f>
        <v>10978</v>
      </c>
      <c r="B10982" t="str">
        <f t="shared" si="608"/>
        <v>1</v>
      </c>
      <c r="C10982" t="str">
        <f t="shared" si="610"/>
        <v>220</v>
      </c>
      <c r="D10982" t="str">
        <f>"14"</f>
        <v>14</v>
      </c>
      <c r="E10982" t="str">
        <f>"1-220-14"</f>
        <v>1-220-14</v>
      </c>
      <c r="F10982" t="s">
        <v>65</v>
      </c>
      <c r="G10982" t="s">
        <v>66</v>
      </c>
      <c r="H10982" t="s">
        <v>67</v>
      </c>
      <c r="S10982">
        <v>0</v>
      </c>
      <c r="T10982">
        <v>1</v>
      </c>
      <c r="U10982">
        <v>0</v>
      </c>
      <c r="V10982">
        <v>0</v>
      </c>
      <c r="W10982">
        <v>0</v>
      </c>
      <c r="X10982">
        <v>1</v>
      </c>
      <c r="Y10982">
        <v>0</v>
      </c>
      <c r="Z10982">
        <v>1</v>
      </c>
      <c r="AA10982">
        <v>0</v>
      </c>
      <c r="AB10982">
        <v>0</v>
      </c>
      <c r="AC10982">
        <v>1</v>
      </c>
      <c r="AD10982">
        <v>1</v>
      </c>
      <c r="AE10982">
        <v>1</v>
      </c>
      <c r="AF10982">
        <v>1</v>
      </c>
      <c r="AG10982">
        <v>1</v>
      </c>
      <c r="AH10982">
        <v>1</v>
      </c>
      <c r="AI10982">
        <v>1</v>
      </c>
      <c r="AJ10982">
        <v>1</v>
      </c>
      <c r="AK10982">
        <v>1</v>
      </c>
      <c r="AL10982">
        <v>1</v>
      </c>
      <c r="AM10982">
        <v>1</v>
      </c>
    </row>
    <row r="10983" spans="1:39" x14ac:dyDescent="0.2">
      <c r="A10983" t="str">
        <f>"10979"</f>
        <v>10979</v>
      </c>
      <c r="B10983" t="str">
        <f t="shared" si="608"/>
        <v>1</v>
      </c>
      <c r="C10983" t="str">
        <f t="shared" si="610"/>
        <v>220</v>
      </c>
      <c r="D10983" t="str">
        <f>"45"</f>
        <v>45</v>
      </c>
      <c r="E10983" t="str">
        <f>"1-220-45"</f>
        <v>1-220-45</v>
      </c>
      <c r="F10983" t="s">
        <v>65</v>
      </c>
      <c r="G10983" t="s">
        <v>66</v>
      </c>
      <c r="H10983" t="s">
        <v>68</v>
      </c>
      <c r="I10983">
        <v>1</v>
      </c>
      <c r="J10983">
        <v>1</v>
      </c>
      <c r="K10983">
        <v>0</v>
      </c>
      <c r="L10983">
        <v>0</v>
      </c>
      <c r="M10983">
        <v>1</v>
      </c>
      <c r="N10983">
        <v>1</v>
      </c>
      <c r="O10983">
        <v>1</v>
      </c>
      <c r="P10983">
        <v>1</v>
      </c>
      <c r="Q10983">
        <v>1</v>
      </c>
      <c r="R10983">
        <v>1</v>
      </c>
    </row>
    <row r="10984" spans="1:39" x14ac:dyDescent="0.2">
      <c r="A10984" t="str">
        <f>"10980"</f>
        <v>10980</v>
      </c>
      <c r="B10984" t="str">
        <f t="shared" si="608"/>
        <v>1</v>
      </c>
      <c r="C10984" t="str">
        <f t="shared" si="610"/>
        <v>220</v>
      </c>
      <c r="D10984" t="str">
        <f>"22"</f>
        <v>22</v>
      </c>
      <c r="E10984" t="str">
        <f>"1-220-22"</f>
        <v>1-220-22</v>
      </c>
      <c r="F10984" t="s">
        <v>65</v>
      </c>
      <c r="G10984" t="s">
        <v>66</v>
      </c>
      <c r="H10984" t="s">
        <v>67</v>
      </c>
      <c r="S10984">
        <v>0</v>
      </c>
      <c r="T10984">
        <v>1</v>
      </c>
      <c r="U10984">
        <v>0</v>
      </c>
      <c r="V10984">
        <v>0</v>
      </c>
      <c r="W10984">
        <v>0</v>
      </c>
      <c r="X10984">
        <v>1</v>
      </c>
      <c r="Y10984">
        <v>0</v>
      </c>
      <c r="Z10984">
        <v>1</v>
      </c>
      <c r="AA10984">
        <v>0</v>
      </c>
      <c r="AB10984">
        <v>0</v>
      </c>
      <c r="AC10984">
        <v>1</v>
      </c>
      <c r="AD10984">
        <v>1</v>
      </c>
      <c r="AE10984">
        <v>1</v>
      </c>
      <c r="AF10984">
        <v>1</v>
      </c>
      <c r="AG10984">
        <v>1</v>
      </c>
      <c r="AH10984">
        <v>1</v>
      </c>
      <c r="AI10984">
        <v>1</v>
      </c>
      <c r="AJ10984">
        <v>1</v>
      </c>
      <c r="AK10984">
        <v>1</v>
      </c>
      <c r="AL10984">
        <v>1</v>
      </c>
      <c r="AM10984">
        <v>1</v>
      </c>
    </row>
    <row r="10985" spans="1:39" x14ac:dyDescent="0.2">
      <c r="A10985" t="str">
        <f>"10981"</f>
        <v>10981</v>
      </c>
      <c r="B10985" t="str">
        <f t="shared" si="608"/>
        <v>1</v>
      </c>
      <c r="C10985" t="str">
        <f t="shared" si="610"/>
        <v>220</v>
      </c>
      <c r="D10985" t="str">
        <f>"13"</f>
        <v>13</v>
      </c>
      <c r="E10985" t="str">
        <f>"1-220-13"</f>
        <v>1-220-13</v>
      </c>
      <c r="F10985" t="s">
        <v>65</v>
      </c>
      <c r="G10985" t="s">
        <v>66</v>
      </c>
      <c r="H10985" t="s">
        <v>67</v>
      </c>
      <c r="S10985">
        <v>0</v>
      </c>
      <c r="T10985">
        <v>1</v>
      </c>
      <c r="U10985">
        <v>0</v>
      </c>
      <c r="V10985">
        <v>0</v>
      </c>
      <c r="W10985">
        <v>0</v>
      </c>
      <c r="X10985">
        <v>1</v>
      </c>
      <c r="Y10985">
        <v>1</v>
      </c>
      <c r="Z10985">
        <v>0</v>
      </c>
      <c r="AA10985">
        <v>0</v>
      </c>
      <c r="AB10985">
        <v>0</v>
      </c>
      <c r="AC10985">
        <v>0</v>
      </c>
      <c r="AD10985">
        <v>1</v>
      </c>
      <c r="AE10985">
        <v>1</v>
      </c>
      <c r="AF10985">
        <v>1</v>
      </c>
      <c r="AG10985">
        <v>1</v>
      </c>
      <c r="AH10985">
        <v>1</v>
      </c>
      <c r="AI10985">
        <v>1</v>
      </c>
      <c r="AJ10985">
        <v>1</v>
      </c>
      <c r="AK10985">
        <v>1</v>
      </c>
      <c r="AL10985">
        <v>1</v>
      </c>
      <c r="AM10985">
        <v>1</v>
      </c>
    </row>
    <row r="10986" spans="1:39" x14ac:dyDescent="0.2">
      <c r="A10986" t="str">
        <f>"10982"</f>
        <v>10982</v>
      </c>
      <c r="B10986" t="str">
        <f t="shared" si="608"/>
        <v>1</v>
      </c>
      <c r="C10986" t="str">
        <f t="shared" si="610"/>
        <v>220</v>
      </c>
      <c r="D10986" t="str">
        <f>"43"</f>
        <v>43</v>
      </c>
      <c r="E10986" t="str">
        <f>"1-220-43"</f>
        <v>1-220-43</v>
      </c>
      <c r="F10986" t="s">
        <v>65</v>
      </c>
      <c r="G10986" t="s">
        <v>66</v>
      </c>
      <c r="H10986" t="s">
        <v>67</v>
      </c>
      <c r="S10986">
        <v>0</v>
      </c>
      <c r="T10986">
        <v>1</v>
      </c>
      <c r="U10986">
        <v>0</v>
      </c>
      <c r="V10986">
        <v>0</v>
      </c>
      <c r="W10986">
        <v>0</v>
      </c>
      <c r="X10986">
        <v>1</v>
      </c>
      <c r="Y10986">
        <v>0</v>
      </c>
      <c r="Z10986">
        <v>1</v>
      </c>
      <c r="AA10986">
        <v>1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1</v>
      </c>
      <c r="AH10986">
        <v>0</v>
      </c>
      <c r="AI10986">
        <v>0</v>
      </c>
      <c r="AJ10986">
        <v>0</v>
      </c>
      <c r="AK10986">
        <v>0</v>
      </c>
      <c r="AL10986">
        <v>0</v>
      </c>
      <c r="AM10986">
        <v>0</v>
      </c>
    </row>
    <row r="10987" spans="1:39" x14ac:dyDescent="0.2">
      <c r="A10987" t="str">
        <f>"10983"</f>
        <v>10983</v>
      </c>
      <c r="B10987" t="str">
        <f t="shared" si="608"/>
        <v>1</v>
      </c>
      <c r="C10987" t="str">
        <f t="shared" ref="C10987:C11004" si="611">"220"</f>
        <v>220</v>
      </c>
      <c r="D10987" t="str">
        <f>"23"</f>
        <v>23</v>
      </c>
      <c r="E10987" t="str">
        <f>"1-220-23"</f>
        <v>1-220-23</v>
      </c>
      <c r="F10987" t="s">
        <v>65</v>
      </c>
      <c r="G10987" t="s">
        <v>66</v>
      </c>
      <c r="H10987" t="s">
        <v>68</v>
      </c>
      <c r="I10987">
        <v>1</v>
      </c>
      <c r="J10987">
        <v>0</v>
      </c>
      <c r="K10987">
        <v>0</v>
      </c>
      <c r="L10987">
        <v>1</v>
      </c>
      <c r="M10987">
        <v>1</v>
      </c>
      <c r="N10987">
        <v>1</v>
      </c>
      <c r="O10987">
        <v>1</v>
      </c>
      <c r="P10987">
        <v>1</v>
      </c>
      <c r="Q10987">
        <v>1</v>
      </c>
      <c r="R10987">
        <v>1</v>
      </c>
    </row>
    <row r="10988" spans="1:39" x14ac:dyDescent="0.2">
      <c r="A10988" t="str">
        <f>"10984"</f>
        <v>10984</v>
      </c>
      <c r="B10988" t="str">
        <f t="shared" si="608"/>
        <v>1</v>
      </c>
      <c r="C10988" t="str">
        <f t="shared" si="611"/>
        <v>220</v>
      </c>
      <c r="D10988" t="str">
        <f>"4"</f>
        <v>4</v>
      </c>
      <c r="E10988" t="str">
        <f>"1-220-4"</f>
        <v>1-220-4</v>
      </c>
      <c r="F10988" t="s">
        <v>65</v>
      </c>
      <c r="G10988" t="s">
        <v>66</v>
      </c>
      <c r="H10988" t="s">
        <v>67</v>
      </c>
      <c r="S10988">
        <v>0</v>
      </c>
      <c r="T10988">
        <v>1</v>
      </c>
      <c r="U10988">
        <v>0</v>
      </c>
      <c r="V10988">
        <v>0</v>
      </c>
      <c r="W10988">
        <v>1</v>
      </c>
      <c r="X10988">
        <v>0</v>
      </c>
      <c r="Y10988">
        <v>0</v>
      </c>
      <c r="Z10988">
        <v>1</v>
      </c>
      <c r="AA10988">
        <v>0</v>
      </c>
      <c r="AB10988">
        <v>0</v>
      </c>
      <c r="AC10988">
        <v>1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</row>
    <row r="10989" spans="1:39" x14ac:dyDescent="0.2">
      <c r="A10989" t="str">
        <f>"10985"</f>
        <v>10985</v>
      </c>
      <c r="B10989" t="str">
        <f t="shared" si="608"/>
        <v>1</v>
      </c>
      <c r="C10989" t="str">
        <f t="shared" si="611"/>
        <v>220</v>
      </c>
      <c r="D10989" t="str">
        <f>"48"</f>
        <v>48</v>
      </c>
      <c r="E10989" t="str">
        <f>"1-220-48"</f>
        <v>1-220-48</v>
      </c>
      <c r="F10989" t="s">
        <v>65</v>
      </c>
      <c r="G10989" t="s">
        <v>66</v>
      </c>
      <c r="H10989" t="s">
        <v>67</v>
      </c>
      <c r="S10989">
        <v>1</v>
      </c>
      <c r="T10989">
        <v>0</v>
      </c>
      <c r="U10989">
        <v>0</v>
      </c>
      <c r="V10989">
        <v>0</v>
      </c>
      <c r="W10989">
        <v>1</v>
      </c>
      <c r="X10989">
        <v>0</v>
      </c>
      <c r="Y10989">
        <v>1</v>
      </c>
      <c r="Z10989">
        <v>0</v>
      </c>
      <c r="AA10989">
        <v>0</v>
      </c>
      <c r="AB10989">
        <v>0</v>
      </c>
      <c r="AC10989">
        <v>1</v>
      </c>
      <c r="AD10989">
        <v>1</v>
      </c>
      <c r="AE10989">
        <v>1</v>
      </c>
      <c r="AF10989">
        <v>1</v>
      </c>
      <c r="AG10989">
        <v>1</v>
      </c>
      <c r="AH10989">
        <v>1</v>
      </c>
      <c r="AI10989">
        <v>1</v>
      </c>
      <c r="AJ10989">
        <v>1</v>
      </c>
      <c r="AK10989">
        <v>1</v>
      </c>
      <c r="AL10989">
        <v>1</v>
      </c>
      <c r="AM10989">
        <v>1</v>
      </c>
    </row>
    <row r="10990" spans="1:39" x14ac:dyDescent="0.2">
      <c r="A10990" t="str">
        <f>"10986"</f>
        <v>10986</v>
      </c>
      <c r="B10990" t="str">
        <f t="shared" si="608"/>
        <v>1</v>
      </c>
      <c r="C10990" t="str">
        <f t="shared" si="611"/>
        <v>220</v>
      </c>
      <c r="D10990" t="str">
        <f>"25"</f>
        <v>25</v>
      </c>
      <c r="E10990" t="str">
        <f>"1-220-25"</f>
        <v>1-220-25</v>
      </c>
      <c r="F10990" t="s">
        <v>65</v>
      </c>
      <c r="G10990" t="s">
        <v>66</v>
      </c>
      <c r="H10990" t="s">
        <v>67</v>
      </c>
      <c r="S10990">
        <v>1</v>
      </c>
      <c r="T10990">
        <v>0</v>
      </c>
      <c r="U10990">
        <v>0</v>
      </c>
      <c r="V10990">
        <v>0</v>
      </c>
      <c r="W10990">
        <v>1</v>
      </c>
      <c r="X10990">
        <v>0</v>
      </c>
      <c r="Y10990">
        <v>1</v>
      </c>
      <c r="Z10990">
        <v>0</v>
      </c>
      <c r="AA10990">
        <v>0</v>
      </c>
      <c r="AB10990">
        <v>1</v>
      </c>
      <c r="AC10990">
        <v>0</v>
      </c>
      <c r="AD10990">
        <v>1</v>
      </c>
      <c r="AE10990">
        <v>1</v>
      </c>
      <c r="AF10990">
        <v>0</v>
      </c>
      <c r="AG10990">
        <v>1</v>
      </c>
      <c r="AH10990">
        <v>1</v>
      </c>
      <c r="AI10990">
        <v>1</v>
      </c>
      <c r="AJ10990">
        <v>1</v>
      </c>
      <c r="AK10990">
        <v>1</v>
      </c>
      <c r="AL10990">
        <v>1</v>
      </c>
      <c r="AM10990">
        <v>1</v>
      </c>
    </row>
    <row r="10991" spans="1:39" x14ac:dyDescent="0.2">
      <c r="A10991" t="str">
        <f>"10987"</f>
        <v>10987</v>
      </c>
      <c r="B10991" t="str">
        <f t="shared" si="608"/>
        <v>1</v>
      </c>
      <c r="C10991" t="str">
        <f t="shared" si="611"/>
        <v>220</v>
      </c>
      <c r="D10991" t="str">
        <f>"2"</f>
        <v>2</v>
      </c>
      <c r="E10991" t="str">
        <f>"1-220-2"</f>
        <v>1-220-2</v>
      </c>
      <c r="F10991" t="s">
        <v>65</v>
      </c>
      <c r="G10991" t="s">
        <v>66</v>
      </c>
      <c r="H10991" t="s">
        <v>67</v>
      </c>
      <c r="S10991">
        <v>1</v>
      </c>
      <c r="T10991">
        <v>0</v>
      </c>
      <c r="U10991">
        <v>0</v>
      </c>
      <c r="V10991">
        <v>0</v>
      </c>
      <c r="W10991">
        <v>1</v>
      </c>
      <c r="X10991">
        <v>0</v>
      </c>
      <c r="Y10991">
        <v>1</v>
      </c>
      <c r="Z10991">
        <v>0</v>
      </c>
      <c r="AA10991">
        <v>0</v>
      </c>
      <c r="AB10991">
        <v>0</v>
      </c>
      <c r="AC10991">
        <v>1</v>
      </c>
      <c r="AD10991">
        <v>1</v>
      </c>
      <c r="AE10991">
        <v>1</v>
      </c>
      <c r="AF10991">
        <v>1</v>
      </c>
      <c r="AG10991">
        <v>1</v>
      </c>
      <c r="AH10991">
        <v>1</v>
      </c>
      <c r="AI10991">
        <v>1</v>
      </c>
      <c r="AJ10991">
        <v>1</v>
      </c>
      <c r="AK10991">
        <v>1</v>
      </c>
      <c r="AL10991">
        <v>1</v>
      </c>
      <c r="AM10991">
        <v>1</v>
      </c>
    </row>
    <row r="10992" spans="1:39" x14ac:dyDescent="0.2">
      <c r="A10992" t="str">
        <f>"10988"</f>
        <v>10988</v>
      </c>
      <c r="B10992" t="str">
        <f t="shared" si="608"/>
        <v>1</v>
      </c>
      <c r="C10992" t="str">
        <f t="shared" si="611"/>
        <v>220</v>
      </c>
      <c r="D10992" t="str">
        <f>"44"</f>
        <v>44</v>
      </c>
      <c r="E10992" t="str">
        <f>"1-220-44"</f>
        <v>1-220-44</v>
      </c>
      <c r="F10992" t="s">
        <v>65</v>
      </c>
      <c r="G10992" t="s">
        <v>66</v>
      </c>
      <c r="H10992" t="s">
        <v>67</v>
      </c>
      <c r="S10992">
        <v>1</v>
      </c>
      <c r="T10992">
        <v>0</v>
      </c>
      <c r="U10992">
        <v>0</v>
      </c>
      <c r="V10992">
        <v>0</v>
      </c>
      <c r="W10992">
        <v>1</v>
      </c>
      <c r="X10992">
        <v>0</v>
      </c>
      <c r="Y10992">
        <v>1</v>
      </c>
      <c r="Z10992">
        <v>0</v>
      </c>
      <c r="AA10992">
        <v>1</v>
      </c>
      <c r="AB10992">
        <v>0</v>
      </c>
      <c r="AC10992">
        <v>0</v>
      </c>
      <c r="AD10992">
        <v>1</v>
      </c>
      <c r="AE10992">
        <v>1</v>
      </c>
      <c r="AF10992">
        <v>1</v>
      </c>
      <c r="AG10992">
        <v>1</v>
      </c>
      <c r="AH10992">
        <v>1</v>
      </c>
      <c r="AI10992">
        <v>1</v>
      </c>
      <c r="AJ10992">
        <v>1</v>
      </c>
      <c r="AK10992">
        <v>1</v>
      </c>
      <c r="AL10992">
        <v>1</v>
      </c>
      <c r="AM10992">
        <v>0</v>
      </c>
    </row>
    <row r="10993" spans="1:39" x14ac:dyDescent="0.2">
      <c r="A10993" t="str">
        <f>"10989"</f>
        <v>10989</v>
      </c>
      <c r="B10993" t="str">
        <f t="shared" si="608"/>
        <v>1</v>
      </c>
      <c r="C10993" t="str">
        <f t="shared" si="611"/>
        <v>220</v>
      </c>
      <c r="D10993" t="str">
        <f>"26"</f>
        <v>26</v>
      </c>
      <c r="E10993" t="str">
        <f>"1-220-26"</f>
        <v>1-220-26</v>
      </c>
      <c r="F10993" t="s">
        <v>65</v>
      </c>
      <c r="G10993" t="s">
        <v>66</v>
      </c>
      <c r="H10993" t="s">
        <v>68</v>
      </c>
      <c r="I10993">
        <v>1</v>
      </c>
      <c r="J10993">
        <v>0</v>
      </c>
      <c r="K10993">
        <v>0</v>
      </c>
      <c r="L10993">
        <v>1</v>
      </c>
      <c r="M10993">
        <v>1</v>
      </c>
      <c r="N10993">
        <v>1</v>
      </c>
      <c r="O10993">
        <v>1</v>
      </c>
      <c r="P10993">
        <v>1</v>
      </c>
      <c r="Q10993">
        <v>1</v>
      </c>
      <c r="R10993">
        <v>1</v>
      </c>
    </row>
    <row r="10994" spans="1:39" x14ac:dyDescent="0.2">
      <c r="A10994" t="str">
        <f>"10990"</f>
        <v>10990</v>
      </c>
      <c r="B10994" t="str">
        <f t="shared" si="608"/>
        <v>1</v>
      </c>
      <c r="C10994" t="str">
        <f t="shared" si="611"/>
        <v>220</v>
      </c>
      <c r="D10994" t="str">
        <f>"11"</f>
        <v>11</v>
      </c>
      <c r="E10994" t="str">
        <f>"1-220-11"</f>
        <v>1-220-11</v>
      </c>
      <c r="F10994" t="s">
        <v>65</v>
      </c>
      <c r="G10994" t="s">
        <v>66</v>
      </c>
      <c r="H10994" t="s">
        <v>67</v>
      </c>
      <c r="S10994">
        <v>1</v>
      </c>
      <c r="T10994">
        <v>0</v>
      </c>
      <c r="U10994">
        <v>0</v>
      </c>
      <c r="V10994">
        <v>0</v>
      </c>
      <c r="W10994">
        <v>1</v>
      </c>
      <c r="X10994">
        <v>0</v>
      </c>
      <c r="Y10994">
        <v>0</v>
      </c>
      <c r="Z10994">
        <v>1</v>
      </c>
      <c r="AA10994">
        <v>1</v>
      </c>
      <c r="AB10994">
        <v>0</v>
      </c>
      <c r="AC10994">
        <v>0</v>
      </c>
      <c r="AD10994">
        <v>1</v>
      </c>
      <c r="AE10994">
        <v>1</v>
      </c>
      <c r="AF10994">
        <v>1</v>
      </c>
      <c r="AG10994">
        <v>1</v>
      </c>
      <c r="AH10994">
        <v>1</v>
      </c>
      <c r="AI10994">
        <v>1</v>
      </c>
      <c r="AJ10994">
        <v>1</v>
      </c>
      <c r="AK10994">
        <v>1</v>
      </c>
      <c r="AL10994">
        <v>1</v>
      </c>
      <c r="AM10994">
        <v>1</v>
      </c>
    </row>
    <row r="10995" spans="1:39" x14ac:dyDescent="0.2">
      <c r="A10995" t="str">
        <f>"10991"</f>
        <v>10991</v>
      </c>
      <c r="B10995" t="str">
        <f t="shared" si="608"/>
        <v>1</v>
      </c>
      <c r="C10995" t="str">
        <f t="shared" si="611"/>
        <v>220</v>
      </c>
      <c r="D10995" t="str">
        <f>"49"</f>
        <v>49</v>
      </c>
      <c r="E10995" t="str">
        <f>"1-220-49"</f>
        <v>1-220-49</v>
      </c>
      <c r="F10995" t="s">
        <v>65</v>
      </c>
      <c r="G10995" t="s">
        <v>66</v>
      </c>
      <c r="H10995" t="s">
        <v>67</v>
      </c>
      <c r="S10995">
        <v>0</v>
      </c>
      <c r="T10995">
        <v>0</v>
      </c>
      <c r="U10995">
        <v>0</v>
      </c>
      <c r="V10995">
        <v>0</v>
      </c>
      <c r="W10995">
        <v>1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1</v>
      </c>
      <c r="AE10995">
        <v>1</v>
      </c>
      <c r="AF10995">
        <v>1</v>
      </c>
      <c r="AG10995">
        <v>1</v>
      </c>
      <c r="AH10995">
        <v>1</v>
      </c>
      <c r="AI10995">
        <v>1</v>
      </c>
      <c r="AJ10995">
        <v>1</v>
      </c>
      <c r="AK10995">
        <v>1</v>
      </c>
      <c r="AL10995">
        <v>1</v>
      </c>
      <c r="AM10995">
        <v>1</v>
      </c>
    </row>
    <row r="10996" spans="1:39" x14ac:dyDescent="0.2">
      <c r="A10996" t="str">
        <f>"10992"</f>
        <v>10992</v>
      </c>
      <c r="B10996" t="str">
        <f t="shared" si="608"/>
        <v>1</v>
      </c>
      <c r="C10996" t="str">
        <f t="shared" si="611"/>
        <v>220</v>
      </c>
      <c r="D10996" t="str">
        <f>"27"</f>
        <v>27</v>
      </c>
      <c r="E10996" t="str">
        <f>"1-220-27"</f>
        <v>1-220-27</v>
      </c>
      <c r="F10996" t="s">
        <v>65</v>
      </c>
      <c r="G10996" t="s">
        <v>66</v>
      </c>
      <c r="H10996" t="s">
        <v>67</v>
      </c>
      <c r="S10996">
        <v>1</v>
      </c>
      <c r="T10996">
        <v>0</v>
      </c>
      <c r="U10996">
        <v>0</v>
      </c>
      <c r="V10996">
        <v>0</v>
      </c>
      <c r="W10996">
        <v>1</v>
      </c>
      <c r="X10996">
        <v>0</v>
      </c>
      <c r="Y10996">
        <v>1</v>
      </c>
      <c r="Z10996">
        <v>0</v>
      </c>
      <c r="AA10996">
        <v>1</v>
      </c>
      <c r="AB10996">
        <v>0</v>
      </c>
      <c r="AC10996">
        <v>0</v>
      </c>
      <c r="AD10996">
        <v>1</v>
      </c>
      <c r="AE10996">
        <v>1</v>
      </c>
      <c r="AF10996">
        <v>1</v>
      </c>
      <c r="AG10996">
        <v>1</v>
      </c>
      <c r="AH10996">
        <v>1</v>
      </c>
      <c r="AI10996">
        <v>1</v>
      </c>
      <c r="AJ10996">
        <v>1</v>
      </c>
      <c r="AK10996">
        <v>1</v>
      </c>
      <c r="AL10996">
        <v>1</v>
      </c>
      <c r="AM10996">
        <v>1</v>
      </c>
    </row>
    <row r="10997" spans="1:39" x14ac:dyDescent="0.2">
      <c r="A10997" t="str">
        <f>"10993"</f>
        <v>10993</v>
      </c>
      <c r="B10997" t="str">
        <f t="shared" si="608"/>
        <v>1</v>
      </c>
      <c r="C10997" t="str">
        <f t="shared" si="611"/>
        <v>220</v>
      </c>
      <c r="D10997" t="str">
        <f>"9"</f>
        <v>9</v>
      </c>
      <c r="E10997" t="str">
        <f>"1-220-9"</f>
        <v>1-220-9</v>
      </c>
      <c r="F10997" t="s">
        <v>65</v>
      </c>
      <c r="G10997" t="s">
        <v>66</v>
      </c>
      <c r="H10997" t="s">
        <v>67</v>
      </c>
      <c r="S10997">
        <v>1</v>
      </c>
      <c r="T10997">
        <v>0</v>
      </c>
      <c r="U10997">
        <v>0</v>
      </c>
      <c r="V10997">
        <v>0</v>
      </c>
      <c r="W10997">
        <v>1</v>
      </c>
      <c r="X10997">
        <v>0</v>
      </c>
      <c r="Y10997">
        <v>1</v>
      </c>
      <c r="Z10997">
        <v>0</v>
      </c>
      <c r="AA10997">
        <v>1</v>
      </c>
      <c r="AB10997">
        <v>0</v>
      </c>
      <c r="AC10997">
        <v>0</v>
      </c>
      <c r="AD10997">
        <v>1</v>
      </c>
      <c r="AE10997">
        <v>1</v>
      </c>
      <c r="AF10997">
        <v>1</v>
      </c>
      <c r="AG10997">
        <v>1</v>
      </c>
      <c r="AH10997">
        <v>1</v>
      </c>
      <c r="AI10997">
        <v>1</v>
      </c>
      <c r="AJ10997">
        <v>1</v>
      </c>
      <c r="AK10997">
        <v>1</v>
      </c>
      <c r="AL10997">
        <v>1</v>
      </c>
      <c r="AM10997">
        <v>1</v>
      </c>
    </row>
    <row r="10998" spans="1:39" x14ac:dyDescent="0.2">
      <c r="A10998" t="str">
        <f>"10994"</f>
        <v>10994</v>
      </c>
      <c r="B10998" t="str">
        <f t="shared" si="608"/>
        <v>1</v>
      </c>
      <c r="C10998" t="str">
        <f t="shared" si="611"/>
        <v>220</v>
      </c>
      <c r="D10998" t="str">
        <f>"30"</f>
        <v>30</v>
      </c>
      <c r="E10998" t="str">
        <f>"1-220-30"</f>
        <v>1-220-30</v>
      </c>
      <c r="F10998" t="s">
        <v>65</v>
      </c>
      <c r="G10998" t="s">
        <v>66</v>
      </c>
      <c r="H10998" t="s">
        <v>67</v>
      </c>
      <c r="S10998">
        <v>0</v>
      </c>
      <c r="T10998">
        <v>1</v>
      </c>
      <c r="U10998">
        <v>0</v>
      </c>
      <c r="V10998">
        <v>0</v>
      </c>
      <c r="W10998">
        <v>0</v>
      </c>
      <c r="X10998">
        <v>1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</row>
    <row r="10999" spans="1:39" x14ac:dyDescent="0.2">
      <c r="A10999" t="str">
        <f>"10995"</f>
        <v>10995</v>
      </c>
      <c r="B10999" t="str">
        <f t="shared" ref="B10999:B11062" si="612">"1"</f>
        <v>1</v>
      </c>
      <c r="C10999" t="str">
        <f t="shared" si="611"/>
        <v>220</v>
      </c>
      <c r="D10999" t="str">
        <f>"12"</f>
        <v>12</v>
      </c>
      <c r="E10999" t="str">
        <f>"1-220-12"</f>
        <v>1-220-12</v>
      </c>
      <c r="F10999" t="s">
        <v>65</v>
      </c>
      <c r="G10999" t="s">
        <v>66</v>
      </c>
      <c r="H10999" t="s">
        <v>67</v>
      </c>
      <c r="S10999">
        <v>0</v>
      </c>
      <c r="T10999">
        <v>1</v>
      </c>
      <c r="U10999">
        <v>0</v>
      </c>
      <c r="V10999">
        <v>0</v>
      </c>
      <c r="W10999">
        <v>0</v>
      </c>
      <c r="X10999">
        <v>1</v>
      </c>
      <c r="Y10999">
        <v>0</v>
      </c>
      <c r="Z10999">
        <v>1</v>
      </c>
      <c r="AA10999">
        <v>0</v>
      </c>
      <c r="AB10999">
        <v>0</v>
      </c>
      <c r="AC10999">
        <v>1</v>
      </c>
      <c r="AD10999">
        <v>1</v>
      </c>
      <c r="AE10999">
        <v>1</v>
      </c>
      <c r="AF10999">
        <v>1</v>
      </c>
      <c r="AG10999">
        <v>1</v>
      </c>
      <c r="AH10999">
        <v>1</v>
      </c>
      <c r="AI10999">
        <v>1</v>
      </c>
      <c r="AJ10999">
        <v>1</v>
      </c>
      <c r="AK10999">
        <v>1</v>
      </c>
      <c r="AL10999">
        <v>1</v>
      </c>
      <c r="AM10999">
        <v>1</v>
      </c>
    </row>
    <row r="11000" spans="1:39" x14ac:dyDescent="0.2">
      <c r="A11000" t="str">
        <f>"10996"</f>
        <v>10996</v>
      </c>
      <c r="B11000" t="str">
        <f t="shared" si="612"/>
        <v>1</v>
      </c>
      <c r="C11000" t="str">
        <f t="shared" si="611"/>
        <v>220</v>
      </c>
      <c r="D11000" t="str">
        <f>"31"</f>
        <v>31</v>
      </c>
      <c r="E11000" t="str">
        <f>"1-220-31"</f>
        <v>1-220-31</v>
      </c>
      <c r="F11000" t="s">
        <v>65</v>
      </c>
      <c r="G11000" t="s">
        <v>66</v>
      </c>
      <c r="H11000" t="s">
        <v>67</v>
      </c>
      <c r="S11000">
        <v>0</v>
      </c>
      <c r="T11000">
        <v>1</v>
      </c>
      <c r="U11000">
        <v>0</v>
      </c>
      <c r="V11000">
        <v>0</v>
      </c>
      <c r="W11000">
        <v>1</v>
      </c>
      <c r="X11000">
        <v>0</v>
      </c>
      <c r="Y11000">
        <v>0</v>
      </c>
      <c r="Z11000">
        <v>1</v>
      </c>
      <c r="AA11000">
        <v>1</v>
      </c>
      <c r="AB11000">
        <v>0</v>
      </c>
      <c r="AC11000">
        <v>0</v>
      </c>
      <c r="AD11000">
        <v>1</v>
      </c>
      <c r="AE11000">
        <v>1</v>
      </c>
      <c r="AF11000">
        <v>1</v>
      </c>
      <c r="AG11000">
        <v>1</v>
      </c>
      <c r="AH11000">
        <v>1</v>
      </c>
      <c r="AI11000">
        <v>1</v>
      </c>
      <c r="AJ11000">
        <v>1</v>
      </c>
      <c r="AK11000">
        <v>1</v>
      </c>
      <c r="AL11000">
        <v>1</v>
      </c>
      <c r="AM11000">
        <v>0</v>
      </c>
    </row>
    <row r="11001" spans="1:39" x14ac:dyDescent="0.2">
      <c r="A11001" t="str">
        <f>"10997"</f>
        <v>10997</v>
      </c>
      <c r="B11001" t="str">
        <f t="shared" si="612"/>
        <v>1</v>
      </c>
      <c r="C11001" t="str">
        <f t="shared" si="611"/>
        <v>220</v>
      </c>
      <c r="D11001" t="str">
        <f>"7"</f>
        <v>7</v>
      </c>
      <c r="E11001" t="str">
        <f>"1-220-7"</f>
        <v>1-220-7</v>
      </c>
      <c r="F11001" t="s">
        <v>65</v>
      </c>
      <c r="G11001" t="s">
        <v>66</v>
      </c>
      <c r="H11001" t="s">
        <v>67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1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1</v>
      </c>
      <c r="AI11001">
        <v>0</v>
      </c>
      <c r="AJ11001">
        <v>0</v>
      </c>
      <c r="AK11001">
        <v>0</v>
      </c>
      <c r="AL11001">
        <v>0</v>
      </c>
      <c r="AM11001">
        <v>0</v>
      </c>
    </row>
    <row r="11002" spans="1:39" x14ac:dyDescent="0.2">
      <c r="A11002" t="str">
        <f>"10998"</f>
        <v>10998</v>
      </c>
      <c r="B11002" t="str">
        <f t="shared" si="612"/>
        <v>1</v>
      </c>
      <c r="C11002" t="str">
        <f t="shared" si="611"/>
        <v>220</v>
      </c>
      <c r="D11002" t="str">
        <f>"32"</f>
        <v>32</v>
      </c>
      <c r="E11002" t="str">
        <f>"1-220-32"</f>
        <v>1-220-32</v>
      </c>
      <c r="F11002" t="s">
        <v>65</v>
      </c>
      <c r="G11002" t="s">
        <v>66</v>
      </c>
      <c r="H11002" t="s">
        <v>67</v>
      </c>
      <c r="S11002">
        <v>1</v>
      </c>
      <c r="T11002">
        <v>0</v>
      </c>
      <c r="U11002">
        <v>0</v>
      </c>
      <c r="V11002">
        <v>0</v>
      </c>
      <c r="W11002">
        <v>1</v>
      </c>
      <c r="X11002">
        <v>0</v>
      </c>
      <c r="Y11002">
        <v>1</v>
      </c>
      <c r="Z11002">
        <v>0</v>
      </c>
      <c r="AA11002">
        <v>0</v>
      </c>
      <c r="AB11002">
        <v>0</v>
      </c>
      <c r="AC11002">
        <v>0</v>
      </c>
      <c r="AD11002">
        <v>1</v>
      </c>
      <c r="AE11002">
        <v>1</v>
      </c>
      <c r="AF11002">
        <v>1</v>
      </c>
      <c r="AG11002">
        <v>1</v>
      </c>
      <c r="AH11002">
        <v>1</v>
      </c>
      <c r="AI11002">
        <v>1</v>
      </c>
      <c r="AJ11002">
        <v>1</v>
      </c>
      <c r="AK11002">
        <v>1</v>
      </c>
      <c r="AL11002">
        <v>1</v>
      </c>
      <c r="AM11002">
        <v>1</v>
      </c>
    </row>
    <row r="11003" spans="1:39" x14ac:dyDescent="0.2">
      <c r="A11003" t="str">
        <f>"10999"</f>
        <v>10999</v>
      </c>
      <c r="B11003" t="str">
        <f t="shared" si="612"/>
        <v>1</v>
      </c>
      <c r="C11003" t="str">
        <f t="shared" si="611"/>
        <v>220</v>
      </c>
      <c r="D11003" t="str">
        <f>"10"</f>
        <v>10</v>
      </c>
      <c r="E11003" t="str">
        <f>"1-220-10"</f>
        <v>1-220-10</v>
      </c>
      <c r="F11003" t="s">
        <v>65</v>
      </c>
      <c r="G11003" t="s">
        <v>66</v>
      </c>
      <c r="H11003" t="s">
        <v>67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1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</row>
    <row r="11004" spans="1:39" x14ac:dyDescent="0.2">
      <c r="A11004" t="str">
        <f>"11000"</f>
        <v>11000</v>
      </c>
      <c r="B11004" t="str">
        <f t="shared" si="612"/>
        <v>1</v>
      </c>
      <c r="C11004" t="str">
        <f t="shared" si="611"/>
        <v>220</v>
      </c>
      <c r="D11004" t="str">
        <f>"50"</f>
        <v>50</v>
      </c>
      <c r="E11004" t="str">
        <f>"1-220-50"</f>
        <v>1-220-50</v>
      </c>
      <c r="F11004" t="s">
        <v>65</v>
      </c>
      <c r="G11004" t="s">
        <v>66</v>
      </c>
      <c r="H11004" t="s">
        <v>67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1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  <c r="AK11004">
        <v>0</v>
      </c>
      <c r="AL11004">
        <v>1</v>
      </c>
      <c r="AM11004">
        <v>0</v>
      </c>
    </row>
    <row r="11005" spans="1:39" x14ac:dyDescent="0.2">
      <c r="A11005" t="str">
        <f>"11001"</f>
        <v>11001</v>
      </c>
      <c r="B11005" t="str">
        <f t="shared" si="612"/>
        <v>1</v>
      </c>
      <c r="C11005" t="str">
        <f t="shared" ref="C11005:C11036" si="613">"221"</f>
        <v>221</v>
      </c>
      <c r="D11005" t="str">
        <f>"40"</f>
        <v>40</v>
      </c>
      <c r="E11005" t="str">
        <f>"1-221-40"</f>
        <v>1-221-40</v>
      </c>
      <c r="F11005" t="s">
        <v>65</v>
      </c>
      <c r="G11005" t="s">
        <v>66</v>
      </c>
      <c r="H11005" t="s">
        <v>67</v>
      </c>
      <c r="S11005">
        <v>0</v>
      </c>
      <c r="T11005">
        <v>1</v>
      </c>
      <c r="U11005">
        <v>0</v>
      </c>
      <c r="V11005">
        <v>0</v>
      </c>
      <c r="W11005">
        <v>0</v>
      </c>
      <c r="X11005">
        <v>1</v>
      </c>
      <c r="Y11005">
        <v>0</v>
      </c>
      <c r="Z11005">
        <v>1</v>
      </c>
      <c r="AA11005">
        <v>0</v>
      </c>
      <c r="AB11005">
        <v>0</v>
      </c>
      <c r="AC11005">
        <v>1</v>
      </c>
      <c r="AD11005">
        <v>1</v>
      </c>
      <c r="AE11005">
        <v>1</v>
      </c>
      <c r="AF11005">
        <v>1</v>
      </c>
      <c r="AG11005">
        <v>1</v>
      </c>
      <c r="AH11005">
        <v>1</v>
      </c>
      <c r="AI11005">
        <v>1</v>
      </c>
      <c r="AJ11005">
        <v>1</v>
      </c>
      <c r="AK11005">
        <v>1</v>
      </c>
      <c r="AL11005">
        <v>1</v>
      </c>
      <c r="AM11005">
        <v>1</v>
      </c>
    </row>
    <row r="11006" spans="1:39" x14ac:dyDescent="0.2">
      <c r="A11006" t="str">
        <f>"11002"</f>
        <v>11002</v>
      </c>
      <c r="B11006" t="str">
        <f t="shared" si="612"/>
        <v>1</v>
      </c>
      <c r="C11006" t="str">
        <f t="shared" si="613"/>
        <v>221</v>
      </c>
      <c r="D11006" t="str">
        <f>"39"</f>
        <v>39</v>
      </c>
      <c r="E11006" t="str">
        <f>"1-221-39"</f>
        <v>1-221-39</v>
      </c>
      <c r="F11006" t="s">
        <v>65</v>
      </c>
      <c r="G11006" t="s">
        <v>66</v>
      </c>
      <c r="H11006" t="s">
        <v>67</v>
      </c>
      <c r="S11006">
        <v>1</v>
      </c>
      <c r="T11006">
        <v>0</v>
      </c>
      <c r="U11006">
        <v>0</v>
      </c>
      <c r="V11006">
        <v>0</v>
      </c>
      <c r="W11006">
        <v>1</v>
      </c>
      <c r="X11006">
        <v>0</v>
      </c>
      <c r="Y11006">
        <v>1</v>
      </c>
      <c r="Z11006">
        <v>0</v>
      </c>
      <c r="AA11006">
        <v>1</v>
      </c>
      <c r="AB11006">
        <v>0</v>
      </c>
      <c r="AC11006">
        <v>0</v>
      </c>
      <c r="AD11006">
        <v>1</v>
      </c>
      <c r="AE11006">
        <v>1</v>
      </c>
      <c r="AF11006">
        <v>1</v>
      </c>
      <c r="AG11006">
        <v>1</v>
      </c>
      <c r="AH11006">
        <v>1</v>
      </c>
      <c r="AI11006">
        <v>0</v>
      </c>
      <c r="AJ11006">
        <v>1</v>
      </c>
      <c r="AK11006">
        <v>1</v>
      </c>
      <c r="AL11006">
        <v>1</v>
      </c>
      <c r="AM11006">
        <v>0</v>
      </c>
    </row>
    <row r="11007" spans="1:39" x14ac:dyDescent="0.2">
      <c r="A11007" t="str">
        <f>"11003"</f>
        <v>11003</v>
      </c>
      <c r="B11007" t="str">
        <f t="shared" si="612"/>
        <v>1</v>
      </c>
      <c r="C11007" t="str">
        <f t="shared" si="613"/>
        <v>221</v>
      </c>
      <c r="D11007" t="str">
        <f>"34"</f>
        <v>34</v>
      </c>
      <c r="E11007" t="str">
        <f>"1-221-34"</f>
        <v>1-221-34</v>
      </c>
      <c r="F11007" t="s">
        <v>65</v>
      </c>
      <c r="G11007" t="s">
        <v>66</v>
      </c>
      <c r="H11007" t="s">
        <v>67</v>
      </c>
      <c r="S11007">
        <v>0</v>
      </c>
      <c r="T11007">
        <v>1</v>
      </c>
      <c r="U11007">
        <v>0</v>
      </c>
      <c r="V11007">
        <v>0</v>
      </c>
      <c r="W11007">
        <v>1</v>
      </c>
      <c r="X11007">
        <v>0</v>
      </c>
      <c r="Y11007">
        <v>0</v>
      </c>
      <c r="Z11007">
        <v>1</v>
      </c>
      <c r="AA11007">
        <v>0</v>
      </c>
      <c r="AB11007">
        <v>0</v>
      </c>
      <c r="AC11007">
        <v>1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</row>
    <row r="11008" spans="1:39" x14ac:dyDescent="0.2">
      <c r="A11008" t="str">
        <f>"11004"</f>
        <v>11004</v>
      </c>
      <c r="B11008" t="str">
        <f t="shared" si="612"/>
        <v>1</v>
      </c>
      <c r="C11008" t="str">
        <f t="shared" si="613"/>
        <v>221</v>
      </c>
      <c r="D11008" t="str">
        <f>"33"</f>
        <v>33</v>
      </c>
      <c r="E11008" t="str">
        <f>"1-221-33"</f>
        <v>1-221-33</v>
      </c>
      <c r="F11008" t="s">
        <v>65</v>
      </c>
      <c r="G11008" t="s">
        <v>66</v>
      </c>
      <c r="H11008" t="s">
        <v>67</v>
      </c>
      <c r="S11008">
        <v>0</v>
      </c>
      <c r="T11008">
        <v>1</v>
      </c>
      <c r="U11008">
        <v>0</v>
      </c>
      <c r="V11008">
        <v>0</v>
      </c>
      <c r="W11008">
        <v>1</v>
      </c>
      <c r="X11008">
        <v>0</v>
      </c>
      <c r="Y11008">
        <v>0</v>
      </c>
      <c r="Z11008">
        <v>1</v>
      </c>
      <c r="AA11008">
        <v>0</v>
      </c>
      <c r="AB11008">
        <v>0</v>
      </c>
      <c r="AC11008">
        <v>1</v>
      </c>
      <c r="AD11008">
        <v>0</v>
      </c>
      <c r="AE11008">
        <v>0</v>
      </c>
      <c r="AF11008">
        <v>0</v>
      </c>
      <c r="AG11008">
        <v>1</v>
      </c>
      <c r="AH11008">
        <v>1</v>
      </c>
      <c r="AI11008">
        <v>0</v>
      </c>
      <c r="AJ11008">
        <v>1</v>
      </c>
      <c r="AK11008">
        <v>1</v>
      </c>
      <c r="AL11008">
        <v>1</v>
      </c>
      <c r="AM11008">
        <v>1</v>
      </c>
    </row>
    <row r="11009" spans="1:39" x14ac:dyDescent="0.2">
      <c r="A11009" t="str">
        <f>"11005"</f>
        <v>11005</v>
      </c>
      <c r="B11009" t="str">
        <f t="shared" si="612"/>
        <v>1</v>
      </c>
      <c r="C11009" t="str">
        <f t="shared" si="613"/>
        <v>221</v>
      </c>
      <c r="D11009" t="str">
        <f>"21"</f>
        <v>21</v>
      </c>
      <c r="E11009" t="str">
        <f>"1-221-21"</f>
        <v>1-221-21</v>
      </c>
      <c r="F11009" t="s">
        <v>65</v>
      </c>
      <c r="G11009" t="s">
        <v>66</v>
      </c>
      <c r="H11009" t="s">
        <v>67</v>
      </c>
      <c r="S11009">
        <v>0</v>
      </c>
      <c r="T11009">
        <v>0</v>
      </c>
      <c r="U11009">
        <v>0</v>
      </c>
      <c r="V11009">
        <v>0</v>
      </c>
      <c r="W11009">
        <v>1</v>
      </c>
      <c r="X11009">
        <v>0</v>
      </c>
      <c r="Y11009">
        <v>1</v>
      </c>
      <c r="Z11009">
        <v>0</v>
      </c>
      <c r="AA11009">
        <v>0</v>
      </c>
      <c r="AB11009">
        <v>0</v>
      </c>
      <c r="AC11009">
        <v>1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</row>
    <row r="11010" spans="1:39" x14ac:dyDescent="0.2">
      <c r="A11010" t="str">
        <f>"11006"</f>
        <v>11006</v>
      </c>
      <c r="B11010" t="str">
        <f t="shared" si="612"/>
        <v>1</v>
      </c>
      <c r="C11010" t="str">
        <f t="shared" si="613"/>
        <v>221</v>
      </c>
      <c r="D11010" t="str">
        <f>"20"</f>
        <v>20</v>
      </c>
      <c r="E11010" t="str">
        <f>"1-221-20"</f>
        <v>1-221-20</v>
      </c>
      <c r="F11010" t="s">
        <v>65</v>
      </c>
      <c r="G11010" t="s">
        <v>66</v>
      </c>
      <c r="H11010" t="s">
        <v>67</v>
      </c>
      <c r="S11010">
        <v>1</v>
      </c>
      <c r="T11010">
        <v>0</v>
      </c>
      <c r="U11010">
        <v>0</v>
      </c>
      <c r="V11010">
        <v>0</v>
      </c>
      <c r="W11010">
        <v>1</v>
      </c>
      <c r="X11010">
        <v>0</v>
      </c>
      <c r="Y11010">
        <v>1</v>
      </c>
      <c r="Z11010">
        <v>0</v>
      </c>
      <c r="AA11010">
        <v>1</v>
      </c>
      <c r="AB11010">
        <v>0</v>
      </c>
      <c r="AC11010">
        <v>0</v>
      </c>
      <c r="AD11010">
        <v>1</v>
      </c>
      <c r="AE11010">
        <v>1</v>
      </c>
      <c r="AF11010">
        <v>1</v>
      </c>
      <c r="AG11010">
        <v>1</v>
      </c>
      <c r="AH11010">
        <v>1</v>
      </c>
      <c r="AI11010">
        <v>1</v>
      </c>
      <c r="AJ11010">
        <v>1</v>
      </c>
      <c r="AK11010">
        <v>1</v>
      </c>
      <c r="AL11010">
        <v>1</v>
      </c>
      <c r="AM11010">
        <v>1</v>
      </c>
    </row>
    <row r="11011" spans="1:39" x14ac:dyDescent="0.2">
      <c r="A11011" t="str">
        <f>"11007"</f>
        <v>11007</v>
      </c>
      <c r="B11011" t="str">
        <f t="shared" si="612"/>
        <v>1</v>
      </c>
      <c r="C11011" t="str">
        <f t="shared" si="613"/>
        <v>221</v>
      </c>
      <c r="D11011" t="str">
        <f>"17"</f>
        <v>17</v>
      </c>
      <c r="E11011" t="str">
        <f>"1-221-17"</f>
        <v>1-221-17</v>
      </c>
      <c r="F11011" t="s">
        <v>65</v>
      </c>
      <c r="G11011" t="s">
        <v>66</v>
      </c>
      <c r="H11011" t="s">
        <v>67</v>
      </c>
      <c r="S11011">
        <v>0</v>
      </c>
      <c r="T11011">
        <v>1</v>
      </c>
      <c r="U11011">
        <v>0</v>
      </c>
      <c r="V11011">
        <v>0</v>
      </c>
      <c r="W11011">
        <v>1</v>
      </c>
      <c r="X11011">
        <v>0</v>
      </c>
      <c r="Y11011">
        <v>0</v>
      </c>
      <c r="Z11011">
        <v>1</v>
      </c>
      <c r="AA11011">
        <v>1</v>
      </c>
      <c r="AB11011">
        <v>0</v>
      </c>
      <c r="AC11011">
        <v>0</v>
      </c>
      <c r="AD11011">
        <v>1</v>
      </c>
      <c r="AE11011">
        <v>1</v>
      </c>
      <c r="AF11011">
        <v>1</v>
      </c>
      <c r="AG11011">
        <v>1</v>
      </c>
      <c r="AH11011">
        <v>1</v>
      </c>
      <c r="AI11011">
        <v>1</v>
      </c>
      <c r="AJ11011">
        <v>1</v>
      </c>
      <c r="AK11011">
        <v>1</v>
      </c>
      <c r="AL11011">
        <v>1</v>
      </c>
      <c r="AM11011">
        <v>1</v>
      </c>
    </row>
    <row r="11012" spans="1:39" x14ac:dyDescent="0.2">
      <c r="A11012" t="str">
        <f>"11008"</f>
        <v>11008</v>
      </c>
      <c r="B11012" t="str">
        <f t="shared" si="612"/>
        <v>1</v>
      </c>
      <c r="C11012" t="str">
        <f t="shared" si="613"/>
        <v>221</v>
      </c>
      <c r="D11012" t="str">
        <f>"15"</f>
        <v>15</v>
      </c>
      <c r="E11012" t="str">
        <f>"1-221-15"</f>
        <v>1-221-15</v>
      </c>
      <c r="F11012" t="s">
        <v>65</v>
      </c>
      <c r="G11012" t="s">
        <v>66</v>
      </c>
      <c r="H11012" t="s">
        <v>67</v>
      </c>
      <c r="S11012">
        <v>1</v>
      </c>
      <c r="T11012">
        <v>0</v>
      </c>
      <c r="U11012">
        <v>0</v>
      </c>
      <c r="V11012">
        <v>0</v>
      </c>
      <c r="W11012">
        <v>1</v>
      </c>
      <c r="X11012">
        <v>0</v>
      </c>
      <c r="Y11012">
        <v>1</v>
      </c>
      <c r="Z11012">
        <v>0</v>
      </c>
      <c r="AA11012">
        <v>0</v>
      </c>
      <c r="AB11012">
        <v>1</v>
      </c>
      <c r="AC11012">
        <v>0</v>
      </c>
      <c r="AD11012">
        <v>1</v>
      </c>
      <c r="AE11012">
        <v>0</v>
      </c>
      <c r="AF11012">
        <v>0</v>
      </c>
      <c r="AG11012">
        <v>1</v>
      </c>
      <c r="AH11012">
        <v>1</v>
      </c>
      <c r="AI11012">
        <v>1</v>
      </c>
      <c r="AJ11012">
        <v>1</v>
      </c>
      <c r="AK11012">
        <v>0</v>
      </c>
      <c r="AL11012">
        <v>1</v>
      </c>
      <c r="AM11012">
        <v>1</v>
      </c>
    </row>
    <row r="11013" spans="1:39" x14ac:dyDescent="0.2">
      <c r="A11013" t="str">
        <f>"11009"</f>
        <v>11009</v>
      </c>
      <c r="B11013" t="str">
        <f t="shared" si="612"/>
        <v>1</v>
      </c>
      <c r="C11013" t="str">
        <f t="shared" si="613"/>
        <v>221</v>
      </c>
      <c r="D11013" t="str">
        <f>"5"</f>
        <v>5</v>
      </c>
      <c r="E11013" t="str">
        <f>"1-221-5"</f>
        <v>1-221-5</v>
      </c>
      <c r="F11013" t="s">
        <v>65</v>
      </c>
      <c r="G11013" t="s">
        <v>66</v>
      </c>
      <c r="H11013" t="s">
        <v>67</v>
      </c>
      <c r="S11013">
        <v>1</v>
      </c>
      <c r="T11013">
        <v>0</v>
      </c>
      <c r="U11013">
        <v>0</v>
      </c>
      <c r="V11013">
        <v>0</v>
      </c>
      <c r="W11013">
        <v>1</v>
      </c>
      <c r="X11013">
        <v>0</v>
      </c>
      <c r="Y11013">
        <v>1</v>
      </c>
      <c r="Z11013">
        <v>0</v>
      </c>
      <c r="AA11013">
        <v>0</v>
      </c>
      <c r="AB11013">
        <v>1</v>
      </c>
      <c r="AC11013">
        <v>0</v>
      </c>
      <c r="AD11013">
        <v>1</v>
      </c>
      <c r="AE11013">
        <v>1</v>
      </c>
      <c r="AF11013">
        <v>1</v>
      </c>
      <c r="AG11013">
        <v>1</v>
      </c>
      <c r="AH11013">
        <v>1</v>
      </c>
      <c r="AI11013">
        <v>1</v>
      </c>
      <c r="AJ11013">
        <v>1</v>
      </c>
      <c r="AK11013">
        <v>1</v>
      </c>
      <c r="AL11013">
        <v>1</v>
      </c>
      <c r="AM11013">
        <v>1</v>
      </c>
    </row>
    <row r="11014" spans="1:39" x14ac:dyDescent="0.2">
      <c r="A11014" t="str">
        <f>"11010"</f>
        <v>11010</v>
      </c>
      <c r="B11014" t="str">
        <f t="shared" si="612"/>
        <v>1</v>
      </c>
      <c r="C11014" t="str">
        <f t="shared" si="613"/>
        <v>221</v>
      </c>
      <c r="D11014" t="str">
        <f>"38"</f>
        <v>38</v>
      </c>
      <c r="E11014" t="str">
        <f>"1-221-38"</f>
        <v>1-221-38</v>
      </c>
      <c r="F11014" t="s">
        <v>65</v>
      </c>
      <c r="G11014" t="s">
        <v>66</v>
      </c>
      <c r="H11014" t="s">
        <v>67</v>
      </c>
      <c r="S11014">
        <v>1</v>
      </c>
      <c r="T11014">
        <v>0</v>
      </c>
      <c r="U11014">
        <v>0</v>
      </c>
      <c r="V11014">
        <v>0</v>
      </c>
      <c r="W11014">
        <v>1</v>
      </c>
      <c r="X11014">
        <v>0</v>
      </c>
      <c r="Y11014">
        <v>1</v>
      </c>
      <c r="Z11014">
        <v>0</v>
      </c>
      <c r="AA11014">
        <v>1</v>
      </c>
      <c r="AB11014">
        <v>0</v>
      </c>
      <c r="AC11014">
        <v>0</v>
      </c>
      <c r="AD11014">
        <v>1</v>
      </c>
      <c r="AE11014">
        <v>1</v>
      </c>
      <c r="AF11014">
        <v>1</v>
      </c>
      <c r="AG11014">
        <v>1</v>
      </c>
      <c r="AH11014">
        <v>1</v>
      </c>
      <c r="AI11014">
        <v>1</v>
      </c>
      <c r="AJ11014">
        <v>1</v>
      </c>
      <c r="AK11014">
        <v>1</v>
      </c>
      <c r="AL11014">
        <v>1</v>
      </c>
      <c r="AM11014">
        <v>1</v>
      </c>
    </row>
    <row r="11015" spans="1:39" x14ac:dyDescent="0.2">
      <c r="A11015" t="str">
        <f>"11011"</f>
        <v>11011</v>
      </c>
      <c r="B11015" t="str">
        <f t="shared" si="612"/>
        <v>1</v>
      </c>
      <c r="C11015" t="str">
        <f t="shared" si="613"/>
        <v>221</v>
      </c>
      <c r="D11015" t="str">
        <f>"37"</f>
        <v>37</v>
      </c>
      <c r="E11015" t="str">
        <f>"1-221-37"</f>
        <v>1-221-37</v>
      </c>
      <c r="F11015" t="s">
        <v>65</v>
      </c>
      <c r="G11015" t="s">
        <v>66</v>
      </c>
      <c r="H11015" t="s">
        <v>67</v>
      </c>
      <c r="S11015">
        <v>1</v>
      </c>
      <c r="T11015">
        <v>0</v>
      </c>
      <c r="U11015">
        <v>0</v>
      </c>
      <c r="V11015">
        <v>0</v>
      </c>
      <c r="W11015">
        <v>1</v>
      </c>
      <c r="X11015">
        <v>0</v>
      </c>
      <c r="Y11015">
        <v>1</v>
      </c>
      <c r="Z11015">
        <v>0</v>
      </c>
      <c r="AA11015">
        <v>0</v>
      </c>
      <c r="AB11015">
        <v>1</v>
      </c>
      <c r="AC11015">
        <v>0</v>
      </c>
      <c r="AD11015">
        <v>1</v>
      </c>
      <c r="AE11015">
        <v>1</v>
      </c>
      <c r="AF11015">
        <v>1</v>
      </c>
      <c r="AG11015">
        <v>1</v>
      </c>
      <c r="AH11015">
        <v>1</v>
      </c>
      <c r="AI11015">
        <v>1</v>
      </c>
      <c r="AJ11015">
        <v>1</v>
      </c>
      <c r="AK11015">
        <v>1</v>
      </c>
      <c r="AL11015">
        <v>1</v>
      </c>
      <c r="AM11015">
        <v>1</v>
      </c>
    </row>
    <row r="11016" spans="1:39" x14ac:dyDescent="0.2">
      <c r="A11016" t="str">
        <f>"11012"</f>
        <v>11012</v>
      </c>
      <c r="B11016" t="str">
        <f t="shared" si="612"/>
        <v>1</v>
      </c>
      <c r="C11016" t="str">
        <f t="shared" si="613"/>
        <v>221</v>
      </c>
      <c r="D11016" t="str">
        <f>"28"</f>
        <v>28</v>
      </c>
      <c r="E11016" t="str">
        <f>"1-221-28"</f>
        <v>1-221-28</v>
      </c>
      <c r="F11016" t="s">
        <v>65</v>
      </c>
      <c r="G11016" t="s">
        <v>66</v>
      </c>
      <c r="H11016" t="s">
        <v>67</v>
      </c>
      <c r="S11016">
        <v>1</v>
      </c>
      <c r="T11016">
        <v>0</v>
      </c>
      <c r="U11016">
        <v>0</v>
      </c>
      <c r="V11016">
        <v>0</v>
      </c>
      <c r="W11016">
        <v>1</v>
      </c>
      <c r="X11016">
        <v>0</v>
      </c>
      <c r="Y11016">
        <v>0</v>
      </c>
      <c r="Z11016">
        <v>0</v>
      </c>
      <c r="AA11016">
        <v>0</v>
      </c>
      <c r="AB11016">
        <v>1</v>
      </c>
      <c r="AC11016">
        <v>0</v>
      </c>
      <c r="AD11016">
        <v>1</v>
      </c>
      <c r="AE11016">
        <v>1</v>
      </c>
      <c r="AF11016">
        <v>1</v>
      </c>
      <c r="AG11016">
        <v>1</v>
      </c>
      <c r="AH11016">
        <v>1</v>
      </c>
      <c r="AI11016">
        <v>1</v>
      </c>
      <c r="AJ11016">
        <v>1</v>
      </c>
      <c r="AK11016">
        <v>1</v>
      </c>
      <c r="AL11016">
        <v>1</v>
      </c>
      <c r="AM11016">
        <v>1</v>
      </c>
    </row>
    <row r="11017" spans="1:39" x14ac:dyDescent="0.2">
      <c r="A11017" t="str">
        <f>"11013"</f>
        <v>11013</v>
      </c>
      <c r="B11017" t="str">
        <f t="shared" si="612"/>
        <v>1</v>
      </c>
      <c r="C11017" t="str">
        <f t="shared" si="613"/>
        <v>221</v>
      </c>
      <c r="D11017" t="str">
        <f>"16"</f>
        <v>16</v>
      </c>
      <c r="E11017" t="str">
        <f>"1-221-16"</f>
        <v>1-221-16</v>
      </c>
      <c r="F11017" t="s">
        <v>65</v>
      </c>
      <c r="G11017" t="s">
        <v>66</v>
      </c>
      <c r="H11017" t="s">
        <v>67</v>
      </c>
      <c r="S11017">
        <v>0</v>
      </c>
      <c r="T11017">
        <v>1</v>
      </c>
      <c r="U11017">
        <v>0</v>
      </c>
      <c r="V11017">
        <v>0</v>
      </c>
      <c r="W11017">
        <v>0</v>
      </c>
      <c r="X11017">
        <v>1</v>
      </c>
      <c r="Y11017">
        <v>1</v>
      </c>
      <c r="Z11017">
        <v>0</v>
      </c>
      <c r="AA11017">
        <v>0</v>
      </c>
      <c r="AB11017">
        <v>1</v>
      </c>
      <c r="AC11017">
        <v>0</v>
      </c>
      <c r="AD11017">
        <v>1</v>
      </c>
      <c r="AE11017">
        <v>1</v>
      </c>
      <c r="AF11017">
        <v>1</v>
      </c>
      <c r="AG11017">
        <v>1</v>
      </c>
      <c r="AH11017">
        <v>1</v>
      </c>
      <c r="AI11017">
        <v>1</v>
      </c>
      <c r="AJ11017">
        <v>1</v>
      </c>
      <c r="AK11017">
        <v>1</v>
      </c>
      <c r="AL11017">
        <v>0</v>
      </c>
      <c r="AM11017">
        <v>1</v>
      </c>
    </row>
    <row r="11018" spans="1:39" x14ac:dyDescent="0.2">
      <c r="A11018" t="str">
        <f>"11014"</f>
        <v>11014</v>
      </c>
      <c r="B11018" t="str">
        <f t="shared" si="612"/>
        <v>1</v>
      </c>
      <c r="C11018" t="str">
        <f t="shared" si="613"/>
        <v>221</v>
      </c>
      <c r="D11018" t="str">
        <f>"6"</f>
        <v>6</v>
      </c>
      <c r="E11018" t="str">
        <f>"1-221-6"</f>
        <v>1-221-6</v>
      </c>
      <c r="F11018" t="s">
        <v>65</v>
      </c>
      <c r="G11018" t="s">
        <v>66</v>
      </c>
      <c r="H11018" t="s">
        <v>67</v>
      </c>
      <c r="S11018">
        <v>1</v>
      </c>
      <c r="T11018">
        <v>0</v>
      </c>
      <c r="U11018">
        <v>0</v>
      </c>
      <c r="V11018">
        <v>0</v>
      </c>
      <c r="W11018">
        <v>1</v>
      </c>
      <c r="X11018">
        <v>0</v>
      </c>
      <c r="Y11018">
        <v>1</v>
      </c>
      <c r="Z11018">
        <v>0</v>
      </c>
      <c r="AA11018">
        <v>1</v>
      </c>
      <c r="AB11018">
        <v>0</v>
      </c>
      <c r="AC11018">
        <v>0</v>
      </c>
      <c r="AD11018">
        <v>1</v>
      </c>
      <c r="AE11018">
        <v>1</v>
      </c>
      <c r="AF11018">
        <v>1</v>
      </c>
      <c r="AG11018">
        <v>1</v>
      </c>
      <c r="AH11018">
        <v>1</v>
      </c>
      <c r="AI11018">
        <v>1</v>
      </c>
      <c r="AJ11018">
        <v>1</v>
      </c>
      <c r="AK11018">
        <v>1</v>
      </c>
      <c r="AL11018">
        <v>1</v>
      </c>
      <c r="AM11018">
        <v>1</v>
      </c>
    </row>
    <row r="11019" spans="1:39" x14ac:dyDescent="0.2">
      <c r="A11019" t="str">
        <f>"11015"</f>
        <v>11015</v>
      </c>
      <c r="B11019" t="str">
        <f t="shared" si="612"/>
        <v>1</v>
      </c>
      <c r="C11019" t="str">
        <f t="shared" si="613"/>
        <v>221</v>
      </c>
      <c r="D11019" t="str">
        <f>"36"</f>
        <v>36</v>
      </c>
      <c r="E11019" t="str">
        <f>"1-221-36"</f>
        <v>1-221-36</v>
      </c>
      <c r="F11019" t="s">
        <v>65</v>
      </c>
      <c r="G11019" t="s">
        <v>66</v>
      </c>
      <c r="H11019" t="s">
        <v>67</v>
      </c>
      <c r="S11019">
        <v>1</v>
      </c>
      <c r="T11019">
        <v>0</v>
      </c>
      <c r="U11019">
        <v>0</v>
      </c>
      <c r="V11019">
        <v>0</v>
      </c>
      <c r="W11019">
        <v>1</v>
      </c>
      <c r="X11019">
        <v>0</v>
      </c>
      <c r="Y11019">
        <v>1</v>
      </c>
      <c r="Z11019">
        <v>0</v>
      </c>
      <c r="AA11019">
        <v>1</v>
      </c>
      <c r="AB11019">
        <v>0</v>
      </c>
      <c r="AC11019">
        <v>0</v>
      </c>
      <c r="AD11019">
        <v>1</v>
      </c>
      <c r="AE11019">
        <v>1</v>
      </c>
      <c r="AF11019">
        <v>1</v>
      </c>
      <c r="AG11019">
        <v>1</v>
      </c>
      <c r="AH11019">
        <v>1</v>
      </c>
      <c r="AI11019">
        <v>1</v>
      </c>
      <c r="AJ11019">
        <v>1</v>
      </c>
      <c r="AK11019">
        <v>1</v>
      </c>
      <c r="AL11019">
        <v>1</v>
      </c>
      <c r="AM11019">
        <v>1</v>
      </c>
    </row>
    <row r="11020" spans="1:39" x14ac:dyDescent="0.2">
      <c r="A11020" t="str">
        <f>"11016"</f>
        <v>11016</v>
      </c>
      <c r="B11020" t="str">
        <f t="shared" si="612"/>
        <v>1</v>
      </c>
      <c r="C11020" t="str">
        <f t="shared" si="613"/>
        <v>221</v>
      </c>
      <c r="D11020" t="str">
        <f>"18"</f>
        <v>18</v>
      </c>
      <c r="E11020" t="str">
        <f>"1-221-18"</f>
        <v>1-221-18</v>
      </c>
      <c r="F11020" t="s">
        <v>65</v>
      </c>
      <c r="G11020" t="s">
        <v>66</v>
      </c>
      <c r="H11020" t="s">
        <v>67</v>
      </c>
      <c r="S11020">
        <v>0</v>
      </c>
      <c r="T11020">
        <v>1</v>
      </c>
      <c r="U11020">
        <v>0</v>
      </c>
      <c r="V11020">
        <v>0</v>
      </c>
      <c r="W11020">
        <v>0</v>
      </c>
      <c r="X11020">
        <v>1</v>
      </c>
      <c r="Y11020">
        <v>1</v>
      </c>
      <c r="Z11020">
        <v>0</v>
      </c>
      <c r="AA11020">
        <v>0</v>
      </c>
      <c r="AB11020">
        <v>1</v>
      </c>
      <c r="AC11020">
        <v>0</v>
      </c>
      <c r="AD11020">
        <v>1</v>
      </c>
      <c r="AE11020">
        <v>1</v>
      </c>
      <c r="AF11020">
        <v>1</v>
      </c>
      <c r="AG11020">
        <v>1</v>
      </c>
      <c r="AH11020">
        <v>1</v>
      </c>
      <c r="AI11020">
        <v>1</v>
      </c>
      <c r="AJ11020">
        <v>1</v>
      </c>
      <c r="AK11020">
        <v>1</v>
      </c>
      <c r="AL11020">
        <v>1</v>
      </c>
      <c r="AM11020">
        <v>1</v>
      </c>
    </row>
    <row r="11021" spans="1:39" x14ac:dyDescent="0.2">
      <c r="A11021" t="str">
        <f>"11017"</f>
        <v>11017</v>
      </c>
      <c r="B11021" t="str">
        <f t="shared" si="612"/>
        <v>1</v>
      </c>
      <c r="C11021" t="str">
        <f t="shared" si="613"/>
        <v>221</v>
      </c>
      <c r="D11021" t="str">
        <f>"1"</f>
        <v>1</v>
      </c>
      <c r="E11021" t="str">
        <f>"1-221-1"</f>
        <v>1-221-1</v>
      </c>
      <c r="F11021" t="s">
        <v>65</v>
      </c>
      <c r="G11021" t="s">
        <v>66</v>
      </c>
      <c r="H11021" t="s">
        <v>67</v>
      </c>
      <c r="S11021">
        <v>0</v>
      </c>
      <c r="T11021">
        <v>1</v>
      </c>
      <c r="U11021">
        <v>0</v>
      </c>
      <c r="V11021">
        <v>0</v>
      </c>
      <c r="W11021">
        <v>1</v>
      </c>
      <c r="X11021">
        <v>0</v>
      </c>
      <c r="Y11021">
        <v>0</v>
      </c>
      <c r="Z11021">
        <v>1</v>
      </c>
      <c r="AA11021">
        <v>0</v>
      </c>
      <c r="AB11021">
        <v>0</v>
      </c>
      <c r="AC11021">
        <v>1</v>
      </c>
      <c r="AD11021">
        <v>1</v>
      </c>
      <c r="AE11021">
        <v>1</v>
      </c>
      <c r="AF11021">
        <v>1</v>
      </c>
      <c r="AG11021">
        <v>1</v>
      </c>
      <c r="AH11021">
        <v>1</v>
      </c>
      <c r="AI11021">
        <v>1</v>
      </c>
      <c r="AJ11021">
        <v>1</v>
      </c>
      <c r="AK11021">
        <v>1</v>
      </c>
      <c r="AL11021">
        <v>0</v>
      </c>
      <c r="AM11021">
        <v>1</v>
      </c>
    </row>
    <row r="11022" spans="1:39" x14ac:dyDescent="0.2">
      <c r="A11022" t="str">
        <f>"11018"</f>
        <v>11018</v>
      </c>
      <c r="B11022" t="str">
        <f t="shared" si="612"/>
        <v>1</v>
      </c>
      <c r="C11022" t="str">
        <f t="shared" si="613"/>
        <v>221</v>
      </c>
      <c r="D11022" t="str">
        <f>"47"</f>
        <v>47</v>
      </c>
      <c r="E11022" t="str">
        <f>"1-221-47"</f>
        <v>1-221-47</v>
      </c>
      <c r="F11022" t="s">
        <v>65</v>
      </c>
      <c r="G11022" t="s">
        <v>66</v>
      </c>
      <c r="H11022" t="s">
        <v>67</v>
      </c>
      <c r="S11022">
        <v>1</v>
      </c>
      <c r="T11022">
        <v>0</v>
      </c>
      <c r="U11022">
        <v>0</v>
      </c>
      <c r="V11022">
        <v>0</v>
      </c>
      <c r="W11022">
        <v>1</v>
      </c>
      <c r="X11022">
        <v>0</v>
      </c>
      <c r="Y11022">
        <v>1</v>
      </c>
      <c r="Z11022">
        <v>0</v>
      </c>
      <c r="AA11022">
        <v>1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1</v>
      </c>
      <c r="AH11022">
        <v>1</v>
      </c>
      <c r="AI11022">
        <v>1</v>
      </c>
      <c r="AJ11022">
        <v>1</v>
      </c>
      <c r="AK11022">
        <v>1</v>
      </c>
      <c r="AL11022">
        <v>1</v>
      </c>
      <c r="AM11022">
        <v>1</v>
      </c>
    </row>
    <row r="11023" spans="1:39" x14ac:dyDescent="0.2">
      <c r="A11023" t="str">
        <f>"11019"</f>
        <v>11019</v>
      </c>
      <c r="B11023" t="str">
        <f t="shared" si="612"/>
        <v>1</v>
      </c>
      <c r="C11023" t="str">
        <f t="shared" si="613"/>
        <v>221</v>
      </c>
      <c r="D11023" t="str">
        <f>"46"</f>
        <v>46</v>
      </c>
      <c r="E11023" t="str">
        <f>"1-221-46"</f>
        <v>1-221-46</v>
      </c>
      <c r="F11023" t="s">
        <v>65</v>
      </c>
      <c r="G11023" t="s">
        <v>66</v>
      </c>
      <c r="H11023" t="s">
        <v>67</v>
      </c>
      <c r="S11023">
        <v>1</v>
      </c>
      <c r="T11023">
        <v>0</v>
      </c>
      <c r="U11023">
        <v>0</v>
      </c>
      <c r="V11023">
        <v>0</v>
      </c>
      <c r="W11023">
        <v>1</v>
      </c>
      <c r="X11023">
        <v>0</v>
      </c>
      <c r="Y11023">
        <v>1</v>
      </c>
      <c r="Z11023">
        <v>0</v>
      </c>
      <c r="AA11023">
        <v>1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1</v>
      </c>
      <c r="AH11023">
        <v>1</v>
      </c>
      <c r="AI11023">
        <v>1</v>
      </c>
      <c r="AJ11023">
        <v>1</v>
      </c>
      <c r="AK11023">
        <v>1</v>
      </c>
      <c r="AL11023">
        <v>1</v>
      </c>
      <c r="AM11023">
        <v>1</v>
      </c>
    </row>
    <row r="11024" spans="1:39" x14ac:dyDescent="0.2">
      <c r="A11024" t="str">
        <f>"11020"</f>
        <v>11020</v>
      </c>
      <c r="B11024" t="str">
        <f t="shared" si="612"/>
        <v>1</v>
      </c>
      <c r="C11024" t="str">
        <f t="shared" si="613"/>
        <v>221</v>
      </c>
      <c r="D11024" t="str">
        <f>"35"</f>
        <v>35</v>
      </c>
      <c r="E11024" t="str">
        <f>"1-221-35"</f>
        <v>1-221-35</v>
      </c>
      <c r="F11024" t="s">
        <v>65</v>
      </c>
      <c r="G11024" t="s">
        <v>66</v>
      </c>
      <c r="H11024" t="s">
        <v>67</v>
      </c>
      <c r="S11024">
        <v>1</v>
      </c>
      <c r="T11024">
        <v>0</v>
      </c>
      <c r="U11024">
        <v>0</v>
      </c>
      <c r="V11024">
        <v>0</v>
      </c>
      <c r="W11024">
        <v>1</v>
      </c>
      <c r="X11024">
        <v>0</v>
      </c>
      <c r="Y11024">
        <v>1</v>
      </c>
      <c r="Z11024">
        <v>0</v>
      </c>
      <c r="AA11024">
        <v>1</v>
      </c>
      <c r="AB11024">
        <v>0</v>
      </c>
      <c r="AC11024">
        <v>0</v>
      </c>
      <c r="AD11024">
        <v>1</v>
      </c>
      <c r="AE11024">
        <v>1</v>
      </c>
      <c r="AF11024">
        <v>1</v>
      </c>
      <c r="AG11024">
        <v>1</v>
      </c>
      <c r="AH11024">
        <v>1</v>
      </c>
      <c r="AI11024">
        <v>1</v>
      </c>
      <c r="AJ11024">
        <v>1</v>
      </c>
      <c r="AK11024">
        <v>1</v>
      </c>
      <c r="AL11024">
        <v>1</v>
      </c>
      <c r="AM11024">
        <v>1</v>
      </c>
    </row>
    <row r="11025" spans="1:39" x14ac:dyDescent="0.2">
      <c r="A11025" t="str">
        <f>"11021"</f>
        <v>11021</v>
      </c>
      <c r="B11025" t="str">
        <f t="shared" si="612"/>
        <v>1</v>
      </c>
      <c r="C11025" t="str">
        <f t="shared" si="613"/>
        <v>221</v>
      </c>
      <c r="D11025" t="str">
        <f>"19"</f>
        <v>19</v>
      </c>
      <c r="E11025" t="str">
        <f>"1-221-19"</f>
        <v>1-221-19</v>
      </c>
      <c r="F11025" t="s">
        <v>65</v>
      </c>
      <c r="G11025" t="s">
        <v>66</v>
      </c>
      <c r="H11025" t="s">
        <v>67</v>
      </c>
      <c r="S11025">
        <v>0</v>
      </c>
      <c r="T11025">
        <v>1</v>
      </c>
      <c r="U11025">
        <v>0</v>
      </c>
      <c r="V11025">
        <v>0</v>
      </c>
      <c r="W11025">
        <v>1</v>
      </c>
      <c r="X11025">
        <v>0</v>
      </c>
      <c r="Y11025">
        <v>1</v>
      </c>
      <c r="Z11025">
        <v>0</v>
      </c>
      <c r="AA11025">
        <v>0</v>
      </c>
      <c r="AB11025">
        <v>0</v>
      </c>
      <c r="AC11025">
        <v>1</v>
      </c>
      <c r="AD11025">
        <v>1</v>
      </c>
      <c r="AE11025">
        <v>1</v>
      </c>
      <c r="AF11025">
        <v>1</v>
      </c>
      <c r="AG11025">
        <v>1</v>
      </c>
      <c r="AH11025">
        <v>1</v>
      </c>
      <c r="AI11025">
        <v>1</v>
      </c>
      <c r="AJ11025">
        <v>1</v>
      </c>
      <c r="AK11025">
        <v>1</v>
      </c>
      <c r="AL11025">
        <v>1</v>
      </c>
      <c r="AM11025">
        <v>1</v>
      </c>
    </row>
    <row r="11026" spans="1:39" x14ac:dyDescent="0.2">
      <c r="A11026" t="str">
        <f>"11022"</f>
        <v>11022</v>
      </c>
      <c r="B11026" t="str">
        <f t="shared" si="612"/>
        <v>1</v>
      </c>
      <c r="C11026" t="str">
        <f t="shared" si="613"/>
        <v>221</v>
      </c>
      <c r="D11026" t="str">
        <f>"12"</f>
        <v>12</v>
      </c>
      <c r="E11026" t="str">
        <f>"1-221-12"</f>
        <v>1-221-12</v>
      </c>
      <c r="F11026" t="s">
        <v>65</v>
      </c>
      <c r="G11026" t="s">
        <v>66</v>
      </c>
      <c r="H11026" t="s">
        <v>67</v>
      </c>
      <c r="S11026">
        <v>1</v>
      </c>
      <c r="T11026">
        <v>0</v>
      </c>
      <c r="U11026">
        <v>0</v>
      </c>
      <c r="V11026">
        <v>0</v>
      </c>
      <c r="W11026">
        <v>1</v>
      </c>
      <c r="X11026">
        <v>0</v>
      </c>
      <c r="Y11026">
        <v>1</v>
      </c>
      <c r="Z11026">
        <v>0</v>
      </c>
      <c r="AA11026">
        <v>0</v>
      </c>
      <c r="AB11026">
        <v>1</v>
      </c>
      <c r="AC11026">
        <v>0</v>
      </c>
      <c r="AD11026">
        <v>1</v>
      </c>
      <c r="AE11026">
        <v>0</v>
      </c>
      <c r="AF11026">
        <v>0</v>
      </c>
      <c r="AG11026">
        <v>1</v>
      </c>
      <c r="AH11026">
        <v>1</v>
      </c>
      <c r="AI11026">
        <v>1</v>
      </c>
      <c r="AJ11026">
        <v>1</v>
      </c>
      <c r="AK11026">
        <v>0</v>
      </c>
      <c r="AL11026">
        <v>1</v>
      </c>
      <c r="AM11026">
        <v>1</v>
      </c>
    </row>
    <row r="11027" spans="1:39" x14ac:dyDescent="0.2">
      <c r="A11027" t="str">
        <f>"11023"</f>
        <v>11023</v>
      </c>
      <c r="B11027" t="str">
        <f t="shared" si="612"/>
        <v>1</v>
      </c>
      <c r="C11027" t="str">
        <f t="shared" si="613"/>
        <v>221</v>
      </c>
      <c r="D11027" t="str">
        <f>"41"</f>
        <v>41</v>
      </c>
      <c r="E11027" t="str">
        <f>"1-221-41"</f>
        <v>1-221-41</v>
      </c>
      <c r="F11027" t="s">
        <v>65</v>
      </c>
      <c r="G11027" t="s">
        <v>66</v>
      </c>
      <c r="H11027" t="s">
        <v>67</v>
      </c>
      <c r="S11027">
        <v>1</v>
      </c>
      <c r="T11027">
        <v>0</v>
      </c>
      <c r="U11027">
        <v>0</v>
      </c>
      <c r="V11027">
        <v>0</v>
      </c>
      <c r="W11027">
        <v>1</v>
      </c>
      <c r="X11027">
        <v>0</v>
      </c>
      <c r="Y11027">
        <v>1</v>
      </c>
      <c r="Z11027">
        <v>0</v>
      </c>
      <c r="AA11027">
        <v>1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</row>
    <row r="11028" spans="1:39" x14ac:dyDescent="0.2">
      <c r="A11028" t="str">
        <f>"11024"</f>
        <v>11024</v>
      </c>
      <c r="B11028" t="str">
        <f t="shared" si="612"/>
        <v>1</v>
      </c>
      <c r="C11028" t="str">
        <f t="shared" si="613"/>
        <v>221</v>
      </c>
      <c r="D11028" t="str">
        <f>"22"</f>
        <v>22</v>
      </c>
      <c r="E11028" t="str">
        <f>"1-221-22"</f>
        <v>1-221-22</v>
      </c>
      <c r="F11028" t="s">
        <v>65</v>
      </c>
      <c r="G11028" t="s">
        <v>66</v>
      </c>
      <c r="H11028" t="s">
        <v>67</v>
      </c>
      <c r="S11028">
        <v>1</v>
      </c>
      <c r="T11028">
        <v>0</v>
      </c>
      <c r="U11028">
        <v>0</v>
      </c>
      <c r="V11028">
        <v>0</v>
      </c>
      <c r="W11028">
        <v>1</v>
      </c>
      <c r="X11028">
        <v>0</v>
      </c>
      <c r="Y11028">
        <v>0</v>
      </c>
      <c r="Z11028">
        <v>1</v>
      </c>
      <c r="AA11028">
        <v>0</v>
      </c>
      <c r="AB11028">
        <v>1</v>
      </c>
      <c r="AC11028">
        <v>0</v>
      </c>
      <c r="AD11028">
        <v>1</v>
      </c>
      <c r="AE11028">
        <v>1</v>
      </c>
      <c r="AF11028">
        <v>1</v>
      </c>
      <c r="AG11028">
        <v>1</v>
      </c>
      <c r="AH11028">
        <v>1</v>
      </c>
      <c r="AI11028">
        <v>1</v>
      </c>
      <c r="AJ11028">
        <v>1</v>
      </c>
      <c r="AK11028">
        <v>1</v>
      </c>
      <c r="AL11028">
        <v>1</v>
      </c>
      <c r="AM11028">
        <v>1</v>
      </c>
    </row>
    <row r="11029" spans="1:39" x14ac:dyDescent="0.2">
      <c r="A11029" t="str">
        <f>"11025"</f>
        <v>11025</v>
      </c>
      <c r="B11029" t="str">
        <f t="shared" si="612"/>
        <v>1</v>
      </c>
      <c r="C11029" t="str">
        <f t="shared" si="613"/>
        <v>221</v>
      </c>
      <c r="D11029" t="str">
        <f>"3"</f>
        <v>3</v>
      </c>
      <c r="E11029" t="str">
        <f>"1-221-3"</f>
        <v>1-221-3</v>
      </c>
      <c r="F11029" t="s">
        <v>65</v>
      </c>
      <c r="G11029" t="s">
        <v>66</v>
      </c>
      <c r="H11029" t="s">
        <v>67</v>
      </c>
      <c r="S11029">
        <v>1</v>
      </c>
      <c r="T11029">
        <v>0</v>
      </c>
      <c r="U11029">
        <v>0</v>
      </c>
      <c r="V11029">
        <v>0</v>
      </c>
      <c r="W11029">
        <v>1</v>
      </c>
      <c r="X11029">
        <v>0</v>
      </c>
      <c r="Y11029">
        <v>1</v>
      </c>
      <c r="Z11029">
        <v>0</v>
      </c>
      <c r="AA11029">
        <v>1</v>
      </c>
      <c r="AB11029">
        <v>0</v>
      </c>
      <c r="AC11029">
        <v>0</v>
      </c>
      <c r="AD11029">
        <v>1</v>
      </c>
      <c r="AE11029">
        <v>1</v>
      </c>
      <c r="AF11029">
        <v>1</v>
      </c>
      <c r="AG11029">
        <v>1</v>
      </c>
      <c r="AH11029">
        <v>1</v>
      </c>
      <c r="AI11029">
        <v>1</v>
      </c>
      <c r="AJ11029">
        <v>1</v>
      </c>
      <c r="AK11029">
        <v>1</v>
      </c>
      <c r="AL11029">
        <v>1</v>
      </c>
      <c r="AM11029">
        <v>1</v>
      </c>
    </row>
    <row r="11030" spans="1:39" x14ac:dyDescent="0.2">
      <c r="A11030" t="str">
        <f>"11026"</f>
        <v>11026</v>
      </c>
      <c r="B11030" t="str">
        <f t="shared" si="612"/>
        <v>1</v>
      </c>
      <c r="C11030" t="str">
        <f t="shared" si="613"/>
        <v>221</v>
      </c>
      <c r="D11030" t="str">
        <f>"45"</f>
        <v>45</v>
      </c>
      <c r="E11030" t="str">
        <f>"1-221-45"</f>
        <v>1-221-45</v>
      </c>
      <c r="F11030" t="s">
        <v>65</v>
      </c>
      <c r="G11030" t="s">
        <v>66</v>
      </c>
      <c r="H11030" t="s">
        <v>67</v>
      </c>
      <c r="S11030">
        <v>1</v>
      </c>
      <c r="T11030">
        <v>0</v>
      </c>
      <c r="U11030">
        <v>0</v>
      </c>
      <c r="V11030">
        <v>0</v>
      </c>
      <c r="W11030">
        <v>1</v>
      </c>
      <c r="X11030">
        <v>0</v>
      </c>
      <c r="Y11030">
        <v>1</v>
      </c>
      <c r="Z11030">
        <v>0</v>
      </c>
      <c r="AA11030">
        <v>1</v>
      </c>
      <c r="AB11030">
        <v>0</v>
      </c>
      <c r="AC11030">
        <v>0</v>
      </c>
      <c r="AD11030">
        <v>1</v>
      </c>
      <c r="AE11030">
        <v>0</v>
      </c>
      <c r="AF11030">
        <v>1</v>
      </c>
      <c r="AG11030">
        <v>1</v>
      </c>
      <c r="AH11030">
        <v>1</v>
      </c>
      <c r="AI11030">
        <v>1</v>
      </c>
      <c r="AJ11030">
        <v>1</v>
      </c>
      <c r="AK11030">
        <v>1</v>
      </c>
      <c r="AL11030">
        <v>1</v>
      </c>
      <c r="AM11030">
        <v>1</v>
      </c>
    </row>
    <row r="11031" spans="1:39" x14ac:dyDescent="0.2">
      <c r="A11031" t="str">
        <f>"11027"</f>
        <v>11027</v>
      </c>
      <c r="B11031" t="str">
        <f t="shared" si="612"/>
        <v>1</v>
      </c>
      <c r="C11031" t="str">
        <f t="shared" si="613"/>
        <v>221</v>
      </c>
      <c r="D11031" t="str">
        <f>"23"</f>
        <v>23</v>
      </c>
      <c r="E11031" t="str">
        <f>"1-221-23"</f>
        <v>1-221-23</v>
      </c>
      <c r="F11031" t="s">
        <v>65</v>
      </c>
      <c r="G11031" t="s">
        <v>66</v>
      </c>
      <c r="H11031" t="s">
        <v>67</v>
      </c>
      <c r="S11031">
        <v>0</v>
      </c>
      <c r="T11031">
        <v>1</v>
      </c>
      <c r="U11031">
        <v>0</v>
      </c>
      <c r="V11031">
        <v>0</v>
      </c>
      <c r="W11031">
        <v>1</v>
      </c>
      <c r="X11031">
        <v>0</v>
      </c>
      <c r="Y11031">
        <v>0</v>
      </c>
      <c r="Z11031">
        <v>1</v>
      </c>
      <c r="AA11031">
        <v>1</v>
      </c>
      <c r="AB11031">
        <v>0</v>
      </c>
      <c r="AC11031">
        <v>0</v>
      </c>
      <c r="AD11031">
        <v>1</v>
      </c>
      <c r="AE11031">
        <v>0</v>
      </c>
      <c r="AF11031">
        <v>1</v>
      </c>
      <c r="AG11031">
        <v>1</v>
      </c>
      <c r="AH11031">
        <v>1</v>
      </c>
      <c r="AI11031">
        <v>1</v>
      </c>
      <c r="AJ11031">
        <v>1</v>
      </c>
      <c r="AK11031">
        <v>1</v>
      </c>
      <c r="AL11031">
        <v>1</v>
      </c>
      <c r="AM11031">
        <v>1</v>
      </c>
    </row>
    <row r="11032" spans="1:39" x14ac:dyDescent="0.2">
      <c r="A11032" t="str">
        <f>"11028"</f>
        <v>11028</v>
      </c>
      <c r="B11032" t="str">
        <f t="shared" si="612"/>
        <v>1</v>
      </c>
      <c r="C11032" t="str">
        <f t="shared" si="613"/>
        <v>221</v>
      </c>
      <c r="D11032" t="str">
        <f>"10"</f>
        <v>10</v>
      </c>
      <c r="E11032" t="str">
        <f>"1-221-10"</f>
        <v>1-221-10</v>
      </c>
      <c r="F11032" t="s">
        <v>65</v>
      </c>
      <c r="G11032" t="s">
        <v>66</v>
      </c>
      <c r="H11032" t="s">
        <v>67</v>
      </c>
      <c r="S11032">
        <v>0</v>
      </c>
      <c r="T11032">
        <v>1</v>
      </c>
      <c r="U11032">
        <v>0</v>
      </c>
      <c r="V11032">
        <v>0</v>
      </c>
      <c r="W11032">
        <v>1</v>
      </c>
      <c r="X11032">
        <v>0</v>
      </c>
      <c r="Y11032">
        <v>1</v>
      </c>
      <c r="Z11032">
        <v>0</v>
      </c>
      <c r="AA11032">
        <v>0</v>
      </c>
      <c r="AB11032">
        <v>1</v>
      </c>
      <c r="AC11032">
        <v>0</v>
      </c>
      <c r="AD11032">
        <v>1</v>
      </c>
      <c r="AE11032">
        <v>1</v>
      </c>
      <c r="AF11032">
        <v>1</v>
      </c>
      <c r="AG11032">
        <v>1</v>
      </c>
      <c r="AH11032">
        <v>1</v>
      </c>
      <c r="AI11032">
        <v>1</v>
      </c>
      <c r="AJ11032">
        <v>1</v>
      </c>
      <c r="AK11032">
        <v>1</v>
      </c>
      <c r="AL11032">
        <v>1</v>
      </c>
      <c r="AM11032">
        <v>1</v>
      </c>
    </row>
    <row r="11033" spans="1:39" x14ac:dyDescent="0.2">
      <c r="A11033" t="str">
        <f>"11029"</f>
        <v>11029</v>
      </c>
      <c r="B11033" t="str">
        <f t="shared" si="612"/>
        <v>1</v>
      </c>
      <c r="C11033" t="str">
        <f t="shared" si="613"/>
        <v>221</v>
      </c>
      <c r="D11033" t="str">
        <f>"44"</f>
        <v>44</v>
      </c>
      <c r="E11033" t="str">
        <f>"1-221-44"</f>
        <v>1-221-44</v>
      </c>
      <c r="F11033" t="s">
        <v>65</v>
      </c>
      <c r="G11033" t="s">
        <v>66</v>
      </c>
      <c r="H11033" t="s">
        <v>67</v>
      </c>
      <c r="S11033">
        <v>1</v>
      </c>
      <c r="T11033">
        <v>0</v>
      </c>
      <c r="U11033">
        <v>0</v>
      </c>
      <c r="V11033">
        <v>0</v>
      </c>
      <c r="W11033">
        <v>1</v>
      </c>
      <c r="X11033">
        <v>0</v>
      </c>
      <c r="Y11033">
        <v>1</v>
      </c>
      <c r="Z11033">
        <v>0</v>
      </c>
      <c r="AA11033">
        <v>1</v>
      </c>
      <c r="AB11033">
        <v>0</v>
      </c>
      <c r="AC11033">
        <v>0</v>
      </c>
      <c r="AD11033">
        <v>1</v>
      </c>
      <c r="AE11033">
        <v>0</v>
      </c>
      <c r="AF11033">
        <v>1</v>
      </c>
      <c r="AG11033">
        <v>1</v>
      </c>
      <c r="AH11033">
        <v>1</v>
      </c>
      <c r="AI11033">
        <v>1</v>
      </c>
      <c r="AJ11033">
        <v>1</v>
      </c>
      <c r="AK11033">
        <v>1</v>
      </c>
      <c r="AL11033">
        <v>1</v>
      </c>
      <c r="AM11033">
        <v>1</v>
      </c>
    </row>
    <row r="11034" spans="1:39" x14ac:dyDescent="0.2">
      <c r="A11034" t="str">
        <f>"11030"</f>
        <v>11030</v>
      </c>
      <c r="B11034" t="str">
        <f t="shared" si="612"/>
        <v>1</v>
      </c>
      <c r="C11034" t="str">
        <f t="shared" si="613"/>
        <v>221</v>
      </c>
      <c r="D11034" t="str">
        <f>"24"</f>
        <v>24</v>
      </c>
      <c r="E11034" t="str">
        <f>"1-221-24"</f>
        <v>1-221-24</v>
      </c>
      <c r="F11034" t="s">
        <v>65</v>
      </c>
      <c r="G11034" t="s">
        <v>66</v>
      </c>
      <c r="H11034" t="s">
        <v>67</v>
      </c>
      <c r="S11034">
        <v>0</v>
      </c>
      <c r="T11034">
        <v>1</v>
      </c>
      <c r="U11034">
        <v>0</v>
      </c>
      <c r="V11034">
        <v>0</v>
      </c>
      <c r="W11034">
        <v>1</v>
      </c>
      <c r="X11034">
        <v>0</v>
      </c>
      <c r="Y11034">
        <v>0</v>
      </c>
      <c r="Z11034">
        <v>1</v>
      </c>
      <c r="AA11034">
        <v>1</v>
      </c>
      <c r="AB11034">
        <v>0</v>
      </c>
      <c r="AC11034">
        <v>0</v>
      </c>
      <c r="AD11034">
        <v>1</v>
      </c>
      <c r="AE11034">
        <v>1</v>
      </c>
      <c r="AF11034">
        <v>1</v>
      </c>
      <c r="AG11034">
        <v>1</v>
      </c>
      <c r="AH11034">
        <v>1</v>
      </c>
      <c r="AI11034">
        <v>1</v>
      </c>
      <c r="AJ11034">
        <v>1</v>
      </c>
      <c r="AK11034">
        <v>1</v>
      </c>
      <c r="AL11034">
        <v>1</v>
      </c>
      <c r="AM11034">
        <v>1</v>
      </c>
    </row>
    <row r="11035" spans="1:39" x14ac:dyDescent="0.2">
      <c r="A11035" t="str">
        <f>"11031"</f>
        <v>11031</v>
      </c>
      <c r="B11035" t="str">
        <f t="shared" si="612"/>
        <v>1</v>
      </c>
      <c r="C11035" t="str">
        <f t="shared" si="613"/>
        <v>221</v>
      </c>
      <c r="D11035" t="str">
        <f>"2"</f>
        <v>2</v>
      </c>
      <c r="E11035" t="str">
        <f>"1-221-2"</f>
        <v>1-221-2</v>
      </c>
      <c r="F11035" t="s">
        <v>65</v>
      </c>
      <c r="G11035" t="s">
        <v>66</v>
      </c>
      <c r="H11035" t="s">
        <v>67</v>
      </c>
      <c r="S11035">
        <v>1</v>
      </c>
      <c r="T11035">
        <v>0</v>
      </c>
      <c r="U11035">
        <v>0</v>
      </c>
      <c r="V11035">
        <v>0</v>
      </c>
      <c r="W11035">
        <v>1</v>
      </c>
      <c r="X11035">
        <v>0</v>
      </c>
      <c r="Y11035">
        <v>1</v>
      </c>
      <c r="Z11035">
        <v>0</v>
      </c>
      <c r="AA11035">
        <v>1</v>
      </c>
      <c r="AB11035">
        <v>0</v>
      </c>
      <c r="AC11035">
        <v>0</v>
      </c>
      <c r="AD11035">
        <v>1</v>
      </c>
      <c r="AE11035">
        <v>1</v>
      </c>
      <c r="AF11035">
        <v>1</v>
      </c>
      <c r="AG11035">
        <v>1</v>
      </c>
      <c r="AH11035">
        <v>1</v>
      </c>
      <c r="AI11035">
        <v>1</v>
      </c>
      <c r="AJ11035">
        <v>1</v>
      </c>
      <c r="AK11035">
        <v>1</v>
      </c>
      <c r="AL11035">
        <v>1</v>
      </c>
      <c r="AM11035">
        <v>1</v>
      </c>
    </row>
    <row r="11036" spans="1:39" x14ac:dyDescent="0.2">
      <c r="A11036" t="str">
        <f>"11032"</f>
        <v>11032</v>
      </c>
      <c r="B11036" t="str">
        <f t="shared" si="612"/>
        <v>1</v>
      </c>
      <c r="C11036" t="str">
        <f t="shared" si="613"/>
        <v>221</v>
      </c>
      <c r="D11036" t="str">
        <f>"42"</f>
        <v>42</v>
      </c>
      <c r="E11036" t="str">
        <f>"1-221-42"</f>
        <v>1-221-42</v>
      </c>
      <c r="F11036" t="s">
        <v>65</v>
      </c>
      <c r="G11036" t="s">
        <v>66</v>
      </c>
      <c r="H11036" t="s">
        <v>67</v>
      </c>
      <c r="S11036">
        <v>1</v>
      </c>
      <c r="T11036">
        <v>0</v>
      </c>
      <c r="U11036">
        <v>0</v>
      </c>
      <c r="V11036">
        <v>0</v>
      </c>
      <c r="W11036">
        <v>1</v>
      </c>
      <c r="X11036">
        <v>0</v>
      </c>
      <c r="Y11036">
        <v>1</v>
      </c>
      <c r="Z11036">
        <v>0</v>
      </c>
      <c r="AA11036">
        <v>1</v>
      </c>
      <c r="AB11036">
        <v>0</v>
      </c>
      <c r="AC11036">
        <v>0</v>
      </c>
      <c r="AD11036">
        <v>1</v>
      </c>
      <c r="AE11036">
        <v>1</v>
      </c>
      <c r="AF11036">
        <v>1</v>
      </c>
      <c r="AG11036">
        <v>1</v>
      </c>
      <c r="AH11036">
        <v>1</v>
      </c>
      <c r="AI11036">
        <v>1</v>
      </c>
      <c r="AJ11036">
        <v>1</v>
      </c>
      <c r="AK11036">
        <v>1</v>
      </c>
      <c r="AL11036">
        <v>1</v>
      </c>
      <c r="AM11036">
        <v>1</v>
      </c>
    </row>
    <row r="11037" spans="1:39" x14ac:dyDescent="0.2">
      <c r="A11037" t="str">
        <f>"11033"</f>
        <v>11033</v>
      </c>
      <c r="B11037" t="str">
        <f t="shared" si="612"/>
        <v>1</v>
      </c>
      <c r="C11037" t="str">
        <f t="shared" ref="C11037:C11054" si="614">"221"</f>
        <v>221</v>
      </c>
      <c r="D11037" t="str">
        <f>"25"</f>
        <v>25</v>
      </c>
      <c r="E11037" t="str">
        <f>"1-221-25"</f>
        <v>1-221-25</v>
      </c>
      <c r="F11037" t="s">
        <v>65</v>
      </c>
      <c r="G11037" t="s">
        <v>66</v>
      </c>
      <c r="H11037" t="s">
        <v>67</v>
      </c>
      <c r="S11037">
        <v>1</v>
      </c>
      <c r="T11037">
        <v>0</v>
      </c>
      <c r="U11037">
        <v>0</v>
      </c>
      <c r="V11037">
        <v>0</v>
      </c>
      <c r="W11037">
        <v>1</v>
      </c>
      <c r="X11037">
        <v>0</v>
      </c>
      <c r="Y11037">
        <v>1</v>
      </c>
      <c r="Z11037">
        <v>0</v>
      </c>
      <c r="AA11037">
        <v>0</v>
      </c>
      <c r="AB11037">
        <v>0</v>
      </c>
      <c r="AC11037">
        <v>0</v>
      </c>
      <c r="AD11037">
        <v>1</v>
      </c>
      <c r="AE11037">
        <v>1</v>
      </c>
      <c r="AF11037">
        <v>1</v>
      </c>
      <c r="AG11037">
        <v>1</v>
      </c>
      <c r="AH11037">
        <v>1</v>
      </c>
      <c r="AI11037">
        <v>1</v>
      </c>
      <c r="AJ11037">
        <v>1</v>
      </c>
      <c r="AK11037">
        <v>1</v>
      </c>
      <c r="AL11037">
        <v>1</v>
      </c>
      <c r="AM11037">
        <v>1</v>
      </c>
    </row>
    <row r="11038" spans="1:39" x14ac:dyDescent="0.2">
      <c r="A11038" t="str">
        <f>"11034"</f>
        <v>11034</v>
      </c>
      <c r="B11038" t="str">
        <f t="shared" si="612"/>
        <v>1</v>
      </c>
      <c r="C11038" t="str">
        <f t="shared" si="614"/>
        <v>221</v>
      </c>
      <c r="D11038" t="str">
        <f>"13"</f>
        <v>13</v>
      </c>
      <c r="E11038" t="str">
        <f>"1-221-13"</f>
        <v>1-221-13</v>
      </c>
      <c r="F11038" t="s">
        <v>65</v>
      </c>
      <c r="G11038" t="s">
        <v>66</v>
      </c>
      <c r="H11038" t="s">
        <v>67</v>
      </c>
      <c r="S11038">
        <v>1</v>
      </c>
      <c r="T11038">
        <v>0</v>
      </c>
      <c r="U11038">
        <v>0</v>
      </c>
      <c r="V11038">
        <v>0</v>
      </c>
      <c r="W11038">
        <v>1</v>
      </c>
      <c r="X11038">
        <v>0</v>
      </c>
      <c r="Y11038">
        <v>1</v>
      </c>
      <c r="Z11038">
        <v>0</v>
      </c>
      <c r="AA11038">
        <v>1</v>
      </c>
      <c r="AB11038">
        <v>0</v>
      </c>
      <c r="AC11038">
        <v>0</v>
      </c>
      <c r="AD11038">
        <v>1</v>
      </c>
      <c r="AE11038">
        <v>1</v>
      </c>
      <c r="AF11038">
        <v>1</v>
      </c>
      <c r="AG11038">
        <v>0</v>
      </c>
      <c r="AH11038">
        <v>1</v>
      </c>
      <c r="AI11038">
        <v>1</v>
      </c>
      <c r="AJ11038">
        <v>1</v>
      </c>
      <c r="AK11038">
        <v>1</v>
      </c>
      <c r="AL11038">
        <v>1</v>
      </c>
      <c r="AM11038">
        <v>1</v>
      </c>
    </row>
    <row r="11039" spans="1:39" x14ac:dyDescent="0.2">
      <c r="A11039" t="str">
        <f>"11035"</f>
        <v>11035</v>
      </c>
      <c r="B11039" t="str">
        <f t="shared" si="612"/>
        <v>1</v>
      </c>
      <c r="C11039" t="str">
        <f t="shared" si="614"/>
        <v>221</v>
      </c>
      <c r="D11039" t="str">
        <f>"26"</f>
        <v>26</v>
      </c>
      <c r="E11039" t="str">
        <f>"1-221-26"</f>
        <v>1-221-26</v>
      </c>
      <c r="F11039" t="s">
        <v>65</v>
      </c>
      <c r="G11039" t="s">
        <v>66</v>
      </c>
      <c r="H11039" t="s">
        <v>67</v>
      </c>
      <c r="S11039">
        <v>0</v>
      </c>
      <c r="T11039">
        <v>1</v>
      </c>
      <c r="U11039">
        <v>0</v>
      </c>
      <c r="V11039">
        <v>0</v>
      </c>
      <c r="W11039">
        <v>1</v>
      </c>
      <c r="X11039">
        <v>0</v>
      </c>
      <c r="Y11039">
        <v>0</v>
      </c>
      <c r="Z11039">
        <v>1</v>
      </c>
      <c r="AA11039">
        <v>1</v>
      </c>
      <c r="AB11039">
        <v>0</v>
      </c>
      <c r="AC11039">
        <v>0</v>
      </c>
      <c r="AD11039">
        <v>1</v>
      </c>
      <c r="AE11039">
        <v>1</v>
      </c>
      <c r="AF11039">
        <v>1</v>
      </c>
      <c r="AG11039">
        <v>1</v>
      </c>
      <c r="AH11039">
        <v>0</v>
      </c>
      <c r="AI11039">
        <v>1</v>
      </c>
      <c r="AJ11039">
        <v>1</v>
      </c>
      <c r="AK11039">
        <v>1</v>
      </c>
      <c r="AL11039">
        <v>1</v>
      </c>
      <c r="AM11039">
        <v>1</v>
      </c>
    </row>
    <row r="11040" spans="1:39" x14ac:dyDescent="0.2">
      <c r="A11040" t="str">
        <f>"11036"</f>
        <v>11036</v>
      </c>
      <c r="B11040" t="str">
        <f t="shared" si="612"/>
        <v>1</v>
      </c>
      <c r="C11040" t="str">
        <f t="shared" si="614"/>
        <v>221</v>
      </c>
      <c r="D11040" t="str">
        <f>"8"</f>
        <v>8</v>
      </c>
      <c r="E11040" t="str">
        <f>"1-221-8"</f>
        <v>1-221-8</v>
      </c>
      <c r="F11040" t="s">
        <v>65</v>
      </c>
      <c r="G11040" t="s">
        <v>66</v>
      </c>
      <c r="H11040" t="s">
        <v>67</v>
      </c>
      <c r="S11040">
        <v>1</v>
      </c>
      <c r="T11040">
        <v>0</v>
      </c>
      <c r="U11040">
        <v>0</v>
      </c>
      <c r="V11040">
        <v>0</v>
      </c>
      <c r="W11040">
        <v>1</v>
      </c>
      <c r="X11040">
        <v>0</v>
      </c>
      <c r="Y11040">
        <v>1</v>
      </c>
      <c r="Z11040">
        <v>0</v>
      </c>
      <c r="AA11040">
        <v>1</v>
      </c>
      <c r="AB11040">
        <v>0</v>
      </c>
      <c r="AC11040">
        <v>0</v>
      </c>
      <c r="AD11040">
        <v>1</v>
      </c>
      <c r="AE11040">
        <v>1</v>
      </c>
      <c r="AF11040">
        <v>1</v>
      </c>
      <c r="AG11040">
        <v>1</v>
      </c>
      <c r="AH11040">
        <v>1</v>
      </c>
      <c r="AI11040">
        <v>1</v>
      </c>
      <c r="AJ11040">
        <v>1</v>
      </c>
      <c r="AK11040">
        <v>1</v>
      </c>
      <c r="AL11040">
        <v>1</v>
      </c>
      <c r="AM11040">
        <v>1</v>
      </c>
    </row>
    <row r="11041" spans="1:39" x14ac:dyDescent="0.2">
      <c r="A11041" t="str">
        <f>"11037"</f>
        <v>11037</v>
      </c>
      <c r="B11041" t="str">
        <f t="shared" si="612"/>
        <v>1</v>
      </c>
      <c r="C11041" t="str">
        <f t="shared" si="614"/>
        <v>221</v>
      </c>
      <c r="D11041" t="str">
        <f>"43"</f>
        <v>43</v>
      </c>
      <c r="E11041" t="str">
        <f>"1-221-43"</f>
        <v>1-221-43</v>
      </c>
      <c r="F11041" t="s">
        <v>65</v>
      </c>
      <c r="G11041" t="s">
        <v>66</v>
      </c>
      <c r="H11041" t="s">
        <v>67</v>
      </c>
      <c r="S11041">
        <v>1</v>
      </c>
      <c r="T11041">
        <v>0</v>
      </c>
      <c r="U11041">
        <v>0</v>
      </c>
      <c r="V11041">
        <v>0</v>
      </c>
      <c r="W11041">
        <v>1</v>
      </c>
      <c r="X11041">
        <v>0</v>
      </c>
      <c r="Y11041">
        <v>1</v>
      </c>
      <c r="Z11041">
        <v>0</v>
      </c>
      <c r="AA11041">
        <v>1</v>
      </c>
      <c r="AB11041">
        <v>0</v>
      </c>
      <c r="AC11041">
        <v>0</v>
      </c>
      <c r="AD11041">
        <v>1</v>
      </c>
      <c r="AE11041">
        <v>1</v>
      </c>
      <c r="AF11041">
        <v>1</v>
      </c>
      <c r="AG11041">
        <v>1</v>
      </c>
      <c r="AH11041">
        <v>1</v>
      </c>
      <c r="AI11041">
        <v>1</v>
      </c>
      <c r="AJ11041">
        <v>1</v>
      </c>
      <c r="AK11041">
        <v>1</v>
      </c>
      <c r="AL11041">
        <v>1</v>
      </c>
      <c r="AM11041">
        <v>1</v>
      </c>
    </row>
    <row r="11042" spans="1:39" x14ac:dyDescent="0.2">
      <c r="A11042" t="str">
        <f>"11038"</f>
        <v>11038</v>
      </c>
      <c r="B11042" t="str">
        <f t="shared" si="612"/>
        <v>1</v>
      </c>
      <c r="C11042" t="str">
        <f t="shared" si="614"/>
        <v>221</v>
      </c>
      <c r="D11042" t="str">
        <f>"27"</f>
        <v>27</v>
      </c>
      <c r="E11042" t="str">
        <f>"1-221-27"</f>
        <v>1-221-27</v>
      </c>
      <c r="F11042" t="s">
        <v>65</v>
      </c>
      <c r="G11042" t="s">
        <v>66</v>
      </c>
      <c r="H11042" t="s">
        <v>67</v>
      </c>
      <c r="S11042">
        <v>0</v>
      </c>
      <c r="T11042">
        <v>1</v>
      </c>
      <c r="U11042">
        <v>0</v>
      </c>
      <c r="V11042">
        <v>0</v>
      </c>
      <c r="W11042">
        <v>1</v>
      </c>
      <c r="X11042">
        <v>0</v>
      </c>
      <c r="Y11042">
        <v>0</v>
      </c>
      <c r="Z11042">
        <v>1</v>
      </c>
      <c r="AA11042">
        <v>1</v>
      </c>
      <c r="AB11042">
        <v>0</v>
      </c>
      <c r="AC11042">
        <v>0</v>
      </c>
      <c r="AD11042">
        <v>1</v>
      </c>
      <c r="AE11042">
        <v>1</v>
      </c>
      <c r="AF11042">
        <v>1</v>
      </c>
      <c r="AG11042">
        <v>1</v>
      </c>
      <c r="AH11042">
        <v>0</v>
      </c>
      <c r="AI11042">
        <v>0</v>
      </c>
      <c r="AJ11042">
        <v>1</v>
      </c>
      <c r="AK11042">
        <v>1</v>
      </c>
      <c r="AL11042">
        <v>1</v>
      </c>
      <c r="AM11042">
        <v>1</v>
      </c>
    </row>
    <row r="11043" spans="1:39" x14ac:dyDescent="0.2">
      <c r="A11043" t="str">
        <f>"11039"</f>
        <v>11039</v>
      </c>
      <c r="B11043" t="str">
        <f t="shared" si="612"/>
        <v>1</v>
      </c>
      <c r="C11043" t="str">
        <f t="shared" si="614"/>
        <v>221</v>
      </c>
      <c r="D11043" t="str">
        <f>"11"</f>
        <v>11</v>
      </c>
      <c r="E11043" t="str">
        <f>"1-221-11"</f>
        <v>1-221-11</v>
      </c>
      <c r="F11043" t="s">
        <v>65</v>
      </c>
      <c r="G11043" t="s">
        <v>66</v>
      </c>
      <c r="H11043" t="s">
        <v>67</v>
      </c>
      <c r="S11043">
        <v>1</v>
      </c>
      <c r="T11043">
        <v>0</v>
      </c>
      <c r="U11043">
        <v>0</v>
      </c>
      <c r="V11043">
        <v>0</v>
      </c>
      <c r="W11043">
        <v>1</v>
      </c>
      <c r="X11043">
        <v>0</v>
      </c>
      <c r="Y11043">
        <v>1</v>
      </c>
      <c r="Z11043">
        <v>0</v>
      </c>
      <c r="AA11043">
        <v>1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1</v>
      </c>
      <c r="AH11043">
        <v>0</v>
      </c>
      <c r="AI11043">
        <v>0</v>
      </c>
      <c r="AJ11043">
        <v>1</v>
      </c>
      <c r="AK11043">
        <v>1</v>
      </c>
      <c r="AL11043">
        <v>1</v>
      </c>
      <c r="AM11043">
        <v>1</v>
      </c>
    </row>
    <row r="11044" spans="1:39" x14ac:dyDescent="0.2">
      <c r="A11044" t="str">
        <f>"11040"</f>
        <v>11040</v>
      </c>
      <c r="B11044" t="str">
        <f t="shared" si="612"/>
        <v>1</v>
      </c>
      <c r="C11044" t="str">
        <f t="shared" si="614"/>
        <v>221</v>
      </c>
      <c r="D11044" t="str">
        <f>"29"</f>
        <v>29</v>
      </c>
      <c r="E11044" t="str">
        <f>"1-221-29"</f>
        <v>1-221-29</v>
      </c>
      <c r="F11044" t="s">
        <v>65</v>
      </c>
      <c r="G11044" t="s">
        <v>66</v>
      </c>
      <c r="H11044" t="s">
        <v>67</v>
      </c>
      <c r="S11044">
        <v>1</v>
      </c>
      <c r="T11044">
        <v>0</v>
      </c>
      <c r="U11044">
        <v>0</v>
      </c>
      <c r="V11044">
        <v>0</v>
      </c>
      <c r="W11044">
        <v>1</v>
      </c>
      <c r="X11044">
        <v>0</v>
      </c>
      <c r="Y11044">
        <v>1</v>
      </c>
      <c r="Z11044">
        <v>0</v>
      </c>
      <c r="AA11044">
        <v>0</v>
      </c>
      <c r="AB11044">
        <v>1</v>
      </c>
      <c r="AC11044">
        <v>0</v>
      </c>
      <c r="AD11044">
        <v>1</v>
      </c>
      <c r="AE11044">
        <v>0</v>
      </c>
      <c r="AF11044">
        <v>0</v>
      </c>
      <c r="AG11044">
        <v>1</v>
      </c>
      <c r="AH11044">
        <v>1</v>
      </c>
      <c r="AI11044">
        <v>1</v>
      </c>
      <c r="AJ11044">
        <v>1</v>
      </c>
      <c r="AK11044">
        <v>0</v>
      </c>
      <c r="AL11044">
        <v>1</v>
      </c>
      <c r="AM11044">
        <v>1</v>
      </c>
    </row>
    <row r="11045" spans="1:39" x14ac:dyDescent="0.2">
      <c r="A11045" t="str">
        <f>"11041"</f>
        <v>11041</v>
      </c>
      <c r="B11045" t="str">
        <f t="shared" si="612"/>
        <v>1</v>
      </c>
      <c r="C11045" t="str">
        <f t="shared" si="614"/>
        <v>221</v>
      </c>
      <c r="D11045" t="str">
        <f>"9"</f>
        <v>9</v>
      </c>
      <c r="E11045" t="str">
        <f>"1-221-9"</f>
        <v>1-221-9</v>
      </c>
      <c r="F11045" t="s">
        <v>65</v>
      </c>
      <c r="G11045" t="s">
        <v>66</v>
      </c>
      <c r="H11045" t="s">
        <v>67</v>
      </c>
      <c r="S11045">
        <v>1</v>
      </c>
      <c r="T11045">
        <v>0</v>
      </c>
      <c r="U11045">
        <v>0</v>
      </c>
      <c r="V11045">
        <v>0</v>
      </c>
      <c r="W11045">
        <v>1</v>
      </c>
      <c r="X11045">
        <v>0</v>
      </c>
      <c r="Y11045">
        <v>1</v>
      </c>
      <c r="Z11045">
        <v>0</v>
      </c>
      <c r="AA11045">
        <v>1</v>
      </c>
      <c r="AB11045">
        <v>0</v>
      </c>
      <c r="AC11045">
        <v>0</v>
      </c>
      <c r="AD11045">
        <v>1</v>
      </c>
      <c r="AE11045">
        <v>1</v>
      </c>
      <c r="AF11045">
        <v>1</v>
      </c>
      <c r="AG11045">
        <v>1</v>
      </c>
      <c r="AH11045">
        <v>1</v>
      </c>
      <c r="AI11045">
        <v>1</v>
      </c>
      <c r="AJ11045">
        <v>1</v>
      </c>
      <c r="AK11045">
        <v>1</v>
      </c>
      <c r="AL11045">
        <v>1</v>
      </c>
      <c r="AM11045">
        <v>1</v>
      </c>
    </row>
    <row r="11046" spans="1:39" x14ac:dyDescent="0.2">
      <c r="A11046" t="str">
        <f>"11042"</f>
        <v>11042</v>
      </c>
      <c r="B11046" t="str">
        <f t="shared" si="612"/>
        <v>1</v>
      </c>
      <c r="C11046" t="str">
        <f t="shared" si="614"/>
        <v>221</v>
      </c>
      <c r="D11046" t="str">
        <f>"48"</f>
        <v>48</v>
      </c>
      <c r="E11046" t="str">
        <f>"1-221-48"</f>
        <v>1-221-48</v>
      </c>
      <c r="F11046" t="s">
        <v>65</v>
      </c>
      <c r="G11046" t="s">
        <v>66</v>
      </c>
      <c r="H11046" t="s">
        <v>67</v>
      </c>
      <c r="S11046">
        <v>1</v>
      </c>
      <c r="T11046">
        <v>0</v>
      </c>
      <c r="U11046">
        <v>0</v>
      </c>
      <c r="V11046">
        <v>0</v>
      </c>
      <c r="W11046">
        <v>1</v>
      </c>
      <c r="X11046">
        <v>0</v>
      </c>
      <c r="Y11046">
        <v>1</v>
      </c>
      <c r="Z11046">
        <v>0</v>
      </c>
      <c r="AA11046">
        <v>1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</row>
    <row r="11047" spans="1:39" x14ac:dyDescent="0.2">
      <c r="A11047" t="str">
        <f>"11043"</f>
        <v>11043</v>
      </c>
      <c r="B11047" t="str">
        <f t="shared" si="612"/>
        <v>1</v>
      </c>
      <c r="C11047" t="str">
        <f t="shared" si="614"/>
        <v>221</v>
      </c>
      <c r="D11047" t="str">
        <f>"30"</f>
        <v>30</v>
      </c>
      <c r="E11047" t="str">
        <f>"1-221-30"</f>
        <v>1-221-30</v>
      </c>
      <c r="F11047" t="s">
        <v>65</v>
      </c>
      <c r="G11047" t="s">
        <v>66</v>
      </c>
      <c r="H11047" t="s">
        <v>67</v>
      </c>
      <c r="S11047">
        <v>0</v>
      </c>
      <c r="T11047">
        <v>1</v>
      </c>
      <c r="U11047">
        <v>0</v>
      </c>
      <c r="V11047">
        <v>0</v>
      </c>
      <c r="W11047">
        <v>1</v>
      </c>
      <c r="X11047">
        <v>0</v>
      </c>
      <c r="Y11047">
        <v>1</v>
      </c>
      <c r="Z11047">
        <v>0</v>
      </c>
      <c r="AA11047">
        <v>1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</row>
    <row r="11048" spans="1:39" x14ac:dyDescent="0.2">
      <c r="A11048" t="str">
        <f>"11044"</f>
        <v>11044</v>
      </c>
      <c r="B11048" t="str">
        <f t="shared" si="612"/>
        <v>1</v>
      </c>
      <c r="C11048" t="str">
        <f t="shared" si="614"/>
        <v>221</v>
      </c>
      <c r="D11048" t="str">
        <f>"14"</f>
        <v>14</v>
      </c>
      <c r="E11048" t="str">
        <f>"1-221-14"</f>
        <v>1-221-14</v>
      </c>
      <c r="F11048" t="s">
        <v>65</v>
      </c>
      <c r="G11048" t="s">
        <v>66</v>
      </c>
      <c r="H11048" t="s">
        <v>67</v>
      </c>
      <c r="S11048">
        <v>0</v>
      </c>
      <c r="T11048">
        <v>0</v>
      </c>
      <c r="U11048">
        <v>0</v>
      </c>
      <c r="V11048">
        <v>0</v>
      </c>
      <c r="W11048">
        <v>1</v>
      </c>
      <c r="X11048">
        <v>0</v>
      </c>
      <c r="Y11048">
        <v>0</v>
      </c>
      <c r="Z11048">
        <v>1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</row>
    <row r="11049" spans="1:39" x14ac:dyDescent="0.2">
      <c r="A11049" t="str">
        <f>"11045"</f>
        <v>11045</v>
      </c>
      <c r="B11049" t="str">
        <f t="shared" si="612"/>
        <v>1</v>
      </c>
      <c r="C11049" t="str">
        <f t="shared" si="614"/>
        <v>221</v>
      </c>
      <c r="D11049" t="str">
        <f>"31"</f>
        <v>31</v>
      </c>
      <c r="E11049" t="str">
        <f>"1-221-31"</f>
        <v>1-221-31</v>
      </c>
      <c r="F11049" t="s">
        <v>65</v>
      </c>
      <c r="G11049" t="s">
        <v>66</v>
      </c>
      <c r="H11049" t="s">
        <v>67</v>
      </c>
      <c r="S11049">
        <v>1</v>
      </c>
      <c r="T11049">
        <v>0</v>
      </c>
      <c r="U11049">
        <v>0</v>
      </c>
      <c r="V11049">
        <v>0</v>
      </c>
      <c r="W11049">
        <v>1</v>
      </c>
      <c r="X11049">
        <v>0</v>
      </c>
      <c r="Y11049">
        <v>0</v>
      </c>
      <c r="Z11049">
        <v>1</v>
      </c>
      <c r="AA11049">
        <v>1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1</v>
      </c>
      <c r="AH11049">
        <v>0</v>
      </c>
      <c r="AI11049">
        <v>0</v>
      </c>
      <c r="AJ11049">
        <v>0</v>
      </c>
      <c r="AK11049">
        <v>0</v>
      </c>
      <c r="AL11049">
        <v>1</v>
      </c>
      <c r="AM11049">
        <v>0</v>
      </c>
    </row>
    <row r="11050" spans="1:39" x14ac:dyDescent="0.2">
      <c r="A11050" t="str">
        <f>"11046"</f>
        <v>11046</v>
      </c>
      <c r="B11050" t="str">
        <f t="shared" si="612"/>
        <v>1</v>
      </c>
      <c r="C11050" t="str">
        <f t="shared" si="614"/>
        <v>221</v>
      </c>
      <c r="D11050" t="str">
        <f>"7"</f>
        <v>7</v>
      </c>
      <c r="E11050" t="str">
        <f>"1-221-7"</f>
        <v>1-221-7</v>
      </c>
      <c r="F11050" t="s">
        <v>65</v>
      </c>
      <c r="G11050" t="s">
        <v>66</v>
      </c>
      <c r="H11050" t="s">
        <v>67</v>
      </c>
      <c r="S11050">
        <v>1</v>
      </c>
      <c r="T11050">
        <v>0</v>
      </c>
      <c r="U11050">
        <v>0</v>
      </c>
      <c r="V11050">
        <v>0</v>
      </c>
      <c r="W11050">
        <v>1</v>
      </c>
      <c r="X11050">
        <v>0</v>
      </c>
      <c r="Y11050">
        <v>0</v>
      </c>
      <c r="Z11050">
        <v>0</v>
      </c>
      <c r="AA11050">
        <v>1</v>
      </c>
      <c r="AB11050">
        <v>0</v>
      </c>
      <c r="AC11050">
        <v>0</v>
      </c>
      <c r="AD11050">
        <v>1</v>
      </c>
      <c r="AE11050">
        <v>0</v>
      </c>
      <c r="AF11050">
        <v>0</v>
      </c>
      <c r="AG11050">
        <v>1</v>
      </c>
      <c r="AH11050">
        <v>0</v>
      </c>
      <c r="AI11050">
        <v>1</v>
      </c>
      <c r="AJ11050">
        <v>1</v>
      </c>
      <c r="AK11050">
        <v>1</v>
      </c>
      <c r="AL11050">
        <v>1</v>
      </c>
      <c r="AM11050">
        <v>1</v>
      </c>
    </row>
    <row r="11051" spans="1:39" x14ac:dyDescent="0.2">
      <c r="A11051" t="str">
        <f>"11047"</f>
        <v>11047</v>
      </c>
      <c r="B11051" t="str">
        <f t="shared" si="612"/>
        <v>1</v>
      </c>
      <c r="C11051" t="str">
        <f t="shared" si="614"/>
        <v>221</v>
      </c>
      <c r="D11051" t="str">
        <f>"49"</f>
        <v>49</v>
      </c>
      <c r="E11051" t="str">
        <f>"1-221-49"</f>
        <v>1-221-49</v>
      </c>
      <c r="F11051" t="s">
        <v>65</v>
      </c>
      <c r="G11051" t="s">
        <v>66</v>
      </c>
      <c r="H11051" t="s">
        <v>67</v>
      </c>
      <c r="S11051">
        <v>0</v>
      </c>
      <c r="T11051">
        <v>1</v>
      </c>
      <c r="U11051">
        <v>0</v>
      </c>
      <c r="V11051">
        <v>0</v>
      </c>
      <c r="W11051">
        <v>0</v>
      </c>
      <c r="X11051">
        <v>1</v>
      </c>
      <c r="Y11051">
        <v>1</v>
      </c>
      <c r="Z11051">
        <v>0</v>
      </c>
      <c r="AA11051">
        <v>0</v>
      </c>
      <c r="AB11051">
        <v>0</v>
      </c>
      <c r="AC11051">
        <v>1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</row>
    <row r="11052" spans="1:39" x14ac:dyDescent="0.2">
      <c r="A11052" t="str">
        <f>"11048"</f>
        <v>11048</v>
      </c>
      <c r="B11052" t="str">
        <f t="shared" si="612"/>
        <v>1</v>
      </c>
      <c r="C11052" t="str">
        <f t="shared" si="614"/>
        <v>221</v>
      </c>
      <c r="D11052" t="str">
        <f>"32"</f>
        <v>32</v>
      </c>
      <c r="E11052" t="str">
        <f>"1-221-32"</f>
        <v>1-221-32</v>
      </c>
      <c r="F11052" t="s">
        <v>65</v>
      </c>
      <c r="G11052" t="s">
        <v>66</v>
      </c>
      <c r="H11052" t="s">
        <v>67</v>
      </c>
      <c r="S11052">
        <v>1</v>
      </c>
      <c r="T11052">
        <v>0</v>
      </c>
      <c r="U11052">
        <v>0</v>
      </c>
      <c r="V11052">
        <v>0</v>
      </c>
      <c r="W11052">
        <v>1</v>
      </c>
      <c r="X11052">
        <v>0</v>
      </c>
      <c r="Y11052">
        <v>1</v>
      </c>
      <c r="Z11052">
        <v>0</v>
      </c>
      <c r="AA11052">
        <v>1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</row>
    <row r="11053" spans="1:39" x14ac:dyDescent="0.2">
      <c r="A11053" t="str">
        <f>"11049"</f>
        <v>11049</v>
      </c>
      <c r="B11053" t="str">
        <f t="shared" si="612"/>
        <v>1</v>
      </c>
      <c r="C11053" t="str">
        <f t="shared" si="614"/>
        <v>221</v>
      </c>
      <c r="D11053" t="str">
        <f>"4"</f>
        <v>4</v>
      </c>
      <c r="E11053" t="str">
        <f>"1-221-4"</f>
        <v>1-221-4</v>
      </c>
      <c r="F11053" t="s">
        <v>65</v>
      </c>
      <c r="G11053" t="s">
        <v>66</v>
      </c>
      <c r="H11053" t="s">
        <v>67</v>
      </c>
      <c r="S11053">
        <v>1</v>
      </c>
      <c r="T11053">
        <v>0</v>
      </c>
      <c r="U11053">
        <v>0</v>
      </c>
      <c r="V11053">
        <v>0</v>
      </c>
      <c r="W11053">
        <v>1</v>
      </c>
      <c r="X11053">
        <v>0</v>
      </c>
      <c r="Y11053">
        <v>0</v>
      </c>
      <c r="Z11053">
        <v>0</v>
      </c>
      <c r="AA11053">
        <v>1</v>
      </c>
      <c r="AB11053">
        <v>0</v>
      </c>
      <c r="AC11053">
        <v>0</v>
      </c>
      <c r="AD11053">
        <v>1</v>
      </c>
      <c r="AE11053">
        <v>0</v>
      </c>
      <c r="AF11053">
        <v>1</v>
      </c>
      <c r="AG11053">
        <v>1</v>
      </c>
      <c r="AH11053">
        <v>0</v>
      </c>
      <c r="AI11053">
        <v>1</v>
      </c>
      <c r="AJ11053">
        <v>1</v>
      </c>
      <c r="AK11053">
        <v>1</v>
      </c>
      <c r="AL11053">
        <v>1</v>
      </c>
      <c r="AM11053">
        <v>1</v>
      </c>
    </row>
    <row r="11054" spans="1:39" x14ac:dyDescent="0.2">
      <c r="A11054" t="str">
        <f>"11050"</f>
        <v>11050</v>
      </c>
      <c r="B11054" t="str">
        <f t="shared" si="612"/>
        <v>1</v>
      </c>
      <c r="C11054" t="str">
        <f t="shared" si="614"/>
        <v>221</v>
      </c>
      <c r="D11054" t="str">
        <f>"50"</f>
        <v>50</v>
      </c>
      <c r="E11054" t="str">
        <f>"1-221-50"</f>
        <v>1-221-50</v>
      </c>
      <c r="F11054" t="s">
        <v>65</v>
      </c>
      <c r="G11054" t="s">
        <v>66</v>
      </c>
      <c r="H11054" t="s">
        <v>67</v>
      </c>
      <c r="S11054">
        <v>1</v>
      </c>
      <c r="T11054">
        <v>0</v>
      </c>
      <c r="U11054">
        <v>0</v>
      </c>
      <c r="V11054">
        <v>0</v>
      </c>
      <c r="W11054">
        <v>1</v>
      </c>
      <c r="X11054">
        <v>0</v>
      </c>
      <c r="Y11054">
        <v>0</v>
      </c>
      <c r="Z11054">
        <v>1</v>
      </c>
      <c r="AA11054">
        <v>0</v>
      </c>
      <c r="AB11054">
        <v>0</v>
      </c>
      <c r="AC11054">
        <v>1</v>
      </c>
      <c r="AD11054">
        <v>1</v>
      </c>
      <c r="AE11054">
        <v>1</v>
      </c>
      <c r="AF11054">
        <v>1</v>
      </c>
      <c r="AG11054">
        <v>1</v>
      </c>
      <c r="AH11054">
        <v>1</v>
      </c>
      <c r="AI11054">
        <v>1</v>
      </c>
      <c r="AJ11054">
        <v>1</v>
      </c>
      <c r="AK11054">
        <v>1</v>
      </c>
      <c r="AL11054">
        <v>1</v>
      </c>
      <c r="AM11054">
        <v>1</v>
      </c>
    </row>
    <row r="11055" spans="1:39" x14ac:dyDescent="0.2">
      <c r="A11055" t="str">
        <f>"11051"</f>
        <v>11051</v>
      </c>
      <c r="B11055" t="str">
        <f t="shared" si="612"/>
        <v>1</v>
      </c>
      <c r="C11055" t="str">
        <f t="shared" ref="C11055:C11086" si="615">"222"</f>
        <v>222</v>
      </c>
      <c r="D11055" t="str">
        <f>"38"</f>
        <v>38</v>
      </c>
      <c r="E11055" t="str">
        <f>"1-222-38"</f>
        <v>1-222-38</v>
      </c>
      <c r="F11055" t="s">
        <v>65</v>
      </c>
      <c r="G11055" t="s">
        <v>66</v>
      </c>
      <c r="H11055" t="s">
        <v>67</v>
      </c>
      <c r="S11055">
        <v>1</v>
      </c>
      <c r="T11055">
        <v>0</v>
      </c>
      <c r="U11055">
        <v>0</v>
      </c>
      <c r="V11055">
        <v>0</v>
      </c>
      <c r="W11055">
        <v>1</v>
      </c>
      <c r="X11055">
        <v>0</v>
      </c>
      <c r="Y11055">
        <v>1</v>
      </c>
      <c r="Z11055">
        <v>0</v>
      </c>
      <c r="AA11055">
        <v>1</v>
      </c>
      <c r="AB11055">
        <v>0</v>
      </c>
      <c r="AC11055">
        <v>0</v>
      </c>
      <c r="AD11055">
        <v>1</v>
      </c>
      <c r="AE11055">
        <v>1</v>
      </c>
      <c r="AF11055">
        <v>1</v>
      </c>
      <c r="AG11055">
        <v>1</v>
      </c>
      <c r="AH11055">
        <v>1</v>
      </c>
      <c r="AI11055">
        <v>1</v>
      </c>
      <c r="AJ11055">
        <v>1</v>
      </c>
      <c r="AK11055">
        <v>1</v>
      </c>
      <c r="AL11055">
        <v>1</v>
      </c>
      <c r="AM11055">
        <v>1</v>
      </c>
    </row>
    <row r="11056" spans="1:39" x14ac:dyDescent="0.2">
      <c r="A11056" t="str">
        <f>"11052"</f>
        <v>11052</v>
      </c>
      <c r="B11056" t="str">
        <f t="shared" si="612"/>
        <v>1</v>
      </c>
      <c r="C11056" t="str">
        <f t="shared" si="615"/>
        <v>222</v>
      </c>
      <c r="D11056" t="str">
        <f>"37"</f>
        <v>37</v>
      </c>
      <c r="E11056" t="str">
        <f>"1-222-37"</f>
        <v>1-222-37</v>
      </c>
      <c r="F11056" t="s">
        <v>65</v>
      </c>
      <c r="G11056" t="s">
        <v>66</v>
      </c>
      <c r="H11056" t="s">
        <v>67</v>
      </c>
      <c r="S11056">
        <v>1</v>
      </c>
      <c r="T11056">
        <v>0</v>
      </c>
      <c r="U11056">
        <v>0</v>
      </c>
      <c r="V11056">
        <v>0</v>
      </c>
      <c r="W11056">
        <v>1</v>
      </c>
      <c r="X11056">
        <v>0</v>
      </c>
      <c r="Y11056">
        <v>1</v>
      </c>
      <c r="Z11056">
        <v>0</v>
      </c>
      <c r="AA11056">
        <v>0</v>
      </c>
      <c r="AB11056">
        <v>0</v>
      </c>
      <c r="AC11056">
        <v>1</v>
      </c>
      <c r="AD11056">
        <v>1</v>
      </c>
      <c r="AE11056">
        <v>1</v>
      </c>
      <c r="AF11056">
        <v>1</v>
      </c>
      <c r="AG11056">
        <v>0</v>
      </c>
      <c r="AH11056">
        <v>1</v>
      </c>
      <c r="AI11056">
        <v>1</v>
      </c>
      <c r="AJ11056">
        <v>1</v>
      </c>
      <c r="AK11056">
        <v>1</v>
      </c>
      <c r="AL11056">
        <v>1</v>
      </c>
      <c r="AM11056">
        <v>1</v>
      </c>
    </row>
    <row r="11057" spans="1:39" x14ac:dyDescent="0.2">
      <c r="A11057" t="str">
        <f>"11053"</f>
        <v>11053</v>
      </c>
      <c r="B11057" t="str">
        <f t="shared" si="612"/>
        <v>1</v>
      </c>
      <c r="C11057" t="str">
        <f t="shared" si="615"/>
        <v>222</v>
      </c>
      <c r="D11057" t="str">
        <f>"25"</f>
        <v>25</v>
      </c>
      <c r="E11057" t="str">
        <f>"1-222-25"</f>
        <v>1-222-25</v>
      </c>
      <c r="F11057" t="s">
        <v>65</v>
      </c>
      <c r="G11057" t="s">
        <v>66</v>
      </c>
      <c r="H11057" t="s">
        <v>67</v>
      </c>
      <c r="S11057">
        <v>0</v>
      </c>
      <c r="T11057">
        <v>1</v>
      </c>
      <c r="U11057">
        <v>0</v>
      </c>
      <c r="V11057">
        <v>0</v>
      </c>
      <c r="W11057">
        <v>1</v>
      </c>
      <c r="X11057">
        <v>0</v>
      </c>
      <c r="Y11057">
        <v>0</v>
      </c>
      <c r="Z11057">
        <v>1</v>
      </c>
      <c r="AA11057">
        <v>0</v>
      </c>
      <c r="AB11057">
        <v>0</v>
      </c>
      <c r="AC11057">
        <v>1</v>
      </c>
      <c r="AD11057">
        <v>1</v>
      </c>
      <c r="AE11057">
        <v>1</v>
      </c>
      <c r="AF11057">
        <v>1</v>
      </c>
      <c r="AG11057">
        <v>1</v>
      </c>
      <c r="AH11057">
        <v>1</v>
      </c>
      <c r="AI11057">
        <v>1</v>
      </c>
      <c r="AJ11057">
        <v>1</v>
      </c>
      <c r="AK11057">
        <v>1</v>
      </c>
      <c r="AL11057">
        <v>1</v>
      </c>
      <c r="AM11057">
        <v>1</v>
      </c>
    </row>
    <row r="11058" spans="1:39" x14ac:dyDescent="0.2">
      <c r="A11058" t="str">
        <f>"11054"</f>
        <v>11054</v>
      </c>
      <c r="B11058" t="str">
        <f t="shared" si="612"/>
        <v>1</v>
      </c>
      <c r="C11058" t="str">
        <f t="shared" si="615"/>
        <v>222</v>
      </c>
      <c r="D11058" t="str">
        <f>"24"</f>
        <v>24</v>
      </c>
      <c r="E11058" t="str">
        <f>"1-222-24"</f>
        <v>1-222-24</v>
      </c>
      <c r="F11058" t="s">
        <v>65</v>
      </c>
      <c r="G11058" t="s">
        <v>66</v>
      </c>
      <c r="H11058" t="s">
        <v>67</v>
      </c>
      <c r="S11058">
        <v>0</v>
      </c>
      <c r="T11058">
        <v>0</v>
      </c>
      <c r="U11058">
        <v>0</v>
      </c>
      <c r="V11058">
        <v>0</v>
      </c>
      <c r="W11058">
        <v>1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</row>
    <row r="11059" spans="1:39" x14ac:dyDescent="0.2">
      <c r="A11059" t="str">
        <f>"11055"</f>
        <v>11055</v>
      </c>
      <c r="B11059" t="str">
        <f t="shared" si="612"/>
        <v>1</v>
      </c>
      <c r="C11059" t="str">
        <f t="shared" si="615"/>
        <v>222</v>
      </c>
      <c r="D11059" t="str">
        <f>"17"</f>
        <v>17</v>
      </c>
      <c r="E11059" t="str">
        <f>"1-222-17"</f>
        <v>1-222-17</v>
      </c>
      <c r="F11059" t="s">
        <v>65</v>
      </c>
      <c r="G11059" t="s">
        <v>66</v>
      </c>
      <c r="H11059" t="s">
        <v>67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1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</row>
    <row r="11060" spans="1:39" x14ac:dyDescent="0.2">
      <c r="A11060" t="str">
        <f>"11056"</f>
        <v>11056</v>
      </c>
      <c r="B11060" t="str">
        <f t="shared" si="612"/>
        <v>1</v>
      </c>
      <c r="C11060" t="str">
        <f t="shared" si="615"/>
        <v>222</v>
      </c>
      <c r="D11060" t="str">
        <f>"15"</f>
        <v>15</v>
      </c>
      <c r="E11060" t="str">
        <f>"1-222-15"</f>
        <v>1-222-15</v>
      </c>
      <c r="F11060" t="s">
        <v>65</v>
      </c>
      <c r="G11060" t="s">
        <v>66</v>
      </c>
      <c r="H11060" t="s">
        <v>67</v>
      </c>
      <c r="S11060">
        <v>0</v>
      </c>
      <c r="T11060">
        <v>1</v>
      </c>
      <c r="U11060">
        <v>0</v>
      </c>
      <c r="V11060">
        <v>0</v>
      </c>
      <c r="W11060">
        <v>1</v>
      </c>
      <c r="X11060">
        <v>0</v>
      </c>
      <c r="Y11060">
        <v>1</v>
      </c>
      <c r="Z11060">
        <v>0</v>
      </c>
      <c r="AA11060">
        <v>1</v>
      </c>
      <c r="AB11060">
        <v>0</v>
      </c>
      <c r="AC11060">
        <v>0</v>
      </c>
      <c r="AD11060">
        <v>1</v>
      </c>
      <c r="AE11060">
        <v>1</v>
      </c>
      <c r="AF11060">
        <v>1</v>
      </c>
      <c r="AG11060">
        <v>1</v>
      </c>
      <c r="AH11060">
        <v>1</v>
      </c>
      <c r="AI11060">
        <v>1</v>
      </c>
      <c r="AJ11060">
        <v>1</v>
      </c>
      <c r="AK11060">
        <v>1</v>
      </c>
      <c r="AL11060">
        <v>1</v>
      </c>
      <c r="AM11060">
        <v>1</v>
      </c>
    </row>
    <row r="11061" spans="1:39" x14ac:dyDescent="0.2">
      <c r="A11061" t="str">
        <f>"11057"</f>
        <v>11057</v>
      </c>
      <c r="B11061" t="str">
        <f t="shared" si="612"/>
        <v>1</v>
      </c>
      <c r="C11061" t="str">
        <f t="shared" si="615"/>
        <v>222</v>
      </c>
      <c r="D11061" t="str">
        <f>"5"</f>
        <v>5</v>
      </c>
      <c r="E11061" t="str">
        <f>"1-222-5"</f>
        <v>1-222-5</v>
      </c>
      <c r="F11061" t="s">
        <v>65</v>
      </c>
      <c r="G11061" t="s">
        <v>66</v>
      </c>
      <c r="H11061" t="s">
        <v>67</v>
      </c>
      <c r="S11061">
        <v>1</v>
      </c>
      <c r="T11061">
        <v>0</v>
      </c>
      <c r="U11061">
        <v>0</v>
      </c>
      <c r="V11061">
        <v>0</v>
      </c>
      <c r="W11061">
        <v>1</v>
      </c>
      <c r="X11061">
        <v>0</v>
      </c>
      <c r="Y11061">
        <v>1</v>
      </c>
      <c r="Z11061">
        <v>0</v>
      </c>
      <c r="AA11061">
        <v>0</v>
      </c>
      <c r="AB11061">
        <v>1</v>
      </c>
      <c r="AC11061">
        <v>0</v>
      </c>
      <c r="AD11061">
        <v>1</v>
      </c>
      <c r="AE11061">
        <v>1</v>
      </c>
      <c r="AF11061">
        <v>1</v>
      </c>
      <c r="AG11061">
        <v>1</v>
      </c>
      <c r="AH11061">
        <v>1</v>
      </c>
      <c r="AI11061">
        <v>1</v>
      </c>
      <c r="AJ11061">
        <v>1</v>
      </c>
      <c r="AK11061">
        <v>1</v>
      </c>
      <c r="AL11061">
        <v>1</v>
      </c>
      <c r="AM11061">
        <v>1</v>
      </c>
    </row>
    <row r="11062" spans="1:39" x14ac:dyDescent="0.2">
      <c r="A11062" t="str">
        <f>"11058"</f>
        <v>11058</v>
      </c>
      <c r="B11062" t="str">
        <f t="shared" si="612"/>
        <v>1</v>
      </c>
      <c r="C11062" t="str">
        <f t="shared" si="615"/>
        <v>222</v>
      </c>
      <c r="D11062" t="str">
        <f>"36"</f>
        <v>36</v>
      </c>
      <c r="E11062" t="str">
        <f>"1-222-36"</f>
        <v>1-222-36</v>
      </c>
      <c r="F11062" t="s">
        <v>65</v>
      </c>
      <c r="G11062" t="s">
        <v>66</v>
      </c>
      <c r="H11062" t="s">
        <v>67</v>
      </c>
      <c r="S11062">
        <v>0</v>
      </c>
      <c r="T11062">
        <v>0</v>
      </c>
      <c r="U11062">
        <v>0</v>
      </c>
      <c r="V11062">
        <v>0</v>
      </c>
      <c r="W11062">
        <v>1</v>
      </c>
      <c r="X11062">
        <v>0</v>
      </c>
      <c r="Y11062">
        <v>0</v>
      </c>
      <c r="Z11062">
        <v>1</v>
      </c>
      <c r="AA11062">
        <v>0</v>
      </c>
      <c r="AB11062">
        <v>0</v>
      </c>
      <c r="AC11062">
        <v>1</v>
      </c>
      <c r="AD11062">
        <v>1</v>
      </c>
      <c r="AE11062">
        <v>1</v>
      </c>
      <c r="AF11062">
        <v>0</v>
      </c>
      <c r="AG11062">
        <v>1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1</v>
      </c>
    </row>
    <row r="11063" spans="1:39" x14ac:dyDescent="0.2">
      <c r="A11063" t="str">
        <f>"11059"</f>
        <v>11059</v>
      </c>
      <c r="B11063" t="str">
        <f t="shared" ref="B11063:B11126" si="616">"1"</f>
        <v>1</v>
      </c>
      <c r="C11063" t="str">
        <f t="shared" si="615"/>
        <v>222</v>
      </c>
      <c r="D11063" t="str">
        <f>"35"</f>
        <v>35</v>
      </c>
      <c r="E11063" t="str">
        <f>"1-222-35"</f>
        <v>1-222-35</v>
      </c>
      <c r="F11063" t="s">
        <v>65</v>
      </c>
      <c r="G11063" t="s">
        <v>66</v>
      </c>
      <c r="H11063" t="s">
        <v>67</v>
      </c>
      <c r="S11063">
        <v>1</v>
      </c>
      <c r="T11063">
        <v>0</v>
      </c>
      <c r="U11063">
        <v>0</v>
      </c>
      <c r="V11063">
        <v>0</v>
      </c>
      <c r="W11063">
        <v>1</v>
      </c>
      <c r="X11063">
        <v>0</v>
      </c>
      <c r="Y11063">
        <v>0</v>
      </c>
      <c r="Z11063">
        <v>1</v>
      </c>
      <c r="AA11063">
        <v>1</v>
      </c>
      <c r="AB11063">
        <v>0</v>
      </c>
      <c r="AC11063">
        <v>0</v>
      </c>
      <c r="AD11063">
        <v>1</v>
      </c>
      <c r="AE11063">
        <v>1</v>
      </c>
      <c r="AF11063">
        <v>1</v>
      </c>
      <c r="AG11063">
        <v>1</v>
      </c>
      <c r="AH11063">
        <v>1</v>
      </c>
      <c r="AI11063">
        <v>1</v>
      </c>
      <c r="AJ11063">
        <v>1</v>
      </c>
      <c r="AK11063">
        <v>1</v>
      </c>
      <c r="AL11063">
        <v>1</v>
      </c>
      <c r="AM11063">
        <v>1</v>
      </c>
    </row>
    <row r="11064" spans="1:39" x14ac:dyDescent="0.2">
      <c r="A11064" t="str">
        <f>"11060"</f>
        <v>11060</v>
      </c>
      <c r="B11064" t="str">
        <f t="shared" si="616"/>
        <v>1</v>
      </c>
      <c r="C11064" t="str">
        <f t="shared" si="615"/>
        <v>222</v>
      </c>
      <c r="D11064" t="str">
        <f>"22"</f>
        <v>22</v>
      </c>
      <c r="E11064" t="str">
        <f>"1-222-22"</f>
        <v>1-222-22</v>
      </c>
      <c r="F11064" t="s">
        <v>65</v>
      </c>
      <c r="G11064" t="s">
        <v>66</v>
      </c>
      <c r="H11064" t="s">
        <v>67</v>
      </c>
      <c r="S11064">
        <v>1</v>
      </c>
      <c r="T11064">
        <v>0</v>
      </c>
      <c r="U11064">
        <v>0</v>
      </c>
      <c r="V11064">
        <v>0</v>
      </c>
      <c r="W11064">
        <v>1</v>
      </c>
      <c r="X11064">
        <v>0</v>
      </c>
      <c r="Y11064">
        <v>1</v>
      </c>
      <c r="Z11064">
        <v>0</v>
      </c>
      <c r="AA11064">
        <v>1</v>
      </c>
      <c r="AB11064">
        <v>0</v>
      </c>
      <c r="AC11064">
        <v>0</v>
      </c>
      <c r="AD11064">
        <v>1</v>
      </c>
      <c r="AE11064">
        <v>1</v>
      </c>
      <c r="AF11064">
        <v>0</v>
      </c>
      <c r="AG11064">
        <v>1</v>
      </c>
      <c r="AH11064">
        <v>0</v>
      </c>
      <c r="AI11064">
        <v>0</v>
      </c>
      <c r="AJ11064">
        <v>0</v>
      </c>
      <c r="AK11064">
        <v>0</v>
      </c>
      <c r="AL11064">
        <v>1</v>
      </c>
      <c r="AM11064">
        <v>0</v>
      </c>
    </row>
    <row r="11065" spans="1:39" x14ac:dyDescent="0.2">
      <c r="A11065" t="str">
        <f>"11061"</f>
        <v>11061</v>
      </c>
      <c r="B11065" t="str">
        <f t="shared" si="616"/>
        <v>1</v>
      </c>
      <c r="C11065" t="str">
        <f t="shared" si="615"/>
        <v>222</v>
      </c>
      <c r="D11065" t="str">
        <f>"16"</f>
        <v>16</v>
      </c>
      <c r="E11065" t="str">
        <f>"1-222-16"</f>
        <v>1-222-16</v>
      </c>
      <c r="F11065" t="s">
        <v>65</v>
      </c>
      <c r="G11065" t="s">
        <v>66</v>
      </c>
      <c r="H11065" t="s">
        <v>67</v>
      </c>
      <c r="S11065">
        <v>0</v>
      </c>
      <c r="T11065">
        <v>1</v>
      </c>
      <c r="U11065">
        <v>0</v>
      </c>
      <c r="V11065">
        <v>0</v>
      </c>
      <c r="W11065">
        <v>1</v>
      </c>
      <c r="X11065">
        <v>0</v>
      </c>
      <c r="Y11065">
        <v>1</v>
      </c>
      <c r="Z11065">
        <v>0</v>
      </c>
      <c r="AA11065">
        <v>1</v>
      </c>
      <c r="AB11065">
        <v>0</v>
      </c>
      <c r="AC11065">
        <v>0</v>
      </c>
      <c r="AD11065">
        <v>1</v>
      </c>
      <c r="AE11065">
        <v>1</v>
      </c>
      <c r="AF11065">
        <v>1</v>
      </c>
      <c r="AG11065">
        <v>1</v>
      </c>
      <c r="AH11065">
        <v>1</v>
      </c>
      <c r="AI11065">
        <v>1</v>
      </c>
      <c r="AJ11065">
        <v>1</v>
      </c>
      <c r="AK11065">
        <v>1</v>
      </c>
      <c r="AL11065">
        <v>1</v>
      </c>
      <c r="AM11065">
        <v>1</v>
      </c>
    </row>
    <row r="11066" spans="1:39" x14ac:dyDescent="0.2">
      <c r="A11066" t="str">
        <f>"11062"</f>
        <v>11062</v>
      </c>
      <c r="B11066" t="str">
        <f t="shared" si="616"/>
        <v>1</v>
      </c>
      <c r="C11066" t="str">
        <f t="shared" si="615"/>
        <v>222</v>
      </c>
      <c r="D11066" t="str">
        <f>"4"</f>
        <v>4</v>
      </c>
      <c r="E11066" t="str">
        <f>"1-222-4"</f>
        <v>1-222-4</v>
      </c>
      <c r="F11066" t="s">
        <v>65</v>
      </c>
      <c r="G11066" t="s">
        <v>66</v>
      </c>
      <c r="H11066" t="s">
        <v>67</v>
      </c>
      <c r="S11066">
        <v>1</v>
      </c>
      <c r="T11066">
        <v>0</v>
      </c>
      <c r="U11066">
        <v>0</v>
      </c>
      <c r="V11066">
        <v>0</v>
      </c>
      <c r="W11066">
        <v>1</v>
      </c>
      <c r="X11066">
        <v>0</v>
      </c>
      <c r="Y11066">
        <v>1</v>
      </c>
      <c r="Z11066">
        <v>0</v>
      </c>
      <c r="AA11066">
        <v>1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</row>
    <row r="11067" spans="1:39" x14ac:dyDescent="0.2">
      <c r="A11067" t="str">
        <f>"11063"</f>
        <v>11063</v>
      </c>
      <c r="B11067" t="str">
        <f t="shared" si="616"/>
        <v>1</v>
      </c>
      <c r="C11067" t="str">
        <f t="shared" si="615"/>
        <v>222</v>
      </c>
      <c r="D11067" t="str">
        <f>"50"</f>
        <v>50</v>
      </c>
      <c r="E11067" t="str">
        <f>"1-222-50"</f>
        <v>1-222-50</v>
      </c>
      <c r="F11067" t="s">
        <v>65</v>
      </c>
      <c r="G11067" t="s">
        <v>66</v>
      </c>
      <c r="H11067" t="s">
        <v>67</v>
      </c>
      <c r="S11067">
        <v>1</v>
      </c>
      <c r="T11067">
        <v>0</v>
      </c>
      <c r="U11067">
        <v>0</v>
      </c>
      <c r="V11067">
        <v>0</v>
      </c>
      <c r="W11067">
        <v>1</v>
      </c>
      <c r="X11067">
        <v>0</v>
      </c>
      <c r="Y11067">
        <v>1</v>
      </c>
      <c r="Z11067">
        <v>0</v>
      </c>
      <c r="AA11067">
        <v>0</v>
      </c>
      <c r="AB11067">
        <v>1</v>
      </c>
      <c r="AC11067">
        <v>0</v>
      </c>
      <c r="AD11067">
        <v>0</v>
      </c>
      <c r="AE11067">
        <v>0</v>
      </c>
      <c r="AF11067">
        <v>1</v>
      </c>
      <c r="AG11067">
        <v>1</v>
      </c>
      <c r="AH11067">
        <v>0</v>
      </c>
      <c r="AI11067">
        <v>0</v>
      </c>
      <c r="AJ11067">
        <v>0</v>
      </c>
      <c r="AK11067">
        <v>0</v>
      </c>
      <c r="AL11067">
        <v>1</v>
      </c>
      <c r="AM11067">
        <v>1</v>
      </c>
    </row>
    <row r="11068" spans="1:39" x14ac:dyDescent="0.2">
      <c r="A11068" t="str">
        <f>"11064"</f>
        <v>11064</v>
      </c>
      <c r="B11068" t="str">
        <f t="shared" si="616"/>
        <v>1</v>
      </c>
      <c r="C11068" t="str">
        <f t="shared" si="615"/>
        <v>222</v>
      </c>
      <c r="D11068" t="str">
        <f>"49"</f>
        <v>49</v>
      </c>
      <c r="E11068" t="str">
        <f>"1-222-49"</f>
        <v>1-222-49</v>
      </c>
      <c r="F11068" t="s">
        <v>65</v>
      </c>
      <c r="G11068" t="s">
        <v>66</v>
      </c>
      <c r="H11068" t="s">
        <v>67</v>
      </c>
      <c r="S11068">
        <v>1</v>
      </c>
      <c r="T11068">
        <v>0</v>
      </c>
      <c r="U11068">
        <v>0</v>
      </c>
      <c r="V11068">
        <v>0</v>
      </c>
      <c r="W11068">
        <v>1</v>
      </c>
      <c r="X11068">
        <v>0</v>
      </c>
      <c r="Y11068">
        <v>0</v>
      </c>
      <c r="Z11068">
        <v>1</v>
      </c>
      <c r="AA11068">
        <v>1</v>
      </c>
      <c r="AB11068">
        <v>0</v>
      </c>
      <c r="AC11068">
        <v>0</v>
      </c>
      <c r="AD11068">
        <v>1</v>
      </c>
      <c r="AE11068">
        <v>1</v>
      </c>
      <c r="AF11068">
        <v>1</v>
      </c>
      <c r="AG11068">
        <v>1</v>
      </c>
      <c r="AH11068">
        <v>1</v>
      </c>
      <c r="AI11068">
        <v>1</v>
      </c>
      <c r="AJ11068">
        <v>1</v>
      </c>
      <c r="AK11068">
        <v>1</v>
      </c>
      <c r="AL11068">
        <v>1</v>
      </c>
      <c r="AM11068">
        <v>1</v>
      </c>
    </row>
    <row r="11069" spans="1:39" x14ac:dyDescent="0.2">
      <c r="A11069" t="str">
        <f>"11065"</f>
        <v>11065</v>
      </c>
      <c r="B11069" t="str">
        <f t="shared" si="616"/>
        <v>1</v>
      </c>
      <c r="C11069" t="str">
        <f t="shared" si="615"/>
        <v>222</v>
      </c>
      <c r="D11069" t="str">
        <f>"33"</f>
        <v>33</v>
      </c>
      <c r="E11069" t="str">
        <f>"1-222-33"</f>
        <v>1-222-33</v>
      </c>
      <c r="F11069" t="s">
        <v>65</v>
      </c>
      <c r="G11069" t="s">
        <v>66</v>
      </c>
      <c r="H11069" t="s">
        <v>67</v>
      </c>
      <c r="S11069">
        <v>1</v>
      </c>
      <c r="T11069">
        <v>0</v>
      </c>
      <c r="U11069">
        <v>0</v>
      </c>
      <c r="V11069">
        <v>0</v>
      </c>
      <c r="W11069">
        <v>1</v>
      </c>
      <c r="X11069">
        <v>0</v>
      </c>
      <c r="Y11069">
        <v>1</v>
      </c>
      <c r="Z11069">
        <v>0</v>
      </c>
      <c r="AA11069">
        <v>1</v>
      </c>
      <c r="AB11069">
        <v>0</v>
      </c>
      <c r="AC11069">
        <v>0</v>
      </c>
      <c r="AD11069">
        <v>1</v>
      </c>
      <c r="AE11069">
        <v>1</v>
      </c>
      <c r="AF11069">
        <v>1</v>
      </c>
      <c r="AG11069">
        <v>1</v>
      </c>
      <c r="AH11069">
        <v>1</v>
      </c>
      <c r="AI11069">
        <v>1</v>
      </c>
      <c r="AJ11069">
        <v>1</v>
      </c>
      <c r="AK11069">
        <v>1</v>
      </c>
      <c r="AL11069">
        <v>1</v>
      </c>
      <c r="AM11069">
        <v>1</v>
      </c>
    </row>
    <row r="11070" spans="1:39" x14ac:dyDescent="0.2">
      <c r="A11070" t="str">
        <f>"11066"</f>
        <v>11066</v>
      </c>
      <c r="B11070" t="str">
        <f t="shared" si="616"/>
        <v>1</v>
      </c>
      <c r="C11070" t="str">
        <f t="shared" si="615"/>
        <v>222</v>
      </c>
      <c r="D11070" t="str">
        <f>"18"</f>
        <v>18</v>
      </c>
      <c r="E11070" t="str">
        <f>"1-222-18"</f>
        <v>1-222-18</v>
      </c>
      <c r="F11070" t="s">
        <v>65</v>
      </c>
      <c r="G11070" t="s">
        <v>66</v>
      </c>
      <c r="H11070" t="s">
        <v>67</v>
      </c>
      <c r="S11070">
        <v>1</v>
      </c>
      <c r="T11070">
        <v>0</v>
      </c>
      <c r="U11070">
        <v>0</v>
      </c>
      <c r="V11070">
        <v>0</v>
      </c>
      <c r="W11070">
        <v>1</v>
      </c>
      <c r="X11070">
        <v>0</v>
      </c>
      <c r="Y11070">
        <v>1</v>
      </c>
      <c r="Z11070">
        <v>0</v>
      </c>
      <c r="AA11070">
        <v>1</v>
      </c>
      <c r="AB11070">
        <v>0</v>
      </c>
      <c r="AC11070">
        <v>0</v>
      </c>
      <c r="AD11070">
        <v>1</v>
      </c>
      <c r="AE11070">
        <v>1</v>
      </c>
      <c r="AF11070">
        <v>1</v>
      </c>
      <c r="AG11070">
        <v>1</v>
      </c>
      <c r="AH11070">
        <v>1</v>
      </c>
      <c r="AI11070">
        <v>1</v>
      </c>
      <c r="AJ11070">
        <v>1</v>
      </c>
      <c r="AK11070">
        <v>1</v>
      </c>
      <c r="AL11070">
        <v>1</v>
      </c>
      <c r="AM11070">
        <v>1</v>
      </c>
    </row>
    <row r="11071" spans="1:39" x14ac:dyDescent="0.2">
      <c r="A11071" t="str">
        <f>"11067"</f>
        <v>11067</v>
      </c>
      <c r="B11071" t="str">
        <f t="shared" si="616"/>
        <v>1</v>
      </c>
      <c r="C11071" t="str">
        <f t="shared" si="615"/>
        <v>222</v>
      </c>
      <c r="D11071" t="str">
        <f>"1"</f>
        <v>1</v>
      </c>
      <c r="E11071" t="str">
        <f>"1-222-1"</f>
        <v>1-222-1</v>
      </c>
      <c r="F11071" t="s">
        <v>65</v>
      </c>
      <c r="G11071" t="s">
        <v>66</v>
      </c>
      <c r="H11071" t="s">
        <v>67</v>
      </c>
      <c r="S11071">
        <v>0</v>
      </c>
      <c r="T11071">
        <v>1</v>
      </c>
      <c r="U11071">
        <v>0</v>
      </c>
      <c r="V11071">
        <v>0</v>
      </c>
      <c r="W11071">
        <v>1</v>
      </c>
      <c r="X11071">
        <v>0</v>
      </c>
      <c r="Y11071">
        <v>1</v>
      </c>
      <c r="Z11071">
        <v>0</v>
      </c>
      <c r="AA11071">
        <v>0</v>
      </c>
      <c r="AB11071">
        <v>0</v>
      </c>
      <c r="AC11071">
        <v>0</v>
      </c>
      <c r="AD11071">
        <v>1</v>
      </c>
      <c r="AE11071">
        <v>1</v>
      </c>
      <c r="AF11071">
        <v>1</v>
      </c>
      <c r="AG11071">
        <v>1</v>
      </c>
      <c r="AH11071">
        <v>1</v>
      </c>
      <c r="AI11071">
        <v>1</v>
      </c>
      <c r="AJ11071">
        <v>1</v>
      </c>
      <c r="AK11071">
        <v>1</v>
      </c>
      <c r="AL11071">
        <v>1</v>
      </c>
      <c r="AM11071">
        <v>1</v>
      </c>
    </row>
    <row r="11072" spans="1:39" x14ac:dyDescent="0.2">
      <c r="A11072" t="str">
        <f>"11068"</f>
        <v>11068</v>
      </c>
      <c r="B11072" t="str">
        <f t="shared" si="616"/>
        <v>1</v>
      </c>
      <c r="C11072" t="str">
        <f t="shared" si="615"/>
        <v>222</v>
      </c>
      <c r="D11072" t="str">
        <f>"46"</f>
        <v>46</v>
      </c>
      <c r="E11072" t="str">
        <f>"1-222-46"</f>
        <v>1-222-46</v>
      </c>
      <c r="F11072" t="s">
        <v>65</v>
      </c>
      <c r="G11072" t="s">
        <v>66</v>
      </c>
      <c r="H11072" t="s">
        <v>67</v>
      </c>
      <c r="S11072">
        <v>1</v>
      </c>
      <c r="T11072">
        <v>0</v>
      </c>
      <c r="U11072">
        <v>0</v>
      </c>
      <c r="V11072">
        <v>0</v>
      </c>
      <c r="W11072">
        <v>1</v>
      </c>
      <c r="X11072">
        <v>0</v>
      </c>
      <c r="Y11072">
        <v>1</v>
      </c>
      <c r="Z11072">
        <v>0</v>
      </c>
      <c r="AA11072">
        <v>1</v>
      </c>
      <c r="AB11072">
        <v>0</v>
      </c>
      <c r="AC11072">
        <v>0</v>
      </c>
      <c r="AD11072">
        <v>1</v>
      </c>
      <c r="AE11072">
        <v>1</v>
      </c>
      <c r="AF11072">
        <v>1</v>
      </c>
      <c r="AG11072">
        <v>1</v>
      </c>
      <c r="AH11072">
        <v>1</v>
      </c>
      <c r="AI11072">
        <v>1</v>
      </c>
      <c r="AJ11072">
        <v>1</v>
      </c>
      <c r="AK11072">
        <v>1</v>
      </c>
      <c r="AL11072">
        <v>1</v>
      </c>
      <c r="AM11072">
        <v>1</v>
      </c>
    </row>
    <row r="11073" spans="1:39" x14ac:dyDescent="0.2">
      <c r="A11073" t="str">
        <f>"11069"</f>
        <v>11069</v>
      </c>
      <c r="B11073" t="str">
        <f t="shared" si="616"/>
        <v>1</v>
      </c>
      <c r="C11073" t="str">
        <f t="shared" si="615"/>
        <v>222</v>
      </c>
      <c r="D11073" t="str">
        <f>"45"</f>
        <v>45</v>
      </c>
      <c r="E11073" t="str">
        <f>"1-222-45"</f>
        <v>1-222-45</v>
      </c>
      <c r="F11073" t="s">
        <v>65</v>
      </c>
      <c r="G11073" t="s">
        <v>66</v>
      </c>
      <c r="H11073" t="s">
        <v>67</v>
      </c>
      <c r="S11073">
        <v>1</v>
      </c>
      <c r="T11073">
        <v>0</v>
      </c>
      <c r="U11073">
        <v>0</v>
      </c>
      <c r="V11073">
        <v>0</v>
      </c>
      <c r="W11073">
        <v>1</v>
      </c>
      <c r="X11073">
        <v>0</v>
      </c>
      <c r="Y11073">
        <v>1</v>
      </c>
      <c r="Z11073">
        <v>0</v>
      </c>
      <c r="AA11073">
        <v>0</v>
      </c>
      <c r="AB11073">
        <v>1</v>
      </c>
      <c r="AC11073">
        <v>0</v>
      </c>
      <c r="AD11073">
        <v>1</v>
      </c>
      <c r="AE11073">
        <v>1</v>
      </c>
      <c r="AF11073">
        <v>1</v>
      </c>
      <c r="AG11073">
        <v>1</v>
      </c>
      <c r="AH11073">
        <v>1</v>
      </c>
      <c r="AI11073">
        <v>1</v>
      </c>
      <c r="AJ11073">
        <v>1</v>
      </c>
      <c r="AK11073">
        <v>1</v>
      </c>
      <c r="AL11073">
        <v>1</v>
      </c>
      <c r="AM11073">
        <v>1</v>
      </c>
    </row>
    <row r="11074" spans="1:39" x14ac:dyDescent="0.2">
      <c r="A11074" t="str">
        <f>"11070"</f>
        <v>11070</v>
      </c>
      <c r="B11074" t="str">
        <f t="shared" si="616"/>
        <v>1</v>
      </c>
      <c r="C11074" t="str">
        <f t="shared" si="615"/>
        <v>222</v>
      </c>
      <c r="D11074" t="str">
        <f>"34"</f>
        <v>34</v>
      </c>
      <c r="E11074" t="str">
        <f>"1-222-34"</f>
        <v>1-222-34</v>
      </c>
      <c r="F11074" t="s">
        <v>65</v>
      </c>
      <c r="G11074" t="s">
        <v>66</v>
      </c>
      <c r="H11074" t="s">
        <v>67</v>
      </c>
      <c r="S11074">
        <v>1</v>
      </c>
      <c r="T11074">
        <v>0</v>
      </c>
      <c r="U11074">
        <v>0</v>
      </c>
      <c r="V11074">
        <v>0</v>
      </c>
      <c r="W11074">
        <v>1</v>
      </c>
      <c r="X11074">
        <v>0</v>
      </c>
      <c r="Y11074">
        <v>1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1</v>
      </c>
      <c r="AJ11074">
        <v>1</v>
      </c>
      <c r="AK11074">
        <v>0</v>
      </c>
      <c r="AL11074">
        <v>1</v>
      </c>
      <c r="AM11074">
        <v>1</v>
      </c>
    </row>
    <row r="11075" spans="1:39" x14ac:dyDescent="0.2">
      <c r="A11075" t="str">
        <f>"11071"</f>
        <v>11071</v>
      </c>
      <c r="B11075" t="str">
        <f t="shared" si="616"/>
        <v>1</v>
      </c>
      <c r="C11075" t="str">
        <f t="shared" si="615"/>
        <v>222</v>
      </c>
      <c r="D11075" t="str">
        <f>"19"</f>
        <v>19</v>
      </c>
      <c r="E11075" t="str">
        <f>"1-222-19"</f>
        <v>1-222-19</v>
      </c>
      <c r="F11075" t="s">
        <v>65</v>
      </c>
      <c r="G11075" t="s">
        <v>66</v>
      </c>
      <c r="H11075" t="s">
        <v>67</v>
      </c>
      <c r="S11075">
        <v>1</v>
      </c>
      <c r="T11075">
        <v>0</v>
      </c>
      <c r="U11075">
        <v>0</v>
      </c>
      <c r="V11075">
        <v>0</v>
      </c>
      <c r="W11075">
        <v>1</v>
      </c>
      <c r="X11075">
        <v>0</v>
      </c>
      <c r="Y11075">
        <v>1</v>
      </c>
      <c r="Z11075">
        <v>0</v>
      </c>
      <c r="AA11075">
        <v>1</v>
      </c>
      <c r="AB11075">
        <v>0</v>
      </c>
      <c r="AC11075">
        <v>0</v>
      </c>
      <c r="AD11075">
        <v>1</v>
      </c>
      <c r="AE11075">
        <v>1</v>
      </c>
      <c r="AF11075">
        <v>0</v>
      </c>
      <c r="AG11075">
        <v>1</v>
      </c>
      <c r="AH11075">
        <v>0</v>
      </c>
      <c r="AI11075">
        <v>0</v>
      </c>
      <c r="AJ11075">
        <v>0</v>
      </c>
      <c r="AK11075">
        <v>0</v>
      </c>
      <c r="AL11075">
        <v>1</v>
      </c>
      <c r="AM11075">
        <v>0</v>
      </c>
    </row>
    <row r="11076" spans="1:39" x14ac:dyDescent="0.2">
      <c r="A11076" t="str">
        <f>"11072"</f>
        <v>11072</v>
      </c>
      <c r="B11076" t="str">
        <f t="shared" si="616"/>
        <v>1</v>
      </c>
      <c r="C11076" t="str">
        <f t="shared" si="615"/>
        <v>222</v>
      </c>
      <c r="D11076" t="str">
        <f>"12"</f>
        <v>12</v>
      </c>
      <c r="E11076" t="str">
        <f>"1-222-12"</f>
        <v>1-222-12</v>
      </c>
      <c r="F11076" t="s">
        <v>65</v>
      </c>
      <c r="G11076" t="s">
        <v>66</v>
      </c>
      <c r="H11076" t="s">
        <v>67</v>
      </c>
      <c r="S11076">
        <v>1</v>
      </c>
      <c r="T11076">
        <v>0</v>
      </c>
      <c r="U11076">
        <v>0</v>
      </c>
      <c r="V11076">
        <v>0</v>
      </c>
      <c r="W11076">
        <v>1</v>
      </c>
      <c r="X11076">
        <v>0</v>
      </c>
      <c r="Y11076">
        <v>1</v>
      </c>
      <c r="Z11076">
        <v>0</v>
      </c>
      <c r="AA11076">
        <v>1</v>
      </c>
      <c r="AB11076">
        <v>0</v>
      </c>
      <c r="AC11076">
        <v>0</v>
      </c>
      <c r="AD11076">
        <v>1</v>
      </c>
      <c r="AE11076">
        <v>1</v>
      </c>
      <c r="AF11076">
        <v>1</v>
      </c>
      <c r="AG11076">
        <v>1</v>
      </c>
      <c r="AH11076">
        <v>1</v>
      </c>
      <c r="AI11076">
        <v>1</v>
      </c>
      <c r="AJ11076">
        <v>1</v>
      </c>
      <c r="AK11076">
        <v>1</v>
      </c>
      <c r="AL11076">
        <v>1</v>
      </c>
      <c r="AM11076">
        <v>1</v>
      </c>
    </row>
    <row r="11077" spans="1:39" x14ac:dyDescent="0.2">
      <c r="A11077" t="str">
        <f>"11073"</f>
        <v>11073</v>
      </c>
      <c r="B11077" t="str">
        <f t="shared" si="616"/>
        <v>1</v>
      </c>
      <c r="C11077" t="str">
        <f t="shared" si="615"/>
        <v>222</v>
      </c>
      <c r="D11077" t="str">
        <f>"39"</f>
        <v>39</v>
      </c>
      <c r="E11077" t="str">
        <f>"1-222-39"</f>
        <v>1-222-39</v>
      </c>
      <c r="F11077" t="s">
        <v>65</v>
      </c>
      <c r="G11077" t="s">
        <v>66</v>
      </c>
      <c r="H11077" t="s">
        <v>67</v>
      </c>
      <c r="S11077">
        <v>1</v>
      </c>
      <c r="T11077">
        <v>0</v>
      </c>
      <c r="U11077">
        <v>0</v>
      </c>
      <c r="V11077">
        <v>0</v>
      </c>
      <c r="W11077">
        <v>1</v>
      </c>
      <c r="X11077">
        <v>0</v>
      </c>
      <c r="Y11077">
        <v>1</v>
      </c>
      <c r="Z11077">
        <v>0</v>
      </c>
      <c r="AA11077">
        <v>0</v>
      </c>
      <c r="AB11077">
        <v>1</v>
      </c>
      <c r="AC11077">
        <v>0</v>
      </c>
      <c r="AD11077">
        <v>1</v>
      </c>
      <c r="AE11077">
        <v>1</v>
      </c>
      <c r="AF11077">
        <v>1</v>
      </c>
      <c r="AG11077">
        <v>1</v>
      </c>
      <c r="AH11077">
        <v>1</v>
      </c>
      <c r="AI11077">
        <v>1</v>
      </c>
      <c r="AJ11077">
        <v>1</v>
      </c>
      <c r="AK11077">
        <v>1</v>
      </c>
      <c r="AL11077">
        <v>1</v>
      </c>
      <c r="AM11077">
        <v>1</v>
      </c>
    </row>
    <row r="11078" spans="1:39" x14ac:dyDescent="0.2">
      <c r="A11078" t="str">
        <f>"11074"</f>
        <v>11074</v>
      </c>
      <c r="B11078" t="str">
        <f t="shared" si="616"/>
        <v>1</v>
      </c>
      <c r="C11078" t="str">
        <f t="shared" si="615"/>
        <v>222</v>
      </c>
      <c r="D11078" t="str">
        <f>"20"</f>
        <v>20</v>
      </c>
      <c r="E11078" t="str">
        <f>"1-222-20"</f>
        <v>1-222-20</v>
      </c>
      <c r="F11078" t="s">
        <v>65</v>
      </c>
      <c r="G11078" t="s">
        <v>66</v>
      </c>
      <c r="H11078" t="s">
        <v>67</v>
      </c>
      <c r="S11078">
        <v>1</v>
      </c>
      <c r="T11078">
        <v>0</v>
      </c>
      <c r="U11078">
        <v>0</v>
      </c>
      <c r="V11078">
        <v>0</v>
      </c>
      <c r="W11078">
        <v>1</v>
      </c>
      <c r="X11078">
        <v>0</v>
      </c>
      <c r="Y11078">
        <v>1</v>
      </c>
      <c r="Z11078">
        <v>0</v>
      </c>
      <c r="AA11078">
        <v>1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1</v>
      </c>
      <c r="AH11078">
        <v>0</v>
      </c>
      <c r="AI11078">
        <v>0</v>
      </c>
      <c r="AJ11078">
        <v>0</v>
      </c>
      <c r="AK11078">
        <v>0</v>
      </c>
      <c r="AL11078">
        <v>1</v>
      </c>
      <c r="AM11078">
        <v>0</v>
      </c>
    </row>
    <row r="11079" spans="1:39" x14ac:dyDescent="0.2">
      <c r="A11079" t="str">
        <f>"11075"</f>
        <v>11075</v>
      </c>
      <c r="B11079" t="str">
        <f t="shared" si="616"/>
        <v>1</v>
      </c>
      <c r="C11079" t="str">
        <f t="shared" si="615"/>
        <v>222</v>
      </c>
      <c r="D11079" t="str">
        <f>"40"</f>
        <v>40</v>
      </c>
      <c r="E11079" t="str">
        <f>"1-222-40"</f>
        <v>1-222-40</v>
      </c>
      <c r="F11079" t="s">
        <v>65</v>
      </c>
      <c r="G11079" t="s">
        <v>66</v>
      </c>
      <c r="H11079" t="s">
        <v>67</v>
      </c>
      <c r="S11079">
        <v>1</v>
      </c>
      <c r="T11079">
        <v>0</v>
      </c>
      <c r="U11079">
        <v>0</v>
      </c>
      <c r="V11079">
        <v>0</v>
      </c>
      <c r="W11079">
        <v>1</v>
      </c>
      <c r="X11079">
        <v>0</v>
      </c>
      <c r="Y11079">
        <v>1</v>
      </c>
      <c r="Z11079">
        <v>0</v>
      </c>
      <c r="AA11079">
        <v>1</v>
      </c>
      <c r="AB11079">
        <v>0</v>
      </c>
      <c r="AC11079">
        <v>0</v>
      </c>
      <c r="AD11079">
        <v>1</v>
      </c>
      <c r="AE11079">
        <v>1</v>
      </c>
      <c r="AF11079">
        <v>1</v>
      </c>
      <c r="AG11079">
        <v>1</v>
      </c>
      <c r="AH11079">
        <v>1</v>
      </c>
      <c r="AI11079">
        <v>1</v>
      </c>
      <c r="AJ11079">
        <v>1</v>
      </c>
      <c r="AK11079">
        <v>1</v>
      </c>
      <c r="AL11079">
        <v>1</v>
      </c>
      <c r="AM11079">
        <v>1</v>
      </c>
    </row>
    <row r="11080" spans="1:39" x14ac:dyDescent="0.2">
      <c r="A11080" t="str">
        <f>"11076"</f>
        <v>11076</v>
      </c>
      <c r="B11080" t="str">
        <f t="shared" si="616"/>
        <v>1</v>
      </c>
      <c r="C11080" t="str">
        <f t="shared" si="615"/>
        <v>222</v>
      </c>
      <c r="D11080" t="str">
        <f>"21"</f>
        <v>21</v>
      </c>
      <c r="E11080" t="str">
        <f>"1-222-21"</f>
        <v>1-222-21</v>
      </c>
      <c r="F11080" t="s">
        <v>65</v>
      </c>
      <c r="G11080" t="s">
        <v>66</v>
      </c>
      <c r="H11080" t="s">
        <v>67</v>
      </c>
      <c r="S11080">
        <v>0</v>
      </c>
      <c r="T11080">
        <v>1</v>
      </c>
      <c r="U11080">
        <v>0</v>
      </c>
      <c r="V11080">
        <v>0</v>
      </c>
      <c r="W11080">
        <v>1</v>
      </c>
      <c r="X11080">
        <v>0</v>
      </c>
      <c r="Y11080">
        <v>0</v>
      </c>
      <c r="Z11080">
        <v>1</v>
      </c>
      <c r="AA11080">
        <v>0</v>
      </c>
      <c r="AB11080">
        <v>1</v>
      </c>
      <c r="AC11080">
        <v>0</v>
      </c>
      <c r="AD11080">
        <v>1</v>
      </c>
      <c r="AE11080">
        <v>1</v>
      </c>
      <c r="AF11080">
        <v>1</v>
      </c>
      <c r="AG11080">
        <v>1</v>
      </c>
      <c r="AH11080">
        <v>1</v>
      </c>
      <c r="AI11080">
        <v>1</v>
      </c>
      <c r="AJ11080">
        <v>1</v>
      </c>
      <c r="AK11080">
        <v>1</v>
      </c>
      <c r="AL11080">
        <v>1</v>
      </c>
      <c r="AM11080">
        <v>1</v>
      </c>
    </row>
    <row r="11081" spans="1:39" x14ac:dyDescent="0.2">
      <c r="A11081" t="str">
        <f>"11077"</f>
        <v>11077</v>
      </c>
      <c r="B11081" t="str">
        <f t="shared" si="616"/>
        <v>1</v>
      </c>
      <c r="C11081" t="str">
        <f t="shared" si="615"/>
        <v>222</v>
      </c>
      <c r="D11081" t="str">
        <f>"6"</f>
        <v>6</v>
      </c>
      <c r="E11081" t="str">
        <f>"1-222-6"</f>
        <v>1-222-6</v>
      </c>
      <c r="F11081" t="s">
        <v>65</v>
      </c>
      <c r="G11081" t="s">
        <v>66</v>
      </c>
      <c r="H11081" t="s">
        <v>67</v>
      </c>
      <c r="S11081">
        <v>1</v>
      </c>
      <c r="T11081">
        <v>0</v>
      </c>
      <c r="U11081">
        <v>0</v>
      </c>
      <c r="V11081">
        <v>0</v>
      </c>
      <c r="W11081">
        <v>1</v>
      </c>
      <c r="X11081">
        <v>0</v>
      </c>
      <c r="Y11081">
        <v>1</v>
      </c>
      <c r="Z11081">
        <v>0</v>
      </c>
      <c r="AA11081">
        <v>1</v>
      </c>
      <c r="AB11081">
        <v>0</v>
      </c>
      <c r="AC11081">
        <v>0</v>
      </c>
      <c r="AD11081">
        <v>1</v>
      </c>
      <c r="AE11081">
        <v>1</v>
      </c>
      <c r="AF11081">
        <v>1</v>
      </c>
      <c r="AG11081">
        <v>1</v>
      </c>
      <c r="AH11081">
        <v>1</v>
      </c>
      <c r="AI11081">
        <v>1</v>
      </c>
      <c r="AJ11081">
        <v>1</v>
      </c>
      <c r="AK11081">
        <v>1</v>
      </c>
      <c r="AL11081">
        <v>1</v>
      </c>
      <c r="AM11081">
        <v>1</v>
      </c>
    </row>
    <row r="11082" spans="1:39" x14ac:dyDescent="0.2">
      <c r="A11082" t="str">
        <f>"11078"</f>
        <v>11078</v>
      </c>
      <c r="B11082" t="str">
        <f t="shared" si="616"/>
        <v>1</v>
      </c>
      <c r="C11082" t="str">
        <f t="shared" si="615"/>
        <v>222</v>
      </c>
      <c r="D11082" t="str">
        <f>"41"</f>
        <v>41</v>
      </c>
      <c r="E11082" t="str">
        <f>"1-222-41"</f>
        <v>1-222-41</v>
      </c>
      <c r="F11082" t="s">
        <v>65</v>
      </c>
      <c r="G11082" t="s">
        <v>66</v>
      </c>
      <c r="H11082" t="s">
        <v>67</v>
      </c>
      <c r="S11082">
        <v>1</v>
      </c>
      <c r="T11082">
        <v>0</v>
      </c>
      <c r="U11082">
        <v>0</v>
      </c>
      <c r="V11082">
        <v>0</v>
      </c>
      <c r="W11082">
        <v>1</v>
      </c>
      <c r="X11082">
        <v>0</v>
      </c>
      <c r="Y11082">
        <v>1</v>
      </c>
      <c r="Z11082">
        <v>0</v>
      </c>
      <c r="AA11082">
        <v>0</v>
      </c>
      <c r="AB11082">
        <v>1</v>
      </c>
      <c r="AC11082">
        <v>0</v>
      </c>
      <c r="AD11082">
        <v>1</v>
      </c>
      <c r="AE11082">
        <v>1</v>
      </c>
      <c r="AF11082">
        <v>1</v>
      </c>
      <c r="AG11082">
        <v>1</v>
      </c>
      <c r="AH11082">
        <v>1</v>
      </c>
      <c r="AI11082">
        <v>1</v>
      </c>
      <c r="AJ11082">
        <v>1</v>
      </c>
      <c r="AK11082">
        <v>1</v>
      </c>
      <c r="AL11082">
        <v>1</v>
      </c>
      <c r="AM11082">
        <v>1</v>
      </c>
    </row>
    <row r="11083" spans="1:39" x14ac:dyDescent="0.2">
      <c r="A11083" t="str">
        <f>"11079"</f>
        <v>11079</v>
      </c>
      <c r="B11083" t="str">
        <f t="shared" si="616"/>
        <v>1</v>
      </c>
      <c r="C11083" t="str">
        <f t="shared" si="615"/>
        <v>222</v>
      </c>
      <c r="D11083" t="str">
        <f>"23"</f>
        <v>23</v>
      </c>
      <c r="E11083" t="str">
        <f>"1-222-23"</f>
        <v>1-222-23</v>
      </c>
      <c r="F11083" t="s">
        <v>65</v>
      </c>
      <c r="G11083" t="s">
        <v>66</v>
      </c>
      <c r="H11083" t="s">
        <v>67</v>
      </c>
      <c r="S11083">
        <v>0</v>
      </c>
      <c r="T11083">
        <v>1</v>
      </c>
      <c r="U11083">
        <v>0</v>
      </c>
      <c r="V11083">
        <v>0</v>
      </c>
      <c r="W11083">
        <v>0</v>
      </c>
      <c r="X11083">
        <v>1</v>
      </c>
      <c r="Y11083">
        <v>0</v>
      </c>
      <c r="Z11083">
        <v>1</v>
      </c>
      <c r="AA11083">
        <v>0</v>
      </c>
      <c r="AB11083">
        <v>0</v>
      </c>
      <c r="AC11083">
        <v>1</v>
      </c>
      <c r="AD11083">
        <v>1</v>
      </c>
      <c r="AE11083">
        <v>1</v>
      </c>
      <c r="AF11083">
        <v>1</v>
      </c>
      <c r="AG11083">
        <v>1</v>
      </c>
      <c r="AH11083">
        <v>1</v>
      </c>
      <c r="AI11083">
        <v>1</v>
      </c>
      <c r="AJ11083">
        <v>1</v>
      </c>
      <c r="AK11083">
        <v>1</v>
      </c>
      <c r="AL11083">
        <v>1</v>
      </c>
      <c r="AM11083">
        <v>1</v>
      </c>
    </row>
    <row r="11084" spans="1:39" x14ac:dyDescent="0.2">
      <c r="A11084" t="str">
        <f>"11080"</f>
        <v>11080</v>
      </c>
      <c r="B11084" t="str">
        <f t="shared" si="616"/>
        <v>1</v>
      </c>
      <c r="C11084" t="str">
        <f t="shared" si="615"/>
        <v>222</v>
      </c>
      <c r="D11084" t="str">
        <f>"14"</f>
        <v>14</v>
      </c>
      <c r="E11084" t="str">
        <f>"1-222-14"</f>
        <v>1-222-14</v>
      </c>
      <c r="F11084" t="s">
        <v>65</v>
      </c>
      <c r="G11084" t="s">
        <v>66</v>
      </c>
      <c r="H11084" t="s">
        <v>67</v>
      </c>
      <c r="S11084">
        <v>1</v>
      </c>
      <c r="T11084">
        <v>0</v>
      </c>
      <c r="U11084">
        <v>0</v>
      </c>
      <c r="V11084">
        <v>0</v>
      </c>
      <c r="W11084">
        <v>1</v>
      </c>
      <c r="X11084">
        <v>0</v>
      </c>
      <c r="Y11084">
        <v>1</v>
      </c>
      <c r="Z11084">
        <v>0</v>
      </c>
      <c r="AA11084">
        <v>1</v>
      </c>
      <c r="AB11084">
        <v>0</v>
      </c>
      <c r="AC11084">
        <v>0</v>
      </c>
      <c r="AD11084">
        <v>1</v>
      </c>
      <c r="AE11084">
        <v>1</v>
      </c>
      <c r="AF11084">
        <v>1</v>
      </c>
      <c r="AG11084">
        <v>1</v>
      </c>
      <c r="AH11084">
        <v>1</v>
      </c>
      <c r="AI11084">
        <v>1</v>
      </c>
      <c r="AJ11084">
        <v>1</v>
      </c>
      <c r="AK11084">
        <v>1</v>
      </c>
      <c r="AL11084">
        <v>1</v>
      </c>
      <c r="AM11084">
        <v>1</v>
      </c>
    </row>
    <row r="11085" spans="1:39" x14ac:dyDescent="0.2">
      <c r="A11085" t="str">
        <f>"11081"</f>
        <v>11081</v>
      </c>
      <c r="B11085" t="str">
        <f t="shared" si="616"/>
        <v>1</v>
      </c>
      <c r="C11085" t="str">
        <f t="shared" si="615"/>
        <v>222</v>
      </c>
      <c r="D11085" t="str">
        <f>"43"</f>
        <v>43</v>
      </c>
      <c r="E11085" t="str">
        <f>"1-222-43"</f>
        <v>1-222-43</v>
      </c>
      <c r="F11085" t="s">
        <v>65</v>
      </c>
      <c r="G11085" t="s">
        <v>66</v>
      </c>
      <c r="H11085" t="s">
        <v>67</v>
      </c>
      <c r="S11085">
        <v>1</v>
      </c>
      <c r="T11085">
        <v>0</v>
      </c>
      <c r="U11085">
        <v>0</v>
      </c>
      <c r="V11085">
        <v>0</v>
      </c>
      <c r="W11085">
        <v>1</v>
      </c>
      <c r="X11085">
        <v>0</v>
      </c>
      <c r="Y11085">
        <v>1</v>
      </c>
      <c r="Z11085">
        <v>0</v>
      </c>
      <c r="AA11085">
        <v>1</v>
      </c>
      <c r="AB11085">
        <v>0</v>
      </c>
      <c r="AC11085">
        <v>0</v>
      </c>
      <c r="AD11085">
        <v>1</v>
      </c>
      <c r="AE11085">
        <v>1</v>
      </c>
      <c r="AF11085">
        <v>1</v>
      </c>
      <c r="AG11085">
        <v>1</v>
      </c>
      <c r="AH11085">
        <v>1</v>
      </c>
      <c r="AI11085">
        <v>1</v>
      </c>
      <c r="AJ11085">
        <v>1</v>
      </c>
      <c r="AK11085">
        <v>1</v>
      </c>
      <c r="AL11085">
        <v>1</v>
      </c>
      <c r="AM11085">
        <v>1</v>
      </c>
    </row>
    <row r="11086" spans="1:39" x14ac:dyDescent="0.2">
      <c r="A11086" t="str">
        <f>"11082"</f>
        <v>11082</v>
      </c>
      <c r="B11086" t="str">
        <f t="shared" si="616"/>
        <v>1</v>
      </c>
      <c r="C11086" t="str">
        <f t="shared" si="615"/>
        <v>222</v>
      </c>
      <c r="D11086" t="str">
        <f>"26"</f>
        <v>26</v>
      </c>
      <c r="E11086" t="str">
        <f>"1-222-26"</f>
        <v>1-222-26</v>
      </c>
      <c r="F11086" t="s">
        <v>65</v>
      </c>
      <c r="G11086" t="s">
        <v>66</v>
      </c>
      <c r="H11086" t="s">
        <v>67</v>
      </c>
      <c r="S11086">
        <v>0</v>
      </c>
      <c r="T11086">
        <v>1</v>
      </c>
      <c r="U11086">
        <v>0</v>
      </c>
      <c r="V11086">
        <v>0</v>
      </c>
      <c r="W11086">
        <v>1</v>
      </c>
      <c r="X11086">
        <v>0</v>
      </c>
      <c r="Y11086">
        <v>0</v>
      </c>
      <c r="Z11086">
        <v>1</v>
      </c>
      <c r="AA11086">
        <v>1</v>
      </c>
      <c r="AB11086">
        <v>0</v>
      </c>
      <c r="AC11086">
        <v>0</v>
      </c>
      <c r="AD11086">
        <v>0</v>
      </c>
      <c r="AE11086">
        <v>0</v>
      </c>
      <c r="AF11086">
        <v>0</v>
      </c>
      <c r="AG11086">
        <v>0</v>
      </c>
      <c r="AH11086">
        <v>0</v>
      </c>
      <c r="AI11086">
        <v>0</v>
      </c>
      <c r="AJ11086">
        <v>0</v>
      </c>
      <c r="AK11086">
        <v>0</v>
      </c>
      <c r="AL11086">
        <v>0</v>
      </c>
      <c r="AM11086">
        <v>0</v>
      </c>
    </row>
    <row r="11087" spans="1:39" x14ac:dyDescent="0.2">
      <c r="A11087" t="str">
        <f>"11083"</f>
        <v>11083</v>
      </c>
      <c r="B11087" t="str">
        <f t="shared" si="616"/>
        <v>1</v>
      </c>
      <c r="C11087" t="str">
        <f t="shared" ref="C11087:C11104" si="617">"222"</f>
        <v>222</v>
      </c>
      <c r="D11087" t="str">
        <f>"8"</f>
        <v>8</v>
      </c>
      <c r="E11087" t="str">
        <f>"1-222-8"</f>
        <v>1-222-8</v>
      </c>
      <c r="F11087" t="s">
        <v>65</v>
      </c>
      <c r="G11087" t="s">
        <v>66</v>
      </c>
      <c r="H11087" t="s">
        <v>67</v>
      </c>
      <c r="S11087">
        <v>1</v>
      </c>
      <c r="T11087">
        <v>0</v>
      </c>
      <c r="U11087">
        <v>0</v>
      </c>
      <c r="V11087">
        <v>0</v>
      </c>
      <c r="W11087">
        <v>1</v>
      </c>
      <c r="X11087">
        <v>0</v>
      </c>
      <c r="Y11087">
        <v>1</v>
      </c>
      <c r="Z11087">
        <v>0</v>
      </c>
      <c r="AA11087">
        <v>0</v>
      </c>
      <c r="AB11087">
        <v>1</v>
      </c>
      <c r="AC11087">
        <v>0</v>
      </c>
      <c r="AD11087">
        <v>1</v>
      </c>
      <c r="AE11087">
        <v>1</v>
      </c>
      <c r="AF11087">
        <v>1</v>
      </c>
      <c r="AG11087">
        <v>1</v>
      </c>
      <c r="AH11087">
        <v>1</v>
      </c>
      <c r="AI11087">
        <v>1</v>
      </c>
      <c r="AJ11087">
        <v>1</v>
      </c>
      <c r="AK11087">
        <v>1</v>
      </c>
      <c r="AL11087">
        <v>1</v>
      </c>
      <c r="AM11087">
        <v>1</v>
      </c>
    </row>
    <row r="11088" spans="1:39" x14ac:dyDescent="0.2">
      <c r="A11088" t="str">
        <f>"11084"</f>
        <v>11084</v>
      </c>
      <c r="B11088" t="str">
        <f t="shared" si="616"/>
        <v>1</v>
      </c>
      <c r="C11088" t="str">
        <f t="shared" si="617"/>
        <v>222</v>
      </c>
      <c r="D11088" t="str">
        <f>"42"</f>
        <v>42</v>
      </c>
      <c r="E11088" t="str">
        <f>"1-222-42"</f>
        <v>1-222-42</v>
      </c>
      <c r="F11088" t="s">
        <v>65</v>
      </c>
      <c r="G11088" t="s">
        <v>66</v>
      </c>
      <c r="H11088" t="s">
        <v>67</v>
      </c>
      <c r="S11088">
        <v>0</v>
      </c>
      <c r="T11088">
        <v>1</v>
      </c>
      <c r="U11088">
        <v>0</v>
      </c>
      <c r="V11088">
        <v>0</v>
      </c>
      <c r="W11088">
        <v>1</v>
      </c>
      <c r="X11088">
        <v>0</v>
      </c>
      <c r="Y11088">
        <v>1</v>
      </c>
      <c r="Z11088">
        <v>0</v>
      </c>
      <c r="AA11088">
        <v>1</v>
      </c>
      <c r="AB11088">
        <v>0</v>
      </c>
      <c r="AC11088">
        <v>0</v>
      </c>
      <c r="AD11088">
        <v>1</v>
      </c>
      <c r="AE11088">
        <v>1</v>
      </c>
      <c r="AF11088">
        <v>1</v>
      </c>
      <c r="AG11088">
        <v>1</v>
      </c>
      <c r="AH11088">
        <v>1</v>
      </c>
      <c r="AI11088">
        <v>1</v>
      </c>
      <c r="AJ11088">
        <v>1</v>
      </c>
      <c r="AK11088">
        <v>1</v>
      </c>
      <c r="AL11088">
        <v>1</v>
      </c>
      <c r="AM11088">
        <v>1</v>
      </c>
    </row>
    <row r="11089" spans="1:39" x14ac:dyDescent="0.2">
      <c r="A11089" t="str">
        <f>"11085"</f>
        <v>11085</v>
      </c>
      <c r="B11089" t="str">
        <f t="shared" si="616"/>
        <v>1</v>
      </c>
      <c r="C11089" t="str">
        <f t="shared" si="617"/>
        <v>222</v>
      </c>
      <c r="D11089" t="str">
        <f>"27"</f>
        <v>27</v>
      </c>
      <c r="E11089" t="str">
        <f>"1-222-27"</f>
        <v>1-222-27</v>
      </c>
      <c r="F11089" t="s">
        <v>65</v>
      </c>
      <c r="G11089" t="s">
        <v>66</v>
      </c>
      <c r="H11089" t="s">
        <v>67</v>
      </c>
      <c r="S11089">
        <v>1</v>
      </c>
      <c r="T11089">
        <v>0</v>
      </c>
      <c r="U11089">
        <v>0</v>
      </c>
      <c r="V11089">
        <v>0</v>
      </c>
      <c r="W11089">
        <v>1</v>
      </c>
      <c r="X11089">
        <v>0</v>
      </c>
      <c r="Y11089">
        <v>1</v>
      </c>
      <c r="Z11089">
        <v>0</v>
      </c>
      <c r="AA11089">
        <v>1</v>
      </c>
      <c r="AB11089">
        <v>0</v>
      </c>
      <c r="AC11089">
        <v>0</v>
      </c>
      <c r="AD11089">
        <v>1</v>
      </c>
      <c r="AE11089">
        <v>1</v>
      </c>
      <c r="AF11089">
        <v>1</v>
      </c>
      <c r="AG11089">
        <v>1</v>
      </c>
      <c r="AH11089">
        <v>1</v>
      </c>
      <c r="AI11089">
        <v>1</v>
      </c>
      <c r="AJ11089">
        <v>1</v>
      </c>
      <c r="AK11089">
        <v>1</v>
      </c>
      <c r="AL11089">
        <v>1</v>
      </c>
      <c r="AM11089">
        <v>1</v>
      </c>
    </row>
    <row r="11090" spans="1:39" x14ac:dyDescent="0.2">
      <c r="A11090" t="str">
        <f>"11086"</f>
        <v>11086</v>
      </c>
      <c r="B11090" t="str">
        <f t="shared" si="616"/>
        <v>1</v>
      </c>
      <c r="C11090" t="str">
        <f t="shared" si="617"/>
        <v>222</v>
      </c>
      <c r="D11090" t="str">
        <f>"11"</f>
        <v>11</v>
      </c>
      <c r="E11090" t="str">
        <f>"1-222-11"</f>
        <v>1-222-11</v>
      </c>
      <c r="F11090" t="s">
        <v>65</v>
      </c>
      <c r="G11090" t="s">
        <v>66</v>
      </c>
      <c r="H11090" t="s">
        <v>67</v>
      </c>
      <c r="S11090">
        <v>1</v>
      </c>
      <c r="T11090">
        <v>0</v>
      </c>
      <c r="U11090">
        <v>0</v>
      </c>
      <c r="V11090">
        <v>0</v>
      </c>
      <c r="W11090">
        <v>1</v>
      </c>
      <c r="X11090">
        <v>0</v>
      </c>
      <c r="Y11090">
        <v>1</v>
      </c>
      <c r="Z11090">
        <v>0</v>
      </c>
      <c r="AA11090">
        <v>1</v>
      </c>
      <c r="AB11090">
        <v>0</v>
      </c>
      <c r="AC11090">
        <v>0</v>
      </c>
      <c r="AD11090">
        <v>1</v>
      </c>
      <c r="AE11090">
        <v>1</v>
      </c>
      <c r="AF11090">
        <v>1</v>
      </c>
      <c r="AG11090">
        <v>1</v>
      </c>
      <c r="AH11090">
        <v>1</v>
      </c>
      <c r="AI11090">
        <v>1</v>
      </c>
      <c r="AJ11090">
        <v>1</v>
      </c>
      <c r="AK11090">
        <v>1</v>
      </c>
      <c r="AL11090">
        <v>1</v>
      </c>
      <c r="AM11090">
        <v>1</v>
      </c>
    </row>
    <row r="11091" spans="1:39" x14ac:dyDescent="0.2">
      <c r="A11091" t="str">
        <f>"11087"</f>
        <v>11087</v>
      </c>
      <c r="B11091" t="str">
        <f t="shared" si="616"/>
        <v>1</v>
      </c>
      <c r="C11091" t="str">
        <f t="shared" si="617"/>
        <v>222</v>
      </c>
      <c r="D11091" t="str">
        <f>"28"</f>
        <v>28</v>
      </c>
      <c r="E11091" t="str">
        <f>"1-222-28"</f>
        <v>1-222-28</v>
      </c>
      <c r="F11091" t="s">
        <v>65</v>
      </c>
      <c r="G11091" t="s">
        <v>66</v>
      </c>
      <c r="H11091" t="s">
        <v>67</v>
      </c>
      <c r="S11091">
        <v>1</v>
      </c>
      <c r="T11091">
        <v>0</v>
      </c>
      <c r="U11091">
        <v>0</v>
      </c>
      <c r="V11091">
        <v>0</v>
      </c>
      <c r="W11091">
        <v>0</v>
      </c>
      <c r="X11091">
        <v>1</v>
      </c>
      <c r="Y11091">
        <v>1</v>
      </c>
      <c r="Z11091">
        <v>0</v>
      </c>
      <c r="AA11091">
        <v>0</v>
      </c>
      <c r="AB11091">
        <v>0</v>
      </c>
      <c r="AC11091">
        <v>1</v>
      </c>
      <c r="AD11091">
        <v>1</v>
      </c>
      <c r="AE11091">
        <v>1</v>
      </c>
      <c r="AF11091">
        <v>1</v>
      </c>
      <c r="AG11091">
        <v>1</v>
      </c>
      <c r="AH11091">
        <v>1</v>
      </c>
      <c r="AI11091">
        <v>1</v>
      </c>
      <c r="AJ11091">
        <v>1</v>
      </c>
      <c r="AK11091">
        <v>1</v>
      </c>
      <c r="AL11091">
        <v>1</v>
      </c>
      <c r="AM11091">
        <v>1</v>
      </c>
    </row>
    <row r="11092" spans="1:39" x14ac:dyDescent="0.2">
      <c r="A11092" t="str">
        <f>"11088"</f>
        <v>11088</v>
      </c>
      <c r="B11092" t="str">
        <f t="shared" si="616"/>
        <v>1</v>
      </c>
      <c r="C11092" t="str">
        <f t="shared" si="617"/>
        <v>222</v>
      </c>
      <c r="D11092" t="str">
        <f>"3"</f>
        <v>3</v>
      </c>
      <c r="E11092" t="str">
        <f>"1-222-3"</f>
        <v>1-222-3</v>
      </c>
      <c r="F11092" t="s">
        <v>65</v>
      </c>
      <c r="G11092" t="s">
        <v>66</v>
      </c>
      <c r="H11092" t="s">
        <v>67</v>
      </c>
      <c r="S11092">
        <v>1</v>
      </c>
      <c r="T11092">
        <v>0</v>
      </c>
      <c r="U11092">
        <v>0</v>
      </c>
      <c r="V11092">
        <v>0</v>
      </c>
      <c r="W11092">
        <v>1</v>
      </c>
      <c r="X11092">
        <v>0</v>
      </c>
      <c r="Y11092">
        <v>1</v>
      </c>
      <c r="Z11092">
        <v>0</v>
      </c>
      <c r="AA11092">
        <v>1</v>
      </c>
      <c r="AB11092">
        <v>0</v>
      </c>
      <c r="AC11092">
        <v>0</v>
      </c>
      <c r="AD11092">
        <v>1</v>
      </c>
      <c r="AE11092">
        <v>1</v>
      </c>
      <c r="AF11092">
        <v>1</v>
      </c>
      <c r="AG11092">
        <v>1</v>
      </c>
      <c r="AH11092">
        <v>1</v>
      </c>
      <c r="AI11092">
        <v>1</v>
      </c>
      <c r="AJ11092">
        <v>1</v>
      </c>
      <c r="AK11092">
        <v>1</v>
      </c>
      <c r="AL11092">
        <v>1</v>
      </c>
      <c r="AM11092">
        <v>1</v>
      </c>
    </row>
    <row r="11093" spans="1:39" x14ac:dyDescent="0.2">
      <c r="A11093" t="str">
        <f>"11089"</f>
        <v>11089</v>
      </c>
      <c r="B11093" t="str">
        <f t="shared" si="616"/>
        <v>1</v>
      </c>
      <c r="C11093" t="str">
        <f t="shared" si="617"/>
        <v>222</v>
      </c>
      <c r="D11093" t="str">
        <f>"44"</f>
        <v>44</v>
      </c>
      <c r="E11093" t="str">
        <f>"1-222-44"</f>
        <v>1-222-44</v>
      </c>
      <c r="F11093" t="s">
        <v>65</v>
      </c>
      <c r="G11093" t="s">
        <v>66</v>
      </c>
      <c r="H11093" t="s">
        <v>67</v>
      </c>
      <c r="S11093">
        <v>0</v>
      </c>
      <c r="T11093">
        <v>1</v>
      </c>
      <c r="U11093">
        <v>0</v>
      </c>
      <c r="V11093">
        <v>0</v>
      </c>
      <c r="W11093">
        <v>1</v>
      </c>
      <c r="X11093">
        <v>0</v>
      </c>
      <c r="Y11093">
        <v>1</v>
      </c>
      <c r="Z11093">
        <v>0</v>
      </c>
      <c r="AA11093">
        <v>1</v>
      </c>
      <c r="AB11093">
        <v>0</v>
      </c>
      <c r="AC11093">
        <v>0</v>
      </c>
      <c r="AD11093">
        <v>1</v>
      </c>
      <c r="AE11093">
        <v>1</v>
      </c>
      <c r="AF11093">
        <v>1</v>
      </c>
      <c r="AG11093">
        <v>1</v>
      </c>
      <c r="AH11093">
        <v>1</v>
      </c>
      <c r="AI11093">
        <v>1</v>
      </c>
      <c r="AJ11093">
        <v>1</v>
      </c>
      <c r="AK11093">
        <v>1</v>
      </c>
      <c r="AL11093">
        <v>1</v>
      </c>
      <c r="AM11093">
        <v>1</v>
      </c>
    </row>
    <row r="11094" spans="1:39" x14ac:dyDescent="0.2">
      <c r="A11094" t="str">
        <f>"11090"</f>
        <v>11090</v>
      </c>
      <c r="B11094" t="str">
        <f t="shared" si="616"/>
        <v>1</v>
      </c>
      <c r="C11094" t="str">
        <f t="shared" si="617"/>
        <v>222</v>
      </c>
      <c r="D11094" t="str">
        <f>"29"</f>
        <v>29</v>
      </c>
      <c r="E11094" t="str">
        <f>"1-222-29"</f>
        <v>1-222-29</v>
      </c>
      <c r="F11094" t="s">
        <v>65</v>
      </c>
      <c r="G11094" t="s">
        <v>66</v>
      </c>
      <c r="H11094" t="s">
        <v>67</v>
      </c>
      <c r="S11094">
        <v>0</v>
      </c>
      <c r="T11094">
        <v>1</v>
      </c>
      <c r="U11094">
        <v>0</v>
      </c>
      <c r="V11094">
        <v>0</v>
      </c>
      <c r="W11094">
        <v>1</v>
      </c>
      <c r="X11094">
        <v>0</v>
      </c>
      <c r="Y11094">
        <v>1</v>
      </c>
      <c r="Z11094">
        <v>0</v>
      </c>
      <c r="AA11094">
        <v>1</v>
      </c>
      <c r="AB11094">
        <v>0</v>
      </c>
      <c r="AC11094">
        <v>0</v>
      </c>
      <c r="AD11094">
        <v>1</v>
      </c>
      <c r="AE11094">
        <v>1</v>
      </c>
      <c r="AF11094">
        <v>1</v>
      </c>
      <c r="AG11094">
        <v>1</v>
      </c>
      <c r="AH11094">
        <v>1</v>
      </c>
      <c r="AI11094">
        <v>1</v>
      </c>
      <c r="AJ11094">
        <v>1</v>
      </c>
      <c r="AK11094">
        <v>1</v>
      </c>
      <c r="AL11094">
        <v>1</v>
      </c>
      <c r="AM11094">
        <v>1</v>
      </c>
    </row>
    <row r="11095" spans="1:39" x14ac:dyDescent="0.2">
      <c r="A11095" t="str">
        <f>"11091"</f>
        <v>11091</v>
      </c>
      <c r="B11095" t="str">
        <f t="shared" si="616"/>
        <v>1</v>
      </c>
      <c r="C11095" t="str">
        <f t="shared" si="617"/>
        <v>222</v>
      </c>
      <c r="D11095" t="str">
        <f>"9"</f>
        <v>9</v>
      </c>
      <c r="E11095" t="str">
        <f>"1-222-9"</f>
        <v>1-222-9</v>
      </c>
      <c r="F11095" t="s">
        <v>65</v>
      </c>
      <c r="G11095" t="s">
        <v>66</v>
      </c>
      <c r="H11095" t="s">
        <v>67</v>
      </c>
      <c r="S11095">
        <v>1</v>
      </c>
      <c r="T11095">
        <v>0</v>
      </c>
      <c r="U11095">
        <v>0</v>
      </c>
      <c r="V11095">
        <v>0</v>
      </c>
      <c r="W11095">
        <v>1</v>
      </c>
      <c r="X11095">
        <v>0</v>
      </c>
      <c r="Y11095">
        <v>1</v>
      </c>
      <c r="Z11095">
        <v>0</v>
      </c>
      <c r="AA11095">
        <v>0</v>
      </c>
      <c r="AB11095">
        <v>0</v>
      </c>
      <c r="AC11095">
        <v>1</v>
      </c>
      <c r="AD11095">
        <v>1</v>
      </c>
      <c r="AE11095">
        <v>1</v>
      </c>
      <c r="AF11095">
        <v>1</v>
      </c>
      <c r="AG11095">
        <v>1</v>
      </c>
      <c r="AH11095">
        <v>1</v>
      </c>
      <c r="AI11095">
        <v>1</v>
      </c>
      <c r="AJ11095">
        <v>1</v>
      </c>
      <c r="AK11095">
        <v>1</v>
      </c>
      <c r="AL11095">
        <v>1</v>
      </c>
      <c r="AM11095">
        <v>0</v>
      </c>
    </row>
    <row r="11096" spans="1:39" x14ac:dyDescent="0.2">
      <c r="A11096" t="str">
        <f>"11092"</f>
        <v>11092</v>
      </c>
      <c r="B11096" t="str">
        <f t="shared" si="616"/>
        <v>1</v>
      </c>
      <c r="C11096" t="str">
        <f t="shared" si="617"/>
        <v>222</v>
      </c>
      <c r="D11096" t="str">
        <f>"47"</f>
        <v>47</v>
      </c>
      <c r="E11096" t="str">
        <f>"1-222-47"</f>
        <v>1-222-47</v>
      </c>
      <c r="F11096" t="s">
        <v>65</v>
      </c>
      <c r="G11096" t="s">
        <v>66</v>
      </c>
      <c r="H11096" t="s">
        <v>67</v>
      </c>
      <c r="S11096">
        <v>0</v>
      </c>
      <c r="T11096">
        <v>1</v>
      </c>
      <c r="U11096">
        <v>0</v>
      </c>
      <c r="V11096">
        <v>0</v>
      </c>
      <c r="W11096">
        <v>1</v>
      </c>
      <c r="X11096">
        <v>0</v>
      </c>
      <c r="Y11096">
        <v>1</v>
      </c>
      <c r="Z11096">
        <v>0</v>
      </c>
      <c r="AA11096">
        <v>0</v>
      </c>
      <c r="AB11096">
        <v>1</v>
      </c>
      <c r="AC11096">
        <v>0</v>
      </c>
      <c r="AD11096">
        <v>1</v>
      </c>
      <c r="AE11096">
        <v>1</v>
      </c>
      <c r="AF11096">
        <v>1</v>
      </c>
      <c r="AG11096">
        <v>1</v>
      </c>
      <c r="AH11096">
        <v>1</v>
      </c>
      <c r="AI11096">
        <v>0</v>
      </c>
      <c r="AJ11096">
        <v>0</v>
      </c>
      <c r="AK11096">
        <v>0</v>
      </c>
      <c r="AL11096">
        <v>0</v>
      </c>
      <c r="AM11096">
        <v>0</v>
      </c>
    </row>
    <row r="11097" spans="1:39" x14ac:dyDescent="0.2">
      <c r="A11097" t="str">
        <f>"11093"</f>
        <v>11093</v>
      </c>
      <c r="B11097" t="str">
        <f t="shared" si="616"/>
        <v>1</v>
      </c>
      <c r="C11097" t="str">
        <f t="shared" si="617"/>
        <v>222</v>
      </c>
      <c r="D11097" t="str">
        <f>"30"</f>
        <v>30</v>
      </c>
      <c r="E11097" t="str">
        <f>"1-222-30"</f>
        <v>1-222-30</v>
      </c>
      <c r="F11097" t="s">
        <v>65</v>
      </c>
      <c r="G11097" t="s">
        <v>66</v>
      </c>
      <c r="H11097" t="s">
        <v>67</v>
      </c>
      <c r="S11097">
        <v>1</v>
      </c>
      <c r="T11097">
        <v>0</v>
      </c>
      <c r="U11097">
        <v>0</v>
      </c>
      <c r="V11097">
        <v>0</v>
      </c>
      <c r="W11097">
        <v>1</v>
      </c>
      <c r="X11097">
        <v>0</v>
      </c>
      <c r="Y11097">
        <v>1</v>
      </c>
      <c r="Z11097">
        <v>0</v>
      </c>
      <c r="AA11097">
        <v>1</v>
      </c>
      <c r="AB11097">
        <v>0</v>
      </c>
      <c r="AC11097">
        <v>0</v>
      </c>
      <c r="AD11097">
        <v>1</v>
      </c>
      <c r="AE11097">
        <v>1</v>
      </c>
      <c r="AF11097">
        <v>1</v>
      </c>
      <c r="AG11097">
        <v>1</v>
      </c>
      <c r="AH11097">
        <v>1</v>
      </c>
      <c r="AI11097">
        <v>1</v>
      </c>
      <c r="AJ11097">
        <v>1</v>
      </c>
      <c r="AK11097">
        <v>1</v>
      </c>
      <c r="AL11097">
        <v>1</v>
      </c>
      <c r="AM11097">
        <v>1</v>
      </c>
    </row>
    <row r="11098" spans="1:39" x14ac:dyDescent="0.2">
      <c r="A11098" t="str">
        <f>"11094"</f>
        <v>11094</v>
      </c>
      <c r="B11098" t="str">
        <f t="shared" si="616"/>
        <v>1</v>
      </c>
      <c r="C11098" t="str">
        <f t="shared" si="617"/>
        <v>222</v>
      </c>
      <c r="D11098" t="str">
        <f>"10"</f>
        <v>10</v>
      </c>
      <c r="E11098" t="str">
        <f>"1-222-10"</f>
        <v>1-222-10</v>
      </c>
      <c r="F11098" t="s">
        <v>65</v>
      </c>
      <c r="G11098" t="s">
        <v>66</v>
      </c>
      <c r="H11098" t="s">
        <v>67</v>
      </c>
      <c r="S11098">
        <v>1</v>
      </c>
      <c r="T11098">
        <v>0</v>
      </c>
      <c r="U11098">
        <v>0</v>
      </c>
      <c r="V11098">
        <v>0</v>
      </c>
      <c r="W11098">
        <v>1</v>
      </c>
      <c r="X11098">
        <v>0</v>
      </c>
      <c r="Y11098">
        <v>1</v>
      </c>
      <c r="Z11098">
        <v>0</v>
      </c>
      <c r="AA11098">
        <v>0</v>
      </c>
      <c r="AB11098">
        <v>1</v>
      </c>
      <c r="AC11098">
        <v>0</v>
      </c>
      <c r="AD11098">
        <v>1</v>
      </c>
      <c r="AE11098">
        <v>1</v>
      </c>
      <c r="AF11098">
        <v>1</v>
      </c>
      <c r="AG11098">
        <v>1</v>
      </c>
      <c r="AH11098">
        <v>1</v>
      </c>
      <c r="AI11098">
        <v>1</v>
      </c>
      <c r="AJ11098">
        <v>1</v>
      </c>
      <c r="AK11098">
        <v>1</v>
      </c>
      <c r="AL11098">
        <v>1</v>
      </c>
      <c r="AM11098">
        <v>1</v>
      </c>
    </row>
    <row r="11099" spans="1:39" x14ac:dyDescent="0.2">
      <c r="A11099" t="str">
        <f>"11095"</f>
        <v>11095</v>
      </c>
      <c r="B11099" t="str">
        <f t="shared" si="616"/>
        <v>1</v>
      </c>
      <c r="C11099" t="str">
        <f t="shared" si="617"/>
        <v>222</v>
      </c>
      <c r="D11099" t="str">
        <f>"31"</f>
        <v>31</v>
      </c>
      <c r="E11099" t="str">
        <f>"1-222-31"</f>
        <v>1-222-31</v>
      </c>
      <c r="F11099" t="s">
        <v>65</v>
      </c>
      <c r="G11099" t="s">
        <v>66</v>
      </c>
      <c r="H11099" t="s">
        <v>67</v>
      </c>
      <c r="S11099">
        <v>0</v>
      </c>
      <c r="T11099">
        <v>1</v>
      </c>
      <c r="U11099">
        <v>0</v>
      </c>
      <c r="V11099">
        <v>0</v>
      </c>
      <c r="W11099">
        <v>1</v>
      </c>
      <c r="X11099">
        <v>0</v>
      </c>
      <c r="Y11099">
        <v>1</v>
      </c>
      <c r="Z11099">
        <v>0</v>
      </c>
      <c r="AA11099">
        <v>1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1</v>
      </c>
      <c r="AJ11099">
        <v>0</v>
      </c>
      <c r="AK11099">
        <v>0</v>
      </c>
      <c r="AL11099">
        <v>1</v>
      </c>
      <c r="AM11099">
        <v>0</v>
      </c>
    </row>
    <row r="11100" spans="1:39" x14ac:dyDescent="0.2">
      <c r="A11100" t="str">
        <f>"11096"</f>
        <v>11096</v>
      </c>
      <c r="B11100" t="str">
        <f t="shared" si="616"/>
        <v>1</v>
      </c>
      <c r="C11100" t="str">
        <f t="shared" si="617"/>
        <v>222</v>
      </c>
      <c r="D11100" t="str">
        <f>"13"</f>
        <v>13</v>
      </c>
      <c r="E11100" t="str">
        <f>"1-222-13"</f>
        <v>1-222-13</v>
      </c>
      <c r="F11100" t="s">
        <v>65</v>
      </c>
      <c r="G11100" t="s">
        <v>66</v>
      </c>
      <c r="H11100" t="s">
        <v>67</v>
      </c>
      <c r="S11100">
        <v>1</v>
      </c>
      <c r="T11100">
        <v>0</v>
      </c>
      <c r="U11100">
        <v>0</v>
      </c>
      <c r="V11100">
        <v>0</v>
      </c>
      <c r="W11100">
        <v>1</v>
      </c>
      <c r="X11100">
        <v>0</v>
      </c>
      <c r="Y11100">
        <v>0</v>
      </c>
      <c r="Z11100">
        <v>1</v>
      </c>
      <c r="AA11100">
        <v>1</v>
      </c>
      <c r="AB11100">
        <v>0</v>
      </c>
      <c r="AC11100">
        <v>0</v>
      </c>
      <c r="AD11100">
        <v>1</v>
      </c>
      <c r="AE11100">
        <v>1</v>
      </c>
      <c r="AF11100">
        <v>1</v>
      </c>
      <c r="AG11100">
        <v>1</v>
      </c>
      <c r="AH11100">
        <v>1</v>
      </c>
      <c r="AI11100">
        <v>1</v>
      </c>
      <c r="AJ11100">
        <v>1</v>
      </c>
      <c r="AK11100">
        <v>1</v>
      </c>
      <c r="AL11100">
        <v>1</v>
      </c>
      <c r="AM11100">
        <v>1</v>
      </c>
    </row>
    <row r="11101" spans="1:39" x14ac:dyDescent="0.2">
      <c r="A11101" t="str">
        <f>"11097"</f>
        <v>11097</v>
      </c>
      <c r="B11101" t="str">
        <f t="shared" si="616"/>
        <v>1</v>
      </c>
      <c r="C11101" t="str">
        <f t="shared" si="617"/>
        <v>222</v>
      </c>
      <c r="D11101" t="str">
        <f>"48"</f>
        <v>48</v>
      </c>
      <c r="E11101" t="str">
        <f>"1-222-48"</f>
        <v>1-222-48</v>
      </c>
      <c r="F11101" t="s">
        <v>65</v>
      </c>
      <c r="G11101" t="s">
        <v>66</v>
      </c>
      <c r="H11101" t="s">
        <v>67</v>
      </c>
      <c r="S11101">
        <v>1</v>
      </c>
      <c r="T11101">
        <v>0</v>
      </c>
      <c r="U11101">
        <v>0</v>
      </c>
      <c r="V11101">
        <v>0</v>
      </c>
      <c r="W11101">
        <v>1</v>
      </c>
      <c r="X11101">
        <v>0</v>
      </c>
      <c r="Y11101">
        <v>0</v>
      </c>
      <c r="Z11101">
        <v>1</v>
      </c>
      <c r="AA11101">
        <v>0</v>
      </c>
      <c r="AB11101">
        <v>1</v>
      </c>
      <c r="AC11101">
        <v>0</v>
      </c>
      <c r="AD11101">
        <v>1</v>
      </c>
      <c r="AE11101">
        <v>1</v>
      </c>
      <c r="AF11101">
        <v>1</v>
      </c>
      <c r="AG11101">
        <v>1</v>
      </c>
      <c r="AH11101">
        <v>1</v>
      </c>
      <c r="AI11101">
        <v>1</v>
      </c>
      <c r="AJ11101">
        <v>1</v>
      </c>
      <c r="AK11101">
        <v>1</v>
      </c>
      <c r="AL11101">
        <v>1</v>
      </c>
      <c r="AM11101">
        <v>1</v>
      </c>
    </row>
    <row r="11102" spans="1:39" x14ac:dyDescent="0.2">
      <c r="A11102" t="str">
        <f>"11098"</f>
        <v>11098</v>
      </c>
      <c r="B11102" t="str">
        <f t="shared" si="616"/>
        <v>1</v>
      </c>
      <c r="C11102" t="str">
        <f t="shared" si="617"/>
        <v>222</v>
      </c>
      <c r="D11102" t="str">
        <f>"32"</f>
        <v>32</v>
      </c>
      <c r="E11102" t="str">
        <f>"1-222-32"</f>
        <v>1-222-32</v>
      </c>
      <c r="F11102" t="s">
        <v>65</v>
      </c>
      <c r="G11102" t="s">
        <v>66</v>
      </c>
      <c r="H11102" t="s">
        <v>67</v>
      </c>
      <c r="S11102">
        <v>1</v>
      </c>
      <c r="T11102">
        <v>0</v>
      </c>
      <c r="U11102">
        <v>0</v>
      </c>
      <c r="V11102">
        <v>0</v>
      </c>
      <c r="W11102">
        <v>1</v>
      </c>
      <c r="X11102">
        <v>0</v>
      </c>
      <c r="Y11102">
        <v>1</v>
      </c>
      <c r="Z11102">
        <v>0</v>
      </c>
      <c r="AA11102">
        <v>1</v>
      </c>
      <c r="AB11102">
        <v>0</v>
      </c>
      <c r="AC11102">
        <v>0</v>
      </c>
      <c r="AD11102">
        <v>1</v>
      </c>
      <c r="AE11102">
        <v>1</v>
      </c>
      <c r="AF11102">
        <v>1</v>
      </c>
      <c r="AG11102">
        <v>1</v>
      </c>
      <c r="AH11102">
        <v>1</v>
      </c>
      <c r="AI11102">
        <v>1</v>
      </c>
      <c r="AJ11102">
        <v>1</v>
      </c>
      <c r="AK11102">
        <v>1</v>
      </c>
      <c r="AL11102">
        <v>1</v>
      </c>
      <c r="AM11102">
        <v>1</v>
      </c>
    </row>
    <row r="11103" spans="1:39" x14ac:dyDescent="0.2">
      <c r="A11103" t="str">
        <f>"11099"</f>
        <v>11099</v>
      </c>
      <c r="B11103" t="str">
        <f t="shared" si="616"/>
        <v>1</v>
      </c>
      <c r="C11103" t="str">
        <f t="shared" si="617"/>
        <v>222</v>
      </c>
      <c r="D11103" t="str">
        <f>"7"</f>
        <v>7</v>
      </c>
      <c r="E11103" t="str">
        <f>"1-222-7"</f>
        <v>1-222-7</v>
      </c>
      <c r="F11103" t="s">
        <v>65</v>
      </c>
      <c r="G11103" t="s">
        <v>66</v>
      </c>
      <c r="H11103" t="s">
        <v>67</v>
      </c>
      <c r="S11103">
        <v>1</v>
      </c>
      <c r="T11103">
        <v>0</v>
      </c>
      <c r="U11103">
        <v>0</v>
      </c>
      <c r="V11103">
        <v>0</v>
      </c>
      <c r="W11103">
        <v>1</v>
      </c>
      <c r="X11103">
        <v>0</v>
      </c>
      <c r="Y11103">
        <v>0</v>
      </c>
      <c r="Z11103">
        <v>1</v>
      </c>
      <c r="AA11103">
        <v>1</v>
      </c>
      <c r="AB11103">
        <v>0</v>
      </c>
      <c r="AC11103">
        <v>0</v>
      </c>
      <c r="AD11103">
        <v>1</v>
      </c>
      <c r="AE11103">
        <v>1</v>
      </c>
      <c r="AF11103">
        <v>1</v>
      </c>
      <c r="AG11103">
        <v>1</v>
      </c>
      <c r="AH11103">
        <v>1</v>
      </c>
      <c r="AI11103">
        <v>1</v>
      </c>
      <c r="AJ11103">
        <v>1</v>
      </c>
      <c r="AK11103">
        <v>1</v>
      </c>
      <c r="AL11103">
        <v>1</v>
      </c>
      <c r="AM11103">
        <v>1</v>
      </c>
    </row>
    <row r="11104" spans="1:39" x14ac:dyDescent="0.2">
      <c r="A11104" t="str">
        <f>"11100"</f>
        <v>11100</v>
      </c>
      <c r="B11104" t="str">
        <f t="shared" si="616"/>
        <v>1</v>
      </c>
      <c r="C11104" t="str">
        <f t="shared" si="617"/>
        <v>222</v>
      </c>
      <c r="D11104" t="str">
        <f>"2"</f>
        <v>2</v>
      </c>
      <c r="E11104" t="str">
        <f>"1-222-2"</f>
        <v>1-222-2</v>
      </c>
      <c r="F11104" t="s">
        <v>65</v>
      </c>
      <c r="G11104" t="s">
        <v>66</v>
      </c>
      <c r="H11104" t="s">
        <v>67</v>
      </c>
      <c r="S11104">
        <v>1</v>
      </c>
      <c r="T11104">
        <v>0</v>
      </c>
      <c r="U11104">
        <v>0</v>
      </c>
      <c r="V11104">
        <v>0</v>
      </c>
      <c r="W11104">
        <v>1</v>
      </c>
      <c r="X11104">
        <v>0</v>
      </c>
      <c r="Y11104">
        <v>1</v>
      </c>
      <c r="Z11104">
        <v>0</v>
      </c>
      <c r="AA11104">
        <v>1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</row>
    <row r="11105" spans="1:39" x14ac:dyDescent="0.2">
      <c r="A11105" t="str">
        <f>"11101"</f>
        <v>11101</v>
      </c>
      <c r="B11105" t="str">
        <f t="shared" si="616"/>
        <v>1</v>
      </c>
      <c r="C11105" t="str">
        <f t="shared" ref="C11105:C11136" si="618">"223"</f>
        <v>223</v>
      </c>
      <c r="D11105" t="str">
        <f>"38"</f>
        <v>38</v>
      </c>
      <c r="E11105" t="str">
        <f>"1-223-38"</f>
        <v>1-223-38</v>
      </c>
      <c r="F11105" t="s">
        <v>65</v>
      </c>
      <c r="G11105" t="s">
        <v>66</v>
      </c>
      <c r="H11105" t="s">
        <v>67</v>
      </c>
      <c r="S11105">
        <v>0</v>
      </c>
      <c r="T11105">
        <v>1</v>
      </c>
      <c r="U11105">
        <v>0</v>
      </c>
      <c r="V11105">
        <v>0</v>
      </c>
      <c r="W11105">
        <v>1</v>
      </c>
      <c r="X11105">
        <v>0</v>
      </c>
      <c r="Y11105">
        <v>1</v>
      </c>
      <c r="Z11105">
        <v>0</v>
      </c>
      <c r="AA11105">
        <v>1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0</v>
      </c>
      <c r="AH11105">
        <v>0</v>
      </c>
      <c r="AI11105">
        <v>1</v>
      </c>
      <c r="AJ11105">
        <v>0</v>
      </c>
      <c r="AK11105">
        <v>0</v>
      </c>
      <c r="AL11105">
        <v>1</v>
      </c>
      <c r="AM11105">
        <v>0</v>
      </c>
    </row>
    <row r="11106" spans="1:39" x14ac:dyDescent="0.2">
      <c r="A11106" t="str">
        <f>"11102"</f>
        <v>11102</v>
      </c>
      <c r="B11106" t="str">
        <f t="shared" si="616"/>
        <v>1</v>
      </c>
      <c r="C11106" t="str">
        <f t="shared" si="618"/>
        <v>223</v>
      </c>
      <c r="D11106" t="str">
        <f>"37"</f>
        <v>37</v>
      </c>
      <c r="E11106" t="str">
        <f>"1-223-37"</f>
        <v>1-223-37</v>
      </c>
      <c r="F11106" t="s">
        <v>65</v>
      </c>
      <c r="G11106" t="s">
        <v>66</v>
      </c>
      <c r="H11106" t="s">
        <v>67</v>
      </c>
      <c r="S11106">
        <v>1</v>
      </c>
      <c r="T11106">
        <v>0</v>
      </c>
      <c r="U11106">
        <v>0</v>
      </c>
      <c r="V11106">
        <v>0</v>
      </c>
      <c r="W11106">
        <v>1</v>
      </c>
      <c r="X11106">
        <v>0</v>
      </c>
      <c r="Y11106">
        <v>1</v>
      </c>
      <c r="Z11106">
        <v>0</v>
      </c>
      <c r="AA11106">
        <v>0</v>
      </c>
      <c r="AB11106">
        <v>0</v>
      </c>
      <c r="AC11106">
        <v>1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1</v>
      </c>
      <c r="AJ11106">
        <v>0</v>
      </c>
      <c r="AK11106">
        <v>0</v>
      </c>
      <c r="AL11106">
        <v>1</v>
      </c>
      <c r="AM11106">
        <v>0</v>
      </c>
    </row>
    <row r="11107" spans="1:39" x14ac:dyDescent="0.2">
      <c r="A11107" t="str">
        <f>"11103"</f>
        <v>11103</v>
      </c>
      <c r="B11107" t="str">
        <f t="shared" si="616"/>
        <v>1</v>
      </c>
      <c r="C11107" t="str">
        <f t="shared" si="618"/>
        <v>223</v>
      </c>
      <c r="D11107" t="str">
        <f>"26"</f>
        <v>26</v>
      </c>
      <c r="E11107" t="str">
        <f>"1-223-26"</f>
        <v>1-223-26</v>
      </c>
      <c r="F11107" t="s">
        <v>65</v>
      </c>
      <c r="G11107" t="s">
        <v>66</v>
      </c>
      <c r="H11107" t="s">
        <v>67</v>
      </c>
      <c r="S11107">
        <v>1</v>
      </c>
      <c r="T11107">
        <v>0</v>
      </c>
      <c r="U11107">
        <v>0</v>
      </c>
      <c r="V11107">
        <v>0</v>
      </c>
      <c r="W11107">
        <v>1</v>
      </c>
      <c r="X11107">
        <v>0</v>
      </c>
      <c r="Y11107">
        <v>1</v>
      </c>
      <c r="Z11107">
        <v>0</v>
      </c>
      <c r="AA11107">
        <v>1</v>
      </c>
      <c r="AB11107">
        <v>0</v>
      </c>
      <c r="AC11107">
        <v>0</v>
      </c>
      <c r="AD11107">
        <v>1</v>
      </c>
      <c r="AE11107">
        <v>1</v>
      </c>
      <c r="AF11107">
        <v>1</v>
      </c>
      <c r="AG11107">
        <v>1</v>
      </c>
      <c r="AH11107">
        <v>1</v>
      </c>
      <c r="AI11107">
        <v>1</v>
      </c>
      <c r="AJ11107">
        <v>1</v>
      </c>
      <c r="AK11107">
        <v>1</v>
      </c>
      <c r="AL11107">
        <v>1</v>
      </c>
      <c r="AM11107">
        <v>1</v>
      </c>
    </row>
    <row r="11108" spans="1:39" x14ac:dyDescent="0.2">
      <c r="A11108" t="str">
        <f>"11104"</f>
        <v>11104</v>
      </c>
      <c r="B11108" t="str">
        <f t="shared" si="616"/>
        <v>1</v>
      </c>
      <c r="C11108" t="str">
        <f t="shared" si="618"/>
        <v>223</v>
      </c>
      <c r="D11108" t="str">
        <f>"25"</f>
        <v>25</v>
      </c>
      <c r="E11108" t="str">
        <f>"1-223-25"</f>
        <v>1-223-25</v>
      </c>
      <c r="F11108" t="s">
        <v>65</v>
      </c>
      <c r="G11108" t="s">
        <v>66</v>
      </c>
      <c r="H11108" t="s">
        <v>67</v>
      </c>
      <c r="S11108">
        <v>0</v>
      </c>
      <c r="T11108">
        <v>1</v>
      </c>
      <c r="U11108">
        <v>0</v>
      </c>
      <c r="V11108">
        <v>0</v>
      </c>
      <c r="W11108">
        <v>1</v>
      </c>
      <c r="X11108">
        <v>0</v>
      </c>
      <c r="Y11108">
        <v>1</v>
      </c>
      <c r="Z11108">
        <v>0</v>
      </c>
      <c r="AA11108">
        <v>1</v>
      </c>
      <c r="AB11108">
        <v>0</v>
      </c>
      <c r="AC11108">
        <v>0</v>
      </c>
      <c r="AD11108">
        <v>1</v>
      </c>
      <c r="AE11108">
        <v>1</v>
      </c>
      <c r="AF11108">
        <v>1</v>
      </c>
      <c r="AG11108">
        <v>1</v>
      </c>
      <c r="AH11108">
        <v>1</v>
      </c>
      <c r="AI11108">
        <v>1</v>
      </c>
      <c r="AJ11108">
        <v>1</v>
      </c>
      <c r="AK11108">
        <v>1</v>
      </c>
      <c r="AL11108">
        <v>1</v>
      </c>
      <c r="AM11108">
        <v>1</v>
      </c>
    </row>
    <row r="11109" spans="1:39" x14ac:dyDescent="0.2">
      <c r="A11109" t="str">
        <f>"11105"</f>
        <v>11105</v>
      </c>
      <c r="B11109" t="str">
        <f t="shared" si="616"/>
        <v>1</v>
      </c>
      <c r="C11109" t="str">
        <f t="shared" si="618"/>
        <v>223</v>
      </c>
      <c r="D11109" t="str">
        <f>"17"</f>
        <v>17</v>
      </c>
      <c r="E11109" t="str">
        <f>"1-223-17"</f>
        <v>1-223-17</v>
      </c>
      <c r="F11109" t="s">
        <v>65</v>
      </c>
      <c r="G11109" t="s">
        <v>66</v>
      </c>
      <c r="H11109" t="s">
        <v>67</v>
      </c>
      <c r="S11109">
        <v>1</v>
      </c>
      <c r="T11109">
        <v>0</v>
      </c>
      <c r="U11109">
        <v>0</v>
      </c>
      <c r="V11109">
        <v>0</v>
      </c>
      <c r="W11109">
        <v>1</v>
      </c>
      <c r="X11109">
        <v>0</v>
      </c>
      <c r="Y11109">
        <v>0</v>
      </c>
      <c r="Z11109">
        <v>1</v>
      </c>
      <c r="AA11109">
        <v>1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</row>
    <row r="11110" spans="1:39" x14ac:dyDescent="0.2">
      <c r="A11110" t="str">
        <f>"11106"</f>
        <v>11106</v>
      </c>
      <c r="B11110" t="str">
        <f t="shared" si="616"/>
        <v>1</v>
      </c>
      <c r="C11110" t="str">
        <f t="shared" si="618"/>
        <v>223</v>
      </c>
      <c r="D11110" t="str">
        <f>"15"</f>
        <v>15</v>
      </c>
      <c r="E11110" t="str">
        <f>"1-223-15"</f>
        <v>1-223-15</v>
      </c>
      <c r="F11110" t="s">
        <v>65</v>
      </c>
      <c r="G11110" t="s">
        <v>66</v>
      </c>
      <c r="H11110" t="s">
        <v>67</v>
      </c>
      <c r="S11110">
        <v>1</v>
      </c>
      <c r="T11110">
        <v>0</v>
      </c>
      <c r="U11110">
        <v>0</v>
      </c>
      <c r="V11110">
        <v>0</v>
      </c>
      <c r="W11110">
        <v>1</v>
      </c>
      <c r="X11110">
        <v>0</v>
      </c>
      <c r="Y11110">
        <v>1</v>
      </c>
      <c r="Z11110">
        <v>0</v>
      </c>
      <c r="AA11110">
        <v>1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1</v>
      </c>
      <c r="AH11110">
        <v>0</v>
      </c>
      <c r="AI11110">
        <v>0</v>
      </c>
      <c r="AJ11110">
        <v>0</v>
      </c>
      <c r="AK11110">
        <v>0</v>
      </c>
      <c r="AL11110">
        <v>1</v>
      </c>
      <c r="AM11110">
        <v>0</v>
      </c>
    </row>
    <row r="11111" spans="1:39" x14ac:dyDescent="0.2">
      <c r="A11111" t="str">
        <f>"11107"</f>
        <v>11107</v>
      </c>
      <c r="B11111" t="str">
        <f t="shared" si="616"/>
        <v>1</v>
      </c>
      <c r="C11111" t="str">
        <f t="shared" si="618"/>
        <v>223</v>
      </c>
      <c r="D11111" t="str">
        <f>"3"</f>
        <v>3</v>
      </c>
      <c r="E11111" t="str">
        <f>"1-223-3"</f>
        <v>1-223-3</v>
      </c>
      <c r="F11111" t="s">
        <v>65</v>
      </c>
      <c r="G11111" t="s">
        <v>66</v>
      </c>
      <c r="H11111" t="s">
        <v>67</v>
      </c>
      <c r="S11111">
        <v>1</v>
      </c>
      <c r="T11111">
        <v>0</v>
      </c>
      <c r="U11111">
        <v>0</v>
      </c>
      <c r="V11111">
        <v>0</v>
      </c>
      <c r="W11111">
        <v>1</v>
      </c>
      <c r="X11111">
        <v>0</v>
      </c>
      <c r="Y11111">
        <v>1</v>
      </c>
      <c r="Z11111">
        <v>0</v>
      </c>
      <c r="AA11111">
        <v>1</v>
      </c>
      <c r="AB11111">
        <v>0</v>
      </c>
      <c r="AC11111">
        <v>0</v>
      </c>
      <c r="AD11111">
        <v>1</v>
      </c>
      <c r="AE11111">
        <v>1</v>
      </c>
      <c r="AF11111">
        <v>1</v>
      </c>
      <c r="AG11111">
        <v>1</v>
      </c>
      <c r="AH11111">
        <v>1</v>
      </c>
      <c r="AI11111">
        <v>1</v>
      </c>
      <c r="AJ11111">
        <v>1</v>
      </c>
      <c r="AK11111">
        <v>1</v>
      </c>
      <c r="AL11111">
        <v>1</v>
      </c>
      <c r="AM11111">
        <v>1</v>
      </c>
    </row>
    <row r="11112" spans="1:39" x14ac:dyDescent="0.2">
      <c r="A11112" t="str">
        <f>"11108"</f>
        <v>11108</v>
      </c>
      <c r="B11112" t="str">
        <f t="shared" si="616"/>
        <v>1</v>
      </c>
      <c r="C11112" t="str">
        <f t="shared" si="618"/>
        <v>223</v>
      </c>
      <c r="D11112" t="str">
        <f>"36"</f>
        <v>36</v>
      </c>
      <c r="E11112" t="str">
        <f>"1-223-36"</f>
        <v>1-223-36</v>
      </c>
      <c r="F11112" t="s">
        <v>65</v>
      </c>
      <c r="G11112" t="s">
        <v>66</v>
      </c>
      <c r="H11112" t="s">
        <v>67</v>
      </c>
      <c r="S11112">
        <v>1</v>
      </c>
      <c r="T11112">
        <v>0</v>
      </c>
      <c r="U11112">
        <v>0</v>
      </c>
      <c r="V11112">
        <v>0</v>
      </c>
      <c r="W11112">
        <v>1</v>
      </c>
      <c r="X11112">
        <v>0</v>
      </c>
      <c r="Y11112">
        <v>1</v>
      </c>
      <c r="Z11112">
        <v>0</v>
      </c>
      <c r="AA11112">
        <v>1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1</v>
      </c>
    </row>
    <row r="11113" spans="1:39" x14ac:dyDescent="0.2">
      <c r="A11113" t="str">
        <f>"11109"</f>
        <v>11109</v>
      </c>
      <c r="B11113" t="str">
        <f t="shared" si="616"/>
        <v>1</v>
      </c>
      <c r="C11113" t="str">
        <f t="shared" si="618"/>
        <v>223</v>
      </c>
      <c r="D11113" t="str">
        <f>"35"</f>
        <v>35</v>
      </c>
      <c r="E11113" t="str">
        <f>"1-223-35"</f>
        <v>1-223-35</v>
      </c>
      <c r="F11113" t="s">
        <v>65</v>
      </c>
      <c r="G11113" t="s">
        <v>66</v>
      </c>
      <c r="H11113" t="s">
        <v>67</v>
      </c>
      <c r="S11113">
        <v>0</v>
      </c>
      <c r="T11113">
        <v>1</v>
      </c>
      <c r="U11113">
        <v>0</v>
      </c>
      <c r="V11113">
        <v>0</v>
      </c>
      <c r="W11113">
        <v>1</v>
      </c>
      <c r="X11113">
        <v>0</v>
      </c>
      <c r="Y11113">
        <v>1</v>
      </c>
      <c r="Z11113">
        <v>0</v>
      </c>
      <c r="AA11113">
        <v>0</v>
      </c>
      <c r="AB11113">
        <v>1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1</v>
      </c>
    </row>
    <row r="11114" spans="1:39" x14ac:dyDescent="0.2">
      <c r="A11114" t="str">
        <f>"11110"</f>
        <v>11110</v>
      </c>
      <c r="B11114" t="str">
        <f t="shared" si="616"/>
        <v>1</v>
      </c>
      <c r="C11114" t="str">
        <f t="shared" si="618"/>
        <v>223</v>
      </c>
      <c r="D11114" t="str">
        <f>"23"</f>
        <v>23</v>
      </c>
      <c r="E11114" t="str">
        <f>"1-223-23"</f>
        <v>1-223-23</v>
      </c>
      <c r="F11114" t="s">
        <v>65</v>
      </c>
      <c r="G11114" t="s">
        <v>66</v>
      </c>
      <c r="H11114" t="s">
        <v>67</v>
      </c>
      <c r="S11114">
        <v>1</v>
      </c>
      <c r="T11114">
        <v>0</v>
      </c>
      <c r="U11114">
        <v>0</v>
      </c>
      <c r="V11114">
        <v>0</v>
      </c>
      <c r="W11114">
        <v>1</v>
      </c>
      <c r="X11114">
        <v>0</v>
      </c>
      <c r="Y11114">
        <v>1</v>
      </c>
      <c r="Z11114">
        <v>0</v>
      </c>
      <c r="AA11114">
        <v>1</v>
      </c>
      <c r="AB11114">
        <v>0</v>
      </c>
      <c r="AC11114">
        <v>0</v>
      </c>
      <c r="AD11114">
        <v>1</v>
      </c>
      <c r="AE11114">
        <v>1</v>
      </c>
      <c r="AF11114">
        <v>1</v>
      </c>
      <c r="AG11114">
        <v>1</v>
      </c>
      <c r="AH11114">
        <v>1</v>
      </c>
      <c r="AI11114">
        <v>1</v>
      </c>
      <c r="AJ11114">
        <v>1</v>
      </c>
      <c r="AK11114">
        <v>1</v>
      </c>
      <c r="AL11114">
        <v>1</v>
      </c>
      <c r="AM11114">
        <v>1</v>
      </c>
    </row>
    <row r="11115" spans="1:39" x14ac:dyDescent="0.2">
      <c r="A11115" t="str">
        <f>"11111"</f>
        <v>11111</v>
      </c>
      <c r="B11115" t="str">
        <f t="shared" si="616"/>
        <v>1</v>
      </c>
      <c r="C11115" t="str">
        <f t="shared" si="618"/>
        <v>223</v>
      </c>
      <c r="D11115" t="str">
        <f>"16"</f>
        <v>16</v>
      </c>
      <c r="E11115" t="str">
        <f>"1-223-16"</f>
        <v>1-223-16</v>
      </c>
      <c r="F11115" t="s">
        <v>65</v>
      </c>
      <c r="G11115" t="s">
        <v>66</v>
      </c>
      <c r="H11115" t="s">
        <v>67</v>
      </c>
      <c r="S11115">
        <v>0</v>
      </c>
      <c r="T11115">
        <v>1</v>
      </c>
      <c r="U11115">
        <v>0</v>
      </c>
      <c r="V11115">
        <v>0</v>
      </c>
      <c r="W11115">
        <v>1</v>
      </c>
      <c r="X11115">
        <v>0</v>
      </c>
      <c r="Y11115">
        <v>0</v>
      </c>
      <c r="Z11115">
        <v>1</v>
      </c>
      <c r="AA11115">
        <v>1</v>
      </c>
      <c r="AB11115">
        <v>0</v>
      </c>
      <c r="AC11115">
        <v>0</v>
      </c>
      <c r="AD11115">
        <v>1</v>
      </c>
      <c r="AE11115">
        <v>1</v>
      </c>
      <c r="AF11115">
        <v>1</v>
      </c>
      <c r="AG11115">
        <v>1</v>
      </c>
      <c r="AH11115">
        <v>1</v>
      </c>
      <c r="AI11115">
        <v>1</v>
      </c>
      <c r="AJ11115">
        <v>1</v>
      </c>
      <c r="AK11115">
        <v>1</v>
      </c>
      <c r="AL11115">
        <v>1</v>
      </c>
      <c r="AM11115">
        <v>1</v>
      </c>
    </row>
    <row r="11116" spans="1:39" x14ac:dyDescent="0.2">
      <c r="A11116" t="str">
        <f>"11112"</f>
        <v>11112</v>
      </c>
      <c r="B11116" t="str">
        <f t="shared" si="616"/>
        <v>1</v>
      </c>
      <c r="C11116" t="str">
        <f t="shared" si="618"/>
        <v>223</v>
      </c>
      <c r="D11116" t="str">
        <f>"5"</f>
        <v>5</v>
      </c>
      <c r="E11116" t="str">
        <f>"1-223-5"</f>
        <v>1-223-5</v>
      </c>
      <c r="F11116" t="s">
        <v>65</v>
      </c>
      <c r="G11116" t="s">
        <v>66</v>
      </c>
      <c r="H11116" t="s">
        <v>67</v>
      </c>
      <c r="S11116">
        <v>1</v>
      </c>
      <c r="T11116">
        <v>0</v>
      </c>
      <c r="U11116">
        <v>0</v>
      </c>
      <c r="V11116">
        <v>0</v>
      </c>
      <c r="W11116">
        <v>1</v>
      </c>
      <c r="X11116">
        <v>0</v>
      </c>
      <c r="Y11116">
        <v>0</v>
      </c>
      <c r="Z11116">
        <v>1</v>
      </c>
      <c r="AA11116">
        <v>0</v>
      </c>
      <c r="AB11116">
        <v>1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1</v>
      </c>
      <c r="AM11116">
        <v>0</v>
      </c>
    </row>
    <row r="11117" spans="1:39" x14ac:dyDescent="0.2">
      <c r="A11117" t="str">
        <f>"11113"</f>
        <v>11113</v>
      </c>
      <c r="B11117" t="str">
        <f t="shared" si="616"/>
        <v>1</v>
      </c>
      <c r="C11117" t="str">
        <f t="shared" si="618"/>
        <v>223</v>
      </c>
      <c r="D11117" t="str">
        <f>"49"</f>
        <v>49</v>
      </c>
      <c r="E11117" t="str">
        <f>"1-223-49"</f>
        <v>1-223-49</v>
      </c>
      <c r="F11117" t="s">
        <v>65</v>
      </c>
      <c r="G11117" t="s">
        <v>66</v>
      </c>
      <c r="H11117" t="s">
        <v>67</v>
      </c>
      <c r="S11117">
        <v>1</v>
      </c>
      <c r="T11117">
        <v>0</v>
      </c>
      <c r="U11117">
        <v>0</v>
      </c>
      <c r="V11117">
        <v>0</v>
      </c>
      <c r="W11117">
        <v>1</v>
      </c>
      <c r="X11117">
        <v>0</v>
      </c>
      <c r="Y11117">
        <v>0</v>
      </c>
      <c r="Z11117">
        <v>1</v>
      </c>
      <c r="AA11117">
        <v>1</v>
      </c>
      <c r="AB11117">
        <v>0</v>
      </c>
      <c r="AC11117">
        <v>0</v>
      </c>
      <c r="AD11117">
        <v>1</v>
      </c>
      <c r="AE11117">
        <v>1</v>
      </c>
      <c r="AF11117">
        <v>1</v>
      </c>
      <c r="AG11117">
        <v>1</v>
      </c>
      <c r="AH11117">
        <v>1</v>
      </c>
      <c r="AI11117">
        <v>1</v>
      </c>
      <c r="AJ11117">
        <v>1</v>
      </c>
      <c r="AK11117">
        <v>1</v>
      </c>
      <c r="AL11117">
        <v>1</v>
      </c>
      <c r="AM11117">
        <v>1</v>
      </c>
    </row>
    <row r="11118" spans="1:39" x14ac:dyDescent="0.2">
      <c r="A11118" t="str">
        <f>"11114"</f>
        <v>11114</v>
      </c>
      <c r="B11118" t="str">
        <f t="shared" si="616"/>
        <v>1</v>
      </c>
      <c r="C11118" t="str">
        <f t="shared" si="618"/>
        <v>223</v>
      </c>
      <c r="D11118" t="str">
        <f>"48"</f>
        <v>48</v>
      </c>
      <c r="E11118" t="str">
        <f>"1-223-48"</f>
        <v>1-223-48</v>
      </c>
      <c r="F11118" t="s">
        <v>65</v>
      </c>
      <c r="G11118" t="s">
        <v>66</v>
      </c>
      <c r="H11118" t="s">
        <v>67</v>
      </c>
      <c r="S11118">
        <v>0</v>
      </c>
      <c r="T11118">
        <v>1</v>
      </c>
      <c r="U11118">
        <v>0</v>
      </c>
      <c r="V11118">
        <v>0</v>
      </c>
      <c r="W11118">
        <v>1</v>
      </c>
      <c r="X11118">
        <v>0</v>
      </c>
      <c r="Y11118">
        <v>0</v>
      </c>
      <c r="Z11118">
        <v>1</v>
      </c>
      <c r="AA11118">
        <v>1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1</v>
      </c>
      <c r="AH11118">
        <v>1</v>
      </c>
      <c r="AI11118">
        <v>1</v>
      </c>
      <c r="AJ11118">
        <v>0</v>
      </c>
      <c r="AK11118">
        <v>1</v>
      </c>
      <c r="AL11118">
        <v>1</v>
      </c>
      <c r="AM11118">
        <v>0</v>
      </c>
    </row>
    <row r="11119" spans="1:39" x14ac:dyDescent="0.2">
      <c r="A11119" t="str">
        <f>"11115"</f>
        <v>11115</v>
      </c>
      <c r="B11119" t="str">
        <f t="shared" si="616"/>
        <v>1</v>
      </c>
      <c r="C11119" t="str">
        <f t="shared" si="618"/>
        <v>223</v>
      </c>
      <c r="D11119" t="str">
        <f>"33"</f>
        <v>33</v>
      </c>
      <c r="E11119" t="str">
        <f>"1-223-33"</f>
        <v>1-223-33</v>
      </c>
      <c r="F11119" t="s">
        <v>65</v>
      </c>
      <c r="G11119" t="s">
        <v>66</v>
      </c>
      <c r="H11119" t="s">
        <v>67</v>
      </c>
      <c r="S11119">
        <v>1</v>
      </c>
      <c r="T11119">
        <v>0</v>
      </c>
      <c r="U11119">
        <v>0</v>
      </c>
      <c r="V11119">
        <v>0</v>
      </c>
      <c r="W11119">
        <v>1</v>
      </c>
      <c r="X11119">
        <v>0</v>
      </c>
      <c r="Y11119">
        <v>1</v>
      </c>
      <c r="Z11119">
        <v>0</v>
      </c>
      <c r="AA11119">
        <v>0</v>
      </c>
      <c r="AB11119">
        <v>0</v>
      </c>
      <c r="AC11119">
        <v>1</v>
      </c>
      <c r="AD11119">
        <v>1</v>
      </c>
      <c r="AE11119">
        <v>1</v>
      </c>
      <c r="AF11119">
        <v>1</v>
      </c>
      <c r="AG11119">
        <v>1</v>
      </c>
      <c r="AH11119">
        <v>0</v>
      </c>
      <c r="AI11119">
        <v>0</v>
      </c>
      <c r="AJ11119">
        <v>0</v>
      </c>
      <c r="AK11119">
        <v>0</v>
      </c>
      <c r="AL11119">
        <v>1</v>
      </c>
      <c r="AM11119">
        <v>0</v>
      </c>
    </row>
    <row r="11120" spans="1:39" x14ac:dyDescent="0.2">
      <c r="A11120" t="str">
        <f>"11116"</f>
        <v>11116</v>
      </c>
      <c r="B11120" t="str">
        <f t="shared" si="616"/>
        <v>1</v>
      </c>
      <c r="C11120" t="str">
        <f t="shared" si="618"/>
        <v>223</v>
      </c>
      <c r="D11120" t="str">
        <f>"18"</f>
        <v>18</v>
      </c>
      <c r="E11120" t="str">
        <f>"1-223-18"</f>
        <v>1-223-18</v>
      </c>
      <c r="F11120" t="s">
        <v>65</v>
      </c>
      <c r="G11120" t="s">
        <v>66</v>
      </c>
      <c r="H11120" t="s">
        <v>67</v>
      </c>
      <c r="S11120">
        <v>0</v>
      </c>
      <c r="T11120">
        <v>0</v>
      </c>
      <c r="U11120">
        <v>0</v>
      </c>
      <c r="V11120">
        <v>0</v>
      </c>
      <c r="W11120">
        <v>1</v>
      </c>
      <c r="X11120">
        <v>0</v>
      </c>
      <c r="Y11120">
        <v>0</v>
      </c>
      <c r="Z11120">
        <v>1</v>
      </c>
      <c r="AA11120">
        <v>0</v>
      </c>
      <c r="AB11120">
        <v>0</v>
      </c>
      <c r="AC11120">
        <v>1</v>
      </c>
      <c r="AD11120">
        <v>1</v>
      </c>
      <c r="AE11120">
        <v>1</v>
      </c>
      <c r="AF11120">
        <v>1</v>
      </c>
      <c r="AG11120">
        <v>1</v>
      </c>
      <c r="AH11120">
        <v>1</v>
      </c>
      <c r="AI11120">
        <v>1</v>
      </c>
      <c r="AJ11120">
        <v>1</v>
      </c>
      <c r="AK11120">
        <v>1</v>
      </c>
      <c r="AL11120">
        <v>1</v>
      </c>
      <c r="AM11120">
        <v>1</v>
      </c>
    </row>
    <row r="11121" spans="1:39" x14ac:dyDescent="0.2">
      <c r="A11121" t="str">
        <f>"11117"</f>
        <v>11117</v>
      </c>
      <c r="B11121" t="str">
        <f t="shared" si="616"/>
        <v>1</v>
      </c>
      <c r="C11121" t="str">
        <f t="shared" si="618"/>
        <v>223</v>
      </c>
      <c r="D11121" t="str">
        <f>"1"</f>
        <v>1</v>
      </c>
      <c r="E11121" t="str">
        <f>"1-223-1"</f>
        <v>1-223-1</v>
      </c>
      <c r="F11121" t="s">
        <v>65</v>
      </c>
      <c r="G11121" t="s">
        <v>66</v>
      </c>
      <c r="H11121" t="s">
        <v>67</v>
      </c>
      <c r="S11121">
        <v>1</v>
      </c>
      <c r="T11121">
        <v>0</v>
      </c>
      <c r="U11121">
        <v>0</v>
      </c>
      <c r="V11121">
        <v>0</v>
      </c>
      <c r="W11121">
        <v>0</v>
      </c>
      <c r="X11121">
        <v>1</v>
      </c>
      <c r="Y11121">
        <v>1</v>
      </c>
      <c r="Z11121">
        <v>0</v>
      </c>
      <c r="AA11121">
        <v>0</v>
      </c>
      <c r="AB11121">
        <v>1</v>
      </c>
      <c r="AC11121">
        <v>0</v>
      </c>
      <c r="AD11121">
        <v>1</v>
      </c>
      <c r="AE11121">
        <v>1</v>
      </c>
      <c r="AF11121">
        <v>1</v>
      </c>
      <c r="AG11121">
        <v>1</v>
      </c>
      <c r="AH11121">
        <v>1</v>
      </c>
      <c r="AI11121">
        <v>1</v>
      </c>
      <c r="AJ11121">
        <v>1</v>
      </c>
      <c r="AK11121">
        <v>1</v>
      </c>
      <c r="AL11121">
        <v>1</v>
      </c>
      <c r="AM11121">
        <v>1</v>
      </c>
    </row>
    <row r="11122" spans="1:39" x14ac:dyDescent="0.2">
      <c r="A11122" t="str">
        <f>"11118"</f>
        <v>11118</v>
      </c>
      <c r="B11122" t="str">
        <f t="shared" si="616"/>
        <v>1</v>
      </c>
      <c r="C11122" t="str">
        <f t="shared" si="618"/>
        <v>223</v>
      </c>
      <c r="D11122" t="str">
        <f>"46"</f>
        <v>46</v>
      </c>
      <c r="E11122" t="str">
        <f>"1-223-46"</f>
        <v>1-223-46</v>
      </c>
      <c r="F11122" t="s">
        <v>65</v>
      </c>
      <c r="G11122" t="s">
        <v>66</v>
      </c>
      <c r="H11122" t="s">
        <v>67</v>
      </c>
      <c r="S11122">
        <v>1</v>
      </c>
      <c r="T11122">
        <v>0</v>
      </c>
      <c r="U11122">
        <v>0</v>
      </c>
      <c r="V11122">
        <v>0</v>
      </c>
      <c r="W11122">
        <v>1</v>
      </c>
      <c r="X11122">
        <v>0</v>
      </c>
      <c r="Y11122">
        <v>1</v>
      </c>
      <c r="Z11122">
        <v>0</v>
      </c>
      <c r="AA11122">
        <v>1</v>
      </c>
      <c r="AB11122">
        <v>0</v>
      </c>
      <c r="AC11122">
        <v>0</v>
      </c>
      <c r="AD11122">
        <v>1</v>
      </c>
      <c r="AE11122">
        <v>1</v>
      </c>
      <c r="AF11122">
        <v>1</v>
      </c>
      <c r="AG11122">
        <v>1</v>
      </c>
      <c r="AH11122">
        <v>1</v>
      </c>
      <c r="AI11122">
        <v>1</v>
      </c>
      <c r="AJ11122">
        <v>1</v>
      </c>
      <c r="AK11122">
        <v>1</v>
      </c>
      <c r="AL11122">
        <v>1</v>
      </c>
      <c r="AM11122">
        <v>1</v>
      </c>
    </row>
    <row r="11123" spans="1:39" x14ac:dyDescent="0.2">
      <c r="A11123" t="str">
        <f>"11119"</f>
        <v>11119</v>
      </c>
      <c r="B11123" t="str">
        <f t="shared" si="616"/>
        <v>1</v>
      </c>
      <c r="C11123" t="str">
        <f t="shared" si="618"/>
        <v>223</v>
      </c>
      <c r="D11123" t="str">
        <f>"45"</f>
        <v>45</v>
      </c>
      <c r="E11123" t="str">
        <f>"1-223-45"</f>
        <v>1-223-45</v>
      </c>
      <c r="F11123" t="s">
        <v>65</v>
      </c>
      <c r="G11123" t="s">
        <v>66</v>
      </c>
      <c r="H11123" t="s">
        <v>67</v>
      </c>
      <c r="S11123">
        <v>1</v>
      </c>
      <c r="T11123">
        <v>0</v>
      </c>
      <c r="U11123">
        <v>0</v>
      </c>
      <c r="V11123">
        <v>0</v>
      </c>
      <c r="W11123">
        <v>1</v>
      </c>
      <c r="X11123">
        <v>0</v>
      </c>
      <c r="Y11123">
        <v>1</v>
      </c>
      <c r="Z11123">
        <v>0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1</v>
      </c>
      <c r="AI11123">
        <v>1</v>
      </c>
      <c r="AJ11123">
        <v>1</v>
      </c>
      <c r="AK11123">
        <v>1</v>
      </c>
      <c r="AL11123">
        <v>1</v>
      </c>
      <c r="AM11123">
        <v>1</v>
      </c>
    </row>
    <row r="11124" spans="1:39" x14ac:dyDescent="0.2">
      <c r="A11124" t="str">
        <f>"11120"</f>
        <v>11120</v>
      </c>
      <c r="B11124" t="str">
        <f t="shared" si="616"/>
        <v>1</v>
      </c>
      <c r="C11124" t="str">
        <f t="shared" si="618"/>
        <v>223</v>
      </c>
      <c r="D11124" t="str">
        <f>"34"</f>
        <v>34</v>
      </c>
      <c r="E11124" t="str">
        <f>"1-223-34"</f>
        <v>1-223-34</v>
      </c>
      <c r="F11124" t="s">
        <v>65</v>
      </c>
      <c r="G11124" t="s">
        <v>66</v>
      </c>
      <c r="H11124" t="s">
        <v>67</v>
      </c>
      <c r="S11124">
        <v>0</v>
      </c>
      <c r="T11124">
        <v>1</v>
      </c>
      <c r="U11124">
        <v>0</v>
      </c>
      <c r="V11124">
        <v>0</v>
      </c>
      <c r="W11124">
        <v>1</v>
      </c>
      <c r="X11124">
        <v>0</v>
      </c>
      <c r="Y11124">
        <v>0</v>
      </c>
      <c r="Z11124">
        <v>1</v>
      </c>
      <c r="AA11124">
        <v>1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1</v>
      </c>
      <c r="AM11124">
        <v>0</v>
      </c>
    </row>
    <row r="11125" spans="1:39" x14ac:dyDescent="0.2">
      <c r="A11125" t="str">
        <f>"11121"</f>
        <v>11121</v>
      </c>
      <c r="B11125" t="str">
        <f t="shared" si="616"/>
        <v>1</v>
      </c>
      <c r="C11125" t="str">
        <f t="shared" si="618"/>
        <v>223</v>
      </c>
      <c r="D11125" t="str">
        <f>"19"</f>
        <v>19</v>
      </c>
      <c r="E11125" t="str">
        <f>"1-223-19"</f>
        <v>1-223-19</v>
      </c>
      <c r="F11125" t="s">
        <v>65</v>
      </c>
      <c r="G11125" t="s">
        <v>66</v>
      </c>
      <c r="H11125" t="s">
        <v>67</v>
      </c>
      <c r="S11125">
        <v>1</v>
      </c>
      <c r="T11125">
        <v>0</v>
      </c>
      <c r="U11125">
        <v>0</v>
      </c>
      <c r="V11125">
        <v>0</v>
      </c>
      <c r="W11125">
        <v>1</v>
      </c>
      <c r="X11125">
        <v>0</v>
      </c>
      <c r="Y11125">
        <v>1</v>
      </c>
      <c r="Z11125">
        <v>0</v>
      </c>
      <c r="AA11125">
        <v>1</v>
      </c>
      <c r="AB11125">
        <v>0</v>
      </c>
      <c r="AC11125">
        <v>0</v>
      </c>
      <c r="AD11125">
        <v>1</v>
      </c>
      <c r="AE11125">
        <v>1</v>
      </c>
      <c r="AF11125">
        <v>1</v>
      </c>
      <c r="AG11125">
        <v>1</v>
      </c>
      <c r="AH11125">
        <v>1</v>
      </c>
      <c r="AI11125">
        <v>1</v>
      </c>
      <c r="AJ11125">
        <v>1</v>
      </c>
      <c r="AK11125">
        <v>1</v>
      </c>
      <c r="AL11125">
        <v>1</v>
      </c>
      <c r="AM11125">
        <v>1</v>
      </c>
    </row>
    <row r="11126" spans="1:39" x14ac:dyDescent="0.2">
      <c r="A11126" t="str">
        <f>"11122"</f>
        <v>11122</v>
      </c>
      <c r="B11126" t="str">
        <f t="shared" si="616"/>
        <v>1</v>
      </c>
      <c r="C11126" t="str">
        <f t="shared" si="618"/>
        <v>223</v>
      </c>
      <c r="D11126" t="str">
        <f>"14"</f>
        <v>14</v>
      </c>
      <c r="E11126" t="str">
        <f>"1-223-14"</f>
        <v>1-223-14</v>
      </c>
      <c r="F11126" t="s">
        <v>65</v>
      </c>
      <c r="G11126" t="s">
        <v>66</v>
      </c>
      <c r="H11126" t="s">
        <v>67</v>
      </c>
      <c r="S11126">
        <v>1</v>
      </c>
      <c r="T11126">
        <v>0</v>
      </c>
      <c r="U11126">
        <v>0</v>
      </c>
      <c r="V11126">
        <v>0</v>
      </c>
      <c r="W11126">
        <v>1</v>
      </c>
      <c r="X11126">
        <v>0</v>
      </c>
      <c r="Y11126">
        <v>1</v>
      </c>
      <c r="Z11126">
        <v>0</v>
      </c>
      <c r="AA11126">
        <v>1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1</v>
      </c>
      <c r="AH11126">
        <v>0</v>
      </c>
      <c r="AI11126">
        <v>0</v>
      </c>
      <c r="AJ11126">
        <v>0</v>
      </c>
      <c r="AK11126">
        <v>0</v>
      </c>
      <c r="AL11126">
        <v>1</v>
      </c>
      <c r="AM11126">
        <v>0</v>
      </c>
    </row>
    <row r="11127" spans="1:39" x14ac:dyDescent="0.2">
      <c r="A11127" t="str">
        <f>"11123"</f>
        <v>11123</v>
      </c>
      <c r="B11127" t="str">
        <f t="shared" ref="B11127:B11190" si="619">"1"</f>
        <v>1</v>
      </c>
      <c r="C11127" t="str">
        <f t="shared" si="618"/>
        <v>223</v>
      </c>
      <c r="D11127" t="str">
        <f>"39"</f>
        <v>39</v>
      </c>
      <c r="E11127" t="str">
        <f>"1-223-39"</f>
        <v>1-223-39</v>
      </c>
      <c r="F11127" t="s">
        <v>65</v>
      </c>
      <c r="G11127" t="s">
        <v>66</v>
      </c>
      <c r="H11127" t="s">
        <v>67</v>
      </c>
      <c r="S11127">
        <v>1</v>
      </c>
      <c r="T11127">
        <v>0</v>
      </c>
      <c r="U11127">
        <v>0</v>
      </c>
      <c r="V11127">
        <v>0</v>
      </c>
      <c r="W11127">
        <v>1</v>
      </c>
      <c r="X11127">
        <v>0</v>
      </c>
      <c r="Y11127">
        <v>1</v>
      </c>
      <c r="Z11127">
        <v>0</v>
      </c>
      <c r="AA11127">
        <v>0</v>
      </c>
      <c r="AB11127">
        <v>0</v>
      </c>
      <c r="AC11127">
        <v>1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1</v>
      </c>
      <c r="AJ11127">
        <v>0</v>
      </c>
      <c r="AK11127">
        <v>0</v>
      </c>
      <c r="AL11127">
        <v>1</v>
      </c>
      <c r="AM11127">
        <v>0</v>
      </c>
    </row>
    <row r="11128" spans="1:39" x14ac:dyDescent="0.2">
      <c r="A11128" t="str">
        <f>"11124"</f>
        <v>11124</v>
      </c>
      <c r="B11128" t="str">
        <f t="shared" si="619"/>
        <v>1</v>
      </c>
      <c r="C11128" t="str">
        <f t="shared" si="618"/>
        <v>223</v>
      </c>
      <c r="D11128" t="str">
        <f>"20"</f>
        <v>20</v>
      </c>
      <c r="E11128" t="str">
        <f>"1-223-20"</f>
        <v>1-223-20</v>
      </c>
      <c r="F11128" t="s">
        <v>65</v>
      </c>
      <c r="G11128" t="s">
        <v>66</v>
      </c>
      <c r="H11128" t="s">
        <v>67</v>
      </c>
      <c r="S11128">
        <v>1</v>
      </c>
      <c r="T11128">
        <v>0</v>
      </c>
      <c r="U11128">
        <v>0</v>
      </c>
      <c r="V11128">
        <v>0</v>
      </c>
      <c r="W11128">
        <v>1</v>
      </c>
      <c r="X11128">
        <v>0</v>
      </c>
      <c r="Y11128">
        <v>1</v>
      </c>
      <c r="Z11128">
        <v>0</v>
      </c>
      <c r="AA11128">
        <v>1</v>
      </c>
      <c r="AB11128">
        <v>0</v>
      </c>
      <c r="AC11128">
        <v>0</v>
      </c>
      <c r="AD11128">
        <v>1</v>
      </c>
      <c r="AE11128">
        <v>1</v>
      </c>
      <c r="AF11128">
        <v>1</v>
      </c>
      <c r="AG11128">
        <v>1</v>
      </c>
      <c r="AH11128">
        <v>1</v>
      </c>
      <c r="AI11128">
        <v>1</v>
      </c>
      <c r="AJ11128">
        <v>1</v>
      </c>
      <c r="AK11128">
        <v>1</v>
      </c>
      <c r="AL11128">
        <v>1</v>
      </c>
      <c r="AM11128">
        <v>1</v>
      </c>
    </row>
    <row r="11129" spans="1:39" x14ac:dyDescent="0.2">
      <c r="A11129" t="str">
        <f>"11125"</f>
        <v>11125</v>
      </c>
      <c r="B11129" t="str">
        <f t="shared" si="619"/>
        <v>1</v>
      </c>
      <c r="C11129" t="str">
        <f t="shared" si="618"/>
        <v>223</v>
      </c>
      <c r="D11129" t="str">
        <f>"12"</f>
        <v>12</v>
      </c>
      <c r="E11129" t="str">
        <f>"1-223-12"</f>
        <v>1-223-12</v>
      </c>
      <c r="F11129" t="s">
        <v>65</v>
      </c>
      <c r="G11129" t="s">
        <v>66</v>
      </c>
      <c r="H11129" t="s">
        <v>67</v>
      </c>
      <c r="S11129">
        <v>0</v>
      </c>
      <c r="T11129">
        <v>1</v>
      </c>
      <c r="U11129">
        <v>0</v>
      </c>
      <c r="V11129">
        <v>0</v>
      </c>
      <c r="W11129">
        <v>1</v>
      </c>
      <c r="X11129">
        <v>0</v>
      </c>
      <c r="Y11129">
        <v>0</v>
      </c>
      <c r="Z11129">
        <v>1</v>
      </c>
      <c r="AA11129">
        <v>0</v>
      </c>
      <c r="AB11129">
        <v>1</v>
      </c>
      <c r="AC11129">
        <v>0</v>
      </c>
      <c r="AD11129">
        <v>1</v>
      </c>
      <c r="AE11129">
        <v>1</v>
      </c>
      <c r="AF11129">
        <v>1</v>
      </c>
      <c r="AG11129">
        <v>1</v>
      </c>
      <c r="AH11129">
        <v>1</v>
      </c>
      <c r="AI11129">
        <v>1</v>
      </c>
      <c r="AJ11129">
        <v>1</v>
      </c>
      <c r="AK11129">
        <v>1</v>
      </c>
      <c r="AL11129">
        <v>1</v>
      </c>
      <c r="AM11129">
        <v>1</v>
      </c>
    </row>
    <row r="11130" spans="1:39" x14ac:dyDescent="0.2">
      <c r="A11130" t="str">
        <f>"11126"</f>
        <v>11126</v>
      </c>
      <c r="B11130" t="str">
        <f t="shared" si="619"/>
        <v>1</v>
      </c>
      <c r="C11130" t="str">
        <f t="shared" si="618"/>
        <v>223</v>
      </c>
      <c r="D11130" t="str">
        <f>"41"</f>
        <v>41</v>
      </c>
      <c r="E11130" t="str">
        <f>"1-223-41"</f>
        <v>1-223-41</v>
      </c>
      <c r="F11130" t="s">
        <v>65</v>
      </c>
      <c r="G11130" t="s">
        <v>66</v>
      </c>
      <c r="H11130" t="s">
        <v>67</v>
      </c>
      <c r="S11130">
        <v>1</v>
      </c>
      <c r="T11130">
        <v>0</v>
      </c>
      <c r="U11130">
        <v>0</v>
      </c>
      <c r="V11130">
        <v>0</v>
      </c>
      <c r="W11130">
        <v>1</v>
      </c>
      <c r="X11130">
        <v>0</v>
      </c>
      <c r="Y11130">
        <v>1</v>
      </c>
      <c r="Z11130">
        <v>0</v>
      </c>
      <c r="AA11130">
        <v>1</v>
      </c>
      <c r="AB11130">
        <v>0</v>
      </c>
      <c r="AC11130">
        <v>0</v>
      </c>
      <c r="AD11130">
        <v>1</v>
      </c>
      <c r="AE11130">
        <v>1</v>
      </c>
      <c r="AF11130">
        <v>1</v>
      </c>
      <c r="AG11130">
        <v>1</v>
      </c>
      <c r="AH11130">
        <v>1</v>
      </c>
      <c r="AI11130">
        <v>1</v>
      </c>
      <c r="AJ11130">
        <v>1</v>
      </c>
      <c r="AK11130">
        <v>1</v>
      </c>
      <c r="AL11130">
        <v>1</v>
      </c>
      <c r="AM11130">
        <v>1</v>
      </c>
    </row>
    <row r="11131" spans="1:39" x14ac:dyDescent="0.2">
      <c r="A11131" t="str">
        <f>"11127"</f>
        <v>11127</v>
      </c>
      <c r="B11131" t="str">
        <f t="shared" si="619"/>
        <v>1</v>
      </c>
      <c r="C11131" t="str">
        <f t="shared" si="618"/>
        <v>223</v>
      </c>
      <c r="D11131" t="str">
        <f>"21"</f>
        <v>21</v>
      </c>
      <c r="E11131" t="str">
        <f>"1-223-21"</f>
        <v>1-223-21</v>
      </c>
      <c r="F11131" t="s">
        <v>65</v>
      </c>
      <c r="G11131" t="s">
        <v>66</v>
      </c>
      <c r="H11131" t="s">
        <v>67</v>
      </c>
      <c r="S11131">
        <v>0</v>
      </c>
      <c r="T11131">
        <v>0</v>
      </c>
      <c r="U11131">
        <v>0</v>
      </c>
      <c r="V11131">
        <v>0</v>
      </c>
      <c r="W11131">
        <v>1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</row>
    <row r="11132" spans="1:39" x14ac:dyDescent="0.2">
      <c r="A11132" t="str">
        <f>"11128"</f>
        <v>11128</v>
      </c>
      <c r="B11132" t="str">
        <f t="shared" si="619"/>
        <v>1</v>
      </c>
      <c r="C11132" t="str">
        <f t="shared" si="618"/>
        <v>223</v>
      </c>
      <c r="D11132" t="str">
        <f>"9"</f>
        <v>9</v>
      </c>
      <c r="E11132" t="str">
        <f>"1-223-9"</f>
        <v>1-223-9</v>
      </c>
      <c r="F11132" t="s">
        <v>65</v>
      </c>
      <c r="G11132" t="s">
        <v>66</v>
      </c>
      <c r="H11132" t="s">
        <v>67</v>
      </c>
      <c r="S11132">
        <v>1</v>
      </c>
      <c r="T11132">
        <v>0</v>
      </c>
      <c r="U11132">
        <v>0</v>
      </c>
      <c r="V11132">
        <v>0</v>
      </c>
      <c r="W11132">
        <v>0</v>
      </c>
      <c r="X11132">
        <v>1</v>
      </c>
      <c r="Y11132">
        <v>0</v>
      </c>
      <c r="Z11132">
        <v>1</v>
      </c>
      <c r="AA11132">
        <v>0</v>
      </c>
      <c r="AB11132">
        <v>0</v>
      </c>
      <c r="AC11132">
        <v>1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</row>
    <row r="11133" spans="1:39" x14ac:dyDescent="0.2">
      <c r="A11133" t="str">
        <f>"11129"</f>
        <v>11129</v>
      </c>
      <c r="B11133" t="str">
        <f t="shared" si="619"/>
        <v>1</v>
      </c>
      <c r="C11133" t="str">
        <f t="shared" si="618"/>
        <v>223</v>
      </c>
      <c r="D11133" t="str">
        <f>"40"</f>
        <v>40</v>
      </c>
      <c r="E11133" t="str">
        <f>"1-223-40"</f>
        <v>1-223-40</v>
      </c>
      <c r="F11133" t="s">
        <v>65</v>
      </c>
      <c r="G11133" t="s">
        <v>66</v>
      </c>
      <c r="H11133" t="s">
        <v>67</v>
      </c>
      <c r="S11133">
        <v>1</v>
      </c>
      <c r="T11133">
        <v>0</v>
      </c>
      <c r="U11133">
        <v>0</v>
      </c>
      <c r="V11133">
        <v>0</v>
      </c>
      <c r="W11133">
        <v>1</v>
      </c>
      <c r="X11133">
        <v>0</v>
      </c>
      <c r="Y11133">
        <v>0</v>
      </c>
      <c r="Z11133">
        <v>1</v>
      </c>
      <c r="AA11133">
        <v>1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</row>
    <row r="11134" spans="1:39" x14ac:dyDescent="0.2">
      <c r="A11134" t="str">
        <f>"11130"</f>
        <v>11130</v>
      </c>
      <c r="B11134" t="str">
        <f t="shared" si="619"/>
        <v>1</v>
      </c>
      <c r="C11134" t="str">
        <f t="shared" si="618"/>
        <v>223</v>
      </c>
      <c r="D11134" t="str">
        <f>"22"</f>
        <v>22</v>
      </c>
      <c r="E11134" t="str">
        <f>"1-223-22"</f>
        <v>1-223-22</v>
      </c>
      <c r="F11134" t="s">
        <v>65</v>
      </c>
      <c r="G11134" t="s">
        <v>66</v>
      </c>
      <c r="H11134" t="s">
        <v>67</v>
      </c>
      <c r="S11134">
        <v>1</v>
      </c>
      <c r="T11134">
        <v>0</v>
      </c>
      <c r="U11134">
        <v>0</v>
      </c>
      <c r="V11134">
        <v>0</v>
      </c>
      <c r="W11134">
        <v>1</v>
      </c>
      <c r="X11134">
        <v>0</v>
      </c>
      <c r="Y11134">
        <v>0</v>
      </c>
      <c r="Z11134">
        <v>1</v>
      </c>
      <c r="AA11134">
        <v>1</v>
      </c>
      <c r="AB11134">
        <v>0</v>
      </c>
      <c r="AC11134">
        <v>0</v>
      </c>
      <c r="AD11134">
        <v>0</v>
      </c>
      <c r="AE11134">
        <v>1</v>
      </c>
      <c r="AF11134">
        <v>1</v>
      </c>
      <c r="AG11134">
        <v>1</v>
      </c>
      <c r="AH11134">
        <v>1</v>
      </c>
      <c r="AI11134">
        <v>1</v>
      </c>
      <c r="AJ11134">
        <v>1</v>
      </c>
      <c r="AK11134">
        <v>1</v>
      </c>
      <c r="AL11134">
        <v>0</v>
      </c>
      <c r="AM11134">
        <v>1</v>
      </c>
    </row>
    <row r="11135" spans="1:39" x14ac:dyDescent="0.2">
      <c r="A11135" t="str">
        <f>"11131"</f>
        <v>11131</v>
      </c>
      <c r="B11135" t="str">
        <f t="shared" si="619"/>
        <v>1</v>
      </c>
      <c r="C11135" t="str">
        <f t="shared" si="618"/>
        <v>223</v>
      </c>
      <c r="D11135" t="str">
        <f>"7"</f>
        <v>7</v>
      </c>
      <c r="E11135" t="str">
        <f>"1-223-7"</f>
        <v>1-223-7</v>
      </c>
      <c r="F11135" t="s">
        <v>65</v>
      </c>
      <c r="G11135" t="s">
        <v>66</v>
      </c>
      <c r="H11135" t="s">
        <v>67</v>
      </c>
      <c r="S11135">
        <v>0</v>
      </c>
      <c r="T11135">
        <v>1</v>
      </c>
      <c r="U11135">
        <v>0</v>
      </c>
      <c r="V11135">
        <v>0</v>
      </c>
      <c r="W11135">
        <v>0</v>
      </c>
      <c r="X11135">
        <v>1</v>
      </c>
      <c r="Y11135">
        <v>0</v>
      </c>
      <c r="Z11135">
        <v>1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</row>
    <row r="11136" spans="1:39" x14ac:dyDescent="0.2">
      <c r="A11136" t="str">
        <f>"11132"</f>
        <v>11132</v>
      </c>
      <c r="B11136" t="str">
        <f t="shared" si="619"/>
        <v>1</v>
      </c>
      <c r="C11136" t="str">
        <f t="shared" si="618"/>
        <v>223</v>
      </c>
      <c r="D11136" t="str">
        <f>"42"</f>
        <v>42</v>
      </c>
      <c r="E11136" t="str">
        <f>"1-223-42"</f>
        <v>1-223-42</v>
      </c>
      <c r="F11136" t="s">
        <v>65</v>
      </c>
      <c r="G11136" t="s">
        <v>66</v>
      </c>
      <c r="H11136" t="s">
        <v>67</v>
      </c>
      <c r="S11136">
        <v>1</v>
      </c>
      <c r="T11136">
        <v>0</v>
      </c>
      <c r="U11136">
        <v>0</v>
      </c>
      <c r="V11136">
        <v>0</v>
      </c>
      <c r="W11136">
        <v>1</v>
      </c>
      <c r="X11136">
        <v>0</v>
      </c>
      <c r="Y11136">
        <v>1</v>
      </c>
      <c r="Z11136">
        <v>0</v>
      </c>
      <c r="AA11136">
        <v>1</v>
      </c>
      <c r="AB11136">
        <v>0</v>
      </c>
      <c r="AC11136">
        <v>0</v>
      </c>
      <c r="AD11136">
        <v>1</v>
      </c>
      <c r="AE11136">
        <v>1</v>
      </c>
      <c r="AF11136">
        <v>1</v>
      </c>
      <c r="AG11136">
        <v>1</v>
      </c>
      <c r="AH11136">
        <v>1</v>
      </c>
      <c r="AI11136">
        <v>1</v>
      </c>
      <c r="AJ11136">
        <v>1</v>
      </c>
      <c r="AK11136">
        <v>1</v>
      </c>
      <c r="AL11136">
        <v>1</v>
      </c>
      <c r="AM11136">
        <v>1</v>
      </c>
    </row>
    <row r="11137" spans="1:39" x14ac:dyDescent="0.2">
      <c r="A11137" t="str">
        <f>"11133"</f>
        <v>11133</v>
      </c>
      <c r="B11137" t="str">
        <f t="shared" si="619"/>
        <v>1</v>
      </c>
      <c r="C11137" t="str">
        <f t="shared" ref="C11137:C11154" si="620">"223"</f>
        <v>223</v>
      </c>
      <c r="D11137" t="str">
        <f>"24"</f>
        <v>24</v>
      </c>
      <c r="E11137" t="str">
        <f>"1-223-24"</f>
        <v>1-223-24</v>
      </c>
      <c r="F11137" t="s">
        <v>65</v>
      </c>
      <c r="G11137" t="s">
        <v>66</v>
      </c>
      <c r="H11137" t="s">
        <v>67</v>
      </c>
      <c r="S11137">
        <v>0</v>
      </c>
      <c r="T11137">
        <v>1</v>
      </c>
      <c r="U11137">
        <v>0</v>
      </c>
      <c r="V11137">
        <v>0</v>
      </c>
      <c r="W11137">
        <v>1</v>
      </c>
      <c r="X11137">
        <v>0</v>
      </c>
      <c r="Y11137">
        <v>1</v>
      </c>
      <c r="Z11137">
        <v>0</v>
      </c>
      <c r="AA11137">
        <v>0</v>
      </c>
      <c r="AB11137">
        <v>0</v>
      </c>
      <c r="AC11137">
        <v>1</v>
      </c>
      <c r="AD11137">
        <v>1</v>
      </c>
      <c r="AE11137">
        <v>1</v>
      </c>
      <c r="AF11137">
        <v>1</v>
      </c>
      <c r="AG11137">
        <v>1</v>
      </c>
      <c r="AH11137">
        <v>1</v>
      </c>
      <c r="AI11137">
        <v>1</v>
      </c>
      <c r="AJ11137">
        <v>1</v>
      </c>
      <c r="AK11137">
        <v>1</v>
      </c>
      <c r="AL11137">
        <v>1</v>
      </c>
      <c r="AM11137">
        <v>1</v>
      </c>
    </row>
    <row r="11138" spans="1:39" x14ac:dyDescent="0.2">
      <c r="A11138" t="str">
        <f>"11134"</f>
        <v>11134</v>
      </c>
      <c r="B11138" t="str">
        <f t="shared" si="619"/>
        <v>1</v>
      </c>
      <c r="C11138" t="str">
        <f t="shared" si="620"/>
        <v>223</v>
      </c>
      <c r="D11138" t="str">
        <f>"11"</f>
        <v>11</v>
      </c>
      <c r="E11138" t="str">
        <f>"1-223-11"</f>
        <v>1-223-11</v>
      </c>
      <c r="F11138" t="s">
        <v>65</v>
      </c>
      <c r="G11138" t="s">
        <v>66</v>
      </c>
      <c r="H11138" t="s">
        <v>67</v>
      </c>
      <c r="S11138">
        <v>0</v>
      </c>
      <c r="T11138">
        <v>1</v>
      </c>
      <c r="U11138">
        <v>0</v>
      </c>
      <c r="V11138">
        <v>0</v>
      </c>
      <c r="W11138">
        <v>0</v>
      </c>
      <c r="X11138">
        <v>1</v>
      </c>
      <c r="Y11138">
        <v>0</v>
      </c>
      <c r="Z11138">
        <v>1</v>
      </c>
      <c r="AA11138">
        <v>0</v>
      </c>
      <c r="AB11138">
        <v>0</v>
      </c>
      <c r="AC11138">
        <v>1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</row>
    <row r="11139" spans="1:39" x14ac:dyDescent="0.2">
      <c r="A11139" t="str">
        <f>"11135"</f>
        <v>11135</v>
      </c>
      <c r="B11139" t="str">
        <f t="shared" si="619"/>
        <v>1</v>
      </c>
      <c r="C11139" t="str">
        <f t="shared" si="620"/>
        <v>223</v>
      </c>
      <c r="D11139" t="str">
        <f>"27"</f>
        <v>27</v>
      </c>
      <c r="E11139" t="str">
        <f>"1-223-27"</f>
        <v>1-223-27</v>
      </c>
      <c r="F11139" t="s">
        <v>65</v>
      </c>
      <c r="G11139" t="s">
        <v>66</v>
      </c>
      <c r="H11139" t="s">
        <v>67</v>
      </c>
      <c r="S11139">
        <v>0</v>
      </c>
      <c r="T11139">
        <v>1</v>
      </c>
      <c r="U11139">
        <v>0</v>
      </c>
      <c r="V11139">
        <v>0</v>
      </c>
      <c r="W11139">
        <v>1</v>
      </c>
      <c r="X11139">
        <v>0</v>
      </c>
      <c r="Y11139">
        <v>1</v>
      </c>
      <c r="Z11139">
        <v>0</v>
      </c>
      <c r="AA11139">
        <v>0</v>
      </c>
      <c r="AB11139">
        <v>0</v>
      </c>
      <c r="AC11139">
        <v>1</v>
      </c>
      <c r="AD11139">
        <v>1</v>
      </c>
      <c r="AE11139">
        <v>1</v>
      </c>
      <c r="AF11139">
        <v>1</v>
      </c>
      <c r="AG11139">
        <v>1</v>
      </c>
      <c r="AH11139">
        <v>1</v>
      </c>
      <c r="AI11139">
        <v>1</v>
      </c>
      <c r="AJ11139">
        <v>1</v>
      </c>
      <c r="AK11139">
        <v>1</v>
      </c>
      <c r="AL11139">
        <v>1</v>
      </c>
      <c r="AM11139">
        <v>1</v>
      </c>
    </row>
    <row r="11140" spans="1:39" x14ac:dyDescent="0.2">
      <c r="A11140" t="str">
        <f>"11136"</f>
        <v>11136</v>
      </c>
      <c r="B11140" t="str">
        <f t="shared" si="619"/>
        <v>1</v>
      </c>
      <c r="C11140" t="str">
        <f t="shared" si="620"/>
        <v>223</v>
      </c>
      <c r="D11140" t="str">
        <f>"8"</f>
        <v>8</v>
      </c>
      <c r="E11140" t="str">
        <f>"1-223-8"</f>
        <v>1-223-8</v>
      </c>
      <c r="F11140" t="s">
        <v>65</v>
      </c>
      <c r="G11140" t="s">
        <v>66</v>
      </c>
      <c r="H11140" t="s">
        <v>67</v>
      </c>
      <c r="S11140">
        <v>1</v>
      </c>
      <c r="T11140">
        <v>0</v>
      </c>
      <c r="U11140">
        <v>0</v>
      </c>
      <c r="V11140">
        <v>0</v>
      </c>
      <c r="W11140">
        <v>1</v>
      </c>
      <c r="X11140">
        <v>0</v>
      </c>
      <c r="Y11140">
        <v>1</v>
      </c>
      <c r="Z11140">
        <v>0</v>
      </c>
      <c r="AA11140">
        <v>0</v>
      </c>
      <c r="AB11140">
        <v>0</v>
      </c>
      <c r="AC11140">
        <v>1</v>
      </c>
      <c r="AD11140">
        <v>1</v>
      </c>
      <c r="AE11140">
        <v>1</v>
      </c>
      <c r="AF11140">
        <v>1</v>
      </c>
      <c r="AG11140">
        <v>1</v>
      </c>
      <c r="AH11140">
        <v>1</v>
      </c>
      <c r="AI11140">
        <v>1</v>
      </c>
      <c r="AJ11140">
        <v>1</v>
      </c>
      <c r="AK11140">
        <v>1</v>
      </c>
      <c r="AL11140">
        <v>1</v>
      </c>
      <c r="AM11140">
        <v>1</v>
      </c>
    </row>
    <row r="11141" spans="1:39" x14ac:dyDescent="0.2">
      <c r="A11141" t="str">
        <f>"11137"</f>
        <v>11137</v>
      </c>
      <c r="B11141" t="str">
        <f t="shared" si="619"/>
        <v>1</v>
      </c>
      <c r="C11141" t="str">
        <f t="shared" si="620"/>
        <v>223</v>
      </c>
      <c r="D11141" t="str">
        <f>"43"</f>
        <v>43</v>
      </c>
      <c r="E11141" t="str">
        <f>"1-223-43"</f>
        <v>1-223-43</v>
      </c>
      <c r="F11141" t="s">
        <v>65</v>
      </c>
      <c r="G11141" t="s">
        <v>66</v>
      </c>
      <c r="H11141" t="s">
        <v>67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1</v>
      </c>
      <c r="Y11141">
        <v>0</v>
      </c>
      <c r="Z11141">
        <v>1</v>
      </c>
      <c r="AA11141">
        <v>0</v>
      </c>
      <c r="AB11141">
        <v>0</v>
      </c>
      <c r="AC11141">
        <v>1</v>
      </c>
      <c r="AD11141">
        <v>0</v>
      </c>
      <c r="AE11141">
        <v>0</v>
      </c>
      <c r="AF11141">
        <v>0</v>
      </c>
      <c r="AG11141">
        <v>0</v>
      </c>
      <c r="AH11141">
        <v>1</v>
      </c>
      <c r="AI11141">
        <v>0</v>
      </c>
      <c r="AJ11141">
        <v>1</v>
      </c>
      <c r="AK11141">
        <v>1</v>
      </c>
      <c r="AL11141">
        <v>1</v>
      </c>
      <c r="AM11141">
        <v>1</v>
      </c>
    </row>
    <row r="11142" spans="1:39" x14ac:dyDescent="0.2">
      <c r="A11142" t="str">
        <f>"11138"</f>
        <v>11138</v>
      </c>
      <c r="B11142" t="str">
        <f t="shared" si="619"/>
        <v>1</v>
      </c>
      <c r="C11142" t="str">
        <f t="shared" si="620"/>
        <v>223</v>
      </c>
      <c r="D11142" t="str">
        <f>"28"</f>
        <v>28</v>
      </c>
      <c r="E11142" t="str">
        <f>"1-223-28"</f>
        <v>1-223-28</v>
      </c>
      <c r="F11142" t="s">
        <v>65</v>
      </c>
      <c r="G11142" t="s">
        <v>66</v>
      </c>
      <c r="H11142" t="s">
        <v>67</v>
      </c>
      <c r="S11142">
        <v>0</v>
      </c>
      <c r="T11142">
        <v>1</v>
      </c>
      <c r="U11142">
        <v>0</v>
      </c>
      <c r="V11142">
        <v>0</v>
      </c>
      <c r="W11142">
        <v>1</v>
      </c>
      <c r="X11142">
        <v>0</v>
      </c>
      <c r="Y11142">
        <v>1</v>
      </c>
      <c r="Z11142">
        <v>0</v>
      </c>
      <c r="AA11142">
        <v>0</v>
      </c>
      <c r="AB11142">
        <v>0</v>
      </c>
      <c r="AC11142">
        <v>1</v>
      </c>
      <c r="AD11142">
        <v>1</v>
      </c>
      <c r="AE11142">
        <v>1</v>
      </c>
      <c r="AF11142">
        <v>1</v>
      </c>
      <c r="AG11142">
        <v>1</v>
      </c>
      <c r="AH11142">
        <v>1</v>
      </c>
      <c r="AI11142">
        <v>1</v>
      </c>
      <c r="AJ11142">
        <v>1</v>
      </c>
      <c r="AK11142">
        <v>1</v>
      </c>
      <c r="AL11142">
        <v>1</v>
      </c>
      <c r="AM11142">
        <v>1</v>
      </c>
    </row>
    <row r="11143" spans="1:39" x14ac:dyDescent="0.2">
      <c r="A11143" t="str">
        <f>"11139"</f>
        <v>11139</v>
      </c>
      <c r="B11143" t="str">
        <f t="shared" si="619"/>
        <v>1</v>
      </c>
      <c r="C11143" t="str">
        <f t="shared" si="620"/>
        <v>223</v>
      </c>
      <c r="D11143" t="str">
        <f>"2"</f>
        <v>2</v>
      </c>
      <c r="E11143" t="str">
        <f>"1-223-2"</f>
        <v>1-223-2</v>
      </c>
      <c r="F11143" t="s">
        <v>65</v>
      </c>
      <c r="G11143" t="s">
        <v>66</v>
      </c>
      <c r="H11143" t="s">
        <v>67</v>
      </c>
      <c r="S11143">
        <v>0</v>
      </c>
      <c r="T11143">
        <v>1</v>
      </c>
      <c r="U11143">
        <v>0</v>
      </c>
      <c r="V11143">
        <v>0</v>
      </c>
      <c r="W11143">
        <v>1</v>
      </c>
      <c r="X11143">
        <v>0</v>
      </c>
      <c r="Y11143">
        <v>1</v>
      </c>
      <c r="Z11143">
        <v>0</v>
      </c>
      <c r="AA11143">
        <v>0</v>
      </c>
      <c r="AB11143">
        <v>1</v>
      </c>
      <c r="AC11143">
        <v>0</v>
      </c>
      <c r="AD11143">
        <v>1</v>
      </c>
      <c r="AE11143">
        <v>1</v>
      </c>
      <c r="AF11143">
        <v>1</v>
      </c>
      <c r="AG11143">
        <v>1</v>
      </c>
      <c r="AH11143">
        <v>1</v>
      </c>
      <c r="AI11143">
        <v>1</v>
      </c>
      <c r="AJ11143">
        <v>1</v>
      </c>
      <c r="AK11143">
        <v>1</v>
      </c>
      <c r="AL11143">
        <v>1</v>
      </c>
      <c r="AM11143">
        <v>1</v>
      </c>
    </row>
    <row r="11144" spans="1:39" x14ac:dyDescent="0.2">
      <c r="A11144" t="str">
        <f>"11140"</f>
        <v>11140</v>
      </c>
      <c r="B11144" t="str">
        <f t="shared" si="619"/>
        <v>1</v>
      </c>
      <c r="C11144" t="str">
        <f t="shared" si="620"/>
        <v>223</v>
      </c>
      <c r="D11144" t="str">
        <f>"29"</f>
        <v>29</v>
      </c>
      <c r="E11144" t="str">
        <f>"1-223-29"</f>
        <v>1-223-29</v>
      </c>
      <c r="F11144" t="s">
        <v>65</v>
      </c>
      <c r="G11144" t="s">
        <v>66</v>
      </c>
      <c r="H11144" t="s">
        <v>67</v>
      </c>
      <c r="S11144">
        <v>1</v>
      </c>
      <c r="T11144">
        <v>0</v>
      </c>
      <c r="U11144">
        <v>0</v>
      </c>
      <c r="V11144">
        <v>0</v>
      </c>
      <c r="W11144">
        <v>1</v>
      </c>
      <c r="X11144">
        <v>0</v>
      </c>
      <c r="Y11144">
        <v>1</v>
      </c>
      <c r="Z11144">
        <v>0</v>
      </c>
      <c r="AA11144">
        <v>0</v>
      </c>
      <c r="AB11144">
        <v>1</v>
      </c>
      <c r="AC11144">
        <v>0</v>
      </c>
      <c r="AD11144">
        <v>1</v>
      </c>
      <c r="AE11144">
        <v>1</v>
      </c>
      <c r="AF11144">
        <v>1</v>
      </c>
      <c r="AG11144">
        <v>1</v>
      </c>
      <c r="AH11144">
        <v>1</v>
      </c>
      <c r="AI11144">
        <v>1</v>
      </c>
      <c r="AJ11144">
        <v>1</v>
      </c>
      <c r="AK11144">
        <v>1</v>
      </c>
      <c r="AL11144">
        <v>1</v>
      </c>
      <c r="AM11144">
        <v>1</v>
      </c>
    </row>
    <row r="11145" spans="1:39" x14ac:dyDescent="0.2">
      <c r="A11145" t="str">
        <f>"11141"</f>
        <v>11141</v>
      </c>
      <c r="B11145" t="str">
        <f t="shared" si="619"/>
        <v>1</v>
      </c>
      <c r="C11145" t="str">
        <f t="shared" si="620"/>
        <v>223</v>
      </c>
      <c r="D11145" t="str">
        <f>"4"</f>
        <v>4</v>
      </c>
      <c r="E11145" t="str">
        <f>"1-223-4"</f>
        <v>1-223-4</v>
      </c>
      <c r="F11145" t="s">
        <v>65</v>
      </c>
      <c r="G11145" t="s">
        <v>66</v>
      </c>
      <c r="H11145" t="s">
        <v>67</v>
      </c>
      <c r="S11145">
        <v>0</v>
      </c>
      <c r="T11145">
        <v>1</v>
      </c>
      <c r="U11145">
        <v>0</v>
      </c>
      <c r="V11145">
        <v>0</v>
      </c>
      <c r="W11145">
        <v>1</v>
      </c>
      <c r="X11145">
        <v>0</v>
      </c>
      <c r="Y11145">
        <v>1</v>
      </c>
      <c r="Z11145">
        <v>0</v>
      </c>
      <c r="AA11145">
        <v>0</v>
      </c>
      <c r="AB11145">
        <v>1</v>
      </c>
      <c r="AC11145">
        <v>0</v>
      </c>
      <c r="AD11145">
        <v>1</v>
      </c>
      <c r="AE11145">
        <v>1</v>
      </c>
      <c r="AF11145">
        <v>1</v>
      </c>
      <c r="AG11145">
        <v>1</v>
      </c>
      <c r="AH11145">
        <v>1</v>
      </c>
      <c r="AI11145">
        <v>1</v>
      </c>
      <c r="AJ11145">
        <v>1</v>
      </c>
      <c r="AK11145">
        <v>1</v>
      </c>
      <c r="AL11145">
        <v>1</v>
      </c>
      <c r="AM11145">
        <v>1</v>
      </c>
    </row>
    <row r="11146" spans="1:39" x14ac:dyDescent="0.2">
      <c r="A11146" t="str">
        <f>"11142"</f>
        <v>11142</v>
      </c>
      <c r="B11146" t="str">
        <f t="shared" si="619"/>
        <v>1</v>
      </c>
      <c r="C11146" t="str">
        <f t="shared" si="620"/>
        <v>223</v>
      </c>
      <c r="D11146" t="str">
        <f>"30"</f>
        <v>30</v>
      </c>
      <c r="E11146" t="str">
        <f>"1-223-30"</f>
        <v>1-223-30</v>
      </c>
      <c r="F11146" t="s">
        <v>65</v>
      </c>
      <c r="G11146" t="s">
        <v>66</v>
      </c>
      <c r="H11146" t="s">
        <v>67</v>
      </c>
      <c r="S11146">
        <v>0</v>
      </c>
      <c r="T11146">
        <v>1</v>
      </c>
      <c r="U11146">
        <v>0</v>
      </c>
      <c r="V11146">
        <v>0</v>
      </c>
      <c r="W11146">
        <v>0</v>
      </c>
      <c r="X11146">
        <v>1</v>
      </c>
      <c r="Y11146">
        <v>0</v>
      </c>
      <c r="Z11146">
        <v>1</v>
      </c>
      <c r="AA11146">
        <v>0</v>
      </c>
      <c r="AB11146">
        <v>0</v>
      </c>
      <c r="AC11146">
        <v>1</v>
      </c>
      <c r="AD11146">
        <v>1</v>
      </c>
      <c r="AE11146">
        <v>1</v>
      </c>
      <c r="AF11146">
        <v>1</v>
      </c>
      <c r="AG11146">
        <v>1</v>
      </c>
      <c r="AH11146">
        <v>1</v>
      </c>
      <c r="AI11146">
        <v>1</v>
      </c>
      <c r="AJ11146">
        <v>1</v>
      </c>
      <c r="AK11146">
        <v>1</v>
      </c>
      <c r="AL11146">
        <v>1</v>
      </c>
      <c r="AM11146">
        <v>1</v>
      </c>
    </row>
    <row r="11147" spans="1:39" x14ac:dyDescent="0.2">
      <c r="A11147" t="str">
        <f>"11143"</f>
        <v>11143</v>
      </c>
      <c r="B11147" t="str">
        <f t="shared" si="619"/>
        <v>1</v>
      </c>
      <c r="C11147" t="str">
        <f t="shared" si="620"/>
        <v>223</v>
      </c>
      <c r="D11147" t="str">
        <f>"6"</f>
        <v>6</v>
      </c>
      <c r="E11147" t="str">
        <f>"1-223-6"</f>
        <v>1-223-6</v>
      </c>
      <c r="F11147" t="s">
        <v>65</v>
      </c>
      <c r="G11147" t="s">
        <v>66</v>
      </c>
      <c r="H11147" t="s">
        <v>67</v>
      </c>
      <c r="S11147">
        <v>1</v>
      </c>
      <c r="T11147">
        <v>0</v>
      </c>
      <c r="U11147">
        <v>0</v>
      </c>
      <c r="V11147">
        <v>0</v>
      </c>
      <c r="W11147">
        <v>1</v>
      </c>
      <c r="X11147">
        <v>0</v>
      </c>
      <c r="Y11147">
        <v>1</v>
      </c>
      <c r="Z11147">
        <v>0</v>
      </c>
      <c r="AA11147">
        <v>0</v>
      </c>
      <c r="AB11147">
        <v>1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1</v>
      </c>
      <c r="AM11147">
        <v>0</v>
      </c>
    </row>
    <row r="11148" spans="1:39" x14ac:dyDescent="0.2">
      <c r="A11148" t="str">
        <f>"11144"</f>
        <v>11144</v>
      </c>
      <c r="B11148" t="str">
        <f t="shared" si="619"/>
        <v>1</v>
      </c>
      <c r="C11148" t="str">
        <f t="shared" si="620"/>
        <v>223</v>
      </c>
      <c r="D11148" t="str">
        <f>"47"</f>
        <v>47</v>
      </c>
      <c r="E11148" t="str">
        <f>"1-223-47"</f>
        <v>1-223-47</v>
      </c>
      <c r="F11148" t="s">
        <v>65</v>
      </c>
      <c r="G11148" t="s">
        <v>66</v>
      </c>
      <c r="H11148" t="s">
        <v>67</v>
      </c>
      <c r="S11148">
        <v>1</v>
      </c>
      <c r="T11148">
        <v>0</v>
      </c>
      <c r="U11148">
        <v>0</v>
      </c>
      <c r="V11148">
        <v>0</v>
      </c>
      <c r="W11148">
        <v>1</v>
      </c>
      <c r="X11148">
        <v>0</v>
      </c>
      <c r="Y11148">
        <v>1</v>
      </c>
      <c r="Z11148">
        <v>0</v>
      </c>
      <c r="AA11148">
        <v>1</v>
      </c>
      <c r="AB11148">
        <v>0</v>
      </c>
      <c r="AC11148">
        <v>0</v>
      </c>
      <c r="AD11148">
        <v>1</v>
      </c>
      <c r="AE11148">
        <v>1</v>
      </c>
      <c r="AF11148">
        <v>1</v>
      </c>
      <c r="AG11148">
        <v>1</v>
      </c>
      <c r="AH11148">
        <v>1</v>
      </c>
      <c r="AI11148">
        <v>1</v>
      </c>
      <c r="AJ11148">
        <v>1</v>
      </c>
      <c r="AK11148">
        <v>1</v>
      </c>
      <c r="AL11148">
        <v>1</v>
      </c>
      <c r="AM11148">
        <v>1</v>
      </c>
    </row>
    <row r="11149" spans="1:39" x14ac:dyDescent="0.2">
      <c r="A11149" t="str">
        <f>"11145"</f>
        <v>11145</v>
      </c>
      <c r="B11149" t="str">
        <f t="shared" si="619"/>
        <v>1</v>
      </c>
      <c r="C11149" t="str">
        <f t="shared" si="620"/>
        <v>223</v>
      </c>
      <c r="D11149" t="str">
        <f>"31"</f>
        <v>31</v>
      </c>
      <c r="E11149" t="str">
        <f>"1-223-31"</f>
        <v>1-223-31</v>
      </c>
      <c r="F11149" t="s">
        <v>65</v>
      </c>
      <c r="G11149" t="s">
        <v>66</v>
      </c>
      <c r="H11149" t="s">
        <v>67</v>
      </c>
      <c r="S11149">
        <v>1</v>
      </c>
      <c r="T11149">
        <v>0</v>
      </c>
      <c r="U11149">
        <v>0</v>
      </c>
      <c r="V11149">
        <v>0</v>
      </c>
      <c r="W11149">
        <v>0</v>
      </c>
      <c r="X11149">
        <v>1</v>
      </c>
      <c r="Y11149">
        <v>1</v>
      </c>
      <c r="Z11149">
        <v>0</v>
      </c>
      <c r="AA11149">
        <v>0</v>
      </c>
      <c r="AB11149">
        <v>1</v>
      </c>
      <c r="AC11149">
        <v>0</v>
      </c>
      <c r="AD11149">
        <v>1</v>
      </c>
      <c r="AE11149">
        <v>1</v>
      </c>
      <c r="AF11149">
        <v>1</v>
      </c>
      <c r="AG11149">
        <v>1</v>
      </c>
      <c r="AH11149">
        <v>1</v>
      </c>
      <c r="AI11149">
        <v>0</v>
      </c>
      <c r="AJ11149">
        <v>1</v>
      </c>
      <c r="AK11149">
        <v>1</v>
      </c>
      <c r="AL11149">
        <v>1</v>
      </c>
      <c r="AM11149">
        <v>1</v>
      </c>
    </row>
    <row r="11150" spans="1:39" x14ac:dyDescent="0.2">
      <c r="A11150" t="str">
        <f>"11146"</f>
        <v>11146</v>
      </c>
      <c r="B11150" t="str">
        <f t="shared" si="619"/>
        <v>1</v>
      </c>
      <c r="C11150" t="str">
        <f t="shared" si="620"/>
        <v>223</v>
      </c>
      <c r="D11150" t="str">
        <f>"10"</f>
        <v>10</v>
      </c>
      <c r="E11150" t="str">
        <f>"1-223-10"</f>
        <v>1-223-10</v>
      </c>
      <c r="F11150" t="s">
        <v>65</v>
      </c>
      <c r="G11150" t="s">
        <v>66</v>
      </c>
      <c r="H11150" t="s">
        <v>67</v>
      </c>
      <c r="S11150">
        <v>1</v>
      </c>
      <c r="T11150">
        <v>0</v>
      </c>
      <c r="U11150">
        <v>0</v>
      </c>
      <c r="V11150">
        <v>0</v>
      </c>
      <c r="W11150">
        <v>1</v>
      </c>
      <c r="X11150">
        <v>0</v>
      </c>
      <c r="Y11150">
        <v>1</v>
      </c>
      <c r="Z11150">
        <v>0</v>
      </c>
      <c r="AA11150">
        <v>1</v>
      </c>
      <c r="AB11150">
        <v>0</v>
      </c>
      <c r="AC11150">
        <v>0</v>
      </c>
      <c r="AD11150">
        <v>1</v>
      </c>
      <c r="AE11150">
        <v>1</v>
      </c>
      <c r="AF11150">
        <v>1</v>
      </c>
      <c r="AG11150">
        <v>1</v>
      </c>
      <c r="AH11150">
        <v>1</v>
      </c>
      <c r="AI11150">
        <v>1</v>
      </c>
      <c r="AJ11150">
        <v>1</v>
      </c>
      <c r="AK11150">
        <v>1</v>
      </c>
      <c r="AL11150">
        <v>1</v>
      </c>
      <c r="AM11150">
        <v>1</v>
      </c>
    </row>
    <row r="11151" spans="1:39" x14ac:dyDescent="0.2">
      <c r="A11151" t="str">
        <f>"11147"</f>
        <v>11147</v>
      </c>
      <c r="B11151" t="str">
        <f t="shared" si="619"/>
        <v>1</v>
      </c>
      <c r="C11151" t="str">
        <f t="shared" si="620"/>
        <v>223</v>
      </c>
      <c r="D11151" t="str">
        <f>"44"</f>
        <v>44</v>
      </c>
      <c r="E11151" t="str">
        <f>"1-223-44"</f>
        <v>1-223-44</v>
      </c>
      <c r="F11151" t="s">
        <v>65</v>
      </c>
      <c r="G11151" t="s">
        <v>66</v>
      </c>
      <c r="H11151" t="s">
        <v>67</v>
      </c>
      <c r="S11151">
        <v>0</v>
      </c>
      <c r="T11151">
        <v>1</v>
      </c>
      <c r="U11151">
        <v>0</v>
      </c>
      <c r="V11151">
        <v>0</v>
      </c>
      <c r="W11151">
        <v>0</v>
      </c>
      <c r="X11151">
        <v>1</v>
      </c>
      <c r="Y11151">
        <v>1</v>
      </c>
      <c r="Z11151">
        <v>0</v>
      </c>
      <c r="AA11151">
        <v>0</v>
      </c>
      <c r="AB11151">
        <v>1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</row>
    <row r="11152" spans="1:39" x14ac:dyDescent="0.2">
      <c r="A11152" t="str">
        <f>"11148"</f>
        <v>11148</v>
      </c>
      <c r="B11152" t="str">
        <f t="shared" si="619"/>
        <v>1</v>
      </c>
      <c r="C11152" t="str">
        <f t="shared" si="620"/>
        <v>223</v>
      </c>
      <c r="D11152" t="str">
        <f>"32"</f>
        <v>32</v>
      </c>
      <c r="E11152" t="str">
        <f>"1-223-32"</f>
        <v>1-223-32</v>
      </c>
      <c r="F11152" t="s">
        <v>65</v>
      </c>
      <c r="G11152" t="s">
        <v>66</v>
      </c>
      <c r="H11152" t="s">
        <v>67</v>
      </c>
      <c r="S11152">
        <v>0</v>
      </c>
      <c r="T11152">
        <v>1</v>
      </c>
      <c r="U11152">
        <v>0</v>
      </c>
      <c r="V11152">
        <v>0</v>
      </c>
      <c r="W11152">
        <v>1</v>
      </c>
      <c r="X11152">
        <v>0</v>
      </c>
      <c r="Y11152">
        <v>1</v>
      </c>
      <c r="Z11152">
        <v>0</v>
      </c>
      <c r="AA11152">
        <v>1</v>
      </c>
      <c r="AB11152">
        <v>0</v>
      </c>
      <c r="AC11152">
        <v>0</v>
      </c>
      <c r="AD11152">
        <v>1</v>
      </c>
      <c r="AE11152">
        <v>1</v>
      </c>
      <c r="AF11152">
        <v>1</v>
      </c>
      <c r="AG11152">
        <v>1</v>
      </c>
      <c r="AH11152">
        <v>1</v>
      </c>
      <c r="AI11152">
        <v>1</v>
      </c>
      <c r="AJ11152">
        <v>1</v>
      </c>
      <c r="AK11152">
        <v>1</v>
      </c>
      <c r="AL11152">
        <v>1</v>
      </c>
      <c r="AM11152">
        <v>1</v>
      </c>
    </row>
    <row r="11153" spans="1:39" x14ac:dyDescent="0.2">
      <c r="A11153" t="str">
        <f>"11149"</f>
        <v>11149</v>
      </c>
      <c r="B11153" t="str">
        <f t="shared" si="619"/>
        <v>1</v>
      </c>
      <c r="C11153" t="str">
        <f t="shared" si="620"/>
        <v>223</v>
      </c>
      <c r="D11153" t="str">
        <f>"13"</f>
        <v>13</v>
      </c>
      <c r="E11153" t="str">
        <f>"1-223-13"</f>
        <v>1-223-13</v>
      </c>
      <c r="F11153" t="s">
        <v>65</v>
      </c>
      <c r="G11153" t="s">
        <v>66</v>
      </c>
      <c r="H11153" t="s">
        <v>67</v>
      </c>
      <c r="S11153">
        <v>0</v>
      </c>
      <c r="T11153">
        <v>1</v>
      </c>
      <c r="U11153">
        <v>0</v>
      </c>
      <c r="V11153">
        <v>0</v>
      </c>
      <c r="W11153">
        <v>1</v>
      </c>
      <c r="X11153">
        <v>0</v>
      </c>
      <c r="Y11153">
        <v>1</v>
      </c>
      <c r="Z11153">
        <v>0</v>
      </c>
      <c r="AA11153">
        <v>0</v>
      </c>
      <c r="AB11153">
        <v>1</v>
      </c>
      <c r="AC11153">
        <v>0</v>
      </c>
      <c r="AD11153">
        <v>1</v>
      </c>
      <c r="AE11153">
        <v>1</v>
      </c>
      <c r="AF11153">
        <v>1</v>
      </c>
      <c r="AG11153">
        <v>1</v>
      </c>
      <c r="AH11153">
        <v>1</v>
      </c>
      <c r="AI11153">
        <v>1</v>
      </c>
      <c r="AJ11153">
        <v>1</v>
      </c>
      <c r="AK11153">
        <v>1</v>
      </c>
      <c r="AL11153">
        <v>1</v>
      </c>
      <c r="AM11153">
        <v>1</v>
      </c>
    </row>
    <row r="11154" spans="1:39" x14ac:dyDescent="0.2">
      <c r="A11154" t="str">
        <f>"11150"</f>
        <v>11150</v>
      </c>
      <c r="B11154" t="str">
        <f t="shared" si="619"/>
        <v>1</v>
      </c>
      <c r="C11154" t="str">
        <f t="shared" si="620"/>
        <v>223</v>
      </c>
      <c r="D11154" t="str">
        <f>"50"</f>
        <v>50</v>
      </c>
      <c r="E11154" t="str">
        <f>"1-223-50"</f>
        <v>1-223-50</v>
      </c>
      <c r="F11154" t="s">
        <v>65</v>
      </c>
      <c r="G11154" t="s">
        <v>66</v>
      </c>
      <c r="H11154" t="s">
        <v>67</v>
      </c>
      <c r="S11154">
        <v>1</v>
      </c>
      <c r="T11154">
        <v>0</v>
      </c>
      <c r="U11154">
        <v>0</v>
      </c>
      <c r="V11154">
        <v>0</v>
      </c>
      <c r="W11154">
        <v>1</v>
      </c>
      <c r="X11154">
        <v>0</v>
      </c>
      <c r="Y11154">
        <v>1</v>
      </c>
      <c r="Z11154">
        <v>0</v>
      </c>
      <c r="AA11154">
        <v>0</v>
      </c>
      <c r="AB11154">
        <v>0</v>
      </c>
      <c r="AC11154">
        <v>1</v>
      </c>
      <c r="AD11154">
        <v>1</v>
      </c>
      <c r="AE11154">
        <v>1</v>
      </c>
      <c r="AF11154">
        <v>1</v>
      </c>
      <c r="AG11154">
        <v>1</v>
      </c>
      <c r="AH11154">
        <v>1</v>
      </c>
      <c r="AI11154">
        <v>1</v>
      </c>
      <c r="AJ11154">
        <v>1</v>
      </c>
      <c r="AK11154">
        <v>1</v>
      </c>
      <c r="AL11154">
        <v>1</v>
      </c>
      <c r="AM11154">
        <v>1</v>
      </c>
    </row>
    <row r="11155" spans="1:39" x14ac:dyDescent="0.2">
      <c r="A11155" t="str">
        <f>"11151"</f>
        <v>11151</v>
      </c>
      <c r="B11155" t="str">
        <f t="shared" si="619"/>
        <v>1</v>
      </c>
      <c r="C11155" t="str">
        <f t="shared" ref="C11155:C11186" si="621">"224"</f>
        <v>224</v>
      </c>
      <c r="D11155" t="str">
        <f>"50"</f>
        <v>50</v>
      </c>
      <c r="E11155" t="str">
        <f>"1-224-50"</f>
        <v>1-224-50</v>
      </c>
      <c r="F11155" t="s">
        <v>65</v>
      </c>
      <c r="G11155" t="s">
        <v>66</v>
      </c>
      <c r="H11155" t="s">
        <v>67</v>
      </c>
      <c r="S11155">
        <v>1</v>
      </c>
      <c r="T11155">
        <v>0</v>
      </c>
      <c r="U11155">
        <v>0</v>
      </c>
      <c r="V11155">
        <v>0</v>
      </c>
      <c r="W11155">
        <v>0</v>
      </c>
      <c r="X11155">
        <v>1</v>
      </c>
      <c r="Y11155">
        <v>1</v>
      </c>
      <c r="Z11155">
        <v>0</v>
      </c>
      <c r="AA11155">
        <v>0</v>
      </c>
      <c r="AB11155">
        <v>0</v>
      </c>
      <c r="AC11155">
        <v>1</v>
      </c>
      <c r="AD11155">
        <v>1</v>
      </c>
      <c r="AE11155">
        <v>1</v>
      </c>
      <c r="AF11155">
        <v>1</v>
      </c>
      <c r="AG11155">
        <v>1</v>
      </c>
      <c r="AH11155">
        <v>1</v>
      </c>
      <c r="AI11155">
        <v>1</v>
      </c>
      <c r="AJ11155">
        <v>1</v>
      </c>
      <c r="AK11155">
        <v>1</v>
      </c>
      <c r="AL11155">
        <v>1</v>
      </c>
      <c r="AM11155">
        <v>1</v>
      </c>
    </row>
    <row r="11156" spans="1:39" x14ac:dyDescent="0.2">
      <c r="A11156" t="str">
        <f>"11152"</f>
        <v>11152</v>
      </c>
      <c r="B11156" t="str">
        <f t="shared" si="619"/>
        <v>1</v>
      </c>
      <c r="C11156" t="str">
        <f t="shared" si="621"/>
        <v>224</v>
      </c>
      <c r="D11156" t="str">
        <f>"34"</f>
        <v>34</v>
      </c>
      <c r="E11156" t="str">
        <f>"1-224-34"</f>
        <v>1-224-34</v>
      </c>
      <c r="F11156" t="s">
        <v>65</v>
      </c>
      <c r="G11156" t="s">
        <v>66</v>
      </c>
      <c r="H11156" t="s">
        <v>67</v>
      </c>
      <c r="S11156">
        <v>1</v>
      </c>
      <c r="T11156">
        <v>0</v>
      </c>
      <c r="U11156">
        <v>0</v>
      </c>
      <c r="V11156">
        <v>0</v>
      </c>
      <c r="W11156">
        <v>1</v>
      </c>
      <c r="X11156">
        <v>0</v>
      </c>
      <c r="Y11156">
        <v>1</v>
      </c>
      <c r="Z11156">
        <v>0</v>
      </c>
      <c r="AA11156">
        <v>1</v>
      </c>
      <c r="AB11156">
        <v>0</v>
      </c>
      <c r="AC11156">
        <v>0</v>
      </c>
      <c r="AD11156">
        <v>1</v>
      </c>
      <c r="AE11156">
        <v>1</v>
      </c>
      <c r="AF11156">
        <v>1</v>
      </c>
      <c r="AG11156">
        <v>1</v>
      </c>
      <c r="AH11156">
        <v>1</v>
      </c>
      <c r="AI11156">
        <v>1</v>
      </c>
      <c r="AJ11156">
        <v>1</v>
      </c>
      <c r="AK11156">
        <v>1</v>
      </c>
      <c r="AL11156">
        <v>1</v>
      </c>
      <c r="AM11156">
        <v>1</v>
      </c>
    </row>
    <row r="11157" spans="1:39" x14ac:dyDescent="0.2">
      <c r="A11157" t="str">
        <f>"11153"</f>
        <v>11153</v>
      </c>
      <c r="B11157" t="str">
        <f t="shared" si="619"/>
        <v>1</v>
      </c>
      <c r="C11157" t="str">
        <f t="shared" si="621"/>
        <v>224</v>
      </c>
      <c r="D11157" t="str">
        <f>"33"</f>
        <v>33</v>
      </c>
      <c r="E11157" t="str">
        <f>"1-224-33"</f>
        <v>1-224-33</v>
      </c>
      <c r="F11157" t="s">
        <v>65</v>
      </c>
      <c r="G11157" t="s">
        <v>66</v>
      </c>
      <c r="H11157" t="s">
        <v>67</v>
      </c>
      <c r="S11157">
        <v>0</v>
      </c>
      <c r="T11157">
        <v>1</v>
      </c>
      <c r="U11157">
        <v>0</v>
      </c>
      <c r="V11157">
        <v>0</v>
      </c>
      <c r="W11157">
        <v>1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</row>
    <row r="11158" spans="1:39" x14ac:dyDescent="0.2">
      <c r="A11158" t="str">
        <f>"11154"</f>
        <v>11154</v>
      </c>
      <c r="B11158" t="str">
        <f t="shared" si="619"/>
        <v>1</v>
      </c>
      <c r="C11158" t="str">
        <f t="shared" si="621"/>
        <v>224</v>
      </c>
      <c r="D11158" t="str">
        <f>"21"</f>
        <v>21</v>
      </c>
      <c r="E11158" t="str">
        <f>"1-224-21"</f>
        <v>1-224-21</v>
      </c>
      <c r="F11158" t="s">
        <v>65</v>
      </c>
      <c r="G11158" t="s">
        <v>66</v>
      </c>
      <c r="H11158" t="s">
        <v>67</v>
      </c>
      <c r="S11158">
        <v>1</v>
      </c>
      <c r="T11158">
        <v>0</v>
      </c>
      <c r="U11158">
        <v>0</v>
      </c>
      <c r="V11158">
        <v>0</v>
      </c>
      <c r="W11158">
        <v>1</v>
      </c>
      <c r="X11158">
        <v>0</v>
      </c>
      <c r="Y11158">
        <v>0</v>
      </c>
      <c r="Z11158">
        <v>1</v>
      </c>
      <c r="AA11158">
        <v>0</v>
      </c>
      <c r="AB11158">
        <v>0</v>
      </c>
      <c r="AC11158">
        <v>1</v>
      </c>
      <c r="AD11158">
        <v>1</v>
      </c>
      <c r="AE11158">
        <v>1</v>
      </c>
      <c r="AF11158">
        <v>1</v>
      </c>
      <c r="AG11158">
        <v>1</v>
      </c>
      <c r="AH11158">
        <v>1</v>
      </c>
      <c r="AI11158">
        <v>1</v>
      </c>
      <c r="AJ11158">
        <v>1</v>
      </c>
      <c r="AK11158">
        <v>1</v>
      </c>
      <c r="AL11158">
        <v>1</v>
      </c>
      <c r="AM11158">
        <v>1</v>
      </c>
    </row>
    <row r="11159" spans="1:39" x14ac:dyDescent="0.2">
      <c r="A11159" t="str">
        <f>"11155"</f>
        <v>11155</v>
      </c>
      <c r="B11159" t="str">
        <f t="shared" si="619"/>
        <v>1</v>
      </c>
      <c r="C11159" t="str">
        <f t="shared" si="621"/>
        <v>224</v>
      </c>
      <c r="D11159" t="str">
        <f>"15"</f>
        <v>15</v>
      </c>
      <c r="E11159" t="str">
        <f>"1-224-15"</f>
        <v>1-224-15</v>
      </c>
      <c r="F11159" t="s">
        <v>65</v>
      </c>
      <c r="G11159" t="s">
        <v>66</v>
      </c>
      <c r="H11159" t="s">
        <v>67</v>
      </c>
      <c r="S11159">
        <v>1</v>
      </c>
      <c r="T11159">
        <v>0</v>
      </c>
      <c r="U11159">
        <v>0</v>
      </c>
      <c r="V11159">
        <v>0</v>
      </c>
      <c r="W11159">
        <v>1</v>
      </c>
      <c r="X11159">
        <v>0</v>
      </c>
      <c r="Y11159">
        <v>1</v>
      </c>
      <c r="Z11159">
        <v>0</v>
      </c>
      <c r="AA11159">
        <v>1</v>
      </c>
      <c r="AB11159">
        <v>0</v>
      </c>
      <c r="AC11159">
        <v>0</v>
      </c>
      <c r="AD11159">
        <v>1</v>
      </c>
      <c r="AE11159">
        <v>1</v>
      </c>
      <c r="AF11159">
        <v>1</v>
      </c>
      <c r="AG11159">
        <v>1</v>
      </c>
      <c r="AH11159">
        <v>1</v>
      </c>
      <c r="AI11159">
        <v>1</v>
      </c>
      <c r="AJ11159">
        <v>1</v>
      </c>
      <c r="AK11159">
        <v>1</v>
      </c>
      <c r="AL11159">
        <v>1</v>
      </c>
      <c r="AM11159">
        <v>1</v>
      </c>
    </row>
    <row r="11160" spans="1:39" x14ac:dyDescent="0.2">
      <c r="A11160" t="str">
        <f>"11156"</f>
        <v>11156</v>
      </c>
      <c r="B11160" t="str">
        <f t="shared" si="619"/>
        <v>1</v>
      </c>
      <c r="C11160" t="str">
        <f t="shared" si="621"/>
        <v>224</v>
      </c>
      <c r="D11160" t="str">
        <f>"1"</f>
        <v>1</v>
      </c>
      <c r="E11160" t="str">
        <f>"1-224-1"</f>
        <v>1-224-1</v>
      </c>
      <c r="F11160" t="s">
        <v>65</v>
      </c>
      <c r="G11160" t="s">
        <v>66</v>
      </c>
      <c r="H11160" t="s">
        <v>68</v>
      </c>
      <c r="I11160">
        <v>1</v>
      </c>
      <c r="J11160">
        <v>0</v>
      </c>
      <c r="K11160">
        <v>0</v>
      </c>
      <c r="L11160">
        <v>1</v>
      </c>
      <c r="M11160">
        <v>1</v>
      </c>
      <c r="N11160">
        <v>1</v>
      </c>
      <c r="O11160">
        <v>1</v>
      </c>
      <c r="P11160">
        <v>1</v>
      </c>
      <c r="Q11160">
        <v>1</v>
      </c>
      <c r="R11160">
        <v>1</v>
      </c>
    </row>
    <row r="11161" spans="1:39" x14ac:dyDescent="0.2">
      <c r="A11161" t="str">
        <f>"11157"</f>
        <v>11157</v>
      </c>
      <c r="B11161" t="str">
        <f t="shared" si="619"/>
        <v>1</v>
      </c>
      <c r="C11161" t="str">
        <f t="shared" si="621"/>
        <v>224</v>
      </c>
      <c r="D11161" t="str">
        <f>"39"</f>
        <v>39</v>
      </c>
      <c r="E11161" t="str">
        <f>"1-224-39"</f>
        <v>1-224-39</v>
      </c>
      <c r="F11161" t="s">
        <v>65</v>
      </c>
      <c r="G11161" t="s">
        <v>66</v>
      </c>
      <c r="H11161" t="s">
        <v>67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1</v>
      </c>
      <c r="Y11161">
        <v>1</v>
      </c>
      <c r="Z11161">
        <v>0</v>
      </c>
      <c r="AA11161">
        <v>0</v>
      </c>
      <c r="AB11161">
        <v>0</v>
      </c>
      <c r="AC11161">
        <v>1</v>
      </c>
      <c r="AD11161">
        <v>1</v>
      </c>
      <c r="AE11161">
        <v>1</v>
      </c>
      <c r="AF11161">
        <v>1</v>
      </c>
      <c r="AG11161">
        <v>1</v>
      </c>
      <c r="AH11161">
        <v>1</v>
      </c>
      <c r="AI11161">
        <v>1</v>
      </c>
      <c r="AJ11161">
        <v>1</v>
      </c>
      <c r="AK11161">
        <v>1</v>
      </c>
      <c r="AL11161">
        <v>1</v>
      </c>
      <c r="AM11161">
        <v>1</v>
      </c>
    </row>
    <row r="11162" spans="1:39" x14ac:dyDescent="0.2">
      <c r="A11162" t="str">
        <f>"11158"</f>
        <v>11158</v>
      </c>
      <c r="B11162" t="str">
        <f t="shared" si="619"/>
        <v>1</v>
      </c>
      <c r="C11162" t="str">
        <f t="shared" si="621"/>
        <v>224</v>
      </c>
      <c r="D11162" t="str">
        <f>"38"</f>
        <v>38</v>
      </c>
      <c r="E11162" t="str">
        <f>"1-224-38"</f>
        <v>1-224-38</v>
      </c>
      <c r="F11162" t="s">
        <v>65</v>
      </c>
      <c r="G11162" t="s">
        <v>66</v>
      </c>
      <c r="H11162" t="s">
        <v>67</v>
      </c>
      <c r="S11162">
        <v>0</v>
      </c>
      <c r="T11162">
        <v>1</v>
      </c>
      <c r="U11162">
        <v>0</v>
      </c>
      <c r="V11162">
        <v>0</v>
      </c>
      <c r="W11162">
        <v>1</v>
      </c>
      <c r="X11162">
        <v>0</v>
      </c>
      <c r="Y11162">
        <v>0</v>
      </c>
      <c r="Z11162">
        <v>1</v>
      </c>
      <c r="AA11162">
        <v>1</v>
      </c>
      <c r="AB11162">
        <v>0</v>
      </c>
      <c r="AC11162">
        <v>0</v>
      </c>
      <c r="AD11162">
        <v>1</v>
      </c>
      <c r="AE11162">
        <v>1</v>
      </c>
      <c r="AF11162">
        <v>1</v>
      </c>
      <c r="AG11162">
        <v>1</v>
      </c>
      <c r="AH11162">
        <v>1</v>
      </c>
      <c r="AI11162">
        <v>1</v>
      </c>
      <c r="AJ11162">
        <v>1</v>
      </c>
      <c r="AK11162">
        <v>1</v>
      </c>
      <c r="AL11162">
        <v>1</v>
      </c>
      <c r="AM11162">
        <v>1</v>
      </c>
    </row>
    <row r="11163" spans="1:39" x14ac:dyDescent="0.2">
      <c r="A11163" t="str">
        <f>"11159"</f>
        <v>11159</v>
      </c>
      <c r="B11163" t="str">
        <f t="shared" si="619"/>
        <v>1</v>
      </c>
      <c r="C11163" t="str">
        <f t="shared" si="621"/>
        <v>224</v>
      </c>
      <c r="D11163" t="str">
        <f>"25"</f>
        <v>25</v>
      </c>
      <c r="E11163" t="str">
        <f>"1-224-25"</f>
        <v>1-224-25</v>
      </c>
      <c r="F11163" t="s">
        <v>65</v>
      </c>
      <c r="G11163" t="s">
        <v>66</v>
      </c>
      <c r="H11163" t="s">
        <v>67</v>
      </c>
      <c r="S11163">
        <v>1</v>
      </c>
      <c r="T11163">
        <v>0</v>
      </c>
      <c r="U11163">
        <v>0</v>
      </c>
      <c r="V11163">
        <v>0</v>
      </c>
      <c r="W11163">
        <v>1</v>
      </c>
      <c r="X11163">
        <v>0</v>
      </c>
      <c r="Y11163">
        <v>1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1</v>
      </c>
      <c r="AF11163">
        <v>1</v>
      </c>
      <c r="AG11163">
        <v>1</v>
      </c>
      <c r="AH11163">
        <v>1</v>
      </c>
      <c r="AI11163">
        <v>1</v>
      </c>
      <c r="AJ11163">
        <v>1</v>
      </c>
      <c r="AK11163">
        <v>1</v>
      </c>
      <c r="AL11163">
        <v>1</v>
      </c>
      <c r="AM11163">
        <v>1</v>
      </c>
    </row>
    <row r="11164" spans="1:39" x14ac:dyDescent="0.2">
      <c r="A11164" t="str">
        <f>"11160"</f>
        <v>11160</v>
      </c>
      <c r="B11164" t="str">
        <f t="shared" si="619"/>
        <v>1</v>
      </c>
      <c r="C11164" t="str">
        <f t="shared" si="621"/>
        <v>224</v>
      </c>
      <c r="D11164" t="str">
        <f>"16"</f>
        <v>16</v>
      </c>
      <c r="E11164" t="str">
        <f>"1-224-16"</f>
        <v>1-224-16</v>
      </c>
      <c r="F11164" t="s">
        <v>65</v>
      </c>
      <c r="G11164" t="s">
        <v>66</v>
      </c>
      <c r="H11164" t="s">
        <v>67</v>
      </c>
      <c r="S11164">
        <v>1</v>
      </c>
      <c r="T11164">
        <v>0</v>
      </c>
      <c r="U11164">
        <v>0</v>
      </c>
      <c r="V11164">
        <v>0</v>
      </c>
      <c r="W11164">
        <v>1</v>
      </c>
      <c r="X11164">
        <v>0</v>
      </c>
      <c r="Y11164">
        <v>0</v>
      </c>
      <c r="Z11164">
        <v>1</v>
      </c>
      <c r="AA11164">
        <v>0</v>
      </c>
      <c r="AB11164">
        <v>0</v>
      </c>
      <c r="AC11164">
        <v>1</v>
      </c>
      <c r="AD11164">
        <v>1</v>
      </c>
      <c r="AE11164">
        <v>1</v>
      </c>
      <c r="AF11164">
        <v>1</v>
      </c>
      <c r="AG11164">
        <v>1</v>
      </c>
      <c r="AH11164">
        <v>1</v>
      </c>
      <c r="AI11164">
        <v>1</v>
      </c>
      <c r="AJ11164">
        <v>1</v>
      </c>
      <c r="AK11164">
        <v>1</v>
      </c>
      <c r="AL11164">
        <v>1</v>
      </c>
      <c r="AM11164">
        <v>1</v>
      </c>
    </row>
    <row r="11165" spans="1:39" x14ac:dyDescent="0.2">
      <c r="A11165" t="str">
        <f>"11161"</f>
        <v>11161</v>
      </c>
      <c r="B11165" t="str">
        <f t="shared" si="619"/>
        <v>1</v>
      </c>
      <c r="C11165" t="str">
        <f t="shared" si="621"/>
        <v>224</v>
      </c>
      <c r="D11165" t="str">
        <f>"3"</f>
        <v>3</v>
      </c>
      <c r="E11165" t="str">
        <f>"1-224-3"</f>
        <v>1-224-3</v>
      </c>
      <c r="F11165" t="s">
        <v>65</v>
      </c>
      <c r="G11165" t="s">
        <v>66</v>
      </c>
      <c r="H11165" t="s">
        <v>67</v>
      </c>
      <c r="S11165">
        <v>1</v>
      </c>
      <c r="T11165">
        <v>0</v>
      </c>
      <c r="U11165">
        <v>0</v>
      </c>
      <c r="V11165">
        <v>0</v>
      </c>
      <c r="W11165">
        <v>0</v>
      </c>
      <c r="X11165">
        <v>1</v>
      </c>
      <c r="Y11165">
        <v>0</v>
      </c>
      <c r="Z11165">
        <v>1</v>
      </c>
      <c r="AA11165">
        <v>1</v>
      </c>
      <c r="AB11165">
        <v>0</v>
      </c>
      <c r="AC11165">
        <v>0</v>
      </c>
      <c r="AD11165">
        <v>1</v>
      </c>
      <c r="AE11165">
        <v>1</v>
      </c>
      <c r="AF11165">
        <v>1</v>
      </c>
      <c r="AG11165">
        <v>1</v>
      </c>
      <c r="AH11165">
        <v>1</v>
      </c>
      <c r="AI11165">
        <v>1</v>
      </c>
      <c r="AJ11165">
        <v>1</v>
      </c>
      <c r="AK11165">
        <v>1</v>
      </c>
      <c r="AL11165">
        <v>1</v>
      </c>
      <c r="AM11165">
        <v>1</v>
      </c>
    </row>
    <row r="11166" spans="1:39" x14ac:dyDescent="0.2">
      <c r="A11166" t="str">
        <f>"11162"</f>
        <v>11162</v>
      </c>
      <c r="B11166" t="str">
        <f t="shared" si="619"/>
        <v>1</v>
      </c>
      <c r="C11166" t="str">
        <f t="shared" si="621"/>
        <v>224</v>
      </c>
      <c r="D11166" t="str">
        <f>"36"</f>
        <v>36</v>
      </c>
      <c r="E11166" t="str">
        <f>"1-224-36"</f>
        <v>1-224-36</v>
      </c>
      <c r="F11166" t="s">
        <v>65</v>
      </c>
      <c r="G11166" t="s">
        <v>66</v>
      </c>
      <c r="H11166" t="s">
        <v>67</v>
      </c>
      <c r="S11166">
        <v>0</v>
      </c>
      <c r="T11166">
        <v>1</v>
      </c>
      <c r="U11166">
        <v>0</v>
      </c>
      <c r="V11166">
        <v>0</v>
      </c>
      <c r="W11166">
        <v>1</v>
      </c>
      <c r="X11166">
        <v>0</v>
      </c>
      <c r="Y11166">
        <v>1</v>
      </c>
      <c r="Z11166">
        <v>0</v>
      </c>
      <c r="AA11166">
        <v>1</v>
      </c>
      <c r="AB11166">
        <v>0</v>
      </c>
      <c r="AC11166">
        <v>0</v>
      </c>
      <c r="AD11166">
        <v>0</v>
      </c>
      <c r="AE11166">
        <v>1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</row>
    <row r="11167" spans="1:39" x14ac:dyDescent="0.2">
      <c r="A11167" t="str">
        <f>"11163"</f>
        <v>11163</v>
      </c>
      <c r="B11167" t="str">
        <f t="shared" si="619"/>
        <v>1</v>
      </c>
      <c r="C11167" t="str">
        <f t="shared" si="621"/>
        <v>224</v>
      </c>
      <c r="D11167" t="str">
        <f>"35"</f>
        <v>35</v>
      </c>
      <c r="E11167" t="str">
        <f>"1-224-35"</f>
        <v>1-224-35</v>
      </c>
      <c r="F11167" t="s">
        <v>65</v>
      </c>
      <c r="G11167" t="s">
        <v>66</v>
      </c>
      <c r="H11167" t="s">
        <v>67</v>
      </c>
      <c r="S11167">
        <v>1</v>
      </c>
      <c r="T11167">
        <v>0</v>
      </c>
      <c r="U11167">
        <v>0</v>
      </c>
      <c r="V11167">
        <v>0</v>
      </c>
      <c r="W11167">
        <v>1</v>
      </c>
      <c r="X11167">
        <v>0</v>
      </c>
      <c r="Y11167">
        <v>1</v>
      </c>
      <c r="Z11167">
        <v>0</v>
      </c>
      <c r="AA11167">
        <v>0</v>
      </c>
      <c r="AB11167">
        <v>1</v>
      </c>
      <c r="AC11167">
        <v>0</v>
      </c>
      <c r="AD11167">
        <v>1</v>
      </c>
      <c r="AE11167">
        <v>1</v>
      </c>
      <c r="AF11167">
        <v>1</v>
      </c>
      <c r="AG11167">
        <v>1</v>
      </c>
      <c r="AH11167">
        <v>1</v>
      </c>
      <c r="AI11167">
        <v>1</v>
      </c>
      <c r="AJ11167">
        <v>1</v>
      </c>
      <c r="AK11167">
        <v>1</v>
      </c>
      <c r="AL11167">
        <v>1</v>
      </c>
      <c r="AM11167">
        <v>1</v>
      </c>
    </row>
    <row r="11168" spans="1:39" x14ac:dyDescent="0.2">
      <c r="A11168" t="str">
        <f>"11164"</f>
        <v>11164</v>
      </c>
      <c r="B11168" t="str">
        <f t="shared" si="619"/>
        <v>1</v>
      </c>
      <c r="C11168" t="str">
        <f t="shared" si="621"/>
        <v>224</v>
      </c>
      <c r="D11168" t="str">
        <f>"23"</f>
        <v>23</v>
      </c>
      <c r="E11168" t="str">
        <f>"1-224-23"</f>
        <v>1-224-23</v>
      </c>
      <c r="F11168" t="s">
        <v>65</v>
      </c>
      <c r="G11168" t="s">
        <v>66</v>
      </c>
      <c r="H11168" t="s">
        <v>67</v>
      </c>
      <c r="S11168">
        <v>0</v>
      </c>
      <c r="T11168">
        <v>1</v>
      </c>
      <c r="U11168">
        <v>0</v>
      </c>
      <c r="V11168">
        <v>0</v>
      </c>
      <c r="W11168">
        <v>0</v>
      </c>
      <c r="X11168">
        <v>1</v>
      </c>
      <c r="Y11168">
        <v>0</v>
      </c>
      <c r="Z11168">
        <v>1</v>
      </c>
      <c r="AA11168">
        <v>1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1</v>
      </c>
      <c r="AH11168">
        <v>0</v>
      </c>
      <c r="AI11168">
        <v>1</v>
      </c>
      <c r="AJ11168">
        <v>1</v>
      </c>
      <c r="AK11168">
        <v>0</v>
      </c>
      <c r="AL11168">
        <v>1</v>
      </c>
      <c r="AM11168">
        <v>0</v>
      </c>
    </row>
    <row r="11169" spans="1:39" x14ac:dyDescent="0.2">
      <c r="A11169" t="str">
        <f>"11165"</f>
        <v>11165</v>
      </c>
      <c r="B11169" t="str">
        <f t="shared" si="619"/>
        <v>1</v>
      </c>
      <c r="C11169" t="str">
        <f t="shared" si="621"/>
        <v>224</v>
      </c>
      <c r="D11169" t="str">
        <f>"17"</f>
        <v>17</v>
      </c>
      <c r="E11169" t="str">
        <f>"1-224-17"</f>
        <v>1-224-17</v>
      </c>
      <c r="F11169" t="s">
        <v>65</v>
      </c>
      <c r="G11169" t="s">
        <v>66</v>
      </c>
      <c r="H11169" t="s">
        <v>67</v>
      </c>
      <c r="S11169">
        <v>1</v>
      </c>
      <c r="T11169">
        <v>0</v>
      </c>
      <c r="U11169">
        <v>0</v>
      </c>
      <c r="V11169">
        <v>0</v>
      </c>
      <c r="W11169">
        <v>1</v>
      </c>
      <c r="X11169">
        <v>0</v>
      </c>
      <c r="Y11169">
        <v>0</v>
      </c>
      <c r="Z11169">
        <v>1</v>
      </c>
      <c r="AA11169">
        <v>0</v>
      </c>
      <c r="AB11169">
        <v>1</v>
      </c>
      <c r="AC11169">
        <v>0</v>
      </c>
      <c r="AD11169">
        <v>1</v>
      </c>
      <c r="AE11169">
        <v>1</v>
      </c>
      <c r="AF11169">
        <v>1</v>
      </c>
      <c r="AG11169">
        <v>1</v>
      </c>
      <c r="AH11169">
        <v>1</v>
      </c>
      <c r="AI11169">
        <v>1</v>
      </c>
      <c r="AJ11169">
        <v>1</v>
      </c>
      <c r="AK11169">
        <v>1</v>
      </c>
      <c r="AL11169">
        <v>1</v>
      </c>
      <c r="AM11169">
        <v>1</v>
      </c>
    </row>
    <row r="11170" spans="1:39" x14ac:dyDescent="0.2">
      <c r="A11170" t="str">
        <f>"11166"</f>
        <v>11166</v>
      </c>
      <c r="B11170" t="str">
        <f t="shared" si="619"/>
        <v>1</v>
      </c>
      <c r="C11170" t="str">
        <f t="shared" si="621"/>
        <v>224</v>
      </c>
      <c r="D11170" t="str">
        <f>"5"</f>
        <v>5</v>
      </c>
      <c r="E11170" t="str">
        <f>"1-224-5"</f>
        <v>1-224-5</v>
      </c>
      <c r="F11170" t="s">
        <v>65</v>
      </c>
      <c r="G11170" t="s">
        <v>66</v>
      </c>
      <c r="H11170" t="s">
        <v>67</v>
      </c>
      <c r="S11170">
        <v>1</v>
      </c>
      <c r="T11170">
        <v>0</v>
      </c>
      <c r="U11170">
        <v>0</v>
      </c>
      <c r="V11170">
        <v>0</v>
      </c>
      <c r="W11170">
        <v>1</v>
      </c>
      <c r="X11170">
        <v>0</v>
      </c>
      <c r="Y11170">
        <v>0</v>
      </c>
      <c r="Z11170">
        <v>1</v>
      </c>
      <c r="AA11170">
        <v>0</v>
      </c>
      <c r="AB11170">
        <v>1</v>
      </c>
      <c r="AC11170">
        <v>0</v>
      </c>
      <c r="AD11170">
        <v>1</v>
      </c>
      <c r="AE11170">
        <v>1</v>
      </c>
      <c r="AF11170">
        <v>1</v>
      </c>
      <c r="AG11170">
        <v>1</v>
      </c>
      <c r="AH11170">
        <v>1</v>
      </c>
      <c r="AI11170">
        <v>1</v>
      </c>
      <c r="AJ11170">
        <v>1</v>
      </c>
      <c r="AK11170">
        <v>1</v>
      </c>
      <c r="AL11170">
        <v>1</v>
      </c>
      <c r="AM11170">
        <v>1</v>
      </c>
    </row>
    <row r="11171" spans="1:39" x14ac:dyDescent="0.2">
      <c r="A11171" t="str">
        <f>"11167"</f>
        <v>11167</v>
      </c>
      <c r="B11171" t="str">
        <f t="shared" si="619"/>
        <v>1</v>
      </c>
      <c r="C11171" t="str">
        <f t="shared" si="621"/>
        <v>224</v>
      </c>
      <c r="D11171" t="str">
        <f>"41"</f>
        <v>41</v>
      </c>
      <c r="E11171" t="str">
        <f>"1-224-41"</f>
        <v>1-224-41</v>
      </c>
      <c r="F11171" t="s">
        <v>65</v>
      </c>
      <c r="G11171" t="s">
        <v>66</v>
      </c>
      <c r="H11171" t="s">
        <v>67</v>
      </c>
      <c r="S11171">
        <v>0</v>
      </c>
      <c r="T11171">
        <v>1</v>
      </c>
      <c r="U11171">
        <v>0</v>
      </c>
      <c r="V11171">
        <v>0</v>
      </c>
      <c r="W11171">
        <v>1</v>
      </c>
      <c r="X11171">
        <v>0</v>
      </c>
      <c r="Y11171">
        <v>1</v>
      </c>
      <c r="Z11171">
        <v>0</v>
      </c>
      <c r="AA11171">
        <v>0</v>
      </c>
      <c r="AB11171">
        <v>1</v>
      </c>
      <c r="AC11171">
        <v>0</v>
      </c>
      <c r="AD11171">
        <v>1</v>
      </c>
      <c r="AE11171">
        <v>1</v>
      </c>
      <c r="AF11171">
        <v>1</v>
      </c>
      <c r="AG11171">
        <v>1</v>
      </c>
      <c r="AH11171">
        <v>1</v>
      </c>
      <c r="AI11171">
        <v>1</v>
      </c>
      <c r="AJ11171">
        <v>1</v>
      </c>
      <c r="AK11171">
        <v>1</v>
      </c>
      <c r="AL11171">
        <v>1</v>
      </c>
      <c r="AM11171">
        <v>1</v>
      </c>
    </row>
    <row r="11172" spans="1:39" x14ac:dyDescent="0.2">
      <c r="A11172" t="str">
        <f>"11168"</f>
        <v>11168</v>
      </c>
      <c r="B11172" t="str">
        <f t="shared" si="619"/>
        <v>1</v>
      </c>
      <c r="C11172" t="str">
        <f t="shared" si="621"/>
        <v>224</v>
      </c>
      <c r="D11172" t="str">
        <f>"40"</f>
        <v>40</v>
      </c>
      <c r="E11172" t="str">
        <f>"1-224-40"</f>
        <v>1-224-40</v>
      </c>
      <c r="F11172" t="s">
        <v>65</v>
      </c>
      <c r="G11172" t="s">
        <v>66</v>
      </c>
      <c r="H11172" t="s">
        <v>67</v>
      </c>
      <c r="S11172">
        <v>1</v>
      </c>
      <c r="T11172">
        <v>0</v>
      </c>
      <c r="U11172">
        <v>0</v>
      </c>
      <c r="V11172">
        <v>0</v>
      </c>
      <c r="W11172">
        <v>1</v>
      </c>
      <c r="X11172">
        <v>0</v>
      </c>
      <c r="Y11172">
        <v>0</v>
      </c>
      <c r="Z11172">
        <v>1</v>
      </c>
      <c r="AA11172">
        <v>1</v>
      </c>
      <c r="AB11172">
        <v>0</v>
      </c>
      <c r="AC11172">
        <v>0</v>
      </c>
      <c r="AD11172">
        <v>1</v>
      </c>
      <c r="AE11172">
        <v>1</v>
      </c>
      <c r="AF11172">
        <v>1</v>
      </c>
      <c r="AG11172">
        <v>1</v>
      </c>
      <c r="AH11172">
        <v>1</v>
      </c>
      <c r="AI11172">
        <v>1</v>
      </c>
      <c r="AJ11172">
        <v>1</v>
      </c>
      <c r="AK11172">
        <v>1</v>
      </c>
      <c r="AL11172">
        <v>1</v>
      </c>
      <c r="AM11172">
        <v>1</v>
      </c>
    </row>
    <row r="11173" spans="1:39" x14ac:dyDescent="0.2">
      <c r="A11173" t="str">
        <f>"11169"</f>
        <v>11169</v>
      </c>
      <c r="B11173" t="str">
        <f t="shared" si="619"/>
        <v>1</v>
      </c>
      <c r="C11173" t="str">
        <f t="shared" si="621"/>
        <v>224</v>
      </c>
      <c r="D11173" t="str">
        <f>"26"</f>
        <v>26</v>
      </c>
      <c r="E11173" t="str">
        <f>"1-224-26"</f>
        <v>1-224-26</v>
      </c>
      <c r="F11173" t="s">
        <v>65</v>
      </c>
      <c r="G11173" t="s">
        <v>66</v>
      </c>
      <c r="H11173" t="s">
        <v>67</v>
      </c>
      <c r="S11173">
        <v>1</v>
      </c>
      <c r="T11173">
        <v>0</v>
      </c>
      <c r="U11173">
        <v>0</v>
      </c>
      <c r="V11173">
        <v>0</v>
      </c>
      <c r="W11173">
        <v>1</v>
      </c>
      <c r="X11173">
        <v>0</v>
      </c>
      <c r="Y11173">
        <v>0</v>
      </c>
      <c r="Z11173">
        <v>1</v>
      </c>
      <c r="AA11173">
        <v>0</v>
      </c>
      <c r="AB11173">
        <v>0</v>
      </c>
      <c r="AC11173">
        <v>1</v>
      </c>
      <c r="AD11173">
        <v>1</v>
      </c>
      <c r="AE11173">
        <v>1</v>
      </c>
      <c r="AF11173">
        <v>1</v>
      </c>
      <c r="AG11173">
        <v>1</v>
      </c>
      <c r="AH11173">
        <v>1</v>
      </c>
      <c r="AI11173">
        <v>1</v>
      </c>
      <c r="AJ11173">
        <v>1</v>
      </c>
      <c r="AK11173">
        <v>1</v>
      </c>
      <c r="AL11173">
        <v>1</v>
      </c>
      <c r="AM11173">
        <v>1</v>
      </c>
    </row>
    <row r="11174" spans="1:39" x14ac:dyDescent="0.2">
      <c r="A11174" t="str">
        <f>"11170"</f>
        <v>11170</v>
      </c>
      <c r="B11174" t="str">
        <f t="shared" si="619"/>
        <v>1</v>
      </c>
      <c r="C11174" t="str">
        <f t="shared" si="621"/>
        <v>224</v>
      </c>
      <c r="D11174" t="str">
        <f>"18"</f>
        <v>18</v>
      </c>
      <c r="E11174" t="str">
        <f>"1-224-18"</f>
        <v>1-224-18</v>
      </c>
      <c r="F11174" t="s">
        <v>65</v>
      </c>
      <c r="G11174" t="s">
        <v>66</v>
      </c>
      <c r="H11174" t="s">
        <v>67</v>
      </c>
      <c r="S11174">
        <v>0</v>
      </c>
      <c r="T11174">
        <v>1</v>
      </c>
      <c r="U11174">
        <v>0</v>
      </c>
      <c r="V11174">
        <v>0</v>
      </c>
      <c r="W11174">
        <v>0</v>
      </c>
      <c r="X11174">
        <v>1</v>
      </c>
      <c r="Y11174">
        <v>0</v>
      </c>
      <c r="Z11174">
        <v>1</v>
      </c>
      <c r="AA11174">
        <v>0</v>
      </c>
      <c r="AB11174">
        <v>0</v>
      </c>
      <c r="AC11174">
        <v>1</v>
      </c>
      <c r="AD11174">
        <v>1</v>
      </c>
      <c r="AE11174">
        <v>1</v>
      </c>
      <c r="AF11174">
        <v>1</v>
      </c>
      <c r="AG11174">
        <v>1</v>
      </c>
      <c r="AH11174">
        <v>1</v>
      </c>
      <c r="AI11174">
        <v>1</v>
      </c>
      <c r="AJ11174">
        <v>1</v>
      </c>
      <c r="AK11174">
        <v>1</v>
      </c>
      <c r="AL11174">
        <v>1</v>
      </c>
      <c r="AM11174">
        <v>1</v>
      </c>
    </row>
    <row r="11175" spans="1:39" x14ac:dyDescent="0.2">
      <c r="A11175" t="str">
        <f>"11171"</f>
        <v>11171</v>
      </c>
      <c r="B11175" t="str">
        <f t="shared" si="619"/>
        <v>1</v>
      </c>
      <c r="C11175" t="str">
        <f t="shared" si="621"/>
        <v>224</v>
      </c>
      <c r="D11175" t="str">
        <f>"12"</f>
        <v>12</v>
      </c>
      <c r="E11175" t="str">
        <f>"1-224-12"</f>
        <v>1-224-12</v>
      </c>
      <c r="F11175" t="s">
        <v>65</v>
      </c>
      <c r="G11175" t="s">
        <v>66</v>
      </c>
      <c r="H11175" t="s">
        <v>67</v>
      </c>
      <c r="S11175">
        <v>0</v>
      </c>
      <c r="T11175">
        <v>1</v>
      </c>
      <c r="U11175">
        <v>0</v>
      </c>
      <c r="V11175">
        <v>0</v>
      </c>
      <c r="W11175">
        <v>1</v>
      </c>
      <c r="X11175">
        <v>0</v>
      </c>
      <c r="Y11175">
        <v>0</v>
      </c>
      <c r="Z11175">
        <v>1</v>
      </c>
      <c r="AA11175">
        <v>1</v>
      </c>
      <c r="AB11175">
        <v>0</v>
      </c>
      <c r="AC11175">
        <v>0</v>
      </c>
      <c r="AD11175">
        <v>1</v>
      </c>
      <c r="AE11175">
        <v>1</v>
      </c>
      <c r="AF11175">
        <v>1</v>
      </c>
      <c r="AG11175">
        <v>1</v>
      </c>
      <c r="AH11175">
        <v>1</v>
      </c>
      <c r="AI11175">
        <v>1</v>
      </c>
      <c r="AJ11175">
        <v>1</v>
      </c>
      <c r="AK11175">
        <v>1</v>
      </c>
      <c r="AL11175">
        <v>1</v>
      </c>
      <c r="AM11175">
        <v>1</v>
      </c>
    </row>
    <row r="11176" spans="1:39" x14ac:dyDescent="0.2">
      <c r="A11176" t="str">
        <f>"11172"</f>
        <v>11172</v>
      </c>
      <c r="B11176" t="str">
        <f t="shared" si="619"/>
        <v>1</v>
      </c>
      <c r="C11176" t="str">
        <f t="shared" si="621"/>
        <v>224</v>
      </c>
      <c r="D11176" t="str">
        <f>"37"</f>
        <v>37</v>
      </c>
      <c r="E11176" t="str">
        <f>"1-224-37"</f>
        <v>1-224-37</v>
      </c>
      <c r="F11176" t="s">
        <v>65</v>
      </c>
      <c r="G11176" t="s">
        <v>66</v>
      </c>
      <c r="H11176" t="s">
        <v>67</v>
      </c>
      <c r="S11176">
        <v>1</v>
      </c>
      <c r="T11176">
        <v>0</v>
      </c>
      <c r="U11176">
        <v>0</v>
      </c>
      <c r="V11176">
        <v>0</v>
      </c>
      <c r="W11176">
        <v>1</v>
      </c>
      <c r="X11176">
        <v>0</v>
      </c>
      <c r="Y11176">
        <v>1</v>
      </c>
      <c r="Z11176">
        <v>0</v>
      </c>
      <c r="AA11176">
        <v>1</v>
      </c>
      <c r="AB11176">
        <v>0</v>
      </c>
      <c r="AC11176">
        <v>0</v>
      </c>
      <c r="AD11176">
        <v>1</v>
      </c>
      <c r="AE11176">
        <v>1</v>
      </c>
      <c r="AF11176">
        <v>1</v>
      </c>
      <c r="AG11176">
        <v>1</v>
      </c>
      <c r="AH11176">
        <v>1</v>
      </c>
      <c r="AI11176">
        <v>1</v>
      </c>
      <c r="AJ11176">
        <v>1</v>
      </c>
      <c r="AK11176">
        <v>1</v>
      </c>
      <c r="AL11176">
        <v>1</v>
      </c>
      <c r="AM11176">
        <v>1</v>
      </c>
    </row>
    <row r="11177" spans="1:39" x14ac:dyDescent="0.2">
      <c r="A11177" t="str">
        <f>"11173"</f>
        <v>11173</v>
      </c>
      <c r="B11177" t="str">
        <f t="shared" si="619"/>
        <v>1</v>
      </c>
      <c r="C11177" t="str">
        <f t="shared" si="621"/>
        <v>224</v>
      </c>
      <c r="D11177" t="str">
        <f>"19"</f>
        <v>19</v>
      </c>
      <c r="E11177" t="str">
        <f>"1-224-19"</f>
        <v>1-224-19</v>
      </c>
      <c r="F11177" t="s">
        <v>65</v>
      </c>
      <c r="G11177" t="s">
        <v>66</v>
      </c>
      <c r="H11177" t="s">
        <v>68</v>
      </c>
      <c r="I11177">
        <v>1</v>
      </c>
      <c r="J11177">
        <v>0</v>
      </c>
      <c r="K11177">
        <v>0</v>
      </c>
      <c r="L11177">
        <v>1</v>
      </c>
      <c r="M11177">
        <v>1</v>
      </c>
      <c r="N11177">
        <v>1</v>
      </c>
      <c r="O11177">
        <v>1</v>
      </c>
      <c r="P11177">
        <v>1</v>
      </c>
      <c r="Q11177">
        <v>1</v>
      </c>
      <c r="R11177">
        <v>1</v>
      </c>
    </row>
    <row r="11178" spans="1:39" x14ac:dyDescent="0.2">
      <c r="A11178" t="str">
        <f>"11174"</f>
        <v>11174</v>
      </c>
      <c r="B11178" t="str">
        <f t="shared" si="619"/>
        <v>1</v>
      </c>
      <c r="C11178" t="str">
        <f t="shared" si="621"/>
        <v>224</v>
      </c>
      <c r="D11178" t="str">
        <f>"2"</f>
        <v>2</v>
      </c>
      <c r="E11178" t="str">
        <f>"1-224-2"</f>
        <v>1-224-2</v>
      </c>
      <c r="F11178" t="s">
        <v>65</v>
      </c>
      <c r="G11178" t="s">
        <v>66</v>
      </c>
      <c r="H11178" t="s">
        <v>68</v>
      </c>
      <c r="I11178">
        <v>1</v>
      </c>
      <c r="J11178">
        <v>0</v>
      </c>
      <c r="K11178">
        <v>0</v>
      </c>
      <c r="L11178">
        <v>1</v>
      </c>
      <c r="M11178">
        <v>1</v>
      </c>
      <c r="N11178">
        <v>1</v>
      </c>
      <c r="O11178">
        <v>1</v>
      </c>
      <c r="P11178">
        <v>1</v>
      </c>
      <c r="Q11178">
        <v>1</v>
      </c>
      <c r="R11178">
        <v>1</v>
      </c>
    </row>
    <row r="11179" spans="1:39" x14ac:dyDescent="0.2">
      <c r="A11179" t="str">
        <f>"11175"</f>
        <v>11175</v>
      </c>
      <c r="B11179" t="str">
        <f t="shared" si="619"/>
        <v>1</v>
      </c>
      <c r="C11179" t="str">
        <f t="shared" si="621"/>
        <v>224</v>
      </c>
      <c r="D11179" t="str">
        <f>"42"</f>
        <v>42</v>
      </c>
      <c r="E11179" t="str">
        <f>"1-224-42"</f>
        <v>1-224-42</v>
      </c>
      <c r="F11179" t="s">
        <v>65</v>
      </c>
      <c r="G11179" t="s">
        <v>66</v>
      </c>
      <c r="H11179" t="s">
        <v>67</v>
      </c>
      <c r="S11179">
        <v>0</v>
      </c>
      <c r="T11179">
        <v>1</v>
      </c>
      <c r="U11179">
        <v>0</v>
      </c>
      <c r="V11179">
        <v>0</v>
      </c>
      <c r="W11179">
        <v>1</v>
      </c>
      <c r="X11179">
        <v>0</v>
      </c>
      <c r="Y11179">
        <v>1</v>
      </c>
      <c r="Z11179">
        <v>0</v>
      </c>
      <c r="AA11179">
        <v>0</v>
      </c>
      <c r="AB11179">
        <v>1</v>
      </c>
      <c r="AC11179">
        <v>0</v>
      </c>
      <c r="AD11179">
        <v>1</v>
      </c>
      <c r="AE11179">
        <v>1</v>
      </c>
      <c r="AF11179">
        <v>1</v>
      </c>
      <c r="AG11179">
        <v>1</v>
      </c>
      <c r="AH11179">
        <v>1</v>
      </c>
      <c r="AI11179">
        <v>1</v>
      </c>
      <c r="AJ11179">
        <v>1</v>
      </c>
      <c r="AK11179">
        <v>1</v>
      </c>
      <c r="AL11179">
        <v>1</v>
      </c>
      <c r="AM11179">
        <v>1</v>
      </c>
    </row>
    <row r="11180" spans="1:39" x14ac:dyDescent="0.2">
      <c r="A11180" t="str">
        <f>"11176"</f>
        <v>11176</v>
      </c>
      <c r="B11180" t="str">
        <f t="shared" si="619"/>
        <v>1</v>
      </c>
      <c r="C11180" t="str">
        <f t="shared" si="621"/>
        <v>224</v>
      </c>
      <c r="D11180" t="str">
        <f>"20"</f>
        <v>20</v>
      </c>
      <c r="E11180" t="str">
        <f>"1-224-20"</f>
        <v>1-224-20</v>
      </c>
      <c r="F11180" t="s">
        <v>65</v>
      </c>
      <c r="G11180" t="s">
        <v>66</v>
      </c>
      <c r="H11180" t="s">
        <v>67</v>
      </c>
      <c r="S11180">
        <v>0</v>
      </c>
      <c r="T11180">
        <v>1</v>
      </c>
      <c r="U11180">
        <v>0</v>
      </c>
      <c r="V11180">
        <v>0</v>
      </c>
      <c r="W11180">
        <v>0</v>
      </c>
      <c r="X11180">
        <v>1</v>
      </c>
      <c r="Y11180">
        <v>0</v>
      </c>
      <c r="Z11180">
        <v>1</v>
      </c>
      <c r="AA11180">
        <v>0</v>
      </c>
      <c r="AB11180">
        <v>1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</row>
    <row r="11181" spans="1:39" x14ac:dyDescent="0.2">
      <c r="A11181" t="str">
        <f>"11177"</f>
        <v>11177</v>
      </c>
      <c r="B11181" t="str">
        <f t="shared" si="619"/>
        <v>1</v>
      </c>
      <c r="C11181" t="str">
        <f t="shared" si="621"/>
        <v>224</v>
      </c>
      <c r="D11181" t="str">
        <f>"9"</f>
        <v>9</v>
      </c>
      <c r="E11181" t="str">
        <f>"1-224-9"</f>
        <v>1-224-9</v>
      </c>
      <c r="F11181" t="s">
        <v>65</v>
      </c>
      <c r="G11181" t="s">
        <v>66</v>
      </c>
      <c r="H11181" t="s">
        <v>68</v>
      </c>
      <c r="I11181">
        <v>1</v>
      </c>
      <c r="J11181">
        <v>1</v>
      </c>
      <c r="K11181">
        <v>0</v>
      </c>
      <c r="L11181">
        <v>0</v>
      </c>
      <c r="M11181">
        <v>1</v>
      </c>
      <c r="N11181">
        <v>1</v>
      </c>
      <c r="O11181">
        <v>1</v>
      </c>
      <c r="P11181">
        <v>1</v>
      </c>
      <c r="Q11181">
        <v>1</v>
      </c>
      <c r="R11181">
        <v>1</v>
      </c>
    </row>
    <row r="11182" spans="1:39" x14ac:dyDescent="0.2">
      <c r="A11182" t="str">
        <f>"11178"</f>
        <v>11178</v>
      </c>
      <c r="B11182" t="str">
        <f t="shared" si="619"/>
        <v>1</v>
      </c>
      <c r="C11182" t="str">
        <f t="shared" si="621"/>
        <v>224</v>
      </c>
      <c r="D11182" t="str">
        <f>"46"</f>
        <v>46</v>
      </c>
      <c r="E11182" t="str">
        <f>"1-224-46"</f>
        <v>1-224-46</v>
      </c>
      <c r="F11182" t="s">
        <v>65</v>
      </c>
      <c r="G11182" t="s">
        <v>66</v>
      </c>
      <c r="H11182" t="s">
        <v>67</v>
      </c>
      <c r="S11182">
        <v>1</v>
      </c>
      <c r="T11182">
        <v>0</v>
      </c>
      <c r="U11182">
        <v>0</v>
      </c>
      <c r="V11182">
        <v>0</v>
      </c>
      <c r="W11182">
        <v>1</v>
      </c>
      <c r="X11182">
        <v>0</v>
      </c>
      <c r="Y11182">
        <v>1</v>
      </c>
      <c r="Z11182">
        <v>0</v>
      </c>
      <c r="AA11182">
        <v>0</v>
      </c>
      <c r="AB11182">
        <v>1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</row>
    <row r="11183" spans="1:39" x14ac:dyDescent="0.2">
      <c r="A11183" t="str">
        <f>"11179"</f>
        <v>11179</v>
      </c>
      <c r="B11183" t="str">
        <f t="shared" si="619"/>
        <v>1</v>
      </c>
      <c r="C11183" t="str">
        <f t="shared" si="621"/>
        <v>224</v>
      </c>
      <c r="D11183" t="str">
        <f>"22"</f>
        <v>22</v>
      </c>
      <c r="E11183" t="str">
        <f>"1-224-22"</f>
        <v>1-224-22</v>
      </c>
      <c r="F11183" t="s">
        <v>65</v>
      </c>
      <c r="G11183" t="s">
        <v>66</v>
      </c>
      <c r="H11183" t="s">
        <v>67</v>
      </c>
      <c r="S11183">
        <v>1</v>
      </c>
      <c r="T11183">
        <v>0</v>
      </c>
      <c r="U11183">
        <v>0</v>
      </c>
      <c r="V11183">
        <v>0</v>
      </c>
      <c r="W11183">
        <v>1</v>
      </c>
      <c r="X11183">
        <v>0</v>
      </c>
      <c r="Y11183">
        <v>1</v>
      </c>
      <c r="Z11183">
        <v>0</v>
      </c>
      <c r="AA11183">
        <v>0</v>
      </c>
      <c r="AB11183">
        <v>1</v>
      </c>
      <c r="AC11183">
        <v>0</v>
      </c>
      <c r="AD11183">
        <v>1</v>
      </c>
      <c r="AE11183">
        <v>0</v>
      </c>
      <c r="AF11183">
        <v>1</v>
      </c>
      <c r="AG11183">
        <v>1</v>
      </c>
      <c r="AH11183">
        <v>1</v>
      </c>
      <c r="AI11183">
        <v>1</v>
      </c>
      <c r="AJ11183">
        <v>1</v>
      </c>
      <c r="AK11183">
        <v>1</v>
      </c>
      <c r="AL11183">
        <v>1</v>
      </c>
      <c r="AM11183">
        <v>1</v>
      </c>
    </row>
    <row r="11184" spans="1:39" x14ac:dyDescent="0.2">
      <c r="A11184" t="str">
        <f>"11180"</f>
        <v>11180</v>
      </c>
      <c r="B11184" t="str">
        <f t="shared" si="619"/>
        <v>1</v>
      </c>
      <c r="C11184" t="str">
        <f t="shared" si="621"/>
        <v>224</v>
      </c>
      <c r="D11184" t="str">
        <f>"8"</f>
        <v>8</v>
      </c>
      <c r="E11184" t="str">
        <f>"1-224-8"</f>
        <v>1-224-8</v>
      </c>
      <c r="F11184" t="s">
        <v>65</v>
      </c>
      <c r="G11184" t="s">
        <v>66</v>
      </c>
      <c r="H11184" t="s">
        <v>68</v>
      </c>
      <c r="I11184">
        <v>1</v>
      </c>
      <c r="J11184">
        <v>0</v>
      </c>
      <c r="K11184">
        <v>0</v>
      </c>
      <c r="L11184">
        <v>1</v>
      </c>
      <c r="M11184">
        <v>1</v>
      </c>
      <c r="N11184">
        <v>1</v>
      </c>
      <c r="O11184">
        <v>1</v>
      </c>
      <c r="P11184">
        <v>1</v>
      </c>
      <c r="Q11184">
        <v>1</v>
      </c>
      <c r="R11184">
        <v>1</v>
      </c>
    </row>
    <row r="11185" spans="1:39" x14ac:dyDescent="0.2">
      <c r="A11185" t="str">
        <f>"11181"</f>
        <v>11181</v>
      </c>
      <c r="B11185" t="str">
        <f t="shared" si="619"/>
        <v>1</v>
      </c>
      <c r="C11185" t="str">
        <f t="shared" si="621"/>
        <v>224</v>
      </c>
      <c r="D11185" t="str">
        <f>"43"</f>
        <v>43</v>
      </c>
      <c r="E11185" t="str">
        <f>"1-224-43"</f>
        <v>1-224-43</v>
      </c>
      <c r="F11185" t="s">
        <v>65</v>
      </c>
      <c r="G11185" t="s">
        <v>66</v>
      </c>
      <c r="H11185" t="s">
        <v>67</v>
      </c>
      <c r="S11185">
        <v>1</v>
      </c>
      <c r="T11185">
        <v>0</v>
      </c>
      <c r="U11185">
        <v>0</v>
      </c>
      <c r="V11185">
        <v>0</v>
      </c>
      <c r="W11185">
        <v>1</v>
      </c>
      <c r="X11185">
        <v>0</v>
      </c>
      <c r="Y11185">
        <v>1</v>
      </c>
      <c r="Z11185">
        <v>0</v>
      </c>
      <c r="AA11185">
        <v>0</v>
      </c>
      <c r="AB11185">
        <v>0</v>
      </c>
      <c r="AC11185">
        <v>1</v>
      </c>
      <c r="AD11185">
        <v>1</v>
      </c>
      <c r="AE11185">
        <v>1</v>
      </c>
      <c r="AF11185">
        <v>1</v>
      </c>
      <c r="AG11185">
        <v>1</v>
      </c>
      <c r="AH11185">
        <v>1</v>
      </c>
      <c r="AI11185">
        <v>1</v>
      </c>
      <c r="AJ11185">
        <v>1</v>
      </c>
      <c r="AK11185">
        <v>1</v>
      </c>
      <c r="AL11185">
        <v>1</v>
      </c>
      <c r="AM11185">
        <v>1</v>
      </c>
    </row>
    <row r="11186" spans="1:39" x14ac:dyDescent="0.2">
      <c r="A11186" t="str">
        <f>"11182"</f>
        <v>11182</v>
      </c>
      <c r="B11186" t="str">
        <f t="shared" si="619"/>
        <v>1</v>
      </c>
      <c r="C11186" t="str">
        <f t="shared" si="621"/>
        <v>224</v>
      </c>
      <c r="D11186" t="str">
        <f>"24"</f>
        <v>24</v>
      </c>
      <c r="E11186" t="str">
        <f>"1-224-24"</f>
        <v>1-224-24</v>
      </c>
      <c r="F11186" t="s">
        <v>65</v>
      </c>
      <c r="G11186" t="s">
        <v>66</v>
      </c>
      <c r="H11186" t="s">
        <v>67</v>
      </c>
      <c r="S11186">
        <v>1</v>
      </c>
      <c r="T11186">
        <v>0</v>
      </c>
      <c r="U11186">
        <v>0</v>
      </c>
      <c r="V11186">
        <v>0</v>
      </c>
      <c r="W11186">
        <v>0</v>
      </c>
      <c r="X11186">
        <v>1</v>
      </c>
      <c r="Y11186">
        <v>0</v>
      </c>
      <c r="Z11186">
        <v>1</v>
      </c>
      <c r="AA11186">
        <v>0</v>
      </c>
      <c r="AB11186">
        <v>0</v>
      </c>
      <c r="AC11186">
        <v>1</v>
      </c>
      <c r="AD11186">
        <v>0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  <c r="AK11186">
        <v>0</v>
      </c>
      <c r="AL11186">
        <v>0</v>
      </c>
      <c r="AM11186">
        <v>0</v>
      </c>
    </row>
    <row r="11187" spans="1:39" x14ac:dyDescent="0.2">
      <c r="A11187" t="str">
        <f>"11183"</f>
        <v>11183</v>
      </c>
      <c r="B11187" t="str">
        <f t="shared" si="619"/>
        <v>1</v>
      </c>
      <c r="C11187" t="str">
        <f t="shared" ref="C11187:C11204" si="622">"224"</f>
        <v>224</v>
      </c>
      <c r="D11187" t="str">
        <f>"14"</f>
        <v>14</v>
      </c>
      <c r="E11187" t="str">
        <f>"1-224-14"</f>
        <v>1-224-14</v>
      </c>
      <c r="F11187" t="s">
        <v>65</v>
      </c>
      <c r="G11187" t="s">
        <v>66</v>
      </c>
      <c r="H11187" t="s">
        <v>67</v>
      </c>
      <c r="S11187">
        <v>1</v>
      </c>
      <c r="T11187">
        <v>0</v>
      </c>
      <c r="U11187">
        <v>0</v>
      </c>
      <c r="V11187">
        <v>0</v>
      </c>
      <c r="W11187">
        <v>1</v>
      </c>
      <c r="X11187">
        <v>0</v>
      </c>
      <c r="Y11187">
        <v>0</v>
      </c>
      <c r="Z11187">
        <v>1</v>
      </c>
      <c r="AA11187">
        <v>1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1</v>
      </c>
      <c r="AH11187">
        <v>1</v>
      </c>
      <c r="AI11187">
        <v>1</v>
      </c>
      <c r="AJ11187">
        <v>1</v>
      </c>
      <c r="AK11187">
        <v>1</v>
      </c>
      <c r="AL11187">
        <v>1</v>
      </c>
      <c r="AM11187">
        <v>1</v>
      </c>
    </row>
    <row r="11188" spans="1:39" x14ac:dyDescent="0.2">
      <c r="A11188" t="str">
        <f>"11184"</f>
        <v>11184</v>
      </c>
      <c r="B11188" t="str">
        <f t="shared" si="619"/>
        <v>1</v>
      </c>
      <c r="C11188" t="str">
        <f t="shared" si="622"/>
        <v>224</v>
      </c>
      <c r="D11188" t="str">
        <f>"44"</f>
        <v>44</v>
      </c>
      <c r="E11188" t="str">
        <f>"1-224-44"</f>
        <v>1-224-44</v>
      </c>
      <c r="F11188" t="s">
        <v>65</v>
      </c>
      <c r="G11188" t="s">
        <v>66</v>
      </c>
      <c r="H11188" t="s">
        <v>67</v>
      </c>
      <c r="S11188">
        <v>0</v>
      </c>
      <c r="T11188">
        <v>1</v>
      </c>
      <c r="U11188">
        <v>0</v>
      </c>
      <c r="V11188">
        <v>0</v>
      </c>
      <c r="W11188">
        <v>1</v>
      </c>
      <c r="X11188">
        <v>0</v>
      </c>
      <c r="Y11188">
        <v>0</v>
      </c>
      <c r="Z11188">
        <v>1</v>
      </c>
      <c r="AA11188">
        <v>0</v>
      </c>
      <c r="AB11188">
        <v>0</v>
      </c>
      <c r="AC11188">
        <v>1</v>
      </c>
      <c r="AD11188">
        <v>0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</row>
    <row r="11189" spans="1:39" x14ac:dyDescent="0.2">
      <c r="A11189" t="str">
        <f>"11185"</f>
        <v>11185</v>
      </c>
      <c r="B11189" t="str">
        <f t="shared" si="619"/>
        <v>1</v>
      </c>
      <c r="C11189" t="str">
        <f t="shared" si="622"/>
        <v>224</v>
      </c>
      <c r="D11189" t="str">
        <f>"27"</f>
        <v>27</v>
      </c>
      <c r="E11189" t="str">
        <f>"1-224-27"</f>
        <v>1-224-27</v>
      </c>
      <c r="F11189" t="s">
        <v>65</v>
      </c>
      <c r="G11189" t="s">
        <v>66</v>
      </c>
      <c r="H11189" t="s">
        <v>67</v>
      </c>
      <c r="S11189">
        <v>1</v>
      </c>
      <c r="T11189">
        <v>0</v>
      </c>
      <c r="U11189">
        <v>0</v>
      </c>
      <c r="V11189">
        <v>0</v>
      </c>
      <c r="W11189">
        <v>1</v>
      </c>
      <c r="X11189">
        <v>0</v>
      </c>
      <c r="Y11189">
        <v>0</v>
      </c>
      <c r="Z11189">
        <v>1</v>
      </c>
      <c r="AA11189">
        <v>0</v>
      </c>
      <c r="AB11189">
        <v>0</v>
      </c>
      <c r="AC11189">
        <v>1</v>
      </c>
      <c r="AD11189">
        <v>1</v>
      </c>
      <c r="AE11189">
        <v>1</v>
      </c>
      <c r="AF11189">
        <v>1</v>
      </c>
      <c r="AG11189">
        <v>1</v>
      </c>
      <c r="AH11189">
        <v>1</v>
      </c>
      <c r="AI11189">
        <v>1</v>
      </c>
      <c r="AJ11189">
        <v>1</v>
      </c>
      <c r="AK11189">
        <v>1</v>
      </c>
      <c r="AL11189">
        <v>1</v>
      </c>
      <c r="AM11189">
        <v>1</v>
      </c>
    </row>
    <row r="11190" spans="1:39" x14ac:dyDescent="0.2">
      <c r="A11190" t="str">
        <f>"11186"</f>
        <v>11186</v>
      </c>
      <c r="B11190" t="str">
        <f t="shared" si="619"/>
        <v>1</v>
      </c>
      <c r="C11190" t="str">
        <f t="shared" si="622"/>
        <v>224</v>
      </c>
      <c r="D11190" t="str">
        <f>"10"</f>
        <v>10</v>
      </c>
      <c r="E11190" t="str">
        <f>"1-224-10"</f>
        <v>1-224-10</v>
      </c>
      <c r="F11190" t="s">
        <v>65</v>
      </c>
      <c r="G11190" t="s">
        <v>66</v>
      </c>
      <c r="H11190" t="s">
        <v>67</v>
      </c>
      <c r="S11190">
        <v>1</v>
      </c>
      <c r="T11190">
        <v>0</v>
      </c>
      <c r="U11190">
        <v>0</v>
      </c>
      <c r="V11190">
        <v>0</v>
      </c>
      <c r="W11190">
        <v>0</v>
      </c>
      <c r="X11190">
        <v>1</v>
      </c>
      <c r="Y11190">
        <v>0</v>
      </c>
      <c r="Z11190">
        <v>1</v>
      </c>
      <c r="AA11190">
        <v>1</v>
      </c>
      <c r="AB11190">
        <v>0</v>
      </c>
      <c r="AC11190">
        <v>0</v>
      </c>
      <c r="AD11190">
        <v>1</v>
      </c>
      <c r="AE11190">
        <v>1</v>
      </c>
      <c r="AF11190">
        <v>1</v>
      </c>
      <c r="AG11190">
        <v>1</v>
      </c>
      <c r="AH11190">
        <v>0</v>
      </c>
      <c r="AI11190">
        <v>1</v>
      </c>
      <c r="AJ11190">
        <v>1</v>
      </c>
      <c r="AK11190">
        <v>1</v>
      </c>
      <c r="AL11190">
        <v>1</v>
      </c>
      <c r="AM11190">
        <v>1</v>
      </c>
    </row>
    <row r="11191" spans="1:39" x14ac:dyDescent="0.2">
      <c r="A11191" t="str">
        <f>"11187"</f>
        <v>11187</v>
      </c>
      <c r="B11191" t="str">
        <f t="shared" ref="B11191:B11254" si="623">"1"</f>
        <v>1</v>
      </c>
      <c r="C11191" t="str">
        <f t="shared" si="622"/>
        <v>224</v>
      </c>
      <c r="D11191" t="str">
        <f>"45"</f>
        <v>45</v>
      </c>
      <c r="E11191" t="str">
        <f>"1-224-45"</f>
        <v>1-224-45</v>
      </c>
      <c r="F11191" t="s">
        <v>65</v>
      </c>
      <c r="G11191" t="s">
        <v>66</v>
      </c>
      <c r="H11191" t="s">
        <v>67</v>
      </c>
      <c r="S11191">
        <v>1</v>
      </c>
      <c r="T11191">
        <v>0</v>
      </c>
      <c r="U11191">
        <v>0</v>
      </c>
      <c r="V11191">
        <v>0</v>
      </c>
      <c r="W11191">
        <v>1</v>
      </c>
      <c r="X11191">
        <v>0</v>
      </c>
      <c r="Y11191">
        <v>0</v>
      </c>
      <c r="Z11191">
        <v>1</v>
      </c>
      <c r="AA11191">
        <v>1</v>
      </c>
      <c r="AB11191">
        <v>0</v>
      </c>
      <c r="AC11191">
        <v>0</v>
      </c>
      <c r="AD11191">
        <v>1</v>
      </c>
      <c r="AE11191">
        <v>1</v>
      </c>
      <c r="AF11191">
        <v>1</v>
      </c>
      <c r="AG11191">
        <v>1</v>
      </c>
      <c r="AH11191">
        <v>1</v>
      </c>
      <c r="AI11191">
        <v>1</v>
      </c>
      <c r="AJ11191">
        <v>1</v>
      </c>
      <c r="AK11191">
        <v>1</v>
      </c>
      <c r="AL11191">
        <v>1</v>
      </c>
      <c r="AM11191">
        <v>1</v>
      </c>
    </row>
    <row r="11192" spans="1:39" x14ac:dyDescent="0.2">
      <c r="A11192" t="str">
        <f>"11188"</f>
        <v>11188</v>
      </c>
      <c r="B11192" t="str">
        <f t="shared" si="623"/>
        <v>1</v>
      </c>
      <c r="C11192" t="str">
        <f t="shared" si="622"/>
        <v>224</v>
      </c>
      <c r="D11192" t="str">
        <f>"28"</f>
        <v>28</v>
      </c>
      <c r="E11192" t="str">
        <f>"1-224-28"</f>
        <v>1-224-28</v>
      </c>
      <c r="F11192" t="s">
        <v>65</v>
      </c>
      <c r="G11192" t="s">
        <v>66</v>
      </c>
      <c r="H11192" t="s">
        <v>67</v>
      </c>
      <c r="S11192">
        <v>1</v>
      </c>
      <c r="T11192">
        <v>0</v>
      </c>
      <c r="U11192">
        <v>0</v>
      </c>
      <c r="V11192">
        <v>0</v>
      </c>
      <c r="W11192">
        <v>1</v>
      </c>
      <c r="X11192">
        <v>0</v>
      </c>
      <c r="Y11192">
        <v>1</v>
      </c>
      <c r="Z11192">
        <v>0</v>
      </c>
      <c r="AA11192">
        <v>1</v>
      </c>
      <c r="AB11192">
        <v>0</v>
      </c>
      <c r="AC11192">
        <v>0</v>
      </c>
      <c r="AD11192">
        <v>1</v>
      </c>
      <c r="AE11192">
        <v>1</v>
      </c>
      <c r="AF11192">
        <v>1</v>
      </c>
      <c r="AG11192">
        <v>1</v>
      </c>
      <c r="AH11192">
        <v>1</v>
      </c>
      <c r="AI11192">
        <v>1</v>
      </c>
      <c r="AJ11192">
        <v>1</v>
      </c>
      <c r="AK11192">
        <v>1</v>
      </c>
      <c r="AL11192">
        <v>1</v>
      </c>
      <c r="AM11192">
        <v>1</v>
      </c>
    </row>
    <row r="11193" spans="1:39" x14ac:dyDescent="0.2">
      <c r="A11193" t="str">
        <f>"11189"</f>
        <v>11189</v>
      </c>
      <c r="B11193" t="str">
        <f t="shared" si="623"/>
        <v>1</v>
      </c>
      <c r="C11193" t="str">
        <f t="shared" si="622"/>
        <v>224</v>
      </c>
      <c r="D11193" t="str">
        <f>"11"</f>
        <v>11</v>
      </c>
      <c r="E11193" t="str">
        <f>"1-224-11"</f>
        <v>1-224-11</v>
      </c>
      <c r="F11193" t="s">
        <v>65</v>
      </c>
      <c r="G11193" t="s">
        <v>66</v>
      </c>
      <c r="H11193" t="s">
        <v>67</v>
      </c>
      <c r="S11193">
        <v>1</v>
      </c>
      <c r="T11193">
        <v>0</v>
      </c>
      <c r="U11193">
        <v>0</v>
      </c>
      <c r="V11193">
        <v>0</v>
      </c>
      <c r="W11193">
        <v>1</v>
      </c>
      <c r="X11193">
        <v>0</v>
      </c>
      <c r="Y11193">
        <v>1</v>
      </c>
      <c r="Z11193">
        <v>0</v>
      </c>
      <c r="AA11193">
        <v>1</v>
      </c>
      <c r="AB11193">
        <v>0</v>
      </c>
      <c r="AC11193">
        <v>0</v>
      </c>
      <c r="AD11193">
        <v>1</v>
      </c>
      <c r="AE11193">
        <v>1</v>
      </c>
      <c r="AF11193">
        <v>1</v>
      </c>
      <c r="AG11193">
        <v>1</v>
      </c>
      <c r="AH11193">
        <v>1</v>
      </c>
      <c r="AI11193">
        <v>1</v>
      </c>
      <c r="AJ11193">
        <v>1</v>
      </c>
      <c r="AK11193">
        <v>1</v>
      </c>
      <c r="AL11193">
        <v>1</v>
      </c>
      <c r="AM11193">
        <v>1</v>
      </c>
    </row>
    <row r="11194" spans="1:39" x14ac:dyDescent="0.2">
      <c r="A11194" t="str">
        <f>"11190"</f>
        <v>11190</v>
      </c>
      <c r="B11194" t="str">
        <f t="shared" si="623"/>
        <v>1</v>
      </c>
      <c r="C11194" t="str">
        <f t="shared" si="622"/>
        <v>224</v>
      </c>
      <c r="D11194" t="str">
        <f>"47"</f>
        <v>47</v>
      </c>
      <c r="E11194" t="str">
        <f>"1-224-47"</f>
        <v>1-224-47</v>
      </c>
      <c r="F11194" t="s">
        <v>65</v>
      </c>
      <c r="G11194" t="s">
        <v>66</v>
      </c>
      <c r="H11194" t="s">
        <v>67</v>
      </c>
      <c r="S11194">
        <v>1</v>
      </c>
      <c r="T11194">
        <v>0</v>
      </c>
      <c r="U11194">
        <v>0</v>
      </c>
      <c r="V11194">
        <v>0</v>
      </c>
      <c r="W11194">
        <v>0</v>
      </c>
      <c r="X11194">
        <v>1</v>
      </c>
      <c r="Y11194">
        <v>1</v>
      </c>
      <c r="Z11194">
        <v>0</v>
      </c>
      <c r="AA11194">
        <v>0</v>
      </c>
      <c r="AB11194">
        <v>1</v>
      </c>
      <c r="AC11194">
        <v>0</v>
      </c>
      <c r="AD11194">
        <v>1</v>
      </c>
      <c r="AE11194">
        <v>1</v>
      </c>
      <c r="AF11194">
        <v>1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</row>
    <row r="11195" spans="1:39" x14ac:dyDescent="0.2">
      <c r="A11195" t="str">
        <f>"11191"</f>
        <v>11191</v>
      </c>
      <c r="B11195" t="str">
        <f t="shared" si="623"/>
        <v>1</v>
      </c>
      <c r="C11195" t="str">
        <f t="shared" si="622"/>
        <v>224</v>
      </c>
      <c r="D11195" t="str">
        <f>"29"</f>
        <v>29</v>
      </c>
      <c r="E11195" t="str">
        <f>"1-224-29"</f>
        <v>1-224-29</v>
      </c>
      <c r="F11195" t="s">
        <v>65</v>
      </c>
      <c r="G11195" t="s">
        <v>66</v>
      </c>
      <c r="H11195" t="s">
        <v>67</v>
      </c>
      <c r="S11195">
        <v>1</v>
      </c>
      <c r="T11195">
        <v>0</v>
      </c>
      <c r="U11195">
        <v>0</v>
      </c>
      <c r="V11195">
        <v>0</v>
      </c>
      <c r="W11195">
        <v>1</v>
      </c>
      <c r="X11195">
        <v>0</v>
      </c>
      <c r="Y11195">
        <v>1</v>
      </c>
      <c r="Z11195">
        <v>0</v>
      </c>
      <c r="AA11195">
        <v>1</v>
      </c>
      <c r="AB11195">
        <v>0</v>
      </c>
      <c r="AC11195">
        <v>0</v>
      </c>
      <c r="AD11195">
        <v>0</v>
      </c>
      <c r="AE11195">
        <v>1</v>
      </c>
      <c r="AF11195">
        <v>1</v>
      </c>
      <c r="AG11195">
        <v>1</v>
      </c>
      <c r="AH11195">
        <v>1</v>
      </c>
      <c r="AI11195">
        <v>0</v>
      </c>
      <c r="AJ11195">
        <v>1</v>
      </c>
      <c r="AK11195">
        <v>0</v>
      </c>
      <c r="AL11195">
        <v>1</v>
      </c>
      <c r="AM11195">
        <v>1</v>
      </c>
    </row>
    <row r="11196" spans="1:39" x14ac:dyDescent="0.2">
      <c r="A11196" t="str">
        <f>"11192"</f>
        <v>11192</v>
      </c>
      <c r="B11196" t="str">
        <f t="shared" si="623"/>
        <v>1</v>
      </c>
      <c r="C11196" t="str">
        <f t="shared" si="622"/>
        <v>224</v>
      </c>
      <c r="D11196" t="str">
        <f>"4"</f>
        <v>4</v>
      </c>
      <c r="E11196" t="str">
        <f>"1-224-4"</f>
        <v>1-224-4</v>
      </c>
      <c r="F11196" t="s">
        <v>65</v>
      </c>
      <c r="G11196" t="s">
        <v>66</v>
      </c>
      <c r="H11196" t="s">
        <v>67</v>
      </c>
      <c r="S11196">
        <v>0</v>
      </c>
      <c r="T11196">
        <v>1</v>
      </c>
      <c r="U11196">
        <v>0</v>
      </c>
      <c r="V11196">
        <v>0</v>
      </c>
      <c r="W11196">
        <v>0</v>
      </c>
      <c r="X11196">
        <v>1</v>
      </c>
      <c r="Y11196">
        <v>1</v>
      </c>
      <c r="Z11196">
        <v>0</v>
      </c>
      <c r="AA11196">
        <v>0</v>
      </c>
      <c r="AB11196">
        <v>0</v>
      </c>
      <c r="AC11196">
        <v>1</v>
      </c>
      <c r="AD11196">
        <v>1</v>
      </c>
      <c r="AE11196">
        <v>1</v>
      </c>
      <c r="AF11196">
        <v>1</v>
      </c>
      <c r="AG11196">
        <v>1</v>
      </c>
      <c r="AH11196">
        <v>1</v>
      </c>
      <c r="AI11196">
        <v>1</v>
      </c>
      <c r="AJ11196">
        <v>1</v>
      </c>
      <c r="AK11196">
        <v>1</v>
      </c>
      <c r="AL11196">
        <v>1</v>
      </c>
      <c r="AM11196">
        <v>1</v>
      </c>
    </row>
    <row r="11197" spans="1:39" x14ac:dyDescent="0.2">
      <c r="A11197" t="str">
        <f>"11193"</f>
        <v>11193</v>
      </c>
      <c r="B11197" t="str">
        <f t="shared" si="623"/>
        <v>1</v>
      </c>
      <c r="C11197" t="str">
        <f t="shared" si="622"/>
        <v>224</v>
      </c>
      <c r="D11197" t="str">
        <f>"48"</f>
        <v>48</v>
      </c>
      <c r="E11197" t="str">
        <f>"1-224-48"</f>
        <v>1-224-48</v>
      </c>
      <c r="F11197" t="s">
        <v>65</v>
      </c>
      <c r="G11197" t="s">
        <v>66</v>
      </c>
      <c r="H11197" t="s">
        <v>67</v>
      </c>
      <c r="S11197">
        <v>0</v>
      </c>
      <c r="T11197">
        <v>1</v>
      </c>
      <c r="U11197">
        <v>0</v>
      </c>
      <c r="V11197">
        <v>0</v>
      </c>
      <c r="W11197">
        <v>1</v>
      </c>
      <c r="X11197">
        <v>0</v>
      </c>
      <c r="Y11197">
        <v>1</v>
      </c>
      <c r="Z11197">
        <v>0</v>
      </c>
      <c r="AA11197">
        <v>1</v>
      </c>
      <c r="AB11197">
        <v>0</v>
      </c>
      <c r="AC11197">
        <v>0</v>
      </c>
      <c r="AD11197">
        <v>1</v>
      </c>
      <c r="AE11197">
        <v>1</v>
      </c>
      <c r="AF11197">
        <v>1</v>
      </c>
      <c r="AG11197">
        <v>1</v>
      </c>
      <c r="AH11197">
        <v>1</v>
      </c>
      <c r="AI11197">
        <v>1</v>
      </c>
      <c r="AJ11197">
        <v>1</v>
      </c>
      <c r="AK11197">
        <v>1</v>
      </c>
      <c r="AL11197">
        <v>1</v>
      </c>
      <c r="AM11197">
        <v>1</v>
      </c>
    </row>
    <row r="11198" spans="1:39" x14ac:dyDescent="0.2">
      <c r="A11198" t="str">
        <f>"11194"</f>
        <v>11194</v>
      </c>
      <c r="B11198" t="str">
        <f t="shared" si="623"/>
        <v>1</v>
      </c>
      <c r="C11198" t="str">
        <f t="shared" si="622"/>
        <v>224</v>
      </c>
      <c r="D11198" t="str">
        <f>"30"</f>
        <v>30</v>
      </c>
      <c r="E11198" t="str">
        <f>"1-224-30"</f>
        <v>1-224-30</v>
      </c>
      <c r="F11198" t="s">
        <v>65</v>
      </c>
      <c r="G11198" t="s">
        <v>66</v>
      </c>
      <c r="H11198" t="s">
        <v>67</v>
      </c>
      <c r="S11198">
        <v>1</v>
      </c>
      <c r="T11198">
        <v>0</v>
      </c>
      <c r="U11198">
        <v>0</v>
      </c>
      <c r="V11198">
        <v>0</v>
      </c>
      <c r="W11198">
        <v>1</v>
      </c>
      <c r="X11198">
        <v>0</v>
      </c>
      <c r="Y11198">
        <v>1</v>
      </c>
      <c r="Z11198">
        <v>0</v>
      </c>
      <c r="AA11198">
        <v>1</v>
      </c>
      <c r="AB11198">
        <v>0</v>
      </c>
      <c r="AC11198">
        <v>0</v>
      </c>
      <c r="AD11198">
        <v>1</v>
      </c>
      <c r="AE11198">
        <v>1</v>
      </c>
      <c r="AF11198">
        <v>1</v>
      </c>
      <c r="AG11198">
        <v>1</v>
      </c>
      <c r="AH11198">
        <v>1</v>
      </c>
      <c r="AI11198">
        <v>1</v>
      </c>
      <c r="AJ11198">
        <v>1</v>
      </c>
      <c r="AK11198">
        <v>1</v>
      </c>
      <c r="AL11198">
        <v>1</v>
      </c>
      <c r="AM11198">
        <v>1</v>
      </c>
    </row>
    <row r="11199" spans="1:39" x14ac:dyDescent="0.2">
      <c r="A11199" t="str">
        <f>"11195"</f>
        <v>11195</v>
      </c>
      <c r="B11199" t="str">
        <f t="shared" si="623"/>
        <v>1</v>
      </c>
      <c r="C11199" t="str">
        <f t="shared" si="622"/>
        <v>224</v>
      </c>
      <c r="D11199" t="str">
        <f>"6"</f>
        <v>6</v>
      </c>
      <c r="E11199" t="str">
        <f>"1-224-6"</f>
        <v>1-224-6</v>
      </c>
      <c r="F11199" t="s">
        <v>65</v>
      </c>
      <c r="G11199" t="s">
        <v>66</v>
      </c>
      <c r="H11199" t="s">
        <v>67</v>
      </c>
      <c r="S11199">
        <v>1</v>
      </c>
      <c r="T11199">
        <v>0</v>
      </c>
      <c r="U11199">
        <v>0</v>
      </c>
      <c r="V11199">
        <v>0</v>
      </c>
      <c r="W11199">
        <v>1</v>
      </c>
      <c r="X11199">
        <v>0</v>
      </c>
      <c r="Y11199">
        <v>0</v>
      </c>
      <c r="Z11199">
        <v>1</v>
      </c>
      <c r="AA11199">
        <v>0</v>
      </c>
      <c r="AB11199">
        <v>1</v>
      </c>
      <c r="AC11199">
        <v>0</v>
      </c>
      <c r="AD11199">
        <v>1</v>
      </c>
      <c r="AE11199">
        <v>1</v>
      </c>
      <c r="AF11199">
        <v>1</v>
      </c>
      <c r="AG11199">
        <v>1</v>
      </c>
      <c r="AH11199">
        <v>1</v>
      </c>
      <c r="AI11199">
        <v>1</v>
      </c>
      <c r="AJ11199">
        <v>1</v>
      </c>
      <c r="AK11199">
        <v>1</v>
      </c>
      <c r="AL11199">
        <v>1</v>
      </c>
      <c r="AM11199">
        <v>1</v>
      </c>
    </row>
    <row r="11200" spans="1:39" x14ac:dyDescent="0.2">
      <c r="A11200" t="str">
        <f>"11196"</f>
        <v>11196</v>
      </c>
      <c r="B11200" t="str">
        <f t="shared" si="623"/>
        <v>1</v>
      </c>
      <c r="C11200" t="str">
        <f t="shared" si="622"/>
        <v>224</v>
      </c>
      <c r="D11200" t="str">
        <f>"49"</f>
        <v>49</v>
      </c>
      <c r="E11200" t="str">
        <f>"1-224-49"</f>
        <v>1-224-49</v>
      </c>
      <c r="F11200" t="s">
        <v>65</v>
      </c>
      <c r="G11200" t="s">
        <v>66</v>
      </c>
      <c r="H11200" t="s">
        <v>67</v>
      </c>
      <c r="S11200">
        <v>0</v>
      </c>
      <c r="T11200">
        <v>1</v>
      </c>
      <c r="U11200">
        <v>0</v>
      </c>
      <c r="V11200">
        <v>0</v>
      </c>
      <c r="W11200">
        <v>1</v>
      </c>
      <c r="X11200">
        <v>0</v>
      </c>
      <c r="Y11200">
        <v>1</v>
      </c>
      <c r="Z11200">
        <v>0</v>
      </c>
      <c r="AA11200">
        <v>0</v>
      </c>
      <c r="AB11200">
        <v>1</v>
      </c>
      <c r="AC11200">
        <v>0</v>
      </c>
      <c r="AD11200">
        <v>1</v>
      </c>
      <c r="AE11200">
        <v>1</v>
      </c>
      <c r="AF11200">
        <v>1</v>
      </c>
      <c r="AG11200">
        <v>1</v>
      </c>
      <c r="AH11200">
        <v>1</v>
      </c>
      <c r="AI11200">
        <v>1</v>
      </c>
      <c r="AJ11200">
        <v>1</v>
      </c>
      <c r="AK11200">
        <v>1</v>
      </c>
      <c r="AL11200">
        <v>1</v>
      </c>
      <c r="AM11200">
        <v>1</v>
      </c>
    </row>
    <row r="11201" spans="1:39" x14ac:dyDescent="0.2">
      <c r="A11201" t="str">
        <f>"11197"</f>
        <v>11197</v>
      </c>
      <c r="B11201" t="str">
        <f t="shared" si="623"/>
        <v>1</v>
      </c>
      <c r="C11201" t="str">
        <f t="shared" si="622"/>
        <v>224</v>
      </c>
      <c r="D11201" t="str">
        <f>"31"</f>
        <v>31</v>
      </c>
      <c r="E11201" t="str">
        <f>"1-224-31"</f>
        <v>1-224-31</v>
      </c>
      <c r="F11201" t="s">
        <v>65</v>
      </c>
      <c r="G11201" t="s">
        <v>66</v>
      </c>
      <c r="H11201" t="s">
        <v>67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1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</row>
    <row r="11202" spans="1:39" x14ac:dyDescent="0.2">
      <c r="A11202" t="str">
        <f>"11198"</f>
        <v>11198</v>
      </c>
      <c r="B11202" t="str">
        <f t="shared" si="623"/>
        <v>1</v>
      </c>
      <c r="C11202" t="str">
        <f t="shared" si="622"/>
        <v>224</v>
      </c>
      <c r="D11202" t="str">
        <f>"7"</f>
        <v>7</v>
      </c>
      <c r="E11202" t="str">
        <f>"1-224-7"</f>
        <v>1-224-7</v>
      </c>
      <c r="F11202" t="s">
        <v>65</v>
      </c>
      <c r="G11202" t="s">
        <v>66</v>
      </c>
      <c r="H11202" t="s">
        <v>67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1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1</v>
      </c>
      <c r="AF11202">
        <v>1</v>
      </c>
      <c r="AG11202">
        <v>1</v>
      </c>
      <c r="AH11202">
        <v>1</v>
      </c>
      <c r="AI11202">
        <v>1</v>
      </c>
      <c r="AJ11202">
        <v>1</v>
      </c>
      <c r="AK11202">
        <v>1</v>
      </c>
      <c r="AL11202">
        <v>1</v>
      </c>
      <c r="AM11202">
        <v>1</v>
      </c>
    </row>
    <row r="11203" spans="1:39" x14ac:dyDescent="0.2">
      <c r="A11203" t="str">
        <f>"11199"</f>
        <v>11199</v>
      </c>
      <c r="B11203" t="str">
        <f t="shared" si="623"/>
        <v>1</v>
      </c>
      <c r="C11203" t="str">
        <f t="shared" si="622"/>
        <v>224</v>
      </c>
      <c r="D11203" t="str">
        <f>"13"</f>
        <v>13</v>
      </c>
      <c r="E11203" t="str">
        <f>"1-224-13"</f>
        <v>1-224-13</v>
      </c>
      <c r="F11203" t="s">
        <v>65</v>
      </c>
      <c r="G11203" t="s">
        <v>66</v>
      </c>
      <c r="H11203" t="s">
        <v>67</v>
      </c>
      <c r="S11203">
        <v>0</v>
      </c>
      <c r="T11203">
        <v>1</v>
      </c>
      <c r="U11203">
        <v>0</v>
      </c>
      <c r="V11203">
        <v>0</v>
      </c>
      <c r="W11203">
        <v>1</v>
      </c>
      <c r="X11203">
        <v>0</v>
      </c>
      <c r="Y11203">
        <v>0</v>
      </c>
      <c r="Z11203">
        <v>1</v>
      </c>
      <c r="AA11203">
        <v>1</v>
      </c>
      <c r="AB11203">
        <v>0</v>
      </c>
      <c r="AC11203">
        <v>0</v>
      </c>
      <c r="AD11203">
        <v>1</v>
      </c>
      <c r="AE11203">
        <v>1</v>
      </c>
      <c r="AF11203">
        <v>1</v>
      </c>
      <c r="AG11203">
        <v>1</v>
      </c>
      <c r="AH11203">
        <v>1</v>
      </c>
      <c r="AI11203">
        <v>1</v>
      </c>
      <c r="AJ11203">
        <v>1</v>
      </c>
      <c r="AK11203">
        <v>1</v>
      </c>
      <c r="AL11203">
        <v>1</v>
      </c>
      <c r="AM11203">
        <v>1</v>
      </c>
    </row>
    <row r="11204" spans="1:39" x14ac:dyDescent="0.2">
      <c r="A11204" t="str">
        <f>"11200"</f>
        <v>11200</v>
      </c>
      <c r="B11204" t="str">
        <f t="shared" si="623"/>
        <v>1</v>
      </c>
      <c r="C11204" t="str">
        <f t="shared" si="622"/>
        <v>224</v>
      </c>
      <c r="D11204" t="str">
        <f>"32"</f>
        <v>32</v>
      </c>
      <c r="E11204" t="str">
        <f>"1-224-32"</f>
        <v>1-224-32</v>
      </c>
      <c r="F11204" t="s">
        <v>65</v>
      </c>
      <c r="G11204" t="s">
        <v>66</v>
      </c>
      <c r="H11204" t="s">
        <v>67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1</v>
      </c>
      <c r="Y11204">
        <v>0</v>
      </c>
      <c r="Z11204">
        <v>0</v>
      </c>
      <c r="AA11204">
        <v>0</v>
      </c>
      <c r="AB11204">
        <v>0</v>
      </c>
      <c r="AC11204">
        <v>1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1</v>
      </c>
      <c r="AJ11204">
        <v>0</v>
      </c>
      <c r="AK11204">
        <v>1</v>
      </c>
      <c r="AL11204">
        <v>1</v>
      </c>
      <c r="AM11204">
        <v>1</v>
      </c>
    </row>
    <row r="11205" spans="1:39" x14ac:dyDescent="0.2">
      <c r="A11205" t="str">
        <f>"11201"</f>
        <v>11201</v>
      </c>
      <c r="B11205" t="str">
        <f t="shared" si="623"/>
        <v>1</v>
      </c>
      <c r="C11205" t="str">
        <f t="shared" ref="C11205:C11236" si="624">"225"</f>
        <v>225</v>
      </c>
      <c r="D11205" t="str">
        <f>"40"</f>
        <v>40</v>
      </c>
      <c r="E11205" t="str">
        <f>"1-225-40"</f>
        <v>1-225-40</v>
      </c>
      <c r="F11205" t="s">
        <v>65</v>
      </c>
      <c r="G11205" t="s">
        <v>66</v>
      </c>
      <c r="H11205" t="s">
        <v>67</v>
      </c>
      <c r="S11205">
        <v>1</v>
      </c>
      <c r="T11205">
        <v>0</v>
      </c>
      <c r="U11205">
        <v>0</v>
      </c>
      <c r="V11205">
        <v>0</v>
      </c>
      <c r="W11205">
        <v>1</v>
      </c>
      <c r="X11205">
        <v>0</v>
      </c>
      <c r="Y11205">
        <v>0</v>
      </c>
      <c r="Z11205">
        <v>0</v>
      </c>
      <c r="AA11205">
        <v>1</v>
      </c>
      <c r="AB11205">
        <v>0</v>
      </c>
      <c r="AC11205">
        <v>0</v>
      </c>
      <c r="AD11205">
        <v>1</v>
      </c>
      <c r="AE11205">
        <v>1</v>
      </c>
      <c r="AF11205">
        <v>1</v>
      </c>
      <c r="AG11205">
        <v>1</v>
      </c>
      <c r="AH11205">
        <v>1</v>
      </c>
      <c r="AI11205">
        <v>1</v>
      </c>
      <c r="AJ11205">
        <v>1</v>
      </c>
      <c r="AK11205">
        <v>1</v>
      </c>
      <c r="AL11205">
        <v>1</v>
      </c>
      <c r="AM11205">
        <v>1</v>
      </c>
    </row>
    <row r="11206" spans="1:39" x14ac:dyDescent="0.2">
      <c r="A11206" t="str">
        <f>"11202"</f>
        <v>11202</v>
      </c>
      <c r="B11206" t="str">
        <f t="shared" si="623"/>
        <v>1</v>
      </c>
      <c r="C11206" t="str">
        <f t="shared" si="624"/>
        <v>225</v>
      </c>
      <c r="D11206" t="str">
        <f>"39"</f>
        <v>39</v>
      </c>
      <c r="E11206" t="str">
        <f>"1-225-39"</f>
        <v>1-225-39</v>
      </c>
      <c r="F11206" t="s">
        <v>65</v>
      </c>
      <c r="G11206" t="s">
        <v>66</v>
      </c>
      <c r="H11206" t="s">
        <v>67</v>
      </c>
      <c r="S11206">
        <v>0</v>
      </c>
      <c r="T11206">
        <v>1</v>
      </c>
      <c r="U11206">
        <v>0</v>
      </c>
      <c r="V11206">
        <v>0</v>
      </c>
      <c r="W11206">
        <v>1</v>
      </c>
      <c r="X11206">
        <v>0</v>
      </c>
      <c r="Y11206">
        <v>1</v>
      </c>
      <c r="Z11206">
        <v>0</v>
      </c>
      <c r="AA11206">
        <v>0</v>
      </c>
      <c r="AB11206">
        <v>0</v>
      </c>
      <c r="AC11206">
        <v>0</v>
      </c>
      <c r="AD11206">
        <v>0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1</v>
      </c>
      <c r="AM11206">
        <v>0</v>
      </c>
    </row>
    <row r="11207" spans="1:39" x14ac:dyDescent="0.2">
      <c r="A11207" t="str">
        <f>"11203"</f>
        <v>11203</v>
      </c>
      <c r="B11207" t="str">
        <f t="shared" si="623"/>
        <v>1</v>
      </c>
      <c r="C11207" t="str">
        <f t="shared" si="624"/>
        <v>225</v>
      </c>
      <c r="D11207" t="str">
        <f>"34"</f>
        <v>34</v>
      </c>
      <c r="E11207" t="str">
        <f>"1-225-34"</f>
        <v>1-225-34</v>
      </c>
      <c r="F11207" t="s">
        <v>65</v>
      </c>
      <c r="G11207" t="s">
        <v>66</v>
      </c>
      <c r="H11207" t="s">
        <v>67</v>
      </c>
      <c r="S11207">
        <v>0</v>
      </c>
      <c r="T11207">
        <v>1</v>
      </c>
      <c r="U11207">
        <v>0</v>
      </c>
      <c r="V11207">
        <v>0</v>
      </c>
      <c r="W11207">
        <v>1</v>
      </c>
      <c r="X11207">
        <v>0</v>
      </c>
      <c r="Y11207">
        <v>1</v>
      </c>
      <c r="Z11207">
        <v>0</v>
      </c>
      <c r="AA11207">
        <v>1</v>
      </c>
      <c r="AB11207">
        <v>0</v>
      </c>
      <c r="AC11207">
        <v>0</v>
      </c>
      <c r="AD11207">
        <v>1</v>
      </c>
      <c r="AE11207">
        <v>1</v>
      </c>
      <c r="AF11207">
        <v>1</v>
      </c>
      <c r="AG11207">
        <v>1</v>
      </c>
      <c r="AH11207">
        <v>1</v>
      </c>
      <c r="AI11207">
        <v>1</v>
      </c>
      <c r="AJ11207">
        <v>1</v>
      </c>
      <c r="AK11207">
        <v>1</v>
      </c>
      <c r="AL11207">
        <v>1</v>
      </c>
      <c r="AM11207">
        <v>1</v>
      </c>
    </row>
    <row r="11208" spans="1:39" x14ac:dyDescent="0.2">
      <c r="A11208" t="str">
        <f>"11204"</f>
        <v>11204</v>
      </c>
      <c r="B11208" t="str">
        <f t="shared" si="623"/>
        <v>1</v>
      </c>
      <c r="C11208" t="str">
        <f t="shared" si="624"/>
        <v>225</v>
      </c>
      <c r="D11208" t="str">
        <f>"33"</f>
        <v>33</v>
      </c>
      <c r="E11208" t="str">
        <f>"1-225-33"</f>
        <v>1-225-33</v>
      </c>
      <c r="F11208" t="s">
        <v>65</v>
      </c>
      <c r="G11208" t="s">
        <v>66</v>
      </c>
      <c r="H11208" t="s">
        <v>67</v>
      </c>
      <c r="S11208">
        <v>0</v>
      </c>
      <c r="T11208">
        <v>1</v>
      </c>
      <c r="U11208">
        <v>0</v>
      </c>
      <c r="V11208">
        <v>0</v>
      </c>
      <c r="W11208">
        <v>1</v>
      </c>
      <c r="X11208">
        <v>0</v>
      </c>
      <c r="Y11208">
        <v>1</v>
      </c>
      <c r="Z11208">
        <v>0</v>
      </c>
      <c r="AA11208">
        <v>0</v>
      </c>
      <c r="AB11208">
        <v>1</v>
      </c>
      <c r="AC11208">
        <v>0</v>
      </c>
      <c r="AD11208">
        <v>1</v>
      </c>
      <c r="AE11208">
        <v>1</v>
      </c>
      <c r="AF11208">
        <v>1</v>
      </c>
      <c r="AG11208">
        <v>1</v>
      </c>
      <c r="AH11208">
        <v>0</v>
      </c>
      <c r="AI11208">
        <v>1</v>
      </c>
      <c r="AJ11208">
        <v>1</v>
      </c>
      <c r="AK11208">
        <v>1</v>
      </c>
      <c r="AL11208">
        <v>1</v>
      </c>
      <c r="AM11208">
        <v>1</v>
      </c>
    </row>
    <row r="11209" spans="1:39" x14ac:dyDescent="0.2">
      <c r="A11209" t="str">
        <f>"11205"</f>
        <v>11205</v>
      </c>
      <c r="B11209" t="str">
        <f t="shared" si="623"/>
        <v>1</v>
      </c>
      <c r="C11209" t="str">
        <f t="shared" si="624"/>
        <v>225</v>
      </c>
      <c r="D11209" t="str">
        <f>"20"</f>
        <v>20</v>
      </c>
      <c r="E11209" t="str">
        <f>"1-225-20"</f>
        <v>1-225-20</v>
      </c>
      <c r="F11209" t="s">
        <v>65</v>
      </c>
      <c r="G11209" t="s">
        <v>66</v>
      </c>
      <c r="H11209" t="s">
        <v>68</v>
      </c>
      <c r="I11209">
        <v>1</v>
      </c>
      <c r="J11209">
        <v>1</v>
      </c>
      <c r="K11209">
        <v>0</v>
      </c>
      <c r="L11209">
        <v>0</v>
      </c>
      <c r="M11209">
        <v>1</v>
      </c>
      <c r="N11209">
        <v>1</v>
      </c>
      <c r="O11209">
        <v>1</v>
      </c>
      <c r="P11209">
        <v>1</v>
      </c>
      <c r="Q11209">
        <v>1</v>
      </c>
      <c r="R11209">
        <v>1</v>
      </c>
    </row>
    <row r="11210" spans="1:39" x14ac:dyDescent="0.2">
      <c r="A11210" t="str">
        <f>"11206"</f>
        <v>11206</v>
      </c>
      <c r="B11210" t="str">
        <f t="shared" si="623"/>
        <v>1</v>
      </c>
      <c r="C11210" t="str">
        <f t="shared" si="624"/>
        <v>225</v>
      </c>
      <c r="D11210" t="str">
        <f>"19"</f>
        <v>19</v>
      </c>
      <c r="E11210" t="str">
        <f>"1-225-19"</f>
        <v>1-225-19</v>
      </c>
      <c r="F11210" t="s">
        <v>65</v>
      </c>
      <c r="G11210" t="s">
        <v>66</v>
      </c>
      <c r="H11210" t="s">
        <v>68</v>
      </c>
      <c r="I11210">
        <v>1</v>
      </c>
      <c r="J11210">
        <v>0</v>
      </c>
      <c r="K11210">
        <v>0</v>
      </c>
      <c r="L11210">
        <v>1</v>
      </c>
      <c r="M11210">
        <v>1</v>
      </c>
      <c r="N11210">
        <v>1</v>
      </c>
      <c r="O11210">
        <v>1</v>
      </c>
      <c r="P11210">
        <v>1</v>
      </c>
      <c r="Q11210">
        <v>1</v>
      </c>
      <c r="R11210">
        <v>1</v>
      </c>
    </row>
    <row r="11211" spans="1:39" x14ac:dyDescent="0.2">
      <c r="A11211" t="str">
        <f>"11207"</f>
        <v>11207</v>
      </c>
      <c r="B11211" t="str">
        <f t="shared" si="623"/>
        <v>1</v>
      </c>
      <c r="C11211" t="str">
        <f t="shared" si="624"/>
        <v>225</v>
      </c>
      <c r="D11211" t="str">
        <f>"17"</f>
        <v>17</v>
      </c>
      <c r="E11211" t="str">
        <f>"1-225-17"</f>
        <v>1-225-17</v>
      </c>
      <c r="F11211" t="s">
        <v>65</v>
      </c>
      <c r="G11211" t="s">
        <v>66</v>
      </c>
      <c r="H11211" t="s">
        <v>67</v>
      </c>
      <c r="S11211">
        <v>0</v>
      </c>
      <c r="T11211">
        <v>0</v>
      </c>
      <c r="U11211">
        <v>0</v>
      </c>
      <c r="V11211">
        <v>0</v>
      </c>
      <c r="W11211">
        <v>1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1</v>
      </c>
      <c r="AI11211">
        <v>1</v>
      </c>
      <c r="AJ11211">
        <v>1</v>
      </c>
      <c r="AK11211">
        <v>1</v>
      </c>
      <c r="AL11211">
        <v>1</v>
      </c>
      <c r="AM11211">
        <v>1</v>
      </c>
    </row>
    <row r="11212" spans="1:39" x14ac:dyDescent="0.2">
      <c r="A11212" t="str">
        <f>"11208"</f>
        <v>11208</v>
      </c>
      <c r="B11212" t="str">
        <f t="shared" si="623"/>
        <v>1</v>
      </c>
      <c r="C11212" t="str">
        <f t="shared" si="624"/>
        <v>225</v>
      </c>
      <c r="D11212" t="str">
        <f>"15"</f>
        <v>15</v>
      </c>
      <c r="E11212" t="str">
        <f>"1-225-15"</f>
        <v>1-225-15</v>
      </c>
      <c r="F11212" t="s">
        <v>65</v>
      </c>
      <c r="G11212" t="s">
        <v>66</v>
      </c>
      <c r="H11212" t="s">
        <v>67</v>
      </c>
      <c r="S11212">
        <v>1</v>
      </c>
      <c r="T11212">
        <v>0</v>
      </c>
      <c r="U11212">
        <v>0</v>
      </c>
      <c r="V11212">
        <v>0</v>
      </c>
      <c r="W11212">
        <v>1</v>
      </c>
      <c r="X11212">
        <v>0</v>
      </c>
      <c r="Y11212">
        <v>1</v>
      </c>
      <c r="Z11212">
        <v>0</v>
      </c>
      <c r="AA11212">
        <v>1</v>
      </c>
      <c r="AB11212">
        <v>0</v>
      </c>
      <c r="AC11212">
        <v>0</v>
      </c>
      <c r="AD11212">
        <v>1</v>
      </c>
      <c r="AE11212">
        <v>1</v>
      </c>
      <c r="AF11212">
        <v>1</v>
      </c>
      <c r="AG11212">
        <v>1</v>
      </c>
      <c r="AH11212">
        <v>1</v>
      </c>
      <c r="AI11212">
        <v>1</v>
      </c>
      <c r="AJ11212">
        <v>1</v>
      </c>
      <c r="AK11212">
        <v>1</v>
      </c>
      <c r="AL11212">
        <v>1</v>
      </c>
      <c r="AM11212">
        <v>1</v>
      </c>
    </row>
    <row r="11213" spans="1:39" x14ac:dyDescent="0.2">
      <c r="A11213" t="str">
        <f>"11209"</f>
        <v>11209</v>
      </c>
      <c r="B11213" t="str">
        <f t="shared" si="623"/>
        <v>1</v>
      </c>
      <c r="C11213" t="str">
        <f t="shared" si="624"/>
        <v>225</v>
      </c>
      <c r="D11213" t="str">
        <f>"5"</f>
        <v>5</v>
      </c>
      <c r="E11213" t="str">
        <f>"1-225-5"</f>
        <v>1-225-5</v>
      </c>
      <c r="F11213" t="s">
        <v>65</v>
      </c>
      <c r="G11213" t="s">
        <v>66</v>
      </c>
      <c r="H11213" t="s">
        <v>67</v>
      </c>
      <c r="S11213">
        <v>0</v>
      </c>
      <c r="T11213">
        <v>1</v>
      </c>
      <c r="U11213">
        <v>0</v>
      </c>
      <c r="V11213">
        <v>0</v>
      </c>
      <c r="W11213">
        <v>1</v>
      </c>
      <c r="X11213">
        <v>0</v>
      </c>
      <c r="Y11213">
        <v>0</v>
      </c>
      <c r="Z11213">
        <v>1</v>
      </c>
      <c r="AA11213">
        <v>0</v>
      </c>
      <c r="AB11213">
        <v>1</v>
      </c>
      <c r="AC11213">
        <v>0</v>
      </c>
      <c r="AD11213">
        <v>1</v>
      </c>
      <c r="AE11213">
        <v>1</v>
      </c>
      <c r="AF11213">
        <v>1</v>
      </c>
      <c r="AG11213">
        <v>1</v>
      </c>
      <c r="AH11213">
        <v>1</v>
      </c>
      <c r="AI11213">
        <v>1</v>
      </c>
      <c r="AJ11213">
        <v>1</v>
      </c>
      <c r="AK11213">
        <v>1</v>
      </c>
      <c r="AL11213">
        <v>1</v>
      </c>
      <c r="AM11213">
        <v>1</v>
      </c>
    </row>
    <row r="11214" spans="1:39" x14ac:dyDescent="0.2">
      <c r="A11214" t="str">
        <f>"11210"</f>
        <v>11210</v>
      </c>
      <c r="B11214" t="str">
        <f t="shared" si="623"/>
        <v>1</v>
      </c>
      <c r="C11214" t="str">
        <f t="shared" si="624"/>
        <v>225</v>
      </c>
      <c r="D11214" t="str">
        <f>"37"</f>
        <v>37</v>
      </c>
      <c r="E11214" t="str">
        <f>"1-225-37"</f>
        <v>1-225-37</v>
      </c>
      <c r="F11214" t="s">
        <v>65</v>
      </c>
      <c r="G11214" t="s">
        <v>66</v>
      </c>
      <c r="H11214" t="s">
        <v>67</v>
      </c>
      <c r="S11214">
        <v>0</v>
      </c>
      <c r="T11214">
        <v>1</v>
      </c>
      <c r="U11214">
        <v>0</v>
      </c>
      <c r="V11214">
        <v>0</v>
      </c>
      <c r="W11214">
        <v>1</v>
      </c>
      <c r="X11214">
        <v>0</v>
      </c>
      <c r="Y11214">
        <v>1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1</v>
      </c>
      <c r="AM11214">
        <v>0</v>
      </c>
    </row>
    <row r="11215" spans="1:39" x14ac:dyDescent="0.2">
      <c r="A11215" t="str">
        <f>"11211"</f>
        <v>11211</v>
      </c>
      <c r="B11215" t="str">
        <f t="shared" si="623"/>
        <v>1</v>
      </c>
      <c r="C11215" t="str">
        <f t="shared" si="624"/>
        <v>225</v>
      </c>
      <c r="D11215" t="str">
        <f>"36"</f>
        <v>36</v>
      </c>
      <c r="E11215" t="str">
        <f>"1-225-36"</f>
        <v>1-225-36</v>
      </c>
      <c r="F11215" t="s">
        <v>65</v>
      </c>
      <c r="G11215" t="s">
        <v>66</v>
      </c>
      <c r="H11215" t="s">
        <v>67</v>
      </c>
      <c r="S11215">
        <v>0</v>
      </c>
      <c r="T11215">
        <v>1</v>
      </c>
      <c r="U11215">
        <v>0</v>
      </c>
      <c r="V11215">
        <v>0</v>
      </c>
      <c r="W11215">
        <v>1</v>
      </c>
      <c r="X11215">
        <v>0</v>
      </c>
      <c r="Y11215">
        <v>1</v>
      </c>
      <c r="Z11215">
        <v>0</v>
      </c>
      <c r="AA11215">
        <v>0</v>
      </c>
      <c r="AB11215">
        <v>1</v>
      </c>
      <c r="AC11215">
        <v>0</v>
      </c>
      <c r="AD11215">
        <v>1</v>
      </c>
      <c r="AE11215">
        <v>1</v>
      </c>
      <c r="AF11215">
        <v>1</v>
      </c>
      <c r="AG11215">
        <v>1</v>
      </c>
      <c r="AH11215">
        <v>1</v>
      </c>
      <c r="AI11215">
        <v>1</v>
      </c>
      <c r="AJ11215">
        <v>1</v>
      </c>
      <c r="AK11215">
        <v>1</v>
      </c>
      <c r="AL11215">
        <v>1</v>
      </c>
      <c r="AM11215">
        <v>1</v>
      </c>
    </row>
    <row r="11216" spans="1:39" x14ac:dyDescent="0.2">
      <c r="A11216" t="str">
        <f>"11212"</f>
        <v>11212</v>
      </c>
      <c r="B11216" t="str">
        <f t="shared" si="623"/>
        <v>1</v>
      </c>
      <c r="C11216" t="str">
        <f t="shared" si="624"/>
        <v>225</v>
      </c>
      <c r="D11216" t="str">
        <f>"29"</f>
        <v>29</v>
      </c>
      <c r="E11216" t="str">
        <f>"1-225-29"</f>
        <v>1-225-29</v>
      </c>
      <c r="F11216" t="s">
        <v>65</v>
      </c>
      <c r="G11216" t="s">
        <v>66</v>
      </c>
      <c r="H11216" t="s">
        <v>67</v>
      </c>
      <c r="S11216">
        <v>0</v>
      </c>
      <c r="T11216">
        <v>1</v>
      </c>
      <c r="U11216">
        <v>0</v>
      </c>
      <c r="V11216">
        <v>0</v>
      </c>
      <c r="W11216">
        <v>1</v>
      </c>
      <c r="X11216">
        <v>0</v>
      </c>
      <c r="Y11216">
        <v>0</v>
      </c>
      <c r="Z11216">
        <v>1</v>
      </c>
      <c r="AA11216">
        <v>1</v>
      </c>
      <c r="AB11216">
        <v>0</v>
      </c>
      <c r="AC11216">
        <v>0</v>
      </c>
      <c r="AD11216">
        <v>1</v>
      </c>
      <c r="AE11216">
        <v>1</v>
      </c>
      <c r="AF11216">
        <v>1</v>
      </c>
      <c r="AG11216">
        <v>1</v>
      </c>
      <c r="AH11216">
        <v>1</v>
      </c>
      <c r="AI11216">
        <v>1</v>
      </c>
      <c r="AJ11216">
        <v>1</v>
      </c>
      <c r="AK11216">
        <v>1</v>
      </c>
      <c r="AL11216">
        <v>1</v>
      </c>
      <c r="AM11216">
        <v>1</v>
      </c>
    </row>
    <row r="11217" spans="1:39" x14ac:dyDescent="0.2">
      <c r="A11217" t="str">
        <f>"11213"</f>
        <v>11213</v>
      </c>
      <c r="B11217" t="str">
        <f t="shared" si="623"/>
        <v>1</v>
      </c>
      <c r="C11217" t="str">
        <f t="shared" si="624"/>
        <v>225</v>
      </c>
      <c r="D11217" t="str">
        <f>"16"</f>
        <v>16</v>
      </c>
      <c r="E11217" t="str">
        <f>"1-225-16"</f>
        <v>1-225-16</v>
      </c>
      <c r="F11217" t="s">
        <v>65</v>
      </c>
      <c r="G11217" t="s">
        <v>66</v>
      </c>
      <c r="H11217" t="s">
        <v>67</v>
      </c>
      <c r="S11217">
        <v>1</v>
      </c>
      <c r="T11217">
        <v>0</v>
      </c>
      <c r="U11217">
        <v>0</v>
      </c>
      <c r="V11217">
        <v>0</v>
      </c>
      <c r="W11217">
        <v>1</v>
      </c>
      <c r="X11217">
        <v>0</v>
      </c>
      <c r="Y11217">
        <v>1</v>
      </c>
      <c r="Z11217">
        <v>0</v>
      </c>
      <c r="AA11217">
        <v>1</v>
      </c>
      <c r="AB11217">
        <v>0</v>
      </c>
      <c r="AC11217">
        <v>0</v>
      </c>
      <c r="AD11217">
        <v>1</v>
      </c>
      <c r="AE11217">
        <v>1</v>
      </c>
      <c r="AF11217">
        <v>1</v>
      </c>
      <c r="AG11217">
        <v>1</v>
      </c>
      <c r="AH11217">
        <v>1</v>
      </c>
      <c r="AI11217">
        <v>1</v>
      </c>
      <c r="AJ11217">
        <v>1</v>
      </c>
      <c r="AK11217">
        <v>1</v>
      </c>
      <c r="AL11217">
        <v>1</v>
      </c>
      <c r="AM11217">
        <v>1</v>
      </c>
    </row>
    <row r="11218" spans="1:39" x14ac:dyDescent="0.2">
      <c r="A11218" t="str">
        <f>"11214"</f>
        <v>11214</v>
      </c>
      <c r="B11218" t="str">
        <f t="shared" si="623"/>
        <v>1</v>
      </c>
      <c r="C11218" t="str">
        <f t="shared" si="624"/>
        <v>225</v>
      </c>
      <c r="D11218" t="str">
        <f>"3"</f>
        <v>3</v>
      </c>
      <c r="E11218" t="str">
        <f>"1-225-3"</f>
        <v>1-225-3</v>
      </c>
      <c r="F11218" t="s">
        <v>65</v>
      </c>
      <c r="G11218" t="s">
        <v>66</v>
      </c>
      <c r="H11218" t="s">
        <v>67</v>
      </c>
      <c r="S11218">
        <v>0</v>
      </c>
      <c r="T11218">
        <v>1</v>
      </c>
      <c r="U11218">
        <v>0</v>
      </c>
      <c r="V11218">
        <v>0</v>
      </c>
      <c r="W11218">
        <v>1</v>
      </c>
      <c r="X11218">
        <v>0</v>
      </c>
      <c r="Y11218">
        <v>0</v>
      </c>
      <c r="Z11218">
        <v>1</v>
      </c>
      <c r="AA11218">
        <v>0</v>
      </c>
      <c r="AB11218">
        <v>0</v>
      </c>
      <c r="AC11218">
        <v>0</v>
      </c>
      <c r="AD11218">
        <v>1</v>
      </c>
      <c r="AE11218">
        <v>1</v>
      </c>
      <c r="AF11218">
        <v>1</v>
      </c>
      <c r="AG11218">
        <v>1</v>
      </c>
      <c r="AH11218">
        <v>1</v>
      </c>
      <c r="AI11218">
        <v>1</v>
      </c>
      <c r="AJ11218">
        <v>1</v>
      </c>
      <c r="AK11218">
        <v>1</v>
      </c>
      <c r="AL11218">
        <v>1</v>
      </c>
      <c r="AM11218">
        <v>1</v>
      </c>
    </row>
    <row r="11219" spans="1:39" x14ac:dyDescent="0.2">
      <c r="A11219" t="str">
        <f>"11215"</f>
        <v>11215</v>
      </c>
      <c r="B11219" t="str">
        <f t="shared" si="623"/>
        <v>1</v>
      </c>
      <c r="C11219" t="str">
        <f t="shared" si="624"/>
        <v>225</v>
      </c>
      <c r="D11219" t="str">
        <f>"44"</f>
        <v>44</v>
      </c>
      <c r="E11219" t="str">
        <f>"1-225-44"</f>
        <v>1-225-44</v>
      </c>
      <c r="F11219" t="s">
        <v>65</v>
      </c>
      <c r="G11219" t="s">
        <v>66</v>
      </c>
      <c r="H11219" t="s">
        <v>67</v>
      </c>
      <c r="S11219">
        <v>1</v>
      </c>
      <c r="T11219">
        <v>0</v>
      </c>
      <c r="U11219">
        <v>0</v>
      </c>
      <c r="V11219">
        <v>0</v>
      </c>
      <c r="W11219">
        <v>1</v>
      </c>
      <c r="X11219">
        <v>0</v>
      </c>
      <c r="Y11219">
        <v>1</v>
      </c>
      <c r="Z11219">
        <v>0</v>
      </c>
      <c r="AA11219">
        <v>0</v>
      </c>
      <c r="AB11219">
        <v>0</v>
      </c>
      <c r="AC11219">
        <v>1</v>
      </c>
      <c r="AD11219">
        <v>1</v>
      </c>
      <c r="AE11219">
        <v>1</v>
      </c>
      <c r="AF11219">
        <v>1</v>
      </c>
      <c r="AG11219">
        <v>1</v>
      </c>
      <c r="AH11219">
        <v>1</v>
      </c>
      <c r="AI11219">
        <v>1</v>
      </c>
      <c r="AJ11219">
        <v>1</v>
      </c>
      <c r="AK11219">
        <v>1</v>
      </c>
      <c r="AL11219">
        <v>1</v>
      </c>
      <c r="AM11219">
        <v>1</v>
      </c>
    </row>
    <row r="11220" spans="1:39" x14ac:dyDescent="0.2">
      <c r="A11220" t="str">
        <f>"11216"</f>
        <v>11216</v>
      </c>
      <c r="B11220" t="str">
        <f t="shared" si="623"/>
        <v>1</v>
      </c>
      <c r="C11220" t="str">
        <f t="shared" si="624"/>
        <v>225</v>
      </c>
      <c r="D11220" t="str">
        <f>"43"</f>
        <v>43</v>
      </c>
      <c r="E11220" t="str">
        <f>"1-225-43"</f>
        <v>1-225-43</v>
      </c>
      <c r="F11220" t="s">
        <v>65</v>
      </c>
      <c r="G11220" t="s">
        <v>66</v>
      </c>
      <c r="H11220" t="s">
        <v>67</v>
      </c>
      <c r="S11220">
        <v>0</v>
      </c>
      <c r="T11220">
        <v>1</v>
      </c>
      <c r="U11220">
        <v>0</v>
      </c>
      <c r="V11220">
        <v>0</v>
      </c>
      <c r="W11220">
        <v>1</v>
      </c>
      <c r="X11220">
        <v>0</v>
      </c>
      <c r="Y11220">
        <v>0</v>
      </c>
      <c r="Z11220">
        <v>1</v>
      </c>
      <c r="AA11220">
        <v>0</v>
      </c>
      <c r="AB11220">
        <v>1</v>
      </c>
      <c r="AC11220">
        <v>0</v>
      </c>
      <c r="AD11220">
        <v>1</v>
      </c>
      <c r="AE11220">
        <v>1</v>
      </c>
      <c r="AF11220">
        <v>1</v>
      </c>
      <c r="AG11220">
        <v>1</v>
      </c>
      <c r="AH11220">
        <v>1</v>
      </c>
      <c r="AI11220">
        <v>1</v>
      </c>
      <c r="AJ11220">
        <v>1</v>
      </c>
      <c r="AK11220">
        <v>1</v>
      </c>
      <c r="AL11220">
        <v>1</v>
      </c>
      <c r="AM11220">
        <v>1</v>
      </c>
    </row>
    <row r="11221" spans="1:39" x14ac:dyDescent="0.2">
      <c r="A11221" t="str">
        <f>"11217"</f>
        <v>11217</v>
      </c>
      <c r="B11221" t="str">
        <f t="shared" si="623"/>
        <v>1</v>
      </c>
      <c r="C11221" t="str">
        <f t="shared" si="624"/>
        <v>225</v>
      </c>
      <c r="D11221" t="str">
        <f>"35"</f>
        <v>35</v>
      </c>
      <c r="E11221" t="str">
        <f>"1-225-35"</f>
        <v>1-225-35</v>
      </c>
      <c r="F11221" t="s">
        <v>65</v>
      </c>
      <c r="G11221" t="s">
        <v>66</v>
      </c>
      <c r="H11221" t="s">
        <v>67</v>
      </c>
      <c r="S11221">
        <v>1</v>
      </c>
      <c r="T11221">
        <v>0</v>
      </c>
      <c r="U11221">
        <v>0</v>
      </c>
      <c r="V11221">
        <v>0</v>
      </c>
      <c r="W11221">
        <v>1</v>
      </c>
      <c r="X11221">
        <v>0</v>
      </c>
      <c r="Y11221">
        <v>1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</row>
    <row r="11222" spans="1:39" x14ac:dyDescent="0.2">
      <c r="A11222" t="str">
        <f>"11218"</f>
        <v>11218</v>
      </c>
      <c r="B11222" t="str">
        <f t="shared" si="623"/>
        <v>1</v>
      </c>
      <c r="C11222" t="str">
        <f t="shared" si="624"/>
        <v>225</v>
      </c>
      <c r="D11222" t="str">
        <f>"18"</f>
        <v>18</v>
      </c>
      <c r="E11222" t="str">
        <f>"1-225-18"</f>
        <v>1-225-18</v>
      </c>
      <c r="F11222" t="s">
        <v>65</v>
      </c>
      <c r="G11222" t="s">
        <v>66</v>
      </c>
      <c r="H11222" t="s">
        <v>68</v>
      </c>
      <c r="I11222">
        <v>1</v>
      </c>
      <c r="J11222">
        <v>0</v>
      </c>
      <c r="K11222">
        <v>0</v>
      </c>
      <c r="L11222">
        <v>1</v>
      </c>
      <c r="M11222">
        <v>1</v>
      </c>
      <c r="N11222">
        <v>1</v>
      </c>
      <c r="O11222">
        <v>1</v>
      </c>
      <c r="P11222">
        <v>1</v>
      </c>
      <c r="Q11222">
        <v>1</v>
      </c>
      <c r="R11222">
        <v>1</v>
      </c>
    </row>
    <row r="11223" spans="1:39" x14ac:dyDescent="0.2">
      <c r="A11223" t="str">
        <f>"11219"</f>
        <v>11219</v>
      </c>
      <c r="B11223" t="str">
        <f t="shared" si="623"/>
        <v>1</v>
      </c>
      <c r="C11223" t="str">
        <f t="shared" si="624"/>
        <v>225</v>
      </c>
      <c r="D11223" t="str">
        <f>"13"</f>
        <v>13</v>
      </c>
      <c r="E11223" t="str">
        <f>"1-225-13"</f>
        <v>1-225-13</v>
      </c>
      <c r="F11223" t="s">
        <v>65</v>
      </c>
      <c r="G11223" t="s">
        <v>66</v>
      </c>
      <c r="H11223" t="s">
        <v>67</v>
      </c>
      <c r="S11223">
        <v>1</v>
      </c>
      <c r="T11223">
        <v>0</v>
      </c>
      <c r="U11223">
        <v>0</v>
      </c>
      <c r="V11223">
        <v>0</v>
      </c>
      <c r="W11223">
        <v>0</v>
      </c>
      <c r="X11223">
        <v>1</v>
      </c>
      <c r="Y11223">
        <v>1</v>
      </c>
      <c r="Z11223">
        <v>0</v>
      </c>
      <c r="AA11223">
        <v>1</v>
      </c>
      <c r="AB11223">
        <v>0</v>
      </c>
      <c r="AC11223">
        <v>0</v>
      </c>
      <c r="AD11223">
        <v>1</v>
      </c>
      <c r="AE11223">
        <v>1</v>
      </c>
      <c r="AF11223">
        <v>1</v>
      </c>
      <c r="AG11223">
        <v>1</v>
      </c>
      <c r="AH11223">
        <v>1</v>
      </c>
      <c r="AI11223">
        <v>1</v>
      </c>
      <c r="AJ11223">
        <v>1</v>
      </c>
      <c r="AK11223">
        <v>1</v>
      </c>
      <c r="AL11223">
        <v>1</v>
      </c>
      <c r="AM11223">
        <v>1</v>
      </c>
    </row>
    <row r="11224" spans="1:39" x14ac:dyDescent="0.2">
      <c r="A11224" t="str">
        <f>"11220"</f>
        <v>11220</v>
      </c>
      <c r="B11224" t="str">
        <f t="shared" si="623"/>
        <v>1</v>
      </c>
      <c r="C11224" t="str">
        <f t="shared" si="624"/>
        <v>225</v>
      </c>
      <c r="D11224" t="str">
        <f>"38"</f>
        <v>38</v>
      </c>
      <c r="E11224" t="str">
        <f>"1-225-38"</f>
        <v>1-225-38</v>
      </c>
      <c r="F11224" t="s">
        <v>65</v>
      </c>
      <c r="G11224" t="s">
        <v>66</v>
      </c>
      <c r="H11224" t="s">
        <v>67</v>
      </c>
      <c r="S11224">
        <v>1</v>
      </c>
      <c r="T11224">
        <v>0</v>
      </c>
      <c r="U11224">
        <v>0</v>
      </c>
      <c r="V11224">
        <v>0</v>
      </c>
      <c r="W11224">
        <v>0</v>
      </c>
      <c r="X11224">
        <v>1</v>
      </c>
      <c r="Y11224">
        <v>0</v>
      </c>
      <c r="Z11224">
        <v>1</v>
      </c>
      <c r="AA11224">
        <v>0</v>
      </c>
      <c r="AB11224">
        <v>0</v>
      </c>
      <c r="AC11224">
        <v>1</v>
      </c>
      <c r="AD11224">
        <v>1</v>
      </c>
      <c r="AE11224">
        <v>1</v>
      </c>
      <c r="AF11224">
        <v>1</v>
      </c>
      <c r="AG11224">
        <v>1</v>
      </c>
      <c r="AH11224">
        <v>1</v>
      </c>
      <c r="AI11224">
        <v>1</v>
      </c>
      <c r="AJ11224">
        <v>1</v>
      </c>
      <c r="AK11224">
        <v>0</v>
      </c>
      <c r="AL11224">
        <v>1</v>
      </c>
      <c r="AM11224">
        <v>1</v>
      </c>
    </row>
    <row r="11225" spans="1:39" x14ac:dyDescent="0.2">
      <c r="A11225" t="str">
        <f>"11221"</f>
        <v>11221</v>
      </c>
      <c r="B11225" t="str">
        <f t="shared" si="623"/>
        <v>1</v>
      </c>
      <c r="C11225" t="str">
        <f t="shared" si="624"/>
        <v>225</v>
      </c>
      <c r="D11225" t="str">
        <f>"21"</f>
        <v>21</v>
      </c>
      <c r="E11225" t="str">
        <f>"1-225-21"</f>
        <v>1-225-21</v>
      </c>
      <c r="F11225" t="s">
        <v>65</v>
      </c>
      <c r="G11225" t="s">
        <v>66</v>
      </c>
      <c r="H11225" t="s">
        <v>67</v>
      </c>
      <c r="S11225">
        <v>0</v>
      </c>
      <c r="T11225">
        <v>1</v>
      </c>
      <c r="U11225">
        <v>0</v>
      </c>
      <c r="V11225">
        <v>0</v>
      </c>
      <c r="W11225">
        <v>0</v>
      </c>
      <c r="X11225">
        <v>1</v>
      </c>
      <c r="Y11225">
        <v>0</v>
      </c>
      <c r="Z11225">
        <v>1</v>
      </c>
      <c r="AA11225">
        <v>0</v>
      </c>
      <c r="AB11225">
        <v>0</v>
      </c>
      <c r="AC11225">
        <v>1</v>
      </c>
      <c r="AD11225">
        <v>1</v>
      </c>
      <c r="AE11225">
        <v>1</v>
      </c>
      <c r="AF11225">
        <v>1</v>
      </c>
      <c r="AG11225">
        <v>1</v>
      </c>
      <c r="AH11225">
        <v>1</v>
      </c>
      <c r="AI11225">
        <v>1</v>
      </c>
      <c r="AJ11225">
        <v>1</v>
      </c>
      <c r="AK11225">
        <v>1</v>
      </c>
      <c r="AL11225">
        <v>1</v>
      </c>
      <c r="AM11225">
        <v>1</v>
      </c>
    </row>
    <row r="11226" spans="1:39" x14ac:dyDescent="0.2">
      <c r="A11226" t="str">
        <f>"11222"</f>
        <v>11222</v>
      </c>
      <c r="B11226" t="str">
        <f t="shared" si="623"/>
        <v>1</v>
      </c>
      <c r="C11226" t="str">
        <f t="shared" si="624"/>
        <v>225</v>
      </c>
      <c r="D11226" t="str">
        <f>"1"</f>
        <v>1</v>
      </c>
      <c r="E11226" t="str">
        <f>"1-225-1"</f>
        <v>1-225-1</v>
      </c>
      <c r="F11226" t="s">
        <v>65</v>
      </c>
      <c r="G11226" t="s">
        <v>66</v>
      </c>
      <c r="H11226" t="s">
        <v>67</v>
      </c>
      <c r="S11226">
        <v>1</v>
      </c>
      <c r="T11226">
        <v>0</v>
      </c>
      <c r="U11226">
        <v>0</v>
      </c>
      <c r="V11226">
        <v>0</v>
      </c>
      <c r="W11226">
        <v>0</v>
      </c>
      <c r="X11226">
        <v>1</v>
      </c>
      <c r="Y11226">
        <v>1</v>
      </c>
      <c r="Z11226">
        <v>0</v>
      </c>
      <c r="AA11226">
        <v>0</v>
      </c>
      <c r="AB11226">
        <v>0</v>
      </c>
      <c r="AC11226">
        <v>1</v>
      </c>
      <c r="AD11226">
        <v>1</v>
      </c>
      <c r="AE11226">
        <v>1</v>
      </c>
      <c r="AF11226">
        <v>1</v>
      </c>
      <c r="AG11226">
        <v>1</v>
      </c>
      <c r="AH11226">
        <v>1</v>
      </c>
      <c r="AI11226">
        <v>1</v>
      </c>
      <c r="AJ11226">
        <v>1</v>
      </c>
      <c r="AK11226">
        <v>1</v>
      </c>
      <c r="AL11226">
        <v>1</v>
      </c>
      <c r="AM11226">
        <v>1</v>
      </c>
    </row>
    <row r="11227" spans="1:39" x14ac:dyDescent="0.2">
      <c r="A11227" t="str">
        <f>"11223"</f>
        <v>11223</v>
      </c>
      <c r="B11227" t="str">
        <f t="shared" si="623"/>
        <v>1</v>
      </c>
      <c r="C11227" t="str">
        <f t="shared" si="624"/>
        <v>225</v>
      </c>
      <c r="D11227" t="str">
        <f>"46"</f>
        <v>46</v>
      </c>
      <c r="E11227" t="str">
        <f>"1-225-46"</f>
        <v>1-225-46</v>
      </c>
      <c r="F11227" t="s">
        <v>65</v>
      </c>
      <c r="G11227" t="s">
        <v>66</v>
      </c>
      <c r="H11227" t="s">
        <v>67</v>
      </c>
      <c r="S11227">
        <v>0</v>
      </c>
      <c r="T11227">
        <v>1</v>
      </c>
      <c r="U11227">
        <v>0</v>
      </c>
      <c r="V11227">
        <v>0</v>
      </c>
      <c r="W11227">
        <v>1</v>
      </c>
      <c r="X11227">
        <v>0</v>
      </c>
      <c r="Y11227">
        <v>1</v>
      </c>
      <c r="Z11227">
        <v>0</v>
      </c>
      <c r="AA11227">
        <v>0</v>
      </c>
      <c r="AB11227">
        <v>1</v>
      </c>
      <c r="AC11227">
        <v>0</v>
      </c>
      <c r="AD11227">
        <v>1</v>
      </c>
      <c r="AE11227">
        <v>1</v>
      </c>
      <c r="AF11227">
        <v>1</v>
      </c>
      <c r="AG11227">
        <v>1</v>
      </c>
      <c r="AH11227">
        <v>1</v>
      </c>
      <c r="AI11227">
        <v>1</v>
      </c>
      <c r="AJ11227">
        <v>1</v>
      </c>
      <c r="AK11227">
        <v>1</v>
      </c>
      <c r="AL11227">
        <v>1</v>
      </c>
      <c r="AM11227">
        <v>1</v>
      </c>
    </row>
    <row r="11228" spans="1:39" x14ac:dyDescent="0.2">
      <c r="A11228" t="str">
        <f>"11224"</f>
        <v>11224</v>
      </c>
      <c r="B11228" t="str">
        <f t="shared" si="623"/>
        <v>1</v>
      </c>
      <c r="C11228" t="str">
        <f t="shared" si="624"/>
        <v>225</v>
      </c>
      <c r="D11228" t="str">
        <f>"22"</f>
        <v>22</v>
      </c>
      <c r="E11228" t="str">
        <f>"1-225-22"</f>
        <v>1-225-22</v>
      </c>
      <c r="F11228" t="s">
        <v>65</v>
      </c>
      <c r="G11228" t="s">
        <v>66</v>
      </c>
      <c r="H11228" t="s">
        <v>67</v>
      </c>
      <c r="S11228">
        <v>0</v>
      </c>
      <c r="T11228">
        <v>1</v>
      </c>
      <c r="U11228">
        <v>0</v>
      </c>
      <c r="V11228">
        <v>0</v>
      </c>
      <c r="W11228">
        <v>1</v>
      </c>
      <c r="X11228">
        <v>0</v>
      </c>
      <c r="Y11228">
        <v>0</v>
      </c>
      <c r="Z11228">
        <v>1</v>
      </c>
      <c r="AA11228">
        <v>0</v>
      </c>
      <c r="AB11228">
        <v>0</v>
      </c>
      <c r="AC11228">
        <v>1</v>
      </c>
      <c r="AD11228">
        <v>1</v>
      </c>
      <c r="AE11228">
        <v>1</v>
      </c>
      <c r="AF11228">
        <v>1</v>
      </c>
      <c r="AG11228">
        <v>1</v>
      </c>
      <c r="AH11228">
        <v>1</v>
      </c>
      <c r="AI11228">
        <v>1</v>
      </c>
      <c r="AJ11228">
        <v>1</v>
      </c>
      <c r="AK11228">
        <v>1</v>
      </c>
      <c r="AL11228">
        <v>1</v>
      </c>
      <c r="AM11228">
        <v>1</v>
      </c>
    </row>
    <row r="11229" spans="1:39" x14ac:dyDescent="0.2">
      <c r="A11229" t="str">
        <f>"11225"</f>
        <v>11225</v>
      </c>
      <c r="B11229" t="str">
        <f t="shared" si="623"/>
        <v>1</v>
      </c>
      <c r="C11229" t="str">
        <f t="shared" si="624"/>
        <v>225</v>
      </c>
      <c r="D11229" t="str">
        <f>"9"</f>
        <v>9</v>
      </c>
      <c r="E11229" t="str">
        <f>"1-225-9"</f>
        <v>1-225-9</v>
      </c>
      <c r="F11229" t="s">
        <v>65</v>
      </c>
      <c r="G11229" t="s">
        <v>66</v>
      </c>
      <c r="H11229" t="s">
        <v>67</v>
      </c>
      <c r="S11229">
        <v>0</v>
      </c>
      <c r="T11229">
        <v>1</v>
      </c>
      <c r="U11229">
        <v>0</v>
      </c>
      <c r="V11229">
        <v>0</v>
      </c>
      <c r="W11229">
        <v>1</v>
      </c>
      <c r="X11229">
        <v>0</v>
      </c>
      <c r="Y11229">
        <v>0</v>
      </c>
      <c r="Z11229">
        <v>1</v>
      </c>
      <c r="AA11229">
        <v>0</v>
      </c>
      <c r="AB11229">
        <v>0</v>
      </c>
      <c r="AC11229">
        <v>1</v>
      </c>
      <c r="AD11229">
        <v>1</v>
      </c>
      <c r="AE11229">
        <v>1</v>
      </c>
      <c r="AF11229">
        <v>1</v>
      </c>
      <c r="AG11229">
        <v>1</v>
      </c>
      <c r="AH11229">
        <v>1</v>
      </c>
      <c r="AI11229">
        <v>1</v>
      </c>
      <c r="AJ11229">
        <v>1</v>
      </c>
      <c r="AK11229">
        <v>1</v>
      </c>
      <c r="AL11229">
        <v>1</v>
      </c>
      <c r="AM11229">
        <v>1</v>
      </c>
    </row>
    <row r="11230" spans="1:39" x14ac:dyDescent="0.2">
      <c r="A11230" t="str">
        <f>"11226"</f>
        <v>11226</v>
      </c>
      <c r="B11230" t="str">
        <f t="shared" si="623"/>
        <v>1</v>
      </c>
      <c r="C11230" t="str">
        <f t="shared" si="624"/>
        <v>225</v>
      </c>
      <c r="D11230" t="str">
        <f>"42"</f>
        <v>42</v>
      </c>
      <c r="E11230" t="str">
        <f>"1-225-42"</f>
        <v>1-225-42</v>
      </c>
      <c r="F11230" t="s">
        <v>65</v>
      </c>
      <c r="G11230" t="s">
        <v>66</v>
      </c>
      <c r="H11230" t="s">
        <v>67</v>
      </c>
      <c r="S11230">
        <v>0</v>
      </c>
      <c r="T11230">
        <v>1</v>
      </c>
      <c r="U11230">
        <v>0</v>
      </c>
      <c r="V11230">
        <v>0</v>
      </c>
      <c r="W11230">
        <v>1</v>
      </c>
      <c r="X11230">
        <v>0</v>
      </c>
      <c r="Y11230">
        <v>0</v>
      </c>
      <c r="Z11230">
        <v>1</v>
      </c>
      <c r="AA11230">
        <v>0</v>
      </c>
      <c r="AB11230">
        <v>1</v>
      </c>
      <c r="AC11230">
        <v>0</v>
      </c>
      <c r="AD11230">
        <v>1</v>
      </c>
      <c r="AE11230">
        <v>1</v>
      </c>
      <c r="AF11230">
        <v>1</v>
      </c>
      <c r="AG11230">
        <v>1</v>
      </c>
      <c r="AH11230">
        <v>1</v>
      </c>
      <c r="AI11230">
        <v>1</v>
      </c>
      <c r="AJ11230">
        <v>1</v>
      </c>
      <c r="AK11230">
        <v>1</v>
      </c>
      <c r="AL11230">
        <v>1</v>
      </c>
      <c r="AM11230">
        <v>1</v>
      </c>
    </row>
    <row r="11231" spans="1:39" x14ac:dyDescent="0.2">
      <c r="A11231" t="str">
        <f>"11227"</f>
        <v>11227</v>
      </c>
      <c r="B11231" t="str">
        <f t="shared" si="623"/>
        <v>1</v>
      </c>
      <c r="C11231" t="str">
        <f t="shared" si="624"/>
        <v>225</v>
      </c>
      <c r="D11231" t="str">
        <f>"23"</f>
        <v>23</v>
      </c>
      <c r="E11231" t="str">
        <f>"1-225-23"</f>
        <v>1-225-23</v>
      </c>
      <c r="F11231" t="s">
        <v>65</v>
      </c>
      <c r="G11231" t="s">
        <v>66</v>
      </c>
      <c r="H11231" t="s">
        <v>67</v>
      </c>
      <c r="S11231">
        <v>0</v>
      </c>
      <c r="T11231">
        <v>0</v>
      </c>
      <c r="U11231">
        <v>0</v>
      </c>
      <c r="V11231">
        <v>0</v>
      </c>
      <c r="W11231">
        <v>1</v>
      </c>
      <c r="X11231">
        <v>0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>
        <v>0</v>
      </c>
      <c r="AE11231">
        <v>0</v>
      </c>
      <c r="AF11231">
        <v>0</v>
      </c>
      <c r="AG11231">
        <v>0</v>
      </c>
      <c r="AH11231">
        <v>0</v>
      </c>
      <c r="AI11231">
        <v>0</v>
      </c>
      <c r="AJ11231">
        <v>0</v>
      </c>
      <c r="AK11231">
        <v>0</v>
      </c>
      <c r="AL11231">
        <v>0</v>
      </c>
      <c r="AM11231">
        <v>0</v>
      </c>
    </row>
    <row r="11232" spans="1:39" x14ac:dyDescent="0.2">
      <c r="A11232" t="str">
        <f>"11228"</f>
        <v>11228</v>
      </c>
      <c r="B11232" t="str">
        <f t="shared" si="623"/>
        <v>1</v>
      </c>
      <c r="C11232" t="str">
        <f t="shared" si="624"/>
        <v>225</v>
      </c>
      <c r="D11232" t="str">
        <f>"2"</f>
        <v>2</v>
      </c>
      <c r="E11232" t="str">
        <f>"1-225-2"</f>
        <v>1-225-2</v>
      </c>
      <c r="F11232" t="s">
        <v>65</v>
      </c>
      <c r="G11232" t="s">
        <v>66</v>
      </c>
      <c r="H11232" t="s">
        <v>67</v>
      </c>
      <c r="S11232">
        <v>0</v>
      </c>
      <c r="T11232">
        <v>1</v>
      </c>
      <c r="U11232">
        <v>0</v>
      </c>
      <c r="V11232">
        <v>0</v>
      </c>
      <c r="W11232">
        <v>1</v>
      </c>
      <c r="X11232">
        <v>0</v>
      </c>
      <c r="Y11232">
        <v>0</v>
      </c>
      <c r="Z11232">
        <v>1</v>
      </c>
      <c r="AA11232">
        <v>0</v>
      </c>
      <c r="AB11232">
        <v>1</v>
      </c>
      <c r="AC11232">
        <v>0</v>
      </c>
      <c r="AD11232">
        <v>1</v>
      </c>
      <c r="AE11232">
        <v>1</v>
      </c>
      <c r="AF11232">
        <v>1</v>
      </c>
      <c r="AG11232">
        <v>1</v>
      </c>
      <c r="AH11232">
        <v>1</v>
      </c>
      <c r="AI11232">
        <v>1</v>
      </c>
      <c r="AJ11232">
        <v>1</v>
      </c>
      <c r="AK11232">
        <v>1</v>
      </c>
      <c r="AL11232">
        <v>1</v>
      </c>
      <c r="AM11232">
        <v>1</v>
      </c>
    </row>
    <row r="11233" spans="1:39" x14ac:dyDescent="0.2">
      <c r="A11233" t="str">
        <f>"11229"</f>
        <v>11229</v>
      </c>
      <c r="B11233" t="str">
        <f t="shared" si="623"/>
        <v>1</v>
      </c>
      <c r="C11233" t="str">
        <f t="shared" si="624"/>
        <v>225</v>
      </c>
      <c r="D11233" t="str">
        <f>"48"</f>
        <v>48</v>
      </c>
      <c r="E11233" t="str">
        <f>"1-225-48"</f>
        <v>1-225-48</v>
      </c>
      <c r="F11233" t="s">
        <v>65</v>
      </c>
      <c r="G11233" t="s">
        <v>66</v>
      </c>
      <c r="H11233" t="s">
        <v>67</v>
      </c>
      <c r="S11233">
        <v>1</v>
      </c>
      <c r="T11233">
        <v>0</v>
      </c>
      <c r="U11233">
        <v>0</v>
      </c>
      <c r="V11233">
        <v>0</v>
      </c>
      <c r="W11233">
        <v>1</v>
      </c>
      <c r="X11233">
        <v>0</v>
      </c>
      <c r="Y11233">
        <v>1</v>
      </c>
      <c r="Z11233">
        <v>0</v>
      </c>
      <c r="AA11233">
        <v>1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0</v>
      </c>
      <c r="AH11233">
        <v>0</v>
      </c>
      <c r="AI11233">
        <v>1</v>
      </c>
      <c r="AJ11233">
        <v>1</v>
      </c>
      <c r="AK11233">
        <v>0</v>
      </c>
      <c r="AL11233">
        <v>1</v>
      </c>
      <c r="AM11233">
        <v>0</v>
      </c>
    </row>
    <row r="11234" spans="1:39" x14ac:dyDescent="0.2">
      <c r="A11234" t="str">
        <f>"11230"</f>
        <v>11230</v>
      </c>
      <c r="B11234" t="str">
        <f t="shared" si="623"/>
        <v>1</v>
      </c>
      <c r="C11234" t="str">
        <f t="shared" si="624"/>
        <v>225</v>
      </c>
      <c r="D11234" t="str">
        <f>"24"</f>
        <v>24</v>
      </c>
      <c r="E11234" t="str">
        <f>"1-225-24"</f>
        <v>1-225-24</v>
      </c>
      <c r="F11234" t="s">
        <v>65</v>
      </c>
      <c r="G11234" t="s">
        <v>66</v>
      </c>
      <c r="H11234" t="s">
        <v>67</v>
      </c>
      <c r="S11234">
        <v>1</v>
      </c>
      <c r="T11234">
        <v>0</v>
      </c>
      <c r="U11234">
        <v>0</v>
      </c>
      <c r="V11234">
        <v>0</v>
      </c>
      <c r="W11234">
        <v>1</v>
      </c>
      <c r="X11234">
        <v>0</v>
      </c>
      <c r="Y11234">
        <v>1</v>
      </c>
      <c r="Z11234">
        <v>0</v>
      </c>
      <c r="AA11234">
        <v>1</v>
      </c>
      <c r="AB11234">
        <v>0</v>
      </c>
      <c r="AC11234">
        <v>0</v>
      </c>
      <c r="AD11234">
        <v>1</v>
      </c>
      <c r="AE11234">
        <v>1</v>
      </c>
      <c r="AF11234">
        <v>1</v>
      </c>
      <c r="AG11234">
        <v>1</v>
      </c>
      <c r="AH11234">
        <v>1</v>
      </c>
      <c r="AI11234">
        <v>1</v>
      </c>
      <c r="AJ11234">
        <v>1</v>
      </c>
      <c r="AK11234">
        <v>1</v>
      </c>
      <c r="AL11234">
        <v>1</v>
      </c>
      <c r="AM11234">
        <v>1</v>
      </c>
    </row>
    <row r="11235" spans="1:39" x14ac:dyDescent="0.2">
      <c r="A11235" t="str">
        <f>"11231"</f>
        <v>11231</v>
      </c>
      <c r="B11235" t="str">
        <f t="shared" si="623"/>
        <v>1</v>
      </c>
      <c r="C11235" t="str">
        <f t="shared" si="624"/>
        <v>225</v>
      </c>
      <c r="D11235" t="str">
        <f>"10"</f>
        <v>10</v>
      </c>
      <c r="E11235" t="str">
        <f>"1-225-10"</f>
        <v>1-225-10</v>
      </c>
      <c r="F11235" t="s">
        <v>65</v>
      </c>
      <c r="G11235" t="s">
        <v>66</v>
      </c>
      <c r="H11235" t="s">
        <v>67</v>
      </c>
      <c r="S11235">
        <v>1</v>
      </c>
      <c r="T11235">
        <v>0</v>
      </c>
      <c r="U11235">
        <v>0</v>
      </c>
      <c r="V11235">
        <v>0</v>
      </c>
      <c r="W11235">
        <v>1</v>
      </c>
      <c r="X11235">
        <v>0</v>
      </c>
      <c r="Y11235">
        <v>1</v>
      </c>
      <c r="Z11235">
        <v>0</v>
      </c>
      <c r="AA11235">
        <v>0</v>
      </c>
      <c r="AB11235">
        <v>0</v>
      </c>
      <c r="AC11235">
        <v>1</v>
      </c>
      <c r="AD11235">
        <v>1</v>
      </c>
      <c r="AE11235">
        <v>1</v>
      </c>
      <c r="AF11235">
        <v>1</v>
      </c>
      <c r="AG11235">
        <v>1</v>
      </c>
      <c r="AH11235">
        <v>1</v>
      </c>
      <c r="AI11235">
        <v>1</v>
      </c>
      <c r="AJ11235">
        <v>1</v>
      </c>
      <c r="AK11235">
        <v>1</v>
      </c>
      <c r="AL11235">
        <v>1</v>
      </c>
      <c r="AM11235">
        <v>0</v>
      </c>
    </row>
    <row r="11236" spans="1:39" x14ac:dyDescent="0.2">
      <c r="A11236" t="str">
        <f>"11232"</f>
        <v>11232</v>
      </c>
      <c r="B11236" t="str">
        <f t="shared" si="623"/>
        <v>1</v>
      </c>
      <c r="C11236" t="str">
        <f t="shared" si="624"/>
        <v>225</v>
      </c>
      <c r="D11236" t="str">
        <f>"45"</f>
        <v>45</v>
      </c>
      <c r="E11236" t="str">
        <f>"1-225-45"</f>
        <v>1-225-45</v>
      </c>
      <c r="F11236" t="s">
        <v>65</v>
      </c>
      <c r="G11236" t="s">
        <v>66</v>
      </c>
      <c r="H11236" t="s">
        <v>67</v>
      </c>
      <c r="S11236">
        <v>0</v>
      </c>
      <c r="T11236">
        <v>1</v>
      </c>
      <c r="U11236">
        <v>0</v>
      </c>
      <c r="V11236">
        <v>0</v>
      </c>
      <c r="W11236">
        <v>1</v>
      </c>
      <c r="X11236">
        <v>0</v>
      </c>
      <c r="Y11236">
        <v>0</v>
      </c>
      <c r="Z11236">
        <v>1</v>
      </c>
      <c r="AA11236">
        <v>0</v>
      </c>
      <c r="AB11236">
        <v>0</v>
      </c>
      <c r="AC11236">
        <v>1</v>
      </c>
      <c r="AD11236">
        <v>0</v>
      </c>
      <c r="AE11236">
        <v>0</v>
      </c>
      <c r="AF11236">
        <v>0</v>
      </c>
      <c r="AG11236">
        <v>0</v>
      </c>
      <c r="AH11236">
        <v>0</v>
      </c>
      <c r="AI11236">
        <v>0</v>
      </c>
      <c r="AJ11236">
        <v>0</v>
      </c>
      <c r="AK11236">
        <v>0</v>
      </c>
      <c r="AL11236">
        <v>0</v>
      </c>
      <c r="AM11236">
        <v>0</v>
      </c>
    </row>
    <row r="11237" spans="1:39" x14ac:dyDescent="0.2">
      <c r="A11237" t="str">
        <f>"11233"</f>
        <v>11233</v>
      </c>
      <c r="B11237" t="str">
        <f t="shared" si="623"/>
        <v>1</v>
      </c>
      <c r="C11237" t="str">
        <f t="shared" ref="C11237:C11254" si="625">"225"</f>
        <v>225</v>
      </c>
      <c r="D11237" t="str">
        <f>"25"</f>
        <v>25</v>
      </c>
      <c r="E11237" t="str">
        <f>"1-225-25"</f>
        <v>1-225-25</v>
      </c>
      <c r="F11237" t="s">
        <v>65</v>
      </c>
      <c r="G11237" t="s">
        <v>66</v>
      </c>
      <c r="H11237" t="s">
        <v>67</v>
      </c>
      <c r="S11237">
        <v>1</v>
      </c>
      <c r="T11237">
        <v>0</v>
      </c>
      <c r="U11237">
        <v>0</v>
      </c>
      <c r="V11237">
        <v>0</v>
      </c>
      <c r="W11237">
        <v>1</v>
      </c>
      <c r="X11237">
        <v>0</v>
      </c>
      <c r="Y11237">
        <v>1</v>
      </c>
      <c r="Z11237">
        <v>0</v>
      </c>
      <c r="AA11237">
        <v>1</v>
      </c>
      <c r="AB11237">
        <v>0</v>
      </c>
      <c r="AC11237">
        <v>0</v>
      </c>
      <c r="AD11237">
        <v>1</v>
      </c>
      <c r="AE11237">
        <v>1</v>
      </c>
      <c r="AF11237">
        <v>1</v>
      </c>
      <c r="AG11237">
        <v>1</v>
      </c>
      <c r="AH11237">
        <v>1</v>
      </c>
      <c r="AI11237">
        <v>1</v>
      </c>
      <c r="AJ11237">
        <v>1</v>
      </c>
      <c r="AK11237">
        <v>1</v>
      </c>
      <c r="AL11237">
        <v>1</v>
      </c>
      <c r="AM11237">
        <v>1</v>
      </c>
    </row>
    <row r="11238" spans="1:39" x14ac:dyDescent="0.2">
      <c r="A11238" t="str">
        <f>"11234"</f>
        <v>11234</v>
      </c>
      <c r="B11238" t="str">
        <f t="shared" si="623"/>
        <v>1</v>
      </c>
      <c r="C11238" t="str">
        <f t="shared" si="625"/>
        <v>225</v>
      </c>
      <c r="D11238" t="str">
        <f>"12"</f>
        <v>12</v>
      </c>
      <c r="E11238" t="str">
        <f>"1-225-12"</f>
        <v>1-225-12</v>
      </c>
      <c r="F11238" t="s">
        <v>65</v>
      </c>
      <c r="G11238" t="s">
        <v>66</v>
      </c>
      <c r="H11238" t="s">
        <v>67</v>
      </c>
      <c r="S11238">
        <v>0</v>
      </c>
      <c r="T11238">
        <v>1</v>
      </c>
      <c r="U11238">
        <v>0</v>
      </c>
      <c r="V11238">
        <v>0</v>
      </c>
      <c r="W11238">
        <v>1</v>
      </c>
      <c r="X11238">
        <v>0</v>
      </c>
      <c r="Y11238">
        <v>0</v>
      </c>
      <c r="Z11238">
        <v>1</v>
      </c>
      <c r="AA11238">
        <v>1</v>
      </c>
      <c r="AB11238">
        <v>0</v>
      </c>
      <c r="AC11238">
        <v>0</v>
      </c>
      <c r="AD11238">
        <v>1</v>
      </c>
      <c r="AE11238">
        <v>1</v>
      </c>
      <c r="AF11238">
        <v>1</v>
      </c>
      <c r="AG11238">
        <v>1</v>
      </c>
      <c r="AH11238">
        <v>1</v>
      </c>
      <c r="AI11238">
        <v>1</v>
      </c>
      <c r="AJ11238">
        <v>1</v>
      </c>
      <c r="AK11238">
        <v>1</v>
      </c>
      <c r="AL11238">
        <v>1</v>
      </c>
      <c r="AM11238">
        <v>1</v>
      </c>
    </row>
    <row r="11239" spans="1:39" x14ac:dyDescent="0.2">
      <c r="A11239" t="str">
        <f>"11235"</f>
        <v>11235</v>
      </c>
      <c r="B11239" t="str">
        <f t="shared" si="623"/>
        <v>1</v>
      </c>
      <c r="C11239" t="str">
        <f t="shared" si="625"/>
        <v>225</v>
      </c>
      <c r="D11239" t="str">
        <f>"26"</f>
        <v>26</v>
      </c>
      <c r="E11239" t="str">
        <f>"1-225-26"</f>
        <v>1-225-26</v>
      </c>
      <c r="F11239" t="s">
        <v>65</v>
      </c>
      <c r="G11239" t="s">
        <v>66</v>
      </c>
      <c r="H11239" t="s">
        <v>67</v>
      </c>
      <c r="S11239">
        <v>1</v>
      </c>
      <c r="T11239">
        <v>0</v>
      </c>
      <c r="U11239">
        <v>0</v>
      </c>
      <c r="V11239">
        <v>0</v>
      </c>
      <c r="W11239">
        <v>1</v>
      </c>
      <c r="X11239">
        <v>0</v>
      </c>
      <c r="Y11239">
        <v>1</v>
      </c>
      <c r="Z11239">
        <v>0</v>
      </c>
      <c r="AA11239">
        <v>0</v>
      </c>
      <c r="AB11239">
        <v>1</v>
      </c>
      <c r="AC11239">
        <v>0</v>
      </c>
      <c r="AD11239">
        <v>0</v>
      </c>
      <c r="AE11239">
        <v>0</v>
      </c>
      <c r="AF11239">
        <v>0</v>
      </c>
      <c r="AG11239">
        <v>0</v>
      </c>
      <c r="AH11239">
        <v>0</v>
      </c>
      <c r="AI11239">
        <v>0</v>
      </c>
      <c r="AJ11239">
        <v>0</v>
      </c>
      <c r="AK11239">
        <v>0</v>
      </c>
      <c r="AL11239">
        <v>0</v>
      </c>
      <c r="AM11239">
        <v>0</v>
      </c>
    </row>
    <row r="11240" spans="1:39" x14ac:dyDescent="0.2">
      <c r="A11240" t="str">
        <f>"11236"</f>
        <v>11236</v>
      </c>
      <c r="B11240" t="str">
        <f t="shared" si="623"/>
        <v>1</v>
      </c>
      <c r="C11240" t="str">
        <f t="shared" si="625"/>
        <v>225</v>
      </c>
      <c r="D11240" t="str">
        <f>"8"</f>
        <v>8</v>
      </c>
      <c r="E11240" t="str">
        <f>"1-225-8"</f>
        <v>1-225-8</v>
      </c>
      <c r="F11240" t="s">
        <v>65</v>
      </c>
      <c r="G11240" t="s">
        <v>66</v>
      </c>
      <c r="H11240" t="s">
        <v>67</v>
      </c>
      <c r="S11240">
        <v>0</v>
      </c>
      <c r="T11240">
        <v>1</v>
      </c>
      <c r="U11240">
        <v>0</v>
      </c>
      <c r="V11240">
        <v>0</v>
      </c>
      <c r="W11240">
        <v>1</v>
      </c>
      <c r="X11240">
        <v>0</v>
      </c>
      <c r="Y11240">
        <v>1</v>
      </c>
      <c r="Z11240">
        <v>0</v>
      </c>
      <c r="AA11240">
        <v>1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1</v>
      </c>
      <c r="AH11240">
        <v>0</v>
      </c>
      <c r="AI11240">
        <v>0</v>
      </c>
      <c r="AJ11240">
        <v>0</v>
      </c>
      <c r="AK11240">
        <v>0</v>
      </c>
      <c r="AL11240">
        <v>0</v>
      </c>
      <c r="AM11240">
        <v>0</v>
      </c>
    </row>
    <row r="11241" spans="1:39" x14ac:dyDescent="0.2">
      <c r="A11241" t="str">
        <f>"11237"</f>
        <v>11237</v>
      </c>
      <c r="B11241" t="str">
        <f t="shared" si="623"/>
        <v>1</v>
      </c>
      <c r="C11241" t="str">
        <f t="shared" si="625"/>
        <v>225</v>
      </c>
      <c r="D11241" t="str">
        <f>"49"</f>
        <v>49</v>
      </c>
      <c r="E11241" t="str">
        <f>"1-225-49"</f>
        <v>1-225-49</v>
      </c>
      <c r="F11241" t="s">
        <v>65</v>
      </c>
      <c r="G11241" t="s">
        <v>66</v>
      </c>
      <c r="H11241" t="s">
        <v>67</v>
      </c>
      <c r="S11241">
        <v>1</v>
      </c>
      <c r="T11241">
        <v>0</v>
      </c>
      <c r="U11241">
        <v>0</v>
      </c>
      <c r="V11241">
        <v>0</v>
      </c>
      <c r="W11241">
        <v>1</v>
      </c>
      <c r="X11241">
        <v>0</v>
      </c>
      <c r="Y11241">
        <v>1</v>
      </c>
      <c r="Z11241">
        <v>0</v>
      </c>
      <c r="AA11241">
        <v>1</v>
      </c>
      <c r="AB11241">
        <v>0</v>
      </c>
      <c r="AC11241">
        <v>0</v>
      </c>
      <c r="AD11241">
        <v>1</v>
      </c>
      <c r="AE11241">
        <v>1</v>
      </c>
      <c r="AF11241">
        <v>1</v>
      </c>
      <c r="AG11241">
        <v>1</v>
      </c>
      <c r="AH11241">
        <v>1</v>
      </c>
      <c r="AI11241">
        <v>1</v>
      </c>
      <c r="AJ11241">
        <v>1</v>
      </c>
      <c r="AK11241">
        <v>1</v>
      </c>
      <c r="AL11241">
        <v>1</v>
      </c>
      <c r="AM11241">
        <v>1</v>
      </c>
    </row>
    <row r="11242" spans="1:39" x14ac:dyDescent="0.2">
      <c r="A11242" t="str">
        <f>"11238"</f>
        <v>11238</v>
      </c>
      <c r="B11242" t="str">
        <f t="shared" si="623"/>
        <v>1</v>
      </c>
      <c r="C11242" t="str">
        <f t="shared" si="625"/>
        <v>225</v>
      </c>
      <c r="D11242" t="str">
        <f>"27"</f>
        <v>27</v>
      </c>
      <c r="E11242" t="str">
        <f>"1-225-27"</f>
        <v>1-225-27</v>
      </c>
      <c r="F11242" t="s">
        <v>65</v>
      </c>
      <c r="G11242" t="s">
        <v>66</v>
      </c>
      <c r="H11242" t="s">
        <v>67</v>
      </c>
      <c r="S11242">
        <v>1</v>
      </c>
      <c r="T11242">
        <v>0</v>
      </c>
      <c r="U11242">
        <v>0</v>
      </c>
      <c r="V11242">
        <v>0</v>
      </c>
      <c r="W11242">
        <v>1</v>
      </c>
      <c r="X11242">
        <v>0</v>
      </c>
      <c r="Y11242">
        <v>1</v>
      </c>
      <c r="Z11242">
        <v>0</v>
      </c>
      <c r="AA11242">
        <v>0</v>
      </c>
      <c r="AB11242">
        <v>1</v>
      </c>
      <c r="AC11242">
        <v>0</v>
      </c>
      <c r="AD11242">
        <v>0</v>
      </c>
      <c r="AE11242">
        <v>0</v>
      </c>
      <c r="AF11242">
        <v>0</v>
      </c>
      <c r="AG11242">
        <v>0</v>
      </c>
      <c r="AH11242">
        <v>0</v>
      </c>
      <c r="AI11242">
        <v>0</v>
      </c>
      <c r="AJ11242">
        <v>0</v>
      </c>
      <c r="AK11242">
        <v>0</v>
      </c>
      <c r="AL11242">
        <v>0</v>
      </c>
      <c r="AM11242">
        <v>0</v>
      </c>
    </row>
    <row r="11243" spans="1:39" x14ac:dyDescent="0.2">
      <c r="A11243" t="str">
        <f>"11239"</f>
        <v>11239</v>
      </c>
      <c r="B11243" t="str">
        <f t="shared" si="623"/>
        <v>1</v>
      </c>
      <c r="C11243" t="str">
        <f t="shared" si="625"/>
        <v>225</v>
      </c>
      <c r="D11243" t="str">
        <f>"7"</f>
        <v>7</v>
      </c>
      <c r="E11243" t="str">
        <f>"1-225-7"</f>
        <v>1-225-7</v>
      </c>
      <c r="F11243" t="s">
        <v>65</v>
      </c>
      <c r="G11243" t="s">
        <v>66</v>
      </c>
      <c r="H11243" t="s">
        <v>67</v>
      </c>
      <c r="S11243">
        <v>1</v>
      </c>
      <c r="T11243">
        <v>0</v>
      </c>
      <c r="U11243">
        <v>0</v>
      </c>
      <c r="V11243">
        <v>0</v>
      </c>
      <c r="W11243">
        <v>1</v>
      </c>
      <c r="X11243">
        <v>0</v>
      </c>
      <c r="Y11243">
        <v>1</v>
      </c>
      <c r="Z11243">
        <v>0</v>
      </c>
      <c r="AA11243">
        <v>0</v>
      </c>
      <c r="AB11243">
        <v>1</v>
      </c>
      <c r="AC11243">
        <v>0</v>
      </c>
      <c r="AD11243">
        <v>1</v>
      </c>
      <c r="AE11243">
        <v>1</v>
      </c>
      <c r="AF11243">
        <v>1</v>
      </c>
      <c r="AG11243">
        <v>1</v>
      </c>
      <c r="AH11243">
        <v>1</v>
      </c>
      <c r="AI11243">
        <v>1</v>
      </c>
      <c r="AJ11243">
        <v>1</v>
      </c>
      <c r="AK11243">
        <v>1</v>
      </c>
      <c r="AL11243">
        <v>1</v>
      </c>
      <c r="AM11243">
        <v>1</v>
      </c>
    </row>
    <row r="11244" spans="1:39" x14ac:dyDescent="0.2">
      <c r="A11244" t="str">
        <f>"11240"</f>
        <v>11240</v>
      </c>
      <c r="B11244" t="str">
        <f t="shared" si="623"/>
        <v>1</v>
      </c>
      <c r="C11244" t="str">
        <f t="shared" si="625"/>
        <v>225</v>
      </c>
      <c r="D11244" t="str">
        <f>"28"</f>
        <v>28</v>
      </c>
      <c r="E11244" t="str">
        <f>"1-225-28"</f>
        <v>1-225-28</v>
      </c>
      <c r="F11244" t="s">
        <v>65</v>
      </c>
      <c r="G11244" t="s">
        <v>66</v>
      </c>
      <c r="H11244" t="s">
        <v>67</v>
      </c>
      <c r="S11244">
        <v>1</v>
      </c>
      <c r="T11244">
        <v>0</v>
      </c>
      <c r="U11244">
        <v>0</v>
      </c>
      <c r="V11244">
        <v>0</v>
      </c>
      <c r="W11244">
        <v>1</v>
      </c>
      <c r="X11244">
        <v>0</v>
      </c>
      <c r="Y11244">
        <v>1</v>
      </c>
      <c r="Z11244">
        <v>0</v>
      </c>
      <c r="AA11244">
        <v>1</v>
      </c>
      <c r="AB11244">
        <v>0</v>
      </c>
      <c r="AC11244">
        <v>0</v>
      </c>
      <c r="AD11244">
        <v>0</v>
      </c>
      <c r="AE11244">
        <v>0</v>
      </c>
      <c r="AF11244">
        <v>1</v>
      </c>
      <c r="AG11244">
        <v>1</v>
      </c>
      <c r="AH11244">
        <v>1</v>
      </c>
      <c r="AI11244">
        <v>1</v>
      </c>
      <c r="AJ11244">
        <v>1</v>
      </c>
      <c r="AK11244">
        <v>1</v>
      </c>
      <c r="AL11244">
        <v>1</v>
      </c>
      <c r="AM11244">
        <v>1</v>
      </c>
    </row>
    <row r="11245" spans="1:39" x14ac:dyDescent="0.2">
      <c r="A11245" t="str">
        <f>"11241"</f>
        <v>11241</v>
      </c>
      <c r="B11245" t="str">
        <f t="shared" si="623"/>
        <v>1</v>
      </c>
      <c r="C11245" t="str">
        <f t="shared" si="625"/>
        <v>225</v>
      </c>
      <c r="D11245" t="str">
        <f>"14"</f>
        <v>14</v>
      </c>
      <c r="E11245" t="str">
        <f>"1-225-14"</f>
        <v>1-225-14</v>
      </c>
      <c r="F11245" t="s">
        <v>65</v>
      </c>
      <c r="G11245" t="s">
        <v>66</v>
      </c>
      <c r="H11245" t="s">
        <v>67</v>
      </c>
      <c r="S11245">
        <v>1</v>
      </c>
      <c r="T11245">
        <v>0</v>
      </c>
      <c r="U11245">
        <v>0</v>
      </c>
      <c r="V11245">
        <v>0</v>
      </c>
      <c r="W11245">
        <v>1</v>
      </c>
      <c r="X11245">
        <v>0</v>
      </c>
      <c r="Y11245">
        <v>1</v>
      </c>
      <c r="Z11245">
        <v>0</v>
      </c>
      <c r="AA11245">
        <v>0</v>
      </c>
      <c r="AB11245">
        <v>0</v>
      </c>
      <c r="AC11245">
        <v>1</v>
      </c>
      <c r="AD11245">
        <v>1</v>
      </c>
      <c r="AE11245">
        <v>1</v>
      </c>
      <c r="AF11245">
        <v>1</v>
      </c>
      <c r="AG11245">
        <v>1</v>
      </c>
      <c r="AH11245">
        <v>1</v>
      </c>
      <c r="AI11245">
        <v>1</v>
      </c>
      <c r="AJ11245">
        <v>1</v>
      </c>
      <c r="AK11245">
        <v>1</v>
      </c>
      <c r="AL11245">
        <v>1</v>
      </c>
      <c r="AM11245">
        <v>1</v>
      </c>
    </row>
    <row r="11246" spans="1:39" x14ac:dyDescent="0.2">
      <c r="A11246" t="str">
        <f>"11242"</f>
        <v>11242</v>
      </c>
      <c r="B11246" t="str">
        <f t="shared" si="623"/>
        <v>1</v>
      </c>
      <c r="C11246" t="str">
        <f t="shared" si="625"/>
        <v>225</v>
      </c>
      <c r="D11246" t="str">
        <f>"47"</f>
        <v>47</v>
      </c>
      <c r="E11246" t="str">
        <f>"1-225-47"</f>
        <v>1-225-47</v>
      </c>
      <c r="F11246" t="s">
        <v>65</v>
      </c>
      <c r="G11246" t="s">
        <v>66</v>
      </c>
      <c r="H11246" t="s">
        <v>67</v>
      </c>
      <c r="S11246">
        <v>0</v>
      </c>
      <c r="T11246">
        <v>1</v>
      </c>
      <c r="U11246">
        <v>0</v>
      </c>
      <c r="V11246">
        <v>0</v>
      </c>
      <c r="W11246">
        <v>1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1</v>
      </c>
      <c r="AE11246">
        <v>1</v>
      </c>
      <c r="AF11246">
        <v>0</v>
      </c>
      <c r="AG11246">
        <v>0</v>
      </c>
      <c r="AH11246">
        <v>0</v>
      </c>
      <c r="AI11246">
        <v>0</v>
      </c>
      <c r="AJ11246">
        <v>0</v>
      </c>
      <c r="AK11246">
        <v>0</v>
      </c>
      <c r="AL11246">
        <v>0</v>
      </c>
      <c r="AM11246">
        <v>0</v>
      </c>
    </row>
    <row r="11247" spans="1:39" x14ac:dyDescent="0.2">
      <c r="A11247" t="str">
        <f>"11243"</f>
        <v>11243</v>
      </c>
      <c r="B11247" t="str">
        <f t="shared" si="623"/>
        <v>1</v>
      </c>
      <c r="C11247" t="str">
        <f t="shared" si="625"/>
        <v>225</v>
      </c>
      <c r="D11247" t="str">
        <f>"30"</f>
        <v>30</v>
      </c>
      <c r="E11247" t="str">
        <f>"1-225-30"</f>
        <v>1-225-30</v>
      </c>
      <c r="F11247" t="s">
        <v>65</v>
      </c>
      <c r="G11247" t="s">
        <v>66</v>
      </c>
      <c r="H11247" t="s">
        <v>67</v>
      </c>
      <c r="S11247">
        <v>0</v>
      </c>
      <c r="T11247">
        <v>1</v>
      </c>
      <c r="U11247">
        <v>0</v>
      </c>
      <c r="V11247">
        <v>0</v>
      </c>
      <c r="W11247">
        <v>1</v>
      </c>
      <c r="X11247">
        <v>0</v>
      </c>
      <c r="Y11247">
        <v>0</v>
      </c>
      <c r="Z11247">
        <v>1</v>
      </c>
      <c r="AA11247">
        <v>0</v>
      </c>
      <c r="AB11247">
        <v>0</v>
      </c>
      <c r="AC11247">
        <v>1</v>
      </c>
      <c r="AD11247">
        <v>1</v>
      </c>
      <c r="AE11247">
        <v>1</v>
      </c>
      <c r="AF11247">
        <v>1</v>
      </c>
      <c r="AG11247">
        <v>1</v>
      </c>
      <c r="AH11247">
        <v>1</v>
      </c>
      <c r="AI11247">
        <v>1</v>
      </c>
      <c r="AJ11247">
        <v>1</v>
      </c>
      <c r="AK11247">
        <v>1</v>
      </c>
      <c r="AL11247">
        <v>1</v>
      </c>
      <c r="AM11247">
        <v>1</v>
      </c>
    </row>
    <row r="11248" spans="1:39" x14ac:dyDescent="0.2">
      <c r="A11248" t="str">
        <f>"11244"</f>
        <v>11244</v>
      </c>
      <c r="B11248" t="str">
        <f t="shared" si="623"/>
        <v>1</v>
      </c>
      <c r="C11248" t="str">
        <f t="shared" si="625"/>
        <v>225</v>
      </c>
      <c r="D11248" t="str">
        <f>"6"</f>
        <v>6</v>
      </c>
      <c r="E11248" t="str">
        <f>"1-225-6"</f>
        <v>1-225-6</v>
      </c>
      <c r="F11248" t="s">
        <v>65</v>
      </c>
      <c r="G11248" t="s">
        <v>66</v>
      </c>
      <c r="H11248" t="s">
        <v>67</v>
      </c>
      <c r="S11248">
        <v>1</v>
      </c>
      <c r="T11248">
        <v>0</v>
      </c>
      <c r="U11248">
        <v>0</v>
      </c>
      <c r="V11248">
        <v>0</v>
      </c>
      <c r="W11248">
        <v>1</v>
      </c>
      <c r="X11248">
        <v>0</v>
      </c>
      <c r="Y11248">
        <v>1</v>
      </c>
      <c r="Z11248">
        <v>0</v>
      </c>
      <c r="AA11248">
        <v>0</v>
      </c>
      <c r="AB11248">
        <v>1</v>
      </c>
      <c r="AC11248">
        <v>0</v>
      </c>
      <c r="AD11248">
        <v>1</v>
      </c>
      <c r="AE11248">
        <v>1</v>
      </c>
      <c r="AF11248">
        <v>1</v>
      </c>
      <c r="AG11248">
        <v>1</v>
      </c>
      <c r="AH11248">
        <v>1</v>
      </c>
      <c r="AI11248">
        <v>1</v>
      </c>
      <c r="AJ11248">
        <v>1</v>
      </c>
      <c r="AK11248">
        <v>1</v>
      </c>
      <c r="AL11248">
        <v>1</v>
      </c>
      <c r="AM11248">
        <v>1</v>
      </c>
    </row>
    <row r="11249" spans="1:39" x14ac:dyDescent="0.2">
      <c r="A11249" t="str">
        <f>"11245"</f>
        <v>11245</v>
      </c>
      <c r="B11249" t="str">
        <f t="shared" si="623"/>
        <v>1</v>
      </c>
      <c r="C11249" t="str">
        <f t="shared" si="625"/>
        <v>225</v>
      </c>
      <c r="D11249" t="str">
        <f>"50"</f>
        <v>50</v>
      </c>
      <c r="E11249" t="str">
        <f>"1-225-50"</f>
        <v>1-225-50</v>
      </c>
      <c r="F11249" t="s">
        <v>65</v>
      </c>
      <c r="G11249" t="s">
        <v>66</v>
      </c>
      <c r="H11249" t="s">
        <v>67</v>
      </c>
      <c r="S11249">
        <v>1</v>
      </c>
      <c r="T11249">
        <v>0</v>
      </c>
      <c r="U11249">
        <v>0</v>
      </c>
      <c r="V11249">
        <v>0</v>
      </c>
      <c r="W11249">
        <v>1</v>
      </c>
      <c r="X11249">
        <v>0</v>
      </c>
      <c r="Y11249">
        <v>0</v>
      </c>
      <c r="Z11249">
        <v>1</v>
      </c>
      <c r="AA11249">
        <v>1</v>
      </c>
      <c r="AB11249">
        <v>0</v>
      </c>
      <c r="AC11249">
        <v>0</v>
      </c>
      <c r="AD11249">
        <v>1</v>
      </c>
      <c r="AE11249">
        <v>1</v>
      </c>
      <c r="AF11249">
        <v>1</v>
      </c>
      <c r="AG11249">
        <v>1</v>
      </c>
      <c r="AH11249">
        <v>1</v>
      </c>
      <c r="AI11249">
        <v>1</v>
      </c>
      <c r="AJ11249">
        <v>1</v>
      </c>
      <c r="AK11249">
        <v>1</v>
      </c>
      <c r="AL11249">
        <v>1</v>
      </c>
      <c r="AM11249">
        <v>0</v>
      </c>
    </row>
    <row r="11250" spans="1:39" x14ac:dyDescent="0.2">
      <c r="A11250" t="str">
        <f>"11246"</f>
        <v>11246</v>
      </c>
      <c r="B11250" t="str">
        <f t="shared" si="623"/>
        <v>1</v>
      </c>
      <c r="C11250" t="str">
        <f t="shared" si="625"/>
        <v>225</v>
      </c>
      <c r="D11250" t="str">
        <f>"31"</f>
        <v>31</v>
      </c>
      <c r="E11250" t="str">
        <f>"1-225-31"</f>
        <v>1-225-31</v>
      </c>
      <c r="F11250" t="s">
        <v>65</v>
      </c>
      <c r="G11250" t="s">
        <v>66</v>
      </c>
      <c r="H11250" t="s">
        <v>67</v>
      </c>
      <c r="S11250">
        <v>1</v>
      </c>
      <c r="T11250">
        <v>0</v>
      </c>
      <c r="U11250">
        <v>0</v>
      </c>
      <c r="V11250">
        <v>0</v>
      </c>
      <c r="W11250">
        <v>1</v>
      </c>
      <c r="X11250">
        <v>0</v>
      </c>
      <c r="Y11250">
        <v>1</v>
      </c>
      <c r="Z11250">
        <v>0</v>
      </c>
      <c r="AA11250">
        <v>1</v>
      </c>
      <c r="AB11250">
        <v>0</v>
      </c>
      <c r="AC11250">
        <v>0</v>
      </c>
      <c r="AD11250">
        <v>1</v>
      </c>
      <c r="AE11250">
        <v>1</v>
      </c>
      <c r="AF11250">
        <v>1</v>
      </c>
      <c r="AG11250">
        <v>1</v>
      </c>
      <c r="AH11250">
        <v>1</v>
      </c>
      <c r="AI11250">
        <v>1</v>
      </c>
      <c r="AJ11250">
        <v>1</v>
      </c>
      <c r="AK11250">
        <v>1</v>
      </c>
      <c r="AL11250">
        <v>1</v>
      </c>
      <c r="AM11250">
        <v>1</v>
      </c>
    </row>
    <row r="11251" spans="1:39" x14ac:dyDescent="0.2">
      <c r="A11251" t="str">
        <f>"11247"</f>
        <v>11247</v>
      </c>
      <c r="B11251" t="str">
        <f t="shared" si="623"/>
        <v>1</v>
      </c>
      <c r="C11251" t="str">
        <f t="shared" si="625"/>
        <v>225</v>
      </c>
      <c r="D11251" t="str">
        <f>"4"</f>
        <v>4</v>
      </c>
      <c r="E11251" t="str">
        <f>"1-225-4"</f>
        <v>1-225-4</v>
      </c>
      <c r="F11251" t="s">
        <v>65</v>
      </c>
      <c r="G11251" t="s">
        <v>66</v>
      </c>
      <c r="H11251" t="s">
        <v>67</v>
      </c>
      <c r="S11251">
        <v>1</v>
      </c>
      <c r="T11251">
        <v>0</v>
      </c>
      <c r="U11251">
        <v>0</v>
      </c>
      <c r="V11251">
        <v>0</v>
      </c>
      <c r="W11251">
        <v>0</v>
      </c>
      <c r="X11251">
        <v>1</v>
      </c>
      <c r="Y11251">
        <v>1</v>
      </c>
      <c r="Z11251">
        <v>0</v>
      </c>
      <c r="AA11251">
        <v>1</v>
      </c>
      <c r="AB11251">
        <v>0</v>
      </c>
      <c r="AC11251">
        <v>0</v>
      </c>
      <c r="AD11251">
        <v>1</v>
      </c>
      <c r="AE11251">
        <v>1</v>
      </c>
      <c r="AF11251">
        <v>1</v>
      </c>
      <c r="AG11251">
        <v>1</v>
      </c>
      <c r="AH11251">
        <v>1</v>
      </c>
      <c r="AI11251">
        <v>0</v>
      </c>
      <c r="AJ11251">
        <v>1</v>
      </c>
      <c r="AK11251">
        <v>1</v>
      </c>
      <c r="AL11251">
        <v>1</v>
      </c>
      <c r="AM11251">
        <v>1</v>
      </c>
    </row>
    <row r="11252" spans="1:39" x14ac:dyDescent="0.2">
      <c r="A11252" t="str">
        <f>"11248"</f>
        <v>11248</v>
      </c>
      <c r="B11252" t="str">
        <f t="shared" si="623"/>
        <v>1</v>
      </c>
      <c r="C11252" t="str">
        <f t="shared" si="625"/>
        <v>225</v>
      </c>
      <c r="D11252" t="str">
        <f>"41"</f>
        <v>41</v>
      </c>
      <c r="E11252" t="str">
        <f>"1-225-41"</f>
        <v>1-225-41</v>
      </c>
      <c r="F11252" t="s">
        <v>65</v>
      </c>
      <c r="G11252" t="s">
        <v>66</v>
      </c>
      <c r="H11252" t="s">
        <v>67</v>
      </c>
      <c r="S11252">
        <v>1</v>
      </c>
      <c r="T11252">
        <v>0</v>
      </c>
      <c r="U11252">
        <v>0</v>
      </c>
      <c r="V11252">
        <v>0</v>
      </c>
      <c r="W11252">
        <v>1</v>
      </c>
      <c r="X11252">
        <v>0</v>
      </c>
      <c r="Y11252">
        <v>1</v>
      </c>
      <c r="Z11252">
        <v>0</v>
      </c>
      <c r="AA11252">
        <v>0</v>
      </c>
      <c r="AB11252">
        <v>1</v>
      </c>
      <c r="AC11252">
        <v>0</v>
      </c>
      <c r="AD11252">
        <v>1</v>
      </c>
      <c r="AE11252">
        <v>1</v>
      </c>
      <c r="AF11252">
        <v>1</v>
      </c>
      <c r="AG11252">
        <v>1</v>
      </c>
      <c r="AH11252">
        <v>1</v>
      </c>
      <c r="AI11252">
        <v>1</v>
      </c>
      <c r="AJ11252">
        <v>1</v>
      </c>
      <c r="AK11252">
        <v>1</v>
      </c>
      <c r="AL11252">
        <v>1</v>
      </c>
      <c r="AM11252">
        <v>1</v>
      </c>
    </row>
    <row r="11253" spans="1:39" x14ac:dyDescent="0.2">
      <c r="A11253" t="str">
        <f>"11249"</f>
        <v>11249</v>
      </c>
      <c r="B11253" t="str">
        <f t="shared" si="623"/>
        <v>1</v>
      </c>
      <c r="C11253" t="str">
        <f t="shared" si="625"/>
        <v>225</v>
      </c>
      <c r="D11253" t="str">
        <f>"32"</f>
        <v>32</v>
      </c>
      <c r="E11253" t="str">
        <f>"1-225-32"</f>
        <v>1-225-32</v>
      </c>
      <c r="F11253" t="s">
        <v>65</v>
      </c>
      <c r="G11253" t="s">
        <v>66</v>
      </c>
      <c r="H11253" t="s">
        <v>68</v>
      </c>
      <c r="I11253">
        <v>1</v>
      </c>
      <c r="J11253">
        <v>0</v>
      </c>
      <c r="K11253">
        <v>0</v>
      </c>
      <c r="L11253">
        <v>1</v>
      </c>
      <c r="M11253">
        <v>1</v>
      </c>
      <c r="N11253">
        <v>1</v>
      </c>
      <c r="O11253">
        <v>1</v>
      </c>
      <c r="P11253">
        <v>1</v>
      </c>
      <c r="Q11253">
        <v>1</v>
      </c>
      <c r="R11253">
        <v>1</v>
      </c>
    </row>
    <row r="11254" spans="1:39" x14ac:dyDescent="0.2">
      <c r="A11254" t="str">
        <f>"11250"</f>
        <v>11250</v>
      </c>
      <c r="B11254" t="str">
        <f t="shared" si="623"/>
        <v>1</v>
      </c>
      <c r="C11254" t="str">
        <f t="shared" si="625"/>
        <v>225</v>
      </c>
      <c r="D11254" t="str">
        <f>"11"</f>
        <v>11</v>
      </c>
      <c r="E11254" t="str">
        <f>"1-225-11"</f>
        <v>1-225-11</v>
      </c>
      <c r="F11254" t="s">
        <v>65</v>
      </c>
      <c r="G11254" t="s">
        <v>66</v>
      </c>
      <c r="H11254" t="s">
        <v>67</v>
      </c>
      <c r="S11254">
        <v>0</v>
      </c>
      <c r="T11254">
        <v>1</v>
      </c>
      <c r="U11254">
        <v>0</v>
      </c>
      <c r="V11254">
        <v>0</v>
      </c>
      <c r="W11254">
        <v>1</v>
      </c>
      <c r="X11254">
        <v>0</v>
      </c>
      <c r="Y11254">
        <v>0</v>
      </c>
      <c r="Z11254">
        <v>1</v>
      </c>
      <c r="AA11254">
        <v>0</v>
      </c>
      <c r="AB11254">
        <v>0</v>
      </c>
      <c r="AC11254">
        <v>1</v>
      </c>
      <c r="AD11254">
        <v>1</v>
      </c>
      <c r="AE11254">
        <v>1</v>
      </c>
      <c r="AF11254">
        <v>1</v>
      </c>
      <c r="AG11254">
        <v>1</v>
      </c>
      <c r="AH11254">
        <v>1</v>
      </c>
      <c r="AI11254">
        <v>1</v>
      </c>
      <c r="AJ11254">
        <v>1</v>
      </c>
      <c r="AK11254">
        <v>1</v>
      </c>
      <c r="AL11254">
        <v>1</v>
      </c>
      <c r="AM11254">
        <v>1</v>
      </c>
    </row>
    <row r="11255" spans="1:39" x14ac:dyDescent="0.2">
      <c r="A11255" t="str">
        <f>"11251"</f>
        <v>11251</v>
      </c>
      <c r="B11255" t="str">
        <f t="shared" ref="B11255:B11318" si="626">"1"</f>
        <v>1</v>
      </c>
      <c r="C11255" t="str">
        <f t="shared" ref="C11255:C11286" si="627">"226"</f>
        <v>226</v>
      </c>
      <c r="D11255" t="str">
        <f>"36"</f>
        <v>36</v>
      </c>
      <c r="E11255" t="str">
        <f>"1-226-36"</f>
        <v>1-226-36</v>
      </c>
      <c r="F11255" t="s">
        <v>65</v>
      </c>
      <c r="G11255" t="s">
        <v>66</v>
      </c>
      <c r="H11255" t="s">
        <v>67</v>
      </c>
      <c r="S11255">
        <v>0</v>
      </c>
      <c r="T11255">
        <v>1</v>
      </c>
      <c r="U11255">
        <v>0</v>
      </c>
      <c r="V11255">
        <v>0</v>
      </c>
      <c r="W11255">
        <v>1</v>
      </c>
      <c r="X11255">
        <v>0</v>
      </c>
      <c r="Y11255">
        <v>0</v>
      </c>
      <c r="Z11255">
        <v>1</v>
      </c>
      <c r="AA11255">
        <v>0</v>
      </c>
      <c r="AB11255">
        <v>0</v>
      </c>
      <c r="AC11255">
        <v>1</v>
      </c>
      <c r="AD11255">
        <v>0</v>
      </c>
      <c r="AE11255">
        <v>0</v>
      </c>
      <c r="AF11255">
        <v>0</v>
      </c>
      <c r="AG11255">
        <v>1</v>
      </c>
      <c r="AH11255">
        <v>1</v>
      </c>
      <c r="AI11255">
        <v>1</v>
      </c>
      <c r="AJ11255">
        <v>1</v>
      </c>
      <c r="AK11255">
        <v>1</v>
      </c>
      <c r="AL11255">
        <v>1</v>
      </c>
      <c r="AM11255">
        <v>1</v>
      </c>
    </row>
    <row r="11256" spans="1:39" x14ac:dyDescent="0.2">
      <c r="A11256" t="str">
        <f>"11252"</f>
        <v>11252</v>
      </c>
      <c r="B11256" t="str">
        <f t="shared" si="626"/>
        <v>1</v>
      </c>
      <c r="C11256" t="str">
        <f t="shared" si="627"/>
        <v>226</v>
      </c>
      <c r="D11256" t="str">
        <f>"35"</f>
        <v>35</v>
      </c>
      <c r="E11256" t="str">
        <f>"1-226-35"</f>
        <v>1-226-35</v>
      </c>
      <c r="F11256" t="s">
        <v>65</v>
      </c>
      <c r="G11256" t="s">
        <v>66</v>
      </c>
      <c r="H11256" t="s">
        <v>67</v>
      </c>
      <c r="S11256">
        <v>0</v>
      </c>
      <c r="T11256">
        <v>1</v>
      </c>
      <c r="U11256">
        <v>0</v>
      </c>
      <c r="V11256">
        <v>0</v>
      </c>
      <c r="W11256">
        <v>1</v>
      </c>
      <c r="X11256">
        <v>0</v>
      </c>
      <c r="Y11256">
        <v>1</v>
      </c>
      <c r="Z11256">
        <v>0</v>
      </c>
      <c r="AA11256">
        <v>0</v>
      </c>
      <c r="AB11256">
        <v>0</v>
      </c>
      <c r="AC11256">
        <v>1</v>
      </c>
      <c r="AD11256">
        <v>1</v>
      </c>
      <c r="AE11256">
        <v>0</v>
      </c>
      <c r="AF11256">
        <v>1</v>
      </c>
      <c r="AG11256">
        <v>1</v>
      </c>
      <c r="AH11256">
        <v>0</v>
      </c>
      <c r="AI11256">
        <v>1</v>
      </c>
      <c r="AJ11256">
        <v>1</v>
      </c>
      <c r="AK11256">
        <v>1</v>
      </c>
      <c r="AL11256">
        <v>1</v>
      </c>
      <c r="AM11256">
        <v>1</v>
      </c>
    </row>
    <row r="11257" spans="1:39" x14ac:dyDescent="0.2">
      <c r="A11257" t="str">
        <f>"11253"</f>
        <v>11253</v>
      </c>
      <c r="B11257" t="str">
        <f t="shared" si="626"/>
        <v>1</v>
      </c>
      <c r="C11257" t="str">
        <f t="shared" si="627"/>
        <v>226</v>
      </c>
      <c r="D11257" t="str">
        <f>"21"</f>
        <v>21</v>
      </c>
      <c r="E11257" t="str">
        <f>"1-226-21"</f>
        <v>1-226-21</v>
      </c>
      <c r="F11257" t="s">
        <v>65</v>
      </c>
      <c r="G11257" t="s">
        <v>66</v>
      </c>
      <c r="H11257" t="s">
        <v>67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1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  <c r="AK11257">
        <v>0</v>
      </c>
      <c r="AL11257">
        <v>1</v>
      </c>
      <c r="AM11257">
        <v>0</v>
      </c>
    </row>
    <row r="11258" spans="1:39" x14ac:dyDescent="0.2">
      <c r="A11258" t="str">
        <f>"11254"</f>
        <v>11254</v>
      </c>
      <c r="B11258" t="str">
        <f t="shared" si="626"/>
        <v>1</v>
      </c>
      <c r="C11258" t="str">
        <f t="shared" si="627"/>
        <v>226</v>
      </c>
      <c r="D11258" t="str">
        <f>"15"</f>
        <v>15</v>
      </c>
      <c r="E11258" t="str">
        <f>"1-226-15"</f>
        <v>1-226-15</v>
      </c>
      <c r="F11258" t="s">
        <v>65</v>
      </c>
      <c r="G11258" t="s">
        <v>66</v>
      </c>
      <c r="H11258" t="s">
        <v>67</v>
      </c>
      <c r="S11258">
        <v>1</v>
      </c>
      <c r="T11258">
        <v>0</v>
      </c>
      <c r="U11258">
        <v>0</v>
      </c>
      <c r="V11258">
        <v>0</v>
      </c>
      <c r="W11258">
        <v>1</v>
      </c>
      <c r="X11258">
        <v>0</v>
      </c>
      <c r="Y11258">
        <v>1</v>
      </c>
      <c r="Z11258">
        <v>0</v>
      </c>
      <c r="AA11258">
        <v>1</v>
      </c>
      <c r="AB11258">
        <v>0</v>
      </c>
      <c r="AC11258">
        <v>0</v>
      </c>
      <c r="AD11258">
        <v>1</v>
      </c>
      <c r="AE11258">
        <v>1</v>
      </c>
      <c r="AF11258">
        <v>1</v>
      </c>
      <c r="AG11258">
        <v>1</v>
      </c>
      <c r="AH11258">
        <v>1</v>
      </c>
      <c r="AI11258">
        <v>1</v>
      </c>
      <c r="AJ11258">
        <v>1</v>
      </c>
      <c r="AK11258">
        <v>1</v>
      </c>
      <c r="AL11258">
        <v>1</v>
      </c>
      <c r="AM11258">
        <v>1</v>
      </c>
    </row>
    <row r="11259" spans="1:39" x14ac:dyDescent="0.2">
      <c r="A11259" t="str">
        <f>"11255"</f>
        <v>11255</v>
      </c>
      <c r="B11259" t="str">
        <f t="shared" si="626"/>
        <v>1</v>
      </c>
      <c r="C11259" t="str">
        <f t="shared" si="627"/>
        <v>226</v>
      </c>
      <c r="D11259" t="str">
        <f>"1"</f>
        <v>1</v>
      </c>
      <c r="E11259" t="str">
        <f>"1-226-1"</f>
        <v>1-226-1</v>
      </c>
      <c r="F11259" t="s">
        <v>65</v>
      </c>
      <c r="G11259" t="s">
        <v>66</v>
      </c>
      <c r="H11259" t="s">
        <v>67</v>
      </c>
      <c r="S11259">
        <v>1</v>
      </c>
      <c r="T11259">
        <v>0</v>
      </c>
      <c r="U11259">
        <v>0</v>
      </c>
      <c r="V11259">
        <v>0</v>
      </c>
      <c r="W11259">
        <v>1</v>
      </c>
      <c r="X11259">
        <v>0</v>
      </c>
      <c r="Y11259">
        <v>0</v>
      </c>
      <c r="Z11259">
        <v>1</v>
      </c>
      <c r="AA11259">
        <v>0</v>
      </c>
      <c r="AB11259">
        <v>0</v>
      </c>
      <c r="AC11259">
        <v>1</v>
      </c>
      <c r="AD11259">
        <v>1</v>
      </c>
      <c r="AE11259">
        <v>1</v>
      </c>
      <c r="AF11259">
        <v>1</v>
      </c>
      <c r="AG11259">
        <v>1</v>
      </c>
      <c r="AH11259">
        <v>1</v>
      </c>
      <c r="AI11259">
        <v>1</v>
      </c>
      <c r="AJ11259">
        <v>1</v>
      </c>
      <c r="AK11259">
        <v>1</v>
      </c>
      <c r="AL11259">
        <v>1</v>
      </c>
      <c r="AM11259">
        <v>1</v>
      </c>
    </row>
    <row r="11260" spans="1:39" x14ac:dyDescent="0.2">
      <c r="A11260" t="str">
        <f>"11256"</f>
        <v>11256</v>
      </c>
      <c r="B11260" t="str">
        <f t="shared" si="626"/>
        <v>1</v>
      </c>
      <c r="C11260" t="str">
        <f t="shared" si="627"/>
        <v>226</v>
      </c>
      <c r="D11260" t="str">
        <f>"34"</f>
        <v>34</v>
      </c>
      <c r="E11260" t="str">
        <f>"1-226-34"</f>
        <v>1-226-34</v>
      </c>
      <c r="F11260" t="s">
        <v>65</v>
      </c>
      <c r="G11260" t="s">
        <v>66</v>
      </c>
      <c r="H11260" t="s">
        <v>67</v>
      </c>
      <c r="S11260">
        <v>1</v>
      </c>
      <c r="T11260">
        <v>0</v>
      </c>
      <c r="U11260">
        <v>0</v>
      </c>
      <c r="V11260">
        <v>0</v>
      </c>
      <c r="W11260">
        <v>1</v>
      </c>
      <c r="X11260">
        <v>0</v>
      </c>
      <c r="Y11260">
        <v>1</v>
      </c>
      <c r="Z11260">
        <v>0</v>
      </c>
      <c r="AA11260">
        <v>1</v>
      </c>
      <c r="AB11260">
        <v>0</v>
      </c>
      <c r="AC11260">
        <v>0</v>
      </c>
      <c r="AD11260">
        <v>1</v>
      </c>
      <c r="AE11260">
        <v>1</v>
      </c>
      <c r="AF11260">
        <v>1</v>
      </c>
      <c r="AG11260">
        <v>1</v>
      </c>
      <c r="AH11260">
        <v>1</v>
      </c>
      <c r="AI11260">
        <v>1</v>
      </c>
      <c r="AJ11260">
        <v>1</v>
      </c>
      <c r="AK11260">
        <v>1</v>
      </c>
      <c r="AL11260">
        <v>1</v>
      </c>
      <c r="AM11260">
        <v>1</v>
      </c>
    </row>
    <row r="11261" spans="1:39" x14ac:dyDescent="0.2">
      <c r="A11261" t="str">
        <f>"11257"</f>
        <v>11257</v>
      </c>
      <c r="B11261" t="str">
        <f t="shared" si="626"/>
        <v>1</v>
      </c>
      <c r="C11261" t="str">
        <f t="shared" si="627"/>
        <v>226</v>
      </c>
      <c r="D11261" t="str">
        <f>"33"</f>
        <v>33</v>
      </c>
      <c r="E11261" t="str">
        <f>"1-226-33"</f>
        <v>1-226-33</v>
      </c>
      <c r="F11261" t="s">
        <v>65</v>
      </c>
      <c r="G11261" t="s">
        <v>66</v>
      </c>
      <c r="H11261" t="s">
        <v>67</v>
      </c>
      <c r="S11261">
        <v>1</v>
      </c>
      <c r="T11261">
        <v>0</v>
      </c>
      <c r="U11261">
        <v>0</v>
      </c>
      <c r="V11261">
        <v>0</v>
      </c>
      <c r="W11261">
        <v>1</v>
      </c>
      <c r="X11261">
        <v>0</v>
      </c>
      <c r="Y11261">
        <v>1</v>
      </c>
      <c r="Z11261">
        <v>0</v>
      </c>
      <c r="AA11261">
        <v>1</v>
      </c>
      <c r="AB11261">
        <v>0</v>
      </c>
      <c r="AC11261">
        <v>0</v>
      </c>
      <c r="AD11261">
        <v>1</v>
      </c>
      <c r="AE11261">
        <v>1</v>
      </c>
      <c r="AF11261">
        <v>1</v>
      </c>
      <c r="AG11261">
        <v>1</v>
      </c>
      <c r="AH11261">
        <v>1</v>
      </c>
      <c r="AI11261">
        <v>1</v>
      </c>
      <c r="AJ11261">
        <v>1</v>
      </c>
      <c r="AK11261">
        <v>1</v>
      </c>
      <c r="AL11261">
        <v>1</v>
      </c>
      <c r="AM11261">
        <v>1</v>
      </c>
    </row>
    <row r="11262" spans="1:39" x14ac:dyDescent="0.2">
      <c r="A11262" t="str">
        <f>"11258"</f>
        <v>11258</v>
      </c>
      <c r="B11262" t="str">
        <f t="shared" si="626"/>
        <v>1</v>
      </c>
      <c r="C11262" t="str">
        <f t="shared" si="627"/>
        <v>226</v>
      </c>
      <c r="D11262" t="str">
        <f>"22"</f>
        <v>22</v>
      </c>
      <c r="E11262" t="str">
        <f>"1-226-22"</f>
        <v>1-226-22</v>
      </c>
      <c r="F11262" t="s">
        <v>65</v>
      </c>
      <c r="G11262" t="s">
        <v>66</v>
      </c>
      <c r="H11262" t="s">
        <v>67</v>
      </c>
      <c r="S11262">
        <v>1</v>
      </c>
      <c r="T11262">
        <v>0</v>
      </c>
      <c r="U11262">
        <v>0</v>
      </c>
      <c r="V11262">
        <v>0</v>
      </c>
      <c r="W11262">
        <v>1</v>
      </c>
      <c r="X11262">
        <v>0</v>
      </c>
      <c r="Y11262">
        <v>1</v>
      </c>
      <c r="Z11262">
        <v>0</v>
      </c>
      <c r="AA11262">
        <v>1</v>
      </c>
      <c r="AB11262">
        <v>0</v>
      </c>
      <c r="AC11262">
        <v>0</v>
      </c>
      <c r="AD11262">
        <v>1</v>
      </c>
      <c r="AE11262">
        <v>1</v>
      </c>
      <c r="AF11262">
        <v>1</v>
      </c>
      <c r="AG11262">
        <v>1</v>
      </c>
      <c r="AH11262">
        <v>1</v>
      </c>
      <c r="AI11262">
        <v>1</v>
      </c>
      <c r="AJ11262">
        <v>1</v>
      </c>
      <c r="AK11262">
        <v>1</v>
      </c>
      <c r="AL11262">
        <v>1</v>
      </c>
      <c r="AM11262">
        <v>1</v>
      </c>
    </row>
    <row r="11263" spans="1:39" x14ac:dyDescent="0.2">
      <c r="A11263" t="str">
        <f>"11259"</f>
        <v>11259</v>
      </c>
      <c r="B11263" t="str">
        <f t="shared" si="626"/>
        <v>1</v>
      </c>
      <c r="C11263" t="str">
        <f t="shared" si="627"/>
        <v>226</v>
      </c>
      <c r="D11263" t="str">
        <f>"16"</f>
        <v>16</v>
      </c>
      <c r="E11263" t="str">
        <f>"1-226-16"</f>
        <v>1-226-16</v>
      </c>
      <c r="F11263" t="s">
        <v>65</v>
      </c>
      <c r="G11263" t="s">
        <v>66</v>
      </c>
      <c r="H11263" t="s">
        <v>67</v>
      </c>
      <c r="S11263">
        <v>1</v>
      </c>
      <c r="T11263">
        <v>0</v>
      </c>
      <c r="U11263">
        <v>0</v>
      </c>
      <c r="V11263">
        <v>0</v>
      </c>
      <c r="W11263">
        <v>1</v>
      </c>
      <c r="X11263">
        <v>0</v>
      </c>
      <c r="Y11263">
        <v>1</v>
      </c>
      <c r="Z11263">
        <v>0</v>
      </c>
      <c r="AA11263">
        <v>1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1</v>
      </c>
      <c r="AI11263">
        <v>1</v>
      </c>
      <c r="AJ11263">
        <v>1</v>
      </c>
      <c r="AK11263">
        <v>0</v>
      </c>
      <c r="AL11263">
        <v>1</v>
      </c>
      <c r="AM11263">
        <v>1</v>
      </c>
    </row>
    <row r="11264" spans="1:39" x14ac:dyDescent="0.2">
      <c r="A11264" t="str">
        <f>"11260"</f>
        <v>11260</v>
      </c>
      <c r="B11264" t="str">
        <f t="shared" si="626"/>
        <v>1</v>
      </c>
      <c r="C11264" t="str">
        <f t="shared" si="627"/>
        <v>226</v>
      </c>
      <c r="D11264" t="str">
        <f>"8"</f>
        <v>8</v>
      </c>
      <c r="E11264" t="str">
        <f>"1-226-8"</f>
        <v>1-226-8</v>
      </c>
      <c r="F11264" t="s">
        <v>65</v>
      </c>
      <c r="G11264" t="s">
        <v>66</v>
      </c>
      <c r="H11264" t="s">
        <v>67</v>
      </c>
      <c r="S11264">
        <v>1</v>
      </c>
      <c r="T11264">
        <v>0</v>
      </c>
      <c r="U11264">
        <v>0</v>
      </c>
      <c r="V11264">
        <v>0</v>
      </c>
      <c r="W11264">
        <v>1</v>
      </c>
      <c r="X11264">
        <v>0</v>
      </c>
      <c r="Y11264">
        <v>1</v>
      </c>
      <c r="Z11264">
        <v>0</v>
      </c>
      <c r="AA11264">
        <v>1</v>
      </c>
      <c r="AB11264">
        <v>0</v>
      </c>
      <c r="AC11264">
        <v>0</v>
      </c>
      <c r="AD11264">
        <v>1</v>
      </c>
      <c r="AE11264">
        <v>1</v>
      </c>
      <c r="AF11264">
        <v>1</v>
      </c>
      <c r="AG11264">
        <v>1</v>
      </c>
      <c r="AH11264">
        <v>1</v>
      </c>
      <c r="AI11264">
        <v>1</v>
      </c>
      <c r="AJ11264">
        <v>1</v>
      </c>
      <c r="AK11264">
        <v>1</v>
      </c>
      <c r="AL11264">
        <v>1</v>
      </c>
      <c r="AM11264">
        <v>1</v>
      </c>
    </row>
    <row r="11265" spans="1:39" x14ac:dyDescent="0.2">
      <c r="A11265" t="str">
        <f>"11261"</f>
        <v>11261</v>
      </c>
      <c r="B11265" t="str">
        <f t="shared" si="626"/>
        <v>1</v>
      </c>
      <c r="C11265" t="str">
        <f t="shared" si="627"/>
        <v>226</v>
      </c>
      <c r="D11265" t="str">
        <f>"38"</f>
        <v>38</v>
      </c>
      <c r="E11265" t="str">
        <f>"1-226-38"</f>
        <v>1-226-38</v>
      </c>
      <c r="F11265" t="s">
        <v>65</v>
      </c>
      <c r="G11265" t="s">
        <v>66</v>
      </c>
      <c r="H11265" t="s">
        <v>67</v>
      </c>
      <c r="S11265">
        <v>1</v>
      </c>
      <c r="T11265">
        <v>0</v>
      </c>
      <c r="U11265">
        <v>0</v>
      </c>
      <c r="V11265">
        <v>0</v>
      </c>
      <c r="W11265">
        <v>1</v>
      </c>
      <c r="X11265">
        <v>0</v>
      </c>
      <c r="Y11265">
        <v>1</v>
      </c>
      <c r="Z11265">
        <v>0</v>
      </c>
      <c r="AA11265">
        <v>0</v>
      </c>
      <c r="AB11265">
        <v>0</v>
      </c>
      <c r="AC11265">
        <v>1</v>
      </c>
      <c r="AD11265">
        <v>0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  <c r="AK11265">
        <v>0</v>
      </c>
      <c r="AL11265">
        <v>0</v>
      </c>
      <c r="AM11265">
        <v>0</v>
      </c>
    </row>
    <row r="11266" spans="1:39" x14ac:dyDescent="0.2">
      <c r="A11266" t="str">
        <f>"11262"</f>
        <v>11262</v>
      </c>
      <c r="B11266" t="str">
        <f t="shared" si="626"/>
        <v>1</v>
      </c>
      <c r="C11266" t="str">
        <f t="shared" si="627"/>
        <v>226</v>
      </c>
      <c r="D11266" t="str">
        <f>"37"</f>
        <v>37</v>
      </c>
      <c r="E11266" t="str">
        <f>"1-226-37"</f>
        <v>1-226-37</v>
      </c>
      <c r="F11266" t="s">
        <v>65</v>
      </c>
      <c r="G11266" t="s">
        <v>66</v>
      </c>
      <c r="H11266" t="s">
        <v>67</v>
      </c>
      <c r="S11266">
        <v>1</v>
      </c>
      <c r="T11266">
        <v>0</v>
      </c>
      <c r="U11266">
        <v>0</v>
      </c>
      <c r="V11266">
        <v>0</v>
      </c>
      <c r="W11266">
        <v>1</v>
      </c>
      <c r="X11266">
        <v>0</v>
      </c>
      <c r="Y11266">
        <v>1</v>
      </c>
      <c r="Z11266">
        <v>0</v>
      </c>
      <c r="AA11266">
        <v>1</v>
      </c>
      <c r="AB11266">
        <v>0</v>
      </c>
      <c r="AC11266">
        <v>0</v>
      </c>
      <c r="AD11266">
        <v>1</v>
      </c>
      <c r="AE11266">
        <v>1</v>
      </c>
      <c r="AF11266">
        <v>1</v>
      </c>
      <c r="AG11266">
        <v>1</v>
      </c>
      <c r="AH11266">
        <v>1</v>
      </c>
      <c r="AI11266">
        <v>1</v>
      </c>
      <c r="AJ11266">
        <v>1</v>
      </c>
      <c r="AK11266">
        <v>1</v>
      </c>
      <c r="AL11266">
        <v>1</v>
      </c>
      <c r="AM11266">
        <v>1</v>
      </c>
    </row>
    <row r="11267" spans="1:39" x14ac:dyDescent="0.2">
      <c r="A11267" t="str">
        <f>"11263"</f>
        <v>11263</v>
      </c>
      <c r="B11267" t="str">
        <f t="shared" si="626"/>
        <v>1</v>
      </c>
      <c r="C11267" t="str">
        <f t="shared" si="627"/>
        <v>226</v>
      </c>
      <c r="D11267" t="str">
        <f>"23"</f>
        <v>23</v>
      </c>
      <c r="E11267" t="str">
        <f>"1-226-23"</f>
        <v>1-226-23</v>
      </c>
      <c r="F11267" t="s">
        <v>65</v>
      </c>
      <c r="G11267" t="s">
        <v>66</v>
      </c>
      <c r="H11267" t="s">
        <v>67</v>
      </c>
      <c r="S11267">
        <v>1</v>
      </c>
      <c r="T11267">
        <v>0</v>
      </c>
      <c r="U11267">
        <v>0</v>
      </c>
      <c r="V11267">
        <v>0</v>
      </c>
      <c r="W11267">
        <v>1</v>
      </c>
      <c r="X11267">
        <v>0</v>
      </c>
      <c r="Y11267">
        <v>1</v>
      </c>
      <c r="Z11267">
        <v>0</v>
      </c>
      <c r="AA11267">
        <v>1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0</v>
      </c>
      <c r="AH11267">
        <v>0</v>
      </c>
      <c r="AI11267">
        <v>0</v>
      </c>
      <c r="AJ11267">
        <v>0</v>
      </c>
      <c r="AK11267">
        <v>0</v>
      </c>
      <c r="AL11267">
        <v>0</v>
      </c>
      <c r="AM11267">
        <v>0</v>
      </c>
    </row>
    <row r="11268" spans="1:39" x14ac:dyDescent="0.2">
      <c r="A11268" t="str">
        <f>"11264"</f>
        <v>11264</v>
      </c>
      <c r="B11268" t="str">
        <f t="shared" si="626"/>
        <v>1</v>
      </c>
      <c r="C11268" t="str">
        <f t="shared" si="627"/>
        <v>226</v>
      </c>
      <c r="D11268" t="str">
        <f>"17"</f>
        <v>17</v>
      </c>
      <c r="E11268" t="str">
        <f>"1-226-17"</f>
        <v>1-226-17</v>
      </c>
      <c r="F11268" t="s">
        <v>65</v>
      </c>
      <c r="G11268" t="s">
        <v>66</v>
      </c>
      <c r="H11268" t="s">
        <v>67</v>
      </c>
      <c r="S11268">
        <v>1</v>
      </c>
      <c r="T11268">
        <v>0</v>
      </c>
      <c r="U11268">
        <v>0</v>
      </c>
      <c r="V11268">
        <v>0</v>
      </c>
      <c r="W11268">
        <v>1</v>
      </c>
      <c r="X11268">
        <v>0</v>
      </c>
      <c r="Y11268">
        <v>1</v>
      </c>
      <c r="Z11268">
        <v>0</v>
      </c>
      <c r="AA11268">
        <v>1</v>
      </c>
      <c r="AB11268">
        <v>0</v>
      </c>
      <c r="AC11268">
        <v>0</v>
      </c>
      <c r="AD11268">
        <v>1</v>
      </c>
      <c r="AE11268">
        <v>1</v>
      </c>
      <c r="AF11268">
        <v>1</v>
      </c>
      <c r="AG11268">
        <v>1</v>
      </c>
      <c r="AH11268">
        <v>1</v>
      </c>
      <c r="AI11268">
        <v>1</v>
      </c>
      <c r="AJ11268">
        <v>1</v>
      </c>
      <c r="AK11268">
        <v>1</v>
      </c>
      <c r="AL11268">
        <v>1</v>
      </c>
      <c r="AM11268">
        <v>1</v>
      </c>
    </row>
    <row r="11269" spans="1:39" x14ac:dyDescent="0.2">
      <c r="A11269" t="str">
        <f>"11265"</f>
        <v>11265</v>
      </c>
      <c r="B11269" t="str">
        <f t="shared" si="626"/>
        <v>1</v>
      </c>
      <c r="C11269" t="str">
        <f t="shared" si="627"/>
        <v>226</v>
      </c>
      <c r="D11269" t="str">
        <f>"14"</f>
        <v>14</v>
      </c>
      <c r="E11269" t="str">
        <f>"1-226-14"</f>
        <v>1-226-14</v>
      </c>
      <c r="F11269" t="s">
        <v>65</v>
      </c>
      <c r="G11269" t="s">
        <v>66</v>
      </c>
      <c r="H11269" t="s">
        <v>67</v>
      </c>
      <c r="S11269">
        <v>0</v>
      </c>
      <c r="T11269">
        <v>1</v>
      </c>
      <c r="U11269">
        <v>0</v>
      </c>
      <c r="V11269">
        <v>0</v>
      </c>
      <c r="W11269">
        <v>1</v>
      </c>
      <c r="X11269">
        <v>0</v>
      </c>
      <c r="Y11269">
        <v>0</v>
      </c>
      <c r="Z11269">
        <v>1</v>
      </c>
      <c r="AA11269">
        <v>1</v>
      </c>
      <c r="AB11269">
        <v>0</v>
      </c>
      <c r="AC11269">
        <v>0</v>
      </c>
      <c r="AD11269">
        <v>1</v>
      </c>
      <c r="AE11269">
        <v>1</v>
      </c>
      <c r="AF11269">
        <v>1</v>
      </c>
      <c r="AG11269">
        <v>1</v>
      </c>
      <c r="AH11269">
        <v>1</v>
      </c>
      <c r="AI11269">
        <v>1</v>
      </c>
      <c r="AJ11269">
        <v>1</v>
      </c>
      <c r="AK11269">
        <v>1</v>
      </c>
      <c r="AL11269">
        <v>1</v>
      </c>
      <c r="AM11269">
        <v>1</v>
      </c>
    </row>
    <row r="11270" spans="1:39" x14ac:dyDescent="0.2">
      <c r="A11270" t="str">
        <f>"11266"</f>
        <v>11266</v>
      </c>
      <c r="B11270" t="str">
        <f t="shared" si="626"/>
        <v>1</v>
      </c>
      <c r="C11270" t="str">
        <f t="shared" si="627"/>
        <v>226</v>
      </c>
      <c r="D11270" t="str">
        <f>"40"</f>
        <v>40</v>
      </c>
      <c r="E11270" t="str">
        <f>"1-226-40"</f>
        <v>1-226-40</v>
      </c>
      <c r="F11270" t="s">
        <v>65</v>
      </c>
      <c r="G11270" t="s">
        <v>66</v>
      </c>
      <c r="H11270" t="s">
        <v>67</v>
      </c>
      <c r="S11270">
        <v>0</v>
      </c>
      <c r="T11270">
        <v>1</v>
      </c>
      <c r="U11270">
        <v>0</v>
      </c>
      <c r="V11270">
        <v>0</v>
      </c>
      <c r="W11270">
        <v>0</v>
      </c>
      <c r="X11270">
        <v>1</v>
      </c>
      <c r="Y11270">
        <v>1</v>
      </c>
      <c r="Z11270">
        <v>0</v>
      </c>
      <c r="AA11270">
        <v>0</v>
      </c>
      <c r="AB11270">
        <v>1</v>
      </c>
      <c r="AC11270">
        <v>0</v>
      </c>
      <c r="AD11270">
        <v>0</v>
      </c>
      <c r="AE11270">
        <v>0</v>
      </c>
      <c r="AF11270">
        <v>0</v>
      </c>
      <c r="AG11270">
        <v>1</v>
      </c>
      <c r="AH11270">
        <v>1</v>
      </c>
      <c r="AI11270">
        <v>1</v>
      </c>
      <c r="AJ11270">
        <v>1</v>
      </c>
      <c r="AK11270">
        <v>1</v>
      </c>
      <c r="AL11270">
        <v>1</v>
      </c>
      <c r="AM11270">
        <v>1</v>
      </c>
    </row>
    <row r="11271" spans="1:39" x14ac:dyDescent="0.2">
      <c r="A11271" t="str">
        <f>"11267"</f>
        <v>11267</v>
      </c>
      <c r="B11271" t="str">
        <f t="shared" si="626"/>
        <v>1</v>
      </c>
      <c r="C11271" t="str">
        <f t="shared" si="627"/>
        <v>226</v>
      </c>
      <c r="D11271" t="str">
        <f>"39"</f>
        <v>39</v>
      </c>
      <c r="E11271" t="str">
        <f>"1-226-39"</f>
        <v>1-226-39</v>
      </c>
      <c r="F11271" t="s">
        <v>65</v>
      </c>
      <c r="G11271" t="s">
        <v>66</v>
      </c>
      <c r="H11271" t="s">
        <v>67</v>
      </c>
      <c r="S11271">
        <v>0</v>
      </c>
      <c r="T11271">
        <v>1</v>
      </c>
      <c r="U11271">
        <v>0</v>
      </c>
      <c r="V11271">
        <v>0</v>
      </c>
      <c r="W11271">
        <v>0</v>
      </c>
      <c r="X11271">
        <v>1</v>
      </c>
      <c r="Y11271">
        <v>0</v>
      </c>
      <c r="Z11271">
        <v>1</v>
      </c>
      <c r="AA11271">
        <v>0</v>
      </c>
      <c r="AB11271">
        <v>0</v>
      </c>
      <c r="AC11271">
        <v>1</v>
      </c>
      <c r="AD11271">
        <v>1</v>
      </c>
      <c r="AE11271">
        <v>1</v>
      </c>
      <c r="AF11271">
        <v>1</v>
      </c>
      <c r="AG11271">
        <v>1</v>
      </c>
      <c r="AH11271">
        <v>1</v>
      </c>
      <c r="AI11271">
        <v>1</v>
      </c>
      <c r="AJ11271">
        <v>1</v>
      </c>
      <c r="AK11271">
        <v>1</v>
      </c>
      <c r="AL11271">
        <v>1</v>
      </c>
      <c r="AM11271">
        <v>1</v>
      </c>
    </row>
    <row r="11272" spans="1:39" x14ac:dyDescent="0.2">
      <c r="A11272" t="str">
        <f>"11268"</f>
        <v>11268</v>
      </c>
      <c r="B11272" t="str">
        <f t="shared" si="626"/>
        <v>1</v>
      </c>
      <c r="C11272" t="str">
        <f t="shared" si="627"/>
        <v>226</v>
      </c>
      <c r="D11272" t="str">
        <f>"32"</f>
        <v>32</v>
      </c>
      <c r="E11272" t="str">
        <f>"1-226-32"</f>
        <v>1-226-32</v>
      </c>
      <c r="F11272" t="s">
        <v>65</v>
      </c>
      <c r="G11272" t="s">
        <v>66</v>
      </c>
      <c r="H11272" t="s">
        <v>67</v>
      </c>
      <c r="S11272">
        <v>1</v>
      </c>
      <c r="T11272">
        <v>0</v>
      </c>
      <c r="U11272">
        <v>0</v>
      </c>
      <c r="V11272">
        <v>0</v>
      </c>
      <c r="W11272">
        <v>1</v>
      </c>
      <c r="X11272">
        <v>0</v>
      </c>
      <c r="Y11272">
        <v>1</v>
      </c>
      <c r="Z11272">
        <v>0</v>
      </c>
      <c r="AA11272">
        <v>0</v>
      </c>
      <c r="AB11272">
        <v>0</v>
      </c>
      <c r="AC11272">
        <v>0</v>
      </c>
      <c r="AD11272">
        <v>1</v>
      </c>
      <c r="AE11272">
        <v>1</v>
      </c>
      <c r="AF11272">
        <v>1</v>
      </c>
      <c r="AG11272">
        <v>1</v>
      </c>
      <c r="AH11272">
        <v>1</v>
      </c>
      <c r="AI11272">
        <v>1</v>
      </c>
      <c r="AJ11272">
        <v>1</v>
      </c>
      <c r="AK11272">
        <v>1</v>
      </c>
      <c r="AL11272">
        <v>1</v>
      </c>
      <c r="AM11272">
        <v>1</v>
      </c>
    </row>
    <row r="11273" spans="1:39" x14ac:dyDescent="0.2">
      <c r="A11273" t="str">
        <f>"11269"</f>
        <v>11269</v>
      </c>
      <c r="B11273" t="str">
        <f t="shared" si="626"/>
        <v>1</v>
      </c>
      <c r="C11273" t="str">
        <f t="shared" si="627"/>
        <v>226</v>
      </c>
      <c r="D11273" t="str">
        <f>"18"</f>
        <v>18</v>
      </c>
      <c r="E11273" t="str">
        <f>"1-226-18"</f>
        <v>1-226-18</v>
      </c>
      <c r="F11273" t="s">
        <v>65</v>
      </c>
      <c r="G11273" t="s">
        <v>66</v>
      </c>
      <c r="H11273" t="s">
        <v>67</v>
      </c>
      <c r="S11273">
        <v>0</v>
      </c>
      <c r="T11273">
        <v>1</v>
      </c>
      <c r="U11273">
        <v>0</v>
      </c>
      <c r="V11273">
        <v>0</v>
      </c>
      <c r="W11273">
        <v>1</v>
      </c>
      <c r="X11273">
        <v>0</v>
      </c>
      <c r="Y11273">
        <v>1</v>
      </c>
      <c r="Z11273">
        <v>0</v>
      </c>
      <c r="AA11273">
        <v>1</v>
      </c>
      <c r="AB11273">
        <v>0</v>
      </c>
      <c r="AC11273">
        <v>0</v>
      </c>
      <c r="AD11273">
        <v>1</v>
      </c>
      <c r="AE11273">
        <v>1</v>
      </c>
      <c r="AF11273">
        <v>1</v>
      </c>
      <c r="AG11273">
        <v>1</v>
      </c>
      <c r="AH11273">
        <v>1</v>
      </c>
      <c r="AI11273">
        <v>1</v>
      </c>
      <c r="AJ11273">
        <v>1</v>
      </c>
      <c r="AK11273">
        <v>1</v>
      </c>
      <c r="AL11273">
        <v>1</v>
      </c>
      <c r="AM11273">
        <v>1</v>
      </c>
    </row>
    <row r="11274" spans="1:39" x14ac:dyDescent="0.2">
      <c r="A11274" t="str">
        <f>"11270"</f>
        <v>11270</v>
      </c>
      <c r="B11274" t="str">
        <f t="shared" si="626"/>
        <v>1</v>
      </c>
      <c r="C11274" t="str">
        <f t="shared" si="627"/>
        <v>226</v>
      </c>
      <c r="D11274" t="str">
        <f>"2"</f>
        <v>2</v>
      </c>
      <c r="E11274" t="str">
        <f>"1-226-2"</f>
        <v>1-226-2</v>
      </c>
      <c r="F11274" t="s">
        <v>65</v>
      </c>
      <c r="G11274" t="s">
        <v>66</v>
      </c>
      <c r="H11274" t="s">
        <v>67</v>
      </c>
      <c r="S11274">
        <v>0</v>
      </c>
      <c r="T11274">
        <v>1</v>
      </c>
      <c r="U11274">
        <v>0</v>
      </c>
      <c r="V11274">
        <v>0</v>
      </c>
      <c r="W11274">
        <v>1</v>
      </c>
      <c r="X11274">
        <v>0</v>
      </c>
      <c r="Y11274">
        <v>1</v>
      </c>
      <c r="Z11274">
        <v>0</v>
      </c>
      <c r="AA11274">
        <v>0</v>
      </c>
      <c r="AB11274">
        <v>0</v>
      </c>
      <c r="AC11274">
        <v>1</v>
      </c>
      <c r="AD11274">
        <v>1</v>
      </c>
      <c r="AE11274">
        <v>0</v>
      </c>
      <c r="AF11274">
        <v>1</v>
      </c>
      <c r="AG11274">
        <v>1</v>
      </c>
      <c r="AH11274">
        <v>0</v>
      </c>
      <c r="AI11274">
        <v>1</v>
      </c>
      <c r="AJ11274">
        <v>0</v>
      </c>
      <c r="AK11274">
        <v>0</v>
      </c>
      <c r="AL11274">
        <v>0</v>
      </c>
      <c r="AM11274">
        <v>1</v>
      </c>
    </row>
    <row r="11275" spans="1:39" x14ac:dyDescent="0.2">
      <c r="A11275" t="str">
        <f>"11271"</f>
        <v>11271</v>
      </c>
      <c r="B11275" t="str">
        <f t="shared" si="626"/>
        <v>1</v>
      </c>
      <c r="C11275" t="str">
        <f t="shared" si="627"/>
        <v>226</v>
      </c>
      <c r="D11275" t="str">
        <f>"41"</f>
        <v>41</v>
      </c>
      <c r="E11275" t="str">
        <f>"1-226-41"</f>
        <v>1-226-41</v>
      </c>
      <c r="F11275" t="s">
        <v>65</v>
      </c>
      <c r="G11275" t="s">
        <v>66</v>
      </c>
      <c r="H11275" t="s">
        <v>67</v>
      </c>
      <c r="S11275">
        <v>1</v>
      </c>
      <c r="T11275">
        <v>0</v>
      </c>
      <c r="U11275">
        <v>0</v>
      </c>
      <c r="V11275">
        <v>0</v>
      </c>
      <c r="W11275">
        <v>1</v>
      </c>
      <c r="X11275">
        <v>0</v>
      </c>
      <c r="Y11275">
        <v>1</v>
      </c>
      <c r="Z11275">
        <v>0</v>
      </c>
      <c r="AA11275">
        <v>1</v>
      </c>
      <c r="AB11275">
        <v>0</v>
      </c>
      <c r="AC11275">
        <v>0</v>
      </c>
      <c r="AD11275">
        <v>1</v>
      </c>
      <c r="AE11275">
        <v>1</v>
      </c>
      <c r="AF11275">
        <v>1</v>
      </c>
      <c r="AG11275">
        <v>1</v>
      </c>
      <c r="AH11275">
        <v>1</v>
      </c>
      <c r="AI11275">
        <v>1</v>
      </c>
      <c r="AJ11275">
        <v>1</v>
      </c>
      <c r="AK11275">
        <v>1</v>
      </c>
      <c r="AL11275">
        <v>1</v>
      </c>
      <c r="AM11275">
        <v>1</v>
      </c>
    </row>
    <row r="11276" spans="1:39" x14ac:dyDescent="0.2">
      <c r="A11276" t="str">
        <f>"11272"</f>
        <v>11272</v>
      </c>
      <c r="B11276" t="str">
        <f t="shared" si="626"/>
        <v>1</v>
      </c>
      <c r="C11276" t="str">
        <f t="shared" si="627"/>
        <v>226</v>
      </c>
      <c r="D11276" t="str">
        <f>"19"</f>
        <v>19</v>
      </c>
      <c r="E11276" t="str">
        <f>"1-226-19"</f>
        <v>1-226-19</v>
      </c>
      <c r="F11276" t="s">
        <v>65</v>
      </c>
      <c r="G11276" t="s">
        <v>66</v>
      </c>
      <c r="H11276" t="s">
        <v>67</v>
      </c>
      <c r="S11276">
        <v>0</v>
      </c>
      <c r="T11276">
        <v>1</v>
      </c>
      <c r="U11276">
        <v>0</v>
      </c>
      <c r="V11276">
        <v>0</v>
      </c>
      <c r="W11276">
        <v>1</v>
      </c>
      <c r="X11276">
        <v>0</v>
      </c>
      <c r="Y11276">
        <v>0</v>
      </c>
      <c r="Z11276">
        <v>1</v>
      </c>
      <c r="AA11276">
        <v>1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  <c r="AK11276">
        <v>0</v>
      </c>
      <c r="AL11276">
        <v>0</v>
      </c>
      <c r="AM11276">
        <v>0</v>
      </c>
    </row>
    <row r="11277" spans="1:39" x14ac:dyDescent="0.2">
      <c r="A11277" t="str">
        <f>"11273"</f>
        <v>11273</v>
      </c>
      <c r="B11277" t="str">
        <f t="shared" si="626"/>
        <v>1</v>
      </c>
      <c r="C11277" t="str">
        <f t="shared" si="627"/>
        <v>226</v>
      </c>
      <c r="D11277" t="str">
        <f>"6"</f>
        <v>6</v>
      </c>
      <c r="E11277" t="str">
        <f>"1-226-6"</f>
        <v>1-226-6</v>
      </c>
      <c r="F11277" t="s">
        <v>65</v>
      </c>
      <c r="G11277" t="s">
        <v>66</v>
      </c>
      <c r="H11277" t="s">
        <v>67</v>
      </c>
      <c r="S11277">
        <v>0</v>
      </c>
      <c r="T11277">
        <v>1</v>
      </c>
      <c r="U11277">
        <v>0</v>
      </c>
      <c r="V11277">
        <v>0</v>
      </c>
      <c r="W11277">
        <v>1</v>
      </c>
      <c r="X11277">
        <v>0</v>
      </c>
      <c r="Y11277">
        <v>0</v>
      </c>
      <c r="Z11277">
        <v>1</v>
      </c>
      <c r="AA11277">
        <v>0</v>
      </c>
      <c r="AB11277">
        <v>0</v>
      </c>
      <c r="AC11277">
        <v>1</v>
      </c>
      <c r="AD11277">
        <v>1</v>
      </c>
      <c r="AE11277">
        <v>1</v>
      </c>
      <c r="AF11277">
        <v>1</v>
      </c>
      <c r="AG11277">
        <v>1</v>
      </c>
      <c r="AH11277">
        <v>1</v>
      </c>
      <c r="AI11277">
        <v>1</v>
      </c>
      <c r="AJ11277">
        <v>1</v>
      </c>
      <c r="AK11277">
        <v>1</v>
      </c>
      <c r="AL11277">
        <v>1</v>
      </c>
      <c r="AM11277">
        <v>1</v>
      </c>
    </row>
    <row r="11278" spans="1:39" x14ac:dyDescent="0.2">
      <c r="A11278" t="str">
        <f>"11274"</f>
        <v>11274</v>
      </c>
      <c r="B11278" t="str">
        <f t="shared" si="626"/>
        <v>1</v>
      </c>
      <c r="C11278" t="str">
        <f t="shared" si="627"/>
        <v>226</v>
      </c>
      <c r="D11278" t="str">
        <f>"42"</f>
        <v>42</v>
      </c>
      <c r="E11278" t="str">
        <f>"1-226-42"</f>
        <v>1-226-42</v>
      </c>
      <c r="F11278" t="s">
        <v>65</v>
      </c>
      <c r="G11278" t="s">
        <v>66</v>
      </c>
      <c r="H11278" t="s">
        <v>67</v>
      </c>
      <c r="S11278">
        <v>0</v>
      </c>
      <c r="T11278">
        <v>1</v>
      </c>
      <c r="U11278">
        <v>0</v>
      </c>
      <c r="V11278">
        <v>0</v>
      </c>
      <c r="W11278">
        <v>0</v>
      </c>
      <c r="X11278">
        <v>1</v>
      </c>
      <c r="Y11278">
        <v>1</v>
      </c>
      <c r="Z11278">
        <v>0</v>
      </c>
      <c r="AA11278">
        <v>1</v>
      </c>
      <c r="AB11278">
        <v>0</v>
      </c>
      <c r="AC11278">
        <v>0</v>
      </c>
      <c r="AD11278">
        <v>1</v>
      </c>
      <c r="AE11278">
        <v>1</v>
      </c>
      <c r="AF11278">
        <v>1</v>
      </c>
      <c r="AG11278">
        <v>1</v>
      </c>
      <c r="AH11278">
        <v>1</v>
      </c>
      <c r="AI11278">
        <v>1</v>
      </c>
      <c r="AJ11278">
        <v>1</v>
      </c>
      <c r="AK11278">
        <v>1</v>
      </c>
      <c r="AL11278">
        <v>1</v>
      </c>
      <c r="AM11278">
        <v>1</v>
      </c>
    </row>
    <row r="11279" spans="1:39" x14ac:dyDescent="0.2">
      <c r="A11279" t="str">
        <f>"11275"</f>
        <v>11275</v>
      </c>
      <c r="B11279" t="str">
        <f t="shared" si="626"/>
        <v>1</v>
      </c>
      <c r="C11279" t="str">
        <f t="shared" si="627"/>
        <v>226</v>
      </c>
      <c r="D11279" t="str">
        <f>"20"</f>
        <v>20</v>
      </c>
      <c r="E11279" t="str">
        <f>"1-226-20"</f>
        <v>1-226-20</v>
      </c>
      <c r="F11279" t="s">
        <v>65</v>
      </c>
      <c r="G11279" t="s">
        <v>66</v>
      </c>
      <c r="H11279" t="s">
        <v>67</v>
      </c>
      <c r="S11279">
        <v>0</v>
      </c>
      <c r="T11279">
        <v>1</v>
      </c>
      <c r="U11279">
        <v>0</v>
      </c>
      <c r="V11279">
        <v>0</v>
      </c>
      <c r="W11279">
        <v>0</v>
      </c>
      <c r="X11279">
        <v>1</v>
      </c>
      <c r="Y11279">
        <v>1</v>
      </c>
      <c r="Z11279">
        <v>0</v>
      </c>
      <c r="AA11279">
        <v>0</v>
      </c>
      <c r="AB11279">
        <v>0</v>
      </c>
      <c r="AC11279">
        <v>1</v>
      </c>
      <c r="AD11279">
        <v>1</v>
      </c>
      <c r="AE11279">
        <v>1</v>
      </c>
      <c r="AF11279">
        <v>1</v>
      </c>
      <c r="AG11279">
        <v>1</v>
      </c>
      <c r="AH11279">
        <v>1</v>
      </c>
      <c r="AI11279">
        <v>1</v>
      </c>
      <c r="AJ11279">
        <v>1</v>
      </c>
      <c r="AK11279">
        <v>1</v>
      </c>
      <c r="AL11279">
        <v>1</v>
      </c>
      <c r="AM11279">
        <v>1</v>
      </c>
    </row>
    <row r="11280" spans="1:39" x14ac:dyDescent="0.2">
      <c r="A11280" t="str">
        <f>"11276"</f>
        <v>11276</v>
      </c>
      <c r="B11280" t="str">
        <f t="shared" si="626"/>
        <v>1</v>
      </c>
      <c r="C11280" t="str">
        <f t="shared" si="627"/>
        <v>226</v>
      </c>
      <c r="D11280" t="str">
        <f>"10"</f>
        <v>10</v>
      </c>
      <c r="E11280" t="str">
        <f>"1-226-10"</f>
        <v>1-226-10</v>
      </c>
      <c r="F11280" t="s">
        <v>65</v>
      </c>
      <c r="G11280" t="s">
        <v>66</v>
      </c>
      <c r="H11280" t="s">
        <v>67</v>
      </c>
      <c r="S11280">
        <v>1</v>
      </c>
      <c r="T11280">
        <v>0</v>
      </c>
      <c r="U11280">
        <v>0</v>
      </c>
      <c r="V11280">
        <v>0</v>
      </c>
      <c r="W11280">
        <v>1</v>
      </c>
      <c r="X11280">
        <v>0</v>
      </c>
      <c r="Y11280">
        <v>1</v>
      </c>
      <c r="Z11280">
        <v>0</v>
      </c>
      <c r="AA11280">
        <v>1</v>
      </c>
      <c r="AB11280">
        <v>0</v>
      </c>
      <c r="AC11280">
        <v>0</v>
      </c>
      <c r="AD11280">
        <v>1</v>
      </c>
      <c r="AE11280">
        <v>0</v>
      </c>
      <c r="AF11280">
        <v>1</v>
      </c>
      <c r="AG11280">
        <v>1</v>
      </c>
      <c r="AH11280">
        <v>1</v>
      </c>
      <c r="AI11280">
        <v>1</v>
      </c>
      <c r="AJ11280">
        <v>1</v>
      </c>
      <c r="AK11280">
        <v>1</v>
      </c>
      <c r="AL11280">
        <v>1</v>
      </c>
      <c r="AM11280">
        <v>1</v>
      </c>
    </row>
    <row r="11281" spans="1:39" x14ac:dyDescent="0.2">
      <c r="A11281" t="str">
        <f>"11277"</f>
        <v>11277</v>
      </c>
      <c r="B11281" t="str">
        <f t="shared" si="626"/>
        <v>1</v>
      </c>
      <c r="C11281" t="str">
        <f t="shared" si="627"/>
        <v>226</v>
      </c>
      <c r="D11281" t="str">
        <f>"44"</f>
        <v>44</v>
      </c>
      <c r="E11281" t="str">
        <f>"1-226-44"</f>
        <v>1-226-44</v>
      </c>
      <c r="F11281" t="s">
        <v>65</v>
      </c>
      <c r="G11281" t="s">
        <v>66</v>
      </c>
      <c r="H11281" t="s">
        <v>67</v>
      </c>
      <c r="S11281">
        <v>1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1</v>
      </c>
      <c r="Z11281">
        <v>0</v>
      </c>
      <c r="AA11281">
        <v>0</v>
      </c>
      <c r="AB11281">
        <v>1</v>
      </c>
      <c r="AC11281">
        <v>0</v>
      </c>
      <c r="AD11281">
        <v>0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  <c r="AK11281">
        <v>0</v>
      </c>
      <c r="AL11281">
        <v>0</v>
      </c>
      <c r="AM11281">
        <v>0</v>
      </c>
    </row>
    <row r="11282" spans="1:39" x14ac:dyDescent="0.2">
      <c r="A11282" t="str">
        <f>"11278"</f>
        <v>11278</v>
      </c>
      <c r="B11282" t="str">
        <f t="shared" si="626"/>
        <v>1</v>
      </c>
      <c r="C11282" t="str">
        <f t="shared" si="627"/>
        <v>226</v>
      </c>
      <c r="D11282" t="str">
        <f>"24"</f>
        <v>24</v>
      </c>
      <c r="E11282" t="str">
        <f>"1-226-24"</f>
        <v>1-226-24</v>
      </c>
      <c r="F11282" t="s">
        <v>65</v>
      </c>
      <c r="G11282" t="s">
        <v>66</v>
      </c>
      <c r="H11282" t="s">
        <v>67</v>
      </c>
      <c r="S11282">
        <v>1</v>
      </c>
      <c r="T11282">
        <v>0</v>
      </c>
      <c r="U11282">
        <v>0</v>
      </c>
      <c r="V11282">
        <v>0</v>
      </c>
      <c r="W11282">
        <v>1</v>
      </c>
      <c r="X11282">
        <v>0</v>
      </c>
      <c r="Y11282">
        <v>1</v>
      </c>
      <c r="Z11282">
        <v>0</v>
      </c>
      <c r="AA11282">
        <v>1</v>
      </c>
      <c r="AB11282">
        <v>0</v>
      </c>
      <c r="AC11282">
        <v>0</v>
      </c>
      <c r="AD11282">
        <v>1</v>
      </c>
      <c r="AE11282">
        <v>1</v>
      </c>
      <c r="AF11282">
        <v>1</v>
      </c>
      <c r="AG11282">
        <v>1</v>
      </c>
      <c r="AH11282">
        <v>1</v>
      </c>
      <c r="AI11282">
        <v>1</v>
      </c>
      <c r="AJ11282">
        <v>1</v>
      </c>
      <c r="AK11282">
        <v>1</v>
      </c>
      <c r="AL11282">
        <v>1</v>
      </c>
      <c r="AM11282">
        <v>1</v>
      </c>
    </row>
    <row r="11283" spans="1:39" x14ac:dyDescent="0.2">
      <c r="A11283" t="str">
        <f>"11279"</f>
        <v>11279</v>
      </c>
      <c r="B11283" t="str">
        <f t="shared" si="626"/>
        <v>1</v>
      </c>
      <c r="C11283" t="str">
        <f t="shared" si="627"/>
        <v>226</v>
      </c>
      <c r="D11283" t="str">
        <f>"12"</f>
        <v>12</v>
      </c>
      <c r="E11283" t="str">
        <f>"1-226-12"</f>
        <v>1-226-12</v>
      </c>
      <c r="F11283" t="s">
        <v>65</v>
      </c>
      <c r="G11283" t="s">
        <v>66</v>
      </c>
      <c r="H11283" t="s">
        <v>67</v>
      </c>
      <c r="S11283">
        <v>1</v>
      </c>
      <c r="T11283">
        <v>0</v>
      </c>
      <c r="U11283">
        <v>0</v>
      </c>
      <c r="V11283">
        <v>0</v>
      </c>
      <c r="W11283">
        <v>1</v>
      </c>
      <c r="X11283">
        <v>0</v>
      </c>
      <c r="Y11283">
        <v>0</v>
      </c>
      <c r="Z11283">
        <v>1</v>
      </c>
      <c r="AA11283">
        <v>1</v>
      </c>
      <c r="AB11283">
        <v>0</v>
      </c>
      <c r="AC11283">
        <v>0</v>
      </c>
      <c r="AD11283">
        <v>1</v>
      </c>
      <c r="AE11283">
        <v>1</v>
      </c>
      <c r="AF11283">
        <v>1</v>
      </c>
      <c r="AG11283">
        <v>1</v>
      </c>
      <c r="AH11283">
        <v>1</v>
      </c>
      <c r="AI11283">
        <v>1</v>
      </c>
      <c r="AJ11283">
        <v>1</v>
      </c>
      <c r="AK11283">
        <v>1</v>
      </c>
      <c r="AL11283">
        <v>1</v>
      </c>
      <c r="AM11283">
        <v>1</v>
      </c>
    </row>
    <row r="11284" spans="1:39" x14ac:dyDescent="0.2">
      <c r="A11284" t="str">
        <f>"11280"</f>
        <v>11280</v>
      </c>
      <c r="B11284" t="str">
        <f t="shared" si="626"/>
        <v>1</v>
      </c>
      <c r="C11284" t="str">
        <f t="shared" si="627"/>
        <v>226</v>
      </c>
      <c r="D11284" t="str">
        <f>"46"</f>
        <v>46</v>
      </c>
      <c r="E11284" t="str">
        <f>"1-226-46"</f>
        <v>1-226-46</v>
      </c>
      <c r="F11284" t="s">
        <v>65</v>
      </c>
      <c r="G11284" t="s">
        <v>66</v>
      </c>
      <c r="H11284" t="s">
        <v>67</v>
      </c>
      <c r="S11284">
        <v>0</v>
      </c>
      <c r="T11284">
        <v>1</v>
      </c>
      <c r="U11284">
        <v>0</v>
      </c>
      <c r="V11284">
        <v>0</v>
      </c>
      <c r="W11284">
        <v>1</v>
      </c>
      <c r="X11284">
        <v>0</v>
      </c>
      <c r="Y11284">
        <v>1</v>
      </c>
      <c r="Z11284">
        <v>0</v>
      </c>
      <c r="AA11284">
        <v>0</v>
      </c>
      <c r="AB11284">
        <v>0</v>
      </c>
      <c r="AC11284">
        <v>1</v>
      </c>
      <c r="AD11284">
        <v>1</v>
      </c>
      <c r="AE11284">
        <v>1</v>
      </c>
      <c r="AF11284">
        <v>1</v>
      </c>
      <c r="AG11284">
        <v>1</v>
      </c>
      <c r="AH11284">
        <v>1</v>
      </c>
      <c r="AI11284">
        <v>1</v>
      </c>
      <c r="AJ11284">
        <v>1</v>
      </c>
      <c r="AK11284">
        <v>1</v>
      </c>
      <c r="AL11284">
        <v>1</v>
      </c>
      <c r="AM11284">
        <v>1</v>
      </c>
    </row>
    <row r="11285" spans="1:39" x14ac:dyDescent="0.2">
      <c r="A11285" t="str">
        <f>"11281"</f>
        <v>11281</v>
      </c>
      <c r="B11285" t="str">
        <f t="shared" si="626"/>
        <v>1</v>
      </c>
      <c r="C11285" t="str">
        <f t="shared" si="627"/>
        <v>226</v>
      </c>
      <c r="D11285" t="str">
        <f>"25"</f>
        <v>25</v>
      </c>
      <c r="E11285" t="str">
        <f>"1-226-25"</f>
        <v>1-226-25</v>
      </c>
      <c r="F11285" t="s">
        <v>65</v>
      </c>
      <c r="G11285" t="s">
        <v>66</v>
      </c>
      <c r="H11285" t="s">
        <v>67</v>
      </c>
      <c r="S11285">
        <v>0</v>
      </c>
      <c r="T11285">
        <v>1</v>
      </c>
      <c r="U11285">
        <v>0</v>
      </c>
      <c r="V11285">
        <v>0</v>
      </c>
      <c r="W11285">
        <v>0</v>
      </c>
      <c r="X11285">
        <v>1</v>
      </c>
      <c r="Y11285">
        <v>1</v>
      </c>
      <c r="Z11285">
        <v>0</v>
      </c>
      <c r="AA11285">
        <v>0</v>
      </c>
      <c r="AB11285">
        <v>0</v>
      </c>
      <c r="AC11285">
        <v>1</v>
      </c>
      <c r="AD11285">
        <v>1</v>
      </c>
      <c r="AE11285">
        <v>1</v>
      </c>
      <c r="AF11285">
        <v>1</v>
      </c>
      <c r="AG11285">
        <v>1</v>
      </c>
      <c r="AH11285">
        <v>1</v>
      </c>
      <c r="AI11285">
        <v>1</v>
      </c>
      <c r="AJ11285">
        <v>1</v>
      </c>
      <c r="AK11285">
        <v>1</v>
      </c>
      <c r="AL11285">
        <v>1</v>
      </c>
      <c r="AM11285">
        <v>1</v>
      </c>
    </row>
    <row r="11286" spans="1:39" x14ac:dyDescent="0.2">
      <c r="A11286" t="str">
        <f>"11282"</f>
        <v>11282</v>
      </c>
      <c r="B11286" t="str">
        <f t="shared" si="626"/>
        <v>1</v>
      </c>
      <c r="C11286" t="str">
        <f t="shared" si="627"/>
        <v>226</v>
      </c>
      <c r="D11286" t="str">
        <f>"7"</f>
        <v>7</v>
      </c>
      <c r="E11286" t="str">
        <f>"1-226-7"</f>
        <v>1-226-7</v>
      </c>
      <c r="F11286" t="s">
        <v>65</v>
      </c>
      <c r="G11286" t="s">
        <v>66</v>
      </c>
      <c r="H11286" t="s">
        <v>67</v>
      </c>
      <c r="S11286">
        <v>1</v>
      </c>
      <c r="T11286">
        <v>0</v>
      </c>
      <c r="U11286">
        <v>0</v>
      </c>
      <c r="V11286">
        <v>0</v>
      </c>
      <c r="W11286">
        <v>1</v>
      </c>
      <c r="X11286">
        <v>0</v>
      </c>
      <c r="Y11286">
        <v>1</v>
      </c>
      <c r="Z11286">
        <v>0</v>
      </c>
      <c r="AA11286">
        <v>0</v>
      </c>
      <c r="AB11286">
        <v>1</v>
      </c>
      <c r="AC11286">
        <v>0</v>
      </c>
      <c r="AD11286">
        <v>0</v>
      </c>
      <c r="AE11286">
        <v>0</v>
      </c>
      <c r="AF11286">
        <v>0</v>
      </c>
      <c r="AG11286">
        <v>0</v>
      </c>
      <c r="AH11286">
        <v>0</v>
      </c>
      <c r="AI11286">
        <v>0</v>
      </c>
      <c r="AJ11286">
        <v>0</v>
      </c>
      <c r="AK11286">
        <v>0</v>
      </c>
      <c r="AL11286">
        <v>0</v>
      </c>
      <c r="AM11286">
        <v>0</v>
      </c>
    </row>
    <row r="11287" spans="1:39" x14ac:dyDescent="0.2">
      <c r="A11287" t="str">
        <f>"11283"</f>
        <v>11283</v>
      </c>
      <c r="B11287" t="str">
        <f t="shared" si="626"/>
        <v>1</v>
      </c>
      <c r="C11287" t="str">
        <f t="shared" ref="C11287:C11304" si="628">"226"</f>
        <v>226</v>
      </c>
      <c r="D11287" t="str">
        <f>"43"</f>
        <v>43</v>
      </c>
      <c r="E11287" t="str">
        <f>"1-226-43"</f>
        <v>1-226-43</v>
      </c>
      <c r="F11287" t="s">
        <v>65</v>
      </c>
      <c r="G11287" t="s">
        <v>66</v>
      </c>
      <c r="H11287" t="s">
        <v>67</v>
      </c>
      <c r="S11287">
        <v>0</v>
      </c>
      <c r="T11287">
        <v>1</v>
      </c>
      <c r="U11287">
        <v>0</v>
      </c>
      <c r="V11287">
        <v>0</v>
      </c>
      <c r="W11287">
        <v>0</v>
      </c>
      <c r="X11287">
        <v>1</v>
      </c>
      <c r="Y11287">
        <v>0</v>
      </c>
      <c r="Z11287">
        <v>1</v>
      </c>
      <c r="AA11287">
        <v>0</v>
      </c>
      <c r="AB11287">
        <v>1</v>
      </c>
      <c r="AC11287">
        <v>0</v>
      </c>
      <c r="AD11287">
        <v>1</v>
      </c>
      <c r="AE11287">
        <v>1</v>
      </c>
      <c r="AF11287">
        <v>1</v>
      </c>
      <c r="AG11287">
        <v>1</v>
      </c>
      <c r="AH11287">
        <v>1</v>
      </c>
      <c r="AI11287">
        <v>1</v>
      </c>
      <c r="AJ11287">
        <v>1</v>
      </c>
      <c r="AK11287">
        <v>1</v>
      </c>
      <c r="AL11287">
        <v>1</v>
      </c>
      <c r="AM11287">
        <v>1</v>
      </c>
    </row>
    <row r="11288" spans="1:39" x14ac:dyDescent="0.2">
      <c r="A11288" t="str">
        <f>"11284"</f>
        <v>11284</v>
      </c>
      <c r="B11288" t="str">
        <f t="shared" si="626"/>
        <v>1</v>
      </c>
      <c r="C11288" t="str">
        <f t="shared" si="628"/>
        <v>226</v>
      </c>
      <c r="D11288" t="str">
        <f>"26"</f>
        <v>26</v>
      </c>
      <c r="E11288" t="str">
        <f>"1-226-26"</f>
        <v>1-226-26</v>
      </c>
      <c r="F11288" t="s">
        <v>65</v>
      </c>
      <c r="G11288" t="s">
        <v>66</v>
      </c>
      <c r="H11288" t="s">
        <v>67</v>
      </c>
      <c r="S11288">
        <v>1</v>
      </c>
      <c r="T11288">
        <v>0</v>
      </c>
      <c r="U11288">
        <v>0</v>
      </c>
      <c r="V11288">
        <v>0</v>
      </c>
      <c r="W11288">
        <v>1</v>
      </c>
      <c r="X11288">
        <v>0</v>
      </c>
      <c r="Y11288">
        <v>1</v>
      </c>
      <c r="Z11288">
        <v>0</v>
      </c>
      <c r="AA11288">
        <v>1</v>
      </c>
      <c r="AB11288">
        <v>0</v>
      </c>
      <c r="AC11288">
        <v>0</v>
      </c>
      <c r="AD11288">
        <v>1</v>
      </c>
      <c r="AE11288">
        <v>1</v>
      </c>
      <c r="AF11288">
        <v>1</v>
      </c>
      <c r="AG11288">
        <v>1</v>
      </c>
      <c r="AH11288">
        <v>1</v>
      </c>
      <c r="AI11288">
        <v>1</v>
      </c>
      <c r="AJ11288">
        <v>1</v>
      </c>
      <c r="AK11288">
        <v>1</v>
      </c>
      <c r="AL11288">
        <v>1</v>
      </c>
      <c r="AM11288">
        <v>1</v>
      </c>
    </row>
    <row r="11289" spans="1:39" x14ac:dyDescent="0.2">
      <c r="A11289" t="str">
        <f>"11285"</f>
        <v>11285</v>
      </c>
      <c r="B11289" t="str">
        <f t="shared" si="626"/>
        <v>1</v>
      </c>
      <c r="C11289" t="str">
        <f t="shared" si="628"/>
        <v>226</v>
      </c>
      <c r="D11289" t="str">
        <f>"3"</f>
        <v>3</v>
      </c>
      <c r="E11289" t="str">
        <f>"1-226-3"</f>
        <v>1-226-3</v>
      </c>
      <c r="F11289" t="s">
        <v>65</v>
      </c>
      <c r="G11289" t="s">
        <v>66</v>
      </c>
      <c r="H11289" t="s">
        <v>67</v>
      </c>
      <c r="S11289">
        <v>0</v>
      </c>
      <c r="T11289">
        <v>1</v>
      </c>
      <c r="U11289">
        <v>0</v>
      </c>
      <c r="V11289">
        <v>0</v>
      </c>
      <c r="W11289">
        <v>1</v>
      </c>
      <c r="X11289">
        <v>0</v>
      </c>
      <c r="Y11289">
        <v>0</v>
      </c>
      <c r="Z11289">
        <v>1</v>
      </c>
      <c r="AA11289">
        <v>1</v>
      </c>
      <c r="AB11289">
        <v>0</v>
      </c>
      <c r="AC11289">
        <v>0</v>
      </c>
      <c r="AD11289">
        <v>0</v>
      </c>
      <c r="AE11289">
        <v>0</v>
      </c>
      <c r="AF11289">
        <v>0</v>
      </c>
      <c r="AG11289">
        <v>0</v>
      </c>
      <c r="AH11289">
        <v>0</v>
      </c>
      <c r="AI11289">
        <v>0</v>
      </c>
      <c r="AJ11289">
        <v>0</v>
      </c>
      <c r="AK11289">
        <v>0</v>
      </c>
      <c r="AL11289">
        <v>0</v>
      </c>
      <c r="AM11289">
        <v>0</v>
      </c>
    </row>
    <row r="11290" spans="1:39" x14ac:dyDescent="0.2">
      <c r="A11290" t="str">
        <f>"11286"</f>
        <v>11286</v>
      </c>
      <c r="B11290" t="str">
        <f t="shared" si="626"/>
        <v>1</v>
      </c>
      <c r="C11290" t="str">
        <f t="shared" si="628"/>
        <v>226</v>
      </c>
      <c r="D11290" t="str">
        <f>"49"</f>
        <v>49</v>
      </c>
      <c r="E11290" t="str">
        <f>"1-226-49"</f>
        <v>1-226-49</v>
      </c>
      <c r="F11290" t="s">
        <v>65</v>
      </c>
      <c r="G11290" t="s">
        <v>66</v>
      </c>
      <c r="H11290" t="s">
        <v>68</v>
      </c>
      <c r="I11290">
        <v>1</v>
      </c>
      <c r="J11290">
        <v>0</v>
      </c>
      <c r="K11290">
        <v>1</v>
      </c>
      <c r="L11290">
        <v>0</v>
      </c>
      <c r="M11290">
        <v>1</v>
      </c>
      <c r="N11290">
        <v>1</v>
      </c>
      <c r="O11290">
        <v>1</v>
      </c>
      <c r="P11290">
        <v>1</v>
      </c>
      <c r="Q11290">
        <v>1</v>
      </c>
      <c r="R11290">
        <v>1</v>
      </c>
    </row>
    <row r="11291" spans="1:39" x14ac:dyDescent="0.2">
      <c r="A11291" t="str">
        <f>"11287"</f>
        <v>11287</v>
      </c>
      <c r="B11291" t="str">
        <f t="shared" si="626"/>
        <v>1</v>
      </c>
      <c r="C11291" t="str">
        <f t="shared" si="628"/>
        <v>226</v>
      </c>
      <c r="D11291" t="str">
        <f>"27"</f>
        <v>27</v>
      </c>
      <c r="E11291" t="str">
        <f>"1-226-27"</f>
        <v>1-226-27</v>
      </c>
      <c r="F11291" t="s">
        <v>65</v>
      </c>
      <c r="G11291" t="s">
        <v>66</v>
      </c>
      <c r="H11291" t="s">
        <v>67</v>
      </c>
      <c r="S11291">
        <v>1</v>
      </c>
      <c r="T11291">
        <v>0</v>
      </c>
      <c r="U11291">
        <v>0</v>
      </c>
      <c r="V11291">
        <v>0</v>
      </c>
      <c r="W11291">
        <v>1</v>
      </c>
      <c r="X11291">
        <v>0</v>
      </c>
      <c r="Y11291">
        <v>1</v>
      </c>
      <c r="Z11291">
        <v>0</v>
      </c>
      <c r="AA11291">
        <v>0</v>
      </c>
      <c r="AB11291">
        <v>1</v>
      </c>
      <c r="AC11291">
        <v>0</v>
      </c>
      <c r="AD11291">
        <v>0</v>
      </c>
      <c r="AE11291">
        <v>0</v>
      </c>
      <c r="AF11291">
        <v>0</v>
      </c>
      <c r="AG11291">
        <v>0</v>
      </c>
      <c r="AH11291">
        <v>0</v>
      </c>
      <c r="AI11291">
        <v>1</v>
      </c>
      <c r="AJ11291">
        <v>1</v>
      </c>
      <c r="AK11291">
        <v>1</v>
      </c>
      <c r="AL11291">
        <v>1</v>
      </c>
      <c r="AM11291">
        <v>1</v>
      </c>
    </row>
    <row r="11292" spans="1:39" x14ac:dyDescent="0.2">
      <c r="A11292" t="str">
        <f>"11288"</f>
        <v>11288</v>
      </c>
      <c r="B11292" t="str">
        <f t="shared" si="626"/>
        <v>1</v>
      </c>
      <c r="C11292" t="str">
        <f t="shared" si="628"/>
        <v>226</v>
      </c>
      <c r="D11292" t="str">
        <f>"13"</f>
        <v>13</v>
      </c>
      <c r="E11292" t="str">
        <f>"1-226-13"</f>
        <v>1-226-13</v>
      </c>
      <c r="F11292" t="s">
        <v>65</v>
      </c>
      <c r="G11292" t="s">
        <v>66</v>
      </c>
      <c r="H11292" t="s">
        <v>67</v>
      </c>
      <c r="S11292">
        <v>0</v>
      </c>
      <c r="T11292">
        <v>1</v>
      </c>
      <c r="U11292">
        <v>0</v>
      </c>
      <c r="V11292">
        <v>0</v>
      </c>
      <c r="W11292">
        <v>1</v>
      </c>
      <c r="X11292">
        <v>0</v>
      </c>
      <c r="Y11292">
        <v>0</v>
      </c>
      <c r="Z11292">
        <v>1</v>
      </c>
      <c r="AA11292">
        <v>1</v>
      </c>
      <c r="AB11292">
        <v>0</v>
      </c>
      <c r="AC11292">
        <v>0</v>
      </c>
      <c r="AD11292">
        <v>1</v>
      </c>
      <c r="AE11292">
        <v>1</v>
      </c>
      <c r="AF11292">
        <v>1</v>
      </c>
      <c r="AG11292">
        <v>1</v>
      </c>
      <c r="AH11292">
        <v>1</v>
      </c>
      <c r="AI11292">
        <v>1</v>
      </c>
      <c r="AJ11292">
        <v>1</v>
      </c>
      <c r="AK11292">
        <v>1</v>
      </c>
      <c r="AL11292">
        <v>1</v>
      </c>
      <c r="AM11292">
        <v>1</v>
      </c>
    </row>
    <row r="11293" spans="1:39" x14ac:dyDescent="0.2">
      <c r="A11293" t="str">
        <f>"11289"</f>
        <v>11289</v>
      </c>
      <c r="B11293" t="str">
        <f t="shared" si="626"/>
        <v>1</v>
      </c>
      <c r="C11293" t="str">
        <f t="shared" si="628"/>
        <v>226</v>
      </c>
      <c r="D11293" t="str">
        <f>"45"</f>
        <v>45</v>
      </c>
      <c r="E11293" t="str">
        <f>"1-226-45"</f>
        <v>1-226-45</v>
      </c>
      <c r="F11293" t="s">
        <v>65</v>
      </c>
      <c r="G11293" t="s">
        <v>66</v>
      </c>
      <c r="H11293" t="s">
        <v>67</v>
      </c>
      <c r="S11293">
        <v>1</v>
      </c>
      <c r="T11293">
        <v>0</v>
      </c>
      <c r="U11293">
        <v>0</v>
      </c>
      <c r="V11293">
        <v>0</v>
      </c>
      <c r="W11293">
        <v>1</v>
      </c>
      <c r="X11293">
        <v>0</v>
      </c>
      <c r="Y11293">
        <v>0</v>
      </c>
      <c r="Z11293">
        <v>0</v>
      </c>
      <c r="AA11293">
        <v>1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  <c r="AK11293">
        <v>0</v>
      </c>
      <c r="AL11293">
        <v>1</v>
      </c>
      <c r="AM11293">
        <v>0</v>
      </c>
    </row>
    <row r="11294" spans="1:39" x14ac:dyDescent="0.2">
      <c r="A11294" t="str">
        <f>"11290"</f>
        <v>11290</v>
      </c>
      <c r="B11294" t="str">
        <f t="shared" si="626"/>
        <v>1</v>
      </c>
      <c r="C11294" t="str">
        <f t="shared" si="628"/>
        <v>226</v>
      </c>
      <c r="D11294" t="str">
        <f>"28"</f>
        <v>28</v>
      </c>
      <c r="E11294" t="str">
        <f>"1-226-28"</f>
        <v>1-226-28</v>
      </c>
      <c r="F11294" t="s">
        <v>65</v>
      </c>
      <c r="G11294" t="s">
        <v>66</v>
      </c>
      <c r="H11294" t="s">
        <v>67</v>
      </c>
      <c r="S11294">
        <v>1</v>
      </c>
      <c r="T11294">
        <v>0</v>
      </c>
      <c r="U11294">
        <v>0</v>
      </c>
      <c r="V11294">
        <v>0</v>
      </c>
      <c r="W11294">
        <v>1</v>
      </c>
      <c r="X11294">
        <v>0</v>
      </c>
      <c r="Y11294">
        <v>1</v>
      </c>
      <c r="Z11294">
        <v>0</v>
      </c>
      <c r="AA11294">
        <v>1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  <c r="AK11294">
        <v>0</v>
      </c>
      <c r="AL11294">
        <v>0</v>
      </c>
      <c r="AM11294">
        <v>0</v>
      </c>
    </row>
    <row r="11295" spans="1:39" x14ac:dyDescent="0.2">
      <c r="A11295" t="str">
        <f>"11291"</f>
        <v>11291</v>
      </c>
      <c r="B11295" t="str">
        <f t="shared" si="626"/>
        <v>1</v>
      </c>
      <c r="C11295" t="str">
        <f t="shared" si="628"/>
        <v>226</v>
      </c>
      <c r="D11295" t="str">
        <f>"4"</f>
        <v>4</v>
      </c>
      <c r="E11295" t="str">
        <f>"1-226-4"</f>
        <v>1-226-4</v>
      </c>
      <c r="F11295" t="s">
        <v>65</v>
      </c>
      <c r="G11295" t="s">
        <v>66</v>
      </c>
      <c r="H11295" t="s">
        <v>67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1</v>
      </c>
      <c r="Y11295">
        <v>0</v>
      </c>
      <c r="Z11295">
        <v>1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  <c r="AK11295">
        <v>0</v>
      </c>
      <c r="AL11295">
        <v>1</v>
      </c>
      <c r="AM11295">
        <v>0</v>
      </c>
    </row>
    <row r="11296" spans="1:39" x14ac:dyDescent="0.2">
      <c r="A11296" t="str">
        <f>"11292"</f>
        <v>11292</v>
      </c>
      <c r="B11296" t="str">
        <f t="shared" si="626"/>
        <v>1</v>
      </c>
      <c r="C11296" t="str">
        <f t="shared" si="628"/>
        <v>226</v>
      </c>
      <c r="D11296" t="str">
        <f>"50"</f>
        <v>50</v>
      </c>
      <c r="E11296" t="str">
        <f>"1-226-50"</f>
        <v>1-226-50</v>
      </c>
      <c r="F11296" t="s">
        <v>65</v>
      </c>
      <c r="G11296" t="s">
        <v>66</v>
      </c>
      <c r="H11296" t="s">
        <v>67</v>
      </c>
      <c r="S11296">
        <v>1</v>
      </c>
      <c r="T11296">
        <v>0</v>
      </c>
      <c r="U11296">
        <v>0</v>
      </c>
      <c r="V11296">
        <v>0</v>
      </c>
      <c r="W11296">
        <v>1</v>
      </c>
      <c r="X11296">
        <v>0</v>
      </c>
      <c r="Y11296">
        <v>1</v>
      </c>
      <c r="Z11296">
        <v>0</v>
      </c>
      <c r="AA11296">
        <v>1</v>
      </c>
      <c r="AB11296">
        <v>0</v>
      </c>
      <c r="AC11296">
        <v>0</v>
      </c>
      <c r="AD11296">
        <v>1</v>
      </c>
      <c r="AE11296">
        <v>1</v>
      </c>
      <c r="AF11296">
        <v>1</v>
      </c>
      <c r="AG11296">
        <v>1</v>
      </c>
      <c r="AH11296">
        <v>1</v>
      </c>
      <c r="AI11296">
        <v>1</v>
      </c>
      <c r="AJ11296">
        <v>1</v>
      </c>
      <c r="AK11296">
        <v>1</v>
      </c>
      <c r="AL11296">
        <v>1</v>
      </c>
      <c r="AM11296">
        <v>1</v>
      </c>
    </row>
    <row r="11297" spans="1:39" x14ac:dyDescent="0.2">
      <c r="A11297" t="str">
        <f>"11293"</f>
        <v>11293</v>
      </c>
      <c r="B11297" t="str">
        <f t="shared" si="626"/>
        <v>1</v>
      </c>
      <c r="C11297" t="str">
        <f t="shared" si="628"/>
        <v>226</v>
      </c>
      <c r="D11297" t="str">
        <f>"29"</f>
        <v>29</v>
      </c>
      <c r="E11297" t="str">
        <f>"1-226-29"</f>
        <v>1-226-29</v>
      </c>
      <c r="F11297" t="s">
        <v>65</v>
      </c>
      <c r="G11297" t="s">
        <v>66</v>
      </c>
      <c r="H11297" t="s">
        <v>67</v>
      </c>
      <c r="S11297">
        <v>1</v>
      </c>
      <c r="T11297">
        <v>0</v>
      </c>
      <c r="U11297">
        <v>0</v>
      </c>
      <c r="V11297">
        <v>0</v>
      </c>
      <c r="W11297">
        <v>1</v>
      </c>
      <c r="X11297">
        <v>0</v>
      </c>
      <c r="Y11297">
        <v>0</v>
      </c>
      <c r="Z11297">
        <v>1</v>
      </c>
      <c r="AA11297">
        <v>1</v>
      </c>
      <c r="AB11297">
        <v>0</v>
      </c>
      <c r="AC11297">
        <v>0</v>
      </c>
      <c r="AD11297">
        <v>1</v>
      </c>
      <c r="AE11297">
        <v>1</v>
      </c>
      <c r="AF11297">
        <v>1</v>
      </c>
      <c r="AG11297">
        <v>1</v>
      </c>
      <c r="AH11297">
        <v>1</v>
      </c>
      <c r="AI11297">
        <v>1</v>
      </c>
      <c r="AJ11297">
        <v>1</v>
      </c>
      <c r="AK11297">
        <v>1</v>
      </c>
      <c r="AL11297">
        <v>1</v>
      </c>
      <c r="AM11297">
        <v>1</v>
      </c>
    </row>
    <row r="11298" spans="1:39" x14ac:dyDescent="0.2">
      <c r="A11298" t="str">
        <f>"11294"</f>
        <v>11294</v>
      </c>
      <c r="B11298" t="str">
        <f t="shared" si="626"/>
        <v>1</v>
      </c>
      <c r="C11298" t="str">
        <f t="shared" si="628"/>
        <v>226</v>
      </c>
      <c r="D11298" t="str">
        <f>"5"</f>
        <v>5</v>
      </c>
      <c r="E11298" t="str">
        <f>"1-226-5"</f>
        <v>1-226-5</v>
      </c>
      <c r="F11298" t="s">
        <v>65</v>
      </c>
      <c r="G11298" t="s">
        <v>66</v>
      </c>
      <c r="H11298" t="s">
        <v>67</v>
      </c>
      <c r="S11298">
        <v>0</v>
      </c>
      <c r="T11298">
        <v>1</v>
      </c>
      <c r="U11298">
        <v>0</v>
      </c>
      <c r="V11298">
        <v>0</v>
      </c>
      <c r="W11298">
        <v>0</v>
      </c>
      <c r="X11298">
        <v>1</v>
      </c>
      <c r="Y11298">
        <v>0</v>
      </c>
      <c r="Z11298">
        <v>1</v>
      </c>
      <c r="AA11298">
        <v>0</v>
      </c>
      <c r="AB11298">
        <v>0</v>
      </c>
      <c r="AC11298">
        <v>1</v>
      </c>
      <c r="AD11298">
        <v>1</v>
      </c>
      <c r="AE11298">
        <v>1</v>
      </c>
      <c r="AF11298">
        <v>1</v>
      </c>
      <c r="AG11298">
        <v>1</v>
      </c>
      <c r="AH11298">
        <v>1</v>
      </c>
      <c r="AI11298">
        <v>1</v>
      </c>
      <c r="AJ11298">
        <v>1</v>
      </c>
      <c r="AK11298">
        <v>1</v>
      </c>
      <c r="AL11298">
        <v>1</v>
      </c>
      <c r="AM11298">
        <v>1</v>
      </c>
    </row>
    <row r="11299" spans="1:39" x14ac:dyDescent="0.2">
      <c r="A11299" t="str">
        <f>"11295"</f>
        <v>11295</v>
      </c>
      <c r="B11299" t="str">
        <f t="shared" si="626"/>
        <v>1</v>
      </c>
      <c r="C11299" t="str">
        <f t="shared" si="628"/>
        <v>226</v>
      </c>
      <c r="D11299" t="str">
        <f>"47"</f>
        <v>47</v>
      </c>
      <c r="E11299" t="str">
        <f>"1-226-47"</f>
        <v>1-226-47</v>
      </c>
      <c r="F11299" t="s">
        <v>65</v>
      </c>
      <c r="G11299" t="s">
        <v>66</v>
      </c>
      <c r="H11299" t="s">
        <v>67</v>
      </c>
      <c r="S11299">
        <v>0</v>
      </c>
      <c r="T11299">
        <v>1</v>
      </c>
      <c r="U11299">
        <v>0</v>
      </c>
      <c r="V11299">
        <v>0</v>
      </c>
      <c r="W11299">
        <v>1</v>
      </c>
      <c r="X11299">
        <v>0</v>
      </c>
      <c r="Y11299">
        <v>0</v>
      </c>
      <c r="Z11299">
        <v>1</v>
      </c>
      <c r="AA11299">
        <v>0</v>
      </c>
      <c r="AB11299">
        <v>0</v>
      </c>
      <c r="AC11299">
        <v>1</v>
      </c>
      <c r="AD11299">
        <v>1</v>
      </c>
      <c r="AE11299">
        <v>1</v>
      </c>
      <c r="AF11299">
        <v>1</v>
      </c>
      <c r="AG11299">
        <v>0</v>
      </c>
      <c r="AH11299">
        <v>0</v>
      </c>
      <c r="AI11299">
        <v>1</v>
      </c>
      <c r="AJ11299">
        <v>0</v>
      </c>
      <c r="AK11299">
        <v>0</v>
      </c>
      <c r="AL11299">
        <v>1</v>
      </c>
      <c r="AM11299">
        <v>0</v>
      </c>
    </row>
    <row r="11300" spans="1:39" x14ac:dyDescent="0.2">
      <c r="A11300" t="str">
        <f>"11296"</f>
        <v>11296</v>
      </c>
      <c r="B11300" t="str">
        <f t="shared" si="626"/>
        <v>1</v>
      </c>
      <c r="C11300" t="str">
        <f t="shared" si="628"/>
        <v>226</v>
      </c>
      <c r="D11300" t="str">
        <f>"30"</f>
        <v>30</v>
      </c>
      <c r="E11300" t="str">
        <f>"1-226-30"</f>
        <v>1-226-30</v>
      </c>
      <c r="F11300" t="s">
        <v>65</v>
      </c>
      <c r="G11300" t="s">
        <v>66</v>
      </c>
      <c r="H11300" t="s">
        <v>67</v>
      </c>
      <c r="S11300">
        <v>1</v>
      </c>
      <c r="T11300">
        <v>0</v>
      </c>
      <c r="U11300">
        <v>0</v>
      </c>
      <c r="V11300">
        <v>0</v>
      </c>
      <c r="W11300">
        <v>1</v>
      </c>
      <c r="X11300">
        <v>0</v>
      </c>
      <c r="Y11300">
        <v>1</v>
      </c>
      <c r="Z11300">
        <v>0</v>
      </c>
      <c r="AA11300">
        <v>1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  <c r="AK11300">
        <v>0</v>
      </c>
      <c r="AL11300">
        <v>0</v>
      </c>
      <c r="AM11300">
        <v>0</v>
      </c>
    </row>
    <row r="11301" spans="1:39" x14ac:dyDescent="0.2">
      <c r="A11301" t="str">
        <f>"11297"</f>
        <v>11297</v>
      </c>
      <c r="B11301" t="str">
        <f t="shared" si="626"/>
        <v>1</v>
      </c>
      <c r="C11301" t="str">
        <f t="shared" si="628"/>
        <v>226</v>
      </c>
      <c r="D11301" t="str">
        <f>"9"</f>
        <v>9</v>
      </c>
      <c r="E11301" t="str">
        <f>"1-226-9"</f>
        <v>1-226-9</v>
      </c>
      <c r="F11301" t="s">
        <v>65</v>
      </c>
      <c r="G11301" t="s">
        <v>66</v>
      </c>
      <c r="H11301" t="s">
        <v>67</v>
      </c>
      <c r="S11301">
        <v>1</v>
      </c>
      <c r="T11301">
        <v>0</v>
      </c>
      <c r="U11301">
        <v>0</v>
      </c>
      <c r="V11301">
        <v>0</v>
      </c>
      <c r="W11301">
        <v>1</v>
      </c>
      <c r="X11301">
        <v>0</v>
      </c>
      <c r="Y11301">
        <v>1</v>
      </c>
      <c r="Z11301">
        <v>0</v>
      </c>
      <c r="AA11301">
        <v>1</v>
      </c>
      <c r="AB11301">
        <v>0</v>
      </c>
      <c r="AC11301">
        <v>0</v>
      </c>
      <c r="AD11301">
        <v>1</v>
      </c>
      <c r="AE11301">
        <v>1</v>
      </c>
      <c r="AF11301">
        <v>1</v>
      </c>
      <c r="AG11301">
        <v>1</v>
      </c>
      <c r="AH11301">
        <v>1</v>
      </c>
      <c r="AI11301">
        <v>1</v>
      </c>
      <c r="AJ11301">
        <v>1</v>
      </c>
      <c r="AK11301">
        <v>1</v>
      </c>
      <c r="AL11301">
        <v>1</v>
      </c>
      <c r="AM11301">
        <v>1</v>
      </c>
    </row>
    <row r="11302" spans="1:39" x14ac:dyDescent="0.2">
      <c r="A11302" t="str">
        <f>"11298"</f>
        <v>11298</v>
      </c>
      <c r="B11302" t="str">
        <f t="shared" si="626"/>
        <v>1</v>
      </c>
      <c r="C11302" t="str">
        <f t="shared" si="628"/>
        <v>226</v>
      </c>
      <c r="D11302" t="str">
        <f>"48"</f>
        <v>48</v>
      </c>
      <c r="E11302" t="str">
        <f>"1-226-48"</f>
        <v>1-226-48</v>
      </c>
      <c r="F11302" t="s">
        <v>65</v>
      </c>
      <c r="G11302" t="s">
        <v>66</v>
      </c>
      <c r="H11302" t="s">
        <v>68</v>
      </c>
      <c r="I11302">
        <v>1</v>
      </c>
      <c r="J11302">
        <v>1</v>
      </c>
      <c r="K11302">
        <v>0</v>
      </c>
      <c r="L11302">
        <v>0</v>
      </c>
      <c r="M11302">
        <v>1</v>
      </c>
      <c r="N11302">
        <v>1</v>
      </c>
      <c r="O11302">
        <v>1</v>
      </c>
      <c r="P11302">
        <v>1</v>
      </c>
      <c r="Q11302">
        <v>1</v>
      </c>
      <c r="R11302">
        <v>1</v>
      </c>
    </row>
    <row r="11303" spans="1:39" x14ac:dyDescent="0.2">
      <c r="A11303" t="str">
        <f>"11299"</f>
        <v>11299</v>
      </c>
      <c r="B11303" t="str">
        <f t="shared" si="626"/>
        <v>1</v>
      </c>
      <c r="C11303" t="str">
        <f t="shared" si="628"/>
        <v>226</v>
      </c>
      <c r="D11303" t="str">
        <f>"31"</f>
        <v>31</v>
      </c>
      <c r="E11303" t="str">
        <f>"1-226-31"</f>
        <v>1-226-31</v>
      </c>
      <c r="F11303" t="s">
        <v>65</v>
      </c>
      <c r="G11303" t="s">
        <v>66</v>
      </c>
      <c r="H11303" t="s">
        <v>67</v>
      </c>
      <c r="S11303">
        <v>1</v>
      </c>
      <c r="T11303">
        <v>0</v>
      </c>
      <c r="U11303">
        <v>0</v>
      </c>
      <c r="V11303">
        <v>0</v>
      </c>
      <c r="W11303">
        <v>1</v>
      </c>
      <c r="X11303">
        <v>0</v>
      </c>
      <c r="Y11303">
        <v>0</v>
      </c>
      <c r="Z11303">
        <v>0</v>
      </c>
      <c r="AA11303">
        <v>1</v>
      </c>
      <c r="AB11303">
        <v>0</v>
      </c>
      <c r="AC11303">
        <v>0</v>
      </c>
      <c r="AD11303">
        <v>0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  <c r="AK11303">
        <v>0</v>
      </c>
      <c r="AL11303">
        <v>0</v>
      </c>
      <c r="AM11303">
        <v>0</v>
      </c>
    </row>
    <row r="11304" spans="1:39" x14ac:dyDescent="0.2">
      <c r="A11304" t="str">
        <f>"11300"</f>
        <v>11300</v>
      </c>
      <c r="B11304" t="str">
        <f t="shared" si="626"/>
        <v>1</v>
      </c>
      <c r="C11304" t="str">
        <f t="shared" si="628"/>
        <v>226</v>
      </c>
      <c r="D11304" t="str">
        <f>"11"</f>
        <v>11</v>
      </c>
      <c r="E11304" t="str">
        <f>"1-226-11"</f>
        <v>1-226-11</v>
      </c>
      <c r="F11304" t="s">
        <v>65</v>
      </c>
      <c r="G11304" t="s">
        <v>66</v>
      </c>
      <c r="H11304" t="s">
        <v>67</v>
      </c>
      <c r="S11304">
        <v>0</v>
      </c>
      <c r="T11304">
        <v>1</v>
      </c>
      <c r="U11304">
        <v>0</v>
      </c>
      <c r="V11304">
        <v>0</v>
      </c>
      <c r="W11304">
        <v>0</v>
      </c>
      <c r="X11304">
        <v>1</v>
      </c>
      <c r="Y11304">
        <v>0</v>
      </c>
      <c r="Z11304">
        <v>1</v>
      </c>
      <c r="AA11304">
        <v>1</v>
      </c>
      <c r="AB11304">
        <v>0</v>
      </c>
      <c r="AC11304">
        <v>0</v>
      </c>
      <c r="AD11304">
        <v>1</v>
      </c>
      <c r="AE11304">
        <v>1</v>
      </c>
      <c r="AF11304">
        <v>1</v>
      </c>
      <c r="AG11304">
        <v>1</v>
      </c>
      <c r="AH11304">
        <v>0</v>
      </c>
      <c r="AI11304">
        <v>1</v>
      </c>
      <c r="AJ11304">
        <v>1</v>
      </c>
      <c r="AK11304">
        <v>1</v>
      </c>
      <c r="AL11304">
        <v>0</v>
      </c>
      <c r="AM11304">
        <v>1</v>
      </c>
    </row>
    <row r="11305" spans="1:39" x14ac:dyDescent="0.2">
      <c r="A11305" t="str">
        <f>"11301"</f>
        <v>11301</v>
      </c>
      <c r="B11305" t="str">
        <f t="shared" si="626"/>
        <v>1</v>
      </c>
      <c r="C11305" t="str">
        <f t="shared" ref="C11305:C11336" si="629">"227"</f>
        <v>227</v>
      </c>
      <c r="D11305" t="str">
        <f>"39"</f>
        <v>39</v>
      </c>
      <c r="E11305" t="str">
        <f>"1-227-39"</f>
        <v>1-227-39</v>
      </c>
      <c r="F11305" t="s">
        <v>65</v>
      </c>
      <c r="G11305" t="s">
        <v>66</v>
      </c>
      <c r="H11305" t="s">
        <v>67</v>
      </c>
      <c r="S11305">
        <v>1</v>
      </c>
      <c r="T11305">
        <v>0</v>
      </c>
      <c r="U11305">
        <v>0</v>
      </c>
      <c r="V11305">
        <v>0</v>
      </c>
      <c r="W11305">
        <v>1</v>
      </c>
      <c r="X11305">
        <v>0</v>
      </c>
      <c r="Y11305">
        <v>1</v>
      </c>
      <c r="Z11305">
        <v>0</v>
      </c>
      <c r="AA11305">
        <v>0</v>
      </c>
      <c r="AB11305">
        <v>0</v>
      </c>
      <c r="AC11305">
        <v>1</v>
      </c>
      <c r="AD11305">
        <v>1</v>
      </c>
      <c r="AE11305">
        <v>1</v>
      </c>
      <c r="AF11305">
        <v>1</v>
      </c>
      <c r="AG11305">
        <v>1</v>
      </c>
      <c r="AH11305">
        <v>1</v>
      </c>
      <c r="AI11305">
        <v>1</v>
      </c>
      <c r="AJ11305">
        <v>1</v>
      </c>
      <c r="AK11305">
        <v>1</v>
      </c>
      <c r="AL11305">
        <v>1</v>
      </c>
      <c r="AM11305">
        <v>1</v>
      </c>
    </row>
    <row r="11306" spans="1:39" x14ac:dyDescent="0.2">
      <c r="A11306" t="str">
        <f>"11302"</f>
        <v>11302</v>
      </c>
      <c r="B11306" t="str">
        <f t="shared" si="626"/>
        <v>1</v>
      </c>
      <c r="C11306" t="str">
        <f t="shared" si="629"/>
        <v>227</v>
      </c>
      <c r="D11306" t="str">
        <f>"38"</f>
        <v>38</v>
      </c>
      <c r="E11306" t="str">
        <f>"1-227-38"</f>
        <v>1-227-38</v>
      </c>
      <c r="F11306" t="s">
        <v>65</v>
      </c>
      <c r="G11306" t="s">
        <v>66</v>
      </c>
      <c r="H11306" t="s">
        <v>67</v>
      </c>
      <c r="S11306">
        <v>1</v>
      </c>
      <c r="T11306">
        <v>0</v>
      </c>
      <c r="U11306">
        <v>0</v>
      </c>
      <c r="V11306">
        <v>0</v>
      </c>
      <c r="W11306">
        <v>1</v>
      </c>
      <c r="X11306">
        <v>0</v>
      </c>
      <c r="Y11306">
        <v>1</v>
      </c>
      <c r="Z11306">
        <v>0</v>
      </c>
      <c r="AA11306">
        <v>0</v>
      </c>
      <c r="AB11306">
        <v>0</v>
      </c>
      <c r="AC11306">
        <v>1</v>
      </c>
      <c r="AD11306">
        <v>1</v>
      </c>
      <c r="AE11306">
        <v>1</v>
      </c>
      <c r="AF11306">
        <v>1</v>
      </c>
      <c r="AG11306">
        <v>1</v>
      </c>
      <c r="AH11306">
        <v>1</v>
      </c>
      <c r="AI11306">
        <v>1</v>
      </c>
      <c r="AJ11306">
        <v>1</v>
      </c>
      <c r="AK11306">
        <v>1</v>
      </c>
      <c r="AL11306">
        <v>1</v>
      </c>
      <c r="AM11306">
        <v>1</v>
      </c>
    </row>
    <row r="11307" spans="1:39" x14ac:dyDescent="0.2">
      <c r="A11307" t="str">
        <f>"11303"</f>
        <v>11303</v>
      </c>
      <c r="B11307" t="str">
        <f t="shared" si="626"/>
        <v>1</v>
      </c>
      <c r="C11307" t="str">
        <f t="shared" si="629"/>
        <v>227</v>
      </c>
      <c r="D11307" t="str">
        <f>"34"</f>
        <v>34</v>
      </c>
      <c r="E11307" t="str">
        <f>"1-227-34"</f>
        <v>1-227-34</v>
      </c>
      <c r="F11307" t="s">
        <v>65</v>
      </c>
      <c r="G11307" t="s">
        <v>66</v>
      </c>
      <c r="H11307" t="s">
        <v>67</v>
      </c>
      <c r="S11307">
        <v>0</v>
      </c>
      <c r="T11307">
        <v>1</v>
      </c>
      <c r="U11307">
        <v>0</v>
      </c>
      <c r="V11307">
        <v>0</v>
      </c>
      <c r="W11307">
        <v>1</v>
      </c>
      <c r="X11307">
        <v>0</v>
      </c>
      <c r="Y11307">
        <v>1</v>
      </c>
      <c r="Z11307">
        <v>0</v>
      </c>
      <c r="AA11307">
        <v>1</v>
      </c>
      <c r="AB11307">
        <v>0</v>
      </c>
      <c r="AC11307">
        <v>0</v>
      </c>
      <c r="AD11307">
        <v>1</v>
      </c>
      <c r="AE11307">
        <v>1</v>
      </c>
      <c r="AF11307">
        <v>0</v>
      </c>
      <c r="AG11307">
        <v>1</v>
      </c>
      <c r="AH11307">
        <v>1</v>
      </c>
      <c r="AI11307">
        <v>1</v>
      </c>
      <c r="AJ11307">
        <v>1</v>
      </c>
      <c r="AK11307">
        <v>1</v>
      </c>
      <c r="AL11307">
        <v>1</v>
      </c>
      <c r="AM11307">
        <v>1</v>
      </c>
    </row>
    <row r="11308" spans="1:39" x14ac:dyDescent="0.2">
      <c r="A11308" t="str">
        <f>"11304"</f>
        <v>11304</v>
      </c>
      <c r="B11308" t="str">
        <f t="shared" si="626"/>
        <v>1</v>
      </c>
      <c r="C11308" t="str">
        <f t="shared" si="629"/>
        <v>227</v>
      </c>
      <c r="D11308" t="str">
        <f>"33"</f>
        <v>33</v>
      </c>
      <c r="E11308" t="str">
        <f>"1-227-33"</f>
        <v>1-227-33</v>
      </c>
      <c r="F11308" t="s">
        <v>65</v>
      </c>
      <c r="G11308" t="s">
        <v>66</v>
      </c>
      <c r="H11308" t="s">
        <v>67</v>
      </c>
      <c r="S11308">
        <v>1</v>
      </c>
      <c r="T11308">
        <v>0</v>
      </c>
      <c r="U11308">
        <v>0</v>
      </c>
      <c r="V11308">
        <v>0</v>
      </c>
      <c r="W11308">
        <v>1</v>
      </c>
      <c r="X11308">
        <v>0</v>
      </c>
      <c r="Y11308">
        <v>1</v>
      </c>
      <c r="Z11308">
        <v>0</v>
      </c>
      <c r="AA11308">
        <v>0</v>
      </c>
      <c r="AB11308">
        <v>1</v>
      </c>
      <c r="AC11308">
        <v>0</v>
      </c>
      <c r="AD11308">
        <v>1</v>
      </c>
      <c r="AE11308">
        <v>1</v>
      </c>
      <c r="AF11308">
        <v>1</v>
      </c>
      <c r="AG11308">
        <v>1</v>
      </c>
      <c r="AH11308">
        <v>1</v>
      </c>
      <c r="AI11308">
        <v>1</v>
      </c>
      <c r="AJ11308">
        <v>1</v>
      </c>
      <c r="AK11308">
        <v>1</v>
      </c>
      <c r="AL11308">
        <v>1</v>
      </c>
      <c r="AM11308">
        <v>1</v>
      </c>
    </row>
    <row r="11309" spans="1:39" x14ac:dyDescent="0.2">
      <c r="A11309" t="str">
        <f>"11305"</f>
        <v>11305</v>
      </c>
      <c r="B11309" t="str">
        <f t="shared" si="626"/>
        <v>1</v>
      </c>
      <c r="C11309" t="str">
        <f t="shared" si="629"/>
        <v>227</v>
      </c>
      <c r="D11309" t="str">
        <f>"19"</f>
        <v>19</v>
      </c>
      <c r="E11309" t="str">
        <f>"1-227-19"</f>
        <v>1-227-19</v>
      </c>
      <c r="F11309" t="s">
        <v>65</v>
      </c>
      <c r="G11309" t="s">
        <v>66</v>
      </c>
      <c r="H11309" t="s">
        <v>67</v>
      </c>
      <c r="S11309">
        <v>1</v>
      </c>
      <c r="T11309">
        <v>0</v>
      </c>
      <c r="U11309">
        <v>0</v>
      </c>
      <c r="V11309">
        <v>0</v>
      </c>
      <c r="W11309">
        <v>1</v>
      </c>
      <c r="X11309">
        <v>0</v>
      </c>
      <c r="Y11309">
        <v>1</v>
      </c>
      <c r="Z11309">
        <v>0</v>
      </c>
      <c r="AA11309">
        <v>0</v>
      </c>
      <c r="AB11309">
        <v>1</v>
      </c>
      <c r="AC11309">
        <v>0</v>
      </c>
      <c r="AD11309">
        <v>1</v>
      </c>
      <c r="AE11309">
        <v>1</v>
      </c>
      <c r="AF11309">
        <v>1</v>
      </c>
      <c r="AG11309">
        <v>1</v>
      </c>
      <c r="AH11309">
        <v>1</v>
      </c>
      <c r="AI11309">
        <v>1</v>
      </c>
      <c r="AJ11309">
        <v>1</v>
      </c>
      <c r="AK11309">
        <v>1</v>
      </c>
      <c r="AL11309">
        <v>1</v>
      </c>
      <c r="AM11309">
        <v>1</v>
      </c>
    </row>
    <row r="11310" spans="1:39" x14ac:dyDescent="0.2">
      <c r="A11310" t="str">
        <f>"11306"</f>
        <v>11306</v>
      </c>
      <c r="B11310" t="str">
        <f t="shared" si="626"/>
        <v>1</v>
      </c>
      <c r="C11310" t="str">
        <f t="shared" si="629"/>
        <v>227</v>
      </c>
      <c r="D11310" t="str">
        <f>"18"</f>
        <v>18</v>
      </c>
      <c r="E11310" t="str">
        <f>"1-227-18"</f>
        <v>1-227-18</v>
      </c>
      <c r="F11310" t="s">
        <v>65</v>
      </c>
      <c r="G11310" t="s">
        <v>66</v>
      </c>
      <c r="H11310" t="s">
        <v>67</v>
      </c>
      <c r="S11310">
        <v>1</v>
      </c>
      <c r="T11310">
        <v>0</v>
      </c>
      <c r="U11310">
        <v>0</v>
      </c>
      <c r="V11310">
        <v>0</v>
      </c>
      <c r="W11310">
        <v>1</v>
      </c>
      <c r="X11310">
        <v>0</v>
      </c>
      <c r="Y11310">
        <v>1</v>
      </c>
      <c r="Z11310">
        <v>0</v>
      </c>
      <c r="AA11310">
        <v>0</v>
      </c>
      <c r="AB11310">
        <v>0</v>
      </c>
      <c r="AC11310">
        <v>1</v>
      </c>
      <c r="AD11310">
        <v>1</v>
      </c>
      <c r="AE11310">
        <v>1</v>
      </c>
      <c r="AF11310">
        <v>1</v>
      </c>
      <c r="AG11310">
        <v>1</v>
      </c>
      <c r="AH11310">
        <v>1</v>
      </c>
      <c r="AI11310">
        <v>1</v>
      </c>
      <c r="AJ11310">
        <v>1</v>
      </c>
      <c r="AK11310">
        <v>1</v>
      </c>
      <c r="AL11310">
        <v>1</v>
      </c>
      <c r="AM11310">
        <v>1</v>
      </c>
    </row>
    <row r="11311" spans="1:39" x14ac:dyDescent="0.2">
      <c r="A11311" t="str">
        <f>"11307"</f>
        <v>11307</v>
      </c>
      <c r="B11311" t="str">
        <f t="shared" si="626"/>
        <v>1</v>
      </c>
      <c r="C11311" t="str">
        <f t="shared" si="629"/>
        <v>227</v>
      </c>
      <c r="D11311" t="str">
        <f>"17"</f>
        <v>17</v>
      </c>
      <c r="E11311" t="str">
        <f>"1-227-17"</f>
        <v>1-227-17</v>
      </c>
      <c r="F11311" t="s">
        <v>65</v>
      </c>
      <c r="G11311" t="s">
        <v>66</v>
      </c>
      <c r="H11311" t="s">
        <v>67</v>
      </c>
      <c r="S11311">
        <v>0</v>
      </c>
      <c r="T11311">
        <v>1</v>
      </c>
      <c r="U11311">
        <v>0</v>
      </c>
      <c r="V11311">
        <v>0</v>
      </c>
      <c r="W11311">
        <v>1</v>
      </c>
      <c r="X11311">
        <v>0</v>
      </c>
      <c r="Y11311">
        <v>0</v>
      </c>
      <c r="Z11311">
        <v>1</v>
      </c>
      <c r="AA11311">
        <v>1</v>
      </c>
      <c r="AB11311">
        <v>0</v>
      </c>
      <c r="AC11311">
        <v>0</v>
      </c>
      <c r="AD11311">
        <v>1</v>
      </c>
      <c r="AE11311">
        <v>1</v>
      </c>
      <c r="AF11311">
        <v>1</v>
      </c>
      <c r="AG11311">
        <v>1</v>
      </c>
      <c r="AH11311">
        <v>1</v>
      </c>
      <c r="AI11311">
        <v>1</v>
      </c>
      <c r="AJ11311">
        <v>1</v>
      </c>
      <c r="AK11311">
        <v>1</v>
      </c>
      <c r="AL11311">
        <v>1</v>
      </c>
      <c r="AM11311">
        <v>1</v>
      </c>
    </row>
    <row r="11312" spans="1:39" x14ac:dyDescent="0.2">
      <c r="A11312" t="str">
        <f>"11308"</f>
        <v>11308</v>
      </c>
      <c r="B11312" t="str">
        <f t="shared" si="626"/>
        <v>1</v>
      </c>
      <c r="C11312" t="str">
        <f t="shared" si="629"/>
        <v>227</v>
      </c>
      <c r="D11312" t="str">
        <f>"15"</f>
        <v>15</v>
      </c>
      <c r="E11312" t="str">
        <f>"1-227-15"</f>
        <v>1-227-15</v>
      </c>
      <c r="F11312" t="s">
        <v>65</v>
      </c>
      <c r="G11312" t="s">
        <v>66</v>
      </c>
      <c r="H11312" t="s">
        <v>67</v>
      </c>
      <c r="S11312">
        <v>1</v>
      </c>
      <c r="T11312">
        <v>0</v>
      </c>
      <c r="U11312">
        <v>0</v>
      </c>
      <c r="V11312">
        <v>0</v>
      </c>
      <c r="W11312">
        <v>1</v>
      </c>
      <c r="X11312">
        <v>0</v>
      </c>
      <c r="Y11312">
        <v>1</v>
      </c>
      <c r="Z11312">
        <v>0</v>
      </c>
      <c r="AA11312">
        <v>1</v>
      </c>
      <c r="AB11312">
        <v>0</v>
      </c>
      <c r="AC11312">
        <v>0</v>
      </c>
      <c r="AD11312">
        <v>1</v>
      </c>
      <c r="AE11312">
        <v>1</v>
      </c>
      <c r="AF11312">
        <v>1</v>
      </c>
      <c r="AG11312">
        <v>1</v>
      </c>
      <c r="AH11312">
        <v>1</v>
      </c>
      <c r="AI11312">
        <v>1</v>
      </c>
      <c r="AJ11312">
        <v>1</v>
      </c>
      <c r="AK11312">
        <v>1</v>
      </c>
      <c r="AL11312">
        <v>1</v>
      </c>
      <c r="AM11312">
        <v>1</v>
      </c>
    </row>
    <row r="11313" spans="1:39" x14ac:dyDescent="0.2">
      <c r="A11313" t="str">
        <f>"11309"</f>
        <v>11309</v>
      </c>
      <c r="B11313" t="str">
        <f t="shared" si="626"/>
        <v>1</v>
      </c>
      <c r="C11313" t="str">
        <f t="shared" si="629"/>
        <v>227</v>
      </c>
      <c r="D11313" t="str">
        <f>"2"</f>
        <v>2</v>
      </c>
      <c r="E11313" t="str">
        <f>"1-227-2"</f>
        <v>1-227-2</v>
      </c>
      <c r="F11313" t="s">
        <v>65</v>
      </c>
      <c r="G11313" t="s">
        <v>66</v>
      </c>
      <c r="H11313" t="s">
        <v>67</v>
      </c>
      <c r="S11313">
        <v>1</v>
      </c>
      <c r="T11313">
        <v>0</v>
      </c>
      <c r="U11313">
        <v>0</v>
      </c>
      <c r="V11313">
        <v>0</v>
      </c>
      <c r="W11313">
        <v>1</v>
      </c>
      <c r="X11313">
        <v>0</v>
      </c>
      <c r="Y11313">
        <v>1</v>
      </c>
      <c r="Z11313">
        <v>0</v>
      </c>
      <c r="AA11313">
        <v>1</v>
      </c>
      <c r="AB11313">
        <v>0</v>
      </c>
      <c r="AC11313">
        <v>0</v>
      </c>
      <c r="AD11313">
        <v>1</v>
      </c>
      <c r="AE11313">
        <v>1</v>
      </c>
      <c r="AF11313">
        <v>1</v>
      </c>
      <c r="AG11313">
        <v>1</v>
      </c>
      <c r="AH11313">
        <v>1</v>
      </c>
      <c r="AI11313">
        <v>1</v>
      </c>
      <c r="AJ11313">
        <v>1</v>
      </c>
      <c r="AK11313">
        <v>1</v>
      </c>
      <c r="AL11313">
        <v>1</v>
      </c>
      <c r="AM11313">
        <v>1</v>
      </c>
    </row>
    <row r="11314" spans="1:39" x14ac:dyDescent="0.2">
      <c r="A11314" t="str">
        <f>"11310"</f>
        <v>11310</v>
      </c>
      <c r="B11314" t="str">
        <f t="shared" si="626"/>
        <v>1</v>
      </c>
      <c r="C11314" t="str">
        <f t="shared" si="629"/>
        <v>227</v>
      </c>
      <c r="D11314" t="str">
        <f>"36"</f>
        <v>36</v>
      </c>
      <c r="E11314" t="str">
        <f>"1-227-36"</f>
        <v>1-227-36</v>
      </c>
      <c r="F11314" t="s">
        <v>65</v>
      </c>
      <c r="G11314" t="s">
        <v>66</v>
      </c>
      <c r="H11314" t="s">
        <v>67</v>
      </c>
      <c r="S11314">
        <v>0</v>
      </c>
      <c r="T11314">
        <v>1</v>
      </c>
      <c r="U11314">
        <v>0</v>
      </c>
      <c r="V11314">
        <v>0</v>
      </c>
      <c r="W11314">
        <v>1</v>
      </c>
      <c r="X11314">
        <v>0</v>
      </c>
      <c r="Y11314">
        <v>1</v>
      </c>
      <c r="Z11314">
        <v>0</v>
      </c>
      <c r="AA11314">
        <v>1</v>
      </c>
      <c r="AB11314">
        <v>0</v>
      </c>
      <c r="AC11314">
        <v>0</v>
      </c>
      <c r="AD11314">
        <v>1</v>
      </c>
      <c r="AE11314">
        <v>1</v>
      </c>
      <c r="AF11314">
        <v>1</v>
      </c>
      <c r="AG11314">
        <v>1</v>
      </c>
      <c r="AH11314">
        <v>1</v>
      </c>
      <c r="AI11314">
        <v>1</v>
      </c>
      <c r="AJ11314">
        <v>1</v>
      </c>
      <c r="AK11314">
        <v>1</v>
      </c>
      <c r="AL11314">
        <v>1</v>
      </c>
      <c r="AM11314">
        <v>1</v>
      </c>
    </row>
    <row r="11315" spans="1:39" x14ac:dyDescent="0.2">
      <c r="A11315" t="str">
        <f>"11311"</f>
        <v>11311</v>
      </c>
      <c r="B11315" t="str">
        <f t="shared" si="626"/>
        <v>1</v>
      </c>
      <c r="C11315" t="str">
        <f t="shared" si="629"/>
        <v>227</v>
      </c>
      <c r="D11315" t="str">
        <f>"35"</f>
        <v>35</v>
      </c>
      <c r="E11315" t="str">
        <f>"1-227-35"</f>
        <v>1-227-35</v>
      </c>
      <c r="F11315" t="s">
        <v>65</v>
      </c>
      <c r="G11315" t="s">
        <v>66</v>
      </c>
      <c r="H11315" t="s">
        <v>67</v>
      </c>
      <c r="S11315">
        <v>0</v>
      </c>
      <c r="T11315">
        <v>1</v>
      </c>
      <c r="U11315">
        <v>0</v>
      </c>
      <c r="V11315">
        <v>0</v>
      </c>
      <c r="W11315">
        <v>1</v>
      </c>
      <c r="X11315">
        <v>0</v>
      </c>
      <c r="Y11315">
        <v>1</v>
      </c>
      <c r="Z11315">
        <v>0</v>
      </c>
      <c r="AA11315">
        <v>1</v>
      </c>
      <c r="AB11315">
        <v>0</v>
      </c>
      <c r="AC11315">
        <v>0</v>
      </c>
      <c r="AD11315">
        <v>1</v>
      </c>
      <c r="AE11315">
        <v>1</v>
      </c>
      <c r="AF11315">
        <v>1</v>
      </c>
      <c r="AG11315">
        <v>1</v>
      </c>
      <c r="AH11315">
        <v>0</v>
      </c>
      <c r="AI11315">
        <v>1</v>
      </c>
      <c r="AJ11315">
        <v>1</v>
      </c>
      <c r="AK11315">
        <v>1</v>
      </c>
      <c r="AL11315">
        <v>1</v>
      </c>
      <c r="AM11315">
        <v>1</v>
      </c>
    </row>
    <row r="11316" spans="1:39" x14ac:dyDescent="0.2">
      <c r="A11316" t="str">
        <f>"11312"</f>
        <v>11312</v>
      </c>
      <c r="B11316" t="str">
        <f t="shared" si="626"/>
        <v>1</v>
      </c>
      <c r="C11316" t="str">
        <f t="shared" si="629"/>
        <v>227</v>
      </c>
      <c r="D11316" t="str">
        <f>"22"</f>
        <v>22</v>
      </c>
      <c r="E11316" t="str">
        <f>"1-227-22"</f>
        <v>1-227-22</v>
      </c>
      <c r="F11316" t="s">
        <v>65</v>
      </c>
      <c r="G11316" t="s">
        <v>66</v>
      </c>
      <c r="H11316" t="s">
        <v>67</v>
      </c>
      <c r="S11316">
        <v>1</v>
      </c>
      <c r="T11316">
        <v>0</v>
      </c>
      <c r="U11316">
        <v>0</v>
      </c>
      <c r="V11316">
        <v>0</v>
      </c>
      <c r="W11316">
        <v>1</v>
      </c>
      <c r="X11316">
        <v>0</v>
      </c>
      <c r="Y11316">
        <v>1</v>
      </c>
      <c r="Z11316">
        <v>0</v>
      </c>
      <c r="AA11316">
        <v>1</v>
      </c>
      <c r="AB11316">
        <v>0</v>
      </c>
      <c r="AC11316">
        <v>0</v>
      </c>
      <c r="AD11316">
        <v>1</v>
      </c>
      <c r="AE11316">
        <v>1</v>
      </c>
      <c r="AF11316">
        <v>1</v>
      </c>
      <c r="AG11316">
        <v>1</v>
      </c>
      <c r="AH11316">
        <v>0</v>
      </c>
      <c r="AI11316">
        <v>1</v>
      </c>
      <c r="AJ11316">
        <v>1</v>
      </c>
      <c r="AK11316">
        <v>1</v>
      </c>
      <c r="AL11316">
        <v>1</v>
      </c>
      <c r="AM11316">
        <v>1</v>
      </c>
    </row>
    <row r="11317" spans="1:39" x14ac:dyDescent="0.2">
      <c r="A11317" t="str">
        <f>"11313"</f>
        <v>11313</v>
      </c>
      <c r="B11317" t="str">
        <f t="shared" si="626"/>
        <v>1</v>
      </c>
      <c r="C11317" t="str">
        <f t="shared" si="629"/>
        <v>227</v>
      </c>
      <c r="D11317" t="str">
        <f>"16"</f>
        <v>16</v>
      </c>
      <c r="E11317" t="str">
        <f>"1-227-16"</f>
        <v>1-227-16</v>
      </c>
      <c r="F11317" t="s">
        <v>65</v>
      </c>
      <c r="G11317" t="s">
        <v>66</v>
      </c>
      <c r="H11317" t="s">
        <v>67</v>
      </c>
      <c r="S11317">
        <v>1</v>
      </c>
      <c r="T11317">
        <v>0</v>
      </c>
      <c r="U11317">
        <v>0</v>
      </c>
      <c r="V11317">
        <v>0</v>
      </c>
      <c r="W11317">
        <v>1</v>
      </c>
      <c r="X11317">
        <v>0</v>
      </c>
      <c r="Y11317">
        <v>1</v>
      </c>
      <c r="Z11317">
        <v>0</v>
      </c>
      <c r="AA11317">
        <v>1</v>
      </c>
      <c r="AB11317">
        <v>0</v>
      </c>
      <c r="AC11317">
        <v>0</v>
      </c>
      <c r="AD11317">
        <v>1</v>
      </c>
      <c r="AE11317">
        <v>1</v>
      </c>
      <c r="AF11317">
        <v>1</v>
      </c>
      <c r="AG11317">
        <v>1</v>
      </c>
      <c r="AH11317">
        <v>1</v>
      </c>
      <c r="AI11317">
        <v>1</v>
      </c>
      <c r="AJ11317">
        <v>1</v>
      </c>
      <c r="AK11317">
        <v>1</v>
      </c>
      <c r="AL11317">
        <v>1</v>
      </c>
      <c r="AM11317">
        <v>1</v>
      </c>
    </row>
    <row r="11318" spans="1:39" x14ac:dyDescent="0.2">
      <c r="A11318" t="str">
        <f>"11314"</f>
        <v>11314</v>
      </c>
      <c r="B11318" t="str">
        <f t="shared" si="626"/>
        <v>1</v>
      </c>
      <c r="C11318" t="str">
        <f t="shared" si="629"/>
        <v>227</v>
      </c>
      <c r="D11318" t="str">
        <f>"1"</f>
        <v>1</v>
      </c>
      <c r="E11318" t="str">
        <f>"1-227-1"</f>
        <v>1-227-1</v>
      </c>
      <c r="F11318" t="s">
        <v>65</v>
      </c>
      <c r="G11318" t="s">
        <v>66</v>
      </c>
      <c r="H11318" t="s">
        <v>67</v>
      </c>
      <c r="S11318">
        <v>1</v>
      </c>
      <c r="T11318">
        <v>0</v>
      </c>
      <c r="U11318">
        <v>0</v>
      </c>
      <c r="V11318">
        <v>0</v>
      </c>
      <c r="W11318">
        <v>1</v>
      </c>
      <c r="X11318">
        <v>0</v>
      </c>
      <c r="Y11318">
        <v>1</v>
      </c>
      <c r="Z11318">
        <v>0</v>
      </c>
      <c r="AA11318">
        <v>1</v>
      </c>
      <c r="AB11318">
        <v>0</v>
      </c>
      <c r="AC11318">
        <v>0</v>
      </c>
      <c r="AD11318">
        <v>1</v>
      </c>
      <c r="AE11318">
        <v>1</v>
      </c>
      <c r="AF11318">
        <v>1</v>
      </c>
      <c r="AG11318">
        <v>1</v>
      </c>
      <c r="AH11318">
        <v>1</v>
      </c>
      <c r="AI11318">
        <v>1</v>
      </c>
      <c r="AJ11318">
        <v>1</v>
      </c>
      <c r="AK11318">
        <v>1</v>
      </c>
      <c r="AL11318">
        <v>1</v>
      </c>
      <c r="AM11318">
        <v>1</v>
      </c>
    </row>
    <row r="11319" spans="1:39" x14ac:dyDescent="0.2">
      <c r="A11319" t="str">
        <f>"11315"</f>
        <v>11315</v>
      </c>
      <c r="B11319" t="str">
        <f t="shared" ref="B11319:B11382" si="630">"1"</f>
        <v>1</v>
      </c>
      <c r="C11319" t="str">
        <f t="shared" si="629"/>
        <v>227</v>
      </c>
      <c r="D11319" t="str">
        <f>"37"</f>
        <v>37</v>
      </c>
      <c r="E11319" t="str">
        <f>"1-227-37"</f>
        <v>1-227-37</v>
      </c>
      <c r="F11319" t="s">
        <v>65</v>
      </c>
      <c r="G11319" t="s">
        <v>66</v>
      </c>
      <c r="H11319" t="s">
        <v>67</v>
      </c>
      <c r="S11319">
        <v>1</v>
      </c>
      <c r="T11319">
        <v>0</v>
      </c>
      <c r="U11319">
        <v>0</v>
      </c>
      <c r="V11319">
        <v>0</v>
      </c>
      <c r="W11319">
        <v>1</v>
      </c>
      <c r="X11319">
        <v>0</v>
      </c>
      <c r="Y11319">
        <v>1</v>
      </c>
      <c r="Z11319">
        <v>0</v>
      </c>
      <c r="AA11319">
        <v>1</v>
      </c>
      <c r="AB11319">
        <v>0</v>
      </c>
      <c r="AC11319">
        <v>0</v>
      </c>
      <c r="AD11319">
        <v>1</v>
      </c>
      <c r="AE11319">
        <v>1</v>
      </c>
      <c r="AF11319">
        <v>1</v>
      </c>
      <c r="AG11319">
        <v>1</v>
      </c>
      <c r="AH11319">
        <v>1</v>
      </c>
      <c r="AI11319">
        <v>1</v>
      </c>
      <c r="AJ11319">
        <v>1</v>
      </c>
      <c r="AK11319">
        <v>1</v>
      </c>
      <c r="AL11319">
        <v>1</v>
      </c>
      <c r="AM11319">
        <v>1</v>
      </c>
    </row>
    <row r="11320" spans="1:39" x14ac:dyDescent="0.2">
      <c r="A11320" t="str">
        <f>"11316"</f>
        <v>11316</v>
      </c>
      <c r="B11320" t="str">
        <f t="shared" si="630"/>
        <v>1</v>
      </c>
      <c r="C11320" t="str">
        <f t="shared" si="629"/>
        <v>227</v>
      </c>
      <c r="D11320" t="str">
        <f>"20"</f>
        <v>20</v>
      </c>
      <c r="E11320" t="str">
        <f>"1-227-20"</f>
        <v>1-227-20</v>
      </c>
      <c r="F11320" t="s">
        <v>65</v>
      </c>
      <c r="G11320" t="s">
        <v>66</v>
      </c>
      <c r="H11320" t="s">
        <v>67</v>
      </c>
      <c r="S11320">
        <v>1</v>
      </c>
      <c r="T11320">
        <v>0</v>
      </c>
      <c r="U11320">
        <v>0</v>
      </c>
      <c r="V11320">
        <v>0</v>
      </c>
      <c r="W11320">
        <v>1</v>
      </c>
      <c r="X11320">
        <v>0</v>
      </c>
      <c r="Y11320">
        <v>0</v>
      </c>
      <c r="Z11320">
        <v>1</v>
      </c>
      <c r="AA11320">
        <v>0</v>
      </c>
      <c r="AB11320">
        <v>1</v>
      </c>
      <c r="AC11320">
        <v>0</v>
      </c>
      <c r="AD11320">
        <v>1</v>
      </c>
      <c r="AE11320">
        <v>1</v>
      </c>
      <c r="AF11320">
        <v>1</v>
      </c>
      <c r="AG11320">
        <v>1</v>
      </c>
      <c r="AH11320">
        <v>1</v>
      </c>
      <c r="AI11320">
        <v>1</v>
      </c>
      <c r="AJ11320">
        <v>1</v>
      </c>
      <c r="AK11320">
        <v>1</v>
      </c>
      <c r="AL11320">
        <v>1</v>
      </c>
      <c r="AM11320">
        <v>1</v>
      </c>
    </row>
    <row r="11321" spans="1:39" x14ac:dyDescent="0.2">
      <c r="A11321" t="str">
        <f>"11317"</f>
        <v>11317</v>
      </c>
      <c r="B11321" t="str">
        <f t="shared" si="630"/>
        <v>1</v>
      </c>
      <c r="C11321" t="str">
        <f t="shared" si="629"/>
        <v>227</v>
      </c>
      <c r="D11321" t="str">
        <f>"4"</f>
        <v>4</v>
      </c>
      <c r="E11321" t="str">
        <f>"1-227-4"</f>
        <v>1-227-4</v>
      </c>
      <c r="F11321" t="s">
        <v>65</v>
      </c>
      <c r="G11321" t="s">
        <v>66</v>
      </c>
      <c r="H11321" t="s">
        <v>67</v>
      </c>
      <c r="S11321">
        <v>0</v>
      </c>
      <c r="T11321">
        <v>1</v>
      </c>
      <c r="U11321">
        <v>0</v>
      </c>
      <c r="V11321">
        <v>0</v>
      </c>
      <c r="W11321">
        <v>1</v>
      </c>
      <c r="X11321">
        <v>0</v>
      </c>
      <c r="Y11321">
        <v>1</v>
      </c>
      <c r="Z11321">
        <v>0</v>
      </c>
      <c r="AA11321">
        <v>0</v>
      </c>
      <c r="AB11321">
        <v>1</v>
      </c>
      <c r="AC11321">
        <v>0</v>
      </c>
      <c r="AD11321">
        <v>1</v>
      </c>
      <c r="AE11321">
        <v>1</v>
      </c>
      <c r="AF11321">
        <v>1</v>
      </c>
      <c r="AG11321">
        <v>1</v>
      </c>
      <c r="AH11321">
        <v>1</v>
      </c>
      <c r="AI11321">
        <v>1</v>
      </c>
      <c r="AJ11321">
        <v>1</v>
      </c>
      <c r="AK11321">
        <v>1</v>
      </c>
      <c r="AL11321">
        <v>1</v>
      </c>
      <c r="AM11321">
        <v>1</v>
      </c>
    </row>
    <row r="11322" spans="1:39" x14ac:dyDescent="0.2">
      <c r="A11322" t="str">
        <f>"11318"</f>
        <v>11318</v>
      </c>
      <c r="B11322" t="str">
        <f t="shared" si="630"/>
        <v>1</v>
      </c>
      <c r="C11322" t="str">
        <f t="shared" si="629"/>
        <v>227</v>
      </c>
      <c r="D11322" t="str">
        <f>"40"</f>
        <v>40</v>
      </c>
      <c r="E11322" t="str">
        <f>"1-227-40"</f>
        <v>1-227-40</v>
      </c>
      <c r="F11322" t="s">
        <v>65</v>
      </c>
      <c r="G11322" t="s">
        <v>66</v>
      </c>
      <c r="H11322" t="s">
        <v>67</v>
      </c>
      <c r="S11322">
        <v>1</v>
      </c>
      <c r="T11322">
        <v>0</v>
      </c>
      <c r="U11322">
        <v>0</v>
      </c>
      <c r="V11322">
        <v>0</v>
      </c>
      <c r="W11322">
        <v>0</v>
      </c>
      <c r="X11322">
        <v>1</v>
      </c>
      <c r="Y11322">
        <v>0</v>
      </c>
      <c r="Z11322">
        <v>0</v>
      </c>
      <c r="AA11322">
        <v>0</v>
      </c>
      <c r="AB11322">
        <v>0</v>
      </c>
      <c r="AC11322">
        <v>1</v>
      </c>
      <c r="AD11322">
        <v>1</v>
      </c>
      <c r="AE11322">
        <v>1</v>
      </c>
      <c r="AF11322">
        <v>1</v>
      </c>
      <c r="AG11322">
        <v>1</v>
      </c>
      <c r="AH11322">
        <v>1</v>
      </c>
      <c r="AI11322">
        <v>1</v>
      </c>
      <c r="AJ11322">
        <v>1</v>
      </c>
      <c r="AK11322">
        <v>1</v>
      </c>
      <c r="AL11322">
        <v>1</v>
      </c>
      <c r="AM11322">
        <v>1</v>
      </c>
    </row>
    <row r="11323" spans="1:39" x14ac:dyDescent="0.2">
      <c r="A11323" t="str">
        <f>"11319"</f>
        <v>11319</v>
      </c>
      <c r="B11323" t="str">
        <f t="shared" si="630"/>
        <v>1</v>
      </c>
      <c r="C11323" t="str">
        <f t="shared" si="629"/>
        <v>227</v>
      </c>
      <c r="D11323" t="str">
        <f>"21"</f>
        <v>21</v>
      </c>
      <c r="E11323" t="str">
        <f>"1-227-21"</f>
        <v>1-227-21</v>
      </c>
      <c r="F11323" t="s">
        <v>65</v>
      </c>
      <c r="G11323" t="s">
        <v>66</v>
      </c>
      <c r="H11323" t="s">
        <v>67</v>
      </c>
      <c r="S11323">
        <v>0</v>
      </c>
      <c r="T11323">
        <v>1</v>
      </c>
      <c r="U11323">
        <v>0</v>
      </c>
      <c r="V11323">
        <v>0</v>
      </c>
      <c r="W11323">
        <v>0</v>
      </c>
      <c r="X11323">
        <v>1</v>
      </c>
      <c r="Y11323">
        <v>0</v>
      </c>
      <c r="Z11323">
        <v>1</v>
      </c>
      <c r="AA11323">
        <v>0</v>
      </c>
      <c r="AB11323">
        <v>0</v>
      </c>
      <c r="AC11323">
        <v>1</v>
      </c>
      <c r="AD11323">
        <v>1</v>
      </c>
      <c r="AE11323">
        <v>1</v>
      </c>
      <c r="AF11323">
        <v>1</v>
      </c>
      <c r="AG11323">
        <v>1</v>
      </c>
      <c r="AH11323">
        <v>1</v>
      </c>
      <c r="AI11323">
        <v>1</v>
      </c>
      <c r="AJ11323">
        <v>1</v>
      </c>
      <c r="AK11323">
        <v>1</v>
      </c>
      <c r="AL11323">
        <v>1</v>
      </c>
      <c r="AM11323">
        <v>1</v>
      </c>
    </row>
    <row r="11324" spans="1:39" x14ac:dyDescent="0.2">
      <c r="A11324" t="str">
        <f>"11320"</f>
        <v>11320</v>
      </c>
      <c r="B11324" t="str">
        <f t="shared" si="630"/>
        <v>1</v>
      </c>
      <c r="C11324" t="str">
        <f t="shared" si="629"/>
        <v>227</v>
      </c>
      <c r="D11324" t="str">
        <f>"9"</f>
        <v>9</v>
      </c>
      <c r="E11324" t="str">
        <f>"1-227-9"</f>
        <v>1-227-9</v>
      </c>
      <c r="F11324" t="s">
        <v>65</v>
      </c>
      <c r="G11324" t="s">
        <v>66</v>
      </c>
      <c r="H11324" t="s">
        <v>67</v>
      </c>
      <c r="S11324">
        <v>1</v>
      </c>
      <c r="T11324">
        <v>0</v>
      </c>
      <c r="U11324">
        <v>0</v>
      </c>
      <c r="V11324">
        <v>0</v>
      </c>
      <c r="W11324">
        <v>1</v>
      </c>
      <c r="X11324">
        <v>0</v>
      </c>
      <c r="Y11324">
        <v>0</v>
      </c>
      <c r="Z11324">
        <v>1</v>
      </c>
      <c r="AA11324">
        <v>0</v>
      </c>
      <c r="AB11324">
        <v>0</v>
      </c>
      <c r="AC11324">
        <v>1</v>
      </c>
      <c r="AD11324">
        <v>0</v>
      </c>
      <c r="AE11324">
        <v>1</v>
      </c>
      <c r="AF11324">
        <v>1</v>
      </c>
      <c r="AG11324">
        <v>1</v>
      </c>
      <c r="AH11324">
        <v>1</v>
      </c>
      <c r="AI11324">
        <v>1</v>
      </c>
      <c r="AJ11324">
        <v>1</v>
      </c>
      <c r="AK11324">
        <v>1</v>
      </c>
      <c r="AL11324">
        <v>1</v>
      </c>
      <c r="AM11324">
        <v>1</v>
      </c>
    </row>
    <row r="11325" spans="1:39" x14ac:dyDescent="0.2">
      <c r="A11325" t="str">
        <f>"11321"</f>
        <v>11321</v>
      </c>
      <c r="B11325" t="str">
        <f t="shared" si="630"/>
        <v>1</v>
      </c>
      <c r="C11325" t="str">
        <f t="shared" si="629"/>
        <v>227</v>
      </c>
      <c r="D11325" t="str">
        <f>"41"</f>
        <v>41</v>
      </c>
      <c r="E11325" t="str">
        <f>"1-227-41"</f>
        <v>1-227-41</v>
      </c>
      <c r="F11325" t="s">
        <v>65</v>
      </c>
      <c r="G11325" t="s">
        <v>66</v>
      </c>
      <c r="H11325" t="s">
        <v>67</v>
      </c>
      <c r="S11325">
        <v>1</v>
      </c>
      <c r="T11325">
        <v>0</v>
      </c>
      <c r="U11325">
        <v>0</v>
      </c>
      <c r="V11325">
        <v>0</v>
      </c>
      <c r="W11325">
        <v>1</v>
      </c>
      <c r="X11325">
        <v>0</v>
      </c>
      <c r="Y11325">
        <v>1</v>
      </c>
      <c r="Z11325">
        <v>0</v>
      </c>
      <c r="AA11325">
        <v>0</v>
      </c>
      <c r="AB11325">
        <v>0</v>
      </c>
      <c r="AC11325">
        <v>1</v>
      </c>
      <c r="AD11325">
        <v>1</v>
      </c>
      <c r="AE11325">
        <v>1</v>
      </c>
      <c r="AF11325">
        <v>1</v>
      </c>
      <c r="AG11325">
        <v>1</v>
      </c>
      <c r="AH11325">
        <v>1</v>
      </c>
      <c r="AI11325">
        <v>1</v>
      </c>
      <c r="AJ11325">
        <v>1</v>
      </c>
      <c r="AK11325">
        <v>1</v>
      </c>
      <c r="AL11325">
        <v>1</v>
      </c>
      <c r="AM11325">
        <v>1</v>
      </c>
    </row>
    <row r="11326" spans="1:39" x14ac:dyDescent="0.2">
      <c r="A11326" t="str">
        <f>"11322"</f>
        <v>11322</v>
      </c>
      <c r="B11326" t="str">
        <f t="shared" si="630"/>
        <v>1</v>
      </c>
      <c r="C11326" t="str">
        <f t="shared" si="629"/>
        <v>227</v>
      </c>
      <c r="D11326" t="str">
        <f>"23"</f>
        <v>23</v>
      </c>
      <c r="E11326" t="str">
        <f>"1-227-23"</f>
        <v>1-227-23</v>
      </c>
      <c r="F11326" t="s">
        <v>65</v>
      </c>
      <c r="G11326" t="s">
        <v>66</v>
      </c>
      <c r="H11326" t="s">
        <v>67</v>
      </c>
      <c r="S11326">
        <v>0</v>
      </c>
      <c r="T11326">
        <v>1</v>
      </c>
      <c r="U11326">
        <v>0</v>
      </c>
      <c r="V11326">
        <v>0</v>
      </c>
      <c r="W11326">
        <v>0</v>
      </c>
      <c r="X11326">
        <v>1</v>
      </c>
      <c r="Y11326">
        <v>0</v>
      </c>
      <c r="Z11326">
        <v>1</v>
      </c>
      <c r="AA11326">
        <v>0</v>
      </c>
      <c r="AB11326">
        <v>0</v>
      </c>
      <c r="AC11326">
        <v>1</v>
      </c>
      <c r="AD11326">
        <v>1</v>
      </c>
      <c r="AE11326">
        <v>1</v>
      </c>
      <c r="AF11326">
        <v>1</v>
      </c>
      <c r="AG11326">
        <v>1</v>
      </c>
      <c r="AH11326">
        <v>1</v>
      </c>
      <c r="AI11326">
        <v>1</v>
      </c>
      <c r="AJ11326">
        <v>1</v>
      </c>
      <c r="AK11326">
        <v>1</v>
      </c>
      <c r="AL11326">
        <v>1</v>
      </c>
      <c r="AM11326">
        <v>1</v>
      </c>
    </row>
    <row r="11327" spans="1:39" x14ac:dyDescent="0.2">
      <c r="A11327" t="str">
        <f>"11323"</f>
        <v>11323</v>
      </c>
      <c r="B11327" t="str">
        <f t="shared" si="630"/>
        <v>1</v>
      </c>
      <c r="C11327" t="str">
        <f t="shared" si="629"/>
        <v>227</v>
      </c>
      <c r="D11327" t="str">
        <f>"8"</f>
        <v>8</v>
      </c>
      <c r="E11327" t="str">
        <f>"1-227-8"</f>
        <v>1-227-8</v>
      </c>
      <c r="F11327" t="s">
        <v>65</v>
      </c>
      <c r="G11327" t="s">
        <v>66</v>
      </c>
      <c r="H11327" t="s">
        <v>67</v>
      </c>
      <c r="S11327">
        <v>1</v>
      </c>
      <c r="T11327">
        <v>0</v>
      </c>
      <c r="U11327">
        <v>0</v>
      </c>
      <c r="V11327">
        <v>0</v>
      </c>
      <c r="W11327">
        <v>1</v>
      </c>
      <c r="X11327">
        <v>0</v>
      </c>
      <c r="Y11327">
        <v>1</v>
      </c>
      <c r="Z11327">
        <v>0</v>
      </c>
      <c r="AA11327">
        <v>1</v>
      </c>
      <c r="AB11327">
        <v>0</v>
      </c>
      <c r="AC11327">
        <v>0</v>
      </c>
      <c r="AD11327">
        <v>1</v>
      </c>
      <c r="AE11327">
        <v>1</v>
      </c>
      <c r="AF11327">
        <v>1</v>
      </c>
      <c r="AG11327">
        <v>1</v>
      </c>
      <c r="AH11327">
        <v>1</v>
      </c>
      <c r="AI11327">
        <v>1</v>
      </c>
      <c r="AJ11327">
        <v>1</v>
      </c>
      <c r="AK11327">
        <v>1</v>
      </c>
      <c r="AL11327">
        <v>1</v>
      </c>
      <c r="AM11327">
        <v>1</v>
      </c>
    </row>
    <row r="11328" spans="1:39" x14ac:dyDescent="0.2">
      <c r="A11328" t="str">
        <f>"11324"</f>
        <v>11324</v>
      </c>
      <c r="B11328" t="str">
        <f t="shared" si="630"/>
        <v>1</v>
      </c>
      <c r="C11328" t="str">
        <f t="shared" si="629"/>
        <v>227</v>
      </c>
      <c r="D11328" t="str">
        <f>"46"</f>
        <v>46</v>
      </c>
      <c r="E11328" t="str">
        <f>"1-227-46"</f>
        <v>1-227-46</v>
      </c>
      <c r="F11328" t="s">
        <v>65</v>
      </c>
      <c r="G11328" t="s">
        <v>66</v>
      </c>
      <c r="H11328" t="s">
        <v>67</v>
      </c>
      <c r="S11328">
        <v>1</v>
      </c>
      <c r="T11328">
        <v>0</v>
      </c>
      <c r="U11328">
        <v>0</v>
      </c>
      <c r="V11328">
        <v>0</v>
      </c>
      <c r="W11328">
        <v>1</v>
      </c>
      <c r="X11328">
        <v>0</v>
      </c>
      <c r="Y11328">
        <v>1</v>
      </c>
      <c r="Z11328">
        <v>0</v>
      </c>
      <c r="AA11328">
        <v>1</v>
      </c>
      <c r="AB11328">
        <v>0</v>
      </c>
      <c r="AC11328">
        <v>0</v>
      </c>
      <c r="AD11328">
        <v>1</v>
      </c>
      <c r="AE11328">
        <v>1</v>
      </c>
      <c r="AF11328">
        <v>1</v>
      </c>
      <c r="AG11328">
        <v>1</v>
      </c>
      <c r="AH11328">
        <v>1</v>
      </c>
      <c r="AI11328">
        <v>1</v>
      </c>
      <c r="AJ11328">
        <v>1</v>
      </c>
      <c r="AK11328">
        <v>1</v>
      </c>
      <c r="AL11328">
        <v>1</v>
      </c>
      <c r="AM11328">
        <v>1</v>
      </c>
    </row>
    <row r="11329" spans="1:39" x14ac:dyDescent="0.2">
      <c r="A11329" t="str">
        <f>"11325"</f>
        <v>11325</v>
      </c>
      <c r="B11329" t="str">
        <f t="shared" si="630"/>
        <v>1</v>
      </c>
      <c r="C11329" t="str">
        <f t="shared" si="629"/>
        <v>227</v>
      </c>
      <c r="D11329" t="str">
        <f>"24"</f>
        <v>24</v>
      </c>
      <c r="E11329" t="str">
        <f>"1-227-24"</f>
        <v>1-227-24</v>
      </c>
      <c r="F11329" t="s">
        <v>65</v>
      </c>
      <c r="G11329" t="s">
        <v>66</v>
      </c>
      <c r="H11329" t="s">
        <v>67</v>
      </c>
      <c r="S11329">
        <v>0</v>
      </c>
      <c r="T11329">
        <v>1</v>
      </c>
      <c r="U11329">
        <v>0</v>
      </c>
      <c r="V11329">
        <v>0</v>
      </c>
      <c r="W11329">
        <v>0</v>
      </c>
      <c r="X11329">
        <v>1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0</v>
      </c>
      <c r="AF11329">
        <v>0</v>
      </c>
      <c r="AG11329">
        <v>1</v>
      </c>
      <c r="AH11329">
        <v>1</v>
      </c>
      <c r="AI11329">
        <v>1</v>
      </c>
      <c r="AJ11329">
        <v>1</v>
      </c>
      <c r="AK11329">
        <v>1</v>
      </c>
      <c r="AL11329">
        <v>1</v>
      </c>
      <c r="AM11329">
        <v>1</v>
      </c>
    </row>
    <row r="11330" spans="1:39" x14ac:dyDescent="0.2">
      <c r="A11330" t="str">
        <f>"11326"</f>
        <v>11326</v>
      </c>
      <c r="B11330" t="str">
        <f t="shared" si="630"/>
        <v>1</v>
      </c>
      <c r="C11330" t="str">
        <f t="shared" si="629"/>
        <v>227</v>
      </c>
      <c r="D11330" t="str">
        <f>"3"</f>
        <v>3</v>
      </c>
      <c r="E11330" t="str">
        <f>"1-227-3"</f>
        <v>1-227-3</v>
      </c>
      <c r="F11330" t="s">
        <v>65</v>
      </c>
      <c r="G11330" t="s">
        <v>66</v>
      </c>
      <c r="H11330" t="s">
        <v>67</v>
      </c>
      <c r="S11330">
        <v>1</v>
      </c>
      <c r="T11330">
        <v>0</v>
      </c>
      <c r="U11330">
        <v>0</v>
      </c>
      <c r="V11330">
        <v>0</v>
      </c>
      <c r="W11330">
        <v>1</v>
      </c>
      <c r="X11330">
        <v>0</v>
      </c>
      <c r="Y11330">
        <v>1</v>
      </c>
      <c r="Z11330">
        <v>0</v>
      </c>
      <c r="AA11330">
        <v>0</v>
      </c>
      <c r="AB11330">
        <v>1</v>
      </c>
      <c r="AC11330">
        <v>0</v>
      </c>
      <c r="AD11330">
        <v>0</v>
      </c>
      <c r="AE11330">
        <v>0</v>
      </c>
      <c r="AF11330">
        <v>0</v>
      </c>
      <c r="AG11330">
        <v>0</v>
      </c>
      <c r="AH11330">
        <v>0</v>
      </c>
      <c r="AI11330">
        <v>0</v>
      </c>
      <c r="AJ11330">
        <v>0</v>
      </c>
      <c r="AK11330">
        <v>0</v>
      </c>
      <c r="AL11330">
        <v>0</v>
      </c>
      <c r="AM11330">
        <v>1</v>
      </c>
    </row>
    <row r="11331" spans="1:39" x14ac:dyDescent="0.2">
      <c r="A11331" t="str">
        <f>"11327"</f>
        <v>11327</v>
      </c>
      <c r="B11331" t="str">
        <f t="shared" si="630"/>
        <v>1</v>
      </c>
      <c r="C11331" t="str">
        <f t="shared" si="629"/>
        <v>227</v>
      </c>
      <c r="D11331" t="str">
        <f>"47"</f>
        <v>47</v>
      </c>
      <c r="E11331" t="str">
        <f>"1-227-47"</f>
        <v>1-227-47</v>
      </c>
      <c r="F11331" t="s">
        <v>65</v>
      </c>
      <c r="G11331" t="s">
        <v>66</v>
      </c>
      <c r="H11331" t="s">
        <v>67</v>
      </c>
      <c r="S11331">
        <v>0</v>
      </c>
      <c r="T11331">
        <v>1</v>
      </c>
      <c r="U11331">
        <v>0</v>
      </c>
      <c r="V11331">
        <v>0</v>
      </c>
      <c r="W11331">
        <v>1</v>
      </c>
      <c r="X11331">
        <v>0</v>
      </c>
      <c r="Y11331">
        <v>1</v>
      </c>
      <c r="Z11331">
        <v>0</v>
      </c>
      <c r="AA11331">
        <v>1</v>
      </c>
      <c r="AB11331">
        <v>0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  <c r="AK11331">
        <v>0</v>
      </c>
      <c r="AL11331">
        <v>1</v>
      </c>
      <c r="AM11331">
        <v>0</v>
      </c>
    </row>
    <row r="11332" spans="1:39" x14ac:dyDescent="0.2">
      <c r="A11332" t="str">
        <f>"11328"</f>
        <v>11328</v>
      </c>
      <c r="B11332" t="str">
        <f t="shared" si="630"/>
        <v>1</v>
      </c>
      <c r="C11332" t="str">
        <f t="shared" si="629"/>
        <v>227</v>
      </c>
      <c r="D11332" t="str">
        <f>"25"</f>
        <v>25</v>
      </c>
      <c r="E11332" t="str">
        <f>"1-227-25"</f>
        <v>1-227-25</v>
      </c>
      <c r="F11332" t="s">
        <v>65</v>
      </c>
      <c r="G11332" t="s">
        <v>66</v>
      </c>
      <c r="H11332" t="s">
        <v>67</v>
      </c>
      <c r="S11332">
        <v>0</v>
      </c>
      <c r="T11332">
        <v>1</v>
      </c>
      <c r="U11332">
        <v>0</v>
      </c>
      <c r="V11332">
        <v>0</v>
      </c>
      <c r="W11332">
        <v>1</v>
      </c>
      <c r="X11332">
        <v>0</v>
      </c>
      <c r="Y11332">
        <v>0</v>
      </c>
      <c r="Z11332">
        <v>1</v>
      </c>
      <c r="AA11332">
        <v>1</v>
      </c>
      <c r="AB11332">
        <v>0</v>
      </c>
      <c r="AC11332">
        <v>0</v>
      </c>
      <c r="AD11332">
        <v>1</v>
      </c>
      <c r="AE11332">
        <v>1</v>
      </c>
      <c r="AF11332">
        <v>1</v>
      </c>
      <c r="AG11332">
        <v>1</v>
      </c>
      <c r="AH11332">
        <v>1</v>
      </c>
      <c r="AI11332">
        <v>1</v>
      </c>
      <c r="AJ11332">
        <v>1</v>
      </c>
      <c r="AK11332">
        <v>1</v>
      </c>
      <c r="AL11332">
        <v>1</v>
      </c>
      <c r="AM11332">
        <v>1</v>
      </c>
    </row>
    <row r="11333" spans="1:39" x14ac:dyDescent="0.2">
      <c r="A11333" t="str">
        <f>"11329"</f>
        <v>11329</v>
      </c>
      <c r="B11333" t="str">
        <f t="shared" si="630"/>
        <v>1</v>
      </c>
      <c r="C11333" t="str">
        <f t="shared" si="629"/>
        <v>227</v>
      </c>
      <c r="D11333" t="str">
        <f>"13"</f>
        <v>13</v>
      </c>
      <c r="E11333" t="str">
        <f>"1-227-13"</f>
        <v>1-227-13</v>
      </c>
      <c r="F11333" t="s">
        <v>65</v>
      </c>
      <c r="G11333" t="s">
        <v>66</v>
      </c>
      <c r="H11333" t="s">
        <v>67</v>
      </c>
      <c r="S11333">
        <v>1</v>
      </c>
      <c r="T11333">
        <v>0</v>
      </c>
      <c r="U11333">
        <v>0</v>
      </c>
      <c r="V11333">
        <v>0</v>
      </c>
      <c r="W11333">
        <v>0</v>
      </c>
      <c r="X11333">
        <v>1</v>
      </c>
      <c r="Y11333">
        <v>0</v>
      </c>
      <c r="Z11333">
        <v>1</v>
      </c>
      <c r="AA11333">
        <v>1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  <c r="AK11333">
        <v>0</v>
      </c>
      <c r="AL11333">
        <v>0</v>
      </c>
      <c r="AM11333">
        <v>0</v>
      </c>
    </row>
    <row r="11334" spans="1:39" x14ac:dyDescent="0.2">
      <c r="A11334" t="str">
        <f>"11330"</f>
        <v>11330</v>
      </c>
      <c r="B11334" t="str">
        <f t="shared" si="630"/>
        <v>1</v>
      </c>
      <c r="C11334" t="str">
        <f t="shared" si="629"/>
        <v>227</v>
      </c>
      <c r="D11334" t="str">
        <f>"42"</f>
        <v>42</v>
      </c>
      <c r="E11334" t="str">
        <f>"1-227-42"</f>
        <v>1-227-42</v>
      </c>
      <c r="F11334" t="s">
        <v>65</v>
      </c>
      <c r="G11334" t="s">
        <v>66</v>
      </c>
      <c r="H11334" t="s">
        <v>67</v>
      </c>
      <c r="S11334">
        <v>1</v>
      </c>
      <c r="T11334">
        <v>0</v>
      </c>
      <c r="U11334">
        <v>0</v>
      </c>
      <c r="V11334">
        <v>0</v>
      </c>
      <c r="W11334">
        <v>1</v>
      </c>
      <c r="X11334">
        <v>0</v>
      </c>
      <c r="Y11334">
        <v>1</v>
      </c>
      <c r="Z11334">
        <v>0</v>
      </c>
      <c r="AA11334">
        <v>0</v>
      </c>
      <c r="AB11334">
        <v>0</v>
      </c>
      <c r="AC11334">
        <v>1</v>
      </c>
      <c r="AD11334">
        <v>0</v>
      </c>
      <c r="AE11334">
        <v>0</v>
      </c>
      <c r="AF11334">
        <v>0</v>
      </c>
      <c r="AG11334">
        <v>0</v>
      </c>
      <c r="AH11334">
        <v>0</v>
      </c>
      <c r="AI11334">
        <v>0</v>
      </c>
      <c r="AJ11334">
        <v>0</v>
      </c>
      <c r="AK11334">
        <v>0</v>
      </c>
      <c r="AL11334">
        <v>0</v>
      </c>
      <c r="AM11334">
        <v>0</v>
      </c>
    </row>
    <row r="11335" spans="1:39" x14ac:dyDescent="0.2">
      <c r="A11335" t="str">
        <f>"11331"</f>
        <v>11331</v>
      </c>
      <c r="B11335" t="str">
        <f t="shared" si="630"/>
        <v>1</v>
      </c>
      <c r="C11335" t="str">
        <f t="shared" si="629"/>
        <v>227</v>
      </c>
      <c r="D11335" t="str">
        <f>"26"</f>
        <v>26</v>
      </c>
      <c r="E11335" t="str">
        <f>"1-227-26"</f>
        <v>1-227-26</v>
      </c>
      <c r="F11335" t="s">
        <v>65</v>
      </c>
      <c r="G11335" t="s">
        <v>66</v>
      </c>
      <c r="H11335" t="s">
        <v>67</v>
      </c>
      <c r="S11335">
        <v>0</v>
      </c>
      <c r="T11335">
        <v>1</v>
      </c>
      <c r="U11335">
        <v>0</v>
      </c>
      <c r="V11335">
        <v>0</v>
      </c>
      <c r="W11335">
        <v>1</v>
      </c>
      <c r="X11335">
        <v>0</v>
      </c>
      <c r="Y11335">
        <v>1</v>
      </c>
      <c r="Z11335">
        <v>0</v>
      </c>
      <c r="AA11335">
        <v>1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  <c r="AK11335">
        <v>0</v>
      </c>
      <c r="AL11335">
        <v>0</v>
      </c>
      <c r="AM11335">
        <v>0</v>
      </c>
    </row>
    <row r="11336" spans="1:39" x14ac:dyDescent="0.2">
      <c r="A11336" t="str">
        <f>"11332"</f>
        <v>11332</v>
      </c>
      <c r="B11336" t="str">
        <f t="shared" si="630"/>
        <v>1</v>
      </c>
      <c r="C11336" t="str">
        <f t="shared" si="629"/>
        <v>227</v>
      </c>
      <c r="D11336" t="str">
        <f>"12"</f>
        <v>12</v>
      </c>
      <c r="E11336" t="str">
        <f>"1-227-12"</f>
        <v>1-227-12</v>
      </c>
      <c r="F11336" t="s">
        <v>65</v>
      </c>
      <c r="G11336" t="s">
        <v>66</v>
      </c>
      <c r="H11336" t="s">
        <v>67</v>
      </c>
      <c r="S11336">
        <v>1</v>
      </c>
      <c r="T11336">
        <v>0</v>
      </c>
      <c r="U11336">
        <v>0</v>
      </c>
      <c r="V11336">
        <v>0</v>
      </c>
      <c r="W11336">
        <v>1</v>
      </c>
      <c r="X11336">
        <v>0</v>
      </c>
      <c r="Y11336">
        <v>1</v>
      </c>
      <c r="Z11336">
        <v>0</v>
      </c>
      <c r="AA11336">
        <v>1</v>
      </c>
      <c r="AB11336">
        <v>0</v>
      </c>
      <c r="AC11336">
        <v>0</v>
      </c>
      <c r="AD11336">
        <v>1</v>
      </c>
      <c r="AE11336">
        <v>1</v>
      </c>
      <c r="AF11336">
        <v>1</v>
      </c>
      <c r="AG11336">
        <v>1</v>
      </c>
      <c r="AH11336">
        <v>1</v>
      </c>
      <c r="AI11336">
        <v>1</v>
      </c>
      <c r="AJ11336">
        <v>1</v>
      </c>
      <c r="AK11336">
        <v>1</v>
      </c>
      <c r="AL11336">
        <v>1</v>
      </c>
      <c r="AM11336">
        <v>1</v>
      </c>
    </row>
    <row r="11337" spans="1:39" x14ac:dyDescent="0.2">
      <c r="A11337" t="str">
        <f>"11333"</f>
        <v>11333</v>
      </c>
      <c r="B11337" t="str">
        <f t="shared" si="630"/>
        <v>1</v>
      </c>
      <c r="C11337" t="str">
        <f t="shared" ref="C11337:C11354" si="631">"227"</f>
        <v>227</v>
      </c>
      <c r="D11337" t="str">
        <f>"44"</f>
        <v>44</v>
      </c>
      <c r="E11337" t="str">
        <f>"1-227-44"</f>
        <v>1-227-44</v>
      </c>
      <c r="F11337" t="s">
        <v>65</v>
      </c>
      <c r="G11337" t="s">
        <v>66</v>
      </c>
      <c r="H11337" t="s">
        <v>67</v>
      </c>
      <c r="S11337">
        <v>0</v>
      </c>
      <c r="T11337">
        <v>1</v>
      </c>
      <c r="U11337">
        <v>0</v>
      </c>
      <c r="V11337">
        <v>0</v>
      </c>
      <c r="W11337">
        <v>0</v>
      </c>
      <c r="X11337">
        <v>1</v>
      </c>
      <c r="Y11337">
        <v>0</v>
      </c>
      <c r="Z11337">
        <v>1</v>
      </c>
      <c r="AA11337">
        <v>0</v>
      </c>
      <c r="AB11337">
        <v>0</v>
      </c>
      <c r="AC11337">
        <v>1</v>
      </c>
      <c r="AD11337">
        <v>1</v>
      </c>
      <c r="AE11337">
        <v>1</v>
      </c>
      <c r="AF11337">
        <v>1</v>
      </c>
      <c r="AG11337">
        <v>1</v>
      </c>
      <c r="AH11337">
        <v>1</v>
      </c>
      <c r="AI11337">
        <v>1</v>
      </c>
      <c r="AJ11337">
        <v>1</v>
      </c>
      <c r="AK11337">
        <v>1</v>
      </c>
      <c r="AL11337">
        <v>1</v>
      </c>
      <c r="AM11337">
        <v>1</v>
      </c>
    </row>
    <row r="11338" spans="1:39" x14ac:dyDescent="0.2">
      <c r="A11338" t="str">
        <f>"11334"</f>
        <v>11334</v>
      </c>
      <c r="B11338" t="str">
        <f t="shared" si="630"/>
        <v>1</v>
      </c>
      <c r="C11338" t="str">
        <f t="shared" si="631"/>
        <v>227</v>
      </c>
      <c r="D11338" t="str">
        <f>"27"</f>
        <v>27</v>
      </c>
      <c r="E11338" t="str">
        <f>"1-227-27"</f>
        <v>1-227-27</v>
      </c>
      <c r="F11338" t="s">
        <v>65</v>
      </c>
      <c r="G11338" t="s">
        <v>66</v>
      </c>
      <c r="H11338" t="s">
        <v>67</v>
      </c>
      <c r="S11338">
        <v>0</v>
      </c>
      <c r="T11338">
        <v>1</v>
      </c>
      <c r="U11338">
        <v>0</v>
      </c>
      <c r="V11338">
        <v>0</v>
      </c>
      <c r="W11338">
        <v>1</v>
      </c>
      <c r="X11338">
        <v>0</v>
      </c>
      <c r="Y11338">
        <v>1</v>
      </c>
      <c r="Z11338">
        <v>0</v>
      </c>
      <c r="AA11338">
        <v>0</v>
      </c>
      <c r="AB11338">
        <v>1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  <c r="AK11338">
        <v>0</v>
      </c>
      <c r="AL11338">
        <v>0</v>
      </c>
      <c r="AM11338">
        <v>0</v>
      </c>
    </row>
    <row r="11339" spans="1:39" x14ac:dyDescent="0.2">
      <c r="A11339" t="str">
        <f>"11335"</f>
        <v>11335</v>
      </c>
      <c r="B11339" t="str">
        <f t="shared" si="630"/>
        <v>1</v>
      </c>
      <c r="C11339" t="str">
        <f t="shared" si="631"/>
        <v>227</v>
      </c>
      <c r="D11339" t="str">
        <f>"6"</f>
        <v>6</v>
      </c>
      <c r="E11339" t="str">
        <f>"1-227-6"</f>
        <v>1-227-6</v>
      </c>
      <c r="F11339" t="s">
        <v>65</v>
      </c>
      <c r="G11339" t="s">
        <v>66</v>
      </c>
      <c r="H11339" t="s">
        <v>67</v>
      </c>
      <c r="S11339">
        <v>1</v>
      </c>
      <c r="T11339">
        <v>0</v>
      </c>
      <c r="U11339">
        <v>0</v>
      </c>
      <c r="V11339">
        <v>0</v>
      </c>
      <c r="W11339">
        <v>1</v>
      </c>
      <c r="X11339">
        <v>0</v>
      </c>
      <c r="Y11339">
        <v>0</v>
      </c>
      <c r="Z11339">
        <v>1</v>
      </c>
      <c r="AA11339">
        <v>1</v>
      </c>
      <c r="AB11339">
        <v>0</v>
      </c>
      <c r="AC11339">
        <v>0</v>
      </c>
      <c r="AD11339">
        <v>1</v>
      </c>
      <c r="AE11339">
        <v>1</v>
      </c>
      <c r="AF11339">
        <v>1</v>
      </c>
      <c r="AG11339">
        <v>1</v>
      </c>
      <c r="AH11339">
        <v>1</v>
      </c>
      <c r="AI11339">
        <v>1</v>
      </c>
      <c r="AJ11339">
        <v>0</v>
      </c>
      <c r="AK11339">
        <v>1</v>
      </c>
      <c r="AL11339">
        <v>1</v>
      </c>
      <c r="AM11339">
        <v>1</v>
      </c>
    </row>
    <row r="11340" spans="1:39" x14ac:dyDescent="0.2">
      <c r="A11340" t="str">
        <f>"11336"</f>
        <v>11336</v>
      </c>
      <c r="B11340" t="str">
        <f t="shared" si="630"/>
        <v>1</v>
      </c>
      <c r="C11340" t="str">
        <f t="shared" si="631"/>
        <v>227</v>
      </c>
      <c r="D11340" t="str">
        <f>"43"</f>
        <v>43</v>
      </c>
      <c r="E11340" t="str">
        <f>"1-227-43"</f>
        <v>1-227-43</v>
      </c>
      <c r="F11340" t="s">
        <v>65</v>
      </c>
      <c r="G11340" t="s">
        <v>66</v>
      </c>
      <c r="H11340" t="s">
        <v>67</v>
      </c>
      <c r="S11340">
        <v>1</v>
      </c>
      <c r="T11340">
        <v>0</v>
      </c>
      <c r="U11340">
        <v>0</v>
      </c>
      <c r="V11340">
        <v>0</v>
      </c>
      <c r="W11340">
        <v>1</v>
      </c>
      <c r="X11340">
        <v>0</v>
      </c>
      <c r="Y11340">
        <v>1</v>
      </c>
      <c r="Z11340">
        <v>0</v>
      </c>
      <c r="AA11340">
        <v>1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1</v>
      </c>
      <c r="AH11340">
        <v>1</v>
      </c>
      <c r="AI11340">
        <v>1</v>
      </c>
      <c r="AJ11340">
        <v>1</v>
      </c>
      <c r="AK11340">
        <v>1</v>
      </c>
      <c r="AL11340">
        <v>1</v>
      </c>
      <c r="AM11340">
        <v>1</v>
      </c>
    </row>
    <row r="11341" spans="1:39" x14ac:dyDescent="0.2">
      <c r="A11341" t="str">
        <f>"11337"</f>
        <v>11337</v>
      </c>
      <c r="B11341" t="str">
        <f t="shared" si="630"/>
        <v>1</v>
      </c>
      <c r="C11341" t="str">
        <f t="shared" si="631"/>
        <v>227</v>
      </c>
      <c r="D11341" t="str">
        <f>"28"</f>
        <v>28</v>
      </c>
      <c r="E11341" t="str">
        <f>"1-227-28"</f>
        <v>1-227-28</v>
      </c>
      <c r="F11341" t="s">
        <v>65</v>
      </c>
      <c r="G11341" t="s">
        <v>66</v>
      </c>
      <c r="H11341" t="s">
        <v>67</v>
      </c>
      <c r="S11341">
        <v>0</v>
      </c>
      <c r="T11341">
        <v>1</v>
      </c>
      <c r="U11341">
        <v>0</v>
      </c>
      <c r="V11341">
        <v>0</v>
      </c>
      <c r="W11341">
        <v>1</v>
      </c>
      <c r="X11341">
        <v>0</v>
      </c>
      <c r="Y11341">
        <v>1</v>
      </c>
      <c r="Z11341">
        <v>0</v>
      </c>
      <c r="AA11341">
        <v>1</v>
      </c>
      <c r="AB11341">
        <v>0</v>
      </c>
      <c r="AC11341">
        <v>0</v>
      </c>
      <c r="AD11341">
        <v>1</v>
      </c>
      <c r="AE11341">
        <v>1</v>
      </c>
      <c r="AF11341">
        <v>1</v>
      </c>
      <c r="AG11341">
        <v>1</v>
      </c>
      <c r="AH11341">
        <v>1</v>
      </c>
      <c r="AI11341">
        <v>1</v>
      </c>
      <c r="AJ11341">
        <v>1</v>
      </c>
      <c r="AK11341">
        <v>1</v>
      </c>
      <c r="AL11341">
        <v>1</v>
      </c>
      <c r="AM11341">
        <v>1</v>
      </c>
    </row>
    <row r="11342" spans="1:39" x14ac:dyDescent="0.2">
      <c r="A11342" t="str">
        <f>"11338"</f>
        <v>11338</v>
      </c>
      <c r="B11342" t="str">
        <f t="shared" si="630"/>
        <v>1</v>
      </c>
      <c r="C11342" t="str">
        <f t="shared" si="631"/>
        <v>227</v>
      </c>
      <c r="D11342" t="str">
        <f>"5"</f>
        <v>5</v>
      </c>
      <c r="E11342" t="str">
        <f>"1-227-5"</f>
        <v>1-227-5</v>
      </c>
      <c r="F11342" t="s">
        <v>65</v>
      </c>
      <c r="G11342" t="s">
        <v>66</v>
      </c>
      <c r="H11342" t="s">
        <v>67</v>
      </c>
      <c r="S11342">
        <v>1</v>
      </c>
      <c r="T11342">
        <v>0</v>
      </c>
      <c r="U11342">
        <v>0</v>
      </c>
      <c r="V11342">
        <v>0</v>
      </c>
      <c r="W11342">
        <v>1</v>
      </c>
      <c r="X11342">
        <v>0</v>
      </c>
      <c r="Y11342">
        <v>0</v>
      </c>
      <c r="Z11342">
        <v>1</v>
      </c>
      <c r="AA11342">
        <v>0</v>
      </c>
      <c r="AB11342">
        <v>0</v>
      </c>
      <c r="AC11342">
        <v>1</v>
      </c>
      <c r="AD11342">
        <v>1</v>
      </c>
      <c r="AE11342">
        <v>1</v>
      </c>
      <c r="AF11342">
        <v>1</v>
      </c>
      <c r="AG11342">
        <v>1</v>
      </c>
      <c r="AH11342">
        <v>1</v>
      </c>
      <c r="AI11342">
        <v>1</v>
      </c>
      <c r="AJ11342">
        <v>1</v>
      </c>
      <c r="AK11342">
        <v>1</v>
      </c>
      <c r="AL11342">
        <v>1</v>
      </c>
      <c r="AM11342">
        <v>1</v>
      </c>
    </row>
    <row r="11343" spans="1:39" x14ac:dyDescent="0.2">
      <c r="A11343" t="str">
        <f>"11339"</f>
        <v>11339</v>
      </c>
      <c r="B11343" t="str">
        <f t="shared" si="630"/>
        <v>1</v>
      </c>
      <c r="C11343" t="str">
        <f t="shared" si="631"/>
        <v>227</v>
      </c>
      <c r="D11343" t="str">
        <f>"48"</f>
        <v>48</v>
      </c>
      <c r="E11343" t="str">
        <f>"1-227-48"</f>
        <v>1-227-48</v>
      </c>
      <c r="F11343" t="s">
        <v>65</v>
      </c>
      <c r="G11343" t="s">
        <v>66</v>
      </c>
      <c r="H11343" t="s">
        <v>67</v>
      </c>
      <c r="S11343">
        <v>1</v>
      </c>
      <c r="T11343">
        <v>0</v>
      </c>
      <c r="U11343">
        <v>0</v>
      </c>
      <c r="V11343">
        <v>0</v>
      </c>
      <c r="W11343">
        <v>1</v>
      </c>
      <c r="X11343">
        <v>0</v>
      </c>
      <c r="Y11343">
        <v>1</v>
      </c>
      <c r="Z11343">
        <v>0</v>
      </c>
      <c r="AA11343">
        <v>0</v>
      </c>
      <c r="AB11343">
        <v>0</v>
      </c>
      <c r="AC11343">
        <v>1</v>
      </c>
      <c r="AD11343">
        <v>1</v>
      </c>
      <c r="AE11343">
        <v>1</v>
      </c>
      <c r="AF11343">
        <v>1</v>
      </c>
      <c r="AG11343">
        <v>1</v>
      </c>
      <c r="AH11343">
        <v>1</v>
      </c>
      <c r="AI11343">
        <v>1</v>
      </c>
      <c r="AJ11343">
        <v>1</v>
      </c>
      <c r="AK11343">
        <v>1</v>
      </c>
      <c r="AL11343">
        <v>1</v>
      </c>
      <c r="AM11343">
        <v>1</v>
      </c>
    </row>
    <row r="11344" spans="1:39" x14ac:dyDescent="0.2">
      <c r="A11344" t="str">
        <f>"11340"</f>
        <v>11340</v>
      </c>
      <c r="B11344" t="str">
        <f t="shared" si="630"/>
        <v>1</v>
      </c>
      <c r="C11344" t="str">
        <f t="shared" si="631"/>
        <v>227</v>
      </c>
      <c r="D11344" t="str">
        <f>"29"</f>
        <v>29</v>
      </c>
      <c r="E11344" t="str">
        <f>"1-227-29"</f>
        <v>1-227-29</v>
      </c>
      <c r="F11344" t="s">
        <v>65</v>
      </c>
      <c r="G11344" t="s">
        <v>66</v>
      </c>
      <c r="H11344" t="s">
        <v>67</v>
      </c>
      <c r="S11344">
        <v>0</v>
      </c>
      <c r="T11344">
        <v>1</v>
      </c>
      <c r="U11344">
        <v>0</v>
      </c>
      <c r="V11344">
        <v>0</v>
      </c>
      <c r="W11344">
        <v>1</v>
      </c>
      <c r="X11344">
        <v>0</v>
      </c>
      <c r="Y11344">
        <v>1</v>
      </c>
      <c r="Z11344">
        <v>0</v>
      </c>
      <c r="AA11344">
        <v>1</v>
      </c>
      <c r="AB11344">
        <v>0</v>
      </c>
      <c r="AC11344">
        <v>0</v>
      </c>
      <c r="AD11344">
        <v>1</v>
      </c>
      <c r="AE11344">
        <v>1</v>
      </c>
      <c r="AF11344">
        <v>1</v>
      </c>
      <c r="AG11344">
        <v>1</v>
      </c>
      <c r="AH11344">
        <v>1</v>
      </c>
      <c r="AI11344">
        <v>1</v>
      </c>
      <c r="AJ11344">
        <v>1</v>
      </c>
      <c r="AK11344">
        <v>1</v>
      </c>
      <c r="AL11344">
        <v>1</v>
      </c>
      <c r="AM11344">
        <v>1</v>
      </c>
    </row>
    <row r="11345" spans="1:39" x14ac:dyDescent="0.2">
      <c r="A11345" t="str">
        <f>"11341"</f>
        <v>11341</v>
      </c>
      <c r="B11345" t="str">
        <f t="shared" si="630"/>
        <v>1</v>
      </c>
      <c r="C11345" t="str">
        <f t="shared" si="631"/>
        <v>227</v>
      </c>
      <c r="D11345" t="str">
        <f>"11"</f>
        <v>11</v>
      </c>
      <c r="E11345" t="str">
        <f>"1-227-11"</f>
        <v>1-227-11</v>
      </c>
      <c r="F11345" t="s">
        <v>65</v>
      </c>
      <c r="G11345" t="s">
        <v>66</v>
      </c>
      <c r="H11345" t="s">
        <v>67</v>
      </c>
      <c r="S11345">
        <v>1</v>
      </c>
      <c r="T11345">
        <v>0</v>
      </c>
      <c r="U11345">
        <v>0</v>
      </c>
      <c r="V11345">
        <v>0</v>
      </c>
      <c r="W11345">
        <v>1</v>
      </c>
      <c r="X11345">
        <v>0</v>
      </c>
      <c r="Y11345">
        <v>1</v>
      </c>
      <c r="Z11345">
        <v>0</v>
      </c>
      <c r="AA11345">
        <v>1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  <c r="AK11345">
        <v>0</v>
      </c>
      <c r="AL11345">
        <v>0</v>
      </c>
      <c r="AM11345">
        <v>0</v>
      </c>
    </row>
    <row r="11346" spans="1:39" x14ac:dyDescent="0.2">
      <c r="A11346" t="str">
        <f>"11342"</f>
        <v>11342</v>
      </c>
      <c r="B11346" t="str">
        <f t="shared" si="630"/>
        <v>1</v>
      </c>
      <c r="C11346" t="str">
        <f t="shared" si="631"/>
        <v>227</v>
      </c>
      <c r="D11346" t="str">
        <f>"45"</f>
        <v>45</v>
      </c>
      <c r="E11346" t="str">
        <f>"1-227-45"</f>
        <v>1-227-45</v>
      </c>
      <c r="F11346" t="s">
        <v>65</v>
      </c>
      <c r="G11346" t="s">
        <v>66</v>
      </c>
      <c r="H11346" t="s">
        <v>67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1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1</v>
      </c>
      <c r="AH11346">
        <v>1</v>
      </c>
      <c r="AI11346">
        <v>1</v>
      </c>
      <c r="AJ11346">
        <v>1</v>
      </c>
      <c r="AK11346">
        <v>1</v>
      </c>
      <c r="AL11346">
        <v>1</v>
      </c>
      <c r="AM11346">
        <v>0</v>
      </c>
    </row>
    <row r="11347" spans="1:39" x14ac:dyDescent="0.2">
      <c r="A11347" t="str">
        <f>"11343"</f>
        <v>11343</v>
      </c>
      <c r="B11347" t="str">
        <f t="shared" si="630"/>
        <v>1</v>
      </c>
      <c r="C11347" t="str">
        <f t="shared" si="631"/>
        <v>227</v>
      </c>
      <c r="D11347" t="str">
        <f>"30"</f>
        <v>30</v>
      </c>
      <c r="E11347" t="str">
        <f>"1-227-30"</f>
        <v>1-227-30</v>
      </c>
      <c r="F11347" t="s">
        <v>65</v>
      </c>
      <c r="G11347" t="s">
        <v>66</v>
      </c>
      <c r="H11347" t="s">
        <v>67</v>
      </c>
      <c r="S11347">
        <v>0</v>
      </c>
      <c r="T11347">
        <v>1</v>
      </c>
      <c r="U11347">
        <v>0</v>
      </c>
      <c r="V11347">
        <v>0</v>
      </c>
      <c r="W11347">
        <v>1</v>
      </c>
      <c r="X11347">
        <v>0</v>
      </c>
      <c r="Y11347">
        <v>1</v>
      </c>
      <c r="Z11347">
        <v>0</v>
      </c>
      <c r="AA11347">
        <v>1</v>
      </c>
      <c r="AB11347">
        <v>0</v>
      </c>
      <c r="AC11347">
        <v>0</v>
      </c>
      <c r="AD11347">
        <v>1</v>
      </c>
      <c r="AE11347">
        <v>1</v>
      </c>
      <c r="AF11347">
        <v>1</v>
      </c>
      <c r="AG11347">
        <v>1</v>
      </c>
      <c r="AH11347">
        <v>1</v>
      </c>
      <c r="AI11347">
        <v>1</v>
      </c>
      <c r="AJ11347">
        <v>1</v>
      </c>
      <c r="AK11347">
        <v>1</v>
      </c>
      <c r="AL11347">
        <v>1</v>
      </c>
      <c r="AM11347">
        <v>1</v>
      </c>
    </row>
    <row r="11348" spans="1:39" x14ac:dyDescent="0.2">
      <c r="A11348" t="str">
        <f>"11344"</f>
        <v>11344</v>
      </c>
      <c r="B11348" t="str">
        <f t="shared" si="630"/>
        <v>1</v>
      </c>
      <c r="C11348" t="str">
        <f t="shared" si="631"/>
        <v>227</v>
      </c>
      <c r="D11348" t="str">
        <f>"10"</f>
        <v>10</v>
      </c>
      <c r="E11348" t="str">
        <f>"1-227-10"</f>
        <v>1-227-10</v>
      </c>
      <c r="F11348" t="s">
        <v>65</v>
      </c>
      <c r="G11348" t="s">
        <v>66</v>
      </c>
      <c r="H11348" t="s">
        <v>67</v>
      </c>
      <c r="S11348">
        <v>1</v>
      </c>
      <c r="T11348">
        <v>0</v>
      </c>
      <c r="U11348">
        <v>0</v>
      </c>
      <c r="V11348">
        <v>0</v>
      </c>
      <c r="W11348">
        <v>1</v>
      </c>
      <c r="X11348">
        <v>0</v>
      </c>
      <c r="Y11348">
        <v>1</v>
      </c>
      <c r="Z11348">
        <v>0</v>
      </c>
      <c r="AA11348">
        <v>1</v>
      </c>
      <c r="AB11348">
        <v>0</v>
      </c>
      <c r="AC11348">
        <v>0</v>
      </c>
      <c r="AD11348">
        <v>1</v>
      </c>
      <c r="AE11348">
        <v>1</v>
      </c>
      <c r="AF11348">
        <v>1</v>
      </c>
      <c r="AG11348">
        <v>1</v>
      </c>
      <c r="AH11348">
        <v>1</v>
      </c>
      <c r="AI11348">
        <v>1</v>
      </c>
      <c r="AJ11348">
        <v>1</v>
      </c>
      <c r="AK11348">
        <v>1</v>
      </c>
      <c r="AL11348">
        <v>1</v>
      </c>
      <c r="AM11348">
        <v>1</v>
      </c>
    </row>
    <row r="11349" spans="1:39" x14ac:dyDescent="0.2">
      <c r="A11349" t="str">
        <f>"11345"</f>
        <v>11345</v>
      </c>
      <c r="B11349" t="str">
        <f t="shared" si="630"/>
        <v>1</v>
      </c>
      <c r="C11349" t="str">
        <f t="shared" si="631"/>
        <v>227</v>
      </c>
      <c r="D11349" t="str">
        <f>"31"</f>
        <v>31</v>
      </c>
      <c r="E11349" t="str">
        <f>"1-227-31"</f>
        <v>1-227-31</v>
      </c>
      <c r="F11349" t="s">
        <v>65</v>
      </c>
      <c r="G11349" t="s">
        <v>66</v>
      </c>
      <c r="H11349" t="s">
        <v>67</v>
      </c>
      <c r="S11349">
        <v>0</v>
      </c>
      <c r="T11349">
        <v>1</v>
      </c>
      <c r="U11349">
        <v>0</v>
      </c>
      <c r="V11349">
        <v>0</v>
      </c>
      <c r="W11349">
        <v>1</v>
      </c>
      <c r="X11349">
        <v>0</v>
      </c>
      <c r="Y11349">
        <v>1</v>
      </c>
      <c r="Z11349">
        <v>0</v>
      </c>
      <c r="AA11349">
        <v>1</v>
      </c>
      <c r="AB11349">
        <v>0</v>
      </c>
      <c r="AC11349">
        <v>0</v>
      </c>
      <c r="AD11349">
        <v>1</v>
      </c>
      <c r="AE11349">
        <v>1</v>
      </c>
      <c r="AF11349">
        <v>1</v>
      </c>
      <c r="AG11349">
        <v>1</v>
      </c>
      <c r="AH11349">
        <v>1</v>
      </c>
      <c r="AI11349">
        <v>1</v>
      </c>
      <c r="AJ11349">
        <v>1</v>
      </c>
      <c r="AK11349">
        <v>1</v>
      </c>
      <c r="AL11349">
        <v>1</v>
      </c>
      <c r="AM11349">
        <v>1</v>
      </c>
    </row>
    <row r="11350" spans="1:39" x14ac:dyDescent="0.2">
      <c r="A11350" t="str">
        <f>"11346"</f>
        <v>11346</v>
      </c>
      <c r="B11350" t="str">
        <f t="shared" si="630"/>
        <v>1</v>
      </c>
      <c r="C11350" t="str">
        <f t="shared" si="631"/>
        <v>227</v>
      </c>
      <c r="D11350" t="str">
        <f>"7"</f>
        <v>7</v>
      </c>
      <c r="E11350" t="str">
        <f>"1-227-7"</f>
        <v>1-227-7</v>
      </c>
      <c r="F11350" t="s">
        <v>65</v>
      </c>
      <c r="G11350" t="s">
        <v>66</v>
      </c>
      <c r="H11350" t="s">
        <v>67</v>
      </c>
      <c r="S11350">
        <v>0</v>
      </c>
      <c r="T11350">
        <v>1</v>
      </c>
      <c r="U11350">
        <v>0</v>
      </c>
      <c r="V11350">
        <v>0</v>
      </c>
      <c r="W11350">
        <v>1</v>
      </c>
      <c r="X11350">
        <v>0</v>
      </c>
      <c r="Y11350">
        <v>0</v>
      </c>
      <c r="Z11350">
        <v>1</v>
      </c>
      <c r="AA11350">
        <v>0</v>
      </c>
      <c r="AB11350">
        <v>1</v>
      </c>
      <c r="AC11350">
        <v>0</v>
      </c>
      <c r="AD11350">
        <v>0</v>
      </c>
      <c r="AE11350">
        <v>0</v>
      </c>
      <c r="AF11350">
        <v>0</v>
      </c>
      <c r="AG11350">
        <v>1</v>
      </c>
      <c r="AH11350">
        <v>1</v>
      </c>
      <c r="AI11350">
        <v>1</v>
      </c>
      <c r="AJ11350">
        <v>1</v>
      </c>
      <c r="AK11350">
        <v>0</v>
      </c>
      <c r="AL11350">
        <v>1</v>
      </c>
      <c r="AM11350">
        <v>1</v>
      </c>
    </row>
    <row r="11351" spans="1:39" x14ac:dyDescent="0.2">
      <c r="A11351" t="str">
        <f>"11347"</f>
        <v>11347</v>
      </c>
      <c r="B11351" t="str">
        <f t="shared" si="630"/>
        <v>1</v>
      </c>
      <c r="C11351" t="str">
        <f t="shared" si="631"/>
        <v>227</v>
      </c>
      <c r="D11351" t="str">
        <f>"32"</f>
        <v>32</v>
      </c>
      <c r="E11351" t="str">
        <f>"1-227-32"</f>
        <v>1-227-32</v>
      </c>
      <c r="F11351" t="s">
        <v>65</v>
      </c>
      <c r="G11351" t="s">
        <v>66</v>
      </c>
      <c r="H11351" t="s">
        <v>67</v>
      </c>
      <c r="S11351">
        <v>0</v>
      </c>
      <c r="T11351">
        <v>1</v>
      </c>
      <c r="U11351">
        <v>0</v>
      </c>
      <c r="V11351">
        <v>0</v>
      </c>
      <c r="W11351">
        <v>1</v>
      </c>
      <c r="X11351">
        <v>0</v>
      </c>
      <c r="Y11351">
        <v>1</v>
      </c>
      <c r="Z11351">
        <v>0</v>
      </c>
      <c r="AA11351">
        <v>1</v>
      </c>
      <c r="AB11351">
        <v>0</v>
      </c>
      <c r="AC11351">
        <v>0</v>
      </c>
      <c r="AD11351">
        <v>1</v>
      </c>
      <c r="AE11351">
        <v>1</v>
      </c>
      <c r="AF11351">
        <v>1</v>
      </c>
      <c r="AG11351">
        <v>1</v>
      </c>
      <c r="AH11351">
        <v>1</v>
      </c>
      <c r="AI11351">
        <v>1</v>
      </c>
      <c r="AJ11351">
        <v>1</v>
      </c>
      <c r="AK11351">
        <v>1</v>
      </c>
      <c r="AL11351">
        <v>1</v>
      </c>
      <c r="AM11351">
        <v>1</v>
      </c>
    </row>
    <row r="11352" spans="1:39" x14ac:dyDescent="0.2">
      <c r="A11352" t="str">
        <f>"11348"</f>
        <v>11348</v>
      </c>
      <c r="B11352" t="str">
        <f t="shared" si="630"/>
        <v>1</v>
      </c>
      <c r="C11352" t="str">
        <f t="shared" si="631"/>
        <v>227</v>
      </c>
      <c r="D11352" t="str">
        <f>"14"</f>
        <v>14</v>
      </c>
      <c r="E11352" t="str">
        <f>"1-227-14"</f>
        <v>1-227-14</v>
      </c>
      <c r="F11352" t="s">
        <v>65</v>
      </c>
      <c r="G11352" t="s">
        <v>66</v>
      </c>
      <c r="H11352" t="s">
        <v>67</v>
      </c>
      <c r="S11352">
        <v>1</v>
      </c>
      <c r="T11352">
        <v>0</v>
      </c>
      <c r="U11352">
        <v>0</v>
      </c>
      <c r="V11352">
        <v>0</v>
      </c>
      <c r="W11352">
        <v>1</v>
      </c>
      <c r="X11352">
        <v>0</v>
      </c>
      <c r="Y11352">
        <v>0</v>
      </c>
      <c r="Z11352">
        <v>1</v>
      </c>
      <c r="AA11352">
        <v>0</v>
      </c>
      <c r="AB11352">
        <v>0</v>
      </c>
      <c r="AC11352">
        <v>1</v>
      </c>
      <c r="AD11352">
        <v>1</v>
      </c>
      <c r="AE11352">
        <v>1</v>
      </c>
      <c r="AF11352">
        <v>1</v>
      </c>
      <c r="AG11352">
        <v>1</v>
      </c>
      <c r="AH11352">
        <v>1</v>
      </c>
      <c r="AI11352">
        <v>1</v>
      </c>
      <c r="AJ11352">
        <v>1</v>
      </c>
      <c r="AK11352">
        <v>1</v>
      </c>
      <c r="AL11352">
        <v>1</v>
      </c>
      <c r="AM11352">
        <v>1</v>
      </c>
    </row>
    <row r="11353" spans="1:39" x14ac:dyDescent="0.2">
      <c r="A11353" t="str">
        <f>"11349"</f>
        <v>11349</v>
      </c>
      <c r="B11353" t="str">
        <f t="shared" si="630"/>
        <v>1</v>
      </c>
      <c r="C11353" t="str">
        <f t="shared" si="631"/>
        <v>227</v>
      </c>
      <c r="D11353" t="str">
        <f>"49"</f>
        <v>49</v>
      </c>
      <c r="E11353" t="str">
        <f>"1-227-49"</f>
        <v>1-227-49</v>
      </c>
      <c r="F11353" t="s">
        <v>65</v>
      </c>
      <c r="G11353" t="s">
        <v>66</v>
      </c>
      <c r="H11353" t="s">
        <v>67</v>
      </c>
      <c r="S11353">
        <v>1</v>
      </c>
      <c r="T11353">
        <v>0</v>
      </c>
      <c r="U11353">
        <v>0</v>
      </c>
      <c r="V11353">
        <v>0</v>
      </c>
      <c r="W11353">
        <v>1</v>
      </c>
      <c r="X11353">
        <v>0</v>
      </c>
      <c r="Y11353">
        <v>1</v>
      </c>
      <c r="Z11353">
        <v>0</v>
      </c>
      <c r="AA11353">
        <v>0</v>
      </c>
      <c r="AB11353">
        <v>0</v>
      </c>
      <c r="AC11353">
        <v>1</v>
      </c>
      <c r="AD11353">
        <v>1</v>
      </c>
      <c r="AE11353">
        <v>1</v>
      </c>
      <c r="AF11353">
        <v>1</v>
      </c>
      <c r="AG11353">
        <v>1</v>
      </c>
      <c r="AH11353">
        <v>1</v>
      </c>
      <c r="AI11353">
        <v>1</v>
      </c>
      <c r="AJ11353">
        <v>1</v>
      </c>
      <c r="AK11353">
        <v>1</v>
      </c>
      <c r="AL11353">
        <v>1</v>
      </c>
      <c r="AM11353">
        <v>1</v>
      </c>
    </row>
    <row r="11354" spans="1:39" x14ac:dyDescent="0.2">
      <c r="A11354" t="str">
        <f>"11350"</f>
        <v>11350</v>
      </c>
      <c r="B11354" t="str">
        <f t="shared" si="630"/>
        <v>1</v>
      </c>
      <c r="C11354" t="str">
        <f t="shared" si="631"/>
        <v>227</v>
      </c>
      <c r="D11354" t="str">
        <f>"50"</f>
        <v>50</v>
      </c>
      <c r="E11354" t="str">
        <f>"1-227-50"</f>
        <v>1-227-50</v>
      </c>
      <c r="F11354" t="s">
        <v>65</v>
      </c>
      <c r="G11354" t="s">
        <v>66</v>
      </c>
      <c r="H11354" t="s">
        <v>67</v>
      </c>
      <c r="S11354">
        <v>0</v>
      </c>
      <c r="T11354">
        <v>1</v>
      </c>
      <c r="U11354">
        <v>0</v>
      </c>
      <c r="V11354">
        <v>0</v>
      </c>
      <c r="W11354">
        <v>1</v>
      </c>
      <c r="X11354">
        <v>0</v>
      </c>
      <c r="Y11354">
        <v>1</v>
      </c>
      <c r="Z11354">
        <v>0</v>
      </c>
      <c r="AA11354">
        <v>1</v>
      </c>
      <c r="AB11354">
        <v>0</v>
      </c>
      <c r="AC11354">
        <v>0</v>
      </c>
      <c r="AD11354">
        <v>1</v>
      </c>
      <c r="AE11354">
        <v>1</v>
      </c>
      <c r="AF11354">
        <v>1</v>
      </c>
      <c r="AG11354">
        <v>1</v>
      </c>
      <c r="AH11354">
        <v>1</v>
      </c>
      <c r="AI11354">
        <v>1</v>
      </c>
      <c r="AJ11354">
        <v>1</v>
      </c>
      <c r="AK11354">
        <v>1</v>
      </c>
      <c r="AL11354">
        <v>1</v>
      </c>
      <c r="AM11354">
        <v>1</v>
      </c>
    </row>
    <row r="11355" spans="1:39" x14ac:dyDescent="0.2">
      <c r="A11355" t="str">
        <f>"11351"</f>
        <v>11351</v>
      </c>
      <c r="B11355" t="str">
        <f t="shared" si="630"/>
        <v>1</v>
      </c>
      <c r="C11355" t="str">
        <f t="shared" ref="C11355:C11386" si="632">"228"</f>
        <v>228</v>
      </c>
      <c r="D11355" t="str">
        <f>"42"</f>
        <v>42</v>
      </c>
      <c r="E11355" t="str">
        <f>"1-228-42"</f>
        <v>1-228-42</v>
      </c>
      <c r="F11355" t="s">
        <v>65</v>
      </c>
      <c r="G11355" t="s">
        <v>66</v>
      </c>
      <c r="H11355" t="s">
        <v>67</v>
      </c>
      <c r="S11355">
        <v>1</v>
      </c>
      <c r="T11355">
        <v>0</v>
      </c>
      <c r="U11355">
        <v>0</v>
      </c>
      <c r="V11355">
        <v>0</v>
      </c>
      <c r="W11355">
        <v>1</v>
      </c>
      <c r="X11355">
        <v>0</v>
      </c>
      <c r="Y11355">
        <v>1</v>
      </c>
      <c r="Z11355">
        <v>0</v>
      </c>
      <c r="AA11355">
        <v>0</v>
      </c>
      <c r="AB11355">
        <v>1</v>
      </c>
      <c r="AC11355">
        <v>0</v>
      </c>
      <c r="AD11355">
        <v>1</v>
      </c>
      <c r="AE11355">
        <v>1</v>
      </c>
      <c r="AF11355">
        <v>1</v>
      </c>
      <c r="AG11355">
        <v>1</v>
      </c>
      <c r="AH11355">
        <v>1</v>
      </c>
      <c r="AI11355">
        <v>1</v>
      </c>
      <c r="AJ11355">
        <v>1</v>
      </c>
      <c r="AK11355">
        <v>1</v>
      </c>
      <c r="AL11355">
        <v>1</v>
      </c>
      <c r="AM11355">
        <v>1</v>
      </c>
    </row>
    <row r="11356" spans="1:39" x14ac:dyDescent="0.2">
      <c r="A11356" t="str">
        <f>"11352"</f>
        <v>11352</v>
      </c>
      <c r="B11356" t="str">
        <f t="shared" si="630"/>
        <v>1</v>
      </c>
      <c r="C11356" t="str">
        <f t="shared" si="632"/>
        <v>228</v>
      </c>
      <c r="D11356" t="str">
        <f>"41"</f>
        <v>41</v>
      </c>
      <c r="E11356" t="str">
        <f>"1-228-41"</f>
        <v>1-228-41</v>
      </c>
      <c r="F11356" t="s">
        <v>65</v>
      </c>
      <c r="G11356" t="s">
        <v>66</v>
      </c>
      <c r="H11356" t="s">
        <v>67</v>
      </c>
      <c r="S11356">
        <v>1</v>
      </c>
      <c r="T11356">
        <v>0</v>
      </c>
      <c r="U11356">
        <v>0</v>
      </c>
      <c r="V11356">
        <v>0</v>
      </c>
      <c r="W11356">
        <v>0</v>
      </c>
      <c r="X11356">
        <v>1</v>
      </c>
      <c r="Y11356">
        <v>1</v>
      </c>
      <c r="Z11356">
        <v>0</v>
      </c>
      <c r="AA11356">
        <v>0</v>
      </c>
      <c r="AB11356">
        <v>0</v>
      </c>
      <c r="AC11356">
        <v>1</v>
      </c>
      <c r="AD11356">
        <v>1</v>
      </c>
      <c r="AE11356">
        <v>1</v>
      </c>
      <c r="AF11356">
        <v>1</v>
      </c>
      <c r="AG11356">
        <v>1</v>
      </c>
      <c r="AH11356">
        <v>1</v>
      </c>
      <c r="AI11356">
        <v>1</v>
      </c>
      <c r="AJ11356">
        <v>1</v>
      </c>
      <c r="AK11356">
        <v>1</v>
      </c>
      <c r="AL11356">
        <v>1</v>
      </c>
      <c r="AM11356">
        <v>1</v>
      </c>
    </row>
    <row r="11357" spans="1:39" x14ac:dyDescent="0.2">
      <c r="A11357" t="str">
        <f>"11353"</f>
        <v>11353</v>
      </c>
      <c r="B11357" t="str">
        <f t="shared" si="630"/>
        <v>1</v>
      </c>
      <c r="C11357" t="str">
        <f t="shared" si="632"/>
        <v>228</v>
      </c>
      <c r="D11357" t="str">
        <f>"30"</f>
        <v>30</v>
      </c>
      <c r="E11357" t="str">
        <f>"1-228-30"</f>
        <v>1-228-30</v>
      </c>
      <c r="F11357" t="s">
        <v>65</v>
      </c>
      <c r="G11357" t="s">
        <v>66</v>
      </c>
      <c r="H11357" t="s">
        <v>67</v>
      </c>
      <c r="S11357">
        <v>1</v>
      </c>
      <c r="T11357">
        <v>0</v>
      </c>
      <c r="U11357">
        <v>0</v>
      </c>
      <c r="V11357">
        <v>0</v>
      </c>
      <c r="W11357">
        <v>1</v>
      </c>
      <c r="X11357">
        <v>0</v>
      </c>
      <c r="Y11357">
        <v>1</v>
      </c>
      <c r="Z11357">
        <v>0</v>
      </c>
      <c r="AA11357">
        <v>0</v>
      </c>
      <c r="AB11357">
        <v>0</v>
      </c>
      <c r="AC11357">
        <v>1</v>
      </c>
      <c r="AD11357">
        <v>1</v>
      </c>
      <c r="AE11357">
        <v>1</v>
      </c>
      <c r="AF11357">
        <v>1</v>
      </c>
      <c r="AG11357">
        <v>1</v>
      </c>
      <c r="AH11357">
        <v>1</v>
      </c>
      <c r="AI11357">
        <v>1</v>
      </c>
      <c r="AJ11357">
        <v>1</v>
      </c>
      <c r="AK11357">
        <v>1</v>
      </c>
      <c r="AL11357">
        <v>1</v>
      </c>
      <c r="AM11357">
        <v>1</v>
      </c>
    </row>
    <row r="11358" spans="1:39" x14ac:dyDescent="0.2">
      <c r="A11358" t="str">
        <f>"11354"</f>
        <v>11354</v>
      </c>
      <c r="B11358" t="str">
        <f t="shared" si="630"/>
        <v>1</v>
      </c>
      <c r="C11358" t="str">
        <f t="shared" si="632"/>
        <v>228</v>
      </c>
      <c r="D11358" t="str">
        <f>"15"</f>
        <v>15</v>
      </c>
      <c r="E11358" t="str">
        <f>"1-228-15"</f>
        <v>1-228-15</v>
      </c>
      <c r="F11358" t="s">
        <v>65</v>
      </c>
      <c r="G11358" t="s">
        <v>66</v>
      </c>
      <c r="H11358" t="s">
        <v>67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1</v>
      </c>
      <c r="Y11358">
        <v>0</v>
      </c>
      <c r="Z11358">
        <v>1</v>
      </c>
      <c r="AA11358">
        <v>0</v>
      </c>
      <c r="AB11358">
        <v>0</v>
      </c>
      <c r="AC11358">
        <v>1</v>
      </c>
      <c r="AD11358">
        <v>1</v>
      </c>
      <c r="AE11358">
        <v>1</v>
      </c>
      <c r="AF11358">
        <v>1</v>
      </c>
      <c r="AG11358">
        <v>1</v>
      </c>
      <c r="AH11358">
        <v>1</v>
      </c>
      <c r="AI11358">
        <v>1</v>
      </c>
      <c r="AJ11358">
        <v>1</v>
      </c>
      <c r="AK11358">
        <v>1</v>
      </c>
      <c r="AL11358">
        <v>1</v>
      </c>
      <c r="AM11358">
        <v>1</v>
      </c>
    </row>
    <row r="11359" spans="1:39" x14ac:dyDescent="0.2">
      <c r="A11359" t="str">
        <f>"11355"</f>
        <v>11355</v>
      </c>
      <c r="B11359" t="str">
        <f t="shared" si="630"/>
        <v>1</v>
      </c>
      <c r="C11359" t="str">
        <f t="shared" si="632"/>
        <v>228</v>
      </c>
      <c r="D11359" t="str">
        <f>"3"</f>
        <v>3</v>
      </c>
      <c r="E11359" t="str">
        <f>"1-228-3"</f>
        <v>1-228-3</v>
      </c>
      <c r="F11359" t="s">
        <v>65</v>
      </c>
      <c r="G11359" t="s">
        <v>66</v>
      </c>
      <c r="H11359" t="s">
        <v>67</v>
      </c>
      <c r="S11359">
        <v>0</v>
      </c>
      <c r="T11359">
        <v>1</v>
      </c>
      <c r="U11359">
        <v>0</v>
      </c>
      <c r="V11359">
        <v>0</v>
      </c>
      <c r="W11359">
        <v>1</v>
      </c>
      <c r="X11359">
        <v>0</v>
      </c>
      <c r="Y11359">
        <v>0</v>
      </c>
      <c r="Z11359">
        <v>1</v>
      </c>
      <c r="AA11359">
        <v>0</v>
      </c>
      <c r="AB11359">
        <v>0</v>
      </c>
      <c r="AC11359">
        <v>1</v>
      </c>
      <c r="AD11359">
        <v>0</v>
      </c>
      <c r="AE11359">
        <v>0</v>
      </c>
      <c r="AF11359">
        <v>0</v>
      </c>
      <c r="AG11359">
        <v>0</v>
      </c>
      <c r="AH11359">
        <v>0</v>
      </c>
      <c r="AI11359">
        <v>0</v>
      </c>
      <c r="AJ11359">
        <v>0</v>
      </c>
      <c r="AK11359">
        <v>0</v>
      </c>
      <c r="AL11359">
        <v>0</v>
      </c>
      <c r="AM11359">
        <v>0</v>
      </c>
    </row>
    <row r="11360" spans="1:39" x14ac:dyDescent="0.2">
      <c r="A11360" t="str">
        <f>"11356"</f>
        <v>11356</v>
      </c>
      <c r="B11360" t="str">
        <f t="shared" si="630"/>
        <v>1</v>
      </c>
      <c r="C11360" t="str">
        <f t="shared" si="632"/>
        <v>228</v>
      </c>
      <c r="D11360" t="str">
        <f>"40"</f>
        <v>40</v>
      </c>
      <c r="E11360" t="str">
        <f>"1-228-40"</f>
        <v>1-228-40</v>
      </c>
      <c r="F11360" t="s">
        <v>65</v>
      </c>
      <c r="G11360" t="s">
        <v>66</v>
      </c>
      <c r="H11360" t="s">
        <v>67</v>
      </c>
      <c r="S11360">
        <v>1</v>
      </c>
      <c r="T11360">
        <v>0</v>
      </c>
      <c r="U11360">
        <v>0</v>
      </c>
      <c r="V11360">
        <v>0</v>
      </c>
      <c r="W11360">
        <v>1</v>
      </c>
      <c r="X11360">
        <v>0</v>
      </c>
      <c r="Y11360">
        <v>1</v>
      </c>
      <c r="Z11360">
        <v>0</v>
      </c>
      <c r="AA11360">
        <v>1</v>
      </c>
      <c r="AB11360">
        <v>0</v>
      </c>
      <c r="AC11360">
        <v>0</v>
      </c>
      <c r="AD11360">
        <v>1</v>
      </c>
      <c r="AE11360">
        <v>1</v>
      </c>
      <c r="AF11360">
        <v>1</v>
      </c>
      <c r="AG11360">
        <v>1</v>
      </c>
      <c r="AH11360">
        <v>1</v>
      </c>
      <c r="AI11360">
        <v>1</v>
      </c>
      <c r="AJ11360">
        <v>1</v>
      </c>
      <c r="AK11360">
        <v>1</v>
      </c>
      <c r="AL11360">
        <v>1</v>
      </c>
      <c r="AM11360">
        <v>1</v>
      </c>
    </row>
    <row r="11361" spans="1:39" x14ac:dyDescent="0.2">
      <c r="A11361" t="str">
        <f>"11357"</f>
        <v>11357</v>
      </c>
      <c r="B11361" t="str">
        <f t="shared" si="630"/>
        <v>1</v>
      </c>
      <c r="C11361" t="str">
        <f t="shared" si="632"/>
        <v>228</v>
      </c>
      <c r="D11361" t="str">
        <f>"39"</f>
        <v>39</v>
      </c>
      <c r="E11361" t="str">
        <f>"1-228-39"</f>
        <v>1-228-39</v>
      </c>
      <c r="F11361" t="s">
        <v>65</v>
      </c>
      <c r="G11361" t="s">
        <v>66</v>
      </c>
      <c r="H11361" t="s">
        <v>67</v>
      </c>
      <c r="S11361">
        <v>1</v>
      </c>
      <c r="T11361">
        <v>0</v>
      </c>
      <c r="U11361">
        <v>0</v>
      </c>
      <c r="V11361">
        <v>0</v>
      </c>
      <c r="W11361">
        <v>1</v>
      </c>
      <c r="X11361">
        <v>0</v>
      </c>
      <c r="Y11361">
        <v>1</v>
      </c>
      <c r="Z11361">
        <v>0</v>
      </c>
      <c r="AA11361">
        <v>1</v>
      </c>
      <c r="AB11361">
        <v>0</v>
      </c>
      <c r="AC11361">
        <v>0</v>
      </c>
      <c r="AD11361">
        <v>1</v>
      </c>
      <c r="AE11361">
        <v>1</v>
      </c>
      <c r="AF11361">
        <v>1</v>
      </c>
      <c r="AG11361">
        <v>1</v>
      </c>
      <c r="AH11361">
        <v>1</v>
      </c>
      <c r="AI11361">
        <v>1</v>
      </c>
      <c r="AJ11361">
        <v>1</v>
      </c>
      <c r="AK11361">
        <v>1</v>
      </c>
      <c r="AL11361">
        <v>1</v>
      </c>
      <c r="AM11361">
        <v>1</v>
      </c>
    </row>
    <row r="11362" spans="1:39" x14ac:dyDescent="0.2">
      <c r="A11362" t="str">
        <f>"11358"</f>
        <v>11358</v>
      </c>
      <c r="B11362" t="str">
        <f t="shared" si="630"/>
        <v>1</v>
      </c>
      <c r="C11362" t="str">
        <f t="shared" si="632"/>
        <v>228</v>
      </c>
      <c r="D11362" t="str">
        <f>"25"</f>
        <v>25</v>
      </c>
      <c r="E11362" t="str">
        <f>"1-228-25"</f>
        <v>1-228-25</v>
      </c>
      <c r="F11362" t="s">
        <v>65</v>
      </c>
      <c r="G11362" t="s">
        <v>66</v>
      </c>
      <c r="H11362" t="s">
        <v>67</v>
      </c>
      <c r="S11362">
        <v>0</v>
      </c>
      <c r="T11362">
        <v>1</v>
      </c>
      <c r="U11362">
        <v>0</v>
      </c>
      <c r="V11362">
        <v>0</v>
      </c>
      <c r="W11362">
        <v>1</v>
      </c>
      <c r="X11362">
        <v>0</v>
      </c>
      <c r="Y11362">
        <v>1</v>
      </c>
      <c r="Z11362">
        <v>0</v>
      </c>
      <c r="AA11362">
        <v>1</v>
      </c>
      <c r="AB11362">
        <v>0</v>
      </c>
      <c r="AC11362">
        <v>0</v>
      </c>
      <c r="AD11362">
        <v>1</v>
      </c>
      <c r="AE11362">
        <v>1</v>
      </c>
      <c r="AF11362">
        <v>1</v>
      </c>
      <c r="AG11362">
        <v>1</v>
      </c>
      <c r="AH11362">
        <v>1</v>
      </c>
      <c r="AI11362">
        <v>1</v>
      </c>
      <c r="AJ11362">
        <v>1</v>
      </c>
      <c r="AK11362">
        <v>1</v>
      </c>
      <c r="AL11362">
        <v>1</v>
      </c>
      <c r="AM11362">
        <v>1</v>
      </c>
    </row>
    <row r="11363" spans="1:39" x14ac:dyDescent="0.2">
      <c r="A11363" t="str">
        <f>"11359"</f>
        <v>11359</v>
      </c>
      <c r="B11363" t="str">
        <f t="shared" si="630"/>
        <v>1</v>
      </c>
      <c r="C11363" t="str">
        <f t="shared" si="632"/>
        <v>228</v>
      </c>
      <c r="D11363" t="str">
        <f>"16"</f>
        <v>16</v>
      </c>
      <c r="E11363" t="str">
        <f>"1-228-16"</f>
        <v>1-228-16</v>
      </c>
      <c r="F11363" t="s">
        <v>65</v>
      </c>
      <c r="G11363" t="s">
        <v>66</v>
      </c>
      <c r="H11363" t="s">
        <v>67</v>
      </c>
      <c r="S11363">
        <v>0</v>
      </c>
      <c r="T11363">
        <v>1</v>
      </c>
      <c r="U11363">
        <v>0</v>
      </c>
      <c r="V11363">
        <v>0</v>
      </c>
      <c r="W11363">
        <v>1</v>
      </c>
      <c r="X11363">
        <v>0</v>
      </c>
      <c r="Y11363">
        <v>1</v>
      </c>
      <c r="Z11363">
        <v>0</v>
      </c>
      <c r="AA11363">
        <v>0</v>
      </c>
      <c r="AB11363">
        <v>0</v>
      </c>
      <c r="AC11363">
        <v>1</v>
      </c>
      <c r="AD11363">
        <v>1</v>
      </c>
      <c r="AE11363">
        <v>1</v>
      </c>
      <c r="AF11363">
        <v>1</v>
      </c>
      <c r="AG11363">
        <v>1</v>
      </c>
      <c r="AH11363">
        <v>1</v>
      </c>
      <c r="AI11363">
        <v>1</v>
      </c>
      <c r="AJ11363">
        <v>1</v>
      </c>
      <c r="AK11363">
        <v>1</v>
      </c>
      <c r="AL11363">
        <v>1</v>
      </c>
      <c r="AM11363">
        <v>1</v>
      </c>
    </row>
    <row r="11364" spans="1:39" x14ac:dyDescent="0.2">
      <c r="A11364" t="str">
        <f>"11360"</f>
        <v>11360</v>
      </c>
      <c r="B11364" t="str">
        <f t="shared" si="630"/>
        <v>1</v>
      </c>
      <c r="C11364" t="str">
        <f t="shared" si="632"/>
        <v>228</v>
      </c>
      <c r="D11364" t="str">
        <f>"1"</f>
        <v>1</v>
      </c>
      <c r="E11364" t="str">
        <f>"1-228-1"</f>
        <v>1-228-1</v>
      </c>
      <c r="F11364" t="s">
        <v>65</v>
      </c>
      <c r="G11364" t="s">
        <v>66</v>
      </c>
      <c r="H11364" t="s">
        <v>67</v>
      </c>
      <c r="S11364">
        <v>0</v>
      </c>
      <c r="T11364">
        <v>1</v>
      </c>
      <c r="U11364">
        <v>0</v>
      </c>
      <c r="V11364">
        <v>0</v>
      </c>
      <c r="W11364">
        <v>1</v>
      </c>
      <c r="X11364">
        <v>0</v>
      </c>
      <c r="Y11364">
        <v>0</v>
      </c>
      <c r="Z11364">
        <v>1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1</v>
      </c>
      <c r="AH11364">
        <v>1</v>
      </c>
      <c r="AI11364">
        <v>1</v>
      </c>
      <c r="AJ11364">
        <v>1</v>
      </c>
      <c r="AK11364">
        <v>1</v>
      </c>
      <c r="AL11364">
        <v>1</v>
      </c>
      <c r="AM11364">
        <v>1</v>
      </c>
    </row>
    <row r="11365" spans="1:39" x14ac:dyDescent="0.2">
      <c r="A11365" t="str">
        <f>"11361"</f>
        <v>11361</v>
      </c>
      <c r="B11365" t="str">
        <f t="shared" si="630"/>
        <v>1</v>
      </c>
      <c r="C11365" t="str">
        <f t="shared" si="632"/>
        <v>228</v>
      </c>
      <c r="D11365" t="str">
        <f>"38"</f>
        <v>38</v>
      </c>
      <c r="E11365" t="str">
        <f>"1-228-38"</f>
        <v>1-228-38</v>
      </c>
      <c r="F11365" t="s">
        <v>65</v>
      </c>
      <c r="G11365" t="s">
        <v>66</v>
      </c>
      <c r="H11365" t="s">
        <v>67</v>
      </c>
      <c r="S11365">
        <v>0</v>
      </c>
      <c r="T11365">
        <v>1</v>
      </c>
      <c r="U11365">
        <v>0</v>
      </c>
      <c r="V11365">
        <v>0</v>
      </c>
      <c r="W11365">
        <v>1</v>
      </c>
      <c r="X11365">
        <v>0</v>
      </c>
      <c r="Y11365">
        <v>0</v>
      </c>
      <c r="Z11365">
        <v>1</v>
      </c>
      <c r="AA11365">
        <v>0</v>
      </c>
      <c r="AB11365">
        <v>1</v>
      </c>
      <c r="AC11365">
        <v>0</v>
      </c>
      <c r="AD11365">
        <v>1</v>
      </c>
      <c r="AE11365">
        <v>1</v>
      </c>
      <c r="AF11365">
        <v>1</v>
      </c>
      <c r="AG11365">
        <v>1</v>
      </c>
      <c r="AH11365">
        <v>1</v>
      </c>
      <c r="AI11365">
        <v>1</v>
      </c>
      <c r="AJ11365">
        <v>1</v>
      </c>
      <c r="AK11365">
        <v>1</v>
      </c>
      <c r="AL11365">
        <v>1</v>
      </c>
      <c r="AM11365">
        <v>1</v>
      </c>
    </row>
    <row r="11366" spans="1:39" x14ac:dyDescent="0.2">
      <c r="A11366" t="str">
        <f>"11362"</f>
        <v>11362</v>
      </c>
      <c r="B11366" t="str">
        <f t="shared" si="630"/>
        <v>1</v>
      </c>
      <c r="C11366" t="str">
        <f t="shared" si="632"/>
        <v>228</v>
      </c>
      <c r="D11366" t="str">
        <f>"37"</f>
        <v>37</v>
      </c>
      <c r="E11366" t="str">
        <f>"1-228-37"</f>
        <v>1-228-37</v>
      </c>
      <c r="F11366" t="s">
        <v>65</v>
      </c>
      <c r="G11366" t="s">
        <v>66</v>
      </c>
      <c r="H11366" t="s">
        <v>67</v>
      </c>
      <c r="S11366">
        <v>0</v>
      </c>
      <c r="T11366">
        <v>1</v>
      </c>
      <c r="U11366">
        <v>0</v>
      </c>
      <c r="V11366">
        <v>0</v>
      </c>
      <c r="W11366">
        <v>1</v>
      </c>
      <c r="X11366">
        <v>0</v>
      </c>
      <c r="Y11366">
        <v>0</v>
      </c>
      <c r="Z11366">
        <v>1</v>
      </c>
      <c r="AA11366">
        <v>0</v>
      </c>
      <c r="AB11366">
        <v>0</v>
      </c>
      <c r="AC11366">
        <v>1</v>
      </c>
      <c r="AD11366">
        <v>1</v>
      </c>
      <c r="AE11366">
        <v>1</v>
      </c>
      <c r="AF11366">
        <v>1</v>
      </c>
      <c r="AG11366">
        <v>1</v>
      </c>
      <c r="AH11366">
        <v>1</v>
      </c>
      <c r="AI11366">
        <v>1</v>
      </c>
      <c r="AJ11366">
        <v>1</v>
      </c>
      <c r="AK11366">
        <v>1</v>
      </c>
      <c r="AL11366">
        <v>1</v>
      </c>
      <c r="AM11366">
        <v>1</v>
      </c>
    </row>
    <row r="11367" spans="1:39" x14ac:dyDescent="0.2">
      <c r="A11367" t="str">
        <f>"11363"</f>
        <v>11363</v>
      </c>
      <c r="B11367" t="str">
        <f t="shared" si="630"/>
        <v>1</v>
      </c>
      <c r="C11367" t="str">
        <f t="shared" si="632"/>
        <v>228</v>
      </c>
      <c r="D11367" t="str">
        <f>"26"</f>
        <v>26</v>
      </c>
      <c r="E11367" t="str">
        <f>"1-228-26"</f>
        <v>1-228-26</v>
      </c>
      <c r="F11367" t="s">
        <v>65</v>
      </c>
      <c r="G11367" t="s">
        <v>66</v>
      </c>
      <c r="H11367" t="s">
        <v>67</v>
      </c>
      <c r="S11367">
        <v>0</v>
      </c>
      <c r="T11367">
        <v>1</v>
      </c>
      <c r="U11367">
        <v>0</v>
      </c>
      <c r="V11367">
        <v>0</v>
      </c>
      <c r="W11367">
        <v>1</v>
      </c>
      <c r="X11367">
        <v>0</v>
      </c>
      <c r="Y11367">
        <v>0</v>
      </c>
      <c r="Z11367">
        <v>1</v>
      </c>
      <c r="AA11367">
        <v>0</v>
      </c>
      <c r="AB11367">
        <v>0</v>
      </c>
      <c r="AC11367">
        <v>1</v>
      </c>
      <c r="AD11367">
        <v>1</v>
      </c>
      <c r="AE11367">
        <v>1</v>
      </c>
      <c r="AF11367">
        <v>1</v>
      </c>
      <c r="AG11367">
        <v>1</v>
      </c>
      <c r="AH11367">
        <v>1</v>
      </c>
      <c r="AI11367">
        <v>1</v>
      </c>
      <c r="AJ11367">
        <v>1</v>
      </c>
      <c r="AK11367">
        <v>1</v>
      </c>
      <c r="AL11367">
        <v>1</v>
      </c>
      <c r="AM11367">
        <v>1</v>
      </c>
    </row>
    <row r="11368" spans="1:39" x14ac:dyDescent="0.2">
      <c r="A11368" t="str">
        <f>"11364"</f>
        <v>11364</v>
      </c>
      <c r="B11368" t="str">
        <f t="shared" si="630"/>
        <v>1</v>
      </c>
      <c r="C11368" t="str">
        <f t="shared" si="632"/>
        <v>228</v>
      </c>
      <c r="D11368" t="str">
        <f>"17"</f>
        <v>17</v>
      </c>
      <c r="E11368" t="str">
        <f>"1-228-17"</f>
        <v>1-228-17</v>
      </c>
      <c r="F11368" t="s">
        <v>65</v>
      </c>
      <c r="G11368" t="s">
        <v>66</v>
      </c>
      <c r="H11368" t="s">
        <v>67</v>
      </c>
      <c r="S11368">
        <v>1</v>
      </c>
      <c r="T11368">
        <v>0</v>
      </c>
      <c r="U11368">
        <v>0</v>
      </c>
      <c r="V11368">
        <v>0</v>
      </c>
      <c r="W11368">
        <v>1</v>
      </c>
      <c r="X11368">
        <v>0</v>
      </c>
      <c r="Y11368">
        <v>0</v>
      </c>
      <c r="Z11368">
        <v>1</v>
      </c>
      <c r="AA11368">
        <v>0</v>
      </c>
      <c r="AB11368">
        <v>0</v>
      </c>
      <c r="AC11368">
        <v>1</v>
      </c>
      <c r="AD11368">
        <v>0</v>
      </c>
      <c r="AE11368">
        <v>0</v>
      </c>
      <c r="AF11368">
        <v>0</v>
      </c>
      <c r="AG11368">
        <v>0</v>
      </c>
      <c r="AH11368">
        <v>0</v>
      </c>
      <c r="AI11368">
        <v>0</v>
      </c>
      <c r="AJ11368">
        <v>0</v>
      </c>
      <c r="AK11368">
        <v>0</v>
      </c>
      <c r="AL11368">
        <v>1</v>
      </c>
      <c r="AM11368">
        <v>0</v>
      </c>
    </row>
    <row r="11369" spans="1:39" x14ac:dyDescent="0.2">
      <c r="A11369" t="str">
        <f>"11365"</f>
        <v>11365</v>
      </c>
      <c r="B11369" t="str">
        <f t="shared" si="630"/>
        <v>1</v>
      </c>
      <c r="C11369" t="str">
        <f t="shared" si="632"/>
        <v>228</v>
      </c>
      <c r="D11369" t="str">
        <f>"14"</f>
        <v>14</v>
      </c>
      <c r="E11369" t="str">
        <f>"1-228-14"</f>
        <v>1-228-14</v>
      </c>
      <c r="F11369" t="s">
        <v>65</v>
      </c>
      <c r="G11369" t="s">
        <v>66</v>
      </c>
      <c r="H11369" t="s">
        <v>67</v>
      </c>
      <c r="S11369">
        <v>1</v>
      </c>
      <c r="T11369">
        <v>0</v>
      </c>
      <c r="U11369">
        <v>0</v>
      </c>
      <c r="V11369">
        <v>0</v>
      </c>
      <c r="W11369">
        <v>0</v>
      </c>
      <c r="X11369">
        <v>1</v>
      </c>
      <c r="Y11369">
        <v>1</v>
      </c>
      <c r="Z11369">
        <v>0</v>
      </c>
      <c r="AA11369">
        <v>0</v>
      </c>
      <c r="AB11369">
        <v>0</v>
      </c>
      <c r="AC11369">
        <v>1</v>
      </c>
      <c r="AD11369">
        <v>1</v>
      </c>
      <c r="AE11369">
        <v>1</v>
      </c>
      <c r="AF11369">
        <v>1</v>
      </c>
      <c r="AG11369">
        <v>1</v>
      </c>
      <c r="AH11369">
        <v>1</v>
      </c>
      <c r="AI11369">
        <v>1</v>
      </c>
      <c r="AJ11369">
        <v>1</v>
      </c>
      <c r="AK11369">
        <v>1</v>
      </c>
      <c r="AL11369">
        <v>1</v>
      </c>
      <c r="AM11369">
        <v>1</v>
      </c>
    </row>
    <row r="11370" spans="1:39" x14ac:dyDescent="0.2">
      <c r="A11370" t="str">
        <f>"11366"</f>
        <v>11366</v>
      </c>
      <c r="B11370" t="str">
        <f t="shared" si="630"/>
        <v>1</v>
      </c>
      <c r="C11370" t="str">
        <f t="shared" si="632"/>
        <v>228</v>
      </c>
      <c r="D11370" t="str">
        <f>"36"</f>
        <v>36</v>
      </c>
      <c r="E11370" t="str">
        <f>"1-228-36"</f>
        <v>1-228-36</v>
      </c>
      <c r="F11370" t="s">
        <v>65</v>
      </c>
      <c r="G11370" t="s">
        <v>66</v>
      </c>
      <c r="H11370" t="s">
        <v>67</v>
      </c>
      <c r="S11370">
        <v>0</v>
      </c>
      <c r="T11370">
        <v>1</v>
      </c>
      <c r="U11370">
        <v>0</v>
      </c>
      <c r="V11370">
        <v>0</v>
      </c>
      <c r="W11370">
        <v>1</v>
      </c>
      <c r="X11370">
        <v>0</v>
      </c>
      <c r="Y11370">
        <v>1</v>
      </c>
      <c r="Z11370">
        <v>0</v>
      </c>
      <c r="AA11370">
        <v>1</v>
      </c>
      <c r="AB11370">
        <v>0</v>
      </c>
      <c r="AC11370">
        <v>0</v>
      </c>
      <c r="AD11370">
        <v>1</v>
      </c>
      <c r="AE11370">
        <v>1</v>
      </c>
      <c r="AF11370">
        <v>1</v>
      </c>
      <c r="AG11370">
        <v>1</v>
      </c>
      <c r="AH11370">
        <v>1</v>
      </c>
      <c r="AI11370">
        <v>1</v>
      </c>
      <c r="AJ11370">
        <v>1</v>
      </c>
      <c r="AK11370">
        <v>1</v>
      </c>
      <c r="AL11370">
        <v>1</v>
      </c>
      <c r="AM11370">
        <v>1</v>
      </c>
    </row>
    <row r="11371" spans="1:39" x14ac:dyDescent="0.2">
      <c r="A11371" t="str">
        <f>"11367"</f>
        <v>11367</v>
      </c>
      <c r="B11371" t="str">
        <f t="shared" si="630"/>
        <v>1</v>
      </c>
      <c r="C11371" t="str">
        <f t="shared" si="632"/>
        <v>228</v>
      </c>
      <c r="D11371" t="str">
        <f>"35"</f>
        <v>35</v>
      </c>
      <c r="E11371" t="str">
        <f>"1-228-35"</f>
        <v>1-228-35</v>
      </c>
      <c r="F11371" t="s">
        <v>65</v>
      </c>
      <c r="G11371" t="s">
        <v>66</v>
      </c>
      <c r="H11371" t="s">
        <v>67</v>
      </c>
      <c r="S11371">
        <v>0</v>
      </c>
      <c r="T11371">
        <v>1</v>
      </c>
      <c r="U11371">
        <v>0</v>
      </c>
      <c r="V11371">
        <v>0</v>
      </c>
      <c r="W11371">
        <v>1</v>
      </c>
      <c r="X11371">
        <v>0</v>
      </c>
      <c r="Y11371">
        <v>1</v>
      </c>
      <c r="Z11371">
        <v>0</v>
      </c>
      <c r="AA11371">
        <v>1</v>
      </c>
      <c r="AB11371">
        <v>0</v>
      </c>
      <c r="AC11371">
        <v>0</v>
      </c>
      <c r="AD11371">
        <v>1</v>
      </c>
      <c r="AE11371">
        <v>1</v>
      </c>
      <c r="AF11371">
        <v>1</v>
      </c>
      <c r="AG11371">
        <v>1</v>
      </c>
      <c r="AH11371">
        <v>1</v>
      </c>
      <c r="AI11371">
        <v>1</v>
      </c>
      <c r="AJ11371">
        <v>1</v>
      </c>
      <c r="AK11371">
        <v>1</v>
      </c>
      <c r="AL11371">
        <v>1</v>
      </c>
      <c r="AM11371">
        <v>1</v>
      </c>
    </row>
    <row r="11372" spans="1:39" x14ac:dyDescent="0.2">
      <c r="A11372" t="str">
        <f>"11368"</f>
        <v>11368</v>
      </c>
      <c r="B11372" t="str">
        <f t="shared" si="630"/>
        <v>1</v>
      </c>
      <c r="C11372" t="str">
        <f t="shared" si="632"/>
        <v>228</v>
      </c>
      <c r="D11372" t="str">
        <f>"24"</f>
        <v>24</v>
      </c>
      <c r="E11372" t="str">
        <f>"1-228-24"</f>
        <v>1-228-24</v>
      </c>
      <c r="F11372" t="s">
        <v>65</v>
      </c>
      <c r="G11372" t="s">
        <v>66</v>
      </c>
      <c r="H11372" t="s">
        <v>67</v>
      </c>
      <c r="S11372">
        <v>0</v>
      </c>
      <c r="T11372">
        <v>1</v>
      </c>
      <c r="U11372">
        <v>0</v>
      </c>
      <c r="V11372">
        <v>0</v>
      </c>
      <c r="W11372">
        <v>1</v>
      </c>
      <c r="X11372">
        <v>0</v>
      </c>
      <c r="Y11372">
        <v>1</v>
      </c>
      <c r="Z11372">
        <v>0</v>
      </c>
      <c r="AA11372">
        <v>1</v>
      </c>
      <c r="AB11372">
        <v>0</v>
      </c>
      <c r="AC11372">
        <v>0</v>
      </c>
      <c r="AD11372">
        <v>1</v>
      </c>
      <c r="AE11372">
        <v>1</v>
      </c>
      <c r="AF11372">
        <v>1</v>
      </c>
      <c r="AG11372">
        <v>1</v>
      </c>
      <c r="AH11372">
        <v>1</v>
      </c>
      <c r="AI11372">
        <v>1</v>
      </c>
      <c r="AJ11372">
        <v>1</v>
      </c>
      <c r="AK11372">
        <v>1</v>
      </c>
      <c r="AL11372">
        <v>1</v>
      </c>
      <c r="AM11372">
        <v>1</v>
      </c>
    </row>
    <row r="11373" spans="1:39" x14ac:dyDescent="0.2">
      <c r="A11373" t="str">
        <f>"11369"</f>
        <v>11369</v>
      </c>
      <c r="B11373" t="str">
        <f t="shared" si="630"/>
        <v>1</v>
      </c>
      <c r="C11373" t="str">
        <f t="shared" si="632"/>
        <v>228</v>
      </c>
      <c r="D11373" t="str">
        <f>"18"</f>
        <v>18</v>
      </c>
      <c r="E11373" t="str">
        <f>"1-228-18"</f>
        <v>1-228-18</v>
      </c>
      <c r="F11373" t="s">
        <v>65</v>
      </c>
      <c r="G11373" t="s">
        <v>66</v>
      </c>
      <c r="H11373" t="s">
        <v>67</v>
      </c>
      <c r="S11373">
        <v>1</v>
      </c>
      <c r="T11373">
        <v>0</v>
      </c>
      <c r="U11373">
        <v>0</v>
      </c>
      <c r="V11373">
        <v>0</v>
      </c>
      <c r="W11373">
        <v>1</v>
      </c>
      <c r="X11373">
        <v>0</v>
      </c>
      <c r="Y11373">
        <v>0</v>
      </c>
      <c r="Z11373">
        <v>1</v>
      </c>
      <c r="AA11373">
        <v>0</v>
      </c>
      <c r="AB11373">
        <v>0</v>
      </c>
      <c r="AC11373">
        <v>1</v>
      </c>
      <c r="AD11373">
        <v>0</v>
      </c>
      <c r="AE11373">
        <v>0</v>
      </c>
      <c r="AF11373">
        <v>0</v>
      </c>
      <c r="AG11373">
        <v>0</v>
      </c>
      <c r="AH11373">
        <v>0</v>
      </c>
      <c r="AI11373">
        <v>0</v>
      </c>
      <c r="AJ11373">
        <v>0</v>
      </c>
      <c r="AK11373">
        <v>0</v>
      </c>
      <c r="AL11373">
        <v>1</v>
      </c>
      <c r="AM11373">
        <v>0</v>
      </c>
    </row>
    <row r="11374" spans="1:39" x14ac:dyDescent="0.2">
      <c r="A11374" t="str">
        <f>"11370"</f>
        <v>11370</v>
      </c>
      <c r="B11374" t="str">
        <f t="shared" si="630"/>
        <v>1</v>
      </c>
      <c r="C11374" t="str">
        <f t="shared" si="632"/>
        <v>228</v>
      </c>
      <c r="D11374" t="str">
        <f>"2"</f>
        <v>2</v>
      </c>
      <c r="E11374" t="str">
        <f>"1-228-2"</f>
        <v>1-228-2</v>
      </c>
      <c r="F11374" t="s">
        <v>65</v>
      </c>
      <c r="G11374" t="s">
        <v>66</v>
      </c>
      <c r="H11374" t="s">
        <v>67</v>
      </c>
      <c r="S11374">
        <v>0</v>
      </c>
      <c r="T11374">
        <v>0</v>
      </c>
      <c r="U11374">
        <v>0</v>
      </c>
      <c r="V11374">
        <v>0</v>
      </c>
      <c r="W11374">
        <v>1</v>
      </c>
      <c r="X11374">
        <v>0</v>
      </c>
      <c r="Y11374">
        <v>0</v>
      </c>
      <c r="Z11374">
        <v>1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  <c r="AK11374">
        <v>0</v>
      </c>
      <c r="AL11374">
        <v>0</v>
      </c>
      <c r="AM11374">
        <v>0</v>
      </c>
    </row>
    <row r="11375" spans="1:39" x14ac:dyDescent="0.2">
      <c r="A11375" t="str">
        <f>"11371"</f>
        <v>11371</v>
      </c>
      <c r="B11375" t="str">
        <f t="shared" si="630"/>
        <v>1</v>
      </c>
      <c r="C11375" t="str">
        <f t="shared" si="632"/>
        <v>228</v>
      </c>
      <c r="D11375" t="str">
        <f>"33"</f>
        <v>33</v>
      </c>
      <c r="E11375" t="str">
        <f>"1-228-33"</f>
        <v>1-228-33</v>
      </c>
      <c r="F11375" t="s">
        <v>65</v>
      </c>
      <c r="G11375" t="s">
        <v>66</v>
      </c>
      <c r="H11375" t="s">
        <v>67</v>
      </c>
      <c r="S11375">
        <v>1</v>
      </c>
      <c r="T11375">
        <v>0</v>
      </c>
      <c r="U11375">
        <v>0</v>
      </c>
      <c r="V11375">
        <v>0</v>
      </c>
      <c r="W11375">
        <v>1</v>
      </c>
      <c r="X11375">
        <v>0</v>
      </c>
      <c r="Y11375">
        <v>1</v>
      </c>
      <c r="Z11375">
        <v>0</v>
      </c>
      <c r="AA11375">
        <v>0</v>
      </c>
      <c r="AB11375">
        <v>0</v>
      </c>
      <c r="AC11375">
        <v>1</v>
      </c>
      <c r="AD11375">
        <v>1</v>
      </c>
      <c r="AE11375">
        <v>1</v>
      </c>
      <c r="AF11375">
        <v>1</v>
      </c>
      <c r="AG11375">
        <v>1</v>
      </c>
      <c r="AH11375">
        <v>1</v>
      </c>
      <c r="AI11375">
        <v>1</v>
      </c>
      <c r="AJ11375">
        <v>1</v>
      </c>
      <c r="AK11375">
        <v>1</v>
      </c>
      <c r="AL11375">
        <v>1</v>
      </c>
      <c r="AM11375">
        <v>1</v>
      </c>
    </row>
    <row r="11376" spans="1:39" x14ac:dyDescent="0.2">
      <c r="A11376" t="str">
        <f>"11372"</f>
        <v>11372</v>
      </c>
      <c r="B11376" t="str">
        <f t="shared" si="630"/>
        <v>1</v>
      </c>
      <c r="C11376" t="str">
        <f t="shared" si="632"/>
        <v>228</v>
      </c>
      <c r="D11376" t="str">
        <f>"19"</f>
        <v>19</v>
      </c>
      <c r="E11376" t="str">
        <f>"1-228-19"</f>
        <v>1-228-19</v>
      </c>
      <c r="F11376" t="s">
        <v>65</v>
      </c>
      <c r="G11376" t="s">
        <v>66</v>
      </c>
      <c r="H11376" t="s">
        <v>67</v>
      </c>
      <c r="S11376">
        <v>0</v>
      </c>
      <c r="T11376">
        <v>1</v>
      </c>
      <c r="U11376">
        <v>0</v>
      </c>
      <c r="V11376">
        <v>0</v>
      </c>
      <c r="W11376">
        <v>0</v>
      </c>
      <c r="X11376">
        <v>1</v>
      </c>
      <c r="Y11376">
        <v>0</v>
      </c>
      <c r="Z11376">
        <v>1</v>
      </c>
      <c r="AA11376">
        <v>1</v>
      </c>
      <c r="AB11376">
        <v>0</v>
      </c>
      <c r="AC11376">
        <v>0</v>
      </c>
      <c r="AD11376">
        <v>1</v>
      </c>
      <c r="AE11376">
        <v>1</v>
      </c>
      <c r="AF11376">
        <v>1</v>
      </c>
      <c r="AG11376">
        <v>1</v>
      </c>
      <c r="AH11376">
        <v>1</v>
      </c>
      <c r="AI11376">
        <v>1</v>
      </c>
      <c r="AJ11376">
        <v>1</v>
      </c>
      <c r="AK11376">
        <v>1</v>
      </c>
      <c r="AL11376">
        <v>1</v>
      </c>
      <c r="AM11376">
        <v>1</v>
      </c>
    </row>
    <row r="11377" spans="1:39" x14ac:dyDescent="0.2">
      <c r="A11377" t="str">
        <f>"11373"</f>
        <v>11373</v>
      </c>
      <c r="B11377" t="str">
        <f t="shared" si="630"/>
        <v>1</v>
      </c>
      <c r="C11377" t="str">
        <f t="shared" si="632"/>
        <v>228</v>
      </c>
      <c r="D11377" t="str">
        <f>"5"</f>
        <v>5</v>
      </c>
      <c r="E11377" t="str">
        <f>"1-228-5"</f>
        <v>1-228-5</v>
      </c>
      <c r="F11377" t="s">
        <v>65</v>
      </c>
      <c r="G11377" t="s">
        <v>66</v>
      </c>
      <c r="H11377" t="s">
        <v>67</v>
      </c>
      <c r="S11377">
        <v>1</v>
      </c>
      <c r="T11377">
        <v>0</v>
      </c>
      <c r="U11377">
        <v>0</v>
      </c>
      <c r="V11377">
        <v>0</v>
      </c>
      <c r="W11377">
        <v>1</v>
      </c>
      <c r="X11377">
        <v>0</v>
      </c>
      <c r="Y11377">
        <v>0</v>
      </c>
      <c r="Z11377">
        <v>1</v>
      </c>
      <c r="AA11377">
        <v>1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0</v>
      </c>
      <c r="AH11377">
        <v>0</v>
      </c>
      <c r="AI11377">
        <v>0</v>
      </c>
      <c r="AJ11377">
        <v>0</v>
      </c>
      <c r="AK11377">
        <v>0</v>
      </c>
      <c r="AL11377">
        <v>1</v>
      </c>
      <c r="AM11377">
        <v>0</v>
      </c>
    </row>
    <row r="11378" spans="1:39" x14ac:dyDescent="0.2">
      <c r="A11378" t="str">
        <f>"11374"</f>
        <v>11374</v>
      </c>
      <c r="B11378" t="str">
        <f t="shared" si="630"/>
        <v>1</v>
      </c>
      <c r="C11378" t="str">
        <f t="shared" si="632"/>
        <v>228</v>
      </c>
      <c r="D11378" t="str">
        <f>"34"</f>
        <v>34</v>
      </c>
      <c r="E11378" t="str">
        <f>"1-228-34"</f>
        <v>1-228-34</v>
      </c>
      <c r="F11378" t="s">
        <v>65</v>
      </c>
      <c r="G11378" t="s">
        <v>66</v>
      </c>
      <c r="H11378" t="s">
        <v>67</v>
      </c>
      <c r="S11378">
        <v>1</v>
      </c>
      <c r="T11378">
        <v>0</v>
      </c>
      <c r="U11378">
        <v>0</v>
      </c>
      <c r="V11378">
        <v>0</v>
      </c>
      <c r="W11378">
        <v>1</v>
      </c>
      <c r="X11378">
        <v>0</v>
      </c>
      <c r="Y11378">
        <v>0</v>
      </c>
      <c r="Z11378">
        <v>1</v>
      </c>
      <c r="AA11378">
        <v>0</v>
      </c>
      <c r="AB11378">
        <v>1</v>
      </c>
      <c r="AC11378">
        <v>0</v>
      </c>
      <c r="AD11378">
        <v>1</v>
      </c>
      <c r="AE11378">
        <v>1</v>
      </c>
      <c r="AF11378">
        <v>1</v>
      </c>
      <c r="AG11378">
        <v>1</v>
      </c>
      <c r="AH11378">
        <v>1</v>
      </c>
      <c r="AI11378">
        <v>1</v>
      </c>
      <c r="AJ11378">
        <v>1</v>
      </c>
      <c r="AK11378">
        <v>1</v>
      </c>
      <c r="AL11378">
        <v>1</v>
      </c>
      <c r="AM11378">
        <v>1</v>
      </c>
    </row>
    <row r="11379" spans="1:39" x14ac:dyDescent="0.2">
      <c r="A11379" t="str">
        <f>"11375"</f>
        <v>11375</v>
      </c>
      <c r="B11379" t="str">
        <f t="shared" si="630"/>
        <v>1</v>
      </c>
      <c r="C11379" t="str">
        <f t="shared" si="632"/>
        <v>228</v>
      </c>
      <c r="D11379" t="str">
        <f>"20"</f>
        <v>20</v>
      </c>
      <c r="E11379" t="str">
        <f>"1-228-20"</f>
        <v>1-228-20</v>
      </c>
      <c r="F11379" t="s">
        <v>65</v>
      </c>
      <c r="G11379" t="s">
        <v>66</v>
      </c>
      <c r="H11379" t="s">
        <v>67</v>
      </c>
      <c r="S11379">
        <v>1</v>
      </c>
      <c r="T11379">
        <v>0</v>
      </c>
      <c r="U11379">
        <v>0</v>
      </c>
      <c r="V11379">
        <v>0</v>
      </c>
      <c r="W11379">
        <v>1</v>
      </c>
      <c r="X11379">
        <v>0</v>
      </c>
      <c r="Y11379">
        <v>1</v>
      </c>
      <c r="Z11379">
        <v>0</v>
      </c>
      <c r="AA11379">
        <v>1</v>
      </c>
      <c r="AB11379">
        <v>0</v>
      </c>
      <c r="AC11379">
        <v>0</v>
      </c>
      <c r="AD11379">
        <v>1</v>
      </c>
      <c r="AE11379">
        <v>1</v>
      </c>
      <c r="AF11379">
        <v>1</v>
      </c>
      <c r="AG11379">
        <v>1</v>
      </c>
      <c r="AH11379">
        <v>1</v>
      </c>
      <c r="AI11379">
        <v>1</v>
      </c>
      <c r="AJ11379">
        <v>1</v>
      </c>
      <c r="AK11379">
        <v>1</v>
      </c>
      <c r="AL11379">
        <v>1</v>
      </c>
      <c r="AM11379">
        <v>0</v>
      </c>
    </row>
    <row r="11380" spans="1:39" x14ac:dyDescent="0.2">
      <c r="A11380" t="str">
        <f>"11376"</f>
        <v>11376</v>
      </c>
      <c r="B11380" t="str">
        <f t="shared" si="630"/>
        <v>1</v>
      </c>
      <c r="C11380" t="str">
        <f t="shared" si="632"/>
        <v>228</v>
      </c>
      <c r="D11380" t="str">
        <f>"13"</f>
        <v>13</v>
      </c>
      <c r="E11380" t="str">
        <f>"1-228-13"</f>
        <v>1-228-13</v>
      </c>
      <c r="F11380" t="s">
        <v>65</v>
      </c>
      <c r="G11380" t="s">
        <v>66</v>
      </c>
      <c r="H11380" t="s">
        <v>67</v>
      </c>
      <c r="S11380">
        <v>1</v>
      </c>
      <c r="T11380">
        <v>0</v>
      </c>
      <c r="U11380">
        <v>0</v>
      </c>
      <c r="V11380">
        <v>0</v>
      </c>
      <c r="W11380">
        <v>1</v>
      </c>
      <c r="X11380">
        <v>0</v>
      </c>
      <c r="Y11380">
        <v>1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>
        <v>0</v>
      </c>
    </row>
    <row r="11381" spans="1:39" x14ac:dyDescent="0.2">
      <c r="A11381" t="str">
        <f>"11377"</f>
        <v>11377</v>
      </c>
      <c r="B11381" t="str">
        <f t="shared" si="630"/>
        <v>1</v>
      </c>
      <c r="C11381" t="str">
        <f t="shared" si="632"/>
        <v>228</v>
      </c>
      <c r="D11381" t="str">
        <f>"47"</f>
        <v>47</v>
      </c>
      <c r="E11381" t="str">
        <f>"1-228-47"</f>
        <v>1-228-47</v>
      </c>
      <c r="F11381" t="s">
        <v>65</v>
      </c>
      <c r="G11381" t="s">
        <v>66</v>
      </c>
      <c r="H11381" t="s">
        <v>67</v>
      </c>
      <c r="S11381">
        <v>0</v>
      </c>
      <c r="T11381">
        <v>1</v>
      </c>
      <c r="U11381">
        <v>0</v>
      </c>
      <c r="V11381">
        <v>0</v>
      </c>
      <c r="W11381">
        <v>1</v>
      </c>
      <c r="X11381">
        <v>0</v>
      </c>
      <c r="Y11381">
        <v>0</v>
      </c>
      <c r="Z11381">
        <v>1</v>
      </c>
      <c r="AA11381">
        <v>0</v>
      </c>
      <c r="AB11381">
        <v>0</v>
      </c>
      <c r="AC11381">
        <v>1</v>
      </c>
      <c r="AD11381">
        <v>0</v>
      </c>
      <c r="AE11381">
        <v>0</v>
      </c>
      <c r="AF11381">
        <v>0</v>
      </c>
      <c r="AG11381">
        <v>0</v>
      </c>
      <c r="AH11381">
        <v>0</v>
      </c>
      <c r="AI11381">
        <v>0</v>
      </c>
      <c r="AJ11381">
        <v>0</v>
      </c>
      <c r="AK11381">
        <v>0</v>
      </c>
      <c r="AL11381">
        <v>0</v>
      </c>
      <c r="AM11381">
        <v>0</v>
      </c>
    </row>
    <row r="11382" spans="1:39" x14ac:dyDescent="0.2">
      <c r="A11382" t="str">
        <f>"11378"</f>
        <v>11378</v>
      </c>
      <c r="B11382" t="str">
        <f t="shared" si="630"/>
        <v>1</v>
      </c>
      <c r="C11382" t="str">
        <f t="shared" si="632"/>
        <v>228</v>
      </c>
      <c r="D11382" t="str">
        <f>"21"</f>
        <v>21</v>
      </c>
      <c r="E11382" t="str">
        <f>"1-228-21"</f>
        <v>1-228-21</v>
      </c>
      <c r="F11382" t="s">
        <v>65</v>
      </c>
      <c r="G11382" t="s">
        <v>66</v>
      </c>
      <c r="H11382" t="s">
        <v>67</v>
      </c>
      <c r="S11382">
        <v>0</v>
      </c>
      <c r="T11382">
        <v>1</v>
      </c>
      <c r="U11382">
        <v>0</v>
      </c>
      <c r="V11382">
        <v>0</v>
      </c>
      <c r="W11382">
        <v>0</v>
      </c>
      <c r="X11382">
        <v>1</v>
      </c>
      <c r="Y11382">
        <v>1</v>
      </c>
      <c r="Z11382">
        <v>0</v>
      </c>
      <c r="AA11382">
        <v>0</v>
      </c>
      <c r="AB11382">
        <v>0</v>
      </c>
      <c r="AC11382">
        <v>1</v>
      </c>
      <c r="AD11382">
        <v>1</v>
      </c>
      <c r="AE11382">
        <v>1</v>
      </c>
      <c r="AF11382">
        <v>1</v>
      </c>
      <c r="AG11382">
        <v>1</v>
      </c>
      <c r="AH11382">
        <v>1</v>
      </c>
      <c r="AI11382">
        <v>0</v>
      </c>
      <c r="AJ11382">
        <v>1</v>
      </c>
      <c r="AK11382">
        <v>1</v>
      </c>
      <c r="AL11382">
        <v>1</v>
      </c>
      <c r="AM11382">
        <v>1</v>
      </c>
    </row>
    <row r="11383" spans="1:39" x14ac:dyDescent="0.2">
      <c r="A11383" t="str">
        <f>"11379"</f>
        <v>11379</v>
      </c>
      <c r="B11383" t="str">
        <f t="shared" ref="B11383:B11446" si="633">"1"</f>
        <v>1</v>
      </c>
      <c r="C11383" t="str">
        <f t="shared" si="632"/>
        <v>228</v>
      </c>
      <c r="D11383" t="str">
        <f>"10"</f>
        <v>10</v>
      </c>
      <c r="E11383" t="str">
        <f>"1-228-10"</f>
        <v>1-228-10</v>
      </c>
      <c r="F11383" t="s">
        <v>65</v>
      </c>
      <c r="G11383" t="s">
        <v>66</v>
      </c>
      <c r="H11383" t="s">
        <v>67</v>
      </c>
      <c r="S11383">
        <v>1</v>
      </c>
      <c r="T11383">
        <v>0</v>
      </c>
      <c r="U11383">
        <v>0</v>
      </c>
      <c r="V11383">
        <v>0</v>
      </c>
      <c r="W11383">
        <v>1</v>
      </c>
      <c r="X11383">
        <v>0</v>
      </c>
      <c r="Y11383">
        <v>0</v>
      </c>
      <c r="Z11383">
        <v>1</v>
      </c>
      <c r="AA11383">
        <v>0</v>
      </c>
      <c r="AB11383">
        <v>1</v>
      </c>
      <c r="AC11383">
        <v>0</v>
      </c>
      <c r="AD11383">
        <v>1</v>
      </c>
      <c r="AE11383">
        <v>1</v>
      </c>
      <c r="AF11383">
        <v>1</v>
      </c>
      <c r="AG11383">
        <v>1</v>
      </c>
      <c r="AH11383">
        <v>1</v>
      </c>
      <c r="AI11383">
        <v>1</v>
      </c>
      <c r="AJ11383">
        <v>1</v>
      </c>
      <c r="AK11383">
        <v>1</v>
      </c>
      <c r="AL11383">
        <v>1</v>
      </c>
      <c r="AM11383">
        <v>1</v>
      </c>
    </row>
    <row r="11384" spans="1:39" x14ac:dyDescent="0.2">
      <c r="A11384" t="str">
        <f>"11380"</f>
        <v>11380</v>
      </c>
      <c r="B11384" t="str">
        <f t="shared" si="633"/>
        <v>1</v>
      </c>
      <c r="C11384" t="str">
        <f t="shared" si="632"/>
        <v>228</v>
      </c>
      <c r="D11384" t="str">
        <f>"43"</f>
        <v>43</v>
      </c>
      <c r="E11384" t="str">
        <f>"1-228-43"</f>
        <v>1-228-43</v>
      </c>
      <c r="F11384" t="s">
        <v>65</v>
      </c>
      <c r="G11384" t="s">
        <v>66</v>
      </c>
      <c r="H11384" t="s">
        <v>67</v>
      </c>
      <c r="S11384">
        <v>1</v>
      </c>
      <c r="T11384">
        <v>0</v>
      </c>
      <c r="U11384">
        <v>0</v>
      </c>
      <c r="V11384">
        <v>0</v>
      </c>
      <c r="W11384">
        <v>1</v>
      </c>
      <c r="X11384">
        <v>0</v>
      </c>
      <c r="Y11384">
        <v>1</v>
      </c>
      <c r="Z11384">
        <v>0</v>
      </c>
      <c r="AA11384">
        <v>0</v>
      </c>
      <c r="AB11384">
        <v>1</v>
      </c>
      <c r="AC11384">
        <v>0</v>
      </c>
      <c r="AD11384">
        <v>1</v>
      </c>
      <c r="AE11384">
        <v>1</v>
      </c>
      <c r="AF11384">
        <v>1</v>
      </c>
      <c r="AG11384">
        <v>1</v>
      </c>
      <c r="AH11384">
        <v>1</v>
      </c>
      <c r="AI11384">
        <v>1</v>
      </c>
      <c r="AJ11384">
        <v>1</v>
      </c>
      <c r="AK11384">
        <v>1</v>
      </c>
      <c r="AL11384">
        <v>1</v>
      </c>
      <c r="AM11384">
        <v>1</v>
      </c>
    </row>
    <row r="11385" spans="1:39" x14ac:dyDescent="0.2">
      <c r="A11385" t="str">
        <f>"11381"</f>
        <v>11381</v>
      </c>
      <c r="B11385" t="str">
        <f t="shared" si="633"/>
        <v>1</v>
      </c>
      <c r="C11385" t="str">
        <f t="shared" si="632"/>
        <v>228</v>
      </c>
      <c r="D11385" t="str">
        <f>"22"</f>
        <v>22</v>
      </c>
      <c r="E11385" t="str">
        <f>"1-228-22"</f>
        <v>1-228-22</v>
      </c>
      <c r="F11385" t="s">
        <v>65</v>
      </c>
      <c r="G11385" t="s">
        <v>66</v>
      </c>
      <c r="H11385" t="s">
        <v>67</v>
      </c>
      <c r="S11385">
        <v>0</v>
      </c>
      <c r="T11385">
        <v>1</v>
      </c>
      <c r="U11385">
        <v>0</v>
      </c>
      <c r="V11385">
        <v>0</v>
      </c>
      <c r="W11385">
        <v>0</v>
      </c>
      <c r="X11385">
        <v>1</v>
      </c>
      <c r="Y11385">
        <v>1</v>
      </c>
      <c r="Z11385">
        <v>0</v>
      </c>
      <c r="AA11385">
        <v>0</v>
      </c>
      <c r="AB11385">
        <v>0</v>
      </c>
      <c r="AC11385">
        <v>1</v>
      </c>
      <c r="AD11385">
        <v>1</v>
      </c>
      <c r="AE11385">
        <v>1</v>
      </c>
      <c r="AF11385">
        <v>1</v>
      </c>
      <c r="AG11385">
        <v>1</v>
      </c>
      <c r="AH11385">
        <v>1</v>
      </c>
      <c r="AI11385">
        <v>0</v>
      </c>
      <c r="AJ11385">
        <v>1</v>
      </c>
      <c r="AK11385">
        <v>1</v>
      </c>
      <c r="AL11385">
        <v>1</v>
      </c>
      <c r="AM11385">
        <v>1</v>
      </c>
    </row>
    <row r="11386" spans="1:39" x14ac:dyDescent="0.2">
      <c r="A11386" t="str">
        <f>"11382"</f>
        <v>11382</v>
      </c>
      <c r="B11386" t="str">
        <f t="shared" si="633"/>
        <v>1</v>
      </c>
      <c r="C11386" t="str">
        <f t="shared" si="632"/>
        <v>228</v>
      </c>
      <c r="D11386" t="str">
        <f>"4"</f>
        <v>4</v>
      </c>
      <c r="E11386" t="str">
        <f>"1-228-4"</f>
        <v>1-228-4</v>
      </c>
      <c r="F11386" t="s">
        <v>65</v>
      </c>
      <c r="G11386" t="s">
        <v>66</v>
      </c>
      <c r="H11386" t="s">
        <v>67</v>
      </c>
      <c r="S11386">
        <v>1</v>
      </c>
      <c r="T11386">
        <v>0</v>
      </c>
      <c r="U11386">
        <v>0</v>
      </c>
      <c r="V11386">
        <v>0</v>
      </c>
      <c r="W11386">
        <v>1</v>
      </c>
      <c r="X11386">
        <v>0</v>
      </c>
      <c r="Y11386">
        <v>0</v>
      </c>
      <c r="Z11386">
        <v>1</v>
      </c>
      <c r="AA11386">
        <v>1</v>
      </c>
      <c r="AB11386">
        <v>0</v>
      </c>
      <c r="AC11386">
        <v>0</v>
      </c>
      <c r="AD11386">
        <v>1</v>
      </c>
      <c r="AE11386">
        <v>1</v>
      </c>
      <c r="AF11386">
        <v>1</v>
      </c>
      <c r="AG11386">
        <v>1</v>
      </c>
      <c r="AH11386">
        <v>1</v>
      </c>
      <c r="AI11386">
        <v>1</v>
      </c>
      <c r="AJ11386">
        <v>1</v>
      </c>
      <c r="AK11386">
        <v>1</v>
      </c>
      <c r="AL11386">
        <v>1</v>
      </c>
      <c r="AM11386">
        <v>1</v>
      </c>
    </row>
    <row r="11387" spans="1:39" x14ac:dyDescent="0.2">
      <c r="A11387" t="str">
        <f>"11383"</f>
        <v>11383</v>
      </c>
      <c r="B11387" t="str">
        <f t="shared" si="633"/>
        <v>1</v>
      </c>
      <c r="C11387" t="str">
        <f t="shared" ref="C11387:C11404" si="634">"228"</f>
        <v>228</v>
      </c>
      <c r="D11387" t="str">
        <f>"44"</f>
        <v>44</v>
      </c>
      <c r="E11387" t="str">
        <f>"1-228-44"</f>
        <v>1-228-44</v>
      </c>
      <c r="F11387" t="s">
        <v>65</v>
      </c>
      <c r="G11387" t="s">
        <v>66</v>
      </c>
      <c r="H11387" t="s">
        <v>67</v>
      </c>
      <c r="S11387">
        <v>1</v>
      </c>
      <c r="T11387">
        <v>0</v>
      </c>
      <c r="U11387">
        <v>0</v>
      </c>
      <c r="V11387">
        <v>0</v>
      </c>
      <c r="W11387">
        <v>1</v>
      </c>
      <c r="X11387">
        <v>0</v>
      </c>
      <c r="Y11387">
        <v>0</v>
      </c>
      <c r="Z11387">
        <v>1</v>
      </c>
      <c r="AA11387">
        <v>1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0</v>
      </c>
      <c r="AJ11387">
        <v>0</v>
      </c>
      <c r="AK11387">
        <v>0</v>
      </c>
      <c r="AL11387">
        <v>1</v>
      </c>
      <c r="AM11387">
        <v>0</v>
      </c>
    </row>
    <row r="11388" spans="1:39" x14ac:dyDescent="0.2">
      <c r="A11388" t="str">
        <f>"11384"</f>
        <v>11384</v>
      </c>
      <c r="B11388" t="str">
        <f t="shared" si="633"/>
        <v>1</v>
      </c>
      <c r="C11388" t="str">
        <f t="shared" si="634"/>
        <v>228</v>
      </c>
      <c r="D11388" t="str">
        <f>"23"</f>
        <v>23</v>
      </c>
      <c r="E11388" t="str">
        <f>"1-228-23"</f>
        <v>1-228-23</v>
      </c>
      <c r="F11388" t="s">
        <v>65</v>
      </c>
      <c r="G11388" t="s">
        <v>66</v>
      </c>
      <c r="H11388" t="s">
        <v>67</v>
      </c>
      <c r="S11388">
        <v>1</v>
      </c>
      <c r="T11388">
        <v>0</v>
      </c>
      <c r="U11388">
        <v>0</v>
      </c>
      <c r="V11388">
        <v>0</v>
      </c>
      <c r="W11388">
        <v>1</v>
      </c>
      <c r="X11388">
        <v>0</v>
      </c>
      <c r="Y11388">
        <v>1</v>
      </c>
      <c r="Z11388">
        <v>0</v>
      </c>
      <c r="AA11388">
        <v>1</v>
      </c>
      <c r="AB11388">
        <v>0</v>
      </c>
      <c r="AC11388">
        <v>0</v>
      </c>
      <c r="AD11388">
        <v>1</v>
      </c>
      <c r="AE11388">
        <v>1</v>
      </c>
      <c r="AF11388">
        <v>1</v>
      </c>
      <c r="AG11388">
        <v>1</v>
      </c>
      <c r="AH11388">
        <v>1</v>
      </c>
      <c r="AI11388">
        <v>1</v>
      </c>
      <c r="AJ11388">
        <v>1</v>
      </c>
      <c r="AK11388">
        <v>1</v>
      </c>
      <c r="AL11388">
        <v>1</v>
      </c>
      <c r="AM11388">
        <v>1</v>
      </c>
    </row>
    <row r="11389" spans="1:39" x14ac:dyDescent="0.2">
      <c r="A11389" t="str">
        <f>"11385"</f>
        <v>11385</v>
      </c>
      <c r="B11389" t="str">
        <f t="shared" si="633"/>
        <v>1</v>
      </c>
      <c r="C11389" t="str">
        <f t="shared" si="634"/>
        <v>228</v>
      </c>
      <c r="D11389" t="str">
        <f>"7"</f>
        <v>7</v>
      </c>
      <c r="E11389" t="str">
        <f>"1-228-7"</f>
        <v>1-228-7</v>
      </c>
      <c r="F11389" t="s">
        <v>65</v>
      </c>
      <c r="G11389" t="s">
        <v>66</v>
      </c>
      <c r="H11389" t="s">
        <v>67</v>
      </c>
      <c r="S11389">
        <v>1</v>
      </c>
      <c r="T11389">
        <v>0</v>
      </c>
      <c r="U11389">
        <v>0</v>
      </c>
      <c r="V11389">
        <v>0</v>
      </c>
      <c r="W11389">
        <v>1</v>
      </c>
      <c r="X11389">
        <v>0</v>
      </c>
      <c r="Y11389">
        <v>0</v>
      </c>
      <c r="Z11389">
        <v>1</v>
      </c>
      <c r="AA11389">
        <v>0</v>
      </c>
      <c r="AB11389">
        <v>0</v>
      </c>
      <c r="AC11389">
        <v>0</v>
      </c>
      <c r="AD11389">
        <v>1</v>
      </c>
      <c r="AE11389">
        <v>1</v>
      </c>
      <c r="AF11389">
        <v>1</v>
      </c>
      <c r="AG11389">
        <v>1</v>
      </c>
      <c r="AH11389">
        <v>1</v>
      </c>
      <c r="AI11389">
        <v>1</v>
      </c>
      <c r="AJ11389">
        <v>1</v>
      </c>
      <c r="AK11389">
        <v>1</v>
      </c>
      <c r="AL11389">
        <v>1</v>
      </c>
      <c r="AM11389">
        <v>1</v>
      </c>
    </row>
    <row r="11390" spans="1:39" x14ac:dyDescent="0.2">
      <c r="A11390" t="str">
        <f>"11386"</f>
        <v>11386</v>
      </c>
      <c r="B11390" t="str">
        <f t="shared" si="633"/>
        <v>1</v>
      </c>
      <c r="C11390" t="str">
        <f t="shared" si="634"/>
        <v>228</v>
      </c>
      <c r="D11390" t="str">
        <f>"45"</f>
        <v>45</v>
      </c>
      <c r="E11390" t="str">
        <f>"1-228-45"</f>
        <v>1-228-45</v>
      </c>
      <c r="F11390" t="s">
        <v>65</v>
      </c>
      <c r="G11390" t="s">
        <v>66</v>
      </c>
      <c r="H11390" t="s">
        <v>67</v>
      </c>
      <c r="S11390">
        <v>1</v>
      </c>
      <c r="T11390">
        <v>0</v>
      </c>
      <c r="U11390">
        <v>0</v>
      </c>
      <c r="V11390">
        <v>0</v>
      </c>
      <c r="W11390">
        <v>1</v>
      </c>
      <c r="X11390">
        <v>0</v>
      </c>
      <c r="Y11390">
        <v>1</v>
      </c>
      <c r="Z11390">
        <v>0</v>
      </c>
      <c r="AA11390">
        <v>0</v>
      </c>
      <c r="AB11390">
        <v>1</v>
      </c>
      <c r="AC11390">
        <v>0</v>
      </c>
      <c r="AD11390">
        <v>1</v>
      </c>
      <c r="AE11390">
        <v>1</v>
      </c>
      <c r="AF11390">
        <v>1</v>
      </c>
      <c r="AG11390">
        <v>1</v>
      </c>
      <c r="AH11390">
        <v>1</v>
      </c>
      <c r="AI11390">
        <v>1</v>
      </c>
      <c r="AJ11390">
        <v>1</v>
      </c>
      <c r="AK11390">
        <v>1</v>
      </c>
      <c r="AL11390">
        <v>1</v>
      </c>
      <c r="AM11390">
        <v>1</v>
      </c>
    </row>
    <row r="11391" spans="1:39" x14ac:dyDescent="0.2">
      <c r="A11391" t="str">
        <f>"11387"</f>
        <v>11387</v>
      </c>
      <c r="B11391" t="str">
        <f t="shared" si="633"/>
        <v>1</v>
      </c>
      <c r="C11391" t="str">
        <f t="shared" si="634"/>
        <v>228</v>
      </c>
      <c r="D11391" t="str">
        <f>"27"</f>
        <v>27</v>
      </c>
      <c r="E11391" t="str">
        <f>"1-228-27"</f>
        <v>1-228-27</v>
      </c>
      <c r="F11391" t="s">
        <v>65</v>
      </c>
      <c r="G11391" t="s">
        <v>66</v>
      </c>
      <c r="H11391" t="s">
        <v>67</v>
      </c>
      <c r="S11391">
        <v>1</v>
      </c>
      <c r="T11391">
        <v>0</v>
      </c>
      <c r="U11391">
        <v>0</v>
      </c>
      <c r="V11391">
        <v>0</v>
      </c>
      <c r="W11391">
        <v>1</v>
      </c>
      <c r="X11391">
        <v>0</v>
      </c>
      <c r="Y11391">
        <v>0</v>
      </c>
      <c r="Z11391">
        <v>1</v>
      </c>
      <c r="AA11391">
        <v>0</v>
      </c>
      <c r="AB11391">
        <v>0</v>
      </c>
      <c r="AC11391">
        <v>1</v>
      </c>
      <c r="AD11391">
        <v>1</v>
      </c>
      <c r="AE11391">
        <v>1</v>
      </c>
      <c r="AF11391">
        <v>1</v>
      </c>
      <c r="AG11391">
        <v>1</v>
      </c>
      <c r="AH11391">
        <v>1</v>
      </c>
      <c r="AI11391">
        <v>1</v>
      </c>
      <c r="AJ11391">
        <v>1</v>
      </c>
      <c r="AK11391">
        <v>1</v>
      </c>
      <c r="AL11391">
        <v>1</v>
      </c>
      <c r="AM11391">
        <v>1</v>
      </c>
    </row>
    <row r="11392" spans="1:39" x14ac:dyDescent="0.2">
      <c r="A11392" t="str">
        <f>"11388"</f>
        <v>11388</v>
      </c>
      <c r="B11392" t="str">
        <f t="shared" si="633"/>
        <v>1</v>
      </c>
      <c r="C11392" t="str">
        <f t="shared" si="634"/>
        <v>228</v>
      </c>
      <c r="D11392" t="str">
        <f>"9"</f>
        <v>9</v>
      </c>
      <c r="E11392" t="str">
        <f>"1-228-9"</f>
        <v>1-228-9</v>
      </c>
      <c r="F11392" t="s">
        <v>65</v>
      </c>
      <c r="G11392" t="s">
        <v>66</v>
      </c>
      <c r="H11392" t="s">
        <v>67</v>
      </c>
      <c r="S11392">
        <v>0</v>
      </c>
      <c r="T11392">
        <v>1</v>
      </c>
      <c r="U11392">
        <v>0</v>
      </c>
      <c r="V11392">
        <v>0</v>
      </c>
      <c r="W11392">
        <v>0</v>
      </c>
      <c r="X11392">
        <v>1</v>
      </c>
      <c r="Y11392">
        <v>0</v>
      </c>
      <c r="Z11392">
        <v>1</v>
      </c>
      <c r="AA11392">
        <v>0</v>
      </c>
      <c r="AB11392">
        <v>1</v>
      </c>
      <c r="AC11392">
        <v>0</v>
      </c>
      <c r="AD11392">
        <v>1</v>
      </c>
      <c r="AE11392">
        <v>1</v>
      </c>
      <c r="AF11392">
        <v>1</v>
      </c>
      <c r="AG11392">
        <v>1</v>
      </c>
      <c r="AH11392">
        <v>1</v>
      </c>
      <c r="AI11392">
        <v>1</v>
      </c>
      <c r="AJ11392">
        <v>1</v>
      </c>
      <c r="AK11392">
        <v>1</v>
      </c>
      <c r="AL11392">
        <v>1</v>
      </c>
      <c r="AM11392">
        <v>1</v>
      </c>
    </row>
    <row r="11393" spans="1:39" x14ac:dyDescent="0.2">
      <c r="A11393" t="str">
        <f>"11389"</f>
        <v>11389</v>
      </c>
      <c r="B11393" t="str">
        <f t="shared" si="633"/>
        <v>1</v>
      </c>
      <c r="C11393" t="str">
        <f t="shared" si="634"/>
        <v>228</v>
      </c>
      <c r="D11393" t="str">
        <f>"46"</f>
        <v>46</v>
      </c>
      <c r="E11393" t="str">
        <f>"1-228-46"</f>
        <v>1-228-46</v>
      </c>
      <c r="F11393" t="s">
        <v>65</v>
      </c>
      <c r="G11393" t="s">
        <v>66</v>
      </c>
      <c r="H11393" t="s">
        <v>67</v>
      </c>
      <c r="S11393">
        <v>0</v>
      </c>
      <c r="T11393">
        <v>1</v>
      </c>
      <c r="U11393">
        <v>0</v>
      </c>
      <c r="V11393">
        <v>0</v>
      </c>
      <c r="W11393">
        <v>1</v>
      </c>
      <c r="X11393">
        <v>0</v>
      </c>
      <c r="Y11393">
        <v>0</v>
      </c>
      <c r="Z11393">
        <v>1</v>
      </c>
      <c r="AA11393">
        <v>0</v>
      </c>
      <c r="AB11393">
        <v>0</v>
      </c>
      <c r="AC11393">
        <v>1</v>
      </c>
      <c r="AD11393">
        <v>0</v>
      </c>
      <c r="AE11393">
        <v>0</v>
      </c>
      <c r="AF11393">
        <v>0</v>
      </c>
      <c r="AG11393">
        <v>0</v>
      </c>
      <c r="AH11393">
        <v>0</v>
      </c>
      <c r="AI11393">
        <v>0</v>
      </c>
      <c r="AJ11393">
        <v>0</v>
      </c>
      <c r="AK11393">
        <v>0</v>
      </c>
      <c r="AL11393">
        <v>0</v>
      </c>
      <c r="AM11393">
        <v>0</v>
      </c>
    </row>
    <row r="11394" spans="1:39" x14ac:dyDescent="0.2">
      <c r="A11394" t="str">
        <f>"11390"</f>
        <v>11390</v>
      </c>
      <c r="B11394" t="str">
        <f t="shared" si="633"/>
        <v>1</v>
      </c>
      <c r="C11394" t="str">
        <f t="shared" si="634"/>
        <v>228</v>
      </c>
      <c r="D11394" t="str">
        <f>"28"</f>
        <v>28</v>
      </c>
      <c r="E11394" t="str">
        <f>"1-228-28"</f>
        <v>1-228-28</v>
      </c>
      <c r="F11394" t="s">
        <v>65</v>
      </c>
      <c r="G11394" t="s">
        <v>66</v>
      </c>
      <c r="H11394" t="s">
        <v>67</v>
      </c>
      <c r="S11394">
        <v>1</v>
      </c>
      <c r="T11394">
        <v>0</v>
      </c>
      <c r="U11394">
        <v>0</v>
      </c>
      <c r="V11394">
        <v>0</v>
      </c>
      <c r="W11394">
        <v>1</v>
      </c>
      <c r="X11394">
        <v>0</v>
      </c>
      <c r="Y11394">
        <v>0</v>
      </c>
      <c r="Z11394">
        <v>1</v>
      </c>
      <c r="AA11394">
        <v>1</v>
      </c>
      <c r="AB11394">
        <v>0</v>
      </c>
      <c r="AC11394">
        <v>0</v>
      </c>
      <c r="AD11394">
        <v>0</v>
      </c>
      <c r="AE11394">
        <v>0</v>
      </c>
      <c r="AF11394">
        <v>0</v>
      </c>
      <c r="AG11394">
        <v>0</v>
      </c>
      <c r="AH11394">
        <v>0</v>
      </c>
      <c r="AI11394">
        <v>0</v>
      </c>
      <c r="AJ11394">
        <v>0</v>
      </c>
      <c r="AK11394">
        <v>0</v>
      </c>
      <c r="AL11394">
        <v>0</v>
      </c>
      <c r="AM11394">
        <v>0</v>
      </c>
    </row>
    <row r="11395" spans="1:39" x14ac:dyDescent="0.2">
      <c r="A11395" t="str">
        <f>"11391"</f>
        <v>11391</v>
      </c>
      <c r="B11395" t="str">
        <f t="shared" si="633"/>
        <v>1</v>
      </c>
      <c r="C11395" t="str">
        <f t="shared" si="634"/>
        <v>228</v>
      </c>
      <c r="D11395" t="str">
        <f>"12"</f>
        <v>12</v>
      </c>
      <c r="E11395" t="str">
        <f>"1-228-12"</f>
        <v>1-228-12</v>
      </c>
      <c r="F11395" t="s">
        <v>65</v>
      </c>
      <c r="G11395" t="s">
        <v>66</v>
      </c>
      <c r="H11395" t="s">
        <v>67</v>
      </c>
      <c r="S11395">
        <v>0</v>
      </c>
      <c r="T11395">
        <v>0</v>
      </c>
      <c r="U11395">
        <v>0</v>
      </c>
      <c r="V11395">
        <v>0</v>
      </c>
      <c r="W11395">
        <v>1</v>
      </c>
      <c r="X11395">
        <v>0</v>
      </c>
      <c r="Y11395">
        <v>1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</v>
      </c>
      <c r="AF11395">
        <v>0</v>
      </c>
      <c r="AG11395">
        <v>0</v>
      </c>
      <c r="AH11395">
        <v>1</v>
      </c>
      <c r="AI11395">
        <v>0</v>
      </c>
      <c r="AJ11395">
        <v>0</v>
      </c>
      <c r="AK11395">
        <v>0</v>
      </c>
      <c r="AL11395">
        <v>1</v>
      </c>
      <c r="AM11395">
        <v>0</v>
      </c>
    </row>
    <row r="11396" spans="1:39" x14ac:dyDescent="0.2">
      <c r="A11396" t="str">
        <f>"11392"</f>
        <v>11392</v>
      </c>
      <c r="B11396" t="str">
        <f t="shared" si="633"/>
        <v>1</v>
      </c>
      <c r="C11396" t="str">
        <f t="shared" si="634"/>
        <v>228</v>
      </c>
      <c r="D11396" t="str">
        <f>"49"</f>
        <v>49</v>
      </c>
      <c r="E11396" t="str">
        <f>"1-228-49"</f>
        <v>1-228-49</v>
      </c>
      <c r="F11396" t="s">
        <v>65</v>
      </c>
      <c r="G11396" t="s">
        <v>66</v>
      </c>
      <c r="H11396" t="s">
        <v>67</v>
      </c>
      <c r="S11396">
        <v>1</v>
      </c>
      <c r="T11396">
        <v>0</v>
      </c>
      <c r="U11396">
        <v>0</v>
      </c>
      <c r="V11396">
        <v>0</v>
      </c>
      <c r="W11396">
        <v>1</v>
      </c>
      <c r="X11396">
        <v>0</v>
      </c>
      <c r="Y11396">
        <v>1</v>
      </c>
      <c r="Z11396">
        <v>0</v>
      </c>
      <c r="AA11396">
        <v>1</v>
      </c>
      <c r="AB11396">
        <v>0</v>
      </c>
      <c r="AC11396">
        <v>0</v>
      </c>
      <c r="AD11396">
        <v>0</v>
      </c>
      <c r="AE11396">
        <v>0</v>
      </c>
      <c r="AF11396">
        <v>0</v>
      </c>
      <c r="AG11396">
        <v>0</v>
      </c>
      <c r="AH11396">
        <v>0</v>
      </c>
      <c r="AI11396">
        <v>0</v>
      </c>
      <c r="AJ11396">
        <v>0</v>
      </c>
      <c r="AK11396">
        <v>0</v>
      </c>
      <c r="AL11396">
        <v>1</v>
      </c>
      <c r="AM11396">
        <v>0</v>
      </c>
    </row>
    <row r="11397" spans="1:39" x14ac:dyDescent="0.2">
      <c r="A11397" t="str">
        <f>"11393"</f>
        <v>11393</v>
      </c>
      <c r="B11397" t="str">
        <f t="shared" si="633"/>
        <v>1</v>
      </c>
      <c r="C11397" t="str">
        <f t="shared" si="634"/>
        <v>228</v>
      </c>
      <c r="D11397" t="str">
        <f>"29"</f>
        <v>29</v>
      </c>
      <c r="E11397" t="str">
        <f>"1-228-29"</f>
        <v>1-228-29</v>
      </c>
      <c r="F11397" t="s">
        <v>65</v>
      </c>
      <c r="G11397" t="s">
        <v>66</v>
      </c>
      <c r="H11397" t="s">
        <v>67</v>
      </c>
      <c r="S11397">
        <v>1</v>
      </c>
      <c r="T11397">
        <v>0</v>
      </c>
      <c r="U11397">
        <v>0</v>
      </c>
      <c r="V11397">
        <v>0</v>
      </c>
      <c r="W11397">
        <v>1</v>
      </c>
      <c r="X11397">
        <v>0</v>
      </c>
      <c r="Y11397">
        <v>1</v>
      </c>
      <c r="Z11397">
        <v>0</v>
      </c>
      <c r="AA11397">
        <v>0</v>
      </c>
      <c r="AB11397">
        <v>0</v>
      </c>
      <c r="AC11397">
        <v>1</v>
      </c>
      <c r="AD11397">
        <v>1</v>
      </c>
      <c r="AE11397">
        <v>1</v>
      </c>
      <c r="AF11397">
        <v>1</v>
      </c>
      <c r="AG11397">
        <v>1</v>
      </c>
      <c r="AH11397">
        <v>1</v>
      </c>
      <c r="AI11397">
        <v>1</v>
      </c>
      <c r="AJ11397">
        <v>1</v>
      </c>
      <c r="AK11397">
        <v>1</v>
      </c>
      <c r="AL11397">
        <v>1</v>
      </c>
      <c r="AM11397">
        <v>1</v>
      </c>
    </row>
    <row r="11398" spans="1:39" x14ac:dyDescent="0.2">
      <c r="A11398" t="str">
        <f>"11394"</f>
        <v>11394</v>
      </c>
      <c r="B11398" t="str">
        <f t="shared" si="633"/>
        <v>1</v>
      </c>
      <c r="C11398" t="str">
        <f t="shared" si="634"/>
        <v>228</v>
      </c>
      <c r="D11398" t="str">
        <f>"8"</f>
        <v>8</v>
      </c>
      <c r="E11398" t="str">
        <f>"1-228-8"</f>
        <v>1-228-8</v>
      </c>
      <c r="F11398" t="s">
        <v>65</v>
      </c>
      <c r="G11398" t="s">
        <v>66</v>
      </c>
      <c r="H11398" t="s">
        <v>67</v>
      </c>
      <c r="S11398">
        <v>1</v>
      </c>
      <c r="T11398">
        <v>0</v>
      </c>
      <c r="U11398">
        <v>0</v>
      </c>
      <c r="V11398">
        <v>0</v>
      </c>
      <c r="W11398">
        <v>1</v>
      </c>
      <c r="X11398">
        <v>0</v>
      </c>
      <c r="Y11398">
        <v>0</v>
      </c>
      <c r="Z11398">
        <v>1</v>
      </c>
      <c r="AA11398">
        <v>0</v>
      </c>
      <c r="AB11398">
        <v>0</v>
      </c>
      <c r="AC11398">
        <v>0</v>
      </c>
      <c r="AD11398">
        <v>1</v>
      </c>
      <c r="AE11398">
        <v>1</v>
      </c>
      <c r="AF11398">
        <v>1</v>
      </c>
      <c r="AG11398">
        <v>1</v>
      </c>
      <c r="AH11398">
        <v>1</v>
      </c>
      <c r="AI11398">
        <v>1</v>
      </c>
      <c r="AJ11398">
        <v>1</v>
      </c>
      <c r="AK11398">
        <v>1</v>
      </c>
      <c r="AL11398">
        <v>1</v>
      </c>
      <c r="AM11398">
        <v>1</v>
      </c>
    </row>
    <row r="11399" spans="1:39" x14ac:dyDescent="0.2">
      <c r="A11399" t="str">
        <f>"11395"</f>
        <v>11395</v>
      </c>
      <c r="B11399" t="str">
        <f t="shared" si="633"/>
        <v>1</v>
      </c>
      <c r="C11399" t="str">
        <f t="shared" si="634"/>
        <v>228</v>
      </c>
      <c r="D11399" t="str">
        <f>"50"</f>
        <v>50</v>
      </c>
      <c r="E11399" t="str">
        <f>"1-228-50"</f>
        <v>1-228-50</v>
      </c>
      <c r="F11399" t="s">
        <v>65</v>
      </c>
      <c r="G11399" t="s">
        <v>66</v>
      </c>
      <c r="H11399" t="s">
        <v>67</v>
      </c>
      <c r="S11399">
        <v>1</v>
      </c>
      <c r="T11399">
        <v>0</v>
      </c>
      <c r="U11399">
        <v>0</v>
      </c>
      <c r="V11399">
        <v>0</v>
      </c>
      <c r="W11399">
        <v>1</v>
      </c>
      <c r="X11399">
        <v>0</v>
      </c>
      <c r="Y11399">
        <v>1</v>
      </c>
      <c r="Z11399">
        <v>0</v>
      </c>
      <c r="AA11399">
        <v>1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1</v>
      </c>
      <c r="AH11399">
        <v>0</v>
      </c>
      <c r="AI11399">
        <v>1</v>
      </c>
      <c r="AJ11399">
        <v>0</v>
      </c>
      <c r="AK11399">
        <v>0</v>
      </c>
      <c r="AL11399">
        <v>1</v>
      </c>
      <c r="AM11399">
        <v>0</v>
      </c>
    </row>
    <row r="11400" spans="1:39" x14ac:dyDescent="0.2">
      <c r="A11400" t="str">
        <f>"11396"</f>
        <v>11396</v>
      </c>
      <c r="B11400" t="str">
        <f t="shared" si="633"/>
        <v>1</v>
      </c>
      <c r="C11400" t="str">
        <f t="shared" si="634"/>
        <v>228</v>
      </c>
      <c r="D11400" t="str">
        <f>"31"</f>
        <v>31</v>
      </c>
      <c r="E11400" t="str">
        <f>"1-228-31"</f>
        <v>1-228-31</v>
      </c>
      <c r="F11400" t="s">
        <v>65</v>
      </c>
      <c r="G11400" t="s">
        <v>66</v>
      </c>
      <c r="H11400" t="s">
        <v>67</v>
      </c>
      <c r="S11400">
        <v>1</v>
      </c>
      <c r="T11400">
        <v>0</v>
      </c>
      <c r="U11400">
        <v>0</v>
      </c>
      <c r="V11400">
        <v>0</v>
      </c>
      <c r="W11400">
        <v>1</v>
      </c>
      <c r="X11400">
        <v>0</v>
      </c>
      <c r="Y11400">
        <v>0</v>
      </c>
      <c r="Z11400">
        <v>1</v>
      </c>
      <c r="AA11400">
        <v>1</v>
      </c>
      <c r="AB11400">
        <v>0</v>
      </c>
      <c r="AC11400">
        <v>0</v>
      </c>
      <c r="AD11400">
        <v>1</v>
      </c>
      <c r="AE11400">
        <v>1</v>
      </c>
      <c r="AF11400">
        <v>1</v>
      </c>
      <c r="AG11400">
        <v>1</v>
      </c>
      <c r="AH11400">
        <v>1</v>
      </c>
      <c r="AI11400">
        <v>1</v>
      </c>
      <c r="AJ11400">
        <v>1</v>
      </c>
      <c r="AK11400">
        <v>1</v>
      </c>
      <c r="AL11400">
        <v>1</v>
      </c>
      <c r="AM11400">
        <v>1</v>
      </c>
    </row>
    <row r="11401" spans="1:39" x14ac:dyDescent="0.2">
      <c r="A11401" t="str">
        <f>"11397"</f>
        <v>11397</v>
      </c>
      <c r="B11401" t="str">
        <f t="shared" si="633"/>
        <v>1</v>
      </c>
      <c r="C11401" t="str">
        <f t="shared" si="634"/>
        <v>228</v>
      </c>
      <c r="D11401" t="str">
        <f>"11"</f>
        <v>11</v>
      </c>
      <c r="E11401" t="str">
        <f>"1-228-11"</f>
        <v>1-228-11</v>
      </c>
      <c r="F11401" t="s">
        <v>65</v>
      </c>
      <c r="G11401" t="s">
        <v>66</v>
      </c>
      <c r="H11401" t="s">
        <v>67</v>
      </c>
      <c r="S11401">
        <v>0</v>
      </c>
      <c r="T11401">
        <v>0</v>
      </c>
      <c r="U11401">
        <v>0</v>
      </c>
      <c r="V11401">
        <v>0</v>
      </c>
      <c r="W11401">
        <v>1</v>
      </c>
      <c r="X11401">
        <v>0</v>
      </c>
      <c r="Y11401">
        <v>1</v>
      </c>
      <c r="Z11401">
        <v>0</v>
      </c>
      <c r="AA11401">
        <v>0</v>
      </c>
      <c r="AB11401">
        <v>0</v>
      </c>
      <c r="AC11401">
        <v>1</v>
      </c>
      <c r="AD11401">
        <v>0</v>
      </c>
      <c r="AE11401">
        <v>0</v>
      </c>
      <c r="AF11401">
        <v>0</v>
      </c>
      <c r="AG11401">
        <v>1</v>
      </c>
      <c r="AH11401">
        <v>1</v>
      </c>
      <c r="AI11401">
        <v>1</v>
      </c>
      <c r="AJ11401">
        <v>1</v>
      </c>
      <c r="AK11401">
        <v>1</v>
      </c>
      <c r="AL11401">
        <v>1</v>
      </c>
      <c r="AM11401">
        <v>0</v>
      </c>
    </row>
    <row r="11402" spans="1:39" x14ac:dyDescent="0.2">
      <c r="A11402" t="str">
        <f>"11398"</f>
        <v>11398</v>
      </c>
      <c r="B11402" t="str">
        <f t="shared" si="633"/>
        <v>1</v>
      </c>
      <c r="C11402" t="str">
        <f t="shared" si="634"/>
        <v>228</v>
      </c>
      <c r="D11402" t="str">
        <f>"48"</f>
        <v>48</v>
      </c>
      <c r="E11402" t="str">
        <f>"1-228-48"</f>
        <v>1-228-48</v>
      </c>
      <c r="F11402" t="s">
        <v>65</v>
      </c>
      <c r="G11402" t="s">
        <v>66</v>
      </c>
      <c r="H11402" t="s">
        <v>67</v>
      </c>
      <c r="S11402">
        <v>1</v>
      </c>
      <c r="T11402">
        <v>0</v>
      </c>
      <c r="U11402">
        <v>0</v>
      </c>
      <c r="V11402">
        <v>0</v>
      </c>
      <c r="W11402">
        <v>1</v>
      </c>
      <c r="X11402">
        <v>0</v>
      </c>
      <c r="Y11402">
        <v>1</v>
      </c>
      <c r="Z11402">
        <v>0</v>
      </c>
      <c r="AA11402">
        <v>0</v>
      </c>
      <c r="AB11402">
        <v>0</v>
      </c>
      <c r="AC11402">
        <v>1</v>
      </c>
      <c r="AD11402">
        <v>0</v>
      </c>
      <c r="AE11402">
        <v>0</v>
      </c>
      <c r="AF11402">
        <v>0</v>
      </c>
      <c r="AG11402">
        <v>1</v>
      </c>
      <c r="AH11402">
        <v>1</v>
      </c>
      <c r="AI11402">
        <v>1</v>
      </c>
      <c r="AJ11402">
        <v>1</v>
      </c>
      <c r="AK11402">
        <v>0</v>
      </c>
      <c r="AL11402">
        <v>1</v>
      </c>
      <c r="AM11402">
        <v>0</v>
      </c>
    </row>
    <row r="11403" spans="1:39" x14ac:dyDescent="0.2">
      <c r="A11403" t="str">
        <f>"11399"</f>
        <v>11399</v>
      </c>
      <c r="B11403" t="str">
        <f t="shared" si="633"/>
        <v>1</v>
      </c>
      <c r="C11403" t="str">
        <f t="shared" si="634"/>
        <v>228</v>
      </c>
      <c r="D11403" t="str">
        <f>"32"</f>
        <v>32</v>
      </c>
      <c r="E11403" t="str">
        <f>"1-228-32"</f>
        <v>1-228-32</v>
      </c>
      <c r="F11403" t="s">
        <v>65</v>
      </c>
      <c r="G11403" t="s">
        <v>66</v>
      </c>
      <c r="H11403" t="s">
        <v>67</v>
      </c>
      <c r="S11403">
        <v>1</v>
      </c>
      <c r="T11403">
        <v>0</v>
      </c>
      <c r="U11403">
        <v>0</v>
      </c>
      <c r="V11403">
        <v>0</v>
      </c>
      <c r="W11403">
        <v>1</v>
      </c>
      <c r="X11403">
        <v>0</v>
      </c>
      <c r="Y11403">
        <v>1</v>
      </c>
      <c r="Z11403">
        <v>0</v>
      </c>
      <c r="AA11403">
        <v>0</v>
      </c>
      <c r="AB11403">
        <v>0</v>
      </c>
      <c r="AC11403">
        <v>1</v>
      </c>
      <c r="AD11403">
        <v>1</v>
      </c>
      <c r="AE11403">
        <v>1</v>
      </c>
      <c r="AF11403">
        <v>1</v>
      </c>
      <c r="AG11403">
        <v>1</v>
      </c>
      <c r="AH11403">
        <v>1</v>
      </c>
      <c r="AI11403">
        <v>1</v>
      </c>
      <c r="AJ11403">
        <v>1</v>
      </c>
      <c r="AK11403">
        <v>1</v>
      </c>
      <c r="AL11403">
        <v>1</v>
      </c>
      <c r="AM11403">
        <v>1</v>
      </c>
    </row>
    <row r="11404" spans="1:39" x14ac:dyDescent="0.2">
      <c r="A11404" t="str">
        <f>"11400"</f>
        <v>11400</v>
      </c>
      <c r="B11404" t="str">
        <f t="shared" si="633"/>
        <v>1</v>
      </c>
      <c r="C11404" t="str">
        <f t="shared" si="634"/>
        <v>228</v>
      </c>
      <c r="D11404" t="str">
        <f>"6"</f>
        <v>6</v>
      </c>
      <c r="E11404" t="str">
        <f>"1-228-6"</f>
        <v>1-228-6</v>
      </c>
      <c r="F11404" t="s">
        <v>65</v>
      </c>
      <c r="G11404" t="s">
        <v>66</v>
      </c>
      <c r="H11404" t="s">
        <v>67</v>
      </c>
      <c r="S11404">
        <v>1</v>
      </c>
      <c r="T11404">
        <v>0</v>
      </c>
      <c r="U11404">
        <v>0</v>
      </c>
      <c r="V11404">
        <v>0</v>
      </c>
      <c r="W11404">
        <v>1</v>
      </c>
      <c r="X11404">
        <v>0</v>
      </c>
      <c r="Y11404">
        <v>1</v>
      </c>
      <c r="Z11404">
        <v>0</v>
      </c>
      <c r="AA11404">
        <v>0</v>
      </c>
      <c r="AB11404">
        <v>1</v>
      </c>
      <c r="AC11404">
        <v>0</v>
      </c>
      <c r="AD11404">
        <v>0</v>
      </c>
      <c r="AE11404">
        <v>0</v>
      </c>
      <c r="AF11404">
        <v>0</v>
      </c>
      <c r="AG11404">
        <v>0</v>
      </c>
      <c r="AH11404">
        <v>1</v>
      </c>
      <c r="AI11404">
        <v>0</v>
      </c>
      <c r="AJ11404">
        <v>0</v>
      </c>
      <c r="AK11404">
        <v>0</v>
      </c>
      <c r="AL11404">
        <v>1</v>
      </c>
      <c r="AM11404">
        <v>0</v>
      </c>
    </row>
    <row r="11405" spans="1:39" x14ac:dyDescent="0.2">
      <c r="A11405" t="str">
        <f>"11401"</f>
        <v>11401</v>
      </c>
      <c r="B11405" t="str">
        <f t="shared" si="633"/>
        <v>1</v>
      </c>
      <c r="C11405" t="str">
        <f t="shared" ref="C11405:C11436" si="635">"229"</f>
        <v>229</v>
      </c>
      <c r="D11405" t="str">
        <f>"42"</f>
        <v>42</v>
      </c>
      <c r="E11405" t="str">
        <f>"1-229-42"</f>
        <v>1-229-42</v>
      </c>
      <c r="F11405" t="s">
        <v>65</v>
      </c>
      <c r="G11405" t="s">
        <v>66</v>
      </c>
      <c r="H11405" t="s">
        <v>67</v>
      </c>
      <c r="S11405">
        <v>1</v>
      </c>
      <c r="T11405">
        <v>0</v>
      </c>
      <c r="U11405">
        <v>0</v>
      </c>
      <c r="V11405">
        <v>0</v>
      </c>
      <c r="W11405">
        <v>1</v>
      </c>
      <c r="X11405">
        <v>0</v>
      </c>
      <c r="Y11405">
        <v>1</v>
      </c>
      <c r="Z11405">
        <v>0</v>
      </c>
      <c r="AA11405">
        <v>0</v>
      </c>
      <c r="AB11405">
        <v>1</v>
      </c>
      <c r="AC11405">
        <v>0</v>
      </c>
      <c r="AD11405">
        <v>1</v>
      </c>
      <c r="AE11405">
        <v>1</v>
      </c>
      <c r="AF11405">
        <v>1</v>
      </c>
      <c r="AG11405">
        <v>1</v>
      </c>
      <c r="AH11405">
        <v>1</v>
      </c>
      <c r="AI11405">
        <v>1</v>
      </c>
      <c r="AJ11405">
        <v>1</v>
      </c>
      <c r="AK11405">
        <v>1</v>
      </c>
      <c r="AL11405">
        <v>1</v>
      </c>
      <c r="AM11405">
        <v>1</v>
      </c>
    </row>
    <row r="11406" spans="1:39" x14ac:dyDescent="0.2">
      <c r="A11406" t="str">
        <f>"11402"</f>
        <v>11402</v>
      </c>
      <c r="B11406" t="str">
        <f t="shared" si="633"/>
        <v>1</v>
      </c>
      <c r="C11406" t="str">
        <f t="shared" si="635"/>
        <v>229</v>
      </c>
      <c r="D11406" t="str">
        <f>"41"</f>
        <v>41</v>
      </c>
      <c r="E11406" t="str">
        <f>"1-229-41"</f>
        <v>1-229-41</v>
      </c>
      <c r="F11406" t="s">
        <v>65</v>
      </c>
      <c r="G11406" t="s">
        <v>66</v>
      </c>
      <c r="H11406" t="s">
        <v>67</v>
      </c>
      <c r="S11406">
        <v>0</v>
      </c>
      <c r="T11406">
        <v>1</v>
      </c>
      <c r="U11406">
        <v>0</v>
      </c>
      <c r="V11406">
        <v>0</v>
      </c>
      <c r="W11406">
        <v>1</v>
      </c>
      <c r="X11406">
        <v>0</v>
      </c>
      <c r="Y11406">
        <v>1</v>
      </c>
      <c r="Z11406">
        <v>0</v>
      </c>
      <c r="AA11406">
        <v>1</v>
      </c>
      <c r="AB11406">
        <v>0</v>
      </c>
      <c r="AC11406">
        <v>0</v>
      </c>
      <c r="AD11406">
        <v>1</v>
      </c>
      <c r="AE11406">
        <v>1</v>
      </c>
      <c r="AF11406">
        <v>1</v>
      </c>
      <c r="AG11406">
        <v>1</v>
      </c>
      <c r="AH11406">
        <v>1</v>
      </c>
      <c r="AI11406">
        <v>1</v>
      </c>
      <c r="AJ11406">
        <v>1</v>
      </c>
      <c r="AK11406">
        <v>1</v>
      </c>
      <c r="AL11406">
        <v>1</v>
      </c>
      <c r="AM11406">
        <v>1</v>
      </c>
    </row>
    <row r="11407" spans="1:39" x14ac:dyDescent="0.2">
      <c r="A11407" t="str">
        <f>"11403"</f>
        <v>11403</v>
      </c>
      <c r="B11407" t="str">
        <f t="shared" si="633"/>
        <v>1</v>
      </c>
      <c r="C11407" t="str">
        <f t="shared" si="635"/>
        <v>229</v>
      </c>
      <c r="D11407" t="str">
        <f>"23"</f>
        <v>23</v>
      </c>
      <c r="E11407" t="str">
        <f>"1-229-23"</f>
        <v>1-229-23</v>
      </c>
      <c r="F11407" t="s">
        <v>65</v>
      </c>
      <c r="G11407" t="s">
        <v>66</v>
      </c>
      <c r="H11407" t="s">
        <v>67</v>
      </c>
      <c r="S11407">
        <v>1</v>
      </c>
      <c r="T11407">
        <v>0</v>
      </c>
      <c r="U11407">
        <v>0</v>
      </c>
      <c r="V11407">
        <v>0</v>
      </c>
      <c r="W11407">
        <v>1</v>
      </c>
      <c r="X11407">
        <v>0</v>
      </c>
      <c r="Y11407">
        <v>1</v>
      </c>
      <c r="Z11407">
        <v>0</v>
      </c>
      <c r="AA11407">
        <v>1</v>
      </c>
      <c r="AB11407">
        <v>0</v>
      </c>
      <c r="AC11407">
        <v>0</v>
      </c>
      <c r="AD11407">
        <v>1</v>
      </c>
      <c r="AE11407">
        <v>1</v>
      </c>
      <c r="AF11407">
        <v>1</v>
      </c>
      <c r="AG11407">
        <v>1</v>
      </c>
      <c r="AH11407">
        <v>1</v>
      </c>
      <c r="AI11407">
        <v>1</v>
      </c>
      <c r="AJ11407">
        <v>1</v>
      </c>
      <c r="AK11407">
        <v>1</v>
      </c>
      <c r="AL11407">
        <v>1</v>
      </c>
      <c r="AM11407">
        <v>1</v>
      </c>
    </row>
    <row r="11408" spans="1:39" x14ac:dyDescent="0.2">
      <c r="A11408" t="str">
        <f>"11404"</f>
        <v>11404</v>
      </c>
      <c r="B11408" t="str">
        <f t="shared" si="633"/>
        <v>1</v>
      </c>
      <c r="C11408" t="str">
        <f t="shared" si="635"/>
        <v>229</v>
      </c>
      <c r="D11408" t="str">
        <f>"22"</f>
        <v>22</v>
      </c>
      <c r="E11408" t="str">
        <f>"1-229-22"</f>
        <v>1-229-22</v>
      </c>
      <c r="F11408" t="s">
        <v>65</v>
      </c>
      <c r="G11408" t="s">
        <v>66</v>
      </c>
      <c r="H11408" t="s">
        <v>67</v>
      </c>
      <c r="S11408">
        <v>1</v>
      </c>
      <c r="T11408">
        <v>0</v>
      </c>
      <c r="U11408">
        <v>0</v>
      </c>
      <c r="V11408">
        <v>0</v>
      </c>
      <c r="W11408">
        <v>0</v>
      </c>
      <c r="X11408">
        <v>1</v>
      </c>
      <c r="Y11408">
        <v>0</v>
      </c>
      <c r="Z11408">
        <v>1</v>
      </c>
      <c r="AA11408">
        <v>0</v>
      </c>
      <c r="AB11408">
        <v>0</v>
      </c>
      <c r="AC11408">
        <v>1</v>
      </c>
      <c r="AD11408">
        <v>1</v>
      </c>
      <c r="AE11408">
        <v>1</v>
      </c>
      <c r="AF11408">
        <v>1</v>
      </c>
      <c r="AG11408">
        <v>1</v>
      </c>
      <c r="AH11408">
        <v>1</v>
      </c>
      <c r="AI11408">
        <v>1</v>
      </c>
      <c r="AJ11408">
        <v>1</v>
      </c>
      <c r="AK11408">
        <v>1</v>
      </c>
      <c r="AL11408">
        <v>1</v>
      </c>
      <c r="AM11408">
        <v>1</v>
      </c>
    </row>
    <row r="11409" spans="1:39" x14ac:dyDescent="0.2">
      <c r="A11409" t="str">
        <f>"11405"</f>
        <v>11405</v>
      </c>
      <c r="B11409" t="str">
        <f t="shared" si="633"/>
        <v>1</v>
      </c>
      <c r="C11409" t="str">
        <f t="shared" si="635"/>
        <v>229</v>
      </c>
      <c r="D11409" t="str">
        <f>"19"</f>
        <v>19</v>
      </c>
      <c r="E11409" t="str">
        <f>"1-229-19"</f>
        <v>1-229-19</v>
      </c>
      <c r="F11409" t="s">
        <v>65</v>
      </c>
      <c r="G11409" t="s">
        <v>66</v>
      </c>
      <c r="H11409" t="s">
        <v>67</v>
      </c>
      <c r="S11409">
        <v>0</v>
      </c>
      <c r="T11409">
        <v>1</v>
      </c>
      <c r="U11409">
        <v>0</v>
      </c>
      <c r="V11409">
        <v>0</v>
      </c>
      <c r="W11409">
        <v>1</v>
      </c>
      <c r="X11409">
        <v>0</v>
      </c>
      <c r="Y11409">
        <v>0</v>
      </c>
      <c r="Z11409">
        <v>1</v>
      </c>
      <c r="AA11409">
        <v>1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0</v>
      </c>
      <c r="AK11409">
        <v>0</v>
      </c>
      <c r="AL11409">
        <v>0</v>
      </c>
      <c r="AM11409">
        <v>0</v>
      </c>
    </row>
    <row r="11410" spans="1:39" x14ac:dyDescent="0.2">
      <c r="A11410" t="str">
        <f>"11406"</f>
        <v>11406</v>
      </c>
      <c r="B11410" t="str">
        <f t="shared" si="633"/>
        <v>1</v>
      </c>
      <c r="C11410" t="str">
        <f t="shared" si="635"/>
        <v>229</v>
      </c>
      <c r="D11410" t="str">
        <f>"15"</f>
        <v>15</v>
      </c>
      <c r="E11410" t="str">
        <f>"1-229-15"</f>
        <v>1-229-15</v>
      </c>
      <c r="F11410" t="s">
        <v>65</v>
      </c>
      <c r="G11410" t="s">
        <v>66</v>
      </c>
      <c r="H11410" t="s">
        <v>67</v>
      </c>
      <c r="S11410">
        <v>1</v>
      </c>
      <c r="T11410">
        <v>0</v>
      </c>
      <c r="U11410">
        <v>0</v>
      </c>
      <c r="V11410">
        <v>0</v>
      </c>
      <c r="W11410">
        <v>1</v>
      </c>
      <c r="X11410">
        <v>0</v>
      </c>
      <c r="Y11410">
        <v>0</v>
      </c>
      <c r="Z11410">
        <v>1</v>
      </c>
      <c r="AA11410">
        <v>1</v>
      </c>
      <c r="AB11410">
        <v>0</v>
      </c>
      <c r="AC11410">
        <v>0</v>
      </c>
      <c r="AD11410">
        <v>1</v>
      </c>
      <c r="AE11410">
        <v>1</v>
      </c>
      <c r="AF11410">
        <v>1</v>
      </c>
      <c r="AG11410">
        <v>1</v>
      </c>
      <c r="AH11410">
        <v>1</v>
      </c>
      <c r="AI11410">
        <v>1</v>
      </c>
      <c r="AJ11410">
        <v>1</v>
      </c>
      <c r="AK11410">
        <v>1</v>
      </c>
      <c r="AL11410">
        <v>0</v>
      </c>
      <c r="AM11410">
        <v>1</v>
      </c>
    </row>
    <row r="11411" spans="1:39" x14ac:dyDescent="0.2">
      <c r="A11411" t="str">
        <f>"11407"</f>
        <v>11407</v>
      </c>
      <c r="B11411" t="str">
        <f t="shared" si="633"/>
        <v>1</v>
      </c>
      <c r="C11411" t="str">
        <f t="shared" si="635"/>
        <v>229</v>
      </c>
      <c r="D11411" t="str">
        <f>"1"</f>
        <v>1</v>
      </c>
      <c r="E11411" t="str">
        <f>"1-229-1"</f>
        <v>1-229-1</v>
      </c>
      <c r="F11411" t="s">
        <v>65</v>
      </c>
      <c r="G11411" t="s">
        <v>66</v>
      </c>
      <c r="H11411" t="s">
        <v>68</v>
      </c>
      <c r="I11411">
        <v>1</v>
      </c>
      <c r="J11411">
        <v>0</v>
      </c>
      <c r="K11411">
        <v>1</v>
      </c>
      <c r="L11411">
        <v>0</v>
      </c>
      <c r="M11411">
        <v>1</v>
      </c>
      <c r="N11411">
        <v>1</v>
      </c>
      <c r="O11411">
        <v>1</v>
      </c>
      <c r="P11411">
        <v>1</v>
      </c>
      <c r="Q11411">
        <v>1</v>
      </c>
      <c r="R11411">
        <v>1</v>
      </c>
    </row>
    <row r="11412" spans="1:39" x14ac:dyDescent="0.2">
      <c r="A11412" t="str">
        <f>"11408"</f>
        <v>11408</v>
      </c>
      <c r="B11412" t="str">
        <f t="shared" si="633"/>
        <v>1</v>
      </c>
      <c r="C11412" t="str">
        <f t="shared" si="635"/>
        <v>229</v>
      </c>
      <c r="D11412" t="str">
        <f>"40"</f>
        <v>40</v>
      </c>
      <c r="E11412" t="str">
        <f>"1-229-40"</f>
        <v>1-229-40</v>
      </c>
      <c r="F11412" t="s">
        <v>65</v>
      </c>
      <c r="G11412" t="s">
        <v>66</v>
      </c>
      <c r="H11412" t="s">
        <v>67</v>
      </c>
      <c r="S11412">
        <v>1</v>
      </c>
      <c r="T11412">
        <v>0</v>
      </c>
      <c r="U11412">
        <v>0</v>
      </c>
      <c r="V11412">
        <v>0</v>
      </c>
      <c r="W11412">
        <v>1</v>
      </c>
      <c r="X11412">
        <v>0</v>
      </c>
      <c r="Y11412">
        <v>1</v>
      </c>
      <c r="Z11412">
        <v>0</v>
      </c>
      <c r="AA11412">
        <v>1</v>
      </c>
      <c r="AB11412">
        <v>0</v>
      </c>
      <c r="AC11412">
        <v>0</v>
      </c>
      <c r="AD11412">
        <v>1</v>
      </c>
      <c r="AE11412">
        <v>1</v>
      </c>
      <c r="AF11412">
        <v>1</v>
      </c>
      <c r="AG11412">
        <v>1</v>
      </c>
      <c r="AH11412">
        <v>1</v>
      </c>
      <c r="AI11412">
        <v>1</v>
      </c>
      <c r="AJ11412">
        <v>1</v>
      </c>
      <c r="AK11412">
        <v>1</v>
      </c>
      <c r="AL11412">
        <v>1</v>
      </c>
      <c r="AM11412">
        <v>1</v>
      </c>
    </row>
    <row r="11413" spans="1:39" x14ac:dyDescent="0.2">
      <c r="A11413" t="str">
        <f>"11409"</f>
        <v>11409</v>
      </c>
      <c r="B11413" t="str">
        <f t="shared" si="633"/>
        <v>1</v>
      </c>
      <c r="C11413" t="str">
        <f t="shared" si="635"/>
        <v>229</v>
      </c>
      <c r="D11413" t="str">
        <f>"39"</f>
        <v>39</v>
      </c>
      <c r="E11413" t="str">
        <f>"1-229-39"</f>
        <v>1-229-39</v>
      </c>
      <c r="F11413" t="s">
        <v>65</v>
      </c>
      <c r="G11413" t="s">
        <v>66</v>
      </c>
      <c r="H11413" t="s">
        <v>67</v>
      </c>
      <c r="S11413">
        <v>1</v>
      </c>
      <c r="T11413">
        <v>0</v>
      </c>
      <c r="U11413">
        <v>0</v>
      </c>
      <c r="V11413">
        <v>0</v>
      </c>
      <c r="W11413">
        <v>1</v>
      </c>
      <c r="X11413">
        <v>0</v>
      </c>
      <c r="Y11413">
        <v>1</v>
      </c>
      <c r="Z11413">
        <v>0</v>
      </c>
      <c r="AA11413">
        <v>0</v>
      </c>
      <c r="AB11413">
        <v>0</v>
      </c>
      <c r="AC11413">
        <v>1</v>
      </c>
      <c r="AD11413">
        <v>1</v>
      </c>
      <c r="AE11413">
        <v>1</v>
      </c>
      <c r="AF11413">
        <v>1</v>
      </c>
      <c r="AG11413">
        <v>1</v>
      </c>
      <c r="AH11413">
        <v>1</v>
      </c>
      <c r="AI11413">
        <v>1</v>
      </c>
      <c r="AJ11413">
        <v>1</v>
      </c>
      <c r="AK11413">
        <v>1</v>
      </c>
      <c r="AL11413">
        <v>1</v>
      </c>
      <c r="AM11413">
        <v>1</v>
      </c>
    </row>
    <row r="11414" spans="1:39" x14ac:dyDescent="0.2">
      <c r="A11414" t="str">
        <f>"11410"</f>
        <v>11410</v>
      </c>
      <c r="B11414" t="str">
        <f t="shared" si="633"/>
        <v>1</v>
      </c>
      <c r="C11414" t="str">
        <f t="shared" si="635"/>
        <v>229</v>
      </c>
      <c r="D11414" t="str">
        <f>"29"</f>
        <v>29</v>
      </c>
      <c r="E11414" t="str">
        <f>"1-229-29"</f>
        <v>1-229-29</v>
      </c>
      <c r="F11414" t="s">
        <v>65</v>
      </c>
      <c r="G11414" t="s">
        <v>66</v>
      </c>
      <c r="H11414" t="s">
        <v>67</v>
      </c>
      <c r="S11414">
        <v>1</v>
      </c>
      <c r="T11414">
        <v>0</v>
      </c>
      <c r="U11414">
        <v>0</v>
      </c>
      <c r="V11414">
        <v>0</v>
      </c>
      <c r="W11414">
        <v>1</v>
      </c>
      <c r="X11414">
        <v>0</v>
      </c>
      <c r="Y11414">
        <v>1</v>
      </c>
      <c r="Z11414">
        <v>0</v>
      </c>
      <c r="AA11414">
        <v>1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  <c r="AK11414">
        <v>0</v>
      </c>
      <c r="AL11414">
        <v>0</v>
      </c>
      <c r="AM11414">
        <v>0</v>
      </c>
    </row>
    <row r="11415" spans="1:39" x14ac:dyDescent="0.2">
      <c r="A11415" t="str">
        <f>"11411"</f>
        <v>11411</v>
      </c>
      <c r="B11415" t="str">
        <f t="shared" si="633"/>
        <v>1</v>
      </c>
      <c r="C11415" t="str">
        <f t="shared" si="635"/>
        <v>229</v>
      </c>
      <c r="D11415" t="str">
        <f>"16"</f>
        <v>16</v>
      </c>
      <c r="E11415" t="str">
        <f>"1-229-16"</f>
        <v>1-229-16</v>
      </c>
      <c r="F11415" t="s">
        <v>65</v>
      </c>
      <c r="G11415" t="s">
        <v>66</v>
      </c>
      <c r="H11415" t="s">
        <v>67</v>
      </c>
      <c r="S11415">
        <v>0</v>
      </c>
      <c r="T11415">
        <v>1</v>
      </c>
      <c r="U11415">
        <v>0</v>
      </c>
      <c r="V11415">
        <v>0</v>
      </c>
      <c r="W11415">
        <v>0</v>
      </c>
      <c r="X11415">
        <v>1</v>
      </c>
      <c r="Y11415">
        <v>1</v>
      </c>
      <c r="Z11415">
        <v>0</v>
      </c>
      <c r="AA11415">
        <v>0</v>
      </c>
      <c r="AB11415">
        <v>0</v>
      </c>
      <c r="AC11415">
        <v>1</v>
      </c>
      <c r="AD11415">
        <v>1</v>
      </c>
      <c r="AE11415">
        <v>1</v>
      </c>
      <c r="AF11415">
        <v>1</v>
      </c>
      <c r="AG11415">
        <v>1</v>
      </c>
      <c r="AH11415">
        <v>1</v>
      </c>
      <c r="AI11415">
        <v>1</v>
      </c>
      <c r="AJ11415">
        <v>1</v>
      </c>
      <c r="AK11415">
        <v>1</v>
      </c>
      <c r="AL11415">
        <v>1</v>
      </c>
      <c r="AM11415">
        <v>1</v>
      </c>
    </row>
    <row r="11416" spans="1:39" x14ac:dyDescent="0.2">
      <c r="A11416" t="str">
        <f>"11412"</f>
        <v>11412</v>
      </c>
      <c r="B11416" t="str">
        <f t="shared" si="633"/>
        <v>1</v>
      </c>
      <c r="C11416" t="str">
        <f t="shared" si="635"/>
        <v>229</v>
      </c>
      <c r="D11416" t="str">
        <f>"5"</f>
        <v>5</v>
      </c>
      <c r="E11416" t="str">
        <f>"1-229-5"</f>
        <v>1-229-5</v>
      </c>
      <c r="F11416" t="s">
        <v>65</v>
      </c>
      <c r="G11416" t="s">
        <v>66</v>
      </c>
      <c r="H11416" t="s">
        <v>67</v>
      </c>
      <c r="S11416">
        <v>1</v>
      </c>
      <c r="T11416">
        <v>0</v>
      </c>
      <c r="U11416">
        <v>0</v>
      </c>
      <c r="V11416">
        <v>0</v>
      </c>
      <c r="W11416">
        <v>1</v>
      </c>
      <c r="X11416">
        <v>0</v>
      </c>
      <c r="Y11416">
        <v>1</v>
      </c>
      <c r="Z11416">
        <v>0</v>
      </c>
      <c r="AA11416">
        <v>1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>
        <v>0</v>
      </c>
    </row>
    <row r="11417" spans="1:39" x14ac:dyDescent="0.2">
      <c r="A11417" t="str">
        <f>"11413"</f>
        <v>11413</v>
      </c>
      <c r="B11417" t="str">
        <f t="shared" si="633"/>
        <v>1</v>
      </c>
      <c r="C11417" t="str">
        <f t="shared" si="635"/>
        <v>229</v>
      </c>
      <c r="D11417" t="str">
        <f>"36"</f>
        <v>36</v>
      </c>
      <c r="E11417" t="str">
        <f>"1-229-36"</f>
        <v>1-229-36</v>
      </c>
      <c r="F11417" t="s">
        <v>65</v>
      </c>
      <c r="G11417" t="s">
        <v>66</v>
      </c>
      <c r="H11417" t="s">
        <v>67</v>
      </c>
      <c r="S11417">
        <v>1</v>
      </c>
      <c r="T11417">
        <v>0</v>
      </c>
      <c r="U11417">
        <v>0</v>
      </c>
      <c r="V11417">
        <v>0</v>
      </c>
      <c r="W11417">
        <v>1</v>
      </c>
      <c r="X11417">
        <v>0</v>
      </c>
      <c r="Y11417">
        <v>1</v>
      </c>
      <c r="Z11417">
        <v>0</v>
      </c>
      <c r="AA11417">
        <v>0</v>
      </c>
      <c r="AB11417">
        <v>1</v>
      </c>
      <c r="AC11417">
        <v>0</v>
      </c>
      <c r="AD11417">
        <v>1</v>
      </c>
      <c r="AE11417">
        <v>1</v>
      </c>
      <c r="AF11417">
        <v>1</v>
      </c>
      <c r="AG11417">
        <v>1</v>
      </c>
      <c r="AH11417">
        <v>1</v>
      </c>
      <c r="AI11417">
        <v>1</v>
      </c>
      <c r="AJ11417">
        <v>1</v>
      </c>
      <c r="AK11417">
        <v>1</v>
      </c>
      <c r="AL11417">
        <v>1</v>
      </c>
      <c r="AM11417">
        <v>1</v>
      </c>
    </row>
    <row r="11418" spans="1:39" x14ac:dyDescent="0.2">
      <c r="A11418" t="str">
        <f>"11414"</f>
        <v>11414</v>
      </c>
      <c r="B11418" t="str">
        <f t="shared" si="633"/>
        <v>1</v>
      </c>
      <c r="C11418" t="str">
        <f t="shared" si="635"/>
        <v>229</v>
      </c>
      <c r="D11418" t="str">
        <f>"35"</f>
        <v>35</v>
      </c>
      <c r="E11418" t="str">
        <f>"1-229-35"</f>
        <v>1-229-35</v>
      </c>
      <c r="F11418" t="s">
        <v>65</v>
      </c>
      <c r="G11418" t="s">
        <v>66</v>
      </c>
      <c r="H11418" t="s">
        <v>67</v>
      </c>
      <c r="S11418">
        <v>1</v>
      </c>
      <c r="T11418">
        <v>0</v>
      </c>
      <c r="U11418">
        <v>0</v>
      </c>
      <c r="V11418">
        <v>0</v>
      </c>
      <c r="W11418">
        <v>1</v>
      </c>
      <c r="X11418">
        <v>0</v>
      </c>
      <c r="Y11418">
        <v>1</v>
      </c>
      <c r="Z11418">
        <v>0</v>
      </c>
      <c r="AA11418">
        <v>0</v>
      </c>
      <c r="AB11418">
        <v>1</v>
      </c>
      <c r="AC11418">
        <v>0</v>
      </c>
      <c r="AD11418">
        <v>1</v>
      </c>
      <c r="AE11418">
        <v>1</v>
      </c>
      <c r="AF11418">
        <v>1</v>
      </c>
      <c r="AG11418">
        <v>1</v>
      </c>
      <c r="AH11418">
        <v>1</v>
      </c>
      <c r="AI11418">
        <v>1</v>
      </c>
      <c r="AJ11418">
        <v>1</v>
      </c>
      <c r="AK11418">
        <v>1</v>
      </c>
      <c r="AL11418">
        <v>1</v>
      </c>
      <c r="AM11418">
        <v>1</v>
      </c>
    </row>
    <row r="11419" spans="1:39" x14ac:dyDescent="0.2">
      <c r="A11419" t="str">
        <f>"11415"</f>
        <v>11415</v>
      </c>
      <c r="B11419" t="str">
        <f t="shared" si="633"/>
        <v>1</v>
      </c>
      <c r="C11419" t="str">
        <f t="shared" si="635"/>
        <v>229</v>
      </c>
      <c r="D11419" t="str">
        <f>"20"</f>
        <v>20</v>
      </c>
      <c r="E11419" t="str">
        <f>"1-229-20"</f>
        <v>1-229-20</v>
      </c>
      <c r="F11419" t="s">
        <v>65</v>
      </c>
      <c r="G11419" t="s">
        <v>66</v>
      </c>
      <c r="H11419" t="s">
        <v>67</v>
      </c>
      <c r="S11419">
        <v>0</v>
      </c>
      <c r="T11419">
        <v>1</v>
      </c>
      <c r="U11419">
        <v>0</v>
      </c>
      <c r="V11419">
        <v>0</v>
      </c>
      <c r="W11419">
        <v>1</v>
      </c>
      <c r="X11419">
        <v>0</v>
      </c>
      <c r="Y11419">
        <v>0</v>
      </c>
      <c r="Z11419">
        <v>1</v>
      </c>
      <c r="AA11419">
        <v>1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0</v>
      </c>
      <c r="AH11419">
        <v>0</v>
      </c>
      <c r="AI11419">
        <v>0</v>
      </c>
      <c r="AJ11419">
        <v>0</v>
      </c>
      <c r="AK11419">
        <v>0</v>
      </c>
      <c r="AL11419">
        <v>0</v>
      </c>
      <c r="AM11419">
        <v>0</v>
      </c>
    </row>
    <row r="11420" spans="1:39" x14ac:dyDescent="0.2">
      <c r="A11420" t="str">
        <f>"11416"</f>
        <v>11416</v>
      </c>
      <c r="B11420" t="str">
        <f t="shared" si="633"/>
        <v>1</v>
      </c>
      <c r="C11420" t="str">
        <f t="shared" si="635"/>
        <v>229</v>
      </c>
      <c r="D11420" t="str">
        <f>"17"</f>
        <v>17</v>
      </c>
      <c r="E11420" t="str">
        <f>"1-229-17"</f>
        <v>1-229-17</v>
      </c>
      <c r="F11420" t="s">
        <v>65</v>
      </c>
      <c r="G11420" t="s">
        <v>66</v>
      </c>
      <c r="H11420" t="s">
        <v>67</v>
      </c>
      <c r="S11420">
        <v>1</v>
      </c>
      <c r="T11420">
        <v>0</v>
      </c>
      <c r="U11420">
        <v>0</v>
      </c>
      <c r="V11420">
        <v>0</v>
      </c>
      <c r="W11420">
        <v>1</v>
      </c>
      <c r="X11420">
        <v>0</v>
      </c>
      <c r="Y11420">
        <v>1</v>
      </c>
      <c r="Z11420">
        <v>0</v>
      </c>
      <c r="AA11420">
        <v>1</v>
      </c>
      <c r="AB11420">
        <v>0</v>
      </c>
      <c r="AC11420">
        <v>0</v>
      </c>
      <c r="AD11420">
        <v>1</v>
      </c>
      <c r="AE11420">
        <v>1</v>
      </c>
      <c r="AF11420">
        <v>1</v>
      </c>
      <c r="AG11420">
        <v>1</v>
      </c>
      <c r="AH11420">
        <v>1</v>
      </c>
      <c r="AI11420">
        <v>1</v>
      </c>
      <c r="AJ11420">
        <v>1</v>
      </c>
      <c r="AK11420">
        <v>1</v>
      </c>
      <c r="AL11420">
        <v>1</v>
      </c>
      <c r="AM11420">
        <v>1</v>
      </c>
    </row>
    <row r="11421" spans="1:39" x14ac:dyDescent="0.2">
      <c r="A11421" t="str">
        <f>"11417"</f>
        <v>11417</v>
      </c>
      <c r="B11421" t="str">
        <f t="shared" si="633"/>
        <v>1</v>
      </c>
      <c r="C11421" t="str">
        <f t="shared" si="635"/>
        <v>229</v>
      </c>
      <c r="D11421" t="str">
        <f>"2"</f>
        <v>2</v>
      </c>
      <c r="E11421" t="str">
        <f>"1-229-2"</f>
        <v>1-229-2</v>
      </c>
      <c r="F11421" t="s">
        <v>65</v>
      </c>
      <c r="G11421" t="s">
        <v>66</v>
      </c>
      <c r="H11421" t="s">
        <v>67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1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>
        <v>1</v>
      </c>
    </row>
    <row r="11422" spans="1:39" x14ac:dyDescent="0.2">
      <c r="A11422" t="str">
        <f>"11418"</f>
        <v>11418</v>
      </c>
      <c r="B11422" t="str">
        <f t="shared" si="633"/>
        <v>1</v>
      </c>
      <c r="C11422" t="str">
        <f t="shared" si="635"/>
        <v>229</v>
      </c>
      <c r="D11422" t="str">
        <f>"38"</f>
        <v>38</v>
      </c>
      <c r="E11422" t="str">
        <f>"1-229-38"</f>
        <v>1-229-38</v>
      </c>
      <c r="F11422" t="s">
        <v>65</v>
      </c>
      <c r="G11422" t="s">
        <v>66</v>
      </c>
      <c r="H11422" t="s">
        <v>67</v>
      </c>
      <c r="S11422">
        <v>1</v>
      </c>
      <c r="T11422">
        <v>0</v>
      </c>
      <c r="U11422">
        <v>0</v>
      </c>
      <c r="V11422">
        <v>0</v>
      </c>
      <c r="W11422">
        <v>1</v>
      </c>
      <c r="X11422">
        <v>0</v>
      </c>
      <c r="Y11422">
        <v>1</v>
      </c>
      <c r="Z11422">
        <v>0</v>
      </c>
      <c r="AA11422">
        <v>0</v>
      </c>
      <c r="AB11422">
        <v>1</v>
      </c>
      <c r="AC11422">
        <v>0</v>
      </c>
      <c r="AD11422">
        <v>1</v>
      </c>
      <c r="AE11422">
        <v>1</v>
      </c>
      <c r="AF11422">
        <v>1</v>
      </c>
      <c r="AG11422">
        <v>1</v>
      </c>
      <c r="AH11422">
        <v>1</v>
      </c>
      <c r="AI11422">
        <v>1</v>
      </c>
      <c r="AJ11422">
        <v>1</v>
      </c>
      <c r="AK11422">
        <v>1</v>
      </c>
      <c r="AL11422">
        <v>1</v>
      </c>
      <c r="AM11422">
        <v>1</v>
      </c>
    </row>
    <row r="11423" spans="1:39" x14ac:dyDescent="0.2">
      <c r="A11423" t="str">
        <f>"11419"</f>
        <v>11419</v>
      </c>
      <c r="B11423" t="str">
        <f t="shared" si="633"/>
        <v>1</v>
      </c>
      <c r="C11423" t="str">
        <f t="shared" si="635"/>
        <v>229</v>
      </c>
      <c r="D11423" t="str">
        <f>"37"</f>
        <v>37</v>
      </c>
      <c r="E11423" t="str">
        <f>"1-229-37"</f>
        <v>1-229-37</v>
      </c>
      <c r="F11423" t="s">
        <v>65</v>
      </c>
      <c r="G11423" t="s">
        <v>66</v>
      </c>
      <c r="H11423" t="s">
        <v>67</v>
      </c>
      <c r="S11423">
        <v>1</v>
      </c>
      <c r="T11423">
        <v>0</v>
      </c>
      <c r="U11423">
        <v>0</v>
      </c>
      <c r="V11423">
        <v>0</v>
      </c>
      <c r="W11423">
        <v>1</v>
      </c>
      <c r="X11423">
        <v>0</v>
      </c>
      <c r="Y11423">
        <v>1</v>
      </c>
      <c r="Z11423">
        <v>0</v>
      </c>
      <c r="AA11423">
        <v>0</v>
      </c>
      <c r="AB11423">
        <v>1</v>
      </c>
      <c r="AC11423">
        <v>0</v>
      </c>
      <c r="AD11423">
        <v>1</v>
      </c>
      <c r="AE11423">
        <v>1</v>
      </c>
      <c r="AF11423">
        <v>1</v>
      </c>
      <c r="AG11423">
        <v>1</v>
      </c>
      <c r="AH11423">
        <v>1</v>
      </c>
      <c r="AI11423">
        <v>1</v>
      </c>
      <c r="AJ11423">
        <v>1</v>
      </c>
      <c r="AK11423">
        <v>1</v>
      </c>
      <c r="AL11423">
        <v>1</v>
      </c>
      <c r="AM11423">
        <v>1</v>
      </c>
    </row>
    <row r="11424" spans="1:39" x14ac:dyDescent="0.2">
      <c r="A11424" t="str">
        <f>"11420"</f>
        <v>11420</v>
      </c>
      <c r="B11424" t="str">
        <f t="shared" si="633"/>
        <v>1</v>
      </c>
      <c r="C11424" t="str">
        <f t="shared" si="635"/>
        <v>229</v>
      </c>
      <c r="D11424" t="str">
        <f>"21"</f>
        <v>21</v>
      </c>
      <c r="E11424" t="str">
        <f>"1-229-21"</f>
        <v>1-229-21</v>
      </c>
      <c r="F11424" t="s">
        <v>65</v>
      </c>
      <c r="G11424" t="s">
        <v>66</v>
      </c>
      <c r="H11424" t="s">
        <v>67</v>
      </c>
      <c r="S11424">
        <v>1</v>
      </c>
      <c r="T11424">
        <v>0</v>
      </c>
      <c r="U11424">
        <v>0</v>
      </c>
      <c r="V11424">
        <v>0</v>
      </c>
      <c r="W11424">
        <v>1</v>
      </c>
      <c r="X11424">
        <v>0</v>
      </c>
      <c r="Y11424">
        <v>1</v>
      </c>
      <c r="Z11424">
        <v>0</v>
      </c>
      <c r="AA11424">
        <v>1</v>
      </c>
      <c r="AB11424">
        <v>0</v>
      </c>
      <c r="AC11424">
        <v>0</v>
      </c>
      <c r="AD11424">
        <v>1</v>
      </c>
      <c r="AE11424">
        <v>1</v>
      </c>
      <c r="AF11424">
        <v>0</v>
      </c>
      <c r="AG11424">
        <v>1</v>
      </c>
      <c r="AH11424">
        <v>1</v>
      </c>
      <c r="AI11424">
        <v>1</v>
      </c>
      <c r="AJ11424">
        <v>1</v>
      </c>
      <c r="AK11424">
        <v>1</v>
      </c>
      <c r="AL11424">
        <v>1</v>
      </c>
      <c r="AM11424">
        <v>1</v>
      </c>
    </row>
    <row r="11425" spans="1:39" x14ac:dyDescent="0.2">
      <c r="A11425" t="str">
        <f>"11421"</f>
        <v>11421</v>
      </c>
      <c r="B11425" t="str">
        <f t="shared" si="633"/>
        <v>1</v>
      </c>
      <c r="C11425" t="str">
        <f t="shared" si="635"/>
        <v>229</v>
      </c>
      <c r="D11425" t="str">
        <f>"18"</f>
        <v>18</v>
      </c>
      <c r="E11425" t="str">
        <f>"1-229-18"</f>
        <v>1-229-18</v>
      </c>
      <c r="F11425" t="s">
        <v>65</v>
      </c>
      <c r="G11425" t="s">
        <v>66</v>
      </c>
      <c r="H11425" t="s">
        <v>67</v>
      </c>
      <c r="S11425">
        <v>1</v>
      </c>
      <c r="T11425">
        <v>0</v>
      </c>
      <c r="U11425">
        <v>0</v>
      </c>
      <c r="V11425">
        <v>0</v>
      </c>
      <c r="W11425">
        <v>0</v>
      </c>
      <c r="X11425">
        <v>1</v>
      </c>
      <c r="Y11425">
        <v>0</v>
      </c>
      <c r="Z11425">
        <v>1</v>
      </c>
      <c r="AA11425">
        <v>0</v>
      </c>
      <c r="AB11425">
        <v>0</v>
      </c>
      <c r="AC11425">
        <v>1</v>
      </c>
      <c r="AD11425">
        <v>1</v>
      </c>
      <c r="AE11425">
        <v>1</v>
      </c>
      <c r="AF11425">
        <v>1</v>
      </c>
      <c r="AG11425">
        <v>1</v>
      </c>
      <c r="AH11425">
        <v>1</v>
      </c>
      <c r="AI11425">
        <v>1</v>
      </c>
      <c r="AJ11425">
        <v>1</v>
      </c>
      <c r="AK11425">
        <v>1</v>
      </c>
      <c r="AL11425">
        <v>1</v>
      </c>
      <c r="AM11425">
        <v>1</v>
      </c>
    </row>
    <row r="11426" spans="1:39" x14ac:dyDescent="0.2">
      <c r="A11426" t="str">
        <f>"11422"</f>
        <v>11422</v>
      </c>
      <c r="B11426" t="str">
        <f t="shared" si="633"/>
        <v>1</v>
      </c>
      <c r="C11426" t="str">
        <f t="shared" si="635"/>
        <v>229</v>
      </c>
      <c r="D11426" t="str">
        <f>"11"</f>
        <v>11</v>
      </c>
      <c r="E11426" t="str">
        <f>"1-229-11"</f>
        <v>1-229-11</v>
      </c>
      <c r="F11426" t="s">
        <v>65</v>
      </c>
      <c r="G11426" t="s">
        <v>66</v>
      </c>
      <c r="H11426" t="s">
        <v>67</v>
      </c>
      <c r="S11426">
        <v>1</v>
      </c>
      <c r="T11426">
        <v>0</v>
      </c>
      <c r="U11426">
        <v>0</v>
      </c>
      <c r="V11426">
        <v>0</v>
      </c>
      <c r="W11426">
        <v>1</v>
      </c>
      <c r="X11426">
        <v>0</v>
      </c>
      <c r="Y11426">
        <v>1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>
        <v>0</v>
      </c>
    </row>
    <row r="11427" spans="1:39" x14ac:dyDescent="0.2">
      <c r="A11427" t="str">
        <f>"11423"</f>
        <v>11423</v>
      </c>
      <c r="B11427" t="str">
        <f t="shared" si="633"/>
        <v>1</v>
      </c>
      <c r="C11427" t="str">
        <f t="shared" si="635"/>
        <v>229</v>
      </c>
      <c r="D11427" t="str">
        <f>"24"</f>
        <v>24</v>
      </c>
      <c r="E11427" t="str">
        <f>"1-229-24"</f>
        <v>1-229-24</v>
      </c>
      <c r="F11427" t="s">
        <v>65</v>
      </c>
      <c r="G11427" t="s">
        <v>66</v>
      </c>
      <c r="H11427" t="s">
        <v>67</v>
      </c>
      <c r="S11427">
        <v>1</v>
      </c>
      <c r="T11427">
        <v>0</v>
      </c>
      <c r="U11427">
        <v>0</v>
      </c>
      <c r="V11427">
        <v>0</v>
      </c>
      <c r="W11427">
        <v>1</v>
      </c>
      <c r="X11427">
        <v>0</v>
      </c>
      <c r="Y11427">
        <v>0</v>
      </c>
      <c r="Z11427">
        <v>1</v>
      </c>
      <c r="AA11427">
        <v>0</v>
      </c>
      <c r="AB11427">
        <v>1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>
        <v>0</v>
      </c>
    </row>
    <row r="11428" spans="1:39" x14ac:dyDescent="0.2">
      <c r="A11428" t="str">
        <f>"11424"</f>
        <v>11424</v>
      </c>
      <c r="B11428" t="str">
        <f t="shared" si="633"/>
        <v>1</v>
      </c>
      <c r="C11428" t="str">
        <f t="shared" si="635"/>
        <v>229</v>
      </c>
      <c r="D11428" t="str">
        <f>"14"</f>
        <v>14</v>
      </c>
      <c r="E11428" t="str">
        <f>"1-229-14"</f>
        <v>1-229-14</v>
      </c>
      <c r="F11428" t="s">
        <v>65</v>
      </c>
      <c r="G11428" t="s">
        <v>66</v>
      </c>
      <c r="H11428" t="s">
        <v>67</v>
      </c>
      <c r="S11428">
        <v>1</v>
      </c>
      <c r="T11428">
        <v>0</v>
      </c>
      <c r="U11428">
        <v>0</v>
      </c>
      <c r="V11428">
        <v>0</v>
      </c>
      <c r="W11428">
        <v>1</v>
      </c>
      <c r="X11428">
        <v>0</v>
      </c>
      <c r="Y11428">
        <v>1</v>
      </c>
      <c r="Z11428">
        <v>0</v>
      </c>
      <c r="AA11428">
        <v>1</v>
      </c>
      <c r="AB11428">
        <v>0</v>
      </c>
      <c r="AC11428">
        <v>0</v>
      </c>
      <c r="AD11428">
        <v>1</v>
      </c>
      <c r="AE11428">
        <v>1</v>
      </c>
      <c r="AF11428">
        <v>1</v>
      </c>
      <c r="AG11428">
        <v>1</v>
      </c>
      <c r="AH11428">
        <v>1</v>
      </c>
      <c r="AI11428">
        <v>1</v>
      </c>
      <c r="AJ11428">
        <v>1</v>
      </c>
      <c r="AK11428">
        <v>1</v>
      </c>
      <c r="AL11428">
        <v>1</v>
      </c>
      <c r="AM11428">
        <v>1</v>
      </c>
    </row>
    <row r="11429" spans="1:39" x14ac:dyDescent="0.2">
      <c r="A11429" t="str">
        <f>"11425"</f>
        <v>11425</v>
      </c>
      <c r="B11429" t="str">
        <f t="shared" si="633"/>
        <v>1</v>
      </c>
      <c r="C11429" t="str">
        <f t="shared" si="635"/>
        <v>229</v>
      </c>
      <c r="D11429" t="str">
        <f>"45"</f>
        <v>45</v>
      </c>
      <c r="E11429" t="str">
        <f>"1-229-45"</f>
        <v>1-229-45</v>
      </c>
      <c r="F11429" t="s">
        <v>65</v>
      </c>
      <c r="G11429" t="s">
        <v>66</v>
      </c>
      <c r="H11429" t="s">
        <v>67</v>
      </c>
      <c r="S11429">
        <v>0</v>
      </c>
      <c r="T11429">
        <v>1</v>
      </c>
      <c r="U11429">
        <v>0</v>
      </c>
      <c r="V11429">
        <v>0</v>
      </c>
      <c r="W11429">
        <v>1</v>
      </c>
      <c r="X11429">
        <v>0</v>
      </c>
      <c r="Y11429">
        <v>0</v>
      </c>
      <c r="Z11429">
        <v>1</v>
      </c>
      <c r="AA11429">
        <v>0</v>
      </c>
      <c r="AB11429">
        <v>1</v>
      </c>
      <c r="AC11429">
        <v>0</v>
      </c>
      <c r="AD11429">
        <v>1</v>
      </c>
      <c r="AE11429">
        <v>1</v>
      </c>
      <c r="AF11429">
        <v>1</v>
      </c>
      <c r="AG11429">
        <v>1</v>
      </c>
      <c r="AH11429">
        <v>1</v>
      </c>
      <c r="AI11429">
        <v>1</v>
      </c>
      <c r="AJ11429">
        <v>0</v>
      </c>
      <c r="AK11429">
        <v>1</v>
      </c>
      <c r="AL11429">
        <v>1</v>
      </c>
      <c r="AM11429">
        <v>1</v>
      </c>
    </row>
    <row r="11430" spans="1:39" x14ac:dyDescent="0.2">
      <c r="A11430" t="str">
        <f>"11426"</f>
        <v>11426</v>
      </c>
      <c r="B11430" t="str">
        <f t="shared" si="633"/>
        <v>1</v>
      </c>
      <c r="C11430" t="str">
        <f t="shared" si="635"/>
        <v>229</v>
      </c>
      <c r="D11430" t="str">
        <f>"25"</f>
        <v>25</v>
      </c>
      <c r="E11430" t="str">
        <f>"1-229-25"</f>
        <v>1-229-25</v>
      </c>
      <c r="F11430" t="s">
        <v>65</v>
      </c>
      <c r="G11430" t="s">
        <v>66</v>
      </c>
      <c r="H11430" t="s">
        <v>67</v>
      </c>
      <c r="S11430">
        <v>1</v>
      </c>
      <c r="T11430">
        <v>0</v>
      </c>
      <c r="U11430">
        <v>0</v>
      </c>
      <c r="V11430">
        <v>0</v>
      </c>
      <c r="W11430">
        <v>1</v>
      </c>
      <c r="X11430">
        <v>0</v>
      </c>
      <c r="Y11430">
        <v>1</v>
      </c>
      <c r="Z11430">
        <v>0</v>
      </c>
      <c r="AA11430">
        <v>1</v>
      </c>
      <c r="AB11430">
        <v>0</v>
      </c>
      <c r="AC11430">
        <v>0</v>
      </c>
      <c r="AD11430">
        <v>1</v>
      </c>
      <c r="AE11430">
        <v>1</v>
      </c>
      <c r="AF11430">
        <v>1</v>
      </c>
      <c r="AG11430">
        <v>1</v>
      </c>
      <c r="AH11430">
        <v>1</v>
      </c>
      <c r="AI11430">
        <v>1</v>
      </c>
      <c r="AJ11430">
        <v>1</v>
      </c>
      <c r="AK11430">
        <v>1</v>
      </c>
      <c r="AL11430">
        <v>1</v>
      </c>
      <c r="AM11430">
        <v>1</v>
      </c>
    </row>
    <row r="11431" spans="1:39" x14ac:dyDescent="0.2">
      <c r="A11431" t="str">
        <f>"11427"</f>
        <v>11427</v>
      </c>
      <c r="B11431" t="str">
        <f t="shared" si="633"/>
        <v>1</v>
      </c>
      <c r="C11431" t="str">
        <f t="shared" si="635"/>
        <v>229</v>
      </c>
      <c r="D11431" t="str">
        <f>"8"</f>
        <v>8</v>
      </c>
      <c r="E11431" t="str">
        <f>"1-229-8"</f>
        <v>1-229-8</v>
      </c>
      <c r="F11431" t="s">
        <v>65</v>
      </c>
      <c r="G11431" t="s">
        <v>66</v>
      </c>
      <c r="H11431" t="s">
        <v>67</v>
      </c>
      <c r="S11431">
        <v>1</v>
      </c>
      <c r="T11431">
        <v>0</v>
      </c>
      <c r="U11431">
        <v>0</v>
      </c>
      <c r="V11431">
        <v>0</v>
      </c>
      <c r="W11431">
        <v>1</v>
      </c>
      <c r="X11431">
        <v>0</v>
      </c>
      <c r="Y11431">
        <v>0</v>
      </c>
      <c r="Z11431">
        <v>1</v>
      </c>
      <c r="AA11431">
        <v>1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1</v>
      </c>
      <c r="AH11431">
        <v>0</v>
      </c>
      <c r="AI11431">
        <v>0</v>
      </c>
      <c r="AJ11431">
        <v>1</v>
      </c>
      <c r="AK11431">
        <v>1</v>
      </c>
      <c r="AL11431">
        <v>0</v>
      </c>
      <c r="AM11431">
        <v>0</v>
      </c>
    </row>
    <row r="11432" spans="1:39" x14ac:dyDescent="0.2">
      <c r="A11432" t="str">
        <f>"11428"</f>
        <v>11428</v>
      </c>
      <c r="B11432" t="str">
        <f t="shared" si="633"/>
        <v>1</v>
      </c>
      <c r="C11432" t="str">
        <f t="shared" si="635"/>
        <v>229</v>
      </c>
      <c r="D11432" t="str">
        <f>"43"</f>
        <v>43</v>
      </c>
      <c r="E11432" t="str">
        <f>"1-229-43"</f>
        <v>1-229-43</v>
      </c>
      <c r="F11432" t="s">
        <v>65</v>
      </c>
      <c r="G11432" t="s">
        <v>66</v>
      </c>
      <c r="H11432" t="s">
        <v>67</v>
      </c>
      <c r="S11432">
        <v>1</v>
      </c>
      <c r="T11432">
        <v>0</v>
      </c>
      <c r="U11432">
        <v>0</v>
      </c>
      <c r="V11432">
        <v>0</v>
      </c>
      <c r="W11432">
        <v>1</v>
      </c>
      <c r="X11432">
        <v>0</v>
      </c>
      <c r="Y11432">
        <v>1</v>
      </c>
      <c r="Z11432">
        <v>0</v>
      </c>
      <c r="AA11432">
        <v>0</v>
      </c>
      <c r="AB11432">
        <v>1</v>
      </c>
      <c r="AC11432">
        <v>0</v>
      </c>
      <c r="AD11432">
        <v>1</v>
      </c>
      <c r="AE11432">
        <v>1</v>
      </c>
      <c r="AF11432">
        <v>1</v>
      </c>
      <c r="AG11432">
        <v>1</v>
      </c>
      <c r="AH11432">
        <v>1</v>
      </c>
      <c r="AI11432">
        <v>1</v>
      </c>
      <c r="AJ11432">
        <v>1</v>
      </c>
      <c r="AK11432">
        <v>1</v>
      </c>
      <c r="AL11432">
        <v>1</v>
      </c>
      <c r="AM11432">
        <v>1</v>
      </c>
    </row>
    <row r="11433" spans="1:39" x14ac:dyDescent="0.2">
      <c r="A11433" t="str">
        <f>"11429"</f>
        <v>11429</v>
      </c>
      <c r="B11433" t="str">
        <f t="shared" si="633"/>
        <v>1</v>
      </c>
      <c r="C11433" t="str">
        <f t="shared" si="635"/>
        <v>229</v>
      </c>
      <c r="D11433" t="str">
        <f>"26"</f>
        <v>26</v>
      </c>
      <c r="E11433" t="str">
        <f>"1-229-26"</f>
        <v>1-229-26</v>
      </c>
      <c r="F11433" t="s">
        <v>65</v>
      </c>
      <c r="G11433" t="s">
        <v>66</v>
      </c>
      <c r="H11433" t="s">
        <v>67</v>
      </c>
      <c r="S11433">
        <v>1</v>
      </c>
      <c r="T11433">
        <v>0</v>
      </c>
      <c r="U11433">
        <v>0</v>
      </c>
      <c r="V11433">
        <v>0</v>
      </c>
      <c r="W11433">
        <v>1</v>
      </c>
      <c r="X11433">
        <v>0</v>
      </c>
      <c r="Y11433">
        <v>1</v>
      </c>
      <c r="Z11433">
        <v>0</v>
      </c>
      <c r="AA11433">
        <v>1</v>
      </c>
      <c r="AB11433">
        <v>0</v>
      </c>
      <c r="AC11433">
        <v>0</v>
      </c>
      <c r="AD11433">
        <v>1</v>
      </c>
      <c r="AE11433">
        <v>1</v>
      </c>
      <c r="AF11433">
        <v>1</v>
      </c>
      <c r="AG11433">
        <v>1</v>
      </c>
      <c r="AH11433">
        <v>1</v>
      </c>
      <c r="AI11433">
        <v>1</v>
      </c>
      <c r="AJ11433">
        <v>1</v>
      </c>
      <c r="AK11433">
        <v>1</v>
      </c>
      <c r="AL11433">
        <v>1</v>
      </c>
      <c r="AM11433">
        <v>1</v>
      </c>
    </row>
    <row r="11434" spans="1:39" x14ac:dyDescent="0.2">
      <c r="A11434" t="str">
        <f>"11430"</f>
        <v>11430</v>
      </c>
      <c r="B11434" t="str">
        <f t="shared" si="633"/>
        <v>1</v>
      </c>
      <c r="C11434" t="str">
        <f t="shared" si="635"/>
        <v>229</v>
      </c>
      <c r="D11434" t="str">
        <f>"4"</f>
        <v>4</v>
      </c>
      <c r="E11434" t="str">
        <f>"1-229-4"</f>
        <v>1-229-4</v>
      </c>
      <c r="F11434" t="s">
        <v>65</v>
      </c>
      <c r="G11434" t="s">
        <v>66</v>
      </c>
      <c r="H11434" t="s">
        <v>67</v>
      </c>
      <c r="S11434">
        <v>1</v>
      </c>
      <c r="T11434">
        <v>0</v>
      </c>
      <c r="U11434">
        <v>0</v>
      </c>
      <c r="V11434">
        <v>0</v>
      </c>
      <c r="W11434">
        <v>1</v>
      </c>
      <c r="X11434">
        <v>0</v>
      </c>
      <c r="Y11434">
        <v>1</v>
      </c>
      <c r="Z11434">
        <v>0</v>
      </c>
      <c r="AA11434">
        <v>0</v>
      </c>
      <c r="AB11434">
        <v>1</v>
      </c>
      <c r="AC11434">
        <v>0</v>
      </c>
      <c r="AD11434">
        <v>0</v>
      </c>
      <c r="AE11434">
        <v>0</v>
      </c>
      <c r="AF11434">
        <v>0</v>
      </c>
      <c r="AG11434">
        <v>1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>
        <v>0</v>
      </c>
    </row>
    <row r="11435" spans="1:39" x14ac:dyDescent="0.2">
      <c r="A11435" t="str">
        <f>"11431"</f>
        <v>11431</v>
      </c>
      <c r="B11435" t="str">
        <f t="shared" si="633"/>
        <v>1</v>
      </c>
      <c r="C11435" t="str">
        <f t="shared" si="635"/>
        <v>229</v>
      </c>
      <c r="D11435" t="str">
        <f>"44"</f>
        <v>44</v>
      </c>
      <c r="E11435" t="str">
        <f>"1-229-44"</f>
        <v>1-229-44</v>
      </c>
      <c r="F11435" t="s">
        <v>65</v>
      </c>
      <c r="G11435" t="s">
        <v>66</v>
      </c>
      <c r="H11435" t="s">
        <v>67</v>
      </c>
      <c r="S11435">
        <v>1</v>
      </c>
      <c r="T11435">
        <v>0</v>
      </c>
      <c r="U11435">
        <v>0</v>
      </c>
      <c r="V11435">
        <v>0</v>
      </c>
      <c r="W11435">
        <v>1</v>
      </c>
      <c r="X11435">
        <v>0</v>
      </c>
      <c r="Y11435">
        <v>1</v>
      </c>
      <c r="Z11435">
        <v>0</v>
      </c>
      <c r="AA11435">
        <v>1</v>
      </c>
      <c r="AB11435">
        <v>0</v>
      </c>
      <c r="AC11435">
        <v>0</v>
      </c>
      <c r="AD11435">
        <v>1</v>
      </c>
      <c r="AE11435">
        <v>1</v>
      </c>
      <c r="AF11435">
        <v>1</v>
      </c>
      <c r="AG11435">
        <v>1</v>
      </c>
      <c r="AH11435">
        <v>1</v>
      </c>
      <c r="AI11435">
        <v>1</v>
      </c>
      <c r="AJ11435">
        <v>1</v>
      </c>
      <c r="AK11435">
        <v>1</v>
      </c>
      <c r="AL11435">
        <v>1</v>
      </c>
      <c r="AM11435">
        <v>1</v>
      </c>
    </row>
    <row r="11436" spans="1:39" x14ac:dyDescent="0.2">
      <c r="A11436" t="str">
        <f>"11432"</f>
        <v>11432</v>
      </c>
      <c r="B11436" t="str">
        <f t="shared" si="633"/>
        <v>1</v>
      </c>
      <c r="C11436" t="str">
        <f t="shared" si="635"/>
        <v>229</v>
      </c>
      <c r="D11436" t="str">
        <f>"27"</f>
        <v>27</v>
      </c>
      <c r="E11436" t="str">
        <f>"1-229-27"</f>
        <v>1-229-27</v>
      </c>
      <c r="F11436" t="s">
        <v>65</v>
      </c>
      <c r="G11436" t="s">
        <v>66</v>
      </c>
      <c r="H11436" t="s">
        <v>67</v>
      </c>
      <c r="S11436">
        <v>1</v>
      </c>
      <c r="T11436">
        <v>0</v>
      </c>
      <c r="U11436">
        <v>0</v>
      </c>
      <c r="V11436">
        <v>0</v>
      </c>
      <c r="W11436">
        <v>1</v>
      </c>
      <c r="X11436">
        <v>0</v>
      </c>
      <c r="Y11436">
        <v>1</v>
      </c>
      <c r="Z11436">
        <v>0</v>
      </c>
      <c r="AA11436">
        <v>1</v>
      </c>
      <c r="AB11436">
        <v>0</v>
      </c>
      <c r="AC11436">
        <v>0</v>
      </c>
      <c r="AD11436">
        <v>1</v>
      </c>
      <c r="AE11436">
        <v>1</v>
      </c>
      <c r="AF11436">
        <v>1</v>
      </c>
      <c r="AG11436">
        <v>1</v>
      </c>
      <c r="AH11436">
        <v>1</v>
      </c>
      <c r="AI11436">
        <v>1</v>
      </c>
      <c r="AJ11436">
        <v>1</v>
      </c>
      <c r="AK11436">
        <v>1</v>
      </c>
      <c r="AL11436">
        <v>1</v>
      </c>
      <c r="AM11436">
        <v>1</v>
      </c>
    </row>
    <row r="11437" spans="1:39" x14ac:dyDescent="0.2">
      <c r="A11437" t="str">
        <f>"11433"</f>
        <v>11433</v>
      </c>
      <c r="B11437" t="str">
        <f t="shared" si="633"/>
        <v>1</v>
      </c>
      <c r="C11437" t="str">
        <f t="shared" ref="C11437:C11454" si="636">"229"</f>
        <v>229</v>
      </c>
      <c r="D11437" t="str">
        <f>"10"</f>
        <v>10</v>
      </c>
      <c r="E11437" t="str">
        <f>"1-229-10"</f>
        <v>1-229-10</v>
      </c>
      <c r="F11437" t="s">
        <v>65</v>
      </c>
      <c r="G11437" t="s">
        <v>66</v>
      </c>
      <c r="H11437" t="s">
        <v>67</v>
      </c>
      <c r="S11437">
        <v>0</v>
      </c>
      <c r="T11437">
        <v>1</v>
      </c>
      <c r="U11437">
        <v>0</v>
      </c>
      <c r="V11437">
        <v>0</v>
      </c>
      <c r="W11437">
        <v>1</v>
      </c>
      <c r="X11437">
        <v>0</v>
      </c>
      <c r="Y11437">
        <v>0</v>
      </c>
      <c r="Z11437">
        <v>1</v>
      </c>
      <c r="AA11437">
        <v>0</v>
      </c>
      <c r="AB11437">
        <v>0</v>
      </c>
      <c r="AC11437">
        <v>1</v>
      </c>
      <c r="AD11437">
        <v>1</v>
      </c>
      <c r="AE11437">
        <v>1</v>
      </c>
      <c r="AF11437">
        <v>1</v>
      </c>
      <c r="AG11437">
        <v>1</v>
      </c>
      <c r="AH11437">
        <v>1</v>
      </c>
      <c r="AI11437">
        <v>1</v>
      </c>
      <c r="AJ11437">
        <v>1</v>
      </c>
      <c r="AK11437">
        <v>1</v>
      </c>
      <c r="AL11437">
        <v>1</v>
      </c>
      <c r="AM11437">
        <v>1</v>
      </c>
    </row>
    <row r="11438" spans="1:39" x14ac:dyDescent="0.2">
      <c r="A11438" t="str">
        <f>"11434"</f>
        <v>11434</v>
      </c>
      <c r="B11438" t="str">
        <f t="shared" si="633"/>
        <v>1</v>
      </c>
      <c r="C11438" t="str">
        <f t="shared" si="636"/>
        <v>229</v>
      </c>
      <c r="D11438" t="str">
        <f>"28"</f>
        <v>28</v>
      </c>
      <c r="E11438" t="str">
        <f>"1-229-28"</f>
        <v>1-229-28</v>
      </c>
      <c r="F11438" t="s">
        <v>65</v>
      </c>
      <c r="G11438" t="s">
        <v>66</v>
      </c>
      <c r="H11438" t="s">
        <v>67</v>
      </c>
      <c r="S11438">
        <v>1</v>
      </c>
      <c r="T11438">
        <v>0</v>
      </c>
      <c r="U11438">
        <v>0</v>
      </c>
      <c r="V11438">
        <v>0</v>
      </c>
      <c r="W11438">
        <v>1</v>
      </c>
      <c r="X11438">
        <v>0</v>
      </c>
      <c r="Y11438">
        <v>1</v>
      </c>
      <c r="Z11438">
        <v>0</v>
      </c>
      <c r="AA11438">
        <v>1</v>
      </c>
      <c r="AB11438">
        <v>0</v>
      </c>
      <c r="AC11438">
        <v>0</v>
      </c>
      <c r="AD11438">
        <v>1</v>
      </c>
      <c r="AE11438">
        <v>1</v>
      </c>
      <c r="AF11438">
        <v>1</v>
      </c>
      <c r="AG11438">
        <v>1</v>
      </c>
      <c r="AH11438">
        <v>1</v>
      </c>
      <c r="AI11438">
        <v>1</v>
      </c>
      <c r="AJ11438">
        <v>1</v>
      </c>
      <c r="AK11438">
        <v>1</v>
      </c>
      <c r="AL11438">
        <v>1</v>
      </c>
      <c r="AM11438">
        <v>1</v>
      </c>
    </row>
    <row r="11439" spans="1:39" x14ac:dyDescent="0.2">
      <c r="A11439" t="str">
        <f>"11435"</f>
        <v>11435</v>
      </c>
      <c r="B11439" t="str">
        <f t="shared" si="633"/>
        <v>1</v>
      </c>
      <c r="C11439" t="str">
        <f t="shared" si="636"/>
        <v>229</v>
      </c>
      <c r="D11439" t="str">
        <f>"6"</f>
        <v>6</v>
      </c>
      <c r="E11439" t="str">
        <f>"1-229-6"</f>
        <v>1-229-6</v>
      </c>
      <c r="F11439" t="s">
        <v>65</v>
      </c>
      <c r="G11439" t="s">
        <v>66</v>
      </c>
      <c r="H11439" t="s">
        <v>67</v>
      </c>
      <c r="S11439">
        <v>1</v>
      </c>
      <c r="T11439">
        <v>0</v>
      </c>
      <c r="U11439">
        <v>0</v>
      </c>
      <c r="V11439">
        <v>0</v>
      </c>
      <c r="W11439">
        <v>1</v>
      </c>
      <c r="X11439">
        <v>0</v>
      </c>
      <c r="Y11439">
        <v>0</v>
      </c>
      <c r="Z11439">
        <v>1</v>
      </c>
      <c r="AA11439">
        <v>0</v>
      </c>
      <c r="AB11439">
        <v>1</v>
      </c>
      <c r="AC11439">
        <v>0</v>
      </c>
      <c r="AD11439">
        <v>0</v>
      </c>
      <c r="AE11439">
        <v>0</v>
      </c>
      <c r="AF11439">
        <v>0</v>
      </c>
      <c r="AG11439">
        <v>1</v>
      </c>
      <c r="AH11439">
        <v>0</v>
      </c>
      <c r="AI11439">
        <v>0</v>
      </c>
      <c r="AJ11439">
        <v>0</v>
      </c>
      <c r="AK11439">
        <v>0</v>
      </c>
      <c r="AL11439">
        <v>1</v>
      </c>
      <c r="AM11439">
        <v>0</v>
      </c>
    </row>
    <row r="11440" spans="1:39" x14ac:dyDescent="0.2">
      <c r="A11440" t="str">
        <f>"11436"</f>
        <v>11436</v>
      </c>
      <c r="B11440" t="str">
        <f t="shared" si="633"/>
        <v>1</v>
      </c>
      <c r="C11440" t="str">
        <f t="shared" si="636"/>
        <v>229</v>
      </c>
      <c r="D11440" t="str">
        <f>"30"</f>
        <v>30</v>
      </c>
      <c r="E11440" t="str">
        <f>"1-229-30"</f>
        <v>1-229-30</v>
      </c>
      <c r="F11440" t="s">
        <v>65</v>
      </c>
      <c r="G11440" t="s">
        <v>66</v>
      </c>
      <c r="H11440" t="s">
        <v>67</v>
      </c>
      <c r="S11440">
        <v>1</v>
      </c>
      <c r="T11440">
        <v>0</v>
      </c>
      <c r="U11440">
        <v>0</v>
      </c>
      <c r="V11440">
        <v>0</v>
      </c>
      <c r="W11440">
        <v>1</v>
      </c>
      <c r="X11440">
        <v>0</v>
      </c>
      <c r="Y11440">
        <v>0</v>
      </c>
      <c r="Z11440">
        <v>1</v>
      </c>
      <c r="AA11440">
        <v>0</v>
      </c>
      <c r="AB11440">
        <v>1</v>
      </c>
      <c r="AC11440">
        <v>0</v>
      </c>
      <c r="AD11440">
        <v>1</v>
      </c>
      <c r="AE11440">
        <v>1</v>
      </c>
      <c r="AF11440">
        <v>1</v>
      </c>
      <c r="AG11440">
        <v>1</v>
      </c>
      <c r="AH11440">
        <v>1</v>
      </c>
      <c r="AI11440">
        <v>1</v>
      </c>
      <c r="AJ11440">
        <v>1</v>
      </c>
      <c r="AK11440">
        <v>1</v>
      </c>
      <c r="AL11440">
        <v>1</v>
      </c>
      <c r="AM11440">
        <v>1</v>
      </c>
    </row>
    <row r="11441" spans="1:39" x14ac:dyDescent="0.2">
      <c r="A11441" t="str">
        <f>"11437"</f>
        <v>11437</v>
      </c>
      <c r="B11441" t="str">
        <f t="shared" si="633"/>
        <v>1</v>
      </c>
      <c r="C11441" t="str">
        <f t="shared" si="636"/>
        <v>229</v>
      </c>
      <c r="D11441" t="str">
        <f>"9"</f>
        <v>9</v>
      </c>
      <c r="E11441" t="str">
        <f>"1-229-9"</f>
        <v>1-229-9</v>
      </c>
      <c r="F11441" t="s">
        <v>65</v>
      </c>
      <c r="G11441" t="s">
        <v>66</v>
      </c>
      <c r="H11441" t="s">
        <v>67</v>
      </c>
      <c r="S11441">
        <v>0</v>
      </c>
      <c r="T11441">
        <v>1</v>
      </c>
      <c r="U11441">
        <v>0</v>
      </c>
      <c r="V11441">
        <v>0</v>
      </c>
      <c r="W11441">
        <v>0</v>
      </c>
      <c r="X11441">
        <v>1</v>
      </c>
      <c r="Y11441">
        <v>0</v>
      </c>
      <c r="Z11441">
        <v>1</v>
      </c>
      <c r="AA11441">
        <v>0</v>
      </c>
      <c r="AB11441">
        <v>0</v>
      </c>
      <c r="AC11441">
        <v>1</v>
      </c>
      <c r="AD11441">
        <v>1</v>
      </c>
      <c r="AE11441">
        <v>1</v>
      </c>
      <c r="AF11441">
        <v>1</v>
      </c>
      <c r="AG11441">
        <v>1</v>
      </c>
      <c r="AH11441">
        <v>1</v>
      </c>
      <c r="AI11441">
        <v>1</v>
      </c>
      <c r="AJ11441">
        <v>1</v>
      </c>
      <c r="AK11441">
        <v>1</v>
      </c>
      <c r="AL11441">
        <v>1</v>
      </c>
      <c r="AM11441">
        <v>1</v>
      </c>
    </row>
    <row r="11442" spans="1:39" x14ac:dyDescent="0.2">
      <c r="A11442" t="str">
        <f>"11438"</f>
        <v>11438</v>
      </c>
      <c r="B11442" t="str">
        <f t="shared" si="633"/>
        <v>1</v>
      </c>
      <c r="C11442" t="str">
        <f t="shared" si="636"/>
        <v>229</v>
      </c>
      <c r="D11442" t="str">
        <f>"46"</f>
        <v>46</v>
      </c>
      <c r="E11442" t="str">
        <f>"1-229-46"</f>
        <v>1-229-46</v>
      </c>
      <c r="F11442" t="s">
        <v>65</v>
      </c>
      <c r="G11442" t="s">
        <v>66</v>
      </c>
      <c r="H11442" t="s">
        <v>67</v>
      </c>
      <c r="S11442">
        <v>1</v>
      </c>
      <c r="T11442">
        <v>0</v>
      </c>
      <c r="U11442">
        <v>0</v>
      </c>
      <c r="V11442">
        <v>0</v>
      </c>
      <c r="W11442">
        <v>1</v>
      </c>
      <c r="X11442">
        <v>0</v>
      </c>
      <c r="Y11442">
        <v>1</v>
      </c>
      <c r="Z11442">
        <v>0</v>
      </c>
      <c r="AA11442">
        <v>0</v>
      </c>
      <c r="AB11442">
        <v>0</v>
      </c>
      <c r="AC11442">
        <v>1</v>
      </c>
      <c r="AD11442">
        <v>1</v>
      </c>
      <c r="AE11442">
        <v>1</v>
      </c>
      <c r="AF11442">
        <v>1</v>
      </c>
      <c r="AG11442">
        <v>1</v>
      </c>
      <c r="AH11442">
        <v>1</v>
      </c>
      <c r="AI11442">
        <v>1</v>
      </c>
      <c r="AJ11442">
        <v>1</v>
      </c>
      <c r="AK11442">
        <v>1</v>
      </c>
      <c r="AL11442">
        <v>1</v>
      </c>
      <c r="AM11442">
        <v>1</v>
      </c>
    </row>
    <row r="11443" spans="1:39" x14ac:dyDescent="0.2">
      <c r="A11443" t="str">
        <f>"11439"</f>
        <v>11439</v>
      </c>
      <c r="B11443" t="str">
        <f t="shared" si="633"/>
        <v>1</v>
      </c>
      <c r="C11443" t="str">
        <f t="shared" si="636"/>
        <v>229</v>
      </c>
      <c r="D11443" t="str">
        <f>"31"</f>
        <v>31</v>
      </c>
      <c r="E11443" t="str">
        <f>"1-229-31"</f>
        <v>1-229-31</v>
      </c>
      <c r="F11443" t="s">
        <v>65</v>
      </c>
      <c r="G11443" t="s">
        <v>66</v>
      </c>
      <c r="H11443" t="s">
        <v>67</v>
      </c>
      <c r="S11443">
        <v>1</v>
      </c>
      <c r="T11443">
        <v>0</v>
      </c>
      <c r="U11443">
        <v>0</v>
      </c>
      <c r="V11443">
        <v>0</v>
      </c>
      <c r="W11443">
        <v>0</v>
      </c>
      <c r="X11443">
        <v>1</v>
      </c>
      <c r="Y11443">
        <v>1</v>
      </c>
      <c r="Z11443">
        <v>0</v>
      </c>
      <c r="AA11443">
        <v>0</v>
      </c>
      <c r="AB11443">
        <v>0</v>
      </c>
      <c r="AC11443">
        <v>1</v>
      </c>
      <c r="AD11443">
        <v>1</v>
      </c>
      <c r="AE11443">
        <v>1</v>
      </c>
      <c r="AF11443">
        <v>1</v>
      </c>
      <c r="AG11443">
        <v>1</v>
      </c>
      <c r="AH11443">
        <v>1</v>
      </c>
      <c r="AI11443">
        <v>1</v>
      </c>
      <c r="AJ11443">
        <v>1</v>
      </c>
      <c r="AK11443">
        <v>1</v>
      </c>
      <c r="AL11443">
        <v>1</v>
      </c>
      <c r="AM11443">
        <v>1</v>
      </c>
    </row>
    <row r="11444" spans="1:39" x14ac:dyDescent="0.2">
      <c r="A11444" t="str">
        <f>"11440"</f>
        <v>11440</v>
      </c>
      <c r="B11444" t="str">
        <f t="shared" si="633"/>
        <v>1</v>
      </c>
      <c r="C11444" t="str">
        <f t="shared" si="636"/>
        <v>229</v>
      </c>
      <c r="D11444" t="str">
        <f>"13"</f>
        <v>13</v>
      </c>
      <c r="E11444" t="str">
        <f>"1-229-13"</f>
        <v>1-229-13</v>
      </c>
      <c r="F11444" t="s">
        <v>65</v>
      </c>
      <c r="G11444" t="s">
        <v>66</v>
      </c>
      <c r="H11444" t="s">
        <v>67</v>
      </c>
      <c r="S11444">
        <v>0</v>
      </c>
      <c r="T11444">
        <v>1</v>
      </c>
      <c r="U11444">
        <v>0</v>
      </c>
      <c r="V11444">
        <v>0</v>
      </c>
      <c r="W11444">
        <v>1</v>
      </c>
      <c r="X11444">
        <v>0</v>
      </c>
      <c r="Y11444">
        <v>0</v>
      </c>
      <c r="Z11444">
        <v>1</v>
      </c>
      <c r="AA11444">
        <v>1</v>
      </c>
      <c r="AB11444">
        <v>0</v>
      </c>
      <c r="AC11444">
        <v>0</v>
      </c>
      <c r="AD11444">
        <v>1</v>
      </c>
      <c r="AE11444">
        <v>1</v>
      </c>
      <c r="AF11444">
        <v>1</v>
      </c>
      <c r="AG11444">
        <v>1</v>
      </c>
      <c r="AH11444">
        <v>1</v>
      </c>
      <c r="AI11444">
        <v>1</v>
      </c>
      <c r="AJ11444">
        <v>1</v>
      </c>
      <c r="AK11444">
        <v>1</v>
      </c>
      <c r="AL11444">
        <v>1</v>
      </c>
      <c r="AM11444">
        <v>1</v>
      </c>
    </row>
    <row r="11445" spans="1:39" x14ac:dyDescent="0.2">
      <c r="A11445" t="str">
        <f>"11441"</f>
        <v>11441</v>
      </c>
      <c r="B11445" t="str">
        <f t="shared" si="633"/>
        <v>1</v>
      </c>
      <c r="C11445" t="str">
        <f t="shared" si="636"/>
        <v>229</v>
      </c>
      <c r="D11445" t="str">
        <f>"32"</f>
        <v>32</v>
      </c>
      <c r="E11445" t="str">
        <f>"1-229-32"</f>
        <v>1-229-32</v>
      </c>
      <c r="F11445" t="s">
        <v>65</v>
      </c>
      <c r="G11445" t="s">
        <v>66</v>
      </c>
      <c r="H11445" t="s">
        <v>67</v>
      </c>
      <c r="S11445">
        <v>1</v>
      </c>
      <c r="T11445">
        <v>0</v>
      </c>
      <c r="U11445">
        <v>0</v>
      </c>
      <c r="V11445">
        <v>0</v>
      </c>
      <c r="W11445">
        <v>1</v>
      </c>
      <c r="X11445">
        <v>0</v>
      </c>
      <c r="Y11445">
        <v>1</v>
      </c>
      <c r="Z11445">
        <v>0</v>
      </c>
      <c r="AA11445">
        <v>0</v>
      </c>
      <c r="AB11445">
        <v>1</v>
      </c>
      <c r="AC11445">
        <v>0</v>
      </c>
      <c r="AD11445">
        <v>1</v>
      </c>
      <c r="AE11445">
        <v>1</v>
      </c>
      <c r="AF11445">
        <v>1</v>
      </c>
      <c r="AG11445">
        <v>1</v>
      </c>
      <c r="AH11445">
        <v>1</v>
      </c>
      <c r="AI11445">
        <v>1</v>
      </c>
      <c r="AJ11445">
        <v>1</v>
      </c>
      <c r="AK11445">
        <v>1</v>
      </c>
      <c r="AL11445">
        <v>1</v>
      </c>
      <c r="AM11445">
        <v>1</v>
      </c>
    </row>
    <row r="11446" spans="1:39" x14ac:dyDescent="0.2">
      <c r="A11446" t="str">
        <f>"11442"</f>
        <v>11442</v>
      </c>
      <c r="B11446" t="str">
        <f t="shared" si="633"/>
        <v>1</v>
      </c>
      <c r="C11446" t="str">
        <f t="shared" si="636"/>
        <v>229</v>
      </c>
      <c r="D11446" t="str">
        <f>"3"</f>
        <v>3</v>
      </c>
      <c r="E11446" t="str">
        <f>"1-229-3"</f>
        <v>1-229-3</v>
      </c>
      <c r="F11446" t="s">
        <v>65</v>
      </c>
      <c r="G11446" t="s">
        <v>66</v>
      </c>
      <c r="H11446" t="s">
        <v>67</v>
      </c>
      <c r="S11446">
        <v>1</v>
      </c>
      <c r="T11446">
        <v>0</v>
      </c>
      <c r="U11446">
        <v>0</v>
      </c>
      <c r="V11446">
        <v>0</v>
      </c>
      <c r="W11446">
        <v>1</v>
      </c>
      <c r="X11446">
        <v>0</v>
      </c>
      <c r="Y11446">
        <v>1</v>
      </c>
      <c r="Z11446">
        <v>0</v>
      </c>
      <c r="AA11446">
        <v>0</v>
      </c>
      <c r="AB11446">
        <v>1</v>
      </c>
      <c r="AC11446">
        <v>0</v>
      </c>
      <c r="AD11446">
        <v>0</v>
      </c>
      <c r="AE11446">
        <v>0</v>
      </c>
      <c r="AF11446">
        <v>0</v>
      </c>
      <c r="AG11446">
        <v>1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>
        <v>0</v>
      </c>
    </row>
    <row r="11447" spans="1:39" x14ac:dyDescent="0.2">
      <c r="A11447" t="str">
        <f>"11443"</f>
        <v>11443</v>
      </c>
      <c r="B11447" t="str">
        <f t="shared" ref="B11447:B11510" si="637">"1"</f>
        <v>1</v>
      </c>
      <c r="C11447" t="str">
        <f t="shared" si="636"/>
        <v>229</v>
      </c>
      <c r="D11447" t="str">
        <f>"33"</f>
        <v>33</v>
      </c>
      <c r="E11447" t="str">
        <f>"1-229-33"</f>
        <v>1-229-33</v>
      </c>
      <c r="F11447" t="s">
        <v>65</v>
      </c>
      <c r="G11447" t="s">
        <v>66</v>
      </c>
      <c r="H11447" t="s">
        <v>67</v>
      </c>
      <c r="S11447">
        <v>1</v>
      </c>
      <c r="T11447">
        <v>0</v>
      </c>
      <c r="U11447">
        <v>0</v>
      </c>
      <c r="V11447">
        <v>0</v>
      </c>
      <c r="W11447">
        <v>1</v>
      </c>
      <c r="X11447">
        <v>0</v>
      </c>
      <c r="Y11447">
        <v>1</v>
      </c>
      <c r="Z11447">
        <v>0</v>
      </c>
      <c r="AA11447">
        <v>1</v>
      </c>
      <c r="AB11447">
        <v>0</v>
      </c>
      <c r="AC11447">
        <v>0</v>
      </c>
      <c r="AD11447">
        <v>0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>
        <v>0</v>
      </c>
    </row>
    <row r="11448" spans="1:39" x14ac:dyDescent="0.2">
      <c r="A11448" t="str">
        <f>"11444"</f>
        <v>11444</v>
      </c>
      <c r="B11448" t="str">
        <f t="shared" si="637"/>
        <v>1</v>
      </c>
      <c r="C11448" t="str">
        <f t="shared" si="636"/>
        <v>229</v>
      </c>
      <c r="D11448" t="str">
        <f>"7"</f>
        <v>7</v>
      </c>
      <c r="E11448" t="str">
        <f>"1-229-7"</f>
        <v>1-229-7</v>
      </c>
      <c r="F11448" t="s">
        <v>65</v>
      </c>
      <c r="G11448" t="s">
        <v>66</v>
      </c>
      <c r="H11448" t="s">
        <v>67</v>
      </c>
      <c r="S11448">
        <v>1</v>
      </c>
      <c r="T11448">
        <v>0</v>
      </c>
      <c r="U11448">
        <v>0</v>
      </c>
      <c r="V11448">
        <v>0</v>
      </c>
      <c r="W11448">
        <v>1</v>
      </c>
      <c r="X11448">
        <v>0</v>
      </c>
      <c r="Y11448">
        <v>0</v>
      </c>
      <c r="Z11448">
        <v>1</v>
      </c>
      <c r="AA11448">
        <v>0</v>
      </c>
      <c r="AB11448">
        <v>1</v>
      </c>
      <c r="AC11448">
        <v>0</v>
      </c>
      <c r="AD11448">
        <v>0</v>
      </c>
      <c r="AE11448">
        <v>0</v>
      </c>
      <c r="AF11448">
        <v>0</v>
      </c>
      <c r="AG11448">
        <v>1</v>
      </c>
      <c r="AH11448">
        <v>0</v>
      </c>
      <c r="AI11448">
        <v>0</v>
      </c>
      <c r="AJ11448">
        <v>0</v>
      </c>
      <c r="AK11448">
        <v>0</v>
      </c>
      <c r="AL11448">
        <v>1</v>
      </c>
      <c r="AM11448">
        <v>0</v>
      </c>
    </row>
    <row r="11449" spans="1:39" x14ac:dyDescent="0.2">
      <c r="A11449" t="str">
        <f>"11445"</f>
        <v>11445</v>
      </c>
      <c r="B11449" t="str">
        <f t="shared" si="637"/>
        <v>1</v>
      </c>
      <c r="C11449" t="str">
        <f t="shared" si="636"/>
        <v>229</v>
      </c>
      <c r="D11449" t="str">
        <f>"48"</f>
        <v>48</v>
      </c>
      <c r="E11449" t="str">
        <f>"1-229-48"</f>
        <v>1-229-48</v>
      </c>
      <c r="F11449" t="s">
        <v>65</v>
      </c>
      <c r="G11449" t="s">
        <v>66</v>
      </c>
      <c r="H11449" t="s">
        <v>67</v>
      </c>
      <c r="S11449">
        <v>1</v>
      </c>
      <c r="T11449">
        <v>0</v>
      </c>
      <c r="U11449">
        <v>0</v>
      </c>
      <c r="V11449">
        <v>0</v>
      </c>
      <c r="W11449">
        <v>1</v>
      </c>
      <c r="X11449">
        <v>0</v>
      </c>
      <c r="Y11449">
        <v>1</v>
      </c>
      <c r="Z11449">
        <v>0</v>
      </c>
      <c r="AA11449">
        <v>1</v>
      </c>
      <c r="AB11449">
        <v>0</v>
      </c>
      <c r="AC11449">
        <v>0</v>
      </c>
      <c r="AD11449">
        <v>1</v>
      </c>
      <c r="AE11449">
        <v>1</v>
      </c>
      <c r="AF11449">
        <v>1</v>
      </c>
      <c r="AG11449">
        <v>1</v>
      </c>
      <c r="AH11449">
        <v>1</v>
      </c>
      <c r="AI11449">
        <v>1</v>
      </c>
      <c r="AJ11449">
        <v>1</v>
      </c>
      <c r="AK11449">
        <v>1</v>
      </c>
      <c r="AL11449">
        <v>1</v>
      </c>
      <c r="AM11449">
        <v>1</v>
      </c>
    </row>
    <row r="11450" spans="1:39" x14ac:dyDescent="0.2">
      <c r="A11450" t="str">
        <f>"11446"</f>
        <v>11446</v>
      </c>
      <c r="B11450" t="str">
        <f t="shared" si="637"/>
        <v>1</v>
      </c>
      <c r="C11450" t="str">
        <f t="shared" si="636"/>
        <v>229</v>
      </c>
      <c r="D11450" t="str">
        <f>"34"</f>
        <v>34</v>
      </c>
      <c r="E11450" t="str">
        <f>"1-229-34"</f>
        <v>1-229-34</v>
      </c>
      <c r="F11450" t="s">
        <v>65</v>
      </c>
      <c r="G11450" t="s">
        <v>66</v>
      </c>
      <c r="H11450" t="s">
        <v>67</v>
      </c>
      <c r="S11450">
        <v>0</v>
      </c>
      <c r="T11450">
        <v>1</v>
      </c>
      <c r="U11450">
        <v>0</v>
      </c>
      <c r="V11450">
        <v>0</v>
      </c>
      <c r="W11450">
        <v>0</v>
      </c>
      <c r="X11450">
        <v>1</v>
      </c>
      <c r="Y11450">
        <v>1</v>
      </c>
      <c r="Z11450">
        <v>0</v>
      </c>
      <c r="AA11450">
        <v>1</v>
      </c>
      <c r="AB11450">
        <v>0</v>
      </c>
      <c r="AC11450">
        <v>0</v>
      </c>
      <c r="AD11450">
        <v>1</v>
      </c>
      <c r="AE11450">
        <v>1</v>
      </c>
      <c r="AF11450">
        <v>1</v>
      </c>
      <c r="AG11450">
        <v>1</v>
      </c>
      <c r="AH11450">
        <v>1</v>
      </c>
      <c r="AI11450">
        <v>1</v>
      </c>
      <c r="AJ11450">
        <v>1</v>
      </c>
      <c r="AK11450">
        <v>1</v>
      </c>
      <c r="AL11450">
        <v>1</v>
      </c>
      <c r="AM11450">
        <v>1</v>
      </c>
    </row>
    <row r="11451" spans="1:39" x14ac:dyDescent="0.2">
      <c r="A11451" t="str">
        <f>"11447"</f>
        <v>11447</v>
      </c>
      <c r="B11451" t="str">
        <f t="shared" si="637"/>
        <v>1</v>
      </c>
      <c r="C11451" t="str">
        <f t="shared" si="636"/>
        <v>229</v>
      </c>
      <c r="D11451" t="str">
        <f>"12"</f>
        <v>12</v>
      </c>
      <c r="E11451" t="str">
        <f>"1-229-12"</f>
        <v>1-229-12</v>
      </c>
      <c r="F11451" t="s">
        <v>65</v>
      </c>
      <c r="G11451" t="s">
        <v>66</v>
      </c>
      <c r="H11451" t="s">
        <v>67</v>
      </c>
      <c r="S11451">
        <v>1</v>
      </c>
      <c r="T11451">
        <v>0</v>
      </c>
      <c r="U11451">
        <v>0</v>
      </c>
      <c r="V11451">
        <v>0</v>
      </c>
      <c r="W11451">
        <v>1</v>
      </c>
      <c r="X11451">
        <v>0</v>
      </c>
      <c r="Y11451">
        <v>1</v>
      </c>
      <c r="Z11451">
        <v>0</v>
      </c>
      <c r="AA11451">
        <v>1</v>
      </c>
      <c r="AB11451">
        <v>0</v>
      </c>
      <c r="AC11451">
        <v>0</v>
      </c>
      <c r="AD11451">
        <v>1</v>
      </c>
      <c r="AE11451">
        <v>0</v>
      </c>
      <c r="AF11451">
        <v>1</v>
      </c>
      <c r="AG11451">
        <v>1</v>
      </c>
      <c r="AH11451">
        <v>1</v>
      </c>
      <c r="AI11451">
        <v>1</v>
      </c>
      <c r="AJ11451">
        <v>1</v>
      </c>
      <c r="AK11451">
        <v>0</v>
      </c>
      <c r="AL11451">
        <v>1</v>
      </c>
      <c r="AM11451">
        <v>1</v>
      </c>
    </row>
    <row r="11452" spans="1:39" x14ac:dyDescent="0.2">
      <c r="A11452" t="str">
        <f>"11448"</f>
        <v>11448</v>
      </c>
      <c r="B11452" t="str">
        <f t="shared" si="637"/>
        <v>1</v>
      </c>
      <c r="C11452" t="str">
        <f t="shared" si="636"/>
        <v>229</v>
      </c>
      <c r="D11452" t="str">
        <f>"47"</f>
        <v>47</v>
      </c>
      <c r="E11452" t="str">
        <f>"1-229-47"</f>
        <v>1-229-47</v>
      </c>
      <c r="F11452" t="s">
        <v>65</v>
      </c>
      <c r="G11452" t="s">
        <v>66</v>
      </c>
      <c r="H11452" t="s">
        <v>67</v>
      </c>
      <c r="S11452">
        <v>1</v>
      </c>
      <c r="T11452">
        <v>0</v>
      </c>
      <c r="U11452">
        <v>0</v>
      </c>
      <c r="V11452">
        <v>0</v>
      </c>
      <c r="W11452">
        <v>1</v>
      </c>
      <c r="X11452">
        <v>0</v>
      </c>
      <c r="Y11452">
        <v>0</v>
      </c>
      <c r="Z11452">
        <v>1</v>
      </c>
      <c r="AA11452">
        <v>1</v>
      </c>
      <c r="AB11452">
        <v>0</v>
      </c>
      <c r="AC11452">
        <v>0</v>
      </c>
      <c r="AD11452">
        <v>1</v>
      </c>
      <c r="AE11452">
        <v>1</v>
      </c>
      <c r="AF11452">
        <v>1</v>
      </c>
      <c r="AG11452">
        <v>1</v>
      </c>
      <c r="AH11452">
        <v>1</v>
      </c>
      <c r="AI11452">
        <v>1</v>
      </c>
      <c r="AJ11452">
        <v>1</v>
      </c>
      <c r="AK11452">
        <v>1</v>
      </c>
      <c r="AL11452">
        <v>1</v>
      </c>
      <c r="AM11452">
        <v>1</v>
      </c>
    </row>
    <row r="11453" spans="1:39" x14ac:dyDescent="0.2">
      <c r="A11453" t="str">
        <f>"11449"</f>
        <v>11449</v>
      </c>
      <c r="B11453" t="str">
        <f t="shared" si="637"/>
        <v>1</v>
      </c>
      <c r="C11453" t="str">
        <f t="shared" si="636"/>
        <v>229</v>
      </c>
      <c r="D11453" t="str">
        <f>"50"</f>
        <v>50</v>
      </c>
      <c r="E11453" t="str">
        <f>"1-229-50"</f>
        <v>1-229-50</v>
      </c>
      <c r="F11453" t="s">
        <v>65</v>
      </c>
      <c r="G11453" t="s">
        <v>66</v>
      </c>
      <c r="H11453" t="s">
        <v>67</v>
      </c>
      <c r="S11453">
        <v>1</v>
      </c>
      <c r="T11453">
        <v>0</v>
      </c>
      <c r="U11453">
        <v>0</v>
      </c>
      <c r="V11453">
        <v>0</v>
      </c>
      <c r="W11453">
        <v>1</v>
      </c>
      <c r="X11453">
        <v>0</v>
      </c>
      <c r="Y11453">
        <v>0</v>
      </c>
      <c r="Z11453">
        <v>1</v>
      </c>
      <c r="AA11453">
        <v>0</v>
      </c>
      <c r="AB11453">
        <v>0</v>
      </c>
      <c r="AC11453">
        <v>1</v>
      </c>
      <c r="AD11453">
        <v>1</v>
      </c>
      <c r="AE11453">
        <v>1</v>
      </c>
      <c r="AF11453">
        <v>1</v>
      </c>
      <c r="AG11453">
        <v>1</v>
      </c>
      <c r="AH11453">
        <v>1</v>
      </c>
      <c r="AI11453">
        <v>1</v>
      </c>
      <c r="AJ11453">
        <v>1</v>
      </c>
      <c r="AK11453">
        <v>1</v>
      </c>
      <c r="AL11453">
        <v>1</v>
      </c>
      <c r="AM11453">
        <v>1</v>
      </c>
    </row>
    <row r="11454" spans="1:39" x14ac:dyDescent="0.2">
      <c r="A11454" t="str">
        <f>"11450"</f>
        <v>11450</v>
      </c>
      <c r="B11454" t="str">
        <f t="shared" si="637"/>
        <v>1</v>
      </c>
      <c r="C11454" t="str">
        <f t="shared" si="636"/>
        <v>229</v>
      </c>
      <c r="D11454" t="str">
        <f>"49"</f>
        <v>49</v>
      </c>
      <c r="E11454" t="str">
        <f>"1-229-49"</f>
        <v>1-229-49</v>
      </c>
      <c r="F11454" t="s">
        <v>65</v>
      </c>
      <c r="G11454" t="s">
        <v>66</v>
      </c>
      <c r="H11454" t="s">
        <v>67</v>
      </c>
      <c r="S11454">
        <v>1</v>
      </c>
      <c r="T11454">
        <v>0</v>
      </c>
      <c r="U11454">
        <v>0</v>
      </c>
      <c r="V11454">
        <v>0</v>
      </c>
      <c r="W11454">
        <v>1</v>
      </c>
      <c r="X11454">
        <v>0</v>
      </c>
      <c r="Y11454">
        <v>1</v>
      </c>
      <c r="Z11454">
        <v>0</v>
      </c>
      <c r="AA11454">
        <v>1</v>
      </c>
      <c r="AB11454">
        <v>0</v>
      </c>
      <c r="AC11454">
        <v>0</v>
      </c>
      <c r="AD11454">
        <v>0</v>
      </c>
      <c r="AE11454">
        <v>0</v>
      </c>
      <c r="AF11454">
        <v>0</v>
      </c>
      <c r="AG11454">
        <v>1</v>
      </c>
      <c r="AH11454">
        <v>0</v>
      </c>
      <c r="AI11454">
        <v>0</v>
      </c>
      <c r="AJ11454">
        <v>0</v>
      </c>
      <c r="AK11454">
        <v>0</v>
      </c>
      <c r="AL11454">
        <v>1</v>
      </c>
      <c r="AM11454">
        <v>0</v>
      </c>
    </row>
    <row r="11455" spans="1:39" x14ac:dyDescent="0.2">
      <c r="A11455" t="str">
        <f>"11451"</f>
        <v>11451</v>
      </c>
      <c r="B11455" t="str">
        <f t="shared" si="637"/>
        <v>1</v>
      </c>
      <c r="C11455" t="str">
        <f t="shared" ref="C11455:C11486" si="638">"230"</f>
        <v>230</v>
      </c>
      <c r="D11455" t="str">
        <f>"38"</f>
        <v>38</v>
      </c>
      <c r="E11455" t="str">
        <f>"1-230-38"</f>
        <v>1-230-38</v>
      </c>
      <c r="F11455" t="s">
        <v>65</v>
      </c>
      <c r="G11455" t="s">
        <v>66</v>
      </c>
      <c r="H11455" t="s">
        <v>67</v>
      </c>
      <c r="S11455">
        <v>1</v>
      </c>
      <c r="T11455">
        <v>0</v>
      </c>
      <c r="U11455">
        <v>0</v>
      </c>
      <c r="V11455">
        <v>0</v>
      </c>
      <c r="W11455">
        <v>1</v>
      </c>
      <c r="X11455">
        <v>0</v>
      </c>
      <c r="Y11455">
        <v>1</v>
      </c>
      <c r="Z11455">
        <v>0</v>
      </c>
      <c r="AA11455">
        <v>1</v>
      </c>
      <c r="AB11455">
        <v>0</v>
      </c>
      <c r="AC11455">
        <v>0</v>
      </c>
      <c r="AD11455">
        <v>1</v>
      </c>
      <c r="AE11455">
        <v>1</v>
      </c>
      <c r="AF11455">
        <v>1</v>
      </c>
      <c r="AG11455">
        <v>1</v>
      </c>
      <c r="AH11455">
        <v>1</v>
      </c>
      <c r="AI11455">
        <v>1</v>
      </c>
      <c r="AJ11455">
        <v>1</v>
      </c>
      <c r="AK11455">
        <v>1</v>
      </c>
      <c r="AL11455">
        <v>1</v>
      </c>
      <c r="AM11455">
        <v>1</v>
      </c>
    </row>
    <row r="11456" spans="1:39" x14ac:dyDescent="0.2">
      <c r="A11456" t="str">
        <f>"11452"</f>
        <v>11452</v>
      </c>
      <c r="B11456" t="str">
        <f t="shared" si="637"/>
        <v>1</v>
      </c>
      <c r="C11456" t="str">
        <f t="shared" si="638"/>
        <v>230</v>
      </c>
      <c r="D11456" t="str">
        <f>"37"</f>
        <v>37</v>
      </c>
      <c r="E11456" t="str">
        <f>"1-230-37"</f>
        <v>1-230-37</v>
      </c>
      <c r="F11456" t="s">
        <v>65</v>
      </c>
      <c r="G11456" t="s">
        <v>66</v>
      </c>
      <c r="H11456" t="s">
        <v>67</v>
      </c>
      <c r="S11456">
        <v>1</v>
      </c>
      <c r="T11456">
        <v>0</v>
      </c>
      <c r="U11456">
        <v>0</v>
      </c>
      <c r="V11456">
        <v>0</v>
      </c>
      <c r="W11456">
        <v>1</v>
      </c>
      <c r="X11456">
        <v>0</v>
      </c>
      <c r="Y11456">
        <v>1</v>
      </c>
      <c r="Z11456">
        <v>0</v>
      </c>
      <c r="AA11456">
        <v>1</v>
      </c>
      <c r="AB11456">
        <v>0</v>
      </c>
      <c r="AC11456">
        <v>0</v>
      </c>
      <c r="AD11456">
        <v>1</v>
      </c>
      <c r="AE11456">
        <v>1</v>
      </c>
      <c r="AF11456">
        <v>1</v>
      </c>
      <c r="AG11456">
        <v>1</v>
      </c>
      <c r="AH11456">
        <v>1</v>
      </c>
      <c r="AI11456">
        <v>1</v>
      </c>
      <c r="AJ11456">
        <v>1</v>
      </c>
      <c r="AK11456">
        <v>1</v>
      </c>
      <c r="AL11456">
        <v>1</v>
      </c>
      <c r="AM11456">
        <v>1</v>
      </c>
    </row>
    <row r="11457" spans="1:39" x14ac:dyDescent="0.2">
      <c r="A11457" t="str">
        <f>"11453"</f>
        <v>11453</v>
      </c>
      <c r="B11457" t="str">
        <f t="shared" si="637"/>
        <v>1</v>
      </c>
      <c r="C11457" t="str">
        <f t="shared" si="638"/>
        <v>230</v>
      </c>
      <c r="D11457" t="str">
        <f>"29"</f>
        <v>29</v>
      </c>
      <c r="E11457" t="str">
        <f>"1-230-29"</f>
        <v>1-230-29</v>
      </c>
      <c r="F11457" t="s">
        <v>65</v>
      </c>
      <c r="G11457" t="s">
        <v>66</v>
      </c>
      <c r="H11457" t="s">
        <v>67</v>
      </c>
      <c r="S11457">
        <v>1</v>
      </c>
      <c r="T11457">
        <v>0</v>
      </c>
      <c r="U11457">
        <v>0</v>
      </c>
      <c r="V11457">
        <v>0</v>
      </c>
      <c r="W11457">
        <v>1</v>
      </c>
      <c r="X11457">
        <v>0</v>
      </c>
      <c r="Y11457">
        <v>1</v>
      </c>
      <c r="Z11457">
        <v>0</v>
      </c>
      <c r="AA11457">
        <v>1</v>
      </c>
      <c r="AB11457">
        <v>0</v>
      </c>
      <c r="AC11457">
        <v>0</v>
      </c>
      <c r="AD11457">
        <v>1</v>
      </c>
      <c r="AE11457">
        <v>1</v>
      </c>
      <c r="AF11457">
        <v>1</v>
      </c>
      <c r="AG11457">
        <v>1</v>
      </c>
      <c r="AH11457">
        <v>1</v>
      </c>
      <c r="AI11457">
        <v>1</v>
      </c>
      <c r="AJ11457">
        <v>1</v>
      </c>
      <c r="AK11457">
        <v>1</v>
      </c>
      <c r="AL11457">
        <v>1</v>
      </c>
      <c r="AM11457">
        <v>1</v>
      </c>
    </row>
    <row r="11458" spans="1:39" x14ac:dyDescent="0.2">
      <c r="A11458" t="str">
        <f>"11454"</f>
        <v>11454</v>
      </c>
      <c r="B11458" t="str">
        <f t="shared" si="637"/>
        <v>1</v>
      </c>
      <c r="C11458" t="str">
        <f t="shared" si="638"/>
        <v>230</v>
      </c>
      <c r="D11458" t="str">
        <f>"15"</f>
        <v>15</v>
      </c>
      <c r="E11458" t="str">
        <f>"1-230-15"</f>
        <v>1-230-15</v>
      </c>
      <c r="F11458" t="s">
        <v>65</v>
      </c>
      <c r="G11458" t="s">
        <v>66</v>
      </c>
      <c r="H11458" t="s">
        <v>67</v>
      </c>
      <c r="S11458">
        <v>1</v>
      </c>
      <c r="T11458">
        <v>0</v>
      </c>
      <c r="U11458">
        <v>0</v>
      </c>
      <c r="V11458">
        <v>0</v>
      </c>
      <c r="W11458">
        <v>1</v>
      </c>
      <c r="X11458">
        <v>0</v>
      </c>
      <c r="Y11458">
        <v>0</v>
      </c>
      <c r="Z11458">
        <v>1</v>
      </c>
      <c r="AA11458">
        <v>1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>
        <v>0</v>
      </c>
    </row>
    <row r="11459" spans="1:39" x14ac:dyDescent="0.2">
      <c r="A11459" t="str">
        <f>"11455"</f>
        <v>11455</v>
      </c>
      <c r="B11459" t="str">
        <f t="shared" si="637"/>
        <v>1</v>
      </c>
      <c r="C11459" t="str">
        <f t="shared" si="638"/>
        <v>230</v>
      </c>
      <c r="D11459" t="str">
        <f>"12"</f>
        <v>12</v>
      </c>
      <c r="E11459" t="str">
        <f>"1-230-12"</f>
        <v>1-230-12</v>
      </c>
      <c r="F11459" t="s">
        <v>65</v>
      </c>
      <c r="G11459" t="s">
        <v>66</v>
      </c>
      <c r="H11459" t="s">
        <v>67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1</v>
      </c>
      <c r="Y11459">
        <v>0</v>
      </c>
      <c r="Z11459">
        <v>0</v>
      </c>
      <c r="AA11459">
        <v>0</v>
      </c>
      <c r="AB11459">
        <v>0</v>
      </c>
      <c r="AC11459">
        <v>1</v>
      </c>
      <c r="AD11459">
        <v>1</v>
      </c>
      <c r="AE11459">
        <v>1</v>
      </c>
      <c r="AF11459">
        <v>1</v>
      </c>
      <c r="AG11459">
        <v>1</v>
      </c>
      <c r="AH11459">
        <v>1</v>
      </c>
      <c r="AI11459">
        <v>1</v>
      </c>
      <c r="AJ11459">
        <v>1</v>
      </c>
      <c r="AK11459">
        <v>1</v>
      </c>
      <c r="AL11459">
        <v>1</v>
      </c>
      <c r="AM11459">
        <v>1</v>
      </c>
    </row>
    <row r="11460" spans="1:39" x14ac:dyDescent="0.2">
      <c r="A11460" t="str">
        <f>"11456"</f>
        <v>11456</v>
      </c>
      <c r="B11460" t="str">
        <f t="shared" si="637"/>
        <v>1</v>
      </c>
      <c r="C11460" t="str">
        <f t="shared" si="638"/>
        <v>230</v>
      </c>
      <c r="D11460" t="str">
        <f>"36"</f>
        <v>36</v>
      </c>
      <c r="E11460" t="str">
        <f>"1-230-36"</f>
        <v>1-230-36</v>
      </c>
      <c r="F11460" t="s">
        <v>65</v>
      </c>
      <c r="G11460" t="s">
        <v>66</v>
      </c>
      <c r="H11460" t="s">
        <v>67</v>
      </c>
      <c r="S11460">
        <v>1</v>
      </c>
      <c r="T11460">
        <v>0</v>
      </c>
      <c r="U11460">
        <v>0</v>
      </c>
      <c r="V11460">
        <v>0</v>
      </c>
      <c r="W11460">
        <v>1</v>
      </c>
      <c r="X11460">
        <v>0</v>
      </c>
      <c r="Y11460">
        <v>0</v>
      </c>
      <c r="Z11460">
        <v>1</v>
      </c>
      <c r="AA11460">
        <v>1</v>
      </c>
      <c r="AB11460">
        <v>0</v>
      </c>
      <c r="AC11460">
        <v>0</v>
      </c>
      <c r="AD11460">
        <v>1</v>
      </c>
      <c r="AE11460">
        <v>1</v>
      </c>
      <c r="AF11460">
        <v>1</v>
      </c>
      <c r="AG11460">
        <v>1</v>
      </c>
      <c r="AH11460">
        <v>1</v>
      </c>
      <c r="AI11460">
        <v>1</v>
      </c>
      <c r="AJ11460">
        <v>1</v>
      </c>
      <c r="AK11460">
        <v>1</v>
      </c>
      <c r="AL11460">
        <v>1</v>
      </c>
      <c r="AM11460">
        <v>1</v>
      </c>
    </row>
    <row r="11461" spans="1:39" x14ac:dyDescent="0.2">
      <c r="A11461" t="str">
        <f>"11457"</f>
        <v>11457</v>
      </c>
      <c r="B11461" t="str">
        <f t="shared" si="637"/>
        <v>1</v>
      </c>
      <c r="C11461" t="str">
        <f t="shared" si="638"/>
        <v>230</v>
      </c>
      <c r="D11461" t="str">
        <f>"35"</f>
        <v>35</v>
      </c>
      <c r="E11461" t="str">
        <f>"1-230-35"</f>
        <v>1-230-35</v>
      </c>
      <c r="F11461" t="s">
        <v>65</v>
      </c>
      <c r="G11461" t="s">
        <v>66</v>
      </c>
      <c r="H11461" t="s">
        <v>67</v>
      </c>
      <c r="S11461">
        <v>1</v>
      </c>
      <c r="T11461">
        <v>0</v>
      </c>
      <c r="U11461">
        <v>0</v>
      </c>
      <c r="V11461">
        <v>0</v>
      </c>
      <c r="W11461">
        <v>1</v>
      </c>
      <c r="X11461">
        <v>0</v>
      </c>
      <c r="Y11461">
        <v>1</v>
      </c>
      <c r="Z11461">
        <v>0</v>
      </c>
      <c r="AA11461">
        <v>0</v>
      </c>
      <c r="AB11461">
        <v>1</v>
      </c>
      <c r="AC11461">
        <v>0</v>
      </c>
      <c r="AD11461">
        <v>1</v>
      </c>
      <c r="AE11461">
        <v>1</v>
      </c>
      <c r="AF11461">
        <v>1</v>
      </c>
      <c r="AG11461">
        <v>1</v>
      </c>
      <c r="AH11461">
        <v>1</v>
      </c>
      <c r="AI11461">
        <v>1</v>
      </c>
      <c r="AJ11461">
        <v>1</v>
      </c>
      <c r="AK11461">
        <v>1</v>
      </c>
      <c r="AL11461">
        <v>1</v>
      </c>
      <c r="AM11461">
        <v>1</v>
      </c>
    </row>
    <row r="11462" spans="1:39" x14ac:dyDescent="0.2">
      <c r="A11462" t="str">
        <f>"11458"</f>
        <v>11458</v>
      </c>
      <c r="B11462" t="str">
        <f t="shared" si="637"/>
        <v>1</v>
      </c>
      <c r="C11462" t="str">
        <f t="shared" si="638"/>
        <v>230</v>
      </c>
      <c r="D11462" t="str">
        <f>"21"</f>
        <v>21</v>
      </c>
      <c r="E11462" t="str">
        <f>"1-230-21"</f>
        <v>1-230-21</v>
      </c>
      <c r="F11462" t="s">
        <v>65</v>
      </c>
      <c r="G11462" t="s">
        <v>66</v>
      </c>
      <c r="H11462" t="s">
        <v>67</v>
      </c>
      <c r="S11462">
        <v>0</v>
      </c>
      <c r="T11462">
        <v>1</v>
      </c>
      <c r="U11462">
        <v>0</v>
      </c>
      <c r="V11462">
        <v>0</v>
      </c>
      <c r="W11462">
        <v>0</v>
      </c>
      <c r="X11462">
        <v>1</v>
      </c>
      <c r="Y11462">
        <v>0</v>
      </c>
      <c r="Z11462">
        <v>1</v>
      </c>
      <c r="AA11462">
        <v>0</v>
      </c>
      <c r="AB11462">
        <v>0</v>
      </c>
      <c r="AC11462">
        <v>1</v>
      </c>
      <c r="AD11462">
        <v>1</v>
      </c>
      <c r="AE11462">
        <v>1</v>
      </c>
      <c r="AF11462">
        <v>1</v>
      </c>
      <c r="AG11462">
        <v>1</v>
      </c>
      <c r="AH11462">
        <v>1</v>
      </c>
      <c r="AI11462">
        <v>1</v>
      </c>
      <c r="AJ11462">
        <v>1</v>
      </c>
      <c r="AK11462">
        <v>1</v>
      </c>
      <c r="AL11462">
        <v>1</v>
      </c>
      <c r="AM11462">
        <v>1</v>
      </c>
    </row>
    <row r="11463" spans="1:39" x14ac:dyDescent="0.2">
      <c r="A11463" t="str">
        <f>"11459"</f>
        <v>11459</v>
      </c>
      <c r="B11463" t="str">
        <f t="shared" si="637"/>
        <v>1</v>
      </c>
      <c r="C11463" t="str">
        <f t="shared" si="638"/>
        <v>230</v>
      </c>
      <c r="D11463" t="str">
        <f>"16"</f>
        <v>16</v>
      </c>
      <c r="E11463" t="str">
        <f>"1-230-16"</f>
        <v>1-230-16</v>
      </c>
      <c r="F11463" t="s">
        <v>65</v>
      </c>
      <c r="G11463" t="s">
        <v>66</v>
      </c>
      <c r="H11463" t="s">
        <v>67</v>
      </c>
      <c r="S11463">
        <v>1</v>
      </c>
      <c r="T11463">
        <v>0</v>
      </c>
      <c r="U11463">
        <v>0</v>
      </c>
      <c r="V11463">
        <v>0</v>
      </c>
      <c r="W11463">
        <v>1</v>
      </c>
      <c r="X11463">
        <v>0</v>
      </c>
      <c r="Y11463">
        <v>0</v>
      </c>
      <c r="Z11463">
        <v>1</v>
      </c>
      <c r="AA11463">
        <v>1</v>
      </c>
      <c r="AB11463">
        <v>0</v>
      </c>
      <c r="AC11463">
        <v>0</v>
      </c>
      <c r="AD11463">
        <v>0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  <c r="AK11463">
        <v>0</v>
      </c>
      <c r="AL11463">
        <v>0</v>
      </c>
      <c r="AM11463">
        <v>0</v>
      </c>
    </row>
    <row r="11464" spans="1:39" x14ac:dyDescent="0.2">
      <c r="A11464" t="str">
        <f>"11460"</f>
        <v>11460</v>
      </c>
      <c r="B11464" t="str">
        <f t="shared" si="637"/>
        <v>1</v>
      </c>
      <c r="C11464" t="str">
        <f t="shared" si="638"/>
        <v>230</v>
      </c>
      <c r="D11464" t="str">
        <f>"9"</f>
        <v>9</v>
      </c>
      <c r="E11464" t="str">
        <f>"1-230-9"</f>
        <v>1-230-9</v>
      </c>
      <c r="F11464" t="s">
        <v>65</v>
      </c>
      <c r="G11464" t="s">
        <v>66</v>
      </c>
      <c r="H11464" t="s">
        <v>67</v>
      </c>
      <c r="S11464">
        <v>0</v>
      </c>
      <c r="T11464">
        <v>1</v>
      </c>
      <c r="U11464">
        <v>0</v>
      </c>
      <c r="V11464">
        <v>0</v>
      </c>
      <c r="W11464">
        <v>0</v>
      </c>
      <c r="X11464">
        <v>1</v>
      </c>
      <c r="Y11464">
        <v>1</v>
      </c>
      <c r="Z11464">
        <v>0</v>
      </c>
      <c r="AA11464">
        <v>0</v>
      </c>
      <c r="AB11464">
        <v>0</v>
      </c>
      <c r="AC11464">
        <v>1</v>
      </c>
      <c r="AD11464">
        <v>1</v>
      </c>
      <c r="AE11464">
        <v>1</v>
      </c>
      <c r="AF11464">
        <v>1</v>
      </c>
      <c r="AG11464">
        <v>1</v>
      </c>
      <c r="AH11464">
        <v>1</v>
      </c>
      <c r="AI11464">
        <v>1</v>
      </c>
      <c r="AJ11464">
        <v>1</v>
      </c>
      <c r="AK11464">
        <v>1</v>
      </c>
      <c r="AL11464">
        <v>1</v>
      </c>
      <c r="AM11464">
        <v>1</v>
      </c>
    </row>
    <row r="11465" spans="1:39" x14ac:dyDescent="0.2">
      <c r="A11465" t="str">
        <f>"11461"</f>
        <v>11461</v>
      </c>
      <c r="B11465" t="str">
        <f t="shared" si="637"/>
        <v>1</v>
      </c>
      <c r="C11465" t="str">
        <f t="shared" si="638"/>
        <v>230</v>
      </c>
      <c r="D11465" t="str">
        <f>"42"</f>
        <v>42</v>
      </c>
      <c r="E11465" t="str">
        <f>"1-230-42"</f>
        <v>1-230-42</v>
      </c>
      <c r="F11465" t="s">
        <v>65</v>
      </c>
      <c r="G11465" t="s">
        <v>66</v>
      </c>
      <c r="H11465" t="s">
        <v>67</v>
      </c>
      <c r="S11465">
        <v>0</v>
      </c>
      <c r="T11465">
        <v>1</v>
      </c>
      <c r="U11465">
        <v>0</v>
      </c>
      <c r="V11465">
        <v>0</v>
      </c>
      <c r="W11465">
        <v>1</v>
      </c>
      <c r="X11465">
        <v>0</v>
      </c>
      <c r="Y11465">
        <v>0</v>
      </c>
      <c r="Z11465">
        <v>1</v>
      </c>
      <c r="AA11465">
        <v>1</v>
      </c>
      <c r="AB11465">
        <v>0</v>
      </c>
      <c r="AC11465">
        <v>0</v>
      </c>
      <c r="AD11465">
        <v>1</v>
      </c>
      <c r="AE11465">
        <v>1</v>
      </c>
      <c r="AF11465">
        <v>1</v>
      </c>
      <c r="AG11465">
        <v>1</v>
      </c>
      <c r="AH11465">
        <v>1</v>
      </c>
      <c r="AI11465">
        <v>1</v>
      </c>
      <c r="AJ11465">
        <v>1</v>
      </c>
      <c r="AK11465">
        <v>1</v>
      </c>
      <c r="AL11465">
        <v>1</v>
      </c>
      <c r="AM11465">
        <v>1</v>
      </c>
    </row>
    <row r="11466" spans="1:39" x14ac:dyDescent="0.2">
      <c r="A11466" t="str">
        <f>"11462"</f>
        <v>11462</v>
      </c>
      <c r="B11466" t="str">
        <f t="shared" si="637"/>
        <v>1</v>
      </c>
      <c r="C11466" t="str">
        <f t="shared" si="638"/>
        <v>230</v>
      </c>
      <c r="D11466" t="str">
        <f>"41"</f>
        <v>41</v>
      </c>
      <c r="E11466" t="str">
        <f>"1-230-41"</f>
        <v>1-230-41</v>
      </c>
      <c r="F11466" t="s">
        <v>65</v>
      </c>
      <c r="G11466" t="s">
        <v>66</v>
      </c>
      <c r="H11466" t="s">
        <v>67</v>
      </c>
      <c r="S11466">
        <v>1</v>
      </c>
      <c r="T11466">
        <v>0</v>
      </c>
      <c r="U11466">
        <v>0</v>
      </c>
      <c r="V11466">
        <v>0</v>
      </c>
      <c r="W11466">
        <v>1</v>
      </c>
      <c r="X11466">
        <v>0</v>
      </c>
      <c r="Y11466">
        <v>1</v>
      </c>
      <c r="Z11466">
        <v>0</v>
      </c>
      <c r="AA11466">
        <v>1</v>
      </c>
      <c r="AB11466">
        <v>0</v>
      </c>
      <c r="AC11466">
        <v>0</v>
      </c>
      <c r="AD11466">
        <v>1</v>
      </c>
      <c r="AE11466">
        <v>1</v>
      </c>
      <c r="AF11466">
        <v>1</v>
      </c>
      <c r="AG11466">
        <v>1</v>
      </c>
      <c r="AH11466">
        <v>1</v>
      </c>
      <c r="AI11466">
        <v>1</v>
      </c>
      <c r="AJ11466">
        <v>1</v>
      </c>
      <c r="AK11466">
        <v>1</v>
      </c>
      <c r="AL11466">
        <v>1</v>
      </c>
      <c r="AM11466">
        <v>1</v>
      </c>
    </row>
    <row r="11467" spans="1:39" x14ac:dyDescent="0.2">
      <c r="A11467" t="str">
        <f>"11463"</f>
        <v>11463</v>
      </c>
      <c r="B11467" t="str">
        <f t="shared" si="637"/>
        <v>1</v>
      </c>
      <c r="C11467" t="str">
        <f t="shared" si="638"/>
        <v>230</v>
      </c>
      <c r="D11467" t="str">
        <f>"31"</f>
        <v>31</v>
      </c>
      <c r="E11467" t="str">
        <f>"1-230-31"</f>
        <v>1-230-31</v>
      </c>
      <c r="F11467" t="s">
        <v>65</v>
      </c>
      <c r="G11467" t="s">
        <v>66</v>
      </c>
      <c r="H11467" t="s">
        <v>67</v>
      </c>
      <c r="S11467">
        <v>1</v>
      </c>
      <c r="T11467">
        <v>0</v>
      </c>
      <c r="U11467">
        <v>0</v>
      </c>
      <c r="V11467">
        <v>0</v>
      </c>
      <c r="W11467">
        <v>1</v>
      </c>
      <c r="X11467">
        <v>0</v>
      </c>
      <c r="Y11467">
        <v>1</v>
      </c>
      <c r="Z11467">
        <v>0</v>
      </c>
      <c r="AA11467">
        <v>0</v>
      </c>
      <c r="AB11467">
        <v>0</v>
      </c>
      <c r="AC11467">
        <v>1</v>
      </c>
      <c r="AD11467">
        <v>1</v>
      </c>
      <c r="AE11467">
        <v>1</v>
      </c>
      <c r="AF11467">
        <v>1</v>
      </c>
      <c r="AG11467">
        <v>1</v>
      </c>
      <c r="AH11467">
        <v>1</v>
      </c>
      <c r="AI11467">
        <v>1</v>
      </c>
      <c r="AJ11467">
        <v>1</v>
      </c>
      <c r="AK11467">
        <v>1</v>
      </c>
      <c r="AL11467">
        <v>1</v>
      </c>
      <c r="AM11467">
        <v>1</v>
      </c>
    </row>
    <row r="11468" spans="1:39" x14ac:dyDescent="0.2">
      <c r="A11468" t="str">
        <f>"11464"</f>
        <v>11464</v>
      </c>
      <c r="B11468" t="str">
        <f t="shared" si="637"/>
        <v>1</v>
      </c>
      <c r="C11468" t="str">
        <f t="shared" si="638"/>
        <v>230</v>
      </c>
      <c r="D11468" t="str">
        <f>"17"</f>
        <v>17</v>
      </c>
      <c r="E11468" t="str">
        <f>"1-230-17"</f>
        <v>1-230-17</v>
      </c>
      <c r="F11468" t="s">
        <v>65</v>
      </c>
      <c r="G11468" t="s">
        <v>66</v>
      </c>
      <c r="H11468" t="s">
        <v>67</v>
      </c>
      <c r="S11468">
        <v>1</v>
      </c>
      <c r="T11468">
        <v>0</v>
      </c>
      <c r="U11468">
        <v>0</v>
      </c>
      <c r="V11468">
        <v>0</v>
      </c>
      <c r="W11468">
        <v>1</v>
      </c>
      <c r="X11468">
        <v>0</v>
      </c>
      <c r="Y11468">
        <v>1</v>
      </c>
      <c r="Z11468">
        <v>0</v>
      </c>
      <c r="AA11468">
        <v>1</v>
      </c>
      <c r="AB11468">
        <v>0</v>
      </c>
      <c r="AC11468">
        <v>0</v>
      </c>
      <c r="AD11468">
        <v>1</v>
      </c>
      <c r="AE11468">
        <v>1</v>
      </c>
      <c r="AF11468">
        <v>1</v>
      </c>
      <c r="AG11468">
        <v>1</v>
      </c>
      <c r="AH11468">
        <v>1</v>
      </c>
      <c r="AI11468">
        <v>1</v>
      </c>
      <c r="AJ11468">
        <v>1</v>
      </c>
      <c r="AK11468">
        <v>1</v>
      </c>
      <c r="AL11468">
        <v>1</v>
      </c>
      <c r="AM11468">
        <v>1</v>
      </c>
    </row>
    <row r="11469" spans="1:39" x14ac:dyDescent="0.2">
      <c r="A11469" t="str">
        <f>"11465"</f>
        <v>11465</v>
      </c>
      <c r="B11469" t="str">
        <f t="shared" si="637"/>
        <v>1</v>
      </c>
      <c r="C11469" t="str">
        <f t="shared" si="638"/>
        <v>230</v>
      </c>
      <c r="D11469" t="str">
        <f>"3"</f>
        <v>3</v>
      </c>
      <c r="E11469" t="str">
        <f>"1-230-3"</f>
        <v>1-230-3</v>
      </c>
      <c r="F11469" t="s">
        <v>65</v>
      </c>
      <c r="G11469" t="s">
        <v>66</v>
      </c>
      <c r="H11469" t="s">
        <v>67</v>
      </c>
      <c r="S11469">
        <v>1</v>
      </c>
      <c r="T11469">
        <v>0</v>
      </c>
      <c r="U11469">
        <v>0</v>
      </c>
      <c r="V11469">
        <v>0</v>
      </c>
      <c r="W11469">
        <v>1</v>
      </c>
      <c r="X11469">
        <v>0</v>
      </c>
      <c r="Y11469">
        <v>0</v>
      </c>
      <c r="Z11469">
        <v>1</v>
      </c>
      <c r="AA11469">
        <v>1</v>
      </c>
      <c r="AB11469">
        <v>0</v>
      </c>
      <c r="AC11469">
        <v>0</v>
      </c>
      <c r="AD11469">
        <v>1</v>
      </c>
      <c r="AE11469">
        <v>1</v>
      </c>
      <c r="AF11469">
        <v>1</v>
      </c>
      <c r="AG11469">
        <v>1</v>
      </c>
      <c r="AH11469">
        <v>1</v>
      </c>
      <c r="AI11469">
        <v>1</v>
      </c>
      <c r="AJ11469">
        <v>1</v>
      </c>
      <c r="AK11469">
        <v>1</v>
      </c>
      <c r="AL11469">
        <v>1</v>
      </c>
      <c r="AM11469">
        <v>1</v>
      </c>
    </row>
    <row r="11470" spans="1:39" x14ac:dyDescent="0.2">
      <c r="A11470" t="str">
        <f>"11466"</f>
        <v>11466</v>
      </c>
      <c r="B11470" t="str">
        <f t="shared" si="637"/>
        <v>1</v>
      </c>
      <c r="C11470" t="str">
        <f t="shared" si="638"/>
        <v>230</v>
      </c>
      <c r="D11470" t="str">
        <f>"40"</f>
        <v>40</v>
      </c>
      <c r="E11470" t="str">
        <f>"1-230-40"</f>
        <v>1-230-40</v>
      </c>
      <c r="F11470" t="s">
        <v>65</v>
      </c>
      <c r="G11470" t="s">
        <v>66</v>
      </c>
      <c r="H11470" t="s">
        <v>67</v>
      </c>
      <c r="S11470">
        <v>1</v>
      </c>
      <c r="T11470">
        <v>0</v>
      </c>
      <c r="U11470">
        <v>0</v>
      </c>
      <c r="V11470">
        <v>0</v>
      </c>
      <c r="W11470">
        <v>1</v>
      </c>
      <c r="X11470">
        <v>0</v>
      </c>
      <c r="Y11470">
        <v>1</v>
      </c>
      <c r="Z11470">
        <v>0</v>
      </c>
      <c r="AA11470">
        <v>1</v>
      </c>
      <c r="AB11470">
        <v>0</v>
      </c>
      <c r="AC11470">
        <v>0</v>
      </c>
      <c r="AD11470">
        <v>1</v>
      </c>
      <c r="AE11470">
        <v>1</v>
      </c>
      <c r="AF11470">
        <v>1</v>
      </c>
      <c r="AG11470">
        <v>1</v>
      </c>
      <c r="AH11470">
        <v>0</v>
      </c>
      <c r="AI11470">
        <v>0</v>
      </c>
      <c r="AJ11470">
        <v>0</v>
      </c>
      <c r="AK11470">
        <v>1</v>
      </c>
      <c r="AL11470">
        <v>0</v>
      </c>
      <c r="AM11470">
        <v>1</v>
      </c>
    </row>
    <row r="11471" spans="1:39" x14ac:dyDescent="0.2">
      <c r="A11471" t="str">
        <f>"11467"</f>
        <v>11467</v>
      </c>
      <c r="B11471" t="str">
        <f t="shared" si="637"/>
        <v>1</v>
      </c>
      <c r="C11471" t="str">
        <f t="shared" si="638"/>
        <v>230</v>
      </c>
      <c r="D11471" t="str">
        <f>"39"</f>
        <v>39</v>
      </c>
      <c r="E11471" t="str">
        <f>"1-230-39"</f>
        <v>1-230-39</v>
      </c>
      <c r="F11471" t="s">
        <v>65</v>
      </c>
      <c r="G11471" t="s">
        <v>66</v>
      </c>
      <c r="H11471" t="s">
        <v>67</v>
      </c>
      <c r="S11471">
        <v>1</v>
      </c>
      <c r="T11471">
        <v>0</v>
      </c>
      <c r="U11471">
        <v>0</v>
      </c>
      <c r="V11471">
        <v>0</v>
      </c>
      <c r="W11471">
        <v>1</v>
      </c>
      <c r="X11471">
        <v>0</v>
      </c>
      <c r="Y11471">
        <v>1</v>
      </c>
      <c r="Z11471">
        <v>0</v>
      </c>
      <c r="AA11471">
        <v>0</v>
      </c>
      <c r="AB11471">
        <v>1</v>
      </c>
      <c r="AC11471">
        <v>0</v>
      </c>
      <c r="AD11471">
        <v>1</v>
      </c>
      <c r="AE11471">
        <v>1</v>
      </c>
      <c r="AF11471">
        <v>1</v>
      </c>
      <c r="AG11471">
        <v>1</v>
      </c>
      <c r="AH11471">
        <v>1</v>
      </c>
      <c r="AI11471">
        <v>1</v>
      </c>
      <c r="AJ11471">
        <v>1</v>
      </c>
      <c r="AK11471">
        <v>1</v>
      </c>
      <c r="AL11471">
        <v>1</v>
      </c>
      <c r="AM11471">
        <v>1</v>
      </c>
    </row>
    <row r="11472" spans="1:39" x14ac:dyDescent="0.2">
      <c r="A11472" t="str">
        <f>"11468"</f>
        <v>11468</v>
      </c>
      <c r="B11472" t="str">
        <f t="shared" si="637"/>
        <v>1</v>
      </c>
      <c r="C11472" t="str">
        <f t="shared" si="638"/>
        <v>230</v>
      </c>
      <c r="D11472" t="str">
        <f>"32"</f>
        <v>32</v>
      </c>
      <c r="E11472" t="str">
        <f>"1-230-32"</f>
        <v>1-230-32</v>
      </c>
      <c r="F11472" t="s">
        <v>65</v>
      </c>
      <c r="G11472" t="s">
        <v>66</v>
      </c>
      <c r="H11472" t="s">
        <v>67</v>
      </c>
      <c r="S11472">
        <v>1</v>
      </c>
      <c r="T11472">
        <v>0</v>
      </c>
      <c r="U11472">
        <v>0</v>
      </c>
      <c r="V11472">
        <v>0</v>
      </c>
      <c r="W11472">
        <v>1</v>
      </c>
      <c r="X11472">
        <v>0</v>
      </c>
      <c r="Y11472">
        <v>1</v>
      </c>
      <c r="Z11472">
        <v>0</v>
      </c>
      <c r="AA11472">
        <v>1</v>
      </c>
      <c r="AB11472">
        <v>0</v>
      </c>
      <c r="AC11472">
        <v>0</v>
      </c>
      <c r="AD11472">
        <v>1</v>
      </c>
      <c r="AE11472">
        <v>1</v>
      </c>
      <c r="AF11472">
        <v>1</v>
      </c>
      <c r="AG11472">
        <v>1</v>
      </c>
      <c r="AH11472">
        <v>1</v>
      </c>
      <c r="AI11472">
        <v>1</v>
      </c>
      <c r="AJ11472">
        <v>1</v>
      </c>
      <c r="AK11472">
        <v>1</v>
      </c>
      <c r="AL11472">
        <v>1</v>
      </c>
      <c r="AM11472">
        <v>1</v>
      </c>
    </row>
    <row r="11473" spans="1:39" x14ac:dyDescent="0.2">
      <c r="A11473" t="str">
        <f>"11469"</f>
        <v>11469</v>
      </c>
      <c r="B11473" t="str">
        <f t="shared" si="637"/>
        <v>1</v>
      </c>
      <c r="C11473" t="str">
        <f t="shared" si="638"/>
        <v>230</v>
      </c>
      <c r="D11473" t="str">
        <f>"18"</f>
        <v>18</v>
      </c>
      <c r="E11473" t="str">
        <f>"1-230-18"</f>
        <v>1-230-18</v>
      </c>
      <c r="F11473" t="s">
        <v>65</v>
      </c>
      <c r="G11473" t="s">
        <v>66</v>
      </c>
      <c r="H11473" t="s">
        <v>67</v>
      </c>
      <c r="S11473">
        <v>1</v>
      </c>
      <c r="T11473">
        <v>0</v>
      </c>
      <c r="U11473">
        <v>0</v>
      </c>
      <c r="V11473">
        <v>0</v>
      </c>
      <c r="W11473">
        <v>1</v>
      </c>
      <c r="X11473">
        <v>0</v>
      </c>
      <c r="Y11473">
        <v>1</v>
      </c>
      <c r="Z11473">
        <v>0</v>
      </c>
      <c r="AA11473">
        <v>1</v>
      </c>
      <c r="AB11473">
        <v>0</v>
      </c>
      <c r="AC11473">
        <v>0</v>
      </c>
      <c r="AD11473">
        <v>1</v>
      </c>
      <c r="AE11473">
        <v>1</v>
      </c>
      <c r="AF11473">
        <v>1</v>
      </c>
      <c r="AG11473">
        <v>1</v>
      </c>
      <c r="AH11473">
        <v>1</v>
      </c>
      <c r="AI11473">
        <v>1</v>
      </c>
      <c r="AJ11473">
        <v>1</v>
      </c>
      <c r="AK11473">
        <v>1</v>
      </c>
      <c r="AL11473">
        <v>1</v>
      </c>
      <c r="AM11473">
        <v>1</v>
      </c>
    </row>
    <row r="11474" spans="1:39" x14ac:dyDescent="0.2">
      <c r="A11474" t="str">
        <f>"11470"</f>
        <v>11470</v>
      </c>
      <c r="B11474" t="str">
        <f t="shared" si="637"/>
        <v>1</v>
      </c>
      <c r="C11474" t="str">
        <f t="shared" si="638"/>
        <v>230</v>
      </c>
      <c r="D11474" t="str">
        <f>"13"</f>
        <v>13</v>
      </c>
      <c r="E11474" t="str">
        <f>"1-230-13"</f>
        <v>1-230-13</v>
      </c>
      <c r="F11474" t="s">
        <v>65</v>
      </c>
      <c r="G11474" t="s">
        <v>66</v>
      </c>
      <c r="H11474" t="s">
        <v>67</v>
      </c>
      <c r="S11474">
        <v>0</v>
      </c>
      <c r="T11474">
        <v>1</v>
      </c>
      <c r="U11474">
        <v>0</v>
      </c>
      <c r="V11474">
        <v>0</v>
      </c>
      <c r="W11474">
        <v>1</v>
      </c>
      <c r="X11474">
        <v>0</v>
      </c>
      <c r="Y11474">
        <v>0</v>
      </c>
      <c r="Z11474">
        <v>1</v>
      </c>
      <c r="AA11474">
        <v>0</v>
      </c>
      <c r="AB11474">
        <v>0</v>
      </c>
      <c r="AC11474">
        <v>0</v>
      </c>
      <c r="AD11474">
        <v>1</v>
      </c>
      <c r="AE11474">
        <v>1</v>
      </c>
      <c r="AF11474">
        <v>1</v>
      </c>
      <c r="AG11474">
        <v>1</v>
      </c>
      <c r="AH11474">
        <v>1</v>
      </c>
      <c r="AI11474">
        <v>1</v>
      </c>
      <c r="AJ11474">
        <v>1</v>
      </c>
      <c r="AK11474">
        <v>1</v>
      </c>
      <c r="AL11474">
        <v>1</v>
      </c>
      <c r="AM11474">
        <v>1</v>
      </c>
    </row>
    <row r="11475" spans="1:39" x14ac:dyDescent="0.2">
      <c r="A11475" t="str">
        <f>"11471"</f>
        <v>11471</v>
      </c>
      <c r="B11475" t="str">
        <f t="shared" si="637"/>
        <v>1</v>
      </c>
      <c r="C11475" t="str">
        <f t="shared" si="638"/>
        <v>230</v>
      </c>
      <c r="D11475" t="str">
        <f>"44"</f>
        <v>44</v>
      </c>
      <c r="E11475" t="str">
        <f>"1-230-44"</f>
        <v>1-230-44</v>
      </c>
      <c r="F11475" t="s">
        <v>65</v>
      </c>
      <c r="G11475" t="s">
        <v>66</v>
      </c>
      <c r="H11475" t="s">
        <v>67</v>
      </c>
      <c r="S11475">
        <v>1</v>
      </c>
      <c r="T11475">
        <v>0</v>
      </c>
      <c r="U11475">
        <v>0</v>
      </c>
      <c r="V11475">
        <v>0</v>
      </c>
      <c r="W11475">
        <v>1</v>
      </c>
      <c r="X11475">
        <v>0</v>
      </c>
      <c r="Y11475">
        <v>1</v>
      </c>
      <c r="Z11475">
        <v>0</v>
      </c>
      <c r="AA11475">
        <v>1</v>
      </c>
      <c r="AB11475">
        <v>0</v>
      </c>
      <c r="AC11475">
        <v>0</v>
      </c>
      <c r="AD11475">
        <v>1</v>
      </c>
      <c r="AE11475">
        <v>1</v>
      </c>
      <c r="AF11475">
        <v>1</v>
      </c>
      <c r="AG11475">
        <v>1</v>
      </c>
      <c r="AH11475">
        <v>1</v>
      </c>
      <c r="AI11475">
        <v>1</v>
      </c>
      <c r="AJ11475">
        <v>1</v>
      </c>
      <c r="AK11475">
        <v>1</v>
      </c>
      <c r="AL11475">
        <v>1</v>
      </c>
      <c r="AM11475">
        <v>1</v>
      </c>
    </row>
    <row r="11476" spans="1:39" x14ac:dyDescent="0.2">
      <c r="A11476" t="str">
        <f>"11472"</f>
        <v>11472</v>
      </c>
      <c r="B11476" t="str">
        <f t="shared" si="637"/>
        <v>1</v>
      </c>
      <c r="C11476" t="str">
        <f t="shared" si="638"/>
        <v>230</v>
      </c>
      <c r="D11476" t="str">
        <f>"43"</f>
        <v>43</v>
      </c>
      <c r="E11476" t="str">
        <f>"1-230-43"</f>
        <v>1-230-43</v>
      </c>
      <c r="F11476" t="s">
        <v>65</v>
      </c>
      <c r="G11476" t="s">
        <v>66</v>
      </c>
      <c r="H11476" t="s">
        <v>67</v>
      </c>
      <c r="S11476">
        <v>0</v>
      </c>
      <c r="T11476">
        <v>1</v>
      </c>
      <c r="U11476">
        <v>0</v>
      </c>
      <c r="V11476">
        <v>0</v>
      </c>
      <c r="W11476">
        <v>1</v>
      </c>
      <c r="X11476">
        <v>0</v>
      </c>
      <c r="Y11476">
        <v>0</v>
      </c>
      <c r="Z11476">
        <v>1</v>
      </c>
      <c r="AA11476">
        <v>0</v>
      </c>
      <c r="AB11476">
        <v>0</v>
      </c>
      <c r="AC11476">
        <v>1</v>
      </c>
      <c r="AD11476">
        <v>0</v>
      </c>
      <c r="AE11476">
        <v>0</v>
      </c>
      <c r="AF11476">
        <v>0</v>
      </c>
      <c r="AG11476">
        <v>1</v>
      </c>
      <c r="AH11476">
        <v>1</v>
      </c>
      <c r="AI11476">
        <v>0</v>
      </c>
      <c r="AJ11476">
        <v>0</v>
      </c>
      <c r="AK11476">
        <v>1</v>
      </c>
      <c r="AL11476">
        <v>1</v>
      </c>
      <c r="AM11476">
        <v>1</v>
      </c>
    </row>
    <row r="11477" spans="1:39" x14ac:dyDescent="0.2">
      <c r="A11477" t="str">
        <f>"11473"</f>
        <v>11473</v>
      </c>
      <c r="B11477" t="str">
        <f t="shared" si="637"/>
        <v>1</v>
      </c>
      <c r="C11477" t="str">
        <f t="shared" si="638"/>
        <v>230</v>
      </c>
      <c r="D11477" t="str">
        <f>"33"</f>
        <v>33</v>
      </c>
      <c r="E11477" t="str">
        <f>"1-230-33"</f>
        <v>1-230-33</v>
      </c>
      <c r="F11477" t="s">
        <v>65</v>
      </c>
      <c r="G11477" t="s">
        <v>66</v>
      </c>
      <c r="H11477" t="s">
        <v>67</v>
      </c>
      <c r="S11477">
        <v>1</v>
      </c>
      <c r="T11477">
        <v>0</v>
      </c>
      <c r="U11477">
        <v>0</v>
      </c>
      <c r="V11477">
        <v>0</v>
      </c>
      <c r="W11477">
        <v>1</v>
      </c>
      <c r="X11477">
        <v>0</v>
      </c>
      <c r="Y11477">
        <v>1</v>
      </c>
      <c r="Z11477">
        <v>0</v>
      </c>
      <c r="AA11477">
        <v>1</v>
      </c>
      <c r="AB11477">
        <v>0</v>
      </c>
      <c r="AC11477">
        <v>0</v>
      </c>
      <c r="AD11477">
        <v>1</v>
      </c>
      <c r="AE11477">
        <v>1</v>
      </c>
      <c r="AF11477">
        <v>1</v>
      </c>
      <c r="AG11477">
        <v>1</v>
      </c>
      <c r="AH11477">
        <v>1</v>
      </c>
      <c r="AI11477">
        <v>1</v>
      </c>
      <c r="AJ11477">
        <v>1</v>
      </c>
      <c r="AK11477">
        <v>1</v>
      </c>
      <c r="AL11477">
        <v>1</v>
      </c>
      <c r="AM11477">
        <v>1</v>
      </c>
    </row>
    <row r="11478" spans="1:39" x14ac:dyDescent="0.2">
      <c r="A11478" t="str">
        <f>"11474"</f>
        <v>11474</v>
      </c>
      <c r="B11478" t="str">
        <f t="shared" si="637"/>
        <v>1</v>
      </c>
      <c r="C11478" t="str">
        <f t="shared" si="638"/>
        <v>230</v>
      </c>
      <c r="D11478" t="str">
        <f>"19"</f>
        <v>19</v>
      </c>
      <c r="E11478" t="str">
        <f>"1-230-19"</f>
        <v>1-230-19</v>
      </c>
      <c r="F11478" t="s">
        <v>65</v>
      </c>
      <c r="G11478" t="s">
        <v>66</v>
      </c>
      <c r="H11478" t="s">
        <v>67</v>
      </c>
      <c r="S11478">
        <v>1</v>
      </c>
      <c r="T11478">
        <v>0</v>
      </c>
      <c r="U11478">
        <v>0</v>
      </c>
      <c r="V11478">
        <v>0</v>
      </c>
      <c r="W11478">
        <v>1</v>
      </c>
      <c r="X11478">
        <v>0</v>
      </c>
      <c r="Y11478">
        <v>1</v>
      </c>
      <c r="Z11478">
        <v>0</v>
      </c>
      <c r="AA11478">
        <v>1</v>
      </c>
      <c r="AB11478">
        <v>0</v>
      </c>
      <c r="AC11478">
        <v>0</v>
      </c>
      <c r="AD11478">
        <v>1</v>
      </c>
      <c r="AE11478">
        <v>1</v>
      </c>
      <c r="AF11478">
        <v>1</v>
      </c>
      <c r="AG11478">
        <v>1</v>
      </c>
      <c r="AH11478">
        <v>1</v>
      </c>
      <c r="AI11478">
        <v>1</v>
      </c>
      <c r="AJ11478">
        <v>1</v>
      </c>
      <c r="AK11478">
        <v>1</v>
      </c>
      <c r="AL11478">
        <v>1</v>
      </c>
      <c r="AM11478">
        <v>1</v>
      </c>
    </row>
    <row r="11479" spans="1:39" x14ac:dyDescent="0.2">
      <c r="A11479" t="str">
        <f>"11475"</f>
        <v>11475</v>
      </c>
      <c r="B11479" t="str">
        <f t="shared" si="637"/>
        <v>1</v>
      </c>
      <c r="C11479" t="str">
        <f t="shared" si="638"/>
        <v>230</v>
      </c>
      <c r="D11479" t="str">
        <f>"1"</f>
        <v>1</v>
      </c>
      <c r="E11479" t="str">
        <f>"1-230-1"</f>
        <v>1-230-1</v>
      </c>
      <c r="F11479" t="s">
        <v>65</v>
      </c>
      <c r="G11479" t="s">
        <v>66</v>
      </c>
      <c r="H11479" t="s">
        <v>67</v>
      </c>
      <c r="S11479">
        <v>1</v>
      </c>
      <c r="T11479">
        <v>0</v>
      </c>
      <c r="U11479">
        <v>0</v>
      </c>
      <c r="V11479">
        <v>0</v>
      </c>
      <c r="W11479">
        <v>1</v>
      </c>
      <c r="X11479">
        <v>0</v>
      </c>
      <c r="Y11479">
        <v>0</v>
      </c>
      <c r="Z11479">
        <v>1</v>
      </c>
      <c r="AA11479">
        <v>1</v>
      </c>
      <c r="AB11479">
        <v>0</v>
      </c>
      <c r="AC11479">
        <v>0</v>
      </c>
      <c r="AD11479">
        <v>1</v>
      </c>
      <c r="AE11479">
        <v>1</v>
      </c>
      <c r="AF11479">
        <v>1</v>
      </c>
      <c r="AG11479">
        <v>1</v>
      </c>
      <c r="AH11479">
        <v>1</v>
      </c>
      <c r="AI11479">
        <v>1</v>
      </c>
      <c r="AJ11479">
        <v>1</v>
      </c>
      <c r="AK11479">
        <v>1</v>
      </c>
      <c r="AL11479">
        <v>1</v>
      </c>
      <c r="AM11479">
        <v>1</v>
      </c>
    </row>
    <row r="11480" spans="1:39" x14ac:dyDescent="0.2">
      <c r="A11480" t="str">
        <f>"11476"</f>
        <v>11476</v>
      </c>
      <c r="B11480" t="str">
        <f t="shared" si="637"/>
        <v>1</v>
      </c>
      <c r="C11480" t="str">
        <f t="shared" si="638"/>
        <v>230</v>
      </c>
      <c r="D11480" t="str">
        <f>"46"</f>
        <v>46</v>
      </c>
      <c r="E11480" t="str">
        <f>"1-230-46"</f>
        <v>1-230-46</v>
      </c>
      <c r="F11480" t="s">
        <v>65</v>
      </c>
      <c r="G11480" t="s">
        <v>66</v>
      </c>
      <c r="H11480" t="s">
        <v>67</v>
      </c>
      <c r="S11480">
        <v>1</v>
      </c>
      <c r="T11480">
        <v>0</v>
      </c>
      <c r="U11480">
        <v>0</v>
      </c>
      <c r="V11480">
        <v>0</v>
      </c>
      <c r="W11480">
        <v>1</v>
      </c>
      <c r="X11480">
        <v>0</v>
      </c>
      <c r="Y11480">
        <v>0</v>
      </c>
      <c r="Z11480">
        <v>1</v>
      </c>
      <c r="AA11480">
        <v>1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0</v>
      </c>
      <c r="AH11480">
        <v>1</v>
      </c>
      <c r="AI11480">
        <v>1</v>
      </c>
      <c r="AJ11480">
        <v>1</v>
      </c>
      <c r="AK11480">
        <v>0</v>
      </c>
      <c r="AL11480">
        <v>1</v>
      </c>
      <c r="AM11480">
        <v>0</v>
      </c>
    </row>
    <row r="11481" spans="1:39" x14ac:dyDescent="0.2">
      <c r="A11481" t="str">
        <f>"11477"</f>
        <v>11477</v>
      </c>
      <c r="B11481" t="str">
        <f t="shared" si="637"/>
        <v>1</v>
      </c>
      <c r="C11481" t="str">
        <f t="shared" si="638"/>
        <v>230</v>
      </c>
      <c r="D11481" t="str">
        <f>"45"</f>
        <v>45</v>
      </c>
      <c r="E11481" t="str">
        <f>"1-230-45"</f>
        <v>1-230-45</v>
      </c>
      <c r="F11481" t="s">
        <v>65</v>
      </c>
      <c r="G11481" t="s">
        <v>66</v>
      </c>
      <c r="H11481" t="s">
        <v>67</v>
      </c>
      <c r="S11481">
        <v>0</v>
      </c>
      <c r="T11481">
        <v>1</v>
      </c>
      <c r="U11481">
        <v>0</v>
      </c>
      <c r="V11481">
        <v>0</v>
      </c>
      <c r="W11481">
        <v>1</v>
      </c>
      <c r="X11481">
        <v>0</v>
      </c>
      <c r="Y11481">
        <v>0</v>
      </c>
      <c r="Z11481">
        <v>1</v>
      </c>
      <c r="AA11481">
        <v>1</v>
      </c>
      <c r="AB11481">
        <v>0</v>
      </c>
      <c r="AC11481">
        <v>0</v>
      </c>
      <c r="AD11481">
        <v>1</v>
      </c>
      <c r="AE11481">
        <v>1</v>
      </c>
      <c r="AF11481">
        <v>1</v>
      </c>
      <c r="AG11481">
        <v>1</v>
      </c>
      <c r="AH11481">
        <v>1</v>
      </c>
      <c r="AI11481">
        <v>1</v>
      </c>
      <c r="AJ11481">
        <v>1</v>
      </c>
      <c r="AK11481">
        <v>1</v>
      </c>
      <c r="AL11481">
        <v>1</v>
      </c>
      <c r="AM11481">
        <v>1</v>
      </c>
    </row>
    <row r="11482" spans="1:39" x14ac:dyDescent="0.2">
      <c r="A11482" t="str">
        <f>"11478"</f>
        <v>11478</v>
      </c>
      <c r="B11482" t="str">
        <f t="shared" si="637"/>
        <v>1</v>
      </c>
      <c r="C11482" t="str">
        <f t="shared" si="638"/>
        <v>230</v>
      </c>
      <c r="D11482" t="str">
        <f>"34"</f>
        <v>34</v>
      </c>
      <c r="E11482" t="str">
        <f>"1-230-34"</f>
        <v>1-230-34</v>
      </c>
      <c r="F11482" t="s">
        <v>65</v>
      </c>
      <c r="G11482" t="s">
        <v>66</v>
      </c>
      <c r="H11482" t="s">
        <v>67</v>
      </c>
      <c r="S11482">
        <v>1</v>
      </c>
      <c r="T11482">
        <v>0</v>
      </c>
      <c r="U11482">
        <v>0</v>
      </c>
      <c r="V11482">
        <v>0</v>
      </c>
      <c r="W11482">
        <v>1</v>
      </c>
      <c r="X11482">
        <v>0</v>
      </c>
      <c r="Y11482">
        <v>0</v>
      </c>
      <c r="Z11482">
        <v>1</v>
      </c>
      <c r="AA11482">
        <v>1</v>
      </c>
      <c r="AB11482">
        <v>0</v>
      </c>
      <c r="AC11482">
        <v>0</v>
      </c>
      <c r="AD11482">
        <v>1</v>
      </c>
      <c r="AE11482">
        <v>1</v>
      </c>
      <c r="AF11482">
        <v>1</v>
      </c>
      <c r="AG11482">
        <v>1</v>
      </c>
      <c r="AH11482">
        <v>1</v>
      </c>
      <c r="AI11482">
        <v>1</v>
      </c>
      <c r="AJ11482">
        <v>1</v>
      </c>
      <c r="AK11482">
        <v>1</v>
      </c>
      <c r="AL11482">
        <v>1</v>
      </c>
      <c r="AM11482">
        <v>1</v>
      </c>
    </row>
    <row r="11483" spans="1:39" x14ac:dyDescent="0.2">
      <c r="A11483" t="str">
        <f>"11479"</f>
        <v>11479</v>
      </c>
      <c r="B11483" t="str">
        <f t="shared" si="637"/>
        <v>1</v>
      </c>
      <c r="C11483" t="str">
        <f t="shared" si="638"/>
        <v>230</v>
      </c>
      <c r="D11483" t="str">
        <f>"20"</f>
        <v>20</v>
      </c>
      <c r="E11483" t="str">
        <f>"1-230-20"</f>
        <v>1-230-20</v>
      </c>
      <c r="F11483" t="s">
        <v>65</v>
      </c>
      <c r="G11483" t="s">
        <v>66</v>
      </c>
      <c r="H11483" t="s">
        <v>67</v>
      </c>
      <c r="S11483">
        <v>1</v>
      </c>
      <c r="T11483">
        <v>0</v>
      </c>
      <c r="U11483">
        <v>0</v>
      </c>
      <c r="V11483">
        <v>0</v>
      </c>
      <c r="W11483">
        <v>1</v>
      </c>
      <c r="X11483">
        <v>0</v>
      </c>
      <c r="Y11483">
        <v>1</v>
      </c>
      <c r="Z11483">
        <v>0</v>
      </c>
      <c r="AA11483">
        <v>1</v>
      </c>
      <c r="AB11483">
        <v>0</v>
      </c>
      <c r="AC11483">
        <v>0</v>
      </c>
      <c r="AD11483">
        <v>1</v>
      </c>
      <c r="AE11483">
        <v>1</v>
      </c>
      <c r="AF11483">
        <v>1</v>
      </c>
      <c r="AG11483">
        <v>1</v>
      </c>
      <c r="AH11483">
        <v>1</v>
      </c>
      <c r="AI11483">
        <v>1</v>
      </c>
      <c r="AJ11483">
        <v>1</v>
      </c>
      <c r="AK11483">
        <v>1</v>
      </c>
      <c r="AL11483">
        <v>1</v>
      </c>
      <c r="AM11483">
        <v>1</v>
      </c>
    </row>
    <row r="11484" spans="1:39" x14ac:dyDescent="0.2">
      <c r="A11484" t="str">
        <f>"11480"</f>
        <v>11480</v>
      </c>
      <c r="B11484" t="str">
        <f t="shared" si="637"/>
        <v>1</v>
      </c>
      <c r="C11484" t="str">
        <f t="shared" si="638"/>
        <v>230</v>
      </c>
      <c r="D11484" t="str">
        <f>"14"</f>
        <v>14</v>
      </c>
      <c r="E11484" t="str">
        <f>"1-230-14"</f>
        <v>1-230-14</v>
      </c>
      <c r="F11484" t="s">
        <v>65</v>
      </c>
      <c r="G11484" t="s">
        <v>66</v>
      </c>
      <c r="H11484" t="s">
        <v>67</v>
      </c>
      <c r="S11484">
        <v>1</v>
      </c>
      <c r="T11484">
        <v>0</v>
      </c>
      <c r="U11484">
        <v>0</v>
      </c>
      <c r="V11484">
        <v>0</v>
      </c>
      <c r="W11484">
        <v>1</v>
      </c>
      <c r="X11484">
        <v>0</v>
      </c>
      <c r="Y11484">
        <v>0</v>
      </c>
      <c r="Z11484">
        <v>1</v>
      </c>
      <c r="AA11484">
        <v>1</v>
      </c>
      <c r="AB11484">
        <v>0</v>
      </c>
      <c r="AC11484">
        <v>0</v>
      </c>
      <c r="AD11484">
        <v>1</v>
      </c>
      <c r="AE11484">
        <v>1</v>
      </c>
      <c r="AF11484">
        <v>1</v>
      </c>
      <c r="AG11484">
        <v>1</v>
      </c>
      <c r="AH11484">
        <v>1</v>
      </c>
      <c r="AI11484">
        <v>1</v>
      </c>
      <c r="AJ11484">
        <v>1</v>
      </c>
      <c r="AK11484">
        <v>1</v>
      </c>
      <c r="AL11484">
        <v>1</v>
      </c>
      <c r="AM11484">
        <v>1</v>
      </c>
    </row>
    <row r="11485" spans="1:39" x14ac:dyDescent="0.2">
      <c r="A11485" t="str">
        <f>"11481"</f>
        <v>11481</v>
      </c>
      <c r="B11485" t="str">
        <f t="shared" si="637"/>
        <v>1</v>
      </c>
      <c r="C11485" t="str">
        <f t="shared" si="638"/>
        <v>230</v>
      </c>
      <c r="D11485" t="str">
        <f>"50"</f>
        <v>50</v>
      </c>
      <c r="E11485" t="str">
        <f>"1-230-50"</f>
        <v>1-230-50</v>
      </c>
      <c r="F11485" t="s">
        <v>65</v>
      </c>
      <c r="G11485" t="s">
        <v>66</v>
      </c>
      <c r="H11485" t="s">
        <v>68</v>
      </c>
      <c r="I11485">
        <v>1</v>
      </c>
      <c r="J11485">
        <v>1</v>
      </c>
      <c r="K11485">
        <v>0</v>
      </c>
      <c r="L11485">
        <v>0</v>
      </c>
      <c r="M11485">
        <v>1</v>
      </c>
      <c r="N11485">
        <v>1</v>
      </c>
      <c r="O11485">
        <v>1</v>
      </c>
      <c r="P11485">
        <v>1</v>
      </c>
      <c r="Q11485">
        <v>1</v>
      </c>
      <c r="R11485">
        <v>1</v>
      </c>
    </row>
    <row r="11486" spans="1:39" x14ac:dyDescent="0.2">
      <c r="A11486" t="str">
        <f>"11482"</f>
        <v>11482</v>
      </c>
      <c r="B11486" t="str">
        <f t="shared" si="637"/>
        <v>1</v>
      </c>
      <c r="C11486" t="str">
        <f t="shared" si="638"/>
        <v>230</v>
      </c>
      <c r="D11486" t="str">
        <f>"22"</f>
        <v>22</v>
      </c>
      <c r="E11486" t="str">
        <f>"1-230-22"</f>
        <v>1-230-22</v>
      </c>
      <c r="F11486" t="s">
        <v>65</v>
      </c>
      <c r="G11486" t="s">
        <v>66</v>
      </c>
      <c r="H11486" t="s">
        <v>67</v>
      </c>
      <c r="S11486">
        <v>1</v>
      </c>
      <c r="T11486">
        <v>0</v>
      </c>
      <c r="U11486">
        <v>0</v>
      </c>
      <c r="V11486">
        <v>0</v>
      </c>
      <c r="W11486">
        <v>1</v>
      </c>
      <c r="X11486">
        <v>0</v>
      </c>
      <c r="Y11486">
        <v>0</v>
      </c>
      <c r="Z11486">
        <v>1</v>
      </c>
      <c r="AA11486">
        <v>0</v>
      </c>
      <c r="AB11486">
        <v>1</v>
      </c>
      <c r="AC11486">
        <v>0</v>
      </c>
      <c r="AD11486">
        <v>0</v>
      </c>
      <c r="AE11486">
        <v>0</v>
      </c>
      <c r="AF11486">
        <v>0</v>
      </c>
      <c r="AG11486">
        <v>0</v>
      </c>
      <c r="AH11486">
        <v>0</v>
      </c>
      <c r="AI11486">
        <v>0</v>
      </c>
      <c r="AJ11486">
        <v>0</v>
      </c>
      <c r="AK11486">
        <v>0</v>
      </c>
      <c r="AL11486">
        <v>0</v>
      </c>
      <c r="AM11486">
        <v>0</v>
      </c>
    </row>
    <row r="11487" spans="1:39" x14ac:dyDescent="0.2">
      <c r="A11487" t="str">
        <f>"11483"</f>
        <v>11483</v>
      </c>
      <c r="B11487" t="str">
        <f t="shared" si="637"/>
        <v>1</v>
      </c>
      <c r="C11487" t="str">
        <f t="shared" ref="C11487:C11504" si="639">"230"</f>
        <v>230</v>
      </c>
      <c r="D11487" t="str">
        <f>"4"</f>
        <v>4</v>
      </c>
      <c r="E11487" t="str">
        <f>"1-230-4"</f>
        <v>1-230-4</v>
      </c>
      <c r="F11487" t="s">
        <v>65</v>
      </c>
      <c r="G11487" t="s">
        <v>66</v>
      </c>
      <c r="H11487" t="s">
        <v>67</v>
      </c>
      <c r="S11487">
        <v>1</v>
      </c>
      <c r="T11487">
        <v>0</v>
      </c>
      <c r="U11487">
        <v>0</v>
      </c>
      <c r="V11487">
        <v>0</v>
      </c>
      <c r="W11487">
        <v>1</v>
      </c>
      <c r="X11487">
        <v>0</v>
      </c>
      <c r="Y11487">
        <v>1</v>
      </c>
      <c r="Z11487">
        <v>0</v>
      </c>
      <c r="AA11487">
        <v>1</v>
      </c>
      <c r="AB11487">
        <v>0</v>
      </c>
      <c r="AC11487">
        <v>0</v>
      </c>
      <c r="AD11487">
        <v>1</v>
      </c>
      <c r="AE11487">
        <v>1</v>
      </c>
      <c r="AF11487">
        <v>1</v>
      </c>
      <c r="AG11487">
        <v>1</v>
      </c>
      <c r="AH11487">
        <v>1</v>
      </c>
      <c r="AI11487">
        <v>1</v>
      </c>
      <c r="AJ11487">
        <v>1</v>
      </c>
      <c r="AK11487">
        <v>1</v>
      </c>
      <c r="AL11487">
        <v>1</v>
      </c>
      <c r="AM11487">
        <v>1</v>
      </c>
    </row>
    <row r="11488" spans="1:39" x14ac:dyDescent="0.2">
      <c r="A11488" t="str">
        <f>"11484"</f>
        <v>11484</v>
      </c>
      <c r="B11488" t="str">
        <f t="shared" si="637"/>
        <v>1</v>
      </c>
      <c r="C11488" t="str">
        <f t="shared" si="639"/>
        <v>230</v>
      </c>
      <c r="D11488" t="str">
        <f>"23"</f>
        <v>23</v>
      </c>
      <c r="E11488" t="str">
        <f>"1-230-23"</f>
        <v>1-230-23</v>
      </c>
      <c r="F11488" t="s">
        <v>65</v>
      </c>
      <c r="G11488" t="s">
        <v>66</v>
      </c>
      <c r="H11488" t="s">
        <v>67</v>
      </c>
      <c r="S11488">
        <v>0</v>
      </c>
      <c r="T11488">
        <v>1</v>
      </c>
      <c r="U11488">
        <v>0</v>
      </c>
      <c r="V11488">
        <v>0</v>
      </c>
      <c r="W11488">
        <v>0</v>
      </c>
      <c r="X11488">
        <v>1</v>
      </c>
      <c r="Y11488">
        <v>0</v>
      </c>
      <c r="Z11488">
        <v>1</v>
      </c>
      <c r="AA11488">
        <v>0</v>
      </c>
      <c r="AB11488">
        <v>0</v>
      </c>
      <c r="AC11488">
        <v>1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1</v>
      </c>
      <c r="AJ11488">
        <v>1</v>
      </c>
      <c r="AK11488">
        <v>1</v>
      </c>
      <c r="AL11488">
        <v>1</v>
      </c>
      <c r="AM11488">
        <v>0</v>
      </c>
    </row>
    <row r="11489" spans="1:39" x14ac:dyDescent="0.2">
      <c r="A11489" t="str">
        <f>"11485"</f>
        <v>11485</v>
      </c>
      <c r="B11489" t="str">
        <f t="shared" si="637"/>
        <v>1</v>
      </c>
      <c r="C11489" t="str">
        <f t="shared" si="639"/>
        <v>230</v>
      </c>
      <c r="D11489" t="str">
        <f>"5"</f>
        <v>5</v>
      </c>
      <c r="E11489" t="str">
        <f>"1-230-5"</f>
        <v>1-230-5</v>
      </c>
      <c r="F11489" t="s">
        <v>65</v>
      </c>
      <c r="G11489" t="s">
        <v>66</v>
      </c>
      <c r="H11489" t="s">
        <v>67</v>
      </c>
      <c r="S11489">
        <v>1</v>
      </c>
      <c r="T11489">
        <v>0</v>
      </c>
      <c r="U11489">
        <v>0</v>
      </c>
      <c r="V11489">
        <v>0</v>
      </c>
      <c r="W11489">
        <v>1</v>
      </c>
      <c r="X11489">
        <v>0</v>
      </c>
      <c r="Y11489">
        <v>1</v>
      </c>
      <c r="Z11489">
        <v>0</v>
      </c>
      <c r="AA11489">
        <v>1</v>
      </c>
      <c r="AB11489">
        <v>0</v>
      </c>
      <c r="AC11489">
        <v>0</v>
      </c>
      <c r="AD11489">
        <v>1</v>
      </c>
      <c r="AE11489">
        <v>1</v>
      </c>
      <c r="AF11489">
        <v>1</v>
      </c>
      <c r="AG11489">
        <v>1</v>
      </c>
      <c r="AH11489">
        <v>1</v>
      </c>
      <c r="AI11489">
        <v>1</v>
      </c>
      <c r="AJ11489">
        <v>1</v>
      </c>
      <c r="AK11489">
        <v>1</v>
      </c>
      <c r="AL11489">
        <v>1</v>
      </c>
      <c r="AM11489">
        <v>1</v>
      </c>
    </row>
    <row r="11490" spans="1:39" x14ac:dyDescent="0.2">
      <c r="A11490" t="str">
        <f>"11486"</f>
        <v>11486</v>
      </c>
      <c r="B11490" t="str">
        <f t="shared" si="637"/>
        <v>1</v>
      </c>
      <c r="C11490" t="str">
        <f t="shared" si="639"/>
        <v>230</v>
      </c>
      <c r="D11490" t="str">
        <f>"24"</f>
        <v>24</v>
      </c>
      <c r="E11490" t="str">
        <f>"1-230-24"</f>
        <v>1-230-24</v>
      </c>
      <c r="F11490" t="s">
        <v>65</v>
      </c>
      <c r="G11490" t="s">
        <v>66</v>
      </c>
      <c r="H11490" t="s">
        <v>67</v>
      </c>
      <c r="S11490">
        <v>0</v>
      </c>
      <c r="T11490">
        <v>1</v>
      </c>
      <c r="U11490">
        <v>0</v>
      </c>
      <c r="V11490">
        <v>0</v>
      </c>
      <c r="W11490">
        <v>1</v>
      </c>
      <c r="X11490">
        <v>0</v>
      </c>
      <c r="Y11490">
        <v>1</v>
      </c>
      <c r="Z11490">
        <v>0</v>
      </c>
      <c r="AA11490">
        <v>0</v>
      </c>
      <c r="AB11490">
        <v>0</v>
      </c>
      <c r="AC11490">
        <v>1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  <c r="AK11490">
        <v>0</v>
      </c>
      <c r="AL11490">
        <v>0</v>
      </c>
      <c r="AM11490">
        <v>0</v>
      </c>
    </row>
    <row r="11491" spans="1:39" x14ac:dyDescent="0.2">
      <c r="A11491" t="str">
        <f>"11487"</f>
        <v>11487</v>
      </c>
      <c r="B11491" t="str">
        <f t="shared" si="637"/>
        <v>1</v>
      </c>
      <c r="C11491" t="str">
        <f t="shared" si="639"/>
        <v>230</v>
      </c>
      <c r="D11491" t="str">
        <f>"6"</f>
        <v>6</v>
      </c>
      <c r="E11491" t="str">
        <f>"1-230-6"</f>
        <v>1-230-6</v>
      </c>
      <c r="F11491" t="s">
        <v>65</v>
      </c>
      <c r="G11491" t="s">
        <v>66</v>
      </c>
      <c r="H11491" t="s">
        <v>67</v>
      </c>
      <c r="S11491">
        <v>1</v>
      </c>
      <c r="T11491">
        <v>0</v>
      </c>
      <c r="U11491">
        <v>0</v>
      </c>
      <c r="V11491">
        <v>0</v>
      </c>
      <c r="W11491">
        <v>1</v>
      </c>
      <c r="X11491">
        <v>0</v>
      </c>
      <c r="Y11491">
        <v>0</v>
      </c>
      <c r="Z11491">
        <v>1</v>
      </c>
      <c r="AA11491">
        <v>0</v>
      </c>
      <c r="AB11491">
        <v>1</v>
      </c>
      <c r="AC11491">
        <v>0</v>
      </c>
      <c r="AD11491">
        <v>0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  <c r="AK11491">
        <v>1</v>
      </c>
      <c r="AL11491">
        <v>1</v>
      </c>
      <c r="AM11491">
        <v>1</v>
      </c>
    </row>
    <row r="11492" spans="1:39" x14ac:dyDescent="0.2">
      <c r="A11492" t="str">
        <f>"11488"</f>
        <v>11488</v>
      </c>
      <c r="B11492" t="str">
        <f t="shared" si="637"/>
        <v>1</v>
      </c>
      <c r="C11492" t="str">
        <f t="shared" si="639"/>
        <v>230</v>
      </c>
      <c r="D11492" t="str">
        <f>"49"</f>
        <v>49</v>
      </c>
      <c r="E11492" t="str">
        <f>"1-230-49"</f>
        <v>1-230-49</v>
      </c>
      <c r="F11492" t="s">
        <v>65</v>
      </c>
      <c r="G11492" t="s">
        <v>66</v>
      </c>
      <c r="H11492" t="s">
        <v>67</v>
      </c>
      <c r="S11492">
        <v>0</v>
      </c>
      <c r="T11492">
        <v>1</v>
      </c>
      <c r="U11492">
        <v>0</v>
      </c>
      <c r="V11492">
        <v>0</v>
      </c>
      <c r="W11492">
        <v>0</v>
      </c>
      <c r="X11492">
        <v>1</v>
      </c>
      <c r="Y11492">
        <v>1</v>
      </c>
      <c r="Z11492">
        <v>0</v>
      </c>
      <c r="AA11492">
        <v>0</v>
      </c>
      <c r="AB11492">
        <v>1</v>
      </c>
      <c r="AC11492">
        <v>0</v>
      </c>
      <c r="AD11492">
        <v>1</v>
      </c>
      <c r="AE11492">
        <v>1</v>
      </c>
      <c r="AF11492">
        <v>1</v>
      </c>
      <c r="AG11492">
        <v>1</v>
      </c>
      <c r="AH11492">
        <v>1</v>
      </c>
      <c r="AI11492">
        <v>1</v>
      </c>
      <c r="AJ11492">
        <v>1</v>
      </c>
      <c r="AK11492">
        <v>1</v>
      </c>
      <c r="AL11492">
        <v>1</v>
      </c>
      <c r="AM11492">
        <v>1</v>
      </c>
    </row>
    <row r="11493" spans="1:39" x14ac:dyDescent="0.2">
      <c r="A11493" t="str">
        <f>"11489"</f>
        <v>11489</v>
      </c>
      <c r="B11493" t="str">
        <f t="shared" si="637"/>
        <v>1</v>
      </c>
      <c r="C11493" t="str">
        <f t="shared" si="639"/>
        <v>230</v>
      </c>
      <c r="D11493" t="str">
        <f>"25"</f>
        <v>25</v>
      </c>
      <c r="E11493" t="str">
        <f>"1-230-25"</f>
        <v>1-230-25</v>
      </c>
      <c r="F11493" t="s">
        <v>65</v>
      </c>
      <c r="G11493" t="s">
        <v>66</v>
      </c>
      <c r="H11493" t="s">
        <v>67</v>
      </c>
      <c r="S11493">
        <v>0</v>
      </c>
      <c r="T11493">
        <v>1</v>
      </c>
      <c r="U11493">
        <v>0</v>
      </c>
      <c r="V11493">
        <v>0</v>
      </c>
      <c r="W11493">
        <v>1</v>
      </c>
      <c r="X11493">
        <v>0</v>
      </c>
      <c r="Y11493">
        <v>1</v>
      </c>
      <c r="Z11493">
        <v>0</v>
      </c>
      <c r="AA11493">
        <v>0</v>
      </c>
      <c r="AB11493">
        <v>0</v>
      </c>
      <c r="AC11493">
        <v>1</v>
      </c>
      <c r="AD11493">
        <v>1</v>
      </c>
      <c r="AE11493">
        <v>1</v>
      </c>
      <c r="AF11493">
        <v>1</v>
      </c>
      <c r="AG11493">
        <v>1</v>
      </c>
      <c r="AH11493">
        <v>1</v>
      </c>
      <c r="AI11493">
        <v>1</v>
      </c>
      <c r="AJ11493">
        <v>1</v>
      </c>
      <c r="AK11493">
        <v>1</v>
      </c>
      <c r="AL11493">
        <v>1</v>
      </c>
      <c r="AM11493">
        <v>1</v>
      </c>
    </row>
    <row r="11494" spans="1:39" x14ac:dyDescent="0.2">
      <c r="A11494" t="str">
        <f>"11490"</f>
        <v>11490</v>
      </c>
      <c r="B11494" t="str">
        <f t="shared" si="637"/>
        <v>1</v>
      </c>
      <c r="C11494" t="str">
        <f t="shared" si="639"/>
        <v>230</v>
      </c>
      <c r="D11494" t="str">
        <f>"2"</f>
        <v>2</v>
      </c>
      <c r="E11494" t="str">
        <f>"1-230-2"</f>
        <v>1-230-2</v>
      </c>
      <c r="F11494" t="s">
        <v>65</v>
      </c>
      <c r="G11494" t="s">
        <v>66</v>
      </c>
      <c r="H11494" t="s">
        <v>67</v>
      </c>
      <c r="S11494">
        <v>1</v>
      </c>
      <c r="T11494">
        <v>0</v>
      </c>
      <c r="U11494">
        <v>0</v>
      </c>
      <c r="V11494">
        <v>0</v>
      </c>
      <c r="W11494">
        <v>1</v>
      </c>
      <c r="X11494">
        <v>0</v>
      </c>
      <c r="Y11494">
        <v>1</v>
      </c>
      <c r="Z11494">
        <v>0</v>
      </c>
      <c r="AA11494">
        <v>1</v>
      </c>
      <c r="AB11494">
        <v>0</v>
      </c>
      <c r="AC11494">
        <v>0</v>
      </c>
      <c r="AD11494">
        <v>1</v>
      </c>
      <c r="AE11494">
        <v>1</v>
      </c>
      <c r="AF11494">
        <v>1</v>
      </c>
      <c r="AG11494">
        <v>1</v>
      </c>
      <c r="AH11494">
        <v>1</v>
      </c>
      <c r="AI11494">
        <v>1</v>
      </c>
      <c r="AJ11494">
        <v>1</v>
      </c>
      <c r="AK11494">
        <v>1</v>
      </c>
      <c r="AL11494">
        <v>1</v>
      </c>
      <c r="AM11494">
        <v>1</v>
      </c>
    </row>
    <row r="11495" spans="1:39" x14ac:dyDescent="0.2">
      <c r="A11495" t="str">
        <f>"11491"</f>
        <v>11491</v>
      </c>
      <c r="B11495" t="str">
        <f t="shared" si="637"/>
        <v>1</v>
      </c>
      <c r="C11495" t="str">
        <f t="shared" si="639"/>
        <v>230</v>
      </c>
      <c r="D11495" t="str">
        <f>"48"</f>
        <v>48</v>
      </c>
      <c r="E11495" t="str">
        <f>"1-230-48"</f>
        <v>1-230-48</v>
      </c>
      <c r="F11495" t="s">
        <v>65</v>
      </c>
      <c r="G11495" t="s">
        <v>66</v>
      </c>
      <c r="H11495" t="s">
        <v>67</v>
      </c>
      <c r="S11495">
        <v>1</v>
      </c>
      <c r="T11495">
        <v>0</v>
      </c>
      <c r="U11495">
        <v>0</v>
      </c>
      <c r="V11495">
        <v>0</v>
      </c>
      <c r="W11495">
        <v>1</v>
      </c>
      <c r="X11495">
        <v>0</v>
      </c>
      <c r="Y11495">
        <v>0</v>
      </c>
      <c r="Z11495">
        <v>1</v>
      </c>
      <c r="AA11495">
        <v>1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  <c r="AK11495">
        <v>0</v>
      </c>
      <c r="AL11495">
        <v>0</v>
      </c>
      <c r="AM11495">
        <v>0</v>
      </c>
    </row>
    <row r="11496" spans="1:39" x14ac:dyDescent="0.2">
      <c r="A11496" t="str">
        <f>"11492"</f>
        <v>11492</v>
      </c>
      <c r="B11496" t="str">
        <f t="shared" si="637"/>
        <v>1</v>
      </c>
      <c r="C11496" t="str">
        <f t="shared" si="639"/>
        <v>230</v>
      </c>
      <c r="D11496" t="str">
        <f>"26"</f>
        <v>26</v>
      </c>
      <c r="E11496" t="str">
        <f>"1-230-26"</f>
        <v>1-230-26</v>
      </c>
      <c r="F11496" t="s">
        <v>65</v>
      </c>
      <c r="G11496" t="s">
        <v>66</v>
      </c>
      <c r="H11496" t="s">
        <v>67</v>
      </c>
      <c r="S11496">
        <v>1</v>
      </c>
      <c r="T11496">
        <v>0</v>
      </c>
      <c r="U11496">
        <v>0</v>
      </c>
      <c r="V11496">
        <v>0</v>
      </c>
      <c r="W11496">
        <v>1</v>
      </c>
      <c r="X11496">
        <v>0</v>
      </c>
      <c r="Y11496">
        <v>1</v>
      </c>
      <c r="Z11496">
        <v>0</v>
      </c>
      <c r="AA11496">
        <v>1</v>
      </c>
      <c r="AB11496">
        <v>0</v>
      </c>
      <c r="AC11496">
        <v>0</v>
      </c>
      <c r="AD11496">
        <v>1</v>
      </c>
      <c r="AE11496">
        <v>1</v>
      </c>
      <c r="AF11496">
        <v>1</v>
      </c>
      <c r="AG11496">
        <v>1</v>
      </c>
      <c r="AH11496">
        <v>1</v>
      </c>
      <c r="AI11496">
        <v>1</v>
      </c>
      <c r="AJ11496">
        <v>1</v>
      </c>
      <c r="AK11496">
        <v>1</v>
      </c>
      <c r="AL11496">
        <v>1</v>
      </c>
      <c r="AM11496">
        <v>1</v>
      </c>
    </row>
    <row r="11497" spans="1:39" x14ac:dyDescent="0.2">
      <c r="A11497" t="str">
        <f>"11493"</f>
        <v>11493</v>
      </c>
      <c r="B11497" t="str">
        <f t="shared" si="637"/>
        <v>1</v>
      </c>
      <c r="C11497" t="str">
        <f t="shared" si="639"/>
        <v>230</v>
      </c>
      <c r="D11497" t="str">
        <f>"11"</f>
        <v>11</v>
      </c>
      <c r="E11497" t="str">
        <f>"1-230-11"</f>
        <v>1-230-11</v>
      </c>
      <c r="F11497" t="s">
        <v>65</v>
      </c>
      <c r="G11497" t="s">
        <v>66</v>
      </c>
      <c r="H11497" t="s">
        <v>67</v>
      </c>
      <c r="S11497">
        <v>0</v>
      </c>
      <c r="T11497">
        <v>1</v>
      </c>
      <c r="U11497">
        <v>0</v>
      </c>
      <c r="V11497">
        <v>0</v>
      </c>
      <c r="W11497">
        <v>1</v>
      </c>
      <c r="X11497">
        <v>0</v>
      </c>
      <c r="Y11497">
        <v>0</v>
      </c>
      <c r="Z11497">
        <v>1</v>
      </c>
      <c r="AA11497">
        <v>1</v>
      </c>
      <c r="AB11497">
        <v>0</v>
      </c>
      <c r="AC11497">
        <v>0</v>
      </c>
      <c r="AD11497">
        <v>1</v>
      </c>
      <c r="AE11497">
        <v>1</v>
      </c>
      <c r="AF11497">
        <v>1</v>
      </c>
      <c r="AG11497">
        <v>1</v>
      </c>
      <c r="AH11497">
        <v>1</v>
      </c>
      <c r="AI11497">
        <v>1</v>
      </c>
      <c r="AJ11497">
        <v>1</v>
      </c>
      <c r="AK11497">
        <v>1</v>
      </c>
      <c r="AL11497">
        <v>1</v>
      </c>
      <c r="AM11497">
        <v>1</v>
      </c>
    </row>
    <row r="11498" spans="1:39" x14ac:dyDescent="0.2">
      <c r="A11498" t="str">
        <f>"11494"</f>
        <v>11494</v>
      </c>
      <c r="B11498" t="str">
        <f t="shared" si="637"/>
        <v>1</v>
      </c>
      <c r="C11498" t="str">
        <f t="shared" si="639"/>
        <v>230</v>
      </c>
      <c r="D11498" t="str">
        <f>"47"</f>
        <v>47</v>
      </c>
      <c r="E11498" t="str">
        <f>"1-230-47"</f>
        <v>1-230-47</v>
      </c>
      <c r="F11498" t="s">
        <v>65</v>
      </c>
      <c r="G11498" t="s">
        <v>66</v>
      </c>
      <c r="H11498" t="s">
        <v>67</v>
      </c>
      <c r="S11498">
        <v>1</v>
      </c>
      <c r="T11498">
        <v>0</v>
      </c>
      <c r="U11498">
        <v>0</v>
      </c>
      <c r="V11498">
        <v>0</v>
      </c>
      <c r="W11498">
        <v>1</v>
      </c>
      <c r="X11498">
        <v>0</v>
      </c>
      <c r="Y11498">
        <v>0</v>
      </c>
      <c r="Z11498">
        <v>1</v>
      </c>
      <c r="AA11498">
        <v>1</v>
      </c>
      <c r="AB11498">
        <v>0</v>
      </c>
      <c r="AC11498">
        <v>0</v>
      </c>
      <c r="AD11498">
        <v>1</v>
      </c>
      <c r="AE11498">
        <v>1</v>
      </c>
      <c r="AF11498">
        <v>1</v>
      </c>
      <c r="AG11498">
        <v>1</v>
      </c>
      <c r="AH11498">
        <v>1</v>
      </c>
      <c r="AI11498">
        <v>1</v>
      </c>
      <c r="AJ11498">
        <v>1</v>
      </c>
      <c r="AK11498">
        <v>1</v>
      </c>
      <c r="AL11498">
        <v>1</v>
      </c>
      <c r="AM11498">
        <v>1</v>
      </c>
    </row>
    <row r="11499" spans="1:39" x14ac:dyDescent="0.2">
      <c r="A11499" t="str">
        <f>"11495"</f>
        <v>11495</v>
      </c>
      <c r="B11499" t="str">
        <f t="shared" si="637"/>
        <v>1</v>
      </c>
      <c r="C11499" t="str">
        <f t="shared" si="639"/>
        <v>230</v>
      </c>
      <c r="D11499" t="str">
        <f>"27"</f>
        <v>27</v>
      </c>
      <c r="E11499" t="str">
        <f>"1-230-27"</f>
        <v>1-230-27</v>
      </c>
      <c r="F11499" t="s">
        <v>65</v>
      </c>
      <c r="G11499" t="s">
        <v>66</v>
      </c>
      <c r="H11499" t="s">
        <v>67</v>
      </c>
      <c r="S11499">
        <v>1</v>
      </c>
      <c r="T11499">
        <v>0</v>
      </c>
      <c r="U11499">
        <v>0</v>
      </c>
      <c r="V11499">
        <v>0</v>
      </c>
      <c r="W11499">
        <v>1</v>
      </c>
      <c r="X11499">
        <v>0</v>
      </c>
      <c r="Y11499">
        <v>1</v>
      </c>
      <c r="Z11499">
        <v>0</v>
      </c>
      <c r="AA11499">
        <v>0</v>
      </c>
      <c r="AB11499">
        <v>1</v>
      </c>
      <c r="AC11499">
        <v>0</v>
      </c>
      <c r="AD11499">
        <v>0</v>
      </c>
      <c r="AE11499">
        <v>0</v>
      </c>
      <c r="AF11499">
        <v>0</v>
      </c>
      <c r="AG11499">
        <v>0</v>
      </c>
      <c r="AH11499">
        <v>1</v>
      </c>
      <c r="AI11499">
        <v>1</v>
      </c>
      <c r="AJ11499">
        <v>0</v>
      </c>
      <c r="AK11499">
        <v>0</v>
      </c>
      <c r="AL11499">
        <v>1</v>
      </c>
      <c r="AM11499">
        <v>0</v>
      </c>
    </row>
    <row r="11500" spans="1:39" x14ac:dyDescent="0.2">
      <c r="A11500" t="str">
        <f>"11496"</f>
        <v>11496</v>
      </c>
      <c r="B11500" t="str">
        <f t="shared" si="637"/>
        <v>1</v>
      </c>
      <c r="C11500" t="str">
        <f t="shared" si="639"/>
        <v>230</v>
      </c>
      <c r="D11500" t="str">
        <f>"10"</f>
        <v>10</v>
      </c>
      <c r="E11500" t="str">
        <f>"1-230-10"</f>
        <v>1-230-10</v>
      </c>
      <c r="F11500" t="s">
        <v>65</v>
      </c>
      <c r="G11500" t="s">
        <v>66</v>
      </c>
      <c r="H11500" t="s">
        <v>67</v>
      </c>
      <c r="S11500">
        <v>0</v>
      </c>
      <c r="T11500">
        <v>1</v>
      </c>
      <c r="U11500">
        <v>0</v>
      </c>
      <c r="V11500">
        <v>0</v>
      </c>
      <c r="W11500">
        <v>0</v>
      </c>
      <c r="X11500">
        <v>1</v>
      </c>
      <c r="Y11500">
        <v>1</v>
      </c>
      <c r="Z11500">
        <v>0</v>
      </c>
      <c r="AA11500">
        <v>0</v>
      </c>
      <c r="AB11500">
        <v>0</v>
      </c>
      <c r="AC11500">
        <v>1</v>
      </c>
      <c r="AD11500">
        <v>1</v>
      </c>
      <c r="AE11500">
        <v>1</v>
      </c>
      <c r="AF11500">
        <v>1</v>
      </c>
      <c r="AG11500">
        <v>1</v>
      </c>
      <c r="AH11500">
        <v>1</v>
      </c>
      <c r="AI11500">
        <v>1</v>
      </c>
      <c r="AJ11500">
        <v>1</v>
      </c>
      <c r="AK11500">
        <v>1</v>
      </c>
      <c r="AL11500">
        <v>1</v>
      </c>
      <c r="AM11500">
        <v>1</v>
      </c>
    </row>
    <row r="11501" spans="1:39" x14ac:dyDescent="0.2">
      <c r="A11501" t="str">
        <f>"11497"</f>
        <v>11497</v>
      </c>
      <c r="B11501" t="str">
        <f t="shared" si="637"/>
        <v>1</v>
      </c>
      <c r="C11501" t="str">
        <f t="shared" si="639"/>
        <v>230</v>
      </c>
      <c r="D11501" t="str">
        <f>"28"</f>
        <v>28</v>
      </c>
      <c r="E11501" t="str">
        <f>"1-230-28"</f>
        <v>1-230-28</v>
      </c>
      <c r="F11501" t="s">
        <v>65</v>
      </c>
      <c r="G11501" t="s">
        <v>66</v>
      </c>
      <c r="H11501" t="s">
        <v>67</v>
      </c>
      <c r="S11501">
        <v>1</v>
      </c>
      <c r="T11501">
        <v>0</v>
      </c>
      <c r="U11501">
        <v>0</v>
      </c>
      <c r="V11501">
        <v>0</v>
      </c>
      <c r="W11501">
        <v>1</v>
      </c>
      <c r="X11501">
        <v>0</v>
      </c>
      <c r="Y11501">
        <v>1</v>
      </c>
      <c r="Z11501">
        <v>0</v>
      </c>
      <c r="AA11501">
        <v>1</v>
      </c>
      <c r="AB11501">
        <v>0</v>
      </c>
      <c r="AC11501">
        <v>0</v>
      </c>
      <c r="AD11501">
        <v>1</v>
      </c>
      <c r="AE11501">
        <v>1</v>
      </c>
      <c r="AF11501">
        <v>1</v>
      </c>
      <c r="AG11501">
        <v>1</v>
      </c>
      <c r="AH11501">
        <v>1</v>
      </c>
      <c r="AI11501">
        <v>1</v>
      </c>
      <c r="AJ11501">
        <v>1</v>
      </c>
      <c r="AK11501">
        <v>1</v>
      </c>
      <c r="AL11501">
        <v>1</v>
      </c>
      <c r="AM11501">
        <v>1</v>
      </c>
    </row>
    <row r="11502" spans="1:39" x14ac:dyDescent="0.2">
      <c r="A11502" t="str">
        <f>"11498"</f>
        <v>11498</v>
      </c>
      <c r="B11502" t="str">
        <f t="shared" si="637"/>
        <v>1</v>
      </c>
      <c r="C11502" t="str">
        <f t="shared" si="639"/>
        <v>230</v>
      </c>
      <c r="D11502" t="str">
        <f>"8"</f>
        <v>8</v>
      </c>
      <c r="E11502" t="str">
        <f>"1-230-8"</f>
        <v>1-230-8</v>
      </c>
      <c r="F11502" t="s">
        <v>65</v>
      </c>
      <c r="G11502" t="s">
        <v>66</v>
      </c>
      <c r="H11502" t="s">
        <v>67</v>
      </c>
      <c r="S11502">
        <v>1</v>
      </c>
      <c r="T11502">
        <v>0</v>
      </c>
      <c r="U11502">
        <v>0</v>
      </c>
      <c r="V11502">
        <v>0</v>
      </c>
      <c r="W11502">
        <v>1</v>
      </c>
      <c r="X11502">
        <v>0</v>
      </c>
      <c r="Y11502">
        <v>1</v>
      </c>
      <c r="Z11502">
        <v>0</v>
      </c>
      <c r="AA11502">
        <v>1</v>
      </c>
      <c r="AB11502">
        <v>0</v>
      </c>
      <c r="AC11502">
        <v>0</v>
      </c>
      <c r="AD11502">
        <v>1</v>
      </c>
      <c r="AE11502">
        <v>1</v>
      </c>
      <c r="AF11502">
        <v>1</v>
      </c>
      <c r="AG11502">
        <v>1</v>
      </c>
      <c r="AH11502">
        <v>1</v>
      </c>
      <c r="AI11502">
        <v>1</v>
      </c>
      <c r="AJ11502">
        <v>1</v>
      </c>
      <c r="AK11502">
        <v>1</v>
      </c>
      <c r="AL11502">
        <v>1</v>
      </c>
      <c r="AM11502">
        <v>1</v>
      </c>
    </row>
    <row r="11503" spans="1:39" x14ac:dyDescent="0.2">
      <c r="A11503" t="str">
        <f>"11499"</f>
        <v>11499</v>
      </c>
      <c r="B11503" t="str">
        <f t="shared" si="637"/>
        <v>1</v>
      </c>
      <c r="C11503" t="str">
        <f t="shared" si="639"/>
        <v>230</v>
      </c>
      <c r="D11503" t="str">
        <f>"30"</f>
        <v>30</v>
      </c>
      <c r="E11503" t="str">
        <f>"1-230-30"</f>
        <v>1-230-30</v>
      </c>
      <c r="F11503" t="s">
        <v>65</v>
      </c>
      <c r="G11503" t="s">
        <v>66</v>
      </c>
      <c r="H11503" t="s">
        <v>67</v>
      </c>
      <c r="S11503">
        <v>1</v>
      </c>
      <c r="T11503">
        <v>0</v>
      </c>
      <c r="U11503">
        <v>0</v>
      </c>
      <c r="V11503">
        <v>0</v>
      </c>
      <c r="W11503">
        <v>1</v>
      </c>
      <c r="X11503">
        <v>0</v>
      </c>
      <c r="Y11503">
        <v>1</v>
      </c>
      <c r="Z11503">
        <v>0</v>
      </c>
      <c r="AA11503">
        <v>0</v>
      </c>
      <c r="AB11503">
        <v>0</v>
      </c>
      <c r="AC11503">
        <v>1</v>
      </c>
      <c r="AD11503">
        <v>1</v>
      </c>
      <c r="AE11503">
        <v>1</v>
      </c>
      <c r="AF11503">
        <v>1</v>
      </c>
      <c r="AG11503">
        <v>1</v>
      </c>
      <c r="AH11503">
        <v>1</v>
      </c>
      <c r="AI11503">
        <v>1</v>
      </c>
      <c r="AJ11503">
        <v>1</v>
      </c>
      <c r="AK11503">
        <v>1</v>
      </c>
      <c r="AL11503">
        <v>1</v>
      </c>
      <c r="AM11503">
        <v>1</v>
      </c>
    </row>
    <row r="11504" spans="1:39" x14ac:dyDescent="0.2">
      <c r="A11504" t="str">
        <f>"11500"</f>
        <v>11500</v>
      </c>
      <c r="B11504" t="str">
        <f t="shared" si="637"/>
        <v>1</v>
      </c>
      <c r="C11504" t="str">
        <f t="shared" si="639"/>
        <v>230</v>
      </c>
      <c r="D11504" t="str">
        <f>"7"</f>
        <v>7</v>
      </c>
      <c r="E11504" t="str">
        <f>"1-230-7"</f>
        <v>1-230-7</v>
      </c>
      <c r="F11504" t="s">
        <v>65</v>
      </c>
      <c r="G11504" t="s">
        <v>66</v>
      </c>
      <c r="H11504" t="s">
        <v>67</v>
      </c>
      <c r="S11504">
        <v>1</v>
      </c>
      <c r="T11504">
        <v>0</v>
      </c>
      <c r="U11504">
        <v>0</v>
      </c>
      <c r="V11504">
        <v>0</v>
      </c>
      <c r="W11504">
        <v>1</v>
      </c>
      <c r="X11504">
        <v>0</v>
      </c>
      <c r="Y11504">
        <v>0</v>
      </c>
      <c r="Z11504">
        <v>1</v>
      </c>
      <c r="AA11504">
        <v>0</v>
      </c>
      <c r="AB11504">
        <v>1</v>
      </c>
      <c r="AC11504">
        <v>0</v>
      </c>
      <c r="AD11504">
        <v>1</v>
      </c>
      <c r="AE11504">
        <v>1</v>
      </c>
      <c r="AF11504">
        <v>1</v>
      </c>
      <c r="AG11504">
        <v>1</v>
      </c>
      <c r="AH11504">
        <v>1</v>
      </c>
      <c r="AI11504">
        <v>1</v>
      </c>
      <c r="AJ11504">
        <v>1</v>
      </c>
      <c r="AK11504">
        <v>1</v>
      </c>
      <c r="AL11504">
        <v>1</v>
      </c>
      <c r="AM11504">
        <v>1</v>
      </c>
    </row>
    <row r="11505" spans="1:39" x14ac:dyDescent="0.2">
      <c r="A11505" t="str">
        <f>"11501"</f>
        <v>11501</v>
      </c>
      <c r="B11505" t="str">
        <f t="shared" si="637"/>
        <v>1</v>
      </c>
      <c r="C11505" t="str">
        <f t="shared" ref="C11505:C11536" si="640">"231"</f>
        <v>231</v>
      </c>
      <c r="D11505" t="str">
        <f>"32"</f>
        <v>32</v>
      </c>
      <c r="E11505" t="str">
        <f>"1-231-32"</f>
        <v>1-231-32</v>
      </c>
      <c r="F11505" t="s">
        <v>65</v>
      </c>
      <c r="G11505" t="s">
        <v>66</v>
      </c>
      <c r="H11505" t="s">
        <v>67</v>
      </c>
      <c r="S11505">
        <v>1</v>
      </c>
      <c r="T11505">
        <v>0</v>
      </c>
      <c r="U11505">
        <v>0</v>
      </c>
      <c r="V11505">
        <v>0</v>
      </c>
      <c r="W11505">
        <v>1</v>
      </c>
      <c r="X11505">
        <v>0</v>
      </c>
      <c r="Y11505">
        <v>1</v>
      </c>
      <c r="Z11505">
        <v>0</v>
      </c>
      <c r="AA11505">
        <v>0</v>
      </c>
      <c r="AB11505">
        <v>0</v>
      </c>
      <c r="AC11505">
        <v>1</v>
      </c>
      <c r="AD11505">
        <v>1</v>
      </c>
      <c r="AE11505">
        <v>1</v>
      </c>
      <c r="AF11505">
        <v>1</v>
      </c>
      <c r="AG11505">
        <v>1</v>
      </c>
      <c r="AH11505">
        <v>1</v>
      </c>
      <c r="AI11505">
        <v>1</v>
      </c>
      <c r="AJ11505">
        <v>1</v>
      </c>
      <c r="AK11505">
        <v>1</v>
      </c>
      <c r="AL11505">
        <v>1</v>
      </c>
      <c r="AM11505">
        <v>1</v>
      </c>
    </row>
    <row r="11506" spans="1:39" x14ac:dyDescent="0.2">
      <c r="A11506" t="str">
        <f>"11502"</f>
        <v>11502</v>
      </c>
      <c r="B11506" t="str">
        <f t="shared" si="637"/>
        <v>1</v>
      </c>
      <c r="C11506" t="str">
        <f t="shared" si="640"/>
        <v>231</v>
      </c>
      <c r="D11506" t="str">
        <f>"31"</f>
        <v>31</v>
      </c>
      <c r="E11506" t="str">
        <f>"1-231-31"</f>
        <v>1-231-31</v>
      </c>
      <c r="F11506" t="s">
        <v>65</v>
      </c>
      <c r="G11506" t="s">
        <v>66</v>
      </c>
      <c r="H11506" t="s">
        <v>67</v>
      </c>
      <c r="S11506">
        <v>0</v>
      </c>
      <c r="T11506">
        <v>0</v>
      </c>
      <c r="U11506">
        <v>0</v>
      </c>
      <c r="V11506">
        <v>0</v>
      </c>
      <c r="W11506">
        <v>1</v>
      </c>
      <c r="X11506">
        <v>0</v>
      </c>
      <c r="Y11506">
        <v>1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1</v>
      </c>
      <c r="AH11506">
        <v>1</v>
      </c>
      <c r="AI11506">
        <v>1</v>
      </c>
      <c r="AJ11506">
        <v>1</v>
      </c>
      <c r="AK11506">
        <v>0</v>
      </c>
      <c r="AL11506">
        <v>1</v>
      </c>
      <c r="AM11506">
        <v>0</v>
      </c>
    </row>
    <row r="11507" spans="1:39" x14ac:dyDescent="0.2">
      <c r="A11507" t="str">
        <f>"11503"</f>
        <v>11503</v>
      </c>
      <c r="B11507" t="str">
        <f t="shared" si="637"/>
        <v>1</v>
      </c>
      <c r="C11507" t="str">
        <f t="shared" si="640"/>
        <v>231</v>
      </c>
      <c r="D11507" t="str">
        <f>"18"</f>
        <v>18</v>
      </c>
      <c r="E11507" t="str">
        <f>"1-231-18"</f>
        <v>1-231-18</v>
      </c>
      <c r="F11507" t="s">
        <v>65</v>
      </c>
      <c r="G11507" t="s">
        <v>66</v>
      </c>
      <c r="H11507" t="s">
        <v>67</v>
      </c>
      <c r="S11507">
        <v>1</v>
      </c>
      <c r="T11507">
        <v>0</v>
      </c>
      <c r="U11507">
        <v>0</v>
      </c>
      <c r="V11507">
        <v>0</v>
      </c>
      <c r="W11507">
        <v>1</v>
      </c>
      <c r="X11507">
        <v>0</v>
      </c>
      <c r="Y11507">
        <v>1</v>
      </c>
      <c r="Z11507">
        <v>0</v>
      </c>
      <c r="AA11507">
        <v>0</v>
      </c>
      <c r="AB11507">
        <v>0</v>
      </c>
      <c r="AC11507">
        <v>1</v>
      </c>
      <c r="AD11507">
        <v>1</v>
      </c>
      <c r="AE11507">
        <v>1</v>
      </c>
      <c r="AF11507">
        <v>1</v>
      </c>
      <c r="AG11507">
        <v>1</v>
      </c>
      <c r="AH11507">
        <v>1</v>
      </c>
      <c r="AI11507">
        <v>1</v>
      </c>
      <c r="AJ11507">
        <v>1</v>
      </c>
      <c r="AK11507">
        <v>1</v>
      </c>
      <c r="AL11507">
        <v>1</v>
      </c>
      <c r="AM11507">
        <v>1</v>
      </c>
    </row>
    <row r="11508" spans="1:39" x14ac:dyDescent="0.2">
      <c r="A11508" t="str">
        <f>"11504"</f>
        <v>11504</v>
      </c>
      <c r="B11508" t="str">
        <f t="shared" si="637"/>
        <v>1</v>
      </c>
      <c r="C11508" t="str">
        <f t="shared" si="640"/>
        <v>231</v>
      </c>
      <c r="D11508" t="str">
        <f>"15"</f>
        <v>15</v>
      </c>
      <c r="E11508" t="str">
        <f>"1-231-15"</f>
        <v>1-231-15</v>
      </c>
      <c r="F11508" t="s">
        <v>65</v>
      </c>
      <c r="G11508" t="s">
        <v>66</v>
      </c>
      <c r="H11508" t="s">
        <v>67</v>
      </c>
      <c r="S11508">
        <v>1</v>
      </c>
      <c r="T11508">
        <v>0</v>
      </c>
      <c r="U11508">
        <v>0</v>
      </c>
      <c r="V11508">
        <v>0</v>
      </c>
      <c r="W11508">
        <v>1</v>
      </c>
      <c r="X11508">
        <v>0</v>
      </c>
      <c r="Y11508">
        <v>1</v>
      </c>
      <c r="Z11508">
        <v>0</v>
      </c>
      <c r="AA11508">
        <v>1</v>
      </c>
      <c r="AB11508">
        <v>0</v>
      </c>
      <c r="AC11508">
        <v>0</v>
      </c>
      <c r="AD11508">
        <v>1</v>
      </c>
      <c r="AE11508">
        <v>1</v>
      </c>
      <c r="AF11508">
        <v>1</v>
      </c>
      <c r="AG11508">
        <v>1</v>
      </c>
      <c r="AH11508">
        <v>1</v>
      </c>
      <c r="AI11508">
        <v>1</v>
      </c>
      <c r="AJ11508">
        <v>1</v>
      </c>
      <c r="AK11508">
        <v>1</v>
      </c>
      <c r="AL11508">
        <v>1</v>
      </c>
      <c r="AM11508">
        <v>1</v>
      </c>
    </row>
    <row r="11509" spans="1:39" x14ac:dyDescent="0.2">
      <c r="A11509" t="str">
        <f>"11505"</f>
        <v>11505</v>
      </c>
      <c r="B11509" t="str">
        <f t="shared" si="637"/>
        <v>1</v>
      </c>
      <c r="C11509" t="str">
        <f t="shared" si="640"/>
        <v>231</v>
      </c>
      <c r="D11509" t="str">
        <f>"1"</f>
        <v>1</v>
      </c>
      <c r="E11509" t="str">
        <f>"1-231-1"</f>
        <v>1-231-1</v>
      </c>
      <c r="F11509" t="s">
        <v>65</v>
      </c>
      <c r="G11509" t="s">
        <v>66</v>
      </c>
      <c r="H11509" t="s">
        <v>67</v>
      </c>
      <c r="S11509">
        <v>1</v>
      </c>
      <c r="T11509">
        <v>0</v>
      </c>
      <c r="U11509">
        <v>0</v>
      </c>
      <c r="V11509">
        <v>0</v>
      </c>
      <c r="W11509">
        <v>1</v>
      </c>
      <c r="X11509">
        <v>0</v>
      </c>
      <c r="Y11509">
        <v>0</v>
      </c>
      <c r="Z11509">
        <v>1</v>
      </c>
      <c r="AA11509">
        <v>1</v>
      </c>
      <c r="AB11509">
        <v>0</v>
      </c>
      <c r="AC11509">
        <v>0</v>
      </c>
      <c r="AD11509">
        <v>0</v>
      </c>
      <c r="AE11509">
        <v>0</v>
      </c>
      <c r="AF11509">
        <v>0</v>
      </c>
      <c r="AG11509">
        <v>0</v>
      </c>
      <c r="AH11509">
        <v>1</v>
      </c>
      <c r="AI11509">
        <v>1</v>
      </c>
      <c r="AJ11509">
        <v>1</v>
      </c>
      <c r="AK11509">
        <v>0</v>
      </c>
      <c r="AL11509">
        <v>1</v>
      </c>
      <c r="AM11509">
        <v>0</v>
      </c>
    </row>
    <row r="11510" spans="1:39" x14ac:dyDescent="0.2">
      <c r="A11510" t="str">
        <f>"11506"</f>
        <v>11506</v>
      </c>
      <c r="B11510" t="str">
        <f t="shared" si="637"/>
        <v>1</v>
      </c>
      <c r="C11510" t="str">
        <f t="shared" si="640"/>
        <v>231</v>
      </c>
      <c r="D11510" t="str">
        <f>"34"</f>
        <v>34</v>
      </c>
      <c r="E11510" t="str">
        <f>"1-231-34"</f>
        <v>1-231-34</v>
      </c>
      <c r="F11510" t="s">
        <v>65</v>
      </c>
      <c r="G11510" t="s">
        <v>66</v>
      </c>
      <c r="H11510" t="s">
        <v>67</v>
      </c>
      <c r="S11510">
        <v>0</v>
      </c>
      <c r="T11510">
        <v>1</v>
      </c>
      <c r="U11510">
        <v>0</v>
      </c>
      <c r="V11510">
        <v>0</v>
      </c>
      <c r="W11510">
        <v>1</v>
      </c>
      <c r="X11510">
        <v>0</v>
      </c>
      <c r="Y11510">
        <v>1</v>
      </c>
      <c r="Z11510">
        <v>0</v>
      </c>
      <c r="AA11510">
        <v>1</v>
      </c>
      <c r="AB11510">
        <v>0</v>
      </c>
      <c r="AC11510">
        <v>0</v>
      </c>
      <c r="AD11510">
        <v>1</v>
      </c>
      <c r="AE11510">
        <v>1</v>
      </c>
      <c r="AF11510">
        <v>1</v>
      </c>
      <c r="AG11510">
        <v>1</v>
      </c>
      <c r="AH11510">
        <v>1</v>
      </c>
      <c r="AI11510">
        <v>1</v>
      </c>
      <c r="AJ11510">
        <v>1</v>
      </c>
      <c r="AK11510">
        <v>1</v>
      </c>
      <c r="AL11510">
        <v>1</v>
      </c>
      <c r="AM11510">
        <v>1</v>
      </c>
    </row>
    <row r="11511" spans="1:39" x14ac:dyDescent="0.2">
      <c r="A11511" t="str">
        <f>"11507"</f>
        <v>11507</v>
      </c>
      <c r="B11511" t="str">
        <f t="shared" ref="B11511:B11574" si="641">"1"</f>
        <v>1</v>
      </c>
      <c r="C11511" t="str">
        <f t="shared" si="640"/>
        <v>231</v>
      </c>
      <c r="D11511" t="str">
        <f>"33"</f>
        <v>33</v>
      </c>
      <c r="E11511" t="str">
        <f>"1-231-33"</f>
        <v>1-231-33</v>
      </c>
      <c r="F11511" t="s">
        <v>65</v>
      </c>
      <c r="G11511" t="s">
        <v>66</v>
      </c>
      <c r="H11511" t="s">
        <v>67</v>
      </c>
      <c r="S11511">
        <v>1</v>
      </c>
      <c r="T11511">
        <v>0</v>
      </c>
      <c r="U11511">
        <v>0</v>
      </c>
      <c r="V11511">
        <v>0</v>
      </c>
      <c r="W11511">
        <v>1</v>
      </c>
      <c r="X11511">
        <v>0</v>
      </c>
      <c r="Y11511">
        <v>1</v>
      </c>
      <c r="Z11511">
        <v>0</v>
      </c>
      <c r="AA11511">
        <v>0</v>
      </c>
      <c r="AB11511">
        <v>0</v>
      </c>
      <c r="AC11511">
        <v>1</v>
      </c>
      <c r="AD11511">
        <v>1</v>
      </c>
      <c r="AE11511">
        <v>1</v>
      </c>
      <c r="AF11511">
        <v>1</v>
      </c>
      <c r="AG11511">
        <v>1</v>
      </c>
      <c r="AH11511">
        <v>1</v>
      </c>
      <c r="AI11511">
        <v>1</v>
      </c>
      <c r="AJ11511">
        <v>1</v>
      </c>
      <c r="AK11511">
        <v>1</v>
      </c>
      <c r="AL11511">
        <v>1</v>
      </c>
      <c r="AM11511">
        <v>1</v>
      </c>
    </row>
    <row r="11512" spans="1:39" x14ac:dyDescent="0.2">
      <c r="A11512" t="str">
        <f>"11508"</f>
        <v>11508</v>
      </c>
      <c r="B11512" t="str">
        <f t="shared" si="641"/>
        <v>1</v>
      </c>
      <c r="C11512" t="str">
        <f t="shared" si="640"/>
        <v>231</v>
      </c>
      <c r="D11512" t="str">
        <f>"17"</f>
        <v>17</v>
      </c>
      <c r="E11512" t="str">
        <f>"1-231-17"</f>
        <v>1-231-17</v>
      </c>
      <c r="F11512" t="s">
        <v>65</v>
      </c>
      <c r="G11512" t="s">
        <v>66</v>
      </c>
      <c r="H11512" t="s">
        <v>67</v>
      </c>
      <c r="S11512">
        <v>1</v>
      </c>
      <c r="T11512">
        <v>0</v>
      </c>
      <c r="U11512">
        <v>0</v>
      </c>
      <c r="V11512">
        <v>0</v>
      </c>
      <c r="W11512">
        <v>1</v>
      </c>
      <c r="X11512">
        <v>0</v>
      </c>
      <c r="Y11512">
        <v>0</v>
      </c>
      <c r="Z11512">
        <v>1</v>
      </c>
      <c r="AA11512">
        <v>0</v>
      </c>
      <c r="AB11512">
        <v>0</v>
      </c>
      <c r="AC11512">
        <v>1</v>
      </c>
      <c r="AD11512">
        <v>1</v>
      </c>
      <c r="AE11512">
        <v>1</v>
      </c>
      <c r="AF11512">
        <v>1</v>
      </c>
      <c r="AG11512">
        <v>1</v>
      </c>
      <c r="AH11512">
        <v>1</v>
      </c>
      <c r="AI11512">
        <v>1</v>
      </c>
      <c r="AJ11512">
        <v>1</v>
      </c>
      <c r="AK11512">
        <v>1</v>
      </c>
      <c r="AL11512">
        <v>1</v>
      </c>
      <c r="AM11512">
        <v>1</v>
      </c>
    </row>
    <row r="11513" spans="1:39" x14ac:dyDescent="0.2">
      <c r="A11513" t="str">
        <f>"11509"</f>
        <v>11509</v>
      </c>
      <c r="B11513" t="str">
        <f t="shared" si="641"/>
        <v>1</v>
      </c>
      <c r="C11513" t="str">
        <f t="shared" si="640"/>
        <v>231</v>
      </c>
      <c r="D11513" t="str">
        <f>"16"</f>
        <v>16</v>
      </c>
      <c r="E11513" t="str">
        <f>"1-231-16"</f>
        <v>1-231-16</v>
      </c>
      <c r="F11513" t="s">
        <v>65</v>
      </c>
      <c r="G11513" t="s">
        <v>66</v>
      </c>
      <c r="H11513" t="s">
        <v>67</v>
      </c>
      <c r="S11513">
        <v>0</v>
      </c>
      <c r="T11513">
        <v>1</v>
      </c>
      <c r="U11513">
        <v>0</v>
      </c>
      <c r="V11513">
        <v>0</v>
      </c>
      <c r="W11513">
        <v>0</v>
      </c>
      <c r="X11513">
        <v>1</v>
      </c>
      <c r="Y11513">
        <v>0</v>
      </c>
      <c r="Z11513">
        <v>1</v>
      </c>
      <c r="AA11513">
        <v>0</v>
      </c>
      <c r="AB11513">
        <v>0</v>
      </c>
      <c r="AC11513">
        <v>1</v>
      </c>
      <c r="AD11513">
        <v>1</v>
      </c>
      <c r="AE11513">
        <v>1</v>
      </c>
      <c r="AF11513">
        <v>1</v>
      </c>
      <c r="AG11513">
        <v>1</v>
      </c>
      <c r="AH11513">
        <v>1</v>
      </c>
      <c r="AI11513">
        <v>1</v>
      </c>
      <c r="AJ11513">
        <v>1</v>
      </c>
      <c r="AK11513">
        <v>1</v>
      </c>
      <c r="AL11513">
        <v>1</v>
      </c>
      <c r="AM11513">
        <v>1</v>
      </c>
    </row>
    <row r="11514" spans="1:39" x14ac:dyDescent="0.2">
      <c r="A11514" t="str">
        <f>"11510"</f>
        <v>11510</v>
      </c>
      <c r="B11514" t="str">
        <f t="shared" si="641"/>
        <v>1</v>
      </c>
      <c r="C11514" t="str">
        <f t="shared" si="640"/>
        <v>231</v>
      </c>
      <c r="D11514" t="str">
        <f>"5"</f>
        <v>5</v>
      </c>
      <c r="E11514" t="str">
        <f>"1-231-5"</f>
        <v>1-231-5</v>
      </c>
      <c r="F11514" t="s">
        <v>65</v>
      </c>
      <c r="G11514" t="s">
        <v>66</v>
      </c>
      <c r="H11514" t="s">
        <v>67</v>
      </c>
      <c r="S11514">
        <v>0</v>
      </c>
      <c r="T11514">
        <v>1</v>
      </c>
      <c r="U11514">
        <v>0</v>
      </c>
      <c r="V11514">
        <v>0</v>
      </c>
      <c r="W11514">
        <v>1</v>
      </c>
      <c r="X11514">
        <v>0</v>
      </c>
      <c r="Y11514">
        <v>0</v>
      </c>
      <c r="Z11514">
        <v>1</v>
      </c>
      <c r="AA11514">
        <v>1</v>
      </c>
      <c r="AB11514">
        <v>0</v>
      </c>
      <c r="AC11514">
        <v>0</v>
      </c>
      <c r="AD11514">
        <v>1</v>
      </c>
      <c r="AE11514">
        <v>1</v>
      </c>
      <c r="AF11514">
        <v>1</v>
      </c>
      <c r="AG11514">
        <v>1</v>
      </c>
      <c r="AH11514">
        <v>1</v>
      </c>
      <c r="AI11514">
        <v>1</v>
      </c>
      <c r="AJ11514">
        <v>1</v>
      </c>
      <c r="AK11514">
        <v>1</v>
      </c>
      <c r="AL11514">
        <v>1</v>
      </c>
      <c r="AM11514">
        <v>1</v>
      </c>
    </row>
    <row r="11515" spans="1:39" x14ac:dyDescent="0.2">
      <c r="A11515" t="str">
        <f>"11511"</f>
        <v>11511</v>
      </c>
      <c r="B11515" t="str">
        <f t="shared" si="641"/>
        <v>1</v>
      </c>
      <c r="C11515" t="str">
        <f t="shared" si="640"/>
        <v>231</v>
      </c>
      <c r="D11515" t="str">
        <f>"42"</f>
        <v>42</v>
      </c>
      <c r="E11515" t="str">
        <f>"1-231-42"</f>
        <v>1-231-42</v>
      </c>
      <c r="F11515" t="s">
        <v>65</v>
      </c>
      <c r="G11515" t="s">
        <v>66</v>
      </c>
      <c r="H11515" t="s">
        <v>67</v>
      </c>
      <c r="S11515">
        <v>1</v>
      </c>
      <c r="T11515">
        <v>0</v>
      </c>
      <c r="U11515">
        <v>0</v>
      </c>
      <c r="V11515">
        <v>0</v>
      </c>
      <c r="W11515">
        <v>1</v>
      </c>
      <c r="X11515">
        <v>0</v>
      </c>
      <c r="Y11515">
        <v>1</v>
      </c>
      <c r="Z11515">
        <v>0</v>
      </c>
      <c r="AA11515">
        <v>0</v>
      </c>
      <c r="AB11515">
        <v>1</v>
      </c>
      <c r="AC11515">
        <v>0</v>
      </c>
      <c r="AD11515">
        <v>1</v>
      </c>
      <c r="AE11515">
        <v>1</v>
      </c>
      <c r="AF11515">
        <v>1</v>
      </c>
      <c r="AG11515">
        <v>1</v>
      </c>
      <c r="AH11515">
        <v>1</v>
      </c>
      <c r="AI11515">
        <v>1</v>
      </c>
      <c r="AJ11515">
        <v>1</v>
      </c>
      <c r="AK11515">
        <v>1</v>
      </c>
      <c r="AL11515">
        <v>1</v>
      </c>
      <c r="AM11515">
        <v>1</v>
      </c>
    </row>
    <row r="11516" spans="1:39" x14ac:dyDescent="0.2">
      <c r="A11516" t="str">
        <f>"11512"</f>
        <v>11512</v>
      </c>
      <c r="B11516" t="str">
        <f t="shared" si="641"/>
        <v>1</v>
      </c>
      <c r="C11516" t="str">
        <f t="shared" si="640"/>
        <v>231</v>
      </c>
      <c r="D11516" t="str">
        <f>"41"</f>
        <v>41</v>
      </c>
      <c r="E11516" t="str">
        <f>"1-231-41"</f>
        <v>1-231-41</v>
      </c>
      <c r="F11516" t="s">
        <v>65</v>
      </c>
      <c r="G11516" t="s">
        <v>66</v>
      </c>
      <c r="H11516" t="s">
        <v>67</v>
      </c>
      <c r="S11516">
        <v>1</v>
      </c>
      <c r="T11516">
        <v>0</v>
      </c>
      <c r="U11516">
        <v>0</v>
      </c>
      <c r="V11516">
        <v>0</v>
      </c>
      <c r="W11516">
        <v>1</v>
      </c>
      <c r="X11516">
        <v>0</v>
      </c>
      <c r="Y11516">
        <v>1</v>
      </c>
      <c r="Z11516">
        <v>0</v>
      </c>
      <c r="AA11516">
        <v>1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1</v>
      </c>
      <c r="AH11516">
        <v>1</v>
      </c>
      <c r="AI11516">
        <v>0</v>
      </c>
      <c r="AJ11516">
        <v>1</v>
      </c>
      <c r="AK11516">
        <v>1</v>
      </c>
      <c r="AL11516">
        <v>1</v>
      </c>
      <c r="AM11516">
        <v>1</v>
      </c>
    </row>
    <row r="11517" spans="1:39" x14ac:dyDescent="0.2">
      <c r="A11517" t="str">
        <f>"11513"</f>
        <v>11513</v>
      </c>
      <c r="B11517" t="str">
        <f t="shared" si="641"/>
        <v>1</v>
      </c>
      <c r="C11517" t="str">
        <f t="shared" si="640"/>
        <v>231</v>
      </c>
      <c r="D11517" t="str">
        <f>"35"</f>
        <v>35</v>
      </c>
      <c r="E11517" t="str">
        <f>"1-231-35"</f>
        <v>1-231-35</v>
      </c>
      <c r="F11517" t="s">
        <v>65</v>
      </c>
      <c r="G11517" t="s">
        <v>66</v>
      </c>
      <c r="H11517" t="s">
        <v>67</v>
      </c>
      <c r="S11517">
        <v>1</v>
      </c>
      <c r="T11517">
        <v>0</v>
      </c>
      <c r="U11517">
        <v>0</v>
      </c>
      <c r="V11517">
        <v>0</v>
      </c>
      <c r="W11517">
        <v>1</v>
      </c>
      <c r="X11517">
        <v>0</v>
      </c>
      <c r="Y11517">
        <v>1</v>
      </c>
      <c r="Z11517">
        <v>0</v>
      </c>
      <c r="AA11517">
        <v>0</v>
      </c>
      <c r="AB11517">
        <v>0</v>
      </c>
      <c r="AC11517">
        <v>1</v>
      </c>
      <c r="AD11517">
        <v>1</v>
      </c>
      <c r="AE11517">
        <v>1</v>
      </c>
      <c r="AF11517">
        <v>1</v>
      </c>
      <c r="AG11517">
        <v>1</v>
      </c>
      <c r="AH11517">
        <v>1</v>
      </c>
      <c r="AI11517">
        <v>1</v>
      </c>
      <c r="AJ11517">
        <v>1</v>
      </c>
      <c r="AK11517">
        <v>1</v>
      </c>
      <c r="AL11517">
        <v>1</v>
      </c>
      <c r="AM11517">
        <v>1</v>
      </c>
    </row>
    <row r="11518" spans="1:39" x14ac:dyDescent="0.2">
      <c r="A11518" t="str">
        <f>"11514"</f>
        <v>11514</v>
      </c>
      <c r="B11518" t="str">
        <f t="shared" si="641"/>
        <v>1</v>
      </c>
      <c r="C11518" t="str">
        <f t="shared" si="640"/>
        <v>231</v>
      </c>
      <c r="D11518" t="str">
        <f>"19"</f>
        <v>19</v>
      </c>
      <c r="E11518" t="str">
        <f>"1-231-19"</f>
        <v>1-231-19</v>
      </c>
      <c r="F11518" t="s">
        <v>65</v>
      </c>
      <c r="G11518" t="s">
        <v>66</v>
      </c>
      <c r="H11518" t="s">
        <v>67</v>
      </c>
      <c r="S11518">
        <v>0</v>
      </c>
      <c r="T11518">
        <v>1</v>
      </c>
      <c r="U11518">
        <v>0</v>
      </c>
      <c r="V11518">
        <v>0</v>
      </c>
      <c r="W11518">
        <v>0</v>
      </c>
      <c r="X11518">
        <v>1</v>
      </c>
      <c r="Y11518">
        <v>0</v>
      </c>
      <c r="Z11518">
        <v>1</v>
      </c>
      <c r="AA11518">
        <v>0</v>
      </c>
      <c r="AB11518">
        <v>0</v>
      </c>
      <c r="AC11518">
        <v>1</v>
      </c>
      <c r="AD11518">
        <v>1</v>
      </c>
      <c r="AE11518">
        <v>1</v>
      </c>
      <c r="AF11518">
        <v>1</v>
      </c>
      <c r="AG11518">
        <v>1</v>
      </c>
      <c r="AH11518">
        <v>1</v>
      </c>
      <c r="AI11518">
        <v>1</v>
      </c>
      <c r="AJ11518">
        <v>1</v>
      </c>
      <c r="AK11518">
        <v>1</v>
      </c>
      <c r="AL11518">
        <v>1</v>
      </c>
      <c r="AM11518">
        <v>1</v>
      </c>
    </row>
    <row r="11519" spans="1:39" x14ac:dyDescent="0.2">
      <c r="A11519" t="str">
        <f>"11515"</f>
        <v>11515</v>
      </c>
      <c r="B11519" t="str">
        <f t="shared" si="641"/>
        <v>1</v>
      </c>
      <c r="C11519" t="str">
        <f t="shared" si="640"/>
        <v>231</v>
      </c>
      <c r="D11519" t="str">
        <f>"12"</f>
        <v>12</v>
      </c>
      <c r="E11519" t="str">
        <f>"1-231-12"</f>
        <v>1-231-12</v>
      </c>
      <c r="F11519" t="s">
        <v>65</v>
      </c>
      <c r="G11519" t="s">
        <v>66</v>
      </c>
      <c r="H11519" t="s">
        <v>67</v>
      </c>
      <c r="S11519">
        <v>1</v>
      </c>
      <c r="T11519">
        <v>0</v>
      </c>
      <c r="U11519">
        <v>0</v>
      </c>
      <c r="V11519">
        <v>0</v>
      </c>
      <c r="W11519">
        <v>1</v>
      </c>
      <c r="X11519">
        <v>0</v>
      </c>
      <c r="Y11519">
        <v>1</v>
      </c>
      <c r="Z11519">
        <v>0</v>
      </c>
      <c r="AA11519">
        <v>1</v>
      </c>
      <c r="AB11519">
        <v>0</v>
      </c>
      <c r="AC11519">
        <v>0</v>
      </c>
      <c r="AD11519">
        <v>1</v>
      </c>
      <c r="AE11519">
        <v>1</v>
      </c>
      <c r="AF11519">
        <v>1</v>
      </c>
      <c r="AG11519">
        <v>1</v>
      </c>
      <c r="AH11519">
        <v>1</v>
      </c>
      <c r="AI11519">
        <v>1</v>
      </c>
      <c r="AJ11519">
        <v>1</v>
      </c>
      <c r="AK11519">
        <v>1</v>
      </c>
      <c r="AL11519">
        <v>1</v>
      </c>
      <c r="AM11519">
        <v>1</v>
      </c>
    </row>
    <row r="11520" spans="1:39" x14ac:dyDescent="0.2">
      <c r="A11520" t="str">
        <f>"11516"</f>
        <v>11516</v>
      </c>
      <c r="B11520" t="str">
        <f t="shared" si="641"/>
        <v>1</v>
      </c>
      <c r="C11520" t="str">
        <f t="shared" si="640"/>
        <v>231</v>
      </c>
      <c r="D11520" t="str">
        <f>"40"</f>
        <v>40</v>
      </c>
      <c r="E11520" t="str">
        <f>"1-231-40"</f>
        <v>1-231-40</v>
      </c>
      <c r="F11520" t="s">
        <v>65</v>
      </c>
      <c r="G11520" t="s">
        <v>66</v>
      </c>
      <c r="H11520" t="s">
        <v>67</v>
      </c>
      <c r="S11520">
        <v>1</v>
      </c>
      <c r="T11520">
        <v>0</v>
      </c>
      <c r="U11520">
        <v>0</v>
      </c>
      <c r="V11520">
        <v>0</v>
      </c>
      <c r="W11520">
        <v>1</v>
      </c>
      <c r="X11520">
        <v>0</v>
      </c>
      <c r="Y11520">
        <v>1</v>
      </c>
      <c r="Z11520">
        <v>0</v>
      </c>
      <c r="AA11520">
        <v>1</v>
      </c>
      <c r="AB11520">
        <v>0</v>
      </c>
      <c r="AC11520">
        <v>0</v>
      </c>
      <c r="AD11520">
        <v>1</v>
      </c>
      <c r="AE11520">
        <v>1</v>
      </c>
      <c r="AF11520">
        <v>1</v>
      </c>
      <c r="AG11520">
        <v>1</v>
      </c>
      <c r="AH11520">
        <v>1</v>
      </c>
      <c r="AI11520">
        <v>1</v>
      </c>
      <c r="AJ11520">
        <v>1</v>
      </c>
      <c r="AK11520">
        <v>1</v>
      </c>
      <c r="AL11520">
        <v>1</v>
      </c>
      <c r="AM11520">
        <v>1</v>
      </c>
    </row>
    <row r="11521" spans="1:39" x14ac:dyDescent="0.2">
      <c r="A11521" t="str">
        <f>"11517"</f>
        <v>11517</v>
      </c>
      <c r="B11521" t="str">
        <f t="shared" si="641"/>
        <v>1</v>
      </c>
      <c r="C11521" t="str">
        <f t="shared" si="640"/>
        <v>231</v>
      </c>
      <c r="D11521" t="str">
        <f>"39"</f>
        <v>39</v>
      </c>
      <c r="E11521" t="str">
        <f>"1-231-39"</f>
        <v>1-231-39</v>
      </c>
      <c r="F11521" t="s">
        <v>65</v>
      </c>
      <c r="G11521" t="s">
        <v>66</v>
      </c>
      <c r="H11521" t="s">
        <v>67</v>
      </c>
      <c r="S11521">
        <v>1</v>
      </c>
      <c r="T11521">
        <v>0</v>
      </c>
      <c r="U11521">
        <v>0</v>
      </c>
      <c r="V11521">
        <v>0</v>
      </c>
      <c r="W11521">
        <v>1</v>
      </c>
      <c r="X11521">
        <v>0</v>
      </c>
      <c r="Y11521">
        <v>0</v>
      </c>
      <c r="Z11521">
        <v>0</v>
      </c>
      <c r="AA11521">
        <v>1</v>
      </c>
      <c r="AB11521">
        <v>0</v>
      </c>
      <c r="AC11521">
        <v>0</v>
      </c>
      <c r="AD11521">
        <v>1</v>
      </c>
      <c r="AE11521">
        <v>1</v>
      </c>
      <c r="AF11521">
        <v>1</v>
      </c>
      <c r="AG11521">
        <v>1</v>
      </c>
      <c r="AH11521">
        <v>1</v>
      </c>
      <c r="AI11521">
        <v>1</v>
      </c>
      <c r="AJ11521">
        <v>1</v>
      </c>
      <c r="AK11521">
        <v>1</v>
      </c>
      <c r="AL11521">
        <v>1</v>
      </c>
      <c r="AM11521">
        <v>1</v>
      </c>
    </row>
    <row r="11522" spans="1:39" x14ac:dyDescent="0.2">
      <c r="A11522" t="str">
        <f>"11518"</f>
        <v>11518</v>
      </c>
      <c r="B11522" t="str">
        <f t="shared" si="641"/>
        <v>1</v>
      </c>
      <c r="C11522" t="str">
        <f t="shared" si="640"/>
        <v>231</v>
      </c>
      <c r="D11522" t="str">
        <f>"36"</f>
        <v>36</v>
      </c>
      <c r="E11522" t="str">
        <f>"1-231-36"</f>
        <v>1-231-36</v>
      </c>
      <c r="F11522" t="s">
        <v>65</v>
      </c>
      <c r="G11522" t="s">
        <v>66</v>
      </c>
      <c r="H11522" t="s">
        <v>67</v>
      </c>
      <c r="S11522">
        <v>1</v>
      </c>
      <c r="T11522">
        <v>0</v>
      </c>
      <c r="U11522">
        <v>0</v>
      </c>
      <c r="V11522">
        <v>0</v>
      </c>
      <c r="W11522">
        <v>1</v>
      </c>
      <c r="X11522">
        <v>0</v>
      </c>
      <c r="Y11522">
        <v>1</v>
      </c>
      <c r="Z11522">
        <v>0</v>
      </c>
      <c r="AA11522">
        <v>1</v>
      </c>
      <c r="AB11522">
        <v>0</v>
      </c>
      <c r="AC11522">
        <v>0</v>
      </c>
      <c r="AD11522">
        <v>1</v>
      </c>
      <c r="AE11522">
        <v>1</v>
      </c>
      <c r="AF11522">
        <v>1</v>
      </c>
      <c r="AG11522">
        <v>1</v>
      </c>
      <c r="AH11522">
        <v>1</v>
      </c>
      <c r="AI11522">
        <v>0</v>
      </c>
      <c r="AJ11522">
        <v>1</v>
      </c>
      <c r="AK11522">
        <v>1</v>
      </c>
      <c r="AL11522">
        <v>1</v>
      </c>
      <c r="AM11522">
        <v>1</v>
      </c>
    </row>
    <row r="11523" spans="1:39" x14ac:dyDescent="0.2">
      <c r="A11523" t="str">
        <f>"11519"</f>
        <v>11519</v>
      </c>
      <c r="B11523" t="str">
        <f t="shared" si="641"/>
        <v>1</v>
      </c>
      <c r="C11523" t="str">
        <f t="shared" si="640"/>
        <v>231</v>
      </c>
      <c r="D11523" t="str">
        <f>"20"</f>
        <v>20</v>
      </c>
      <c r="E11523" t="str">
        <f>"1-231-20"</f>
        <v>1-231-20</v>
      </c>
      <c r="F11523" t="s">
        <v>65</v>
      </c>
      <c r="G11523" t="s">
        <v>66</v>
      </c>
      <c r="H11523" t="s">
        <v>67</v>
      </c>
      <c r="S11523">
        <v>1</v>
      </c>
      <c r="T11523">
        <v>0</v>
      </c>
      <c r="U11523">
        <v>0</v>
      </c>
      <c r="V11523">
        <v>0</v>
      </c>
      <c r="W11523">
        <v>1</v>
      </c>
      <c r="X11523">
        <v>0</v>
      </c>
      <c r="Y11523">
        <v>1</v>
      </c>
      <c r="Z11523">
        <v>0</v>
      </c>
      <c r="AA11523">
        <v>1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0</v>
      </c>
      <c r="AH11523">
        <v>0</v>
      </c>
      <c r="AI11523">
        <v>0</v>
      </c>
      <c r="AJ11523">
        <v>0</v>
      </c>
      <c r="AK11523">
        <v>0</v>
      </c>
      <c r="AL11523">
        <v>0</v>
      </c>
      <c r="AM11523">
        <v>0</v>
      </c>
    </row>
    <row r="11524" spans="1:39" x14ac:dyDescent="0.2">
      <c r="A11524" t="str">
        <f>"11520"</f>
        <v>11520</v>
      </c>
      <c r="B11524" t="str">
        <f t="shared" si="641"/>
        <v>1</v>
      </c>
      <c r="C11524" t="str">
        <f t="shared" si="640"/>
        <v>231</v>
      </c>
      <c r="D11524" t="str">
        <f>"8"</f>
        <v>8</v>
      </c>
      <c r="E11524" t="str">
        <f>"1-231-8"</f>
        <v>1-231-8</v>
      </c>
      <c r="F11524" t="s">
        <v>65</v>
      </c>
      <c r="G11524" t="s">
        <v>66</v>
      </c>
      <c r="H11524" t="s">
        <v>67</v>
      </c>
      <c r="S11524">
        <v>1</v>
      </c>
      <c r="T11524">
        <v>0</v>
      </c>
      <c r="U11524">
        <v>0</v>
      </c>
      <c r="V11524">
        <v>0</v>
      </c>
      <c r="W11524">
        <v>1</v>
      </c>
      <c r="X11524">
        <v>0</v>
      </c>
      <c r="Y11524">
        <v>1</v>
      </c>
      <c r="Z11524">
        <v>0</v>
      </c>
      <c r="AA11524">
        <v>1</v>
      </c>
      <c r="AB11524">
        <v>0</v>
      </c>
      <c r="AC11524">
        <v>0</v>
      </c>
      <c r="AD11524">
        <v>1</v>
      </c>
      <c r="AE11524">
        <v>1</v>
      </c>
      <c r="AF11524">
        <v>1</v>
      </c>
      <c r="AG11524">
        <v>1</v>
      </c>
      <c r="AH11524">
        <v>1</v>
      </c>
      <c r="AI11524">
        <v>1</v>
      </c>
      <c r="AJ11524">
        <v>1</v>
      </c>
      <c r="AK11524">
        <v>1</v>
      </c>
      <c r="AL11524">
        <v>1</v>
      </c>
      <c r="AM11524">
        <v>1</v>
      </c>
    </row>
    <row r="11525" spans="1:39" x14ac:dyDescent="0.2">
      <c r="A11525" t="str">
        <f>"11521"</f>
        <v>11521</v>
      </c>
      <c r="B11525" t="str">
        <f t="shared" si="641"/>
        <v>1</v>
      </c>
      <c r="C11525" t="str">
        <f t="shared" si="640"/>
        <v>231</v>
      </c>
      <c r="D11525" t="str">
        <f>"48"</f>
        <v>48</v>
      </c>
      <c r="E11525" t="str">
        <f>"1-231-48"</f>
        <v>1-231-48</v>
      </c>
      <c r="F11525" t="s">
        <v>65</v>
      </c>
      <c r="G11525" t="s">
        <v>66</v>
      </c>
      <c r="H11525" t="s">
        <v>67</v>
      </c>
      <c r="S11525">
        <v>1</v>
      </c>
      <c r="T11525">
        <v>0</v>
      </c>
      <c r="U11525">
        <v>0</v>
      </c>
      <c r="V11525">
        <v>0</v>
      </c>
      <c r="W11525">
        <v>1</v>
      </c>
      <c r="X11525">
        <v>0</v>
      </c>
      <c r="Y11525">
        <v>1</v>
      </c>
      <c r="Z11525">
        <v>0</v>
      </c>
      <c r="AA11525">
        <v>1</v>
      </c>
      <c r="AB11525">
        <v>0</v>
      </c>
      <c r="AC11525">
        <v>0</v>
      </c>
      <c r="AD11525">
        <v>1</v>
      </c>
      <c r="AE11525">
        <v>1</v>
      </c>
      <c r="AF11525">
        <v>1</v>
      </c>
      <c r="AG11525">
        <v>1</v>
      </c>
      <c r="AH11525">
        <v>1</v>
      </c>
      <c r="AI11525">
        <v>1</v>
      </c>
      <c r="AJ11525">
        <v>1</v>
      </c>
      <c r="AK11525">
        <v>1</v>
      </c>
      <c r="AL11525">
        <v>1</v>
      </c>
      <c r="AM11525">
        <v>1</v>
      </c>
    </row>
    <row r="11526" spans="1:39" x14ac:dyDescent="0.2">
      <c r="A11526" t="str">
        <f>"11522"</f>
        <v>11522</v>
      </c>
      <c r="B11526" t="str">
        <f t="shared" si="641"/>
        <v>1</v>
      </c>
      <c r="C11526" t="str">
        <f t="shared" si="640"/>
        <v>231</v>
      </c>
      <c r="D11526" t="str">
        <f>"47"</f>
        <v>47</v>
      </c>
      <c r="E11526" t="str">
        <f>"1-231-47"</f>
        <v>1-231-47</v>
      </c>
      <c r="F11526" t="s">
        <v>65</v>
      </c>
      <c r="G11526" t="s">
        <v>66</v>
      </c>
      <c r="H11526" t="s">
        <v>67</v>
      </c>
      <c r="S11526">
        <v>1</v>
      </c>
      <c r="T11526">
        <v>0</v>
      </c>
      <c r="U11526">
        <v>0</v>
      </c>
      <c r="V11526">
        <v>0</v>
      </c>
      <c r="W11526">
        <v>1</v>
      </c>
      <c r="X11526">
        <v>0</v>
      </c>
      <c r="Y11526">
        <v>1</v>
      </c>
      <c r="Z11526">
        <v>0</v>
      </c>
      <c r="AA11526">
        <v>0</v>
      </c>
      <c r="AB11526">
        <v>1</v>
      </c>
      <c r="AC11526">
        <v>0</v>
      </c>
      <c r="AD11526">
        <v>1</v>
      </c>
      <c r="AE11526">
        <v>1</v>
      </c>
      <c r="AF11526">
        <v>1</v>
      </c>
      <c r="AG11526">
        <v>1</v>
      </c>
      <c r="AH11526">
        <v>1</v>
      </c>
      <c r="AI11526">
        <v>1</v>
      </c>
      <c r="AJ11526">
        <v>1</v>
      </c>
      <c r="AK11526">
        <v>1</v>
      </c>
      <c r="AL11526">
        <v>1</v>
      </c>
      <c r="AM11526">
        <v>1</v>
      </c>
    </row>
    <row r="11527" spans="1:39" x14ac:dyDescent="0.2">
      <c r="A11527" t="str">
        <f>"11523"</f>
        <v>11523</v>
      </c>
      <c r="B11527" t="str">
        <f t="shared" si="641"/>
        <v>1</v>
      </c>
      <c r="C11527" t="str">
        <f t="shared" si="640"/>
        <v>231</v>
      </c>
      <c r="D11527" t="str">
        <f>"37"</f>
        <v>37</v>
      </c>
      <c r="E11527" t="str">
        <f>"1-231-37"</f>
        <v>1-231-37</v>
      </c>
      <c r="F11527" t="s">
        <v>65</v>
      </c>
      <c r="G11527" t="s">
        <v>66</v>
      </c>
      <c r="H11527" t="s">
        <v>67</v>
      </c>
      <c r="S11527">
        <v>0</v>
      </c>
      <c r="T11527">
        <v>1</v>
      </c>
      <c r="U11527">
        <v>0</v>
      </c>
      <c r="V11527">
        <v>0</v>
      </c>
      <c r="W11527">
        <v>0</v>
      </c>
      <c r="X11527">
        <v>1</v>
      </c>
      <c r="Y11527">
        <v>0</v>
      </c>
      <c r="Z11527">
        <v>1</v>
      </c>
      <c r="AA11527">
        <v>0</v>
      </c>
      <c r="AB11527">
        <v>0</v>
      </c>
      <c r="AC11527">
        <v>1</v>
      </c>
      <c r="AD11527">
        <v>1</v>
      </c>
      <c r="AE11527">
        <v>1</v>
      </c>
      <c r="AF11527">
        <v>1</v>
      </c>
      <c r="AG11527">
        <v>1</v>
      </c>
      <c r="AH11527">
        <v>1</v>
      </c>
      <c r="AI11527">
        <v>1</v>
      </c>
      <c r="AJ11527">
        <v>1</v>
      </c>
      <c r="AK11527">
        <v>1</v>
      </c>
      <c r="AL11527">
        <v>1</v>
      </c>
      <c r="AM11527">
        <v>1</v>
      </c>
    </row>
    <row r="11528" spans="1:39" x14ac:dyDescent="0.2">
      <c r="A11528" t="str">
        <f>"11524"</f>
        <v>11524</v>
      </c>
      <c r="B11528" t="str">
        <f t="shared" si="641"/>
        <v>1</v>
      </c>
      <c r="C11528" t="str">
        <f t="shared" si="640"/>
        <v>231</v>
      </c>
      <c r="D11528" t="str">
        <f>"21"</f>
        <v>21</v>
      </c>
      <c r="E11528" t="str">
        <f>"1-231-21"</f>
        <v>1-231-21</v>
      </c>
      <c r="F11528" t="s">
        <v>65</v>
      </c>
      <c r="G11528" t="s">
        <v>66</v>
      </c>
      <c r="H11528" t="s">
        <v>67</v>
      </c>
      <c r="S11528">
        <v>1</v>
      </c>
      <c r="T11528">
        <v>0</v>
      </c>
      <c r="U11528">
        <v>0</v>
      </c>
      <c r="V11528">
        <v>0</v>
      </c>
      <c r="W11528">
        <v>1</v>
      </c>
      <c r="X11528">
        <v>0</v>
      </c>
      <c r="Y11528">
        <v>1</v>
      </c>
      <c r="Z11528">
        <v>0</v>
      </c>
      <c r="AA11528">
        <v>1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0</v>
      </c>
      <c r="AJ11528">
        <v>0</v>
      </c>
      <c r="AK11528">
        <v>0</v>
      </c>
      <c r="AL11528">
        <v>1</v>
      </c>
      <c r="AM11528">
        <v>0</v>
      </c>
    </row>
    <row r="11529" spans="1:39" x14ac:dyDescent="0.2">
      <c r="A11529" t="str">
        <f>"11525"</f>
        <v>11525</v>
      </c>
      <c r="B11529" t="str">
        <f t="shared" si="641"/>
        <v>1</v>
      </c>
      <c r="C11529" t="str">
        <f t="shared" si="640"/>
        <v>231</v>
      </c>
      <c r="D11529" t="str">
        <f>"13"</f>
        <v>13</v>
      </c>
      <c r="E11529" t="str">
        <f>"1-231-13"</f>
        <v>1-231-13</v>
      </c>
      <c r="F11529" t="s">
        <v>65</v>
      </c>
      <c r="G11529" t="s">
        <v>66</v>
      </c>
      <c r="H11529" t="s">
        <v>67</v>
      </c>
      <c r="S11529">
        <v>1</v>
      </c>
      <c r="T11529">
        <v>0</v>
      </c>
      <c r="U11529">
        <v>0</v>
      </c>
      <c r="V11529">
        <v>0</v>
      </c>
      <c r="W11529">
        <v>1</v>
      </c>
      <c r="X11529">
        <v>0</v>
      </c>
      <c r="Y11529">
        <v>1</v>
      </c>
      <c r="Z11529">
        <v>0</v>
      </c>
      <c r="AA11529">
        <v>1</v>
      </c>
      <c r="AB11529">
        <v>0</v>
      </c>
      <c r="AC11529">
        <v>0</v>
      </c>
      <c r="AD11529">
        <v>1</v>
      </c>
      <c r="AE11529">
        <v>1</v>
      </c>
      <c r="AF11529">
        <v>1</v>
      </c>
      <c r="AG11529">
        <v>1</v>
      </c>
      <c r="AH11529">
        <v>1</v>
      </c>
      <c r="AI11529">
        <v>1</v>
      </c>
      <c r="AJ11529">
        <v>1</v>
      </c>
      <c r="AK11529">
        <v>1</v>
      </c>
      <c r="AL11529">
        <v>1</v>
      </c>
      <c r="AM11529">
        <v>1</v>
      </c>
    </row>
    <row r="11530" spans="1:39" x14ac:dyDescent="0.2">
      <c r="A11530" t="str">
        <f>"11526"</f>
        <v>11526</v>
      </c>
      <c r="B11530" t="str">
        <f t="shared" si="641"/>
        <v>1</v>
      </c>
      <c r="C11530" t="str">
        <f t="shared" si="640"/>
        <v>231</v>
      </c>
      <c r="D11530" t="str">
        <f>"46"</f>
        <v>46</v>
      </c>
      <c r="E11530" t="str">
        <f>"1-231-46"</f>
        <v>1-231-46</v>
      </c>
      <c r="F11530" t="s">
        <v>65</v>
      </c>
      <c r="G11530" t="s">
        <v>66</v>
      </c>
      <c r="H11530" t="s">
        <v>67</v>
      </c>
      <c r="S11530">
        <v>1</v>
      </c>
      <c r="T11530">
        <v>0</v>
      </c>
      <c r="U11530">
        <v>0</v>
      </c>
      <c r="V11530">
        <v>0</v>
      </c>
      <c r="W11530">
        <v>1</v>
      </c>
      <c r="X11530">
        <v>0</v>
      </c>
      <c r="Y11530">
        <v>1</v>
      </c>
      <c r="Z11530">
        <v>0</v>
      </c>
      <c r="AA11530">
        <v>1</v>
      </c>
      <c r="AB11530">
        <v>0</v>
      </c>
      <c r="AC11530">
        <v>0</v>
      </c>
      <c r="AD11530">
        <v>1</v>
      </c>
      <c r="AE11530">
        <v>1</v>
      </c>
      <c r="AF11530">
        <v>1</v>
      </c>
      <c r="AG11530">
        <v>1</v>
      </c>
      <c r="AH11530">
        <v>1</v>
      </c>
      <c r="AI11530">
        <v>1</v>
      </c>
      <c r="AJ11530">
        <v>1</v>
      </c>
      <c r="AK11530">
        <v>1</v>
      </c>
      <c r="AL11530">
        <v>1</v>
      </c>
      <c r="AM11530">
        <v>1</v>
      </c>
    </row>
    <row r="11531" spans="1:39" x14ac:dyDescent="0.2">
      <c r="A11531" t="str">
        <f>"11527"</f>
        <v>11527</v>
      </c>
      <c r="B11531" t="str">
        <f t="shared" si="641"/>
        <v>1</v>
      </c>
      <c r="C11531" t="str">
        <f t="shared" si="640"/>
        <v>231</v>
      </c>
      <c r="D11531" t="str">
        <f>"22"</f>
        <v>22</v>
      </c>
      <c r="E11531" t="str">
        <f>"1-231-22"</f>
        <v>1-231-22</v>
      </c>
      <c r="F11531" t="s">
        <v>65</v>
      </c>
      <c r="G11531" t="s">
        <v>66</v>
      </c>
      <c r="H11531" t="s">
        <v>67</v>
      </c>
      <c r="S11531">
        <v>1</v>
      </c>
      <c r="T11531">
        <v>0</v>
      </c>
      <c r="U11531">
        <v>0</v>
      </c>
      <c r="V11531">
        <v>0</v>
      </c>
      <c r="W11531">
        <v>1</v>
      </c>
      <c r="X11531">
        <v>0</v>
      </c>
      <c r="Y11531">
        <v>0</v>
      </c>
      <c r="Z11531">
        <v>1</v>
      </c>
      <c r="AA11531">
        <v>0</v>
      </c>
      <c r="AB11531">
        <v>0</v>
      </c>
      <c r="AC11531">
        <v>1</v>
      </c>
      <c r="AD11531">
        <v>1</v>
      </c>
      <c r="AE11531">
        <v>1</v>
      </c>
      <c r="AF11531">
        <v>1</v>
      </c>
      <c r="AG11531">
        <v>1</v>
      </c>
      <c r="AH11531">
        <v>1</v>
      </c>
      <c r="AI11531">
        <v>1</v>
      </c>
      <c r="AJ11531">
        <v>1</v>
      </c>
      <c r="AK11531">
        <v>1</v>
      </c>
      <c r="AL11531">
        <v>1</v>
      </c>
      <c r="AM11531">
        <v>1</v>
      </c>
    </row>
    <row r="11532" spans="1:39" x14ac:dyDescent="0.2">
      <c r="A11532" t="str">
        <f>"11528"</f>
        <v>11528</v>
      </c>
      <c r="B11532" t="str">
        <f t="shared" si="641"/>
        <v>1</v>
      </c>
      <c r="C11532" t="str">
        <f t="shared" si="640"/>
        <v>231</v>
      </c>
      <c r="D11532" t="str">
        <f>"6"</f>
        <v>6</v>
      </c>
      <c r="E11532" t="str">
        <f>"1-231-6"</f>
        <v>1-231-6</v>
      </c>
      <c r="F11532" t="s">
        <v>65</v>
      </c>
      <c r="G11532" t="s">
        <v>66</v>
      </c>
      <c r="H11532" t="s">
        <v>67</v>
      </c>
      <c r="S11532">
        <v>1</v>
      </c>
      <c r="T11532">
        <v>0</v>
      </c>
      <c r="U11532">
        <v>0</v>
      </c>
      <c r="V11532">
        <v>0</v>
      </c>
      <c r="W11532">
        <v>1</v>
      </c>
      <c r="X11532">
        <v>0</v>
      </c>
      <c r="Y11532">
        <v>1</v>
      </c>
      <c r="Z11532">
        <v>0</v>
      </c>
      <c r="AA11532">
        <v>0</v>
      </c>
      <c r="AB11532">
        <v>1</v>
      </c>
      <c r="AC11532">
        <v>0</v>
      </c>
      <c r="AD11532">
        <v>0</v>
      </c>
      <c r="AE11532">
        <v>0</v>
      </c>
      <c r="AF11532">
        <v>0</v>
      </c>
      <c r="AG11532">
        <v>1</v>
      </c>
      <c r="AH11532">
        <v>0</v>
      </c>
      <c r="AI11532">
        <v>0</v>
      </c>
      <c r="AJ11532">
        <v>0</v>
      </c>
      <c r="AK11532">
        <v>0</v>
      </c>
      <c r="AL11532">
        <v>1</v>
      </c>
      <c r="AM11532">
        <v>0</v>
      </c>
    </row>
    <row r="11533" spans="1:39" x14ac:dyDescent="0.2">
      <c r="A11533" t="str">
        <f>"11529"</f>
        <v>11529</v>
      </c>
      <c r="B11533" t="str">
        <f t="shared" si="641"/>
        <v>1</v>
      </c>
      <c r="C11533" t="str">
        <f t="shared" si="640"/>
        <v>231</v>
      </c>
      <c r="D11533" t="str">
        <f>"44"</f>
        <v>44</v>
      </c>
      <c r="E11533" t="str">
        <f>"1-231-44"</f>
        <v>1-231-44</v>
      </c>
      <c r="F11533" t="s">
        <v>65</v>
      </c>
      <c r="G11533" t="s">
        <v>66</v>
      </c>
      <c r="H11533" t="s">
        <v>67</v>
      </c>
      <c r="S11533">
        <v>0</v>
      </c>
      <c r="T11533">
        <v>1</v>
      </c>
      <c r="U11533">
        <v>0</v>
      </c>
      <c r="V11533">
        <v>0</v>
      </c>
      <c r="W11533">
        <v>1</v>
      </c>
      <c r="X11533">
        <v>0</v>
      </c>
      <c r="Y11533">
        <v>1</v>
      </c>
      <c r="Z11533">
        <v>0</v>
      </c>
      <c r="AA11533">
        <v>0</v>
      </c>
      <c r="AB11533">
        <v>1</v>
      </c>
      <c r="AC11533">
        <v>0</v>
      </c>
      <c r="AD11533">
        <v>0</v>
      </c>
      <c r="AE11533">
        <v>0</v>
      </c>
      <c r="AF11533">
        <v>0</v>
      </c>
      <c r="AG11533">
        <v>0</v>
      </c>
      <c r="AH11533">
        <v>0</v>
      </c>
      <c r="AI11533">
        <v>0</v>
      </c>
      <c r="AJ11533">
        <v>0</v>
      </c>
      <c r="AK11533">
        <v>0</v>
      </c>
      <c r="AL11533">
        <v>0</v>
      </c>
      <c r="AM11533">
        <v>0</v>
      </c>
    </row>
    <row r="11534" spans="1:39" x14ac:dyDescent="0.2">
      <c r="A11534" t="str">
        <f>"11530"</f>
        <v>11530</v>
      </c>
      <c r="B11534" t="str">
        <f t="shared" si="641"/>
        <v>1</v>
      </c>
      <c r="C11534" t="str">
        <f t="shared" si="640"/>
        <v>231</v>
      </c>
      <c r="D11534" t="str">
        <f>"23"</f>
        <v>23</v>
      </c>
      <c r="E11534" t="str">
        <f>"1-231-23"</f>
        <v>1-231-23</v>
      </c>
      <c r="F11534" t="s">
        <v>65</v>
      </c>
      <c r="G11534" t="s">
        <v>66</v>
      </c>
      <c r="H11534" t="s">
        <v>67</v>
      </c>
      <c r="S11534">
        <v>1</v>
      </c>
      <c r="T11534">
        <v>0</v>
      </c>
      <c r="U11534">
        <v>0</v>
      </c>
      <c r="V11534">
        <v>0</v>
      </c>
      <c r="W11534">
        <v>1</v>
      </c>
      <c r="X11534">
        <v>0</v>
      </c>
      <c r="Y11534">
        <v>1</v>
      </c>
      <c r="Z11534">
        <v>0</v>
      </c>
      <c r="AA11534">
        <v>1</v>
      </c>
      <c r="AB11534">
        <v>0</v>
      </c>
      <c r="AC11534">
        <v>0</v>
      </c>
      <c r="AD11534">
        <v>1</v>
      </c>
      <c r="AE11534">
        <v>1</v>
      </c>
      <c r="AF11534">
        <v>1</v>
      </c>
      <c r="AG11534">
        <v>1</v>
      </c>
      <c r="AH11534">
        <v>1</v>
      </c>
      <c r="AI11534">
        <v>1</v>
      </c>
      <c r="AJ11534">
        <v>1</v>
      </c>
      <c r="AK11534">
        <v>1</v>
      </c>
      <c r="AL11534">
        <v>1</v>
      </c>
      <c r="AM11534">
        <v>1</v>
      </c>
    </row>
    <row r="11535" spans="1:39" x14ac:dyDescent="0.2">
      <c r="A11535" t="str">
        <f>"11531"</f>
        <v>11531</v>
      </c>
      <c r="B11535" t="str">
        <f t="shared" si="641"/>
        <v>1</v>
      </c>
      <c r="C11535" t="str">
        <f t="shared" si="640"/>
        <v>231</v>
      </c>
      <c r="D11535" t="str">
        <f>"9"</f>
        <v>9</v>
      </c>
      <c r="E11535" t="str">
        <f>"1-231-9"</f>
        <v>1-231-9</v>
      </c>
      <c r="F11535" t="s">
        <v>65</v>
      </c>
      <c r="G11535" t="s">
        <v>66</v>
      </c>
      <c r="H11535" t="s">
        <v>67</v>
      </c>
      <c r="S11535">
        <v>1</v>
      </c>
      <c r="T11535">
        <v>0</v>
      </c>
      <c r="U11535">
        <v>0</v>
      </c>
      <c r="V11535">
        <v>0</v>
      </c>
      <c r="W11535">
        <v>1</v>
      </c>
      <c r="X11535">
        <v>0</v>
      </c>
      <c r="Y11535">
        <v>1</v>
      </c>
      <c r="Z11535">
        <v>0</v>
      </c>
      <c r="AA11535">
        <v>1</v>
      </c>
      <c r="AB11535">
        <v>0</v>
      </c>
      <c r="AC11535">
        <v>0</v>
      </c>
      <c r="AD11535">
        <v>1</v>
      </c>
      <c r="AE11535">
        <v>1</v>
      </c>
      <c r="AF11535">
        <v>1</v>
      </c>
      <c r="AG11535">
        <v>1</v>
      </c>
      <c r="AH11535">
        <v>1</v>
      </c>
      <c r="AI11535">
        <v>1</v>
      </c>
      <c r="AJ11535">
        <v>1</v>
      </c>
      <c r="AK11535">
        <v>1</v>
      </c>
      <c r="AL11535">
        <v>1</v>
      </c>
      <c r="AM11535">
        <v>1</v>
      </c>
    </row>
    <row r="11536" spans="1:39" x14ac:dyDescent="0.2">
      <c r="A11536" t="str">
        <f>"11532"</f>
        <v>11532</v>
      </c>
      <c r="B11536" t="str">
        <f t="shared" si="641"/>
        <v>1</v>
      </c>
      <c r="C11536" t="str">
        <f t="shared" si="640"/>
        <v>231</v>
      </c>
      <c r="D11536" t="str">
        <f>"24"</f>
        <v>24</v>
      </c>
      <c r="E11536" t="str">
        <f>"1-231-24"</f>
        <v>1-231-24</v>
      </c>
      <c r="F11536" t="s">
        <v>65</v>
      </c>
      <c r="G11536" t="s">
        <v>66</v>
      </c>
      <c r="H11536" t="s">
        <v>67</v>
      </c>
      <c r="S11536">
        <v>1</v>
      </c>
      <c r="T11536">
        <v>0</v>
      </c>
      <c r="U11536">
        <v>0</v>
      </c>
      <c r="V11536">
        <v>0</v>
      </c>
      <c r="W11536">
        <v>1</v>
      </c>
      <c r="X11536">
        <v>0</v>
      </c>
      <c r="Y11536">
        <v>1</v>
      </c>
      <c r="Z11536">
        <v>0</v>
      </c>
      <c r="AA11536">
        <v>1</v>
      </c>
      <c r="AB11536">
        <v>0</v>
      </c>
      <c r="AC11536">
        <v>0</v>
      </c>
      <c r="AD11536">
        <v>1</v>
      </c>
      <c r="AE11536">
        <v>1</v>
      </c>
      <c r="AF11536">
        <v>1</v>
      </c>
      <c r="AG11536">
        <v>1</v>
      </c>
      <c r="AH11536">
        <v>1</v>
      </c>
      <c r="AI11536">
        <v>1</v>
      </c>
      <c r="AJ11536">
        <v>1</v>
      </c>
      <c r="AK11536">
        <v>1</v>
      </c>
      <c r="AL11536">
        <v>1</v>
      </c>
      <c r="AM11536">
        <v>1</v>
      </c>
    </row>
    <row r="11537" spans="1:39" x14ac:dyDescent="0.2">
      <c r="A11537" t="str">
        <f>"11533"</f>
        <v>11533</v>
      </c>
      <c r="B11537" t="str">
        <f t="shared" si="641"/>
        <v>1</v>
      </c>
      <c r="C11537" t="str">
        <f t="shared" ref="C11537:C11554" si="642">"231"</f>
        <v>231</v>
      </c>
      <c r="D11537" t="str">
        <f>"4"</f>
        <v>4</v>
      </c>
      <c r="E11537" t="str">
        <f>"1-231-4"</f>
        <v>1-231-4</v>
      </c>
      <c r="F11537" t="s">
        <v>65</v>
      </c>
      <c r="G11537" t="s">
        <v>66</v>
      </c>
      <c r="H11537" t="s">
        <v>67</v>
      </c>
      <c r="S11537">
        <v>0</v>
      </c>
      <c r="T11537">
        <v>1</v>
      </c>
      <c r="U11537">
        <v>0</v>
      </c>
      <c r="V11537">
        <v>0</v>
      </c>
      <c r="W11537">
        <v>0</v>
      </c>
      <c r="X11537">
        <v>1</v>
      </c>
      <c r="Y11537">
        <v>0</v>
      </c>
      <c r="Z11537">
        <v>0</v>
      </c>
      <c r="AA11537">
        <v>0</v>
      </c>
      <c r="AB11537">
        <v>0</v>
      </c>
      <c r="AC11537">
        <v>0</v>
      </c>
      <c r="AD11537">
        <v>0</v>
      </c>
      <c r="AE11537">
        <v>0</v>
      </c>
      <c r="AF11537">
        <v>0</v>
      </c>
      <c r="AG11537">
        <v>1</v>
      </c>
      <c r="AH11537">
        <v>1</v>
      </c>
      <c r="AI11537">
        <v>0</v>
      </c>
      <c r="AJ11537">
        <v>0</v>
      </c>
      <c r="AK11537">
        <v>0</v>
      </c>
      <c r="AL11537">
        <v>0</v>
      </c>
      <c r="AM11537">
        <v>0</v>
      </c>
    </row>
    <row r="11538" spans="1:39" x14ac:dyDescent="0.2">
      <c r="A11538" t="str">
        <f>"11534"</f>
        <v>11534</v>
      </c>
      <c r="B11538" t="str">
        <f t="shared" si="641"/>
        <v>1</v>
      </c>
      <c r="C11538" t="str">
        <f t="shared" si="642"/>
        <v>231</v>
      </c>
      <c r="D11538" t="str">
        <f>"43"</f>
        <v>43</v>
      </c>
      <c r="E11538" t="str">
        <f>"1-231-43"</f>
        <v>1-231-43</v>
      </c>
      <c r="F11538" t="s">
        <v>65</v>
      </c>
      <c r="G11538" t="s">
        <v>66</v>
      </c>
      <c r="H11538" t="s">
        <v>67</v>
      </c>
      <c r="S11538">
        <v>0</v>
      </c>
      <c r="T11538">
        <v>1</v>
      </c>
      <c r="U11538">
        <v>0</v>
      </c>
      <c r="V11538">
        <v>0</v>
      </c>
      <c r="W11538">
        <v>1</v>
      </c>
      <c r="X11538">
        <v>0</v>
      </c>
      <c r="Y11538">
        <v>1</v>
      </c>
      <c r="Z11538">
        <v>0</v>
      </c>
      <c r="AA11538">
        <v>1</v>
      </c>
      <c r="AB11538">
        <v>0</v>
      </c>
      <c r="AC11538">
        <v>0</v>
      </c>
      <c r="AD11538">
        <v>0</v>
      </c>
      <c r="AE11538">
        <v>0</v>
      </c>
      <c r="AF11538">
        <v>0</v>
      </c>
      <c r="AG11538">
        <v>0</v>
      </c>
      <c r="AH11538">
        <v>0</v>
      </c>
      <c r="AI11538">
        <v>0</v>
      </c>
      <c r="AJ11538">
        <v>0</v>
      </c>
      <c r="AK11538">
        <v>0</v>
      </c>
      <c r="AL11538">
        <v>0</v>
      </c>
      <c r="AM11538">
        <v>0</v>
      </c>
    </row>
    <row r="11539" spans="1:39" x14ac:dyDescent="0.2">
      <c r="A11539" t="str">
        <f>"11535"</f>
        <v>11535</v>
      </c>
      <c r="B11539" t="str">
        <f t="shared" si="641"/>
        <v>1</v>
      </c>
      <c r="C11539" t="str">
        <f t="shared" si="642"/>
        <v>231</v>
      </c>
      <c r="D11539" t="str">
        <f>"25"</f>
        <v>25</v>
      </c>
      <c r="E11539" t="str">
        <f>"1-231-25"</f>
        <v>1-231-25</v>
      </c>
      <c r="F11539" t="s">
        <v>65</v>
      </c>
      <c r="G11539" t="s">
        <v>66</v>
      </c>
      <c r="H11539" t="s">
        <v>67</v>
      </c>
      <c r="S11539">
        <v>1</v>
      </c>
      <c r="T11539">
        <v>0</v>
      </c>
      <c r="U11539">
        <v>0</v>
      </c>
      <c r="V11539">
        <v>0</v>
      </c>
      <c r="W11539">
        <v>1</v>
      </c>
      <c r="X11539">
        <v>0</v>
      </c>
      <c r="Y11539">
        <v>1</v>
      </c>
      <c r="Z11539">
        <v>0</v>
      </c>
      <c r="AA11539">
        <v>1</v>
      </c>
      <c r="AB11539">
        <v>0</v>
      </c>
      <c r="AC11539">
        <v>0</v>
      </c>
      <c r="AD11539">
        <v>0</v>
      </c>
      <c r="AE11539">
        <v>0</v>
      </c>
      <c r="AF11539">
        <v>0</v>
      </c>
      <c r="AG11539">
        <v>1</v>
      </c>
      <c r="AH11539">
        <v>1</v>
      </c>
      <c r="AI11539">
        <v>1</v>
      </c>
      <c r="AJ11539">
        <v>1</v>
      </c>
      <c r="AK11539">
        <v>1</v>
      </c>
      <c r="AL11539">
        <v>1</v>
      </c>
      <c r="AM11539">
        <v>0</v>
      </c>
    </row>
    <row r="11540" spans="1:39" x14ac:dyDescent="0.2">
      <c r="A11540" t="str">
        <f>"11536"</f>
        <v>11536</v>
      </c>
      <c r="B11540" t="str">
        <f t="shared" si="641"/>
        <v>1</v>
      </c>
      <c r="C11540" t="str">
        <f t="shared" si="642"/>
        <v>231</v>
      </c>
      <c r="D11540" t="str">
        <f>"11"</f>
        <v>11</v>
      </c>
      <c r="E11540" t="str">
        <f>"1-231-11"</f>
        <v>1-231-11</v>
      </c>
      <c r="F11540" t="s">
        <v>65</v>
      </c>
      <c r="G11540" t="s">
        <v>66</v>
      </c>
      <c r="H11540" t="s">
        <v>67</v>
      </c>
      <c r="S11540">
        <v>1</v>
      </c>
      <c r="T11540">
        <v>0</v>
      </c>
      <c r="U11540">
        <v>0</v>
      </c>
      <c r="V11540">
        <v>0</v>
      </c>
      <c r="W11540">
        <v>1</v>
      </c>
      <c r="X11540">
        <v>0</v>
      </c>
      <c r="Y11540">
        <v>0</v>
      </c>
      <c r="Z11540">
        <v>1</v>
      </c>
      <c r="AA11540">
        <v>0</v>
      </c>
      <c r="AB11540">
        <v>1</v>
      </c>
      <c r="AC11540">
        <v>0</v>
      </c>
      <c r="AD11540">
        <v>1</v>
      </c>
      <c r="AE11540">
        <v>1</v>
      </c>
      <c r="AF11540">
        <v>1</v>
      </c>
      <c r="AG11540">
        <v>1</v>
      </c>
      <c r="AH11540">
        <v>1</v>
      </c>
      <c r="AI11540">
        <v>1</v>
      </c>
      <c r="AJ11540">
        <v>1</v>
      </c>
      <c r="AK11540">
        <v>1</v>
      </c>
      <c r="AL11540">
        <v>1</v>
      </c>
      <c r="AM11540">
        <v>1</v>
      </c>
    </row>
    <row r="11541" spans="1:39" x14ac:dyDescent="0.2">
      <c r="A11541" t="str">
        <f>"11537"</f>
        <v>11537</v>
      </c>
      <c r="B11541" t="str">
        <f t="shared" si="641"/>
        <v>1</v>
      </c>
      <c r="C11541" t="str">
        <f t="shared" si="642"/>
        <v>231</v>
      </c>
      <c r="D11541" t="str">
        <f>"26"</f>
        <v>26</v>
      </c>
      <c r="E11541" t="str">
        <f>"1-231-26"</f>
        <v>1-231-26</v>
      </c>
      <c r="F11541" t="s">
        <v>65</v>
      </c>
      <c r="G11541" t="s">
        <v>66</v>
      </c>
      <c r="H11541" t="s">
        <v>67</v>
      </c>
      <c r="S11541">
        <v>1</v>
      </c>
      <c r="T11541">
        <v>0</v>
      </c>
      <c r="U11541">
        <v>0</v>
      </c>
      <c r="V11541">
        <v>0</v>
      </c>
      <c r="W11541">
        <v>1</v>
      </c>
      <c r="X11541">
        <v>0</v>
      </c>
      <c r="Y11541">
        <v>1</v>
      </c>
      <c r="Z11541">
        <v>0</v>
      </c>
      <c r="AA11541">
        <v>1</v>
      </c>
      <c r="AB11541">
        <v>0</v>
      </c>
      <c r="AC11541">
        <v>0</v>
      </c>
      <c r="AD11541">
        <v>1</v>
      </c>
      <c r="AE11541">
        <v>1</v>
      </c>
      <c r="AF11541">
        <v>1</v>
      </c>
      <c r="AG11541">
        <v>1</v>
      </c>
      <c r="AH11541">
        <v>1</v>
      </c>
      <c r="AI11541">
        <v>1</v>
      </c>
      <c r="AJ11541">
        <v>1</v>
      </c>
      <c r="AK11541">
        <v>1</v>
      </c>
      <c r="AL11541">
        <v>1</v>
      </c>
      <c r="AM11541">
        <v>1</v>
      </c>
    </row>
    <row r="11542" spans="1:39" x14ac:dyDescent="0.2">
      <c r="A11542" t="str">
        <f>"11538"</f>
        <v>11538</v>
      </c>
      <c r="B11542" t="str">
        <f t="shared" si="641"/>
        <v>1</v>
      </c>
      <c r="C11542" t="str">
        <f t="shared" si="642"/>
        <v>231</v>
      </c>
      <c r="D11542" t="str">
        <f>"2"</f>
        <v>2</v>
      </c>
      <c r="E11542" t="str">
        <f>"1-231-2"</f>
        <v>1-231-2</v>
      </c>
      <c r="F11542" t="s">
        <v>65</v>
      </c>
      <c r="G11542" t="s">
        <v>66</v>
      </c>
      <c r="H11542" t="s">
        <v>67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1</v>
      </c>
      <c r="Y11542">
        <v>1</v>
      </c>
      <c r="Z11542">
        <v>0</v>
      </c>
      <c r="AA11542">
        <v>1</v>
      </c>
      <c r="AB11542">
        <v>0</v>
      </c>
      <c r="AC11542">
        <v>0</v>
      </c>
      <c r="AD11542">
        <v>0</v>
      </c>
      <c r="AE11542">
        <v>0</v>
      </c>
      <c r="AF11542">
        <v>0</v>
      </c>
      <c r="AG11542">
        <v>0</v>
      </c>
      <c r="AH11542">
        <v>0</v>
      </c>
      <c r="AI11542">
        <v>0</v>
      </c>
      <c r="AJ11542">
        <v>0</v>
      </c>
      <c r="AK11542">
        <v>0</v>
      </c>
      <c r="AL11542">
        <v>1</v>
      </c>
      <c r="AM11542">
        <v>1</v>
      </c>
    </row>
    <row r="11543" spans="1:39" x14ac:dyDescent="0.2">
      <c r="A11543" t="str">
        <f>"11539"</f>
        <v>11539</v>
      </c>
      <c r="B11543" t="str">
        <f t="shared" si="641"/>
        <v>1</v>
      </c>
      <c r="C11543" t="str">
        <f t="shared" si="642"/>
        <v>231</v>
      </c>
      <c r="D11543" t="str">
        <f>"38"</f>
        <v>38</v>
      </c>
      <c r="E11543" t="str">
        <f>"1-231-38"</f>
        <v>1-231-38</v>
      </c>
      <c r="F11543" t="s">
        <v>65</v>
      </c>
      <c r="G11543" t="s">
        <v>66</v>
      </c>
      <c r="H11543" t="s">
        <v>67</v>
      </c>
      <c r="S11543">
        <v>1</v>
      </c>
      <c r="T11543">
        <v>0</v>
      </c>
      <c r="U11543">
        <v>0</v>
      </c>
      <c r="V11543">
        <v>0</v>
      </c>
      <c r="W11543">
        <v>1</v>
      </c>
      <c r="X11543">
        <v>0</v>
      </c>
      <c r="Y11543">
        <v>1</v>
      </c>
      <c r="Z11543">
        <v>0</v>
      </c>
      <c r="AA11543">
        <v>1</v>
      </c>
      <c r="AB11543">
        <v>0</v>
      </c>
      <c r="AC11543">
        <v>0</v>
      </c>
      <c r="AD11543">
        <v>1</v>
      </c>
      <c r="AE11543">
        <v>1</v>
      </c>
      <c r="AF11543">
        <v>1</v>
      </c>
      <c r="AG11543">
        <v>1</v>
      </c>
      <c r="AH11543">
        <v>1</v>
      </c>
      <c r="AI11543">
        <v>1</v>
      </c>
      <c r="AJ11543">
        <v>1</v>
      </c>
      <c r="AK11543">
        <v>1</v>
      </c>
      <c r="AL11543">
        <v>1</v>
      </c>
      <c r="AM11543">
        <v>1</v>
      </c>
    </row>
    <row r="11544" spans="1:39" x14ac:dyDescent="0.2">
      <c r="A11544" t="str">
        <f>"11540"</f>
        <v>11540</v>
      </c>
      <c r="B11544" t="str">
        <f t="shared" si="641"/>
        <v>1</v>
      </c>
      <c r="C11544" t="str">
        <f t="shared" si="642"/>
        <v>231</v>
      </c>
      <c r="D11544" t="str">
        <f>"27"</f>
        <v>27</v>
      </c>
      <c r="E11544" t="str">
        <f>"1-231-27"</f>
        <v>1-231-27</v>
      </c>
      <c r="F11544" t="s">
        <v>65</v>
      </c>
      <c r="G11544" t="s">
        <v>66</v>
      </c>
      <c r="H11544" t="s">
        <v>67</v>
      </c>
      <c r="S11544">
        <v>1</v>
      </c>
      <c r="T11544">
        <v>0</v>
      </c>
      <c r="U11544">
        <v>0</v>
      </c>
      <c r="V11544">
        <v>0</v>
      </c>
      <c r="W11544">
        <v>1</v>
      </c>
      <c r="X11544">
        <v>0</v>
      </c>
      <c r="Y11544">
        <v>1</v>
      </c>
      <c r="Z11544">
        <v>0</v>
      </c>
      <c r="AA11544">
        <v>1</v>
      </c>
      <c r="AB11544">
        <v>0</v>
      </c>
      <c r="AC11544">
        <v>0</v>
      </c>
      <c r="AD11544">
        <v>1</v>
      </c>
      <c r="AE11544">
        <v>1</v>
      </c>
      <c r="AF11544">
        <v>1</v>
      </c>
      <c r="AG11544">
        <v>1</v>
      </c>
      <c r="AH11544">
        <v>1</v>
      </c>
      <c r="AI11544">
        <v>1</v>
      </c>
      <c r="AJ11544">
        <v>1</v>
      </c>
      <c r="AK11544">
        <v>1</v>
      </c>
      <c r="AL11544">
        <v>1</v>
      </c>
      <c r="AM11544">
        <v>1</v>
      </c>
    </row>
    <row r="11545" spans="1:39" x14ac:dyDescent="0.2">
      <c r="A11545" t="str">
        <f>"11541"</f>
        <v>11541</v>
      </c>
      <c r="B11545" t="str">
        <f t="shared" si="641"/>
        <v>1</v>
      </c>
      <c r="C11545" t="str">
        <f t="shared" si="642"/>
        <v>231</v>
      </c>
      <c r="D11545" t="str">
        <f>"3"</f>
        <v>3</v>
      </c>
      <c r="E11545" t="str">
        <f>"1-231-3"</f>
        <v>1-231-3</v>
      </c>
      <c r="F11545" t="s">
        <v>65</v>
      </c>
      <c r="G11545" t="s">
        <v>66</v>
      </c>
      <c r="H11545" t="s">
        <v>67</v>
      </c>
      <c r="S11545">
        <v>1</v>
      </c>
      <c r="T11545">
        <v>0</v>
      </c>
      <c r="U11545">
        <v>0</v>
      </c>
      <c r="V11545">
        <v>0</v>
      </c>
      <c r="W11545">
        <v>1</v>
      </c>
      <c r="X11545">
        <v>0</v>
      </c>
      <c r="Y11545">
        <v>0</v>
      </c>
      <c r="Z11545">
        <v>0</v>
      </c>
      <c r="AA11545">
        <v>1</v>
      </c>
      <c r="AB11545">
        <v>0</v>
      </c>
      <c r="AC11545">
        <v>0</v>
      </c>
      <c r="AD11545">
        <v>1</v>
      </c>
      <c r="AE11545">
        <v>1</v>
      </c>
      <c r="AF11545">
        <v>1</v>
      </c>
      <c r="AG11545">
        <v>1</v>
      </c>
      <c r="AH11545">
        <v>1</v>
      </c>
      <c r="AI11545">
        <v>1</v>
      </c>
      <c r="AJ11545">
        <v>1</v>
      </c>
      <c r="AK11545">
        <v>1</v>
      </c>
      <c r="AL11545">
        <v>1</v>
      </c>
      <c r="AM11545">
        <v>1</v>
      </c>
    </row>
    <row r="11546" spans="1:39" x14ac:dyDescent="0.2">
      <c r="A11546" t="str">
        <f>"11542"</f>
        <v>11542</v>
      </c>
      <c r="B11546" t="str">
        <f t="shared" si="641"/>
        <v>1</v>
      </c>
      <c r="C11546" t="str">
        <f t="shared" si="642"/>
        <v>231</v>
      </c>
      <c r="D11546" t="str">
        <f>"45"</f>
        <v>45</v>
      </c>
      <c r="E11546" t="str">
        <f>"1-231-45"</f>
        <v>1-231-45</v>
      </c>
      <c r="F11546" t="s">
        <v>65</v>
      </c>
      <c r="G11546" t="s">
        <v>66</v>
      </c>
      <c r="H11546" t="s">
        <v>67</v>
      </c>
      <c r="S11546">
        <v>1</v>
      </c>
      <c r="T11546">
        <v>0</v>
      </c>
      <c r="U11546">
        <v>0</v>
      </c>
      <c r="V11546">
        <v>0</v>
      </c>
      <c r="W11546">
        <v>1</v>
      </c>
      <c r="X11546">
        <v>0</v>
      </c>
      <c r="Y11546">
        <v>0</v>
      </c>
      <c r="Z11546">
        <v>1</v>
      </c>
      <c r="AA11546">
        <v>1</v>
      </c>
      <c r="AB11546">
        <v>0</v>
      </c>
      <c r="AC11546">
        <v>0</v>
      </c>
      <c r="AD11546">
        <v>1</v>
      </c>
      <c r="AE11546">
        <v>1</v>
      </c>
      <c r="AF11546">
        <v>1</v>
      </c>
      <c r="AG11546">
        <v>1</v>
      </c>
      <c r="AH11546">
        <v>1</v>
      </c>
      <c r="AI11546">
        <v>1</v>
      </c>
      <c r="AJ11546">
        <v>1</v>
      </c>
      <c r="AK11546">
        <v>1</v>
      </c>
      <c r="AL11546">
        <v>1</v>
      </c>
      <c r="AM11546">
        <v>1</v>
      </c>
    </row>
    <row r="11547" spans="1:39" x14ac:dyDescent="0.2">
      <c r="A11547" t="str">
        <f>"11543"</f>
        <v>11543</v>
      </c>
      <c r="B11547" t="str">
        <f t="shared" si="641"/>
        <v>1</v>
      </c>
      <c r="C11547" t="str">
        <f t="shared" si="642"/>
        <v>231</v>
      </c>
      <c r="D11547" t="str">
        <f>"28"</f>
        <v>28</v>
      </c>
      <c r="E11547" t="str">
        <f>"1-231-28"</f>
        <v>1-231-28</v>
      </c>
      <c r="F11547" t="s">
        <v>65</v>
      </c>
      <c r="G11547" t="s">
        <v>66</v>
      </c>
      <c r="H11547" t="s">
        <v>67</v>
      </c>
      <c r="S11547">
        <v>0</v>
      </c>
      <c r="T11547">
        <v>1</v>
      </c>
      <c r="U11547">
        <v>0</v>
      </c>
      <c r="V11547">
        <v>0</v>
      </c>
      <c r="W11547">
        <v>1</v>
      </c>
      <c r="X11547">
        <v>0</v>
      </c>
      <c r="Y11547">
        <v>0</v>
      </c>
      <c r="Z11547">
        <v>1</v>
      </c>
      <c r="AA11547">
        <v>1</v>
      </c>
      <c r="AB11547">
        <v>0</v>
      </c>
      <c r="AC11547">
        <v>0</v>
      </c>
      <c r="AD11547">
        <v>1</v>
      </c>
      <c r="AE11547">
        <v>1</v>
      </c>
      <c r="AF11547">
        <v>1</v>
      </c>
      <c r="AG11547">
        <v>1</v>
      </c>
      <c r="AH11547">
        <v>1</v>
      </c>
      <c r="AI11547">
        <v>1</v>
      </c>
      <c r="AJ11547">
        <v>1</v>
      </c>
      <c r="AK11547">
        <v>1</v>
      </c>
      <c r="AL11547">
        <v>1</v>
      </c>
      <c r="AM11547">
        <v>1</v>
      </c>
    </row>
    <row r="11548" spans="1:39" x14ac:dyDescent="0.2">
      <c r="A11548" t="str">
        <f>"11544"</f>
        <v>11544</v>
      </c>
      <c r="B11548" t="str">
        <f t="shared" si="641"/>
        <v>1</v>
      </c>
      <c r="C11548" t="str">
        <f t="shared" si="642"/>
        <v>231</v>
      </c>
      <c r="D11548" t="str">
        <f>"14"</f>
        <v>14</v>
      </c>
      <c r="E11548" t="str">
        <f>"1-231-14"</f>
        <v>1-231-14</v>
      </c>
      <c r="F11548" t="s">
        <v>65</v>
      </c>
      <c r="G11548" t="s">
        <v>66</v>
      </c>
      <c r="H11548" t="s">
        <v>67</v>
      </c>
      <c r="S11548">
        <v>1</v>
      </c>
      <c r="T11548">
        <v>0</v>
      </c>
      <c r="U11548">
        <v>0</v>
      </c>
      <c r="V11548">
        <v>0</v>
      </c>
      <c r="W11548">
        <v>1</v>
      </c>
      <c r="X11548">
        <v>0</v>
      </c>
      <c r="Y11548">
        <v>1</v>
      </c>
      <c r="Z11548">
        <v>0</v>
      </c>
      <c r="AA11548">
        <v>1</v>
      </c>
      <c r="AB11548">
        <v>0</v>
      </c>
      <c r="AC11548">
        <v>0</v>
      </c>
      <c r="AD11548">
        <v>1</v>
      </c>
      <c r="AE11548">
        <v>1</v>
      </c>
      <c r="AF11548">
        <v>1</v>
      </c>
      <c r="AG11548">
        <v>1</v>
      </c>
      <c r="AH11548">
        <v>1</v>
      </c>
      <c r="AI11548">
        <v>1</v>
      </c>
      <c r="AJ11548">
        <v>1</v>
      </c>
      <c r="AK11548">
        <v>1</v>
      </c>
      <c r="AL11548">
        <v>1</v>
      </c>
      <c r="AM11548">
        <v>1</v>
      </c>
    </row>
    <row r="11549" spans="1:39" x14ac:dyDescent="0.2">
      <c r="A11549" t="str">
        <f>"11545"</f>
        <v>11545</v>
      </c>
      <c r="B11549" t="str">
        <f t="shared" si="641"/>
        <v>1</v>
      </c>
      <c r="C11549" t="str">
        <f t="shared" si="642"/>
        <v>231</v>
      </c>
      <c r="D11549" t="str">
        <f>"29"</f>
        <v>29</v>
      </c>
      <c r="E11549" t="str">
        <f>"1-231-29"</f>
        <v>1-231-29</v>
      </c>
      <c r="F11549" t="s">
        <v>65</v>
      </c>
      <c r="G11549" t="s">
        <v>66</v>
      </c>
      <c r="H11549" t="s">
        <v>67</v>
      </c>
      <c r="S11549">
        <v>1</v>
      </c>
      <c r="T11549">
        <v>0</v>
      </c>
      <c r="U11549">
        <v>0</v>
      </c>
      <c r="V11549">
        <v>0</v>
      </c>
      <c r="W11549">
        <v>1</v>
      </c>
      <c r="X11549">
        <v>0</v>
      </c>
      <c r="Y11549">
        <v>1</v>
      </c>
      <c r="Z11549">
        <v>0</v>
      </c>
      <c r="AA11549">
        <v>1</v>
      </c>
      <c r="AB11549">
        <v>0</v>
      </c>
      <c r="AC11549">
        <v>0</v>
      </c>
      <c r="AD11549">
        <v>1</v>
      </c>
      <c r="AE11549">
        <v>1</v>
      </c>
      <c r="AF11549">
        <v>1</v>
      </c>
      <c r="AG11549">
        <v>1</v>
      </c>
      <c r="AH11549">
        <v>1</v>
      </c>
      <c r="AI11549">
        <v>1</v>
      </c>
      <c r="AJ11549">
        <v>1</v>
      </c>
      <c r="AK11549">
        <v>1</v>
      </c>
      <c r="AL11549">
        <v>1</v>
      </c>
      <c r="AM11549">
        <v>1</v>
      </c>
    </row>
    <row r="11550" spans="1:39" x14ac:dyDescent="0.2">
      <c r="A11550" t="str">
        <f>"11546"</f>
        <v>11546</v>
      </c>
      <c r="B11550" t="str">
        <f t="shared" si="641"/>
        <v>1</v>
      </c>
      <c r="C11550" t="str">
        <f t="shared" si="642"/>
        <v>231</v>
      </c>
      <c r="D11550" t="str">
        <f>"10"</f>
        <v>10</v>
      </c>
      <c r="E11550" t="str">
        <f>"1-231-10"</f>
        <v>1-231-10</v>
      </c>
      <c r="F11550" t="s">
        <v>65</v>
      </c>
      <c r="G11550" t="s">
        <v>66</v>
      </c>
      <c r="H11550" t="s">
        <v>67</v>
      </c>
      <c r="S11550">
        <v>0</v>
      </c>
      <c r="T11550">
        <v>1</v>
      </c>
      <c r="U11550">
        <v>0</v>
      </c>
      <c r="V11550">
        <v>0</v>
      </c>
      <c r="W11550">
        <v>0</v>
      </c>
      <c r="X11550">
        <v>1</v>
      </c>
      <c r="Y11550">
        <v>0</v>
      </c>
      <c r="Z11550">
        <v>1</v>
      </c>
      <c r="AA11550">
        <v>0</v>
      </c>
      <c r="AB11550">
        <v>0</v>
      </c>
      <c r="AC11550">
        <v>1</v>
      </c>
      <c r="AD11550">
        <v>1</v>
      </c>
      <c r="AE11550">
        <v>1</v>
      </c>
      <c r="AF11550">
        <v>1</v>
      </c>
      <c r="AG11550">
        <v>1</v>
      </c>
      <c r="AH11550">
        <v>1</v>
      </c>
      <c r="AI11550">
        <v>1</v>
      </c>
      <c r="AJ11550">
        <v>1</v>
      </c>
      <c r="AK11550">
        <v>1</v>
      </c>
      <c r="AL11550">
        <v>1</v>
      </c>
      <c r="AM11550">
        <v>1</v>
      </c>
    </row>
    <row r="11551" spans="1:39" x14ac:dyDescent="0.2">
      <c r="A11551" t="str">
        <f>"11547"</f>
        <v>11547</v>
      </c>
      <c r="B11551" t="str">
        <f t="shared" si="641"/>
        <v>1</v>
      </c>
      <c r="C11551" t="str">
        <f t="shared" si="642"/>
        <v>231</v>
      </c>
      <c r="D11551" t="str">
        <f>"30"</f>
        <v>30</v>
      </c>
      <c r="E11551" t="str">
        <f>"1-231-30"</f>
        <v>1-231-30</v>
      </c>
      <c r="F11551" t="s">
        <v>65</v>
      </c>
      <c r="G11551" t="s">
        <v>66</v>
      </c>
      <c r="H11551" t="s">
        <v>67</v>
      </c>
      <c r="S11551">
        <v>0</v>
      </c>
      <c r="T11551">
        <v>1</v>
      </c>
      <c r="U11551">
        <v>0</v>
      </c>
      <c r="V11551">
        <v>0</v>
      </c>
      <c r="W11551">
        <v>1</v>
      </c>
      <c r="X11551">
        <v>0</v>
      </c>
      <c r="Y11551">
        <v>0</v>
      </c>
      <c r="Z11551">
        <v>1</v>
      </c>
      <c r="AA11551">
        <v>0</v>
      </c>
      <c r="AB11551">
        <v>0</v>
      </c>
      <c r="AC11551">
        <v>1</v>
      </c>
      <c r="AD11551">
        <v>0</v>
      </c>
      <c r="AE11551">
        <v>0</v>
      </c>
      <c r="AF11551">
        <v>0</v>
      </c>
      <c r="AG11551">
        <v>0</v>
      </c>
      <c r="AH11551">
        <v>0</v>
      </c>
      <c r="AI11551">
        <v>0</v>
      </c>
      <c r="AJ11551">
        <v>0</v>
      </c>
      <c r="AK11551">
        <v>0</v>
      </c>
      <c r="AL11551">
        <v>0</v>
      </c>
      <c r="AM11551">
        <v>0</v>
      </c>
    </row>
    <row r="11552" spans="1:39" x14ac:dyDescent="0.2">
      <c r="A11552" t="str">
        <f>"11548"</f>
        <v>11548</v>
      </c>
      <c r="B11552" t="str">
        <f t="shared" si="641"/>
        <v>1</v>
      </c>
      <c r="C11552" t="str">
        <f t="shared" si="642"/>
        <v>231</v>
      </c>
      <c r="D11552" t="str">
        <f>"7"</f>
        <v>7</v>
      </c>
      <c r="E11552" t="str">
        <f>"1-231-7"</f>
        <v>1-231-7</v>
      </c>
      <c r="F11552" t="s">
        <v>65</v>
      </c>
      <c r="G11552" t="s">
        <v>66</v>
      </c>
      <c r="H11552" t="s">
        <v>67</v>
      </c>
      <c r="S11552">
        <v>1</v>
      </c>
      <c r="T11552">
        <v>0</v>
      </c>
      <c r="U11552">
        <v>0</v>
      </c>
      <c r="V11552">
        <v>0</v>
      </c>
      <c r="W11552">
        <v>1</v>
      </c>
      <c r="X11552">
        <v>0</v>
      </c>
      <c r="Y11552">
        <v>1</v>
      </c>
      <c r="Z11552">
        <v>0</v>
      </c>
      <c r="AA11552">
        <v>0</v>
      </c>
      <c r="AB11552">
        <v>1</v>
      </c>
      <c r="AC11552">
        <v>0</v>
      </c>
      <c r="AD11552">
        <v>0</v>
      </c>
      <c r="AE11552">
        <v>0</v>
      </c>
      <c r="AF11552">
        <v>0</v>
      </c>
      <c r="AG11552">
        <v>0</v>
      </c>
      <c r="AH11552">
        <v>0</v>
      </c>
      <c r="AI11552">
        <v>0</v>
      </c>
      <c r="AJ11552">
        <v>0</v>
      </c>
      <c r="AK11552">
        <v>0</v>
      </c>
      <c r="AL11552">
        <v>1</v>
      </c>
      <c r="AM11552">
        <v>0</v>
      </c>
    </row>
    <row r="11553" spans="1:39" x14ac:dyDescent="0.2">
      <c r="A11553" t="str">
        <f>"11549"</f>
        <v>11549</v>
      </c>
      <c r="B11553" t="str">
        <f t="shared" si="641"/>
        <v>1</v>
      </c>
      <c r="C11553" t="str">
        <f t="shared" si="642"/>
        <v>231</v>
      </c>
      <c r="D11553" t="str">
        <f>"49"</f>
        <v>49</v>
      </c>
      <c r="E11553" t="str">
        <f>"1-231-49"</f>
        <v>1-231-49</v>
      </c>
      <c r="F11553" t="s">
        <v>65</v>
      </c>
      <c r="G11553" t="s">
        <v>66</v>
      </c>
      <c r="H11553" t="s">
        <v>67</v>
      </c>
      <c r="S11553">
        <v>0</v>
      </c>
      <c r="T11553">
        <v>1</v>
      </c>
      <c r="U11553">
        <v>0</v>
      </c>
      <c r="V11553">
        <v>0</v>
      </c>
      <c r="W11553">
        <v>0</v>
      </c>
      <c r="X11553">
        <v>1</v>
      </c>
      <c r="Y11553">
        <v>0</v>
      </c>
      <c r="Z11553">
        <v>1</v>
      </c>
      <c r="AA11553">
        <v>0</v>
      </c>
      <c r="AB11553">
        <v>0</v>
      </c>
      <c r="AC11553">
        <v>1</v>
      </c>
      <c r="AD11553">
        <v>1</v>
      </c>
      <c r="AE11553">
        <v>1</v>
      </c>
      <c r="AF11553">
        <v>0</v>
      </c>
      <c r="AG11553">
        <v>1</v>
      </c>
      <c r="AH11553">
        <v>1</v>
      </c>
      <c r="AI11553">
        <v>1</v>
      </c>
      <c r="AJ11553">
        <v>1</v>
      </c>
      <c r="AK11553">
        <v>1</v>
      </c>
      <c r="AL11553">
        <v>1</v>
      </c>
      <c r="AM11553">
        <v>1</v>
      </c>
    </row>
    <row r="11554" spans="1:39" x14ac:dyDescent="0.2">
      <c r="A11554" t="str">
        <f>"11550"</f>
        <v>11550</v>
      </c>
      <c r="B11554" t="str">
        <f t="shared" si="641"/>
        <v>1</v>
      </c>
      <c r="C11554" t="str">
        <f t="shared" si="642"/>
        <v>231</v>
      </c>
      <c r="D11554" t="str">
        <f>"50"</f>
        <v>50</v>
      </c>
      <c r="E11554" t="str">
        <f>"1-231-50"</f>
        <v>1-231-50</v>
      </c>
      <c r="F11554" t="s">
        <v>65</v>
      </c>
      <c r="G11554" t="s">
        <v>66</v>
      </c>
      <c r="H11554" t="s">
        <v>67</v>
      </c>
      <c r="S11554">
        <v>0</v>
      </c>
      <c r="T11554">
        <v>1</v>
      </c>
      <c r="U11554">
        <v>0</v>
      </c>
      <c r="V11554">
        <v>0</v>
      </c>
      <c r="W11554">
        <v>1</v>
      </c>
      <c r="X11554">
        <v>0</v>
      </c>
      <c r="Y11554">
        <v>1</v>
      </c>
      <c r="Z11554">
        <v>0</v>
      </c>
      <c r="AA11554">
        <v>0</v>
      </c>
      <c r="AB11554">
        <v>0</v>
      </c>
      <c r="AC11554">
        <v>1</v>
      </c>
      <c r="AD11554">
        <v>1</v>
      </c>
      <c r="AE11554">
        <v>1</v>
      </c>
      <c r="AF11554">
        <v>1</v>
      </c>
      <c r="AG11554">
        <v>1</v>
      </c>
      <c r="AH11554">
        <v>1</v>
      </c>
      <c r="AI11554">
        <v>1</v>
      </c>
      <c r="AJ11554">
        <v>1</v>
      </c>
      <c r="AK11554">
        <v>1</v>
      </c>
      <c r="AL11554">
        <v>1</v>
      </c>
      <c r="AM11554">
        <v>1</v>
      </c>
    </row>
    <row r="11555" spans="1:39" x14ac:dyDescent="0.2">
      <c r="A11555" t="str">
        <f>"11551"</f>
        <v>11551</v>
      </c>
      <c r="B11555" t="str">
        <f t="shared" si="641"/>
        <v>1</v>
      </c>
      <c r="C11555" t="str">
        <f t="shared" ref="C11555:C11586" si="643">"232"</f>
        <v>232</v>
      </c>
      <c r="D11555" t="str">
        <f>"50"</f>
        <v>50</v>
      </c>
      <c r="E11555" t="str">
        <f>"1-232-50"</f>
        <v>1-232-50</v>
      </c>
      <c r="F11555" t="s">
        <v>65</v>
      </c>
      <c r="G11555" t="s">
        <v>66</v>
      </c>
      <c r="H11555" t="s">
        <v>67</v>
      </c>
      <c r="S11555">
        <v>0</v>
      </c>
      <c r="T11555">
        <v>1</v>
      </c>
      <c r="U11555">
        <v>0</v>
      </c>
      <c r="V11555">
        <v>0</v>
      </c>
      <c r="W11555">
        <v>1</v>
      </c>
      <c r="X11555">
        <v>0</v>
      </c>
      <c r="Y11555">
        <v>1</v>
      </c>
      <c r="Z11555">
        <v>0</v>
      </c>
      <c r="AA11555">
        <v>0</v>
      </c>
      <c r="AB11555">
        <v>0</v>
      </c>
      <c r="AC11555">
        <v>1</v>
      </c>
      <c r="AD11555">
        <v>0</v>
      </c>
      <c r="AE11555">
        <v>0</v>
      </c>
      <c r="AF11555">
        <v>0</v>
      </c>
      <c r="AG11555">
        <v>0</v>
      </c>
      <c r="AH11555">
        <v>0</v>
      </c>
      <c r="AI11555">
        <v>1</v>
      </c>
      <c r="AJ11555">
        <v>1</v>
      </c>
      <c r="AK11555">
        <v>0</v>
      </c>
      <c r="AL11555">
        <v>0</v>
      </c>
      <c r="AM11555">
        <v>0</v>
      </c>
    </row>
    <row r="11556" spans="1:39" x14ac:dyDescent="0.2">
      <c r="A11556" t="str">
        <f>"11552"</f>
        <v>11552</v>
      </c>
      <c r="B11556" t="str">
        <f t="shared" si="641"/>
        <v>1</v>
      </c>
      <c r="C11556" t="str">
        <f t="shared" si="643"/>
        <v>232</v>
      </c>
      <c r="D11556" t="str">
        <f>"36"</f>
        <v>36</v>
      </c>
      <c r="E11556" t="str">
        <f>"1-232-36"</f>
        <v>1-232-36</v>
      </c>
      <c r="F11556" t="s">
        <v>65</v>
      </c>
      <c r="G11556" t="s">
        <v>66</v>
      </c>
      <c r="H11556" t="s">
        <v>67</v>
      </c>
      <c r="S11556">
        <v>1</v>
      </c>
      <c r="T11556">
        <v>0</v>
      </c>
      <c r="U11556">
        <v>0</v>
      </c>
      <c r="V11556">
        <v>0</v>
      </c>
      <c r="W11556">
        <v>1</v>
      </c>
      <c r="X11556">
        <v>0</v>
      </c>
      <c r="Y11556">
        <v>1</v>
      </c>
      <c r="Z11556">
        <v>0</v>
      </c>
      <c r="AA11556">
        <v>1</v>
      </c>
      <c r="AB11556">
        <v>0</v>
      </c>
      <c r="AC11556">
        <v>0</v>
      </c>
      <c r="AD11556">
        <v>1</v>
      </c>
      <c r="AE11556">
        <v>1</v>
      </c>
      <c r="AF11556">
        <v>1</v>
      </c>
      <c r="AG11556">
        <v>1</v>
      </c>
      <c r="AH11556">
        <v>1</v>
      </c>
      <c r="AI11556">
        <v>1</v>
      </c>
      <c r="AJ11556">
        <v>1</v>
      </c>
      <c r="AK11556">
        <v>1</v>
      </c>
      <c r="AL11556">
        <v>1</v>
      </c>
      <c r="AM11556">
        <v>1</v>
      </c>
    </row>
    <row r="11557" spans="1:39" x14ac:dyDescent="0.2">
      <c r="A11557" t="str">
        <f>"11553"</f>
        <v>11553</v>
      </c>
      <c r="B11557" t="str">
        <f t="shared" si="641"/>
        <v>1</v>
      </c>
      <c r="C11557" t="str">
        <f t="shared" si="643"/>
        <v>232</v>
      </c>
      <c r="D11557" t="str">
        <f>"35"</f>
        <v>35</v>
      </c>
      <c r="E11557" t="str">
        <f>"1-232-35"</f>
        <v>1-232-35</v>
      </c>
      <c r="F11557" t="s">
        <v>65</v>
      </c>
      <c r="G11557" t="s">
        <v>66</v>
      </c>
      <c r="H11557" t="s">
        <v>67</v>
      </c>
      <c r="S11557">
        <v>0</v>
      </c>
      <c r="T11557">
        <v>1</v>
      </c>
      <c r="U11557">
        <v>0</v>
      </c>
      <c r="V11557">
        <v>0</v>
      </c>
      <c r="W11557">
        <v>1</v>
      </c>
      <c r="X11557">
        <v>0</v>
      </c>
      <c r="Y11557">
        <v>0</v>
      </c>
      <c r="Z11557">
        <v>1</v>
      </c>
      <c r="AA11557">
        <v>0</v>
      </c>
      <c r="AB11557">
        <v>0</v>
      </c>
      <c r="AC11557">
        <v>1</v>
      </c>
      <c r="AD11557">
        <v>1</v>
      </c>
      <c r="AE11557">
        <v>1</v>
      </c>
      <c r="AF11557">
        <v>1</v>
      </c>
      <c r="AG11557">
        <v>1</v>
      </c>
      <c r="AH11557">
        <v>1</v>
      </c>
      <c r="AI11557">
        <v>1</v>
      </c>
      <c r="AJ11557">
        <v>1</v>
      </c>
      <c r="AK11557">
        <v>1</v>
      </c>
      <c r="AL11557">
        <v>1</v>
      </c>
      <c r="AM11557">
        <v>1</v>
      </c>
    </row>
    <row r="11558" spans="1:39" x14ac:dyDescent="0.2">
      <c r="A11558" t="str">
        <f>"11554"</f>
        <v>11554</v>
      </c>
      <c r="B11558" t="str">
        <f t="shared" si="641"/>
        <v>1</v>
      </c>
      <c r="C11558" t="str">
        <f t="shared" si="643"/>
        <v>232</v>
      </c>
      <c r="D11558" t="str">
        <f>"20"</f>
        <v>20</v>
      </c>
      <c r="E11558" t="str">
        <f>"1-232-20"</f>
        <v>1-232-20</v>
      </c>
      <c r="F11558" t="s">
        <v>65</v>
      </c>
      <c r="G11558" t="s">
        <v>66</v>
      </c>
      <c r="H11558" t="s">
        <v>67</v>
      </c>
      <c r="S11558">
        <v>0</v>
      </c>
      <c r="T11558">
        <v>0</v>
      </c>
      <c r="U11558">
        <v>0</v>
      </c>
      <c r="V11558">
        <v>0</v>
      </c>
      <c r="W11558">
        <v>1</v>
      </c>
      <c r="X11558">
        <v>0</v>
      </c>
      <c r="Y11558">
        <v>0</v>
      </c>
      <c r="Z11558">
        <v>1</v>
      </c>
      <c r="AA11558">
        <v>0</v>
      </c>
      <c r="AB11558">
        <v>0</v>
      </c>
      <c r="AC11558">
        <v>1</v>
      </c>
      <c r="AD11558">
        <v>1</v>
      </c>
      <c r="AE11558">
        <v>1</v>
      </c>
      <c r="AF11558">
        <v>0</v>
      </c>
      <c r="AG11558">
        <v>0</v>
      </c>
      <c r="AH11558">
        <v>1</v>
      </c>
      <c r="AI11558">
        <v>1</v>
      </c>
      <c r="AJ11558">
        <v>1</v>
      </c>
      <c r="AK11558">
        <v>1</v>
      </c>
      <c r="AL11558">
        <v>1</v>
      </c>
      <c r="AM11558">
        <v>1</v>
      </c>
    </row>
    <row r="11559" spans="1:39" x14ac:dyDescent="0.2">
      <c r="A11559" t="str">
        <f>"11555"</f>
        <v>11555</v>
      </c>
      <c r="B11559" t="str">
        <f t="shared" si="641"/>
        <v>1</v>
      </c>
      <c r="C11559" t="str">
        <f t="shared" si="643"/>
        <v>232</v>
      </c>
      <c r="D11559" t="str">
        <f>"19"</f>
        <v>19</v>
      </c>
      <c r="E11559" t="str">
        <f>"1-232-19"</f>
        <v>1-232-19</v>
      </c>
      <c r="F11559" t="s">
        <v>65</v>
      </c>
      <c r="G11559" t="s">
        <v>66</v>
      </c>
      <c r="H11559" t="s">
        <v>67</v>
      </c>
      <c r="S11559">
        <v>1</v>
      </c>
      <c r="T11559">
        <v>0</v>
      </c>
      <c r="U11559">
        <v>0</v>
      </c>
      <c r="V11559">
        <v>0</v>
      </c>
      <c r="W11559">
        <v>1</v>
      </c>
      <c r="X11559">
        <v>0</v>
      </c>
      <c r="Y11559">
        <v>1</v>
      </c>
      <c r="Z11559">
        <v>0</v>
      </c>
      <c r="AA11559">
        <v>1</v>
      </c>
      <c r="AB11559">
        <v>0</v>
      </c>
      <c r="AC11559">
        <v>0</v>
      </c>
      <c r="AD11559">
        <v>1</v>
      </c>
      <c r="AE11559">
        <v>1</v>
      </c>
      <c r="AF11559">
        <v>1</v>
      </c>
      <c r="AG11559">
        <v>1</v>
      </c>
      <c r="AH11559">
        <v>1</v>
      </c>
      <c r="AI11559">
        <v>1</v>
      </c>
      <c r="AJ11559">
        <v>1</v>
      </c>
      <c r="AK11559">
        <v>1</v>
      </c>
      <c r="AL11559">
        <v>1</v>
      </c>
      <c r="AM11559">
        <v>1</v>
      </c>
    </row>
    <row r="11560" spans="1:39" x14ac:dyDescent="0.2">
      <c r="A11560" t="str">
        <f>"11556"</f>
        <v>11556</v>
      </c>
      <c r="B11560" t="str">
        <f t="shared" si="641"/>
        <v>1</v>
      </c>
      <c r="C11560" t="str">
        <f t="shared" si="643"/>
        <v>232</v>
      </c>
      <c r="D11560" t="str">
        <f>"17"</f>
        <v>17</v>
      </c>
      <c r="E11560" t="str">
        <f>"1-232-17"</f>
        <v>1-232-17</v>
      </c>
      <c r="F11560" t="s">
        <v>65</v>
      </c>
      <c r="G11560" t="s">
        <v>66</v>
      </c>
      <c r="H11560" t="s">
        <v>67</v>
      </c>
      <c r="S11560">
        <v>0</v>
      </c>
      <c r="T11560">
        <v>1</v>
      </c>
      <c r="U11560">
        <v>0</v>
      </c>
      <c r="V11560">
        <v>0</v>
      </c>
      <c r="W11560">
        <v>0</v>
      </c>
      <c r="X11560">
        <v>0</v>
      </c>
      <c r="Y11560">
        <v>1</v>
      </c>
      <c r="Z11560">
        <v>0</v>
      </c>
      <c r="AA11560">
        <v>0</v>
      </c>
      <c r="AB11560">
        <v>1</v>
      </c>
      <c r="AC11560">
        <v>0</v>
      </c>
      <c r="AD11560">
        <v>1</v>
      </c>
      <c r="AE11560">
        <v>1</v>
      </c>
      <c r="AF11560">
        <v>1</v>
      </c>
      <c r="AG11560">
        <v>1</v>
      </c>
      <c r="AH11560">
        <v>1</v>
      </c>
      <c r="AI11560">
        <v>1</v>
      </c>
      <c r="AJ11560">
        <v>1</v>
      </c>
      <c r="AK11560">
        <v>1</v>
      </c>
      <c r="AL11560">
        <v>1</v>
      </c>
      <c r="AM11560">
        <v>1</v>
      </c>
    </row>
    <row r="11561" spans="1:39" x14ac:dyDescent="0.2">
      <c r="A11561" t="str">
        <f>"11557"</f>
        <v>11557</v>
      </c>
      <c r="B11561" t="str">
        <f t="shared" si="641"/>
        <v>1</v>
      </c>
      <c r="C11561" t="str">
        <f t="shared" si="643"/>
        <v>232</v>
      </c>
      <c r="D11561" t="str">
        <f>"15"</f>
        <v>15</v>
      </c>
      <c r="E11561" t="str">
        <f>"1-232-15"</f>
        <v>1-232-15</v>
      </c>
      <c r="F11561" t="s">
        <v>65</v>
      </c>
      <c r="G11561" t="s">
        <v>66</v>
      </c>
      <c r="H11561" t="s">
        <v>67</v>
      </c>
      <c r="S11561">
        <v>0</v>
      </c>
      <c r="T11561">
        <v>1</v>
      </c>
      <c r="U11561">
        <v>0</v>
      </c>
      <c r="V11561">
        <v>0</v>
      </c>
      <c r="W11561">
        <v>1</v>
      </c>
      <c r="X11561">
        <v>0</v>
      </c>
      <c r="Y11561">
        <v>1</v>
      </c>
      <c r="Z11561">
        <v>0</v>
      </c>
      <c r="AA11561">
        <v>1</v>
      </c>
      <c r="AB11561">
        <v>0</v>
      </c>
      <c r="AC11561">
        <v>0</v>
      </c>
      <c r="AD11561">
        <v>1</v>
      </c>
      <c r="AE11561">
        <v>1</v>
      </c>
      <c r="AF11561">
        <v>1</v>
      </c>
      <c r="AG11561">
        <v>1</v>
      </c>
      <c r="AH11561">
        <v>1</v>
      </c>
      <c r="AI11561">
        <v>1</v>
      </c>
      <c r="AJ11561">
        <v>1</v>
      </c>
      <c r="AK11561">
        <v>1</v>
      </c>
      <c r="AL11561">
        <v>1</v>
      </c>
      <c r="AM11561">
        <v>1</v>
      </c>
    </row>
    <row r="11562" spans="1:39" x14ac:dyDescent="0.2">
      <c r="A11562" t="str">
        <f>"11558"</f>
        <v>11558</v>
      </c>
      <c r="B11562" t="str">
        <f t="shared" si="641"/>
        <v>1</v>
      </c>
      <c r="C11562" t="str">
        <f t="shared" si="643"/>
        <v>232</v>
      </c>
      <c r="D11562" t="str">
        <f>"4"</f>
        <v>4</v>
      </c>
      <c r="E11562" t="str">
        <f>"1-232-4"</f>
        <v>1-232-4</v>
      </c>
      <c r="F11562" t="s">
        <v>65</v>
      </c>
      <c r="G11562" t="s">
        <v>66</v>
      </c>
      <c r="H11562" t="s">
        <v>67</v>
      </c>
      <c r="S11562">
        <v>1</v>
      </c>
      <c r="T11562">
        <v>0</v>
      </c>
      <c r="U11562">
        <v>0</v>
      </c>
      <c r="V11562">
        <v>0</v>
      </c>
      <c r="W11562">
        <v>1</v>
      </c>
      <c r="X11562">
        <v>0</v>
      </c>
      <c r="Y11562">
        <v>0</v>
      </c>
      <c r="Z11562">
        <v>1</v>
      </c>
      <c r="AA11562">
        <v>0</v>
      </c>
      <c r="AB11562">
        <v>0</v>
      </c>
      <c r="AC11562">
        <v>1</v>
      </c>
      <c r="AD11562">
        <v>0</v>
      </c>
      <c r="AE11562">
        <v>0</v>
      </c>
      <c r="AF11562">
        <v>0</v>
      </c>
      <c r="AG11562">
        <v>0</v>
      </c>
      <c r="AH11562">
        <v>0</v>
      </c>
      <c r="AI11562">
        <v>0</v>
      </c>
      <c r="AJ11562">
        <v>0</v>
      </c>
      <c r="AK11562">
        <v>0</v>
      </c>
      <c r="AL11562">
        <v>1</v>
      </c>
      <c r="AM11562">
        <v>1</v>
      </c>
    </row>
    <row r="11563" spans="1:39" x14ac:dyDescent="0.2">
      <c r="A11563" t="str">
        <f>"11559"</f>
        <v>11559</v>
      </c>
      <c r="B11563" t="str">
        <f t="shared" si="641"/>
        <v>1</v>
      </c>
      <c r="C11563" t="str">
        <f t="shared" si="643"/>
        <v>232</v>
      </c>
      <c r="D11563" t="str">
        <f>"38"</f>
        <v>38</v>
      </c>
      <c r="E11563" t="str">
        <f>"1-232-38"</f>
        <v>1-232-38</v>
      </c>
      <c r="F11563" t="s">
        <v>65</v>
      </c>
      <c r="G11563" t="s">
        <v>66</v>
      </c>
      <c r="H11563" t="s">
        <v>67</v>
      </c>
      <c r="S11563">
        <v>1</v>
      </c>
      <c r="T11563">
        <v>0</v>
      </c>
      <c r="U11563">
        <v>0</v>
      </c>
      <c r="V11563">
        <v>0</v>
      </c>
      <c r="W11563">
        <v>1</v>
      </c>
      <c r="X11563">
        <v>0</v>
      </c>
      <c r="Y11563">
        <v>1</v>
      </c>
      <c r="Z11563">
        <v>0</v>
      </c>
      <c r="AA11563">
        <v>1</v>
      </c>
      <c r="AB11563">
        <v>0</v>
      </c>
      <c r="AC11563">
        <v>0</v>
      </c>
      <c r="AD11563">
        <v>1</v>
      </c>
      <c r="AE11563">
        <v>1</v>
      </c>
      <c r="AF11563">
        <v>1</v>
      </c>
      <c r="AG11563">
        <v>1</v>
      </c>
      <c r="AH11563">
        <v>1</v>
      </c>
      <c r="AI11563">
        <v>1</v>
      </c>
      <c r="AJ11563">
        <v>1</v>
      </c>
      <c r="AK11563">
        <v>1</v>
      </c>
      <c r="AL11563">
        <v>1</v>
      </c>
      <c r="AM11563">
        <v>1</v>
      </c>
    </row>
    <row r="11564" spans="1:39" x14ac:dyDescent="0.2">
      <c r="A11564" t="str">
        <f>"11560"</f>
        <v>11560</v>
      </c>
      <c r="B11564" t="str">
        <f t="shared" si="641"/>
        <v>1</v>
      </c>
      <c r="C11564" t="str">
        <f t="shared" si="643"/>
        <v>232</v>
      </c>
      <c r="D11564" t="str">
        <f>"37"</f>
        <v>37</v>
      </c>
      <c r="E11564" t="str">
        <f>"1-232-37"</f>
        <v>1-232-37</v>
      </c>
      <c r="F11564" t="s">
        <v>65</v>
      </c>
      <c r="G11564" t="s">
        <v>66</v>
      </c>
      <c r="H11564" t="s">
        <v>67</v>
      </c>
      <c r="S11564">
        <v>1</v>
      </c>
      <c r="T11564">
        <v>0</v>
      </c>
      <c r="U11564">
        <v>0</v>
      </c>
      <c r="V11564">
        <v>0</v>
      </c>
      <c r="W11564">
        <v>1</v>
      </c>
      <c r="X11564">
        <v>0</v>
      </c>
      <c r="Y11564">
        <v>1</v>
      </c>
      <c r="Z11564">
        <v>0</v>
      </c>
      <c r="AA11564">
        <v>1</v>
      </c>
      <c r="AB11564">
        <v>0</v>
      </c>
      <c r="AC11564">
        <v>0</v>
      </c>
      <c r="AD11564">
        <v>1</v>
      </c>
      <c r="AE11564">
        <v>1</v>
      </c>
      <c r="AF11564">
        <v>1</v>
      </c>
      <c r="AG11564">
        <v>1</v>
      </c>
      <c r="AH11564">
        <v>1</v>
      </c>
      <c r="AI11564">
        <v>1</v>
      </c>
      <c r="AJ11564">
        <v>1</v>
      </c>
      <c r="AK11564">
        <v>1</v>
      </c>
      <c r="AL11564">
        <v>1</v>
      </c>
      <c r="AM11564">
        <v>1</v>
      </c>
    </row>
    <row r="11565" spans="1:39" x14ac:dyDescent="0.2">
      <c r="A11565" t="str">
        <f>"11561"</f>
        <v>11561</v>
      </c>
      <c r="B11565" t="str">
        <f t="shared" si="641"/>
        <v>1</v>
      </c>
      <c r="C11565" t="str">
        <f t="shared" si="643"/>
        <v>232</v>
      </c>
      <c r="D11565" t="str">
        <f>"25"</f>
        <v>25</v>
      </c>
      <c r="E11565" t="str">
        <f>"1-232-25"</f>
        <v>1-232-25</v>
      </c>
      <c r="F11565" t="s">
        <v>65</v>
      </c>
      <c r="G11565" t="s">
        <v>66</v>
      </c>
      <c r="H11565" t="s">
        <v>67</v>
      </c>
      <c r="S11565">
        <v>1</v>
      </c>
      <c r="T11565">
        <v>0</v>
      </c>
      <c r="U11565">
        <v>0</v>
      </c>
      <c r="V11565">
        <v>0</v>
      </c>
      <c r="W11565">
        <v>0</v>
      </c>
      <c r="X11565">
        <v>1</v>
      </c>
      <c r="Y11565">
        <v>1</v>
      </c>
      <c r="Z11565">
        <v>0</v>
      </c>
      <c r="AA11565">
        <v>1</v>
      </c>
      <c r="AB11565">
        <v>0</v>
      </c>
      <c r="AC11565">
        <v>0</v>
      </c>
      <c r="AD11565">
        <v>0</v>
      </c>
      <c r="AE11565">
        <v>0</v>
      </c>
      <c r="AF11565">
        <v>0</v>
      </c>
      <c r="AG11565">
        <v>1</v>
      </c>
      <c r="AH11565">
        <v>1</v>
      </c>
      <c r="AI11565">
        <v>1</v>
      </c>
      <c r="AJ11565">
        <v>1</v>
      </c>
      <c r="AK11565">
        <v>1</v>
      </c>
      <c r="AL11565">
        <v>1</v>
      </c>
      <c r="AM11565">
        <v>1</v>
      </c>
    </row>
    <row r="11566" spans="1:39" x14ac:dyDescent="0.2">
      <c r="A11566" t="str">
        <f>"11562"</f>
        <v>11562</v>
      </c>
      <c r="B11566" t="str">
        <f t="shared" si="641"/>
        <v>1</v>
      </c>
      <c r="C11566" t="str">
        <f t="shared" si="643"/>
        <v>232</v>
      </c>
      <c r="D11566" t="str">
        <f>"24"</f>
        <v>24</v>
      </c>
      <c r="E11566" t="str">
        <f>"1-232-24"</f>
        <v>1-232-24</v>
      </c>
      <c r="F11566" t="s">
        <v>65</v>
      </c>
      <c r="G11566" t="s">
        <v>66</v>
      </c>
      <c r="H11566" t="s">
        <v>67</v>
      </c>
      <c r="S11566">
        <v>1</v>
      </c>
      <c r="T11566">
        <v>0</v>
      </c>
      <c r="U11566">
        <v>0</v>
      </c>
      <c r="V11566">
        <v>0</v>
      </c>
      <c r="W11566">
        <v>1</v>
      </c>
      <c r="X11566">
        <v>0</v>
      </c>
      <c r="Y11566">
        <v>1</v>
      </c>
      <c r="Z11566">
        <v>0</v>
      </c>
      <c r="AA11566">
        <v>1</v>
      </c>
      <c r="AB11566">
        <v>0</v>
      </c>
      <c r="AC11566">
        <v>0</v>
      </c>
      <c r="AD11566">
        <v>1</v>
      </c>
      <c r="AE11566">
        <v>1</v>
      </c>
      <c r="AF11566">
        <v>1</v>
      </c>
      <c r="AG11566">
        <v>1</v>
      </c>
      <c r="AH11566">
        <v>1</v>
      </c>
      <c r="AI11566">
        <v>1</v>
      </c>
      <c r="AJ11566">
        <v>1</v>
      </c>
      <c r="AK11566">
        <v>1</v>
      </c>
      <c r="AL11566">
        <v>1</v>
      </c>
      <c r="AM11566">
        <v>1</v>
      </c>
    </row>
    <row r="11567" spans="1:39" x14ac:dyDescent="0.2">
      <c r="A11567" t="str">
        <f>"11563"</f>
        <v>11563</v>
      </c>
      <c r="B11567" t="str">
        <f t="shared" si="641"/>
        <v>1</v>
      </c>
      <c r="C11567" t="str">
        <f t="shared" si="643"/>
        <v>232</v>
      </c>
      <c r="D11567" t="str">
        <f>"16"</f>
        <v>16</v>
      </c>
      <c r="E11567" t="str">
        <f>"1-232-16"</f>
        <v>1-232-16</v>
      </c>
      <c r="F11567" t="s">
        <v>65</v>
      </c>
      <c r="G11567" t="s">
        <v>66</v>
      </c>
      <c r="H11567" t="s">
        <v>67</v>
      </c>
      <c r="S11567">
        <v>1</v>
      </c>
      <c r="T11567">
        <v>0</v>
      </c>
      <c r="U11567">
        <v>0</v>
      </c>
      <c r="V11567">
        <v>0</v>
      </c>
      <c r="W11567">
        <v>1</v>
      </c>
      <c r="X11567">
        <v>0</v>
      </c>
      <c r="Y11567">
        <v>1</v>
      </c>
      <c r="Z11567">
        <v>0</v>
      </c>
      <c r="AA11567">
        <v>0</v>
      </c>
      <c r="AB11567">
        <v>1</v>
      </c>
      <c r="AC11567">
        <v>0</v>
      </c>
      <c r="AD11567">
        <v>1</v>
      </c>
      <c r="AE11567">
        <v>1</v>
      </c>
      <c r="AF11567">
        <v>1</v>
      </c>
      <c r="AG11567">
        <v>1</v>
      </c>
      <c r="AH11567">
        <v>1</v>
      </c>
      <c r="AI11567">
        <v>1</v>
      </c>
      <c r="AJ11567">
        <v>1</v>
      </c>
      <c r="AK11567">
        <v>1</v>
      </c>
      <c r="AL11567">
        <v>1</v>
      </c>
      <c r="AM11567">
        <v>1</v>
      </c>
    </row>
    <row r="11568" spans="1:39" x14ac:dyDescent="0.2">
      <c r="A11568" t="str">
        <f>"11564"</f>
        <v>11564</v>
      </c>
      <c r="B11568" t="str">
        <f t="shared" si="641"/>
        <v>1</v>
      </c>
      <c r="C11568" t="str">
        <f t="shared" si="643"/>
        <v>232</v>
      </c>
      <c r="D11568" t="str">
        <f>"1"</f>
        <v>1</v>
      </c>
      <c r="E11568" t="str">
        <f>"1-232-1"</f>
        <v>1-232-1</v>
      </c>
      <c r="F11568" t="s">
        <v>65</v>
      </c>
      <c r="G11568" t="s">
        <v>66</v>
      </c>
      <c r="H11568" t="s">
        <v>67</v>
      </c>
      <c r="S11568">
        <v>1</v>
      </c>
      <c r="T11568">
        <v>0</v>
      </c>
      <c r="U11568">
        <v>0</v>
      </c>
      <c r="V11568">
        <v>0</v>
      </c>
      <c r="W11568">
        <v>1</v>
      </c>
      <c r="X11568">
        <v>0</v>
      </c>
      <c r="Y11568">
        <v>1</v>
      </c>
      <c r="Z11568">
        <v>0</v>
      </c>
      <c r="AA11568">
        <v>0</v>
      </c>
      <c r="AB11568">
        <v>0</v>
      </c>
      <c r="AC11568">
        <v>1</v>
      </c>
      <c r="AD11568">
        <v>1</v>
      </c>
      <c r="AE11568">
        <v>1</v>
      </c>
      <c r="AF11568">
        <v>1</v>
      </c>
      <c r="AG11568">
        <v>1</v>
      </c>
      <c r="AH11568">
        <v>1</v>
      </c>
      <c r="AI11568">
        <v>1</v>
      </c>
      <c r="AJ11568">
        <v>1</v>
      </c>
      <c r="AK11568">
        <v>1</v>
      </c>
      <c r="AL11568">
        <v>1</v>
      </c>
      <c r="AM11568">
        <v>1</v>
      </c>
    </row>
    <row r="11569" spans="1:39" x14ac:dyDescent="0.2">
      <c r="A11569" t="str">
        <f>"11565"</f>
        <v>11565</v>
      </c>
      <c r="B11569" t="str">
        <f t="shared" si="641"/>
        <v>1</v>
      </c>
      <c r="C11569" t="str">
        <f t="shared" si="643"/>
        <v>232</v>
      </c>
      <c r="D11569" t="str">
        <f>"39"</f>
        <v>39</v>
      </c>
      <c r="E11569" t="str">
        <f>"1-232-39"</f>
        <v>1-232-39</v>
      </c>
      <c r="F11569" t="s">
        <v>65</v>
      </c>
      <c r="G11569" t="s">
        <v>66</v>
      </c>
      <c r="H11569" t="s">
        <v>67</v>
      </c>
      <c r="S11569">
        <v>1</v>
      </c>
      <c r="T11569">
        <v>0</v>
      </c>
      <c r="U11569">
        <v>0</v>
      </c>
      <c r="V11569">
        <v>0</v>
      </c>
      <c r="W11569">
        <v>1</v>
      </c>
      <c r="X11569">
        <v>0</v>
      </c>
      <c r="Y11569">
        <v>1</v>
      </c>
      <c r="Z11569">
        <v>0</v>
      </c>
      <c r="AA11569">
        <v>1</v>
      </c>
      <c r="AB11569">
        <v>0</v>
      </c>
      <c r="AC11569">
        <v>0</v>
      </c>
      <c r="AD11569">
        <v>1</v>
      </c>
      <c r="AE11569">
        <v>1</v>
      </c>
      <c r="AF11569">
        <v>1</v>
      </c>
      <c r="AG11569">
        <v>1</v>
      </c>
      <c r="AH11569">
        <v>1</v>
      </c>
      <c r="AI11569">
        <v>1</v>
      </c>
      <c r="AJ11569">
        <v>1</v>
      </c>
      <c r="AK11569">
        <v>1</v>
      </c>
      <c r="AL11569">
        <v>1</v>
      </c>
      <c r="AM11569">
        <v>1</v>
      </c>
    </row>
    <row r="11570" spans="1:39" x14ac:dyDescent="0.2">
      <c r="A11570" t="str">
        <f>"11566"</f>
        <v>11566</v>
      </c>
      <c r="B11570" t="str">
        <f t="shared" si="641"/>
        <v>1</v>
      </c>
      <c r="C11570" t="str">
        <f t="shared" si="643"/>
        <v>232</v>
      </c>
      <c r="D11570" t="str">
        <f>"21"</f>
        <v>21</v>
      </c>
      <c r="E11570" t="str">
        <f>"1-232-21"</f>
        <v>1-232-21</v>
      </c>
      <c r="F11570" t="s">
        <v>65</v>
      </c>
      <c r="G11570" t="s">
        <v>66</v>
      </c>
      <c r="H11570" t="s">
        <v>67</v>
      </c>
      <c r="S11570">
        <v>1</v>
      </c>
      <c r="T11570">
        <v>0</v>
      </c>
      <c r="U11570">
        <v>0</v>
      </c>
      <c r="V11570">
        <v>0</v>
      </c>
      <c r="W11570">
        <v>1</v>
      </c>
      <c r="X11570">
        <v>0</v>
      </c>
      <c r="Y11570">
        <v>1</v>
      </c>
      <c r="Z11570">
        <v>0</v>
      </c>
      <c r="AA11570">
        <v>1</v>
      </c>
      <c r="AB11570">
        <v>0</v>
      </c>
      <c r="AC11570">
        <v>0</v>
      </c>
      <c r="AD11570">
        <v>1</v>
      </c>
      <c r="AE11570">
        <v>1</v>
      </c>
      <c r="AF11570">
        <v>1</v>
      </c>
      <c r="AG11570">
        <v>1</v>
      </c>
      <c r="AH11570">
        <v>1</v>
      </c>
      <c r="AI11570">
        <v>1</v>
      </c>
      <c r="AJ11570">
        <v>1</v>
      </c>
      <c r="AK11570">
        <v>1</v>
      </c>
      <c r="AL11570">
        <v>1</v>
      </c>
      <c r="AM11570">
        <v>1</v>
      </c>
    </row>
    <row r="11571" spans="1:39" x14ac:dyDescent="0.2">
      <c r="A11571" t="str">
        <f>"11567"</f>
        <v>11567</v>
      </c>
      <c r="B11571" t="str">
        <f t="shared" si="641"/>
        <v>1</v>
      </c>
      <c r="C11571" t="str">
        <f t="shared" si="643"/>
        <v>232</v>
      </c>
      <c r="D11571" t="str">
        <f>"3"</f>
        <v>3</v>
      </c>
      <c r="E11571" t="str">
        <f>"1-232-3"</f>
        <v>1-232-3</v>
      </c>
      <c r="F11571" t="s">
        <v>65</v>
      </c>
      <c r="G11571" t="s">
        <v>66</v>
      </c>
      <c r="H11571" t="s">
        <v>67</v>
      </c>
      <c r="S11571">
        <v>0</v>
      </c>
      <c r="T11571">
        <v>1</v>
      </c>
      <c r="U11571">
        <v>0</v>
      </c>
      <c r="V11571">
        <v>0</v>
      </c>
      <c r="W11571">
        <v>1</v>
      </c>
      <c r="X11571">
        <v>0</v>
      </c>
      <c r="Y11571">
        <v>1</v>
      </c>
      <c r="Z11571">
        <v>0</v>
      </c>
      <c r="AA11571">
        <v>0</v>
      </c>
      <c r="AB11571">
        <v>0</v>
      </c>
      <c r="AC11571">
        <v>1</v>
      </c>
      <c r="AD11571">
        <v>1</v>
      </c>
      <c r="AE11571">
        <v>1</v>
      </c>
      <c r="AF11571">
        <v>1</v>
      </c>
      <c r="AG11571">
        <v>1</v>
      </c>
      <c r="AH11571">
        <v>1</v>
      </c>
      <c r="AI11571">
        <v>1</v>
      </c>
      <c r="AJ11571">
        <v>1</v>
      </c>
      <c r="AK11571">
        <v>1</v>
      </c>
      <c r="AL11571">
        <v>1</v>
      </c>
      <c r="AM11571">
        <v>1</v>
      </c>
    </row>
    <row r="11572" spans="1:39" x14ac:dyDescent="0.2">
      <c r="A11572" t="str">
        <f>"11568"</f>
        <v>11568</v>
      </c>
      <c r="B11572" t="str">
        <f t="shared" si="641"/>
        <v>1</v>
      </c>
      <c r="C11572" t="str">
        <f t="shared" si="643"/>
        <v>232</v>
      </c>
      <c r="D11572" t="str">
        <f>"22"</f>
        <v>22</v>
      </c>
      <c r="E11572" t="str">
        <f>"1-232-22"</f>
        <v>1-232-22</v>
      </c>
      <c r="F11572" t="s">
        <v>65</v>
      </c>
      <c r="G11572" t="s">
        <v>66</v>
      </c>
      <c r="H11572" t="s">
        <v>67</v>
      </c>
      <c r="S11572">
        <v>1</v>
      </c>
      <c r="T11572">
        <v>0</v>
      </c>
      <c r="U11572">
        <v>0</v>
      </c>
      <c r="V11572">
        <v>0</v>
      </c>
      <c r="W11572">
        <v>1</v>
      </c>
      <c r="X11572">
        <v>0</v>
      </c>
      <c r="Y11572">
        <v>1</v>
      </c>
      <c r="Z11572">
        <v>0</v>
      </c>
      <c r="AA11572">
        <v>1</v>
      </c>
      <c r="AB11572">
        <v>0</v>
      </c>
      <c r="AC11572">
        <v>0</v>
      </c>
      <c r="AD11572">
        <v>1</v>
      </c>
      <c r="AE11572">
        <v>1</v>
      </c>
      <c r="AF11572">
        <v>1</v>
      </c>
      <c r="AG11572">
        <v>1</v>
      </c>
      <c r="AH11572">
        <v>1</v>
      </c>
      <c r="AI11572">
        <v>1</v>
      </c>
      <c r="AJ11572">
        <v>1</v>
      </c>
      <c r="AK11572">
        <v>1</v>
      </c>
      <c r="AL11572">
        <v>1</v>
      </c>
      <c r="AM11572">
        <v>1</v>
      </c>
    </row>
    <row r="11573" spans="1:39" x14ac:dyDescent="0.2">
      <c r="A11573" t="str">
        <f>"11569"</f>
        <v>11569</v>
      </c>
      <c r="B11573" t="str">
        <f t="shared" si="641"/>
        <v>1</v>
      </c>
      <c r="C11573" t="str">
        <f t="shared" si="643"/>
        <v>232</v>
      </c>
      <c r="D11573" t="str">
        <f>"7"</f>
        <v>7</v>
      </c>
      <c r="E11573" t="str">
        <f>"1-232-7"</f>
        <v>1-232-7</v>
      </c>
      <c r="F11573" t="s">
        <v>65</v>
      </c>
      <c r="G11573" t="s">
        <v>66</v>
      </c>
      <c r="H11573" t="s">
        <v>67</v>
      </c>
      <c r="S11573">
        <v>1</v>
      </c>
      <c r="T11573">
        <v>0</v>
      </c>
      <c r="U11573">
        <v>0</v>
      </c>
      <c r="V11573">
        <v>0</v>
      </c>
      <c r="W11573">
        <v>1</v>
      </c>
      <c r="X11573">
        <v>0</v>
      </c>
      <c r="Y11573">
        <v>0</v>
      </c>
      <c r="Z11573">
        <v>1</v>
      </c>
      <c r="AA11573">
        <v>0</v>
      </c>
      <c r="AB11573">
        <v>1</v>
      </c>
      <c r="AC11573">
        <v>0</v>
      </c>
      <c r="AD11573">
        <v>1</v>
      </c>
      <c r="AE11573">
        <v>1</v>
      </c>
      <c r="AF11573">
        <v>1</v>
      </c>
      <c r="AG11573">
        <v>1</v>
      </c>
      <c r="AH11573">
        <v>1</v>
      </c>
      <c r="AI11573">
        <v>1</v>
      </c>
      <c r="AJ11573">
        <v>1</v>
      </c>
      <c r="AK11573">
        <v>1</v>
      </c>
      <c r="AL11573">
        <v>1</v>
      </c>
      <c r="AM11573">
        <v>0</v>
      </c>
    </row>
    <row r="11574" spans="1:39" x14ac:dyDescent="0.2">
      <c r="A11574" t="str">
        <f>"11570"</f>
        <v>11570</v>
      </c>
      <c r="B11574" t="str">
        <f t="shared" si="641"/>
        <v>1</v>
      </c>
      <c r="C11574" t="str">
        <f t="shared" si="643"/>
        <v>232</v>
      </c>
      <c r="D11574" t="str">
        <f>"40"</f>
        <v>40</v>
      </c>
      <c r="E11574" t="str">
        <f>"1-232-40"</f>
        <v>1-232-40</v>
      </c>
      <c r="F11574" t="s">
        <v>65</v>
      </c>
      <c r="G11574" t="s">
        <v>66</v>
      </c>
      <c r="H11574" t="s">
        <v>67</v>
      </c>
      <c r="S11574">
        <v>1</v>
      </c>
      <c r="T11574">
        <v>0</v>
      </c>
      <c r="U11574">
        <v>0</v>
      </c>
      <c r="V11574">
        <v>0</v>
      </c>
      <c r="W11574">
        <v>1</v>
      </c>
      <c r="X11574">
        <v>0</v>
      </c>
      <c r="Y11574">
        <v>0</v>
      </c>
      <c r="Z11574">
        <v>1</v>
      </c>
      <c r="AA11574">
        <v>0</v>
      </c>
      <c r="AB11574">
        <v>1</v>
      </c>
      <c r="AC11574">
        <v>0</v>
      </c>
      <c r="AD11574">
        <v>1</v>
      </c>
      <c r="AE11574">
        <v>1</v>
      </c>
      <c r="AF11574">
        <v>1</v>
      </c>
      <c r="AG11574">
        <v>1</v>
      </c>
      <c r="AH11574">
        <v>1</v>
      </c>
      <c r="AI11574">
        <v>0</v>
      </c>
      <c r="AJ11574">
        <v>1</v>
      </c>
      <c r="AK11574">
        <v>1</v>
      </c>
      <c r="AL11574">
        <v>1</v>
      </c>
      <c r="AM11574">
        <v>1</v>
      </c>
    </row>
    <row r="11575" spans="1:39" x14ac:dyDescent="0.2">
      <c r="A11575" t="str">
        <f>"11571"</f>
        <v>11571</v>
      </c>
      <c r="B11575" t="str">
        <f t="shared" ref="B11575:B11638" si="644">"1"</f>
        <v>1</v>
      </c>
      <c r="C11575" t="str">
        <f t="shared" si="643"/>
        <v>232</v>
      </c>
      <c r="D11575" t="str">
        <f>"23"</f>
        <v>23</v>
      </c>
      <c r="E11575" t="str">
        <f>"1-232-23"</f>
        <v>1-232-23</v>
      </c>
      <c r="F11575" t="s">
        <v>65</v>
      </c>
      <c r="G11575" t="s">
        <v>66</v>
      </c>
      <c r="H11575" t="s">
        <v>67</v>
      </c>
      <c r="S11575">
        <v>1</v>
      </c>
      <c r="T11575">
        <v>0</v>
      </c>
      <c r="U11575">
        <v>0</v>
      </c>
      <c r="V11575">
        <v>0</v>
      </c>
      <c r="W11575">
        <v>1</v>
      </c>
      <c r="X11575">
        <v>0</v>
      </c>
      <c r="Y11575">
        <v>1</v>
      </c>
      <c r="Z11575">
        <v>0</v>
      </c>
      <c r="AA11575">
        <v>1</v>
      </c>
      <c r="AB11575">
        <v>0</v>
      </c>
      <c r="AC11575">
        <v>0</v>
      </c>
      <c r="AD11575">
        <v>1</v>
      </c>
      <c r="AE11575">
        <v>1</v>
      </c>
      <c r="AF11575">
        <v>1</v>
      </c>
      <c r="AG11575">
        <v>1</v>
      </c>
      <c r="AH11575">
        <v>1</v>
      </c>
      <c r="AI11575">
        <v>1</v>
      </c>
      <c r="AJ11575">
        <v>1</v>
      </c>
      <c r="AK11575">
        <v>1</v>
      </c>
      <c r="AL11575">
        <v>1</v>
      </c>
      <c r="AM11575">
        <v>1</v>
      </c>
    </row>
    <row r="11576" spans="1:39" x14ac:dyDescent="0.2">
      <c r="A11576" t="str">
        <f>"11572"</f>
        <v>11572</v>
      </c>
      <c r="B11576" t="str">
        <f t="shared" si="644"/>
        <v>1</v>
      </c>
      <c r="C11576" t="str">
        <f t="shared" si="643"/>
        <v>232</v>
      </c>
      <c r="D11576" t="str">
        <f>"8"</f>
        <v>8</v>
      </c>
      <c r="E11576" t="str">
        <f>"1-232-8"</f>
        <v>1-232-8</v>
      </c>
      <c r="F11576" t="s">
        <v>65</v>
      </c>
      <c r="G11576" t="s">
        <v>66</v>
      </c>
      <c r="H11576" t="s">
        <v>67</v>
      </c>
      <c r="S11576">
        <v>1</v>
      </c>
      <c r="T11576">
        <v>0</v>
      </c>
      <c r="U11576">
        <v>0</v>
      </c>
      <c r="V11576">
        <v>0</v>
      </c>
      <c r="W11576">
        <v>1</v>
      </c>
      <c r="X11576">
        <v>0</v>
      </c>
      <c r="Y11576">
        <v>1</v>
      </c>
      <c r="Z11576">
        <v>0</v>
      </c>
      <c r="AA11576">
        <v>0</v>
      </c>
      <c r="AB11576">
        <v>1</v>
      </c>
      <c r="AC11576">
        <v>0</v>
      </c>
      <c r="AD11576">
        <v>1</v>
      </c>
      <c r="AE11576">
        <v>1</v>
      </c>
      <c r="AF11576">
        <v>1</v>
      </c>
      <c r="AG11576">
        <v>1</v>
      </c>
      <c r="AH11576">
        <v>1</v>
      </c>
      <c r="AI11576">
        <v>1</v>
      </c>
      <c r="AJ11576">
        <v>1</v>
      </c>
      <c r="AK11576">
        <v>1</v>
      </c>
      <c r="AL11576">
        <v>1</v>
      </c>
      <c r="AM11576">
        <v>1</v>
      </c>
    </row>
    <row r="11577" spans="1:39" x14ac:dyDescent="0.2">
      <c r="A11577" t="str">
        <f>"11573"</f>
        <v>11573</v>
      </c>
      <c r="B11577" t="str">
        <f t="shared" si="644"/>
        <v>1</v>
      </c>
      <c r="C11577" t="str">
        <f t="shared" si="643"/>
        <v>232</v>
      </c>
      <c r="D11577" t="str">
        <f>"26"</f>
        <v>26</v>
      </c>
      <c r="E11577" t="str">
        <f>"1-232-26"</f>
        <v>1-232-26</v>
      </c>
      <c r="F11577" t="s">
        <v>65</v>
      </c>
      <c r="G11577" t="s">
        <v>66</v>
      </c>
      <c r="H11577" t="s">
        <v>67</v>
      </c>
      <c r="S11577">
        <v>1</v>
      </c>
      <c r="T11577">
        <v>0</v>
      </c>
      <c r="U11577">
        <v>0</v>
      </c>
      <c r="V11577">
        <v>0</v>
      </c>
      <c r="W11577">
        <v>1</v>
      </c>
      <c r="X11577">
        <v>0</v>
      </c>
      <c r="Y11577">
        <v>1</v>
      </c>
      <c r="Z11577">
        <v>0</v>
      </c>
      <c r="AA11577">
        <v>1</v>
      </c>
      <c r="AB11577">
        <v>0</v>
      </c>
      <c r="AC11577">
        <v>0</v>
      </c>
      <c r="AD11577">
        <v>1</v>
      </c>
      <c r="AE11577">
        <v>1</v>
      </c>
      <c r="AF11577">
        <v>1</v>
      </c>
      <c r="AG11577">
        <v>1</v>
      </c>
      <c r="AH11577">
        <v>1</v>
      </c>
      <c r="AI11577">
        <v>1</v>
      </c>
      <c r="AJ11577">
        <v>1</v>
      </c>
      <c r="AK11577">
        <v>1</v>
      </c>
      <c r="AL11577">
        <v>1</v>
      </c>
      <c r="AM11577">
        <v>1</v>
      </c>
    </row>
    <row r="11578" spans="1:39" x14ac:dyDescent="0.2">
      <c r="A11578" t="str">
        <f>"11574"</f>
        <v>11574</v>
      </c>
      <c r="B11578" t="str">
        <f t="shared" si="644"/>
        <v>1</v>
      </c>
      <c r="C11578" t="str">
        <f t="shared" si="643"/>
        <v>232</v>
      </c>
      <c r="D11578" t="str">
        <f>"5"</f>
        <v>5</v>
      </c>
      <c r="E11578" t="str">
        <f>"1-232-5"</f>
        <v>1-232-5</v>
      </c>
      <c r="F11578" t="s">
        <v>65</v>
      </c>
      <c r="G11578" t="s">
        <v>66</v>
      </c>
      <c r="H11578" t="s">
        <v>67</v>
      </c>
      <c r="S11578">
        <v>1</v>
      </c>
      <c r="T11578">
        <v>0</v>
      </c>
      <c r="U11578">
        <v>0</v>
      </c>
      <c r="V11578">
        <v>0</v>
      </c>
      <c r="W11578">
        <v>1</v>
      </c>
      <c r="X11578">
        <v>0</v>
      </c>
      <c r="Y11578">
        <v>0</v>
      </c>
      <c r="Z11578">
        <v>1</v>
      </c>
      <c r="AA11578">
        <v>1</v>
      </c>
      <c r="AB11578">
        <v>0</v>
      </c>
      <c r="AC11578">
        <v>0</v>
      </c>
      <c r="AD11578">
        <v>1</v>
      </c>
      <c r="AE11578">
        <v>1</v>
      </c>
      <c r="AF11578">
        <v>1</v>
      </c>
      <c r="AG11578">
        <v>1</v>
      </c>
      <c r="AH11578">
        <v>1</v>
      </c>
      <c r="AI11578">
        <v>1</v>
      </c>
      <c r="AJ11578">
        <v>1</v>
      </c>
      <c r="AK11578">
        <v>1</v>
      </c>
      <c r="AL11578">
        <v>1</v>
      </c>
      <c r="AM11578">
        <v>1</v>
      </c>
    </row>
    <row r="11579" spans="1:39" x14ac:dyDescent="0.2">
      <c r="A11579" t="str">
        <f>"11575"</f>
        <v>11575</v>
      </c>
      <c r="B11579" t="str">
        <f t="shared" si="644"/>
        <v>1</v>
      </c>
      <c r="C11579" t="str">
        <f t="shared" si="643"/>
        <v>232</v>
      </c>
      <c r="D11579" t="str">
        <f>"41"</f>
        <v>41</v>
      </c>
      <c r="E11579" t="str">
        <f>"1-232-41"</f>
        <v>1-232-41</v>
      </c>
      <c r="F11579" t="s">
        <v>65</v>
      </c>
      <c r="G11579" t="s">
        <v>66</v>
      </c>
      <c r="H11579" t="s">
        <v>67</v>
      </c>
      <c r="S11579">
        <v>1</v>
      </c>
      <c r="T11579">
        <v>0</v>
      </c>
      <c r="U11579">
        <v>0</v>
      </c>
      <c r="V11579">
        <v>0</v>
      </c>
      <c r="W11579">
        <v>1</v>
      </c>
      <c r="X11579">
        <v>0</v>
      </c>
      <c r="Y11579">
        <v>1</v>
      </c>
      <c r="Z11579">
        <v>0</v>
      </c>
      <c r="AA11579">
        <v>1</v>
      </c>
      <c r="AB11579">
        <v>0</v>
      </c>
      <c r="AC11579">
        <v>0</v>
      </c>
      <c r="AD11579">
        <v>1</v>
      </c>
      <c r="AE11579">
        <v>1</v>
      </c>
      <c r="AF11579">
        <v>1</v>
      </c>
      <c r="AG11579">
        <v>1</v>
      </c>
      <c r="AH11579">
        <v>1</v>
      </c>
      <c r="AI11579">
        <v>1</v>
      </c>
      <c r="AJ11579">
        <v>1</v>
      </c>
      <c r="AK11579">
        <v>1</v>
      </c>
      <c r="AL11579">
        <v>1</v>
      </c>
      <c r="AM11579">
        <v>1</v>
      </c>
    </row>
    <row r="11580" spans="1:39" x14ac:dyDescent="0.2">
      <c r="A11580" t="str">
        <f>"11576"</f>
        <v>11576</v>
      </c>
      <c r="B11580" t="str">
        <f t="shared" si="644"/>
        <v>1</v>
      </c>
      <c r="C11580" t="str">
        <f t="shared" si="643"/>
        <v>232</v>
      </c>
      <c r="D11580" t="str">
        <f>"27"</f>
        <v>27</v>
      </c>
      <c r="E11580" t="str">
        <f>"1-232-27"</f>
        <v>1-232-27</v>
      </c>
      <c r="F11580" t="s">
        <v>65</v>
      </c>
      <c r="G11580" t="s">
        <v>66</v>
      </c>
      <c r="H11580" t="s">
        <v>67</v>
      </c>
      <c r="S11580">
        <v>0</v>
      </c>
      <c r="T11580">
        <v>1</v>
      </c>
      <c r="U11580">
        <v>0</v>
      </c>
      <c r="V11580">
        <v>0</v>
      </c>
      <c r="W11580">
        <v>1</v>
      </c>
      <c r="X11580">
        <v>0</v>
      </c>
      <c r="Y11580">
        <v>1</v>
      </c>
      <c r="Z11580">
        <v>0</v>
      </c>
      <c r="AA11580">
        <v>0</v>
      </c>
      <c r="AB11580">
        <v>1</v>
      </c>
      <c r="AC11580">
        <v>0</v>
      </c>
      <c r="AD11580">
        <v>1</v>
      </c>
      <c r="AE11580">
        <v>1</v>
      </c>
      <c r="AF11580">
        <v>1</v>
      </c>
      <c r="AG11580">
        <v>1</v>
      </c>
      <c r="AH11580">
        <v>1</v>
      </c>
      <c r="AI11580">
        <v>1</v>
      </c>
      <c r="AJ11580">
        <v>1</v>
      </c>
      <c r="AK11580">
        <v>1</v>
      </c>
      <c r="AL11580">
        <v>1</v>
      </c>
      <c r="AM11580">
        <v>1</v>
      </c>
    </row>
    <row r="11581" spans="1:39" x14ac:dyDescent="0.2">
      <c r="A11581" t="str">
        <f>"11577"</f>
        <v>11577</v>
      </c>
      <c r="B11581" t="str">
        <f t="shared" si="644"/>
        <v>1</v>
      </c>
      <c r="C11581" t="str">
        <f t="shared" si="643"/>
        <v>232</v>
      </c>
      <c r="D11581" t="str">
        <f>"9"</f>
        <v>9</v>
      </c>
      <c r="E11581" t="str">
        <f>"1-232-9"</f>
        <v>1-232-9</v>
      </c>
      <c r="F11581" t="s">
        <v>65</v>
      </c>
      <c r="G11581" t="s">
        <v>66</v>
      </c>
      <c r="H11581" t="s">
        <v>67</v>
      </c>
      <c r="S11581">
        <v>1</v>
      </c>
      <c r="T11581">
        <v>0</v>
      </c>
      <c r="U11581">
        <v>0</v>
      </c>
      <c r="V11581">
        <v>0</v>
      </c>
      <c r="W11581">
        <v>0</v>
      </c>
      <c r="X11581">
        <v>1</v>
      </c>
      <c r="Y11581">
        <v>1</v>
      </c>
      <c r="Z11581">
        <v>0</v>
      </c>
      <c r="AA11581">
        <v>0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1</v>
      </c>
      <c r="AH11581">
        <v>0</v>
      </c>
      <c r="AI11581">
        <v>0</v>
      </c>
      <c r="AJ11581">
        <v>1</v>
      </c>
      <c r="AK11581">
        <v>0</v>
      </c>
      <c r="AL11581">
        <v>1</v>
      </c>
      <c r="AM11581">
        <v>1</v>
      </c>
    </row>
    <row r="11582" spans="1:39" x14ac:dyDescent="0.2">
      <c r="A11582" t="str">
        <f>"11578"</f>
        <v>11578</v>
      </c>
      <c r="B11582" t="str">
        <f t="shared" si="644"/>
        <v>1</v>
      </c>
      <c r="C11582" t="str">
        <f t="shared" si="643"/>
        <v>232</v>
      </c>
      <c r="D11582" t="str">
        <f>"42"</f>
        <v>42</v>
      </c>
      <c r="E11582" t="str">
        <f>"1-232-42"</f>
        <v>1-232-42</v>
      </c>
      <c r="F11582" t="s">
        <v>65</v>
      </c>
      <c r="G11582" t="s">
        <v>66</v>
      </c>
      <c r="H11582" t="s">
        <v>67</v>
      </c>
      <c r="S11582">
        <v>1</v>
      </c>
      <c r="T11582">
        <v>0</v>
      </c>
      <c r="U11582">
        <v>0</v>
      </c>
      <c r="V11582">
        <v>0</v>
      </c>
      <c r="W11582">
        <v>1</v>
      </c>
      <c r="X11582">
        <v>0</v>
      </c>
      <c r="Y11582">
        <v>1</v>
      </c>
      <c r="Z11582">
        <v>0</v>
      </c>
      <c r="AA11582">
        <v>1</v>
      </c>
      <c r="AB11582">
        <v>0</v>
      </c>
      <c r="AC11582">
        <v>0</v>
      </c>
      <c r="AD11582">
        <v>1</v>
      </c>
      <c r="AE11582">
        <v>1</v>
      </c>
      <c r="AF11582">
        <v>1</v>
      </c>
      <c r="AG11582">
        <v>1</v>
      </c>
      <c r="AH11582">
        <v>1</v>
      </c>
      <c r="AI11582">
        <v>1</v>
      </c>
      <c r="AJ11582">
        <v>1</v>
      </c>
      <c r="AK11582">
        <v>1</v>
      </c>
      <c r="AL11582">
        <v>1</v>
      </c>
      <c r="AM11582">
        <v>1</v>
      </c>
    </row>
    <row r="11583" spans="1:39" x14ac:dyDescent="0.2">
      <c r="A11583" t="str">
        <f>"11579"</f>
        <v>11579</v>
      </c>
      <c r="B11583" t="str">
        <f t="shared" si="644"/>
        <v>1</v>
      </c>
      <c r="C11583" t="str">
        <f t="shared" si="643"/>
        <v>232</v>
      </c>
      <c r="D11583" t="str">
        <f>"28"</f>
        <v>28</v>
      </c>
      <c r="E11583" t="str">
        <f>"1-232-28"</f>
        <v>1-232-28</v>
      </c>
      <c r="F11583" t="s">
        <v>65</v>
      </c>
      <c r="G11583" t="s">
        <v>66</v>
      </c>
      <c r="H11583" t="s">
        <v>67</v>
      </c>
      <c r="S11583">
        <v>0</v>
      </c>
      <c r="T11583">
        <v>1</v>
      </c>
      <c r="U11583">
        <v>0</v>
      </c>
      <c r="V11583">
        <v>0</v>
      </c>
      <c r="W11583">
        <v>1</v>
      </c>
      <c r="X11583">
        <v>0</v>
      </c>
      <c r="Y11583">
        <v>1</v>
      </c>
      <c r="Z11583">
        <v>0</v>
      </c>
      <c r="AA11583">
        <v>0</v>
      </c>
      <c r="AB11583">
        <v>1</v>
      </c>
      <c r="AC11583">
        <v>0</v>
      </c>
      <c r="AD11583">
        <v>1</v>
      </c>
      <c r="AE11583">
        <v>1</v>
      </c>
      <c r="AF11583">
        <v>1</v>
      </c>
      <c r="AG11583">
        <v>1</v>
      </c>
      <c r="AH11583">
        <v>1</v>
      </c>
      <c r="AI11583">
        <v>1</v>
      </c>
      <c r="AJ11583">
        <v>1</v>
      </c>
      <c r="AK11583">
        <v>1</v>
      </c>
      <c r="AL11583">
        <v>1</v>
      </c>
      <c r="AM11583">
        <v>1</v>
      </c>
    </row>
    <row r="11584" spans="1:39" x14ac:dyDescent="0.2">
      <c r="A11584" t="str">
        <f>"11580"</f>
        <v>11580</v>
      </c>
      <c r="B11584" t="str">
        <f t="shared" si="644"/>
        <v>1</v>
      </c>
      <c r="C11584" t="str">
        <f t="shared" si="643"/>
        <v>232</v>
      </c>
      <c r="D11584" t="str">
        <f>"14"</f>
        <v>14</v>
      </c>
      <c r="E11584" t="str">
        <f>"1-232-14"</f>
        <v>1-232-14</v>
      </c>
      <c r="F11584" t="s">
        <v>65</v>
      </c>
      <c r="G11584" t="s">
        <v>66</v>
      </c>
      <c r="H11584" t="s">
        <v>67</v>
      </c>
      <c r="S11584">
        <v>0</v>
      </c>
      <c r="T11584">
        <v>1</v>
      </c>
      <c r="U11584">
        <v>0</v>
      </c>
      <c r="V11584">
        <v>0</v>
      </c>
      <c r="W11584">
        <v>0</v>
      </c>
      <c r="X11584">
        <v>1</v>
      </c>
      <c r="Y11584">
        <v>1</v>
      </c>
      <c r="Z11584">
        <v>0</v>
      </c>
      <c r="AA11584">
        <v>1</v>
      </c>
      <c r="AB11584">
        <v>0</v>
      </c>
      <c r="AC11584">
        <v>0</v>
      </c>
      <c r="AD11584">
        <v>1</v>
      </c>
      <c r="AE11584">
        <v>1</v>
      </c>
      <c r="AF11584">
        <v>1</v>
      </c>
      <c r="AG11584">
        <v>1</v>
      </c>
      <c r="AH11584">
        <v>1</v>
      </c>
      <c r="AI11584">
        <v>1</v>
      </c>
      <c r="AJ11584">
        <v>1</v>
      </c>
      <c r="AK11584">
        <v>1</v>
      </c>
      <c r="AL11584">
        <v>0</v>
      </c>
      <c r="AM11584">
        <v>1</v>
      </c>
    </row>
    <row r="11585" spans="1:39" x14ac:dyDescent="0.2">
      <c r="A11585" t="str">
        <f>"11581"</f>
        <v>11581</v>
      </c>
      <c r="B11585" t="str">
        <f t="shared" si="644"/>
        <v>1</v>
      </c>
      <c r="C11585" t="str">
        <f t="shared" si="643"/>
        <v>232</v>
      </c>
      <c r="D11585" t="str">
        <f>"29"</f>
        <v>29</v>
      </c>
      <c r="E11585" t="str">
        <f>"1-232-29"</f>
        <v>1-232-29</v>
      </c>
      <c r="F11585" t="s">
        <v>65</v>
      </c>
      <c r="G11585" t="s">
        <v>66</v>
      </c>
      <c r="H11585" t="s">
        <v>67</v>
      </c>
      <c r="S11585">
        <v>1</v>
      </c>
      <c r="T11585">
        <v>0</v>
      </c>
      <c r="U11585">
        <v>0</v>
      </c>
      <c r="V11585">
        <v>0</v>
      </c>
      <c r="W11585">
        <v>1</v>
      </c>
      <c r="X11585">
        <v>0</v>
      </c>
      <c r="Y11585">
        <v>1</v>
      </c>
      <c r="Z11585">
        <v>0</v>
      </c>
      <c r="AA11585">
        <v>0</v>
      </c>
      <c r="AB11585">
        <v>0</v>
      </c>
      <c r="AC11585">
        <v>0</v>
      </c>
      <c r="AD11585">
        <v>0</v>
      </c>
      <c r="AE11585">
        <v>0</v>
      </c>
      <c r="AF11585">
        <v>0</v>
      </c>
      <c r="AG11585">
        <v>0</v>
      </c>
      <c r="AH11585">
        <v>0</v>
      </c>
      <c r="AI11585">
        <v>0</v>
      </c>
      <c r="AJ11585">
        <v>0</v>
      </c>
      <c r="AK11585">
        <v>0</v>
      </c>
      <c r="AL11585">
        <v>0</v>
      </c>
      <c r="AM11585">
        <v>0</v>
      </c>
    </row>
    <row r="11586" spans="1:39" x14ac:dyDescent="0.2">
      <c r="A11586" t="str">
        <f>"11582"</f>
        <v>11582</v>
      </c>
      <c r="B11586" t="str">
        <f t="shared" si="644"/>
        <v>1</v>
      </c>
      <c r="C11586" t="str">
        <f t="shared" si="643"/>
        <v>232</v>
      </c>
      <c r="D11586" t="str">
        <f>"10"</f>
        <v>10</v>
      </c>
      <c r="E11586" t="str">
        <f>"1-232-10"</f>
        <v>1-232-10</v>
      </c>
      <c r="F11586" t="s">
        <v>65</v>
      </c>
      <c r="G11586" t="s">
        <v>66</v>
      </c>
      <c r="H11586" t="s">
        <v>67</v>
      </c>
      <c r="S11586">
        <v>1</v>
      </c>
      <c r="T11586">
        <v>0</v>
      </c>
      <c r="U11586">
        <v>0</v>
      </c>
      <c r="V11586">
        <v>0</v>
      </c>
      <c r="W11586">
        <v>1</v>
      </c>
      <c r="X11586">
        <v>0</v>
      </c>
      <c r="Y11586">
        <v>0</v>
      </c>
      <c r="Z11586">
        <v>1</v>
      </c>
      <c r="AA11586">
        <v>1</v>
      </c>
      <c r="AB11586">
        <v>0</v>
      </c>
      <c r="AC11586">
        <v>0</v>
      </c>
      <c r="AD11586">
        <v>1</v>
      </c>
      <c r="AE11586">
        <v>1</v>
      </c>
      <c r="AF11586">
        <v>1</v>
      </c>
      <c r="AG11586">
        <v>1</v>
      </c>
      <c r="AH11586">
        <v>1</v>
      </c>
      <c r="AI11586">
        <v>1</v>
      </c>
      <c r="AJ11586">
        <v>1</v>
      </c>
      <c r="AK11586">
        <v>1</v>
      </c>
      <c r="AL11586">
        <v>1</v>
      </c>
      <c r="AM11586">
        <v>1</v>
      </c>
    </row>
    <row r="11587" spans="1:39" x14ac:dyDescent="0.2">
      <c r="A11587" t="str">
        <f>"11583"</f>
        <v>11583</v>
      </c>
      <c r="B11587" t="str">
        <f t="shared" si="644"/>
        <v>1</v>
      </c>
      <c r="C11587" t="str">
        <f t="shared" ref="C11587:C11604" si="645">"232"</f>
        <v>232</v>
      </c>
      <c r="D11587" t="str">
        <f>"43"</f>
        <v>43</v>
      </c>
      <c r="E11587" t="str">
        <f>"1-232-43"</f>
        <v>1-232-43</v>
      </c>
      <c r="F11587" t="s">
        <v>65</v>
      </c>
      <c r="G11587" t="s">
        <v>66</v>
      </c>
      <c r="H11587" t="s">
        <v>67</v>
      </c>
      <c r="S11587">
        <v>1</v>
      </c>
      <c r="T11587">
        <v>0</v>
      </c>
      <c r="U11587">
        <v>0</v>
      </c>
      <c r="V11587">
        <v>0</v>
      </c>
      <c r="W11587">
        <v>1</v>
      </c>
      <c r="X11587">
        <v>0</v>
      </c>
      <c r="Y11587">
        <v>1</v>
      </c>
      <c r="Z11587">
        <v>0</v>
      </c>
      <c r="AA11587">
        <v>1</v>
      </c>
      <c r="AB11587">
        <v>0</v>
      </c>
      <c r="AC11587">
        <v>0</v>
      </c>
      <c r="AD11587">
        <v>1</v>
      </c>
      <c r="AE11587">
        <v>1</v>
      </c>
      <c r="AF11587">
        <v>1</v>
      </c>
      <c r="AG11587">
        <v>1</v>
      </c>
      <c r="AH11587">
        <v>1</v>
      </c>
      <c r="AI11587">
        <v>1</v>
      </c>
      <c r="AJ11587">
        <v>1</v>
      </c>
      <c r="AK11587">
        <v>1</v>
      </c>
      <c r="AL11587">
        <v>1</v>
      </c>
      <c r="AM11587">
        <v>1</v>
      </c>
    </row>
    <row r="11588" spans="1:39" x14ac:dyDescent="0.2">
      <c r="A11588" t="str">
        <f>"11584"</f>
        <v>11584</v>
      </c>
      <c r="B11588" t="str">
        <f t="shared" si="644"/>
        <v>1</v>
      </c>
      <c r="C11588" t="str">
        <f t="shared" si="645"/>
        <v>232</v>
      </c>
      <c r="D11588" t="str">
        <f>"30"</f>
        <v>30</v>
      </c>
      <c r="E11588" t="str">
        <f>"1-232-30"</f>
        <v>1-232-30</v>
      </c>
      <c r="F11588" t="s">
        <v>65</v>
      </c>
      <c r="G11588" t="s">
        <v>66</v>
      </c>
      <c r="H11588" t="s">
        <v>67</v>
      </c>
      <c r="S11588">
        <v>1</v>
      </c>
      <c r="T11588">
        <v>0</v>
      </c>
      <c r="U11588">
        <v>0</v>
      </c>
      <c r="V11588">
        <v>0</v>
      </c>
      <c r="W11588">
        <v>1</v>
      </c>
      <c r="X11588">
        <v>0</v>
      </c>
      <c r="Y11588">
        <v>1</v>
      </c>
      <c r="Z11588">
        <v>0</v>
      </c>
      <c r="AA11588">
        <v>1</v>
      </c>
      <c r="AB11588">
        <v>0</v>
      </c>
      <c r="AC11588">
        <v>0</v>
      </c>
      <c r="AD11588">
        <v>1</v>
      </c>
      <c r="AE11588">
        <v>1</v>
      </c>
      <c r="AF11588">
        <v>0</v>
      </c>
      <c r="AG11588">
        <v>1</v>
      </c>
      <c r="AH11588">
        <v>1</v>
      </c>
      <c r="AI11588">
        <v>1</v>
      </c>
      <c r="AJ11588">
        <v>1</v>
      </c>
      <c r="AK11588">
        <v>1</v>
      </c>
      <c r="AL11588">
        <v>1</v>
      </c>
      <c r="AM11588">
        <v>1</v>
      </c>
    </row>
    <row r="11589" spans="1:39" x14ac:dyDescent="0.2">
      <c r="A11589" t="str">
        <f>"11585"</f>
        <v>11585</v>
      </c>
      <c r="B11589" t="str">
        <f t="shared" si="644"/>
        <v>1</v>
      </c>
      <c r="C11589" t="str">
        <f t="shared" si="645"/>
        <v>232</v>
      </c>
      <c r="D11589" t="str">
        <f>"2"</f>
        <v>2</v>
      </c>
      <c r="E11589" t="str">
        <f>"1-232-2"</f>
        <v>1-232-2</v>
      </c>
      <c r="F11589" t="s">
        <v>65</v>
      </c>
      <c r="G11589" t="s">
        <v>66</v>
      </c>
      <c r="H11589" t="s">
        <v>67</v>
      </c>
      <c r="S11589">
        <v>1</v>
      </c>
      <c r="T11589">
        <v>0</v>
      </c>
      <c r="U11589">
        <v>0</v>
      </c>
      <c r="V11589">
        <v>0</v>
      </c>
      <c r="W11589">
        <v>1</v>
      </c>
      <c r="X11589">
        <v>0</v>
      </c>
      <c r="Y11589">
        <v>0</v>
      </c>
      <c r="Z11589">
        <v>1</v>
      </c>
      <c r="AA11589">
        <v>0</v>
      </c>
      <c r="AB11589">
        <v>0</v>
      </c>
      <c r="AC11589">
        <v>1</v>
      </c>
      <c r="AD11589">
        <v>1</v>
      </c>
      <c r="AE11589">
        <v>1</v>
      </c>
      <c r="AF11589">
        <v>1</v>
      </c>
      <c r="AG11589">
        <v>1</v>
      </c>
      <c r="AH11589">
        <v>1</v>
      </c>
      <c r="AI11589">
        <v>1</v>
      </c>
      <c r="AJ11589">
        <v>1</v>
      </c>
      <c r="AK11589">
        <v>1</v>
      </c>
      <c r="AL11589">
        <v>1</v>
      </c>
      <c r="AM11589">
        <v>1</v>
      </c>
    </row>
    <row r="11590" spans="1:39" x14ac:dyDescent="0.2">
      <c r="A11590" t="str">
        <f>"11586"</f>
        <v>11586</v>
      </c>
      <c r="B11590" t="str">
        <f t="shared" si="644"/>
        <v>1</v>
      </c>
      <c r="C11590" t="str">
        <f t="shared" si="645"/>
        <v>232</v>
      </c>
      <c r="D11590" t="str">
        <f>"44"</f>
        <v>44</v>
      </c>
      <c r="E11590" t="str">
        <f>"1-232-44"</f>
        <v>1-232-44</v>
      </c>
      <c r="F11590" t="s">
        <v>65</v>
      </c>
      <c r="G11590" t="s">
        <v>66</v>
      </c>
      <c r="H11590" t="s">
        <v>67</v>
      </c>
      <c r="S11590">
        <v>1</v>
      </c>
      <c r="T11590">
        <v>0</v>
      </c>
      <c r="U11590">
        <v>0</v>
      </c>
      <c r="V11590">
        <v>0</v>
      </c>
      <c r="W11590">
        <v>1</v>
      </c>
      <c r="X11590">
        <v>0</v>
      </c>
      <c r="Y11590">
        <v>0</v>
      </c>
      <c r="Z11590">
        <v>1</v>
      </c>
      <c r="AA11590">
        <v>0</v>
      </c>
      <c r="AB11590">
        <v>1</v>
      </c>
      <c r="AC11590">
        <v>0</v>
      </c>
      <c r="AD11590">
        <v>1</v>
      </c>
      <c r="AE11590">
        <v>1</v>
      </c>
      <c r="AF11590">
        <v>1</v>
      </c>
      <c r="AG11590">
        <v>1</v>
      </c>
      <c r="AH11590">
        <v>1</v>
      </c>
      <c r="AI11590">
        <v>1</v>
      </c>
      <c r="AJ11590">
        <v>1</v>
      </c>
      <c r="AK11590">
        <v>1</v>
      </c>
      <c r="AL11590">
        <v>1</v>
      </c>
      <c r="AM11590">
        <v>1</v>
      </c>
    </row>
    <row r="11591" spans="1:39" x14ac:dyDescent="0.2">
      <c r="A11591" t="str">
        <f>"11587"</f>
        <v>11587</v>
      </c>
      <c r="B11591" t="str">
        <f t="shared" si="644"/>
        <v>1</v>
      </c>
      <c r="C11591" t="str">
        <f t="shared" si="645"/>
        <v>232</v>
      </c>
      <c r="D11591" t="str">
        <f>"31"</f>
        <v>31</v>
      </c>
      <c r="E11591" t="str">
        <f>"1-232-31"</f>
        <v>1-232-31</v>
      </c>
      <c r="F11591" t="s">
        <v>65</v>
      </c>
      <c r="G11591" t="s">
        <v>66</v>
      </c>
      <c r="H11591" t="s">
        <v>67</v>
      </c>
      <c r="S11591">
        <v>0</v>
      </c>
      <c r="T11591">
        <v>1</v>
      </c>
      <c r="U11591">
        <v>0</v>
      </c>
      <c r="V11591">
        <v>0</v>
      </c>
      <c r="W11591">
        <v>1</v>
      </c>
      <c r="X11591">
        <v>0</v>
      </c>
      <c r="Y11591">
        <v>0</v>
      </c>
      <c r="Z11591">
        <v>1</v>
      </c>
      <c r="AA11591">
        <v>0</v>
      </c>
      <c r="AB11591">
        <v>0</v>
      </c>
      <c r="AC11591">
        <v>1</v>
      </c>
      <c r="AD11591">
        <v>1</v>
      </c>
      <c r="AE11591">
        <v>1</v>
      </c>
      <c r="AF11591">
        <v>1</v>
      </c>
      <c r="AG11591">
        <v>1</v>
      </c>
      <c r="AH11591">
        <v>1</v>
      </c>
      <c r="AI11591">
        <v>1</v>
      </c>
      <c r="AJ11591">
        <v>1</v>
      </c>
      <c r="AK11591">
        <v>1</v>
      </c>
      <c r="AL11591">
        <v>1</v>
      </c>
      <c r="AM11591">
        <v>1</v>
      </c>
    </row>
    <row r="11592" spans="1:39" x14ac:dyDescent="0.2">
      <c r="A11592" t="str">
        <f>"11588"</f>
        <v>11588</v>
      </c>
      <c r="B11592" t="str">
        <f t="shared" si="644"/>
        <v>1</v>
      </c>
      <c r="C11592" t="str">
        <f t="shared" si="645"/>
        <v>232</v>
      </c>
      <c r="D11592" t="str">
        <f>"13"</f>
        <v>13</v>
      </c>
      <c r="E11592" t="str">
        <f>"1-232-13"</f>
        <v>1-232-13</v>
      </c>
      <c r="F11592" t="s">
        <v>65</v>
      </c>
      <c r="G11592" t="s">
        <v>66</v>
      </c>
      <c r="H11592" t="s">
        <v>67</v>
      </c>
      <c r="S11592">
        <v>1</v>
      </c>
      <c r="T11592">
        <v>0</v>
      </c>
      <c r="U11592">
        <v>0</v>
      </c>
      <c r="V11592">
        <v>0</v>
      </c>
      <c r="W11592">
        <v>1</v>
      </c>
      <c r="X11592">
        <v>0</v>
      </c>
      <c r="Y11592">
        <v>1</v>
      </c>
      <c r="Z11592">
        <v>0</v>
      </c>
      <c r="AA11592">
        <v>1</v>
      </c>
      <c r="AB11592">
        <v>0</v>
      </c>
      <c r="AC11592">
        <v>0</v>
      </c>
      <c r="AD11592">
        <v>1</v>
      </c>
      <c r="AE11592">
        <v>1</v>
      </c>
      <c r="AF11592">
        <v>1</v>
      </c>
      <c r="AG11592">
        <v>1</v>
      </c>
      <c r="AH11592">
        <v>1</v>
      </c>
      <c r="AI11592">
        <v>1</v>
      </c>
      <c r="AJ11592">
        <v>1</v>
      </c>
      <c r="AK11592">
        <v>1</v>
      </c>
      <c r="AL11592">
        <v>1</v>
      </c>
      <c r="AM11592">
        <v>1</v>
      </c>
    </row>
    <row r="11593" spans="1:39" x14ac:dyDescent="0.2">
      <c r="A11593" t="str">
        <f>"11589"</f>
        <v>11589</v>
      </c>
      <c r="B11593" t="str">
        <f t="shared" si="644"/>
        <v>1</v>
      </c>
      <c r="C11593" t="str">
        <f t="shared" si="645"/>
        <v>232</v>
      </c>
      <c r="D11593" t="str">
        <f>"45"</f>
        <v>45</v>
      </c>
      <c r="E11593" t="str">
        <f>"1-232-45"</f>
        <v>1-232-45</v>
      </c>
      <c r="F11593" t="s">
        <v>65</v>
      </c>
      <c r="G11593" t="s">
        <v>66</v>
      </c>
      <c r="H11593" t="s">
        <v>67</v>
      </c>
      <c r="S11593">
        <v>0</v>
      </c>
      <c r="T11593">
        <v>1</v>
      </c>
      <c r="U11593">
        <v>0</v>
      </c>
      <c r="V11593">
        <v>0</v>
      </c>
      <c r="W11593">
        <v>1</v>
      </c>
      <c r="X11593">
        <v>0</v>
      </c>
      <c r="Y11593">
        <v>0</v>
      </c>
      <c r="Z11593">
        <v>1</v>
      </c>
      <c r="AA11593">
        <v>1</v>
      </c>
      <c r="AB11593">
        <v>0</v>
      </c>
      <c r="AC11593">
        <v>0</v>
      </c>
      <c r="AD11593">
        <v>0</v>
      </c>
      <c r="AE11593">
        <v>0</v>
      </c>
      <c r="AF11593">
        <v>0</v>
      </c>
      <c r="AG11593">
        <v>1</v>
      </c>
      <c r="AH11593">
        <v>0</v>
      </c>
      <c r="AI11593">
        <v>1</v>
      </c>
      <c r="AJ11593">
        <v>1</v>
      </c>
      <c r="AK11593">
        <v>1</v>
      </c>
      <c r="AL11593">
        <v>1</v>
      </c>
      <c r="AM11593">
        <v>1</v>
      </c>
    </row>
    <row r="11594" spans="1:39" x14ac:dyDescent="0.2">
      <c r="A11594" t="str">
        <f>"11590"</f>
        <v>11590</v>
      </c>
      <c r="B11594" t="str">
        <f t="shared" si="644"/>
        <v>1</v>
      </c>
      <c r="C11594" t="str">
        <f t="shared" si="645"/>
        <v>232</v>
      </c>
      <c r="D11594" t="str">
        <f>"32"</f>
        <v>32</v>
      </c>
      <c r="E11594" t="str">
        <f>"1-232-32"</f>
        <v>1-232-32</v>
      </c>
      <c r="F11594" t="s">
        <v>65</v>
      </c>
      <c r="G11594" t="s">
        <v>66</v>
      </c>
      <c r="H11594" t="s">
        <v>67</v>
      </c>
      <c r="S11594">
        <v>1</v>
      </c>
      <c r="T11594">
        <v>0</v>
      </c>
      <c r="U11594">
        <v>0</v>
      </c>
      <c r="V11594">
        <v>0</v>
      </c>
      <c r="W11594">
        <v>1</v>
      </c>
      <c r="X11594">
        <v>0</v>
      </c>
      <c r="Y11594">
        <v>1</v>
      </c>
      <c r="Z11594">
        <v>0</v>
      </c>
      <c r="AA11594">
        <v>1</v>
      </c>
      <c r="AB11594">
        <v>0</v>
      </c>
      <c r="AC11594">
        <v>0</v>
      </c>
      <c r="AD11594">
        <v>1</v>
      </c>
      <c r="AE11594">
        <v>1</v>
      </c>
      <c r="AF11594">
        <v>1</v>
      </c>
      <c r="AG11594">
        <v>1</v>
      </c>
      <c r="AH11594">
        <v>1</v>
      </c>
      <c r="AI11594">
        <v>1</v>
      </c>
      <c r="AJ11594">
        <v>1</v>
      </c>
      <c r="AK11594">
        <v>1</v>
      </c>
      <c r="AL11594">
        <v>1</v>
      </c>
      <c r="AM11594">
        <v>1</v>
      </c>
    </row>
    <row r="11595" spans="1:39" x14ac:dyDescent="0.2">
      <c r="A11595" t="str">
        <f>"11591"</f>
        <v>11591</v>
      </c>
      <c r="B11595" t="str">
        <f t="shared" si="644"/>
        <v>1</v>
      </c>
      <c r="C11595" t="str">
        <f t="shared" si="645"/>
        <v>232</v>
      </c>
      <c r="D11595" t="str">
        <f>"12"</f>
        <v>12</v>
      </c>
      <c r="E11595" t="str">
        <f>"1-232-12"</f>
        <v>1-232-12</v>
      </c>
      <c r="F11595" t="s">
        <v>65</v>
      </c>
      <c r="G11595" t="s">
        <v>66</v>
      </c>
      <c r="H11595" t="s">
        <v>67</v>
      </c>
      <c r="S11595">
        <v>1</v>
      </c>
      <c r="T11595">
        <v>0</v>
      </c>
      <c r="U11595">
        <v>0</v>
      </c>
      <c r="V11595">
        <v>0</v>
      </c>
      <c r="W11595">
        <v>1</v>
      </c>
      <c r="X11595">
        <v>0</v>
      </c>
      <c r="Y11595">
        <v>0</v>
      </c>
      <c r="Z11595">
        <v>1</v>
      </c>
      <c r="AA11595">
        <v>0</v>
      </c>
      <c r="AB11595">
        <v>1</v>
      </c>
      <c r="AC11595">
        <v>0</v>
      </c>
      <c r="AD11595">
        <v>1</v>
      </c>
      <c r="AE11595">
        <v>1</v>
      </c>
      <c r="AF11595">
        <v>1</v>
      </c>
      <c r="AG11595">
        <v>1</v>
      </c>
      <c r="AH11595">
        <v>1</v>
      </c>
      <c r="AI11595">
        <v>1</v>
      </c>
      <c r="AJ11595">
        <v>1</v>
      </c>
      <c r="AK11595">
        <v>1</v>
      </c>
      <c r="AL11595">
        <v>1</v>
      </c>
      <c r="AM11595">
        <v>1</v>
      </c>
    </row>
    <row r="11596" spans="1:39" x14ac:dyDescent="0.2">
      <c r="A11596" t="str">
        <f>"11592"</f>
        <v>11592</v>
      </c>
      <c r="B11596" t="str">
        <f t="shared" si="644"/>
        <v>1</v>
      </c>
      <c r="C11596" t="str">
        <f t="shared" si="645"/>
        <v>232</v>
      </c>
      <c r="D11596" t="str">
        <f>"48"</f>
        <v>48</v>
      </c>
      <c r="E11596" t="str">
        <f>"1-232-48"</f>
        <v>1-232-48</v>
      </c>
      <c r="F11596" t="s">
        <v>65</v>
      </c>
      <c r="G11596" t="s">
        <v>66</v>
      </c>
      <c r="H11596" t="s">
        <v>67</v>
      </c>
      <c r="S11596">
        <v>0</v>
      </c>
      <c r="T11596">
        <v>1</v>
      </c>
      <c r="U11596">
        <v>0</v>
      </c>
      <c r="V11596">
        <v>0</v>
      </c>
      <c r="W11596">
        <v>0</v>
      </c>
      <c r="X11596">
        <v>0</v>
      </c>
      <c r="Y11596">
        <v>1</v>
      </c>
      <c r="Z11596">
        <v>0</v>
      </c>
      <c r="AA11596">
        <v>0</v>
      </c>
      <c r="AB11596">
        <v>1</v>
      </c>
      <c r="AC11596">
        <v>0</v>
      </c>
      <c r="AD11596">
        <v>1</v>
      </c>
      <c r="AE11596">
        <v>1</v>
      </c>
      <c r="AF11596">
        <v>1</v>
      </c>
      <c r="AG11596">
        <v>1</v>
      </c>
      <c r="AH11596">
        <v>1</v>
      </c>
      <c r="AI11596">
        <v>1</v>
      </c>
      <c r="AJ11596">
        <v>1</v>
      </c>
      <c r="AK11596">
        <v>1</v>
      </c>
      <c r="AL11596">
        <v>0</v>
      </c>
      <c r="AM11596">
        <v>1</v>
      </c>
    </row>
    <row r="11597" spans="1:39" x14ac:dyDescent="0.2">
      <c r="A11597" t="str">
        <f>"11593"</f>
        <v>11593</v>
      </c>
      <c r="B11597" t="str">
        <f t="shared" si="644"/>
        <v>1</v>
      </c>
      <c r="C11597" t="str">
        <f t="shared" si="645"/>
        <v>232</v>
      </c>
      <c r="D11597" t="str">
        <f>"33"</f>
        <v>33</v>
      </c>
      <c r="E11597" t="str">
        <f>"1-232-33"</f>
        <v>1-232-33</v>
      </c>
      <c r="F11597" t="s">
        <v>65</v>
      </c>
      <c r="G11597" t="s">
        <v>66</v>
      </c>
      <c r="H11597" t="s">
        <v>67</v>
      </c>
      <c r="S11597">
        <v>0</v>
      </c>
      <c r="T11597">
        <v>1</v>
      </c>
      <c r="U11597">
        <v>0</v>
      </c>
      <c r="V11597">
        <v>0</v>
      </c>
      <c r="W11597">
        <v>1</v>
      </c>
      <c r="X11597">
        <v>0</v>
      </c>
      <c r="Y11597">
        <v>1</v>
      </c>
      <c r="Z11597">
        <v>0</v>
      </c>
      <c r="AA11597">
        <v>0</v>
      </c>
      <c r="AB11597">
        <v>1</v>
      </c>
      <c r="AC11597">
        <v>0</v>
      </c>
      <c r="AD11597">
        <v>0</v>
      </c>
      <c r="AE11597">
        <v>0</v>
      </c>
      <c r="AF11597">
        <v>0</v>
      </c>
      <c r="AG11597">
        <v>1</v>
      </c>
      <c r="AH11597">
        <v>0</v>
      </c>
      <c r="AI11597">
        <v>1</v>
      </c>
      <c r="AJ11597">
        <v>1</v>
      </c>
      <c r="AK11597">
        <v>1</v>
      </c>
      <c r="AL11597">
        <v>1</v>
      </c>
      <c r="AM11597">
        <v>1</v>
      </c>
    </row>
    <row r="11598" spans="1:39" x14ac:dyDescent="0.2">
      <c r="A11598" t="str">
        <f>"11594"</f>
        <v>11594</v>
      </c>
      <c r="B11598" t="str">
        <f t="shared" si="644"/>
        <v>1</v>
      </c>
      <c r="C11598" t="str">
        <f t="shared" si="645"/>
        <v>232</v>
      </c>
      <c r="D11598" t="str">
        <f>"11"</f>
        <v>11</v>
      </c>
      <c r="E11598" t="str">
        <f>"1-232-11"</f>
        <v>1-232-11</v>
      </c>
      <c r="F11598" t="s">
        <v>65</v>
      </c>
      <c r="G11598" t="s">
        <v>66</v>
      </c>
      <c r="H11598" t="s">
        <v>67</v>
      </c>
      <c r="S11598">
        <v>1</v>
      </c>
      <c r="T11598">
        <v>0</v>
      </c>
      <c r="U11598">
        <v>0</v>
      </c>
      <c r="V11598">
        <v>0</v>
      </c>
      <c r="W11598">
        <v>1</v>
      </c>
      <c r="X11598">
        <v>0</v>
      </c>
      <c r="Y11598">
        <v>0</v>
      </c>
      <c r="Z11598">
        <v>1</v>
      </c>
      <c r="AA11598">
        <v>0</v>
      </c>
      <c r="AB11598">
        <v>1</v>
      </c>
      <c r="AC11598">
        <v>0</v>
      </c>
      <c r="AD11598">
        <v>0</v>
      </c>
      <c r="AE11598">
        <v>0</v>
      </c>
      <c r="AF11598">
        <v>0</v>
      </c>
      <c r="AG11598">
        <v>0</v>
      </c>
      <c r="AH11598">
        <v>0</v>
      </c>
      <c r="AI11598">
        <v>0</v>
      </c>
      <c r="AJ11598">
        <v>0</v>
      </c>
      <c r="AK11598">
        <v>0</v>
      </c>
      <c r="AL11598">
        <v>0</v>
      </c>
      <c r="AM11598">
        <v>0</v>
      </c>
    </row>
    <row r="11599" spans="1:39" x14ac:dyDescent="0.2">
      <c r="A11599" t="str">
        <f>"11595"</f>
        <v>11595</v>
      </c>
      <c r="B11599" t="str">
        <f t="shared" si="644"/>
        <v>1</v>
      </c>
      <c r="C11599" t="str">
        <f t="shared" si="645"/>
        <v>232</v>
      </c>
      <c r="D11599" t="str">
        <f>"46"</f>
        <v>46</v>
      </c>
      <c r="E11599" t="str">
        <f>"1-232-46"</f>
        <v>1-232-46</v>
      </c>
      <c r="F11599" t="s">
        <v>65</v>
      </c>
      <c r="G11599" t="s">
        <v>66</v>
      </c>
      <c r="H11599" t="s">
        <v>67</v>
      </c>
      <c r="S11599">
        <v>1</v>
      </c>
      <c r="T11599">
        <v>0</v>
      </c>
      <c r="U11599">
        <v>0</v>
      </c>
      <c r="V11599">
        <v>0</v>
      </c>
      <c r="W11599">
        <v>1</v>
      </c>
      <c r="X11599">
        <v>0</v>
      </c>
      <c r="Y11599">
        <v>1</v>
      </c>
      <c r="Z11599">
        <v>0</v>
      </c>
      <c r="AA11599">
        <v>1</v>
      </c>
      <c r="AB11599">
        <v>0</v>
      </c>
      <c r="AC11599">
        <v>0</v>
      </c>
      <c r="AD11599">
        <v>1</v>
      </c>
      <c r="AE11599">
        <v>1</v>
      </c>
      <c r="AF11599">
        <v>1</v>
      </c>
      <c r="AG11599">
        <v>1</v>
      </c>
      <c r="AH11599">
        <v>1</v>
      </c>
      <c r="AI11599">
        <v>1</v>
      </c>
      <c r="AJ11599">
        <v>0</v>
      </c>
      <c r="AK11599">
        <v>1</v>
      </c>
      <c r="AL11599">
        <v>1</v>
      </c>
      <c r="AM11599">
        <v>1</v>
      </c>
    </row>
    <row r="11600" spans="1:39" x14ac:dyDescent="0.2">
      <c r="A11600" t="str">
        <f>"11596"</f>
        <v>11596</v>
      </c>
      <c r="B11600" t="str">
        <f t="shared" si="644"/>
        <v>1</v>
      </c>
      <c r="C11600" t="str">
        <f t="shared" si="645"/>
        <v>232</v>
      </c>
      <c r="D11600" t="str">
        <f>"34"</f>
        <v>34</v>
      </c>
      <c r="E11600" t="str">
        <f>"1-232-34"</f>
        <v>1-232-34</v>
      </c>
      <c r="F11600" t="s">
        <v>65</v>
      </c>
      <c r="G11600" t="s">
        <v>66</v>
      </c>
      <c r="H11600" t="s">
        <v>67</v>
      </c>
      <c r="S11600">
        <v>1</v>
      </c>
      <c r="T11600">
        <v>0</v>
      </c>
      <c r="U11600">
        <v>0</v>
      </c>
      <c r="V11600">
        <v>0</v>
      </c>
      <c r="W11600">
        <v>1</v>
      </c>
      <c r="X11600">
        <v>0</v>
      </c>
      <c r="Y11600">
        <v>1</v>
      </c>
      <c r="Z11600">
        <v>0</v>
      </c>
      <c r="AA11600">
        <v>1</v>
      </c>
      <c r="AB11600">
        <v>0</v>
      </c>
      <c r="AC11600">
        <v>0</v>
      </c>
      <c r="AD11600">
        <v>0</v>
      </c>
      <c r="AE11600">
        <v>0</v>
      </c>
      <c r="AF11600">
        <v>0</v>
      </c>
      <c r="AG11600">
        <v>0</v>
      </c>
      <c r="AH11600">
        <v>1</v>
      </c>
      <c r="AI11600">
        <v>1</v>
      </c>
      <c r="AJ11600">
        <v>1</v>
      </c>
      <c r="AK11600">
        <v>0</v>
      </c>
      <c r="AL11600">
        <v>1</v>
      </c>
      <c r="AM11600">
        <v>0</v>
      </c>
    </row>
    <row r="11601" spans="1:39" x14ac:dyDescent="0.2">
      <c r="A11601" t="str">
        <f>"11597"</f>
        <v>11597</v>
      </c>
      <c r="B11601" t="str">
        <f t="shared" si="644"/>
        <v>1</v>
      </c>
      <c r="C11601" t="str">
        <f t="shared" si="645"/>
        <v>232</v>
      </c>
      <c r="D11601" t="str">
        <f>"6"</f>
        <v>6</v>
      </c>
      <c r="E11601" t="str">
        <f>"1-232-6"</f>
        <v>1-232-6</v>
      </c>
      <c r="F11601" t="s">
        <v>65</v>
      </c>
      <c r="G11601" t="s">
        <v>66</v>
      </c>
      <c r="H11601" t="s">
        <v>67</v>
      </c>
      <c r="S11601">
        <v>1</v>
      </c>
      <c r="T11601">
        <v>0</v>
      </c>
      <c r="U11601">
        <v>0</v>
      </c>
      <c r="V11601">
        <v>0</v>
      </c>
      <c r="W11601">
        <v>1</v>
      </c>
      <c r="X11601">
        <v>0</v>
      </c>
      <c r="Y11601">
        <v>1</v>
      </c>
      <c r="Z11601">
        <v>0</v>
      </c>
      <c r="AA11601">
        <v>0</v>
      </c>
      <c r="AB11601">
        <v>1</v>
      </c>
      <c r="AC11601">
        <v>0</v>
      </c>
      <c r="AD11601">
        <v>1</v>
      </c>
      <c r="AE11601">
        <v>1</v>
      </c>
      <c r="AF11601">
        <v>1</v>
      </c>
      <c r="AG11601">
        <v>1</v>
      </c>
      <c r="AH11601">
        <v>1</v>
      </c>
      <c r="AI11601">
        <v>1</v>
      </c>
      <c r="AJ11601">
        <v>1</v>
      </c>
      <c r="AK11601">
        <v>1</v>
      </c>
      <c r="AL11601">
        <v>1</v>
      </c>
      <c r="AM11601">
        <v>1</v>
      </c>
    </row>
    <row r="11602" spans="1:39" x14ac:dyDescent="0.2">
      <c r="A11602" t="str">
        <f>"11598"</f>
        <v>11598</v>
      </c>
      <c r="B11602" t="str">
        <f t="shared" si="644"/>
        <v>1</v>
      </c>
      <c r="C11602" t="str">
        <f t="shared" si="645"/>
        <v>232</v>
      </c>
      <c r="D11602" t="str">
        <f>"47"</f>
        <v>47</v>
      </c>
      <c r="E11602" t="str">
        <f>"1-232-47"</f>
        <v>1-232-47</v>
      </c>
      <c r="F11602" t="s">
        <v>65</v>
      </c>
      <c r="G11602" t="s">
        <v>66</v>
      </c>
      <c r="H11602" t="s">
        <v>67</v>
      </c>
      <c r="S11602">
        <v>1</v>
      </c>
      <c r="T11602">
        <v>0</v>
      </c>
      <c r="U11602">
        <v>0</v>
      </c>
      <c r="V11602">
        <v>0</v>
      </c>
      <c r="W11602">
        <v>1</v>
      </c>
      <c r="X11602">
        <v>0</v>
      </c>
      <c r="Y11602">
        <v>1</v>
      </c>
      <c r="Z11602">
        <v>0</v>
      </c>
      <c r="AA11602">
        <v>1</v>
      </c>
      <c r="AB11602">
        <v>0</v>
      </c>
      <c r="AC11602">
        <v>0</v>
      </c>
      <c r="AD11602">
        <v>1</v>
      </c>
      <c r="AE11602">
        <v>1</v>
      </c>
      <c r="AF11602">
        <v>1</v>
      </c>
      <c r="AG11602">
        <v>1</v>
      </c>
      <c r="AH11602">
        <v>1</v>
      </c>
      <c r="AI11602">
        <v>1</v>
      </c>
      <c r="AJ11602">
        <v>1</v>
      </c>
      <c r="AK11602">
        <v>1</v>
      </c>
      <c r="AL11602">
        <v>1</v>
      </c>
      <c r="AM11602">
        <v>1</v>
      </c>
    </row>
    <row r="11603" spans="1:39" x14ac:dyDescent="0.2">
      <c r="A11603" t="str">
        <f>"11599"</f>
        <v>11599</v>
      </c>
      <c r="B11603" t="str">
        <f t="shared" si="644"/>
        <v>1</v>
      </c>
      <c r="C11603" t="str">
        <f t="shared" si="645"/>
        <v>232</v>
      </c>
      <c r="D11603" t="str">
        <f>"18"</f>
        <v>18</v>
      </c>
      <c r="E11603" t="str">
        <f>"1-232-18"</f>
        <v>1-232-18</v>
      </c>
      <c r="F11603" t="s">
        <v>65</v>
      </c>
      <c r="G11603" t="s">
        <v>66</v>
      </c>
      <c r="H11603" t="s">
        <v>67</v>
      </c>
      <c r="S11603">
        <v>1</v>
      </c>
      <c r="T11603">
        <v>0</v>
      </c>
      <c r="U11603">
        <v>0</v>
      </c>
      <c r="V11603">
        <v>0</v>
      </c>
      <c r="W11603">
        <v>1</v>
      </c>
      <c r="X11603">
        <v>0</v>
      </c>
      <c r="Y11603">
        <v>1</v>
      </c>
      <c r="Z11603">
        <v>0</v>
      </c>
      <c r="AA11603">
        <v>1</v>
      </c>
      <c r="AB11603">
        <v>0</v>
      </c>
      <c r="AC11603">
        <v>0</v>
      </c>
      <c r="AD11603">
        <v>1</v>
      </c>
      <c r="AE11603">
        <v>1</v>
      </c>
      <c r="AF11603">
        <v>1</v>
      </c>
      <c r="AG11603">
        <v>1</v>
      </c>
      <c r="AH11603">
        <v>1</v>
      </c>
      <c r="AI11603">
        <v>0</v>
      </c>
      <c r="AJ11603">
        <v>0</v>
      </c>
      <c r="AK11603">
        <v>0</v>
      </c>
      <c r="AL11603">
        <v>1</v>
      </c>
      <c r="AM11603">
        <v>1</v>
      </c>
    </row>
    <row r="11604" spans="1:39" x14ac:dyDescent="0.2">
      <c r="A11604" t="str">
        <f>"11600"</f>
        <v>11600</v>
      </c>
      <c r="B11604" t="str">
        <f t="shared" si="644"/>
        <v>1</v>
      </c>
      <c r="C11604" t="str">
        <f t="shared" si="645"/>
        <v>232</v>
      </c>
      <c r="D11604" t="str">
        <f>"49"</f>
        <v>49</v>
      </c>
      <c r="E11604" t="str">
        <f>"1-232-49"</f>
        <v>1-232-49</v>
      </c>
      <c r="F11604" t="s">
        <v>65</v>
      </c>
      <c r="G11604" t="s">
        <v>66</v>
      </c>
      <c r="H11604" t="s">
        <v>67</v>
      </c>
      <c r="S11604">
        <v>1</v>
      </c>
      <c r="T11604">
        <v>0</v>
      </c>
      <c r="U11604">
        <v>0</v>
      </c>
      <c r="V11604">
        <v>0</v>
      </c>
      <c r="W11604">
        <v>1</v>
      </c>
      <c r="X11604">
        <v>0</v>
      </c>
      <c r="Y11604">
        <v>1</v>
      </c>
      <c r="Z11604">
        <v>0</v>
      </c>
      <c r="AA11604">
        <v>0</v>
      </c>
      <c r="AB11604">
        <v>1</v>
      </c>
      <c r="AC11604">
        <v>0</v>
      </c>
      <c r="AD11604">
        <v>1</v>
      </c>
      <c r="AE11604">
        <v>1</v>
      </c>
      <c r="AF11604">
        <v>1</v>
      </c>
      <c r="AG11604">
        <v>1</v>
      </c>
      <c r="AH11604">
        <v>1</v>
      </c>
      <c r="AI11604">
        <v>1</v>
      </c>
      <c r="AJ11604">
        <v>1</v>
      </c>
      <c r="AK11604">
        <v>1</v>
      </c>
      <c r="AL11604">
        <v>1</v>
      </c>
      <c r="AM11604">
        <v>1</v>
      </c>
    </row>
    <row r="11605" spans="1:39" x14ac:dyDescent="0.2">
      <c r="A11605" t="str">
        <f>"11601"</f>
        <v>11601</v>
      </c>
      <c r="B11605" t="str">
        <f t="shared" si="644"/>
        <v>1</v>
      </c>
      <c r="C11605" t="str">
        <f t="shared" ref="C11605:C11636" si="646">"233"</f>
        <v>233</v>
      </c>
      <c r="D11605" t="str">
        <f>"38"</f>
        <v>38</v>
      </c>
      <c r="E11605" t="str">
        <f>"1-233-38"</f>
        <v>1-233-38</v>
      </c>
      <c r="F11605" t="s">
        <v>65</v>
      </c>
      <c r="G11605" t="s">
        <v>66</v>
      </c>
      <c r="H11605" t="s">
        <v>68</v>
      </c>
      <c r="I11605">
        <v>1</v>
      </c>
      <c r="J11605">
        <v>0</v>
      </c>
      <c r="K11605">
        <v>0</v>
      </c>
      <c r="L11605">
        <v>0</v>
      </c>
      <c r="M11605">
        <v>1</v>
      </c>
      <c r="N11605">
        <v>1</v>
      </c>
      <c r="O11605">
        <v>1</v>
      </c>
      <c r="P11605">
        <v>1</v>
      </c>
      <c r="Q11605">
        <v>1</v>
      </c>
      <c r="R11605">
        <v>1</v>
      </c>
    </row>
    <row r="11606" spans="1:39" x14ac:dyDescent="0.2">
      <c r="A11606" t="str">
        <f>"11602"</f>
        <v>11602</v>
      </c>
      <c r="B11606" t="str">
        <f t="shared" si="644"/>
        <v>1</v>
      </c>
      <c r="C11606" t="str">
        <f t="shared" si="646"/>
        <v>233</v>
      </c>
      <c r="D11606" t="str">
        <f>"37"</f>
        <v>37</v>
      </c>
      <c r="E11606" t="str">
        <f>"1-233-37"</f>
        <v>1-233-37</v>
      </c>
      <c r="F11606" t="s">
        <v>65</v>
      </c>
      <c r="G11606" t="s">
        <v>66</v>
      </c>
      <c r="H11606" t="s">
        <v>68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1</v>
      </c>
      <c r="O11606">
        <v>0</v>
      </c>
      <c r="P11606">
        <v>0</v>
      </c>
      <c r="Q11606">
        <v>1</v>
      </c>
      <c r="R11606">
        <v>0</v>
      </c>
    </row>
    <row r="11607" spans="1:39" x14ac:dyDescent="0.2">
      <c r="A11607" t="str">
        <f>"11603"</f>
        <v>11603</v>
      </c>
      <c r="B11607" t="str">
        <f t="shared" si="644"/>
        <v>1</v>
      </c>
      <c r="C11607" t="str">
        <f t="shared" si="646"/>
        <v>233</v>
      </c>
      <c r="D11607" t="str">
        <f>"24"</f>
        <v>24</v>
      </c>
      <c r="E11607" t="str">
        <f>"1-233-24"</f>
        <v>1-233-24</v>
      </c>
      <c r="F11607" t="s">
        <v>65</v>
      </c>
      <c r="G11607" t="s">
        <v>66</v>
      </c>
      <c r="H11607" t="s">
        <v>67</v>
      </c>
      <c r="S11607">
        <v>1</v>
      </c>
      <c r="T11607">
        <v>0</v>
      </c>
      <c r="U11607">
        <v>0</v>
      </c>
      <c r="V11607">
        <v>0</v>
      </c>
      <c r="W11607">
        <v>1</v>
      </c>
      <c r="X11607">
        <v>0</v>
      </c>
      <c r="Y11607">
        <v>1</v>
      </c>
      <c r="Z11607">
        <v>0</v>
      </c>
      <c r="AA11607">
        <v>1</v>
      </c>
      <c r="AB11607">
        <v>0</v>
      </c>
      <c r="AC11607">
        <v>0</v>
      </c>
      <c r="AD11607">
        <v>0</v>
      </c>
      <c r="AE11607">
        <v>0</v>
      </c>
      <c r="AF11607">
        <v>0</v>
      </c>
      <c r="AG11607">
        <v>0</v>
      </c>
      <c r="AH11607">
        <v>0</v>
      </c>
      <c r="AI11607">
        <v>0</v>
      </c>
      <c r="AJ11607">
        <v>0</v>
      </c>
      <c r="AK11607">
        <v>0</v>
      </c>
      <c r="AL11607">
        <v>0</v>
      </c>
      <c r="AM11607">
        <v>0</v>
      </c>
    </row>
    <row r="11608" spans="1:39" x14ac:dyDescent="0.2">
      <c r="A11608" t="str">
        <f>"11604"</f>
        <v>11604</v>
      </c>
      <c r="B11608" t="str">
        <f t="shared" si="644"/>
        <v>1</v>
      </c>
      <c r="C11608" t="str">
        <f t="shared" si="646"/>
        <v>233</v>
      </c>
      <c r="D11608" t="str">
        <f>"23"</f>
        <v>23</v>
      </c>
      <c r="E11608" t="str">
        <f>"1-233-23"</f>
        <v>1-233-23</v>
      </c>
      <c r="F11608" t="s">
        <v>65</v>
      </c>
      <c r="G11608" t="s">
        <v>66</v>
      </c>
      <c r="H11608" t="s">
        <v>67</v>
      </c>
      <c r="S11608">
        <v>0</v>
      </c>
      <c r="T11608">
        <v>1</v>
      </c>
      <c r="U11608">
        <v>0</v>
      </c>
      <c r="V11608">
        <v>0</v>
      </c>
      <c r="W11608">
        <v>1</v>
      </c>
      <c r="X11608">
        <v>0</v>
      </c>
      <c r="Y11608">
        <v>1</v>
      </c>
      <c r="Z11608">
        <v>0</v>
      </c>
      <c r="AA11608">
        <v>0</v>
      </c>
      <c r="AB11608">
        <v>1</v>
      </c>
      <c r="AC11608">
        <v>0</v>
      </c>
      <c r="AD11608">
        <v>0</v>
      </c>
      <c r="AE11608">
        <v>0</v>
      </c>
      <c r="AF11608">
        <v>0</v>
      </c>
      <c r="AG11608">
        <v>0</v>
      </c>
      <c r="AH11608">
        <v>0</v>
      </c>
      <c r="AI11608">
        <v>0</v>
      </c>
      <c r="AJ11608">
        <v>0</v>
      </c>
      <c r="AK11608">
        <v>0</v>
      </c>
      <c r="AL11608">
        <v>0</v>
      </c>
      <c r="AM11608">
        <v>0</v>
      </c>
    </row>
    <row r="11609" spans="1:39" x14ac:dyDescent="0.2">
      <c r="A11609" t="str">
        <f>"11605"</f>
        <v>11605</v>
      </c>
      <c r="B11609" t="str">
        <f t="shared" si="644"/>
        <v>1</v>
      </c>
      <c r="C11609" t="str">
        <f t="shared" si="646"/>
        <v>233</v>
      </c>
      <c r="D11609" t="str">
        <f>"19"</f>
        <v>19</v>
      </c>
      <c r="E11609" t="str">
        <f>"1-233-19"</f>
        <v>1-233-19</v>
      </c>
      <c r="F11609" t="s">
        <v>65</v>
      </c>
      <c r="G11609" t="s">
        <v>66</v>
      </c>
      <c r="H11609" t="s">
        <v>67</v>
      </c>
      <c r="S11609">
        <v>1</v>
      </c>
      <c r="T11609">
        <v>0</v>
      </c>
      <c r="U11609">
        <v>0</v>
      </c>
      <c r="V11609">
        <v>0</v>
      </c>
      <c r="W11609">
        <v>1</v>
      </c>
      <c r="X11609">
        <v>0</v>
      </c>
      <c r="Y11609">
        <v>1</v>
      </c>
      <c r="Z11609">
        <v>0</v>
      </c>
      <c r="AA11609">
        <v>0</v>
      </c>
      <c r="AB11609">
        <v>1</v>
      </c>
      <c r="AC11609">
        <v>0</v>
      </c>
      <c r="AD11609">
        <v>1</v>
      </c>
      <c r="AE11609">
        <v>1</v>
      </c>
      <c r="AF11609">
        <v>1</v>
      </c>
      <c r="AG11609">
        <v>1</v>
      </c>
      <c r="AH11609">
        <v>1</v>
      </c>
      <c r="AI11609">
        <v>1</v>
      </c>
      <c r="AJ11609">
        <v>1</v>
      </c>
      <c r="AK11609">
        <v>1</v>
      </c>
      <c r="AL11609">
        <v>1</v>
      </c>
      <c r="AM11609">
        <v>1</v>
      </c>
    </row>
    <row r="11610" spans="1:39" x14ac:dyDescent="0.2">
      <c r="A11610" t="str">
        <f>"11606"</f>
        <v>11606</v>
      </c>
      <c r="B11610" t="str">
        <f t="shared" si="644"/>
        <v>1</v>
      </c>
      <c r="C11610" t="str">
        <f t="shared" si="646"/>
        <v>233</v>
      </c>
      <c r="D11610" t="str">
        <f>"15"</f>
        <v>15</v>
      </c>
      <c r="E11610" t="str">
        <f>"1-233-15"</f>
        <v>1-233-15</v>
      </c>
      <c r="F11610" t="s">
        <v>65</v>
      </c>
      <c r="G11610" t="s">
        <v>66</v>
      </c>
      <c r="H11610" t="s">
        <v>67</v>
      </c>
      <c r="S11610">
        <v>0</v>
      </c>
      <c r="T11610">
        <v>1</v>
      </c>
      <c r="U11610">
        <v>0</v>
      </c>
      <c r="V11610">
        <v>0</v>
      </c>
      <c r="W11610">
        <v>1</v>
      </c>
      <c r="X11610">
        <v>0</v>
      </c>
      <c r="Y11610">
        <v>1</v>
      </c>
      <c r="Z11610">
        <v>0</v>
      </c>
      <c r="AA11610">
        <v>0</v>
      </c>
      <c r="AB11610">
        <v>0</v>
      </c>
      <c r="AC11610">
        <v>1</v>
      </c>
      <c r="AD11610">
        <v>1</v>
      </c>
      <c r="AE11610">
        <v>1</v>
      </c>
      <c r="AF11610">
        <v>1</v>
      </c>
      <c r="AG11610">
        <v>1</v>
      </c>
      <c r="AH11610">
        <v>1</v>
      </c>
      <c r="AI11610">
        <v>0</v>
      </c>
      <c r="AJ11610">
        <v>1</v>
      </c>
      <c r="AK11610">
        <v>1</v>
      </c>
      <c r="AL11610">
        <v>1</v>
      </c>
      <c r="AM11610">
        <v>1</v>
      </c>
    </row>
    <row r="11611" spans="1:39" x14ac:dyDescent="0.2">
      <c r="A11611" t="str">
        <f>"11607"</f>
        <v>11607</v>
      </c>
      <c r="B11611" t="str">
        <f t="shared" si="644"/>
        <v>1</v>
      </c>
      <c r="C11611" t="str">
        <f t="shared" si="646"/>
        <v>233</v>
      </c>
      <c r="D11611" t="str">
        <f>"1"</f>
        <v>1</v>
      </c>
      <c r="E11611" t="str">
        <f>"1-233-1"</f>
        <v>1-233-1</v>
      </c>
      <c r="F11611" t="s">
        <v>65</v>
      </c>
      <c r="G11611" t="s">
        <v>66</v>
      </c>
      <c r="H11611" t="s">
        <v>67</v>
      </c>
      <c r="S11611">
        <v>0</v>
      </c>
      <c r="T11611">
        <v>1</v>
      </c>
      <c r="U11611">
        <v>0</v>
      </c>
      <c r="V11611">
        <v>0</v>
      </c>
      <c r="W11611">
        <v>0</v>
      </c>
      <c r="X11611">
        <v>1</v>
      </c>
      <c r="Y11611">
        <v>1</v>
      </c>
      <c r="Z11611">
        <v>0</v>
      </c>
      <c r="AA11611">
        <v>0</v>
      </c>
      <c r="AB11611">
        <v>1</v>
      </c>
      <c r="AC11611">
        <v>0</v>
      </c>
      <c r="AD11611">
        <v>1</v>
      </c>
      <c r="AE11611">
        <v>1</v>
      </c>
      <c r="AF11611">
        <v>1</v>
      </c>
      <c r="AG11611">
        <v>1</v>
      </c>
      <c r="AH11611">
        <v>1</v>
      </c>
      <c r="AI11611">
        <v>1</v>
      </c>
      <c r="AJ11611">
        <v>1</v>
      </c>
      <c r="AK11611">
        <v>1</v>
      </c>
      <c r="AL11611">
        <v>1</v>
      </c>
      <c r="AM11611">
        <v>1</v>
      </c>
    </row>
    <row r="11612" spans="1:39" x14ac:dyDescent="0.2">
      <c r="A11612" t="str">
        <f>"11608"</f>
        <v>11608</v>
      </c>
      <c r="B11612" t="str">
        <f t="shared" si="644"/>
        <v>1</v>
      </c>
      <c r="C11612" t="str">
        <f t="shared" si="646"/>
        <v>233</v>
      </c>
      <c r="D11612" t="str">
        <f>"36"</f>
        <v>36</v>
      </c>
      <c r="E11612" t="str">
        <f>"1-233-36"</f>
        <v>1-233-36</v>
      </c>
      <c r="F11612" t="s">
        <v>65</v>
      </c>
      <c r="G11612" t="s">
        <v>66</v>
      </c>
      <c r="H11612" t="s">
        <v>68</v>
      </c>
      <c r="I11612">
        <v>1</v>
      </c>
      <c r="J11612">
        <v>0</v>
      </c>
      <c r="K11612">
        <v>0</v>
      </c>
      <c r="L11612">
        <v>1</v>
      </c>
      <c r="M11612">
        <v>1</v>
      </c>
      <c r="N11612">
        <v>1</v>
      </c>
      <c r="O11612">
        <v>1</v>
      </c>
      <c r="P11612">
        <v>0</v>
      </c>
      <c r="Q11612">
        <v>1</v>
      </c>
      <c r="R11612">
        <v>1</v>
      </c>
    </row>
    <row r="11613" spans="1:39" x14ac:dyDescent="0.2">
      <c r="A11613" t="str">
        <f>"11609"</f>
        <v>11609</v>
      </c>
      <c r="B11613" t="str">
        <f t="shared" si="644"/>
        <v>1</v>
      </c>
      <c r="C11613" t="str">
        <f t="shared" si="646"/>
        <v>233</v>
      </c>
      <c r="D11613" t="str">
        <f>"35"</f>
        <v>35</v>
      </c>
      <c r="E11613" t="str">
        <f>"1-233-35"</f>
        <v>1-233-35</v>
      </c>
      <c r="F11613" t="s">
        <v>65</v>
      </c>
      <c r="G11613" t="s">
        <v>66</v>
      </c>
      <c r="H11613" t="s">
        <v>68</v>
      </c>
      <c r="I11613">
        <v>1</v>
      </c>
      <c r="J11613">
        <v>1</v>
      </c>
      <c r="K11613">
        <v>0</v>
      </c>
      <c r="L11613">
        <v>0</v>
      </c>
      <c r="M11613">
        <v>1</v>
      </c>
      <c r="N11613">
        <v>1</v>
      </c>
      <c r="O11613">
        <v>1</v>
      </c>
      <c r="P11613">
        <v>1</v>
      </c>
      <c r="Q11613">
        <v>1</v>
      </c>
      <c r="R11613">
        <v>1</v>
      </c>
    </row>
    <row r="11614" spans="1:39" x14ac:dyDescent="0.2">
      <c r="A11614" t="str">
        <f>"11610"</f>
        <v>11610</v>
      </c>
      <c r="B11614" t="str">
        <f t="shared" si="644"/>
        <v>1</v>
      </c>
      <c r="C11614" t="str">
        <f t="shared" si="646"/>
        <v>233</v>
      </c>
      <c r="D11614" t="str">
        <f>"27"</f>
        <v>27</v>
      </c>
      <c r="E11614" t="str">
        <f>"1-233-27"</f>
        <v>1-233-27</v>
      </c>
      <c r="F11614" t="s">
        <v>65</v>
      </c>
      <c r="G11614" t="s">
        <v>66</v>
      </c>
      <c r="H11614" t="s">
        <v>67</v>
      </c>
      <c r="S11614">
        <v>1</v>
      </c>
      <c r="T11614">
        <v>0</v>
      </c>
      <c r="U11614">
        <v>0</v>
      </c>
      <c r="V11614">
        <v>0</v>
      </c>
      <c r="W11614">
        <v>1</v>
      </c>
      <c r="X11614">
        <v>0</v>
      </c>
      <c r="Y11614">
        <v>0</v>
      </c>
      <c r="Z11614">
        <v>1</v>
      </c>
      <c r="AA11614">
        <v>1</v>
      </c>
      <c r="AB11614">
        <v>0</v>
      </c>
      <c r="AC11614">
        <v>0</v>
      </c>
      <c r="AD11614">
        <v>1</v>
      </c>
      <c r="AE11614">
        <v>1</v>
      </c>
      <c r="AF11614">
        <v>1</v>
      </c>
      <c r="AG11614">
        <v>1</v>
      </c>
      <c r="AH11614">
        <v>1</v>
      </c>
      <c r="AI11614">
        <v>1</v>
      </c>
      <c r="AJ11614">
        <v>1</v>
      </c>
      <c r="AK11614">
        <v>1</v>
      </c>
      <c r="AL11614">
        <v>1</v>
      </c>
      <c r="AM11614">
        <v>1</v>
      </c>
    </row>
    <row r="11615" spans="1:39" x14ac:dyDescent="0.2">
      <c r="A11615" t="str">
        <f>"11611"</f>
        <v>11611</v>
      </c>
      <c r="B11615" t="str">
        <f t="shared" si="644"/>
        <v>1</v>
      </c>
      <c r="C11615" t="str">
        <f t="shared" si="646"/>
        <v>233</v>
      </c>
      <c r="D11615" t="str">
        <f>"16"</f>
        <v>16</v>
      </c>
      <c r="E11615" t="str">
        <f>"1-233-16"</f>
        <v>1-233-16</v>
      </c>
      <c r="F11615" t="s">
        <v>65</v>
      </c>
      <c r="G11615" t="s">
        <v>66</v>
      </c>
      <c r="H11615" t="s">
        <v>67</v>
      </c>
      <c r="S11615">
        <v>0</v>
      </c>
      <c r="T11615">
        <v>1</v>
      </c>
      <c r="U11615">
        <v>0</v>
      </c>
      <c r="V11615">
        <v>0</v>
      </c>
      <c r="W11615">
        <v>1</v>
      </c>
      <c r="X11615">
        <v>0</v>
      </c>
      <c r="Y11615">
        <v>1</v>
      </c>
      <c r="Z11615">
        <v>0</v>
      </c>
      <c r="AA11615">
        <v>1</v>
      </c>
      <c r="AB11615">
        <v>0</v>
      </c>
      <c r="AC11615">
        <v>0</v>
      </c>
      <c r="AD11615">
        <v>1</v>
      </c>
      <c r="AE11615">
        <v>1</v>
      </c>
      <c r="AF11615">
        <v>1</v>
      </c>
      <c r="AG11615">
        <v>1</v>
      </c>
      <c r="AH11615">
        <v>1</v>
      </c>
      <c r="AI11615">
        <v>1</v>
      </c>
      <c r="AJ11615">
        <v>1</v>
      </c>
      <c r="AK11615">
        <v>1</v>
      </c>
      <c r="AL11615">
        <v>1</v>
      </c>
      <c r="AM11615">
        <v>1</v>
      </c>
    </row>
    <row r="11616" spans="1:39" x14ac:dyDescent="0.2">
      <c r="A11616" t="str">
        <f>"11612"</f>
        <v>11612</v>
      </c>
      <c r="B11616" t="str">
        <f t="shared" si="644"/>
        <v>1</v>
      </c>
      <c r="C11616" t="str">
        <f t="shared" si="646"/>
        <v>233</v>
      </c>
      <c r="D11616" t="str">
        <f>"4"</f>
        <v>4</v>
      </c>
      <c r="E11616" t="str">
        <f>"1-233-4"</f>
        <v>1-233-4</v>
      </c>
      <c r="F11616" t="s">
        <v>65</v>
      </c>
      <c r="G11616" t="s">
        <v>66</v>
      </c>
      <c r="H11616" t="s">
        <v>67</v>
      </c>
      <c r="S11616">
        <v>1</v>
      </c>
      <c r="T11616">
        <v>0</v>
      </c>
      <c r="U11616">
        <v>0</v>
      </c>
      <c r="V11616">
        <v>0</v>
      </c>
      <c r="W11616">
        <v>1</v>
      </c>
      <c r="X11616">
        <v>0</v>
      </c>
      <c r="Y11616">
        <v>1</v>
      </c>
      <c r="Z11616">
        <v>0</v>
      </c>
      <c r="AA11616">
        <v>0</v>
      </c>
      <c r="AB11616">
        <v>1</v>
      </c>
      <c r="AC11616">
        <v>0</v>
      </c>
      <c r="AD11616">
        <v>1</v>
      </c>
      <c r="AE11616">
        <v>1</v>
      </c>
      <c r="AF11616">
        <v>1</v>
      </c>
      <c r="AG11616">
        <v>0</v>
      </c>
      <c r="AH11616">
        <v>1</v>
      </c>
      <c r="AI11616">
        <v>1</v>
      </c>
      <c r="AJ11616">
        <v>1</v>
      </c>
      <c r="AK11616">
        <v>1</v>
      </c>
      <c r="AL11616">
        <v>1</v>
      </c>
      <c r="AM11616">
        <v>1</v>
      </c>
    </row>
    <row r="11617" spans="1:39" x14ac:dyDescent="0.2">
      <c r="A11617" t="str">
        <f>"11613"</f>
        <v>11613</v>
      </c>
      <c r="B11617" t="str">
        <f t="shared" si="644"/>
        <v>1</v>
      </c>
      <c r="C11617" t="str">
        <f t="shared" si="646"/>
        <v>233</v>
      </c>
      <c r="D11617" t="str">
        <f>"44"</f>
        <v>44</v>
      </c>
      <c r="E11617" t="str">
        <f>"1-233-44"</f>
        <v>1-233-44</v>
      </c>
      <c r="F11617" t="s">
        <v>65</v>
      </c>
      <c r="G11617" t="s">
        <v>66</v>
      </c>
      <c r="H11617" t="s">
        <v>67</v>
      </c>
      <c r="S11617">
        <v>0</v>
      </c>
      <c r="T11617">
        <v>1</v>
      </c>
      <c r="U11617">
        <v>0</v>
      </c>
      <c r="V11617">
        <v>0</v>
      </c>
      <c r="W11617">
        <v>1</v>
      </c>
      <c r="X11617">
        <v>0</v>
      </c>
      <c r="Y11617">
        <v>0</v>
      </c>
      <c r="Z11617">
        <v>1</v>
      </c>
      <c r="AA11617">
        <v>0</v>
      </c>
      <c r="AB11617">
        <v>1</v>
      </c>
      <c r="AC11617">
        <v>0</v>
      </c>
      <c r="AD11617">
        <v>1</v>
      </c>
      <c r="AE11617">
        <v>1</v>
      </c>
      <c r="AF11617">
        <v>1</v>
      </c>
      <c r="AG11617">
        <v>1</v>
      </c>
      <c r="AH11617">
        <v>1</v>
      </c>
      <c r="AI11617">
        <v>1</v>
      </c>
      <c r="AJ11617">
        <v>1</v>
      </c>
      <c r="AK11617">
        <v>1</v>
      </c>
      <c r="AL11617">
        <v>1</v>
      </c>
      <c r="AM11617">
        <v>0</v>
      </c>
    </row>
    <row r="11618" spans="1:39" x14ac:dyDescent="0.2">
      <c r="A11618" t="str">
        <f>"11614"</f>
        <v>11614</v>
      </c>
      <c r="B11618" t="str">
        <f t="shared" si="644"/>
        <v>1</v>
      </c>
      <c r="C11618" t="str">
        <f t="shared" si="646"/>
        <v>233</v>
      </c>
      <c r="D11618" t="str">
        <f>"43"</f>
        <v>43</v>
      </c>
      <c r="E11618" t="str">
        <f>"1-233-43"</f>
        <v>1-233-43</v>
      </c>
      <c r="F11618" t="s">
        <v>65</v>
      </c>
      <c r="G11618" t="s">
        <v>66</v>
      </c>
      <c r="H11618" t="s">
        <v>67</v>
      </c>
      <c r="S11618">
        <v>1</v>
      </c>
      <c r="T11618">
        <v>0</v>
      </c>
      <c r="U11618">
        <v>0</v>
      </c>
      <c r="V11618">
        <v>0</v>
      </c>
      <c r="W11618">
        <v>1</v>
      </c>
      <c r="X11618">
        <v>0</v>
      </c>
      <c r="Y11618">
        <v>1</v>
      </c>
      <c r="Z11618">
        <v>0</v>
      </c>
      <c r="AA11618">
        <v>0</v>
      </c>
      <c r="AB11618">
        <v>0</v>
      </c>
      <c r="AC11618">
        <v>1</v>
      </c>
      <c r="AD11618">
        <v>1</v>
      </c>
      <c r="AE11618">
        <v>1</v>
      </c>
      <c r="AF11618">
        <v>1</v>
      </c>
      <c r="AG11618">
        <v>1</v>
      </c>
      <c r="AH11618">
        <v>1</v>
      </c>
      <c r="AI11618">
        <v>1</v>
      </c>
      <c r="AJ11618">
        <v>1</v>
      </c>
      <c r="AK11618">
        <v>1</v>
      </c>
      <c r="AL11618">
        <v>1</v>
      </c>
      <c r="AM11618">
        <v>1</v>
      </c>
    </row>
    <row r="11619" spans="1:39" x14ac:dyDescent="0.2">
      <c r="A11619" t="str">
        <f>"11615"</f>
        <v>11615</v>
      </c>
      <c r="B11619" t="str">
        <f t="shared" si="644"/>
        <v>1</v>
      </c>
      <c r="C11619" t="str">
        <f t="shared" si="646"/>
        <v>233</v>
      </c>
      <c r="D11619" t="str">
        <f>"32"</f>
        <v>32</v>
      </c>
      <c r="E11619" t="str">
        <f>"1-233-32"</f>
        <v>1-233-32</v>
      </c>
      <c r="F11619" t="s">
        <v>65</v>
      </c>
      <c r="G11619" t="s">
        <v>66</v>
      </c>
      <c r="H11619" t="s">
        <v>67</v>
      </c>
      <c r="S11619">
        <v>1</v>
      </c>
      <c r="T11619">
        <v>0</v>
      </c>
      <c r="U11619">
        <v>0</v>
      </c>
      <c r="V11619">
        <v>0</v>
      </c>
      <c r="W11619">
        <v>1</v>
      </c>
      <c r="X11619">
        <v>0</v>
      </c>
      <c r="Y11619">
        <v>1</v>
      </c>
      <c r="Z11619">
        <v>0</v>
      </c>
      <c r="AA11619">
        <v>1</v>
      </c>
      <c r="AB11619">
        <v>0</v>
      </c>
      <c r="AC11619">
        <v>0</v>
      </c>
      <c r="AD11619">
        <v>1</v>
      </c>
      <c r="AE11619">
        <v>1</v>
      </c>
      <c r="AF11619">
        <v>1</v>
      </c>
      <c r="AG11619">
        <v>1</v>
      </c>
      <c r="AH11619">
        <v>1</v>
      </c>
      <c r="AI11619">
        <v>1</v>
      </c>
      <c r="AJ11619">
        <v>1</v>
      </c>
      <c r="AK11619">
        <v>1</v>
      </c>
      <c r="AL11619">
        <v>1</v>
      </c>
      <c r="AM11619">
        <v>1</v>
      </c>
    </row>
    <row r="11620" spans="1:39" x14ac:dyDescent="0.2">
      <c r="A11620" t="str">
        <f>"11616"</f>
        <v>11616</v>
      </c>
      <c r="B11620" t="str">
        <f t="shared" si="644"/>
        <v>1</v>
      </c>
      <c r="C11620" t="str">
        <f t="shared" si="646"/>
        <v>233</v>
      </c>
      <c r="D11620" t="str">
        <f>"17"</f>
        <v>17</v>
      </c>
      <c r="E11620" t="str">
        <f>"1-233-17"</f>
        <v>1-233-17</v>
      </c>
      <c r="F11620" t="s">
        <v>65</v>
      </c>
      <c r="G11620" t="s">
        <v>66</v>
      </c>
      <c r="H11620" t="s">
        <v>67</v>
      </c>
      <c r="S11620">
        <v>0</v>
      </c>
      <c r="T11620">
        <v>1</v>
      </c>
      <c r="U11620">
        <v>0</v>
      </c>
      <c r="V11620">
        <v>0</v>
      </c>
      <c r="W11620">
        <v>1</v>
      </c>
      <c r="X11620">
        <v>0</v>
      </c>
      <c r="Y11620">
        <v>0</v>
      </c>
      <c r="Z11620">
        <v>1</v>
      </c>
      <c r="AA11620">
        <v>0</v>
      </c>
      <c r="AB11620">
        <v>0</v>
      </c>
      <c r="AC11620">
        <v>1</v>
      </c>
      <c r="AD11620">
        <v>1</v>
      </c>
      <c r="AE11620">
        <v>1</v>
      </c>
      <c r="AF11620">
        <v>1</v>
      </c>
      <c r="AG11620">
        <v>1</v>
      </c>
      <c r="AH11620">
        <v>1</v>
      </c>
      <c r="AI11620">
        <v>1</v>
      </c>
      <c r="AJ11620">
        <v>1</v>
      </c>
      <c r="AK11620">
        <v>1</v>
      </c>
      <c r="AL11620">
        <v>1</v>
      </c>
      <c r="AM11620">
        <v>1</v>
      </c>
    </row>
    <row r="11621" spans="1:39" x14ac:dyDescent="0.2">
      <c r="A11621" t="str">
        <f>"11617"</f>
        <v>11617</v>
      </c>
      <c r="B11621" t="str">
        <f t="shared" si="644"/>
        <v>1</v>
      </c>
      <c r="C11621" t="str">
        <f t="shared" si="646"/>
        <v>233</v>
      </c>
      <c r="D11621" t="str">
        <f>"7"</f>
        <v>7</v>
      </c>
      <c r="E11621" t="str">
        <f>"1-233-7"</f>
        <v>1-233-7</v>
      </c>
      <c r="F11621" t="s">
        <v>65</v>
      </c>
      <c r="G11621" t="s">
        <v>66</v>
      </c>
      <c r="H11621" t="s">
        <v>67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1</v>
      </c>
      <c r="Y11621">
        <v>1</v>
      </c>
      <c r="Z11621">
        <v>0</v>
      </c>
      <c r="AA11621">
        <v>0</v>
      </c>
      <c r="AB11621">
        <v>1</v>
      </c>
      <c r="AC11621">
        <v>0</v>
      </c>
      <c r="AD11621">
        <v>1</v>
      </c>
      <c r="AE11621">
        <v>1</v>
      </c>
      <c r="AF11621">
        <v>1</v>
      </c>
      <c r="AG11621">
        <v>1</v>
      </c>
      <c r="AH11621">
        <v>1</v>
      </c>
      <c r="AI11621">
        <v>1</v>
      </c>
      <c r="AJ11621">
        <v>1</v>
      </c>
      <c r="AK11621">
        <v>1</v>
      </c>
      <c r="AL11621">
        <v>1</v>
      </c>
      <c r="AM11621">
        <v>1</v>
      </c>
    </row>
    <row r="11622" spans="1:39" x14ac:dyDescent="0.2">
      <c r="A11622" t="str">
        <f>"11618"</f>
        <v>11618</v>
      </c>
      <c r="B11622" t="str">
        <f t="shared" si="644"/>
        <v>1</v>
      </c>
      <c r="C11622" t="str">
        <f t="shared" si="646"/>
        <v>233</v>
      </c>
      <c r="D11622" t="str">
        <f>"41"</f>
        <v>41</v>
      </c>
      <c r="E11622" t="str">
        <f>"1-233-41"</f>
        <v>1-233-41</v>
      </c>
      <c r="F11622" t="s">
        <v>65</v>
      </c>
      <c r="G11622" t="s">
        <v>66</v>
      </c>
      <c r="H11622" t="s">
        <v>67</v>
      </c>
      <c r="S11622">
        <v>0</v>
      </c>
      <c r="T11622">
        <v>1</v>
      </c>
      <c r="U11622">
        <v>0</v>
      </c>
      <c r="V11622">
        <v>0</v>
      </c>
      <c r="W11622">
        <v>0</v>
      </c>
      <c r="X11622">
        <v>1</v>
      </c>
      <c r="Y11622">
        <v>0</v>
      </c>
      <c r="Z11622">
        <v>1</v>
      </c>
      <c r="AA11622">
        <v>0</v>
      </c>
      <c r="AB11622">
        <v>1</v>
      </c>
      <c r="AC11622">
        <v>0</v>
      </c>
      <c r="AD11622">
        <v>1</v>
      </c>
      <c r="AE11622">
        <v>1</v>
      </c>
      <c r="AF11622">
        <v>1</v>
      </c>
      <c r="AG11622">
        <v>1</v>
      </c>
      <c r="AH11622">
        <v>1</v>
      </c>
      <c r="AI11622">
        <v>1</v>
      </c>
      <c r="AJ11622">
        <v>1</v>
      </c>
      <c r="AK11622">
        <v>1</v>
      </c>
      <c r="AL11622">
        <v>1</v>
      </c>
      <c r="AM11622">
        <v>1</v>
      </c>
    </row>
    <row r="11623" spans="1:39" x14ac:dyDescent="0.2">
      <c r="A11623" t="str">
        <f>"11619"</f>
        <v>11619</v>
      </c>
      <c r="B11623" t="str">
        <f t="shared" si="644"/>
        <v>1</v>
      </c>
      <c r="C11623" t="str">
        <f t="shared" si="646"/>
        <v>233</v>
      </c>
      <c r="D11623" t="str">
        <f>"40"</f>
        <v>40</v>
      </c>
      <c r="E11623" t="str">
        <f>"1-233-40"</f>
        <v>1-233-40</v>
      </c>
      <c r="F11623" t="s">
        <v>65</v>
      </c>
      <c r="G11623" t="s">
        <v>66</v>
      </c>
      <c r="H11623" t="s">
        <v>68</v>
      </c>
      <c r="I11623">
        <v>1</v>
      </c>
      <c r="J11623">
        <v>1</v>
      </c>
      <c r="K11623">
        <v>0</v>
      </c>
      <c r="L11623">
        <v>0</v>
      </c>
      <c r="M11623">
        <v>1</v>
      </c>
      <c r="N11623">
        <v>1</v>
      </c>
      <c r="O11623">
        <v>1</v>
      </c>
      <c r="P11623">
        <v>1</v>
      </c>
      <c r="Q11623">
        <v>1</v>
      </c>
      <c r="R11623">
        <v>1</v>
      </c>
    </row>
    <row r="11624" spans="1:39" x14ac:dyDescent="0.2">
      <c r="A11624" t="str">
        <f>"11620"</f>
        <v>11620</v>
      </c>
      <c r="B11624" t="str">
        <f t="shared" si="644"/>
        <v>1</v>
      </c>
      <c r="C11624" t="str">
        <f t="shared" si="646"/>
        <v>233</v>
      </c>
      <c r="D11624" t="str">
        <f>"34"</f>
        <v>34</v>
      </c>
      <c r="E11624" t="str">
        <f>"1-233-34"</f>
        <v>1-233-34</v>
      </c>
      <c r="F11624" t="s">
        <v>65</v>
      </c>
      <c r="G11624" t="s">
        <v>66</v>
      </c>
      <c r="H11624" t="s">
        <v>68</v>
      </c>
      <c r="I11624">
        <v>1</v>
      </c>
      <c r="J11624">
        <v>1</v>
      </c>
      <c r="K11624">
        <v>0</v>
      </c>
      <c r="L11624">
        <v>0</v>
      </c>
      <c r="M11624">
        <v>1</v>
      </c>
      <c r="N11624">
        <v>1</v>
      </c>
      <c r="O11624">
        <v>1</v>
      </c>
      <c r="P11624">
        <v>1</v>
      </c>
      <c r="Q11624">
        <v>1</v>
      </c>
      <c r="R11624">
        <v>1</v>
      </c>
    </row>
    <row r="11625" spans="1:39" x14ac:dyDescent="0.2">
      <c r="A11625" t="str">
        <f>"11621"</f>
        <v>11621</v>
      </c>
      <c r="B11625" t="str">
        <f t="shared" si="644"/>
        <v>1</v>
      </c>
      <c r="C11625" t="str">
        <f t="shared" si="646"/>
        <v>233</v>
      </c>
      <c r="D11625" t="str">
        <f>"18"</f>
        <v>18</v>
      </c>
      <c r="E11625" t="str">
        <f>"1-233-18"</f>
        <v>1-233-18</v>
      </c>
      <c r="F11625" t="s">
        <v>65</v>
      </c>
      <c r="G11625" t="s">
        <v>66</v>
      </c>
      <c r="H11625" t="s">
        <v>67</v>
      </c>
      <c r="S11625">
        <v>1</v>
      </c>
      <c r="T11625">
        <v>0</v>
      </c>
      <c r="U11625">
        <v>0</v>
      </c>
      <c r="V11625">
        <v>0</v>
      </c>
      <c r="W11625">
        <v>1</v>
      </c>
      <c r="X11625">
        <v>0</v>
      </c>
      <c r="Y11625">
        <v>1</v>
      </c>
      <c r="Z11625">
        <v>0</v>
      </c>
      <c r="AA11625">
        <v>0</v>
      </c>
      <c r="AB11625">
        <v>0</v>
      </c>
      <c r="AC11625">
        <v>0</v>
      </c>
      <c r="AD11625">
        <v>0</v>
      </c>
      <c r="AE11625">
        <v>0</v>
      </c>
      <c r="AF11625">
        <v>0</v>
      </c>
      <c r="AG11625">
        <v>0</v>
      </c>
      <c r="AH11625">
        <v>0</v>
      </c>
      <c r="AI11625">
        <v>0</v>
      </c>
      <c r="AJ11625">
        <v>0</v>
      </c>
      <c r="AK11625">
        <v>0</v>
      </c>
      <c r="AL11625">
        <v>0</v>
      </c>
      <c r="AM11625">
        <v>0</v>
      </c>
    </row>
    <row r="11626" spans="1:39" x14ac:dyDescent="0.2">
      <c r="A11626" t="str">
        <f>"11622"</f>
        <v>11622</v>
      </c>
      <c r="B11626" t="str">
        <f t="shared" si="644"/>
        <v>1</v>
      </c>
      <c r="C11626" t="str">
        <f t="shared" si="646"/>
        <v>233</v>
      </c>
      <c r="D11626" t="str">
        <f>"14"</f>
        <v>14</v>
      </c>
      <c r="E11626" t="str">
        <f>"1-233-14"</f>
        <v>1-233-14</v>
      </c>
      <c r="F11626" t="s">
        <v>65</v>
      </c>
      <c r="G11626" t="s">
        <v>66</v>
      </c>
      <c r="H11626" t="s">
        <v>67</v>
      </c>
      <c r="S11626">
        <v>1</v>
      </c>
      <c r="T11626">
        <v>0</v>
      </c>
      <c r="U11626">
        <v>0</v>
      </c>
      <c r="V11626">
        <v>0</v>
      </c>
      <c r="W11626">
        <v>1</v>
      </c>
      <c r="X11626">
        <v>0</v>
      </c>
      <c r="Y11626">
        <v>1</v>
      </c>
      <c r="Z11626">
        <v>0</v>
      </c>
      <c r="AA11626">
        <v>1</v>
      </c>
      <c r="AB11626">
        <v>0</v>
      </c>
      <c r="AC11626">
        <v>0</v>
      </c>
      <c r="AD11626">
        <v>1</v>
      </c>
      <c r="AE11626">
        <v>1</v>
      </c>
      <c r="AF11626">
        <v>1</v>
      </c>
      <c r="AG11626">
        <v>1</v>
      </c>
      <c r="AH11626">
        <v>1</v>
      </c>
      <c r="AI11626">
        <v>1</v>
      </c>
      <c r="AJ11626">
        <v>1</v>
      </c>
      <c r="AK11626">
        <v>1</v>
      </c>
      <c r="AL11626">
        <v>1</v>
      </c>
      <c r="AM11626">
        <v>1</v>
      </c>
    </row>
    <row r="11627" spans="1:39" x14ac:dyDescent="0.2">
      <c r="A11627" t="str">
        <f>"11623"</f>
        <v>11623</v>
      </c>
      <c r="B11627" t="str">
        <f t="shared" si="644"/>
        <v>1</v>
      </c>
      <c r="C11627" t="str">
        <f t="shared" si="646"/>
        <v>233</v>
      </c>
      <c r="D11627" t="str">
        <f>"42"</f>
        <v>42</v>
      </c>
      <c r="E11627" t="str">
        <f>"1-233-42"</f>
        <v>1-233-42</v>
      </c>
      <c r="F11627" t="s">
        <v>65</v>
      </c>
      <c r="G11627" t="s">
        <v>66</v>
      </c>
      <c r="H11627" t="s">
        <v>67</v>
      </c>
      <c r="S11627">
        <v>0</v>
      </c>
      <c r="T11627">
        <v>0</v>
      </c>
      <c r="U11627">
        <v>0</v>
      </c>
      <c r="V11627">
        <v>0</v>
      </c>
      <c r="W11627">
        <v>1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1</v>
      </c>
      <c r="AH11627">
        <v>0</v>
      </c>
      <c r="AI11627">
        <v>1</v>
      </c>
      <c r="AJ11627">
        <v>0</v>
      </c>
      <c r="AK11627">
        <v>0</v>
      </c>
      <c r="AL11627">
        <v>1</v>
      </c>
      <c r="AM11627">
        <v>0</v>
      </c>
    </row>
    <row r="11628" spans="1:39" x14ac:dyDescent="0.2">
      <c r="A11628" t="str">
        <f>"11624"</f>
        <v>11624</v>
      </c>
      <c r="B11628" t="str">
        <f t="shared" si="644"/>
        <v>1</v>
      </c>
      <c r="C11628" t="str">
        <f t="shared" si="646"/>
        <v>233</v>
      </c>
      <c r="D11628" t="str">
        <f>"20"</f>
        <v>20</v>
      </c>
      <c r="E11628" t="str">
        <f>"1-233-20"</f>
        <v>1-233-20</v>
      </c>
      <c r="F11628" t="s">
        <v>65</v>
      </c>
      <c r="G11628" t="s">
        <v>66</v>
      </c>
      <c r="H11628" t="s">
        <v>67</v>
      </c>
      <c r="S11628">
        <v>1</v>
      </c>
      <c r="T11628">
        <v>0</v>
      </c>
      <c r="U11628">
        <v>0</v>
      </c>
      <c r="V11628">
        <v>0</v>
      </c>
      <c r="W11628">
        <v>1</v>
      </c>
      <c r="X11628">
        <v>0</v>
      </c>
      <c r="Y11628">
        <v>1</v>
      </c>
      <c r="Z11628">
        <v>0</v>
      </c>
      <c r="AA11628">
        <v>1</v>
      </c>
      <c r="AB11628">
        <v>0</v>
      </c>
      <c r="AC11628">
        <v>0</v>
      </c>
      <c r="AD11628">
        <v>0</v>
      </c>
      <c r="AE11628">
        <v>0</v>
      </c>
      <c r="AF11628">
        <v>0</v>
      </c>
      <c r="AG11628">
        <v>0</v>
      </c>
      <c r="AH11628">
        <v>0</v>
      </c>
      <c r="AI11628">
        <v>0</v>
      </c>
      <c r="AJ11628">
        <v>0</v>
      </c>
      <c r="AK11628">
        <v>0</v>
      </c>
      <c r="AL11628">
        <v>0</v>
      </c>
      <c r="AM11628">
        <v>0</v>
      </c>
    </row>
    <row r="11629" spans="1:39" x14ac:dyDescent="0.2">
      <c r="A11629" t="str">
        <f>"11625"</f>
        <v>11625</v>
      </c>
      <c r="B11629" t="str">
        <f t="shared" si="644"/>
        <v>1</v>
      </c>
      <c r="C11629" t="str">
        <f t="shared" si="646"/>
        <v>233</v>
      </c>
      <c r="D11629" t="str">
        <f>"11"</f>
        <v>11</v>
      </c>
      <c r="E11629" t="str">
        <f>"1-233-11"</f>
        <v>1-233-11</v>
      </c>
      <c r="F11629" t="s">
        <v>65</v>
      </c>
      <c r="G11629" t="s">
        <v>66</v>
      </c>
      <c r="H11629" t="s">
        <v>68</v>
      </c>
      <c r="I11629">
        <v>1</v>
      </c>
      <c r="J11629">
        <v>0</v>
      </c>
      <c r="K11629">
        <v>1</v>
      </c>
      <c r="L11629">
        <v>0</v>
      </c>
      <c r="M11629">
        <v>1</v>
      </c>
      <c r="N11629">
        <v>1</v>
      </c>
      <c r="O11629">
        <v>1</v>
      </c>
      <c r="P11629">
        <v>1</v>
      </c>
      <c r="Q11629">
        <v>1</v>
      </c>
      <c r="R11629">
        <v>1</v>
      </c>
    </row>
    <row r="11630" spans="1:39" x14ac:dyDescent="0.2">
      <c r="A11630" t="str">
        <f>"11626"</f>
        <v>11626</v>
      </c>
      <c r="B11630" t="str">
        <f t="shared" si="644"/>
        <v>1</v>
      </c>
      <c r="C11630" t="str">
        <f t="shared" si="646"/>
        <v>233</v>
      </c>
      <c r="D11630" t="str">
        <f>"39"</f>
        <v>39</v>
      </c>
      <c r="E11630" t="str">
        <f>"1-233-39"</f>
        <v>1-233-39</v>
      </c>
      <c r="F11630" t="s">
        <v>65</v>
      </c>
      <c r="G11630" t="s">
        <v>66</v>
      </c>
      <c r="H11630" t="s">
        <v>68</v>
      </c>
      <c r="I11630">
        <v>1</v>
      </c>
      <c r="J11630">
        <v>0</v>
      </c>
      <c r="K11630">
        <v>1</v>
      </c>
      <c r="L11630">
        <v>0</v>
      </c>
      <c r="M11630">
        <v>1</v>
      </c>
      <c r="N11630">
        <v>1</v>
      </c>
      <c r="O11630">
        <v>0</v>
      </c>
      <c r="P11630">
        <v>0</v>
      </c>
      <c r="Q11630">
        <v>0</v>
      </c>
      <c r="R11630">
        <v>0</v>
      </c>
    </row>
    <row r="11631" spans="1:39" x14ac:dyDescent="0.2">
      <c r="A11631" t="str">
        <f>"11627"</f>
        <v>11627</v>
      </c>
      <c r="B11631" t="str">
        <f t="shared" si="644"/>
        <v>1</v>
      </c>
      <c r="C11631" t="str">
        <f t="shared" si="646"/>
        <v>233</v>
      </c>
      <c r="D11631" t="str">
        <f>"21"</f>
        <v>21</v>
      </c>
      <c r="E11631" t="str">
        <f>"1-233-21"</f>
        <v>1-233-21</v>
      </c>
      <c r="F11631" t="s">
        <v>65</v>
      </c>
      <c r="G11631" t="s">
        <v>66</v>
      </c>
      <c r="H11631" t="s">
        <v>67</v>
      </c>
      <c r="S11631">
        <v>1</v>
      </c>
      <c r="T11631">
        <v>0</v>
      </c>
      <c r="U11631">
        <v>0</v>
      </c>
      <c r="V11631">
        <v>0</v>
      </c>
      <c r="W11631">
        <v>1</v>
      </c>
      <c r="X11631">
        <v>0</v>
      </c>
      <c r="Y11631">
        <v>1</v>
      </c>
      <c r="Z11631">
        <v>0</v>
      </c>
      <c r="AA11631">
        <v>1</v>
      </c>
      <c r="AB11631">
        <v>0</v>
      </c>
      <c r="AC11631">
        <v>0</v>
      </c>
      <c r="AD11631">
        <v>1</v>
      </c>
      <c r="AE11631">
        <v>1</v>
      </c>
      <c r="AF11631">
        <v>1</v>
      </c>
      <c r="AG11631">
        <v>1</v>
      </c>
      <c r="AH11631">
        <v>1</v>
      </c>
      <c r="AI11631">
        <v>1</v>
      </c>
      <c r="AJ11631">
        <v>1</v>
      </c>
      <c r="AK11631">
        <v>1</v>
      </c>
      <c r="AL11631">
        <v>1</v>
      </c>
      <c r="AM11631">
        <v>1</v>
      </c>
    </row>
    <row r="11632" spans="1:39" x14ac:dyDescent="0.2">
      <c r="A11632" t="str">
        <f>"11628"</f>
        <v>11628</v>
      </c>
      <c r="B11632" t="str">
        <f t="shared" si="644"/>
        <v>1</v>
      </c>
      <c r="C11632" t="str">
        <f t="shared" si="646"/>
        <v>233</v>
      </c>
      <c r="D11632" t="str">
        <f>"12"</f>
        <v>12</v>
      </c>
      <c r="E11632" t="str">
        <f>"1-233-12"</f>
        <v>1-233-12</v>
      </c>
      <c r="F11632" t="s">
        <v>65</v>
      </c>
      <c r="G11632" t="s">
        <v>66</v>
      </c>
      <c r="H11632" t="s">
        <v>68</v>
      </c>
      <c r="I11632">
        <v>1</v>
      </c>
      <c r="J11632">
        <v>1</v>
      </c>
      <c r="K11632">
        <v>0</v>
      </c>
      <c r="L11632">
        <v>0</v>
      </c>
      <c r="M11632">
        <v>1</v>
      </c>
      <c r="N11632">
        <v>0</v>
      </c>
      <c r="O11632">
        <v>1</v>
      </c>
      <c r="P11632">
        <v>1</v>
      </c>
      <c r="Q11632">
        <v>1</v>
      </c>
      <c r="R11632">
        <v>0</v>
      </c>
    </row>
    <row r="11633" spans="1:39" x14ac:dyDescent="0.2">
      <c r="A11633" t="str">
        <f>"11629"</f>
        <v>11629</v>
      </c>
      <c r="B11633" t="str">
        <f t="shared" si="644"/>
        <v>1</v>
      </c>
      <c r="C11633" t="str">
        <f t="shared" si="646"/>
        <v>233</v>
      </c>
      <c r="D11633" t="str">
        <f>"45"</f>
        <v>45</v>
      </c>
      <c r="E11633" t="str">
        <f>"1-233-45"</f>
        <v>1-233-45</v>
      </c>
      <c r="F11633" t="s">
        <v>65</v>
      </c>
      <c r="G11633" t="s">
        <v>66</v>
      </c>
      <c r="H11633" t="s">
        <v>67</v>
      </c>
      <c r="S11633">
        <v>1</v>
      </c>
      <c r="T11633">
        <v>0</v>
      </c>
      <c r="U11633">
        <v>0</v>
      </c>
      <c r="V11633">
        <v>0</v>
      </c>
      <c r="W11633">
        <v>1</v>
      </c>
      <c r="X11633">
        <v>0</v>
      </c>
      <c r="Y11633">
        <v>1</v>
      </c>
      <c r="Z11633">
        <v>0</v>
      </c>
      <c r="AA11633">
        <v>0</v>
      </c>
      <c r="AB11633">
        <v>1</v>
      </c>
      <c r="AC11633">
        <v>0</v>
      </c>
      <c r="AD11633">
        <v>1</v>
      </c>
      <c r="AE11633">
        <v>1</v>
      </c>
      <c r="AF11633">
        <v>1</v>
      </c>
      <c r="AG11633">
        <v>1</v>
      </c>
      <c r="AH11633">
        <v>1</v>
      </c>
      <c r="AI11633">
        <v>1</v>
      </c>
      <c r="AJ11633">
        <v>1</v>
      </c>
      <c r="AK11633">
        <v>1</v>
      </c>
      <c r="AL11633">
        <v>1</v>
      </c>
      <c r="AM11633">
        <v>1</v>
      </c>
    </row>
    <row r="11634" spans="1:39" x14ac:dyDescent="0.2">
      <c r="A11634" t="str">
        <f>"11630"</f>
        <v>11630</v>
      </c>
      <c r="B11634" t="str">
        <f t="shared" si="644"/>
        <v>1</v>
      </c>
      <c r="C11634" t="str">
        <f t="shared" si="646"/>
        <v>233</v>
      </c>
      <c r="D11634" t="str">
        <f>"22"</f>
        <v>22</v>
      </c>
      <c r="E11634" t="str">
        <f>"1-233-22"</f>
        <v>1-233-22</v>
      </c>
      <c r="F11634" t="s">
        <v>65</v>
      </c>
      <c r="G11634" t="s">
        <v>66</v>
      </c>
      <c r="H11634" t="s">
        <v>67</v>
      </c>
      <c r="S11634">
        <v>1</v>
      </c>
      <c r="T11634">
        <v>0</v>
      </c>
      <c r="U11634">
        <v>0</v>
      </c>
      <c r="V11634">
        <v>0</v>
      </c>
      <c r="W11634">
        <v>1</v>
      </c>
      <c r="X11634">
        <v>0</v>
      </c>
      <c r="Y11634">
        <v>1</v>
      </c>
      <c r="Z11634">
        <v>0</v>
      </c>
      <c r="AA11634">
        <v>1</v>
      </c>
      <c r="AB11634">
        <v>0</v>
      </c>
      <c r="AC11634">
        <v>0</v>
      </c>
      <c r="AD11634">
        <v>0</v>
      </c>
      <c r="AE11634">
        <v>0</v>
      </c>
      <c r="AF11634">
        <v>0</v>
      </c>
      <c r="AG11634">
        <v>0</v>
      </c>
      <c r="AH11634">
        <v>0</v>
      </c>
      <c r="AI11634">
        <v>1</v>
      </c>
      <c r="AJ11634">
        <v>0</v>
      </c>
      <c r="AK11634">
        <v>1</v>
      </c>
      <c r="AL11634">
        <v>1</v>
      </c>
      <c r="AM11634">
        <v>0</v>
      </c>
    </row>
    <row r="11635" spans="1:39" x14ac:dyDescent="0.2">
      <c r="A11635" t="str">
        <f>"11631"</f>
        <v>11631</v>
      </c>
      <c r="B11635" t="str">
        <f t="shared" si="644"/>
        <v>1</v>
      </c>
      <c r="C11635" t="str">
        <f t="shared" si="646"/>
        <v>233</v>
      </c>
      <c r="D11635" t="str">
        <f>"2"</f>
        <v>2</v>
      </c>
      <c r="E11635" t="str">
        <f>"1-233-2"</f>
        <v>1-233-2</v>
      </c>
      <c r="F11635" t="s">
        <v>65</v>
      </c>
      <c r="G11635" t="s">
        <v>66</v>
      </c>
      <c r="H11635" t="s">
        <v>67</v>
      </c>
      <c r="S11635">
        <v>0</v>
      </c>
      <c r="T11635">
        <v>1</v>
      </c>
      <c r="U11635">
        <v>0</v>
      </c>
      <c r="V11635">
        <v>0</v>
      </c>
      <c r="W11635">
        <v>0</v>
      </c>
      <c r="X11635">
        <v>1</v>
      </c>
      <c r="Y11635">
        <v>1</v>
      </c>
      <c r="Z11635">
        <v>0</v>
      </c>
      <c r="AA11635">
        <v>0</v>
      </c>
      <c r="AB11635">
        <v>1</v>
      </c>
      <c r="AC11635">
        <v>0</v>
      </c>
      <c r="AD11635">
        <v>1</v>
      </c>
      <c r="AE11635">
        <v>1</v>
      </c>
      <c r="AF11635">
        <v>1</v>
      </c>
      <c r="AG11635">
        <v>1</v>
      </c>
      <c r="AH11635">
        <v>1</v>
      </c>
      <c r="AI11635">
        <v>1</v>
      </c>
      <c r="AJ11635">
        <v>1</v>
      </c>
      <c r="AK11635">
        <v>1</v>
      </c>
      <c r="AL11635">
        <v>1</v>
      </c>
      <c r="AM11635">
        <v>1</v>
      </c>
    </row>
    <row r="11636" spans="1:39" x14ac:dyDescent="0.2">
      <c r="A11636" t="str">
        <f>"11632"</f>
        <v>11632</v>
      </c>
      <c r="B11636" t="str">
        <f t="shared" si="644"/>
        <v>1</v>
      </c>
      <c r="C11636" t="str">
        <f t="shared" si="646"/>
        <v>233</v>
      </c>
      <c r="D11636" t="str">
        <f>"46"</f>
        <v>46</v>
      </c>
      <c r="E11636" t="str">
        <f>"1-233-46"</f>
        <v>1-233-46</v>
      </c>
      <c r="F11636" t="s">
        <v>65</v>
      </c>
      <c r="G11636" t="s">
        <v>66</v>
      </c>
      <c r="H11636" t="s">
        <v>67</v>
      </c>
      <c r="S11636">
        <v>1</v>
      </c>
      <c r="T11636">
        <v>0</v>
      </c>
      <c r="U11636">
        <v>0</v>
      </c>
      <c r="V11636">
        <v>0</v>
      </c>
      <c r="W11636">
        <v>1</v>
      </c>
      <c r="X11636">
        <v>0</v>
      </c>
      <c r="Y11636">
        <v>1</v>
      </c>
      <c r="Z11636">
        <v>0</v>
      </c>
      <c r="AA11636">
        <v>0</v>
      </c>
      <c r="AB11636">
        <v>0</v>
      </c>
      <c r="AC11636">
        <v>1</v>
      </c>
      <c r="AD11636">
        <v>1</v>
      </c>
      <c r="AE11636">
        <v>1</v>
      </c>
      <c r="AF11636">
        <v>1</v>
      </c>
      <c r="AG11636">
        <v>1</v>
      </c>
      <c r="AH11636">
        <v>1</v>
      </c>
      <c r="AI11636">
        <v>1</v>
      </c>
      <c r="AJ11636">
        <v>1</v>
      </c>
      <c r="AK11636">
        <v>1</v>
      </c>
      <c r="AL11636">
        <v>1</v>
      </c>
      <c r="AM11636">
        <v>1</v>
      </c>
    </row>
    <row r="11637" spans="1:39" x14ac:dyDescent="0.2">
      <c r="A11637" t="str">
        <f>"11633"</f>
        <v>11633</v>
      </c>
      <c r="B11637" t="str">
        <f t="shared" si="644"/>
        <v>1</v>
      </c>
      <c r="C11637" t="str">
        <f t="shared" ref="C11637:C11654" si="647">"233"</f>
        <v>233</v>
      </c>
      <c r="D11637" t="str">
        <f>"25"</f>
        <v>25</v>
      </c>
      <c r="E11637" t="str">
        <f>"1-233-25"</f>
        <v>1-233-25</v>
      </c>
      <c r="F11637" t="s">
        <v>65</v>
      </c>
      <c r="G11637" t="s">
        <v>66</v>
      </c>
      <c r="H11637" t="s">
        <v>67</v>
      </c>
      <c r="S11637">
        <v>1</v>
      </c>
      <c r="T11637">
        <v>0</v>
      </c>
      <c r="U11637">
        <v>0</v>
      </c>
      <c r="V11637">
        <v>0</v>
      </c>
      <c r="W11637">
        <v>1</v>
      </c>
      <c r="X11637">
        <v>0</v>
      </c>
      <c r="Y11637">
        <v>1</v>
      </c>
      <c r="Z11637">
        <v>0</v>
      </c>
      <c r="AA11637">
        <v>1</v>
      </c>
      <c r="AB11637">
        <v>0</v>
      </c>
      <c r="AC11637">
        <v>0</v>
      </c>
      <c r="AD11637">
        <v>1</v>
      </c>
      <c r="AE11637">
        <v>1</v>
      </c>
      <c r="AF11637">
        <v>1</v>
      </c>
      <c r="AG11637">
        <v>1</v>
      </c>
      <c r="AH11637">
        <v>1</v>
      </c>
      <c r="AI11637">
        <v>1</v>
      </c>
      <c r="AJ11637">
        <v>1</v>
      </c>
      <c r="AK11637">
        <v>1</v>
      </c>
      <c r="AL11637">
        <v>1</v>
      </c>
      <c r="AM11637">
        <v>1</v>
      </c>
    </row>
    <row r="11638" spans="1:39" x14ac:dyDescent="0.2">
      <c r="A11638" t="str">
        <f>"11634"</f>
        <v>11634</v>
      </c>
      <c r="B11638" t="str">
        <f t="shared" si="644"/>
        <v>1</v>
      </c>
      <c r="C11638" t="str">
        <f t="shared" si="647"/>
        <v>233</v>
      </c>
      <c r="D11638" t="str">
        <f>"47"</f>
        <v>47</v>
      </c>
      <c r="E11638" t="str">
        <f>"1-233-47"</f>
        <v>1-233-47</v>
      </c>
      <c r="F11638" t="s">
        <v>65</v>
      </c>
      <c r="G11638" t="s">
        <v>66</v>
      </c>
      <c r="H11638" t="s">
        <v>67</v>
      </c>
      <c r="S11638">
        <v>1</v>
      </c>
      <c r="T11638">
        <v>0</v>
      </c>
      <c r="U11638">
        <v>0</v>
      </c>
      <c r="V11638">
        <v>0</v>
      </c>
      <c r="W11638">
        <v>1</v>
      </c>
      <c r="X11638">
        <v>0</v>
      </c>
      <c r="Y11638">
        <v>1</v>
      </c>
      <c r="Z11638">
        <v>0</v>
      </c>
      <c r="AA11638">
        <v>0</v>
      </c>
      <c r="AB11638">
        <v>0</v>
      </c>
      <c r="AC11638">
        <v>1</v>
      </c>
      <c r="AD11638">
        <v>1</v>
      </c>
      <c r="AE11638">
        <v>0</v>
      </c>
      <c r="AF11638">
        <v>0</v>
      </c>
      <c r="AG11638">
        <v>0</v>
      </c>
      <c r="AH11638">
        <v>1</v>
      </c>
      <c r="AI11638">
        <v>0</v>
      </c>
      <c r="AJ11638">
        <v>1</v>
      </c>
      <c r="AK11638">
        <v>0</v>
      </c>
      <c r="AL11638">
        <v>1</v>
      </c>
      <c r="AM11638">
        <v>1</v>
      </c>
    </row>
    <row r="11639" spans="1:39" x14ac:dyDescent="0.2">
      <c r="A11639" t="str">
        <f>"11635"</f>
        <v>11635</v>
      </c>
      <c r="B11639" t="str">
        <f t="shared" ref="B11639:B11702" si="648">"1"</f>
        <v>1</v>
      </c>
      <c r="C11639" t="str">
        <f t="shared" si="647"/>
        <v>233</v>
      </c>
      <c r="D11639" t="str">
        <f>"26"</f>
        <v>26</v>
      </c>
      <c r="E11639" t="str">
        <f>"1-233-26"</f>
        <v>1-233-26</v>
      </c>
      <c r="F11639" t="s">
        <v>65</v>
      </c>
      <c r="G11639" t="s">
        <v>66</v>
      </c>
      <c r="H11639" t="s">
        <v>67</v>
      </c>
      <c r="S11639">
        <v>0</v>
      </c>
      <c r="T11639">
        <v>1</v>
      </c>
      <c r="U11639">
        <v>0</v>
      </c>
      <c r="V11639">
        <v>0</v>
      </c>
      <c r="W11639">
        <v>1</v>
      </c>
      <c r="X11639">
        <v>0</v>
      </c>
      <c r="Y11639">
        <v>1</v>
      </c>
      <c r="Z11639">
        <v>0</v>
      </c>
      <c r="AA11639">
        <v>0</v>
      </c>
      <c r="AB11639">
        <v>0</v>
      </c>
      <c r="AC11639">
        <v>1</v>
      </c>
      <c r="AD11639">
        <v>1</v>
      </c>
      <c r="AE11639">
        <v>1</v>
      </c>
      <c r="AF11639">
        <v>1</v>
      </c>
      <c r="AG11639">
        <v>1</v>
      </c>
      <c r="AH11639">
        <v>1</v>
      </c>
      <c r="AI11639">
        <v>1</v>
      </c>
      <c r="AJ11639">
        <v>1</v>
      </c>
      <c r="AK11639">
        <v>1</v>
      </c>
      <c r="AL11639">
        <v>1</v>
      </c>
      <c r="AM11639">
        <v>1</v>
      </c>
    </row>
    <row r="11640" spans="1:39" x14ac:dyDescent="0.2">
      <c r="A11640" t="str">
        <f>"11636"</f>
        <v>11636</v>
      </c>
      <c r="B11640" t="str">
        <f t="shared" si="648"/>
        <v>1</v>
      </c>
      <c r="C11640" t="str">
        <f t="shared" si="647"/>
        <v>233</v>
      </c>
      <c r="D11640" t="str">
        <f>"8"</f>
        <v>8</v>
      </c>
      <c r="E11640" t="str">
        <f>"1-233-8"</f>
        <v>1-233-8</v>
      </c>
      <c r="F11640" t="s">
        <v>65</v>
      </c>
      <c r="G11640" t="s">
        <v>66</v>
      </c>
      <c r="H11640" t="s">
        <v>67</v>
      </c>
      <c r="S11640">
        <v>1</v>
      </c>
      <c r="T11640">
        <v>0</v>
      </c>
      <c r="U11640">
        <v>0</v>
      </c>
      <c r="V11640">
        <v>0</v>
      </c>
      <c r="W11640">
        <v>1</v>
      </c>
      <c r="X11640">
        <v>0</v>
      </c>
      <c r="Y11640">
        <v>1</v>
      </c>
      <c r="Z11640">
        <v>0</v>
      </c>
      <c r="AA11640">
        <v>0</v>
      </c>
      <c r="AB11640">
        <v>0</v>
      </c>
      <c r="AC11640">
        <v>1</v>
      </c>
      <c r="AD11640">
        <v>1</v>
      </c>
      <c r="AE11640">
        <v>1</v>
      </c>
      <c r="AF11640">
        <v>1</v>
      </c>
      <c r="AG11640">
        <v>0</v>
      </c>
      <c r="AH11640">
        <v>1</v>
      </c>
      <c r="AI11640">
        <v>1</v>
      </c>
      <c r="AJ11640">
        <v>1</v>
      </c>
      <c r="AK11640">
        <v>1</v>
      </c>
      <c r="AL11640">
        <v>1</v>
      </c>
      <c r="AM11640">
        <v>1</v>
      </c>
    </row>
    <row r="11641" spans="1:39" x14ac:dyDescent="0.2">
      <c r="A11641" t="str">
        <f>"11637"</f>
        <v>11637</v>
      </c>
      <c r="B11641" t="str">
        <f t="shared" si="648"/>
        <v>1</v>
      </c>
      <c r="C11641" t="str">
        <f t="shared" si="647"/>
        <v>233</v>
      </c>
      <c r="D11641" t="str">
        <f>"49"</f>
        <v>49</v>
      </c>
      <c r="E11641" t="str">
        <f>"1-233-49"</f>
        <v>1-233-49</v>
      </c>
      <c r="F11641" t="s">
        <v>65</v>
      </c>
      <c r="G11641" t="s">
        <v>66</v>
      </c>
      <c r="H11641" t="s">
        <v>68</v>
      </c>
      <c r="I11641">
        <v>1</v>
      </c>
      <c r="J11641">
        <v>0</v>
      </c>
      <c r="K11641">
        <v>0</v>
      </c>
      <c r="L11641">
        <v>0</v>
      </c>
      <c r="M11641">
        <v>1</v>
      </c>
      <c r="N11641">
        <v>1</v>
      </c>
      <c r="O11641">
        <v>1</v>
      </c>
      <c r="P11641">
        <v>1</v>
      </c>
      <c r="Q11641">
        <v>1</v>
      </c>
      <c r="R11641">
        <v>0</v>
      </c>
    </row>
    <row r="11642" spans="1:39" x14ac:dyDescent="0.2">
      <c r="A11642" t="str">
        <f>"11638"</f>
        <v>11638</v>
      </c>
      <c r="B11642" t="str">
        <f t="shared" si="648"/>
        <v>1</v>
      </c>
      <c r="C11642" t="str">
        <f t="shared" si="647"/>
        <v>233</v>
      </c>
      <c r="D11642" t="str">
        <f>"28"</f>
        <v>28</v>
      </c>
      <c r="E11642" t="str">
        <f>"1-233-28"</f>
        <v>1-233-28</v>
      </c>
      <c r="F11642" t="s">
        <v>65</v>
      </c>
      <c r="G11642" t="s">
        <v>66</v>
      </c>
      <c r="H11642" t="s">
        <v>67</v>
      </c>
      <c r="S11642">
        <v>1</v>
      </c>
      <c r="T11642">
        <v>0</v>
      </c>
      <c r="U11642">
        <v>0</v>
      </c>
      <c r="V11642">
        <v>0</v>
      </c>
      <c r="W11642">
        <v>1</v>
      </c>
      <c r="X11642">
        <v>0</v>
      </c>
      <c r="Y11642">
        <v>0</v>
      </c>
      <c r="Z11642">
        <v>1</v>
      </c>
      <c r="AA11642">
        <v>1</v>
      </c>
      <c r="AB11642">
        <v>0</v>
      </c>
      <c r="AC11642">
        <v>0</v>
      </c>
      <c r="AD11642">
        <v>1</v>
      </c>
      <c r="AE11642">
        <v>1</v>
      </c>
      <c r="AF11642">
        <v>1</v>
      </c>
      <c r="AG11642">
        <v>1</v>
      </c>
      <c r="AH11642">
        <v>1</v>
      </c>
      <c r="AI11642">
        <v>1</v>
      </c>
      <c r="AJ11642">
        <v>1</v>
      </c>
      <c r="AK11642">
        <v>1</v>
      </c>
      <c r="AL11642">
        <v>1</v>
      </c>
      <c r="AM11642">
        <v>1</v>
      </c>
    </row>
    <row r="11643" spans="1:39" x14ac:dyDescent="0.2">
      <c r="A11643" t="str">
        <f>"11639"</f>
        <v>11639</v>
      </c>
      <c r="B11643" t="str">
        <f t="shared" si="648"/>
        <v>1</v>
      </c>
      <c r="C11643" t="str">
        <f t="shared" si="647"/>
        <v>233</v>
      </c>
      <c r="D11643" t="str">
        <f>"3"</f>
        <v>3</v>
      </c>
      <c r="E11643" t="str">
        <f>"1-233-3"</f>
        <v>1-233-3</v>
      </c>
      <c r="F11643" t="s">
        <v>65</v>
      </c>
      <c r="G11643" t="s">
        <v>66</v>
      </c>
      <c r="H11643" t="s">
        <v>67</v>
      </c>
      <c r="S11643">
        <v>1</v>
      </c>
      <c r="T11643">
        <v>0</v>
      </c>
      <c r="U11643">
        <v>0</v>
      </c>
      <c r="V11643">
        <v>0</v>
      </c>
      <c r="W11643">
        <v>1</v>
      </c>
      <c r="X11643">
        <v>0</v>
      </c>
      <c r="Y11643">
        <v>0</v>
      </c>
      <c r="Z11643">
        <v>1</v>
      </c>
      <c r="AA11643">
        <v>1</v>
      </c>
      <c r="AB11643">
        <v>0</v>
      </c>
      <c r="AC11643">
        <v>0</v>
      </c>
      <c r="AD11643">
        <v>0</v>
      </c>
      <c r="AE11643">
        <v>0</v>
      </c>
      <c r="AF11643">
        <v>0</v>
      </c>
      <c r="AG11643">
        <v>0</v>
      </c>
      <c r="AH11643">
        <v>1</v>
      </c>
      <c r="AI11643">
        <v>0</v>
      </c>
      <c r="AJ11643">
        <v>0</v>
      </c>
      <c r="AK11643">
        <v>0</v>
      </c>
      <c r="AL11643">
        <v>0</v>
      </c>
      <c r="AM11643">
        <v>0</v>
      </c>
    </row>
    <row r="11644" spans="1:39" x14ac:dyDescent="0.2">
      <c r="A11644" t="str">
        <f>"11640"</f>
        <v>11640</v>
      </c>
      <c r="B11644" t="str">
        <f t="shared" si="648"/>
        <v>1</v>
      </c>
      <c r="C11644" t="str">
        <f t="shared" si="647"/>
        <v>233</v>
      </c>
      <c r="D11644" t="str">
        <f>"29"</f>
        <v>29</v>
      </c>
      <c r="E11644" t="str">
        <f>"1-233-29"</f>
        <v>1-233-29</v>
      </c>
      <c r="F11644" t="s">
        <v>65</v>
      </c>
      <c r="G11644" t="s">
        <v>66</v>
      </c>
      <c r="H11644" t="s">
        <v>67</v>
      </c>
      <c r="S11644">
        <v>1</v>
      </c>
      <c r="T11644">
        <v>0</v>
      </c>
      <c r="U11644">
        <v>0</v>
      </c>
      <c r="V11644">
        <v>0</v>
      </c>
      <c r="W11644">
        <v>1</v>
      </c>
      <c r="X11644">
        <v>0</v>
      </c>
      <c r="Y11644">
        <v>1</v>
      </c>
      <c r="Z11644">
        <v>0</v>
      </c>
      <c r="AA11644">
        <v>1</v>
      </c>
      <c r="AB11644">
        <v>0</v>
      </c>
      <c r="AC11644">
        <v>0</v>
      </c>
      <c r="AD11644">
        <v>1</v>
      </c>
      <c r="AE11644">
        <v>1</v>
      </c>
      <c r="AF11644">
        <v>1</v>
      </c>
      <c r="AG11644">
        <v>1</v>
      </c>
      <c r="AH11644">
        <v>1</v>
      </c>
      <c r="AI11644">
        <v>1</v>
      </c>
      <c r="AJ11644">
        <v>1</v>
      </c>
      <c r="AK11644">
        <v>1</v>
      </c>
      <c r="AL11644">
        <v>1</v>
      </c>
      <c r="AM11644">
        <v>1</v>
      </c>
    </row>
    <row r="11645" spans="1:39" x14ac:dyDescent="0.2">
      <c r="A11645" t="str">
        <f>"11641"</f>
        <v>11641</v>
      </c>
      <c r="B11645" t="str">
        <f t="shared" si="648"/>
        <v>1</v>
      </c>
      <c r="C11645" t="str">
        <f t="shared" si="647"/>
        <v>233</v>
      </c>
      <c r="D11645" t="str">
        <f>"9"</f>
        <v>9</v>
      </c>
      <c r="E11645" t="str">
        <f>"1-233-9"</f>
        <v>1-233-9</v>
      </c>
      <c r="F11645" t="s">
        <v>65</v>
      </c>
      <c r="G11645" t="s">
        <v>66</v>
      </c>
      <c r="H11645" t="s">
        <v>67</v>
      </c>
      <c r="S11645">
        <v>1</v>
      </c>
      <c r="T11645">
        <v>0</v>
      </c>
      <c r="U11645">
        <v>0</v>
      </c>
      <c r="V11645">
        <v>0</v>
      </c>
      <c r="W11645">
        <v>1</v>
      </c>
      <c r="X11645">
        <v>0</v>
      </c>
      <c r="Y11645">
        <v>1</v>
      </c>
      <c r="Z11645">
        <v>0</v>
      </c>
      <c r="AA11645">
        <v>0</v>
      </c>
      <c r="AB11645">
        <v>1</v>
      </c>
      <c r="AC11645">
        <v>0</v>
      </c>
      <c r="AD11645">
        <v>1</v>
      </c>
      <c r="AE11645">
        <v>1</v>
      </c>
      <c r="AF11645">
        <v>1</v>
      </c>
      <c r="AG11645">
        <v>1</v>
      </c>
      <c r="AH11645">
        <v>1</v>
      </c>
      <c r="AI11645">
        <v>1</v>
      </c>
      <c r="AJ11645">
        <v>1</v>
      </c>
      <c r="AK11645">
        <v>1</v>
      </c>
      <c r="AL11645">
        <v>1</v>
      </c>
      <c r="AM11645">
        <v>1</v>
      </c>
    </row>
    <row r="11646" spans="1:39" x14ac:dyDescent="0.2">
      <c r="A11646" t="str">
        <f>"11642"</f>
        <v>11642</v>
      </c>
      <c r="B11646" t="str">
        <f t="shared" si="648"/>
        <v>1</v>
      </c>
      <c r="C11646" t="str">
        <f t="shared" si="647"/>
        <v>233</v>
      </c>
      <c r="D11646" t="str">
        <f>"48"</f>
        <v>48</v>
      </c>
      <c r="E11646" t="str">
        <f>"1-233-48"</f>
        <v>1-233-48</v>
      </c>
      <c r="F11646" t="s">
        <v>65</v>
      </c>
      <c r="G11646" t="s">
        <v>66</v>
      </c>
      <c r="H11646" t="s">
        <v>68</v>
      </c>
      <c r="I11646">
        <v>1</v>
      </c>
      <c r="J11646">
        <v>0</v>
      </c>
      <c r="K11646">
        <v>1</v>
      </c>
      <c r="L11646">
        <v>0</v>
      </c>
      <c r="M11646">
        <v>1</v>
      </c>
      <c r="N11646">
        <v>1</v>
      </c>
      <c r="O11646">
        <v>1</v>
      </c>
      <c r="P11646">
        <v>1</v>
      </c>
      <c r="Q11646">
        <v>1</v>
      </c>
      <c r="R11646">
        <v>1</v>
      </c>
    </row>
    <row r="11647" spans="1:39" x14ac:dyDescent="0.2">
      <c r="A11647" t="str">
        <f>"11643"</f>
        <v>11643</v>
      </c>
      <c r="B11647" t="str">
        <f t="shared" si="648"/>
        <v>1</v>
      </c>
      <c r="C11647" t="str">
        <f t="shared" si="647"/>
        <v>233</v>
      </c>
      <c r="D11647" t="str">
        <f>"30"</f>
        <v>30</v>
      </c>
      <c r="E11647" t="str">
        <f>"1-233-30"</f>
        <v>1-233-30</v>
      </c>
      <c r="F11647" t="s">
        <v>65</v>
      </c>
      <c r="G11647" t="s">
        <v>66</v>
      </c>
      <c r="H11647" t="s">
        <v>67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1</v>
      </c>
      <c r="Y11647">
        <v>0</v>
      </c>
      <c r="Z11647">
        <v>0</v>
      </c>
      <c r="AA11647">
        <v>0</v>
      </c>
      <c r="AB11647">
        <v>0</v>
      </c>
      <c r="AC11647">
        <v>0</v>
      </c>
      <c r="AD11647">
        <v>0</v>
      </c>
      <c r="AE11647">
        <v>0</v>
      </c>
      <c r="AF11647">
        <v>0</v>
      </c>
      <c r="AG11647">
        <v>0</v>
      </c>
      <c r="AH11647">
        <v>0</v>
      </c>
      <c r="AI11647">
        <v>0</v>
      </c>
      <c r="AJ11647">
        <v>0</v>
      </c>
      <c r="AK11647">
        <v>0</v>
      </c>
      <c r="AL11647">
        <v>0</v>
      </c>
      <c r="AM11647">
        <v>0</v>
      </c>
    </row>
    <row r="11648" spans="1:39" x14ac:dyDescent="0.2">
      <c r="A11648" t="str">
        <f>"11644"</f>
        <v>11644</v>
      </c>
      <c r="B11648" t="str">
        <f t="shared" si="648"/>
        <v>1</v>
      </c>
      <c r="C11648" t="str">
        <f t="shared" si="647"/>
        <v>233</v>
      </c>
      <c r="D11648" t="str">
        <f>"5"</f>
        <v>5</v>
      </c>
      <c r="E11648" t="str">
        <f>"1-233-5"</f>
        <v>1-233-5</v>
      </c>
      <c r="F11648" t="s">
        <v>65</v>
      </c>
      <c r="G11648" t="s">
        <v>66</v>
      </c>
      <c r="H11648" t="s">
        <v>67</v>
      </c>
      <c r="S11648">
        <v>1</v>
      </c>
      <c r="T11648">
        <v>0</v>
      </c>
      <c r="U11648">
        <v>0</v>
      </c>
      <c r="V11648">
        <v>0</v>
      </c>
      <c r="W11648">
        <v>1</v>
      </c>
      <c r="X11648">
        <v>0</v>
      </c>
      <c r="Y11648">
        <v>1</v>
      </c>
      <c r="Z11648">
        <v>0</v>
      </c>
      <c r="AA11648">
        <v>1</v>
      </c>
      <c r="AB11648">
        <v>0</v>
      </c>
      <c r="AC11648">
        <v>0</v>
      </c>
      <c r="AD11648">
        <v>1</v>
      </c>
      <c r="AE11648">
        <v>1</v>
      </c>
      <c r="AF11648">
        <v>1</v>
      </c>
      <c r="AG11648">
        <v>0</v>
      </c>
      <c r="AH11648">
        <v>1</v>
      </c>
      <c r="AI11648">
        <v>1</v>
      </c>
      <c r="AJ11648">
        <v>1</v>
      </c>
      <c r="AK11648">
        <v>1</v>
      </c>
      <c r="AL11648">
        <v>1</v>
      </c>
      <c r="AM11648">
        <v>1</v>
      </c>
    </row>
    <row r="11649" spans="1:39" x14ac:dyDescent="0.2">
      <c r="A11649" t="str">
        <f>"11645"</f>
        <v>11645</v>
      </c>
      <c r="B11649" t="str">
        <f t="shared" si="648"/>
        <v>1</v>
      </c>
      <c r="C11649" t="str">
        <f t="shared" si="647"/>
        <v>233</v>
      </c>
      <c r="D11649" t="str">
        <f>"50"</f>
        <v>50</v>
      </c>
      <c r="E11649" t="str">
        <f>"1-233-50"</f>
        <v>1-233-50</v>
      </c>
      <c r="F11649" t="s">
        <v>65</v>
      </c>
      <c r="G11649" t="s">
        <v>66</v>
      </c>
      <c r="H11649" t="s">
        <v>67</v>
      </c>
      <c r="S11649">
        <v>0</v>
      </c>
      <c r="T11649">
        <v>1</v>
      </c>
      <c r="U11649">
        <v>0</v>
      </c>
      <c r="V11649">
        <v>0</v>
      </c>
      <c r="W11649">
        <v>0</v>
      </c>
      <c r="X11649">
        <v>1</v>
      </c>
      <c r="Y11649">
        <v>0</v>
      </c>
      <c r="Z11649">
        <v>1</v>
      </c>
      <c r="AA11649">
        <v>0</v>
      </c>
      <c r="AB11649">
        <v>0</v>
      </c>
      <c r="AC11649">
        <v>1</v>
      </c>
      <c r="AD11649">
        <v>0</v>
      </c>
      <c r="AE11649">
        <v>0</v>
      </c>
      <c r="AF11649">
        <v>1</v>
      </c>
      <c r="AG11649">
        <v>0</v>
      </c>
      <c r="AH11649">
        <v>1</v>
      </c>
      <c r="AI11649">
        <v>0</v>
      </c>
      <c r="AJ11649">
        <v>0</v>
      </c>
      <c r="AK11649">
        <v>0</v>
      </c>
      <c r="AL11649">
        <v>0</v>
      </c>
      <c r="AM11649">
        <v>0</v>
      </c>
    </row>
    <row r="11650" spans="1:39" x14ac:dyDescent="0.2">
      <c r="A11650" t="str">
        <f>"11646"</f>
        <v>11646</v>
      </c>
      <c r="B11650" t="str">
        <f t="shared" si="648"/>
        <v>1</v>
      </c>
      <c r="C11650" t="str">
        <f t="shared" si="647"/>
        <v>233</v>
      </c>
      <c r="D11650" t="str">
        <f>"6"</f>
        <v>6</v>
      </c>
      <c r="E11650" t="str">
        <f>"1-233-6"</f>
        <v>1-233-6</v>
      </c>
      <c r="F11650" t="s">
        <v>65</v>
      </c>
      <c r="G11650" t="s">
        <v>66</v>
      </c>
      <c r="H11650" t="s">
        <v>67</v>
      </c>
      <c r="S11650">
        <v>1</v>
      </c>
      <c r="T11650">
        <v>0</v>
      </c>
      <c r="U11650">
        <v>0</v>
      </c>
      <c r="V11650">
        <v>0</v>
      </c>
      <c r="W11650">
        <v>1</v>
      </c>
      <c r="X11650">
        <v>0</v>
      </c>
      <c r="Y11650">
        <v>1</v>
      </c>
      <c r="Z11650">
        <v>0</v>
      </c>
      <c r="AA11650">
        <v>1</v>
      </c>
      <c r="AB11650">
        <v>0</v>
      </c>
      <c r="AC11650">
        <v>0</v>
      </c>
      <c r="AD11650">
        <v>0</v>
      </c>
      <c r="AE11650">
        <v>0</v>
      </c>
      <c r="AF11650">
        <v>0</v>
      </c>
      <c r="AG11650">
        <v>0</v>
      </c>
      <c r="AH11650">
        <v>0</v>
      </c>
      <c r="AI11650">
        <v>0</v>
      </c>
      <c r="AJ11650">
        <v>0</v>
      </c>
      <c r="AK11650">
        <v>0</v>
      </c>
      <c r="AL11650">
        <v>0</v>
      </c>
      <c r="AM11650">
        <v>0</v>
      </c>
    </row>
    <row r="11651" spans="1:39" x14ac:dyDescent="0.2">
      <c r="A11651" t="str">
        <f>"11647"</f>
        <v>11647</v>
      </c>
      <c r="B11651" t="str">
        <f t="shared" si="648"/>
        <v>1</v>
      </c>
      <c r="C11651" t="str">
        <f t="shared" si="647"/>
        <v>233</v>
      </c>
      <c r="D11651" t="str">
        <f>"33"</f>
        <v>33</v>
      </c>
      <c r="E11651" t="str">
        <f>"1-233-33"</f>
        <v>1-233-33</v>
      </c>
      <c r="F11651" t="s">
        <v>65</v>
      </c>
      <c r="G11651" t="s">
        <v>66</v>
      </c>
      <c r="H11651" t="s">
        <v>67</v>
      </c>
      <c r="S11651">
        <v>1</v>
      </c>
      <c r="T11651">
        <v>0</v>
      </c>
      <c r="U11651">
        <v>0</v>
      </c>
      <c r="V11651">
        <v>0</v>
      </c>
      <c r="W11651">
        <v>1</v>
      </c>
      <c r="X11651">
        <v>0</v>
      </c>
      <c r="Y11651">
        <v>1</v>
      </c>
      <c r="Z11651">
        <v>0</v>
      </c>
      <c r="AA11651">
        <v>0</v>
      </c>
      <c r="AB11651">
        <v>0</v>
      </c>
      <c r="AC11651">
        <v>1</v>
      </c>
      <c r="AD11651">
        <v>1</v>
      </c>
      <c r="AE11651">
        <v>1</v>
      </c>
      <c r="AF11651">
        <v>1</v>
      </c>
      <c r="AG11651">
        <v>1</v>
      </c>
      <c r="AH11651">
        <v>1</v>
      </c>
      <c r="AI11651">
        <v>1</v>
      </c>
      <c r="AJ11651">
        <v>1</v>
      </c>
      <c r="AK11651">
        <v>1</v>
      </c>
      <c r="AL11651">
        <v>1</v>
      </c>
      <c r="AM11651">
        <v>1</v>
      </c>
    </row>
    <row r="11652" spans="1:39" x14ac:dyDescent="0.2">
      <c r="A11652" t="str">
        <f>"11648"</f>
        <v>11648</v>
      </c>
      <c r="B11652" t="str">
        <f t="shared" si="648"/>
        <v>1</v>
      </c>
      <c r="C11652" t="str">
        <f t="shared" si="647"/>
        <v>233</v>
      </c>
      <c r="D11652" t="str">
        <f>"13"</f>
        <v>13</v>
      </c>
      <c r="E11652" t="str">
        <f>"1-233-13"</f>
        <v>1-233-13</v>
      </c>
      <c r="F11652" t="s">
        <v>65</v>
      </c>
      <c r="G11652" t="s">
        <v>66</v>
      </c>
      <c r="H11652" t="s">
        <v>67</v>
      </c>
      <c r="S11652">
        <v>1</v>
      </c>
      <c r="T11652">
        <v>0</v>
      </c>
      <c r="U11652">
        <v>0</v>
      </c>
      <c r="V11652">
        <v>0</v>
      </c>
      <c r="W11652">
        <v>1</v>
      </c>
      <c r="X11652">
        <v>0</v>
      </c>
      <c r="Y11652">
        <v>1</v>
      </c>
      <c r="Z11652">
        <v>0</v>
      </c>
      <c r="AA11652">
        <v>0</v>
      </c>
      <c r="AB11652">
        <v>0</v>
      </c>
      <c r="AC11652">
        <v>0</v>
      </c>
      <c r="AD11652">
        <v>0</v>
      </c>
      <c r="AE11652">
        <v>0</v>
      </c>
      <c r="AF11652">
        <v>0</v>
      </c>
      <c r="AG11652">
        <v>0</v>
      </c>
      <c r="AH11652">
        <v>0</v>
      </c>
      <c r="AI11652">
        <v>0</v>
      </c>
      <c r="AJ11652">
        <v>0</v>
      </c>
      <c r="AK11652">
        <v>0</v>
      </c>
      <c r="AL11652">
        <v>0</v>
      </c>
      <c r="AM11652">
        <v>0</v>
      </c>
    </row>
    <row r="11653" spans="1:39" x14ac:dyDescent="0.2">
      <c r="A11653" t="str">
        <f>"11649"</f>
        <v>11649</v>
      </c>
      <c r="B11653" t="str">
        <f t="shared" si="648"/>
        <v>1</v>
      </c>
      <c r="C11653" t="str">
        <f t="shared" si="647"/>
        <v>233</v>
      </c>
      <c r="D11653" t="str">
        <f>"10"</f>
        <v>10</v>
      </c>
      <c r="E11653" t="str">
        <f>"1-233-10"</f>
        <v>1-233-10</v>
      </c>
      <c r="F11653" t="s">
        <v>65</v>
      </c>
      <c r="G11653" t="s">
        <v>66</v>
      </c>
      <c r="H11653" t="s">
        <v>67</v>
      </c>
      <c r="S11653">
        <v>1</v>
      </c>
      <c r="T11653">
        <v>0</v>
      </c>
      <c r="U11653">
        <v>0</v>
      </c>
      <c r="V11653">
        <v>0</v>
      </c>
      <c r="W11653">
        <v>0</v>
      </c>
      <c r="X11653">
        <v>1</v>
      </c>
      <c r="Y11653">
        <v>0</v>
      </c>
      <c r="Z11653">
        <v>1</v>
      </c>
      <c r="AA11653">
        <v>0</v>
      </c>
      <c r="AB11653">
        <v>0</v>
      </c>
      <c r="AC11653">
        <v>1</v>
      </c>
      <c r="AD11653">
        <v>1</v>
      </c>
      <c r="AE11653">
        <v>0</v>
      </c>
      <c r="AF11653">
        <v>1</v>
      </c>
      <c r="AG11653">
        <v>0</v>
      </c>
      <c r="AH11653">
        <v>1</v>
      </c>
      <c r="AI11653">
        <v>1</v>
      </c>
      <c r="AJ11653">
        <v>1</v>
      </c>
      <c r="AK11653">
        <v>0</v>
      </c>
      <c r="AL11653">
        <v>0</v>
      </c>
      <c r="AM11653">
        <v>1</v>
      </c>
    </row>
    <row r="11654" spans="1:39" x14ac:dyDescent="0.2">
      <c r="A11654" t="str">
        <f>"11650"</f>
        <v>11650</v>
      </c>
      <c r="B11654" t="str">
        <f t="shared" si="648"/>
        <v>1</v>
      </c>
      <c r="C11654" t="str">
        <f t="shared" si="647"/>
        <v>233</v>
      </c>
      <c r="D11654" t="str">
        <f>"31"</f>
        <v>31</v>
      </c>
      <c r="E11654" t="str">
        <f>"1-233-31"</f>
        <v>1-233-31</v>
      </c>
      <c r="F11654" t="s">
        <v>65</v>
      </c>
      <c r="G11654" t="s">
        <v>66</v>
      </c>
      <c r="H11654" t="s">
        <v>67</v>
      </c>
      <c r="S11654">
        <v>1</v>
      </c>
      <c r="T11654">
        <v>0</v>
      </c>
      <c r="U11654">
        <v>0</v>
      </c>
      <c r="V11654">
        <v>0</v>
      </c>
      <c r="W11654">
        <v>1</v>
      </c>
      <c r="X11654">
        <v>0</v>
      </c>
      <c r="Y11654">
        <v>0</v>
      </c>
      <c r="Z11654">
        <v>1</v>
      </c>
      <c r="AA11654">
        <v>1</v>
      </c>
      <c r="AB11654">
        <v>0</v>
      </c>
      <c r="AC11654">
        <v>0</v>
      </c>
      <c r="AD11654">
        <v>1</v>
      </c>
      <c r="AE11654">
        <v>1</v>
      </c>
      <c r="AF11654">
        <v>1</v>
      </c>
      <c r="AG11654">
        <v>1</v>
      </c>
      <c r="AH11654">
        <v>1</v>
      </c>
      <c r="AI11654">
        <v>1</v>
      </c>
      <c r="AJ11654">
        <v>1</v>
      </c>
      <c r="AK11654">
        <v>1</v>
      </c>
      <c r="AL11654">
        <v>1</v>
      </c>
      <c r="AM11654">
        <v>1</v>
      </c>
    </row>
    <row r="11655" spans="1:39" x14ac:dyDescent="0.2">
      <c r="A11655" t="str">
        <f>"11651"</f>
        <v>11651</v>
      </c>
      <c r="B11655" t="str">
        <f t="shared" si="648"/>
        <v>1</v>
      </c>
      <c r="C11655" t="str">
        <f t="shared" ref="C11655:C11686" si="649">"234"</f>
        <v>234</v>
      </c>
      <c r="D11655" t="str">
        <f>"38"</f>
        <v>38</v>
      </c>
      <c r="E11655" t="str">
        <f>"1-234-38"</f>
        <v>1-234-38</v>
      </c>
      <c r="F11655" t="s">
        <v>65</v>
      </c>
      <c r="G11655" t="s">
        <v>66</v>
      </c>
      <c r="H11655" t="s">
        <v>67</v>
      </c>
      <c r="S11655">
        <v>1</v>
      </c>
      <c r="T11655">
        <v>0</v>
      </c>
      <c r="U11655">
        <v>0</v>
      </c>
      <c r="V11655">
        <v>0</v>
      </c>
      <c r="W11655">
        <v>1</v>
      </c>
      <c r="X11655">
        <v>0</v>
      </c>
      <c r="Y11655">
        <v>0</v>
      </c>
      <c r="Z11655">
        <v>1</v>
      </c>
      <c r="AA11655">
        <v>1</v>
      </c>
      <c r="AB11655">
        <v>0</v>
      </c>
      <c r="AC11655">
        <v>0</v>
      </c>
      <c r="AD11655">
        <v>0</v>
      </c>
      <c r="AE11655">
        <v>0</v>
      </c>
      <c r="AF11655">
        <v>0</v>
      </c>
      <c r="AG11655">
        <v>1</v>
      </c>
      <c r="AH11655">
        <v>0</v>
      </c>
      <c r="AI11655">
        <v>1</v>
      </c>
      <c r="AJ11655">
        <v>0</v>
      </c>
      <c r="AK11655">
        <v>0</v>
      </c>
      <c r="AL11655">
        <v>1</v>
      </c>
      <c r="AM11655">
        <v>0</v>
      </c>
    </row>
    <row r="11656" spans="1:39" x14ac:dyDescent="0.2">
      <c r="A11656" t="str">
        <f>"11652"</f>
        <v>11652</v>
      </c>
      <c r="B11656" t="str">
        <f t="shared" si="648"/>
        <v>1</v>
      </c>
      <c r="C11656" t="str">
        <f t="shared" si="649"/>
        <v>234</v>
      </c>
      <c r="D11656" t="str">
        <f>"37"</f>
        <v>37</v>
      </c>
      <c r="E11656" t="str">
        <f>"1-234-37"</f>
        <v>1-234-37</v>
      </c>
      <c r="F11656" t="s">
        <v>65</v>
      </c>
      <c r="G11656" t="s">
        <v>66</v>
      </c>
      <c r="H11656" t="s">
        <v>67</v>
      </c>
      <c r="S11656">
        <v>1</v>
      </c>
      <c r="T11656">
        <v>0</v>
      </c>
      <c r="U11656">
        <v>0</v>
      </c>
      <c r="V11656">
        <v>0</v>
      </c>
      <c r="W11656">
        <v>1</v>
      </c>
      <c r="X11656">
        <v>0</v>
      </c>
      <c r="Y11656">
        <v>0</v>
      </c>
      <c r="Z11656">
        <v>1</v>
      </c>
      <c r="AA11656">
        <v>1</v>
      </c>
      <c r="AB11656">
        <v>0</v>
      </c>
      <c r="AC11656">
        <v>0</v>
      </c>
      <c r="AD11656">
        <v>0</v>
      </c>
      <c r="AE11656">
        <v>0</v>
      </c>
      <c r="AF11656">
        <v>0</v>
      </c>
      <c r="AG11656">
        <v>1</v>
      </c>
      <c r="AH11656">
        <v>1</v>
      </c>
      <c r="AI11656">
        <v>1</v>
      </c>
      <c r="AJ11656">
        <v>1</v>
      </c>
      <c r="AK11656">
        <v>0</v>
      </c>
      <c r="AL11656">
        <v>1</v>
      </c>
      <c r="AM11656">
        <v>0</v>
      </c>
    </row>
    <row r="11657" spans="1:39" x14ac:dyDescent="0.2">
      <c r="A11657" t="str">
        <f>"11653"</f>
        <v>11653</v>
      </c>
      <c r="B11657" t="str">
        <f t="shared" si="648"/>
        <v>1</v>
      </c>
      <c r="C11657" t="str">
        <f t="shared" si="649"/>
        <v>234</v>
      </c>
      <c r="D11657" t="str">
        <f>"23"</f>
        <v>23</v>
      </c>
      <c r="E11657" t="str">
        <f>"1-234-23"</f>
        <v>1-234-23</v>
      </c>
      <c r="F11657" t="s">
        <v>65</v>
      </c>
      <c r="G11657" t="s">
        <v>66</v>
      </c>
      <c r="H11657" t="s">
        <v>67</v>
      </c>
      <c r="S11657">
        <v>1</v>
      </c>
      <c r="T11657">
        <v>0</v>
      </c>
      <c r="U11657">
        <v>0</v>
      </c>
      <c r="V11657">
        <v>0</v>
      </c>
      <c r="W11657">
        <v>1</v>
      </c>
      <c r="X11657">
        <v>0</v>
      </c>
      <c r="Y11657">
        <v>1</v>
      </c>
      <c r="Z11657">
        <v>0</v>
      </c>
      <c r="AA11657">
        <v>1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0</v>
      </c>
      <c r="AH11657">
        <v>0</v>
      </c>
      <c r="AI11657">
        <v>0</v>
      </c>
      <c r="AJ11657">
        <v>0</v>
      </c>
      <c r="AK11657">
        <v>0</v>
      </c>
      <c r="AL11657">
        <v>1</v>
      </c>
      <c r="AM11657">
        <v>0</v>
      </c>
    </row>
    <row r="11658" spans="1:39" x14ac:dyDescent="0.2">
      <c r="A11658" t="str">
        <f>"11654"</f>
        <v>11654</v>
      </c>
      <c r="B11658" t="str">
        <f t="shared" si="648"/>
        <v>1</v>
      </c>
      <c r="C11658" t="str">
        <f t="shared" si="649"/>
        <v>234</v>
      </c>
      <c r="D11658" t="str">
        <f>"22"</f>
        <v>22</v>
      </c>
      <c r="E11658" t="str">
        <f>"1-234-22"</f>
        <v>1-234-22</v>
      </c>
      <c r="F11658" t="s">
        <v>65</v>
      </c>
      <c r="G11658" t="s">
        <v>66</v>
      </c>
      <c r="H11658" t="s">
        <v>67</v>
      </c>
      <c r="S11658">
        <v>1</v>
      </c>
      <c r="T11658">
        <v>0</v>
      </c>
      <c r="U11658">
        <v>0</v>
      </c>
      <c r="V11658">
        <v>0</v>
      </c>
      <c r="W11658">
        <v>1</v>
      </c>
      <c r="X11658">
        <v>0</v>
      </c>
      <c r="Y11658">
        <v>1</v>
      </c>
      <c r="Z11658">
        <v>0</v>
      </c>
      <c r="AA11658">
        <v>0</v>
      </c>
      <c r="AB11658">
        <v>1</v>
      </c>
      <c r="AC11658">
        <v>0</v>
      </c>
      <c r="AD11658">
        <v>1</v>
      </c>
      <c r="AE11658">
        <v>1</v>
      </c>
      <c r="AF11658">
        <v>1</v>
      </c>
      <c r="AG11658">
        <v>1</v>
      </c>
      <c r="AH11658">
        <v>1</v>
      </c>
      <c r="AI11658">
        <v>1</v>
      </c>
      <c r="AJ11658">
        <v>1</v>
      </c>
      <c r="AK11658">
        <v>1</v>
      </c>
      <c r="AL11658">
        <v>1</v>
      </c>
      <c r="AM11658">
        <v>1</v>
      </c>
    </row>
    <row r="11659" spans="1:39" x14ac:dyDescent="0.2">
      <c r="A11659" t="str">
        <f>"11655"</f>
        <v>11655</v>
      </c>
      <c r="B11659" t="str">
        <f t="shared" si="648"/>
        <v>1</v>
      </c>
      <c r="C11659" t="str">
        <f t="shared" si="649"/>
        <v>234</v>
      </c>
      <c r="D11659" t="str">
        <f>"19"</f>
        <v>19</v>
      </c>
      <c r="E11659" t="str">
        <f>"1-234-19"</f>
        <v>1-234-19</v>
      </c>
      <c r="F11659" t="s">
        <v>65</v>
      </c>
      <c r="G11659" t="s">
        <v>66</v>
      </c>
      <c r="H11659" t="s">
        <v>67</v>
      </c>
      <c r="S11659">
        <v>1</v>
      </c>
      <c r="T11659">
        <v>0</v>
      </c>
      <c r="U11659">
        <v>0</v>
      </c>
      <c r="V11659">
        <v>0</v>
      </c>
      <c r="W11659">
        <v>1</v>
      </c>
      <c r="X11659">
        <v>0</v>
      </c>
      <c r="Y11659">
        <v>0</v>
      </c>
      <c r="Z11659">
        <v>0</v>
      </c>
      <c r="AA11659">
        <v>0</v>
      </c>
      <c r="AB11659">
        <v>0</v>
      </c>
      <c r="AC11659">
        <v>0</v>
      </c>
      <c r="AD11659">
        <v>0</v>
      </c>
      <c r="AE11659">
        <v>0</v>
      </c>
      <c r="AF11659">
        <v>0</v>
      </c>
      <c r="AG11659">
        <v>0</v>
      </c>
      <c r="AH11659">
        <v>0</v>
      </c>
      <c r="AI11659">
        <v>1</v>
      </c>
      <c r="AJ11659">
        <v>0</v>
      </c>
      <c r="AK11659">
        <v>0</v>
      </c>
      <c r="AL11659">
        <v>1</v>
      </c>
      <c r="AM11659">
        <v>0</v>
      </c>
    </row>
    <row r="11660" spans="1:39" x14ac:dyDescent="0.2">
      <c r="A11660" t="str">
        <f>"11656"</f>
        <v>11656</v>
      </c>
      <c r="B11660" t="str">
        <f t="shared" si="648"/>
        <v>1</v>
      </c>
      <c r="C11660" t="str">
        <f t="shared" si="649"/>
        <v>234</v>
      </c>
      <c r="D11660" t="str">
        <f>"15"</f>
        <v>15</v>
      </c>
      <c r="E11660" t="str">
        <f>"1-234-15"</f>
        <v>1-234-15</v>
      </c>
      <c r="F11660" t="s">
        <v>65</v>
      </c>
      <c r="G11660" t="s">
        <v>66</v>
      </c>
      <c r="H11660" t="s">
        <v>67</v>
      </c>
      <c r="S11660">
        <v>1</v>
      </c>
      <c r="T11660">
        <v>0</v>
      </c>
      <c r="U11660">
        <v>0</v>
      </c>
      <c r="V11660">
        <v>0</v>
      </c>
      <c r="W11660">
        <v>1</v>
      </c>
      <c r="X11660">
        <v>0</v>
      </c>
      <c r="Y11660">
        <v>1</v>
      </c>
      <c r="Z11660">
        <v>0</v>
      </c>
      <c r="AA11660">
        <v>1</v>
      </c>
      <c r="AB11660">
        <v>0</v>
      </c>
      <c r="AC11660">
        <v>0</v>
      </c>
      <c r="AD11660">
        <v>1</v>
      </c>
      <c r="AE11660">
        <v>1</v>
      </c>
      <c r="AF11660">
        <v>1</v>
      </c>
      <c r="AG11660">
        <v>1</v>
      </c>
      <c r="AH11660">
        <v>1</v>
      </c>
      <c r="AI11660">
        <v>1</v>
      </c>
      <c r="AJ11660">
        <v>1</v>
      </c>
      <c r="AK11660">
        <v>1</v>
      </c>
      <c r="AL11660">
        <v>1</v>
      </c>
      <c r="AM11660">
        <v>1</v>
      </c>
    </row>
    <row r="11661" spans="1:39" x14ac:dyDescent="0.2">
      <c r="A11661" t="str">
        <f>"11657"</f>
        <v>11657</v>
      </c>
      <c r="B11661" t="str">
        <f t="shared" si="648"/>
        <v>1</v>
      </c>
      <c r="C11661" t="str">
        <f t="shared" si="649"/>
        <v>234</v>
      </c>
      <c r="D11661" t="str">
        <f>"1"</f>
        <v>1</v>
      </c>
      <c r="E11661" t="str">
        <f>"1-234-1"</f>
        <v>1-234-1</v>
      </c>
      <c r="F11661" t="s">
        <v>65</v>
      </c>
      <c r="G11661" t="s">
        <v>66</v>
      </c>
      <c r="H11661" t="s">
        <v>67</v>
      </c>
      <c r="S11661">
        <v>0</v>
      </c>
      <c r="T11661">
        <v>1</v>
      </c>
      <c r="U11661">
        <v>0</v>
      </c>
      <c r="V11661">
        <v>0</v>
      </c>
      <c r="W11661">
        <v>0</v>
      </c>
      <c r="X11661">
        <v>1</v>
      </c>
      <c r="Y11661">
        <v>1</v>
      </c>
      <c r="Z11661">
        <v>0</v>
      </c>
      <c r="AA11661">
        <v>0</v>
      </c>
      <c r="AB11661">
        <v>0</v>
      </c>
      <c r="AC11661">
        <v>1</v>
      </c>
      <c r="AD11661">
        <v>0</v>
      </c>
      <c r="AE11661">
        <v>0</v>
      </c>
      <c r="AF11661">
        <v>0</v>
      </c>
      <c r="AG11661">
        <v>0</v>
      </c>
      <c r="AH11661">
        <v>0</v>
      </c>
      <c r="AI11661">
        <v>0</v>
      </c>
      <c r="AJ11661">
        <v>0</v>
      </c>
      <c r="AK11661">
        <v>0</v>
      </c>
      <c r="AL11661">
        <v>0</v>
      </c>
      <c r="AM11661">
        <v>0</v>
      </c>
    </row>
    <row r="11662" spans="1:39" x14ac:dyDescent="0.2">
      <c r="A11662" t="str">
        <f>"11658"</f>
        <v>11658</v>
      </c>
      <c r="B11662" t="str">
        <f t="shared" si="648"/>
        <v>1</v>
      </c>
      <c r="C11662" t="str">
        <f t="shared" si="649"/>
        <v>234</v>
      </c>
      <c r="D11662" t="str">
        <f>"36"</f>
        <v>36</v>
      </c>
      <c r="E11662" t="str">
        <f>"1-234-36"</f>
        <v>1-234-36</v>
      </c>
      <c r="F11662" t="s">
        <v>65</v>
      </c>
      <c r="G11662" t="s">
        <v>66</v>
      </c>
      <c r="H11662" t="s">
        <v>67</v>
      </c>
      <c r="S11662">
        <v>0</v>
      </c>
      <c r="T11662">
        <v>1</v>
      </c>
      <c r="U11662">
        <v>0</v>
      </c>
      <c r="V11662">
        <v>0</v>
      </c>
      <c r="W11662">
        <v>0</v>
      </c>
      <c r="X11662">
        <v>1</v>
      </c>
      <c r="Y11662">
        <v>0</v>
      </c>
      <c r="Z11662">
        <v>1</v>
      </c>
      <c r="AA11662">
        <v>0</v>
      </c>
      <c r="AB11662">
        <v>0</v>
      </c>
      <c r="AC11662">
        <v>1</v>
      </c>
      <c r="AD11662">
        <v>1</v>
      </c>
      <c r="AE11662">
        <v>1</v>
      </c>
      <c r="AF11662">
        <v>1</v>
      </c>
      <c r="AG11662">
        <v>1</v>
      </c>
      <c r="AH11662">
        <v>1</v>
      </c>
      <c r="AI11662">
        <v>1</v>
      </c>
      <c r="AJ11662">
        <v>1</v>
      </c>
      <c r="AK11662">
        <v>1</v>
      </c>
      <c r="AL11662">
        <v>1</v>
      </c>
      <c r="AM11662">
        <v>1</v>
      </c>
    </row>
    <row r="11663" spans="1:39" x14ac:dyDescent="0.2">
      <c r="A11663" t="str">
        <f>"11659"</f>
        <v>11659</v>
      </c>
      <c r="B11663" t="str">
        <f t="shared" si="648"/>
        <v>1</v>
      </c>
      <c r="C11663" t="str">
        <f t="shared" si="649"/>
        <v>234</v>
      </c>
      <c r="D11663" t="str">
        <f>"35"</f>
        <v>35</v>
      </c>
      <c r="E11663" t="str">
        <f>"1-234-35"</f>
        <v>1-234-35</v>
      </c>
      <c r="F11663" t="s">
        <v>65</v>
      </c>
      <c r="G11663" t="s">
        <v>66</v>
      </c>
      <c r="H11663" t="s">
        <v>67</v>
      </c>
      <c r="S11663">
        <v>1</v>
      </c>
      <c r="T11663">
        <v>0</v>
      </c>
      <c r="U11663">
        <v>0</v>
      </c>
      <c r="V11663">
        <v>0</v>
      </c>
      <c r="W11663">
        <v>1</v>
      </c>
      <c r="X11663">
        <v>0</v>
      </c>
      <c r="Y11663">
        <v>1</v>
      </c>
      <c r="Z11663">
        <v>0</v>
      </c>
      <c r="AA11663">
        <v>1</v>
      </c>
      <c r="AB11663">
        <v>0</v>
      </c>
      <c r="AC11663">
        <v>0</v>
      </c>
      <c r="AD11663">
        <v>1</v>
      </c>
      <c r="AE11663">
        <v>1</v>
      </c>
      <c r="AF11663">
        <v>1</v>
      </c>
      <c r="AG11663">
        <v>1</v>
      </c>
      <c r="AH11663">
        <v>1</v>
      </c>
      <c r="AI11663">
        <v>1</v>
      </c>
      <c r="AJ11663">
        <v>1</v>
      </c>
      <c r="AK11663">
        <v>1</v>
      </c>
      <c r="AL11663">
        <v>1</v>
      </c>
      <c r="AM11663">
        <v>1</v>
      </c>
    </row>
    <row r="11664" spans="1:39" x14ac:dyDescent="0.2">
      <c r="A11664" t="str">
        <f>"11660"</f>
        <v>11660</v>
      </c>
      <c r="B11664" t="str">
        <f t="shared" si="648"/>
        <v>1</v>
      </c>
      <c r="C11664" t="str">
        <f t="shared" si="649"/>
        <v>234</v>
      </c>
      <c r="D11664" t="str">
        <f>"24"</f>
        <v>24</v>
      </c>
      <c r="E11664" t="str">
        <f>"1-234-24"</f>
        <v>1-234-24</v>
      </c>
      <c r="F11664" t="s">
        <v>65</v>
      </c>
      <c r="G11664" t="s">
        <v>66</v>
      </c>
      <c r="H11664" t="s">
        <v>67</v>
      </c>
      <c r="S11664">
        <v>1</v>
      </c>
      <c r="T11664">
        <v>0</v>
      </c>
      <c r="U11664">
        <v>0</v>
      </c>
      <c r="V11664">
        <v>0</v>
      </c>
      <c r="W11664">
        <v>0</v>
      </c>
      <c r="X11664">
        <v>1</v>
      </c>
      <c r="Y11664">
        <v>0</v>
      </c>
      <c r="Z11664">
        <v>1</v>
      </c>
      <c r="AA11664">
        <v>0</v>
      </c>
      <c r="AB11664">
        <v>1</v>
      </c>
      <c r="AC11664">
        <v>0</v>
      </c>
      <c r="AD11664">
        <v>1</v>
      </c>
      <c r="AE11664">
        <v>1</v>
      </c>
      <c r="AF11664">
        <v>1</v>
      </c>
      <c r="AG11664">
        <v>1</v>
      </c>
      <c r="AH11664">
        <v>1</v>
      </c>
      <c r="AI11664">
        <v>1</v>
      </c>
      <c r="AJ11664">
        <v>1</v>
      </c>
      <c r="AK11664">
        <v>1</v>
      </c>
      <c r="AL11664">
        <v>1</v>
      </c>
      <c r="AM11664">
        <v>1</v>
      </c>
    </row>
    <row r="11665" spans="1:39" x14ac:dyDescent="0.2">
      <c r="A11665" t="str">
        <f>"11661"</f>
        <v>11661</v>
      </c>
      <c r="B11665" t="str">
        <f t="shared" si="648"/>
        <v>1</v>
      </c>
      <c r="C11665" t="str">
        <f t="shared" si="649"/>
        <v>234</v>
      </c>
      <c r="D11665" t="str">
        <f>"16"</f>
        <v>16</v>
      </c>
      <c r="E11665" t="str">
        <f>"1-234-16"</f>
        <v>1-234-16</v>
      </c>
      <c r="F11665" t="s">
        <v>65</v>
      </c>
      <c r="G11665" t="s">
        <v>66</v>
      </c>
      <c r="H11665" t="s">
        <v>67</v>
      </c>
      <c r="S11665">
        <v>0</v>
      </c>
      <c r="T11665">
        <v>1</v>
      </c>
      <c r="U11665">
        <v>0</v>
      </c>
      <c r="V11665">
        <v>0</v>
      </c>
      <c r="W11665">
        <v>0</v>
      </c>
      <c r="X11665">
        <v>1</v>
      </c>
      <c r="Y11665">
        <v>0</v>
      </c>
      <c r="Z11665">
        <v>1</v>
      </c>
      <c r="AA11665">
        <v>0</v>
      </c>
      <c r="AB11665">
        <v>0</v>
      </c>
      <c r="AC11665">
        <v>1</v>
      </c>
      <c r="AD11665">
        <v>1</v>
      </c>
      <c r="AE11665">
        <v>1</v>
      </c>
      <c r="AF11665">
        <v>1</v>
      </c>
      <c r="AG11665">
        <v>1</v>
      </c>
      <c r="AH11665">
        <v>1</v>
      </c>
      <c r="AI11665">
        <v>1</v>
      </c>
      <c r="AJ11665">
        <v>1</v>
      </c>
      <c r="AK11665">
        <v>1</v>
      </c>
      <c r="AL11665">
        <v>1</v>
      </c>
      <c r="AM11665">
        <v>1</v>
      </c>
    </row>
    <row r="11666" spans="1:39" x14ac:dyDescent="0.2">
      <c r="A11666" t="str">
        <f>"11662"</f>
        <v>11662</v>
      </c>
      <c r="B11666" t="str">
        <f t="shared" si="648"/>
        <v>1</v>
      </c>
      <c r="C11666" t="str">
        <f t="shared" si="649"/>
        <v>234</v>
      </c>
      <c r="D11666" t="str">
        <f>"2"</f>
        <v>2</v>
      </c>
      <c r="E11666" t="str">
        <f>"1-234-2"</f>
        <v>1-234-2</v>
      </c>
      <c r="F11666" t="s">
        <v>65</v>
      </c>
      <c r="G11666" t="s">
        <v>66</v>
      </c>
      <c r="H11666" t="s">
        <v>67</v>
      </c>
      <c r="S11666">
        <v>0</v>
      </c>
      <c r="T11666">
        <v>1</v>
      </c>
      <c r="U11666">
        <v>0</v>
      </c>
      <c r="V11666">
        <v>0</v>
      </c>
      <c r="W11666">
        <v>1</v>
      </c>
      <c r="X11666">
        <v>0</v>
      </c>
      <c r="Y11666">
        <v>0</v>
      </c>
      <c r="Z11666">
        <v>1</v>
      </c>
      <c r="AA11666">
        <v>0</v>
      </c>
      <c r="AB11666">
        <v>1</v>
      </c>
      <c r="AC11666">
        <v>0</v>
      </c>
      <c r="AD11666">
        <v>1</v>
      </c>
      <c r="AE11666">
        <v>1</v>
      </c>
      <c r="AF11666">
        <v>1</v>
      </c>
      <c r="AG11666">
        <v>1</v>
      </c>
      <c r="AH11666">
        <v>1</v>
      </c>
      <c r="AI11666">
        <v>1</v>
      </c>
      <c r="AJ11666">
        <v>1</v>
      </c>
      <c r="AK11666">
        <v>1</v>
      </c>
      <c r="AL11666">
        <v>1</v>
      </c>
      <c r="AM11666">
        <v>1</v>
      </c>
    </row>
    <row r="11667" spans="1:39" x14ac:dyDescent="0.2">
      <c r="A11667" t="str">
        <f>"11663"</f>
        <v>11663</v>
      </c>
      <c r="B11667" t="str">
        <f t="shared" si="648"/>
        <v>1</v>
      </c>
      <c r="C11667" t="str">
        <f t="shared" si="649"/>
        <v>234</v>
      </c>
      <c r="D11667" t="str">
        <f>"42"</f>
        <v>42</v>
      </c>
      <c r="E11667" t="str">
        <f>"1-234-42"</f>
        <v>1-234-42</v>
      </c>
      <c r="F11667" t="s">
        <v>65</v>
      </c>
      <c r="G11667" t="s">
        <v>66</v>
      </c>
      <c r="H11667" t="s">
        <v>67</v>
      </c>
      <c r="S11667">
        <v>0</v>
      </c>
      <c r="T11667">
        <v>1</v>
      </c>
      <c r="U11667">
        <v>0</v>
      </c>
      <c r="V11667">
        <v>0</v>
      </c>
      <c r="W11667">
        <v>1</v>
      </c>
      <c r="X11667">
        <v>0</v>
      </c>
      <c r="Y11667">
        <v>1</v>
      </c>
      <c r="Z11667">
        <v>0</v>
      </c>
      <c r="AA11667">
        <v>1</v>
      </c>
      <c r="AB11667">
        <v>0</v>
      </c>
      <c r="AC11667">
        <v>0</v>
      </c>
      <c r="AD11667">
        <v>0</v>
      </c>
      <c r="AE11667">
        <v>0</v>
      </c>
      <c r="AF11667">
        <v>0</v>
      </c>
      <c r="AG11667">
        <v>0</v>
      </c>
      <c r="AH11667">
        <v>0</v>
      </c>
      <c r="AI11667">
        <v>0</v>
      </c>
      <c r="AJ11667">
        <v>0</v>
      </c>
      <c r="AK11667">
        <v>0</v>
      </c>
      <c r="AL11667">
        <v>0</v>
      </c>
      <c r="AM11667">
        <v>0</v>
      </c>
    </row>
    <row r="11668" spans="1:39" x14ac:dyDescent="0.2">
      <c r="A11668" t="str">
        <f>"11664"</f>
        <v>11664</v>
      </c>
      <c r="B11668" t="str">
        <f t="shared" si="648"/>
        <v>1</v>
      </c>
      <c r="C11668" t="str">
        <f t="shared" si="649"/>
        <v>234</v>
      </c>
      <c r="D11668" t="str">
        <f>"41"</f>
        <v>41</v>
      </c>
      <c r="E11668" t="str">
        <f>"1-234-41"</f>
        <v>1-234-41</v>
      </c>
      <c r="F11668" t="s">
        <v>65</v>
      </c>
      <c r="G11668" t="s">
        <v>66</v>
      </c>
      <c r="H11668" t="s">
        <v>67</v>
      </c>
      <c r="S11668">
        <v>1</v>
      </c>
      <c r="T11668">
        <v>0</v>
      </c>
      <c r="U11668">
        <v>0</v>
      </c>
      <c r="V11668">
        <v>0</v>
      </c>
      <c r="W11668">
        <v>1</v>
      </c>
      <c r="X11668">
        <v>0</v>
      </c>
      <c r="Y11668">
        <v>1</v>
      </c>
      <c r="Z11668">
        <v>0</v>
      </c>
      <c r="AA11668">
        <v>0</v>
      </c>
      <c r="AB11668">
        <v>1</v>
      </c>
      <c r="AC11668">
        <v>0</v>
      </c>
      <c r="AD11668">
        <v>0</v>
      </c>
      <c r="AE11668">
        <v>0</v>
      </c>
      <c r="AF11668">
        <v>0</v>
      </c>
      <c r="AG11668">
        <v>0</v>
      </c>
      <c r="AH11668">
        <v>0</v>
      </c>
      <c r="AI11668">
        <v>0</v>
      </c>
      <c r="AJ11668">
        <v>0</v>
      </c>
      <c r="AK11668">
        <v>0</v>
      </c>
      <c r="AL11668">
        <v>1</v>
      </c>
      <c r="AM11668">
        <v>0</v>
      </c>
    </row>
    <row r="11669" spans="1:39" x14ac:dyDescent="0.2">
      <c r="A11669" t="str">
        <f>"11665"</f>
        <v>11665</v>
      </c>
      <c r="B11669" t="str">
        <f t="shared" si="648"/>
        <v>1</v>
      </c>
      <c r="C11669" t="str">
        <f t="shared" si="649"/>
        <v>234</v>
      </c>
      <c r="D11669" t="str">
        <f>"34"</f>
        <v>34</v>
      </c>
      <c r="E11669" t="str">
        <f>"1-234-34"</f>
        <v>1-234-34</v>
      </c>
      <c r="F11669" t="s">
        <v>65</v>
      </c>
      <c r="G11669" t="s">
        <v>66</v>
      </c>
      <c r="H11669" t="s">
        <v>67</v>
      </c>
      <c r="S11669">
        <v>1</v>
      </c>
      <c r="T11669">
        <v>0</v>
      </c>
      <c r="U11669">
        <v>0</v>
      </c>
      <c r="V11669">
        <v>0</v>
      </c>
      <c r="W11669">
        <v>1</v>
      </c>
      <c r="X11669">
        <v>0</v>
      </c>
      <c r="Y11669">
        <v>0</v>
      </c>
      <c r="Z11669">
        <v>1</v>
      </c>
      <c r="AA11669">
        <v>0</v>
      </c>
      <c r="AB11669">
        <v>1</v>
      </c>
      <c r="AC11669">
        <v>0</v>
      </c>
      <c r="AD11669">
        <v>1</v>
      </c>
      <c r="AE11669">
        <v>1</v>
      </c>
      <c r="AF11669">
        <v>1</v>
      </c>
      <c r="AG11669">
        <v>1</v>
      </c>
      <c r="AH11669">
        <v>1</v>
      </c>
      <c r="AI11669">
        <v>1</v>
      </c>
      <c r="AJ11669">
        <v>1</v>
      </c>
      <c r="AK11669">
        <v>1</v>
      </c>
      <c r="AL11669">
        <v>1</v>
      </c>
      <c r="AM11669">
        <v>1</v>
      </c>
    </row>
    <row r="11670" spans="1:39" x14ac:dyDescent="0.2">
      <c r="A11670" t="str">
        <f>"11666"</f>
        <v>11666</v>
      </c>
      <c r="B11670" t="str">
        <f t="shared" si="648"/>
        <v>1</v>
      </c>
      <c r="C11670" t="str">
        <f t="shared" si="649"/>
        <v>234</v>
      </c>
      <c r="D11670" t="str">
        <f>"17"</f>
        <v>17</v>
      </c>
      <c r="E11670" t="str">
        <f>"1-234-17"</f>
        <v>1-234-17</v>
      </c>
      <c r="F11670" t="s">
        <v>65</v>
      </c>
      <c r="G11670" t="s">
        <v>66</v>
      </c>
      <c r="H11670" t="s">
        <v>67</v>
      </c>
      <c r="S11670">
        <v>1</v>
      </c>
      <c r="T11670">
        <v>0</v>
      </c>
      <c r="U11670">
        <v>0</v>
      </c>
      <c r="V11670">
        <v>0</v>
      </c>
      <c r="W11670">
        <v>1</v>
      </c>
      <c r="X11670">
        <v>0</v>
      </c>
      <c r="Y11670">
        <v>0</v>
      </c>
      <c r="Z11670">
        <v>1</v>
      </c>
      <c r="AA11670">
        <v>0</v>
      </c>
      <c r="AB11670">
        <v>0</v>
      </c>
      <c r="AC11670">
        <v>1</v>
      </c>
      <c r="AD11670">
        <v>1</v>
      </c>
      <c r="AE11670">
        <v>1</v>
      </c>
      <c r="AF11670">
        <v>1</v>
      </c>
      <c r="AG11670">
        <v>1</v>
      </c>
      <c r="AH11670">
        <v>1</v>
      </c>
      <c r="AI11670">
        <v>1</v>
      </c>
      <c r="AJ11670">
        <v>1</v>
      </c>
      <c r="AK11670">
        <v>1</v>
      </c>
      <c r="AL11670">
        <v>1</v>
      </c>
      <c r="AM11670">
        <v>1</v>
      </c>
    </row>
    <row r="11671" spans="1:39" x14ac:dyDescent="0.2">
      <c r="A11671" t="str">
        <f>"11667"</f>
        <v>11667</v>
      </c>
      <c r="B11671" t="str">
        <f t="shared" si="648"/>
        <v>1</v>
      </c>
      <c r="C11671" t="str">
        <f t="shared" si="649"/>
        <v>234</v>
      </c>
      <c r="D11671" t="str">
        <f>"5"</f>
        <v>5</v>
      </c>
      <c r="E11671" t="str">
        <f>"1-234-5"</f>
        <v>1-234-5</v>
      </c>
      <c r="F11671" t="s">
        <v>65</v>
      </c>
      <c r="G11671" t="s">
        <v>66</v>
      </c>
      <c r="H11671" t="s">
        <v>67</v>
      </c>
      <c r="S11671">
        <v>1</v>
      </c>
      <c r="T11671">
        <v>0</v>
      </c>
      <c r="U11671">
        <v>0</v>
      </c>
      <c r="V11671">
        <v>0</v>
      </c>
      <c r="W11671">
        <v>1</v>
      </c>
      <c r="X11671">
        <v>0</v>
      </c>
      <c r="Y11671">
        <v>1</v>
      </c>
      <c r="Z11671">
        <v>0</v>
      </c>
      <c r="AA11671">
        <v>0</v>
      </c>
      <c r="AB11671">
        <v>0</v>
      </c>
      <c r="AC11671">
        <v>1</v>
      </c>
      <c r="AD11671">
        <v>1</v>
      </c>
      <c r="AE11671">
        <v>1</v>
      </c>
      <c r="AF11671">
        <v>1</v>
      </c>
      <c r="AG11671">
        <v>1</v>
      </c>
      <c r="AH11671">
        <v>1</v>
      </c>
      <c r="AI11671">
        <v>1</v>
      </c>
      <c r="AJ11671">
        <v>1</v>
      </c>
      <c r="AK11671">
        <v>1</v>
      </c>
      <c r="AL11671">
        <v>1</v>
      </c>
      <c r="AM11671">
        <v>1</v>
      </c>
    </row>
    <row r="11672" spans="1:39" x14ac:dyDescent="0.2">
      <c r="A11672" t="str">
        <f>"11668"</f>
        <v>11668</v>
      </c>
      <c r="B11672" t="str">
        <f t="shared" si="648"/>
        <v>1</v>
      </c>
      <c r="C11672" t="str">
        <f t="shared" si="649"/>
        <v>234</v>
      </c>
      <c r="D11672" t="str">
        <f>"40"</f>
        <v>40</v>
      </c>
      <c r="E11672" t="str">
        <f>"1-234-40"</f>
        <v>1-234-40</v>
      </c>
      <c r="F11672" t="s">
        <v>65</v>
      </c>
      <c r="G11672" t="s">
        <v>66</v>
      </c>
      <c r="H11672" t="s">
        <v>67</v>
      </c>
      <c r="S11672">
        <v>1</v>
      </c>
      <c r="T11672">
        <v>0</v>
      </c>
      <c r="U11672">
        <v>0</v>
      </c>
      <c r="V11672">
        <v>0</v>
      </c>
      <c r="W11672">
        <v>1</v>
      </c>
      <c r="X11672">
        <v>0</v>
      </c>
      <c r="Y11672">
        <v>1</v>
      </c>
      <c r="Z11672">
        <v>0</v>
      </c>
      <c r="AA11672">
        <v>0</v>
      </c>
      <c r="AB11672">
        <v>0</v>
      </c>
      <c r="AC11672">
        <v>1</v>
      </c>
      <c r="AD11672">
        <v>0</v>
      </c>
      <c r="AE11672">
        <v>0</v>
      </c>
      <c r="AF11672">
        <v>0</v>
      </c>
      <c r="AG11672">
        <v>0</v>
      </c>
      <c r="AH11672">
        <v>0</v>
      </c>
      <c r="AI11672">
        <v>0</v>
      </c>
      <c r="AJ11672">
        <v>0</v>
      </c>
      <c r="AK11672">
        <v>0</v>
      </c>
      <c r="AL11672">
        <v>0</v>
      </c>
      <c r="AM11672">
        <v>0</v>
      </c>
    </row>
    <row r="11673" spans="1:39" x14ac:dyDescent="0.2">
      <c r="A11673" t="str">
        <f>"11669"</f>
        <v>11669</v>
      </c>
      <c r="B11673" t="str">
        <f t="shared" si="648"/>
        <v>1</v>
      </c>
      <c r="C11673" t="str">
        <f t="shared" si="649"/>
        <v>234</v>
      </c>
      <c r="D11673" t="str">
        <f>"39"</f>
        <v>39</v>
      </c>
      <c r="E11673" t="str">
        <f>"1-234-39"</f>
        <v>1-234-39</v>
      </c>
      <c r="F11673" t="s">
        <v>65</v>
      </c>
      <c r="G11673" t="s">
        <v>66</v>
      </c>
      <c r="H11673" t="s">
        <v>67</v>
      </c>
      <c r="S11673">
        <v>0</v>
      </c>
      <c r="T11673">
        <v>1</v>
      </c>
      <c r="U11673">
        <v>0</v>
      </c>
      <c r="V11673">
        <v>0</v>
      </c>
      <c r="W11673">
        <v>1</v>
      </c>
      <c r="X11673">
        <v>0</v>
      </c>
      <c r="Y11673">
        <v>1</v>
      </c>
      <c r="Z11673">
        <v>0</v>
      </c>
      <c r="AA11673">
        <v>0</v>
      </c>
      <c r="AB11673">
        <v>0</v>
      </c>
      <c r="AC11673">
        <v>1</v>
      </c>
      <c r="AD11673">
        <v>1</v>
      </c>
      <c r="AE11673">
        <v>1</v>
      </c>
      <c r="AF11673">
        <v>1</v>
      </c>
      <c r="AG11673">
        <v>1</v>
      </c>
      <c r="AH11673">
        <v>1</v>
      </c>
      <c r="AI11673">
        <v>1</v>
      </c>
      <c r="AJ11673">
        <v>1</v>
      </c>
      <c r="AK11673">
        <v>1</v>
      </c>
      <c r="AL11673">
        <v>1</v>
      </c>
      <c r="AM11673">
        <v>1</v>
      </c>
    </row>
    <row r="11674" spans="1:39" x14ac:dyDescent="0.2">
      <c r="A11674" t="str">
        <f>"11670"</f>
        <v>11670</v>
      </c>
      <c r="B11674" t="str">
        <f t="shared" si="648"/>
        <v>1</v>
      </c>
      <c r="C11674" t="str">
        <f t="shared" si="649"/>
        <v>234</v>
      </c>
      <c r="D11674" t="str">
        <f>"33"</f>
        <v>33</v>
      </c>
      <c r="E11674" t="str">
        <f>"1-234-33"</f>
        <v>1-234-33</v>
      </c>
      <c r="F11674" t="s">
        <v>65</v>
      </c>
      <c r="G11674" t="s">
        <v>66</v>
      </c>
      <c r="H11674" t="s">
        <v>67</v>
      </c>
      <c r="S11674">
        <v>1</v>
      </c>
      <c r="T11674">
        <v>0</v>
      </c>
      <c r="U11674">
        <v>0</v>
      </c>
      <c r="V11674">
        <v>0</v>
      </c>
      <c r="W11674">
        <v>1</v>
      </c>
      <c r="X11674">
        <v>0</v>
      </c>
      <c r="Y11674">
        <v>0</v>
      </c>
      <c r="Z11674">
        <v>1</v>
      </c>
      <c r="AA11674">
        <v>1</v>
      </c>
      <c r="AB11674">
        <v>0</v>
      </c>
      <c r="AC11674">
        <v>0</v>
      </c>
      <c r="AD11674">
        <v>0</v>
      </c>
      <c r="AE11674">
        <v>0</v>
      </c>
      <c r="AF11674">
        <v>0</v>
      </c>
      <c r="AG11674">
        <v>0</v>
      </c>
      <c r="AH11674">
        <v>0</v>
      </c>
      <c r="AI11674">
        <v>0</v>
      </c>
      <c r="AJ11674">
        <v>0</v>
      </c>
      <c r="AK11674">
        <v>0</v>
      </c>
      <c r="AL11674">
        <v>0</v>
      </c>
      <c r="AM11674">
        <v>0</v>
      </c>
    </row>
    <row r="11675" spans="1:39" x14ac:dyDescent="0.2">
      <c r="A11675" t="str">
        <f>"11671"</f>
        <v>11671</v>
      </c>
      <c r="B11675" t="str">
        <f t="shared" si="648"/>
        <v>1</v>
      </c>
      <c r="C11675" t="str">
        <f t="shared" si="649"/>
        <v>234</v>
      </c>
      <c r="D11675" t="str">
        <f>"18"</f>
        <v>18</v>
      </c>
      <c r="E11675" t="str">
        <f>"1-234-18"</f>
        <v>1-234-18</v>
      </c>
      <c r="F11675" t="s">
        <v>65</v>
      </c>
      <c r="G11675" t="s">
        <v>66</v>
      </c>
      <c r="H11675" t="s">
        <v>67</v>
      </c>
      <c r="S11675">
        <v>0</v>
      </c>
      <c r="T11675">
        <v>1</v>
      </c>
      <c r="U11675">
        <v>0</v>
      </c>
      <c r="V11675">
        <v>0</v>
      </c>
      <c r="W11675">
        <v>0</v>
      </c>
      <c r="X11675">
        <v>1</v>
      </c>
      <c r="Y11675">
        <v>0</v>
      </c>
      <c r="Z11675">
        <v>1</v>
      </c>
      <c r="AA11675">
        <v>1</v>
      </c>
      <c r="AB11675">
        <v>0</v>
      </c>
      <c r="AC11675">
        <v>0</v>
      </c>
      <c r="AD11675">
        <v>1</v>
      </c>
      <c r="AE11675">
        <v>1</v>
      </c>
      <c r="AF11675">
        <v>1</v>
      </c>
      <c r="AG11675">
        <v>1</v>
      </c>
      <c r="AH11675">
        <v>0</v>
      </c>
      <c r="AI11675">
        <v>1</v>
      </c>
      <c r="AJ11675">
        <v>1</v>
      </c>
      <c r="AK11675">
        <v>1</v>
      </c>
      <c r="AL11675">
        <v>0</v>
      </c>
      <c r="AM11675">
        <v>1</v>
      </c>
    </row>
    <row r="11676" spans="1:39" x14ac:dyDescent="0.2">
      <c r="A11676" t="str">
        <f>"11672"</f>
        <v>11672</v>
      </c>
      <c r="B11676" t="str">
        <f t="shared" si="648"/>
        <v>1</v>
      </c>
      <c r="C11676" t="str">
        <f t="shared" si="649"/>
        <v>234</v>
      </c>
      <c r="D11676" t="str">
        <f>"12"</f>
        <v>12</v>
      </c>
      <c r="E11676" t="str">
        <f>"1-234-12"</f>
        <v>1-234-12</v>
      </c>
      <c r="F11676" t="s">
        <v>65</v>
      </c>
      <c r="G11676" t="s">
        <v>66</v>
      </c>
      <c r="H11676" t="s">
        <v>67</v>
      </c>
      <c r="S11676">
        <v>0</v>
      </c>
      <c r="T11676">
        <v>0</v>
      </c>
      <c r="U11676">
        <v>0</v>
      </c>
      <c r="V11676">
        <v>0</v>
      </c>
      <c r="W11676">
        <v>1</v>
      </c>
      <c r="X11676">
        <v>0</v>
      </c>
      <c r="Y11676">
        <v>0</v>
      </c>
      <c r="Z11676">
        <v>0</v>
      </c>
      <c r="AA11676">
        <v>1</v>
      </c>
      <c r="AB11676">
        <v>0</v>
      </c>
      <c r="AC11676">
        <v>0</v>
      </c>
      <c r="AD11676">
        <v>0</v>
      </c>
      <c r="AE11676">
        <v>0</v>
      </c>
      <c r="AF11676">
        <v>0</v>
      </c>
      <c r="AG11676">
        <v>0</v>
      </c>
      <c r="AH11676">
        <v>0</v>
      </c>
      <c r="AI11676">
        <v>0</v>
      </c>
      <c r="AJ11676">
        <v>0</v>
      </c>
      <c r="AK11676">
        <v>0</v>
      </c>
      <c r="AL11676">
        <v>0</v>
      </c>
      <c r="AM11676">
        <v>0</v>
      </c>
    </row>
    <row r="11677" spans="1:39" x14ac:dyDescent="0.2">
      <c r="A11677" t="str">
        <f>"11673"</f>
        <v>11673</v>
      </c>
      <c r="B11677" t="str">
        <f t="shared" si="648"/>
        <v>1</v>
      </c>
      <c r="C11677" t="str">
        <f t="shared" si="649"/>
        <v>234</v>
      </c>
      <c r="D11677" t="str">
        <f>"20"</f>
        <v>20</v>
      </c>
      <c r="E11677" t="str">
        <f>"1-234-20"</f>
        <v>1-234-20</v>
      </c>
      <c r="F11677" t="s">
        <v>65</v>
      </c>
      <c r="G11677" t="s">
        <v>66</v>
      </c>
      <c r="H11677" t="s">
        <v>67</v>
      </c>
      <c r="S11677">
        <v>1</v>
      </c>
      <c r="T11677">
        <v>0</v>
      </c>
      <c r="U11677">
        <v>0</v>
      </c>
      <c r="V11677">
        <v>0</v>
      </c>
      <c r="W11677">
        <v>1</v>
      </c>
      <c r="X11677">
        <v>0</v>
      </c>
      <c r="Y11677">
        <v>0</v>
      </c>
      <c r="Z11677">
        <v>0</v>
      </c>
      <c r="AA11677">
        <v>1</v>
      </c>
      <c r="AB11677">
        <v>0</v>
      </c>
      <c r="AC11677">
        <v>0</v>
      </c>
      <c r="AD11677">
        <v>0</v>
      </c>
      <c r="AE11677">
        <v>0</v>
      </c>
      <c r="AF11677">
        <v>0</v>
      </c>
      <c r="AG11677">
        <v>0</v>
      </c>
      <c r="AH11677">
        <v>0</v>
      </c>
      <c r="AI11677">
        <v>1</v>
      </c>
      <c r="AJ11677">
        <v>0</v>
      </c>
      <c r="AK11677">
        <v>0</v>
      </c>
      <c r="AL11677">
        <v>1</v>
      </c>
      <c r="AM11677">
        <v>0</v>
      </c>
    </row>
    <row r="11678" spans="1:39" x14ac:dyDescent="0.2">
      <c r="A11678" t="str">
        <f>"11674"</f>
        <v>11674</v>
      </c>
      <c r="B11678" t="str">
        <f t="shared" si="648"/>
        <v>1</v>
      </c>
      <c r="C11678" t="str">
        <f t="shared" si="649"/>
        <v>234</v>
      </c>
      <c r="D11678" t="str">
        <f>"14"</f>
        <v>14</v>
      </c>
      <c r="E11678" t="str">
        <f>"1-234-14"</f>
        <v>1-234-14</v>
      </c>
      <c r="F11678" t="s">
        <v>65</v>
      </c>
      <c r="G11678" t="s">
        <v>66</v>
      </c>
      <c r="H11678" t="s">
        <v>67</v>
      </c>
      <c r="S11678">
        <v>1</v>
      </c>
      <c r="T11678">
        <v>0</v>
      </c>
      <c r="U11678">
        <v>0</v>
      </c>
      <c r="V11678">
        <v>0</v>
      </c>
      <c r="W11678">
        <v>1</v>
      </c>
      <c r="X11678">
        <v>0</v>
      </c>
      <c r="Y11678">
        <v>0</v>
      </c>
      <c r="Z11678">
        <v>1</v>
      </c>
      <c r="AA11678">
        <v>1</v>
      </c>
      <c r="AB11678">
        <v>0</v>
      </c>
      <c r="AC11678">
        <v>0</v>
      </c>
      <c r="AD11678">
        <v>1</v>
      </c>
      <c r="AE11678">
        <v>1</v>
      </c>
      <c r="AF11678">
        <v>1</v>
      </c>
      <c r="AG11678">
        <v>1</v>
      </c>
      <c r="AH11678">
        <v>1</v>
      </c>
      <c r="AI11678">
        <v>1</v>
      </c>
      <c r="AJ11678">
        <v>1</v>
      </c>
      <c r="AK11678">
        <v>1</v>
      </c>
      <c r="AL11678">
        <v>1</v>
      </c>
      <c r="AM11678">
        <v>1</v>
      </c>
    </row>
    <row r="11679" spans="1:39" x14ac:dyDescent="0.2">
      <c r="A11679" t="str">
        <f>"11675"</f>
        <v>11675</v>
      </c>
      <c r="B11679" t="str">
        <f t="shared" si="648"/>
        <v>1</v>
      </c>
      <c r="C11679" t="str">
        <f t="shared" si="649"/>
        <v>234</v>
      </c>
      <c r="D11679" t="str">
        <f>"43"</f>
        <v>43</v>
      </c>
      <c r="E11679" t="str">
        <f>"1-234-43"</f>
        <v>1-234-43</v>
      </c>
      <c r="F11679" t="s">
        <v>65</v>
      </c>
      <c r="G11679" t="s">
        <v>66</v>
      </c>
      <c r="H11679" t="s">
        <v>67</v>
      </c>
      <c r="S11679">
        <v>0</v>
      </c>
      <c r="T11679">
        <v>1</v>
      </c>
      <c r="U11679">
        <v>0</v>
      </c>
      <c r="V11679">
        <v>0</v>
      </c>
      <c r="W11679">
        <v>1</v>
      </c>
      <c r="X11679">
        <v>0</v>
      </c>
      <c r="Y11679">
        <v>1</v>
      </c>
      <c r="Z11679">
        <v>0</v>
      </c>
      <c r="AA11679">
        <v>1</v>
      </c>
      <c r="AB11679">
        <v>0</v>
      </c>
      <c r="AC11679">
        <v>0</v>
      </c>
      <c r="AD11679">
        <v>0</v>
      </c>
      <c r="AE11679">
        <v>0</v>
      </c>
      <c r="AF11679">
        <v>0</v>
      </c>
      <c r="AG11679">
        <v>0</v>
      </c>
      <c r="AH11679">
        <v>0</v>
      </c>
      <c r="AI11679">
        <v>0</v>
      </c>
      <c r="AJ11679">
        <v>0</v>
      </c>
      <c r="AK11679">
        <v>0</v>
      </c>
      <c r="AL11679">
        <v>0</v>
      </c>
      <c r="AM11679">
        <v>0</v>
      </c>
    </row>
    <row r="11680" spans="1:39" x14ac:dyDescent="0.2">
      <c r="A11680" t="str">
        <f>"11676"</f>
        <v>11676</v>
      </c>
      <c r="B11680" t="str">
        <f t="shared" si="648"/>
        <v>1</v>
      </c>
      <c r="C11680" t="str">
        <f t="shared" si="649"/>
        <v>234</v>
      </c>
      <c r="D11680" t="str">
        <f>"21"</f>
        <v>21</v>
      </c>
      <c r="E11680" t="str">
        <f>"1-234-21"</f>
        <v>1-234-21</v>
      </c>
      <c r="F11680" t="s">
        <v>65</v>
      </c>
      <c r="G11680" t="s">
        <v>66</v>
      </c>
      <c r="H11680" t="s">
        <v>67</v>
      </c>
      <c r="S11680">
        <v>1</v>
      </c>
      <c r="T11680">
        <v>0</v>
      </c>
      <c r="U11680">
        <v>0</v>
      </c>
      <c r="V11680">
        <v>0</v>
      </c>
      <c r="W11680">
        <v>1</v>
      </c>
      <c r="X11680">
        <v>0</v>
      </c>
      <c r="Y11680">
        <v>1</v>
      </c>
      <c r="Z11680">
        <v>0</v>
      </c>
      <c r="AA11680">
        <v>0</v>
      </c>
      <c r="AB11680">
        <v>0</v>
      </c>
      <c r="AC11680">
        <v>1</v>
      </c>
      <c r="AD11680">
        <v>0</v>
      </c>
      <c r="AE11680">
        <v>0</v>
      </c>
      <c r="AF11680">
        <v>0</v>
      </c>
      <c r="AG11680">
        <v>0</v>
      </c>
      <c r="AH11680">
        <v>0</v>
      </c>
      <c r="AI11680">
        <v>0</v>
      </c>
      <c r="AJ11680">
        <v>0</v>
      </c>
      <c r="AK11680">
        <v>0</v>
      </c>
      <c r="AL11680">
        <v>0</v>
      </c>
      <c r="AM11680">
        <v>0</v>
      </c>
    </row>
    <row r="11681" spans="1:39" x14ac:dyDescent="0.2">
      <c r="A11681" t="str">
        <f>"11677"</f>
        <v>11677</v>
      </c>
      <c r="B11681" t="str">
        <f t="shared" si="648"/>
        <v>1</v>
      </c>
      <c r="C11681" t="str">
        <f t="shared" si="649"/>
        <v>234</v>
      </c>
      <c r="D11681" t="str">
        <f>"10"</f>
        <v>10</v>
      </c>
      <c r="E11681" t="str">
        <f>"1-234-10"</f>
        <v>1-234-10</v>
      </c>
      <c r="F11681" t="s">
        <v>65</v>
      </c>
      <c r="G11681" t="s">
        <v>66</v>
      </c>
      <c r="H11681" t="s">
        <v>67</v>
      </c>
      <c r="S11681">
        <v>1</v>
      </c>
      <c r="T11681">
        <v>0</v>
      </c>
      <c r="U11681">
        <v>0</v>
      </c>
      <c r="V11681">
        <v>0</v>
      </c>
      <c r="W11681">
        <v>1</v>
      </c>
      <c r="X11681">
        <v>0</v>
      </c>
      <c r="Y11681">
        <v>1</v>
      </c>
      <c r="Z11681">
        <v>0</v>
      </c>
      <c r="AA11681">
        <v>1</v>
      </c>
      <c r="AB11681">
        <v>0</v>
      </c>
      <c r="AC11681">
        <v>0</v>
      </c>
      <c r="AD11681">
        <v>1</v>
      </c>
      <c r="AE11681">
        <v>1</v>
      </c>
      <c r="AF11681">
        <v>1</v>
      </c>
      <c r="AG11681">
        <v>1</v>
      </c>
      <c r="AH11681">
        <v>1</v>
      </c>
      <c r="AI11681">
        <v>1</v>
      </c>
      <c r="AJ11681">
        <v>1</v>
      </c>
      <c r="AK11681">
        <v>1</v>
      </c>
      <c r="AL11681">
        <v>1</v>
      </c>
      <c r="AM11681">
        <v>1</v>
      </c>
    </row>
    <row r="11682" spans="1:39" x14ac:dyDescent="0.2">
      <c r="A11682" t="str">
        <f>"11678"</f>
        <v>11678</v>
      </c>
      <c r="B11682" t="str">
        <f t="shared" si="648"/>
        <v>1</v>
      </c>
      <c r="C11682" t="str">
        <f t="shared" si="649"/>
        <v>234</v>
      </c>
      <c r="D11682" t="str">
        <f>"45"</f>
        <v>45</v>
      </c>
      <c r="E11682" t="str">
        <f>"1-234-45"</f>
        <v>1-234-45</v>
      </c>
      <c r="F11682" t="s">
        <v>65</v>
      </c>
      <c r="G11682" t="s">
        <v>66</v>
      </c>
      <c r="H11682" t="s">
        <v>67</v>
      </c>
      <c r="S11682">
        <v>1</v>
      </c>
      <c r="T11682">
        <v>0</v>
      </c>
      <c r="U11682">
        <v>0</v>
      </c>
      <c r="V11682">
        <v>0</v>
      </c>
      <c r="W11682">
        <v>1</v>
      </c>
      <c r="X11682">
        <v>0</v>
      </c>
      <c r="Y11682">
        <v>1</v>
      </c>
      <c r="Z11682">
        <v>0</v>
      </c>
      <c r="AA11682">
        <v>1</v>
      </c>
      <c r="AB11682">
        <v>0</v>
      </c>
      <c r="AC11682">
        <v>0</v>
      </c>
      <c r="AD11682">
        <v>1</v>
      </c>
      <c r="AE11682">
        <v>1</v>
      </c>
      <c r="AF11682">
        <v>1</v>
      </c>
      <c r="AG11682">
        <v>1</v>
      </c>
      <c r="AH11682">
        <v>1</v>
      </c>
      <c r="AI11682">
        <v>1</v>
      </c>
      <c r="AJ11682">
        <v>1</v>
      </c>
      <c r="AK11682">
        <v>1</v>
      </c>
      <c r="AL11682">
        <v>1</v>
      </c>
      <c r="AM11682">
        <v>1</v>
      </c>
    </row>
    <row r="11683" spans="1:39" x14ac:dyDescent="0.2">
      <c r="A11683" t="str">
        <f>"11679"</f>
        <v>11679</v>
      </c>
      <c r="B11683" t="str">
        <f t="shared" si="648"/>
        <v>1</v>
      </c>
      <c r="C11683" t="str">
        <f t="shared" si="649"/>
        <v>234</v>
      </c>
      <c r="D11683" t="str">
        <f>"25"</f>
        <v>25</v>
      </c>
      <c r="E11683" t="str">
        <f>"1-234-25"</f>
        <v>1-234-25</v>
      </c>
      <c r="F11683" t="s">
        <v>65</v>
      </c>
      <c r="G11683" t="s">
        <v>66</v>
      </c>
      <c r="H11683" t="s">
        <v>67</v>
      </c>
      <c r="S11683">
        <v>1</v>
      </c>
      <c r="T11683">
        <v>0</v>
      </c>
      <c r="U11683">
        <v>0</v>
      </c>
      <c r="V11683">
        <v>0</v>
      </c>
      <c r="W11683">
        <v>1</v>
      </c>
      <c r="X11683">
        <v>0</v>
      </c>
      <c r="Y11683">
        <v>0</v>
      </c>
      <c r="Z11683">
        <v>1</v>
      </c>
      <c r="AA11683">
        <v>1</v>
      </c>
      <c r="AB11683">
        <v>0</v>
      </c>
      <c r="AC11683">
        <v>0</v>
      </c>
      <c r="AD11683">
        <v>1</v>
      </c>
      <c r="AE11683">
        <v>1</v>
      </c>
      <c r="AF11683">
        <v>1</v>
      </c>
      <c r="AG11683">
        <v>1</v>
      </c>
      <c r="AH11683">
        <v>1</v>
      </c>
      <c r="AI11683">
        <v>1</v>
      </c>
      <c r="AJ11683">
        <v>1</v>
      </c>
      <c r="AK11683">
        <v>1</v>
      </c>
      <c r="AL11683">
        <v>1</v>
      </c>
      <c r="AM11683">
        <v>1</v>
      </c>
    </row>
    <row r="11684" spans="1:39" x14ac:dyDescent="0.2">
      <c r="A11684" t="str">
        <f>"11680"</f>
        <v>11680</v>
      </c>
      <c r="B11684" t="str">
        <f t="shared" si="648"/>
        <v>1</v>
      </c>
      <c r="C11684" t="str">
        <f t="shared" si="649"/>
        <v>234</v>
      </c>
      <c r="D11684" t="str">
        <f>"4"</f>
        <v>4</v>
      </c>
      <c r="E11684" t="str">
        <f>"1-234-4"</f>
        <v>1-234-4</v>
      </c>
      <c r="F11684" t="s">
        <v>65</v>
      </c>
      <c r="G11684" t="s">
        <v>66</v>
      </c>
      <c r="H11684" t="s">
        <v>67</v>
      </c>
      <c r="S11684">
        <v>1</v>
      </c>
      <c r="T11684">
        <v>0</v>
      </c>
      <c r="U11684">
        <v>0</v>
      </c>
      <c r="V11684">
        <v>0</v>
      </c>
      <c r="W11684">
        <v>1</v>
      </c>
      <c r="X11684">
        <v>0</v>
      </c>
      <c r="Y11684">
        <v>0</v>
      </c>
      <c r="Z11684">
        <v>1</v>
      </c>
      <c r="AA11684">
        <v>0</v>
      </c>
      <c r="AB11684">
        <v>1</v>
      </c>
      <c r="AC11684">
        <v>0</v>
      </c>
      <c r="AD11684">
        <v>1</v>
      </c>
      <c r="AE11684">
        <v>1</v>
      </c>
      <c r="AF11684">
        <v>1</v>
      </c>
      <c r="AG11684">
        <v>1</v>
      </c>
      <c r="AH11684">
        <v>1</v>
      </c>
      <c r="AI11684">
        <v>1</v>
      </c>
      <c r="AJ11684">
        <v>1</v>
      </c>
      <c r="AK11684">
        <v>1</v>
      </c>
      <c r="AL11684">
        <v>1</v>
      </c>
      <c r="AM11684">
        <v>1</v>
      </c>
    </row>
    <row r="11685" spans="1:39" x14ac:dyDescent="0.2">
      <c r="A11685" t="str">
        <f>"11681"</f>
        <v>11681</v>
      </c>
      <c r="B11685" t="str">
        <f t="shared" si="648"/>
        <v>1</v>
      </c>
      <c r="C11685" t="str">
        <f t="shared" si="649"/>
        <v>234</v>
      </c>
      <c r="D11685" t="str">
        <f>"44"</f>
        <v>44</v>
      </c>
      <c r="E11685" t="str">
        <f>"1-234-44"</f>
        <v>1-234-44</v>
      </c>
      <c r="F11685" t="s">
        <v>65</v>
      </c>
      <c r="G11685" t="s">
        <v>66</v>
      </c>
      <c r="H11685" t="s">
        <v>67</v>
      </c>
      <c r="S11685">
        <v>0</v>
      </c>
      <c r="T11685">
        <v>1</v>
      </c>
      <c r="U11685">
        <v>0</v>
      </c>
      <c r="V11685">
        <v>0</v>
      </c>
      <c r="W11685">
        <v>1</v>
      </c>
      <c r="X11685">
        <v>0</v>
      </c>
      <c r="Y11685">
        <v>1</v>
      </c>
      <c r="Z11685">
        <v>0</v>
      </c>
      <c r="AA11685">
        <v>1</v>
      </c>
      <c r="AB11685">
        <v>0</v>
      </c>
      <c r="AC11685">
        <v>0</v>
      </c>
      <c r="AD11685">
        <v>0</v>
      </c>
      <c r="AE11685">
        <v>0</v>
      </c>
      <c r="AF11685">
        <v>0</v>
      </c>
      <c r="AG11685">
        <v>0</v>
      </c>
      <c r="AH11685">
        <v>0</v>
      </c>
      <c r="AI11685">
        <v>0</v>
      </c>
      <c r="AJ11685">
        <v>0</v>
      </c>
      <c r="AK11685">
        <v>0</v>
      </c>
      <c r="AL11685">
        <v>0</v>
      </c>
      <c r="AM11685">
        <v>0</v>
      </c>
    </row>
    <row r="11686" spans="1:39" x14ac:dyDescent="0.2">
      <c r="A11686" t="str">
        <f>"11682"</f>
        <v>11682</v>
      </c>
      <c r="B11686" t="str">
        <f t="shared" si="648"/>
        <v>1</v>
      </c>
      <c r="C11686" t="str">
        <f t="shared" si="649"/>
        <v>234</v>
      </c>
      <c r="D11686" t="str">
        <f>"26"</f>
        <v>26</v>
      </c>
      <c r="E11686" t="str">
        <f>"1-234-26"</f>
        <v>1-234-26</v>
      </c>
      <c r="F11686" t="s">
        <v>65</v>
      </c>
      <c r="G11686" t="s">
        <v>66</v>
      </c>
      <c r="H11686" t="s">
        <v>67</v>
      </c>
      <c r="S11686">
        <v>1</v>
      </c>
      <c r="T11686">
        <v>0</v>
      </c>
      <c r="U11686">
        <v>0</v>
      </c>
      <c r="V11686">
        <v>0</v>
      </c>
      <c r="W11686">
        <v>1</v>
      </c>
      <c r="X11686">
        <v>0</v>
      </c>
      <c r="Y11686">
        <v>1</v>
      </c>
      <c r="Z11686">
        <v>0</v>
      </c>
      <c r="AA11686">
        <v>1</v>
      </c>
      <c r="AB11686">
        <v>0</v>
      </c>
      <c r="AC11686">
        <v>0</v>
      </c>
      <c r="AD11686">
        <v>1</v>
      </c>
      <c r="AE11686">
        <v>1</v>
      </c>
      <c r="AF11686">
        <v>1</v>
      </c>
      <c r="AG11686">
        <v>1</v>
      </c>
      <c r="AH11686">
        <v>1</v>
      </c>
      <c r="AI11686">
        <v>1</v>
      </c>
      <c r="AJ11686">
        <v>1</v>
      </c>
      <c r="AK11686">
        <v>1</v>
      </c>
      <c r="AL11686">
        <v>1</v>
      </c>
      <c r="AM11686">
        <v>0</v>
      </c>
    </row>
    <row r="11687" spans="1:39" x14ac:dyDescent="0.2">
      <c r="A11687" t="str">
        <f>"11683"</f>
        <v>11683</v>
      </c>
      <c r="B11687" t="str">
        <f t="shared" si="648"/>
        <v>1</v>
      </c>
      <c r="C11687" t="str">
        <f t="shared" ref="C11687:C11704" si="650">"234"</f>
        <v>234</v>
      </c>
      <c r="D11687" t="str">
        <f>"9"</f>
        <v>9</v>
      </c>
      <c r="E11687" t="str">
        <f>"1-234-9"</f>
        <v>1-234-9</v>
      </c>
      <c r="F11687" t="s">
        <v>65</v>
      </c>
      <c r="G11687" t="s">
        <v>66</v>
      </c>
      <c r="H11687" t="s">
        <v>67</v>
      </c>
      <c r="S11687">
        <v>0</v>
      </c>
      <c r="T11687">
        <v>1</v>
      </c>
      <c r="U11687">
        <v>0</v>
      </c>
      <c r="V11687">
        <v>0</v>
      </c>
      <c r="W11687">
        <v>1</v>
      </c>
      <c r="X11687">
        <v>0</v>
      </c>
      <c r="Y11687">
        <v>0</v>
      </c>
      <c r="Z11687">
        <v>1</v>
      </c>
      <c r="AA11687">
        <v>0</v>
      </c>
      <c r="AB11687">
        <v>1</v>
      </c>
      <c r="AC11687">
        <v>0</v>
      </c>
      <c r="AD11687">
        <v>1</v>
      </c>
      <c r="AE11687">
        <v>1</v>
      </c>
      <c r="AF11687">
        <v>1</v>
      </c>
      <c r="AG11687">
        <v>1</v>
      </c>
      <c r="AH11687">
        <v>1</v>
      </c>
      <c r="AI11687">
        <v>1</v>
      </c>
      <c r="AJ11687">
        <v>1</v>
      </c>
      <c r="AK11687">
        <v>1</v>
      </c>
      <c r="AL11687">
        <v>1</v>
      </c>
      <c r="AM11687">
        <v>1</v>
      </c>
    </row>
    <row r="11688" spans="1:39" x14ac:dyDescent="0.2">
      <c r="A11688" t="str">
        <f>"11684"</f>
        <v>11684</v>
      </c>
      <c r="B11688" t="str">
        <f t="shared" si="648"/>
        <v>1</v>
      </c>
      <c r="C11688" t="str">
        <f t="shared" si="650"/>
        <v>234</v>
      </c>
      <c r="D11688" t="str">
        <f>"46"</f>
        <v>46</v>
      </c>
      <c r="E11688" t="str">
        <f>"1-234-46"</f>
        <v>1-234-46</v>
      </c>
      <c r="F11688" t="s">
        <v>65</v>
      </c>
      <c r="G11688" t="s">
        <v>66</v>
      </c>
      <c r="H11688" t="s">
        <v>67</v>
      </c>
      <c r="S11688">
        <v>1</v>
      </c>
      <c r="T11688">
        <v>0</v>
      </c>
      <c r="U11688">
        <v>0</v>
      </c>
      <c r="V11688">
        <v>0</v>
      </c>
      <c r="W11688">
        <v>1</v>
      </c>
      <c r="X11688">
        <v>0</v>
      </c>
      <c r="Y11688">
        <v>1</v>
      </c>
      <c r="Z11688">
        <v>0</v>
      </c>
      <c r="AA11688">
        <v>1</v>
      </c>
      <c r="AB11688">
        <v>0</v>
      </c>
      <c r="AC11688">
        <v>0</v>
      </c>
      <c r="AD11688">
        <v>1</v>
      </c>
      <c r="AE11688">
        <v>1</v>
      </c>
      <c r="AF11688">
        <v>1</v>
      </c>
      <c r="AG11688">
        <v>1</v>
      </c>
      <c r="AH11688">
        <v>1</v>
      </c>
      <c r="AI11688">
        <v>1</v>
      </c>
      <c r="AJ11688">
        <v>1</v>
      </c>
      <c r="AK11688">
        <v>1</v>
      </c>
      <c r="AL11688">
        <v>1</v>
      </c>
      <c r="AM11688">
        <v>1</v>
      </c>
    </row>
    <row r="11689" spans="1:39" x14ac:dyDescent="0.2">
      <c r="A11689" t="str">
        <f>"11685"</f>
        <v>11685</v>
      </c>
      <c r="B11689" t="str">
        <f t="shared" si="648"/>
        <v>1</v>
      </c>
      <c r="C11689" t="str">
        <f t="shared" si="650"/>
        <v>234</v>
      </c>
      <c r="D11689" t="str">
        <f>"27"</f>
        <v>27</v>
      </c>
      <c r="E11689" t="str">
        <f>"1-234-27"</f>
        <v>1-234-27</v>
      </c>
      <c r="F11689" t="s">
        <v>65</v>
      </c>
      <c r="G11689" t="s">
        <v>66</v>
      </c>
      <c r="H11689" t="s">
        <v>67</v>
      </c>
      <c r="S11689">
        <v>0</v>
      </c>
      <c r="T11689">
        <v>1</v>
      </c>
      <c r="U11689">
        <v>0</v>
      </c>
      <c r="V11689">
        <v>0</v>
      </c>
      <c r="W11689">
        <v>1</v>
      </c>
      <c r="X11689">
        <v>0</v>
      </c>
      <c r="Y11689">
        <v>0</v>
      </c>
      <c r="Z11689">
        <v>1</v>
      </c>
      <c r="AA11689">
        <v>0</v>
      </c>
      <c r="AB11689">
        <v>0</v>
      </c>
      <c r="AC11689">
        <v>1</v>
      </c>
      <c r="AD11689">
        <v>1</v>
      </c>
      <c r="AE11689">
        <v>1</v>
      </c>
      <c r="AF11689">
        <v>1</v>
      </c>
      <c r="AG11689">
        <v>1</v>
      </c>
      <c r="AH11689">
        <v>1</v>
      </c>
      <c r="AI11689">
        <v>1</v>
      </c>
      <c r="AJ11689">
        <v>1</v>
      </c>
      <c r="AK11689">
        <v>1</v>
      </c>
      <c r="AL11689">
        <v>1</v>
      </c>
      <c r="AM11689">
        <v>1</v>
      </c>
    </row>
    <row r="11690" spans="1:39" x14ac:dyDescent="0.2">
      <c r="A11690" t="str">
        <f>"11686"</f>
        <v>11686</v>
      </c>
      <c r="B11690" t="str">
        <f t="shared" si="648"/>
        <v>1</v>
      </c>
      <c r="C11690" t="str">
        <f t="shared" si="650"/>
        <v>234</v>
      </c>
      <c r="D11690" t="str">
        <f>"6"</f>
        <v>6</v>
      </c>
      <c r="E11690" t="str">
        <f>"1-234-6"</f>
        <v>1-234-6</v>
      </c>
      <c r="F11690" t="s">
        <v>65</v>
      </c>
      <c r="G11690" t="s">
        <v>66</v>
      </c>
      <c r="H11690" t="s">
        <v>67</v>
      </c>
      <c r="S11690">
        <v>1</v>
      </c>
      <c r="T11690">
        <v>0</v>
      </c>
      <c r="U11690">
        <v>0</v>
      </c>
      <c r="V11690">
        <v>0</v>
      </c>
      <c r="W11690">
        <v>1</v>
      </c>
      <c r="X11690">
        <v>0</v>
      </c>
      <c r="Y11690">
        <v>1</v>
      </c>
      <c r="Z11690">
        <v>0</v>
      </c>
      <c r="AA11690">
        <v>0</v>
      </c>
      <c r="AB11690">
        <v>0</v>
      </c>
      <c r="AC11690">
        <v>1</v>
      </c>
      <c r="AD11690">
        <v>1</v>
      </c>
      <c r="AE11690">
        <v>1</v>
      </c>
      <c r="AF11690">
        <v>1</v>
      </c>
      <c r="AG11690">
        <v>1</v>
      </c>
      <c r="AH11690">
        <v>0</v>
      </c>
      <c r="AI11690">
        <v>1</v>
      </c>
      <c r="AJ11690">
        <v>1</v>
      </c>
      <c r="AK11690">
        <v>1</v>
      </c>
      <c r="AL11690">
        <v>1</v>
      </c>
      <c r="AM11690">
        <v>1</v>
      </c>
    </row>
    <row r="11691" spans="1:39" x14ac:dyDescent="0.2">
      <c r="A11691" t="str">
        <f>"11687"</f>
        <v>11687</v>
      </c>
      <c r="B11691" t="str">
        <f t="shared" si="648"/>
        <v>1</v>
      </c>
      <c r="C11691" t="str">
        <f t="shared" si="650"/>
        <v>234</v>
      </c>
      <c r="D11691" t="str">
        <f>"48"</f>
        <v>48</v>
      </c>
      <c r="E11691" t="str">
        <f>"1-234-48"</f>
        <v>1-234-48</v>
      </c>
      <c r="F11691" t="s">
        <v>65</v>
      </c>
      <c r="G11691" t="s">
        <v>66</v>
      </c>
      <c r="H11691" t="s">
        <v>67</v>
      </c>
      <c r="S11691">
        <v>1</v>
      </c>
      <c r="T11691">
        <v>0</v>
      </c>
      <c r="U11691">
        <v>0</v>
      </c>
      <c r="V11691">
        <v>0</v>
      </c>
      <c r="W11691">
        <v>1</v>
      </c>
      <c r="X11691">
        <v>0</v>
      </c>
      <c r="Y11691">
        <v>1</v>
      </c>
      <c r="Z11691">
        <v>0</v>
      </c>
      <c r="AA11691">
        <v>0</v>
      </c>
      <c r="AB11691">
        <v>0</v>
      </c>
      <c r="AC11691">
        <v>1</v>
      </c>
      <c r="AD11691">
        <v>1</v>
      </c>
      <c r="AE11691">
        <v>1</v>
      </c>
      <c r="AF11691">
        <v>1</v>
      </c>
      <c r="AG11691">
        <v>1</v>
      </c>
      <c r="AH11691">
        <v>1</v>
      </c>
      <c r="AI11691">
        <v>1</v>
      </c>
      <c r="AJ11691">
        <v>1</v>
      </c>
      <c r="AK11691">
        <v>1</v>
      </c>
      <c r="AL11691">
        <v>1</v>
      </c>
      <c r="AM11691">
        <v>1</v>
      </c>
    </row>
    <row r="11692" spans="1:39" x14ac:dyDescent="0.2">
      <c r="A11692" t="str">
        <f>"11688"</f>
        <v>11688</v>
      </c>
      <c r="B11692" t="str">
        <f t="shared" si="648"/>
        <v>1</v>
      </c>
      <c r="C11692" t="str">
        <f t="shared" si="650"/>
        <v>234</v>
      </c>
      <c r="D11692" t="str">
        <f>"28"</f>
        <v>28</v>
      </c>
      <c r="E11692" t="str">
        <f>"1-234-28"</f>
        <v>1-234-28</v>
      </c>
      <c r="F11692" t="s">
        <v>65</v>
      </c>
      <c r="G11692" t="s">
        <v>66</v>
      </c>
      <c r="H11692" t="s">
        <v>67</v>
      </c>
      <c r="S11692">
        <v>0</v>
      </c>
      <c r="T11692">
        <v>1</v>
      </c>
      <c r="U11692">
        <v>0</v>
      </c>
      <c r="V11692">
        <v>0</v>
      </c>
      <c r="W11692">
        <v>0</v>
      </c>
      <c r="X11692">
        <v>1</v>
      </c>
      <c r="Y11692">
        <v>1</v>
      </c>
      <c r="Z11692">
        <v>0</v>
      </c>
      <c r="AA11692">
        <v>0</v>
      </c>
      <c r="AB11692">
        <v>0</v>
      </c>
      <c r="AC11692">
        <v>1</v>
      </c>
      <c r="AD11692">
        <v>0</v>
      </c>
      <c r="AE11692">
        <v>0</v>
      </c>
      <c r="AF11692">
        <v>0</v>
      </c>
      <c r="AG11692">
        <v>1</v>
      </c>
      <c r="AH11692">
        <v>1</v>
      </c>
      <c r="AI11692">
        <v>1</v>
      </c>
      <c r="AJ11692">
        <v>1</v>
      </c>
      <c r="AK11692">
        <v>1</v>
      </c>
      <c r="AL11692">
        <v>1</v>
      </c>
      <c r="AM11692">
        <v>0</v>
      </c>
    </row>
    <row r="11693" spans="1:39" x14ac:dyDescent="0.2">
      <c r="A11693" t="str">
        <f>"11689"</f>
        <v>11689</v>
      </c>
      <c r="B11693" t="str">
        <f t="shared" si="648"/>
        <v>1</v>
      </c>
      <c r="C11693" t="str">
        <f t="shared" si="650"/>
        <v>234</v>
      </c>
      <c r="D11693" t="str">
        <f>"3"</f>
        <v>3</v>
      </c>
      <c r="E11693" t="str">
        <f>"1-234-3"</f>
        <v>1-234-3</v>
      </c>
      <c r="F11693" t="s">
        <v>65</v>
      </c>
      <c r="G11693" t="s">
        <v>66</v>
      </c>
      <c r="H11693" t="s">
        <v>67</v>
      </c>
      <c r="S11693">
        <v>1</v>
      </c>
      <c r="T11693">
        <v>0</v>
      </c>
      <c r="U11693">
        <v>0</v>
      </c>
      <c r="V11693">
        <v>0</v>
      </c>
      <c r="W11693">
        <v>1</v>
      </c>
      <c r="X11693">
        <v>0</v>
      </c>
      <c r="Y11693">
        <v>1</v>
      </c>
      <c r="Z11693">
        <v>0</v>
      </c>
      <c r="AA11693">
        <v>0</v>
      </c>
      <c r="AB11693">
        <v>0</v>
      </c>
      <c r="AC11693">
        <v>1</v>
      </c>
      <c r="AD11693">
        <v>1</v>
      </c>
      <c r="AE11693">
        <v>1</v>
      </c>
      <c r="AF11693">
        <v>1</v>
      </c>
      <c r="AG11693">
        <v>1</v>
      </c>
      <c r="AH11693">
        <v>0</v>
      </c>
      <c r="AI11693">
        <v>1</v>
      </c>
      <c r="AJ11693">
        <v>1</v>
      </c>
      <c r="AK11693">
        <v>1</v>
      </c>
      <c r="AL11693">
        <v>1</v>
      </c>
      <c r="AM11693">
        <v>1</v>
      </c>
    </row>
    <row r="11694" spans="1:39" x14ac:dyDescent="0.2">
      <c r="A11694" t="str">
        <f>"11690"</f>
        <v>11690</v>
      </c>
      <c r="B11694" t="str">
        <f t="shared" si="648"/>
        <v>1</v>
      </c>
      <c r="C11694" t="str">
        <f t="shared" si="650"/>
        <v>234</v>
      </c>
      <c r="D11694" t="str">
        <f>"47"</f>
        <v>47</v>
      </c>
      <c r="E11694" t="str">
        <f>"1-234-47"</f>
        <v>1-234-47</v>
      </c>
      <c r="F11694" t="s">
        <v>65</v>
      </c>
      <c r="G11694" t="s">
        <v>66</v>
      </c>
      <c r="H11694" t="s">
        <v>67</v>
      </c>
      <c r="S11694">
        <v>1</v>
      </c>
      <c r="T11694">
        <v>0</v>
      </c>
      <c r="U11694">
        <v>0</v>
      </c>
      <c r="V11694">
        <v>0</v>
      </c>
      <c r="W11694">
        <v>1</v>
      </c>
      <c r="X11694">
        <v>0</v>
      </c>
      <c r="Y11694">
        <v>1</v>
      </c>
      <c r="Z11694">
        <v>0</v>
      </c>
      <c r="AA11694">
        <v>1</v>
      </c>
      <c r="AB11694">
        <v>0</v>
      </c>
      <c r="AC11694">
        <v>0</v>
      </c>
      <c r="AD11694">
        <v>1</v>
      </c>
      <c r="AE11694">
        <v>1</v>
      </c>
      <c r="AF11694">
        <v>1</v>
      </c>
      <c r="AG11694">
        <v>1</v>
      </c>
      <c r="AH11694">
        <v>1</v>
      </c>
      <c r="AI11694">
        <v>1</v>
      </c>
      <c r="AJ11694">
        <v>1</v>
      </c>
      <c r="AK11694">
        <v>1</v>
      </c>
      <c r="AL11694">
        <v>1</v>
      </c>
      <c r="AM11694">
        <v>1</v>
      </c>
    </row>
    <row r="11695" spans="1:39" x14ac:dyDescent="0.2">
      <c r="A11695" t="str">
        <f>"11691"</f>
        <v>11691</v>
      </c>
      <c r="B11695" t="str">
        <f t="shared" si="648"/>
        <v>1</v>
      </c>
      <c r="C11695" t="str">
        <f t="shared" si="650"/>
        <v>234</v>
      </c>
      <c r="D11695" t="str">
        <f>"29"</f>
        <v>29</v>
      </c>
      <c r="E11695" t="str">
        <f>"1-234-29"</f>
        <v>1-234-29</v>
      </c>
      <c r="F11695" t="s">
        <v>65</v>
      </c>
      <c r="G11695" t="s">
        <v>66</v>
      </c>
      <c r="H11695" t="s">
        <v>67</v>
      </c>
      <c r="S11695">
        <v>1</v>
      </c>
      <c r="T11695">
        <v>0</v>
      </c>
      <c r="U11695">
        <v>0</v>
      </c>
      <c r="V11695">
        <v>0</v>
      </c>
      <c r="W11695">
        <v>1</v>
      </c>
      <c r="X11695">
        <v>0</v>
      </c>
      <c r="Y11695">
        <v>0</v>
      </c>
      <c r="Z11695">
        <v>1</v>
      </c>
      <c r="AA11695">
        <v>1</v>
      </c>
      <c r="AB11695">
        <v>0</v>
      </c>
      <c r="AC11695">
        <v>0</v>
      </c>
      <c r="AD11695">
        <v>1</v>
      </c>
      <c r="AE11695">
        <v>1</v>
      </c>
      <c r="AF11695">
        <v>1</v>
      </c>
      <c r="AG11695">
        <v>1</v>
      </c>
      <c r="AH11695">
        <v>1</v>
      </c>
      <c r="AI11695">
        <v>1</v>
      </c>
      <c r="AJ11695">
        <v>1</v>
      </c>
      <c r="AK11695">
        <v>1</v>
      </c>
      <c r="AL11695">
        <v>1</v>
      </c>
      <c r="AM11695">
        <v>1</v>
      </c>
    </row>
    <row r="11696" spans="1:39" x14ac:dyDescent="0.2">
      <c r="A11696" t="str">
        <f>"11692"</f>
        <v>11692</v>
      </c>
      <c r="B11696" t="str">
        <f t="shared" si="648"/>
        <v>1</v>
      </c>
      <c r="C11696" t="str">
        <f t="shared" si="650"/>
        <v>234</v>
      </c>
      <c r="D11696" t="str">
        <f>"11"</f>
        <v>11</v>
      </c>
      <c r="E11696" t="str">
        <f>"1-234-11"</f>
        <v>1-234-11</v>
      </c>
      <c r="F11696" t="s">
        <v>65</v>
      </c>
      <c r="G11696" t="s">
        <v>66</v>
      </c>
      <c r="H11696" t="s">
        <v>67</v>
      </c>
      <c r="S11696">
        <v>1</v>
      </c>
      <c r="T11696">
        <v>0</v>
      </c>
      <c r="U11696">
        <v>0</v>
      </c>
      <c r="V11696">
        <v>0</v>
      </c>
      <c r="W11696">
        <v>0</v>
      </c>
      <c r="X11696">
        <v>1</v>
      </c>
      <c r="Y11696">
        <v>1</v>
      </c>
      <c r="Z11696">
        <v>0</v>
      </c>
      <c r="AA11696">
        <v>1</v>
      </c>
      <c r="AB11696">
        <v>0</v>
      </c>
      <c r="AC11696">
        <v>0</v>
      </c>
      <c r="AD11696">
        <v>1</v>
      </c>
      <c r="AE11696">
        <v>1</v>
      </c>
      <c r="AF11696">
        <v>1</v>
      </c>
      <c r="AG11696">
        <v>1</v>
      </c>
      <c r="AH11696">
        <v>1</v>
      </c>
      <c r="AI11696">
        <v>1</v>
      </c>
      <c r="AJ11696">
        <v>1</v>
      </c>
      <c r="AK11696">
        <v>1</v>
      </c>
      <c r="AL11696">
        <v>1</v>
      </c>
      <c r="AM11696">
        <v>1</v>
      </c>
    </row>
    <row r="11697" spans="1:39" x14ac:dyDescent="0.2">
      <c r="A11697" t="str">
        <f>"11693"</f>
        <v>11693</v>
      </c>
      <c r="B11697" t="str">
        <f t="shared" si="648"/>
        <v>1</v>
      </c>
      <c r="C11697" t="str">
        <f t="shared" si="650"/>
        <v>234</v>
      </c>
      <c r="D11697" t="str">
        <f>"30"</f>
        <v>30</v>
      </c>
      <c r="E11697" t="str">
        <f>"1-234-30"</f>
        <v>1-234-30</v>
      </c>
      <c r="F11697" t="s">
        <v>65</v>
      </c>
      <c r="G11697" t="s">
        <v>66</v>
      </c>
      <c r="H11697" t="s">
        <v>67</v>
      </c>
      <c r="S11697">
        <v>1</v>
      </c>
      <c r="T11697">
        <v>0</v>
      </c>
      <c r="U11697">
        <v>0</v>
      </c>
      <c r="V11697">
        <v>0</v>
      </c>
      <c r="W11697">
        <v>1</v>
      </c>
      <c r="X11697">
        <v>0</v>
      </c>
      <c r="Y11697">
        <v>0</v>
      </c>
      <c r="Z11697">
        <v>1</v>
      </c>
      <c r="AA11697">
        <v>1</v>
      </c>
      <c r="AB11697">
        <v>0</v>
      </c>
      <c r="AC11697">
        <v>0</v>
      </c>
      <c r="AD11697">
        <v>1</v>
      </c>
      <c r="AE11697">
        <v>1</v>
      </c>
      <c r="AF11697">
        <v>1</v>
      </c>
      <c r="AG11697">
        <v>1</v>
      </c>
      <c r="AH11697">
        <v>1</v>
      </c>
      <c r="AI11697">
        <v>1</v>
      </c>
      <c r="AJ11697">
        <v>1</v>
      </c>
      <c r="AK11697">
        <v>1</v>
      </c>
      <c r="AL11697">
        <v>1</v>
      </c>
      <c r="AM11697">
        <v>1</v>
      </c>
    </row>
    <row r="11698" spans="1:39" x14ac:dyDescent="0.2">
      <c r="A11698" t="str">
        <f>"11694"</f>
        <v>11694</v>
      </c>
      <c r="B11698" t="str">
        <f t="shared" si="648"/>
        <v>1</v>
      </c>
      <c r="C11698" t="str">
        <f t="shared" si="650"/>
        <v>234</v>
      </c>
      <c r="D11698" t="str">
        <f>"7"</f>
        <v>7</v>
      </c>
      <c r="E11698" t="str">
        <f>"1-234-7"</f>
        <v>1-234-7</v>
      </c>
      <c r="F11698" t="s">
        <v>65</v>
      </c>
      <c r="G11698" t="s">
        <v>66</v>
      </c>
      <c r="H11698" t="s">
        <v>67</v>
      </c>
      <c r="S11698">
        <v>1</v>
      </c>
      <c r="T11698">
        <v>0</v>
      </c>
      <c r="U11698">
        <v>0</v>
      </c>
      <c r="V11698">
        <v>0</v>
      </c>
      <c r="W11698">
        <v>1</v>
      </c>
      <c r="X11698">
        <v>0</v>
      </c>
      <c r="Y11698">
        <v>1</v>
      </c>
      <c r="Z11698">
        <v>0</v>
      </c>
      <c r="AA11698">
        <v>1</v>
      </c>
      <c r="AB11698">
        <v>0</v>
      </c>
      <c r="AC11698">
        <v>0</v>
      </c>
      <c r="AD11698">
        <v>1</v>
      </c>
      <c r="AE11698">
        <v>1</v>
      </c>
      <c r="AF11698">
        <v>1</v>
      </c>
      <c r="AG11698">
        <v>1</v>
      </c>
      <c r="AH11698">
        <v>1</v>
      </c>
      <c r="AI11698">
        <v>1</v>
      </c>
      <c r="AJ11698">
        <v>1</v>
      </c>
      <c r="AK11698">
        <v>1</v>
      </c>
      <c r="AL11698">
        <v>1</v>
      </c>
      <c r="AM11698">
        <v>1</v>
      </c>
    </row>
    <row r="11699" spans="1:39" x14ac:dyDescent="0.2">
      <c r="A11699" t="str">
        <f>"11695"</f>
        <v>11695</v>
      </c>
      <c r="B11699" t="str">
        <f t="shared" si="648"/>
        <v>1</v>
      </c>
      <c r="C11699" t="str">
        <f t="shared" si="650"/>
        <v>234</v>
      </c>
      <c r="D11699" t="str">
        <f>"49"</f>
        <v>49</v>
      </c>
      <c r="E11699" t="str">
        <f>"1-234-49"</f>
        <v>1-234-49</v>
      </c>
      <c r="F11699" t="s">
        <v>65</v>
      </c>
      <c r="G11699" t="s">
        <v>66</v>
      </c>
      <c r="H11699" t="s">
        <v>67</v>
      </c>
      <c r="S11699">
        <v>1</v>
      </c>
      <c r="T11699">
        <v>0</v>
      </c>
      <c r="U11699">
        <v>0</v>
      </c>
      <c r="V11699">
        <v>0</v>
      </c>
      <c r="W11699">
        <v>1</v>
      </c>
      <c r="X11699">
        <v>0</v>
      </c>
      <c r="Y11699">
        <v>1</v>
      </c>
      <c r="Z11699">
        <v>0</v>
      </c>
      <c r="AA11699">
        <v>1</v>
      </c>
      <c r="AB11699">
        <v>0</v>
      </c>
      <c r="AC11699">
        <v>0</v>
      </c>
      <c r="AD11699">
        <v>1</v>
      </c>
      <c r="AE11699">
        <v>1</v>
      </c>
      <c r="AF11699">
        <v>1</v>
      </c>
      <c r="AG11699">
        <v>1</v>
      </c>
      <c r="AH11699">
        <v>1</v>
      </c>
      <c r="AI11699">
        <v>1</v>
      </c>
      <c r="AJ11699">
        <v>1</v>
      </c>
      <c r="AK11699">
        <v>1</v>
      </c>
      <c r="AL11699">
        <v>1</v>
      </c>
      <c r="AM11699">
        <v>1</v>
      </c>
    </row>
    <row r="11700" spans="1:39" x14ac:dyDescent="0.2">
      <c r="A11700" t="str">
        <f>"11696"</f>
        <v>11696</v>
      </c>
      <c r="B11700" t="str">
        <f t="shared" si="648"/>
        <v>1</v>
      </c>
      <c r="C11700" t="str">
        <f t="shared" si="650"/>
        <v>234</v>
      </c>
      <c r="D11700" t="str">
        <f>"31"</f>
        <v>31</v>
      </c>
      <c r="E11700" t="str">
        <f>"1-234-31"</f>
        <v>1-234-31</v>
      </c>
      <c r="F11700" t="s">
        <v>65</v>
      </c>
      <c r="G11700" t="s">
        <v>66</v>
      </c>
      <c r="H11700" t="s">
        <v>67</v>
      </c>
      <c r="S11700">
        <v>1</v>
      </c>
      <c r="T11700">
        <v>0</v>
      </c>
      <c r="U11700">
        <v>0</v>
      </c>
      <c r="V11700">
        <v>0</v>
      </c>
      <c r="W11700">
        <v>1</v>
      </c>
      <c r="X11700">
        <v>0</v>
      </c>
      <c r="Y11700">
        <v>1</v>
      </c>
      <c r="Z11700">
        <v>0</v>
      </c>
      <c r="AA11700">
        <v>1</v>
      </c>
      <c r="AB11700">
        <v>0</v>
      </c>
      <c r="AC11700">
        <v>0</v>
      </c>
      <c r="AD11700">
        <v>0</v>
      </c>
      <c r="AE11700">
        <v>0</v>
      </c>
      <c r="AF11700">
        <v>0</v>
      </c>
      <c r="AG11700">
        <v>1</v>
      </c>
      <c r="AH11700">
        <v>0</v>
      </c>
      <c r="AI11700">
        <v>1</v>
      </c>
      <c r="AJ11700">
        <v>1</v>
      </c>
      <c r="AK11700">
        <v>1</v>
      </c>
      <c r="AL11700">
        <v>1</v>
      </c>
      <c r="AM11700">
        <v>0</v>
      </c>
    </row>
    <row r="11701" spans="1:39" x14ac:dyDescent="0.2">
      <c r="A11701" t="str">
        <f>"11697"</f>
        <v>11697</v>
      </c>
      <c r="B11701" t="str">
        <f t="shared" si="648"/>
        <v>1</v>
      </c>
      <c r="C11701" t="str">
        <f t="shared" si="650"/>
        <v>234</v>
      </c>
      <c r="D11701" t="str">
        <f>"13"</f>
        <v>13</v>
      </c>
      <c r="E11701" t="str">
        <f>"1-234-13"</f>
        <v>1-234-13</v>
      </c>
      <c r="F11701" t="s">
        <v>65</v>
      </c>
      <c r="G11701" t="s">
        <v>66</v>
      </c>
      <c r="H11701" t="s">
        <v>67</v>
      </c>
      <c r="S11701">
        <v>1</v>
      </c>
      <c r="T11701">
        <v>0</v>
      </c>
      <c r="U11701">
        <v>0</v>
      </c>
      <c r="V11701">
        <v>0</v>
      </c>
      <c r="W11701">
        <v>1</v>
      </c>
      <c r="X11701">
        <v>0</v>
      </c>
      <c r="Y11701">
        <v>1</v>
      </c>
      <c r="Z11701">
        <v>0</v>
      </c>
      <c r="AA11701">
        <v>0</v>
      </c>
      <c r="AB11701">
        <v>1</v>
      </c>
      <c r="AC11701">
        <v>0</v>
      </c>
      <c r="AD11701">
        <v>1</v>
      </c>
      <c r="AE11701">
        <v>1</v>
      </c>
      <c r="AF11701">
        <v>1</v>
      </c>
      <c r="AG11701">
        <v>1</v>
      </c>
      <c r="AH11701">
        <v>1</v>
      </c>
      <c r="AI11701">
        <v>1</v>
      </c>
      <c r="AJ11701">
        <v>1</v>
      </c>
      <c r="AK11701">
        <v>1</v>
      </c>
      <c r="AL11701">
        <v>1</v>
      </c>
      <c r="AM11701">
        <v>0</v>
      </c>
    </row>
    <row r="11702" spans="1:39" x14ac:dyDescent="0.2">
      <c r="A11702" t="str">
        <f>"11698"</f>
        <v>11698</v>
      </c>
      <c r="B11702" t="str">
        <f t="shared" si="648"/>
        <v>1</v>
      </c>
      <c r="C11702" t="str">
        <f t="shared" si="650"/>
        <v>234</v>
      </c>
      <c r="D11702" t="str">
        <f>"32"</f>
        <v>32</v>
      </c>
      <c r="E11702" t="str">
        <f>"1-234-32"</f>
        <v>1-234-32</v>
      </c>
      <c r="F11702" t="s">
        <v>65</v>
      </c>
      <c r="G11702" t="s">
        <v>66</v>
      </c>
      <c r="H11702" t="s">
        <v>67</v>
      </c>
      <c r="S11702">
        <v>1</v>
      </c>
      <c r="T11702">
        <v>0</v>
      </c>
      <c r="U11702">
        <v>0</v>
      </c>
      <c r="V11702">
        <v>0</v>
      </c>
      <c r="W11702">
        <v>1</v>
      </c>
      <c r="X11702">
        <v>0</v>
      </c>
      <c r="Y11702">
        <v>0</v>
      </c>
      <c r="Z11702">
        <v>1</v>
      </c>
      <c r="AA11702">
        <v>0</v>
      </c>
      <c r="AB11702">
        <v>1</v>
      </c>
      <c r="AC11702">
        <v>0</v>
      </c>
      <c r="AD11702">
        <v>1</v>
      </c>
      <c r="AE11702">
        <v>1</v>
      </c>
      <c r="AF11702">
        <v>1</v>
      </c>
      <c r="AG11702">
        <v>1</v>
      </c>
      <c r="AH11702">
        <v>1</v>
      </c>
      <c r="AI11702">
        <v>1</v>
      </c>
      <c r="AJ11702">
        <v>1</v>
      </c>
      <c r="AK11702">
        <v>1</v>
      </c>
      <c r="AL11702">
        <v>1</v>
      </c>
      <c r="AM11702">
        <v>1</v>
      </c>
    </row>
    <row r="11703" spans="1:39" x14ac:dyDescent="0.2">
      <c r="A11703" t="str">
        <f>"11699"</f>
        <v>11699</v>
      </c>
      <c r="B11703" t="str">
        <f t="shared" ref="B11703:B11766" si="651">"1"</f>
        <v>1</v>
      </c>
      <c r="C11703" t="str">
        <f t="shared" si="650"/>
        <v>234</v>
      </c>
      <c r="D11703" t="str">
        <f>"8"</f>
        <v>8</v>
      </c>
      <c r="E11703" t="str">
        <f>"1-234-8"</f>
        <v>1-234-8</v>
      </c>
      <c r="F11703" t="s">
        <v>65</v>
      </c>
      <c r="G11703" t="s">
        <v>66</v>
      </c>
      <c r="H11703" t="s">
        <v>67</v>
      </c>
      <c r="S11703">
        <v>1</v>
      </c>
      <c r="T11703">
        <v>0</v>
      </c>
      <c r="U11703">
        <v>0</v>
      </c>
      <c r="V11703">
        <v>0</v>
      </c>
      <c r="W11703">
        <v>1</v>
      </c>
      <c r="X11703">
        <v>0</v>
      </c>
      <c r="Y11703">
        <v>1</v>
      </c>
      <c r="Z11703">
        <v>0</v>
      </c>
      <c r="AA11703">
        <v>1</v>
      </c>
      <c r="AB11703">
        <v>0</v>
      </c>
      <c r="AC11703">
        <v>0</v>
      </c>
      <c r="AD11703">
        <v>1</v>
      </c>
      <c r="AE11703">
        <v>1</v>
      </c>
      <c r="AF11703">
        <v>1</v>
      </c>
      <c r="AG11703">
        <v>1</v>
      </c>
      <c r="AH11703">
        <v>1</v>
      </c>
      <c r="AI11703">
        <v>1</v>
      </c>
      <c r="AJ11703">
        <v>1</v>
      </c>
      <c r="AK11703">
        <v>1</v>
      </c>
      <c r="AL11703">
        <v>1</v>
      </c>
      <c r="AM11703">
        <v>1</v>
      </c>
    </row>
    <row r="11704" spans="1:39" x14ac:dyDescent="0.2">
      <c r="A11704" t="str">
        <f>"11700"</f>
        <v>11700</v>
      </c>
      <c r="B11704" t="str">
        <f t="shared" si="651"/>
        <v>1</v>
      </c>
      <c r="C11704" t="str">
        <f t="shared" si="650"/>
        <v>234</v>
      </c>
      <c r="D11704" t="str">
        <f>"50"</f>
        <v>50</v>
      </c>
      <c r="E11704" t="str">
        <f>"1-234-50"</f>
        <v>1-234-50</v>
      </c>
      <c r="F11704" t="s">
        <v>65</v>
      </c>
      <c r="G11704" t="s">
        <v>66</v>
      </c>
      <c r="H11704" t="s">
        <v>67</v>
      </c>
      <c r="S11704">
        <v>0</v>
      </c>
      <c r="T11704">
        <v>0</v>
      </c>
      <c r="U11704">
        <v>0</v>
      </c>
      <c r="V11704">
        <v>0</v>
      </c>
      <c r="W11704">
        <v>1</v>
      </c>
      <c r="X11704">
        <v>0</v>
      </c>
      <c r="Y11704">
        <v>1</v>
      </c>
      <c r="Z11704">
        <v>0</v>
      </c>
      <c r="AA11704">
        <v>0</v>
      </c>
      <c r="AB11704">
        <v>0</v>
      </c>
      <c r="AC11704">
        <v>0</v>
      </c>
      <c r="AD11704">
        <v>0</v>
      </c>
      <c r="AE11704">
        <v>1</v>
      </c>
      <c r="AF11704">
        <v>0</v>
      </c>
      <c r="AG11704">
        <v>1</v>
      </c>
      <c r="AH11704">
        <v>1</v>
      </c>
      <c r="AI11704">
        <v>1</v>
      </c>
      <c r="AJ11704">
        <v>1</v>
      </c>
      <c r="AK11704">
        <v>1</v>
      </c>
      <c r="AL11704">
        <v>1</v>
      </c>
      <c r="AM11704">
        <v>1</v>
      </c>
    </row>
    <row r="11705" spans="1:39" x14ac:dyDescent="0.2">
      <c r="A11705" t="str">
        <f>"11701"</f>
        <v>11701</v>
      </c>
      <c r="B11705" t="str">
        <f t="shared" si="651"/>
        <v>1</v>
      </c>
      <c r="C11705" t="str">
        <f t="shared" ref="C11705:C11736" si="652">"235"</f>
        <v>235</v>
      </c>
      <c r="D11705" t="str">
        <f>"36"</f>
        <v>36</v>
      </c>
      <c r="E11705" t="str">
        <f>"1-235-36"</f>
        <v>1-235-36</v>
      </c>
      <c r="F11705" t="s">
        <v>65</v>
      </c>
      <c r="G11705" t="s">
        <v>66</v>
      </c>
      <c r="H11705" t="s">
        <v>67</v>
      </c>
      <c r="S11705">
        <v>1</v>
      </c>
      <c r="T11705">
        <v>0</v>
      </c>
      <c r="U11705">
        <v>0</v>
      </c>
      <c r="V11705">
        <v>0</v>
      </c>
      <c r="W11705">
        <v>1</v>
      </c>
      <c r="X11705">
        <v>0</v>
      </c>
      <c r="Y11705">
        <v>0</v>
      </c>
      <c r="Z11705">
        <v>1</v>
      </c>
      <c r="AA11705">
        <v>1</v>
      </c>
      <c r="AB11705">
        <v>0</v>
      </c>
      <c r="AC11705">
        <v>0</v>
      </c>
      <c r="AD11705">
        <v>1</v>
      </c>
      <c r="AE11705">
        <v>1</v>
      </c>
      <c r="AF11705">
        <v>1</v>
      </c>
      <c r="AG11705">
        <v>1</v>
      </c>
      <c r="AH11705">
        <v>1</v>
      </c>
      <c r="AI11705">
        <v>1</v>
      </c>
      <c r="AJ11705">
        <v>1</v>
      </c>
      <c r="AK11705">
        <v>1</v>
      </c>
      <c r="AL11705">
        <v>1</v>
      </c>
      <c r="AM11705">
        <v>1</v>
      </c>
    </row>
    <row r="11706" spans="1:39" x14ac:dyDescent="0.2">
      <c r="A11706" t="str">
        <f>"11702"</f>
        <v>11702</v>
      </c>
      <c r="B11706" t="str">
        <f t="shared" si="651"/>
        <v>1</v>
      </c>
      <c r="C11706" t="str">
        <f t="shared" si="652"/>
        <v>235</v>
      </c>
      <c r="D11706" t="str">
        <f>"35"</f>
        <v>35</v>
      </c>
      <c r="E11706" t="str">
        <f>"1-235-35"</f>
        <v>1-235-35</v>
      </c>
      <c r="F11706" t="s">
        <v>65</v>
      </c>
      <c r="G11706" t="s">
        <v>66</v>
      </c>
      <c r="H11706" t="s">
        <v>67</v>
      </c>
      <c r="S11706">
        <v>1</v>
      </c>
      <c r="T11706">
        <v>0</v>
      </c>
      <c r="U11706">
        <v>0</v>
      </c>
      <c r="V11706">
        <v>0</v>
      </c>
      <c r="W11706">
        <v>1</v>
      </c>
      <c r="X11706">
        <v>0</v>
      </c>
      <c r="Y11706">
        <v>0</v>
      </c>
      <c r="Z11706">
        <v>1</v>
      </c>
      <c r="AA11706">
        <v>1</v>
      </c>
      <c r="AB11706">
        <v>0</v>
      </c>
      <c r="AC11706">
        <v>0</v>
      </c>
      <c r="AD11706">
        <v>0</v>
      </c>
      <c r="AE11706">
        <v>0</v>
      </c>
      <c r="AF11706">
        <v>0</v>
      </c>
      <c r="AG11706">
        <v>0</v>
      </c>
      <c r="AH11706">
        <v>0</v>
      </c>
      <c r="AI11706">
        <v>0</v>
      </c>
      <c r="AJ11706">
        <v>0</v>
      </c>
      <c r="AK11706">
        <v>0</v>
      </c>
      <c r="AL11706">
        <v>0</v>
      </c>
      <c r="AM11706">
        <v>0</v>
      </c>
    </row>
    <row r="11707" spans="1:39" x14ac:dyDescent="0.2">
      <c r="A11707" t="str">
        <f>"11703"</f>
        <v>11703</v>
      </c>
      <c r="B11707" t="str">
        <f t="shared" si="651"/>
        <v>1</v>
      </c>
      <c r="C11707" t="str">
        <f t="shared" si="652"/>
        <v>235</v>
      </c>
      <c r="D11707" t="str">
        <f>"21"</f>
        <v>21</v>
      </c>
      <c r="E11707" t="str">
        <f>"1-235-21"</f>
        <v>1-235-21</v>
      </c>
      <c r="F11707" t="s">
        <v>65</v>
      </c>
      <c r="G11707" t="s">
        <v>66</v>
      </c>
      <c r="H11707" t="s">
        <v>67</v>
      </c>
      <c r="S11707">
        <v>1</v>
      </c>
      <c r="T11707">
        <v>0</v>
      </c>
      <c r="U11707">
        <v>0</v>
      </c>
      <c r="V11707">
        <v>0</v>
      </c>
      <c r="W11707">
        <v>1</v>
      </c>
      <c r="X11707">
        <v>0</v>
      </c>
      <c r="Y11707">
        <v>1</v>
      </c>
      <c r="Z11707">
        <v>0</v>
      </c>
      <c r="AA11707">
        <v>0</v>
      </c>
      <c r="AB11707">
        <v>1</v>
      </c>
      <c r="AC11707">
        <v>0</v>
      </c>
      <c r="AD11707">
        <v>1</v>
      </c>
      <c r="AE11707">
        <v>1</v>
      </c>
      <c r="AF11707">
        <v>1</v>
      </c>
      <c r="AG11707">
        <v>1</v>
      </c>
      <c r="AH11707">
        <v>1</v>
      </c>
      <c r="AI11707">
        <v>1</v>
      </c>
      <c r="AJ11707">
        <v>1</v>
      </c>
      <c r="AK11707">
        <v>1</v>
      </c>
      <c r="AL11707">
        <v>1</v>
      </c>
      <c r="AM11707">
        <v>1</v>
      </c>
    </row>
    <row r="11708" spans="1:39" x14ac:dyDescent="0.2">
      <c r="A11708" t="str">
        <f>"11704"</f>
        <v>11704</v>
      </c>
      <c r="B11708" t="str">
        <f t="shared" si="651"/>
        <v>1</v>
      </c>
      <c r="C11708" t="str">
        <f t="shared" si="652"/>
        <v>235</v>
      </c>
      <c r="D11708" t="str">
        <f>"20"</f>
        <v>20</v>
      </c>
      <c r="E11708" t="str">
        <f>"1-235-20"</f>
        <v>1-235-20</v>
      </c>
      <c r="F11708" t="s">
        <v>65</v>
      </c>
      <c r="G11708" t="s">
        <v>66</v>
      </c>
      <c r="H11708" t="s">
        <v>67</v>
      </c>
      <c r="S11708">
        <v>0</v>
      </c>
      <c r="T11708">
        <v>1</v>
      </c>
      <c r="U11708">
        <v>0</v>
      </c>
      <c r="V11708">
        <v>0</v>
      </c>
      <c r="W11708">
        <v>1</v>
      </c>
      <c r="X11708">
        <v>0</v>
      </c>
      <c r="Y11708">
        <v>1</v>
      </c>
      <c r="Z11708">
        <v>0</v>
      </c>
      <c r="AA11708">
        <v>0</v>
      </c>
      <c r="AB11708">
        <v>1</v>
      </c>
      <c r="AC11708">
        <v>0</v>
      </c>
      <c r="AD11708">
        <v>1</v>
      </c>
      <c r="AE11708">
        <v>1</v>
      </c>
      <c r="AF11708">
        <v>1</v>
      </c>
      <c r="AG11708">
        <v>1</v>
      </c>
      <c r="AH11708">
        <v>1</v>
      </c>
      <c r="AI11708">
        <v>1</v>
      </c>
      <c r="AJ11708">
        <v>1</v>
      </c>
      <c r="AK11708">
        <v>1</v>
      </c>
      <c r="AL11708">
        <v>1</v>
      </c>
      <c r="AM11708">
        <v>1</v>
      </c>
    </row>
    <row r="11709" spans="1:39" x14ac:dyDescent="0.2">
      <c r="A11709" t="str">
        <f>"11705"</f>
        <v>11705</v>
      </c>
      <c r="B11709" t="str">
        <f t="shared" si="651"/>
        <v>1</v>
      </c>
      <c r="C11709" t="str">
        <f t="shared" si="652"/>
        <v>235</v>
      </c>
      <c r="D11709" t="str">
        <f>"19"</f>
        <v>19</v>
      </c>
      <c r="E11709" t="str">
        <f>"1-235-19"</f>
        <v>1-235-19</v>
      </c>
      <c r="F11709" t="s">
        <v>65</v>
      </c>
      <c r="G11709" t="s">
        <v>66</v>
      </c>
      <c r="H11709" t="s">
        <v>67</v>
      </c>
      <c r="S11709">
        <v>1</v>
      </c>
      <c r="T11709">
        <v>0</v>
      </c>
      <c r="U11709">
        <v>0</v>
      </c>
      <c r="V11709">
        <v>0</v>
      </c>
      <c r="W11709">
        <v>1</v>
      </c>
      <c r="X11709">
        <v>0</v>
      </c>
      <c r="Y11709">
        <v>1</v>
      </c>
      <c r="Z11709">
        <v>0</v>
      </c>
      <c r="AA11709">
        <v>1</v>
      </c>
      <c r="AB11709">
        <v>0</v>
      </c>
      <c r="AC11709">
        <v>0</v>
      </c>
      <c r="AD11709">
        <v>1</v>
      </c>
      <c r="AE11709">
        <v>0</v>
      </c>
      <c r="AF11709">
        <v>1</v>
      </c>
      <c r="AG11709">
        <v>1</v>
      </c>
      <c r="AH11709">
        <v>1</v>
      </c>
      <c r="AI11709">
        <v>1</v>
      </c>
      <c r="AJ11709">
        <v>1</v>
      </c>
      <c r="AK11709">
        <v>1</v>
      </c>
      <c r="AL11709">
        <v>0</v>
      </c>
      <c r="AM11709">
        <v>1</v>
      </c>
    </row>
    <row r="11710" spans="1:39" x14ac:dyDescent="0.2">
      <c r="A11710" t="str">
        <f>"11706"</f>
        <v>11706</v>
      </c>
      <c r="B11710" t="str">
        <f t="shared" si="651"/>
        <v>1</v>
      </c>
      <c r="C11710" t="str">
        <f t="shared" si="652"/>
        <v>235</v>
      </c>
      <c r="D11710" t="str">
        <f>"15"</f>
        <v>15</v>
      </c>
      <c r="E11710" t="str">
        <f>"1-235-15"</f>
        <v>1-235-15</v>
      </c>
      <c r="F11710" t="s">
        <v>65</v>
      </c>
      <c r="G11710" t="s">
        <v>66</v>
      </c>
      <c r="H11710" t="s">
        <v>67</v>
      </c>
      <c r="S11710">
        <v>0</v>
      </c>
      <c r="T11710">
        <v>1</v>
      </c>
      <c r="U11710">
        <v>0</v>
      </c>
      <c r="V11710">
        <v>0</v>
      </c>
      <c r="W11710">
        <v>1</v>
      </c>
      <c r="X11710">
        <v>0</v>
      </c>
      <c r="Y11710">
        <v>0</v>
      </c>
      <c r="Z11710">
        <v>1</v>
      </c>
      <c r="AA11710">
        <v>0</v>
      </c>
      <c r="AB11710">
        <v>0</v>
      </c>
      <c r="AC11710">
        <v>1</v>
      </c>
      <c r="AD11710">
        <v>1</v>
      </c>
      <c r="AE11710">
        <v>1</v>
      </c>
      <c r="AF11710">
        <v>1</v>
      </c>
      <c r="AG11710">
        <v>1</v>
      </c>
      <c r="AH11710">
        <v>1</v>
      </c>
      <c r="AI11710">
        <v>1</v>
      </c>
      <c r="AJ11710">
        <v>1</v>
      </c>
      <c r="AK11710">
        <v>1</v>
      </c>
      <c r="AL11710">
        <v>1</v>
      </c>
      <c r="AM11710">
        <v>1</v>
      </c>
    </row>
    <row r="11711" spans="1:39" x14ac:dyDescent="0.2">
      <c r="A11711" t="str">
        <f>"11707"</f>
        <v>11707</v>
      </c>
      <c r="B11711" t="str">
        <f t="shared" si="651"/>
        <v>1</v>
      </c>
      <c r="C11711" t="str">
        <f t="shared" si="652"/>
        <v>235</v>
      </c>
      <c r="D11711" t="str">
        <f>"1"</f>
        <v>1</v>
      </c>
      <c r="E11711" t="str">
        <f>"1-235-1"</f>
        <v>1-235-1</v>
      </c>
      <c r="F11711" t="s">
        <v>65</v>
      </c>
      <c r="G11711" t="s">
        <v>66</v>
      </c>
      <c r="H11711" t="s">
        <v>67</v>
      </c>
      <c r="S11711">
        <v>1</v>
      </c>
      <c r="T11711">
        <v>0</v>
      </c>
      <c r="U11711">
        <v>0</v>
      </c>
      <c r="V11711">
        <v>0</v>
      </c>
      <c r="W11711">
        <v>1</v>
      </c>
      <c r="X11711">
        <v>0</v>
      </c>
      <c r="Y11711">
        <v>1</v>
      </c>
      <c r="Z11711">
        <v>0</v>
      </c>
      <c r="AA11711">
        <v>0</v>
      </c>
      <c r="AB11711">
        <v>0</v>
      </c>
      <c r="AC11711">
        <v>1</v>
      </c>
      <c r="AD11711">
        <v>1</v>
      </c>
      <c r="AE11711">
        <v>1</v>
      </c>
      <c r="AF11711">
        <v>1</v>
      </c>
      <c r="AG11711">
        <v>1</v>
      </c>
      <c r="AH11711">
        <v>1</v>
      </c>
      <c r="AI11711">
        <v>1</v>
      </c>
      <c r="AJ11711">
        <v>1</v>
      </c>
      <c r="AK11711">
        <v>1</v>
      </c>
      <c r="AL11711">
        <v>1</v>
      </c>
      <c r="AM11711">
        <v>1</v>
      </c>
    </row>
    <row r="11712" spans="1:39" x14ac:dyDescent="0.2">
      <c r="A11712" t="str">
        <f>"11708"</f>
        <v>11708</v>
      </c>
      <c r="B11712" t="str">
        <f t="shared" si="651"/>
        <v>1</v>
      </c>
      <c r="C11712" t="str">
        <f t="shared" si="652"/>
        <v>235</v>
      </c>
      <c r="D11712" t="str">
        <f>"38"</f>
        <v>38</v>
      </c>
      <c r="E11712" t="str">
        <f>"1-235-38"</f>
        <v>1-235-38</v>
      </c>
      <c r="F11712" t="s">
        <v>65</v>
      </c>
      <c r="G11712" t="s">
        <v>66</v>
      </c>
      <c r="H11712" t="s">
        <v>67</v>
      </c>
      <c r="S11712">
        <v>0</v>
      </c>
      <c r="T11712">
        <v>1</v>
      </c>
      <c r="U11712">
        <v>0</v>
      </c>
      <c r="V11712">
        <v>0</v>
      </c>
      <c r="W11712">
        <v>1</v>
      </c>
      <c r="X11712">
        <v>0</v>
      </c>
      <c r="Y11712">
        <v>0</v>
      </c>
      <c r="Z11712">
        <v>1</v>
      </c>
      <c r="AA11712">
        <v>0</v>
      </c>
      <c r="AB11712">
        <v>0</v>
      </c>
      <c r="AC11712">
        <v>1</v>
      </c>
      <c r="AD11712">
        <v>0</v>
      </c>
      <c r="AE11712">
        <v>0</v>
      </c>
      <c r="AF11712">
        <v>0</v>
      </c>
      <c r="AG11712">
        <v>0</v>
      </c>
      <c r="AH11712">
        <v>0</v>
      </c>
      <c r="AI11712">
        <v>0</v>
      </c>
      <c r="AJ11712">
        <v>0</v>
      </c>
      <c r="AK11712">
        <v>0</v>
      </c>
      <c r="AL11712">
        <v>0</v>
      </c>
      <c r="AM11712">
        <v>0</v>
      </c>
    </row>
    <row r="11713" spans="1:39" x14ac:dyDescent="0.2">
      <c r="A11713" t="str">
        <f>"11709"</f>
        <v>11709</v>
      </c>
      <c r="B11713" t="str">
        <f t="shared" si="651"/>
        <v>1</v>
      </c>
      <c r="C11713" t="str">
        <f t="shared" si="652"/>
        <v>235</v>
      </c>
      <c r="D11713" t="str">
        <f>"37"</f>
        <v>37</v>
      </c>
      <c r="E11713" t="str">
        <f>"1-235-37"</f>
        <v>1-235-37</v>
      </c>
      <c r="F11713" t="s">
        <v>65</v>
      </c>
      <c r="G11713" t="s">
        <v>66</v>
      </c>
      <c r="H11713" t="s">
        <v>67</v>
      </c>
      <c r="S11713">
        <v>0</v>
      </c>
      <c r="T11713">
        <v>0</v>
      </c>
      <c r="U11713">
        <v>0</v>
      </c>
      <c r="V11713">
        <v>0</v>
      </c>
      <c r="W11713">
        <v>1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D11713">
        <v>0</v>
      </c>
      <c r="AE11713">
        <v>0</v>
      </c>
      <c r="AF11713">
        <v>0</v>
      </c>
      <c r="AG11713">
        <v>0</v>
      </c>
      <c r="AH11713">
        <v>0</v>
      </c>
      <c r="AI11713">
        <v>0</v>
      </c>
      <c r="AJ11713">
        <v>0</v>
      </c>
      <c r="AK11713">
        <v>0</v>
      </c>
      <c r="AL11713">
        <v>0</v>
      </c>
      <c r="AM11713">
        <v>0</v>
      </c>
    </row>
    <row r="11714" spans="1:39" x14ac:dyDescent="0.2">
      <c r="A11714" t="str">
        <f>"11710"</f>
        <v>11710</v>
      </c>
      <c r="B11714" t="str">
        <f t="shared" si="651"/>
        <v>1</v>
      </c>
      <c r="C11714" t="str">
        <f t="shared" si="652"/>
        <v>235</v>
      </c>
      <c r="D11714" t="str">
        <f>"30"</f>
        <v>30</v>
      </c>
      <c r="E11714" t="str">
        <f>"1-235-30"</f>
        <v>1-235-30</v>
      </c>
      <c r="F11714" t="s">
        <v>65</v>
      </c>
      <c r="G11714" t="s">
        <v>66</v>
      </c>
      <c r="H11714" t="s">
        <v>67</v>
      </c>
      <c r="S11714">
        <v>1</v>
      </c>
      <c r="T11714">
        <v>0</v>
      </c>
      <c r="U11714">
        <v>0</v>
      </c>
      <c r="V11714">
        <v>0</v>
      </c>
      <c r="W11714">
        <v>0</v>
      </c>
      <c r="X11714">
        <v>1</v>
      </c>
      <c r="Y11714">
        <v>1</v>
      </c>
      <c r="Z11714">
        <v>0</v>
      </c>
      <c r="AA11714">
        <v>0</v>
      </c>
      <c r="AB11714">
        <v>0</v>
      </c>
      <c r="AC11714">
        <v>1</v>
      </c>
      <c r="AD11714">
        <v>1</v>
      </c>
      <c r="AE11714">
        <v>1</v>
      </c>
      <c r="AF11714">
        <v>1</v>
      </c>
      <c r="AG11714">
        <v>1</v>
      </c>
      <c r="AH11714">
        <v>1</v>
      </c>
      <c r="AI11714">
        <v>1</v>
      </c>
      <c r="AJ11714">
        <v>1</v>
      </c>
      <c r="AK11714">
        <v>1</v>
      </c>
      <c r="AL11714">
        <v>1</v>
      </c>
      <c r="AM11714">
        <v>0</v>
      </c>
    </row>
    <row r="11715" spans="1:39" x14ac:dyDescent="0.2">
      <c r="A11715" t="str">
        <f>"11711"</f>
        <v>11711</v>
      </c>
      <c r="B11715" t="str">
        <f t="shared" si="651"/>
        <v>1</v>
      </c>
      <c r="C11715" t="str">
        <f t="shared" si="652"/>
        <v>235</v>
      </c>
      <c r="D11715" t="str">
        <f>"16"</f>
        <v>16</v>
      </c>
      <c r="E11715" t="str">
        <f>"1-235-16"</f>
        <v>1-235-16</v>
      </c>
      <c r="F11715" t="s">
        <v>65</v>
      </c>
      <c r="G11715" t="s">
        <v>66</v>
      </c>
      <c r="H11715" t="s">
        <v>67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1</v>
      </c>
      <c r="Y11715">
        <v>1</v>
      </c>
      <c r="Z11715">
        <v>0</v>
      </c>
      <c r="AA11715">
        <v>0</v>
      </c>
      <c r="AB11715">
        <v>0</v>
      </c>
      <c r="AC11715">
        <v>1</v>
      </c>
      <c r="AD11715">
        <v>1</v>
      </c>
      <c r="AE11715">
        <v>1</v>
      </c>
      <c r="AF11715">
        <v>1</v>
      </c>
      <c r="AG11715">
        <v>0</v>
      </c>
      <c r="AH11715">
        <v>0</v>
      </c>
      <c r="AI11715">
        <v>1</v>
      </c>
      <c r="AJ11715">
        <v>1</v>
      </c>
      <c r="AK11715">
        <v>1</v>
      </c>
      <c r="AL11715">
        <v>1</v>
      </c>
      <c r="AM11715">
        <v>1</v>
      </c>
    </row>
    <row r="11716" spans="1:39" x14ac:dyDescent="0.2">
      <c r="A11716" t="str">
        <f>"11712"</f>
        <v>11712</v>
      </c>
      <c r="B11716" t="str">
        <f t="shared" si="651"/>
        <v>1</v>
      </c>
      <c r="C11716" t="str">
        <f t="shared" si="652"/>
        <v>235</v>
      </c>
      <c r="D11716" t="str">
        <f>"6"</f>
        <v>6</v>
      </c>
      <c r="E11716" t="str">
        <f>"1-235-6"</f>
        <v>1-235-6</v>
      </c>
      <c r="F11716" t="s">
        <v>65</v>
      </c>
      <c r="G11716" t="s">
        <v>66</v>
      </c>
      <c r="H11716" t="s">
        <v>67</v>
      </c>
      <c r="S11716">
        <v>1</v>
      </c>
      <c r="T11716">
        <v>0</v>
      </c>
      <c r="U11716">
        <v>0</v>
      </c>
      <c r="V11716">
        <v>0</v>
      </c>
      <c r="W11716">
        <v>1</v>
      </c>
      <c r="X11716">
        <v>0</v>
      </c>
      <c r="Y11716">
        <v>1</v>
      </c>
      <c r="Z11716">
        <v>0</v>
      </c>
      <c r="AA11716">
        <v>1</v>
      </c>
      <c r="AB11716">
        <v>0</v>
      </c>
      <c r="AC11716">
        <v>0</v>
      </c>
      <c r="AD11716">
        <v>0</v>
      </c>
      <c r="AE11716">
        <v>0</v>
      </c>
      <c r="AF11716">
        <v>0</v>
      </c>
      <c r="AG11716">
        <v>0</v>
      </c>
      <c r="AH11716">
        <v>0</v>
      </c>
      <c r="AI11716">
        <v>0</v>
      </c>
      <c r="AJ11716">
        <v>0</v>
      </c>
      <c r="AK11716">
        <v>0</v>
      </c>
      <c r="AL11716">
        <v>0</v>
      </c>
      <c r="AM11716">
        <v>0</v>
      </c>
    </row>
    <row r="11717" spans="1:39" x14ac:dyDescent="0.2">
      <c r="A11717" t="str">
        <f>"11713"</f>
        <v>11713</v>
      </c>
      <c r="B11717" t="str">
        <f t="shared" si="651"/>
        <v>1</v>
      </c>
      <c r="C11717" t="str">
        <f t="shared" si="652"/>
        <v>235</v>
      </c>
      <c r="D11717" t="str">
        <f>"42"</f>
        <v>42</v>
      </c>
      <c r="E11717" t="str">
        <f>"1-235-42"</f>
        <v>1-235-42</v>
      </c>
      <c r="F11717" t="s">
        <v>65</v>
      </c>
      <c r="G11717" t="s">
        <v>66</v>
      </c>
      <c r="H11717" t="s">
        <v>67</v>
      </c>
      <c r="S11717">
        <v>1</v>
      </c>
      <c r="T11717">
        <v>0</v>
      </c>
      <c r="U11717">
        <v>0</v>
      </c>
      <c r="V11717">
        <v>0</v>
      </c>
      <c r="W11717">
        <v>0</v>
      </c>
      <c r="X11717">
        <v>1</v>
      </c>
      <c r="Y11717">
        <v>0</v>
      </c>
      <c r="Z11717">
        <v>1</v>
      </c>
      <c r="AA11717">
        <v>0</v>
      </c>
      <c r="AB11717">
        <v>1</v>
      </c>
      <c r="AC11717">
        <v>0</v>
      </c>
      <c r="AD11717">
        <v>1</v>
      </c>
      <c r="AE11717">
        <v>1</v>
      </c>
      <c r="AF11717">
        <v>1</v>
      </c>
      <c r="AG11717">
        <v>1</v>
      </c>
      <c r="AH11717">
        <v>1</v>
      </c>
      <c r="AI11717">
        <v>1</v>
      </c>
      <c r="AJ11717">
        <v>1</v>
      </c>
      <c r="AK11717">
        <v>1</v>
      </c>
      <c r="AL11717">
        <v>1</v>
      </c>
      <c r="AM11717">
        <v>1</v>
      </c>
    </row>
    <row r="11718" spans="1:39" x14ac:dyDescent="0.2">
      <c r="A11718" t="str">
        <f>"11714"</f>
        <v>11714</v>
      </c>
      <c r="B11718" t="str">
        <f t="shared" si="651"/>
        <v>1</v>
      </c>
      <c r="C11718" t="str">
        <f t="shared" si="652"/>
        <v>235</v>
      </c>
      <c r="D11718" t="str">
        <f>"41"</f>
        <v>41</v>
      </c>
      <c r="E11718" t="str">
        <f>"1-235-41"</f>
        <v>1-235-41</v>
      </c>
      <c r="F11718" t="s">
        <v>65</v>
      </c>
      <c r="G11718" t="s">
        <v>66</v>
      </c>
      <c r="H11718" t="s">
        <v>67</v>
      </c>
      <c r="S11718">
        <v>1</v>
      </c>
      <c r="T11718">
        <v>0</v>
      </c>
      <c r="U11718">
        <v>0</v>
      </c>
      <c r="V11718">
        <v>0</v>
      </c>
      <c r="W11718">
        <v>1</v>
      </c>
      <c r="X11718">
        <v>0</v>
      </c>
      <c r="Y11718">
        <v>0</v>
      </c>
      <c r="Z11718">
        <v>1</v>
      </c>
      <c r="AA11718">
        <v>1</v>
      </c>
      <c r="AB11718">
        <v>0</v>
      </c>
      <c r="AC11718">
        <v>0</v>
      </c>
      <c r="AD11718">
        <v>1</v>
      </c>
      <c r="AE11718">
        <v>1</v>
      </c>
      <c r="AF11718">
        <v>1</v>
      </c>
      <c r="AG11718">
        <v>1</v>
      </c>
      <c r="AH11718">
        <v>1</v>
      </c>
      <c r="AI11718">
        <v>1</v>
      </c>
      <c r="AJ11718">
        <v>1</v>
      </c>
      <c r="AK11718">
        <v>1</v>
      </c>
      <c r="AL11718">
        <v>1</v>
      </c>
      <c r="AM11718">
        <v>1</v>
      </c>
    </row>
    <row r="11719" spans="1:39" x14ac:dyDescent="0.2">
      <c r="A11719" t="str">
        <f>"11715"</f>
        <v>11715</v>
      </c>
      <c r="B11719" t="str">
        <f t="shared" si="651"/>
        <v>1</v>
      </c>
      <c r="C11719" t="str">
        <f t="shared" si="652"/>
        <v>235</v>
      </c>
      <c r="D11719" t="str">
        <f>"33"</f>
        <v>33</v>
      </c>
      <c r="E11719" t="str">
        <f>"1-235-33"</f>
        <v>1-235-33</v>
      </c>
      <c r="F11719" t="s">
        <v>65</v>
      </c>
      <c r="G11719" t="s">
        <v>66</v>
      </c>
      <c r="H11719" t="s">
        <v>67</v>
      </c>
      <c r="S11719">
        <v>0</v>
      </c>
      <c r="T11719">
        <v>1</v>
      </c>
      <c r="U11719">
        <v>0</v>
      </c>
      <c r="V11719">
        <v>0</v>
      </c>
      <c r="W11719">
        <v>0</v>
      </c>
      <c r="X11719">
        <v>1</v>
      </c>
      <c r="Y11719">
        <v>0</v>
      </c>
      <c r="Z11719">
        <v>1</v>
      </c>
      <c r="AA11719">
        <v>0</v>
      </c>
      <c r="AB11719">
        <v>0</v>
      </c>
      <c r="AC11719">
        <v>1</v>
      </c>
      <c r="AD11719">
        <v>0</v>
      </c>
      <c r="AE11719">
        <v>0</v>
      </c>
      <c r="AF11719">
        <v>0</v>
      </c>
      <c r="AG11719">
        <v>0</v>
      </c>
      <c r="AH11719">
        <v>0</v>
      </c>
      <c r="AI11719">
        <v>0</v>
      </c>
      <c r="AJ11719">
        <v>0</v>
      </c>
      <c r="AK11719">
        <v>0</v>
      </c>
      <c r="AL11719">
        <v>0</v>
      </c>
      <c r="AM11719">
        <v>0</v>
      </c>
    </row>
    <row r="11720" spans="1:39" x14ac:dyDescent="0.2">
      <c r="A11720" t="str">
        <f>"11716"</f>
        <v>11716</v>
      </c>
      <c r="B11720" t="str">
        <f t="shared" si="651"/>
        <v>1</v>
      </c>
      <c r="C11720" t="str">
        <f t="shared" si="652"/>
        <v>235</v>
      </c>
      <c r="D11720" t="str">
        <f>"17"</f>
        <v>17</v>
      </c>
      <c r="E11720" t="str">
        <f>"1-235-17"</f>
        <v>1-235-17</v>
      </c>
      <c r="F11720" t="s">
        <v>65</v>
      </c>
      <c r="G11720" t="s">
        <v>66</v>
      </c>
      <c r="H11720" t="s">
        <v>67</v>
      </c>
      <c r="S11720">
        <v>1</v>
      </c>
      <c r="T11720">
        <v>0</v>
      </c>
      <c r="U11720">
        <v>0</v>
      </c>
      <c r="V11720">
        <v>0</v>
      </c>
      <c r="W11720">
        <v>1</v>
      </c>
      <c r="X11720">
        <v>0</v>
      </c>
      <c r="Y11720">
        <v>1</v>
      </c>
      <c r="Z11720">
        <v>0</v>
      </c>
      <c r="AA11720">
        <v>1</v>
      </c>
      <c r="AB11720">
        <v>0</v>
      </c>
      <c r="AC11720">
        <v>0</v>
      </c>
      <c r="AD11720">
        <v>1</v>
      </c>
      <c r="AE11720">
        <v>1</v>
      </c>
      <c r="AF11720">
        <v>1</v>
      </c>
      <c r="AG11720">
        <v>1</v>
      </c>
      <c r="AH11720">
        <v>1</v>
      </c>
      <c r="AI11720">
        <v>1</v>
      </c>
      <c r="AJ11720">
        <v>1</v>
      </c>
      <c r="AK11720">
        <v>1</v>
      </c>
      <c r="AL11720">
        <v>1</v>
      </c>
      <c r="AM11720">
        <v>1</v>
      </c>
    </row>
    <row r="11721" spans="1:39" x14ac:dyDescent="0.2">
      <c r="A11721" t="str">
        <f>"11717"</f>
        <v>11717</v>
      </c>
      <c r="B11721" t="str">
        <f t="shared" si="651"/>
        <v>1</v>
      </c>
      <c r="C11721" t="str">
        <f t="shared" si="652"/>
        <v>235</v>
      </c>
      <c r="D11721" t="str">
        <f>"3"</f>
        <v>3</v>
      </c>
      <c r="E11721" t="str">
        <f>"1-235-3"</f>
        <v>1-235-3</v>
      </c>
      <c r="F11721" t="s">
        <v>65</v>
      </c>
      <c r="G11721" t="s">
        <v>66</v>
      </c>
      <c r="H11721" t="s">
        <v>67</v>
      </c>
      <c r="S11721">
        <v>1</v>
      </c>
      <c r="T11721">
        <v>0</v>
      </c>
      <c r="U11721">
        <v>0</v>
      </c>
      <c r="V11721">
        <v>0</v>
      </c>
      <c r="W11721">
        <v>1</v>
      </c>
      <c r="X11721">
        <v>0</v>
      </c>
      <c r="Y11721">
        <v>1</v>
      </c>
      <c r="Z11721">
        <v>0</v>
      </c>
      <c r="AA11721">
        <v>1</v>
      </c>
      <c r="AB11721">
        <v>0</v>
      </c>
      <c r="AC11721">
        <v>0</v>
      </c>
      <c r="AD11721">
        <v>1</v>
      </c>
      <c r="AE11721">
        <v>1</v>
      </c>
      <c r="AF11721">
        <v>1</v>
      </c>
      <c r="AG11721">
        <v>1</v>
      </c>
      <c r="AH11721">
        <v>1</v>
      </c>
      <c r="AI11721">
        <v>1</v>
      </c>
      <c r="AJ11721">
        <v>1</v>
      </c>
      <c r="AK11721">
        <v>1</v>
      </c>
      <c r="AL11721">
        <v>1</v>
      </c>
      <c r="AM11721">
        <v>1</v>
      </c>
    </row>
    <row r="11722" spans="1:39" x14ac:dyDescent="0.2">
      <c r="A11722" t="str">
        <f>"11718"</f>
        <v>11718</v>
      </c>
      <c r="B11722" t="str">
        <f t="shared" si="651"/>
        <v>1</v>
      </c>
      <c r="C11722" t="str">
        <f t="shared" si="652"/>
        <v>235</v>
      </c>
      <c r="D11722" t="str">
        <f>"40"</f>
        <v>40</v>
      </c>
      <c r="E11722" t="str">
        <f>"1-235-40"</f>
        <v>1-235-40</v>
      </c>
      <c r="F11722" t="s">
        <v>65</v>
      </c>
      <c r="G11722" t="s">
        <v>66</v>
      </c>
      <c r="H11722" t="s">
        <v>67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1</v>
      </c>
      <c r="Y11722">
        <v>0</v>
      </c>
      <c r="Z11722">
        <v>1</v>
      </c>
      <c r="AA11722">
        <v>0</v>
      </c>
      <c r="AB11722">
        <v>0</v>
      </c>
      <c r="AC11722">
        <v>1</v>
      </c>
      <c r="AD11722">
        <v>1</v>
      </c>
      <c r="AE11722">
        <v>1</v>
      </c>
      <c r="AF11722">
        <v>1</v>
      </c>
      <c r="AG11722">
        <v>1</v>
      </c>
      <c r="AH11722">
        <v>1</v>
      </c>
      <c r="AI11722">
        <v>1</v>
      </c>
      <c r="AJ11722">
        <v>1</v>
      </c>
      <c r="AK11722">
        <v>1</v>
      </c>
      <c r="AL11722">
        <v>1</v>
      </c>
      <c r="AM11722">
        <v>1</v>
      </c>
    </row>
    <row r="11723" spans="1:39" x14ac:dyDescent="0.2">
      <c r="A11723" t="str">
        <f>"11719"</f>
        <v>11719</v>
      </c>
      <c r="B11723" t="str">
        <f t="shared" si="651"/>
        <v>1</v>
      </c>
      <c r="C11723" t="str">
        <f t="shared" si="652"/>
        <v>235</v>
      </c>
      <c r="D11723" t="str">
        <f>"39"</f>
        <v>39</v>
      </c>
      <c r="E11723" t="str">
        <f>"1-235-39"</f>
        <v>1-235-39</v>
      </c>
      <c r="F11723" t="s">
        <v>65</v>
      </c>
      <c r="G11723" t="s">
        <v>66</v>
      </c>
      <c r="H11723" t="s">
        <v>67</v>
      </c>
      <c r="S11723">
        <v>1</v>
      </c>
      <c r="T11723">
        <v>0</v>
      </c>
      <c r="U11723">
        <v>0</v>
      </c>
      <c r="V11723">
        <v>0</v>
      </c>
      <c r="W11723">
        <v>0</v>
      </c>
      <c r="X11723">
        <v>1</v>
      </c>
      <c r="Y11723">
        <v>0</v>
      </c>
      <c r="Z11723">
        <v>1</v>
      </c>
      <c r="AA11723">
        <v>0</v>
      </c>
      <c r="AB11723">
        <v>0</v>
      </c>
      <c r="AC11723">
        <v>1</v>
      </c>
      <c r="AD11723">
        <v>1</v>
      </c>
      <c r="AE11723">
        <v>1</v>
      </c>
      <c r="AF11723">
        <v>1</v>
      </c>
      <c r="AG11723">
        <v>1</v>
      </c>
      <c r="AH11723">
        <v>1</v>
      </c>
      <c r="AI11723">
        <v>1</v>
      </c>
      <c r="AJ11723">
        <v>1</v>
      </c>
      <c r="AK11723">
        <v>1</v>
      </c>
      <c r="AL11723">
        <v>1</v>
      </c>
      <c r="AM11723">
        <v>1</v>
      </c>
    </row>
    <row r="11724" spans="1:39" x14ac:dyDescent="0.2">
      <c r="A11724" t="str">
        <f>"11720"</f>
        <v>11720</v>
      </c>
      <c r="B11724" t="str">
        <f t="shared" si="651"/>
        <v>1</v>
      </c>
      <c r="C11724" t="str">
        <f t="shared" si="652"/>
        <v>235</v>
      </c>
      <c r="D11724" t="str">
        <f>"31"</f>
        <v>31</v>
      </c>
      <c r="E11724" t="str">
        <f>"1-235-31"</f>
        <v>1-235-31</v>
      </c>
      <c r="F11724" t="s">
        <v>65</v>
      </c>
      <c r="G11724" t="s">
        <v>66</v>
      </c>
      <c r="H11724" t="s">
        <v>67</v>
      </c>
      <c r="S11724">
        <v>0</v>
      </c>
      <c r="T11724">
        <v>1</v>
      </c>
      <c r="U11724">
        <v>0</v>
      </c>
      <c r="V11724">
        <v>0</v>
      </c>
      <c r="W11724">
        <v>0</v>
      </c>
      <c r="X11724">
        <v>1</v>
      </c>
      <c r="Y11724">
        <v>0</v>
      </c>
      <c r="Z11724">
        <v>1</v>
      </c>
      <c r="AA11724">
        <v>1</v>
      </c>
      <c r="AB11724">
        <v>0</v>
      </c>
      <c r="AC11724">
        <v>0</v>
      </c>
      <c r="AD11724">
        <v>1</v>
      </c>
      <c r="AE11724">
        <v>1</v>
      </c>
      <c r="AF11724">
        <v>1</v>
      </c>
      <c r="AG11724">
        <v>1</v>
      </c>
      <c r="AH11724">
        <v>1</v>
      </c>
      <c r="AI11724">
        <v>1</v>
      </c>
      <c r="AJ11724">
        <v>1</v>
      </c>
      <c r="AK11724">
        <v>1</v>
      </c>
      <c r="AL11724">
        <v>1</v>
      </c>
      <c r="AM11724">
        <v>1</v>
      </c>
    </row>
    <row r="11725" spans="1:39" x14ac:dyDescent="0.2">
      <c r="A11725" t="str">
        <f>"11721"</f>
        <v>11721</v>
      </c>
      <c r="B11725" t="str">
        <f t="shared" si="651"/>
        <v>1</v>
      </c>
      <c r="C11725" t="str">
        <f t="shared" si="652"/>
        <v>235</v>
      </c>
      <c r="D11725" t="str">
        <f>"18"</f>
        <v>18</v>
      </c>
      <c r="E11725" t="str">
        <f>"1-235-18"</f>
        <v>1-235-18</v>
      </c>
      <c r="F11725" t="s">
        <v>65</v>
      </c>
      <c r="G11725" t="s">
        <v>66</v>
      </c>
      <c r="H11725" t="s">
        <v>67</v>
      </c>
      <c r="S11725">
        <v>1</v>
      </c>
      <c r="T11725">
        <v>0</v>
      </c>
      <c r="U11725">
        <v>0</v>
      </c>
      <c r="V11725">
        <v>0</v>
      </c>
      <c r="W11725">
        <v>1</v>
      </c>
      <c r="X11725">
        <v>0</v>
      </c>
      <c r="Y11725">
        <v>1</v>
      </c>
      <c r="Z11725">
        <v>0</v>
      </c>
      <c r="AA11725">
        <v>1</v>
      </c>
      <c r="AB11725">
        <v>0</v>
      </c>
      <c r="AC11725">
        <v>0</v>
      </c>
      <c r="AD11725">
        <v>1</v>
      </c>
      <c r="AE11725">
        <v>1</v>
      </c>
      <c r="AF11725">
        <v>1</v>
      </c>
      <c r="AG11725">
        <v>1</v>
      </c>
      <c r="AH11725">
        <v>1</v>
      </c>
      <c r="AI11725">
        <v>1</v>
      </c>
      <c r="AJ11725">
        <v>1</v>
      </c>
      <c r="AK11725">
        <v>1</v>
      </c>
      <c r="AL11725">
        <v>0</v>
      </c>
      <c r="AM11725">
        <v>1</v>
      </c>
    </row>
    <row r="11726" spans="1:39" x14ac:dyDescent="0.2">
      <c r="A11726" t="str">
        <f>"11722"</f>
        <v>11722</v>
      </c>
      <c r="B11726" t="str">
        <f t="shared" si="651"/>
        <v>1</v>
      </c>
      <c r="C11726" t="str">
        <f t="shared" si="652"/>
        <v>235</v>
      </c>
      <c r="D11726" t="str">
        <f>"13"</f>
        <v>13</v>
      </c>
      <c r="E11726" t="str">
        <f>"1-235-13"</f>
        <v>1-235-13</v>
      </c>
      <c r="F11726" t="s">
        <v>65</v>
      </c>
      <c r="G11726" t="s">
        <v>66</v>
      </c>
      <c r="H11726" t="s">
        <v>67</v>
      </c>
      <c r="S11726">
        <v>1</v>
      </c>
      <c r="T11726">
        <v>0</v>
      </c>
      <c r="U11726">
        <v>0</v>
      </c>
      <c r="V11726">
        <v>0</v>
      </c>
      <c r="W11726">
        <v>1</v>
      </c>
      <c r="X11726">
        <v>0</v>
      </c>
      <c r="Y11726">
        <v>1</v>
      </c>
      <c r="Z11726">
        <v>0</v>
      </c>
      <c r="AA11726">
        <v>1</v>
      </c>
      <c r="AB11726">
        <v>0</v>
      </c>
      <c r="AC11726">
        <v>0</v>
      </c>
      <c r="AD11726">
        <v>1</v>
      </c>
      <c r="AE11726">
        <v>1</v>
      </c>
      <c r="AF11726">
        <v>1</v>
      </c>
      <c r="AG11726">
        <v>1</v>
      </c>
      <c r="AH11726">
        <v>1</v>
      </c>
      <c r="AI11726">
        <v>0</v>
      </c>
      <c r="AJ11726">
        <v>0</v>
      </c>
      <c r="AK11726">
        <v>0</v>
      </c>
      <c r="AL11726">
        <v>0</v>
      </c>
      <c r="AM11726">
        <v>0</v>
      </c>
    </row>
    <row r="11727" spans="1:39" x14ac:dyDescent="0.2">
      <c r="A11727" t="str">
        <f>"11723"</f>
        <v>11723</v>
      </c>
      <c r="B11727" t="str">
        <f t="shared" si="651"/>
        <v>1</v>
      </c>
      <c r="C11727" t="str">
        <f t="shared" si="652"/>
        <v>235</v>
      </c>
      <c r="D11727" t="str">
        <f>"44"</f>
        <v>44</v>
      </c>
      <c r="E11727" t="str">
        <f>"1-235-44"</f>
        <v>1-235-44</v>
      </c>
      <c r="F11727" t="s">
        <v>65</v>
      </c>
      <c r="G11727" t="s">
        <v>66</v>
      </c>
      <c r="H11727" t="s">
        <v>67</v>
      </c>
      <c r="S11727">
        <v>0</v>
      </c>
      <c r="T11727">
        <v>1</v>
      </c>
      <c r="U11727">
        <v>0</v>
      </c>
      <c r="V11727">
        <v>0</v>
      </c>
      <c r="W11727">
        <v>1</v>
      </c>
      <c r="X11727">
        <v>0</v>
      </c>
      <c r="Y11727">
        <v>1</v>
      </c>
      <c r="Z11727">
        <v>0</v>
      </c>
      <c r="AA11727">
        <v>0</v>
      </c>
      <c r="AB11727">
        <v>0</v>
      </c>
      <c r="AC11727">
        <v>1</v>
      </c>
      <c r="AD11727">
        <v>1</v>
      </c>
      <c r="AE11727">
        <v>1</v>
      </c>
      <c r="AF11727">
        <v>1</v>
      </c>
      <c r="AG11727">
        <v>1</v>
      </c>
      <c r="AH11727">
        <v>1</v>
      </c>
      <c r="AI11727">
        <v>1</v>
      </c>
      <c r="AJ11727">
        <v>1</v>
      </c>
      <c r="AK11727">
        <v>1</v>
      </c>
      <c r="AL11727">
        <v>1</v>
      </c>
      <c r="AM11727">
        <v>1</v>
      </c>
    </row>
    <row r="11728" spans="1:39" x14ac:dyDescent="0.2">
      <c r="A11728" t="str">
        <f>"11724"</f>
        <v>11724</v>
      </c>
      <c r="B11728" t="str">
        <f t="shared" si="651"/>
        <v>1</v>
      </c>
      <c r="C11728" t="str">
        <f t="shared" si="652"/>
        <v>235</v>
      </c>
      <c r="D11728" t="str">
        <f>"22"</f>
        <v>22</v>
      </c>
      <c r="E11728" t="str">
        <f>"1-235-22"</f>
        <v>1-235-22</v>
      </c>
      <c r="F11728" t="s">
        <v>65</v>
      </c>
      <c r="G11728" t="s">
        <v>66</v>
      </c>
      <c r="H11728" t="s">
        <v>67</v>
      </c>
      <c r="S11728">
        <v>0</v>
      </c>
      <c r="T11728">
        <v>1</v>
      </c>
      <c r="U11728">
        <v>0</v>
      </c>
      <c r="V11728">
        <v>0</v>
      </c>
      <c r="W11728">
        <v>1</v>
      </c>
      <c r="X11728">
        <v>0</v>
      </c>
      <c r="Y11728">
        <v>1</v>
      </c>
      <c r="Z11728">
        <v>0</v>
      </c>
      <c r="AA11728">
        <v>1</v>
      </c>
      <c r="AB11728">
        <v>0</v>
      </c>
      <c r="AC11728">
        <v>0</v>
      </c>
      <c r="AD11728">
        <v>1</v>
      </c>
      <c r="AE11728">
        <v>1</v>
      </c>
      <c r="AF11728">
        <v>1</v>
      </c>
      <c r="AG11728">
        <v>1</v>
      </c>
      <c r="AH11728">
        <v>1</v>
      </c>
      <c r="AI11728">
        <v>1</v>
      </c>
      <c r="AJ11728">
        <v>1</v>
      </c>
      <c r="AK11728">
        <v>1</v>
      </c>
      <c r="AL11728">
        <v>1</v>
      </c>
      <c r="AM11728">
        <v>1</v>
      </c>
    </row>
    <row r="11729" spans="1:39" x14ac:dyDescent="0.2">
      <c r="A11729" t="str">
        <f>"11725"</f>
        <v>11725</v>
      </c>
      <c r="B11729" t="str">
        <f t="shared" si="651"/>
        <v>1</v>
      </c>
      <c r="C11729" t="str">
        <f t="shared" si="652"/>
        <v>235</v>
      </c>
      <c r="D11729" t="str">
        <f>"12"</f>
        <v>12</v>
      </c>
      <c r="E11729" t="str">
        <f>"1-235-12"</f>
        <v>1-235-12</v>
      </c>
      <c r="F11729" t="s">
        <v>65</v>
      </c>
      <c r="G11729" t="s">
        <v>66</v>
      </c>
      <c r="H11729" t="s">
        <v>67</v>
      </c>
      <c r="S11729">
        <v>0</v>
      </c>
      <c r="T11729">
        <v>1</v>
      </c>
      <c r="U11729">
        <v>0</v>
      </c>
      <c r="V11729">
        <v>0</v>
      </c>
      <c r="W11729">
        <v>0</v>
      </c>
      <c r="X11729">
        <v>1</v>
      </c>
      <c r="Y11729">
        <v>1</v>
      </c>
      <c r="Z11729">
        <v>0</v>
      </c>
      <c r="AA11729">
        <v>1</v>
      </c>
      <c r="AB11729">
        <v>0</v>
      </c>
      <c r="AC11729">
        <v>0</v>
      </c>
      <c r="AD11729">
        <v>0</v>
      </c>
      <c r="AE11729">
        <v>0</v>
      </c>
      <c r="AF11729">
        <v>0</v>
      </c>
      <c r="AG11729">
        <v>0</v>
      </c>
      <c r="AH11729">
        <v>0</v>
      </c>
      <c r="AI11729">
        <v>0</v>
      </c>
      <c r="AJ11729">
        <v>0</v>
      </c>
      <c r="AK11729">
        <v>0</v>
      </c>
      <c r="AL11729">
        <v>0</v>
      </c>
      <c r="AM11729">
        <v>0</v>
      </c>
    </row>
    <row r="11730" spans="1:39" x14ac:dyDescent="0.2">
      <c r="A11730" t="str">
        <f>"11726"</f>
        <v>11726</v>
      </c>
      <c r="B11730" t="str">
        <f t="shared" si="651"/>
        <v>1</v>
      </c>
      <c r="C11730" t="str">
        <f t="shared" si="652"/>
        <v>235</v>
      </c>
      <c r="D11730" t="str">
        <f>"43"</f>
        <v>43</v>
      </c>
      <c r="E11730" t="str">
        <f>"1-235-43"</f>
        <v>1-235-43</v>
      </c>
      <c r="F11730" t="s">
        <v>65</v>
      </c>
      <c r="G11730" t="s">
        <v>66</v>
      </c>
      <c r="H11730" t="s">
        <v>67</v>
      </c>
      <c r="S11730">
        <v>0</v>
      </c>
      <c r="T11730">
        <v>1</v>
      </c>
      <c r="U11730">
        <v>0</v>
      </c>
      <c r="V11730">
        <v>0</v>
      </c>
      <c r="W11730">
        <v>1</v>
      </c>
      <c r="X11730">
        <v>0</v>
      </c>
      <c r="Y11730">
        <v>0</v>
      </c>
      <c r="Z11730">
        <v>1</v>
      </c>
      <c r="AA11730">
        <v>1</v>
      </c>
      <c r="AB11730">
        <v>0</v>
      </c>
      <c r="AC11730">
        <v>0</v>
      </c>
      <c r="AD11730">
        <v>1</v>
      </c>
      <c r="AE11730">
        <v>1</v>
      </c>
      <c r="AF11730">
        <v>1</v>
      </c>
      <c r="AG11730">
        <v>1</v>
      </c>
      <c r="AH11730">
        <v>1</v>
      </c>
      <c r="AI11730">
        <v>1</v>
      </c>
      <c r="AJ11730">
        <v>1</v>
      </c>
      <c r="AK11730">
        <v>1</v>
      </c>
      <c r="AL11730">
        <v>1</v>
      </c>
      <c r="AM11730">
        <v>1</v>
      </c>
    </row>
    <row r="11731" spans="1:39" x14ac:dyDescent="0.2">
      <c r="A11731" t="str">
        <f>"11727"</f>
        <v>11727</v>
      </c>
      <c r="B11731" t="str">
        <f t="shared" si="651"/>
        <v>1</v>
      </c>
      <c r="C11731" t="str">
        <f t="shared" si="652"/>
        <v>235</v>
      </c>
      <c r="D11731" t="str">
        <f>"23"</f>
        <v>23</v>
      </c>
      <c r="E11731" t="str">
        <f>"1-235-23"</f>
        <v>1-235-23</v>
      </c>
      <c r="F11731" t="s">
        <v>65</v>
      </c>
      <c r="G11731" t="s">
        <v>66</v>
      </c>
      <c r="H11731" t="s">
        <v>67</v>
      </c>
      <c r="S11731">
        <v>0</v>
      </c>
      <c r="T11731">
        <v>1</v>
      </c>
      <c r="U11731">
        <v>0</v>
      </c>
      <c r="V11731">
        <v>0</v>
      </c>
      <c r="W11731">
        <v>1</v>
      </c>
      <c r="X11731">
        <v>0</v>
      </c>
      <c r="Y11731">
        <v>1</v>
      </c>
      <c r="Z11731">
        <v>0</v>
      </c>
      <c r="AA11731">
        <v>0</v>
      </c>
      <c r="AB11731">
        <v>1</v>
      </c>
      <c r="AC11731">
        <v>0</v>
      </c>
      <c r="AD11731">
        <v>1</v>
      </c>
      <c r="AE11731">
        <v>1</v>
      </c>
      <c r="AF11731">
        <v>1</v>
      </c>
      <c r="AG11731">
        <v>1</v>
      </c>
      <c r="AH11731">
        <v>1</v>
      </c>
      <c r="AI11731">
        <v>1</v>
      </c>
      <c r="AJ11731">
        <v>1</v>
      </c>
      <c r="AK11731">
        <v>1</v>
      </c>
      <c r="AL11731">
        <v>1</v>
      </c>
      <c r="AM11731">
        <v>1</v>
      </c>
    </row>
    <row r="11732" spans="1:39" x14ac:dyDescent="0.2">
      <c r="A11732" t="str">
        <f>"11728"</f>
        <v>11728</v>
      </c>
      <c r="B11732" t="str">
        <f t="shared" si="651"/>
        <v>1</v>
      </c>
      <c r="C11732" t="str">
        <f t="shared" si="652"/>
        <v>235</v>
      </c>
      <c r="D11732" t="str">
        <f>"9"</f>
        <v>9</v>
      </c>
      <c r="E11732" t="str">
        <f>"1-235-9"</f>
        <v>1-235-9</v>
      </c>
      <c r="F11732" t="s">
        <v>65</v>
      </c>
      <c r="G11732" t="s">
        <v>66</v>
      </c>
      <c r="H11732" t="s">
        <v>67</v>
      </c>
      <c r="S11732">
        <v>1</v>
      </c>
      <c r="T11732">
        <v>0</v>
      </c>
      <c r="U11732">
        <v>0</v>
      </c>
      <c r="V11732">
        <v>0</v>
      </c>
      <c r="W11732">
        <v>1</v>
      </c>
      <c r="X11732">
        <v>0</v>
      </c>
      <c r="Y11732">
        <v>1</v>
      </c>
      <c r="Z11732">
        <v>0</v>
      </c>
      <c r="AA11732">
        <v>1</v>
      </c>
      <c r="AB11732">
        <v>0</v>
      </c>
      <c r="AC11732">
        <v>0</v>
      </c>
      <c r="AD11732">
        <v>0</v>
      </c>
      <c r="AE11732">
        <v>0</v>
      </c>
      <c r="AF11732">
        <v>0</v>
      </c>
      <c r="AG11732">
        <v>0</v>
      </c>
      <c r="AH11732">
        <v>0</v>
      </c>
      <c r="AI11732">
        <v>0</v>
      </c>
      <c r="AJ11732">
        <v>0</v>
      </c>
      <c r="AK11732">
        <v>0</v>
      </c>
      <c r="AL11732">
        <v>0</v>
      </c>
      <c r="AM11732">
        <v>0</v>
      </c>
    </row>
    <row r="11733" spans="1:39" x14ac:dyDescent="0.2">
      <c r="A11733" t="str">
        <f>"11729"</f>
        <v>11729</v>
      </c>
      <c r="B11733" t="str">
        <f t="shared" si="651"/>
        <v>1</v>
      </c>
      <c r="C11733" t="str">
        <f t="shared" si="652"/>
        <v>235</v>
      </c>
      <c r="D11733" t="str">
        <f>"45"</f>
        <v>45</v>
      </c>
      <c r="E11733" t="str">
        <f>"1-235-45"</f>
        <v>1-235-45</v>
      </c>
      <c r="F11733" t="s">
        <v>65</v>
      </c>
      <c r="G11733" t="s">
        <v>66</v>
      </c>
      <c r="H11733" t="s">
        <v>67</v>
      </c>
      <c r="S11733">
        <v>1</v>
      </c>
      <c r="T11733">
        <v>0</v>
      </c>
      <c r="U11733">
        <v>0</v>
      </c>
      <c r="V11733">
        <v>0</v>
      </c>
      <c r="W11733">
        <v>0</v>
      </c>
      <c r="X11733">
        <v>1</v>
      </c>
      <c r="Y11733">
        <v>1</v>
      </c>
      <c r="Z11733">
        <v>0</v>
      </c>
      <c r="AA11733">
        <v>1</v>
      </c>
      <c r="AB11733">
        <v>0</v>
      </c>
      <c r="AC11733">
        <v>0</v>
      </c>
      <c r="AD11733">
        <v>1</v>
      </c>
      <c r="AE11733">
        <v>1</v>
      </c>
      <c r="AF11733">
        <v>1</v>
      </c>
      <c r="AG11733">
        <v>1</v>
      </c>
      <c r="AH11733">
        <v>1</v>
      </c>
      <c r="AI11733">
        <v>1</v>
      </c>
      <c r="AJ11733">
        <v>1</v>
      </c>
      <c r="AK11733">
        <v>1</v>
      </c>
      <c r="AL11733">
        <v>1</v>
      </c>
      <c r="AM11733">
        <v>1</v>
      </c>
    </row>
    <row r="11734" spans="1:39" x14ac:dyDescent="0.2">
      <c r="A11734" t="str">
        <f>"11730"</f>
        <v>11730</v>
      </c>
      <c r="B11734" t="str">
        <f t="shared" si="651"/>
        <v>1</v>
      </c>
      <c r="C11734" t="str">
        <f t="shared" si="652"/>
        <v>235</v>
      </c>
      <c r="D11734" t="str">
        <f>"24"</f>
        <v>24</v>
      </c>
      <c r="E11734" t="str">
        <f>"1-235-24"</f>
        <v>1-235-24</v>
      </c>
      <c r="F11734" t="s">
        <v>65</v>
      </c>
      <c r="G11734" t="s">
        <v>66</v>
      </c>
      <c r="H11734" t="s">
        <v>67</v>
      </c>
      <c r="S11734">
        <v>0</v>
      </c>
      <c r="T11734">
        <v>1</v>
      </c>
      <c r="U11734">
        <v>0</v>
      </c>
      <c r="V11734">
        <v>0</v>
      </c>
      <c r="W11734">
        <v>1</v>
      </c>
      <c r="X11734">
        <v>0</v>
      </c>
      <c r="Y11734">
        <v>1</v>
      </c>
      <c r="Z11734">
        <v>0</v>
      </c>
      <c r="AA11734">
        <v>1</v>
      </c>
      <c r="AB11734">
        <v>0</v>
      </c>
      <c r="AC11734">
        <v>0</v>
      </c>
      <c r="AD11734">
        <v>1</v>
      </c>
      <c r="AE11734">
        <v>1</v>
      </c>
      <c r="AF11734">
        <v>1</v>
      </c>
      <c r="AG11734">
        <v>1</v>
      </c>
      <c r="AH11734">
        <v>1</v>
      </c>
      <c r="AI11734">
        <v>1</v>
      </c>
      <c r="AJ11734">
        <v>1</v>
      </c>
      <c r="AK11734">
        <v>1</v>
      </c>
      <c r="AL11734">
        <v>1</v>
      </c>
      <c r="AM11734">
        <v>1</v>
      </c>
    </row>
    <row r="11735" spans="1:39" x14ac:dyDescent="0.2">
      <c r="A11735" t="str">
        <f>"11731"</f>
        <v>11731</v>
      </c>
      <c r="B11735" t="str">
        <f t="shared" si="651"/>
        <v>1</v>
      </c>
      <c r="C11735" t="str">
        <f t="shared" si="652"/>
        <v>235</v>
      </c>
      <c r="D11735" t="str">
        <f>"14"</f>
        <v>14</v>
      </c>
      <c r="E11735" t="str">
        <f>"1-235-14"</f>
        <v>1-235-14</v>
      </c>
      <c r="F11735" t="s">
        <v>65</v>
      </c>
      <c r="G11735" t="s">
        <v>66</v>
      </c>
      <c r="H11735" t="s">
        <v>67</v>
      </c>
      <c r="S11735">
        <v>1</v>
      </c>
      <c r="T11735">
        <v>0</v>
      </c>
      <c r="U11735">
        <v>0</v>
      </c>
      <c r="V11735">
        <v>0</v>
      </c>
      <c r="W11735">
        <v>1</v>
      </c>
      <c r="X11735">
        <v>0</v>
      </c>
      <c r="Y11735">
        <v>1</v>
      </c>
      <c r="Z11735">
        <v>0</v>
      </c>
      <c r="AA11735">
        <v>1</v>
      </c>
      <c r="AB11735">
        <v>0</v>
      </c>
      <c r="AC11735">
        <v>0</v>
      </c>
      <c r="AD11735">
        <v>1</v>
      </c>
      <c r="AE11735">
        <v>1</v>
      </c>
      <c r="AF11735">
        <v>1</v>
      </c>
      <c r="AG11735">
        <v>1</v>
      </c>
      <c r="AH11735">
        <v>1</v>
      </c>
      <c r="AI11735">
        <v>1</v>
      </c>
      <c r="AJ11735">
        <v>1</v>
      </c>
      <c r="AK11735">
        <v>1</v>
      </c>
      <c r="AL11735">
        <v>1</v>
      </c>
      <c r="AM11735">
        <v>1</v>
      </c>
    </row>
    <row r="11736" spans="1:39" x14ac:dyDescent="0.2">
      <c r="A11736" t="str">
        <f>"11732"</f>
        <v>11732</v>
      </c>
      <c r="B11736" t="str">
        <f t="shared" si="651"/>
        <v>1</v>
      </c>
      <c r="C11736" t="str">
        <f t="shared" si="652"/>
        <v>235</v>
      </c>
      <c r="D11736" t="str">
        <f>"47"</f>
        <v>47</v>
      </c>
      <c r="E11736" t="str">
        <f>"1-235-47"</f>
        <v>1-235-47</v>
      </c>
      <c r="F11736" t="s">
        <v>65</v>
      </c>
      <c r="G11736" t="s">
        <v>66</v>
      </c>
      <c r="H11736" t="s">
        <v>67</v>
      </c>
      <c r="S11736">
        <v>1</v>
      </c>
      <c r="T11736">
        <v>0</v>
      </c>
      <c r="U11736">
        <v>0</v>
      </c>
      <c r="V11736">
        <v>0</v>
      </c>
      <c r="W11736">
        <v>1</v>
      </c>
      <c r="X11736">
        <v>0</v>
      </c>
      <c r="Y11736">
        <v>0</v>
      </c>
      <c r="Z11736">
        <v>1</v>
      </c>
      <c r="AA11736">
        <v>1</v>
      </c>
      <c r="AB11736">
        <v>0</v>
      </c>
      <c r="AC11736">
        <v>0</v>
      </c>
      <c r="AD11736">
        <v>1</v>
      </c>
      <c r="AE11736">
        <v>1</v>
      </c>
      <c r="AF11736">
        <v>1</v>
      </c>
      <c r="AG11736">
        <v>1</v>
      </c>
      <c r="AH11736">
        <v>1</v>
      </c>
      <c r="AI11736">
        <v>1</v>
      </c>
      <c r="AJ11736">
        <v>1</v>
      </c>
      <c r="AK11736">
        <v>1</v>
      </c>
      <c r="AL11736">
        <v>1</v>
      </c>
      <c r="AM11736">
        <v>1</v>
      </c>
    </row>
    <row r="11737" spans="1:39" x14ac:dyDescent="0.2">
      <c r="A11737" t="str">
        <f>"11733"</f>
        <v>11733</v>
      </c>
      <c r="B11737" t="str">
        <f t="shared" si="651"/>
        <v>1</v>
      </c>
      <c r="C11737" t="str">
        <f t="shared" ref="C11737:C11754" si="653">"235"</f>
        <v>235</v>
      </c>
      <c r="D11737" t="str">
        <f>"25"</f>
        <v>25</v>
      </c>
      <c r="E11737" t="str">
        <f>"1-235-25"</f>
        <v>1-235-25</v>
      </c>
      <c r="F11737" t="s">
        <v>65</v>
      </c>
      <c r="G11737" t="s">
        <v>66</v>
      </c>
      <c r="H11737" t="s">
        <v>67</v>
      </c>
      <c r="S11737">
        <v>0</v>
      </c>
      <c r="T11737">
        <v>0</v>
      </c>
      <c r="U11737">
        <v>0</v>
      </c>
      <c r="V11737">
        <v>0</v>
      </c>
      <c r="W11737">
        <v>1</v>
      </c>
      <c r="X11737">
        <v>0</v>
      </c>
      <c r="Y11737">
        <v>1</v>
      </c>
      <c r="Z11737">
        <v>0</v>
      </c>
      <c r="AA11737">
        <v>0</v>
      </c>
      <c r="AB11737">
        <v>0</v>
      </c>
      <c r="AC11737">
        <v>0</v>
      </c>
      <c r="AD11737">
        <v>0</v>
      </c>
      <c r="AE11737">
        <v>0</v>
      </c>
      <c r="AF11737">
        <v>0</v>
      </c>
      <c r="AG11737">
        <v>0</v>
      </c>
      <c r="AH11737">
        <v>0</v>
      </c>
      <c r="AI11737">
        <v>0</v>
      </c>
      <c r="AJ11737">
        <v>0</v>
      </c>
      <c r="AK11737">
        <v>0</v>
      </c>
      <c r="AL11737">
        <v>0</v>
      </c>
      <c r="AM11737">
        <v>0</v>
      </c>
    </row>
    <row r="11738" spans="1:39" x14ac:dyDescent="0.2">
      <c r="A11738" t="str">
        <f>"11734"</f>
        <v>11734</v>
      </c>
      <c r="B11738" t="str">
        <f t="shared" si="651"/>
        <v>1</v>
      </c>
      <c r="C11738" t="str">
        <f t="shared" si="653"/>
        <v>235</v>
      </c>
      <c r="D11738" t="str">
        <f>"10"</f>
        <v>10</v>
      </c>
      <c r="E11738" t="str">
        <f>"1-235-10"</f>
        <v>1-235-10</v>
      </c>
      <c r="F11738" t="s">
        <v>65</v>
      </c>
      <c r="G11738" t="s">
        <v>66</v>
      </c>
      <c r="H11738" t="s">
        <v>67</v>
      </c>
      <c r="S11738">
        <v>1</v>
      </c>
      <c r="T11738">
        <v>0</v>
      </c>
      <c r="U11738">
        <v>0</v>
      </c>
      <c r="V11738">
        <v>0</v>
      </c>
      <c r="W11738">
        <v>1</v>
      </c>
      <c r="X11738">
        <v>0</v>
      </c>
      <c r="Y11738">
        <v>0</v>
      </c>
      <c r="Z11738">
        <v>1</v>
      </c>
      <c r="AA11738">
        <v>1</v>
      </c>
      <c r="AB11738">
        <v>0</v>
      </c>
      <c r="AC11738">
        <v>0</v>
      </c>
      <c r="AD11738">
        <v>0</v>
      </c>
      <c r="AE11738">
        <v>0</v>
      </c>
      <c r="AF11738">
        <v>0</v>
      </c>
      <c r="AG11738">
        <v>0</v>
      </c>
      <c r="AH11738">
        <v>0</v>
      </c>
      <c r="AI11738">
        <v>0</v>
      </c>
      <c r="AJ11738">
        <v>0</v>
      </c>
      <c r="AK11738">
        <v>0</v>
      </c>
      <c r="AL11738">
        <v>0</v>
      </c>
      <c r="AM11738">
        <v>0</v>
      </c>
    </row>
    <row r="11739" spans="1:39" x14ac:dyDescent="0.2">
      <c r="A11739" t="str">
        <f>"11735"</f>
        <v>11735</v>
      </c>
      <c r="B11739" t="str">
        <f t="shared" si="651"/>
        <v>1</v>
      </c>
      <c r="C11739" t="str">
        <f t="shared" si="653"/>
        <v>235</v>
      </c>
      <c r="D11739" t="str">
        <f>"46"</f>
        <v>46</v>
      </c>
      <c r="E11739" t="str">
        <f>"1-235-46"</f>
        <v>1-235-46</v>
      </c>
      <c r="F11739" t="s">
        <v>65</v>
      </c>
      <c r="G11739" t="s">
        <v>66</v>
      </c>
      <c r="H11739" t="s">
        <v>67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1</v>
      </c>
      <c r="Y11739">
        <v>0</v>
      </c>
      <c r="Z11739">
        <v>0</v>
      </c>
      <c r="AA11739">
        <v>0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1</v>
      </c>
      <c r="AH11739">
        <v>0</v>
      </c>
      <c r="AI11739">
        <v>0</v>
      </c>
      <c r="AJ11739">
        <v>1</v>
      </c>
      <c r="AK11739">
        <v>0</v>
      </c>
      <c r="AL11739">
        <v>0</v>
      </c>
      <c r="AM11739">
        <v>0</v>
      </c>
    </row>
    <row r="11740" spans="1:39" x14ac:dyDescent="0.2">
      <c r="A11740" t="str">
        <f>"11736"</f>
        <v>11736</v>
      </c>
      <c r="B11740" t="str">
        <f t="shared" si="651"/>
        <v>1</v>
      </c>
      <c r="C11740" t="str">
        <f t="shared" si="653"/>
        <v>235</v>
      </c>
      <c r="D11740" t="str">
        <f>"26"</f>
        <v>26</v>
      </c>
      <c r="E11740" t="str">
        <f>"1-235-26"</f>
        <v>1-235-26</v>
      </c>
      <c r="F11740" t="s">
        <v>65</v>
      </c>
      <c r="G11740" t="s">
        <v>66</v>
      </c>
      <c r="H11740" t="s">
        <v>67</v>
      </c>
      <c r="S11740">
        <v>1</v>
      </c>
      <c r="T11740">
        <v>0</v>
      </c>
      <c r="U11740">
        <v>0</v>
      </c>
      <c r="V11740">
        <v>0</v>
      </c>
      <c r="W11740">
        <v>1</v>
      </c>
      <c r="X11740">
        <v>0</v>
      </c>
      <c r="Y11740">
        <v>1</v>
      </c>
      <c r="Z11740">
        <v>0</v>
      </c>
      <c r="AA11740">
        <v>0</v>
      </c>
      <c r="AB11740">
        <v>1</v>
      </c>
      <c r="AC11740">
        <v>0</v>
      </c>
      <c r="AD11740">
        <v>1</v>
      </c>
      <c r="AE11740">
        <v>1</v>
      </c>
      <c r="AF11740">
        <v>1</v>
      </c>
      <c r="AG11740">
        <v>1</v>
      </c>
      <c r="AH11740">
        <v>1</v>
      </c>
      <c r="AI11740">
        <v>1</v>
      </c>
      <c r="AJ11740">
        <v>1</v>
      </c>
      <c r="AK11740">
        <v>1</v>
      </c>
      <c r="AL11740">
        <v>1</v>
      </c>
      <c r="AM11740">
        <v>1</v>
      </c>
    </row>
    <row r="11741" spans="1:39" x14ac:dyDescent="0.2">
      <c r="A11741" t="str">
        <f>"11737"</f>
        <v>11737</v>
      </c>
      <c r="B11741" t="str">
        <f t="shared" si="651"/>
        <v>1</v>
      </c>
      <c r="C11741" t="str">
        <f t="shared" si="653"/>
        <v>235</v>
      </c>
      <c r="D11741" t="str">
        <f>"8"</f>
        <v>8</v>
      </c>
      <c r="E11741" t="str">
        <f>"1-235-8"</f>
        <v>1-235-8</v>
      </c>
      <c r="F11741" t="s">
        <v>65</v>
      </c>
      <c r="G11741" t="s">
        <v>66</v>
      </c>
      <c r="H11741" t="s">
        <v>67</v>
      </c>
      <c r="S11741">
        <v>1</v>
      </c>
      <c r="T11741">
        <v>0</v>
      </c>
      <c r="U11741">
        <v>0</v>
      </c>
      <c r="V11741">
        <v>0</v>
      </c>
      <c r="W11741">
        <v>1</v>
      </c>
      <c r="X11741">
        <v>0</v>
      </c>
      <c r="Y11741">
        <v>1</v>
      </c>
      <c r="Z11741">
        <v>0</v>
      </c>
      <c r="AA11741">
        <v>1</v>
      </c>
      <c r="AB11741">
        <v>0</v>
      </c>
      <c r="AC11741">
        <v>0</v>
      </c>
      <c r="AD11741">
        <v>1</v>
      </c>
      <c r="AE11741">
        <v>1</v>
      </c>
      <c r="AF11741">
        <v>1</v>
      </c>
      <c r="AG11741">
        <v>1</v>
      </c>
      <c r="AH11741">
        <v>1</v>
      </c>
      <c r="AI11741">
        <v>1</v>
      </c>
      <c r="AJ11741">
        <v>1</v>
      </c>
      <c r="AK11741">
        <v>1</v>
      </c>
      <c r="AL11741">
        <v>1</v>
      </c>
      <c r="AM11741">
        <v>1</v>
      </c>
    </row>
    <row r="11742" spans="1:39" x14ac:dyDescent="0.2">
      <c r="A11742" t="str">
        <f>"11738"</f>
        <v>11738</v>
      </c>
      <c r="B11742" t="str">
        <f t="shared" si="651"/>
        <v>1</v>
      </c>
      <c r="C11742" t="str">
        <f t="shared" si="653"/>
        <v>235</v>
      </c>
      <c r="D11742" t="str">
        <f>"48"</f>
        <v>48</v>
      </c>
      <c r="E11742" t="str">
        <f>"1-235-48"</f>
        <v>1-235-48</v>
      </c>
      <c r="F11742" t="s">
        <v>65</v>
      </c>
      <c r="G11742" t="s">
        <v>66</v>
      </c>
      <c r="H11742" t="s">
        <v>67</v>
      </c>
      <c r="S11742">
        <v>0</v>
      </c>
      <c r="T11742">
        <v>1</v>
      </c>
      <c r="U11742">
        <v>0</v>
      </c>
      <c r="V11742">
        <v>0</v>
      </c>
      <c r="W11742">
        <v>1</v>
      </c>
      <c r="X11742">
        <v>0</v>
      </c>
      <c r="Y11742">
        <v>1</v>
      </c>
      <c r="Z11742">
        <v>0</v>
      </c>
      <c r="AA11742">
        <v>0</v>
      </c>
      <c r="AB11742">
        <v>0</v>
      </c>
      <c r="AC11742">
        <v>1</v>
      </c>
      <c r="AD11742">
        <v>0</v>
      </c>
      <c r="AE11742">
        <v>0</v>
      </c>
      <c r="AF11742">
        <v>0</v>
      </c>
      <c r="AG11742">
        <v>0</v>
      </c>
      <c r="AH11742">
        <v>0</v>
      </c>
      <c r="AI11742">
        <v>1</v>
      </c>
      <c r="AJ11742">
        <v>1</v>
      </c>
      <c r="AK11742">
        <v>0</v>
      </c>
      <c r="AL11742">
        <v>0</v>
      </c>
      <c r="AM11742">
        <v>0</v>
      </c>
    </row>
    <row r="11743" spans="1:39" x14ac:dyDescent="0.2">
      <c r="A11743" t="str">
        <f>"11739"</f>
        <v>11739</v>
      </c>
      <c r="B11743" t="str">
        <f t="shared" si="651"/>
        <v>1</v>
      </c>
      <c r="C11743" t="str">
        <f t="shared" si="653"/>
        <v>235</v>
      </c>
      <c r="D11743" t="str">
        <f>"27"</f>
        <v>27</v>
      </c>
      <c r="E11743" t="str">
        <f>"1-235-27"</f>
        <v>1-235-27</v>
      </c>
      <c r="F11743" t="s">
        <v>65</v>
      </c>
      <c r="G11743" t="s">
        <v>66</v>
      </c>
      <c r="H11743" t="s">
        <v>67</v>
      </c>
      <c r="S11743">
        <v>0</v>
      </c>
      <c r="T11743">
        <v>1</v>
      </c>
      <c r="U11743">
        <v>0</v>
      </c>
      <c r="V11743">
        <v>0</v>
      </c>
      <c r="W11743">
        <v>1</v>
      </c>
      <c r="X11743">
        <v>0</v>
      </c>
      <c r="Y11743">
        <v>1</v>
      </c>
      <c r="Z11743">
        <v>0</v>
      </c>
      <c r="AA11743">
        <v>1</v>
      </c>
      <c r="AB11743">
        <v>0</v>
      </c>
      <c r="AC11743">
        <v>0</v>
      </c>
      <c r="AD11743">
        <v>1</v>
      </c>
      <c r="AE11743">
        <v>1</v>
      </c>
      <c r="AF11743">
        <v>1</v>
      </c>
      <c r="AG11743">
        <v>1</v>
      </c>
      <c r="AH11743">
        <v>1</v>
      </c>
      <c r="AI11743">
        <v>1</v>
      </c>
      <c r="AJ11743">
        <v>1</v>
      </c>
      <c r="AK11743">
        <v>1</v>
      </c>
      <c r="AL11743">
        <v>1</v>
      </c>
      <c r="AM11743">
        <v>1</v>
      </c>
    </row>
    <row r="11744" spans="1:39" x14ac:dyDescent="0.2">
      <c r="A11744" t="str">
        <f>"11740"</f>
        <v>11740</v>
      </c>
      <c r="B11744" t="str">
        <f t="shared" si="651"/>
        <v>1</v>
      </c>
      <c r="C11744" t="str">
        <f t="shared" si="653"/>
        <v>235</v>
      </c>
      <c r="D11744" t="str">
        <f>"11"</f>
        <v>11</v>
      </c>
      <c r="E11744" t="str">
        <f>"1-235-11"</f>
        <v>1-235-11</v>
      </c>
      <c r="F11744" t="s">
        <v>65</v>
      </c>
      <c r="G11744" t="s">
        <v>66</v>
      </c>
      <c r="H11744" t="s">
        <v>67</v>
      </c>
      <c r="S11744">
        <v>1</v>
      </c>
      <c r="T11744">
        <v>0</v>
      </c>
      <c r="U11744">
        <v>0</v>
      </c>
      <c r="V11744">
        <v>0</v>
      </c>
      <c r="W11744">
        <v>1</v>
      </c>
      <c r="X11744">
        <v>0</v>
      </c>
      <c r="Y11744">
        <v>1</v>
      </c>
      <c r="Z11744">
        <v>0</v>
      </c>
      <c r="AA11744">
        <v>1</v>
      </c>
      <c r="AB11744">
        <v>0</v>
      </c>
      <c r="AC11744">
        <v>0</v>
      </c>
      <c r="AD11744">
        <v>0</v>
      </c>
      <c r="AE11744">
        <v>0</v>
      </c>
      <c r="AF11744">
        <v>0</v>
      </c>
      <c r="AG11744">
        <v>0</v>
      </c>
      <c r="AH11744">
        <v>0</v>
      </c>
      <c r="AI11744">
        <v>0</v>
      </c>
      <c r="AJ11744">
        <v>0</v>
      </c>
      <c r="AK11744">
        <v>0</v>
      </c>
      <c r="AL11744">
        <v>0</v>
      </c>
      <c r="AM11744">
        <v>0</v>
      </c>
    </row>
    <row r="11745" spans="1:39" x14ac:dyDescent="0.2">
      <c r="A11745" t="str">
        <f>"11741"</f>
        <v>11741</v>
      </c>
      <c r="B11745" t="str">
        <f t="shared" si="651"/>
        <v>1</v>
      </c>
      <c r="C11745" t="str">
        <f t="shared" si="653"/>
        <v>235</v>
      </c>
      <c r="D11745" t="str">
        <f>"28"</f>
        <v>28</v>
      </c>
      <c r="E11745" t="str">
        <f>"1-235-28"</f>
        <v>1-235-28</v>
      </c>
      <c r="F11745" t="s">
        <v>65</v>
      </c>
      <c r="G11745" t="s">
        <v>66</v>
      </c>
      <c r="H11745" t="s">
        <v>67</v>
      </c>
      <c r="S11745">
        <v>0</v>
      </c>
      <c r="T11745">
        <v>1</v>
      </c>
      <c r="U11745">
        <v>0</v>
      </c>
      <c r="V11745">
        <v>0</v>
      </c>
      <c r="W11745">
        <v>1</v>
      </c>
      <c r="X11745">
        <v>0</v>
      </c>
      <c r="Y11745">
        <v>0</v>
      </c>
      <c r="Z11745">
        <v>1</v>
      </c>
      <c r="AA11745">
        <v>0</v>
      </c>
      <c r="AB11745">
        <v>1</v>
      </c>
      <c r="AC11745">
        <v>0</v>
      </c>
      <c r="AD11745">
        <v>1</v>
      </c>
      <c r="AE11745">
        <v>1</v>
      </c>
      <c r="AF11745">
        <v>1</v>
      </c>
      <c r="AG11745">
        <v>1</v>
      </c>
      <c r="AH11745">
        <v>1</v>
      </c>
      <c r="AI11745">
        <v>1</v>
      </c>
      <c r="AJ11745">
        <v>1</v>
      </c>
      <c r="AK11745">
        <v>1</v>
      </c>
      <c r="AL11745">
        <v>1</v>
      </c>
      <c r="AM11745">
        <v>1</v>
      </c>
    </row>
    <row r="11746" spans="1:39" x14ac:dyDescent="0.2">
      <c r="A11746" t="str">
        <f>"11742"</f>
        <v>11742</v>
      </c>
      <c r="B11746" t="str">
        <f t="shared" si="651"/>
        <v>1</v>
      </c>
      <c r="C11746" t="str">
        <f t="shared" si="653"/>
        <v>235</v>
      </c>
      <c r="D11746" t="str">
        <f>"4"</f>
        <v>4</v>
      </c>
      <c r="E11746" t="str">
        <f>"1-235-4"</f>
        <v>1-235-4</v>
      </c>
      <c r="F11746" t="s">
        <v>65</v>
      </c>
      <c r="G11746" t="s">
        <v>66</v>
      </c>
      <c r="H11746" t="s">
        <v>67</v>
      </c>
      <c r="S11746">
        <v>1</v>
      </c>
      <c r="T11746">
        <v>0</v>
      </c>
      <c r="U11746">
        <v>0</v>
      </c>
      <c r="V11746">
        <v>0</v>
      </c>
      <c r="W11746">
        <v>0</v>
      </c>
      <c r="X11746">
        <v>1</v>
      </c>
      <c r="Y11746">
        <v>0</v>
      </c>
      <c r="Z11746">
        <v>1</v>
      </c>
      <c r="AA11746">
        <v>0</v>
      </c>
      <c r="AB11746">
        <v>0</v>
      </c>
      <c r="AC11746">
        <v>1</v>
      </c>
      <c r="AD11746">
        <v>1</v>
      </c>
      <c r="AE11746">
        <v>1</v>
      </c>
      <c r="AF11746">
        <v>1</v>
      </c>
      <c r="AG11746">
        <v>1</v>
      </c>
      <c r="AH11746">
        <v>1</v>
      </c>
      <c r="AI11746">
        <v>1</v>
      </c>
      <c r="AJ11746">
        <v>1</v>
      </c>
      <c r="AK11746">
        <v>1</v>
      </c>
      <c r="AL11746">
        <v>1</v>
      </c>
      <c r="AM11746">
        <v>1</v>
      </c>
    </row>
    <row r="11747" spans="1:39" x14ac:dyDescent="0.2">
      <c r="A11747" t="str">
        <f>"11743"</f>
        <v>11743</v>
      </c>
      <c r="B11747" t="str">
        <f t="shared" si="651"/>
        <v>1</v>
      </c>
      <c r="C11747" t="str">
        <f t="shared" si="653"/>
        <v>235</v>
      </c>
      <c r="D11747" t="str">
        <f>"50"</f>
        <v>50</v>
      </c>
      <c r="E11747" t="str">
        <f>"1-235-50"</f>
        <v>1-235-50</v>
      </c>
      <c r="F11747" t="s">
        <v>65</v>
      </c>
      <c r="G11747" t="s">
        <v>66</v>
      </c>
      <c r="H11747" t="s">
        <v>67</v>
      </c>
      <c r="S11747">
        <v>1</v>
      </c>
      <c r="T11747">
        <v>0</v>
      </c>
      <c r="U11747">
        <v>0</v>
      </c>
      <c r="V11747">
        <v>0</v>
      </c>
      <c r="W11747">
        <v>1</v>
      </c>
      <c r="X11747">
        <v>0</v>
      </c>
      <c r="Y11747">
        <v>1</v>
      </c>
      <c r="Z11747">
        <v>0</v>
      </c>
      <c r="AA11747">
        <v>1</v>
      </c>
      <c r="AB11747">
        <v>0</v>
      </c>
      <c r="AC11747">
        <v>0</v>
      </c>
      <c r="AD11747">
        <v>1</v>
      </c>
      <c r="AE11747">
        <v>1</v>
      </c>
      <c r="AF11747">
        <v>1</v>
      </c>
      <c r="AG11747">
        <v>1</v>
      </c>
      <c r="AH11747">
        <v>1</v>
      </c>
      <c r="AI11747">
        <v>1</v>
      </c>
      <c r="AJ11747">
        <v>1</v>
      </c>
      <c r="AK11747">
        <v>1</v>
      </c>
      <c r="AL11747">
        <v>1</v>
      </c>
      <c r="AM11747">
        <v>1</v>
      </c>
    </row>
    <row r="11748" spans="1:39" x14ac:dyDescent="0.2">
      <c r="A11748" t="str">
        <f>"11744"</f>
        <v>11744</v>
      </c>
      <c r="B11748" t="str">
        <f t="shared" si="651"/>
        <v>1</v>
      </c>
      <c r="C11748" t="str">
        <f t="shared" si="653"/>
        <v>235</v>
      </c>
      <c r="D11748" t="str">
        <f>"29"</f>
        <v>29</v>
      </c>
      <c r="E11748" t="str">
        <f>"1-235-29"</f>
        <v>1-235-29</v>
      </c>
      <c r="F11748" t="s">
        <v>65</v>
      </c>
      <c r="G11748" t="s">
        <v>66</v>
      </c>
      <c r="H11748" t="s">
        <v>67</v>
      </c>
      <c r="S11748">
        <v>1</v>
      </c>
      <c r="T11748">
        <v>0</v>
      </c>
      <c r="U11748">
        <v>0</v>
      </c>
      <c r="V11748">
        <v>0</v>
      </c>
      <c r="W11748">
        <v>0</v>
      </c>
      <c r="X11748">
        <v>1</v>
      </c>
      <c r="Y11748">
        <v>1</v>
      </c>
      <c r="Z11748">
        <v>0</v>
      </c>
      <c r="AA11748">
        <v>0</v>
      </c>
      <c r="AB11748">
        <v>0</v>
      </c>
      <c r="AC11748">
        <v>0</v>
      </c>
      <c r="AD11748">
        <v>0</v>
      </c>
      <c r="AE11748">
        <v>0</v>
      </c>
      <c r="AF11748">
        <v>0</v>
      </c>
      <c r="AG11748">
        <v>1</v>
      </c>
      <c r="AH11748">
        <v>0</v>
      </c>
      <c r="AI11748">
        <v>0</v>
      </c>
      <c r="AJ11748">
        <v>1</v>
      </c>
      <c r="AK11748">
        <v>1</v>
      </c>
      <c r="AL11748">
        <v>1</v>
      </c>
      <c r="AM11748">
        <v>1</v>
      </c>
    </row>
    <row r="11749" spans="1:39" x14ac:dyDescent="0.2">
      <c r="A11749" t="str">
        <f>"11745"</f>
        <v>11745</v>
      </c>
      <c r="B11749" t="str">
        <f t="shared" si="651"/>
        <v>1</v>
      </c>
      <c r="C11749" t="str">
        <f t="shared" si="653"/>
        <v>235</v>
      </c>
      <c r="D11749" t="str">
        <f>"7"</f>
        <v>7</v>
      </c>
      <c r="E11749" t="str">
        <f>"1-235-7"</f>
        <v>1-235-7</v>
      </c>
      <c r="F11749" t="s">
        <v>65</v>
      </c>
      <c r="G11749" t="s">
        <v>66</v>
      </c>
      <c r="H11749" t="s">
        <v>67</v>
      </c>
      <c r="S11749">
        <v>1</v>
      </c>
      <c r="T11749">
        <v>0</v>
      </c>
      <c r="U11749">
        <v>0</v>
      </c>
      <c r="V11749">
        <v>0</v>
      </c>
      <c r="W11749">
        <v>1</v>
      </c>
      <c r="X11749">
        <v>0</v>
      </c>
      <c r="Y11749">
        <v>1</v>
      </c>
      <c r="Z11749">
        <v>0</v>
      </c>
      <c r="AA11749">
        <v>1</v>
      </c>
      <c r="AB11749">
        <v>0</v>
      </c>
      <c r="AC11749">
        <v>0</v>
      </c>
      <c r="AD11749">
        <v>0</v>
      </c>
      <c r="AE11749">
        <v>0</v>
      </c>
      <c r="AF11749">
        <v>0</v>
      </c>
      <c r="AG11749">
        <v>0</v>
      </c>
      <c r="AH11749">
        <v>0</v>
      </c>
      <c r="AI11749">
        <v>0</v>
      </c>
      <c r="AJ11749">
        <v>0</v>
      </c>
      <c r="AK11749">
        <v>0</v>
      </c>
      <c r="AL11749">
        <v>0</v>
      </c>
      <c r="AM11749">
        <v>0</v>
      </c>
    </row>
    <row r="11750" spans="1:39" x14ac:dyDescent="0.2">
      <c r="A11750" t="str">
        <f>"11746"</f>
        <v>11746</v>
      </c>
      <c r="B11750" t="str">
        <f t="shared" si="651"/>
        <v>1</v>
      </c>
      <c r="C11750" t="str">
        <f t="shared" si="653"/>
        <v>235</v>
      </c>
      <c r="D11750" t="str">
        <f>"32"</f>
        <v>32</v>
      </c>
      <c r="E11750" t="str">
        <f>"1-235-32"</f>
        <v>1-235-32</v>
      </c>
      <c r="F11750" t="s">
        <v>65</v>
      </c>
      <c r="G11750" t="s">
        <v>66</v>
      </c>
      <c r="H11750" t="s">
        <v>67</v>
      </c>
      <c r="S11750">
        <v>1</v>
      </c>
      <c r="T11750">
        <v>0</v>
      </c>
      <c r="U11750">
        <v>0</v>
      </c>
      <c r="V11750">
        <v>0</v>
      </c>
      <c r="W11750">
        <v>1</v>
      </c>
      <c r="X11750">
        <v>0</v>
      </c>
      <c r="Y11750">
        <v>1</v>
      </c>
      <c r="Z11750">
        <v>0</v>
      </c>
      <c r="AA11750">
        <v>1</v>
      </c>
      <c r="AB11750">
        <v>0</v>
      </c>
      <c r="AC11750">
        <v>0</v>
      </c>
      <c r="AD11750">
        <v>0</v>
      </c>
      <c r="AE11750">
        <v>0</v>
      </c>
      <c r="AF11750">
        <v>0</v>
      </c>
      <c r="AG11750">
        <v>0</v>
      </c>
      <c r="AH11750">
        <v>0</v>
      </c>
      <c r="AI11750">
        <v>1</v>
      </c>
      <c r="AJ11750">
        <v>1</v>
      </c>
      <c r="AK11750">
        <v>0</v>
      </c>
      <c r="AL11750">
        <v>1</v>
      </c>
      <c r="AM11750">
        <v>1</v>
      </c>
    </row>
    <row r="11751" spans="1:39" x14ac:dyDescent="0.2">
      <c r="A11751" t="str">
        <f>"11747"</f>
        <v>11747</v>
      </c>
      <c r="B11751" t="str">
        <f t="shared" si="651"/>
        <v>1</v>
      </c>
      <c r="C11751" t="str">
        <f t="shared" si="653"/>
        <v>235</v>
      </c>
      <c r="D11751" t="str">
        <f>"5"</f>
        <v>5</v>
      </c>
      <c r="E11751" t="str">
        <f>"1-235-5"</f>
        <v>1-235-5</v>
      </c>
      <c r="F11751" t="s">
        <v>65</v>
      </c>
      <c r="G11751" t="s">
        <v>66</v>
      </c>
      <c r="H11751" t="s">
        <v>67</v>
      </c>
      <c r="S11751">
        <v>1</v>
      </c>
      <c r="T11751">
        <v>0</v>
      </c>
      <c r="U11751">
        <v>0</v>
      </c>
      <c r="V11751">
        <v>0</v>
      </c>
      <c r="W11751">
        <v>1</v>
      </c>
      <c r="X11751">
        <v>0</v>
      </c>
      <c r="Y11751">
        <v>1</v>
      </c>
      <c r="Z11751">
        <v>0</v>
      </c>
      <c r="AA11751">
        <v>1</v>
      </c>
      <c r="AB11751">
        <v>0</v>
      </c>
      <c r="AC11751">
        <v>0</v>
      </c>
      <c r="AD11751">
        <v>0</v>
      </c>
      <c r="AE11751">
        <v>0</v>
      </c>
      <c r="AF11751">
        <v>0</v>
      </c>
      <c r="AG11751">
        <v>0</v>
      </c>
      <c r="AH11751">
        <v>0</v>
      </c>
      <c r="AI11751">
        <v>0</v>
      </c>
      <c r="AJ11751">
        <v>0</v>
      </c>
      <c r="AK11751">
        <v>0</v>
      </c>
      <c r="AL11751">
        <v>0</v>
      </c>
      <c r="AM11751">
        <v>0</v>
      </c>
    </row>
    <row r="11752" spans="1:39" x14ac:dyDescent="0.2">
      <c r="A11752" t="str">
        <f>"11748"</f>
        <v>11748</v>
      </c>
      <c r="B11752" t="str">
        <f t="shared" si="651"/>
        <v>1</v>
      </c>
      <c r="C11752" t="str">
        <f t="shared" si="653"/>
        <v>235</v>
      </c>
      <c r="D11752" t="str">
        <f>"34"</f>
        <v>34</v>
      </c>
      <c r="E11752" t="str">
        <f>"1-235-34"</f>
        <v>1-235-34</v>
      </c>
      <c r="F11752" t="s">
        <v>65</v>
      </c>
      <c r="G11752" t="s">
        <v>66</v>
      </c>
      <c r="H11752" t="s">
        <v>67</v>
      </c>
      <c r="S11752">
        <v>1</v>
      </c>
      <c r="T11752">
        <v>0</v>
      </c>
      <c r="U11752">
        <v>0</v>
      </c>
      <c r="V11752">
        <v>0</v>
      </c>
      <c r="W11752">
        <v>1</v>
      </c>
      <c r="X11752">
        <v>0</v>
      </c>
      <c r="Y11752">
        <v>0</v>
      </c>
      <c r="Z11752">
        <v>1</v>
      </c>
      <c r="AA11752">
        <v>0</v>
      </c>
      <c r="AB11752">
        <v>1</v>
      </c>
      <c r="AC11752">
        <v>0</v>
      </c>
      <c r="AD11752">
        <v>1</v>
      </c>
      <c r="AE11752">
        <v>1</v>
      </c>
      <c r="AF11752">
        <v>1</v>
      </c>
      <c r="AG11752">
        <v>1</v>
      </c>
      <c r="AH11752">
        <v>1</v>
      </c>
      <c r="AI11752">
        <v>1</v>
      </c>
      <c r="AJ11752">
        <v>1</v>
      </c>
      <c r="AK11752">
        <v>1</v>
      </c>
      <c r="AL11752">
        <v>1</v>
      </c>
      <c r="AM11752">
        <v>1</v>
      </c>
    </row>
    <row r="11753" spans="1:39" x14ac:dyDescent="0.2">
      <c r="A11753" t="str">
        <f>"11749"</f>
        <v>11749</v>
      </c>
      <c r="B11753" t="str">
        <f t="shared" si="651"/>
        <v>1</v>
      </c>
      <c r="C11753" t="str">
        <f t="shared" si="653"/>
        <v>235</v>
      </c>
      <c r="D11753" t="str">
        <f>"2"</f>
        <v>2</v>
      </c>
      <c r="E11753" t="str">
        <f>"1-235-2"</f>
        <v>1-235-2</v>
      </c>
      <c r="F11753" t="s">
        <v>65</v>
      </c>
      <c r="G11753" t="s">
        <v>66</v>
      </c>
      <c r="H11753" t="s">
        <v>67</v>
      </c>
      <c r="S11753">
        <v>1</v>
      </c>
      <c r="T11753">
        <v>0</v>
      </c>
      <c r="U11753">
        <v>0</v>
      </c>
      <c r="V11753">
        <v>0</v>
      </c>
      <c r="W11753">
        <v>1</v>
      </c>
      <c r="X11753">
        <v>0</v>
      </c>
      <c r="Y11753">
        <v>1</v>
      </c>
      <c r="Z11753">
        <v>0</v>
      </c>
      <c r="AA11753">
        <v>0</v>
      </c>
      <c r="AB11753">
        <v>1</v>
      </c>
      <c r="AC11753">
        <v>0</v>
      </c>
      <c r="AD11753">
        <v>0</v>
      </c>
      <c r="AE11753">
        <v>0</v>
      </c>
      <c r="AF11753">
        <v>0</v>
      </c>
      <c r="AG11753">
        <v>1</v>
      </c>
      <c r="AH11753">
        <v>0</v>
      </c>
      <c r="AI11753">
        <v>0</v>
      </c>
      <c r="AJ11753">
        <v>0</v>
      </c>
      <c r="AK11753">
        <v>0</v>
      </c>
      <c r="AL11753">
        <v>1</v>
      </c>
      <c r="AM11753">
        <v>0</v>
      </c>
    </row>
    <row r="11754" spans="1:39" x14ac:dyDescent="0.2">
      <c r="A11754" t="str">
        <f>"11750"</f>
        <v>11750</v>
      </c>
      <c r="B11754" t="str">
        <f t="shared" si="651"/>
        <v>1</v>
      </c>
      <c r="C11754" t="str">
        <f t="shared" si="653"/>
        <v>235</v>
      </c>
      <c r="D11754" t="str">
        <f>"49"</f>
        <v>49</v>
      </c>
      <c r="E11754" t="str">
        <f>"1-235-49"</f>
        <v>1-235-49</v>
      </c>
      <c r="F11754" t="s">
        <v>65</v>
      </c>
      <c r="G11754" t="s">
        <v>66</v>
      </c>
      <c r="H11754" t="s">
        <v>67</v>
      </c>
      <c r="S11754">
        <v>1</v>
      </c>
      <c r="T11754">
        <v>0</v>
      </c>
      <c r="U11754">
        <v>0</v>
      </c>
      <c r="V11754">
        <v>0</v>
      </c>
      <c r="W11754">
        <v>1</v>
      </c>
      <c r="X11754">
        <v>0</v>
      </c>
      <c r="Y11754">
        <v>1</v>
      </c>
      <c r="Z11754">
        <v>0</v>
      </c>
      <c r="AA11754">
        <v>0</v>
      </c>
      <c r="AB11754">
        <v>1</v>
      </c>
      <c r="AC11754">
        <v>0</v>
      </c>
      <c r="AD11754">
        <v>1</v>
      </c>
      <c r="AE11754">
        <v>1</v>
      </c>
      <c r="AF11754">
        <v>1</v>
      </c>
      <c r="AG11754">
        <v>1</v>
      </c>
      <c r="AH11754">
        <v>1</v>
      </c>
      <c r="AI11754">
        <v>1</v>
      </c>
      <c r="AJ11754">
        <v>1</v>
      </c>
      <c r="AK11754">
        <v>1</v>
      </c>
      <c r="AL11754">
        <v>1</v>
      </c>
      <c r="AM11754">
        <v>1</v>
      </c>
    </row>
    <row r="11755" spans="1:39" x14ac:dyDescent="0.2">
      <c r="A11755" t="str">
        <f>"11751"</f>
        <v>11751</v>
      </c>
      <c r="B11755" t="str">
        <f t="shared" si="651"/>
        <v>1</v>
      </c>
      <c r="C11755" t="str">
        <f t="shared" ref="C11755:C11786" si="654">"236"</f>
        <v>236</v>
      </c>
      <c r="D11755" t="str">
        <f>"38"</f>
        <v>38</v>
      </c>
      <c r="E11755" t="str">
        <f>"1-236-38"</f>
        <v>1-236-38</v>
      </c>
      <c r="F11755" t="s">
        <v>65</v>
      </c>
      <c r="G11755" t="s">
        <v>66</v>
      </c>
      <c r="H11755" t="s">
        <v>68</v>
      </c>
      <c r="I11755">
        <v>1</v>
      </c>
      <c r="J11755">
        <v>1</v>
      </c>
      <c r="K11755">
        <v>0</v>
      </c>
      <c r="L11755">
        <v>0</v>
      </c>
      <c r="M11755">
        <v>1</v>
      </c>
      <c r="N11755">
        <v>1</v>
      </c>
      <c r="O11755">
        <v>1</v>
      </c>
      <c r="P11755">
        <v>1</v>
      </c>
      <c r="Q11755">
        <v>1</v>
      </c>
      <c r="R11755">
        <v>1</v>
      </c>
    </row>
    <row r="11756" spans="1:39" x14ac:dyDescent="0.2">
      <c r="A11756" t="str">
        <f>"11752"</f>
        <v>11752</v>
      </c>
      <c r="B11756" t="str">
        <f t="shared" si="651"/>
        <v>1</v>
      </c>
      <c r="C11756" t="str">
        <f t="shared" si="654"/>
        <v>236</v>
      </c>
      <c r="D11756" t="str">
        <f>"37"</f>
        <v>37</v>
      </c>
      <c r="E11756" t="str">
        <f>"1-236-37"</f>
        <v>1-236-37</v>
      </c>
      <c r="F11756" t="s">
        <v>65</v>
      </c>
      <c r="G11756" t="s">
        <v>66</v>
      </c>
      <c r="H11756" t="s">
        <v>68</v>
      </c>
      <c r="I11756">
        <v>1</v>
      </c>
      <c r="J11756">
        <v>1</v>
      </c>
      <c r="K11756">
        <v>0</v>
      </c>
      <c r="L11756">
        <v>0</v>
      </c>
      <c r="M11756">
        <v>1</v>
      </c>
      <c r="N11756">
        <v>1</v>
      </c>
      <c r="O11756">
        <v>1</v>
      </c>
      <c r="P11756">
        <v>1</v>
      </c>
      <c r="Q11756">
        <v>1</v>
      </c>
      <c r="R11756">
        <v>1</v>
      </c>
    </row>
    <row r="11757" spans="1:39" x14ac:dyDescent="0.2">
      <c r="A11757" t="str">
        <f>"11753"</f>
        <v>11753</v>
      </c>
      <c r="B11757" t="str">
        <f t="shared" si="651"/>
        <v>1</v>
      </c>
      <c r="C11757" t="str">
        <f t="shared" si="654"/>
        <v>236</v>
      </c>
      <c r="D11757" t="str">
        <f>"21"</f>
        <v>21</v>
      </c>
      <c r="E11757" t="str">
        <f>"1-236-21"</f>
        <v>1-236-21</v>
      </c>
      <c r="F11757" t="s">
        <v>65</v>
      </c>
      <c r="G11757" t="s">
        <v>66</v>
      </c>
      <c r="H11757" t="s">
        <v>68</v>
      </c>
      <c r="I11757">
        <v>1</v>
      </c>
      <c r="J11757">
        <v>0</v>
      </c>
      <c r="K11757">
        <v>0</v>
      </c>
      <c r="L11757">
        <v>1</v>
      </c>
      <c r="M11757">
        <v>1</v>
      </c>
      <c r="N11757">
        <v>1</v>
      </c>
      <c r="O11757">
        <v>1</v>
      </c>
      <c r="P11757">
        <v>1</v>
      </c>
      <c r="Q11757">
        <v>1</v>
      </c>
      <c r="R11757">
        <v>1</v>
      </c>
    </row>
    <row r="11758" spans="1:39" x14ac:dyDescent="0.2">
      <c r="A11758" t="str">
        <f>"11754"</f>
        <v>11754</v>
      </c>
      <c r="B11758" t="str">
        <f t="shared" si="651"/>
        <v>1</v>
      </c>
      <c r="C11758" t="str">
        <f t="shared" si="654"/>
        <v>236</v>
      </c>
      <c r="D11758" t="str">
        <f>"20"</f>
        <v>20</v>
      </c>
      <c r="E11758" t="str">
        <f>"1-236-20"</f>
        <v>1-236-20</v>
      </c>
      <c r="F11758" t="s">
        <v>65</v>
      </c>
      <c r="G11758" t="s">
        <v>66</v>
      </c>
      <c r="H11758" t="s">
        <v>68</v>
      </c>
      <c r="I11758">
        <v>1</v>
      </c>
      <c r="J11758">
        <v>0</v>
      </c>
      <c r="K11758">
        <v>0</v>
      </c>
      <c r="L11758">
        <v>1</v>
      </c>
      <c r="M11758">
        <v>0</v>
      </c>
      <c r="N11758">
        <v>1</v>
      </c>
      <c r="O11758">
        <v>1</v>
      </c>
      <c r="P11758">
        <v>1</v>
      </c>
      <c r="Q11758">
        <v>1</v>
      </c>
      <c r="R11758">
        <v>1</v>
      </c>
    </row>
    <row r="11759" spans="1:39" x14ac:dyDescent="0.2">
      <c r="A11759" t="str">
        <f>"11755"</f>
        <v>11755</v>
      </c>
      <c r="B11759" t="str">
        <f t="shared" si="651"/>
        <v>1</v>
      </c>
      <c r="C11759" t="str">
        <f t="shared" si="654"/>
        <v>236</v>
      </c>
      <c r="D11759" t="str">
        <f>"19"</f>
        <v>19</v>
      </c>
      <c r="E11759" t="str">
        <f>"1-236-19"</f>
        <v>1-236-19</v>
      </c>
      <c r="F11759" t="s">
        <v>65</v>
      </c>
      <c r="G11759" t="s">
        <v>66</v>
      </c>
      <c r="H11759" t="s">
        <v>68</v>
      </c>
      <c r="I11759">
        <v>1</v>
      </c>
      <c r="J11759">
        <v>1</v>
      </c>
      <c r="K11759">
        <v>0</v>
      </c>
      <c r="L11759">
        <v>0</v>
      </c>
      <c r="M11759">
        <v>1</v>
      </c>
      <c r="N11759">
        <v>1</v>
      </c>
      <c r="O11759">
        <v>1</v>
      </c>
      <c r="P11759">
        <v>0</v>
      </c>
      <c r="Q11759">
        <v>0</v>
      </c>
      <c r="R11759">
        <v>0</v>
      </c>
    </row>
    <row r="11760" spans="1:39" x14ac:dyDescent="0.2">
      <c r="A11760" t="str">
        <f>"11756"</f>
        <v>11756</v>
      </c>
      <c r="B11760" t="str">
        <f t="shared" si="651"/>
        <v>1</v>
      </c>
      <c r="C11760" t="str">
        <f t="shared" si="654"/>
        <v>236</v>
      </c>
      <c r="D11760" t="str">
        <f>"15"</f>
        <v>15</v>
      </c>
      <c r="E11760" t="str">
        <f>"1-236-15"</f>
        <v>1-236-15</v>
      </c>
      <c r="F11760" t="s">
        <v>65</v>
      </c>
      <c r="G11760" t="s">
        <v>66</v>
      </c>
      <c r="H11760" t="s">
        <v>68</v>
      </c>
      <c r="I11760">
        <v>1</v>
      </c>
      <c r="J11760">
        <v>0</v>
      </c>
      <c r="K11760">
        <v>0</v>
      </c>
      <c r="L11760">
        <v>1</v>
      </c>
      <c r="M11760">
        <v>1</v>
      </c>
      <c r="N11760">
        <v>1</v>
      </c>
      <c r="O11760">
        <v>1</v>
      </c>
      <c r="P11760">
        <v>1</v>
      </c>
      <c r="Q11760">
        <v>1</v>
      </c>
      <c r="R11760">
        <v>1</v>
      </c>
    </row>
    <row r="11761" spans="1:18" x14ac:dyDescent="0.2">
      <c r="A11761" t="str">
        <f>"11757"</f>
        <v>11757</v>
      </c>
      <c r="B11761" t="str">
        <f t="shared" si="651"/>
        <v>1</v>
      </c>
      <c r="C11761" t="str">
        <f t="shared" si="654"/>
        <v>236</v>
      </c>
      <c r="D11761" t="str">
        <f>"1"</f>
        <v>1</v>
      </c>
      <c r="E11761" t="str">
        <f>"1-236-1"</f>
        <v>1-236-1</v>
      </c>
      <c r="F11761" t="s">
        <v>65</v>
      </c>
      <c r="G11761" t="s">
        <v>66</v>
      </c>
      <c r="H11761" t="s">
        <v>68</v>
      </c>
      <c r="I11761">
        <v>1</v>
      </c>
      <c r="J11761">
        <v>0</v>
      </c>
      <c r="K11761">
        <v>0</v>
      </c>
      <c r="L11761">
        <v>1</v>
      </c>
      <c r="M11761">
        <v>1</v>
      </c>
      <c r="N11761">
        <v>1</v>
      </c>
      <c r="O11761">
        <v>1</v>
      </c>
      <c r="P11761">
        <v>1</v>
      </c>
      <c r="Q11761">
        <v>1</v>
      </c>
      <c r="R11761">
        <v>1</v>
      </c>
    </row>
    <row r="11762" spans="1:18" x14ac:dyDescent="0.2">
      <c r="A11762" t="str">
        <f>"11758"</f>
        <v>11758</v>
      </c>
      <c r="B11762" t="str">
        <f t="shared" si="651"/>
        <v>1</v>
      </c>
      <c r="C11762" t="str">
        <f t="shared" si="654"/>
        <v>236</v>
      </c>
      <c r="D11762" t="str">
        <f>"36"</f>
        <v>36</v>
      </c>
      <c r="E11762" t="str">
        <f>"1-236-36"</f>
        <v>1-236-36</v>
      </c>
      <c r="F11762" t="s">
        <v>65</v>
      </c>
      <c r="G11762" t="s">
        <v>66</v>
      </c>
      <c r="H11762" t="s">
        <v>68</v>
      </c>
      <c r="I11762">
        <v>1</v>
      </c>
      <c r="J11762">
        <v>0</v>
      </c>
      <c r="K11762">
        <v>0</v>
      </c>
      <c r="L11762">
        <v>1</v>
      </c>
      <c r="M11762">
        <v>1</v>
      </c>
      <c r="N11762">
        <v>1</v>
      </c>
      <c r="O11762">
        <v>1</v>
      </c>
      <c r="P11762">
        <v>1</v>
      </c>
      <c r="Q11762">
        <v>1</v>
      </c>
      <c r="R11762">
        <v>1</v>
      </c>
    </row>
    <row r="11763" spans="1:18" x14ac:dyDescent="0.2">
      <c r="A11763" t="str">
        <f>"11759"</f>
        <v>11759</v>
      </c>
      <c r="B11763" t="str">
        <f t="shared" si="651"/>
        <v>1</v>
      </c>
      <c r="C11763" t="str">
        <f t="shared" si="654"/>
        <v>236</v>
      </c>
      <c r="D11763" t="str">
        <f>"35"</f>
        <v>35</v>
      </c>
      <c r="E11763" t="str">
        <f>"1-236-35"</f>
        <v>1-236-35</v>
      </c>
      <c r="F11763" t="s">
        <v>65</v>
      </c>
      <c r="G11763" t="s">
        <v>66</v>
      </c>
      <c r="H11763" t="s">
        <v>68</v>
      </c>
      <c r="I11763">
        <v>0</v>
      </c>
      <c r="J11763">
        <v>1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</row>
    <row r="11764" spans="1:18" x14ac:dyDescent="0.2">
      <c r="A11764" t="str">
        <f>"11760"</f>
        <v>11760</v>
      </c>
      <c r="B11764" t="str">
        <f t="shared" si="651"/>
        <v>1</v>
      </c>
      <c r="C11764" t="str">
        <f t="shared" si="654"/>
        <v>236</v>
      </c>
      <c r="D11764" t="str">
        <f>"25"</f>
        <v>25</v>
      </c>
      <c r="E11764" t="str">
        <f>"1-236-25"</f>
        <v>1-236-25</v>
      </c>
      <c r="F11764" t="s">
        <v>65</v>
      </c>
      <c r="G11764" t="s">
        <v>66</v>
      </c>
      <c r="H11764" t="s">
        <v>68</v>
      </c>
      <c r="I11764">
        <v>1</v>
      </c>
      <c r="J11764">
        <v>0</v>
      </c>
      <c r="K11764">
        <v>0</v>
      </c>
      <c r="L11764">
        <v>1</v>
      </c>
      <c r="M11764">
        <v>1</v>
      </c>
      <c r="N11764">
        <v>1</v>
      </c>
      <c r="O11764">
        <v>1</v>
      </c>
      <c r="P11764">
        <v>1</v>
      </c>
      <c r="Q11764">
        <v>1</v>
      </c>
      <c r="R11764">
        <v>1</v>
      </c>
    </row>
    <row r="11765" spans="1:18" x14ac:dyDescent="0.2">
      <c r="A11765" t="str">
        <f>"11761"</f>
        <v>11761</v>
      </c>
      <c r="B11765" t="str">
        <f t="shared" si="651"/>
        <v>1</v>
      </c>
      <c r="C11765" t="str">
        <f t="shared" si="654"/>
        <v>236</v>
      </c>
      <c r="D11765" t="str">
        <f>"16"</f>
        <v>16</v>
      </c>
      <c r="E11765" t="str">
        <f>"1-236-16"</f>
        <v>1-236-16</v>
      </c>
      <c r="F11765" t="s">
        <v>65</v>
      </c>
      <c r="G11765" t="s">
        <v>66</v>
      </c>
      <c r="H11765" t="s">
        <v>68</v>
      </c>
      <c r="I11765">
        <v>1</v>
      </c>
      <c r="J11765">
        <v>1</v>
      </c>
      <c r="K11765">
        <v>0</v>
      </c>
      <c r="L11765">
        <v>0</v>
      </c>
      <c r="M11765">
        <v>1</v>
      </c>
      <c r="N11765">
        <v>1</v>
      </c>
      <c r="O11765">
        <v>1</v>
      </c>
      <c r="P11765">
        <v>1</v>
      </c>
      <c r="Q11765">
        <v>1</v>
      </c>
      <c r="R11765">
        <v>1</v>
      </c>
    </row>
    <row r="11766" spans="1:18" x14ac:dyDescent="0.2">
      <c r="A11766" t="str">
        <f>"11762"</f>
        <v>11762</v>
      </c>
      <c r="B11766" t="str">
        <f t="shared" si="651"/>
        <v>1</v>
      </c>
      <c r="C11766" t="str">
        <f t="shared" si="654"/>
        <v>236</v>
      </c>
      <c r="D11766" t="str">
        <f>"2"</f>
        <v>2</v>
      </c>
      <c r="E11766" t="str">
        <f>"1-236-2"</f>
        <v>1-236-2</v>
      </c>
      <c r="F11766" t="s">
        <v>65</v>
      </c>
      <c r="G11766" t="s">
        <v>66</v>
      </c>
      <c r="H11766" t="s">
        <v>68</v>
      </c>
      <c r="I11766">
        <v>1</v>
      </c>
      <c r="J11766">
        <v>0</v>
      </c>
      <c r="K11766">
        <v>0</v>
      </c>
      <c r="L11766">
        <v>1</v>
      </c>
      <c r="M11766">
        <v>1</v>
      </c>
      <c r="N11766">
        <v>1</v>
      </c>
      <c r="O11766">
        <v>1</v>
      </c>
      <c r="P11766">
        <v>1</v>
      </c>
      <c r="Q11766">
        <v>1</v>
      </c>
      <c r="R11766">
        <v>1</v>
      </c>
    </row>
    <row r="11767" spans="1:18" x14ac:dyDescent="0.2">
      <c r="A11767" t="str">
        <f>"11763"</f>
        <v>11763</v>
      </c>
      <c r="B11767" t="str">
        <f t="shared" ref="B11767:B11830" si="655">"1"</f>
        <v>1</v>
      </c>
      <c r="C11767" t="str">
        <f t="shared" si="654"/>
        <v>236</v>
      </c>
      <c r="D11767" t="str">
        <f>"40"</f>
        <v>40</v>
      </c>
      <c r="E11767" t="str">
        <f>"1-236-40"</f>
        <v>1-236-40</v>
      </c>
      <c r="F11767" t="s">
        <v>65</v>
      </c>
      <c r="G11767" t="s">
        <v>66</v>
      </c>
      <c r="H11767" t="s">
        <v>68</v>
      </c>
      <c r="I11767">
        <v>1</v>
      </c>
      <c r="J11767">
        <v>0</v>
      </c>
      <c r="K11767">
        <v>0</v>
      </c>
      <c r="L11767">
        <v>1</v>
      </c>
      <c r="M11767">
        <v>1</v>
      </c>
      <c r="N11767">
        <v>1</v>
      </c>
      <c r="O11767">
        <v>1</v>
      </c>
      <c r="P11767">
        <v>1</v>
      </c>
      <c r="Q11767">
        <v>1</v>
      </c>
      <c r="R11767">
        <v>1</v>
      </c>
    </row>
    <row r="11768" spans="1:18" x14ac:dyDescent="0.2">
      <c r="A11768" t="str">
        <f>"11764"</f>
        <v>11764</v>
      </c>
      <c r="B11768" t="str">
        <f t="shared" si="655"/>
        <v>1</v>
      </c>
      <c r="C11768" t="str">
        <f t="shared" si="654"/>
        <v>236</v>
      </c>
      <c r="D11768" t="str">
        <f>"39"</f>
        <v>39</v>
      </c>
      <c r="E11768" t="str">
        <f>"1-236-39"</f>
        <v>1-236-39</v>
      </c>
      <c r="F11768" t="s">
        <v>65</v>
      </c>
      <c r="G11768" t="s">
        <v>66</v>
      </c>
      <c r="H11768" t="s">
        <v>68</v>
      </c>
      <c r="I11768">
        <v>1</v>
      </c>
      <c r="J11768">
        <v>0</v>
      </c>
      <c r="K11768">
        <v>0</v>
      </c>
      <c r="L11768">
        <v>1</v>
      </c>
      <c r="M11768">
        <v>1</v>
      </c>
      <c r="N11768">
        <v>1</v>
      </c>
      <c r="O11768">
        <v>1</v>
      </c>
      <c r="P11768">
        <v>1</v>
      </c>
      <c r="Q11768">
        <v>1</v>
      </c>
      <c r="R11768">
        <v>1</v>
      </c>
    </row>
    <row r="11769" spans="1:18" x14ac:dyDescent="0.2">
      <c r="A11769" t="str">
        <f>"11765"</f>
        <v>11765</v>
      </c>
      <c r="B11769" t="str">
        <f t="shared" si="655"/>
        <v>1</v>
      </c>
      <c r="C11769" t="str">
        <f t="shared" si="654"/>
        <v>236</v>
      </c>
      <c r="D11769" t="str">
        <f>"30"</f>
        <v>30</v>
      </c>
      <c r="E11769" t="str">
        <f>"1-236-30"</f>
        <v>1-236-30</v>
      </c>
      <c r="F11769" t="s">
        <v>65</v>
      </c>
      <c r="G11769" t="s">
        <v>66</v>
      </c>
      <c r="H11769" t="s">
        <v>68</v>
      </c>
      <c r="I11769">
        <v>0</v>
      </c>
      <c r="J11769">
        <v>1</v>
      </c>
      <c r="K11769">
        <v>0</v>
      </c>
      <c r="L11769">
        <v>0</v>
      </c>
      <c r="M11769">
        <v>0</v>
      </c>
      <c r="N11769">
        <v>1</v>
      </c>
      <c r="O11769">
        <v>0</v>
      </c>
      <c r="P11769">
        <v>1</v>
      </c>
      <c r="Q11769">
        <v>0</v>
      </c>
      <c r="R11769">
        <v>0</v>
      </c>
    </row>
    <row r="11770" spans="1:18" x14ac:dyDescent="0.2">
      <c r="A11770" t="str">
        <f>"11766"</f>
        <v>11766</v>
      </c>
      <c r="B11770" t="str">
        <f t="shared" si="655"/>
        <v>1</v>
      </c>
      <c r="C11770" t="str">
        <f t="shared" si="654"/>
        <v>236</v>
      </c>
      <c r="D11770" t="str">
        <f>"17"</f>
        <v>17</v>
      </c>
      <c r="E11770" t="str">
        <f>"1-236-17"</f>
        <v>1-236-17</v>
      </c>
      <c r="F11770" t="s">
        <v>65</v>
      </c>
      <c r="G11770" t="s">
        <v>66</v>
      </c>
      <c r="H11770" t="s">
        <v>68</v>
      </c>
      <c r="I11770">
        <v>1</v>
      </c>
      <c r="J11770">
        <v>0</v>
      </c>
      <c r="K11770">
        <v>0</v>
      </c>
      <c r="L11770">
        <v>1</v>
      </c>
      <c r="M11770">
        <v>1</v>
      </c>
      <c r="N11770">
        <v>1</v>
      </c>
      <c r="O11770">
        <v>1</v>
      </c>
      <c r="P11770">
        <v>0</v>
      </c>
      <c r="Q11770">
        <v>0</v>
      </c>
      <c r="R11770">
        <v>1</v>
      </c>
    </row>
    <row r="11771" spans="1:18" x14ac:dyDescent="0.2">
      <c r="A11771" t="str">
        <f>"11767"</f>
        <v>11767</v>
      </c>
      <c r="B11771" t="str">
        <f t="shared" si="655"/>
        <v>1</v>
      </c>
      <c r="C11771" t="str">
        <f t="shared" si="654"/>
        <v>236</v>
      </c>
      <c r="D11771" t="str">
        <f>"3"</f>
        <v>3</v>
      </c>
      <c r="E11771" t="str">
        <f>"1-236-3"</f>
        <v>1-236-3</v>
      </c>
      <c r="F11771" t="s">
        <v>65</v>
      </c>
      <c r="G11771" t="s">
        <v>66</v>
      </c>
      <c r="H11771" t="s">
        <v>68</v>
      </c>
      <c r="I11771">
        <v>1</v>
      </c>
      <c r="J11771">
        <v>0</v>
      </c>
      <c r="K11771">
        <v>0</v>
      </c>
      <c r="L11771">
        <v>1</v>
      </c>
      <c r="M11771">
        <v>1</v>
      </c>
      <c r="N11771">
        <v>1</v>
      </c>
      <c r="O11771">
        <v>1</v>
      </c>
      <c r="P11771">
        <v>0</v>
      </c>
      <c r="Q11771">
        <v>0</v>
      </c>
      <c r="R11771">
        <v>0</v>
      </c>
    </row>
    <row r="11772" spans="1:18" x14ac:dyDescent="0.2">
      <c r="A11772" t="str">
        <f>"11768"</f>
        <v>11768</v>
      </c>
      <c r="B11772" t="str">
        <f t="shared" si="655"/>
        <v>1</v>
      </c>
      <c r="C11772" t="str">
        <f t="shared" si="654"/>
        <v>236</v>
      </c>
      <c r="D11772" t="str">
        <f>"42"</f>
        <v>42</v>
      </c>
      <c r="E11772" t="str">
        <f>"1-236-42"</f>
        <v>1-236-42</v>
      </c>
      <c r="F11772" t="s">
        <v>65</v>
      </c>
      <c r="G11772" t="s">
        <v>66</v>
      </c>
      <c r="H11772" t="s">
        <v>68</v>
      </c>
      <c r="I11772">
        <v>0</v>
      </c>
      <c r="J11772">
        <v>0</v>
      </c>
      <c r="K11772">
        <v>1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</row>
    <row r="11773" spans="1:18" x14ac:dyDescent="0.2">
      <c r="A11773" t="str">
        <f>"11769"</f>
        <v>11769</v>
      </c>
      <c r="B11773" t="str">
        <f t="shared" si="655"/>
        <v>1</v>
      </c>
      <c r="C11773" t="str">
        <f t="shared" si="654"/>
        <v>236</v>
      </c>
      <c r="D11773" t="str">
        <f>"41"</f>
        <v>41</v>
      </c>
      <c r="E11773" t="str">
        <f>"1-236-41"</f>
        <v>1-236-41</v>
      </c>
      <c r="F11773" t="s">
        <v>65</v>
      </c>
      <c r="G11773" t="s">
        <v>66</v>
      </c>
      <c r="H11773" t="s">
        <v>68</v>
      </c>
      <c r="I11773">
        <v>1</v>
      </c>
      <c r="J11773">
        <v>0</v>
      </c>
      <c r="K11773">
        <v>0</v>
      </c>
      <c r="L11773">
        <v>1</v>
      </c>
      <c r="M11773">
        <v>1</v>
      </c>
      <c r="N11773">
        <v>1</v>
      </c>
      <c r="O11773">
        <v>1</v>
      </c>
      <c r="P11773">
        <v>1</v>
      </c>
      <c r="Q11773">
        <v>1</v>
      </c>
      <c r="R11773">
        <v>1</v>
      </c>
    </row>
    <row r="11774" spans="1:18" x14ac:dyDescent="0.2">
      <c r="A11774" t="str">
        <f>"11770"</f>
        <v>11770</v>
      </c>
      <c r="B11774" t="str">
        <f t="shared" si="655"/>
        <v>1</v>
      </c>
      <c r="C11774" t="str">
        <f t="shared" si="654"/>
        <v>236</v>
      </c>
      <c r="D11774" t="str">
        <f>"29"</f>
        <v>29</v>
      </c>
      <c r="E11774" t="str">
        <f>"1-236-29"</f>
        <v>1-236-29</v>
      </c>
      <c r="F11774" t="s">
        <v>65</v>
      </c>
      <c r="G11774" t="s">
        <v>66</v>
      </c>
      <c r="H11774" t="s">
        <v>68</v>
      </c>
      <c r="I11774">
        <v>1</v>
      </c>
      <c r="J11774">
        <v>0</v>
      </c>
      <c r="K11774">
        <v>0</v>
      </c>
      <c r="L11774">
        <v>1</v>
      </c>
      <c r="M11774">
        <v>1</v>
      </c>
      <c r="N11774">
        <v>1</v>
      </c>
      <c r="O11774">
        <v>1</v>
      </c>
      <c r="P11774">
        <v>1</v>
      </c>
      <c r="Q11774">
        <v>1</v>
      </c>
      <c r="R11774">
        <v>1</v>
      </c>
    </row>
    <row r="11775" spans="1:18" x14ac:dyDescent="0.2">
      <c r="A11775" t="str">
        <f>"11771"</f>
        <v>11771</v>
      </c>
      <c r="B11775" t="str">
        <f t="shared" si="655"/>
        <v>1</v>
      </c>
      <c r="C11775" t="str">
        <f t="shared" si="654"/>
        <v>236</v>
      </c>
      <c r="D11775" t="str">
        <f>"18"</f>
        <v>18</v>
      </c>
      <c r="E11775" t="str">
        <f>"1-236-18"</f>
        <v>1-236-18</v>
      </c>
      <c r="F11775" t="s">
        <v>65</v>
      </c>
      <c r="G11775" t="s">
        <v>66</v>
      </c>
      <c r="H11775" t="s">
        <v>68</v>
      </c>
      <c r="I11775">
        <v>1</v>
      </c>
      <c r="J11775">
        <v>0</v>
      </c>
      <c r="K11775">
        <v>0</v>
      </c>
      <c r="L11775">
        <v>1</v>
      </c>
      <c r="M11775">
        <v>1</v>
      </c>
      <c r="N11775">
        <v>1</v>
      </c>
      <c r="O11775">
        <v>1</v>
      </c>
      <c r="P11775">
        <v>1</v>
      </c>
      <c r="Q11775">
        <v>1</v>
      </c>
      <c r="R11775">
        <v>1</v>
      </c>
    </row>
    <row r="11776" spans="1:18" x14ac:dyDescent="0.2">
      <c r="A11776" t="str">
        <f>"11772"</f>
        <v>11772</v>
      </c>
      <c r="B11776" t="str">
        <f t="shared" si="655"/>
        <v>1</v>
      </c>
      <c r="C11776" t="str">
        <f t="shared" si="654"/>
        <v>236</v>
      </c>
      <c r="D11776" t="str">
        <f>"8"</f>
        <v>8</v>
      </c>
      <c r="E11776" t="str">
        <f>"1-236-8"</f>
        <v>1-236-8</v>
      </c>
      <c r="F11776" t="s">
        <v>65</v>
      </c>
      <c r="G11776" t="s">
        <v>66</v>
      </c>
      <c r="H11776" t="s">
        <v>68</v>
      </c>
      <c r="I11776">
        <v>1</v>
      </c>
      <c r="J11776">
        <v>0</v>
      </c>
      <c r="K11776">
        <v>0</v>
      </c>
      <c r="L11776">
        <v>1</v>
      </c>
      <c r="M11776">
        <v>1</v>
      </c>
      <c r="N11776">
        <v>1</v>
      </c>
      <c r="O11776">
        <v>1</v>
      </c>
      <c r="P11776">
        <v>1</v>
      </c>
      <c r="Q11776">
        <v>1</v>
      </c>
      <c r="R11776">
        <v>1</v>
      </c>
    </row>
    <row r="11777" spans="1:18" x14ac:dyDescent="0.2">
      <c r="A11777" t="str">
        <f>"11773"</f>
        <v>11773</v>
      </c>
      <c r="B11777" t="str">
        <f t="shared" si="655"/>
        <v>1</v>
      </c>
      <c r="C11777" t="str">
        <f t="shared" si="654"/>
        <v>236</v>
      </c>
      <c r="D11777" t="str">
        <f>"43"</f>
        <v>43</v>
      </c>
      <c r="E11777" t="str">
        <f>"1-236-43"</f>
        <v>1-236-43</v>
      </c>
      <c r="F11777" t="s">
        <v>65</v>
      </c>
      <c r="G11777" t="s">
        <v>66</v>
      </c>
      <c r="H11777" t="s">
        <v>68</v>
      </c>
      <c r="I11777">
        <v>1</v>
      </c>
      <c r="J11777">
        <v>0</v>
      </c>
      <c r="K11777">
        <v>0</v>
      </c>
      <c r="L11777">
        <v>1</v>
      </c>
      <c r="M11777">
        <v>0</v>
      </c>
      <c r="N11777">
        <v>0</v>
      </c>
      <c r="O11777">
        <v>0</v>
      </c>
      <c r="P11777">
        <v>0</v>
      </c>
      <c r="Q11777">
        <v>1</v>
      </c>
      <c r="R11777">
        <v>0</v>
      </c>
    </row>
    <row r="11778" spans="1:18" x14ac:dyDescent="0.2">
      <c r="A11778" t="str">
        <f>"11774"</f>
        <v>11774</v>
      </c>
      <c r="B11778" t="str">
        <f t="shared" si="655"/>
        <v>1</v>
      </c>
      <c r="C11778" t="str">
        <f t="shared" si="654"/>
        <v>236</v>
      </c>
      <c r="D11778" t="str">
        <f>"22"</f>
        <v>22</v>
      </c>
      <c r="E11778" t="str">
        <f>"1-236-22"</f>
        <v>1-236-22</v>
      </c>
      <c r="F11778" t="s">
        <v>65</v>
      </c>
      <c r="G11778" t="s">
        <v>66</v>
      </c>
      <c r="H11778" t="s">
        <v>68</v>
      </c>
      <c r="I11778">
        <v>1</v>
      </c>
      <c r="J11778">
        <v>0</v>
      </c>
      <c r="K11778">
        <v>0</v>
      </c>
      <c r="L11778">
        <v>1</v>
      </c>
      <c r="M11778">
        <v>1</v>
      </c>
      <c r="N11778">
        <v>1</v>
      </c>
      <c r="O11778">
        <v>1</v>
      </c>
      <c r="P11778">
        <v>1</v>
      </c>
      <c r="Q11778">
        <v>1</v>
      </c>
      <c r="R11778">
        <v>1</v>
      </c>
    </row>
    <row r="11779" spans="1:18" x14ac:dyDescent="0.2">
      <c r="A11779" t="str">
        <f>"11775"</f>
        <v>11775</v>
      </c>
      <c r="B11779" t="str">
        <f t="shared" si="655"/>
        <v>1</v>
      </c>
      <c r="C11779" t="str">
        <f t="shared" si="654"/>
        <v>236</v>
      </c>
      <c r="D11779" t="str">
        <f>"9"</f>
        <v>9</v>
      </c>
      <c r="E11779" t="str">
        <f>"1-236-9"</f>
        <v>1-236-9</v>
      </c>
      <c r="F11779" t="s">
        <v>65</v>
      </c>
      <c r="G11779" t="s">
        <v>66</v>
      </c>
      <c r="H11779" t="s">
        <v>68</v>
      </c>
      <c r="I11779">
        <v>1</v>
      </c>
      <c r="J11779">
        <v>0</v>
      </c>
      <c r="K11779">
        <v>0</v>
      </c>
      <c r="L11779">
        <v>1</v>
      </c>
      <c r="M11779">
        <v>1</v>
      </c>
      <c r="N11779">
        <v>1</v>
      </c>
      <c r="O11779">
        <v>1</v>
      </c>
      <c r="P11779">
        <v>1</v>
      </c>
      <c r="Q11779">
        <v>1</v>
      </c>
      <c r="R11779">
        <v>1</v>
      </c>
    </row>
    <row r="11780" spans="1:18" x14ac:dyDescent="0.2">
      <c r="A11780" t="str">
        <f>"11776"</f>
        <v>11776</v>
      </c>
      <c r="B11780" t="str">
        <f t="shared" si="655"/>
        <v>1</v>
      </c>
      <c r="C11780" t="str">
        <f t="shared" si="654"/>
        <v>236</v>
      </c>
      <c r="D11780" t="str">
        <f>"47"</f>
        <v>47</v>
      </c>
      <c r="E11780" t="str">
        <f>"1-236-47"</f>
        <v>1-236-47</v>
      </c>
      <c r="F11780" t="s">
        <v>65</v>
      </c>
      <c r="G11780" t="s">
        <v>66</v>
      </c>
      <c r="H11780" t="s">
        <v>68</v>
      </c>
      <c r="I11780">
        <v>1</v>
      </c>
      <c r="J11780">
        <v>0</v>
      </c>
      <c r="K11780">
        <v>0</v>
      </c>
      <c r="L11780">
        <v>1</v>
      </c>
      <c r="M11780">
        <v>1</v>
      </c>
      <c r="N11780">
        <v>1</v>
      </c>
      <c r="O11780">
        <v>1</v>
      </c>
      <c r="P11780">
        <v>1</v>
      </c>
      <c r="Q11780">
        <v>1</v>
      </c>
      <c r="R11780">
        <v>1</v>
      </c>
    </row>
    <row r="11781" spans="1:18" x14ac:dyDescent="0.2">
      <c r="A11781" t="str">
        <f>"11777"</f>
        <v>11777</v>
      </c>
      <c r="B11781" t="str">
        <f t="shared" si="655"/>
        <v>1</v>
      </c>
      <c r="C11781" t="str">
        <f t="shared" si="654"/>
        <v>236</v>
      </c>
      <c r="D11781" t="str">
        <f>"23"</f>
        <v>23</v>
      </c>
      <c r="E11781" t="str">
        <f>"1-236-23"</f>
        <v>1-236-23</v>
      </c>
      <c r="F11781" t="s">
        <v>65</v>
      </c>
      <c r="G11781" t="s">
        <v>66</v>
      </c>
      <c r="H11781" t="s">
        <v>68</v>
      </c>
      <c r="I11781">
        <v>1</v>
      </c>
      <c r="J11781">
        <v>0</v>
      </c>
      <c r="K11781">
        <v>0</v>
      </c>
      <c r="L11781">
        <v>1</v>
      </c>
      <c r="M11781">
        <v>1</v>
      </c>
      <c r="N11781">
        <v>1</v>
      </c>
      <c r="O11781">
        <v>1</v>
      </c>
      <c r="P11781">
        <v>1</v>
      </c>
      <c r="Q11781">
        <v>1</v>
      </c>
      <c r="R11781">
        <v>1</v>
      </c>
    </row>
    <row r="11782" spans="1:18" x14ac:dyDescent="0.2">
      <c r="A11782" t="str">
        <f>"11778"</f>
        <v>11778</v>
      </c>
      <c r="B11782" t="str">
        <f t="shared" si="655"/>
        <v>1</v>
      </c>
      <c r="C11782" t="str">
        <f t="shared" si="654"/>
        <v>236</v>
      </c>
      <c r="D11782" t="str">
        <f>"14"</f>
        <v>14</v>
      </c>
      <c r="E11782" t="str">
        <f>"1-236-14"</f>
        <v>1-236-14</v>
      </c>
      <c r="F11782" t="s">
        <v>65</v>
      </c>
      <c r="G11782" t="s">
        <v>66</v>
      </c>
      <c r="H11782" t="s">
        <v>68</v>
      </c>
      <c r="I11782">
        <v>1</v>
      </c>
      <c r="J11782">
        <v>1</v>
      </c>
      <c r="K11782">
        <v>0</v>
      </c>
      <c r="L11782">
        <v>0</v>
      </c>
      <c r="M11782">
        <v>1</v>
      </c>
      <c r="N11782">
        <v>1</v>
      </c>
      <c r="O11782">
        <v>1</v>
      </c>
      <c r="P11782">
        <v>1</v>
      </c>
      <c r="Q11782">
        <v>1</v>
      </c>
      <c r="R11782">
        <v>1</v>
      </c>
    </row>
    <row r="11783" spans="1:18" x14ac:dyDescent="0.2">
      <c r="A11783" t="str">
        <f>"11779"</f>
        <v>11779</v>
      </c>
      <c r="B11783" t="str">
        <f t="shared" si="655"/>
        <v>1</v>
      </c>
      <c r="C11783" t="str">
        <f t="shared" si="654"/>
        <v>236</v>
      </c>
      <c r="D11783" t="str">
        <f>"44"</f>
        <v>44</v>
      </c>
      <c r="E11783" t="str">
        <f>"1-236-44"</f>
        <v>1-236-44</v>
      </c>
      <c r="F11783" t="s">
        <v>65</v>
      </c>
      <c r="G11783" t="s">
        <v>66</v>
      </c>
      <c r="H11783" t="s">
        <v>68</v>
      </c>
      <c r="I11783">
        <v>1</v>
      </c>
      <c r="J11783">
        <v>1</v>
      </c>
      <c r="K11783">
        <v>0</v>
      </c>
      <c r="L11783">
        <v>0</v>
      </c>
      <c r="M11783">
        <v>1</v>
      </c>
      <c r="N11783">
        <v>1</v>
      </c>
      <c r="O11783">
        <v>1</v>
      </c>
      <c r="P11783">
        <v>1</v>
      </c>
      <c r="Q11783">
        <v>0</v>
      </c>
      <c r="R11783">
        <v>1</v>
      </c>
    </row>
    <row r="11784" spans="1:18" x14ac:dyDescent="0.2">
      <c r="A11784" t="str">
        <f>"11780"</f>
        <v>11780</v>
      </c>
      <c r="B11784" t="str">
        <f t="shared" si="655"/>
        <v>1</v>
      </c>
      <c r="C11784" t="str">
        <f t="shared" si="654"/>
        <v>236</v>
      </c>
      <c r="D11784" t="str">
        <f>"24"</f>
        <v>24</v>
      </c>
      <c r="E11784" t="str">
        <f>"1-236-24"</f>
        <v>1-236-24</v>
      </c>
      <c r="F11784" t="s">
        <v>65</v>
      </c>
      <c r="G11784" t="s">
        <v>66</v>
      </c>
      <c r="H11784" t="s">
        <v>68</v>
      </c>
      <c r="I11784">
        <v>0</v>
      </c>
      <c r="J11784">
        <v>0</v>
      </c>
      <c r="K11784">
        <v>0</v>
      </c>
      <c r="L11784">
        <v>1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</row>
    <row r="11785" spans="1:18" x14ac:dyDescent="0.2">
      <c r="A11785" t="str">
        <f>"11781"</f>
        <v>11781</v>
      </c>
      <c r="B11785" t="str">
        <f t="shared" si="655"/>
        <v>1</v>
      </c>
      <c r="C11785" t="str">
        <f t="shared" si="654"/>
        <v>236</v>
      </c>
      <c r="D11785" t="str">
        <f>"12"</f>
        <v>12</v>
      </c>
      <c r="E11785" t="str">
        <f>"1-236-12"</f>
        <v>1-236-12</v>
      </c>
      <c r="F11785" t="s">
        <v>65</v>
      </c>
      <c r="G11785" t="s">
        <v>66</v>
      </c>
      <c r="H11785" t="s">
        <v>68</v>
      </c>
      <c r="I11785">
        <v>1</v>
      </c>
      <c r="J11785">
        <v>0</v>
      </c>
      <c r="K11785">
        <v>1</v>
      </c>
      <c r="L11785">
        <v>0</v>
      </c>
      <c r="M11785">
        <v>1</v>
      </c>
      <c r="N11785">
        <v>1</v>
      </c>
      <c r="O11785">
        <v>1</v>
      </c>
      <c r="P11785">
        <v>1</v>
      </c>
      <c r="Q11785">
        <v>1</v>
      </c>
      <c r="R11785">
        <v>1</v>
      </c>
    </row>
    <row r="11786" spans="1:18" x14ac:dyDescent="0.2">
      <c r="A11786" t="str">
        <f>"11782"</f>
        <v>11782</v>
      </c>
      <c r="B11786" t="str">
        <f t="shared" si="655"/>
        <v>1</v>
      </c>
      <c r="C11786" t="str">
        <f t="shared" si="654"/>
        <v>236</v>
      </c>
      <c r="D11786" t="str">
        <f>"46"</f>
        <v>46</v>
      </c>
      <c r="E11786" t="str">
        <f>"1-236-46"</f>
        <v>1-236-46</v>
      </c>
      <c r="F11786" t="s">
        <v>65</v>
      </c>
      <c r="G11786" t="s">
        <v>66</v>
      </c>
      <c r="H11786" t="s">
        <v>68</v>
      </c>
      <c r="I11786">
        <v>1</v>
      </c>
      <c r="J11786">
        <v>0</v>
      </c>
      <c r="K11786">
        <v>1</v>
      </c>
      <c r="L11786">
        <v>0</v>
      </c>
      <c r="M11786">
        <v>1</v>
      </c>
      <c r="N11786">
        <v>1</v>
      </c>
      <c r="O11786">
        <v>1</v>
      </c>
      <c r="P11786">
        <v>1</v>
      </c>
      <c r="Q11786">
        <v>1</v>
      </c>
      <c r="R11786">
        <v>1</v>
      </c>
    </row>
    <row r="11787" spans="1:18" x14ac:dyDescent="0.2">
      <c r="A11787" t="str">
        <f>"11783"</f>
        <v>11783</v>
      </c>
      <c r="B11787" t="str">
        <f t="shared" si="655"/>
        <v>1</v>
      </c>
      <c r="C11787" t="str">
        <f t="shared" ref="C11787:C11804" si="656">"236"</f>
        <v>236</v>
      </c>
      <c r="D11787" t="str">
        <f>"26"</f>
        <v>26</v>
      </c>
      <c r="E11787" t="str">
        <f>"1-236-26"</f>
        <v>1-236-26</v>
      </c>
      <c r="F11787" t="s">
        <v>65</v>
      </c>
      <c r="G11787" t="s">
        <v>66</v>
      </c>
      <c r="H11787" t="s">
        <v>68</v>
      </c>
      <c r="I11787">
        <v>1</v>
      </c>
      <c r="J11787">
        <v>1</v>
      </c>
      <c r="K11787">
        <v>0</v>
      </c>
      <c r="L11787">
        <v>0</v>
      </c>
      <c r="M11787">
        <v>1</v>
      </c>
      <c r="N11787">
        <v>1</v>
      </c>
      <c r="O11787">
        <v>1</v>
      </c>
      <c r="P11787">
        <v>1</v>
      </c>
      <c r="Q11787">
        <v>1</v>
      </c>
      <c r="R11787">
        <v>1</v>
      </c>
    </row>
    <row r="11788" spans="1:18" x14ac:dyDescent="0.2">
      <c r="A11788" t="str">
        <f>"11784"</f>
        <v>11784</v>
      </c>
      <c r="B11788" t="str">
        <f t="shared" si="655"/>
        <v>1</v>
      </c>
      <c r="C11788" t="str">
        <f t="shared" si="656"/>
        <v>236</v>
      </c>
      <c r="D11788" t="str">
        <f>"11"</f>
        <v>11</v>
      </c>
      <c r="E11788" t="str">
        <f>"1-236-11"</f>
        <v>1-236-11</v>
      </c>
      <c r="F11788" t="s">
        <v>65</v>
      </c>
      <c r="G11788" t="s">
        <v>66</v>
      </c>
      <c r="H11788" t="s">
        <v>68</v>
      </c>
      <c r="I11788">
        <v>1</v>
      </c>
      <c r="J11788">
        <v>0</v>
      </c>
      <c r="K11788">
        <v>0</v>
      </c>
      <c r="L11788">
        <v>1</v>
      </c>
      <c r="M11788">
        <v>1</v>
      </c>
      <c r="N11788">
        <v>1</v>
      </c>
      <c r="O11788">
        <v>1</v>
      </c>
      <c r="P11788">
        <v>1</v>
      </c>
      <c r="Q11788">
        <v>1</v>
      </c>
      <c r="R11788">
        <v>1</v>
      </c>
    </row>
    <row r="11789" spans="1:18" x14ac:dyDescent="0.2">
      <c r="A11789" t="str">
        <f>"11785"</f>
        <v>11785</v>
      </c>
      <c r="B11789" t="str">
        <f t="shared" si="655"/>
        <v>1</v>
      </c>
      <c r="C11789" t="str">
        <f t="shared" si="656"/>
        <v>236</v>
      </c>
      <c r="D11789" t="str">
        <f>"45"</f>
        <v>45</v>
      </c>
      <c r="E11789" t="str">
        <f>"1-236-45"</f>
        <v>1-236-45</v>
      </c>
      <c r="F11789" t="s">
        <v>65</v>
      </c>
      <c r="G11789" t="s">
        <v>66</v>
      </c>
      <c r="H11789" t="s">
        <v>68</v>
      </c>
      <c r="I11789">
        <v>1</v>
      </c>
      <c r="J11789">
        <v>0</v>
      </c>
      <c r="K11789">
        <v>0</v>
      </c>
      <c r="L11789">
        <v>0</v>
      </c>
      <c r="M11789">
        <v>1</v>
      </c>
      <c r="N11789">
        <v>1</v>
      </c>
      <c r="O11789">
        <v>1</v>
      </c>
      <c r="P11789">
        <v>1</v>
      </c>
      <c r="Q11789">
        <v>1</v>
      </c>
      <c r="R11789">
        <v>1</v>
      </c>
    </row>
    <row r="11790" spans="1:18" x14ac:dyDescent="0.2">
      <c r="A11790" t="str">
        <f>"11786"</f>
        <v>11786</v>
      </c>
      <c r="B11790" t="str">
        <f t="shared" si="655"/>
        <v>1</v>
      </c>
      <c r="C11790" t="str">
        <f t="shared" si="656"/>
        <v>236</v>
      </c>
      <c r="D11790" t="str">
        <f>"27"</f>
        <v>27</v>
      </c>
      <c r="E11790" t="str">
        <f>"1-236-27"</f>
        <v>1-236-27</v>
      </c>
      <c r="F11790" t="s">
        <v>65</v>
      </c>
      <c r="G11790" t="s">
        <v>66</v>
      </c>
      <c r="H11790" t="s">
        <v>68</v>
      </c>
      <c r="I11790">
        <v>1</v>
      </c>
      <c r="J11790">
        <v>0</v>
      </c>
      <c r="K11790">
        <v>0</v>
      </c>
      <c r="L11790">
        <v>1</v>
      </c>
      <c r="M11790">
        <v>1</v>
      </c>
      <c r="N11790">
        <v>1</v>
      </c>
      <c r="O11790">
        <v>1</v>
      </c>
      <c r="P11790">
        <v>1</v>
      </c>
      <c r="Q11790">
        <v>1</v>
      </c>
      <c r="R11790">
        <v>1</v>
      </c>
    </row>
    <row r="11791" spans="1:18" x14ac:dyDescent="0.2">
      <c r="A11791" t="str">
        <f>"11787"</f>
        <v>11787</v>
      </c>
      <c r="B11791" t="str">
        <f t="shared" si="655"/>
        <v>1</v>
      </c>
      <c r="C11791" t="str">
        <f t="shared" si="656"/>
        <v>236</v>
      </c>
      <c r="D11791" t="str">
        <f>"7"</f>
        <v>7</v>
      </c>
      <c r="E11791" t="str">
        <f>"1-236-7"</f>
        <v>1-236-7</v>
      </c>
      <c r="F11791" t="s">
        <v>65</v>
      </c>
      <c r="G11791" t="s">
        <v>66</v>
      </c>
      <c r="H11791" t="s">
        <v>68</v>
      </c>
      <c r="I11791">
        <v>1</v>
      </c>
      <c r="J11791">
        <v>1</v>
      </c>
      <c r="K11791">
        <v>0</v>
      </c>
      <c r="L11791">
        <v>0</v>
      </c>
      <c r="M11791">
        <v>1</v>
      </c>
      <c r="N11791">
        <v>1</v>
      </c>
      <c r="O11791">
        <v>1</v>
      </c>
      <c r="P11791">
        <v>1</v>
      </c>
      <c r="Q11791">
        <v>1</v>
      </c>
      <c r="R11791">
        <v>1</v>
      </c>
    </row>
    <row r="11792" spans="1:18" x14ac:dyDescent="0.2">
      <c r="A11792" t="str">
        <f>"11788"</f>
        <v>11788</v>
      </c>
      <c r="B11792" t="str">
        <f t="shared" si="655"/>
        <v>1</v>
      </c>
      <c r="C11792" t="str">
        <f t="shared" si="656"/>
        <v>236</v>
      </c>
      <c r="D11792" t="str">
        <f>"28"</f>
        <v>28</v>
      </c>
      <c r="E11792" t="str">
        <f>"1-236-28"</f>
        <v>1-236-28</v>
      </c>
      <c r="F11792" t="s">
        <v>65</v>
      </c>
      <c r="G11792" t="s">
        <v>66</v>
      </c>
      <c r="H11792" t="s">
        <v>68</v>
      </c>
      <c r="I11792">
        <v>0</v>
      </c>
      <c r="J11792">
        <v>0</v>
      </c>
      <c r="K11792">
        <v>0</v>
      </c>
      <c r="L11792">
        <v>1</v>
      </c>
      <c r="M11792">
        <v>1</v>
      </c>
      <c r="N11792">
        <v>0</v>
      </c>
      <c r="O11792">
        <v>0</v>
      </c>
      <c r="P11792">
        <v>0</v>
      </c>
      <c r="Q11792">
        <v>0</v>
      </c>
      <c r="R11792">
        <v>0</v>
      </c>
    </row>
    <row r="11793" spans="1:18" x14ac:dyDescent="0.2">
      <c r="A11793" t="str">
        <f>"11789"</f>
        <v>11789</v>
      </c>
      <c r="B11793" t="str">
        <f t="shared" si="655"/>
        <v>1</v>
      </c>
      <c r="C11793" t="str">
        <f t="shared" si="656"/>
        <v>236</v>
      </c>
      <c r="D11793" t="str">
        <f>"10"</f>
        <v>10</v>
      </c>
      <c r="E11793" t="str">
        <f>"1-236-10"</f>
        <v>1-236-10</v>
      </c>
      <c r="F11793" t="s">
        <v>65</v>
      </c>
      <c r="G11793" t="s">
        <v>66</v>
      </c>
      <c r="H11793" t="s">
        <v>68</v>
      </c>
      <c r="I11793">
        <v>1</v>
      </c>
      <c r="J11793">
        <v>0</v>
      </c>
      <c r="K11793">
        <v>1</v>
      </c>
      <c r="L11793">
        <v>0</v>
      </c>
      <c r="M11793">
        <v>1</v>
      </c>
      <c r="N11793">
        <v>1</v>
      </c>
      <c r="O11793">
        <v>1</v>
      </c>
      <c r="P11793">
        <v>1</v>
      </c>
      <c r="Q11793">
        <v>1</v>
      </c>
      <c r="R11793">
        <v>1</v>
      </c>
    </row>
    <row r="11794" spans="1:18" x14ac:dyDescent="0.2">
      <c r="A11794" t="str">
        <f>"11790"</f>
        <v>11790</v>
      </c>
      <c r="B11794" t="str">
        <f t="shared" si="655"/>
        <v>1</v>
      </c>
      <c r="C11794" t="str">
        <f t="shared" si="656"/>
        <v>236</v>
      </c>
      <c r="D11794" t="str">
        <f>"48"</f>
        <v>48</v>
      </c>
      <c r="E11794" t="str">
        <f>"1-236-48"</f>
        <v>1-236-48</v>
      </c>
      <c r="F11794" t="s">
        <v>65</v>
      </c>
      <c r="G11794" t="s">
        <v>66</v>
      </c>
      <c r="H11794" t="s">
        <v>68</v>
      </c>
      <c r="I11794">
        <v>1</v>
      </c>
      <c r="J11794">
        <v>0</v>
      </c>
      <c r="K11794">
        <v>0</v>
      </c>
      <c r="L11794">
        <v>1</v>
      </c>
      <c r="M11794">
        <v>1</v>
      </c>
      <c r="N11794">
        <v>1</v>
      </c>
      <c r="O11794">
        <v>1</v>
      </c>
      <c r="P11794">
        <v>1</v>
      </c>
      <c r="Q11794">
        <v>1</v>
      </c>
      <c r="R11794">
        <v>1</v>
      </c>
    </row>
    <row r="11795" spans="1:18" x14ac:dyDescent="0.2">
      <c r="A11795" t="str">
        <f>"11791"</f>
        <v>11791</v>
      </c>
      <c r="B11795" t="str">
        <f t="shared" si="655"/>
        <v>1</v>
      </c>
      <c r="C11795" t="str">
        <f t="shared" si="656"/>
        <v>236</v>
      </c>
      <c r="D11795" t="str">
        <f>"31"</f>
        <v>31</v>
      </c>
      <c r="E11795" t="str">
        <f>"1-236-31"</f>
        <v>1-236-31</v>
      </c>
      <c r="F11795" t="s">
        <v>65</v>
      </c>
      <c r="G11795" t="s">
        <v>66</v>
      </c>
      <c r="H11795" t="s">
        <v>68</v>
      </c>
      <c r="I11795">
        <v>1</v>
      </c>
      <c r="J11795">
        <v>1</v>
      </c>
      <c r="K11795">
        <v>0</v>
      </c>
      <c r="L11795">
        <v>0</v>
      </c>
      <c r="M11795">
        <v>1</v>
      </c>
      <c r="N11795">
        <v>1</v>
      </c>
      <c r="O11795">
        <v>1</v>
      </c>
      <c r="P11795">
        <v>1</v>
      </c>
      <c r="Q11795">
        <v>1</v>
      </c>
      <c r="R11795">
        <v>1</v>
      </c>
    </row>
    <row r="11796" spans="1:18" x14ac:dyDescent="0.2">
      <c r="A11796" t="str">
        <f>"11792"</f>
        <v>11792</v>
      </c>
      <c r="B11796" t="str">
        <f t="shared" si="655"/>
        <v>1</v>
      </c>
      <c r="C11796" t="str">
        <f t="shared" si="656"/>
        <v>236</v>
      </c>
      <c r="D11796" t="str">
        <f>"5"</f>
        <v>5</v>
      </c>
      <c r="E11796" t="str">
        <f>"1-236-5"</f>
        <v>1-236-5</v>
      </c>
      <c r="F11796" t="s">
        <v>65</v>
      </c>
      <c r="G11796" t="s">
        <v>66</v>
      </c>
      <c r="H11796" t="s">
        <v>68</v>
      </c>
      <c r="I11796">
        <v>1</v>
      </c>
      <c r="J11796">
        <v>0</v>
      </c>
      <c r="K11796">
        <v>1</v>
      </c>
      <c r="L11796">
        <v>0</v>
      </c>
      <c r="M11796">
        <v>1</v>
      </c>
      <c r="N11796">
        <v>1</v>
      </c>
      <c r="O11796">
        <v>1</v>
      </c>
      <c r="P11796">
        <v>1</v>
      </c>
      <c r="Q11796">
        <v>1</v>
      </c>
      <c r="R11796">
        <v>1</v>
      </c>
    </row>
    <row r="11797" spans="1:18" x14ac:dyDescent="0.2">
      <c r="A11797" t="str">
        <f>"11793"</f>
        <v>11793</v>
      </c>
      <c r="B11797" t="str">
        <f t="shared" si="655"/>
        <v>1</v>
      </c>
      <c r="C11797" t="str">
        <f t="shared" si="656"/>
        <v>236</v>
      </c>
      <c r="D11797" t="str">
        <f>"49"</f>
        <v>49</v>
      </c>
      <c r="E11797" t="str">
        <f>"1-236-49"</f>
        <v>1-236-49</v>
      </c>
      <c r="F11797" t="s">
        <v>65</v>
      </c>
      <c r="G11797" t="s">
        <v>66</v>
      </c>
      <c r="H11797" t="s">
        <v>68</v>
      </c>
      <c r="I11797">
        <v>0</v>
      </c>
      <c r="J11797">
        <v>1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</row>
    <row r="11798" spans="1:18" x14ac:dyDescent="0.2">
      <c r="A11798" t="str">
        <f>"11794"</f>
        <v>11794</v>
      </c>
      <c r="B11798" t="str">
        <f t="shared" si="655"/>
        <v>1</v>
      </c>
      <c r="C11798" t="str">
        <f t="shared" si="656"/>
        <v>236</v>
      </c>
      <c r="D11798" t="str">
        <f>"32"</f>
        <v>32</v>
      </c>
      <c r="E11798" t="str">
        <f>"1-236-32"</f>
        <v>1-236-32</v>
      </c>
      <c r="F11798" t="s">
        <v>65</v>
      </c>
      <c r="G11798" t="s">
        <v>66</v>
      </c>
      <c r="H11798" t="s">
        <v>68</v>
      </c>
      <c r="I11798">
        <v>1</v>
      </c>
      <c r="J11798">
        <v>0</v>
      </c>
      <c r="K11798">
        <v>0</v>
      </c>
      <c r="L11798">
        <v>1</v>
      </c>
      <c r="M11798">
        <v>1</v>
      </c>
      <c r="N11798">
        <v>1</v>
      </c>
      <c r="O11798">
        <v>1</v>
      </c>
      <c r="P11798">
        <v>1</v>
      </c>
      <c r="Q11798">
        <v>1</v>
      </c>
      <c r="R11798">
        <v>1</v>
      </c>
    </row>
    <row r="11799" spans="1:18" x14ac:dyDescent="0.2">
      <c r="A11799" t="str">
        <f>"11795"</f>
        <v>11795</v>
      </c>
      <c r="B11799" t="str">
        <f t="shared" si="655"/>
        <v>1</v>
      </c>
      <c r="C11799" t="str">
        <f t="shared" si="656"/>
        <v>236</v>
      </c>
      <c r="D11799" t="str">
        <f>"6"</f>
        <v>6</v>
      </c>
      <c r="E11799" t="str">
        <f>"1-236-6"</f>
        <v>1-236-6</v>
      </c>
      <c r="F11799" t="s">
        <v>65</v>
      </c>
      <c r="G11799" t="s">
        <v>66</v>
      </c>
      <c r="H11799" t="s">
        <v>68</v>
      </c>
      <c r="I11799">
        <v>1</v>
      </c>
      <c r="J11799">
        <v>1</v>
      </c>
      <c r="K11799">
        <v>0</v>
      </c>
      <c r="L11799">
        <v>0</v>
      </c>
      <c r="M11799">
        <v>1</v>
      </c>
      <c r="N11799">
        <v>1</v>
      </c>
      <c r="O11799">
        <v>1</v>
      </c>
      <c r="P11799">
        <v>1</v>
      </c>
      <c r="Q11799">
        <v>1</v>
      </c>
      <c r="R11799">
        <v>1</v>
      </c>
    </row>
    <row r="11800" spans="1:18" x14ac:dyDescent="0.2">
      <c r="A11800" t="str">
        <f>"11796"</f>
        <v>11796</v>
      </c>
      <c r="B11800" t="str">
        <f t="shared" si="655"/>
        <v>1</v>
      </c>
      <c r="C11800" t="str">
        <f t="shared" si="656"/>
        <v>236</v>
      </c>
      <c r="D11800" t="str">
        <f>"33"</f>
        <v>33</v>
      </c>
      <c r="E11800" t="str">
        <f>"1-236-33"</f>
        <v>1-236-33</v>
      </c>
      <c r="F11800" t="s">
        <v>65</v>
      </c>
      <c r="G11800" t="s">
        <v>66</v>
      </c>
      <c r="H11800" t="s">
        <v>68</v>
      </c>
      <c r="I11800">
        <v>1</v>
      </c>
      <c r="J11800">
        <v>1</v>
      </c>
      <c r="K11800">
        <v>0</v>
      </c>
      <c r="L11800">
        <v>0</v>
      </c>
      <c r="M11800">
        <v>1</v>
      </c>
      <c r="N11800">
        <v>1</v>
      </c>
      <c r="O11800">
        <v>1</v>
      </c>
      <c r="P11800">
        <v>1</v>
      </c>
      <c r="Q11800">
        <v>1</v>
      </c>
      <c r="R11800">
        <v>1</v>
      </c>
    </row>
    <row r="11801" spans="1:18" x14ac:dyDescent="0.2">
      <c r="A11801" t="str">
        <f>"11797"</f>
        <v>11797</v>
      </c>
      <c r="B11801" t="str">
        <f t="shared" si="655"/>
        <v>1</v>
      </c>
      <c r="C11801" t="str">
        <f t="shared" si="656"/>
        <v>236</v>
      </c>
      <c r="D11801" t="str">
        <f>"13"</f>
        <v>13</v>
      </c>
      <c r="E11801" t="str">
        <f>"1-236-13"</f>
        <v>1-236-13</v>
      </c>
      <c r="F11801" t="s">
        <v>65</v>
      </c>
      <c r="G11801" t="s">
        <v>66</v>
      </c>
      <c r="H11801" t="s">
        <v>68</v>
      </c>
      <c r="I11801">
        <v>1</v>
      </c>
      <c r="J11801">
        <v>0</v>
      </c>
      <c r="K11801">
        <v>0</v>
      </c>
      <c r="L11801">
        <v>1</v>
      </c>
      <c r="M11801">
        <v>1</v>
      </c>
      <c r="N11801">
        <v>1</v>
      </c>
      <c r="O11801">
        <v>1</v>
      </c>
      <c r="P11801">
        <v>1</v>
      </c>
      <c r="Q11801">
        <v>1</v>
      </c>
      <c r="R11801">
        <v>1</v>
      </c>
    </row>
    <row r="11802" spans="1:18" x14ac:dyDescent="0.2">
      <c r="A11802" t="str">
        <f>"11798"</f>
        <v>11798</v>
      </c>
      <c r="B11802" t="str">
        <f t="shared" si="655"/>
        <v>1</v>
      </c>
      <c r="C11802" t="str">
        <f t="shared" si="656"/>
        <v>236</v>
      </c>
      <c r="D11802" t="str">
        <f>"50"</f>
        <v>50</v>
      </c>
      <c r="E11802" t="str">
        <f>"1-236-50"</f>
        <v>1-236-50</v>
      </c>
      <c r="F11802" t="s">
        <v>65</v>
      </c>
      <c r="G11802" t="s">
        <v>66</v>
      </c>
      <c r="H11802" t="s">
        <v>68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1</v>
      </c>
      <c r="O11802">
        <v>0</v>
      </c>
      <c r="P11802">
        <v>0</v>
      </c>
      <c r="Q11802">
        <v>0</v>
      </c>
      <c r="R11802">
        <v>0</v>
      </c>
    </row>
    <row r="11803" spans="1:18" x14ac:dyDescent="0.2">
      <c r="A11803" t="str">
        <f>"11799"</f>
        <v>11799</v>
      </c>
      <c r="B11803" t="str">
        <f t="shared" si="655"/>
        <v>1</v>
      </c>
      <c r="C11803" t="str">
        <f t="shared" si="656"/>
        <v>236</v>
      </c>
      <c r="D11803" t="str">
        <f>"34"</f>
        <v>34</v>
      </c>
      <c r="E11803" t="str">
        <f>"1-236-34"</f>
        <v>1-236-34</v>
      </c>
      <c r="F11803" t="s">
        <v>65</v>
      </c>
      <c r="G11803" t="s">
        <v>66</v>
      </c>
      <c r="H11803" t="s">
        <v>68</v>
      </c>
      <c r="I11803">
        <v>1</v>
      </c>
      <c r="J11803">
        <v>1</v>
      </c>
      <c r="K11803">
        <v>0</v>
      </c>
      <c r="L11803">
        <v>0</v>
      </c>
      <c r="M11803">
        <v>1</v>
      </c>
      <c r="N11803">
        <v>1</v>
      </c>
      <c r="O11803">
        <v>1</v>
      </c>
      <c r="P11803">
        <v>1</v>
      </c>
      <c r="Q11803">
        <v>1</v>
      </c>
      <c r="R11803">
        <v>1</v>
      </c>
    </row>
    <row r="11804" spans="1:18" x14ac:dyDescent="0.2">
      <c r="A11804" t="str">
        <f>"11800"</f>
        <v>11800</v>
      </c>
      <c r="B11804" t="str">
        <f t="shared" si="655"/>
        <v>1</v>
      </c>
      <c r="C11804" t="str">
        <f t="shared" si="656"/>
        <v>236</v>
      </c>
      <c r="D11804" t="str">
        <f>"4"</f>
        <v>4</v>
      </c>
      <c r="E11804" t="str">
        <f>"1-236-4"</f>
        <v>1-236-4</v>
      </c>
      <c r="F11804" t="s">
        <v>65</v>
      </c>
      <c r="G11804" t="s">
        <v>66</v>
      </c>
      <c r="H11804" t="s">
        <v>68</v>
      </c>
      <c r="I11804">
        <v>1</v>
      </c>
      <c r="J11804">
        <v>1</v>
      </c>
      <c r="K11804">
        <v>0</v>
      </c>
      <c r="L11804">
        <v>0</v>
      </c>
      <c r="M11804">
        <v>1</v>
      </c>
      <c r="N11804">
        <v>1</v>
      </c>
      <c r="O11804">
        <v>1</v>
      </c>
      <c r="P11804">
        <v>1</v>
      </c>
      <c r="Q11804">
        <v>1</v>
      </c>
      <c r="R11804">
        <v>1</v>
      </c>
    </row>
    <row r="11805" spans="1:18" x14ac:dyDescent="0.2">
      <c r="A11805" t="str">
        <f>"11801"</f>
        <v>11801</v>
      </c>
      <c r="B11805" t="str">
        <f t="shared" si="655"/>
        <v>1</v>
      </c>
      <c r="C11805" t="str">
        <f t="shared" ref="C11805:C11836" si="657">"237"</f>
        <v>237</v>
      </c>
      <c r="D11805" t="str">
        <f>"38"</f>
        <v>38</v>
      </c>
      <c r="E11805" t="str">
        <f>"1-237-38"</f>
        <v>1-237-38</v>
      </c>
      <c r="F11805" t="s">
        <v>65</v>
      </c>
      <c r="G11805" t="s">
        <v>66</v>
      </c>
      <c r="H11805" t="s">
        <v>68</v>
      </c>
      <c r="I11805">
        <v>1</v>
      </c>
      <c r="J11805">
        <v>1</v>
      </c>
      <c r="K11805">
        <v>0</v>
      </c>
      <c r="L11805">
        <v>0</v>
      </c>
      <c r="M11805">
        <v>1</v>
      </c>
      <c r="N11805">
        <v>1</v>
      </c>
      <c r="O11805">
        <v>1</v>
      </c>
      <c r="P11805">
        <v>1</v>
      </c>
      <c r="Q11805">
        <v>1</v>
      </c>
      <c r="R11805">
        <v>1</v>
      </c>
    </row>
    <row r="11806" spans="1:18" x14ac:dyDescent="0.2">
      <c r="A11806" t="str">
        <f>"11802"</f>
        <v>11802</v>
      </c>
      <c r="B11806" t="str">
        <f t="shared" si="655"/>
        <v>1</v>
      </c>
      <c r="C11806" t="str">
        <f t="shared" si="657"/>
        <v>237</v>
      </c>
      <c r="D11806" t="str">
        <f>"37"</f>
        <v>37</v>
      </c>
      <c r="E11806" t="str">
        <f>"1-237-37"</f>
        <v>1-237-37</v>
      </c>
      <c r="F11806" t="s">
        <v>65</v>
      </c>
      <c r="G11806" t="s">
        <v>66</v>
      </c>
      <c r="H11806" t="s">
        <v>68</v>
      </c>
      <c r="I11806">
        <v>1</v>
      </c>
      <c r="J11806">
        <v>0</v>
      </c>
      <c r="K11806">
        <v>0</v>
      </c>
      <c r="L11806">
        <v>1</v>
      </c>
      <c r="M11806">
        <v>1</v>
      </c>
      <c r="N11806">
        <v>1</v>
      </c>
      <c r="O11806">
        <v>1</v>
      </c>
      <c r="P11806">
        <v>1</v>
      </c>
      <c r="Q11806">
        <v>1</v>
      </c>
      <c r="R11806">
        <v>1</v>
      </c>
    </row>
    <row r="11807" spans="1:18" x14ac:dyDescent="0.2">
      <c r="A11807" t="str">
        <f>"11803"</f>
        <v>11803</v>
      </c>
      <c r="B11807" t="str">
        <f t="shared" si="655"/>
        <v>1</v>
      </c>
      <c r="C11807" t="str">
        <f t="shared" si="657"/>
        <v>237</v>
      </c>
      <c r="D11807" t="str">
        <f>"23"</f>
        <v>23</v>
      </c>
      <c r="E11807" t="str">
        <f>"1-237-23"</f>
        <v>1-237-23</v>
      </c>
      <c r="F11807" t="s">
        <v>65</v>
      </c>
      <c r="G11807" t="s">
        <v>66</v>
      </c>
      <c r="H11807" t="s">
        <v>68</v>
      </c>
      <c r="I11807">
        <v>1</v>
      </c>
      <c r="J11807">
        <v>0</v>
      </c>
      <c r="K11807">
        <v>0</v>
      </c>
      <c r="L11807">
        <v>1</v>
      </c>
      <c r="M11807">
        <v>1</v>
      </c>
      <c r="N11807">
        <v>1</v>
      </c>
      <c r="O11807">
        <v>1</v>
      </c>
      <c r="P11807">
        <v>1</v>
      </c>
      <c r="Q11807">
        <v>1</v>
      </c>
      <c r="R11807">
        <v>1</v>
      </c>
    </row>
    <row r="11808" spans="1:18" x14ac:dyDescent="0.2">
      <c r="A11808" t="str">
        <f>"11804"</f>
        <v>11804</v>
      </c>
      <c r="B11808" t="str">
        <f t="shared" si="655"/>
        <v>1</v>
      </c>
      <c r="C11808" t="str">
        <f t="shared" si="657"/>
        <v>237</v>
      </c>
      <c r="D11808" t="str">
        <f>"22"</f>
        <v>22</v>
      </c>
      <c r="E11808" t="str">
        <f>"1-237-22"</f>
        <v>1-237-22</v>
      </c>
      <c r="F11808" t="s">
        <v>65</v>
      </c>
      <c r="G11808" t="s">
        <v>66</v>
      </c>
      <c r="H11808" t="s">
        <v>68</v>
      </c>
      <c r="I11808">
        <v>1</v>
      </c>
      <c r="J11808">
        <v>0</v>
      </c>
      <c r="K11808">
        <v>0</v>
      </c>
      <c r="L11808">
        <v>1</v>
      </c>
      <c r="M11808">
        <v>1</v>
      </c>
      <c r="N11808">
        <v>1</v>
      </c>
      <c r="O11808">
        <v>1</v>
      </c>
      <c r="P11808">
        <v>1</v>
      </c>
      <c r="Q11808">
        <v>1</v>
      </c>
      <c r="R11808">
        <v>1</v>
      </c>
    </row>
    <row r="11809" spans="1:39" x14ac:dyDescent="0.2">
      <c r="A11809" t="str">
        <f>"11805"</f>
        <v>11805</v>
      </c>
      <c r="B11809" t="str">
        <f t="shared" si="655"/>
        <v>1</v>
      </c>
      <c r="C11809" t="str">
        <f t="shared" si="657"/>
        <v>237</v>
      </c>
      <c r="D11809" t="str">
        <f>"17"</f>
        <v>17</v>
      </c>
      <c r="E11809" t="str">
        <f>"1-237-17"</f>
        <v>1-237-17</v>
      </c>
      <c r="F11809" t="s">
        <v>65</v>
      </c>
      <c r="G11809" t="s">
        <v>66</v>
      </c>
      <c r="H11809" t="s">
        <v>68</v>
      </c>
      <c r="I11809">
        <v>1</v>
      </c>
      <c r="J11809">
        <v>1</v>
      </c>
      <c r="K11809">
        <v>0</v>
      </c>
      <c r="L11809">
        <v>0</v>
      </c>
      <c r="M11809">
        <v>1</v>
      </c>
      <c r="N11809">
        <v>1</v>
      </c>
      <c r="O11809">
        <v>1</v>
      </c>
      <c r="P11809">
        <v>1</v>
      </c>
      <c r="Q11809">
        <v>1</v>
      </c>
      <c r="R11809">
        <v>1</v>
      </c>
    </row>
    <row r="11810" spans="1:39" x14ac:dyDescent="0.2">
      <c r="A11810" t="str">
        <f>"11806"</f>
        <v>11806</v>
      </c>
      <c r="B11810" t="str">
        <f t="shared" si="655"/>
        <v>1</v>
      </c>
      <c r="C11810" t="str">
        <f t="shared" si="657"/>
        <v>237</v>
      </c>
      <c r="D11810" t="str">
        <f>"15"</f>
        <v>15</v>
      </c>
      <c r="E11810" t="str">
        <f>"1-237-15"</f>
        <v>1-237-15</v>
      </c>
      <c r="F11810" t="s">
        <v>65</v>
      </c>
      <c r="G11810" t="s">
        <v>66</v>
      </c>
      <c r="H11810" t="s">
        <v>68</v>
      </c>
      <c r="I11810">
        <v>1</v>
      </c>
      <c r="J11810">
        <v>0</v>
      </c>
      <c r="K11810">
        <v>0</v>
      </c>
      <c r="L11810">
        <v>1</v>
      </c>
      <c r="M11810">
        <v>1</v>
      </c>
      <c r="N11810">
        <v>1</v>
      </c>
      <c r="O11810">
        <v>1</v>
      </c>
      <c r="P11810">
        <v>1</v>
      </c>
      <c r="Q11810">
        <v>1</v>
      </c>
      <c r="R11810">
        <v>1</v>
      </c>
    </row>
    <row r="11811" spans="1:39" x14ac:dyDescent="0.2">
      <c r="A11811" t="str">
        <f>"11807"</f>
        <v>11807</v>
      </c>
      <c r="B11811" t="str">
        <f t="shared" si="655"/>
        <v>1</v>
      </c>
      <c r="C11811" t="str">
        <f t="shared" si="657"/>
        <v>237</v>
      </c>
      <c r="D11811" t="str">
        <f>"1"</f>
        <v>1</v>
      </c>
      <c r="E11811" t="str">
        <f>"1-237-1"</f>
        <v>1-237-1</v>
      </c>
      <c r="F11811" t="s">
        <v>65</v>
      </c>
      <c r="G11811" t="s">
        <v>66</v>
      </c>
      <c r="H11811" t="s">
        <v>67</v>
      </c>
      <c r="S11811">
        <v>0</v>
      </c>
      <c r="T11811">
        <v>1</v>
      </c>
      <c r="U11811">
        <v>0</v>
      </c>
      <c r="V11811">
        <v>0</v>
      </c>
      <c r="W11811">
        <v>1</v>
      </c>
      <c r="X11811">
        <v>0</v>
      </c>
      <c r="Y11811">
        <v>1</v>
      </c>
      <c r="Z11811">
        <v>0</v>
      </c>
      <c r="AA11811">
        <v>0</v>
      </c>
      <c r="AB11811">
        <v>1</v>
      </c>
      <c r="AC11811">
        <v>0</v>
      </c>
      <c r="AD11811">
        <v>1</v>
      </c>
      <c r="AE11811">
        <v>1</v>
      </c>
      <c r="AF11811">
        <v>1</v>
      </c>
      <c r="AG11811">
        <v>1</v>
      </c>
      <c r="AH11811">
        <v>1</v>
      </c>
      <c r="AI11811">
        <v>1</v>
      </c>
      <c r="AJ11811">
        <v>1</v>
      </c>
      <c r="AK11811">
        <v>1</v>
      </c>
      <c r="AL11811">
        <v>1</v>
      </c>
      <c r="AM11811">
        <v>1</v>
      </c>
    </row>
    <row r="11812" spans="1:39" x14ac:dyDescent="0.2">
      <c r="A11812" t="str">
        <f>"11808"</f>
        <v>11808</v>
      </c>
      <c r="B11812" t="str">
        <f t="shared" si="655"/>
        <v>1</v>
      </c>
      <c r="C11812" t="str">
        <f t="shared" si="657"/>
        <v>237</v>
      </c>
      <c r="D11812" t="str">
        <f>"36"</f>
        <v>36</v>
      </c>
      <c r="E11812" t="str">
        <f>"1-237-36"</f>
        <v>1-237-36</v>
      </c>
      <c r="F11812" t="s">
        <v>65</v>
      </c>
      <c r="G11812" t="s">
        <v>66</v>
      </c>
      <c r="H11812" t="s">
        <v>68</v>
      </c>
      <c r="I11812">
        <v>1</v>
      </c>
      <c r="J11812">
        <v>0</v>
      </c>
      <c r="K11812">
        <v>0</v>
      </c>
      <c r="L11812">
        <v>1</v>
      </c>
      <c r="M11812">
        <v>1</v>
      </c>
      <c r="N11812">
        <v>1</v>
      </c>
      <c r="O11812">
        <v>1</v>
      </c>
      <c r="P11812">
        <v>1</v>
      </c>
      <c r="Q11812">
        <v>1</v>
      </c>
      <c r="R11812">
        <v>1</v>
      </c>
    </row>
    <row r="11813" spans="1:39" x14ac:dyDescent="0.2">
      <c r="A11813" t="str">
        <f>"11809"</f>
        <v>11809</v>
      </c>
      <c r="B11813" t="str">
        <f t="shared" si="655"/>
        <v>1</v>
      </c>
      <c r="C11813" t="str">
        <f t="shared" si="657"/>
        <v>237</v>
      </c>
      <c r="D11813" t="str">
        <f>"35"</f>
        <v>35</v>
      </c>
      <c r="E11813" t="str">
        <f>"1-237-35"</f>
        <v>1-237-35</v>
      </c>
      <c r="F11813" t="s">
        <v>65</v>
      </c>
      <c r="G11813" t="s">
        <v>66</v>
      </c>
      <c r="H11813" t="s">
        <v>68</v>
      </c>
      <c r="I11813">
        <v>1</v>
      </c>
      <c r="J11813">
        <v>0</v>
      </c>
      <c r="K11813">
        <v>1</v>
      </c>
      <c r="L11813">
        <v>0</v>
      </c>
      <c r="M11813">
        <v>1</v>
      </c>
      <c r="N11813">
        <v>1</v>
      </c>
      <c r="O11813">
        <v>1</v>
      </c>
      <c r="P11813">
        <v>1</v>
      </c>
      <c r="Q11813">
        <v>1</v>
      </c>
      <c r="R11813">
        <v>1</v>
      </c>
    </row>
    <row r="11814" spans="1:39" x14ac:dyDescent="0.2">
      <c r="A11814" t="str">
        <f>"11810"</f>
        <v>11810</v>
      </c>
      <c r="B11814" t="str">
        <f t="shared" si="655"/>
        <v>1</v>
      </c>
      <c r="C11814" t="str">
        <f t="shared" si="657"/>
        <v>237</v>
      </c>
      <c r="D11814" t="str">
        <f>"24"</f>
        <v>24</v>
      </c>
      <c r="E11814" t="str">
        <f>"1-237-24"</f>
        <v>1-237-24</v>
      </c>
      <c r="F11814" t="s">
        <v>65</v>
      </c>
      <c r="G11814" t="s">
        <v>66</v>
      </c>
      <c r="H11814" t="s">
        <v>68</v>
      </c>
      <c r="I11814">
        <v>1</v>
      </c>
      <c r="J11814">
        <v>0</v>
      </c>
      <c r="K11814">
        <v>0</v>
      </c>
      <c r="L11814">
        <v>1</v>
      </c>
      <c r="M11814">
        <v>1</v>
      </c>
      <c r="N11814">
        <v>1</v>
      </c>
      <c r="O11814">
        <v>1</v>
      </c>
      <c r="P11814">
        <v>1</v>
      </c>
      <c r="Q11814">
        <v>1</v>
      </c>
      <c r="R11814">
        <v>1</v>
      </c>
    </row>
    <row r="11815" spans="1:39" x14ac:dyDescent="0.2">
      <c r="A11815" t="str">
        <f>"11811"</f>
        <v>11811</v>
      </c>
      <c r="B11815" t="str">
        <f t="shared" si="655"/>
        <v>1</v>
      </c>
      <c r="C11815" t="str">
        <f t="shared" si="657"/>
        <v>237</v>
      </c>
      <c r="D11815" t="str">
        <f>"16"</f>
        <v>16</v>
      </c>
      <c r="E11815" t="str">
        <f>"1-237-16"</f>
        <v>1-237-16</v>
      </c>
      <c r="F11815" t="s">
        <v>65</v>
      </c>
      <c r="G11815" t="s">
        <v>66</v>
      </c>
      <c r="H11815" t="s">
        <v>68</v>
      </c>
      <c r="I11815">
        <v>1</v>
      </c>
      <c r="J11815">
        <v>1</v>
      </c>
      <c r="K11815">
        <v>0</v>
      </c>
      <c r="L11815">
        <v>0</v>
      </c>
      <c r="M11815">
        <v>1</v>
      </c>
      <c r="N11815">
        <v>1</v>
      </c>
      <c r="O11815">
        <v>1</v>
      </c>
      <c r="P11815">
        <v>1</v>
      </c>
      <c r="Q11815">
        <v>1</v>
      </c>
      <c r="R11815">
        <v>1</v>
      </c>
    </row>
    <row r="11816" spans="1:39" x14ac:dyDescent="0.2">
      <c r="A11816" t="str">
        <f>"11812"</f>
        <v>11812</v>
      </c>
      <c r="B11816" t="str">
        <f t="shared" si="655"/>
        <v>1</v>
      </c>
      <c r="C11816" t="str">
        <f t="shared" si="657"/>
        <v>237</v>
      </c>
      <c r="D11816" t="str">
        <f>"3"</f>
        <v>3</v>
      </c>
      <c r="E11816" t="str">
        <f>"1-237-3"</f>
        <v>1-237-3</v>
      </c>
      <c r="F11816" t="s">
        <v>65</v>
      </c>
      <c r="G11816" t="s">
        <v>66</v>
      </c>
      <c r="H11816" t="s">
        <v>67</v>
      </c>
      <c r="S11816">
        <v>1</v>
      </c>
      <c r="T11816">
        <v>0</v>
      </c>
      <c r="U11816">
        <v>0</v>
      </c>
      <c r="V11816">
        <v>0</v>
      </c>
      <c r="W11816">
        <v>1</v>
      </c>
      <c r="X11816">
        <v>0</v>
      </c>
      <c r="Y11816">
        <v>1</v>
      </c>
      <c r="Z11816">
        <v>0</v>
      </c>
      <c r="AA11816">
        <v>0</v>
      </c>
      <c r="AB11816">
        <v>1</v>
      </c>
      <c r="AC11816">
        <v>0</v>
      </c>
      <c r="AD11816">
        <v>0</v>
      </c>
      <c r="AE11816">
        <v>0</v>
      </c>
      <c r="AF11816">
        <v>0</v>
      </c>
      <c r="AG11816">
        <v>0</v>
      </c>
      <c r="AH11816">
        <v>0</v>
      </c>
      <c r="AI11816">
        <v>0</v>
      </c>
      <c r="AJ11816">
        <v>0</v>
      </c>
      <c r="AK11816">
        <v>0</v>
      </c>
      <c r="AL11816">
        <v>0</v>
      </c>
      <c r="AM11816">
        <v>0</v>
      </c>
    </row>
    <row r="11817" spans="1:39" x14ac:dyDescent="0.2">
      <c r="A11817" t="str">
        <f>"11813"</f>
        <v>11813</v>
      </c>
      <c r="B11817" t="str">
        <f t="shared" si="655"/>
        <v>1</v>
      </c>
      <c r="C11817" t="str">
        <f t="shared" si="657"/>
        <v>237</v>
      </c>
      <c r="D11817" t="str">
        <f>"42"</f>
        <v>42</v>
      </c>
      <c r="E11817" t="str">
        <f>"1-237-42"</f>
        <v>1-237-42</v>
      </c>
      <c r="F11817" t="s">
        <v>65</v>
      </c>
      <c r="G11817" t="s">
        <v>66</v>
      </c>
      <c r="H11817" t="s">
        <v>68</v>
      </c>
      <c r="I11817">
        <v>1</v>
      </c>
      <c r="J11817">
        <v>0</v>
      </c>
      <c r="K11817">
        <v>0</v>
      </c>
      <c r="L11817">
        <v>1</v>
      </c>
      <c r="M11817">
        <v>1</v>
      </c>
      <c r="N11817">
        <v>1</v>
      </c>
      <c r="O11817">
        <v>1</v>
      </c>
      <c r="P11817">
        <v>1</v>
      </c>
      <c r="Q11817">
        <v>1</v>
      </c>
      <c r="R11817">
        <v>1</v>
      </c>
    </row>
    <row r="11818" spans="1:39" x14ac:dyDescent="0.2">
      <c r="A11818" t="str">
        <f>"11814"</f>
        <v>11814</v>
      </c>
      <c r="B11818" t="str">
        <f t="shared" si="655"/>
        <v>1</v>
      </c>
      <c r="C11818" t="str">
        <f t="shared" si="657"/>
        <v>237</v>
      </c>
      <c r="D11818" t="str">
        <f>"41"</f>
        <v>41</v>
      </c>
      <c r="E11818" t="str">
        <f>"1-237-41"</f>
        <v>1-237-41</v>
      </c>
      <c r="F11818" t="s">
        <v>65</v>
      </c>
      <c r="G11818" t="s">
        <v>66</v>
      </c>
      <c r="H11818" t="s">
        <v>68</v>
      </c>
      <c r="I11818">
        <v>1</v>
      </c>
      <c r="J11818">
        <v>0</v>
      </c>
      <c r="K11818">
        <v>0</v>
      </c>
      <c r="L11818">
        <v>1</v>
      </c>
      <c r="M11818">
        <v>1</v>
      </c>
      <c r="N11818">
        <v>1</v>
      </c>
      <c r="O11818">
        <v>1</v>
      </c>
      <c r="P11818">
        <v>1</v>
      </c>
      <c r="Q11818">
        <v>1</v>
      </c>
      <c r="R11818">
        <v>1</v>
      </c>
    </row>
    <row r="11819" spans="1:39" x14ac:dyDescent="0.2">
      <c r="A11819" t="str">
        <f>"11815"</f>
        <v>11815</v>
      </c>
      <c r="B11819" t="str">
        <f t="shared" si="655"/>
        <v>1</v>
      </c>
      <c r="C11819" t="str">
        <f t="shared" si="657"/>
        <v>237</v>
      </c>
      <c r="D11819" t="str">
        <f>"31"</f>
        <v>31</v>
      </c>
      <c r="E11819" t="str">
        <f>"1-237-31"</f>
        <v>1-237-31</v>
      </c>
      <c r="F11819" t="s">
        <v>65</v>
      </c>
      <c r="G11819" t="s">
        <v>66</v>
      </c>
      <c r="H11819" t="s">
        <v>68</v>
      </c>
      <c r="I11819">
        <v>1</v>
      </c>
      <c r="J11819">
        <v>0</v>
      </c>
      <c r="K11819">
        <v>0</v>
      </c>
      <c r="L11819">
        <v>1</v>
      </c>
      <c r="M11819">
        <v>1</v>
      </c>
      <c r="N11819">
        <v>1</v>
      </c>
      <c r="O11819">
        <v>1</v>
      </c>
      <c r="P11819">
        <v>1</v>
      </c>
      <c r="Q11819">
        <v>1</v>
      </c>
      <c r="R11819">
        <v>1</v>
      </c>
    </row>
    <row r="11820" spans="1:39" x14ac:dyDescent="0.2">
      <c r="A11820" t="str">
        <f>"11816"</f>
        <v>11816</v>
      </c>
      <c r="B11820" t="str">
        <f t="shared" si="655"/>
        <v>1</v>
      </c>
      <c r="C11820" t="str">
        <f t="shared" si="657"/>
        <v>237</v>
      </c>
      <c r="D11820" t="str">
        <f>"18"</f>
        <v>18</v>
      </c>
      <c r="E11820" t="str">
        <f>"1-237-18"</f>
        <v>1-237-18</v>
      </c>
      <c r="F11820" t="s">
        <v>65</v>
      </c>
      <c r="G11820" t="s">
        <v>66</v>
      </c>
      <c r="H11820" t="s">
        <v>68</v>
      </c>
      <c r="I11820">
        <v>1</v>
      </c>
      <c r="J11820">
        <v>0</v>
      </c>
      <c r="K11820">
        <v>1</v>
      </c>
      <c r="L11820">
        <v>0</v>
      </c>
      <c r="M11820">
        <v>1</v>
      </c>
      <c r="N11820">
        <v>1</v>
      </c>
      <c r="O11820">
        <v>1</v>
      </c>
      <c r="P11820">
        <v>1</v>
      </c>
      <c r="Q11820">
        <v>1</v>
      </c>
      <c r="R11820">
        <v>1</v>
      </c>
    </row>
    <row r="11821" spans="1:39" x14ac:dyDescent="0.2">
      <c r="A11821" t="str">
        <f>"11817"</f>
        <v>11817</v>
      </c>
      <c r="B11821" t="str">
        <f t="shared" si="655"/>
        <v>1</v>
      </c>
      <c r="C11821" t="str">
        <f t="shared" si="657"/>
        <v>237</v>
      </c>
      <c r="D11821" t="str">
        <f>"8"</f>
        <v>8</v>
      </c>
      <c r="E11821" t="str">
        <f>"1-237-8"</f>
        <v>1-237-8</v>
      </c>
      <c r="F11821" t="s">
        <v>65</v>
      </c>
      <c r="G11821" t="s">
        <v>66</v>
      </c>
      <c r="H11821" t="s">
        <v>67</v>
      </c>
      <c r="S11821">
        <v>1</v>
      </c>
      <c r="T11821">
        <v>0</v>
      </c>
      <c r="U11821">
        <v>0</v>
      </c>
      <c r="V11821">
        <v>0</v>
      </c>
      <c r="W11821">
        <v>1</v>
      </c>
      <c r="X11821">
        <v>0</v>
      </c>
      <c r="Y11821">
        <v>1</v>
      </c>
      <c r="Z11821">
        <v>0</v>
      </c>
      <c r="AA11821">
        <v>1</v>
      </c>
      <c r="AB11821">
        <v>0</v>
      </c>
      <c r="AC11821">
        <v>0</v>
      </c>
      <c r="AD11821">
        <v>1</v>
      </c>
      <c r="AE11821">
        <v>1</v>
      </c>
      <c r="AF11821">
        <v>1</v>
      </c>
      <c r="AG11821">
        <v>1</v>
      </c>
      <c r="AH11821">
        <v>1</v>
      </c>
      <c r="AI11821">
        <v>1</v>
      </c>
      <c r="AJ11821">
        <v>1</v>
      </c>
      <c r="AK11821">
        <v>1</v>
      </c>
      <c r="AL11821">
        <v>1</v>
      </c>
      <c r="AM11821">
        <v>1</v>
      </c>
    </row>
    <row r="11822" spans="1:39" x14ac:dyDescent="0.2">
      <c r="A11822" t="str">
        <f>"11818"</f>
        <v>11818</v>
      </c>
      <c r="B11822" t="str">
        <f t="shared" si="655"/>
        <v>1</v>
      </c>
      <c r="C11822" t="str">
        <f t="shared" si="657"/>
        <v>237</v>
      </c>
      <c r="D11822" t="str">
        <f>"44"</f>
        <v>44</v>
      </c>
      <c r="E11822" t="str">
        <f>"1-237-44"</f>
        <v>1-237-44</v>
      </c>
      <c r="F11822" t="s">
        <v>65</v>
      </c>
      <c r="G11822" t="s">
        <v>66</v>
      </c>
      <c r="H11822" t="s">
        <v>68</v>
      </c>
      <c r="I11822">
        <v>1</v>
      </c>
      <c r="J11822">
        <v>0</v>
      </c>
      <c r="K11822">
        <v>0</v>
      </c>
      <c r="L11822">
        <v>1</v>
      </c>
      <c r="M11822">
        <v>1</v>
      </c>
      <c r="N11822">
        <v>1</v>
      </c>
      <c r="O11822">
        <v>1</v>
      </c>
      <c r="P11822">
        <v>1</v>
      </c>
      <c r="Q11822">
        <v>1</v>
      </c>
      <c r="R11822">
        <v>1</v>
      </c>
    </row>
    <row r="11823" spans="1:39" x14ac:dyDescent="0.2">
      <c r="A11823" t="str">
        <f>"11819"</f>
        <v>11819</v>
      </c>
      <c r="B11823" t="str">
        <f t="shared" si="655"/>
        <v>1</v>
      </c>
      <c r="C11823" t="str">
        <f t="shared" si="657"/>
        <v>237</v>
      </c>
      <c r="D11823" t="str">
        <f>"43"</f>
        <v>43</v>
      </c>
      <c r="E11823" t="str">
        <f>"1-237-43"</f>
        <v>1-237-43</v>
      </c>
      <c r="F11823" t="s">
        <v>65</v>
      </c>
      <c r="G11823" t="s">
        <v>66</v>
      </c>
      <c r="H11823" t="s">
        <v>68</v>
      </c>
      <c r="I11823">
        <v>1</v>
      </c>
      <c r="J11823">
        <v>1</v>
      </c>
      <c r="K11823">
        <v>0</v>
      </c>
      <c r="L11823">
        <v>0</v>
      </c>
      <c r="M11823">
        <v>1</v>
      </c>
      <c r="N11823">
        <v>1</v>
      </c>
      <c r="O11823">
        <v>1</v>
      </c>
      <c r="P11823">
        <v>1</v>
      </c>
      <c r="Q11823">
        <v>1</v>
      </c>
      <c r="R11823">
        <v>1</v>
      </c>
    </row>
    <row r="11824" spans="1:39" x14ac:dyDescent="0.2">
      <c r="A11824" t="str">
        <f>"11820"</f>
        <v>11820</v>
      </c>
      <c r="B11824" t="str">
        <f t="shared" si="655"/>
        <v>1</v>
      </c>
      <c r="C11824" t="str">
        <f t="shared" si="657"/>
        <v>237</v>
      </c>
      <c r="D11824" t="str">
        <f>"32"</f>
        <v>32</v>
      </c>
      <c r="E11824" t="str">
        <f>"1-237-32"</f>
        <v>1-237-32</v>
      </c>
      <c r="F11824" t="s">
        <v>65</v>
      </c>
      <c r="G11824" t="s">
        <v>66</v>
      </c>
      <c r="H11824" t="s">
        <v>68</v>
      </c>
      <c r="I11824">
        <v>1</v>
      </c>
      <c r="J11824">
        <v>0</v>
      </c>
      <c r="K11824">
        <v>0</v>
      </c>
      <c r="L11824">
        <v>1</v>
      </c>
      <c r="M11824">
        <v>1</v>
      </c>
      <c r="N11824">
        <v>1</v>
      </c>
      <c r="O11824">
        <v>1</v>
      </c>
      <c r="P11824">
        <v>1</v>
      </c>
      <c r="Q11824">
        <v>1</v>
      </c>
      <c r="R11824">
        <v>1</v>
      </c>
    </row>
    <row r="11825" spans="1:39" x14ac:dyDescent="0.2">
      <c r="A11825" t="str">
        <f>"11821"</f>
        <v>11821</v>
      </c>
      <c r="B11825" t="str">
        <f t="shared" si="655"/>
        <v>1</v>
      </c>
      <c r="C11825" t="str">
        <f t="shared" si="657"/>
        <v>237</v>
      </c>
      <c r="D11825" t="str">
        <f>"19"</f>
        <v>19</v>
      </c>
      <c r="E11825" t="str">
        <f>"1-237-19"</f>
        <v>1-237-19</v>
      </c>
      <c r="F11825" t="s">
        <v>65</v>
      </c>
      <c r="G11825" t="s">
        <v>66</v>
      </c>
      <c r="H11825" t="s">
        <v>68</v>
      </c>
      <c r="I11825">
        <v>1</v>
      </c>
      <c r="J11825">
        <v>0</v>
      </c>
      <c r="K11825">
        <v>1</v>
      </c>
      <c r="L11825">
        <v>0</v>
      </c>
      <c r="M11825">
        <v>1</v>
      </c>
      <c r="N11825">
        <v>1</v>
      </c>
      <c r="O11825">
        <v>1</v>
      </c>
      <c r="P11825">
        <v>1</v>
      </c>
      <c r="Q11825">
        <v>1</v>
      </c>
      <c r="R11825">
        <v>1</v>
      </c>
    </row>
    <row r="11826" spans="1:39" x14ac:dyDescent="0.2">
      <c r="A11826" t="str">
        <f>"11822"</f>
        <v>11822</v>
      </c>
      <c r="B11826" t="str">
        <f t="shared" si="655"/>
        <v>1</v>
      </c>
      <c r="C11826" t="str">
        <f t="shared" si="657"/>
        <v>237</v>
      </c>
      <c r="D11826" t="str">
        <f>"11"</f>
        <v>11</v>
      </c>
      <c r="E11826" t="str">
        <f>"1-237-11"</f>
        <v>1-237-11</v>
      </c>
      <c r="F11826" t="s">
        <v>65</v>
      </c>
      <c r="G11826" t="s">
        <v>66</v>
      </c>
      <c r="H11826" t="s">
        <v>67</v>
      </c>
      <c r="S11826">
        <v>0</v>
      </c>
      <c r="T11826">
        <v>1</v>
      </c>
      <c r="U11826">
        <v>0</v>
      </c>
      <c r="V11826">
        <v>0</v>
      </c>
      <c r="W11826">
        <v>1</v>
      </c>
      <c r="X11826">
        <v>0</v>
      </c>
      <c r="Y11826">
        <v>1</v>
      </c>
      <c r="Z11826">
        <v>0</v>
      </c>
      <c r="AA11826">
        <v>0</v>
      </c>
      <c r="AB11826">
        <v>1</v>
      </c>
      <c r="AC11826">
        <v>0</v>
      </c>
      <c r="AD11826">
        <v>1</v>
      </c>
      <c r="AE11826">
        <v>1</v>
      </c>
      <c r="AF11826">
        <v>1</v>
      </c>
      <c r="AG11826">
        <v>1</v>
      </c>
      <c r="AH11826">
        <v>1</v>
      </c>
      <c r="AI11826">
        <v>1</v>
      </c>
      <c r="AJ11826">
        <v>1</v>
      </c>
      <c r="AK11826">
        <v>1</v>
      </c>
      <c r="AL11826">
        <v>1</v>
      </c>
      <c r="AM11826">
        <v>1</v>
      </c>
    </row>
    <row r="11827" spans="1:39" x14ac:dyDescent="0.2">
      <c r="A11827" t="str">
        <f>"11823"</f>
        <v>11823</v>
      </c>
      <c r="B11827" t="str">
        <f t="shared" si="655"/>
        <v>1</v>
      </c>
      <c r="C11827" t="str">
        <f t="shared" si="657"/>
        <v>237</v>
      </c>
      <c r="D11827" t="str">
        <f>"39"</f>
        <v>39</v>
      </c>
      <c r="E11827" t="str">
        <f>"1-237-39"</f>
        <v>1-237-39</v>
      </c>
      <c r="F11827" t="s">
        <v>65</v>
      </c>
      <c r="G11827" t="s">
        <v>66</v>
      </c>
      <c r="H11827" t="s">
        <v>68</v>
      </c>
      <c r="I11827">
        <v>1</v>
      </c>
      <c r="J11827">
        <v>0</v>
      </c>
      <c r="K11827">
        <v>0</v>
      </c>
      <c r="L11827">
        <v>1</v>
      </c>
      <c r="M11827">
        <v>1</v>
      </c>
      <c r="N11827">
        <v>1</v>
      </c>
      <c r="O11827">
        <v>1</v>
      </c>
      <c r="P11827">
        <v>1</v>
      </c>
      <c r="Q11827">
        <v>1</v>
      </c>
      <c r="R11827">
        <v>1</v>
      </c>
    </row>
    <row r="11828" spans="1:39" x14ac:dyDescent="0.2">
      <c r="A11828" t="str">
        <f>"11824"</f>
        <v>11824</v>
      </c>
      <c r="B11828" t="str">
        <f t="shared" si="655"/>
        <v>1</v>
      </c>
      <c r="C11828" t="str">
        <f t="shared" si="657"/>
        <v>237</v>
      </c>
      <c r="D11828" t="str">
        <f>"20"</f>
        <v>20</v>
      </c>
      <c r="E11828" t="str">
        <f>"1-237-20"</f>
        <v>1-237-20</v>
      </c>
      <c r="F11828" t="s">
        <v>65</v>
      </c>
      <c r="G11828" t="s">
        <v>66</v>
      </c>
      <c r="H11828" t="s">
        <v>68</v>
      </c>
      <c r="I11828">
        <v>1</v>
      </c>
      <c r="J11828">
        <v>1</v>
      </c>
      <c r="K11828">
        <v>0</v>
      </c>
      <c r="L11828">
        <v>0</v>
      </c>
      <c r="M11828">
        <v>1</v>
      </c>
      <c r="N11828">
        <v>1</v>
      </c>
      <c r="O11828">
        <v>1</v>
      </c>
      <c r="P11828">
        <v>1</v>
      </c>
      <c r="Q11828">
        <v>1</v>
      </c>
      <c r="R11828">
        <v>1</v>
      </c>
    </row>
    <row r="11829" spans="1:39" x14ac:dyDescent="0.2">
      <c r="A11829" t="str">
        <f>"11825"</f>
        <v>11825</v>
      </c>
      <c r="B11829" t="str">
        <f t="shared" si="655"/>
        <v>1</v>
      </c>
      <c r="C11829" t="str">
        <f t="shared" si="657"/>
        <v>237</v>
      </c>
      <c r="D11829" t="str">
        <f>"2"</f>
        <v>2</v>
      </c>
      <c r="E11829" t="str">
        <f>"1-237-2"</f>
        <v>1-237-2</v>
      </c>
      <c r="F11829" t="s">
        <v>65</v>
      </c>
      <c r="G11829" t="s">
        <v>66</v>
      </c>
      <c r="H11829" t="s">
        <v>68</v>
      </c>
      <c r="I11829">
        <v>0</v>
      </c>
      <c r="J11829">
        <v>0</v>
      </c>
      <c r="K11829">
        <v>0</v>
      </c>
      <c r="L11829">
        <v>1</v>
      </c>
      <c r="M11829">
        <v>1</v>
      </c>
      <c r="N11829">
        <v>1</v>
      </c>
      <c r="O11829">
        <v>1</v>
      </c>
      <c r="P11829">
        <v>1</v>
      </c>
      <c r="Q11829">
        <v>1</v>
      </c>
      <c r="R11829">
        <v>1</v>
      </c>
    </row>
    <row r="11830" spans="1:39" x14ac:dyDescent="0.2">
      <c r="A11830" t="str">
        <f>"11826"</f>
        <v>11826</v>
      </c>
      <c r="B11830" t="str">
        <f t="shared" si="655"/>
        <v>1</v>
      </c>
      <c r="C11830" t="str">
        <f t="shared" si="657"/>
        <v>237</v>
      </c>
      <c r="D11830" t="str">
        <f>"40"</f>
        <v>40</v>
      </c>
      <c r="E11830" t="str">
        <f>"1-237-40"</f>
        <v>1-237-40</v>
      </c>
      <c r="F11830" t="s">
        <v>65</v>
      </c>
      <c r="G11830" t="s">
        <v>66</v>
      </c>
      <c r="H11830" t="s">
        <v>68</v>
      </c>
      <c r="I11830">
        <v>1</v>
      </c>
      <c r="J11830">
        <v>0</v>
      </c>
      <c r="K11830">
        <v>0</v>
      </c>
      <c r="L11830">
        <v>1</v>
      </c>
      <c r="M11830">
        <v>1</v>
      </c>
      <c r="N11830">
        <v>1</v>
      </c>
      <c r="O11830">
        <v>1</v>
      </c>
      <c r="P11830">
        <v>1</v>
      </c>
      <c r="Q11830">
        <v>1</v>
      </c>
      <c r="R11830">
        <v>1</v>
      </c>
    </row>
    <row r="11831" spans="1:39" x14ac:dyDescent="0.2">
      <c r="A11831" t="str">
        <f>"11827"</f>
        <v>11827</v>
      </c>
      <c r="B11831" t="str">
        <f t="shared" ref="B11831:B11894" si="658">"1"</f>
        <v>1</v>
      </c>
      <c r="C11831" t="str">
        <f t="shared" si="657"/>
        <v>237</v>
      </c>
      <c r="D11831" t="str">
        <f>"21"</f>
        <v>21</v>
      </c>
      <c r="E11831" t="str">
        <f>"1-237-21"</f>
        <v>1-237-21</v>
      </c>
      <c r="F11831" t="s">
        <v>65</v>
      </c>
      <c r="G11831" t="s">
        <v>66</v>
      </c>
      <c r="H11831" t="s">
        <v>68</v>
      </c>
      <c r="I11831">
        <v>1</v>
      </c>
      <c r="J11831">
        <v>1</v>
      </c>
      <c r="K11831">
        <v>0</v>
      </c>
      <c r="L11831">
        <v>0</v>
      </c>
      <c r="M11831">
        <v>1</v>
      </c>
      <c r="N11831">
        <v>1</v>
      </c>
      <c r="O11831">
        <v>1</v>
      </c>
      <c r="P11831">
        <v>1</v>
      </c>
      <c r="Q11831">
        <v>1</v>
      </c>
      <c r="R11831">
        <v>1</v>
      </c>
    </row>
    <row r="11832" spans="1:39" x14ac:dyDescent="0.2">
      <c r="A11832" t="str">
        <f>"11828"</f>
        <v>11828</v>
      </c>
      <c r="B11832" t="str">
        <f t="shared" si="658"/>
        <v>1</v>
      </c>
      <c r="C11832" t="str">
        <f t="shared" si="657"/>
        <v>237</v>
      </c>
      <c r="D11832" t="str">
        <f>"4"</f>
        <v>4</v>
      </c>
      <c r="E11832" t="str">
        <f>"1-237-4"</f>
        <v>1-237-4</v>
      </c>
      <c r="F11832" t="s">
        <v>65</v>
      </c>
      <c r="G11832" t="s">
        <v>66</v>
      </c>
      <c r="H11832" t="s">
        <v>68</v>
      </c>
      <c r="I11832">
        <v>1</v>
      </c>
      <c r="J11832">
        <v>0</v>
      </c>
      <c r="K11832">
        <v>0</v>
      </c>
      <c r="L11832">
        <v>1</v>
      </c>
      <c r="M11832">
        <v>1</v>
      </c>
      <c r="N11832">
        <v>1</v>
      </c>
      <c r="O11832">
        <v>1</v>
      </c>
      <c r="P11832">
        <v>1</v>
      </c>
      <c r="Q11832">
        <v>1</v>
      </c>
      <c r="R11832">
        <v>1</v>
      </c>
    </row>
    <row r="11833" spans="1:39" x14ac:dyDescent="0.2">
      <c r="A11833" t="str">
        <f>"11829"</f>
        <v>11829</v>
      </c>
      <c r="B11833" t="str">
        <f t="shared" si="658"/>
        <v>1</v>
      </c>
      <c r="C11833" t="str">
        <f t="shared" si="657"/>
        <v>237</v>
      </c>
      <c r="D11833" t="str">
        <f>"47"</f>
        <v>47</v>
      </c>
      <c r="E11833" t="str">
        <f>"1-237-47"</f>
        <v>1-237-47</v>
      </c>
      <c r="F11833" t="s">
        <v>65</v>
      </c>
      <c r="G11833" t="s">
        <v>66</v>
      </c>
      <c r="H11833" t="s">
        <v>68</v>
      </c>
      <c r="I11833">
        <v>1</v>
      </c>
      <c r="J11833">
        <v>0</v>
      </c>
      <c r="K11833">
        <v>0</v>
      </c>
      <c r="L11833">
        <v>1</v>
      </c>
      <c r="M11833">
        <v>1</v>
      </c>
      <c r="N11833">
        <v>1</v>
      </c>
      <c r="O11833">
        <v>1</v>
      </c>
      <c r="P11833">
        <v>1</v>
      </c>
      <c r="Q11833">
        <v>1</v>
      </c>
      <c r="R11833">
        <v>1</v>
      </c>
    </row>
    <row r="11834" spans="1:39" x14ac:dyDescent="0.2">
      <c r="A11834" t="str">
        <f>"11830"</f>
        <v>11830</v>
      </c>
      <c r="B11834" t="str">
        <f t="shared" si="658"/>
        <v>1</v>
      </c>
      <c r="C11834" t="str">
        <f t="shared" si="657"/>
        <v>237</v>
      </c>
      <c r="D11834" t="str">
        <f>"25"</f>
        <v>25</v>
      </c>
      <c r="E11834" t="str">
        <f>"1-237-25"</f>
        <v>1-237-25</v>
      </c>
      <c r="F11834" t="s">
        <v>65</v>
      </c>
      <c r="G11834" t="s">
        <v>66</v>
      </c>
      <c r="H11834" t="s">
        <v>68</v>
      </c>
      <c r="I11834">
        <v>1</v>
      </c>
      <c r="J11834">
        <v>1</v>
      </c>
      <c r="K11834">
        <v>0</v>
      </c>
      <c r="L11834">
        <v>0</v>
      </c>
      <c r="M11834">
        <v>1</v>
      </c>
      <c r="N11834">
        <v>1</v>
      </c>
      <c r="O11834">
        <v>1</v>
      </c>
      <c r="P11834">
        <v>1</v>
      </c>
      <c r="Q11834">
        <v>1</v>
      </c>
      <c r="R11834">
        <v>1</v>
      </c>
    </row>
    <row r="11835" spans="1:39" x14ac:dyDescent="0.2">
      <c r="A11835" t="str">
        <f>"11831"</f>
        <v>11831</v>
      </c>
      <c r="B11835" t="str">
        <f t="shared" si="658"/>
        <v>1</v>
      </c>
      <c r="C11835" t="str">
        <f t="shared" si="657"/>
        <v>237</v>
      </c>
      <c r="D11835" t="str">
        <f>"7"</f>
        <v>7</v>
      </c>
      <c r="E11835" t="str">
        <f>"1-237-7"</f>
        <v>1-237-7</v>
      </c>
      <c r="F11835" t="s">
        <v>65</v>
      </c>
      <c r="G11835" t="s">
        <v>66</v>
      </c>
      <c r="H11835" t="s">
        <v>67</v>
      </c>
      <c r="S11835">
        <v>0</v>
      </c>
      <c r="T11835">
        <v>0</v>
      </c>
      <c r="U11835">
        <v>0</v>
      </c>
      <c r="V11835">
        <v>0</v>
      </c>
      <c r="W11835">
        <v>0</v>
      </c>
      <c r="X11835">
        <v>1</v>
      </c>
      <c r="Y11835">
        <v>0</v>
      </c>
      <c r="Z11835">
        <v>1</v>
      </c>
      <c r="AA11835">
        <v>0</v>
      </c>
      <c r="AB11835">
        <v>0</v>
      </c>
      <c r="AC11835">
        <v>1</v>
      </c>
      <c r="AD11835">
        <v>1</v>
      </c>
      <c r="AE11835">
        <v>1</v>
      </c>
      <c r="AF11835">
        <v>0</v>
      </c>
      <c r="AG11835">
        <v>1</v>
      </c>
      <c r="AH11835">
        <v>1</v>
      </c>
      <c r="AI11835">
        <v>1</v>
      </c>
      <c r="AJ11835">
        <v>1</v>
      </c>
      <c r="AK11835">
        <v>1</v>
      </c>
      <c r="AL11835">
        <v>1</v>
      </c>
      <c r="AM11835">
        <v>1</v>
      </c>
    </row>
    <row r="11836" spans="1:39" x14ac:dyDescent="0.2">
      <c r="A11836" t="str">
        <f>"11832"</f>
        <v>11832</v>
      </c>
      <c r="B11836" t="str">
        <f t="shared" si="658"/>
        <v>1</v>
      </c>
      <c r="C11836" t="str">
        <f t="shared" si="657"/>
        <v>237</v>
      </c>
      <c r="D11836" t="str">
        <f>"45"</f>
        <v>45</v>
      </c>
      <c r="E11836" t="str">
        <f>"1-237-45"</f>
        <v>1-237-45</v>
      </c>
      <c r="F11836" t="s">
        <v>65</v>
      </c>
      <c r="G11836" t="s">
        <v>66</v>
      </c>
      <c r="H11836" t="s">
        <v>68</v>
      </c>
      <c r="I11836">
        <v>1</v>
      </c>
      <c r="J11836">
        <v>0</v>
      </c>
      <c r="K11836">
        <v>0</v>
      </c>
      <c r="L11836">
        <v>1</v>
      </c>
      <c r="M11836">
        <v>1</v>
      </c>
      <c r="N11836">
        <v>1</v>
      </c>
      <c r="O11836">
        <v>1</v>
      </c>
      <c r="P11836">
        <v>1</v>
      </c>
      <c r="Q11836">
        <v>1</v>
      </c>
      <c r="R11836">
        <v>1</v>
      </c>
    </row>
    <row r="11837" spans="1:39" x14ac:dyDescent="0.2">
      <c r="A11837" t="str">
        <f>"11833"</f>
        <v>11833</v>
      </c>
      <c r="B11837" t="str">
        <f t="shared" si="658"/>
        <v>1</v>
      </c>
      <c r="C11837" t="str">
        <f t="shared" ref="C11837:C11854" si="659">"237"</f>
        <v>237</v>
      </c>
      <c r="D11837" t="str">
        <f>"26"</f>
        <v>26</v>
      </c>
      <c r="E11837" t="str">
        <f>"1-237-26"</f>
        <v>1-237-26</v>
      </c>
      <c r="F11837" t="s">
        <v>65</v>
      </c>
      <c r="G11837" t="s">
        <v>66</v>
      </c>
      <c r="H11837" t="s">
        <v>68</v>
      </c>
      <c r="I11837">
        <v>1</v>
      </c>
      <c r="J11837">
        <v>1</v>
      </c>
      <c r="K11837">
        <v>0</v>
      </c>
      <c r="L11837">
        <v>0</v>
      </c>
      <c r="M11837">
        <v>1</v>
      </c>
      <c r="N11837">
        <v>1</v>
      </c>
      <c r="O11837">
        <v>1</v>
      </c>
      <c r="P11837">
        <v>1</v>
      </c>
      <c r="Q11837">
        <v>1</v>
      </c>
      <c r="R11837">
        <v>1</v>
      </c>
    </row>
    <row r="11838" spans="1:39" x14ac:dyDescent="0.2">
      <c r="A11838" t="str">
        <f>"11834"</f>
        <v>11834</v>
      </c>
      <c r="B11838" t="str">
        <f t="shared" si="658"/>
        <v>1</v>
      </c>
      <c r="C11838" t="str">
        <f t="shared" si="659"/>
        <v>237</v>
      </c>
      <c r="D11838" t="str">
        <f>"13"</f>
        <v>13</v>
      </c>
      <c r="E11838" t="str">
        <f>"1-237-13"</f>
        <v>1-237-13</v>
      </c>
      <c r="F11838" t="s">
        <v>65</v>
      </c>
      <c r="G11838" t="s">
        <v>66</v>
      </c>
      <c r="H11838" t="s">
        <v>67</v>
      </c>
      <c r="S11838">
        <v>1</v>
      </c>
      <c r="T11838">
        <v>0</v>
      </c>
      <c r="U11838">
        <v>0</v>
      </c>
      <c r="V11838">
        <v>0</v>
      </c>
      <c r="W11838">
        <v>1</v>
      </c>
      <c r="X11838">
        <v>0</v>
      </c>
      <c r="Y11838">
        <v>1</v>
      </c>
      <c r="Z11838">
        <v>0</v>
      </c>
      <c r="AA11838">
        <v>0</v>
      </c>
      <c r="AB11838">
        <v>0</v>
      </c>
      <c r="AC11838">
        <v>1</v>
      </c>
      <c r="AD11838">
        <v>1</v>
      </c>
      <c r="AE11838">
        <v>1</v>
      </c>
      <c r="AF11838">
        <v>1</v>
      </c>
      <c r="AG11838">
        <v>1</v>
      </c>
      <c r="AH11838">
        <v>1</v>
      </c>
      <c r="AI11838">
        <v>1</v>
      </c>
      <c r="AJ11838">
        <v>1</v>
      </c>
      <c r="AK11838">
        <v>1</v>
      </c>
      <c r="AL11838">
        <v>1</v>
      </c>
      <c r="AM11838">
        <v>1</v>
      </c>
    </row>
    <row r="11839" spans="1:39" x14ac:dyDescent="0.2">
      <c r="A11839" t="str">
        <f>"11835"</f>
        <v>11835</v>
      </c>
      <c r="B11839" t="str">
        <f t="shared" si="658"/>
        <v>1</v>
      </c>
      <c r="C11839" t="str">
        <f t="shared" si="659"/>
        <v>237</v>
      </c>
      <c r="D11839" t="str">
        <f>"49"</f>
        <v>49</v>
      </c>
      <c r="E11839" t="str">
        <f>"1-237-49"</f>
        <v>1-237-49</v>
      </c>
      <c r="F11839" t="s">
        <v>65</v>
      </c>
      <c r="G11839" t="s">
        <v>66</v>
      </c>
      <c r="H11839" t="s">
        <v>68</v>
      </c>
      <c r="I11839">
        <v>1</v>
      </c>
      <c r="J11839">
        <v>1</v>
      </c>
      <c r="K11839">
        <v>0</v>
      </c>
      <c r="L11839">
        <v>0</v>
      </c>
      <c r="M11839">
        <v>1</v>
      </c>
      <c r="N11839">
        <v>1</v>
      </c>
      <c r="O11839">
        <v>1</v>
      </c>
      <c r="P11839">
        <v>1</v>
      </c>
      <c r="Q11839">
        <v>1</v>
      </c>
      <c r="R11839">
        <v>1</v>
      </c>
    </row>
    <row r="11840" spans="1:39" x14ac:dyDescent="0.2">
      <c r="A11840" t="str">
        <f>"11836"</f>
        <v>11836</v>
      </c>
      <c r="B11840" t="str">
        <f t="shared" si="658"/>
        <v>1</v>
      </c>
      <c r="C11840" t="str">
        <f t="shared" si="659"/>
        <v>237</v>
      </c>
      <c r="D11840" t="str">
        <f>"27"</f>
        <v>27</v>
      </c>
      <c r="E11840" t="str">
        <f>"1-237-27"</f>
        <v>1-237-27</v>
      </c>
      <c r="F11840" t="s">
        <v>65</v>
      </c>
      <c r="G11840" t="s">
        <v>66</v>
      </c>
      <c r="H11840" t="s">
        <v>68</v>
      </c>
      <c r="I11840">
        <v>1</v>
      </c>
      <c r="J11840">
        <v>1</v>
      </c>
      <c r="K11840">
        <v>0</v>
      </c>
      <c r="L11840">
        <v>0</v>
      </c>
      <c r="M11840">
        <v>1</v>
      </c>
      <c r="N11840">
        <v>1</v>
      </c>
      <c r="O11840">
        <v>1</v>
      </c>
      <c r="P11840">
        <v>1</v>
      </c>
      <c r="Q11840">
        <v>1</v>
      </c>
      <c r="R11840">
        <v>1</v>
      </c>
    </row>
    <row r="11841" spans="1:39" x14ac:dyDescent="0.2">
      <c r="A11841" t="str">
        <f>"11837"</f>
        <v>11837</v>
      </c>
      <c r="B11841" t="str">
        <f t="shared" si="658"/>
        <v>1</v>
      </c>
      <c r="C11841" t="str">
        <f t="shared" si="659"/>
        <v>237</v>
      </c>
      <c r="D11841" t="str">
        <f>"6"</f>
        <v>6</v>
      </c>
      <c r="E11841" t="str">
        <f>"1-237-6"</f>
        <v>1-237-6</v>
      </c>
      <c r="F11841" t="s">
        <v>65</v>
      </c>
      <c r="G11841" t="s">
        <v>66</v>
      </c>
      <c r="H11841" t="s">
        <v>67</v>
      </c>
      <c r="S11841">
        <v>0</v>
      </c>
      <c r="T11841">
        <v>1</v>
      </c>
      <c r="U11841">
        <v>0</v>
      </c>
      <c r="V11841">
        <v>0</v>
      </c>
      <c r="W11841">
        <v>0</v>
      </c>
      <c r="X11841">
        <v>1</v>
      </c>
      <c r="Y11841">
        <v>0</v>
      </c>
      <c r="Z11841">
        <v>1</v>
      </c>
      <c r="AA11841">
        <v>0</v>
      </c>
      <c r="AB11841">
        <v>0</v>
      </c>
      <c r="AC11841">
        <v>1</v>
      </c>
      <c r="AD11841">
        <v>0</v>
      </c>
      <c r="AE11841">
        <v>0</v>
      </c>
      <c r="AF11841">
        <v>0</v>
      </c>
      <c r="AG11841">
        <v>0</v>
      </c>
      <c r="AH11841">
        <v>1</v>
      </c>
      <c r="AI11841">
        <v>0</v>
      </c>
      <c r="AJ11841">
        <v>0</v>
      </c>
      <c r="AK11841">
        <v>0</v>
      </c>
      <c r="AL11841">
        <v>0</v>
      </c>
      <c r="AM11841">
        <v>0</v>
      </c>
    </row>
    <row r="11842" spans="1:39" x14ac:dyDescent="0.2">
      <c r="A11842" t="str">
        <f>"11838"</f>
        <v>11838</v>
      </c>
      <c r="B11842" t="str">
        <f t="shared" si="658"/>
        <v>1</v>
      </c>
      <c r="C11842" t="str">
        <f t="shared" si="659"/>
        <v>237</v>
      </c>
      <c r="D11842" t="str">
        <f>"46"</f>
        <v>46</v>
      </c>
      <c r="E11842" t="str">
        <f>"1-237-46"</f>
        <v>1-237-46</v>
      </c>
      <c r="F11842" t="s">
        <v>65</v>
      </c>
      <c r="G11842" t="s">
        <v>66</v>
      </c>
      <c r="H11842" t="s">
        <v>68</v>
      </c>
      <c r="I11842">
        <v>1</v>
      </c>
      <c r="J11842">
        <v>0</v>
      </c>
      <c r="K11842">
        <v>0</v>
      </c>
      <c r="L11842">
        <v>1</v>
      </c>
      <c r="M11842">
        <v>1</v>
      </c>
      <c r="N11842">
        <v>1</v>
      </c>
      <c r="O11842">
        <v>1</v>
      </c>
      <c r="P11842">
        <v>1</v>
      </c>
      <c r="Q11842">
        <v>1</v>
      </c>
      <c r="R11842">
        <v>1</v>
      </c>
    </row>
    <row r="11843" spans="1:39" x14ac:dyDescent="0.2">
      <c r="A11843" t="str">
        <f>"11839"</f>
        <v>11839</v>
      </c>
      <c r="B11843" t="str">
        <f t="shared" si="658"/>
        <v>1</v>
      </c>
      <c r="C11843" t="str">
        <f t="shared" si="659"/>
        <v>237</v>
      </c>
      <c r="D11843" t="str">
        <f>"28"</f>
        <v>28</v>
      </c>
      <c r="E11843" t="str">
        <f>"1-237-28"</f>
        <v>1-237-28</v>
      </c>
      <c r="F11843" t="s">
        <v>65</v>
      </c>
      <c r="G11843" t="s">
        <v>66</v>
      </c>
      <c r="H11843" t="s">
        <v>68</v>
      </c>
      <c r="I11843">
        <v>0</v>
      </c>
      <c r="J11843">
        <v>0</v>
      </c>
      <c r="K11843">
        <v>0</v>
      </c>
      <c r="L11843">
        <v>1</v>
      </c>
      <c r="M11843">
        <v>1</v>
      </c>
      <c r="N11843">
        <v>0</v>
      </c>
      <c r="O11843">
        <v>0</v>
      </c>
      <c r="P11843">
        <v>0</v>
      </c>
      <c r="Q11843">
        <v>0</v>
      </c>
      <c r="R11843">
        <v>0</v>
      </c>
    </row>
    <row r="11844" spans="1:39" x14ac:dyDescent="0.2">
      <c r="A11844" t="str">
        <f>"11840"</f>
        <v>11840</v>
      </c>
      <c r="B11844" t="str">
        <f t="shared" si="658"/>
        <v>1</v>
      </c>
      <c r="C11844" t="str">
        <f t="shared" si="659"/>
        <v>237</v>
      </c>
      <c r="D11844" t="str">
        <f>"5"</f>
        <v>5</v>
      </c>
      <c r="E11844" t="str">
        <f>"1-237-5"</f>
        <v>1-237-5</v>
      </c>
      <c r="F11844" t="s">
        <v>65</v>
      </c>
      <c r="G11844" t="s">
        <v>66</v>
      </c>
      <c r="H11844" t="s">
        <v>67</v>
      </c>
      <c r="S11844">
        <v>0</v>
      </c>
      <c r="T11844">
        <v>0</v>
      </c>
      <c r="U11844">
        <v>0</v>
      </c>
      <c r="V11844">
        <v>0</v>
      </c>
      <c r="W11844">
        <v>0</v>
      </c>
      <c r="X11844">
        <v>1</v>
      </c>
      <c r="Y11844">
        <v>0</v>
      </c>
      <c r="Z11844">
        <v>0</v>
      </c>
      <c r="AA11844">
        <v>0</v>
      </c>
      <c r="AB11844">
        <v>0</v>
      </c>
      <c r="AC11844">
        <v>0</v>
      </c>
      <c r="AD11844">
        <v>1</v>
      </c>
      <c r="AE11844">
        <v>1</v>
      </c>
      <c r="AF11844">
        <v>1</v>
      </c>
      <c r="AG11844">
        <v>1</v>
      </c>
      <c r="AH11844">
        <v>1</v>
      </c>
      <c r="AI11844">
        <v>1</v>
      </c>
      <c r="AJ11844">
        <v>1</v>
      </c>
      <c r="AK11844">
        <v>1</v>
      </c>
      <c r="AL11844">
        <v>1</v>
      </c>
      <c r="AM11844">
        <v>1</v>
      </c>
    </row>
    <row r="11845" spans="1:39" x14ac:dyDescent="0.2">
      <c r="A11845" t="str">
        <f>"11841"</f>
        <v>11841</v>
      </c>
      <c r="B11845" t="str">
        <f t="shared" si="658"/>
        <v>1</v>
      </c>
      <c r="C11845" t="str">
        <f t="shared" si="659"/>
        <v>237</v>
      </c>
      <c r="D11845" t="str">
        <f>"50"</f>
        <v>50</v>
      </c>
      <c r="E11845" t="str">
        <f>"1-237-50"</f>
        <v>1-237-50</v>
      </c>
      <c r="F11845" t="s">
        <v>65</v>
      </c>
      <c r="G11845" t="s">
        <v>66</v>
      </c>
      <c r="H11845" t="s">
        <v>68</v>
      </c>
      <c r="I11845">
        <v>1</v>
      </c>
      <c r="J11845">
        <v>0</v>
      </c>
      <c r="K11845">
        <v>0</v>
      </c>
      <c r="L11845">
        <v>1</v>
      </c>
      <c r="M11845">
        <v>1</v>
      </c>
      <c r="N11845">
        <v>1</v>
      </c>
      <c r="O11845">
        <v>1</v>
      </c>
      <c r="P11845">
        <v>1</v>
      </c>
      <c r="Q11845">
        <v>1</v>
      </c>
      <c r="R11845">
        <v>1</v>
      </c>
    </row>
    <row r="11846" spans="1:39" x14ac:dyDescent="0.2">
      <c r="A11846" t="str">
        <f>"11842"</f>
        <v>11842</v>
      </c>
      <c r="B11846" t="str">
        <f t="shared" si="658"/>
        <v>1</v>
      </c>
      <c r="C11846" t="str">
        <f t="shared" si="659"/>
        <v>237</v>
      </c>
      <c r="D11846" t="str">
        <f>"29"</f>
        <v>29</v>
      </c>
      <c r="E11846" t="str">
        <f>"1-237-29"</f>
        <v>1-237-29</v>
      </c>
      <c r="F11846" t="s">
        <v>65</v>
      </c>
      <c r="G11846" t="s">
        <v>66</v>
      </c>
      <c r="H11846" t="s">
        <v>68</v>
      </c>
      <c r="I11846">
        <v>1</v>
      </c>
      <c r="J11846">
        <v>1</v>
      </c>
      <c r="K11846">
        <v>0</v>
      </c>
      <c r="L11846">
        <v>0</v>
      </c>
      <c r="M11846">
        <v>1</v>
      </c>
      <c r="N11846">
        <v>1</v>
      </c>
      <c r="O11846">
        <v>1</v>
      </c>
      <c r="P11846">
        <v>1</v>
      </c>
      <c r="Q11846">
        <v>1</v>
      </c>
      <c r="R11846">
        <v>1</v>
      </c>
    </row>
    <row r="11847" spans="1:39" x14ac:dyDescent="0.2">
      <c r="A11847" t="str">
        <f>"11843"</f>
        <v>11843</v>
      </c>
      <c r="B11847" t="str">
        <f t="shared" si="658"/>
        <v>1</v>
      </c>
      <c r="C11847" t="str">
        <f t="shared" si="659"/>
        <v>237</v>
      </c>
      <c r="D11847" t="str">
        <f>"9"</f>
        <v>9</v>
      </c>
      <c r="E11847" t="str">
        <f>"1-237-9"</f>
        <v>1-237-9</v>
      </c>
      <c r="F11847" t="s">
        <v>65</v>
      </c>
      <c r="G11847" t="s">
        <v>66</v>
      </c>
      <c r="H11847" t="s">
        <v>67</v>
      </c>
      <c r="S11847">
        <v>1</v>
      </c>
      <c r="T11847">
        <v>0</v>
      </c>
      <c r="U11847">
        <v>0</v>
      </c>
      <c r="V11847">
        <v>0</v>
      </c>
      <c r="W11847">
        <v>1</v>
      </c>
      <c r="X11847">
        <v>0</v>
      </c>
      <c r="Y11847">
        <v>0</v>
      </c>
      <c r="Z11847">
        <v>1</v>
      </c>
      <c r="AA11847">
        <v>0</v>
      </c>
      <c r="AB11847">
        <v>0</v>
      </c>
      <c r="AC11847">
        <v>1</v>
      </c>
      <c r="AD11847">
        <v>0</v>
      </c>
      <c r="AE11847">
        <v>0</v>
      </c>
      <c r="AF11847">
        <v>0</v>
      </c>
      <c r="AG11847">
        <v>0</v>
      </c>
      <c r="AH11847">
        <v>0</v>
      </c>
      <c r="AI11847">
        <v>0</v>
      </c>
      <c r="AJ11847">
        <v>0</v>
      </c>
      <c r="AK11847">
        <v>0</v>
      </c>
      <c r="AL11847">
        <v>0</v>
      </c>
      <c r="AM11847">
        <v>0</v>
      </c>
    </row>
    <row r="11848" spans="1:39" x14ac:dyDescent="0.2">
      <c r="A11848" t="str">
        <f>"11844"</f>
        <v>11844</v>
      </c>
      <c r="B11848" t="str">
        <f t="shared" si="658"/>
        <v>1</v>
      </c>
      <c r="C11848" t="str">
        <f t="shared" si="659"/>
        <v>237</v>
      </c>
      <c r="D11848" t="str">
        <f>"48"</f>
        <v>48</v>
      </c>
      <c r="E11848" t="str">
        <f>"1-237-48"</f>
        <v>1-237-48</v>
      </c>
      <c r="F11848" t="s">
        <v>65</v>
      </c>
      <c r="G11848" t="s">
        <v>66</v>
      </c>
      <c r="H11848" t="s">
        <v>68</v>
      </c>
      <c r="I11848">
        <v>0</v>
      </c>
      <c r="J11848">
        <v>0</v>
      </c>
      <c r="K11848">
        <v>1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</row>
    <row r="11849" spans="1:39" x14ac:dyDescent="0.2">
      <c r="A11849" t="str">
        <f>"11845"</f>
        <v>11845</v>
      </c>
      <c r="B11849" t="str">
        <f t="shared" si="658"/>
        <v>1</v>
      </c>
      <c r="C11849" t="str">
        <f t="shared" si="659"/>
        <v>237</v>
      </c>
      <c r="D11849" t="str">
        <f>"30"</f>
        <v>30</v>
      </c>
      <c r="E11849" t="str">
        <f>"1-237-30"</f>
        <v>1-237-30</v>
      </c>
      <c r="F11849" t="s">
        <v>65</v>
      </c>
      <c r="G11849" t="s">
        <v>66</v>
      </c>
      <c r="H11849" t="s">
        <v>68</v>
      </c>
      <c r="I11849">
        <v>1</v>
      </c>
      <c r="J11849">
        <v>0</v>
      </c>
      <c r="K11849">
        <v>1</v>
      </c>
      <c r="L11849">
        <v>0</v>
      </c>
      <c r="M11849">
        <v>1</v>
      </c>
      <c r="N11849">
        <v>1</v>
      </c>
      <c r="O11849">
        <v>1</v>
      </c>
      <c r="P11849">
        <v>1</v>
      </c>
      <c r="Q11849">
        <v>1</v>
      </c>
      <c r="R11849">
        <v>1</v>
      </c>
    </row>
    <row r="11850" spans="1:39" x14ac:dyDescent="0.2">
      <c r="A11850" t="str">
        <f>"11846"</f>
        <v>11846</v>
      </c>
      <c r="B11850" t="str">
        <f t="shared" si="658"/>
        <v>1</v>
      </c>
      <c r="C11850" t="str">
        <f t="shared" si="659"/>
        <v>237</v>
      </c>
      <c r="D11850" t="str">
        <f>"33"</f>
        <v>33</v>
      </c>
      <c r="E11850" t="str">
        <f>"1-237-33"</f>
        <v>1-237-33</v>
      </c>
      <c r="F11850" t="s">
        <v>65</v>
      </c>
      <c r="G11850" t="s">
        <v>66</v>
      </c>
      <c r="H11850" t="s">
        <v>68</v>
      </c>
      <c r="I11850">
        <v>1</v>
      </c>
      <c r="J11850">
        <v>0</v>
      </c>
      <c r="K11850">
        <v>0</v>
      </c>
      <c r="L11850">
        <v>1</v>
      </c>
      <c r="M11850">
        <v>1</v>
      </c>
      <c r="N11850">
        <v>1</v>
      </c>
      <c r="O11850">
        <v>1</v>
      </c>
      <c r="P11850">
        <v>1</v>
      </c>
      <c r="Q11850">
        <v>1</v>
      </c>
      <c r="R11850">
        <v>1</v>
      </c>
    </row>
    <row r="11851" spans="1:39" x14ac:dyDescent="0.2">
      <c r="A11851" t="str">
        <f>"11847"</f>
        <v>11847</v>
      </c>
      <c r="B11851" t="str">
        <f t="shared" si="658"/>
        <v>1</v>
      </c>
      <c r="C11851" t="str">
        <f t="shared" si="659"/>
        <v>237</v>
      </c>
      <c r="D11851" t="str">
        <f>"12"</f>
        <v>12</v>
      </c>
      <c r="E11851" t="str">
        <f>"1-237-12"</f>
        <v>1-237-12</v>
      </c>
      <c r="F11851" t="s">
        <v>65</v>
      </c>
      <c r="G11851" t="s">
        <v>66</v>
      </c>
      <c r="H11851" t="s">
        <v>67</v>
      </c>
      <c r="S11851">
        <v>0</v>
      </c>
      <c r="T11851">
        <v>1</v>
      </c>
      <c r="U11851">
        <v>0</v>
      </c>
      <c r="V11851">
        <v>0</v>
      </c>
      <c r="W11851">
        <v>1</v>
      </c>
      <c r="X11851">
        <v>0</v>
      </c>
      <c r="Y11851">
        <v>0</v>
      </c>
      <c r="Z11851">
        <v>1</v>
      </c>
      <c r="AA11851">
        <v>0</v>
      </c>
      <c r="AB11851">
        <v>0</v>
      </c>
      <c r="AC11851">
        <v>1</v>
      </c>
      <c r="AD11851">
        <v>1</v>
      </c>
      <c r="AE11851">
        <v>1</v>
      </c>
      <c r="AF11851">
        <v>1</v>
      </c>
      <c r="AG11851">
        <v>1</v>
      </c>
      <c r="AH11851">
        <v>1</v>
      </c>
      <c r="AI11851">
        <v>1</v>
      </c>
      <c r="AJ11851">
        <v>1</v>
      </c>
      <c r="AK11851">
        <v>1</v>
      </c>
      <c r="AL11851">
        <v>1</v>
      </c>
      <c r="AM11851">
        <v>1</v>
      </c>
    </row>
    <row r="11852" spans="1:39" x14ac:dyDescent="0.2">
      <c r="A11852" t="str">
        <f>"11848"</f>
        <v>11848</v>
      </c>
      <c r="B11852" t="str">
        <f t="shared" si="658"/>
        <v>1</v>
      </c>
      <c r="C11852" t="str">
        <f t="shared" si="659"/>
        <v>237</v>
      </c>
      <c r="D11852" t="str">
        <f>"34"</f>
        <v>34</v>
      </c>
      <c r="E11852" t="str">
        <f>"1-237-34"</f>
        <v>1-237-34</v>
      </c>
      <c r="F11852" t="s">
        <v>65</v>
      </c>
      <c r="G11852" t="s">
        <v>66</v>
      </c>
      <c r="H11852" t="s">
        <v>68</v>
      </c>
      <c r="I11852">
        <v>1</v>
      </c>
      <c r="J11852">
        <v>1</v>
      </c>
      <c r="K11852">
        <v>0</v>
      </c>
      <c r="L11852">
        <v>0</v>
      </c>
      <c r="M11852">
        <v>1</v>
      </c>
      <c r="N11852">
        <v>1</v>
      </c>
      <c r="O11852">
        <v>1</v>
      </c>
      <c r="P11852">
        <v>1</v>
      </c>
      <c r="Q11852">
        <v>1</v>
      </c>
      <c r="R11852">
        <v>1</v>
      </c>
    </row>
    <row r="11853" spans="1:39" x14ac:dyDescent="0.2">
      <c r="A11853" t="str">
        <f>"11849"</f>
        <v>11849</v>
      </c>
      <c r="B11853" t="str">
        <f t="shared" si="658"/>
        <v>1</v>
      </c>
      <c r="C11853" t="str">
        <f t="shared" si="659"/>
        <v>237</v>
      </c>
      <c r="D11853" t="str">
        <f>"14"</f>
        <v>14</v>
      </c>
      <c r="E11853" t="str">
        <f>"1-237-14"</f>
        <v>1-237-14</v>
      </c>
      <c r="F11853" t="s">
        <v>65</v>
      </c>
      <c r="G11853" t="s">
        <v>66</v>
      </c>
      <c r="H11853" t="s">
        <v>67</v>
      </c>
      <c r="S11853">
        <v>0</v>
      </c>
      <c r="T11853">
        <v>0</v>
      </c>
      <c r="U11853">
        <v>0</v>
      </c>
      <c r="V11853">
        <v>0</v>
      </c>
      <c r="W11853">
        <v>0</v>
      </c>
      <c r="X11853">
        <v>1</v>
      </c>
      <c r="Y11853">
        <v>0</v>
      </c>
      <c r="Z11853">
        <v>0</v>
      </c>
      <c r="AA11853">
        <v>0</v>
      </c>
      <c r="AB11853">
        <v>0</v>
      </c>
      <c r="AC11853">
        <v>0</v>
      </c>
      <c r="AD11853">
        <v>0</v>
      </c>
      <c r="AE11853">
        <v>0</v>
      </c>
      <c r="AF11853">
        <v>0</v>
      </c>
      <c r="AG11853">
        <v>0</v>
      </c>
      <c r="AH11853">
        <v>0</v>
      </c>
      <c r="AI11853">
        <v>0</v>
      </c>
      <c r="AJ11853">
        <v>0</v>
      </c>
      <c r="AK11853">
        <v>0</v>
      </c>
      <c r="AL11853">
        <v>1</v>
      </c>
      <c r="AM11853">
        <v>0</v>
      </c>
    </row>
    <row r="11854" spans="1:39" x14ac:dyDescent="0.2">
      <c r="A11854" t="str">
        <f>"11850"</f>
        <v>11850</v>
      </c>
      <c r="B11854" t="str">
        <f t="shared" si="658"/>
        <v>1</v>
      </c>
      <c r="C11854" t="str">
        <f t="shared" si="659"/>
        <v>237</v>
      </c>
      <c r="D11854" t="str">
        <f>"10"</f>
        <v>10</v>
      </c>
      <c r="E11854" t="str">
        <f>"1-237-10"</f>
        <v>1-237-10</v>
      </c>
      <c r="F11854" t="s">
        <v>65</v>
      </c>
      <c r="G11854" t="s">
        <v>66</v>
      </c>
      <c r="H11854" t="s">
        <v>67</v>
      </c>
      <c r="S11854">
        <v>0</v>
      </c>
      <c r="T11854">
        <v>0</v>
      </c>
      <c r="U11854">
        <v>0</v>
      </c>
      <c r="V11854">
        <v>0</v>
      </c>
      <c r="W11854">
        <v>1</v>
      </c>
      <c r="X11854">
        <v>0</v>
      </c>
      <c r="Y11854">
        <v>0</v>
      </c>
      <c r="Z11854">
        <v>1</v>
      </c>
      <c r="AA11854">
        <v>0</v>
      </c>
      <c r="AB11854">
        <v>1</v>
      </c>
      <c r="AC11854">
        <v>0</v>
      </c>
      <c r="AD11854">
        <v>1</v>
      </c>
      <c r="AE11854">
        <v>1</v>
      </c>
      <c r="AF11854">
        <v>1</v>
      </c>
      <c r="AG11854">
        <v>1</v>
      </c>
      <c r="AH11854">
        <v>1</v>
      </c>
      <c r="AI11854">
        <v>1</v>
      </c>
      <c r="AJ11854">
        <v>1</v>
      </c>
      <c r="AK11854">
        <v>1</v>
      </c>
      <c r="AL11854">
        <v>1</v>
      </c>
      <c r="AM11854">
        <v>1</v>
      </c>
    </row>
    <row r="11855" spans="1:39" x14ac:dyDescent="0.2">
      <c r="A11855" t="str">
        <f>"11851"</f>
        <v>11851</v>
      </c>
      <c r="B11855" t="str">
        <f t="shared" si="658"/>
        <v>1</v>
      </c>
      <c r="C11855" t="str">
        <f t="shared" ref="C11855:C11886" si="660">"238"</f>
        <v>238</v>
      </c>
      <c r="D11855" t="str">
        <f>"38"</f>
        <v>38</v>
      </c>
      <c r="E11855" t="str">
        <f>"1-238-38"</f>
        <v>1-238-38</v>
      </c>
      <c r="F11855" t="s">
        <v>65</v>
      </c>
      <c r="G11855" t="s">
        <v>66</v>
      </c>
      <c r="H11855" t="s">
        <v>67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1</v>
      </c>
      <c r="Y11855">
        <v>0</v>
      </c>
      <c r="Z11855">
        <v>0</v>
      </c>
      <c r="AA11855">
        <v>0</v>
      </c>
      <c r="AB11855">
        <v>0</v>
      </c>
      <c r="AC11855">
        <v>1</v>
      </c>
      <c r="AD11855">
        <v>0</v>
      </c>
      <c r="AE11855">
        <v>0</v>
      </c>
      <c r="AF11855">
        <v>0</v>
      </c>
      <c r="AG11855">
        <v>0</v>
      </c>
      <c r="AH11855">
        <v>1</v>
      </c>
      <c r="AI11855">
        <v>0</v>
      </c>
      <c r="AJ11855">
        <v>0</v>
      </c>
      <c r="AK11855">
        <v>1</v>
      </c>
      <c r="AL11855">
        <v>0</v>
      </c>
      <c r="AM11855">
        <v>0</v>
      </c>
    </row>
    <row r="11856" spans="1:39" x14ac:dyDescent="0.2">
      <c r="A11856" t="str">
        <f>"11852"</f>
        <v>11852</v>
      </c>
      <c r="B11856" t="str">
        <f t="shared" si="658"/>
        <v>1</v>
      </c>
      <c r="C11856" t="str">
        <f t="shared" si="660"/>
        <v>238</v>
      </c>
      <c r="D11856" t="str">
        <f>"37"</f>
        <v>37</v>
      </c>
      <c r="E11856" t="str">
        <f>"1-238-37"</f>
        <v>1-238-37</v>
      </c>
      <c r="F11856" t="s">
        <v>65</v>
      </c>
      <c r="G11856" t="s">
        <v>66</v>
      </c>
      <c r="H11856" t="s">
        <v>67</v>
      </c>
      <c r="S11856">
        <v>1</v>
      </c>
      <c r="T11856">
        <v>0</v>
      </c>
      <c r="U11856">
        <v>0</v>
      </c>
      <c r="V11856">
        <v>0</v>
      </c>
      <c r="W11856">
        <v>1</v>
      </c>
      <c r="X11856">
        <v>0</v>
      </c>
      <c r="Y11856">
        <v>1</v>
      </c>
      <c r="Z11856">
        <v>0</v>
      </c>
      <c r="AA11856">
        <v>0</v>
      </c>
      <c r="AB11856">
        <v>1</v>
      </c>
      <c r="AC11856">
        <v>0</v>
      </c>
      <c r="AD11856">
        <v>1</v>
      </c>
      <c r="AE11856">
        <v>1</v>
      </c>
      <c r="AF11856">
        <v>1</v>
      </c>
      <c r="AG11856">
        <v>1</v>
      </c>
      <c r="AH11856">
        <v>1</v>
      </c>
      <c r="AI11856">
        <v>1</v>
      </c>
      <c r="AJ11856">
        <v>1</v>
      </c>
      <c r="AK11856">
        <v>1</v>
      </c>
      <c r="AL11856">
        <v>1</v>
      </c>
      <c r="AM11856">
        <v>1</v>
      </c>
    </row>
    <row r="11857" spans="1:39" x14ac:dyDescent="0.2">
      <c r="A11857" t="str">
        <f>"11853"</f>
        <v>11853</v>
      </c>
      <c r="B11857" t="str">
        <f t="shared" si="658"/>
        <v>1</v>
      </c>
      <c r="C11857" t="str">
        <f t="shared" si="660"/>
        <v>238</v>
      </c>
      <c r="D11857" t="str">
        <f>"22"</f>
        <v>22</v>
      </c>
      <c r="E11857" t="str">
        <f>"1-238-22"</f>
        <v>1-238-22</v>
      </c>
      <c r="F11857" t="s">
        <v>65</v>
      </c>
      <c r="G11857" t="s">
        <v>66</v>
      </c>
      <c r="H11857" t="s">
        <v>67</v>
      </c>
      <c r="S11857">
        <v>0</v>
      </c>
      <c r="T11857">
        <v>0</v>
      </c>
      <c r="U11857">
        <v>0</v>
      </c>
      <c r="V11857">
        <v>0</v>
      </c>
      <c r="W11857">
        <v>0</v>
      </c>
      <c r="X11857">
        <v>1</v>
      </c>
      <c r="Y11857">
        <v>0</v>
      </c>
      <c r="Z11857">
        <v>0</v>
      </c>
      <c r="AA11857">
        <v>0</v>
      </c>
      <c r="AB11857">
        <v>0</v>
      </c>
      <c r="AC11857">
        <v>0</v>
      </c>
      <c r="AD11857">
        <v>0</v>
      </c>
      <c r="AE11857">
        <v>0</v>
      </c>
      <c r="AF11857">
        <v>0</v>
      </c>
      <c r="AG11857">
        <v>0</v>
      </c>
      <c r="AH11857">
        <v>0</v>
      </c>
      <c r="AI11857">
        <v>0</v>
      </c>
      <c r="AJ11857">
        <v>0</v>
      </c>
      <c r="AK11857">
        <v>0</v>
      </c>
      <c r="AL11857">
        <v>0</v>
      </c>
      <c r="AM11857">
        <v>0</v>
      </c>
    </row>
    <row r="11858" spans="1:39" x14ac:dyDescent="0.2">
      <c r="A11858" t="str">
        <f>"11854"</f>
        <v>11854</v>
      </c>
      <c r="B11858" t="str">
        <f t="shared" si="658"/>
        <v>1</v>
      </c>
      <c r="C11858" t="str">
        <f t="shared" si="660"/>
        <v>238</v>
      </c>
      <c r="D11858" t="str">
        <f>"21"</f>
        <v>21</v>
      </c>
      <c r="E11858" t="str">
        <f>"1-238-21"</f>
        <v>1-238-21</v>
      </c>
      <c r="F11858" t="s">
        <v>65</v>
      </c>
      <c r="G11858" t="s">
        <v>66</v>
      </c>
      <c r="H11858" t="s">
        <v>67</v>
      </c>
      <c r="S11858">
        <v>0</v>
      </c>
      <c r="T11858">
        <v>0</v>
      </c>
      <c r="U11858">
        <v>0</v>
      </c>
      <c r="V11858">
        <v>0</v>
      </c>
      <c r="W11858">
        <v>0</v>
      </c>
      <c r="X11858">
        <v>1</v>
      </c>
      <c r="Y11858">
        <v>0</v>
      </c>
      <c r="Z11858">
        <v>0</v>
      </c>
      <c r="AA11858">
        <v>0</v>
      </c>
      <c r="AB11858">
        <v>1</v>
      </c>
      <c r="AC11858">
        <v>0</v>
      </c>
      <c r="AD11858">
        <v>0</v>
      </c>
      <c r="AE11858">
        <v>0</v>
      </c>
      <c r="AF11858">
        <v>0</v>
      </c>
      <c r="AG11858">
        <v>0</v>
      </c>
      <c r="AH11858">
        <v>0</v>
      </c>
      <c r="AI11858">
        <v>0</v>
      </c>
      <c r="AJ11858">
        <v>0</v>
      </c>
      <c r="AK11858">
        <v>0</v>
      </c>
      <c r="AL11858">
        <v>0</v>
      </c>
      <c r="AM11858">
        <v>0</v>
      </c>
    </row>
    <row r="11859" spans="1:39" x14ac:dyDescent="0.2">
      <c r="A11859" t="str">
        <f>"11855"</f>
        <v>11855</v>
      </c>
      <c r="B11859" t="str">
        <f t="shared" si="658"/>
        <v>1</v>
      </c>
      <c r="C11859" t="str">
        <f t="shared" si="660"/>
        <v>238</v>
      </c>
      <c r="D11859" t="str">
        <f>"19"</f>
        <v>19</v>
      </c>
      <c r="E11859" t="str">
        <f>"1-238-19"</f>
        <v>1-238-19</v>
      </c>
      <c r="F11859" t="s">
        <v>65</v>
      </c>
      <c r="G11859" t="s">
        <v>66</v>
      </c>
      <c r="H11859" t="s">
        <v>67</v>
      </c>
      <c r="S11859">
        <v>0</v>
      </c>
      <c r="T11859">
        <v>0</v>
      </c>
      <c r="U11859">
        <v>0</v>
      </c>
      <c r="V11859">
        <v>0</v>
      </c>
      <c r="W11859">
        <v>0</v>
      </c>
      <c r="X11859">
        <v>1</v>
      </c>
      <c r="Y11859">
        <v>0</v>
      </c>
      <c r="Z11859">
        <v>0</v>
      </c>
      <c r="AA11859">
        <v>0</v>
      </c>
      <c r="AB11859">
        <v>0</v>
      </c>
      <c r="AC11859">
        <v>1</v>
      </c>
      <c r="AD11859">
        <v>0</v>
      </c>
      <c r="AE11859">
        <v>0</v>
      </c>
      <c r="AF11859">
        <v>0</v>
      </c>
      <c r="AG11859">
        <v>0</v>
      </c>
      <c r="AH11859">
        <v>0</v>
      </c>
      <c r="AI11859">
        <v>0</v>
      </c>
      <c r="AJ11859">
        <v>0</v>
      </c>
      <c r="AK11859">
        <v>0</v>
      </c>
      <c r="AL11859">
        <v>0</v>
      </c>
      <c r="AM11859">
        <v>0</v>
      </c>
    </row>
    <row r="11860" spans="1:39" x14ac:dyDescent="0.2">
      <c r="A11860" t="str">
        <f>"11856"</f>
        <v>11856</v>
      </c>
      <c r="B11860" t="str">
        <f t="shared" si="658"/>
        <v>1</v>
      </c>
      <c r="C11860" t="str">
        <f t="shared" si="660"/>
        <v>238</v>
      </c>
      <c r="D11860" t="str">
        <f>"15"</f>
        <v>15</v>
      </c>
      <c r="E11860" t="str">
        <f>"1-238-15"</f>
        <v>1-238-15</v>
      </c>
      <c r="F11860" t="s">
        <v>65</v>
      </c>
      <c r="G11860" t="s">
        <v>66</v>
      </c>
      <c r="H11860" t="s">
        <v>67</v>
      </c>
      <c r="S11860">
        <v>1</v>
      </c>
      <c r="T11860">
        <v>0</v>
      </c>
      <c r="U11860">
        <v>0</v>
      </c>
      <c r="V11860">
        <v>0</v>
      </c>
      <c r="W11860">
        <v>1</v>
      </c>
      <c r="X11860">
        <v>0</v>
      </c>
      <c r="Y11860">
        <v>1</v>
      </c>
      <c r="Z11860">
        <v>0</v>
      </c>
      <c r="AA11860">
        <v>1</v>
      </c>
      <c r="AB11860">
        <v>0</v>
      </c>
      <c r="AC11860">
        <v>0</v>
      </c>
      <c r="AD11860">
        <v>1</v>
      </c>
      <c r="AE11860">
        <v>1</v>
      </c>
      <c r="AF11860">
        <v>1</v>
      </c>
      <c r="AG11860">
        <v>1</v>
      </c>
      <c r="AH11860">
        <v>1</v>
      </c>
      <c r="AI11860">
        <v>1</v>
      </c>
      <c r="AJ11860">
        <v>1</v>
      </c>
      <c r="AK11860">
        <v>1</v>
      </c>
      <c r="AL11860">
        <v>1</v>
      </c>
      <c r="AM11860">
        <v>1</v>
      </c>
    </row>
    <row r="11861" spans="1:39" x14ac:dyDescent="0.2">
      <c r="A11861" t="str">
        <f>"11857"</f>
        <v>11857</v>
      </c>
      <c r="B11861" t="str">
        <f t="shared" si="658"/>
        <v>1</v>
      </c>
      <c r="C11861" t="str">
        <f t="shared" si="660"/>
        <v>238</v>
      </c>
      <c r="D11861" t="str">
        <f>"1"</f>
        <v>1</v>
      </c>
      <c r="E11861" t="str">
        <f>"1-238-1"</f>
        <v>1-238-1</v>
      </c>
      <c r="F11861" t="s">
        <v>65</v>
      </c>
      <c r="G11861" t="s">
        <v>66</v>
      </c>
      <c r="H11861" t="s">
        <v>67</v>
      </c>
      <c r="S11861">
        <v>0</v>
      </c>
      <c r="T11861">
        <v>0</v>
      </c>
      <c r="U11861">
        <v>0</v>
      </c>
      <c r="V11861">
        <v>0</v>
      </c>
      <c r="W11861">
        <v>0</v>
      </c>
      <c r="X11861">
        <v>1</v>
      </c>
      <c r="Y11861">
        <v>0</v>
      </c>
      <c r="Z11861">
        <v>0</v>
      </c>
      <c r="AA11861">
        <v>0</v>
      </c>
      <c r="AB11861">
        <v>0</v>
      </c>
      <c r="AC11861">
        <v>0</v>
      </c>
      <c r="AD11861">
        <v>0</v>
      </c>
      <c r="AE11861">
        <v>0</v>
      </c>
      <c r="AF11861">
        <v>0</v>
      </c>
      <c r="AG11861">
        <v>0</v>
      </c>
      <c r="AH11861">
        <v>0</v>
      </c>
      <c r="AI11861">
        <v>0</v>
      </c>
      <c r="AJ11861">
        <v>0</v>
      </c>
      <c r="AK11861">
        <v>0</v>
      </c>
      <c r="AL11861">
        <v>0</v>
      </c>
      <c r="AM11861">
        <v>0</v>
      </c>
    </row>
    <row r="11862" spans="1:39" x14ac:dyDescent="0.2">
      <c r="A11862" t="str">
        <f>"11858"</f>
        <v>11858</v>
      </c>
      <c r="B11862" t="str">
        <f t="shared" si="658"/>
        <v>1</v>
      </c>
      <c r="C11862" t="str">
        <f t="shared" si="660"/>
        <v>238</v>
      </c>
      <c r="D11862" t="str">
        <f>"36"</f>
        <v>36</v>
      </c>
      <c r="E11862" t="str">
        <f>"1-238-36"</f>
        <v>1-238-36</v>
      </c>
      <c r="F11862" t="s">
        <v>65</v>
      </c>
      <c r="G11862" t="s">
        <v>66</v>
      </c>
      <c r="H11862" t="s">
        <v>67</v>
      </c>
      <c r="S11862">
        <v>1</v>
      </c>
      <c r="T11862">
        <v>0</v>
      </c>
      <c r="U11862">
        <v>0</v>
      </c>
      <c r="V11862">
        <v>0</v>
      </c>
      <c r="W11862">
        <v>0</v>
      </c>
      <c r="X11862">
        <v>1</v>
      </c>
      <c r="Y11862">
        <v>0</v>
      </c>
      <c r="Z11862">
        <v>1</v>
      </c>
      <c r="AA11862">
        <v>1</v>
      </c>
      <c r="AB11862">
        <v>0</v>
      </c>
      <c r="AC11862">
        <v>0</v>
      </c>
      <c r="AD11862">
        <v>1</v>
      </c>
      <c r="AE11862">
        <v>1</v>
      </c>
      <c r="AF11862">
        <v>1</v>
      </c>
      <c r="AG11862">
        <v>1</v>
      </c>
      <c r="AH11862">
        <v>1</v>
      </c>
      <c r="AI11862">
        <v>1</v>
      </c>
      <c r="AJ11862">
        <v>1</v>
      </c>
      <c r="AK11862">
        <v>1</v>
      </c>
      <c r="AL11862">
        <v>1</v>
      </c>
      <c r="AM11862">
        <v>1</v>
      </c>
    </row>
    <row r="11863" spans="1:39" x14ac:dyDescent="0.2">
      <c r="A11863" t="str">
        <f>"11859"</f>
        <v>11859</v>
      </c>
      <c r="B11863" t="str">
        <f t="shared" si="658"/>
        <v>1</v>
      </c>
      <c r="C11863" t="str">
        <f t="shared" si="660"/>
        <v>238</v>
      </c>
      <c r="D11863" t="str">
        <f>"35"</f>
        <v>35</v>
      </c>
      <c r="E11863" t="str">
        <f>"1-238-35"</f>
        <v>1-238-35</v>
      </c>
      <c r="F11863" t="s">
        <v>65</v>
      </c>
      <c r="G11863" t="s">
        <v>66</v>
      </c>
      <c r="H11863" t="s">
        <v>67</v>
      </c>
      <c r="S11863">
        <v>0</v>
      </c>
      <c r="T11863">
        <v>0</v>
      </c>
      <c r="U11863">
        <v>0</v>
      </c>
      <c r="V11863">
        <v>0</v>
      </c>
      <c r="W11863">
        <v>0</v>
      </c>
      <c r="X11863">
        <v>1</v>
      </c>
      <c r="Y11863">
        <v>0</v>
      </c>
      <c r="Z11863">
        <v>0</v>
      </c>
      <c r="AA11863">
        <v>0</v>
      </c>
      <c r="AB11863">
        <v>0</v>
      </c>
      <c r="AC11863">
        <v>0</v>
      </c>
      <c r="AD11863">
        <v>0</v>
      </c>
      <c r="AE11863">
        <v>0</v>
      </c>
      <c r="AF11863">
        <v>0</v>
      </c>
      <c r="AG11863">
        <v>0</v>
      </c>
      <c r="AH11863">
        <v>0</v>
      </c>
      <c r="AI11863">
        <v>0</v>
      </c>
      <c r="AJ11863">
        <v>0</v>
      </c>
      <c r="AK11863">
        <v>0</v>
      </c>
      <c r="AL11863">
        <v>0</v>
      </c>
      <c r="AM11863">
        <v>0</v>
      </c>
    </row>
    <row r="11864" spans="1:39" x14ac:dyDescent="0.2">
      <c r="A11864" t="str">
        <f>"11860"</f>
        <v>11860</v>
      </c>
      <c r="B11864" t="str">
        <f t="shared" si="658"/>
        <v>1</v>
      </c>
      <c r="C11864" t="str">
        <f t="shared" si="660"/>
        <v>238</v>
      </c>
      <c r="D11864" t="str">
        <f>"23"</f>
        <v>23</v>
      </c>
      <c r="E11864" t="str">
        <f>"1-238-23"</f>
        <v>1-238-23</v>
      </c>
      <c r="F11864" t="s">
        <v>65</v>
      </c>
      <c r="G11864" t="s">
        <v>66</v>
      </c>
      <c r="H11864" t="s">
        <v>67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1</v>
      </c>
      <c r="Y11864">
        <v>0</v>
      </c>
      <c r="Z11864">
        <v>0</v>
      </c>
      <c r="AA11864">
        <v>0</v>
      </c>
      <c r="AB11864">
        <v>0</v>
      </c>
      <c r="AC11864">
        <v>0</v>
      </c>
      <c r="AD11864">
        <v>0</v>
      </c>
      <c r="AE11864">
        <v>0</v>
      </c>
      <c r="AF11864">
        <v>0</v>
      </c>
      <c r="AG11864">
        <v>0</v>
      </c>
      <c r="AH11864">
        <v>0</v>
      </c>
      <c r="AI11864">
        <v>0</v>
      </c>
      <c r="AJ11864">
        <v>0</v>
      </c>
      <c r="AK11864">
        <v>0</v>
      </c>
      <c r="AL11864">
        <v>0</v>
      </c>
      <c r="AM11864">
        <v>0</v>
      </c>
    </row>
    <row r="11865" spans="1:39" x14ac:dyDescent="0.2">
      <c r="A11865" t="str">
        <f>"11861"</f>
        <v>11861</v>
      </c>
      <c r="B11865" t="str">
        <f t="shared" si="658"/>
        <v>1</v>
      </c>
      <c r="C11865" t="str">
        <f t="shared" si="660"/>
        <v>238</v>
      </c>
      <c r="D11865" t="str">
        <f>"16"</f>
        <v>16</v>
      </c>
      <c r="E11865" t="str">
        <f>"1-238-16"</f>
        <v>1-238-16</v>
      </c>
      <c r="F11865" t="s">
        <v>65</v>
      </c>
      <c r="G11865" t="s">
        <v>66</v>
      </c>
      <c r="H11865" t="s">
        <v>67</v>
      </c>
      <c r="S11865">
        <v>0</v>
      </c>
      <c r="T11865">
        <v>0</v>
      </c>
      <c r="U11865">
        <v>0</v>
      </c>
      <c r="V11865">
        <v>0</v>
      </c>
      <c r="W11865">
        <v>1</v>
      </c>
      <c r="X11865">
        <v>0</v>
      </c>
      <c r="Y11865">
        <v>1</v>
      </c>
      <c r="Z11865">
        <v>0</v>
      </c>
      <c r="AA11865">
        <v>0</v>
      </c>
      <c r="AB11865">
        <v>1</v>
      </c>
      <c r="AC11865">
        <v>0</v>
      </c>
      <c r="AD11865">
        <v>0</v>
      </c>
      <c r="AE11865">
        <v>0</v>
      </c>
      <c r="AF11865">
        <v>0</v>
      </c>
      <c r="AG11865">
        <v>0</v>
      </c>
      <c r="AH11865">
        <v>0</v>
      </c>
      <c r="AI11865">
        <v>0</v>
      </c>
      <c r="AJ11865">
        <v>0</v>
      </c>
      <c r="AK11865">
        <v>1</v>
      </c>
      <c r="AL11865">
        <v>1</v>
      </c>
      <c r="AM11865">
        <v>0</v>
      </c>
    </row>
    <row r="11866" spans="1:39" x14ac:dyDescent="0.2">
      <c r="A11866" t="str">
        <f>"11862"</f>
        <v>11862</v>
      </c>
      <c r="B11866" t="str">
        <f t="shared" si="658"/>
        <v>1</v>
      </c>
      <c r="C11866" t="str">
        <f t="shared" si="660"/>
        <v>238</v>
      </c>
      <c r="D11866" t="str">
        <f>"5"</f>
        <v>5</v>
      </c>
      <c r="E11866" t="str">
        <f>"1-238-5"</f>
        <v>1-238-5</v>
      </c>
      <c r="F11866" t="s">
        <v>65</v>
      </c>
      <c r="G11866" t="s">
        <v>66</v>
      </c>
      <c r="H11866" t="s">
        <v>67</v>
      </c>
      <c r="S11866">
        <v>1</v>
      </c>
      <c r="T11866">
        <v>0</v>
      </c>
      <c r="U11866">
        <v>0</v>
      </c>
      <c r="V11866">
        <v>0</v>
      </c>
      <c r="W11866">
        <v>1</v>
      </c>
      <c r="X11866">
        <v>0</v>
      </c>
      <c r="Y11866">
        <v>0</v>
      </c>
      <c r="Z11866">
        <v>1</v>
      </c>
      <c r="AA11866">
        <v>0</v>
      </c>
      <c r="AB11866">
        <v>1</v>
      </c>
      <c r="AC11866">
        <v>0</v>
      </c>
      <c r="AD11866">
        <v>1</v>
      </c>
      <c r="AE11866">
        <v>1</v>
      </c>
      <c r="AF11866">
        <v>1</v>
      </c>
      <c r="AG11866">
        <v>1</v>
      </c>
      <c r="AH11866">
        <v>1</v>
      </c>
      <c r="AI11866">
        <v>1</v>
      </c>
      <c r="AJ11866">
        <v>1</v>
      </c>
      <c r="AK11866">
        <v>1</v>
      </c>
      <c r="AL11866">
        <v>1</v>
      </c>
      <c r="AM11866">
        <v>1</v>
      </c>
    </row>
    <row r="11867" spans="1:39" x14ac:dyDescent="0.2">
      <c r="A11867" t="str">
        <f>"11863"</f>
        <v>11863</v>
      </c>
      <c r="B11867" t="str">
        <f t="shared" si="658"/>
        <v>1</v>
      </c>
      <c r="C11867" t="str">
        <f t="shared" si="660"/>
        <v>238</v>
      </c>
      <c r="D11867" t="str">
        <f>"43"</f>
        <v>43</v>
      </c>
      <c r="E11867" t="str">
        <f>"1-238-43"</f>
        <v>1-238-43</v>
      </c>
      <c r="F11867" t="s">
        <v>65</v>
      </c>
      <c r="G11867" t="s">
        <v>66</v>
      </c>
      <c r="H11867" t="s">
        <v>67</v>
      </c>
      <c r="S11867">
        <v>0</v>
      </c>
      <c r="T11867">
        <v>1</v>
      </c>
      <c r="U11867">
        <v>0</v>
      </c>
      <c r="V11867">
        <v>0</v>
      </c>
      <c r="W11867">
        <v>1</v>
      </c>
      <c r="X11867">
        <v>0</v>
      </c>
      <c r="Y11867">
        <v>1</v>
      </c>
      <c r="Z11867">
        <v>0</v>
      </c>
      <c r="AA11867">
        <v>1</v>
      </c>
      <c r="AB11867">
        <v>0</v>
      </c>
      <c r="AC11867">
        <v>0</v>
      </c>
      <c r="AD11867">
        <v>1</v>
      </c>
      <c r="AE11867">
        <v>1</v>
      </c>
      <c r="AF11867">
        <v>1</v>
      </c>
      <c r="AG11867">
        <v>1</v>
      </c>
      <c r="AH11867">
        <v>1</v>
      </c>
      <c r="AI11867">
        <v>1</v>
      </c>
      <c r="AJ11867">
        <v>1</v>
      </c>
      <c r="AK11867">
        <v>0</v>
      </c>
      <c r="AL11867">
        <v>1</v>
      </c>
      <c r="AM11867">
        <v>1</v>
      </c>
    </row>
    <row r="11868" spans="1:39" x14ac:dyDescent="0.2">
      <c r="A11868" t="str">
        <f>"11864"</f>
        <v>11864</v>
      </c>
      <c r="B11868" t="str">
        <f t="shared" si="658"/>
        <v>1</v>
      </c>
      <c r="C11868" t="str">
        <f t="shared" si="660"/>
        <v>238</v>
      </c>
      <c r="D11868" t="str">
        <f>"42"</f>
        <v>42</v>
      </c>
      <c r="E11868" t="str">
        <f>"1-238-42"</f>
        <v>1-238-42</v>
      </c>
      <c r="F11868" t="s">
        <v>65</v>
      </c>
      <c r="G11868" t="s">
        <v>66</v>
      </c>
      <c r="H11868" t="s">
        <v>68</v>
      </c>
      <c r="I11868">
        <v>1</v>
      </c>
      <c r="J11868">
        <v>1</v>
      </c>
      <c r="K11868">
        <v>0</v>
      </c>
      <c r="L11868">
        <v>0</v>
      </c>
      <c r="M11868">
        <v>1</v>
      </c>
      <c r="N11868">
        <v>1</v>
      </c>
      <c r="O11868">
        <v>1</v>
      </c>
      <c r="P11868">
        <v>1</v>
      </c>
      <c r="Q11868">
        <v>1</v>
      </c>
      <c r="R11868">
        <v>1</v>
      </c>
    </row>
    <row r="11869" spans="1:39" x14ac:dyDescent="0.2">
      <c r="A11869" t="str">
        <f>"11865"</f>
        <v>11865</v>
      </c>
      <c r="B11869" t="str">
        <f t="shared" si="658"/>
        <v>1</v>
      </c>
      <c r="C11869" t="str">
        <f t="shared" si="660"/>
        <v>238</v>
      </c>
      <c r="D11869" t="str">
        <f>"34"</f>
        <v>34</v>
      </c>
      <c r="E11869" t="str">
        <f>"1-238-34"</f>
        <v>1-238-34</v>
      </c>
      <c r="F11869" t="s">
        <v>65</v>
      </c>
      <c r="G11869" t="s">
        <v>66</v>
      </c>
      <c r="H11869" t="s">
        <v>67</v>
      </c>
      <c r="S11869">
        <v>1</v>
      </c>
      <c r="T11869">
        <v>0</v>
      </c>
      <c r="U11869">
        <v>0</v>
      </c>
      <c r="V11869">
        <v>0</v>
      </c>
      <c r="W11869">
        <v>0</v>
      </c>
      <c r="X11869">
        <v>1</v>
      </c>
      <c r="Y11869">
        <v>1</v>
      </c>
      <c r="Z11869">
        <v>0</v>
      </c>
      <c r="AA11869">
        <v>0</v>
      </c>
      <c r="AB11869">
        <v>1</v>
      </c>
      <c r="AC11869">
        <v>0</v>
      </c>
      <c r="AD11869">
        <v>1</v>
      </c>
      <c r="AE11869">
        <v>1</v>
      </c>
      <c r="AF11869">
        <v>1</v>
      </c>
      <c r="AG11869">
        <v>1</v>
      </c>
      <c r="AH11869">
        <v>1</v>
      </c>
      <c r="AI11869">
        <v>1</v>
      </c>
      <c r="AJ11869">
        <v>1</v>
      </c>
      <c r="AK11869">
        <v>1</v>
      </c>
      <c r="AL11869">
        <v>1</v>
      </c>
      <c r="AM11869">
        <v>1</v>
      </c>
    </row>
    <row r="11870" spans="1:39" x14ac:dyDescent="0.2">
      <c r="A11870" t="str">
        <f>"11866"</f>
        <v>11866</v>
      </c>
      <c r="B11870" t="str">
        <f t="shared" si="658"/>
        <v>1</v>
      </c>
      <c r="C11870" t="str">
        <f t="shared" si="660"/>
        <v>238</v>
      </c>
      <c r="D11870" t="str">
        <f>"17"</f>
        <v>17</v>
      </c>
      <c r="E11870" t="str">
        <f>"1-238-17"</f>
        <v>1-238-17</v>
      </c>
      <c r="F11870" t="s">
        <v>65</v>
      </c>
      <c r="G11870" t="s">
        <v>66</v>
      </c>
      <c r="H11870" t="s">
        <v>67</v>
      </c>
      <c r="S11870">
        <v>0</v>
      </c>
      <c r="T11870">
        <v>1</v>
      </c>
      <c r="U11870">
        <v>0</v>
      </c>
      <c r="V11870">
        <v>0</v>
      </c>
      <c r="W11870">
        <v>1</v>
      </c>
      <c r="X11870">
        <v>0</v>
      </c>
      <c r="Y11870">
        <v>1</v>
      </c>
      <c r="Z11870">
        <v>0</v>
      </c>
      <c r="AA11870">
        <v>0</v>
      </c>
      <c r="AB11870">
        <v>1</v>
      </c>
      <c r="AC11870">
        <v>0</v>
      </c>
      <c r="AD11870">
        <v>1</v>
      </c>
      <c r="AE11870">
        <v>1</v>
      </c>
      <c r="AF11870">
        <v>1</v>
      </c>
      <c r="AG11870">
        <v>1</v>
      </c>
      <c r="AH11870">
        <v>1</v>
      </c>
      <c r="AI11870">
        <v>1</v>
      </c>
      <c r="AJ11870">
        <v>1</v>
      </c>
      <c r="AK11870">
        <v>1</v>
      </c>
      <c r="AL11870">
        <v>1</v>
      </c>
      <c r="AM11870">
        <v>1</v>
      </c>
    </row>
    <row r="11871" spans="1:39" x14ac:dyDescent="0.2">
      <c r="A11871" t="str">
        <f>"11867"</f>
        <v>11867</v>
      </c>
      <c r="B11871" t="str">
        <f t="shared" si="658"/>
        <v>1</v>
      </c>
      <c r="C11871" t="str">
        <f t="shared" si="660"/>
        <v>238</v>
      </c>
      <c r="D11871" t="str">
        <f>"10"</f>
        <v>10</v>
      </c>
      <c r="E11871" t="str">
        <f>"1-238-10"</f>
        <v>1-238-10</v>
      </c>
      <c r="F11871" t="s">
        <v>65</v>
      </c>
      <c r="G11871" t="s">
        <v>66</v>
      </c>
      <c r="H11871" t="s">
        <v>67</v>
      </c>
      <c r="S11871">
        <v>0</v>
      </c>
      <c r="T11871">
        <v>1</v>
      </c>
      <c r="U11871">
        <v>0</v>
      </c>
      <c r="V11871">
        <v>0</v>
      </c>
      <c r="W11871">
        <v>1</v>
      </c>
      <c r="X11871">
        <v>0</v>
      </c>
      <c r="Y11871">
        <v>0</v>
      </c>
      <c r="Z11871">
        <v>1</v>
      </c>
      <c r="AA11871">
        <v>1</v>
      </c>
      <c r="AB11871">
        <v>0</v>
      </c>
      <c r="AC11871">
        <v>0</v>
      </c>
      <c r="AD11871">
        <v>1</v>
      </c>
      <c r="AE11871">
        <v>1</v>
      </c>
      <c r="AF11871">
        <v>1</v>
      </c>
      <c r="AG11871">
        <v>1</v>
      </c>
      <c r="AH11871">
        <v>1</v>
      </c>
      <c r="AI11871">
        <v>1</v>
      </c>
      <c r="AJ11871">
        <v>1</v>
      </c>
      <c r="AK11871">
        <v>1</v>
      </c>
      <c r="AL11871">
        <v>1</v>
      </c>
      <c r="AM11871">
        <v>1</v>
      </c>
    </row>
    <row r="11872" spans="1:39" x14ac:dyDescent="0.2">
      <c r="A11872" t="str">
        <f>"11868"</f>
        <v>11868</v>
      </c>
      <c r="B11872" t="str">
        <f t="shared" si="658"/>
        <v>1</v>
      </c>
      <c r="C11872" t="str">
        <f t="shared" si="660"/>
        <v>238</v>
      </c>
      <c r="D11872" t="str">
        <f>"41"</f>
        <v>41</v>
      </c>
      <c r="E11872" t="str">
        <f>"1-238-41"</f>
        <v>1-238-41</v>
      </c>
      <c r="F11872" t="s">
        <v>65</v>
      </c>
      <c r="G11872" t="s">
        <v>66</v>
      </c>
      <c r="H11872" t="s">
        <v>67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1</v>
      </c>
      <c r="Y11872">
        <v>0</v>
      </c>
      <c r="Z11872">
        <v>0</v>
      </c>
      <c r="AA11872">
        <v>0</v>
      </c>
      <c r="AB11872">
        <v>0</v>
      </c>
      <c r="AC11872">
        <v>0</v>
      </c>
      <c r="AD11872">
        <v>0</v>
      </c>
      <c r="AE11872">
        <v>0</v>
      </c>
      <c r="AF11872">
        <v>0</v>
      </c>
      <c r="AG11872">
        <v>0</v>
      </c>
      <c r="AH11872">
        <v>0</v>
      </c>
      <c r="AI11872">
        <v>0</v>
      </c>
      <c r="AJ11872">
        <v>0</v>
      </c>
      <c r="AK11872">
        <v>0</v>
      </c>
      <c r="AL11872">
        <v>0</v>
      </c>
      <c r="AM11872">
        <v>0</v>
      </c>
    </row>
    <row r="11873" spans="1:39" x14ac:dyDescent="0.2">
      <c r="A11873" t="str">
        <f>"11869"</f>
        <v>11869</v>
      </c>
      <c r="B11873" t="str">
        <f t="shared" si="658"/>
        <v>1</v>
      </c>
      <c r="C11873" t="str">
        <f t="shared" si="660"/>
        <v>238</v>
      </c>
      <c r="D11873" t="str">
        <f>"40"</f>
        <v>40</v>
      </c>
      <c r="E11873" t="str">
        <f>"1-238-40"</f>
        <v>1-238-40</v>
      </c>
      <c r="F11873" t="s">
        <v>65</v>
      </c>
      <c r="G11873" t="s">
        <v>66</v>
      </c>
      <c r="H11873" t="s">
        <v>67</v>
      </c>
      <c r="S11873">
        <v>0</v>
      </c>
      <c r="T11873">
        <v>0</v>
      </c>
      <c r="U11873">
        <v>0</v>
      </c>
      <c r="V11873">
        <v>0</v>
      </c>
      <c r="W11873">
        <v>0</v>
      </c>
      <c r="X11873">
        <v>1</v>
      </c>
      <c r="Y11873">
        <v>0</v>
      </c>
      <c r="Z11873">
        <v>0</v>
      </c>
      <c r="AA11873">
        <v>0</v>
      </c>
      <c r="AB11873">
        <v>0</v>
      </c>
      <c r="AC11873">
        <v>0</v>
      </c>
      <c r="AD11873">
        <v>0</v>
      </c>
      <c r="AE11873">
        <v>0</v>
      </c>
      <c r="AF11873">
        <v>0</v>
      </c>
      <c r="AG11873">
        <v>0</v>
      </c>
      <c r="AH11873">
        <v>0</v>
      </c>
      <c r="AI11873">
        <v>0</v>
      </c>
      <c r="AJ11873">
        <v>0</v>
      </c>
      <c r="AK11873">
        <v>0</v>
      </c>
      <c r="AL11873">
        <v>0</v>
      </c>
      <c r="AM11873">
        <v>0</v>
      </c>
    </row>
    <row r="11874" spans="1:39" x14ac:dyDescent="0.2">
      <c r="A11874" t="str">
        <f>"11870"</f>
        <v>11870</v>
      </c>
      <c r="B11874" t="str">
        <f t="shared" si="658"/>
        <v>1</v>
      </c>
      <c r="C11874" t="str">
        <f t="shared" si="660"/>
        <v>238</v>
      </c>
      <c r="D11874" t="str">
        <f>"33"</f>
        <v>33</v>
      </c>
      <c r="E11874" t="str">
        <f>"1-238-33"</f>
        <v>1-238-33</v>
      </c>
      <c r="F11874" t="s">
        <v>65</v>
      </c>
      <c r="G11874" t="s">
        <v>66</v>
      </c>
      <c r="H11874" t="s">
        <v>67</v>
      </c>
      <c r="S11874">
        <v>1</v>
      </c>
      <c r="T11874">
        <v>0</v>
      </c>
      <c r="U11874">
        <v>0</v>
      </c>
      <c r="V11874">
        <v>0</v>
      </c>
      <c r="W11874">
        <v>0</v>
      </c>
      <c r="X11874">
        <v>1</v>
      </c>
      <c r="Y11874">
        <v>0</v>
      </c>
      <c r="Z11874">
        <v>1</v>
      </c>
      <c r="AA11874">
        <v>1</v>
      </c>
      <c r="AB11874">
        <v>0</v>
      </c>
      <c r="AC11874">
        <v>0</v>
      </c>
      <c r="AD11874">
        <v>1</v>
      </c>
      <c r="AE11874">
        <v>1</v>
      </c>
      <c r="AF11874">
        <v>1</v>
      </c>
      <c r="AG11874">
        <v>1</v>
      </c>
      <c r="AH11874">
        <v>1</v>
      </c>
      <c r="AI11874">
        <v>1</v>
      </c>
      <c r="AJ11874">
        <v>1</v>
      </c>
      <c r="AK11874">
        <v>1</v>
      </c>
      <c r="AL11874">
        <v>1</v>
      </c>
      <c r="AM11874">
        <v>1</v>
      </c>
    </row>
    <row r="11875" spans="1:39" x14ac:dyDescent="0.2">
      <c r="A11875" t="str">
        <f>"11871"</f>
        <v>11871</v>
      </c>
      <c r="B11875" t="str">
        <f t="shared" si="658"/>
        <v>1</v>
      </c>
      <c r="C11875" t="str">
        <f t="shared" si="660"/>
        <v>238</v>
      </c>
      <c r="D11875" t="str">
        <f>"18"</f>
        <v>18</v>
      </c>
      <c r="E11875" t="str">
        <f>"1-238-18"</f>
        <v>1-238-18</v>
      </c>
      <c r="F11875" t="s">
        <v>65</v>
      </c>
      <c r="G11875" t="s">
        <v>66</v>
      </c>
      <c r="H11875" t="s">
        <v>67</v>
      </c>
      <c r="S11875">
        <v>0</v>
      </c>
      <c r="T11875">
        <v>1</v>
      </c>
      <c r="U11875">
        <v>0</v>
      </c>
      <c r="V11875">
        <v>0</v>
      </c>
      <c r="W11875">
        <v>0</v>
      </c>
      <c r="X11875">
        <v>1</v>
      </c>
      <c r="Y11875">
        <v>0</v>
      </c>
      <c r="Z11875">
        <v>1</v>
      </c>
      <c r="AA11875">
        <v>0</v>
      </c>
      <c r="AB11875">
        <v>0</v>
      </c>
      <c r="AC11875">
        <v>1</v>
      </c>
      <c r="AD11875">
        <v>1</v>
      </c>
      <c r="AE11875">
        <v>1</v>
      </c>
      <c r="AF11875">
        <v>1</v>
      </c>
      <c r="AG11875">
        <v>1</v>
      </c>
      <c r="AH11875">
        <v>1</v>
      </c>
      <c r="AI11875">
        <v>1</v>
      </c>
      <c r="AJ11875">
        <v>1</v>
      </c>
      <c r="AK11875">
        <v>1</v>
      </c>
      <c r="AL11875">
        <v>1</v>
      </c>
      <c r="AM11875">
        <v>1</v>
      </c>
    </row>
    <row r="11876" spans="1:39" x14ac:dyDescent="0.2">
      <c r="A11876" t="str">
        <f>"11872"</f>
        <v>11872</v>
      </c>
      <c r="B11876" t="str">
        <f t="shared" si="658"/>
        <v>1</v>
      </c>
      <c r="C11876" t="str">
        <f t="shared" si="660"/>
        <v>238</v>
      </c>
      <c r="D11876" t="str">
        <f>"6"</f>
        <v>6</v>
      </c>
      <c r="E11876" t="str">
        <f>"1-238-6"</f>
        <v>1-238-6</v>
      </c>
      <c r="F11876" t="s">
        <v>65</v>
      </c>
      <c r="G11876" t="s">
        <v>66</v>
      </c>
      <c r="H11876" t="s">
        <v>67</v>
      </c>
      <c r="S11876">
        <v>1</v>
      </c>
      <c r="T11876">
        <v>0</v>
      </c>
      <c r="U11876">
        <v>0</v>
      </c>
      <c r="V11876">
        <v>0</v>
      </c>
      <c r="W11876">
        <v>1</v>
      </c>
      <c r="X11876">
        <v>0</v>
      </c>
      <c r="Y11876">
        <v>0</v>
      </c>
      <c r="Z11876">
        <v>1</v>
      </c>
      <c r="AA11876">
        <v>0</v>
      </c>
      <c r="AB11876">
        <v>0</v>
      </c>
      <c r="AC11876">
        <v>1</v>
      </c>
      <c r="AD11876">
        <v>0</v>
      </c>
      <c r="AE11876">
        <v>0</v>
      </c>
      <c r="AF11876">
        <v>1</v>
      </c>
      <c r="AG11876">
        <v>0</v>
      </c>
      <c r="AH11876">
        <v>0</v>
      </c>
      <c r="AI11876">
        <v>1</v>
      </c>
      <c r="AJ11876">
        <v>1</v>
      </c>
      <c r="AK11876">
        <v>1</v>
      </c>
      <c r="AL11876">
        <v>0</v>
      </c>
      <c r="AM11876">
        <v>0</v>
      </c>
    </row>
    <row r="11877" spans="1:39" x14ac:dyDescent="0.2">
      <c r="A11877" t="str">
        <f>"11873"</f>
        <v>11873</v>
      </c>
      <c r="B11877" t="str">
        <f t="shared" si="658"/>
        <v>1</v>
      </c>
      <c r="C11877" t="str">
        <f t="shared" si="660"/>
        <v>238</v>
      </c>
      <c r="D11877" t="str">
        <f>"39"</f>
        <v>39</v>
      </c>
      <c r="E11877" t="str">
        <f>"1-238-39"</f>
        <v>1-238-39</v>
      </c>
      <c r="F11877" t="s">
        <v>65</v>
      </c>
      <c r="G11877" t="s">
        <v>66</v>
      </c>
      <c r="H11877" t="s">
        <v>67</v>
      </c>
      <c r="S11877">
        <v>0</v>
      </c>
      <c r="T11877">
        <v>0</v>
      </c>
      <c r="U11877">
        <v>0</v>
      </c>
      <c r="V11877">
        <v>0</v>
      </c>
      <c r="W11877">
        <v>0</v>
      </c>
      <c r="X11877">
        <v>1</v>
      </c>
      <c r="Y11877">
        <v>0</v>
      </c>
      <c r="Z11877">
        <v>0</v>
      </c>
      <c r="AA11877">
        <v>0</v>
      </c>
      <c r="AB11877">
        <v>0</v>
      </c>
      <c r="AC11877">
        <v>0</v>
      </c>
      <c r="AD11877">
        <v>0</v>
      </c>
      <c r="AE11877">
        <v>0</v>
      </c>
      <c r="AF11877">
        <v>0</v>
      </c>
      <c r="AG11877">
        <v>0</v>
      </c>
      <c r="AH11877">
        <v>0</v>
      </c>
      <c r="AI11877">
        <v>0</v>
      </c>
      <c r="AJ11877">
        <v>0</v>
      </c>
      <c r="AK11877">
        <v>0</v>
      </c>
      <c r="AL11877">
        <v>0</v>
      </c>
      <c r="AM11877">
        <v>0</v>
      </c>
    </row>
    <row r="11878" spans="1:39" x14ac:dyDescent="0.2">
      <c r="A11878" t="str">
        <f>"11874"</f>
        <v>11874</v>
      </c>
      <c r="B11878" t="str">
        <f t="shared" si="658"/>
        <v>1</v>
      </c>
      <c r="C11878" t="str">
        <f t="shared" si="660"/>
        <v>238</v>
      </c>
      <c r="D11878" t="str">
        <f>"20"</f>
        <v>20</v>
      </c>
      <c r="E11878" t="str">
        <f>"1-238-20"</f>
        <v>1-238-20</v>
      </c>
      <c r="F11878" t="s">
        <v>65</v>
      </c>
      <c r="G11878" t="s">
        <v>66</v>
      </c>
      <c r="H11878" t="s">
        <v>67</v>
      </c>
      <c r="S11878">
        <v>1</v>
      </c>
      <c r="T11878">
        <v>0</v>
      </c>
      <c r="U11878">
        <v>0</v>
      </c>
      <c r="V11878">
        <v>0</v>
      </c>
      <c r="W11878">
        <v>1</v>
      </c>
      <c r="X11878">
        <v>0</v>
      </c>
      <c r="Y11878">
        <v>0</v>
      </c>
      <c r="Z11878">
        <v>1</v>
      </c>
      <c r="AA11878">
        <v>1</v>
      </c>
      <c r="AB11878">
        <v>0</v>
      </c>
      <c r="AC11878">
        <v>0</v>
      </c>
      <c r="AD11878">
        <v>1</v>
      </c>
      <c r="AE11878">
        <v>1</v>
      </c>
      <c r="AF11878">
        <v>1</v>
      </c>
      <c r="AG11878">
        <v>1</v>
      </c>
      <c r="AH11878">
        <v>1</v>
      </c>
      <c r="AI11878">
        <v>0</v>
      </c>
      <c r="AJ11878">
        <v>0</v>
      </c>
      <c r="AK11878">
        <v>0</v>
      </c>
      <c r="AL11878">
        <v>1</v>
      </c>
      <c r="AM11878">
        <v>0</v>
      </c>
    </row>
    <row r="11879" spans="1:39" x14ac:dyDescent="0.2">
      <c r="A11879" t="str">
        <f>"11875"</f>
        <v>11875</v>
      </c>
      <c r="B11879" t="str">
        <f t="shared" si="658"/>
        <v>1</v>
      </c>
      <c r="C11879" t="str">
        <f t="shared" si="660"/>
        <v>238</v>
      </c>
      <c r="D11879" t="str">
        <f>"13"</f>
        <v>13</v>
      </c>
      <c r="E11879" t="str">
        <f>"1-238-13"</f>
        <v>1-238-13</v>
      </c>
      <c r="F11879" t="s">
        <v>65</v>
      </c>
      <c r="G11879" t="s">
        <v>66</v>
      </c>
      <c r="H11879" t="s">
        <v>68</v>
      </c>
      <c r="I11879">
        <v>1</v>
      </c>
      <c r="J11879">
        <v>1</v>
      </c>
      <c r="K11879">
        <v>0</v>
      </c>
      <c r="L11879">
        <v>0</v>
      </c>
      <c r="M11879">
        <v>1</v>
      </c>
      <c r="N11879">
        <v>1</v>
      </c>
      <c r="O11879">
        <v>1</v>
      </c>
      <c r="P11879">
        <v>1</v>
      </c>
      <c r="Q11879">
        <v>1</v>
      </c>
      <c r="R11879">
        <v>1</v>
      </c>
    </row>
    <row r="11880" spans="1:39" x14ac:dyDescent="0.2">
      <c r="A11880" t="str">
        <f>"11876"</f>
        <v>11876</v>
      </c>
      <c r="B11880" t="str">
        <f t="shared" si="658"/>
        <v>1</v>
      </c>
      <c r="C11880" t="str">
        <f t="shared" si="660"/>
        <v>238</v>
      </c>
      <c r="D11880" t="str">
        <f>"44"</f>
        <v>44</v>
      </c>
      <c r="E11880" t="str">
        <f>"1-238-44"</f>
        <v>1-238-44</v>
      </c>
      <c r="F11880" t="s">
        <v>65</v>
      </c>
      <c r="G11880" t="s">
        <v>66</v>
      </c>
      <c r="H11880" t="s">
        <v>67</v>
      </c>
      <c r="S11880">
        <v>0</v>
      </c>
      <c r="T11880">
        <v>1</v>
      </c>
      <c r="U11880">
        <v>0</v>
      </c>
      <c r="V11880">
        <v>0</v>
      </c>
      <c r="W11880">
        <v>1</v>
      </c>
      <c r="X11880">
        <v>0</v>
      </c>
      <c r="Y11880">
        <v>1</v>
      </c>
      <c r="Z11880">
        <v>0</v>
      </c>
      <c r="AA11880">
        <v>1</v>
      </c>
      <c r="AB11880">
        <v>0</v>
      </c>
      <c r="AC11880">
        <v>0</v>
      </c>
      <c r="AD11880">
        <v>0</v>
      </c>
      <c r="AE11880">
        <v>0</v>
      </c>
      <c r="AF11880">
        <v>0</v>
      </c>
      <c r="AG11880">
        <v>0</v>
      </c>
      <c r="AH11880">
        <v>1</v>
      </c>
      <c r="AI11880">
        <v>1</v>
      </c>
      <c r="AJ11880">
        <v>0</v>
      </c>
      <c r="AK11880">
        <v>0</v>
      </c>
      <c r="AL11880">
        <v>1</v>
      </c>
      <c r="AM11880">
        <v>0</v>
      </c>
    </row>
    <row r="11881" spans="1:39" x14ac:dyDescent="0.2">
      <c r="A11881" t="str">
        <f>"11877"</f>
        <v>11877</v>
      </c>
      <c r="B11881" t="str">
        <f t="shared" si="658"/>
        <v>1</v>
      </c>
      <c r="C11881" t="str">
        <f t="shared" si="660"/>
        <v>238</v>
      </c>
      <c r="D11881" t="str">
        <f>"24"</f>
        <v>24</v>
      </c>
      <c r="E11881" t="str">
        <f>"1-238-24"</f>
        <v>1-238-24</v>
      </c>
      <c r="F11881" t="s">
        <v>65</v>
      </c>
      <c r="G11881" t="s">
        <v>66</v>
      </c>
      <c r="H11881" t="s">
        <v>67</v>
      </c>
      <c r="S11881">
        <v>1</v>
      </c>
      <c r="T11881">
        <v>0</v>
      </c>
      <c r="U11881">
        <v>0</v>
      </c>
      <c r="V11881">
        <v>0</v>
      </c>
      <c r="W11881">
        <v>1</v>
      </c>
      <c r="X11881">
        <v>0</v>
      </c>
      <c r="Y11881">
        <v>0</v>
      </c>
      <c r="Z11881">
        <v>1</v>
      </c>
      <c r="AA11881">
        <v>1</v>
      </c>
      <c r="AB11881">
        <v>0</v>
      </c>
      <c r="AC11881">
        <v>0</v>
      </c>
      <c r="AD11881">
        <v>0</v>
      </c>
      <c r="AE11881">
        <v>0</v>
      </c>
      <c r="AF11881">
        <v>1</v>
      </c>
      <c r="AG11881">
        <v>1</v>
      </c>
      <c r="AH11881">
        <v>1</v>
      </c>
      <c r="AI11881">
        <v>0</v>
      </c>
      <c r="AJ11881">
        <v>0</v>
      </c>
      <c r="AK11881">
        <v>0</v>
      </c>
      <c r="AL11881">
        <v>1</v>
      </c>
      <c r="AM11881">
        <v>0</v>
      </c>
    </row>
    <row r="11882" spans="1:39" x14ac:dyDescent="0.2">
      <c r="A11882" t="str">
        <f>"11878"</f>
        <v>11878</v>
      </c>
      <c r="B11882" t="str">
        <f t="shared" si="658"/>
        <v>1</v>
      </c>
      <c r="C11882" t="str">
        <f t="shared" si="660"/>
        <v>238</v>
      </c>
      <c r="D11882" t="str">
        <f>"4"</f>
        <v>4</v>
      </c>
      <c r="E11882" t="str">
        <f>"1-238-4"</f>
        <v>1-238-4</v>
      </c>
      <c r="F11882" t="s">
        <v>65</v>
      </c>
      <c r="G11882" t="s">
        <v>66</v>
      </c>
      <c r="H11882" t="s">
        <v>67</v>
      </c>
      <c r="S11882">
        <v>1</v>
      </c>
      <c r="T11882">
        <v>0</v>
      </c>
      <c r="U11882">
        <v>0</v>
      </c>
      <c r="V11882">
        <v>0</v>
      </c>
      <c r="W11882">
        <v>1</v>
      </c>
      <c r="X11882">
        <v>0</v>
      </c>
      <c r="Y11882">
        <v>1</v>
      </c>
      <c r="Z11882">
        <v>0</v>
      </c>
      <c r="AA11882">
        <v>1</v>
      </c>
      <c r="AB11882">
        <v>0</v>
      </c>
      <c r="AC11882">
        <v>0</v>
      </c>
      <c r="AD11882">
        <v>1</v>
      </c>
      <c r="AE11882">
        <v>1</v>
      </c>
      <c r="AF11882">
        <v>1</v>
      </c>
      <c r="AG11882">
        <v>1</v>
      </c>
      <c r="AH11882">
        <v>1</v>
      </c>
      <c r="AI11882">
        <v>1</v>
      </c>
      <c r="AJ11882">
        <v>1</v>
      </c>
      <c r="AK11882">
        <v>1</v>
      </c>
      <c r="AL11882">
        <v>1</v>
      </c>
      <c r="AM11882">
        <v>1</v>
      </c>
    </row>
    <row r="11883" spans="1:39" x14ac:dyDescent="0.2">
      <c r="A11883" t="str">
        <f>"11879"</f>
        <v>11879</v>
      </c>
      <c r="B11883" t="str">
        <f t="shared" si="658"/>
        <v>1</v>
      </c>
      <c r="C11883" t="str">
        <f t="shared" si="660"/>
        <v>238</v>
      </c>
      <c r="D11883" t="str">
        <f>"25"</f>
        <v>25</v>
      </c>
      <c r="E11883" t="str">
        <f>"1-238-25"</f>
        <v>1-238-25</v>
      </c>
      <c r="F11883" t="s">
        <v>65</v>
      </c>
      <c r="G11883" t="s">
        <v>66</v>
      </c>
      <c r="H11883" t="s">
        <v>67</v>
      </c>
      <c r="S11883">
        <v>1</v>
      </c>
      <c r="T11883">
        <v>0</v>
      </c>
      <c r="U11883">
        <v>0</v>
      </c>
      <c r="V11883">
        <v>0</v>
      </c>
      <c r="W11883">
        <v>0</v>
      </c>
      <c r="X11883">
        <v>1</v>
      </c>
      <c r="Y11883">
        <v>1</v>
      </c>
      <c r="Z11883">
        <v>0</v>
      </c>
      <c r="AA11883">
        <v>0</v>
      </c>
      <c r="AB11883">
        <v>0</v>
      </c>
      <c r="AC11883">
        <v>1</v>
      </c>
      <c r="AD11883">
        <v>0</v>
      </c>
      <c r="AE11883">
        <v>1</v>
      </c>
      <c r="AF11883">
        <v>1</v>
      </c>
      <c r="AG11883">
        <v>1</v>
      </c>
      <c r="AH11883">
        <v>1</v>
      </c>
      <c r="AI11883">
        <v>1</v>
      </c>
      <c r="AJ11883">
        <v>1</v>
      </c>
      <c r="AK11883">
        <v>1</v>
      </c>
      <c r="AL11883">
        <v>1</v>
      </c>
      <c r="AM11883">
        <v>1</v>
      </c>
    </row>
    <row r="11884" spans="1:39" x14ac:dyDescent="0.2">
      <c r="A11884" t="str">
        <f>"11880"</f>
        <v>11880</v>
      </c>
      <c r="B11884" t="str">
        <f t="shared" si="658"/>
        <v>1</v>
      </c>
      <c r="C11884" t="str">
        <f t="shared" si="660"/>
        <v>238</v>
      </c>
      <c r="D11884" t="str">
        <f>"2"</f>
        <v>2</v>
      </c>
      <c r="E11884" t="str">
        <f>"1-238-2"</f>
        <v>1-238-2</v>
      </c>
      <c r="F11884" t="s">
        <v>65</v>
      </c>
      <c r="G11884" t="s">
        <v>66</v>
      </c>
      <c r="H11884" t="s">
        <v>67</v>
      </c>
      <c r="S11884">
        <v>1</v>
      </c>
      <c r="T11884">
        <v>0</v>
      </c>
      <c r="U11884">
        <v>0</v>
      </c>
      <c r="V11884">
        <v>0</v>
      </c>
      <c r="W11884">
        <v>1</v>
      </c>
      <c r="X11884">
        <v>0</v>
      </c>
      <c r="Y11884">
        <v>1</v>
      </c>
      <c r="Z11884">
        <v>0</v>
      </c>
      <c r="AA11884">
        <v>0</v>
      </c>
      <c r="AB11884">
        <v>1</v>
      </c>
      <c r="AC11884">
        <v>0</v>
      </c>
      <c r="AD11884">
        <v>1</v>
      </c>
      <c r="AE11884">
        <v>1</v>
      </c>
      <c r="AF11884">
        <v>1</v>
      </c>
      <c r="AG11884">
        <v>1</v>
      </c>
      <c r="AH11884">
        <v>1</v>
      </c>
      <c r="AI11884">
        <v>1</v>
      </c>
      <c r="AJ11884">
        <v>1</v>
      </c>
      <c r="AK11884">
        <v>1</v>
      </c>
      <c r="AL11884">
        <v>1</v>
      </c>
      <c r="AM11884">
        <v>1</v>
      </c>
    </row>
    <row r="11885" spans="1:39" x14ac:dyDescent="0.2">
      <c r="A11885" t="str">
        <f>"11881"</f>
        <v>11881</v>
      </c>
      <c r="B11885" t="str">
        <f t="shared" si="658"/>
        <v>1</v>
      </c>
      <c r="C11885" t="str">
        <f t="shared" si="660"/>
        <v>238</v>
      </c>
      <c r="D11885" t="str">
        <f>"45"</f>
        <v>45</v>
      </c>
      <c r="E11885" t="str">
        <f>"1-238-45"</f>
        <v>1-238-45</v>
      </c>
      <c r="F11885" t="s">
        <v>65</v>
      </c>
      <c r="G11885" t="s">
        <v>66</v>
      </c>
      <c r="H11885" t="s">
        <v>67</v>
      </c>
      <c r="S11885">
        <v>0</v>
      </c>
      <c r="T11885">
        <v>1</v>
      </c>
      <c r="U11885">
        <v>0</v>
      </c>
      <c r="V11885">
        <v>0</v>
      </c>
      <c r="W11885">
        <v>0</v>
      </c>
      <c r="X11885">
        <v>1</v>
      </c>
      <c r="Y11885">
        <v>0</v>
      </c>
      <c r="Z11885">
        <v>1</v>
      </c>
      <c r="AA11885">
        <v>0</v>
      </c>
      <c r="AB11885">
        <v>1</v>
      </c>
      <c r="AC11885">
        <v>0</v>
      </c>
      <c r="AD11885">
        <v>1</v>
      </c>
      <c r="AE11885">
        <v>1</v>
      </c>
      <c r="AF11885">
        <v>1</v>
      </c>
      <c r="AG11885">
        <v>1</v>
      </c>
      <c r="AH11885">
        <v>1</v>
      </c>
      <c r="AI11885">
        <v>1</v>
      </c>
      <c r="AJ11885">
        <v>1</v>
      </c>
      <c r="AK11885">
        <v>1</v>
      </c>
      <c r="AL11885">
        <v>1</v>
      </c>
      <c r="AM11885">
        <v>1</v>
      </c>
    </row>
    <row r="11886" spans="1:39" x14ac:dyDescent="0.2">
      <c r="A11886" t="str">
        <f>"11882"</f>
        <v>11882</v>
      </c>
      <c r="B11886" t="str">
        <f t="shared" si="658"/>
        <v>1</v>
      </c>
      <c r="C11886" t="str">
        <f t="shared" si="660"/>
        <v>238</v>
      </c>
      <c r="D11886" t="str">
        <f>"26"</f>
        <v>26</v>
      </c>
      <c r="E11886" t="str">
        <f>"1-238-26"</f>
        <v>1-238-26</v>
      </c>
      <c r="F11886" t="s">
        <v>65</v>
      </c>
      <c r="G11886" t="s">
        <v>66</v>
      </c>
      <c r="H11886" t="s">
        <v>67</v>
      </c>
      <c r="S11886">
        <v>0</v>
      </c>
      <c r="T11886">
        <v>0</v>
      </c>
      <c r="U11886">
        <v>0</v>
      </c>
      <c r="V11886">
        <v>0</v>
      </c>
      <c r="W11886">
        <v>0</v>
      </c>
      <c r="X11886">
        <v>1</v>
      </c>
      <c r="Y11886">
        <v>0</v>
      </c>
      <c r="Z11886">
        <v>0</v>
      </c>
      <c r="AA11886">
        <v>0</v>
      </c>
      <c r="AB11886">
        <v>0</v>
      </c>
      <c r="AC11886">
        <v>0</v>
      </c>
      <c r="AD11886">
        <v>0</v>
      </c>
      <c r="AE11886">
        <v>0</v>
      </c>
      <c r="AF11886">
        <v>0</v>
      </c>
      <c r="AG11886">
        <v>0</v>
      </c>
      <c r="AH11886">
        <v>0</v>
      </c>
      <c r="AI11886">
        <v>0</v>
      </c>
      <c r="AJ11886">
        <v>0</v>
      </c>
      <c r="AK11886">
        <v>0</v>
      </c>
      <c r="AL11886">
        <v>0</v>
      </c>
      <c r="AM11886">
        <v>0</v>
      </c>
    </row>
    <row r="11887" spans="1:39" x14ac:dyDescent="0.2">
      <c r="A11887" t="str">
        <f>"11883"</f>
        <v>11883</v>
      </c>
      <c r="B11887" t="str">
        <f t="shared" si="658"/>
        <v>1</v>
      </c>
      <c r="C11887" t="str">
        <f t="shared" ref="C11887:C11904" si="661">"238"</f>
        <v>238</v>
      </c>
      <c r="D11887" t="str">
        <f>"7"</f>
        <v>7</v>
      </c>
      <c r="E11887" t="str">
        <f>"1-238-7"</f>
        <v>1-238-7</v>
      </c>
      <c r="F11887" t="s">
        <v>65</v>
      </c>
      <c r="G11887" t="s">
        <v>66</v>
      </c>
      <c r="H11887" t="s">
        <v>67</v>
      </c>
      <c r="S11887">
        <v>1</v>
      </c>
      <c r="T11887">
        <v>0</v>
      </c>
      <c r="U11887">
        <v>0</v>
      </c>
      <c r="V11887">
        <v>0</v>
      </c>
      <c r="W11887">
        <v>1</v>
      </c>
      <c r="X11887">
        <v>0</v>
      </c>
      <c r="Y11887">
        <v>1</v>
      </c>
      <c r="Z11887">
        <v>0</v>
      </c>
      <c r="AA11887">
        <v>1</v>
      </c>
      <c r="AB11887">
        <v>0</v>
      </c>
      <c r="AC11887">
        <v>0</v>
      </c>
      <c r="AD11887">
        <v>1</v>
      </c>
      <c r="AE11887">
        <v>1</v>
      </c>
      <c r="AF11887">
        <v>1</v>
      </c>
      <c r="AG11887">
        <v>1</v>
      </c>
      <c r="AH11887">
        <v>1</v>
      </c>
      <c r="AI11887">
        <v>1</v>
      </c>
      <c r="AJ11887">
        <v>1</v>
      </c>
      <c r="AK11887">
        <v>1</v>
      </c>
      <c r="AL11887">
        <v>1</v>
      </c>
      <c r="AM11887">
        <v>1</v>
      </c>
    </row>
    <row r="11888" spans="1:39" x14ac:dyDescent="0.2">
      <c r="A11888" t="str">
        <f>"11884"</f>
        <v>11884</v>
      </c>
      <c r="B11888" t="str">
        <f t="shared" si="658"/>
        <v>1</v>
      </c>
      <c r="C11888" t="str">
        <f t="shared" si="661"/>
        <v>238</v>
      </c>
      <c r="D11888" t="str">
        <f>"48"</f>
        <v>48</v>
      </c>
      <c r="E11888" t="str">
        <f>"1-238-48"</f>
        <v>1-238-48</v>
      </c>
      <c r="F11888" t="s">
        <v>65</v>
      </c>
      <c r="G11888" t="s">
        <v>66</v>
      </c>
      <c r="H11888" t="s">
        <v>67</v>
      </c>
      <c r="S11888">
        <v>1</v>
      </c>
      <c r="T11888">
        <v>0</v>
      </c>
      <c r="U11888">
        <v>0</v>
      </c>
      <c r="V11888">
        <v>0</v>
      </c>
      <c r="W11888">
        <v>1</v>
      </c>
      <c r="X11888">
        <v>0</v>
      </c>
      <c r="Y11888">
        <v>0</v>
      </c>
      <c r="Z11888">
        <v>1</v>
      </c>
      <c r="AA11888">
        <v>0</v>
      </c>
      <c r="AB11888">
        <v>0</v>
      </c>
      <c r="AC11888">
        <v>1</v>
      </c>
      <c r="AD11888">
        <v>1</v>
      </c>
      <c r="AE11888">
        <v>1</v>
      </c>
      <c r="AF11888">
        <v>1</v>
      </c>
      <c r="AG11888">
        <v>1</v>
      </c>
      <c r="AH11888">
        <v>1</v>
      </c>
      <c r="AI11888">
        <v>1</v>
      </c>
      <c r="AJ11888">
        <v>1</v>
      </c>
      <c r="AK11888">
        <v>1</v>
      </c>
      <c r="AL11888">
        <v>1</v>
      </c>
      <c r="AM11888">
        <v>1</v>
      </c>
    </row>
    <row r="11889" spans="1:39" x14ac:dyDescent="0.2">
      <c r="A11889" t="str">
        <f>"11885"</f>
        <v>11885</v>
      </c>
      <c r="B11889" t="str">
        <f t="shared" si="658"/>
        <v>1</v>
      </c>
      <c r="C11889" t="str">
        <f t="shared" si="661"/>
        <v>238</v>
      </c>
      <c r="D11889" t="str">
        <f>"27"</f>
        <v>27</v>
      </c>
      <c r="E11889" t="str">
        <f>"1-238-27"</f>
        <v>1-238-27</v>
      </c>
      <c r="F11889" t="s">
        <v>65</v>
      </c>
      <c r="G11889" t="s">
        <v>66</v>
      </c>
      <c r="H11889" t="s">
        <v>67</v>
      </c>
      <c r="S11889">
        <v>0</v>
      </c>
      <c r="T11889">
        <v>1</v>
      </c>
      <c r="U11889">
        <v>0</v>
      </c>
      <c r="V11889">
        <v>0</v>
      </c>
      <c r="W11889">
        <v>0</v>
      </c>
      <c r="X11889">
        <v>1</v>
      </c>
      <c r="Y11889">
        <v>0</v>
      </c>
      <c r="Z11889">
        <v>1</v>
      </c>
      <c r="AA11889">
        <v>0</v>
      </c>
      <c r="AB11889">
        <v>0</v>
      </c>
      <c r="AC11889">
        <v>1</v>
      </c>
      <c r="AD11889">
        <v>0</v>
      </c>
      <c r="AE11889">
        <v>1</v>
      </c>
      <c r="AF11889">
        <v>0</v>
      </c>
      <c r="AG11889">
        <v>1</v>
      </c>
      <c r="AH11889">
        <v>1</v>
      </c>
      <c r="AI11889">
        <v>1</v>
      </c>
      <c r="AJ11889">
        <v>1</v>
      </c>
      <c r="AK11889">
        <v>1</v>
      </c>
      <c r="AL11889">
        <v>1</v>
      </c>
      <c r="AM11889">
        <v>1</v>
      </c>
    </row>
    <row r="11890" spans="1:39" x14ac:dyDescent="0.2">
      <c r="A11890" t="str">
        <f>"11886"</f>
        <v>11886</v>
      </c>
      <c r="B11890" t="str">
        <f t="shared" si="658"/>
        <v>1</v>
      </c>
      <c r="C11890" t="str">
        <f t="shared" si="661"/>
        <v>238</v>
      </c>
      <c r="D11890" t="str">
        <f>"8"</f>
        <v>8</v>
      </c>
      <c r="E11890" t="str">
        <f>"1-238-8"</f>
        <v>1-238-8</v>
      </c>
      <c r="F11890" t="s">
        <v>65</v>
      </c>
      <c r="G11890" t="s">
        <v>66</v>
      </c>
      <c r="H11890" t="s">
        <v>67</v>
      </c>
      <c r="S11890">
        <v>1</v>
      </c>
      <c r="T11890">
        <v>0</v>
      </c>
      <c r="U11890">
        <v>0</v>
      </c>
      <c r="V11890">
        <v>0</v>
      </c>
      <c r="W11890">
        <v>1</v>
      </c>
      <c r="X11890">
        <v>0</v>
      </c>
      <c r="Y11890">
        <v>1</v>
      </c>
      <c r="Z11890">
        <v>0</v>
      </c>
      <c r="AA11890">
        <v>1</v>
      </c>
      <c r="AB11890">
        <v>0</v>
      </c>
      <c r="AC11890">
        <v>0</v>
      </c>
      <c r="AD11890">
        <v>1</v>
      </c>
      <c r="AE11890">
        <v>1</v>
      </c>
      <c r="AF11890">
        <v>1</v>
      </c>
      <c r="AG11890">
        <v>1</v>
      </c>
      <c r="AH11890">
        <v>1</v>
      </c>
      <c r="AI11890">
        <v>1</v>
      </c>
      <c r="AJ11890">
        <v>1</v>
      </c>
      <c r="AK11890">
        <v>1</v>
      </c>
      <c r="AL11890">
        <v>1</v>
      </c>
      <c r="AM11890">
        <v>1</v>
      </c>
    </row>
    <row r="11891" spans="1:39" x14ac:dyDescent="0.2">
      <c r="A11891" t="str">
        <f>"11887"</f>
        <v>11887</v>
      </c>
      <c r="B11891" t="str">
        <f t="shared" si="658"/>
        <v>1</v>
      </c>
      <c r="C11891" t="str">
        <f t="shared" si="661"/>
        <v>238</v>
      </c>
      <c r="D11891" t="str">
        <f>"46"</f>
        <v>46</v>
      </c>
      <c r="E11891" t="str">
        <f>"1-238-46"</f>
        <v>1-238-46</v>
      </c>
      <c r="F11891" t="s">
        <v>65</v>
      </c>
      <c r="G11891" t="s">
        <v>66</v>
      </c>
      <c r="H11891" t="s">
        <v>67</v>
      </c>
      <c r="S11891">
        <v>0</v>
      </c>
      <c r="T11891">
        <v>1</v>
      </c>
      <c r="U11891">
        <v>0</v>
      </c>
      <c r="V11891">
        <v>0</v>
      </c>
      <c r="W11891">
        <v>1</v>
      </c>
      <c r="X11891">
        <v>0</v>
      </c>
      <c r="Y11891">
        <v>0</v>
      </c>
      <c r="Z11891">
        <v>1</v>
      </c>
      <c r="AA11891">
        <v>0</v>
      </c>
      <c r="AB11891">
        <v>0</v>
      </c>
      <c r="AC11891">
        <v>1</v>
      </c>
      <c r="AD11891">
        <v>1</v>
      </c>
      <c r="AE11891">
        <v>1</v>
      </c>
      <c r="AF11891">
        <v>1</v>
      </c>
      <c r="AG11891">
        <v>1</v>
      </c>
      <c r="AH11891">
        <v>1</v>
      </c>
      <c r="AI11891">
        <v>1</v>
      </c>
      <c r="AJ11891">
        <v>1</v>
      </c>
      <c r="AK11891">
        <v>1</v>
      </c>
      <c r="AL11891">
        <v>1</v>
      </c>
      <c r="AM11891">
        <v>1</v>
      </c>
    </row>
    <row r="11892" spans="1:39" x14ac:dyDescent="0.2">
      <c r="A11892" t="str">
        <f>"11888"</f>
        <v>11888</v>
      </c>
      <c r="B11892" t="str">
        <f t="shared" si="658"/>
        <v>1</v>
      </c>
      <c r="C11892" t="str">
        <f t="shared" si="661"/>
        <v>238</v>
      </c>
      <c r="D11892" t="str">
        <f>"28"</f>
        <v>28</v>
      </c>
      <c r="E11892" t="str">
        <f>"1-238-28"</f>
        <v>1-238-28</v>
      </c>
      <c r="F11892" t="s">
        <v>65</v>
      </c>
      <c r="G11892" t="s">
        <v>66</v>
      </c>
      <c r="H11892" t="s">
        <v>67</v>
      </c>
      <c r="S11892">
        <v>0</v>
      </c>
      <c r="T11892">
        <v>1</v>
      </c>
      <c r="U11892">
        <v>0</v>
      </c>
      <c r="V11892">
        <v>0</v>
      </c>
      <c r="W11892">
        <v>1</v>
      </c>
      <c r="X11892">
        <v>0</v>
      </c>
      <c r="Y11892">
        <v>0</v>
      </c>
      <c r="Z11892">
        <v>1</v>
      </c>
      <c r="AA11892">
        <v>1</v>
      </c>
      <c r="AB11892">
        <v>0</v>
      </c>
      <c r="AC11892">
        <v>0</v>
      </c>
      <c r="AD11892">
        <v>1</v>
      </c>
      <c r="AE11892">
        <v>1</v>
      </c>
      <c r="AF11892">
        <v>1</v>
      </c>
      <c r="AG11892">
        <v>1</v>
      </c>
      <c r="AH11892">
        <v>1</v>
      </c>
      <c r="AI11892">
        <v>1</v>
      </c>
      <c r="AJ11892">
        <v>1</v>
      </c>
      <c r="AK11892">
        <v>1</v>
      </c>
      <c r="AL11892">
        <v>1</v>
      </c>
      <c r="AM11892">
        <v>1</v>
      </c>
    </row>
    <row r="11893" spans="1:39" x14ac:dyDescent="0.2">
      <c r="A11893" t="str">
        <f>"11889"</f>
        <v>11889</v>
      </c>
      <c r="B11893" t="str">
        <f t="shared" si="658"/>
        <v>1</v>
      </c>
      <c r="C11893" t="str">
        <f t="shared" si="661"/>
        <v>238</v>
      </c>
      <c r="D11893" t="str">
        <f>"12"</f>
        <v>12</v>
      </c>
      <c r="E11893" t="str">
        <f>"1-238-12"</f>
        <v>1-238-12</v>
      </c>
      <c r="F11893" t="s">
        <v>65</v>
      </c>
      <c r="G11893" t="s">
        <v>66</v>
      </c>
      <c r="H11893" t="s">
        <v>67</v>
      </c>
      <c r="S11893">
        <v>1</v>
      </c>
      <c r="T11893">
        <v>0</v>
      </c>
      <c r="U11893">
        <v>0</v>
      </c>
      <c r="V11893">
        <v>0</v>
      </c>
      <c r="W11893">
        <v>1</v>
      </c>
      <c r="X11893">
        <v>0</v>
      </c>
      <c r="Y11893">
        <v>0</v>
      </c>
      <c r="Z11893">
        <v>1</v>
      </c>
      <c r="AA11893">
        <v>0</v>
      </c>
      <c r="AB11893">
        <v>0</v>
      </c>
      <c r="AC11893">
        <v>1</v>
      </c>
      <c r="AD11893">
        <v>1</v>
      </c>
      <c r="AE11893">
        <v>1</v>
      </c>
      <c r="AF11893">
        <v>1</v>
      </c>
      <c r="AG11893">
        <v>1</v>
      </c>
      <c r="AH11893">
        <v>1</v>
      </c>
      <c r="AI11893">
        <v>1</v>
      </c>
      <c r="AJ11893">
        <v>1</v>
      </c>
      <c r="AK11893">
        <v>1</v>
      </c>
      <c r="AL11893">
        <v>1</v>
      </c>
      <c r="AM11893">
        <v>1</v>
      </c>
    </row>
    <row r="11894" spans="1:39" x14ac:dyDescent="0.2">
      <c r="A11894" t="str">
        <f>"11890"</f>
        <v>11890</v>
      </c>
      <c r="B11894" t="str">
        <f t="shared" si="658"/>
        <v>1</v>
      </c>
      <c r="C11894" t="str">
        <f t="shared" si="661"/>
        <v>238</v>
      </c>
      <c r="D11894" t="str">
        <f>"47"</f>
        <v>47</v>
      </c>
      <c r="E11894" t="str">
        <f>"1-238-47"</f>
        <v>1-238-47</v>
      </c>
      <c r="F11894" t="s">
        <v>65</v>
      </c>
      <c r="G11894" t="s">
        <v>66</v>
      </c>
      <c r="H11894" t="s">
        <v>67</v>
      </c>
      <c r="S11894">
        <v>1</v>
      </c>
      <c r="T11894">
        <v>0</v>
      </c>
      <c r="U11894">
        <v>0</v>
      </c>
      <c r="V11894">
        <v>0</v>
      </c>
      <c r="W11894">
        <v>1</v>
      </c>
      <c r="X11894">
        <v>0</v>
      </c>
      <c r="Y11894">
        <v>1</v>
      </c>
      <c r="Z11894">
        <v>0</v>
      </c>
      <c r="AA11894">
        <v>0</v>
      </c>
      <c r="AB11894">
        <v>1</v>
      </c>
      <c r="AC11894">
        <v>0</v>
      </c>
      <c r="AD11894">
        <v>1</v>
      </c>
      <c r="AE11894">
        <v>1</v>
      </c>
      <c r="AF11894">
        <v>1</v>
      </c>
      <c r="AG11894">
        <v>1</v>
      </c>
      <c r="AH11894">
        <v>1</v>
      </c>
      <c r="AI11894">
        <v>1</v>
      </c>
      <c r="AJ11894">
        <v>1</v>
      </c>
      <c r="AK11894">
        <v>1</v>
      </c>
      <c r="AL11894">
        <v>1</v>
      </c>
      <c r="AM11894">
        <v>1</v>
      </c>
    </row>
    <row r="11895" spans="1:39" x14ac:dyDescent="0.2">
      <c r="A11895" t="str">
        <f>"11891"</f>
        <v>11891</v>
      </c>
      <c r="B11895" t="str">
        <f t="shared" ref="B11895:B11958" si="662">"1"</f>
        <v>1</v>
      </c>
      <c r="C11895" t="str">
        <f t="shared" si="661"/>
        <v>238</v>
      </c>
      <c r="D11895" t="str">
        <f>"29"</f>
        <v>29</v>
      </c>
      <c r="E11895" t="str">
        <f>"1-238-29"</f>
        <v>1-238-29</v>
      </c>
      <c r="F11895" t="s">
        <v>65</v>
      </c>
      <c r="G11895" t="s">
        <v>66</v>
      </c>
      <c r="H11895" t="s">
        <v>67</v>
      </c>
      <c r="S11895">
        <v>0</v>
      </c>
      <c r="T11895">
        <v>1</v>
      </c>
      <c r="U11895">
        <v>0</v>
      </c>
      <c r="V11895">
        <v>0</v>
      </c>
      <c r="W11895">
        <v>0</v>
      </c>
      <c r="X11895">
        <v>1</v>
      </c>
      <c r="Y11895">
        <v>0</v>
      </c>
      <c r="Z11895">
        <v>1</v>
      </c>
      <c r="AA11895">
        <v>0</v>
      </c>
      <c r="AB11895">
        <v>0</v>
      </c>
      <c r="AC11895">
        <v>1</v>
      </c>
      <c r="AD11895">
        <v>1</v>
      </c>
      <c r="AE11895">
        <v>1</v>
      </c>
      <c r="AF11895">
        <v>1</v>
      </c>
      <c r="AG11895">
        <v>1</v>
      </c>
      <c r="AH11895">
        <v>1</v>
      </c>
      <c r="AI11895">
        <v>1</v>
      </c>
      <c r="AJ11895">
        <v>1</v>
      </c>
      <c r="AK11895">
        <v>1</v>
      </c>
      <c r="AL11895">
        <v>1</v>
      </c>
      <c r="AM11895">
        <v>1</v>
      </c>
    </row>
    <row r="11896" spans="1:39" x14ac:dyDescent="0.2">
      <c r="A11896" t="str">
        <f>"11892"</f>
        <v>11892</v>
      </c>
      <c r="B11896" t="str">
        <f t="shared" si="662"/>
        <v>1</v>
      </c>
      <c r="C11896" t="str">
        <f t="shared" si="661"/>
        <v>238</v>
      </c>
      <c r="D11896" t="str">
        <f>"49"</f>
        <v>49</v>
      </c>
      <c r="E11896" t="str">
        <f>"1-238-49"</f>
        <v>1-238-49</v>
      </c>
      <c r="F11896" t="s">
        <v>65</v>
      </c>
      <c r="G11896" t="s">
        <v>66</v>
      </c>
      <c r="H11896" t="s">
        <v>68</v>
      </c>
      <c r="I11896">
        <v>1</v>
      </c>
      <c r="J11896">
        <v>0</v>
      </c>
      <c r="K11896">
        <v>0</v>
      </c>
      <c r="L11896">
        <v>1</v>
      </c>
      <c r="M11896">
        <v>1</v>
      </c>
      <c r="N11896">
        <v>1</v>
      </c>
      <c r="O11896">
        <v>1</v>
      </c>
      <c r="P11896">
        <v>1</v>
      </c>
      <c r="Q11896">
        <v>1</v>
      </c>
      <c r="R11896">
        <v>1</v>
      </c>
    </row>
    <row r="11897" spans="1:39" x14ac:dyDescent="0.2">
      <c r="A11897" t="str">
        <f>"11893"</f>
        <v>11893</v>
      </c>
      <c r="B11897" t="str">
        <f t="shared" si="662"/>
        <v>1</v>
      </c>
      <c r="C11897" t="str">
        <f t="shared" si="661"/>
        <v>238</v>
      </c>
      <c r="D11897" t="str">
        <f>"30"</f>
        <v>30</v>
      </c>
      <c r="E11897" t="str">
        <f>"1-238-30"</f>
        <v>1-238-30</v>
      </c>
      <c r="F11897" t="s">
        <v>65</v>
      </c>
      <c r="G11897" t="s">
        <v>66</v>
      </c>
      <c r="H11897" t="s">
        <v>67</v>
      </c>
      <c r="S11897">
        <v>0</v>
      </c>
      <c r="T11897">
        <v>1</v>
      </c>
      <c r="U11897">
        <v>0</v>
      </c>
      <c r="V11897">
        <v>0</v>
      </c>
      <c r="W11897">
        <v>1</v>
      </c>
      <c r="X11897">
        <v>0</v>
      </c>
      <c r="Y11897">
        <v>1</v>
      </c>
      <c r="Z11897">
        <v>0</v>
      </c>
      <c r="AA11897">
        <v>0</v>
      </c>
      <c r="AB11897">
        <v>1</v>
      </c>
      <c r="AC11897">
        <v>0</v>
      </c>
      <c r="AD11897">
        <v>1</v>
      </c>
      <c r="AE11897">
        <v>1</v>
      </c>
      <c r="AF11897">
        <v>1</v>
      </c>
      <c r="AG11897">
        <v>1</v>
      </c>
      <c r="AH11897">
        <v>1</v>
      </c>
      <c r="AI11897">
        <v>0</v>
      </c>
      <c r="AJ11897">
        <v>0</v>
      </c>
      <c r="AK11897">
        <v>0</v>
      </c>
      <c r="AL11897">
        <v>0</v>
      </c>
      <c r="AM11897">
        <v>0</v>
      </c>
    </row>
    <row r="11898" spans="1:39" x14ac:dyDescent="0.2">
      <c r="A11898" t="str">
        <f>"11894"</f>
        <v>11894</v>
      </c>
      <c r="B11898" t="str">
        <f t="shared" si="662"/>
        <v>1</v>
      </c>
      <c r="C11898" t="str">
        <f t="shared" si="661"/>
        <v>238</v>
      </c>
      <c r="D11898" t="str">
        <f>"3"</f>
        <v>3</v>
      </c>
      <c r="E11898" t="str">
        <f>"1-238-3"</f>
        <v>1-238-3</v>
      </c>
      <c r="F11898" t="s">
        <v>65</v>
      </c>
      <c r="G11898" t="s">
        <v>66</v>
      </c>
      <c r="H11898" t="s">
        <v>67</v>
      </c>
      <c r="S11898">
        <v>0</v>
      </c>
      <c r="T11898">
        <v>1</v>
      </c>
      <c r="U11898">
        <v>0</v>
      </c>
      <c r="V11898">
        <v>0</v>
      </c>
      <c r="W11898">
        <v>1</v>
      </c>
      <c r="X11898">
        <v>0</v>
      </c>
      <c r="Y11898">
        <v>0</v>
      </c>
      <c r="Z11898">
        <v>1</v>
      </c>
      <c r="AA11898">
        <v>1</v>
      </c>
      <c r="AB11898">
        <v>0</v>
      </c>
      <c r="AC11898">
        <v>0</v>
      </c>
      <c r="AD11898">
        <v>1</v>
      </c>
      <c r="AE11898">
        <v>1</v>
      </c>
      <c r="AF11898">
        <v>1</v>
      </c>
      <c r="AG11898">
        <v>1</v>
      </c>
      <c r="AH11898">
        <v>1</v>
      </c>
      <c r="AI11898">
        <v>1</v>
      </c>
      <c r="AJ11898">
        <v>1</v>
      </c>
      <c r="AK11898">
        <v>1</v>
      </c>
      <c r="AL11898">
        <v>1</v>
      </c>
      <c r="AM11898">
        <v>1</v>
      </c>
    </row>
    <row r="11899" spans="1:39" x14ac:dyDescent="0.2">
      <c r="A11899" t="str">
        <f>"11895"</f>
        <v>11895</v>
      </c>
      <c r="B11899" t="str">
        <f t="shared" si="662"/>
        <v>1</v>
      </c>
      <c r="C11899" t="str">
        <f t="shared" si="661"/>
        <v>238</v>
      </c>
      <c r="D11899" t="str">
        <f>"31"</f>
        <v>31</v>
      </c>
      <c r="E11899" t="str">
        <f>"1-238-31"</f>
        <v>1-238-31</v>
      </c>
      <c r="F11899" t="s">
        <v>65</v>
      </c>
      <c r="G11899" t="s">
        <v>66</v>
      </c>
      <c r="H11899" t="s">
        <v>67</v>
      </c>
      <c r="S11899">
        <v>0</v>
      </c>
      <c r="T11899">
        <v>1</v>
      </c>
      <c r="U11899">
        <v>0</v>
      </c>
      <c r="V11899">
        <v>0</v>
      </c>
      <c r="W11899">
        <v>0</v>
      </c>
      <c r="X11899">
        <v>1</v>
      </c>
      <c r="Y11899">
        <v>0</v>
      </c>
      <c r="Z11899">
        <v>1</v>
      </c>
      <c r="AA11899">
        <v>0</v>
      </c>
      <c r="AB11899">
        <v>0</v>
      </c>
      <c r="AC11899">
        <v>1</v>
      </c>
      <c r="AD11899">
        <v>0</v>
      </c>
      <c r="AE11899">
        <v>0</v>
      </c>
      <c r="AF11899">
        <v>0</v>
      </c>
      <c r="AG11899">
        <v>1</v>
      </c>
      <c r="AH11899">
        <v>0</v>
      </c>
      <c r="AI11899">
        <v>1</v>
      </c>
      <c r="AJ11899">
        <v>1</v>
      </c>
      <c r="AK11899">
        <v>0</v>
      </c>
      <c r="AL11899">
        <v>0</v>
      </c>
      <c r="AM11899">
        <v>1</v>
      </c>
    </row>
    <row r="11900" spans="1:39" x14ac:dyDescent="0.2">
      <c r="A11900" t="str">
        <f>"11896"</f>
        <v>11896</v>
      </c>
      <c r="B11900" t="str">
        <f t="shared" si="662"/>
        <v>1</v>
      </c>
      <c r="C11900" t="str">
        <f t="shared" si="661"/>
        <v>238</v>
      </c>
      <c r="D11900" t="str">
        <f>"9"</f>
        <v>9</v>
      </c>
      <c r="E11900" t="str">
        <f>"1-238-9"</f>
        <v>1-238-9</v>
      </c>
      <c r="F11900" t="s">
        <v>65</v>
      </c>
      <c r="G11900" t="s">
        <v>66</v>
      </c>
      <c r="H11900" t="s">
        <v>67</v>
      </c>
      <c r="S11900">
        <v>1</v>
      </c>
      <c r="T11900">
        <v>0</v>
      </c>
      <c r="U11900">
        <v>0</v>
      </c>
      <c r="V11900">
        <v>0</v>
      </c>
      <c r="W11900">
        <v>1</v>
      </c>
      <c r="X11900">
        <v>0</v>
      </c>
      <c r="Y11900">
        <v>0</v>
      </c>
      <c r="Z11900">
        <v>1</v>
      </c>
      <c r="AA11900">
        <v>0</v>
      </c>
      <c r="AB11900">
        <v>0</v>
      </c>
      <c r="AC11900">
        <v>1</v>
      </c>
      <c r="AD11900">
        <v>1</v>
      </c>
      <c r="AE11900">
        <v>1</v>
      </c>
      <c r="AF11900">
        <v>1</v>
      </c>
      <c r="AG11900">
        <v>1</v>
      </c>
      <c r="AH11900">
        <v>1</v>
      </c>
      <c r="AI11900">
        <v>1</v>
      </c>
      <c r="AJ11900">
        <v>1</v>
      </c>
      <c r="AK11900">
        <v>1</v>
      </c>
      <c r="AL11900">
        <v>1</v>
      </c>
      <c r="AM11900">
        <v>1</v>
      </c>
    </row>
    <row r="11901" spans="1:39" x14ac:dyDescent="0.2">
      <c r="A11901" t="str">
        <f>"11897"</f>
        <v>11897</v>
      </c>
      <c r="B11901" t="str">
        <f t="shared" si="662"/>
        <v>1</v>
      </c>
      <c r="C11901" t="str">
        <f t="shared" si="661"/>
        <v>238</v>
      </c>
      <c r="D11901" t="str">
        <f>"50"</f>
        <v>50</v>
      </c>
      <c r="E11901" t="str">
        <f>"1-238-50"</f>
        <v>1-238-50</v>
      </c>
      <c r="F11901" t="s">
        <v>65</v>
      </c>
      <c r="G11901" t="s">
        <v>66</v>
      </c>
      <c r="H11901" t="s">
        <v>67</v>
      </c>
      <c r="S11901">
        <v>0</v>
      </c>
      <c r="T11901">
        <v>1</v>
      </c>
      <c r="U11901">
        <v>0</v>
      </c>
      <c r="V11901">
        <v>0</v>
      </c>
      <c r="W11901">
        <v>1</v>
      </c>
      <c r="X11901">
        <v>0</v>
      </c>
      <c r="Y11901">
        <v>0</v>
      </c>
      <c r="Z11901">
        <v>1</v>
      </c>
      <c r="AA11901">
        <v>0</v>
      </c>
      <c r="AB11901">
        <v>1</v>
      </c>
      <c r="AC11901">
        <v>0</v>
      </c>
      <c r="AD11901">
        <v>1</v>
      </c>
      <c r="AE11901">
        <v>1</v>
      </c>
      <c r="AF11901">
        <v>1</v>
      </c>
      <c r="AG11901">
        <v>1</v>
      </c>
      <c r="AH11901">
        <v>1</v>
      </c>
      <c r="AI11901">
        <v>1</v>
      </c>
      <c r="AJ11901">
        <v>1</v>
      </c>
      <c r="AK11901">
        <v>1</v>
      </c>
      <c r="AL11901">
        <v>1</v>
      </c>
      <c r="AM11901">
        <v>1</v>
      </c>
    </row>
    <row r="11902" spans="1:39" x14ac:dyDescent="0.2">
      <c r="A11902" t="str">
        <f>"11898"</f>
        <v>11898</v>
      </c>
      <c r="B11902" t="str">
        <f t="shared" si="662"/>
        <v>1</v>
      </c>
      <c r="C11902" t="str">
        <f t="shared" si="661"/>
        <v>238</v>
      </c>
      <c r="D11902" t="str">
        <f>"32"</f>
        <v>32</v>
      </c>
      <c r="E11902" t="str">
        <f>"1-238-32"</f>
        <v>1-238-32</v>
      </c>
      <c r="F11902" t="s">
        <v>65</v>
      </c>
      <c r="G11902" t="s">
        <v>66</v>
      </c>
      <c r="H11902" t="s">
        <v>67</v>
      </c>
      <c r="S11902">
        <v>0</v>
      </c>
      <c r="T11902">
        <v>1</v>
      </c>
      <c r="U11902">
        <v>0</v>
      </c>
      <c r="V11902">
        <v>0</v>
      </c>
      <c r="W11902">
        <v>1</v>
      </c>
      <c r="X11902">
        <v>0</v>
      </c>
      <c r="Y11902">
        <v>0</v>
      </c>
      <c r="Z11902">
        <v>1</v>
      </c>
      <c r="AA11902">
        <v>0</v>
      </c>
      <c r="AB11902">
        <v>0</v>
      </c>
      <c r="AC11902">
        <v>1</v>
      </c>
      <c r="AD11902">
        <v>1</v>
      </c>
      <c r="AE11902">
        <v>1</v>
      </c>
      <c r="AF11902">
        <v>1</v>
      </c>
      <c r="AG11902">
        <v>1</v>
      </c>
      <c r="AH11902">
        <v>1</v>
      </c>
      <c r="AI11902">
        <v>1</v>
      </c>
      <c r="AJ11902">
        <v>1</v>
      </c>
      <c r="AK11902">
        <v>1</v>
      </c>
      <c r="AL11902">
        <v>1</v>
      </c>
      <c r="AM11902">
        <v>1</v>
      </c>
    </row>
    <row r="11903" spans="1:39" x14ac:dyDescent="0.2">
      <c r="A11903" t="str">
        <f>"11899"</f>
        <v>11899</v>
      </c>
      <c r="B11903" t="str">
        <f t="shared" si="662"/>
        <v>1</v>
      </c>
      <c r="C11903" t="str">
        <f t="shared" si="661"/>
        <v>238</v>
      </c>
      <c r="D11903" t="str">
        <f>"14"</f>
        <v>14</v>
      </c>
      <c r="E11903" t="str">
        <f>"1-238-14"</f>
        <v>1-238-14</v>
      </c>
      <c r="F11903" t="s">
        <v>65</v>
      </c>
      <c r="G11903" t="s">
        <v>66</v>
      </c>
      <c r="H11903" t="s">
        <v>67</v>
      </c>
      <c r="S11903">
        <v>0</v>
      </c>
      <c r="T11903">
        <v>1</v>
      </c>
      <c r="U11903">
        <v>0</v>
      </c>
      <c r="V11903">
        <v>0</v>
      </c>
      <c r="W11903">
        <v>1</v>
      </c>
      <c r="X11903">
        <v>0</v>
      </c>
      <c r="Y11903">
        <v>0</v>
      </c>
      <c r="Z11903">
        <v>1</v>
      </c>
      <c r="AA11903">
        <v>1</v>
      </c>
      <c r="AB11903">
        <v>0</v>
      </c>
      <c r="AC11903">
        <v>0</v>
      </c>
      <c r="AD11903">
        <v>1</v>
      </c>
      <c r="AE11903">
        <v>1</v>
      </c>
      <c r="AF11903">
        <v>1</v>
      </c>
      <c r="AG11903">
        <v>1</v>
      </c>
      <c r="AH11903">
        <v>1</v>
      </c>
      <c r="AI11903">
        <v>1</v>
      </c>
      <c r="AJ11903">
        <v>1</v>
      </c>
      <c r="AK11903">
        <v>1</v>
      </c>
      <c r="AL11903">
        <v>1</v>
      </c>
      <c r="AM11903">
        <v>1</v>
      </c>
    </row>
    <row r="11904" spans="1:39" x14ac:dyDescent="0.2">
      <c r="A11904" t="str">
        <f>"11900"</f>
        <v>11900</v>
      </c>
      <c r="B11904" t="str">
        <f t="shared" si="662"/>
        <v>1</v>
      </c>
      <c r="C11904" t="str">
        <f t="shared" si="661"/>
        <v>238</v>
      </c>
      <c r="D11904" t="str">
        <f>"11"</f>
        <v>11</v>
      </c>
      <c r="E11904" t="str">
        <f>"1-238-11"</f>
        <v>1-238-11</v>
      </c>
      <c r="F11904" t="s">
        <v>65</v>
      </c>
      <c r="G11904" t="s">
        <v>66</v>
      </c>
      <c r="H11904" t="s">
        <v>67</v>
      </c>
      <c r="S11904">
        <v>0</v>
      </c>
      <c r="T11904">
        <v>1</v>
      </c>
      <c r="U11904">
        <v>0</v>
      </c>
      <c r="V11904">
        <v>0</v>
      </c>
      <c r="W11904">
        <v>1</v>
      </c>
      <c r="X11904">
        <v>0</v>
      </c>
      <c r="Y11904">
        <v>0</v>
      </c>
      <c r="Z11904">
        <v>1</v>
      </c>
      <c r="AA11904">
        <v>0</v>
      </c>
      <c r="AB11904">
        <v>0</v>
      </c>
      <c r="AC11904">
        <v>1</v>
      </c>
      <c r="AD11904">
        <v>1</v>
      </c>
      <c r="AE11904">
        <v>1</v>
      </c>
      <c r="AF11904">
        <v>1</v>
      </c>
      <c r="AG11904">
        <v>1</v>
      </c>
      <c r="AH11904">
        <v>1</v>
      </c>
      <c r="AI11904">
        <v>1</v>
      </c>
      <c r="AJ11904">
        <v>1</v>
      </c>
      <c r="AK11904">
        <v>1</v>
      </c>
      <c r="AL11904">
        <v>1</v>
      </c>
      <c r="AM11904">
        <v>1</v>
      </c>
    </row>
    <row r="11905" spans="1:39" x14ac:dyDescent="0.2">
      <c r="A11905" t="str">
        <f>"11901"</f>
        <v>11901</v>
      </c>
      <c r="B11905" t="str">
        <f t="shared" si="662"/>
        <v>1</v>
      </c>
      <c r="C11905" t="str">
        <f t="shared" ref="C11905:C11936" si="663">"239"</f>
        <v>239</v>
      </c>
      <c r="D11905" t="str">
        <f>"38"</f>
        <v>38</v>
      </c>
      <c r="E11905" t="str">
        <f>"1-239-38"</f>
        <v>1-239-38</v>
      </c>
      <c r="F11905" t="s">
        <v>65</v>
      </c>
      <c r="G11905" t="s">
        <v>66</v>
      </c>
      <c r="H11905" t="s">
        <v>67</v>
      </c>
      <c r="S11905">
        <v>0</v>
      </c>
      <c r="T11905">
        <v>1</v>
      </c>
      <c r="U11905">
        <v>0</v>
      </c>
      <c r="V11905">
        <v>0</v>
      </c>
      <c r="W11905">
        <v>0</v>
      </c>
      <c r="X11905">
        <v>1</v>
      </c>
      <c r="Y11905">
        <v>0</v>
      </c>
      <c r="Z11905">
        <v>1</v>
      </c>
      <c r="AA11905">
        <v>0</v>
      </c>
      <c r="AB11905">
        <v>0</v>
      </c>
      <c r="AC11905">
        <v>1</v>
      </c>
      <c r="AD11905">
        <v>1</v>
      </c>
      <c r="AE11905">
        <v>1</v>
      </c>
      <c r="AF11905">
        <v>1</v>
      </c>
      <c r="AG11905">
        <v>1</v>
      </c>
      <c r="AH11905">
        <v>1</v>
      </c>
      <c r="AI11905">
        <v>1</v>
      </c>
      <c r="AJ11905">
        <v>1</v>
      </c>
      <c r="AK11905">
        <v>1</v>
      </c>
      <c r="AL11905">
        <v>1</v>
      </c>
      <c r="AM11905">
        <v>1</v>
      </c>
    </row>
    <row r="11906" spans="1:39" x14ac:dyDescent="0.2">
      <c r="A11906" t="str">
        <f>"11902"</f>
        <v>11902</v>
      </c>
      <c r="B11906" t="str">
        <f t="shared" si="662"/>
        <v>1</v>
      </c>
      <c r="C11906" t="str">
        <f t="shared" si="663"/>
        <v>239</v>
      </c>
      <c r="D11906" t="str">
        <f>"37"</f>
        <v>37</v>
      </c>
      <c r="E11906" t="str">
        <f>"1-239-37"</f>
        <v>1-239-37</v>
      </c>
      <c r="F11906" t="s">
        <v>65</v>
      </c>
      <c r="G11906" t="s">
        <v>66</v>
      </c>
      <c r="H11906" t="s">
        <v>67</v>
      </c>
      <c r="S11906">
        <v>1</v>
      </c>
      <c r="T11906">
        <v>0</v>
      </c>
      <c r="U11906">
        <v>0</v>
      </c>
      <c r="V11906">
        <v>0</v>
      </c>
      <c r="W11906">
        <v>1</v>
      </c>
      <c r="X11906">
        <v>0</v>
      </c>
      <c r="Y11906">
        <v>1</v>
      </c>
      <c r="Z11906">
        <v>0</v>
      </c>
      <c r="AA11906">
        <v>1</v>
      </c>
      <c r="AB11906">
        <v>0</v>
      </c>
      <c r="AC11906">
        <v>0</v>
      </c>
      <c r="AD11906">
        <v>1</v>
      </c>
      <c r="AE11906">
        <v>1</v>
      </c>
      <c r="AF11906">
        <v>1</v>
      </c>
      <c r="AG11906">
        <v>1</v>
      </c>
      <c r="AH11906">
        <v>1</v>
      </c>
      <c r="AI11906">
        <v>1</v>
      </c>
      <c r="AJ11906">
        <v>1</v>
      </c>
      <c r="AK11906">
        <v>1</v>
      </c>
      <c r="AL11906">
        <v>1</v>
      </c>
      <c r="AM11906">
        <v>1</v>
      </c>
    </row>
    <row r="11907" spans="1:39" x14ac:dyDescent="0.2">
      <c r="A11907" t="str">
        <f>"11903"</f>
        <v>11903</v>
      </c>
      <c r="B11907" t="str">
        <f t="shared" si="662"/>
        <v>1</v>
      </c>
      <c r="C11907" t="str">
        <f t="shared" si="663"/>
        <v>239</v>
      </c>
      <c r="D11907" t="str">
        <f>"24"</f>
        <v>24</v>
      </c>
      <c r="E11907" t="str">
        <f>"1-239-24"</f>
        <v>1-239-24</v>
      </c>
      <c r="F11907" t="s">
        <v>65</v>
      </c>
      <c r="G11907" t="s">
        <v>66</v>
      </c>
      <c r="H11907" t="s">
        <v>67</v>
      </c>
      <c r="S11907">
        <v>0</v>
      </c>
      <c r="T11907">
        <v>1</v>
      </c>
      <c r="U11907">
        <v>0</v>
      </c>
      <c r="V11907">
        <v>0</v>
      </c>
      <c r="W11907">
        <v>1</v>
      </c>
      <c r="X11907">
        <v>0</v>
      </c>
      <c r="Y11907">
        <v>0</v>
      </c>
      <c r="Z11907">
        <v>1</v>
      </c>
      <c r="AA11907">
        <v>1</v>
      </c>
      <c r="AB11907">
        <v>0</v>
      </c>
      <c r="AC11907">
        <v>0</v>
      </c>
      <c r="AD11907">
        <v>1</v>
      </c>
      <c r="AE11907">
        <v>1</v>
      </c>
      <c r="AF11907">
        <v>1</v>
      </c>
      <c r="AG11907">
        <v>1</v>
      </c>
      <c r="AH11907">
        <v>1</v>
      </c>
      <c r="AI11907">
        <v>1</v>
      </c>
      <c r="AJ11907">
        <v>1</v>
      </c>
      <c r="AK11907">
        <v>1</v>
      </c>
      <c r="AL11907">
        <v>1</v>
      </c>
      <c r="AM11907">
        <v>1</v>
      </c>
    </row>
    <row r="11908" spans="1:39" x14ac:dyDescent="0.2">
      <c r="A11908" t="str">
        <f>"11904"</f>
        <v>11904</v>
      </c>
      <c r="B11908" t="str">
        <f t="shared" si="662"/>
        <v>1</v>
      </c>
      <c r="C11908" t="str">
        <f t="shared" si="663"/>
        <v>239</v>
      </c>
      <c r="D11908" t="str">
        <f>"23"</f>
        <v>23</v>
      </c>
      <c r="E11908" t="str">
        <f>"1-239-23"</f>
        <v>1-239-23</v>
      </c>
      <c r="F11908" t="s">
        <v>65</v>
      </c>
      <c r="G11908" t="s">
        <v>66</v>
      </c>
      <c r="H11908" t="s">
        <v>67</v>
      </c>
      <c r="S11908">
        <v>0</v>
      </c>
      <c r="T11908">
        <v>1</v>
      </c>
      <c r="U11908">
        <v>0</v>
      </c>
      <c r="V11908">
        <v>0</v>
      </c>
      <c r="W11908">
        <v>0</v>
      </c>
      <c r="X11908">
        <v>1</v>
      </c>
      <c r="Y11908">
        <v>0</v>
      </c>
      <c r="Z11908">
        <v>1</v>
      </c>
      <c r="AA11908">
        <v>0</v>
      </c>
      <c r="AB11908">
        <v>1</v>
      </c>
      <c r="AC11908">
        <v>0</v>
      </c>
      <c r="AD11908">
        <v>1</v>
      </c>
      <c r="AE11908">
        <v>1</v>
      </c>
      <c r="AF11908">
        <v>1</v>
      </c>
      <c r="AG11908">
        <v>1</v>
      </c>
      <c r="AH11908">
        <v>1</v>
      </c>
      <c r="AI11908">
        <v>1</v>
      </c>
      <c r="AJ11908">
        <v>1</v>
      </c>
      <c r="AK11908">
        <v>1</v>
      </c>
      <c r="AL11908">
        <v>1</v>
      </c>
      <c r="AM11908">
        <v>1</v>
      </c>
    </row>
    <row r="11909" spans="1:39" x14ac:dyDescent="0.2">
      <c r="A11909" t="str">
        <f>"11905"</f>
        <v>11905</v>
      </c>
      <c r="B11909" t="str">
        <f t="shared" si="662"/>
        <v>1</v>
      </c>
      <c r="C11909" t="str">
        <f t="shared" si="663"/>
        <v>239</v>
      </c>
      <c r="D11909" t="str">
        <f>"19"</f>
        <v>19</v>
      </c>
      <c r="E11909" t="str">
        <f>"1-239-19"</f>
        <v>1-239-19</v>
      </c>
      <c r="F11909" t="s">
        <v>65</v>
      </c>
      <c r="G11909" t="s">
        <v>66</v>
      </c>
      <c r="H11909" t="s">
        <v>67</v>
      </c>
      <c r="S11909">
        <v>0</v>
      </c>
      <c r="T11909">
        <v>0</v>
      </c>
      <c r="U11909">
        <v>0</v>
      </c>
      <c r="V11909">
        <v>0</v>
      </c>
      <c r="W11909">
        <v>0</v>
      </c>
      <c r="X11909">
        <v>1</v>
      </c>
      <c r="Y11909">
        <v>0</v>
      </c>
      <c r="Z11909">
        <v>0</v>
      </c>
      <c r="AA11909">
        <v>0</v>
      </c>
      <c r="AB11909">
        <v>1</v>
      </c>
      <c r="AC11909">
        <v>0</v>
      </c>
      <c r="AD11909">
        <v>0</v>
      </c>
      <c r="AE11909">
        <v>0</v>
      </c>
      <c r="AF11909">
        <v>0</v>
      </c>
      <c r="AG11909">
        <v>0</v>
      </c>
      <c r="AH11909">
        <v>0</v>
      </c>
      <c r="AI11909">
        <v>0</v>
      </c>
      <c r="AJ11909">
        <v>0</v>
      </c>
      <c r="AK11909">
        <v>0</v>
      </c>
      <c r="AL11909">
        <v>0</v>
      </c>
      <c r="AM11909">
        <v>0</v>
      </c>
    </row>
    <row r="11910" spans="1:39" x14ac:dyDescent="0.2">
      <c r="A11910" t="str">
        <f>"11906"</f>
        <v>11906</v>
      </c>
      <c r="B11910" t="str">
        <f t="shared" si="662"/>
        <v>1</v>
      </c>
      <c r="C11910" t="str">
        <f t="shared" si="663"/>
        <v>239</v>
      </c>
      <c r="D11910" t="str">
        <f>"15"</f>
        <v>15</v>
      </c>
      <c r="E11910" t="str">
        <f>"1-239-15"</f>
        <v>1-239-15</v>
      </c>
      <c r="F11910" t="s">
        <v>65</v>
      </c>
      <c r="G11910" t="s">
        <v>66</v>
      </c>
      <c r="H11910" t="s">
        <v>67</v>
      </c>
      <c r="S11910">
        <v>0</v>
      </c>
      <c r="T11910">
        <v>0</v>
      </c>
      <c r="U11910">
        <v>0</v>
      </c>
      <c r="V11910">
        <v>0</v>
      </c>
      <c r="W11910">
        <v>0</v>
      </c>
      <c r="X11910">
        <v>1</v>
      </c>
      <c r="Y11910">
        <v>0</v>
      </c>
      <c r="Z11910">
        <v>0</v>
      </c>
      <c r="AA11910">
        <v>0</v>
      </c>
      <c r="AB11910">
        <v>0</v>
      </c>
      <c r="AC11910">
        <v>0</v>
      </c>
      <c r="AD11910">
        <v>0</v>
      </c>
      <c r="AE11910">
        <v>0</v>
      </c>
      <c r="AF11910">
        <v>0</v>
      </c>
      <c r="AG11910">
        <v>0</v>
      </c>
      <c r="AH11910">
        <v>0</v>
      </c>
      <c r="AI11910">
        <v>0</v>
      </c>
      <c r="AJ11910">
        <v>0</v>
      </c>
      <c r="AK11910">
        <v>0</v>
      </c>
      <c r="AL11910">
        <v>0</v>
      </c>
      <c r="AM11910">
        <v>0</v>
      </c>
    </row>
    <row r="11911" spans="1:39" x14ac:dyDescent="0.2">
      <c r="A11911" t="str">
        <f>"11907"</f>
        <v>11907</v>
      </c>
      <c r="B11911" t="str">
        <f t="shared" si="662"/>
        <v>1</v>
      </c>
      <c r="C11911" t="str">
        <f t="shared" si="663"/>
        <v>239</v>
      </c>
      <c r="D11911" t="str">
        <f>"1"</f>
        <v>1</v>
      </c>
      <c r="E11911" t="str">
        <f>"1-239-1"</f>
        <v>1-239-1</v>
      </c>
      <c r="F11911" t="s">
        <v>65</v>
      </c>
      <c r="G11911" t="s">
        <v>66</v>
      </c>
      <c r="H11911" t="s">
        <v>67</v>
      </c>
      <c r="S11911">
        <v>0</v>
      </c>
      <c r="T11911">
        <v>1</v>
      </c>
      <c r="U11911">
        <v>0</v>
      </c>
      <c r="V11911">
        <v>0</v>
      </c>
      <c r="W11911">
        <v>0</v>
      </c>
      <c r="X11911">
        <v>1</v>
      </c>
      <c r="Y11911">
        <v>0</v>
      </c>
      <c r="Z11911">
        <v>1</v>
      </c>
      <c r="AA11911">
        <v>0</v>
      </c>
      <c r="AB11911">
        <v>0</v>
      </c>
      <c r="AC11911">
        <v>1</v>
      </c>
      <c r="AD11911">
        <v>0</v>
      </c>
      <c r="AE11911">
        <v>0</v>
      </c>
      <c r="AF11911">
        <v>0</v>
      </c>
      <c r="AG11911">
        <v>1</v>
      </c>
      <c r="AH11911">
        <v>1</v>
      </c>
      <c r="AI11911">
        <v>0</v>
      </c>
      <c r="AJ11911">
        <v>1</v>
      </c>
      <c r="AK11911">
        <v>1</v>
      </c>
      <c r="AL11911">
        <v>1</v>
      </c>
      <c r="AM11911">
        <v>0</v>
      </c>
    </row>
    <row r="11912" spans="1:39" x14ac:dyDescent="0.2">
      <c r="A11912" t="str">
        <f>"11908"</f>
        <v>11908</v>
      </c>
      <c r="B11912" t="str">
        <f t="shared" si="662"/>
        <v>1</v>
      </c>
      <c r="C11912" t="str">
        <f t="shared" si="663"/>
        <v>239</v>
      </c>
      <c r="D11912" t="str">
        <f>"36"</f>
        <v>36</v>
      </c>
      <c r="E11912" t="str">
        <f>"1-239-36"</f>
        <v>1-239-36</v>
      </c>
      <c r="F11912" t="s">
        <v>65</v>
      </c>
      <c r="G11912" t="s">
        <v>66</v>
      </c>
      <c r="H11912" t="s">
        <v>67</v>
      </c>
      <c r="S11912">
        <v>0</v>
      </c>
      <c r="T11912">
        <v>1</v>
      </c>
      <c r="U11912">
        <v>0</v>
      </c>
      <c r="V11912">
        <v>0</v>
      </c>
      <c r="W11912">
        <v>1</v>
      </c>
      <c r="X11912">
        <v>0</v>
      </c>
      <c r="Y11912">
        <v>1</v>
      </c>
      <c r="Z11912">
        <v>0</v>
      </c>
      <c r="AA11912">
        <v>0</v>
      </c>
      <c r="AB11912">
        <v>0</v>
      </c>
      <c r="AC11912">
        <v>0</v>
      </c>
      <c r="AD11912">
        <v>0</v>
      </c>
      <c r="AE11912">
        <v>0</v>
      </c>
      <c r="AF11912">
        <v>0</v>
      </c>
      <c r="AG11912">
        <v>0</v>
      </c>
      <c r="AH11912">
        <v>0</v>
      </c>
      <c r="AI11912">
        <v>0</v>
      </c>
      <c r="AJ11912">
        <v>0</v>
      </c>
      <c r="AK11912">
        <v>0</v>
      </c>
      <c r="AL11912">
        <v>0</v>
      </c>
      <c r="AM11912">
        <v>0</v>
      </c>
    </row>
    <row r="11913" spans="1:39" x14ac:dyDescent="0.2">
      <c r="A11913" t="str">
        <f>"11909"</f>
        <v>11909</v>
      </c>
      <c r="B11913" t="str">
        <f t="shared" si="662"/>
        <v>1</v>
      </c>
      <c r="C11913" t="str">
        <f t="shared" si="663"/>
        <v>239</v>
      </c>
      <c r="D11913" t="str">
        <f>"35"</f>
        <v>35</v>
      </c>
      <c r="E11913" t="str">
        <f>"1-239-35"</f>
        <v>1-239-35</v>
      </c>
      <c r="F11913" t="s">
        <v>65</v>
      </c>
      <c r="G11913" t="s">
        <v>66</v>
      </c>
      <c r="H11913" t="s">
        <v>67</v>
      </c>
      <c r="S11913">
        <v>1</v>
      </c>
      <c r="T11913">
        <v>0</v>
      </c>
      <c r="U11913">
        <v>0</v>
      </c>
      <c r="V11913">
        <v>0</v>
      </c>
      <c r="W11913">
        <v>1</v>
      </c>
      <c r="X11913">
        <v>0</v>
      </c>
      <c r="Y11913">
        <v>1</v>
      </c>
      <c r="Z11913">
        <v>0</v>
      </c>
      <c r="AA11913">
        <v>1</v>
      </c>
      <c r="AB11913">
        <v>0</v>
      </c>
      <c r="AC11913">
        <v>0</v>
      </c>
      <c r="AD11913">
        <v>1</v>
      </c>
      <c r="AE11913">
        <v>1</v>
      </c>
      <c r="AF11913">
        <v>1</v>
      </c>
      <c r="AG11913">
        <v>1</v>
      </c>
      <c r="AH11913">
        <v>1</v>
      </c>
      <c r="AI11913">
        <v>1</v>
      </c>
      <c r="AJ11913">
        <v>1</v>
      </c>
      <c r="AK11913">
        <v>1</v>
      </c>
      <c r="AL11913">
        <v>1</v>
      </c>
      <c r="AM11913">
        <v>1</v>
      </c>
    </row>
    <row r="11914" spans="1:39" x14ac:dyDescent="0.2">
      <c r="A11914" t="str">
        <f>"11910"</f>
        <v>11910</v>
      </c>
      <c r="B11914" t="str">
        <f t="shared" si="662"/>
        <v>1</v>
      </c>
      <c r="C11914" t="str">
        <f t="shared" si="663"/>
        <v>239</v>
      </c>
      <c r="D11914" t="str">
        <f>"25"</f>
        <v>25</v>
      </c>
      <c r="E11914" t="str">
        <f>"1-239-25"</f>
        <v>1-239-25</v>
      </c>
      <c r="F11914" t="s">
        <v>65</v>
      </c>
      <c r="G11914" t="s">
        <v>66</v>
      </c>
      <c r="H11914" t="s">
        <v>67</v>
      </c>
      <c r="S11914">
        <v>0</v>
      </c>
      <c r="T11914">
        <v>1</v>
      </c>
      <c r="U11914">
        <v>0</v>
      </c>
      <c r="V11914">
        <v>0</v>
      </c>
      <c r="W11914">
        <v>0</v>
      </c>
      <c r="X11914">
        <v>1</v>
      </c>
      <c r="Y11914">
        <v>0</v>
      </c>
      <c r="Z11914">
        <v>0</v>
      </c>
      <c r="AA11914">
        <v>0</v>
      </c>
      <c r="AB11914">
        <v>0</v>
      </c>
      <c r="AC11914">
        <v>1</v>
      </c>
      <c r="AD11914">
        <v>0</v>
      </c>
      <c r="AE11914">
        <v>0</v>
      </c>
      <c r="AF11914">
        <v>0</v>
      </c>
      <c r="AG11914">
        <v>0</v>
      </c>
      <c r="AH11914">
        <v>1</v>
      </c>
      <c r="AI11914">
        <v>0</v>
      </c>
      <c r="AJ11914">
        <v>0</v>
      </c>
      <c r="AK11914">
        <v>0</v>
      </c>
      <c r="AL11914">
        <v>0</v>
      </c>
      <c r="AM11914">
        <v>0</v>
      </c>
    </row>
    <row r="11915" spans="1:39" x14ac:dyDescent="0.2">
      <c r="A11915" t="str">
        <f>"11911"</f>
        <v>11911</v>
      </c>
      <c r="B11915" t="str">
        <f t="shared" si="662"/>
        <v>1</v>
      </c>
      <c r="C11915" t="str">
        <f t="shared" si="663"/>
        <v>239</v>
      </c>
      <c r="D11915" t="str">
        <f>"16"</f>
        <v>16</v>
      </c>
      <c r="E11915" t="str">
        <f>"1-239-16"</f>
        <v>1-239-16</v>
      </c>
      <c r="F11915" t="s">
        <v>65</v>
      </c>
      <c r="G11915" t="s">
        <v>66</v>
      </c>
      <c r="H11915" t="s">
        <v>67</v>
      </c>
      <c r="S11915">
        <v>1</v>
      </c>
      <c r="T11915">
        <v>0</v>
      </c>
      <c r="U11915">
        <v>0</v>
      </c>
      <c r="V11915">
        <v>0</v>
      </c>
      <c r="W11915">
        <v>1</v>
      </c>
      <c r="X11915">
        <v>0</v>
      </c>
      <c r="Y11915">
        <v>1</v>
      </c>
      <c r="Z11915">
        <v>0</v>
      </c>
      <c r="AA11915">
        <v>1</v>
      </c>
      <c r="AB11915">
        <v>0</v>
      </c>
      <c r="AC11915">
        <v>0</v>
      </c>
      <c r="AD11915">
        <v>1</v>
      </c>
      <c r="AE11915">
        <v>1</v>
      </c>
      <c r="AF11915">
        <v>1</v>
      </c>
      <c r="AG11915">
        <v>1</v>
      </c>
      <c r="AH11915">
        <v>1</v>
      </c>
      <c r="AI11915">
        <v>1</v>
      </c>
      <c r="AJ11915">
        <v>1</v>
      </c>
      <c r="AK11915">
        <v>1</v>
      </c>
      <c r="AL11915">
        <v>1</v>
      </c>
      <c r="AM11915">
        <v>1</v>
      </c>
    </row>
    <row r="11916" spans="1:39" x14ac:dyDescent="0.2">
      <c r="A11916" t="str">
        <f>"11912"</f>
        <v>11912</v>
      </c>
      <c r="B11916" t="str">
        <f t="shared" si="662"/>
        <v>1</v>
      </c>
      <c r="C11916" t="str">
        <f t="shared" si="663"/>
        <v>239</v>
      </c>
      <c r="D11916" t="str">
        <f>"10"</f>
        <v>10</v>
      </c>
      <c r="E11916" t="str">
        <f>"1-239-10"</f>
        <v>1-239-10</v>
      </c>
      <c r="F11916" t="s">
        <v>65</v>
      </c>
      <c r="G11916" t="s">
        <v>66</v>
      </c>
      <c r="H11916" t="s">
        <v>67</v>
      </c>
      <c r="S11916">
        <v>1</v>
      </c>
      <c r="T11916">
        <v>0</v>
      </c>
      <c r="U11916">
        <v>0</v>
      </c>
      <c r="V11916">
        <v>0</v>
      </c>
      <c r="W11916">
        <v>1</v>
      </c>
      <c r="X11916">
        <v>0</v>
      </c>
      <c r="Y11916">
        <v>1</v>
      </c>
      <c r="Z11916">
        <v>0</v>
      </c>
      <c r="AA11916">
        <v>0</v>
      </c>
      <c r="AB11916">
        <v>1</v>
      </c>
      <c r="AC11916">
        <v>0</v>
      </c>
      <c r="AD11916">
        <v>1</v>
      </c>
      <c r="AE11916">
        <v>1</v>
      </c>
      <c r="AF11916">
        <v>1</v>
      </c>
      <c r="AG11916">
        <v>1</v>
      </c>
      <c r="AH11916">
        <v>1</v>
      </c>
      <c r="AI11916">
        <v>1</v>
      </c>
      <c r="AJ11916">
        <v>1</v>
      </c>
      <c r="AK11916">
        <v>1</v>
      </c>
      <c r="AL11916">
        <v>1</v>
      </c>
      <c r="AM11916">
        <v>1</v>
      </c>
    </row>
    <row r="11917" spans="1:39" x14ac:dyDescent="0.2">
      <c r="A11917" t="str">
        <f>"11913"</f>
        <v>11913</v>
      </c>
      <c r="B11917" t="str">
        <f t="shared" si="662"/>
        <v>1</v>
      </c>
      <c r="C11917" t="str">
        <f t="shared" si="663"/>
        <v>239</v>
      </c>
      <c r="D11917" t="str">
        <f>"42"</f>
        <v>42</v>
      </c>
      <c r="E11917" t="str">
        <f>"1-239-42"</f>
        <v>1-239-42</v>
      </c>
      <c r="F11917" t="s">
        <v>65</v>
      </c>
      <c r="G11917" t="s">
        <v>66</v>
      </c>
      <c r="H11917" t="s">
        <v>67</v>
      </c>
      <c r="S11917">
        <v>0</v>
      </c>
      <c r="T11917">
        <v>1</v>
      </c>
      <c r="U11917">
        <v>0</v>
      </c>
      <c r="V11917">
        <v>0</v>
      </c>
      <c r="W11917">
        <v>1</v>
      </c>
      <c r="X11917">
        <v>0</v>
      </c>
      <c r="Y11917">
        <v>0</v>
      </c>
      <c r="Z11917">
        <v>1</v>
      </c>
      <c r="AA11917">
        <v>0</v>
      </c>
      <c r="AB11917">
        <v>1</v>
      </c>
      <c r="AC11917">
        <v>0</v>
      </c>
      <c r="AD11917">
        <v>1</v>
      </c>
      <c r="AE11917">
        <v>1</v>
      </c>
      <c r="AF11917">
        <v>1</v>
      </c>
      <c r="AG11917">
        <v>1</v>
      </c>
      <c r="AH11917">
        <v>1</v>
      </c>
      <c r="AI11917">
        <v>1</v>
      </c>
      <c r="AJ11917">
        <v>1</v>
      </c>
      <c r="AK11917">
        <v>1</v>
      </c>
      <c r="AL11917">
        <v>1</v>
      </c>
      <c r="AM11917">
        <v>1</v>
      </c>
    </row>
    <row r="11918" spans="1:39" x14ac:dyDescent="0.2">
      <c r="A11918" t="str">
        <f>"11914"</f>
        <v>11914</v>
      </c>
      <c r="B11918" t="str">
        <f t="shared" si="662"/>
        <v>1</v>
      </c>
      <c r="C11918" t="str">
        <f t="shared" si="663"/>
        <v>239</v>
      </c>
      <c r="D11918" t="str">
        <f>"41"</f>
        <v>41</v>
      </c>
      <c r="E11918" t="str">
        <f>"1-239-41"</f>
        <v>1-239-41</v>
      </c>
      <c r="F11918" t="s">
        <v>65</v>
      </c>
      <c r="G11918" t="s">
        <v>66</v>
      </c>
      <c r="H11918" t="s">
        <v>67</v>
      </c>
      <c r="S11918">
        <v>1</v>
      </c>
      <c r="T11918">
        <v>0</v>
      </c>
      <c r="U11918">
        <v>0</v>
      </c>
      <c r="V11918">
        <v>0</v>
      </c>
      <c r="W11918">
        <v>1</v>
      </c>
      <c r="X11918">
        <v>0</v>
      </c>
      <c r="Y11918">
        <v>0</v>
      </c>
      <c r="Z11918">
        <v>1</v>
      </c>
      <c r="AA11918">
        <v>1</v>
      </c>
      <c r="AB11918">
        <v>0</v>
      </c>
      <c r="AC11918">
        <v>0</v>
      </c>
      <c r="AD11918">
        <v>1</v>
      </c>
      <c r="AE11918">
        <v>1</v>
      </c>
      <c r="AF11918">
        <v>1</v>
      </c>
      <c r="AG11918">
        <v>1</v>
      </c>
      <c r="AH11918">
        <v>1</v>
      </c>
      <c r="AI11918">
        <v>1</v>
      </c>
      <c r="AJ11918">
        <v>1</v>
      </c>
      <c r="AK11918">
        <v>1</v>
      </c>
      <c r="AL11918">
        <v>1</v>
      </c>
      <c r="AM11918">
        <v>1</v>
      </c>
    </row>
    <row r="11919" spans="1:39" x14ac:dyDescent="0.2">
      <c r="A11919" t="str">
        <f>"11915"</f>
        <v>11915</v>
      </c>
      <c r="B11919" t="str">
        <f t="shared" si="662"/>
        <v>1</v>
      </c>
      <c r="C11919" t="str">
        <f t="shared" si="663"/>
        <v>239</v>
      </c>
      <c r="D11919" t="str">
        <f>"31"</f>
        <v>31</v>
      </c>
      <c r="E11919" t="str">
        <f>"1-239-31"</f>
        <v>1-239-31</v>
      </c>
      <c r="F11919" t="s">
        <v>65</v>
      </c>
      <c r="G11919" t="s">
        <v>66</v>
      </c>
      <c r="H11919" t="s">
        <v>68</v>
      </c>
      <c r="I11919">
        <v>1</v>
      </c>
      <c r="J11919">
        <v>1</v>
      </c>
      <c r="K11919">
        <v>0</v>
      </c>
      <c r="L11919">
        <v>0</v>
      </c>
      <c r="M11919">
        <v>1</v>
      </c>
      <c r="N11919">
        <v>1</v>
      </c>
      <c r="O11919">
        <v>1</v>
      </c>
      <c r="P11919">
        <v>1</v>
      </c>
      <c r="Q11919">
        <v>1</v>
      </c>
      <c r="R11919">
        <v>1</v>
      </c>
    </row>
    <row r="11920" spans="1:39" x14ac:dyDescent="0.2">
      <c r="A11920" t="str">
        <f>"11916"</f>
        <v>11916</v>
      </c>
      <c r="B11920" t="str">
        <f t="shared" si="662"/>
        <v>1</v>
      </c>
      <c r="C11920" t="str">
        <f t="shared" si="663"/>
        <v>239</v>
      </c>
      <c r="D11920" t="str">
        <f>"17"</f>
        <v>17</v>
      </c>
      <c r="E11920" t="str">
        <f>"1-239-17"</f>
        <v>1-239-17</v>
      </c>
      <c r="F11920" t="s">
        <v>65</v>
      </c>
      <c r="G11920" t="s">
        <v>66</v>
      </c>
      <c r="H11920" t="s">
        <v>67</v>
      </c>
      <c r="S11920">
        <v>1</v>
      </c>
      <c r="T11920">
        <v>0</v>
      </c>
      <c r="U11920">
        <v>0</v>
      </c>
      <c r="V11920">
        <v>0</v>
      </c>
      <c r="W11920">
        <v>1</v>
      </c>
      <c r="X11920">
        <v>0</v>
      </c>
      <c r="Y11920">
        <v>1</v>
      </c>
      <c r="Z11920">
        <v>0</v>
      </c>
      <c r="AA11920">
        <v>1</v>
      </c>
      <c r="AB11920">
        <v>0</v>
      </c>
      <c r="AC11920">
        <v>0</v>
      </c>
      <c r="AD11920">
        <v>1</v>
      </c>
      <c r="AE11920">
        <v>1</v>
      </c>
      <c r="AF11920">
        <v>1</v>
      </c>
      <c r="AG11920">
        <v>1</v>
      </c>
      <c r="AH11920">
        <v>1</v>
      </c>
      <c r="AI11920">
        <v>1</v>
      </c>
      <c r="AJ11920">
        <v>1</v>
      </c>
      <c r="AK11920">
        <v>1</v>
      </c>
      <c r="AL11920">
        <v>1</v>
      </c>
      <c r="AM11920">
        <v>1</v>
      </c>
    </row>
    <row r="11921" spans="1:39" x14ac:dyDescent="0.2">
      <c r="A11921" t="str">
        <f>"11917"</f>
        <v>11917</v>
      </c>
      <c r="B11921" t="str">
        <f t="shared" si="662"/>
        <v>1</v>
      </c>
      <c r="C11921" t="str">
        <f t="shared" si="663"/>
        <v>239</v>
      </c>
      <c r="D11921" t="str">
        <f>"4"</f>
        <v>4</v>
      </c>
      <c r="E11921" t="str">
        <f>"1-239-4"</f>
        <v>1-239-4</v>
      </c>
      <c r="F11921" t="s">
        <v>65</v>
      </c>
      <c r="G11921" t="s">
        <v>66</v>
      </c>
      <c r="H11921" t="s">
        <v>67</v>
      </c>
      <c r="S11921">
        <v>1</v>
      </c>
      <c r="T11921">
        <v>0</v>
      </c>
      <c r="U11921">
        <v>0</v>
      </c>
      <c r="V11921">
        <v>0</v>
      </c>
      <c r="W11921">
        <v>1</v>
      </c>
      <c r="X11921">
        <v>0</v>
      </c>
      <c r="Y11921">
        <v>1</v>
      </c>
      <c r="Z11921">
        <v>0</v>
      </c>
      <c r="AA11921">
        <v>1</v>
      </c>
      <c r="AB11921">
        <v>0</v>
      </c>
      <c r="AC11921">
        <v>0</v>
      </c>
      <c r="AD11921">
        <v>1</v>
      </c>
      <c r="AE11921">
        <v>1</v>
      </c>
      <c r="AF11921">
        <v>1</v>
      </c>
      <c r="AG11921">
        <v>1</v>
      </c>
      <c r="AH11921">
        <v>1</v>
      </c>
      <c r="AI11921">
        <v>1</v>
      </c>
      <c r="AJ11921">
        <v>1</v>
      </c>
      <c r="AK11921">
        <v>1</v>
      </c>
      <c r="AL11921">
        <v>1</v>
      </c>
      <c r="AM11921">
        <v>1</v>
      </c>
    </row>
    <row r="11922" spans="1:39" x14ac:dyDescent="0.2">
      <c r="A11922" t="str">
        <f>"11918"</f>
        <v>11918</v>
      </c>
      <c r="B11922" t="str">
        <f t="shared" si="662"/>
        <v>1</v>
      </c>
      <c r="C11922" t="str">
        <f t="shared" si="663"/>
        <v>239</v>
      </c>
      <c r="D11922" t="str">
        <f>"44"</f>
        <v>44</v>
      </c>
      <c r="E11922" t="str">
        <f>"1-239-44"</f>
        <v>1-239-44</v>
      </c>
      <c r="F11922" t="s">
        <v>65</v>
      </c>
      <c r="G11922" t="s">
        <v>66</v>
      </c>
      <c r="H11922" t="s">
        <v>67</v>
      </c>
      <c r="S11922">
        <v>0</v>
      </c>
      <c r="T11922">
        <v>1</v>
      </c>
      <c r="U11922">
        <v>0</v>
      </c>
      <c r="V11922">
        <v>0</v>
      </c>
      <c r="W11922">
        <v>0</v>
      </c>
      <c r="X11922">
        <v>1</v>
      </c>
      <c r="Y11922">
        <v>0</v>
      </c>
      <c r="Z11922">
        <v>1</v>
      </c>
      <c r="AA11922">
        <v>0</v>
      </c>
      <c r="AB11922">
        <v>0</v>
      </c>
      <c r="AC11922">
        <v>1</v>
      </c>
      <c r="AD11922">
        <v>0</v>
      </c>
      <c r="AE11922">
        <v>0</v>
      </c>
      <c r="AF11922">
        <v>0</v>
      </c>
      <c r="AG11922">
        <v>0</v>
      </c>
      <c r="AH11922">
        <v>1</v>
      </c>
      <c r="AI11922">
        <v>1</v>
      </c>
      <c r="AJ11922">
        <v>1</v>
      </c>
      <c r="AK11922">
        <v>0</v>
      </c>
      <c r="AL11922">
        <v>1</v>
      </c>
      <c r="AM11922">
        <v>0</v>
      </c>
    </row>
    <row r="11923" spans="1:39" x14ac:dyDescent="0.2">
      <c r="A11923" t="str">
        <f>"11919"</f>
        <v>11919</v>
      </c>
      <c r="B11923" t="str">
        <f t="shared" si="662"/>
        <v>1</v>
      </c>
      <c r="C11923" t="str">
        <f t="shared" si="663"/>
        <v>239</v>
      </c>
      <c r="D11923" t="str">
        <f>"43"</f>
        <v>43</v>
      </c>
      <c r="E11923" t="str">
        <f>"1-239-43"</f>
        <v>1-239-43</v>
      </c>
      <c r="F11923" t="s">
        <v>65</v>
      </c>
      <c r="G11923" t="s">
        <v>66</v>
      </c>
      <c r="H11923" t="s">
        <v>67</v>
      </c>
      <c r="S11923">
        <v>0</v>
      </c>
      <c r="T11923">
        <v>1</v>
      </c>
      <c r="U11923">
        <v>0</v>
      </c>
      <c r="V11923">
        <v>0</v>
      </c>
      <c r="W11923">
        <v>1</v>
      </c>
      <c r="X11923">
        <v>0</v>
      </c>
      <c r="Y11923">
        <v>0</v>
      </c>
      <c r="Z11923">
        <v>1</v>
      </c>
      <c r="AA11923">
        <v>0</v>
      </c>
      <c r="AB11923">
        <v>1</v>
      </c>
      <c r="AC11923">
        <v>0</v>
      </c>
      <c r="AD11923">
        <v>1</v>
      </c>
      <c r="AE11923">
        <v>1</v>
      </c>
      <c r="AF11923">
        <v>1</v>
      </c>
      <c r="AG11923">
        <v>1</v>
      </c>
      <c r="AH11923">
        <v>1</v>
      </c>
      <c r="AI11923">
        <v>1</v>
      </c>
      <c r="AJ11923">
        <v>1</v>
      </c>
      <c r="AK11923">
        <v>1</v>
      </c>
      <c r="AL11923">
        <v>1</v>
      </c>
      <c r="AM11923">
        <v>1</v>
      </c>
    </row>
    <row r="11924" spans="1:39" x14ac:dyDescent="0.2">
      <c r="A11924" t="str">
        <f>"11920"</f>
        <v>11920</v>
      </c>
      <c r="B11924" t="str">
        <f t="shared" si="662"/>
        <v>1</v>
      </c>
      <c r="C11924" t="str">
        <f t="shared" si="663"/>
        <v>239</v>
      </c>
      <c r="D11924" t="str">
        <f>"32"</f>
        <v>32</v>
      </c>
      <c r="E11924" t="str">
        <f>"1-239-32"</f>
        <v>1-239-32</v>
      </c>
      <c r="F11924" t="s">
        <v>65</v>
      </c>
      <c r="G11924" t="s">
        <v>66</v>
      </c>
      <c r="H11924" t="s">
        <v>67</v>
      </c>
      <c r="S11924">
        <v>0</v>
      </c>
      <c r="T11924">
        <v>1</v>
      </c>
      <c r="U11924">
        <v>0</v>
      </c>
      <c r="V11924">
        <v>0</v>
      </c>
      <c r="W11924">
        <v>0</v>
      </c>
      <c r="X11924">
        <v>1</v>
      </c>
      <c r="Y11924">
        <v>1</v>
      </c>
      <c r="Z11924">
        <v>0</v>
      </c>
      <c r="AA11924">
        <v>1</v>
      </c>
      <c r="AB11924">
        <v>0</v>
      </c>
      <c r="AC11924">
        <v>0</v>
      </c>
      <c r="AD11924">
        <v>0</v>
      </c>
      <c r="AE11924">
        <v>0</v>
      </c>
      <c r="AF11924">
        <v>0</v>
      </c>
      <c r="AG11924">
        <v>1</v>
      </c>
      <c r="AH11924">
        <v>0</v>
      </c>
      <c r="AI11924">
        <v>0</v>
      </c>
      <c r="AJ11924">
        <v>0</v>
      </c>
      <c r="AK11924">
        <v>0</v>
      </c>
      <c r="AL11924">
        <v>0</v>
      </c>
      <c r="AM11924">
        <v>0</v>
      </c>
    </row>
    <row r="11925" spans="1:39" x14ac:dyDescent="0.2">
      <c r="A11925" t="str">
        <f>"11921"</f>
        <v>11921</v>
      </c>
      <c r="B11925" t="str">
        <f t="shared" si="662"/>
        <v>1</v>
      </c>
      <c r="C11925" t="str">
        <f t="shared" si="663"/>
        <v>239</v>
      </c>
      <c r="D11925" t="str">
        <f>"18"</f>
        <v>18</v>
      </c>
      <c r="E11925" t="str">
        <f>"1-239-18"</f>
        <v>1-239-18</v>
      </c>
      <c r="F11925" t="s">
        <v>65</v>
      </c>
      <c r="G11925" t="s">
        <v>66</v>
      </c>
      <c r="H11925" t="s">
        <v>67</v>
      </c>
      <c r="S11925">
        <v>1</v>
      </c>
      <c r="T11925">
        <v>0</v>
      </c>
      <c r="U11925">
        <v>0</v>
      </c>
      <c r="V11925">
        <v>0</v>
      </c>
      <c r="W11925">
        <v>0</v>
      </c>
      <c r="X11925">
        <v>1</v>
      </c>
      <c r="Y11925">
        <v>1</v>
      </c>
      <c r="Z11925">
        <v>0</v>
      </c>
      <c r="AA11925">
        <v>0</v>
      </c>
      <c r="AB11925">
        <v>1</v>
      </c>
      <c r="AC11925">
        <v>0</v>
      </c>
      <c r="AD11925">
        <v>1</v>
      </c>
      <c r="AE11925">
        <v>1</v>
      </c>
      <c r="AF11925">
        <v>1</v>
      </c>
      <c r="AG11925">
        <v>1</v>
      </c>
      <c r="AH11925">
        <v>1</v>
      </c>
      <c r="AI11925">
        <v>1</v>
      </c>
      <c r="AJ11925">
        <v>1</v>
      </c>
      <c r="AK11925">
        <v>1</v>
      </c>
      <c r="AL11925">
        <v>1</v>
      </c>
      <c r="AM11925">
        <v>1</v>
      </c>
    </row>
    <row r="11926" spans="1:39" x14ac:dyDescent="0.2">
      <c r="A11926" t="str">
        <f>"11922"</f>
        <v>11922</v>
      </c>
      <c r="B11926" t="str">
        <f t="shared" si="662"/>
        <v>1</v>
      </c>
      <c r="C11926" t="str">
        <f t="shared" si="663"/>
        <v>239</v>
      </c>
      <c r="D11926" t="str">
        <f>"14"</f>
        <v>14</v>
      </c>
      <c r="E11926" t="str">
        <f>"1-239-14"</f>
        <v>1-239-14</v>
      </c>
      <c r="F11926" t="s">
        <v>65</v>
      </c>
      <c r="G11926" t="s">
        <v>66</v>
      </c>
      <c r="H11926" t="s">
        <v>67</v>
      </c>
      <c r="S11926">
        <v>0</v>
      </c>
      <c r="T11926">
        <v>0</v>
      </c>
      <c r="U11926">
        <v>0</v>
      </c>
      <c r="V11926">
        <v>0</v>
      </c>
      <c r="W11926">
        <v>1</v>
      </c>
      <c r="X11926">
        <v>0</v>
      </c>
      <c r="Y11926">
        <v>0</v>
      </c>
      <c r="Z11926">
        <v>1</v>
      </c>
      <c r="AA11926">
        <v>0</v>
      </c>
      <c r="AB11926">
        <v>1</v>
      </c>
      <c r="AC11926">
        <v>0</v>
      </c>
      <c r="AD11926">
        <v>1</v>
      </c>
      <c r="AE11926">
        <v>0</v>
      </c>
      <c r="AF11926">
        <v>0</v>
      </c>
      <c r="AG11926">
        <v>0</v>
      </c>
      <c r="AH11926">
        <v>0</v>
      </c>
      <c r="AI11926">
        <v>0</v>
      </c>
      <c r="AJ11926">
        <v>1</v>
      </c>
      <c r="AK11926">
        <v>0</v>
      </c>
      <c r="AL11926">
        <v>0</v>
      </c>
      <c r="AM11926">
        <v>0</v>
      </c>
    </row>
    <row r="11927" spans="1:39" x14ac:dyDescent="0.2">
      <c r="A11927" t="str">
        <f>"11923"</f>
        <v>11923</v>
      </c>
      <c r="B11927" t="str">
        <f t="shared" si="662"/>
        <v>1</v>
      </c>
      <c r="C11927" t="str">
        <f t="shared" si="663"/>
        <v>239</v>
      </c>
      <c r="D11927" t="str">
        <f>"40"</f>
        <v>40</v>
      </c>
      <c r="E11927" t="str">
        <f>"1-239-40"</f>
        <v>1-239-40</v>
      </c>
      <c r="F11927" t="s">
        <v>65</v>
      </c>
      <c r="G11927" t="s">
        <v>66</v>
      </c>
      <c r="H11927" t="s">
        <v>67</v>
      </c>
      <c r="S11927">
        <v>1</v>
      </c>
      <c r="T11927">
        <v>0</v>
      </c>
      <c r="U11927">
        <v>0</v>
      </c>
      <c r="V11927">
        <v>0</v>
      </c>
      <c r="W11927">
        <v>1</v>
      </c>
      <c r="X11927">
        <v>0</v>
      </c>
      <c r="Y11927">
        <v>1</v>
      </c>
      <c r="Z11927">
        <v>0</v>
      </c>
      <c r="AA11927">
        <v>1</v>
      </c>
      <c r="AB11927">
        <v>0</v>
      </c>
      <c r="AC11927">
        <v>0</v>
      </c>
      <c r="AD11927">
        <v>1</v>
      </c>
      <c r="AE11927">
        <v>1</v>
      </c>
      <c r="AF11927">
        <v>1</v>
      </c>
      <c r="AG11927">
        <v>1</v>
      </c>
      <c r="AH11927">
        <v>1</v>
      </c>
      <c r="AI11927">
        <v>1</v>
      </c>
      <c r="AJ11927">
        <v>1</v>
      </c>
      <c r="AK11927">
        <v>1</v>
      </c>
      <c r="AL11927">
        <v>1</v>
      </c>
      <c r="AM11927">
        <v>1</v>
      </c>
    </row>
    <row r="11928" spans="1:39" x14ac:dyDescent="0.2">
      <c r="A11928" t="str">
        <f>"11924"</f>
        <v>11924</v>
      </c>
      <c r="B11928" t="str">
        <f t="shared" si="662"/>
        <v>1</v>
      </c>
      <c r="C11928" t="str">
        <f t="shared" si="663"/>
        <v>239</v>
      </c>
      <c r="D11928" t="str">
        <f>"20"</f>
        <v>20</v>
      </c>
      <c r="E11928" t="str">
        <f>"1-239-20"</f>
        <v>1-239-20</v>
      </c>
      <c r="F11928" t="s">
        <v>65</v>
      </c>
      <c r="G11928" t="s">
        <v>66</v>
      </c>
      <c r="H11928" t="s">
        <v>67</v>
      </c>
      <c r="S11928">
        <v>0</v>
      </c>
      <c r="T11928">
        <v>0</v>
      </c>
      <c r="U11928">
        <v>0</v>
      </c>
      <c r="V11928">
        <v>0</v>
      </c>
      <c r="W11928">
        <v>0</v>
      </c>
      <c r="X11928">
        <v>1</v>
      </c>
      <c r="Y11928">
        <v>0</v>
      </c>
      <c r="Z11928">
        <v>0</v>
      </c>
      <c r="AA11928">
        <v>0</v>
      </c>
      <c r="AB11928">
        <v>0</v>
      </c>
      <c r="AC11928">
        <v>1</v>
      </c>
      <c r="AD11928">
        <v>1</v>
      </c>
      <c r="AE11928">
        <v>1</v>
      </c>
      <c r="AF11928">
        <v>1</v>
      </c>
      <c r="AG11928">
        <v>1</v>
      </c>
      <c r="AH11928">
        <v>1</v>
      </c>
      <c r="AI11928">
        <v>1</v>
      </c>
      <c r="AJ11928">
        <v>1</v>
      </c>
      <c r="AK11928">
        <v>1</v>
      </c>
      <c r="AL11928">
        <v>1</v>
      </c>
      <c r="AM11928">
        <v>1</v>
      </c>
    </row>
    <row r="11929" spans="1:39" x14ac:dyDescent="0.2">
      <c r="A11929" t="str">
        <f>"11925"</f>
        <v>11925</v>
      </c>
      <c r="B11929" t="str">
        <f t="shared" si="662"/>
        <v>1</v>
      </c>
      <c r="C11929" t="str">
        <f t="shared" si="663"/>
        <v>239</v>
      </c>
      <c r="D11929" t="str">
        <f>"8"</f>
        <v>8</v>
      </c>
      <c r="E11929" t="str">
        <f>"1-239-8"</f>
        <v>1-239-8</v>
      </c>
      <c r="F11929" t="s">
        <v>65</v>
      </c>
      <c r="G11929" t="s">
        <v>66</v>
      </c>
      <c r="H11929" t="s">
        <v>68</v>
      </c>
      <c r="I11929">
        <v>1</v>
      </c>
      <c r="J11929">
        <v>0</v>
      </c>
      <c r="K11929">
        <v>1</v>
      </c>
      <c r="L11929">
        <v>0</v>
      </c>
      <c r="M11929">
        <v>1</v>
      </c>
      <c r="N11929">
        <v>1</v>
      </c>
      <c r="O11929">
        <v>1</v>
      </c>
      <c r="P11929">
        <v>1</v>
      </c>
      <c r="Q11929">
        <v>1</v>
      </c>
      <c r="R11929">
        <v>1</v>
      </c>
    </row>
    <row r="11930" spans="1:39" x14ac:dyDescent="0.2">
      <c r="A11930" t="str">
        <f>"11926"</f>
        <v>11926</v>
      </c>
      <c r="B11930" t="str">
        <f t="shared" si="662"/>
        <v>1</v>
      </c>
      <c r="C11930" t="str">
        <f t="shared" si="663"/>
        <v>239</v>
      </c>
      <c r="D11930" t="str">
        <f>"39"</f>
        <v>39</v>
      </c>
      <c r="E11930" t="str">
        <f>"1-239-39"</f>
        <v>1-239-39</v>
      </c>
      <c r="F11930" t="s">
        <v>65</v>
      </c>
      <c r="G11930" t="s">
        <v>66</v>
      </c>
      <c r="H11930" t="s">
        <v>67</v>
      </c>
      <c r="S11930">
        <v>1</v>
      </c>
      <c r="T11930">
        <v>0</v>
      </c>
      <c r="U11930">
        <v>0</v>
      </c>
      <c r="V11930">
        <v>0</v>
      </c>
      <c r="W11930">
        <v>0</v>
      </c>
      <c r="X11930">
        <v>1</v>
      </c>
      <c r="Y11930">
        <v>0</v>
      </c>
      <c r="Z11930">
        <v>1</v>
      </c>
      <c r="AA11930">
        <v>1</v>
      </c>
      <c r="AB11930">
        <v>0</v>
      </c>
      <c r="AC11930">
        <v>0</v>
      </c>
      <c r="AD11930">
        <v>1</v>
      </c>
      <c r="AE11930">
        <v>1</v>
      </c>
      <c r="AF11930">
        <v>1</v>
      </c>
      <c r="AG11930">
        <v>1</v>
      </c>
      <c r="AH11930">
        <v>1</v>
      </c>
      <c r="AI11930">
        <v>0</v>
      </c>
      <c r="AJ11930">
        <v>1</v>
      </c>
      <c r="AK11930">
        <v>1</v>
      </c>
      <c r="AL11930">
        <v>1</v>
      </c>
      <c r="AM11930">
        <v>1</v>
      </c>
    </row>
    <row r="11931" spans="1:39" x14ac:dyDescent="0.2">
      <c r="A11931" t="str">
        <f>"11927"</f>
        <v>11927</v>
      </c>
      <c r="B11931" t="str">
        <f t="shared" si="662"/>
        <v>1</v>
      </c>
      <c r="C11931" t="str">
        <f t="shared" si="663"/>
        <v>239</v>
      </c>
      <c r="D11931" t="str">
        <f>"21"</f>
        <v>21</v>
      </c>
      <c r="E11931" t="str">
        <f>"1-239-21"</f>
        <v>1-239-21</v>
      </c>
      <c r="F11931" t="s">
        <v>65</v>
      </c>
      <c r="G11931" t="s">
        <v>66</v>
      </c>
      <c r="H11931" t="s">
        <v>68</v>
      </c>
      <c r="I11931">
        <v>1</v>
      </c>
      <c r="J11931">
        <v>1</v>
      </c>
      <c r="K11931">
        <v>0</v>
      </c>
      <c r="L11931">
        <v>0</v>
      </c>
      <c r="M11931">
        <v>1</v>
      </c>
      <c r="N11931">
        <v>1</v>
      </c>
      <c r="O11931">
        <v>1</v>
      </c>
      <c r="P11931">
        <v>1</v>
      </c>
      <c r="Q11931">
        <v>1</v>
      </c>
      <c r="R11931">
        <v>1</v>
      </c>
    </row>
    <row r="11932" spans="1:39" x14ac:dyDescent="0.2">
      <c r="A11932" t="str">
        <f>"11928"</f>
        <v>11928</v>
      </c>
      <c r="B11932" t="str">
        <f t="shared" si="662"/>
        <v>1</v>
      </c>
      <c r="C11932" t="str">
        <f t="shared" si="663"/>
        <v>239</v>
      </c>
      <c r="D11932" t="str">
        <f>"7"</f>
        <v>7</v>
      </c>
      <c r="E11932" t="str">
        <f>"1-239-7"</f>
        <v>1-239-7</v>
      </c>
      <c r="F11932" t="s">
        <v>65</v>
      </c>
      <c r="G11932" t="s">
        <v>66</v>
      </c>
      <c r="H11932" t="s">
        <v>67</v>
      </c>
      <c r="S11932">
        <v>0</v>
      </c>
      <c r="T11932">
        <v>0</v>
      </c>
      <c r="U11932">
        <v>0</v>
      </c>
      <c r="V11932">
        <v>0</v>
      </c>
      <c r="W11932">
        <v>0</v>
      </c>
      <c r="X11932">
        <v>1</v>
      </c>
      <c r="Y11932">
        <v>0</v>
      </c>
      <c r="Z11932">
        <v>0</v>
      </c>
      <c r="AA11932">
        <v>0</v>
      </c>
      <c r="AB11932">
        <v>1</v>
      </c>
      <c r="AC11932">
        <v>0</v>
      </c>
      <c r="AD11932">
        <v>0</v>
      </c>
      <c r="AE11932">
        <v>0</v>
      </c>
      <c r="AF11932">
        <v>0</v>
      </c>
      <c r="AG11932">
        <v>1</v>
      </c>
      <c r="AH11932">
        <v>1</v>
      </c>
      <c r="AI11932">
        <v>1</v>
      </c>
      <c r="AJ11932">
        <v>1</v>
      </c>
      <c r="AK11932">
        <v>1</v>
      </c>
      <c r="AL11932">
        <v>1</v>
      </c>
      <c r="AM11932">
        <v>1</v>
      </c>
    </row>
    <row r="11933" spans="1:39" x14ac:dyDescent="0.2">
      <c r="A11933" t="str">
        <f>"11929"</f>
        <v>11929</v>
      </c>
      <c r="B11933" t="str">
        <f t="shared" si="662"/>
        <v>1</v>
      </c>
      <c r="C11933" t="str">
        <f t="shared" si="663"/>
        <v>239</v>
      </c>
      <c r="D11933" t="str">
        <f>"45"</f>
        <v>45</v>
      </c>
      <c r="E11933" t="str">
        <f>"1-239-45"</f>
        <v>1-239-45</v>
      </c>
      <c r="F11933" t="s">
        <v>65</v>
      </c>
      <c r="G11933" t="s">
        <v>66</v>
      </c>
      <c r="H11933" t="s">
        <v>67</v>
      </c>
      <c r="S11933">
        <v>0</v>
      </c>
      <c r="T11933">
        <v>1</v>
      </c>
      <c r="U11933">
        <v>0</v>
      </c>
      <c r="V11933">
        <v>0</v>
      </c>
      <c r="W11933">
        <v>1</v>
      </c>
      <c r="X11933">
        <v>0</v>
      </c>
      <c r="Y11933">
        <v>1</v>
      </c>
      <c r="Z11933">
        <v>0</v>
      </c>
      <c r="AA11933">
        <v>0</v>
      </c>
      <c r="AB11933">
        <v>0</v>
      </c>
      <c r="AC11933">
        <v>1</v>
      </c>
      <c r="AD11933">
        <v>1</v>
      </c>
      <c r="AE11933">
        <v>1</v>
      </c>
      <c r="AF11933">
        <v>1</v>
      </c>
      <c r="AG11933">
        <v>1</v>
      </c>
      <c r="AH11933">
        <v>1</v>
      </c>
      <c r="AI11933">
        <v>1</v>
      </c>
      <c r="AJ11933">
        <v>1</v>
      </c>
      <c r="AK11933">
        <v>1</v>
      </c>
      <c r="AL11933">
        <v>1</v>
      </c>
      <c r="AM11933">
        <v>1</v>
      </c>
    </row>
    <row r="11934" spans="1:39" x14ac:dyDescent="0.2">
      <c r="A11934" t="str">
        <f>"11930"</f>
        <v>11930</v>
      </c>
      <c r="B11934" t="str">
        <f t="shared" si="662"/>
        <v>1</v>
      </c>
      <c r="C11934" t="str">
        <f t="shared" si="663"/>
        <v>239</v>
      </c>
      <c r="D11934" t="str">
        <f>"22"</f>
        <v>22</v>
      </c>
      <c r="E11934" t="str">
        <f>"1-239-22"</f>
        <v>1-239-22</v>
      </c>
      <c r="F11934" t="s">
        <v>65</v>
      </c>
      <c r="G11934" t="s">
        <v>66</v>
      </c>
      <c r="H11934" t="s">
        <v>67</v>
      </c>
      <c r="S11934">
        <v>0</v>
      </c>
      <c r="T11934">
        <v>0</v>
      </c>
      <c r="U11934">
        <v>0</v>
      </c>
      <c r="V11934">
        <v>0</v>
      </c>
      <c r="W11934">
        <v>0</v>
      </c>
      <c r="X11934">
        <v>1</v>
      </c>
      <c r="Y11934">
        <v>0</v>
      </c>
      <c r="Z11934">
        <v>0</v>
      </c>
      <c r="AA11934">
        <v>0</v>
      </c>
      <c r="AB11934">
        <v>0</v>
      </c>
      <c r="AC11934">
        <v>1</v>
      </c>
      <c r="AD11934">
        <v>0</v>
      </c>
      <c r="AE11934">
        <v>0</v>
      </c>
      <c r="AF11934">
        <v>0</v>
      </c>
      <c r="AG11934">
        <v>0</v>
      </c>
      <c r="AH11934">
        <v>0</v>
      </c>
      <c r="AI11934">
        <v>0</v>
      </c>
      <c r="AJ11934">
        <v>0</v>
      </c>
      <c r="AK11934">
        <v>0</v>
      </c>
      <c r="AL11934">
        <v>0</v>
      </c>
      <c r="AM11934">
        <v>0</v>
      </c>
    </row>
    <row r="11935" spans="1:39" x14ac:dyDescent="0.2">
      <c r="A11935" t="str">
        <f>"11931"</f>
        <v>11931</v>
      </c>
      <c r="B11935" t="str">
        <f t="shared" si="662"/>
        <v>1</v>
      </c>
      <c r="C11935" t="str">
        <f t="shared" si="663"/>
        <v>239</v>
      </c>
      <c r="D11935" t="str">
        <f>"11"</f>
        <v>11</v>
      </c>
      <c r="E11935" t="str">
        <f>"1-239-11"</f>
        <v>1-239-11</v>
      </c>
      <c r="F11935" t="s">
        <v>65</v>
      </c>
      <c r="G11935" t="s">
        <v>66</v>
      </c>
      <c r="H11935" t="s">
        <v>67</v>
      </c>
      <c r="S11935">
        <v>1</v>
      </c>
      <c r="T11935">
        <v>0</v>
      </c>
      <c r="U11935">
        <v>0</v>
      </c>
      <c r="V11935">
        <v>0</v>
      </c>
      <c r="W11935">
        <v>1</v>
      </c>
      <c r="X11935">
        <v>0</v>
      </c>
      <c r="Y11935">
        <v>1</v>
      </c>
      <c r="Z11935">
        <v>0</v>
      </c>
      <c r="AA11935">
        <v>0</v>
      </c>
      <c r="AB11935">
        <v>1</v>
      </c>
      <c r="AC11935">
        <v>0</v>
      </c>
      <c r="AD11935">
        <v>1</v>
      </c>
      <c r="AE11935">
        <v>1</v>
      </c>
      <c r="AF11935">
        <v>1</v>
      </c>
      <c r="AG11935">
        <v>1</v>
      </c>
      <c r="AH11935">
        <v>1</v>
      </c>
      <c r="AI11935">
        <v>1</v>
      </c>
      <c r="AJ11935">
        <v>1</v>
      </c>
      <c r="AK11935">
        <v>1</v>
      </c>
      <c r="AL11935">
        <v>1</v>
      </c>
      <c r="AM11935">
        <v>1</v>
      </c>
    </row>
    <row r="11936" spans="1:39" x14ac:dyDescent="0.2">
      <c r="A11936" t="str">
        <f>"11932"</f>
        <v>11932</v>
      </c>
      <c r="B11936" t="str">
        <f t="shared" si="662"/>
        <v>1</v>
      </c>
      <c r="C11936" t="str">
        <f t="shared" si="663"/>
        <v>239</v>
      </c>
      <c r="D11936" t="str">
        <f>"46"</f>
        <v>46</v>
      </c>
      <c r="E11936" t="str">
        <f>"1-239-46"</f>
        <v>1-239-46</v>
      </c>
      <c r="F11936" t="s">
        <v>65</v>
      </c>
      <c r="G11936" t="s">
        <v>66</v>
      </c>
      <c r="H11936" t="s">
        <v>67</v>
      </c>
      <c r="S11936">
        <v>0</v>
      </c>
      <c r="T11936">
        <v>1</v>
      </c>
      <c r="U11936">
        <v>0</v>
      </c>
      <c r="V11936">
        <v>0</v>
      </c>
      <c r="W11936">
        <v>1</v>
      </c>
      <c r="X11936">
        <v>0</v>
      </c>
      <c r="Y11936">
        <v>1</v>
      </c>
      <c r="Z11936">
        <v>0</v>
      </c>
      <c r="AA11936">
        <v>0</v>
      </c>
      <c r="AB11936">
        <v>0</v>
      </c>
      <c r="AC11936">
        <v>1</v>
      </c>
      <c r="AD11936">
        <v>1</v>
      </c>
      <c r="AE11936">
        <v>1</v>
      </c>
      <c r="AF11936">
        <v>1</v>
      </c>
      <c r="AG11936">
        <v>1</v>
      </c>
      <c r="AH11936">
        <v>1</v>
      </c>
      <c r="AI11936">
        <v>1</v>
      </c>
      <c r="AJ11936">
        <v>1</v>
      </c>
      <c r="AK11936">
        <v>1</v>
      </c>
      <c r="AL11936">
        <v>1</v>
      </c>
      <c r="AM11936">
        <v>1</v>
      </c>
    </row>
    <row r="11937" spans="1:39" x14ac:dyDescent="0.2">
      <c r="A11937" t="str">
        <f>"11933"</f>
        <v>11933</v>
      </c>
      <c r="B11937" t="str">
        <f t="shared" si="662"/>
        <v>1</v>
      </c>
      <c r="C11937" t="str">
        <f t="shared" ref="C11937:C11954" si="664">"239"</f>
        <v>239</v>
      </c>
      <c r="D11937" t="str">
        <f>"26"</f>
        <v>26</v>
      </c>
      <c r="E11937" t="str">
        <f>"1-239-26"</f>
        <v>1-239-26</v>
      </c>
      <c r="F11937" t="s">
        <v>65</v>
      </c>
      <c r="G11937" t="s">
        <v>66</v>
      </c>
      <c r="H11937" t="s">
        <v>67</v>
      </c>
      <c r="S11937">
        <v>1</v>
      </c>
      <c r="T11937">
        <v>0</v>
      </c>
      <c r="U11937">
        <v>0</v>
      </c>
      <c r="V11937">
        <v>0</v>
      </c>
      <c r="W11937">
        <v>1</v>
      </c>
      <c r="X11937">
        <v>0</v>
      </c>
      <c r="Y11937">
        <v>1</v>
      </c>
      <c r="Z11937">
        <v>0</v>
      </c>
      <c r="AA11937">
        <v>1</v>
      </c>
      <c r="AB11937">
        <v>0</v>
      </c>
      <c r="AC11937">
        <v>0</v>
      </c>
      <c r="AD11937">
        <v>0</v>
      </c>
      <c r="AE11937">
        <v>0</v>
      </c>
      <c r="AF11937">
        <v>0</v>
      </c>
      <c r="AG11937">
        <v>0</v>
      </c>
      <c r="AH11937">
        <v>0</v>
      </c>
      <c r="AI11937">
        <v>0</v>
      </c>
      <c r="AJ11937">
        <v>0</v>
      </c>
      <c r="AK11937">
        <v>0</v>
      </c>
      <c r="AL11937">
        <v>0</v>
      </c>
      <c r="AM11937">
        <v>0</v>
      </c>
    </row>
    <row r="11938" spans="1:39" x14ac:dyDescent="0.2">
      <c r="A11938" t="str">
        <f>"11934"</f>
        <v>11934</v>
      </c>
      <c r="B11938" t="str">
        <f t="shared" si="662"/>
        <v>1</v>
      </c>
      <c r="C11938" t="str">
        <f t="shared" si="664"/>
        <v>239</v>
      </c>
      <c r="D11938" t="str">
        <f>"13"</f>
        <v>13</v>
      </c>
      <c r="E11938" t="str">
        <f>"1-239-13"</f>
        <v>1-239-13</v>
      </c>
      <c r="F11938" t="s">
        <v>65</v>
      </c>
      <c r="G11938" t="s">
        <v>66</v>
      </c>
      <c r="H11938" t="s">
        <v>67</v>
      </c>
      <c r="S11938">
        <v>0</v>
      </c>
      <c r="T11938">
        <v>0</v>
      </c>
      <c r="U11938">
        <v>0</v>
      </c>
      <c r="V11938">
        <v>0</v>
      </c>
      <c r="W11938">
        <v>1</v>
      </c>
      <c r="X11938">
        <v>0</v>
      </c>
      <c r="Y11938">
        <v>0</v>
      </c>
      <c r="Z11938">
        <v>1</v>
      </c>
      <c r="AA11938">
        <v>0</v>
      </c>
      <c r="AB11938">
        <v>1</v>
      </c>
      <c r="AC11938">
        <v>0</v>
      </c>
      <c r="AD11938">
        <v>1</v>
      </c>
      <c r="AE11938">
        <v>0</v>
      </c>
      <c r="AF11938">
        <v>0</v>
      </c>
      <c r="AG11938">
        <v>0</v>
      </c>
      <c r="AH11938">
        <v>0</v>
      </c>
      <c r="AI11938">
        <v>0</v>
      </c>
      <c r="AJ11938">
        <v>1</v>
      </c>
      <c r="AK11938">
        <v>0</v>
      </c>
      <c r="AL11938">
        <v>0</v>
      </c>
      <c r="AM11938">
        <v>1</v>
      </c>
    </row>
    <row r="11939" spans="1:39" x14ac:dyDescent="0.2">
      <c r="A11939" t="str">
        <f>"11935"</f>
        <v>11935</v>
      </c>
      <c r="B11939" t="str">
        <f t="shared" si="662"/>
        <v>1</v>
      </c>
      <c r="C11939" t="str">
        <f t="shared" si="664"/>
        <v>239</v>
      </c>
      <c r="D11939" t="str">
        <f>"47"</f>
        <v>47</v>
      </c>
      <c r="E11939" t="str">
        <f>"1-239-47"</f>
        <v>1-239-47</v>
      </c>
      <c r="F11939" t="s">
        <v>65</v>
      </c>
      <c r="G11939" t="s">
        <v>66</v>
      </c>
      <c r="H11939" t="s">
        <v>67</v>
      </c>
      <c r="S11939">
        <v>1</v>
      </c>
      <c r="T11939">
        <v>0</v>
      </c>
      <c r="U11939">
        <v>0</v>
      </c>
      <c r="V11939">
        <v>0</v>
      </c>
      <c r="W11939">
        <v>1</v>
      </c>
      <c r="X11939">
        <v>0</v>
      </c>
      <c r="Y11939">
        <v>1</v>
      </c>
      <c r="Z11939">
        <v>0</v>
      </c>
      <c r="AA11939">
        <v>1</v>
      </c>
      <c r="AB11939">
        <v>0</v>
      </c>
      <c r="AC11939">
        <v>0</v>
      </c>
      <c r="AD11939">
        <v>0</v>
      </c>
      <c r="AE11939">
        <v>0</v>
      </c>
      <c r="AF11939">
        <v>0</v>
      </c>
      <c r="AG11939">
        <v>0</v>
      </c>
      <c r="AH11939">
        <v>0</v>
      </c>
      <c r="AI11939">
        <v>0</v>
      </c>
      <c r="AJ11939">
        <v>0</v>
      </c>
      <c r="AK11939">
        <v>0</v>
      </c>
      <c r="AL11939">
        <v>0</v>
      </c>
      <c r="AM11939">
        <v>0</v>
      </c>
    </row>
    <row r="11940" spans="1:39" x14ac:dyDescent="0.2">
      <c r="A11940" t="str">
        <f>"11936"</f>
        <v>11936</v>
      </c>
      <c r="B11940" t="str">
        <f t="shared" si="662"/>
        <v>1</v>
      </c>
      <c r="C11940" t="str">
        <f t="shared" si="664"/>
        <v>239</v>
      </c>
      <c r="D11940" t="str">
        <f>"27"</f>
        <v>27</v>
      </c>
      <c r="E11940" t="str">
        <f>"1-239-27"</f>
        <v>1-239-27</v>
      </c>
      <c r="F11940" t="s">
        <v>65</v>
      </c>
      <c r="G11940" t="s">
        <v>66</v>
      </c>
      <c r="H11940" t="s">
        <v>67</v>
      </c>
      <c r="S11940">
        <v>0</v>
      </c>
      <c r="T11940">
        <v>1</v>
      </c>
      <c r="U11940">
        <v>0</v>
      </c>
      <c r="V11940">
        <v>0</v>
      </c>
      <c r="W11940">
        <v>1</v>
      </c>
      <c r="X11940">
        <v>0</v>
      </c>
      <c r="Y11940">
        <v>0</v>
      </c>
      <c r="Z11940">
        <v>1</v>
      </c>
      <c r="AA11940">
        <v>0</v>
      </c>
      <c r="AB11940">
        <v>0</v>
      </c>
      <c r="AC11940">
        <v>1</v>
      </c>
      <c r="AD11940">
        <v>1</v>
      </c>
      <c r="AE11940">
        <v>1</v>
      </c>
      <c r="AF11940">
        <v>1</v>
      </c>
      <c r="AG11940">
        <v>1</v>
      </c>
      <c r="AH11940">
        <v>1</v>
      </c>
      <c r="AI11940">
        <v>1</v>
      </c>
      <c r="AJ11940">
        <v>1</v>
      </c>
      <c r="AK11940">
        <v>1</v>
      </c>
      <c r="AL11940">
        <v>1</v>
      </c>
      <c r="AM11940">
        <v>1</v>
      </c>
    </row>
    <row r="11941" spans="1:39" x14ac:dyDescent="0.2">
      <c r="A11941" t="str">
        <f>"11937"</f>
        <v>11937</v>
      </c>
      <c r="B11941" t="str">
        <f t="shared" si="662"/>
        <v>1</v>
      </c>
      <c r="C11941" t="str">
        <f t="shared" si="664"/>
        <v>239</v>
      </c>
      <c r="D11941" t="str">
        <f>"12"</f>
        <v>12</v>
      </c>
      <c r="E11941" t="str">
        <f>"1-239-12"</f>
        <v>1-239-12</v>
      </c>
      <c r="F11941" t="s">
        <v>65</v>
      </c>
      <c r="G11941" t="s">
        <v>66</v>
      </c>
      <c r="H11941" t="s">
        <v>67</v>
      </c>
      <c r="S11941">
        <v>0</v>
      </c>
      <c r="T11941">
        <v>1</v>
      </c>
      <c r="U11941">
        <v>0</v>
      </c>
      <c r="V11941">
        <v>0</v>
      </c>
      <c r="W11941">
        <v>1</v>
      </c>
      <c r="X11941">
        <v>0</v>
      </c>
      <c r="Y11941">
        <v>1</v>
      </c>
      <c r="Z11941">
        <v>0</v>
      </c>
      <c r="AA11941">
        <v>0</v>
      </c>
      <c r="AB11941">
        <v>1</v>
      </c>
      <c r="AC11941">
        <v>0</v>
      </c>
      <c r="AD11941">
        <v>1</v>
      </c>
      <c r="AE11941">
        <v>1</v>
      </c>
      <c r="AF11941">
        <v>1</v>
      </c>
      <c r="AG11941">
        <v>1</v>
      </c>
      <c r="AH11941">
        <v>1</v>
      </c>
      <c r="AI11941">
        <v>1</v>
      </c>
      <c r="AJ11941">
        <v>1</v>
      </c>
      <c r="AK11941">
        <v>1</v>
      </c>
      <c r="AL11941">
        <v>1</v>
      </c>
      <c r="AM11941">
        <v>1</v>
      </c>
    </row>
    <row r="11942" spans="1:39" x14ac:dyDescent="0.2">
      <c r="A11942" t="str">
        <f>"11938"</f>
        <v>11938</v>
      </c>
      <c r="B11942" t="str">
        <f t="shared" si="662"/>
        <v>1</v>
      </c>
      <c r="C11942" t="str">
        <f t="shared" si="664"/>
        <v>239</v>
      </c>
      <c r="D11942" t="str">
        <f>"48"</f>
        <v>48</v>
      </c>
      <c r="E11942" t="str">
        <f>"1-239-48"</f>
        <v>1-239-48</v>
      </c>
      <c r="F11942" t="s">
        <v>65</v>
      </c>
      <c r="G11942" t="s">
        <v>66</v>
      </c>
      <c r="H11942" t="s">
        <v>68</v>
      </c>
      <c r="I11942">
        <v>1</v>
      </c>
      <c r="J11942">
        <v>0</v>
      </c>
      <c r="K11942">
        <v>1</v>
      </c>
      <c r="L11942">
        <v>0</v>
      </c>
      <c r="M11942">
        <v>1</v>
      </c>
      <c r="N11942">
        <v>0</v>
      </c>
      <c r="O11942">
        <v>1</v>
      </c>
      <c r="P11942">
        <v>1</v>
      </c>
      <c r="Q11942">
        <v>1</v>
      </c>
      <c r="R11942">
        <v>1</v>
      </c>
    </row>
    <row r="11943" spans="1:39" x14ac:dyDescent="0.2">
      <c r="A11943" t="str">
        <f>"11939"</f>
        <v>11939</v>
      </c>
      <c r="B11943" t="str">
        <f t="shared" si="662"/>
        <v>1</v>
      </c>
      <c r="C11943" t="str">
        <f t="shared" si="664"/>
        <v>239</v>
      </c>
      <c r="D11943" t="str">
        <f>"28"</f>
        <v>28</v>
      </c>
      <c r="E11943" t="str">
        <f>"1-239-28"</f>
        <v>1-239-28</v>
      </c>
      <c r="F11943" t="s">
        <v>65</v>
      </c>
      <c r="G11943" t="s">
        <v>66</v>
      </c>
      <c r="H11943" t="s">
        <v>67</v>
      </c>
      <c r="S11943">
        <v>0</v>
      </c>
      <c r="T11943">
        <v>0</v>
      </c>
      <c r="U11943">
        <v>0</v>
      </c>
      <c r="V11943">
        <v>0</v>
      </c>
      <c r="W11943">
        <v>1</v>
      </c>
      <c r="X11943">
        <v>0</v>
      </c>
      <c r="Y11943">
        <v>0</v>
      </c>
      <c r="Z11943">
        <v>0</v>
      </c>
      <c r="AA11943">
        <v>1</v>
      </c>
      <c r="AB11943">
        <v>0</v>
      </c>
      <c r="AC11943">
        <v>0</v>
      </c>
      <c r="AD11943">
        <v>0</v>
      </c>
      <c r="AE11943">
        <v>0</v>
      </c>
      <c r="AF11943">
        <v>0</v>
      </c>
      <c r="AG11943">
        <v>0</v>
      </c>
      <c r="AH11943">
        <v>0</v>
      </c>
      <c r="AI11943">
        <v>0</v>
      </c>
      <c r="AJ11943">
        <v>0</v>
      </c>
      <c r="AK11943">
        <v>0</v>
      </c>
      <c r="AL11943">
        <v>0</v>
      </c>
      <c r="AM11943">
        <v>0</v>
      </c>
    </row>
    <row r="11944" spans="1:39" x14ac:dyDescent="0.2">
      <c r="A11944" t="str">
        <f>"11940"</f>
        <v>11940</v>
      </c>
      <c r="B11944" t="str">
        <f t="shared" si="662"/>
        <v>1</v>
      </c>
      <c r="C11944" t="str">
        <f t="shared" si="664"/>
        <v>239</v>
      </c>
      <c r="D11944" t="str">
        <f>"6"</f>
        <v>6</v>
      </c>
      <c r="E11944" t="str">
        <f>"1-239-6"</f>
        <v>1-239-6</v>
      </c>
      <c r="F11944" t="s">
        <v>65</v>
      </c>
      <c r="G11944" t="s">
        <v>66</v>
      </c>
      <c r="H11944" t="s">
        <v>67</v>
      </c>
      <c r="S11944">
        <v>0</v>
      </c>
      <c r="T11944">
        <v>0</v>
      </c>
      <c r="U11944">
        <v>0</v>
      </c>
      <c r="V11944">
        <v>0</v>
      </c>
      <c r="W11944">
        <v>0</v>
      </c>
      <c r="X11944">
        <v>1</v>
      </c>
      <c r="Y11944">
        <v>0</v>
      </c>
      <c r="Z11944">
        <v>0</v>
      </c>
      <c r="AA11944">
        <v>0</v>
      </c>
      <c r="AB11944">
        <v>0</v>
      </c>
      <c r="AC11944">
        <v>0</v>
      </c>
      <c r="AD11944">
        <v>0</v>
      </c>
      <c r="AE11944">
        <v>0</v>
      </c>
      <c r="AF11944">
        <v>0</v>
      </c>
      <c r="AG11944">
        <v>0</v>
      </c>
      <c r="AH11944">
        <v>1</v>
      </c>
      <c r="AI11944">
        <v>0</v>
      </c>
      <c r="AJ11944">
        <v>0</v>
      </c>
      <c r="AK11944">
        <v>0</v>
      </c>
      <c r="AL11944">
        <v>0</v>
      </c>
      <c r="AM11944">
        <v>0</v>
      </c>
    </row>
    <row r="11945" spans="1:39" x14ac:dyDescent="0.2">
      <c r="A11945" t="str">
        <f>"11941"</f>
        <v>11941</v>
      </c>
      <c r="B11945" t="str">
        <f t="shared" si="662"/>
        <v>1</v>
      </c>
      <c r="C11945" t="str">
        <f t="shared" si="664"/>
        <v>239</v>
      </c>
      <c r="D11945" t="str">
        <f>"29"</f>
        <v>29</v>
      </c>
      <c r="E11945" t="str">
        <f>"1-239-29"</f>
        <v>1-239-29</v>
      </c>
      <c r="F11945" t="s">
        <v>65</v>
      </c>
      <c r="G11945" t="s">
        <v>66</v>
      </c>
      <c r="H11945" t="s">
        <v>67</v>
      </c>
      <c r="S11945">
        <v>0</v>
      </c>
      <c r="T11945">
        <v>1</v>
      </c>
      <c r="U11945">
        <v>0</v>
      </c>
      <c r="V11945">
        <v>0</v>
      </c>
      <c r="W11945">
        <v>1</v>
      </c>
      <c r="X11945">
        <v>0</v>
      </c>
      <c r="Y11945">
        <v>0</v>
      </c>
      <c r="Z11945">
        <v>1</v>
      </c>
      <c r="AA11945">
        <v>0</v>
      </c>
      <c r="AB11945">
        <v>0</v>
      </c>
      <c r="AC11945">
        <v>1</v>
      </c>
      <c r="AD11945">
        <v>1</v>
      </c>
      <c r="AE11945">
        <v>1</v>
      </c>
      <c r="AF11945">
        <v>1</v>
      </c>
      <c r="AG11945">
        <v>1</v>
      </c>
      <c r="AH11945">
        <v>1</v>
      </c>
      <c r="AI11945">
        <v>1</v>
      </c>
      <c r="AJ11945">
        <v>1</v>
      </c>
      <c r="AK11945">
        <v>1</v>
      </c>
      <c r="AL11945">
        <v>1</v>
      </c>
      <c r="AM11945">
        <v>1</v>
      </c>
    </row>
    <row r="11946" spans="1:39" x14ac:dyDescent="0.2">
      <c r="A11946" t="str">
        <f>"11942"</f>
        <v>11942</v>
      </c>
      <c r="B11946" t="str">
        <f t="shared" si="662"/>
        <v>1</v>
      </c>
      <c r="C11946" t="str">
        <f t="shared" si="664"/>
        <v>239</v>
      </c>
      <c r="D11946" t="str">
        <f>"2"</f>
        <v>2</v>
      </c>
      <c r="E11946" t="str">
        <f>"1-239-2"</f>
        <v>1-239-2</v>
      </c>
      <c r="F11946" t="s">
        <v>65</v>
      </c>
      <c r="G11946" t="s">
        <v>66</v>
      </c>
      <c r="H11946" t="s">
        <v>67</v>
      </c>
      <c r="S11946">
        <v>1</v>
      </c>
      <c r="T11946">
        <v>0</v>
      </c>
      <c r="U11946">
        <v>0</v>
      </c>
      <c r="V11946">
        <v>0</v>
      </c>
      <c r="W11946">
        <v>1</v>
      </c>
      <c r="X11946">
        <v>0</v>
      </c>
      <c r="Y11946">
        <v>0</v>
      </c>
      <c r="Z11946">
        <v>1</v>
      </c>
      <c r="AA11946">
        <v>1</v>
      </c>
      <c r="AB11946">
        <v>0</v>
      </c>
      <c r="AC11946">
        <v>0</v>
      </c>
      <c r="AD11946">
        <v>1</v>
      </c>
      <c r="AE11946">
        <v>1</v>
      </c>
      <c r="AF11946">
        <v>1</v>
      </c>
      <c r="AG11946">
        <v>1</v>
      </c>
      <c r="AH11946">
        <v>1</v>
      </c>
      <c r="AI11946">
        <v>1</v>
      </c>
      <c r="AJ11946">
        <v>1</v>
      </c>
      <c r="AK11946">
        <v>1</v>
      </c>
      <c r="AL11946">
        <v>1</v>
      </c>
      <c r="AM11946">
        <v>1</v>
      </c>
    </row>
    <row r="11947" spans="1:39" x14ac:dyDescent="0.2">
      <c r="A11947" t="str">
        <f>"11943"</f>
        <v>11943</v>
      </c>
      <c r="B11947" t="str">
        <f t="shared" si="662"/>
        <v>1</v>
      </c>
      <c r="C11947" t="str">
        <f t="shared" si="664"/>
        <v>239</v>
      </c>
      <c r="D11947" t="str">
        <f>"30"</f>
        <v>30</v>
      </c>
      <c r="E11947" t="str">
        <f>"1-239-30"</f>
        <v>1-239-30</v>
      </c>
      <c r="F11947" t="s">
        <v>65</v>
      </c>
      <c r="G11947" t="s">
        <v>66</v>
      </c>
      <c r="H11947" t="s">
        <v>67</v>
      </c>
      <c r="S11947">
        <v>1</v>
      </c>
      <c r="T11947">
        <v>0</v>
      </c>
      <c r="U11947">
        <v>0</v>
      </c>
      <c r="V11947">
        <v>0</v>
      </c>
      <c r="W11947">
        <v>1</v>
      </c>
      <c r="X11947">
        <v>0</v>
      </c>
      <c r="Y11947">
        <v>1</v>
      </c>
      <c r="Z11947">
        <v>0</v>
      </c>
      <c r="AA11947">
        <v>1</v>
      </c>
      <c r="AB11947">
        <v>0</v>
      </c>
      <c r="AC11947">
        <v>0</v>
      </c>
      <c r="AD11947">
        <v>0</v>
      </c>
      <c r="AE11947">
        <v>0</v>
      </c>
      <c r="AF11947">
        <v>0</v>
      </c>
      <c r="AG11947">
        <v>0</v>
      </c>
      <c r="AH11947">
        <v>0</v>
      </c>
      <c r="AI11947">
        <v>0</v>
      </c>
      <c r="AJ11947">
        <v>0</v>
      </c>
      <c r="AK11947">
        <v>0</v>
      </c>
      <c r="AL11947">
        <v>0</v>
      </c>
      <c r="AM11947">
        <v>0</v>
      </c>
    </row>
    <row r="11948" spans="1:39" x14ac:dyDescent="0.2">
      <c r="A11948" t="str">
        <f>"11944"</f>
        <v>11944</v>
      </c>
      <c r="B11948" t="str">
        <f t="shared" si="662"/>
        <v>1</v>
      </c>
      <c r="C11948" t="str">
        <f t="shared" si="664"/>
        <v>239</v>
      </c>
      <c r="D11948" t="str">
        <f>"5"</f>
        <v>5</v>
      </c>
      <c r="E11948" t="str">
        <f>"1-239-5"</f>
        <v>1-239-5</v>
      </c>
      <c r="F11948" t="s">
        <v>65</v>
      </c>
      <c r="G11948" t="s">
        <v>66</v>
      </c>
      <c r="H11948" t="s">
        <v>67</v>
      </c>
      <c r="S11948">
        <v>1</v>
      </c>
      <c r="T11948">
        <v>0</v>
      </c>
      <c r="U11948">
        <v>0</v>
      </c>
      <c r="V11948">
        <v>0</v>
      </c>
      <c r="W11948">
        <v>1</v>
      </c>
      <c r="X11948">
        <v>0</v>
      </c>
      <c r="Y11948">
        <v>0</v>
      </c>
      <c r="Z11948">
        <v>1</v>
      </c>
      <c r="AA11948">
        <v>0</v>
      </c>
      <c r="AB11948">
        <v>1</v>
      </c>
      <c r="AC11948">
        <v>0</v>
      </c>
      <c r="AD11948">
        <v>1</v>
      </c>
      <c r="AE11948">
        <v>1</v>
      </c>
      <c r="AF11948">
        <v>1</v>
      </c>
      <c r="AG11948">
        <v>1</v>
      </c>
      <c r="AH11948">
        <v>1</v>
      </c>
      <c r="AI11948">
        <v>1</v>
      </c>
      <c r="AJ11948">
        <v>1</v>
      </c>
      <c r="AK11948">
        <v>1</v>
      </c>
      <c r="AL11948">
        <v>1</v>
      </c>
      <c r="AM11948">
        <v>1</v>
      </c>
    </row>
    <row r="11949" spans="1:39" x14ac:dyDescent="0.2">
      <c r="A11949" t="str">
        <f>"11945"</f>
        <v>11945</v>
      </c>
      <c r="B11949" t="str">
        <f t="shared" si="662"/>
        <v>1</v>
      </c>
      <c r="C11949" t="str">
        <f t="shared" si="664"/>
        <v>239</v>
      </c>
      <c r="D11949" t="str">
        <f>"33"</f>
        <v>33</v>
      </c>
      <c r="E11949" t="str">
        <f>"1-239-33"</f>
        <v>1-239-33</v>
      </c>
      <c r="F11949" t="s">
        <v>65</v>
      </c>
      <c r="G11949" t="s">
        <v>66</v>
      </c>
      <c r="H11949" t="s">
        <v>67</v>
      </c>
      <c r="S11949">
        <v>1</v>
      </c>
      <c r="T11949">
        <v>0</v>
      </c>
      <c r="U11949">
        <v>0</v>
      </c>
      <c r="V11949">
        <v>0</v>
      </c>
      <c r="W11949">
        <v>1</v>
      </c>
      <c r="X11949">
        <v>0</v>
      </c>
      <c r="Y11949">
        <v>1</v>
      </c>
      <c r="Z11949">
        <v>0</v>
      </c>
      <c r="AA11949">
        <v>1</v>
      </c>
      <c r="AB11949">
        <v>0</v>
      </c>
      <c r="AC11949">
        <v>0</v>
      </c>
      <c r="AD11949">
        <v>1</v>
      </c>
      <c r="AE11949">
        <v>1</v>
      </c>
      <c r="AF11949">
        <v>1</v>
      </c>
      <c r="AG11949">
        <v>1</v>
      </c>
      <c r="AH11949">
        <v>1</v>
      </c>
      <c r="AI11949">
        <v>1</v>
      </c>
      <c r="AJ11949">
        <v>1</v>
      </c>
      <c r="AK11949">
        <v>1</v>
      </c>
      <c r="AL11949">
        <v>1</v>
      </c>
      <c r="AM11949">
        <v>1</v>
      </c>
    </row>
    <row r="11950" spans="1:39" x14ac:dyDescent="0.2">
      <c r="A11950" t="str">
        <f>"11946"</f>
        <v>11946</v>
      </c>
      <c r="B11950" t="str">
        <f t="shared" si="662"/>
        <v>1</v>
      </c>
      <c r="C11950" t="str">
        <f t="shared" si="664"/>
        <v>239</v>
      </c>
      <c r="D11950" t="str">
        <f>"9"</f>
        <v>9</v>
      </c>
      <c r="E11950" t="str">
        <f>"1-239-9"</f>
        <v>1-239-9</v>
      </c>
      <c r="F11950" t="s">
        <v>65</v>
      </c>
      <c r="G11950" t="s">
        <v>66</v>
      </c>
      <c r="H11950" t="s">
        <v>67</v>
      </c>
      <c r="S11950">
        <v>1</v>
      </c>
      <c r="T11950">
        <v>0</v>
      </c>
      <c r="U11950">
        <v>0</v>
      </c>
      <c r="V11950">
        <v>0</v>
      </c>
      <c r="W11950">
        <v>1</v>
      </c>
      <c r="X11950">
        <v>0</v>
      </c>
      <c r="Y11950">
        <v>1</v>
      </c>
      <c r="Z11950">
        <v>0</v>
      </c>
      <c r="AA11950">
        <v>0</v>
      </c>
      <c r="AB11950">
        <v>0</v>
      </c>
      <c r="AC11950">
        <v>1</v>
      </c>
      <c r="AD11950">
        <v>0</v>
      </c>
      <c r="AE11950">
        <v>0</v>
      </c>
      <c r="AF11950">
        <v>1</v>
      </c>
      <c r="AG11950">
        <v>0</v>
      </c>
      <c r="AH11950">
        <v>0</v>
      </c>
      <c r="AI11950">
        <v>1</v>
      </c>
      <c r="AJ11950">
        <v>1</v>
      </c>
      <c r="AK11950">
        <v>1</v>
      </c>
      <c r="AL11950">
        <v>1</v>
      </c>
      <c r="AM11950">
        <v>1</v>
      </c>
    </row>
    <row r="11951" spans="1:39" x14ac:dyDescent="0.2">
      <c r="A11951" t="str">
        <f>"11947"</f>
        <v>11947</v>
      </c>
      <c r="B11951" t="str">
        <f t="shared" si="662"/>
        <v>1</v>
      </c>
      <c r="C11951" t="str">
        <f t="shared" si="664"/>
        <v>239</v>
      </c>
      <c r="D11951" t="str">
        <f>"34"</f>
        <v>34</v>
      </c>
      <c r="E11951" t="str">
        <f>"1-239-34"</f>
        <v>1-239-34</v>
      </c>
      <c r="F11951" t="s">
        <v>65</v>
      </c>
      <c r="G11951" t="s">
        <v>66</v>
      </c>
      <c r="H11951" t="s">
        <v>67</v>
      </c>
      <c r="S11951">
        <v>0</v>
      </c>
      <c r="T11951">
        <v>1</v>
      </c>
      <c r="U11951">
        <v>0</v>
      </c>
      <c r="V11951">
        <v>0</v>
      </c>
      <c r="W11951">
        <v>0</v>
      </c>
      <c r="X11951">
        <v>1</v>
      </c>
      <c r="Y11951">
        <v>1</v>
      </c>
      <c r="Z11951">
        <v>0</v>
      </c>
      <c r="AA11951">
        <v>0</v>
      </c>
      <c r="AB11951">
        <v>0</v>
      </c>
      <c r="AC11951">
        <v>1</v>
      </c>
      <c r="AD11951">
        <v>0</v>
      </c>
      <c r="AE11951">
        <v>0</v>
      </c>
      <c r="AF11951">
        <v>0</v>
      </c>
      <c r="AG11951">
        <v>0</v>
      </c>
      <c r="AH11951">
        <v>0</v>
      </c>
      <c r="AI11951">
        <v>0</v>
      </c>
      <c r="AJ11951">
        <v>0</v>
      </c>
      <c r="AK11951">
        <v>0</v>
      </c>
      <c r="AL11951">
        <v>0</v>
      </c>
      <c r="AM11951">
        <v>0</v>
      </c>
    </row>
    <row r="11952" spans="1:39" x14ac:dyDescent="0.2">
      <c r="A11952" t="str">
        <f>"11948"</f>
        <v>11948</v>
      </c>
      <c r="B11952" t="str">
        <f t="shared" si="662"/>
        <v>1</v>
      </c>
      <c r="C11952" t="str">
        <f t="shared" si="664"/>
        <v>239</v>
      </c>
      <c r="D11952" t="str">
        <f>"3"</f>
        <v>3</v>
      </c>
      <c r="E11952" t="str">
        <f>"1-239-3"</f>
        <v>1-239-3</v>
      </c>
      <c r="F11952" t="s">
        <v>65</v>
      </c>
      <c r="G11952" t="s">
        <v>66</v>
      </c>
      <c r="H11952" t="s">
        <v>67</v>
      </c>
      <c r="S11952">
        <v>0</v>
      </c>
      <c r="T11952">
        <v>1</v>
      </c>
      <c r="U11952">
        <v>0</v>
      </c>
      <c r="V11952">
        <v>0</v>
      </c>
      <c r="W11952">
        <v>1</v>
      </c>
      <c r="X11952">
        <v>0</v>
      </c>
      <c r="Y11952">
        <v>0</v>
      </c>
      <c r="Z11952">
        <v>1</v>
      </c>
      <c r="AA11952">
        <v>0</v>
      </c>
      <c r="AB11952">
        <v>1</v>
      </c>
      <c r="AC11952">
        <v>0</v>
      </c>
      <c r="AD11952">
        <v>1</v>
      </c>
      <c r="AE11952">
        <v>1</v>
      </c>
      <c r="AF11952">
        <v>1</v>
      </c>
      <c r="AG11952">
        <v>1</v>
      </c>
      <c r="AH11952">
        <v>1</v>
      </c>
      <c r="AI11952">
        <v>1</v>
      </c>
      <c r="AJ11952">
        <v>1</v>
      </c>
      <c r="AK11952">
        <v>1</v>
      </c>
      <c r="AL11952">
        <v>1</v>
      </c>
      <c r="AM11952">
        <v>1</v>
      </c>
    </row>
    <row r="11953" spans="1:39" x14ac:dyDescent="0.2">
      <c r="A11953" t="str">
        <f>"11949"</f>
        <v>11949</v>
      </c>
      <c r="B11953" t="str">
        <f t="shared" si="662"/>
        <v>1</v>
      </c>
      <c r="C11953" t="str">
        <f t="shared" si="664"/>
        <v>239</v>
      </c>
      <c r="D11953" t="str">
        <f>"49"</f>
        <v>49</v>
      </c>
      <c r="E11953" t="str">
        <f>"1-239-49"</f>
        <v>1-239-49</v>
      </c>
      <c r="F11953" t="s">
        <v>65</v>
      </c>
      <c r="G11953" t="s">
        <v>66</v>
      </c>
      <c r="H11953" t="s">
        <v>67</v>
      </c>
      <c r="S11953">
        <v>1</v>
      </c>
      <c r="T11953">
        <v>0</v>
      </c>
      <c r="U11953">
        <v>0</v>
      </c>
      <c r="V11953">
        <v>0</v>
      </c>
      <c r="W11953">
        <v>1</v>
      </c>
      <c r="X11953">
        <v>0</v>
      </c>
      <c r="Y11953">
        <v>1</v>
      </c>
      <c r="Z11953">
        <v>0</v>
      </c>
      <c r="AA11953">
        <v>0</v>
      </c>
      <c r="AB11953">
        <v>1</v>
      </c>
      <c r="AC11953">
        <v>0</v>
      </c>
      <c r="AD11953">
        <v>1</v>
      </c>
      <c r="AE11953">
        <v>1</v>
      </c>
      <c r="AF11953">
        <v>1</v>
      </c>
      <c r="AG11953">
        <v>1</v>
      </c>
      <c r="AH11953">
        <v>1</v>
      </c>
      <c r="AI11953">
        <v>1</v>
      </c>
      <c r="AJ11953">
        <v>1</v>
      </c>
      <c r="AK11953">
        <v>1</v>
      </c>
      <c r="AL11953">
        <v>1</v>
      </c>
      <c r="AM11953">
        <v>1</v>
      </c>
    </row>
    <row r="11954" spans="1:39" x14ac:dyDescent="0.2">
      <c r="A11954" t="str">
        <f>"11950"</f>
        <v>11950</v>
      </c>
      <c r="B11954" t="str">
        <f t="shared" si="662"/>
        <v>1</v>
      </c>
      <c r="C11954" t="str">
        <f t="shared" si="664"/>
        <v>239</v>
      </c>
      <c r="D11954" t="str">
        <f>"50"</f>
        <v>50</v>
      </c>
      <c r="E11954" t="str">
        <f>"1-239-50"</f>
        <v>1-239-50</v>
      </c>
      <c r="F11954" t="s">
        <v>65</v>
      </c>
      <c r="G11954" t="s">
        <v>66</v>
      </c>
      <c r="H11954" t="s">
        <v>67</v>
      </c>
      <c r="S11954">
        <v>0</v>
      </c>
      <c r="T11954">
        <v>0</v>
      </c>
      <c r="U11954">
        <v>0</v>
      </c>
      <c r="V11954">
        <v>0</v>
      </c>
      <c r="W11954">
        <v>1</v>
      </c>
      <c r="X11954">
        <v>0</v>
      </c>
      <c r="Y11954">
        <v>1</v>
      </c>
      <c r="Z11954">
        <v>0</v>
      </c>
      <c r="AA11954">
        <v>0</v>
      </c>
      <c r="AB11954">
        <v>0</v>
      </c>
      <c r="AC11954">
        <v>1</v>
      </c>
      <c r="AD11954">
        <v>1</v>
      </c>
      <c r="AE11954">
        <v>1</v>
      </c>
      <c r="AF11954">
        <v>1</v>
      </c>
      <c r="AG11954">
        <v>1</v>
      </c>
      <c r="AH11954">
        <v>1</v>
      </c>
      <c r="AI11954">
        <v>1</v>
      </c>
      <c r="AJ11954">
        <v>1</v>
      </c>
      <c r="AK11954">
        <v>1</v>
      </c>
      <c r="AL11954">
        <v>1</v>
      </c>
      <c r="AM11954">
        <v>1</v>
      </c>
    </row>
    <row r="11955" spans="1:39" x14ac:dyDescent="0.2">
      <c r="A11955" t="str">
        <f>"11951"</f>
        <v>11951</v>
      </c>
      <c r="B11955" t="str">
        <f t="shared" si="662"/>
        <v>1</v>
      </c>
      <c r="C11955" t="str">
        <f t="shared" ref="C11955:C11986" si="665">"240"</f>
        <v>240</v>
      </c>
      <c r="D11955" t="str">
        <f>"40"</f>
        <v>40</v>
      </c>
      <c r="E11955" t="str">
        <f>"1-240-40"</f>
        <v>1-240-40</v>
      </c>
      <c r="F11955" t="s">
        <v>65</v>
      </c>
      <c r="G11955" t="s">
        <v>66</v>
      </c>
      <c r="H11955" t="s">
        <v>67</v>
      </c>
      <c r="S11955">
        <v>0</v>
      </c>
      <c r="T11955">
        <v>0</v>
      </c>
      <c r="U11955">
        <v>0</v>
      </c>
      <c r="V11955">
        <v>0</v>
      </c>
      <c r="W11955">
        <v>1</v>
      </c>
      <c r="X11955">
        <v>0</v>
      </c>
      <c r="Y11955">
        <v>0</v>
      </c>
      <c r="Z11955">
        <v>0</v>
      </c>
      <c r="AA11955">
        <v>0</v>
      </c>
      <c r="AB11955">
        <v>0</v>
      </c>
      <c r="AC11955">
        <v>0</v>
      </c>
      <c r="AD11955">
        <v>0</v>
      </c>
      <c r="AE11955">
        <v>0</v>
      </c>
      <c r="AF11955">
        <v>0</v>
      </c>
      <c r="AG11955">
        <v>0</v>
      </c>
      <c r="AH11955">
        <v>0</v>
      </c>
      <c r="AI11955">
        <v>1</v>
      </c>
      <c r="AJ11955">
        <v>0</v>
      </c>
      <c r="AK11955">
        <v>0</v>
      </c>
      <c r="AL11955">
        <v>0</v>
      </c>
      <c r="AM11955">
        <v>0</v>
      </c>
    </row>
    <row r="11956" spans="1:39" x14ac:dyDescent="0.2">
      <c r="A11956" t="str">
        <f>"11952"</f>
        <v>11952</v>
      </c>
      <c r="B11956" t="str">
        <f t="shared" si="662"/>
        <v>1</v>
      </c>
      <c r="C11956" t="str">
        <f t="shared" si="665"/>
        <v>240</v>
      </c>
      <c r="D11956" t="str">
        <f>"39"</f>
        <v>39</v>
      </c>
      <c r="E11956" t="str">
        <f>"1-240-39"</f>
        <v>1-240-39</v>
      </c>
      <c r="F11956" t="s">
        <v>65</v>
      </c>
      <c r="G11956" t="s">
        <v>66</v>
      </c>
      <c r="H11956" t="s">
        <v>67</v>
      </c>
      <c r="S11956">
        <v>1</v>
      </c>
      <c r="T11956">
        <v>0</v>
      </c>
      <c r="U11956">
        <v>0</v>
      </c>
      <c r="V11956">
        <v>0</v>
      </c>
      <c r="W11956">
        <v>1</v>
      </c>
      <c r="X11956">
        <v>0</v>
      </c>
      <c r="Y11956">
        <v>0</v>
      </c>
      <c r="Z11956">
        <v>0</v>
      </c>
      <c r="AA11956">
        <v>0</v>
      </c>
      <c r="AB11956">
        <v>0</v>
      </c>
      <c r="AC11956">
        <v>0</v>
      </c>
      <c r="AD11956">
        <v>0</v>
      </c>
      <c r="AE11956">
        <v>0</v>
      </c>
      <c r="AF11956">
        <v>0</v>
      </c>
      <c r="AG11956">
        <v>1</v>
      </c>
      <c r="AH11956">
        <v>1</v>
      </c>
      <c r="AI11956">
        <v>1</v>
      </c>
      <c r="AJ11956">
        <v>1</v>
      </c>
      <c r="AK11956">
        <v>1</v>
      </c>
      <c r="AL11956">
        <v>1</v>
      </c>
      <c r="AM11956">
        <v>1</v>
      </c>
    </row>
    <row r="11957" spans="1:39" x14ac:dyDescent="0.2">
      <c r="A11957" t="str">
        <f>"11953"</f>
        <v>11953</v>
      </c>
      <c r="B11957" t="str">
        <f t="shared" si="662"/>
        <v>1</v>
      </c>
      <c r="C11957" t="str">
        <f t="shared" si="665"/>
        <v>240</v>
      </c>
      <c r="D11957" t="str">
        <f>"28"</f>
        <v>28</v>
      </c>
      <c r="E11957" t="str">
        <f>"1-240-28"</f>
        <v>1-240-28</v>
      </c>
      <c r="F11957" t="s">
        <v>65</v>
      </c>
      <c r="G11957" t="s">
        <v>66</v>
      </c>
      <c r="H11957" t="s">
        <v>67</v>
      </c>
      <c r="S11957">
        <v>1</v>
      </c>
      <c r="T11957">
        <v>0</v>
      </c>
      <c r="U11957">
        <v>0</v>
      </c>
      <c r="V11957">
        <v>0</v>
      </c>
      <c r="W11957">
        <v>1</v>
      </c>
      <c r="X11957">
        <v>0</v>
      </c>
      <c r="Y11957">
        <v>1</v>
      </c>
      <c r="Z11957">
        <v>0</v>
      </c>
      <c r="AA11957">
        <v>1</v>
      </c>
      <c r="AB11957">
        <v>0</v>
      </c>
      <c r="AC11957">
        <v>0</v>
      </c>
      <c r="AD11957">
        <v>1</v>
      </c>
      <c r="AE11957">
        <v>1</v>
      </c>
      <c r="AF11957">
        <v>1</v>
      </c>
      <c r="AG11957">
        <v>1</v>
      </c>
      <c r="AH11957">
        <v>1</v>
      </c>
      <c r="AI11957">
        <v>1</v>
      </c>
      <c r="AJ11957">
        <v>1</v>
      </c>
      <c r="AK11957">
        <v>1</v>
      </c>
      <c r="AL11957">
        <v>1</v>
      </c>
      <c r="AM11957">
        <v>1</v>
      </c>
    </row>
    <row r="11958" spans="1:39" x14ac:dyDescent="0.2">
      <c r="A11958" t="str">
        <f>"11954"</f>
        <v>11954</v>
      </c>
      <c r="B11958" t="str">
        <f t="shared" si="662"/>
        <v>1</v>
      </c>
      <c r="C11958" t="str">
        <f t="shared" si="665"/>
        <v>240</v>
      </c>
      <c r="D11958" t="str">
        <f>"15"</f>
        <v>15</v>
      </c>
      <c r="E11958" t="str">
        <f>"1-240-15"</f>
        <v>1-240-15</v>
      </c>
      <c r="F11958" t="s">
        <v>65</v>
      </c>
      <c r="G11958" t="s">
        <v>66</v>
      </c>
      <c r="H11958" t="s">
        <v>67</v>
      </c>
      <c r="S11958">
        <v>0</v>
      </c>
      <c r="T11958">
        <v>0</v>
      </c>
      <c r="U11958">
        <v>0</v>
      </c>
      <c r="V11958">
        <v>0</v>
      </c>
      <c r="W11958">
        <v>0</v>
      </c>
      <c r="X11958">
        <v>1</v>
      </c>
      <c r="Y11958">
        <v>0</v>
      </c>
      <c r="Z11958">
        <v>0</v>
      </c>
      <c r="AA11958">
        <v>0</v>
      </c>
      <c r="AB11958">
        <v>0</v>
      </c>
      <c r="AC11958">
        <v>0</v>
      </c>
      <c r="AD11958">
        <v>0</v>
      </c>
      <c r="AE11958">
        <v>0</v>
      </c>
      <c r="AF11958">
        <v>0</v>
      </c>
      <c r="AG11958">
        <v>0</v>
      </c>
      <c r="AH11958">
        <v>0</v>
      </c>
      <c r="AI11958">
        <v>0</v>
      </c>
      <c r="AJ11958">
        <v>0</v>
      </c>
      <c r="AK11958">
        <v>0</v>
      </c>
      <c r="AL11958">
        <v>0</v>
      </c>
      <c r="AM11958">
        <v>0</v>
      </c>
    </row>
    <row r="11959" spans="1:39" x14ac:dyDescent="0.2">
      <c r="A11959" t="str">
        <f>"11955"</f>
        <v>11955</v>
      </c>
      <c r="B11959" t="str">
        <f t="shared" ref="B11959:B12022" si="666">"1"</f>
        <v>1</v>
      </c>
      <c r="C11959" t="str">
        <f t="shared" si="665"/>
        <v>240</v>
      </c>
      <c r="D11959" t="str">
        <f>"1"</f>
        <v>1</v>
      </c>
      <c r="E11959" t="str">
        <f>"1-240-1"</f>
        <v>1-240-1</v>
      </c>
      <c r="F11959" t="s">
        <v>65</v>
      </c>
      <c r="G11959" t="s">
        <v>66</v>
      </c>
      <c r="H11959" t="s">
        <v>68</v>
      </c>
      <c r="I11959">
        <v>1</v>
      </c>
      <c r="J11959">
        <v>1</v>
      </c>
      <c r="K11959">
        <v>0</v>
      </c>
      <c r="L11959">
        <v>0</v>
      </c>
      <c r="M11959">
        <v>1</v>
      </c>
      <c r="N11959">
        <v>1</v>
      </c>
      <c r="O11959">
        <v>1</v>
      </c>
      <c r="P11959">
        <v>1</v>
      </c>
      <c r="Q11959">
        <v>1</v>
      </c>
      <c r="R11959">
        <v>1</v>
      </c>
    </row>
    <row r="11960" spans="1:39" x14ac:dyDescent="0.2">
      <c r="A11960" t="str">
        <f>"11956"</f>
        <v>11956</v>
      </c>
      <c r="B11960" t="str">
        <f t="shared" si="666"/>
        <v>1</v>
      </c>
      <c r="C11960" t="str">
        <f t="shared" si="665"/>
        <v>240</v>
      </c>
      <c r="D11960" t="str">
        <f>"36"</f>
        <v>36</v>
      </c>
      <c r="E11960" t="str">
        <f>"1-240-36"</f>
        <v>1-240-36</v>
      </c>
      <c r="F11960" t="s">
        <v>65</v>
      </c>
      <c r="G11960" t="s">
        <v>66</v>
      </c>
      <c r="H11960" t="s">
        <v>67</v>
      </c>
      <c r="S11960">
        <v>0</v>
      </c>
      <c r="T11960">
        <v>1</v>
      </c>
      <c r="U11960">
        <v>0</v>
      </c>
      <c r="V11960">
        <v>0</v>
      </c>
      <c r="W11960">
        <v>0</v>
      </c>
      <c r="X11960">
        <v>1</v>
      </c>
      <c r="Y11960">
        <v>0</v>
      </c>
      <c r="Z11960">
        <v>0</v>
      </c>
      <c r="AA11960">
        <v>0</v>
      </c>
      <c r="AB11960">
        <v>1</v>
      </c>
      <c r="AC11960">
        <v>0</v>
      </c>
      <c r="AD11960">
        <v>0</v>
      </c>
      <c r="AE11960">
        <v>0</v>
      </c>
      <c r="AF11960">
        <v>0</v>
      </c>
      <c r="AG11960">
        <v>0</v>
      </c>
      <c r="AH11960">
        <v>0</v>
      </c>
      <c r="AI11960">
        <v>0</v>
      </c>
      <c r="AJ11960">
        <v>0</v>
      </c>
      <c r="AK11960">
        <v>0</v>
      </c>
      <c r="AL11960">
        <v>0</v>
      </c>
      <c r="AM11960">
        <v>0</v>
      </c>
    </row>
    <row r="11961" spans="1:39" x14ac:dyDescent="0.2">
      <c r="A11961" t="str">
        <f>"11957"</f>
        <v>11957</v>
      </c>
      <c r="B11961" t="str">
        <f t="shared" si="666"/>
        <v>1</v>
      </c>
      <c r="C11961" t="str">
        <f t="shared" si="665"/>
        <v>240</v>
      </c>
      <c r="D11961" t="str">
        <f>"35"</f>
        <v>35</v>
      </c>
      <c r="E11961" t="str">
        <f>"1-240-35"</f>
        <v>1-240-35</v>
      </c>
      <c r="F11961" t="s">
        <v>65</v>
      </c>
      <c r="G11961" t="s">
        <v>66</v>
      </c>
      <c r="H11961" t="s">
        <v>67</v>
      </c>
      <c r="S11961">
        <v>1</v>
      </c>
      <c r="T11961">
        <v>0</v>
      </c>
      <c r="U11961">
        <v>0</v>
      </c>
      <c r="V11961">
        <v>0</v>
      </c>
      <c r="W11961">
        <v>1</v>
      </c>
      <c r="X11961">
        <v>0</v>
      </c>
      <c r="Y11961">
        <v>1</v>
      </c>
      <c r="Z11961">
        <v>0</v>
      </c>
      <c r="AA11961">
        <v>1</v>
      </c>
      <c r="AB11961">
        <v>0</v>
      </c>
      <c r="AC11961">
        <v>0</v>
      </c>
      <c r="AD11961">
        <v>1</v>
      </c>
      <c r="AE11961">
        <v>1</v>
      </c>
      <c r="AF11961">
        <v>1</v>
      </c>
      <c r="AG11961">
        <v>1</v>
      </c>
      <c r="AH11961">
        <v>1</v>
      </c>
      <c r="AI11961">
        <v>1</v>
      </c>
      <c r="AJ11961">
        <v>1</v>
      </c>
      <c r="AK11961">
        <v>1</v>
      </c>
      <c r="AL11961">
        <v>1</v>
      </c>
      <c r="AM11961">
        <v>1</v>
      </c>
    </row>
    <row r="11962" spans="1:39" x14ac:dyDescent="0.2">
      <c r="A11962" t="str">
        <f>"11958"</f>
        <v>11958</v>
      </c>
      <c r="B11962" t="str">
        <f t="shared" si="666"/>
        <v>1</v>
      </c>
      <c r="C11962" t="str">
        <f t="shared" si="665"/>
        <v>240</v>
      </c>
      <c r="D11962" t="str">
        <f>"24"</f>
        <v>24</v>
      </c>
      <c r="E11962" t="str">
        <f>"1-240-24"</f>
        <v>1-240-24</v>
      </c>
      <c r="F11962" t="s">
        <v>65</v>
      </c>
      <c r="G11962" t="s">
        <v>66</v>
      </c>
      <c r="H11962" t="s">
        <v>68</v>
      </c>
      <c r="I11962">
        <v>1</v>
      </c>
      <c r="J11962">
        <v>0</v>
      </c>
      <c r="K11962">
        <v>0</v>
      </c>
      <c r="L11962">
        <v>1</v>
      </c>
      <c r="M11962">
        <v>1</v>
      </c>
      <c r="N11962">
        <v>1</v>
      </c>
      <c r="O11962">
        <v>0</v>
      </c>
      <c r="P11962">
        <v>1</v>
      </c>
      <c r="Q11962">
        <v>0</v>
      </c>
      <c r="R11962">
        <v>0</v>
      </c>
    </row>
    <row r="11963" spans="1:39" x14ac:dyDescent="0.2">
      <c r="A11963" t="str">
        <f>"11959"</f>
        <v>11959</v>
      </c>
      <c r="B11963" t="str">
        <f t="shared" si="666"/>
        <v>1</v>
      </c>
      <c r="C11963" t="str">
        <f t="shared" si="665"/>
        <v>240</v>
      </c>
      <c r="D11963" t="str">
        <f>"16"</f>
        <v>16</v>
      </c>
      <c r="E11963" t="str">
        <f>"1-240-16"</f>
        <v>1-240-16</v>
      </c>
      <c r="F11963" t="s">
        <v>65</v>
      </c>
      <c r="G11963" t="s">
        <v>66</v>
      </c>
      <c r="H11963" t="s">
        <v>67</v>
      </c>
      <c r="S11963">
        <v>1</v>
      </c>
      <c r="T11963">
        <v>0</v>
      </c>
      <c r="U11963">
        <v>0</v>
      </c>
      <c r="V11963">
        <v>0</v>
      </c>
      <c r="W11963">
        <v>1</v>
      </c>
      <c r="X11963">
        <v>0</v>
      </c>
      <c r="Y11963">
        <v>1</v>
      </c>
      <c r="Z11963">
        <v>0</v>
      </c>
      <c r="AA11963">
        <v>0</v>
      </c>
      <c r="AB11963">
        <v>0</v>
      </c>
      <c r="AC11963">
        <v>1</v>
      </c>
      <c r="AD11963">
        <v>1</v>
      </c>
      <c r="AE11963">
        <v>1</v>
      </c>
      <c r="AF11963">
        <v>1</v>
      </c>
      <c r="AG11963">
        <v>1</v>
      </c>
      <c r="AH11963">
        <v>1</v>
      </c>
      <c r="AI11963">
        <v>1</v>
      </c>
      <c r="AJ11963">
        <v>1</v>
      </c>
      <c r="AK11963">
        <v>1</v>
      </c>
      <c r="AL11963">
        <v>1</v>
      </c>
      <c r="AM11963">
        <v>1</v>
      </c>
    </row>
    <row r="11964" spans="1:39" x14ac:dyDescent="0.2">
      <c r="A11964" t="str">
        <f>"11960"</f>
        <v>11960</v>
      </c>
      <c r="B11964" t="str">
        <f t="shared" si="666"/>
        <v>1</v>
      </c>
      <c r="C11964" t="str">
        <f t="shared" si="665"/>
        <v>240</v>
      </c>
      <c r="D11964" t="str">
        <f>"2"</f>
        <v>2</v>
      </c>
      <c r="E11964" t="str">
        <f>"1-240-2"</f>
        <v>1-240-2</v>
      </c>
      <c r="F11964" t="s">
        <v>65</v>
      </c>
      <c r="G11964" t="s">
        <v>66</v>
      </c>
      <c r="H11964" t="s">
        <v>67</v>
      </c>
      <c r="S11964">
        <v>0</v>
      </c>
      <c r="T11964">
        <v>1</v>
      </c>
      <c r="U11964">
        <v>0</v>
      </c>
      <c r="V11964">
        <v>0</v>
      </c>
      <c r="W11964">
        <v>1</v>
      </c>
      <c r="X11964">
        <v>0</v>
      </c>
      <c r="Y11964">
        <v>0</v>
      </c>
      <c r="Z11964">
        <v>1</v>
      </c>
      <c r="AA11964">
        <v>0</v>
      </c>
      <c r="AB11964">
        <v>0</v>
      </c>
      <c r="AC11964">
        <v>1</v>
      </c>
      <c r="AD11964">
        <v>1</v>
      </c>
      <c r="AE11964">
        <v>1</v>
      </c>
      <c r="AF11964">
        <v>1</v>
      </c>
      <c r="AG11964">
        <v>1</v>
      </c>
      <c r="AH11964">
        <v>1</v>
      </c>
      <c r="AI11964">
        <v>1</v>
      </c>
      <c r="AJ11964">
        <v>1</v>
      </c>
      <c r="AK11964">
        <v>1</v>
      </c>
      <c r="AL11964">
        <v>1</v>
      </c>
      <c r="AM11964">
        <v>1</v>
      </c>
    </row>
    <row r="11965" spans="1:39" x14ac:dyDescent="0.2">
      <c r="A11965" t="str">
        <f>"11961"</f>
        <v>11961</v>
      </c>
      <c r="B11965" t="str">
        <f t="shared" si="666"/>
        <v>1</v>
      </c>
      <c r="C11965" t="str">
        <f t="shared" si="665"/>
        <v>240</v>
      </c>
      <c r="D11965" t="str">
        <f>"38"</f>
        <v>38</v>
      </c>
      <c r="E11965" t="str">
        <f>"1-240-38"</f>
        <v>1-240-38</v>
      </c>
      <c r="F11965" t="s">
        <v>65</v>
      </c>
      <c r="G11965" t="s">
        <v>66</v>
      </c>
      <c r="H11965" t="s">
        <v>67</v>
      </c>
      <c r="S11965">
        <v>0</v>
      </c>
      <c r="T11965">
        <v>1</v>
      </c>
      <c r="U11965">
        <v>0</v>
      </c>
      <c r="V11965">
        <v>0</v>
      </c>
      <c r="W11965">
        <v>1</v>
      </c>
      <c r="X11965">
        <v>0</v>
      </c>
      <c r="Y11965">
        <v>0</v>
      </c>
      <c r="Z11965">
        <v>1</v>
      </c>
      <c r="AA11965">
        <v>0</v>
      </c>
      <c r="AB11965">
        <v>0</v>
      </c>
      <c r="AC11965">
        <v>1</v>
      </c>
      <c r="AD11965">
        <v>1</v>
      </c>
      <c r="AE11965">
        <v>1</v>
      </c>
      <c r="AF11965">
        <v>1</v>
      </c>
      <c r="AG11965">
        <v>1</v>
      </c>
      <c r="AH11965">
        <v>1</v>
      </c>
      <c r="AI11965">
        <v>1</v>
      </c>
      <c r="AJ11965">
        <v>1</v>
      </c>
      <c r="AK11965">
        <v>1</v>
      </c>
      <c r="AL11965">
        <v>1</v>
      </c>
      <c r="AM11965">
        <v>1</v>
      </c>
    </row>
    <row r="11966" spans="1:39" x14ac:dyDescent="0.2">
      <c r="A11966" t="str">
        <f>"11962"</f>
        <v>11962</v>
      </c>
      <c r="B11966" t="str">
        <f t="shared" si="666"/>
        <v>1</v>
      </c>
      <c r="C11966" t="str">
        <f t="shared" si="665"/>
        <v>240</v>
      </c>
      <c r="D11966" t="str">
        <f>"37"</f>
        <v>37</v>
      </c>
      <c r="E11966" t="str">
        <f>"1-240-37"</f>
        <v>1-240-37</v>
      </c>
      <c r="F11966" t="s">
        <v>65</v>
      </c>
      <c r="G11966" t="s">
        <v>66</v>
      </c>
      <c r="H11966" t="s">
        <v>67</v>
      </c>
      <c r="S11966">
        <v>0</v>
      </c>
      <c r="T11966">
        <v>0</v>
      </c>
      <c r="U11966">
        <v>0</v>
      </c>
      <c r="V11966">
        <v>0</v>
      </c>
      <c r="W11966">
        <v>0</v>
      </c>
      <c r="X11966">
        <v>1</v>
      </c>
      <c r="Y11966">
        <v>0</v>
      </c>
      <c r="Z11966">
        <v>0</v>
      </c>
      <c r="AA11966">
        <v>0</v>
      </c>
      <c r="AB11966">
        <v>0</v>
      </c>
      <c r="AC11966">
        <v>0</v>
      </c>
      <c r="AD11966">
        <v>0</v>
      </c>
      <c r="AE11966">
        <v>0</v>
      </c>
      <c r="AF11966">
        <v>0</v>
      </c>
      <c r="AG11966">
        <v>0</v>
      </c>
      <c r="AH11966">
        <v>0</v>
      </c>
      <c r="AI11966">
        <v>0</v>
      </c>
      <c r="AJ11966">
        <v>0</v>
      </c>
      <c r="AK11966">
        <v>0</v>
      </c>
      <c r="AL11966">
        <v>1</v>
      </c>
      <c r="AM11966">
        <v>0</v>
      </c>
    </row>
    <row r="11967" spans="1:39" x14ac:dyDescent="0.2">
      <c r="A11967" t="str">
        <f>"11963"</f>
        <v>11963</v>
      </c>
      <c r="B11967" t="str">
        <f t="shared" si="666"/>
        <v>1</v>
      </c>
      <c r="C11967" t="str">
        <f t="shared" si="665"/>
        <v>240</v>
      </c>
      <c r="D11967" t="str">
        <f>"25"</f>
        <v>25</v>
      </c>
      <c r="E11967" t="str">
        <f>"1-240-25"</f>
        <v>1-240-25</v>
      </c>
      <c r="F11967" t="s">
        <v>65</v>
      </c>
      <c r="G11967" t="s">
        <v>66</v>
      </c>
      <c r="H11967" t="s">
        <v>68</v>
      </c>
      <c r="I11967">
        <v>0</v>
      </c>
      <c r="J11967">
        <v>0</v>
      </c>
      <c r="K11967">
        <v>0</v>
      </c>
      <c r="L11967">
        <v>1</v>
      </c>
      <c r="M11967">
        <v>1</v>
      </c>
      <c r="N11967">
        <v>1</v>
      </c>
      <c r="O11967">
        <v>0</v>
      </c>
      <c r="P11967">
        <v>0</v>
      </c>
      <c r="Q11967">
        <v>0</v>
      </c>
      <c r="R11967">
        <v>0</v>
      </c>
    </row>
    <row r="11968" spans="1:39" x14ac:dyDescent="0.2">
      <c r="A11968" t="str">
        <f>"11964"</f>
        <v>11964</v>
      </c>
      <c r="B11968" t="str">
        <f t="shared" si="666"/>
        <v>1</v>
      </c>
      <c r="C11968" t="str">
        <f t="shared" si="665"/>
        <v>240</v>
      </c>
      <c r="D11968" t="str">
        <f>"17"</f>
        <v>17</v>
      </c>
      <c r="E11968" t="str">
        <f>"1-240-17"</f>
        <v>1-240-17</v>
      </c>
      <c r="F11968" t="s">
        <v>65</v>
      </c>
      <c r="G11968" t="s">
        <v>66</v>
      </c>
      <c r="H11968" t="s">
        <v>67</v>
      </c>
      <c r="S11968">
        <v>1</v>
      </c>
      <c r="T11968">
        <v>0</v>
      </c>
      <c r="U11968">
        <v>0</v>
      </c>
      <c r="V11968">
        <v>0</v>
      </c>
      <c r="W11968">
        <v>1</v>
      </c>
      <c r="X11968">
        <v>0</v>
      </c>
      <c r="Y11968">
        <v>0</v>
      </c>
      <c r="Z11968">
        <v>1</v>
      </c>
      <c r="AA11968">
        <v>1</v>
      </c>
      <c r="AB11968">
        <v>0</v>
      </c>
      <c r="AC11968">
        <v>0</v>
      </c>
      <c r="AD11968">
        <v>0</v>
      </c>
      <c r="AE11968">
        <v>0</v>
      </c>
      <c r="AF11968">
        <v>0</v>
      </c>
      <c r="AG11968">
        <v>0</v>
      </c>
      <c r="AH11968">
        <v>1</v>
      </c>
      <c r="AI11968">
        <v>1</v>
      </c>
      <c r="AJ11968">
        <v>1</v>
      </c>
      <c r="AK11968">
        <v>0</v>
      </c>
      <c r="AL11968">
        <v>1</v>
      </c>
      <c r="AM11968">
        <v>0</v>
      </c>
    </row>
    <row r="11969" spans="1:39" x14ac:dyDescent="0.2">
      <c r="A11969" t="str">
        <f>"11965"</f>
        <v>11965</v>
      </c>
      <c r="B11969" t="str">
        <f t="shared" si="666"/>
        <v>1</v>
      </c>
      <c r="C11969" t="str">
        <f t="shared" si="665"/>
        <v>240</v>
      </c>
      <c r="D11969" t="str">
        <f>"5"</f>
        <v>5</v>
      </c>
      <c r="E11969" t="str">
        <f>"1-240-5"</f>
        <v>1-240-5</v>
      </c>
      <c r="F11969" t="s">
        <v>65</v>
      </c>
      <c r="G11969" t="s">
        <v>66</v>
      </c>
      <c r="H11969" t="s">
        <v>67</v>
      </c>
      <c r="S11969">
        <v>1</v>
      </c>
      <c r="T11969">
        <v>0</v>
      </c>
      <c r="U11969">
        <v>0</v>
      </c>
      <c r="V11969">
        <v>0</v>
      </c>
      <c r="W11969">
        <v>1</v>
      </c>
      <c r="X11969">
        <v>0</v>
      </c>
      <c r="Y11969">
        <v>1</v>
      </c>
      <c r="Z11969">
        <v>0</v>
      </c>
      <c r="AA11969">
        <v>1</v>
      </c>
      <c r="AB11969">
        <v>0</v>
      </c>
      <c r="AC11969">
        <v>0</v>
      </c>
      <c r="AD11969">
        <v>1</v>
      </c>
      <c r="AE11969">
        <v>1</v>
      </c>
      <c r="AF11969">
        <v>1</v>
      </c>
      <c r="AG11969">
        <v>1</v>
      </c>
      <c r="AH11969">
        <v>1</v>
      </c>
      <c r="AI11969">
        <v>1</v>
      </c>
      <c r="AJ11969">
        <v>1</v>
      </c>
      <c r="AK11969">
        <v>1</v>
      </c>
      <c r="AL11969">
        <v>1</v>
      </c>
      <c r="AM11969">
        <v>1</v>
      </c>
    </row>
    <row r="11970" spans="1:39" x14ac:dyDescent="0.2">
      <c r="A11970" t="str">
        <f>"11966"</f>
        <v>11966</v>
      </c>
      <c r="B11970" t="str">
        <f t="shared" si="666"/>
        <v>1</v>
      </c>
      <c r="C11970" t="str">
        <f t="shared" si="665"/>
        <v>240</v>
      </c>
      <c r="D11970" t="str">
        <f>"43"</f>
        <v>43</v>
      </c>
      <c r="E11970" t="str">
        <f>"1-240-43"</f>
        <v>1-240-43</v>
      </c>
      <c r="F11970" t="s">
        <v>65</v>
      </c>
      <c r="G11970" t="s">
        <v>66</v>
      </c>
      <c r="H11970" t="s">
        <v>68</v>
      </c>
      <c r="I11970">
        <v>1</v>
      </c>
      <c r="J11970">
        <v>0</v>
      </c>
      <c r="K11970">
        <v>0</v>
      </c>
      <c r="L11970">
        <v>1</v>
      </c>
      <c r="M11970">
        <v>1</v>
      </c>
      <c r="N11970">
        <v>1</v>
      </c>
      <c r="O11970">
        <v>1</v>
      </c>
      <c r="P11970">
        <v>1</v>
      </c>
      <c r="Q11970">
        <v>1</v>
      </c>
      <c r="R11970">
        <v>1</v>
      </c>
    </row>
    <row r="11971" spans="1:39" x14ac:dyDescent="0.2">
      <c r="A11971" t="str">
        <f>"11967"</f>
        <v>11967</v>
      </c>
      <c r="B11971" t="str">
        <f t="shared" si="666"/>
        <v>1</v>
      </c>
      <c r="C11971" t="str">
        <f t="shared" si="665"/>
        <v>240</v>
      </c>
      <c r="D11971" t="str">
        <f>"42"</f>
        <v>42</v>
      </c>
      <c r="E11971" t="str">
        <f>"1-240-42"</f>
        <v>1-240-42</v>
      </c>
      <c r="F11971" t="s">
        <v>65</v>
      </c>
      <c r="G11971" t="s">
        <v>66</v>
      </c>
      <c r="H11971" t="s">
        <v>67</v>
      </c>
      <c r="S11971">
        <v>1</v>
      </c>
      <c r="T11971">
        <v>0</v>
      </c>
      <c r="U11971">
        <v>0</v>
      </c>
      <c r="V11971">
        <v>0</v>
      </c>
      <c r="W11971">
        <v>1</v>
      </c>
      <c r="X11971">
        <v>0</v>
      </c>
      <c r="Y11971">
        <v>1</v>
      </c>
      <c r="Z11971">
        <v>0</v>
      </c>
      <c r="AA11971">
        <v>0</v>
      </c>
      <c r="AB11971">
        <v>0</v>
      </c>
      <c r="AC11971">
        <v>1</v>
      </c>
      <c r="AD11971">
        <v>1</v>
      </c>
      <c r="AE11971">
        <v>1</v>
      </c>
      <c r="AF11971">
        <v>1</v>
      </c>
      <c r="AG11971">
        <v>1</v>
      </c>
      <c r="AH11971">
        <v>1</v>
      </c>
      <c r="AI11971">
        <v>1</v>
      </c>
      <c r="AJ11971">
        <v>1</v>
      </c>
      <c r="AK11971">
        <v>1</v>
      </c>
      <c r="AL11971">
        <v>1</v>
      </c>
      <c r="AM11971">
        <v>1</v>
      </c>
    </row>
    <row r="11972" spans="1:39" x14ac:dyDescent="0.2">
      <c r="A11972" t="str">
        <f>"11968"</f>
        <v>11968</v>
      </c>
      <c r="B11972" t="str">
        <f t="shared" si="666"/>
        <v>1</v>
      </c>
      <c r="C11972" t="str">
        <f t="shared" si="665"/>
        <v>240</v>
      </c>
      <c r="D11972" t="str">
        <f>"32"</f>
        <v>32</v>
      </c>
      <c r="E11972" t="str">
        <f>"1-240-32"</f>
        <v>1-240-32</v>
      </c>
      <c r="F11972" t="s">
        <v>65</v>
      </c>
      <c r="G11972" t="s">
        <v>66</v>
      </c>
      <c r="H11972" t="s">
        <v>67</v>
      </c>
      <c r="S11972">
        <v>1</v>
      </c>
      <c r="T11972">
        <v>0</v>
      </c>
      <c r="U11972">
        <v>0</v>
      </c>
      <c r="V11972">
        <v>0</v>
      </c>
      <c r="W11972">
        <v>1</v>
      </c>
      <c r="X11972">
        <v>0</v>
      </c>
      <c r="Y11972">
        <v>1</v>
      </c>
      <c r="Z11972">
        <v>0</v>
      </c>
      <c r="AA11972">
        <v>0</v>
      </c>
      <c r="AB11972">
        <v>0</v>
      </c>
      <c r="AC11972">
        <v>1</v>
      </c>
      <c r="AD11972">
        <v>1</v>
      </c>
      <c r="AE11972">
        <v>1</v>
      </c>
      <c r="AF11972">
        <v>1</v>
      </c>
      <c r="AG11972">
        <v>1</v>
      </c>
      <c r="AH11972">
        <v>1</v>
      </c>
      <c r="AI11972">
        <v>1</v>
      </c>
      <c r="AJ11972">
        <v>1</v>
      </c>
      <c r="AK11972">
        <v>1</v>
      </c>
      <c r="AL11972">
        <v>1</v>
      </c>
      <c r="AM11972">
        <v>1</v>
      </c>
    </row>
    <row r="11973" spans="1:39" x14ac:dyDescent="0.2">
      <c r="A11973" t="str">
        <f>"11969"</f>
        <v>11969</v>
      </c>
      <c r="B11973" t="str">
        <f t="shared" si="666"/>
        <v>1</v>
      </c>
      <c r="C11973" t="str">
        <f t="shared" si="665"/>
        <v>240</v>
      </c>
      <c r="D11973" t="str">
        <f>"18"</f>
        <v>18</v>
      </c>
      <c r="E11973" t="str">
        <f>"1-240-18"</f>
        <v>1-240-18</v>
      </c>
      <c r="F11973" t="s">
        <v>65</v>
      </c>
      <c r="G11973" t="s">
        <v>66</v>
      </c>
      <c r="H11973" t="s">
        <v>67</v>
      </c>
      <c r="S11973">
        <v>0</v>
      </c>
      <c r="T11973">
        <v>1</v>
      </c>
      <c r="U11973">
        <v>0</v>
      </c>
      <c r="V11973">
        <v>0</v>
      </c>
      <c r="W11973">
        <v>0</v>
      </c>
      <c r="X11973">
        <v>1</v>
      </c>
      <c r="Y11973">
        <v>0</v>
      </c>
      <c r="Z11973">
        <v>1</v>
      </c>
      <c r="AA11973">
        <v>0</v>
      </c>
      <c r="AB11973">
        <v>0</v>
      </c>
      <c r="AC11973">
        <v>1</v>
      </c>
      <c r="AD11973">
        <v>0</v>
      </c>
      <c r="AE11973">
        <v>1</v>
      </c>
      <c r="AF11973">
        <v>1</v>
      </c>
      <c r="AG11973">
        <v>1</v>
      </c>
      <c r="AH11973">
        <v>1</v>
      </c>
      <c r="AI11973">
        <v>1</v>
      </c>
      <c r="AJ11973">
        <v>1</v>
      </c>
      <c r="AK11973">
        <v>1</v>
      </c>
      <c r="AL11973">
        <v>1</v>
      </c>
      <c r="AM11973">
        <v>1</v>
      </c>
    </row>
    <row r="11974" spans="1:39" x14ac:dyDescent="0.2">
      <c r="A11974" t="str">
        <f>"11970"</f>
        <v>11970</v>
      </c>
      <c r="B11974" t="str">
        <f t="shared" si="666"/>
        <v>1</v>
      </c>
      <c r="C11974" t="str">
        <f t="shared" si="665"/>
        <v>240</v>
      </c>
      <c r="D11974" t="str">
        <f>"6"</f>
        <v>6</v>
      </c>
      <c r="E11974" t="str">
        <f>"1-240-6"</f>
        <v>1-240-6</v>
      </c>
      <c r="F11974" t="s">
        <v>65</v>
      </c>
      <c r="G11974" t="s">
        <v>66</v>
      </c>
      <c r="H11974" t="s">
        <v>67</v>
      </c>
      <c r="S11974">
        <v>1</v>
      </c>
      <c r="T11974">
        <v>0</v>
      </c>
      <c r="U11974">
        <v>0</v>
      </c>
      <c r="V11974">
        <v>0</v>
      </c>
      <c r="W11974">
        <v>1</v>
      </c>
      <c r="X11974">
        <v>0</v>
      </c>
      <c r="Y11974">
        <v>0</v>
      </c>
      <c r="Z11974">
        <v>1</v>
      </c>
      <c r="AA11974">
        <v>1</v>
      </c>
      <c r="AB11974">
        <v>0</v>
      </c>
      <c r="AC11974">
        <v>0</v>
      </c>
      <c r="AD11974">
        <v>1</v>
      </c>
      <c r="AE11974">
        <v>1</v>
      </c>
      <c r="AF11974">
        <v>1</v>
      </c>
      <c r="AG11974">
        <v>1</v>
      </c>
      <c r="AH11974">
        <v>1</v>
      </c>
      <c r="AI11974">
        <v>1</v>
      </c>
      <c r="AJ11974">
        <v>1</v>
      </c>
      <c r="AK11974">
        <v>1</v>
      </c>
      <c r="AL11974">
        <v>1</v>
      </c>
      <c r="AM11974">
        <v>1</v>
      </c>
    </row>
    <row r="11975" spans="1:39" x14ac:dyDescent="0.2">
      <c r="A11975" t="str">
        <f>"11971"</f>
        <v>11971</v>
      </c>
      <c r="B11975" t="str">
        <f t="shared" si="666"/>
        <v>1</v>
      </c>
      <c r="C11975" t="str">
        <f t="shared" si="665"/>
        <v>240</v>
      </c>
      <c r="D11975" t="str">
        <f>"45"</f>
        <v>45</v>
      </c>
      <c r="E11975" t="str">
        <f>"1-240-45"</f>
        <v>1-240-45</v>
      </c>
      <c r="F11975" t="s">
        <v>65</v>
      </c>
      <c r="G11975" t="s">
        <v>66</v>
      </c>
      <c r="H11975" t="s">
        <v>67</v>
      </c>
      <c r="S11975">
        <v>1</v>
      </c>
      <c r="T11975">
        <v>0</v>
      </c>
      <c r="U11975">
        <v>0</v>
      </c>
      <c r="V11975">
        <v>0</v>
      </c>
      <c r="W11975">
        <v>1</v>
      </c>
      <c r="X11975">
        <v>0</v>
      </c>
      <c r="Y11975">
        <v>1</v>
      </c>
      <c r="Z11975">
        <v>0</v>
      </c>
      <c r="AA11975">
        <v>0</v>
      </c>
      <c r="AB11975">
        <v>0</v>
      </c>
      <c r="AC11975">
        <v>1</v>
      </c>
      <c r="AD11975">
        <v>1</v>
      </c>
      <c r="AE11975">
        <v>1</v>
      </c>
      <c r="AF11975">
        <v>1</v>
      </c>
      <c r="AG11975">
        <v>1</v>
      </c>
      <c r="AH11975">
        <v>1</v>
      </c>
      <c r="AI11975">
        <v>1</v>
      </c>
      <c r="AJ11975">
        <v>1</v>
      </c>
      <c r="AK11975">
        <v>1</v>
      </c>
      <c r="AL11975">
        <v>1</v>
      </c>
      <c r="AM11975">
        <v>1</v>
      </c>
    </row>
    <row r="11976" spans="1:39" x14ac:dyDescent="0.2">
      <c r="A11976" t="str">
        <f>"11972"</f>
        <v>11972</v>
      </c>
      <c r="B11976" t="str">
        <f t="shared" si="666"/>
        <v>1</v>
      </c>
      <c r="C11976" t="str">
        <f t="shared" si="665"/>
        <v>240</v>
      </c>
      <c r="D11976" t="str">
        <f>"44"</f>
        <v>44</v>
      </c>
      <c r="E11976" t="str">
        <f>"1-240-44"</f>
        <v>1-240-44</v>
      </c>
      <c r="F11976" t="s">
        <v>65</v>
      </c>
      <c r="G11976" t="s">
        <v>66</v>
      </c>
      <c r="H11976" t="s">
        <v>67</v>
      </c>
      <c r="S11976">
        <v>0</v>
      </c>
      <c r="T11976">
        <v>1</v>
      </c>
      <c r="U11976">
        <v>0</v>
      </c>
      <c r="V11976">
        <v>0</v>
      </c>
      <c r="W11976">
        <v>1</v>
      </c>
      <c r="X11976">
        <v>0</v>
      </c>
      <c r="Y11976">
        <v>0</v>
      </c>
      <c r="Z11976">
        <v>1</v>
      </c>
      <c r="AA11976">
        <v>1</v>
      </c>
      <c r="AB11976">
        <v>0</v>
      </c>
      <c r="AC11976">
        <v>0</v>
      </c>
      <c r="AD11976">
        <v>1</v>
      </c>
      <c r="AE11976">
        <v>0</v>
      </c>
      <c r="AF11976">
        <v>0</v>
      </c>
      <c r="AG11976">
        <v>0</v>
      </c>
      <c r="AH11976">
        <v>0</v>
      </c>
      <c r="AI11976">
        <v>0</v>
      </c>
      <c r="AJ11976">
        <v>1</v>
      </c>
      <c r="AK11976">
        <v>0</v>
      </c>
      <c r="AL11976">
        <v>1</v>
      </c>
      <c r="AM11976">
        <v>0</v>
      </c>
    </row>
    <row r="11977" spans="1:39" x14ac:dyDescent="0.2">
      <c r="A11977" t="str">
        <f>"11973"</f>
        <v>11973</v>
      </c>
      <c r="B11977" t="str">
        <f t="shared" si="666"/>
        <v>1</v>
      </c>
      <c r="C11977" t="str">
        <f t="shared" si="665"/>
        <v>240</v>
      </c>
      <c r="D11977" t="str">
        <f>"33"</f>
        <v>33</v>
      </c>
      <c r="E11977" t="str">
        <f>"1-240-33"</f>
        <v>1-240-33</v>
      </c>
      <c r="F11977" t="s">
        <v>65</v>
      </c>
      <c r="G11977" t="s">
        <v>66</v>
      </c>
      <c r="H11977" t="s">
        <v>67</v>
      </c>
      <c r="S11977">
        <v>0</v>
      </c>
      <c r="T11977">
        <v>1</v>
      </c>
      <c r="U11977">
        <v>0</v>
      </c>
      <c r="V11977">
        <v>0</v>
      </c>
      <c r="W11977">
        <v>0</v>
      </c>
      <c r="X11977">
        <v>1</v>
      </c>
      <c r="Y11977">
        <v>0</v>
      </c>
      <c r="Z11977">
        <v>1</v>
      </c>
      <c r="AA11977">
        <v>0</v>
      </c>
      <c r="AB11977">
        <v>0</v>
      </c>
      <c r="AC11977">
        <v>1</v>
      </c>
      <c r="AD11977">
        <v>1</v>
      </c>
      <c r="AE11977">
        <v>1</v>
      </c>
      <c r="AF11977">
        <v>1</v>
      </c>
      <c r="AG11977">
        <v>1</v>
      </c>
      <c r="AH11977">
        <v>1</v>
      </c>
      <c r="AI11977">
        <v>1</v>
      </c>
      <c r="AJ11977">
        <v>1</v>
      </c>
      <c r="AK11977">
        <v>1</v>
      </c>
      <c r="AL11977">
        <v>1</v>
      </c>
      <c r="AM11977">
        <v>1</v>
      </c>
    </row>
    <row r="11978" spans="1:39" x14ac:dyDescent="0.2">
      <c r="A11978" t="str">
        <f>"11974"</f>
        <v>11974</v>
      </c>
      <c r="B11978" t="str">
        <f t="shared" si="666"/>
        <v>1</v>
      </c>
      <c r="C11978" t="str">
        <f t="shared" si="665"/>
        <v>240</v>
      </c>
      <c r="D11978" t="str">
        <f>"19"</f>
        <v>19</v>
      </c>
      <c r="E11978" t="str">
        <f>"1-240-19"</f>
        <v>1-240-19</v>
      </c>
      <c r="F11978" t="s">
        <v>65</v>
      </c>
      <c r="G11978" t="s">
        <v>66</v>
      </c>
      <c r="H11978" t="s">
        <v>67</v>
      </c>
      <c r="S11978">
        <v>0</v>
      </c>
      <c r="T11978">
        <v>1</v>
      </c>
      <c r="U11978">
        <v>0</v>
      </c>
      <c r="V11978">
        <v>0</v>
      </c>
      <c r="W11978">
        <v>0</v>
      </c>
      <c r="X11978">
        <v>1</v>
      </c>
      <c r="Y11978">
        <v>0</v>
      </c>
      <c r="Z11978">
        <v>1</v>
      </c>
      <c r="AA11978">
        <v>0</v>
      </c>
      <c r="AB11978">
        <v>0</v>
      </c>
      <c r="AC11978">
        <v>0</v>
      </c>
      <c r="AD11978">
        <v>0</v>
      </c>
      <c r="AE11978">
        <v>0</v>
      </c>
      <c r="AF11978">
        <v>0</v>
      </c>
      <c r="AG11978">
        <v>0</v>
      </c>
      <c r="AH11978">
        <v>1</v>
      </c>
      <c r="AI11978">
        <v>1</v>
      </c>
      <c r="AJ11978">
        <v>0</v>
      </c>
      <c r="AK11978">
        <v>0</v>
      </c>
      <c r="AL11978">
        <v>0</v>
      </c>
      <c r="AM11978">
        <v>0</v>
      </c>
    </row>
    <row r="11979" spans="1:39" x14ac:dyDescent="0.2">
      <c r="A11979" t="str">
        <f>"11975"</f>
        <v>11975</v>
      </c>
      <c r="B11979" t="str">
        <f t="shared" si="666"/>
        <v>1</v>
      </c>
      <c r="C11979" t="str">
        <f t="shared" si="665"/>
        <v>240</v>
      </c>
      <c r="D11979" t="str">
        <f>"13"</f>
        <v>13</v>
      </c>
      <c r="E11979" t="str">
        <f>"1-240-13"</f>
        <v>1-240-13</v>
      </c>
      <c r="F11979" t="s">
        <v>65</v>
      </c>
      <c r="G11979" t="s">
        <v>66</v>
      </c>
      <c r="H11979" t="s">
        <v>67</v>
      </c>
      <c r="S11979">
        <v>0</v>
      </c>
      <c r="T11979">
        <v>1</v>
      </c>
      <c r="U11979">
        <v>0</v>
      </c>
      <c r="V11979">
        <v>0</v>
      </c>
      <c r="W11979">
        <v>1</v>
      </c>
      <c r="X11979">
        <v>0</v>
      </c>
      <c r="Y11979">
        <v>0</v>
      </c>
      <c r="Z11979">
        <v>1</v>
      </c>
      <c r="AA11979">
        <v>0</v>
      </c>
      <c r="AB11979">
        <v>0</v>
      </c>
      <c r="AC11979">
        <v>1</v>
      </c>
      <c r="AD11979">
        <v>1</v>
      </c>
      <c r="AE11979">
        <v>0</v>
      </c>
      <c r="AF11979">
        <v>1</v>
      </c>
      <c r="AG11979">
        <v>1</v>
      </c>
      <c r="AH11979">
        <v>1</v>
      </c>
      <c r="AI11979">
        <v>1</v>
      </c>
      <c r="AJ11979">
        <v>1</v>
      </c>
      <c r="AK11979">
        <v>1</v>
      </c>
      <c r="AL11979">
        <v>1</v>
      </c>
      <c r="AM11979">
        <v>1</v>
      </c>
    </row>
    <row r="11980" spans="1:39" x14ac:dyDescent="0.2">
      <c r="A11980" t="str">
        <f>"11976"</f>
        <v>11976</v>
      </c>
      <c r="B11980" t="str">
        <f t="shared" si="666"/>
        <v>1</v>
      </c>
      <c r="C11980" t="str">
        <f t="shared" si="665"/>
        <v>240</v>
      </c>
      <c r="D11980" t="str">
        <f>"47"</f>
        <v>47</v>
      </c>
      <c r="E11980" t="str">
        <f>"1-240-47"</f>
        <v>1-240-47</v>
      </c>
      <c r="F11980" t="s">
        <v>65</v>
      </c>
      <c r="G11980" t="s">
        <v>66</v>
      </c>
      <c r="H11980" t="s">
        <v>67</v>
      </c>
      <c r="S11980">
        <v>0</v>
      </c>
      <c r="T11980">
        <v>0</v>
      </c>
      <c r="U11980">
        <v>0</v>
      </c>
      <c r="V11980">
        <v>0</v>
      </c>
      <c r="W11980">
        <v>0</v>
      </c>
      <c r="X11980">
        <v>1</v>
      </c>
      <c r="Y11980">
        <v>0</v>
      </c>
      <c r="Z11980">
        <v>0</v>
      </c>
      <c r="AA11980">
        <v>0</v>
      </c>
      <c r="AB11980">
        <v>0</v>
      </c>
      <c r="AC11980">
        <v>0</v>
      </c>
      <c r="AD11980">
        <v>0</v>
      </c>
      <c r="AE11980">
        <v>0</v>
      </c>
      <c r="AF11980">
        <v>0</v>
      </c>
      <c r="AG11980">
        <v>0</v>
      </c>
      <c r="AH11980">
        <v>0</v>
      </c>
      <c r="AI11980">
        <v>0</v>
      </c>
      <c r="AJ11980">
        <v>0</v>
      </c>
      <c r="AK11980">
        <v>0</v>
      </c>
      <c r="AL11980">
        <v>0</v>
      </c>
      <c r="AM11980">
        <v>0</v>
      </c>
    </row>
    <row r="11981" spans="1:39" x14ac:dyDescent="0.2">
      <c r="A11981" t="str">
        <f>"11977"</f>
        <v>11977</v>
      </c>
      <c r="B11981" t="str">
        <f t="shared" si="666"/>
        <v>1</v>
      </c>
      <c r="C11981" t="str">
        <f t="shared" si="665"/>
        <v>240</v>
      </c>
      <c r="D11981" t="str">
        <f>"46"</f>
        <v>46</v>
      </c>
      <c r="E11981" t="str">
        <f>"1-240-46"</f>
        <v>1-240-46</v>
      </c>
      <c r="F11981" t="s">
        <v>65</v>
      </c>
      <c r="G11981" t="s">
        <v>66</v>
      </c>
      <c r="H11981" t="s">
        <v>67</v>
      </c>
      <c r="S11981">
        <v>0</v>
      </c>
      <c r="T11981">
        <v>0</v>
      </c>
      <c r="U11981">
        <v>0</v>
      </c>
      <c r="V11981">
        <v>0</v>
      </c>
      <c r="W11981">
        <v>0</v>
      </c>
      <c r="X11981">
        <v>1</v>
      </c>
      <c r="Y11981">
        <v>0</v>
      </c>
      <c r="Z11981">
        <v>0</v>
      </c>
      <c r="AA11981">
        <v>0</v>
      </c>
      <c r="AB11981">
        <v>0</v>
      </c>
      <c r="AC11981">
        <v>0</v>
      </c>
      <c r="AD11981">
        <v>0</v>
      </c>
      <c r="AE11981">
        <v>0</v>
      </c>
      <c r="AF11981">
        <v>0</v>
      </c>
      <c r="AG11981">
        <v>0</v>
      </c>
      <c r="AH11981">
        <v>1</v>
      </c>
      <c r="AI11981">
        <v>1</v>
      </c>
      <c r="AJ11981">
        <v>1</v>
      </c>
      <c r="AK11981">
        <v>1</v>
      </c>
      <c r="AL11981">
        <v>1</v>
      </c>
      <c r="AM11981">
        <v>0</v>
      </c>
    </row>
    <row r="11982" spans="1:39" x14ac:dyDescent="0.2">
      <c r="A11982" t="str">
        <f>"11978"</f>
        <v>11978</v>
      </c>
      <c r="B11982" t="str">
        <f t="shared" si="666"/>
        <v>1</v>
      </c>
      <c r="C11982" t="str">
        <f t="shared" si="665"/>
        <v>240</v>
      </c>
      <c r="D11982" t="str">
        <f>"34"</f>
        <v>34</v>
      </c>
      <c r="E11982" t="str">
        <f>"1-240-34"</f>
        <v>1-240-34</v>
      </c>
      <c r="F11982" t="s">
        <v>65</v>
      </c>
      <c r="G11982" t="s">
        <v>66</v>
      </c>
      <c r="H11982" t="s">
        <v>67</v>
      </c>
      <c r="S11982">
        <v>1</v>
      </c>
      <c r="T11982">
        <v>0</v>
      </c>
      <c r="U11982">
        <v>0</v>
      </c>
      <c r="V11982">
        <v>0</v>
      </c>
      <c r="W11982">
        <v>1</v>
      </c>
      <c r="X11982">
        <v>0</v>
      </c>
      <c r="Y11982">
        <v>0</v>
      </c>
      <c r="Z11982">
        <v>1</v>
      </c>
      <c r="AA11982">
        <v>0</v>
      </c>
      <c r="AB11982">
        <v>0</v>
      </c>
      <c r="AC11982">
        <v>1</v>
      </c>
      <c r="AD11982">
        <v>1</v>
      </c>
      <c r="AE11982">
        <v>1</v>
      </c>
      <c r="AF11982">
        <v>1</v>
      </c>
      <c r="AG11982">
        <v>1</v>
      </c>
      <c r="AH11982">
        <v>1</v>
      </c>
      <c r="AI11982">
        <v>1</v>
      </c>
      <c r="AJ11982">
        <v>1</v>
      </c>
      <c r="AK11982">
        <v>1</v>
      </c>
      <c r="AL11982">
        <v>1</v>
      </c>
      <c r="AM11982">
        <v>1</v>
      </c>
    </row>
    <row r="11983" spans="1:39" x14ac:dyDescent="0.2">
      <c r="A11983" t="str">
        <f>"11979"</f>
        <v>11979</v>
      </c>
      <c r="B11983" t="str">
        <f t="shared" si="666"/>
        <v>1</v>
      </c>
      <c r="C11983" t="str">
        <f t="shared" si="665"/>
        <v>240</v>
      </c>
      <c r="D11983" t="str">
        <f>"20"</f>
        <v>20</v>
      </c>
      <c r="E11983" t="str">
        <f>"1-240-20"</f>
        <v>1-240-20</v>
      </c>
      <c r="F11983" t="s">
        <v>65</v>
      </c>
      <c r="G11983" t="s">
        <v>66</v>
      </c>
      <c r="H11983" t="s">
        <v>67</v>
      </c>
      <c r="S11983">
        <v>1</v>
      </c>
      <c r="T11983">
        <v>0</v>
      </c>
      <c r="U11983">
        <v>0</v>
      </c>
      <c r="V11983">
        <v>0</v>
      </c>
      <c r="W11983">
        <v>1</v>
      </c>
      <c r="X11983">
        <v>0</v>
      </c>
      <c r="Y11983">
        <v>0</v>
      </c>
      <c r="Z11983">
        <v>1</v>
      </c>
      <c r="AA11983">
        <v>1</v>
      </c>
      <c r="AB11983">
        <v>0</v>
      </c>
      <c r="AC11983">
        <v>0</v>
      </c>
      <c r="AD11983">
        <v>1</v>
      </c>
      <c r="AE11983">
        <v>1</v>
      </c>
      <c r="AF11983">
        <v>1</v>
      </c>
      <c r="AG11983">
        <v>1</v>
      </c>
      <c r="AH11983">
        <v>1</v>
      </c>
      <c r="AI11983">
        <v>1</v>
      </c>
      <c r="AJ11983">
        <v>1</v>
      </c>
      <c r="AK11983">
        <v>1</v>
      </c>
      <c r="AL11983">
        <v>1</v>
      </c>
      <c r="AM11983">
        <v>1</v>
      </c>
    </row>
    <row r="11984" spans="1:39" x14ac:dyDescent="0.2">
      <c r="A11984" t="str">
        <f>"11980"</f>
        <v>11980</v>
      </c>
      <c r="B11984" t="str">
        <f t="shared" si="666"/>
        <v>1</v>
      </c>
      <c r="C11984" t="str">
        <f t="shared" si="665"/>
        <v>240</v>
      </c>
      <c r="D11984" t="str">
        <f>"14"</f>
        <v>14</v>
      </c>
      <c r="E11984" t="str">
        <f>"1-240-14"</f>
        <v>1-240-14</v>
      </c>
      <c r="F11984" t="s">
        <v>65</v>
      </c>
      <c r="G11984" t="s">
        <v>66</v>
      </c>
      <c r="H11984" t="s">
        <v>67</v>
      </c>
      <c r="S11984">
        <v>0</v>
      </c>
      <c r="T11984">
        <v>1</v>
      </c>
      <c r="U11984">
        <v>0</v>
      </c>
      <c r="V11984">
        <v>0</v>
      </c>
      <c r="W11984">
        <v>0</v>
      </c>
      <c r="X11984">
        <v>1</v>
      </c>
      <c r="Y11984">
        <v>0</v>
      </c>
      <c r="Z11984">
        <v>1</v>
      </c>
      <c r="AA11984">
        <v>0</v>
      </c>
      <c r="AB11984">
        <v>0</v>
      </c>
      <c r="AC11984">
        <v>1</v>
      </c>
      <c r="AD11984">
        <v>1</v>
      </c>
      <c r="AE11984">
        <v>1</v>
      </c>
      <c r="AF11984">
        <v>1</v>
      </c>
      <c r="AG11984">
        <v>1</v>
      </c>
      <c r="AH11984">
        <v>1</v>
      </c>
      <c r="AI11984">
        <v>1</v>
      </c>
      <c r="AJ11984">
        <v>1</v>
      </c>
      <c r="AK11984">
        <v>1</v>
      </c>
      <c r="AL11984">
        <v>1</v>
      </c>
      <c r="AM11984">
        <v>0</v>
      </c>
    </row>
    <row r="11985" spans="1:39" x14ac:dyDescent="0.2">
      <c r="A11985" t="str">
        <f>"11981"</f>
        <v>11981</v>
      </c>
      <c r="B11985" t="str">
        <f t="shared" si="666"/>
        <v>1</v>
      </c>
      <c r="C11985" t="str">
        <f t="shared" si="665"/>
        <v>240</v>
      </c>
      <c r="D11985" t="str">
        <f>"49"</f>
        <v>49</v>
      </c>
      <c r="E11985" t="str">
        <f>"1-240-49"</f>
        <v>1-240-49</v>
      </c>
      <c r="F11985" t="s">
        <v>65</v>
      </c>
      <c r="G11985" t="s">
        <v>66</v>
      </c>
      <c r="H11985" t="s">
        <v>67</v>
      </c>
      <c r="S11985">
        <v>0</v>
      </c>
      <c r="T11985">
        <v>1</v>
      </c>
      <c r="U11985">
        <v>0</v>
      </c>
      <c r="V11985">
        <v>0</v>
      </c>
      <c r="W11985">
        <v>0</v>
      </c>
      <c r="X11985">
        <v>1</v>
      </c>
      <c r="Y11985">
        <v>0</v>
      </c>
      <c r="Z11985">
        <v>1</v>
      </c>
      <c r="AA11985">
        <v>0</v>
      </c>
      <c r="AB11985">
        <v>0</v>
      </c>
      <c r="AC11985">
        <v>1</v>
      </c>
      <c r="AD11985">
        <v>0</v>
      </c>
      <c r="AE11985">
        <v>0</v>
      </c>
      <c r="AF11985">
        <v>0</v>
      </c>
      <c r="AG11985">
        <v>0</v>
      </c>
      <c r="AH11985">
        <v>0</v>
      </c>
      <c r="AI11985">
        <v>0</v>
      </c>
      <c r="AJ11985">
        <v>0</v>
      </c>
      <c r="AK11985">
        <v>0</v>
      </c>
      <c r="AL11985">
        <v>1</v>
      </c>
      <c r="AM11985">
        <v>1</v>
      </c>
    </row>
    <row r="11986" spans="1:39" x14ac:dyDescent="0.2">
      <c r="A11986" t="str">
        <f>"11982"</f>
        <v>11982</v>
      </c>
      <c r="B11986" t="str">
        <f t="shared" si="666"/>
        <v>1</v>
      </c>
      <c r="C11986" t="str">
        <f t="shared" si="665"/>
        <v>240</v>
      </c>
      <c r="D11986" t="str">
        <f>"21"</f>
        <v>21</v>
      </c>
      <c r="E11986" t="str">
        <f>"1-240-21"</f>
        <v>1-240-21</v>
      </c>
      <c r="F11986" t="s">
        <v>65</v>
      </c>
      <c r="G11986" t="s">
        <v>66</v>
      </c>
      <c r="H11986" t="s">
        <v>67</v>
      </c>
      <c r="S11986">
        <v>1</v>
      </c>
      <c r="T11986">
        <v>0</v>
      </c>
      <c r="U11986">
        <v>0</v>
      </c>
      <c r="V11986">
        <v>0</v>
      </c>
      <c r="W11986">
        <v>1</v>
      </c>
      <c r="X11986">
        <v>0</v>
      </c>
      <c r="Y11986">
        <v>1</v>
      </c>
      <c r="Z11986">
        <v>0</v>
      </c>
      <c r="AA11986">
        <v>1</v>
      </c>
      <c r="AB11986">
        <v>0</v>
      </c>
      <c r="AC11986">
        <v>0</v>
      </c>
      <c r="AD11986">
        <v>1</v>
      </c>
      <c r="AE11986">
        <v>1</v>
      </c>
      <c r="AF11986">
        <v>1</v>
      </c>
      <c r="AG11986">
        <v>1</v>
      </c>
      <c r="AH11986">
        <v>1</v>
      </c>
      <c r="AI11986">
        <v>1</v>
      </c>
      <c r="AJ11986">
        <v>1</v>
      </c>
      <c r="AK11986">
        <v>1</v>
      </c>
      <c r="AL11986">
        <v>1</v>
      </c>
      <c r="AM11986">
        <v>1</v>
      </c>
    </row>
    <row r="11987" spans="1:39" x14ac:dyDescent="0.2">
      <c r="A11987" t="str">
        <f>"11983"</f>
        <v>11983</v>
      </c>
      <c r="B11987" t="str">
        <f t="shared" si="666"/>
        <v>1</v>
      </c>
      <c r="C11987" t="str">
        <f t="shared" ref="C11987:C12004" si="667">"240"</f>
        <v>240</v>
      </c>
      <c r="D11987" t="str">
        <f>"4"</f>
        <v>4</v>
      </c>
      <c r="E11987" t="str">
        <f>"1-240-4"</f>
        <v>1-240-4</v>
      </c>
      <c r="F11987" t="s">
        <v>65</v>
      </c>
      <c r="G11987" t="s">
        <v>66</v>
      </c>
      <c r="H11987" t="s">
        <v>67</v>
      </c>
      <c r="S11987">
        <v>0</v>
      </c>
      <c r="T11987">
        <v>1</v>
      </c>
      <c r="U11987">
        <v>0</v>
      </c>
      <c r="V11987">
        <v>0</v>
      </c>
      <c r="W11987">
        <v>1</v>
      </c>
      <c r="X11987">
        <v>0</v>
      </c>
      <c r="Y11987">
        <v>0</v>
      </c>
      <c r="Z11987">
        <v>1</v>
      </c>
      <c r="AA11987">
        <v>1</v>
      </c>
      <c r="AB11987">
        <v>0</v>
      </c>
      <c r="AC11987">
        <v>0</v>
      </c>
      <c r="AD11987">
        <v>0</v>
      </c>
      <c r="AE11987">
        <v>0</v>
      </c>
      <c r="AF11987">
        <v>0</v>
      </c>
      <c r="AG11987">
        <v>0</v>
      </c>
      <c r="AH11987">
        <v>1</v>
      </c>
      <c r="AI11987">
        <v>0</v>
      </c>
      <c r="AJ11987">
        <v>1</v>
      </c>
      <c r="AK11987">
        <v>0</v>
      </c>
      <c r="AL11987">
        <v>1</v>
      </c>
      <c r="AM11987">
        <v>0</v>
      </c>
    </row>
    <row r="11988" spans="1:39" x14ac:dyDescent="0.2">
      <c r="A11988" t="str">
        <f>"11984"</f>
        <v>11984</v>
      </c>
      <c r="B11988" t="str">
        <f t="shared" si="666"/>
        <v>1</v>
      </c>
      <c r="C11988" t="str">
        <f t="shared" si="667"/>
        <v>240</v>
      </c>
      <c r="D11988" t="str">
        <f>"41"</f>
        <v>41</v>
      </c>
      <c r="E11988" t="str">
        <f>"1-240-41"</f>
        <v>1-240-41</v>
      </c>
      <c r="F11988" t="s">
        <v>65</v>
      </c>
      <c r="G11988" t="s">
        <v>66</v>
      </c>
      <c r="H11988" t="s">
        <v>67</v>
      </c>
      <c r="S11988">
        <v>1</v>
      </c>
      <c r="T11988">
        <v>0</v>
      </c>
      <c r="U11988">
        <v>0</v>
      </c>
      <c r="V11988">
        <v>0</v>
      </c>
      <c r="W11988">
        <v>1</v>
      </c>
      <c r="X11988">
        <v>0</v>
      </c>
      <c r="Y11988">
        <v>1</v>
      </c>
      <c r="Z11988">
        <v>0</v>
      </c>
      <c r="AA11988">
        <v>1</v>
      </c>
      <c r="AB11988">
        <v>0</v>
      </c>
      <c r="AC11988">
        <v>0</v>
      </c>
      <c r="AD11988">
        <v>1</v>
      </c>
      <c r="AE11988">
        <v>1</v>
      </c>
      <c r="AF11988">
        <v>1</v>
      </c>
      <c r="AG11988">
        <v>1</v>
      </c>
      <c r="AH11988">
        <v>1</v>
      </c>
      <c r="AI11988">
        <v>1</v>
      </c>
      <c r="AJ11988">
        <v>1</v>
      </c>
      <c r="AK11988">
        <v>1</v>
      </c>
      <c r="AL11988">
        <v>1</v>
      </c>
      <c r="AM11988">
        <v>0</v>
      </c>
    </row>
    <row r="11989" spans="1:39" x14ac:dyDescent="0.2">
      <c r="A11989" t="str">
        <f>"11985"</f>
        <v>11985</v>
      </c>
      <c r="B11989" t="str">
        <f t="shared" si="666"/>
        <v>1</v>
      </c>
      <c r="C11989" t="str">
        <f t="shared" si="667"/>
        <v>240</v>
      </c>
      <c r="D11989" t="str">
        <f>"22"</f>
        <v>22</v>
      </c>
      <c r="E11989" t="str">
        <f>"1-240-22"</f>
        <v>1-240-22</v>
      </c>
      <c r="F11989" t="s">
        <v>65</v>
      </c>
      <c r="G11989" t="s">
        <v>66</v>
      </c>
      <c r="H11989" t="s">
        <v>68</v>
      </c>
      <c r="I11989">
        <v>1</v>
      </c>
      <c r="J11989">
        <v>0</v>
      </c>
      <c r="K11989">
        <v>0</v>
      </c>
      <c r="L11989">
        <v>1</v>
      </c>
      <c r="M11989">
        <v>1</v>
      </c>
      <c r="N11989">
        <v>1</v>
      </c>
      <c r="O11989">
        <v>1</v>
      </c>
      <c r="P11989">
        <v>1</v>
      </c>
      <c r="Q11989">
        <v>1</v>
      </c>
      <c r="R11989">
        <v>1</v>
      </c>
    </row>
    <row r="11990" spans="1:39" x14ac:dyDescent="0.2">
      <c r="A11990" t="str">
        <f>"11986"</f>
        <v>11986</v>
      </c>
      <c r="B11990" t="str">
        <f t="shared" si="666"/>
        <v>1</v>
      </c>
      <c r="C11990" t="str">
        <f t="shared" si="667"/>
        <v>240</v>
      </c>
      <c r="D11990" t="str">
        <f>"12"</f>
        <v>12</v>
      </c>
      <c r="E11990" t="str">
        <f>"1-240-12"</f>
        <v>1-240-12</v>
      </c>
      <c r="F11990" t="s">
        <v>65</v>
      </c>
      <c r="G11990" t="s">
        <v>66</v>
      </c>
      <c r="H11990" t="s">
        <v>67</v>
      </c>
      <c r="S11990">
        <v>1</v>
      </c>
      <c r="T11990">
        <v>0</v>
      </c>
      <c r="U11990">
        <v>0</v>
      </c>
      <c r="V11990">
        <v>0</v>
      </c>
      <c r="W11990">
        <v>1</v>
      </c>
      <c r="X11990">
        <v>0</v>
      </c>
      <c r="Y11990">
        <v>1</v>
      </c>
      <c r="Z11990">
        <v>0</v>
      </c>
      <c r="AA11990">
        <v>1</v>
      </c>
      <c r="AB11990">
        <v>0</v>
      </c>
      <c r="AC11990">
        <v>0</v>
      </c>
      <c r="AD11990">
        <v>1</v>
      </c>
      <c r="AE11990">
        <v>1</v>
      </c>
      <c r="AF11990">
        <v>1</v>
      </c>
      <c r="AG11990">
        <v>1</v>
      </c>
      <c r="AH11990">
        <v>1</v>
      </c>
      <c r="AI11990">
        <v>1</v>
      </c>
      <c r="AJ11990">
        <v>1</v>
      </c>
      <c r="AK11990">
        <v>1</v>
      </c>
      <c r="AL11990">
        <v>1</v>
      </c>
      <c r="AM11990">
        <v>1</v>
      </c>
    </row>
    <row r="11991" spans="1:39" x14ac:dyDescent="0.2">
      <c r="A11991" t="str">
        <f>"11987"</f>
        <v>11987</v>
      </c>
      <c r="B11991" t="str">
        <f t="shared" si="666"/>
        <v>1</v>
      </c>
      <c r="C11991" t="str">
        <f t="shared" si="667"/>
        <v>240</v>
      </c>
      <c r="D11991" t="str">
        <f>"48"</f>
        <v>48</v>
      </c>
      <c r="E11991" t="str">
        <f>"1-240-48"</f>
        <v>1-240-48</v>
      </c>
      <c r="F11991" t="s">
        <v>65</v>
      </c>
      <c r="G11991" t="s">
        <v>66</v>
      </c>
      <c r="H11991" t="s">
        <v>67</v>
      </c>
      <c r="S11991">
        <v>0</v>
      </c>
      <c r="T11991">
        <v>1</v>
      </c>
      <c r="U11991">
        <v>0</v>
      </c>
      <c r="V11991">
        <v>0</v>
      </c>
      <c r="W11991">
        <v>0</v>
      </c>
      <c r="X11991">
        <v>1</v>
      </c>
      <c r="Y11991">
        <v>0</v>
      </c>
      <c r="Z11991">
        <v>1</v>
      </c>
      <c r="AA11991">
        <v>0</v>
      </c>
      <c r="AB11991">
        <v>0</v>
      </c>
      <c r="AC11991">
        <v>1</v>
      </c>
      <c r="AD11991">
        <v>0</v>
      </c>
      <c r="AE11991">
        <v>0</v>
      </c>
      <c r="AF11991">
        <v>0</v>
      </c>
      <c r="AG11991">
        <v>0</v>
      </c>
      <c r="AH11991">
        <v>1</v>
      </c>
      <c r="AI11991">
        <v>1</v>
      </c>
      <c r="AJ11991">
        <v>1</v>
      </c>
      <c r="AK11991">
        <v>0</v>
      </c>
      <c r="AL11991">
        <v>0</v>
      </c>
      <c r="AM11991">
        <v>0</v>
      </c>
    </row>
    <row r="11992" spans="1:39" x14ac:dyDescent="0.2">
      <c r="A11992" t="str">
        <f>"11988"</f>
        <v>11988</v>
      </c>
      <c r="B11992" t="str">
        <f t="shared" si="666"/>
        <v>1</v>
      </c>
      <c r="C11992" t="str">
        <f t="shared" si="667"/>
        <v>240</v>
      </c>
      <c r="D11992" t="str">
        <f>"23"</f>
        <v>23</v>
      </c>
      <c r="E11992" t="str">
        <f>"1-240-23"</f>
        <v>1-240-23</v>
      </c>
      <c r="F11992" t="s">
        <v>65</v>
      </c>
      <c r="G11992" t="s">
        <v>66</v>
      </c>
      <c r="H11992" t="s">
        <v>67</v>
      </c>
      <c r="S11992">
        <v>0</v>
      </c>
      <c r="T11992">
        <v>1</v>
      </c>
      <c r="U11992">
        <v>0</v>
      </c>
      <c r="V11992">
        <v>0</v>
      </c>
      <c r="W11992">
        <v>0</v>
      </c>
      <c r="X11992">
        <v>1</v>
      </c>
      <c r="Y11992">
        <v>1</v>
      </c>
      <c r="Z11992">
        <v>0</v>
      </c>
      <c r="AA11992">
        <v>0</v>
      </c>
      <c r="AB11992">
        <v>0</v>
      </c>
      <c r="AC11992">
        <v>1</v>
      </c>
      <c r="AD11992">
        <v>0</v>
      </c>
      <c r="AE11992">
        <v>0</v>
      </c>
      <c r="AF11992">
        <v>0</v>
      </c>
      <c r="AG11992">
        <v>0</v>
      </c>
      <c r="AH11992">
        <v>0</v>
      </c>
      <c r="AI11992">
        <v>1</v>
      </c>
      <c r="AJ11992">
        <v>0</v>
      </c>
      <c r="AK11992">
        <v>1</v>
      </c>
      <c r="AL11992">
        <v>1</v>
      </c>
      <c r="AM11992">
        <v>0</v>
      </c>
    </row>
    <row r="11993" spans="1:39" x14ac:dyDescent="0.2">
      <c r="A11993" t="str">
        <f>"11989"</f>
        <v>11989</v>
      </c>
      <c r="B11993" t="str">
        <f t="shared" si="666"/>
        <v>1</v>
      </c>
      <c r="C11993" t="str">
        <f t="shared" si="667"/>
        <v>240</v>
      </c>
      <c r="D11993" t="str">
        <f>"9"</f>
        <v>9</v>
      </c>
      <c r="E11993" t="str">
        <f>"1-240-9"</f>
        <v>1-240-9</v>
      </c>
      <c r="F11993" t="s">
        <v>65</v>
      </c>
      <c r="G11993" t="s">
        <v>66</v>
      </c>
      <c r="H11993" t="s">
        <v>67</v>
      </c>
      <c r="S11993">
        <v>0</v>
      </c>
      <c r="T11993">
        <v>0</v>
      </c>
      <c r="U11993">
        <v>0</v>
      </c>
      <c r="V11993">
        <v>0</v>
      </c>
      <c r="W11993">
        <v>0</v>
      </c>
      <c r="X11993">
        <v>1</v>
      </c>
      <c r="Y11993">
        <v>0</v>
      </c>
      <c r="Z11993">
        <v>0</v>
      </c>
      <c r="AA11993">
        <v>0</v>
      </c>
      <c r="AB11993">
        <v>0</v>
      </c>
      <c r="AC11993">
        <v>1</v>
      </c>
      <c r="AD11993">
        <v>0</v>
      </c>
      <c r="AE11993">
        <v>0</v>
      </c>
      <c r="AF11993">
        <v>0</v>
      </c>
      <c r="AG11993">
        <v>0</v>
      </c>
      <c r="AH11993">
        <v>0</v>
      </c>
      <c r="AI11993">
        <v>0</v>
      </c>
      <c r="AJ11993">
        <v>0</v>
      </c>
      <c r="AK11993">
        <v>0</v>
      </c>
      <c r="AL11993">
        <v>0</v>
      </c>
      <c r="AM11993">
        <v>0</v>
      </c>
    </row>
    <row r="11994" spans="1:39" x14ac:dyDescent="0.2">
      <c r="A11994" t="str">
        <f>"11990"</f>
        <v>11990</v>
      </c>
      <c r="B11994" t="str">
        <f t="shared" si="666"/>
        <v>1</v>
      </c>
      <c r="C11994" t="str">
        <f t="shared" si="667"/>
        <v>240</v>
      </c>
      <c r="D11994" t="str">
        <f>"26"</f>
        <v>26</v>
      </c>
      <c r="E11994" t="str">
        <f>"1-240-26"</f>
        <v>1-240-26</v>
      </c>
      <c r="F11994" t="s">
        <v>65</v>
      </c>
      <c r="G11994" t="s">
        <v>66</v>
      </c>
      <c r="H11994" t="s">
        <v>67</v>
      </c>
      <c r="S11994">
        <v>1</v>
      </c>
      <c r="T11994">
        <v>0</v>
      </c>
      <c r="U11994">
        <v>0</v>
      </c>
      <c r="V11994">
        <v>0</v>
      </c>
      <c r="W11994">
        <v>1</v>
      </c>
      <c r="X11994">
        <v>0</v>
      </c>
      <c r="Y11994">
        <v>1</v>
      </c>
      <c r="Z11994">
        <v>0</v>
      </c>
      <c r="AA11994">
        <v>0</v>
      </c>
      <c r="AB11994">
        <v>0</v>
      </c>
      <c r="AC11994">
        <v>1</v>
      </c>
      <c r="AD11994">
        <v>0</v>
      </c>
      <c r="AE11994">
        <v>0</v>
      </c>
      <c r="AF11994">
        <v>0</v>
      </c>
      <c r="AG11994">
        <v>0</v>
      </c>
      <c r="AH11994">
        <v>0</v>
      </c>
      <c r="AI11994">
        <v>0</v>
      </c>
      <c r="AJ11994">
        <v>0</v>
      </c>
      <c r="AK11994">
        <v>0</v>
      </c>
      <c r="AL11994">
        <v>0</v>
      </c>
      <c r="AM11994">
        <v>0</v>
      </c>
    </row>
    <row r="11995" spans="1:39" x14ac:dyDescent="0.2">
      <c r="A11995" t="str">
        <f>"11991"</f>
        <v>11991</v>
      </c>
      <c r="B11995" t="str">
        <f t="shared" si="666"/>
        <v>1</v>
      </c>
      <c r="C11995" t="str">
        <f t="shared" si="667"/>
        <v>240</v>
      </c>
      <c r="D11995" t="str">
        <f>"10"</f>
        <v>10</v>
      </c>
      <c r="E11995" t="str">
        <f>"1-240-10"</f>
        <v>1-240-10</v>
      </c>
      <c r="F11995" t="s">
        <v>65</v>
      </c>
      <c r="G11995" t="s">
        <v>66</v>
      </c>
      <c r="H11995" t="s">
        <v>67</v>
      </c>
      <c r="S11995">
        <v>0</v>
      </c>
      <c r="T11995">
        <v>1</v>
      </c>
      <c r="U11995">
        <v>0</v>
      </c>
      <c r="V11995">
        <v>0</v>
      </c>
      <c r="W11995">
        <v>1</v>
      </c>
      <c r="X11995">
        <v>0</v>
      </c>
      <c r="Y11995">
        <v>0</v>
      </c>
      <c r="Z11995">
        <v>1</v>
      </c>
      <c r="AA11995">
        <v>1</v>
      </c>
      <c r="AB11995">
        <v>0</v>
      </c>
      <c r="AC11995">
        <v>0</v>
      </c>
      <c r="AD11995">
        <v>1</v>
      </c>
      <c r="AE11995">
        <v>1</v>
      </c>
      <c r="AF11995">
        <v>1</v>
      </c>
      <c r="AG11995">
        <v>1</v>
      </c>
      <c r="AH11995">
        <v>1</v>
      </c>
      <c r="AI11995">
        <v>1</v>
      </c>
      <c r="AJ11995">
        <v>1</v>
      </c>
      <c r="AK11995">
        <v>1</v>
      </c>
      <c r="AL11995">
        <v>1</v>
      </c>
      <c r="AM11995">
        <v>1</v>
      </c>
    </row>
    <row r="11996" spans="1:39" x14ac:dyDescent="0.2">
      <c r="A11996" t="str">
        <f>"11992"</f>
        <v>11992</v>
      </c>
      <c r="B11996" t="str">
        <f t="shared" si="666"/>
        <v>1</v>
      </c>
      <c r="C11996" t="str">
        <f t="shared" si="667"/>
        <v>240</v>
      </c>
      <c r="D11996" t="str">
        <f>"50"</f>
        <v>50</v>
      </c>
      <c r="E11996" t="str">
        <f>"1-240-50"</f>
        <v>1-240-50</v>
      </c>
      <c r="F11996" t="s">
        <v>65</v>
      </c>
      <c r="G11996" t="s">
        <v>66</v>
      </c>
      <c r="H11996" t="s">
        <v>68</v>
      </c>
      <c r="I11996">
        <v>1</v>
      </c>
      <c r="J11996">
        <v>0</v>
      </c>
      <c r="K11996">
        <v>0</v>
      </c>
      <c r="L11996">
        <v>0</v>
      </c>
      <c r="M11996">
        <v>1</v>
      </c>
      <c r="N11996">
        <v>0</v>
      </c>
      <c r="O11996">
        <v>0</v>
      </c>
      <c r="P11996">
        <v>0</v>
      </c>
      <c r="Q11996">
        <v>0</v>
      </c>
      <c r="R11996">
        <v>0</v>
      </c>
    </row>
    <row r="11997" spans="1:39" x14ac:dyDescent="0.2">
      <c r="A11997" t="str">
        <f>"11993"</f>
        <v>11993</v>
      </c>
      <c r="B11997" t="str">
        <f t="shared" si="666"/>
        <v>1</v>
      </c>
      <c r="C11997" t="str">
        <f t="shared" si="667"/>
        <v>240</v>
      </c>
      <c r="D11997" t="str">
        <f>"27"</f>
        <v>27</v>
      </c>
      <c r="E11997" t="str">
        <f>"1-240-27"</f>
        <v>1-240-27</v>
      </c>
      <c r="F11997" t="s">
        <v>65</v>
      </c>
      <c r="G11997" t="s">
        <v>66</v>
      </c>
      <c r="H11997" t="s">
        <v>67</v>
      </c>
      <c r="S11997">
        <v>1</v>
      </c>
      <c r="T11997">
        <v>0</v>
      </c>
      <c r="U11997">
        <v>0</v>
      </c>
      <c r="V11997">
        <v>0</v>
      </c>
      <c r="W11997">
        <v>1</v>
      </c>
      <c r="X11997">
        <v>0</v>
      </c>
      <c r="Y11997">
        <v>1</v>
      </c>
      <c r="Z11997">
        <v>0</v>
      </c>
      <c r="AA11997">
        <v>0</v>
      </c>
      <c r="AB11997">
        <v>1</v>
      </c>
      <c r="AC11997">
        <v>0</v>
      </c>
      <c r="AD11997">
        <v>0</v>
      </c>
      <c r="AE11997">
        <v>0</v>
      </c>
      <c r="AF11997">
        <v>0</v>
      </c>
      <c r="AG11997">
        <v>0</v>
      </c>
      <c r="AH11997">
        <v>0</v>
      </c>
      <c r="AI11997">
        <v>0</v>
      </c>
      <c r="AJ11997">
        <v>0</v>
      </c>
      <c r="AK11997">
        <v>0</v>
      </c>
      <c r="AL11997">
        <v>0</v>
      </c>
      <c r="AM11997">
        <v>0</v>
      </c>
    </row>
    <row r="11998" spans="1:39" x14ac:dyDescent="0.2">
      <c r="A11998" t="str">
        <f>"11994"</f>
        <v>11994</v>
      </c>
      <c r="B11998" t="str">
        <f t="shared" si="666"/>
        <v>1</v>
      </c>
      <c r="C11998" t="str">
        <f t="shared" si="667"/>
        <v>240</v>
      </c>
      <c r="D11998" t="str">
        <f>"11"</f>
        <v>11</v>
      </c>
      <c r="E11998" t="str">
        <f>"1-240-11"</f>
        <v>1-240-11</v>
      </c>
      <c r="F11998" t="s">
        <v>65</v>
      </c>
      <c r="G11998" t="s">
        <v>66</v>
      </c>
      <c r="H11998" t="s">
        <v>67</v>
      </c>
      <c r="S11998">
        <v>0</v>
      </c>
      <c r="T11998">
        <v>1</v>
      </c>
      <c r="U11998">
        <v>0</v>
      </c>
      <c r="V11998">
        <v>0</v>
      </c>
      <c r="W11998">
        <v>1</v>
      </c>
      <c r="X11998">
        <v>0</v>
      </c>
      <c r="Y11998">
        <v>0</v>
      </c>
      <c r="Z11998">
        <v>1</v>
      </c>
      <c r="AA11998">
        <v>0</v>
      </c>
      <c r="AB11998">
        <v>0</v>
      </c>
      <c r="AC11998">
        <v>1</v>
      </c>
      <c r="AD11998">
        <v>1</v>
      </c>
      <c r="AE11998">
        <v>1</v>
      </c>
      <c r="AF11998">
        <v>1</v>
      </c>
      <c r="AG11998">
        <v>1</v>
      </c>
      <c r="AH11998">
        <v>1</v>
      </c>
      <c r="AI11998">
        <v>1</v>
      </c>
      <c r="AJ11998">
        <v>1</v>
      </c>
      <c r="AK11998">
        <v>1</v>
      </c>
      <c r="AL11998">
        <v>1</v>
      </c>
      <c r="AM11998">
        <v>1</v>
      </c>
    </row>
    <row r="11999" spans="1:39" x14ac:dyDescent="0.2">
      <c r="A11999" t="str">
        <f>"11995"</f>
        <v>11995</v>
      </c>
      <c r="B11999" t="str">
        <f t="shared" si="666"/>
        <v>1</v>
      </c>
      <c r="C11999" t="str">
        <f t="shared" si="667"/>
        <v>240</v>
      </c>
      <c r="D11999" t="str">
        <f>"29"</f>
        <v>29</v>
      </c>
      <c r="E11999" t="str">
        <f>"1-240-29"</f>
        <v>1-240-29</v>
      </c>
      <c r="F11999" t="s">
        <v>65</v>
      </c>
      <c r="G11999" t="s">
        <v>66</v>
      </c>
      <c r="H11999" t="s">
        <v>67</v>
      </c>
      <c r="S11999">
        <v>1</v>
      </c>
      <c r="T11999">
        <v>0</v>
      </c>
      <c r="U11999">
        <v>0</v>
      </c>
      <c r="V11999">
        <v>0</v>
      </c>
      <c r="W11999">
        <v>1</v>
      </c>
      <c r="X11999">
        <v>0</v>
      </c>
      <c r="Y11999">
        <v>1</v>
      </c>
      <c r="Z11999">
        <v>0</v>
      </c>
      <c r="AA11999">
        <v>1</v>
      </c>
      <c r="AB11999">
        <v>0</v>
      </c>
      <c r="AC11999">
        <v>0</v>
      </c>
      <c r="AD11999">
        <v>1</v>
      </c>
      <c r="AE11999">
        <v>1</v>
      </c>
      <c r="AF11999">
        <v>1</v>
      </c>
      <c r="AG11999">
        <v>1</v>
      </c>
      <c r="AH11999">
        <v>1</v>
      </c>
      <c r="AI11999">
        <v>1</v>
      </c>
      <c r="AJ11999">
        <v>1</v>
      </c>
      <c r="AK11999">
        <v>1</v>
      </c>
      <c r="AL11999">
        <v>1</v>
      </c>
      <c r="AM11999">
        <v>1</v>
      </c>
    </row>
    <row r="12000" spans="1:39" x14ac:dyDescent="0.2">
      <c r="A12000" t="str">
        <f>"11996"</f>
        <v>11996</v>
      </c>
      <c r="B12000" t="str">
        <f t="shared" si="666"/>
        <v>1</v>
      </c>
      <c r="C12000" t="str">
        <f t="shared" si="667"/>
        <v>240</v>
      </c>
      <c r="D12000" t="str">
        <f>"8"</f>
        <v>8</v>
      </c>
      <c r="E12000" t="str">
        <f>"1-240-8"</f>
        <v>1-240-8</v>
      </c>
      <c r="F12000" t="s">
        <v>65</v>
      </c>
      <c r="G12000" t="s">
        <v>66</v>
      </c>
      <c r="H12000" t="s">
        <v>67</v>
      </c>
      <c r="S12000">
        <v>1</v>
      </c>
      <c r="T12000">
        <v>0</v>
      </c>
      <c r="U12000">
        <v>0</v>
      </c>
      <c r="V12000">
        <v>0</v>
      </c>
      <c r="W12000">
        <v>1</v>
      </c>
      <c r="X12000">
        <v>0</v>
      </c>
      <c r="Y12000">
        <v>1</v>
      </c>
      <c r="Z12000">
        <v>0</v>
      </c>
      <c r="AA12000">
        <v>1</v>
      </c>
      <c r="AB12000">
        <v>0</v>
      </c>
      <c r="AC12000">
        <v>0</v>
      </c>
      <c r="AD12000">
        <v>0</v>
      </c>
      <c r="AE12000">
        <v>0</v>
      </c>
      <c r="AF12000">
        <v>0</v>
      </c>
      <c r="AG12000">
        <v>0</v>
      </c>
      <c r="AH12000">
        <v>0</v>
      </c>
      <c r="AI12000">
        <v>0</v>
      </c>
      <c r="AJ12000">
        <v>0</v>
      </c>
      <c r="AK12000">
        <v>0</v>
      </c>
      <c r="AL12000">
        <v>1</v>
      </c>
      <c r="AM12000">
        <v>0</v>
      </c>
    </row>
    <row r="12001" spans="1:39" x14ac:dyDescent="0.2">
      <c r="A12001" t="str">
        <f>"11997"</f>
        <v>11997</v>
      </c>
      <c r="B12001" t="str">
        <f t="shared" si="666"/>
        <v>1</v>
      </c>
      <c r="C12001" t="str">
        <f t="shared" si="667"/>
        <v>240</v>
      </c>
      <c r="D12001" t="str">
        <f>"30"</f>
        <v>30</v>
      </c>
      <c r="E12001" t="str">
        <f>"1-240-30"</f>
        <v>1-240-30</v>
      </c>
      <c r="F12001" t="s">
        <v>65</v>
      </c>
      <c r="G12001" t="s">
        <v>66</v>
      </c>
      <c r="H12001" t="s">
        <v>67</v>
      </c>
      <c r="S12001">
        <v>1</v>
      </c>
      <c r="T12001">
        <v>0</v>
      </c>
      <c r="U12001">
        <v>0</v>
      </c>
      <c r="V12001">
        <v>0</v>
      </c>
      <c r="W12001">
        <v>1</v>
      </c>
      <c r="X12001">
        <v>0</v>
      </c>
      <c r="Y12001">
        <v>0</v>
      </c>
      <c r="Z12001">
        <v>1</v>
      </c>
      <c r="AA12001">
        <v>0</v>
      </c>
      <c r="AB12001">
        <v>0</v>
      </c>
      <c r="AC12001">
        <v>1</v>
      </c>
      <c r="AD12001">
        <v>1</v>
      </c>
      <c r="AE12001">
        <v>1</v>
      </c>
      <c r="AF12001">
        <v>1</v>
      </c>
      <c r="AG12001">
        <v>1</v>
      </c>
      <c r="AH12001">
        <v>1</v>
      </c>
      <c r="AI12001">
        <v>1</v>
      </c>
      <c r="AJ12001">
        <v>1</v>
      </c>
      <c r="AK12001">
        <v>1</v>
      </c>
      <c r="AL12001">
        <v>1</v>
      </c>
      <c r="AM12001">
        <v>1</v>
      </c>
    </row>
    <row r="12002" spans="1:39" x14ac:dyDescent="0.2">
      <c r="A12002" t="str">
        <f>"11998"</f>
        <v>11998</v>
      </c>
      <c r="B12002" t="str">
        <f t="shared" si="666"/>
        <v>1</v>
      </c>
      <c r="C12002" t="str">
        <f t="shared" si="667"/>
        <v>240</v>
      </c>
      <c r="D12002" t="str">
        <f>"3"</f>
        <v>3</v>
      </c>
      <c r="E12002" t="str">
        <f>"1-240-3"</f>
        <v>1-240-3</v>
      </c>
      <c r="F12002" t="s">
        <v>65</v>
      </c>
      <c r="G12002" t="s">
        <v>66</v>
      </c>
      <c r="H12002" t="s">
        <v>67</v>
      </c>
      <c r="S12002">
        <v>0</v>
      </c>
      <c r="T12002">
        <v>1</v>
      </c>
      <c r="U12002">
        <v>0</v>
      </c>
      <c r="V12002">
        <v>0</v>
      </c>
      <c r="W12002">
        <v>1</v>
      </c>
      <c r="X12002">
        <v>0</v>
      </c>
      <c r="Y12002">
        <v>0</v>
      </c>
      <c r="Z12002">
        <v>1</v>
      </c>
      <c r="AA12002">
        <v>1</v>
      </c>
      <c r="AB12002">
        <v>0</v>
      </c>
      <c r="AC12002">
        <v>0</v>
      </c>
      <c r="AD12002">
        <v>1</v>
      </c>
      <c r="AE12002">
        <v>1</v>
      </c>
      <c r="AF12002">
        <v>1</v>
      </c>
      <c r="AG12002">
        <v>1</v>
      </c>
      <c r="AH12002">
        <v>1</v>
      </c>
      <c r="AI12002">
        <v>1</v>
      </c>
      <c r="AJ12002">
        <v>1</v>
      </c>
      <c r="AK12002">
        <v>1</v>
      </c>
      <c r="AL12002">
        <v>1</v>
      </c>
      <c r="AM12002">
        <v>1</v>
      </c>
    </row>
    <row r="12003" spans="1:39" x14ac:dyDescent="0.2">
      <c r="A12003" t="str">
        <f>"11999"</f>
        <v>11999</v>
      </c>
      <c r="B12003" t="str">
        <f t="shared" si="666"/>
        <v>1</v>
      </c>
      <c r="C12003" t="str">
        <f t="shared" si="667"/>
        <v>240</v>
      </c>
      <c r="D12003" t="str">
        <f>"31"</f>
        <v>31</v>
      </c>
      <c r="E12003" t="str">
        <f>"1-240-31"</f>
        <v>1-240-31</v>
      </c>
      <c r="F12003" t="s">
        <v>65</v>
      </c>
      <c r="G12003" t="s">
        <v>66</v>
      </c>
      <c r="H12003" t="s">
        <v>67</v>
      </c>
      <c r="S12003">
        <v>1</v>
      </c>
      <c r="T12003">
        <v>0</v>
      </c>
      <c r="U12003">
        <v>0</v>
      </c>
      <c r="V12003">
        <v>0</v>
      </c>
      <c r="W12003">
        <v>1</v>
      </c>
      <c r="X12003">
        <v>0</v>
      </c>
      <c r="Y12003">
        <v>0</v>
      </c>
      <c r="Z12003">
        <v>1</v>
      </c>
      <c r="AA12003">
        <v>1</v>
      </c>
      <c r="AB12003">
        <v>0</v>
      </c>
      <c r="AC12003">
        <v>0</v>
      </c>
      <c r="AD12003">
        <v>1</v>
      </c>
      <c r="AE12003">
        <v>1</v>
      </c>
      <c r="AF12003">
        <v>1</v>
      </c>
      <c r="AG12003">
        <v>1</v>
      </c>
      <c r="AH12003">
        <v>1</v>
      </c>
      <c r="AI12003">
        <v>1</v>
      </c>
      <c r="AJ12003">
        <v>1</v>
      </c>
      <c r="AK12003">
        <v>1</v>
      </c>
      <c r="AL12003">
        <v>1</v>
      </c>
      <c r="AM12003">
        <v>1</v>
      </c>
    </row>
    <row r="12004" spans="1:39" x14ac:dyDescent="0.2">
      <c r="A12004" t="str">
        <f>"12000"</f>
        <v>12000</v>
      </c>
      <c r="B12004" t="str">
        <f t="shared" si="666"/>
        <v>1</v>
      </c>
      <c r="C12004" t="str">
        <f t="shared" si="667"/>
        <v>240</v>
      </c>
      <c r="D12004" t="str">
        <f>"7"</f>
        <v>7</v>
      </c>
      <c r="E12004" t="str">
        <f>"1-240-7"</f>
        <v>1-240-7</v>
      </c>
      <c r="F12004" t="s">
        <v>65</v>
      </c>
      <c r="G12004" t="s">
        <v>66</v>
      </c>
      <c r="H12004" t="s">
        <v>67</v>
      </c>
      <c r="S12004">
        <v>0</v>
      </c>
      <c r="T12004">
        <v>1</v>
      </c>
      <c r="U12004">
        <v>0</v>
      </c>
      <c r="V12004">
        <v>0</v>
      </c>
      <c r="W12004">
        <v>0</v>
      </c>
      <c r="X12004">
        <v>1</v>
      </c>
      <c r="Y12004">
        <v>0</v>
      </c>
      <c r="Z12004">
        <v>1</v>
      </c>
      <c r="AA12004">
        <v>0</v>
      </c>
      <c r="AB12004">
        <v>1</v>
      </c>
      <c r="AC12004">
        <v>0</v>
      </c>
      <c r="AD12004">
        <v>0</v>
      </c>
      <c r="AE12004">
        <v>0</v>
      </c>
      <c r="AF12004">
        <v>0</v>
      </c>
      <c r="AG12004">
        <v>0</v>
      </c>
      <c r="AH12004">
        <v>0</v>
      </c>
      <c r="AI12004">
        <v>0</v>
      </c>
      <c r="AJ12004">
        <v>0</v>
      </c>
      <c r="AK12004">
        <v>0</v>
      </c>
      <c r="AL12004">
        <v>0</v>
      </c>
      <c r="AM12004">
        <v>0</v>
      </c>
    </row>
    <row r="12005" spans="1:39" x14ac:dyDescent="0.2">
      <c r="A12005" t="str">
        <f>"12001"</f>
        <v>12001</v>
      </c>
      <c r="B12005" t="str">
        <f t="shared" si="666"/>
        <v>1</v>
      </c>
      <c r="C12005" t="str">
        <f t="shared" ref="C12005:C12036" si="668">"241"</f>
        <v>241</v>
      </c>
      <c r="D12005" t="str">
        <f>"38"</f>
        <v>38</v>
      </c>
      <c r="E12005" t="str">
        <f>"1-241-38"</f>
        <v>1-241-38</v>
      </c>
      <c r="F12005" t="s">
        <v>65</v>
      </c>
      <c r="G12005" t="s">
        <v>66</v>
      </c>
      <c r="H12005" t="s">
        <v>67</v>
      </c>
      <c r="S12005">
        <v>0</v>
      </c>
      <c r="T12005">
        <v>0</v>
      </c>
      <c r="U12005">
        <v>0</v>
      </c>
      <c r="V12005">
        <v>0</v>
      </c>
      <c r="W12005">
        <v>0</v>
      </c>
      <c r="X12005">
        <v>1</v>
      </c>
      <c r="Y12005">
        <v>0</v>
      </c>
      <c r="Z12005">
        <v>0</v>
      </c>
      <c r="AA12005">
        <v>0</v>
      </c>
      <c r="AB12005">
        <v>0</v>
      </c>
      <c r="AC12005">
        <v>1</v>
      </c>
      <c r="AD12005">
        <v>0</v>
      </c>
      <c r="AE12005">
        <v>0</v>
      </c>
      <c r="AF12005">
        <v>0</v>
      </c>
      <c r="AG12005">
        <v>0</v>
      </c>
      <c r="AH12005">
        <v>0</v>
      </c>
      <c r="AI12005">
        <v>0</v>
      </c>
      <c r="AJ12005">
        <v>0</v>
      </c>
      <c r="AK12005">
        <v>0</v>
      </c>
      <c r="AL12005">
        <v>0</v>
      </c>
      <c r="AM12005">
        <v>0</v>
      </c>
    </row>
    <row r="12006" spans="1:39" x14ac:dyDescent="0.2">
      <c r="A12006" t="str">
        <f>"12002"</f>
        <v>12002</v>
      </c>
      <c r="B12006" t="str">
        <f t="shared" si="666"/>
        <v>1</v>
      </c>
      <c r="C12006" t="str">
        <f t="shared" si="668"/>
        <v>241</v>
      </c>
      <c r="D12006" t="str">
        <f>"37"</f>
        <v>37</v>
      </c>
      <c r="E12006" t="str">
        <f>"1-241-37"</f>
        <v>1-241-37</v>
      </c>
      <c r="F12006" t="s">
        <v>65</v>
      </c>
      <c r="G12006" t="s">
        <v>66</v>
      </c>
      <c r="H12006" t="s">
        <v>67</v>
      </c>
      <c r="S12006">
        <v>1</v>
      </c>
      <c r="T12006">
        <v>0</v>
      </c>
      <c r="U12006">
        <v>0</v>
      </c>
      <c r="V12006">
        <v>0</v>
      </c>
      <c r="W12006">
        <v>1</v>
      </c>
      <c r="X12006">
        <v>0</v>
      </c>
      <c r="Y12006">
        <v>0</v>
      </c>
      <c r="Z12006">
        <v>1</v>
      </c>
      <c r="AA12006">
        <v>1</v>
      </c>
      <c r="AB12006">
        <v>0</v>
      </c>
      <c r="AC12006">
        <v>0</v>
      </c>
      <c r="AD12006">
        <v>1</v>
      </c>
      <c r="AE12006">
        <v>1</v>
      </c>
      <c r="AF12006">
        <v>1</v>
      </c>
      <c r="AG12006">
        <v>1</v>
      </c>
      <c r="AH12006">
        <v>1</v>
      </c>
      <c r="AI12006">
        <v>1</v>
      </c>
      <c r="AJ12006">
        <v>1</v>
      </c>
      <c r="AK12006">
        <v>1</v>
      </c>
      <c r="AL12006">
        <v>1</v>
      </c>
      <c r="AM12006">
        <v>1</v>
      </c>
    </row>
    <row r="12007" spans="1:39" x14ac:dyDescent="0.2">
      <c r="A12007" t="str">
        <f>"12003"</f>
        <v>12003</v>
      </c>
      <c r="B12007" t="str">
        <f t="shared" si="666"/>
        <v>1</v>
      </c>
      <c r="C12007" t="str">
        <f t="shared" si="668"/>
        <v>241</v>
      </c>
      <c r="D12007" t="str">
        <f>"26"</f>
        <v>26</v>
      </c>
      <c r="E12007" t="str">
        <f>"1-241-26"</f>
        <v>1-241-26</v>
      </c>
      <c r="F12007" t="s">
        <v>65</v>
      </c>
      <c r="G12007" t="s">
        <v>66</v>
      </c>
      <c r="H12007" t="s">
        <v>67</v>
      </c>
      <c r="S12007">
        <v>1</v>
      </c>
      <c r="T12007">
        <v>0</v>
      </c>
      <c r="U12007">
        <v>0</v>
      </c>
      <c r="V12007">
        <v>0</v>
      </c>
      <c r="W12007">
        <v>1</v>
      </c>
      <c r="X12007">
        <v>0</v>
      </c>
      <c r="Y12007">
        <v>1</v>
      </c>
      <c r="Z12007">
        <v>0</v>
      </c>
      <c r="AA12007">
        <v>1</v>
      </c>
      <c r="AB12007">
        <v>0</v>
      </c>
      <c r="AC12007">
        <v>0</v>
      </c>
      <c r="AD12007">
        <v>1</v>
      </c>
      <c r="AE12007">
        <v>1</v>
      </c>
      <c r="AF12007">
        <v>1</v>
      </c>
      <c r="AG12007">
        <v>1</v>
      </c>
      <c r="AH12007">
        <v>1</v>
      </c>
      <c r="AI12007">
        <v>1</v>
      </c>
      <c r="AJ12007">
        <v>1</v>
      </c>
      <c r="AK12007">
        <v>1</v>
      </c>
      <c r="AL12007">
        <v>1</v>
      </c>
      <c r="AM12007">
        <v>1</v>
      </c>
    </row>
    <row r="12008" spans="1:39" x14ac:dyDescent="0.2">
      <c r="A12008" t="str">
        <f>"12004"</f>
        <v>12004</v>
      </c>
      <c r="B12008" t="str">
        <f t="shared" si="666"/>
        <v>1</v>
      </c>
      <c r="C12008" t="str">
        <f t="shared" si="668"/>
        <v>241</v>
      </c>
      <c r="D12008" t="str">
        <f>"15"</f>
        <v>15</v>
      </c>
      <c r="E12008" t="str">
        <f>"1-241-15"</f>
        <v>1-241-15</v>
      </c>
      <c r="F12008" t="s">
        <v>65</v>
      </c>
      <c r="G12008" t="s">
        <v>66</v>
      </c>
      <c r="H12008" t="s">
        <v>67</v>
      </c>
      <c r="S12008">
        <v>0</v>
      </c>
      <c r="T12008">
        <v>1</v>
      </c>
      <c r="U12008">
        <v>0</v>
      </c>
      <c r="V12008">
        <v>0</v>
      </c>
      <c r="W12008">
        <v>0</v>
      </c>
      <c r="X12008">
        <v>1</v>
      </c>
      <c r="Y12008">
        <v>0</v>
      </c>
      <c r="Z12008">
        <v>1</v>
      </c>
      <c r="AA12008">
        <v>0</v>
      </c>
      <c r="AB12008">
        <v>0</v>
      </c>
      <c r="AC12008">
        <v>1</v>
      </c>
      <c r="AD12008">
        <v>1</v>
      </c>
      <c r="AE12008">
        <v>1</v>
      </c>
      <c r="AF12008">
        <v>1</v>
      </c>
      <c r="AG12008">
        <v>1</v>
      </c>
      <c r="AH12008">
        <v>1</v>
      </c>
      <c r="AI12008">
        <v>1</v>
      </c>
      <c r="AJ12008">
        <v>1</v>
      </c>
      <c r="AK12008">
        <v>1</v>
      </c>
      <c r="AL12008">
        <v>1</v>
      </c>
      <c r="AM12008">
        <v>1</v>
      </c>
    </row>
    <row r="12009" spans="1:39" x14ac:dyDescent="0.2">
      <c r="A12009" t="str">
        <f>"12005"</f>
        <v>12005</v>
      </c>
      <c r="B12009" t="str">
        <f t="shared" si="666"/>
        <v>1</v>
      </c>
      <c r="C12009" t="str">
        <f t="shared" si="668"/>
        <v>241</v>
      </c>
      <c r="D12009" t="str">
        <f>"8"</f>
        <v>8</v>
      </c>
      <c r="E12009" t="str">
        <f>"1-241-8"</f>
        <v>1-241-8</v>
      </c>
      <c r="F12009" t="s">
        <v>65</v>
      </c>
      <c r="G12009" t="s">
        <v>66</v>
      </c>
      <c r="H12009" t="s">
        <v>68</v>
      </c>
      <c r="I12009">
        <v>0</v>
      </c>
      <c r="J12009">
        <v>0</v>
      </c>
      <c r="K12009">
        <v>1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</row>
    <row r="12010" spans="1:39" x14ac:dyDescent="0.2">
      <c r="A12010" t="str">
        <f>"12006"</f>
        <v>12006</v>
      </c>
      <c r="B12010" t="str">
        <f t="shared" si="666"/>
        <v>1</v>
      </c>
      <c r="C12010" t="str">
        <f t="shared" si="668"/>
        <v>241</v>
      </c>
      <c r="D12010" t="str">
        <f>"36"</f>
        <v>36</v>
      </c>
      <c r="E12010" t="str">
        <f>"1-241-36"</f>
        <v>1-241-36</v>
      </c>
      <c r="F12010" t="s">
        <v>65</v>
      </c>
      <c r="G12010" t="s">
        <v>66</v>
      </c>
      <c r="H12010" t="s">
        <v>67</v>
      </c>
      <c r="S12010">
        <v>0</v>
      </c>
      <c r="T12010">
        <v>1</v>
      </c>
      <c r="U12010">
        <v>0</v>
      </c>
      <c r="V12010">
        <v>0</v>
      </c>
      <c r="W12010">
        <v>1</v>
      </c>
      <c r="X12010">
        <v>0</v>
      </c>
      <c r="Y12010">
        <v>0</v>
      </c>
      <c r="Z12010">
        <v>1</v>
      </c>
      <c r="AA12010">
        <v>0</v>
      </c>
      <c r="AB12010">
        <v>0</v>
      </c>
      <c r="AC12010">
        <v>1</v>
      </c>
      <c r="AD12010">
        <v>1</v>
      </c>
      <c r="AE12010">
        <v>1</v>
      </c>
      <c r="AF12010">
        <v>1</v>
      </c>
      <c r="AG12010">
        <v>1</v>
      </c>
      <c r="AH12010">
        <v>1</v>
      </c>
      <c r="AI12010">
        <v>1</v>
      </c>
      <c r="AJ12010">
        <v>1</v>
      </c>
      <c r="AK12010">
        <v>1</v>
      </c>
      <c r="AL12010">
        <v>1</v>
      </c>
      <c r="AM12010">
        <v>1</v>
      </c>
    </row>
    <row r="12011" spans="1:39" x14ac:dyDescent="0.2">
      <c r="A12011" t="str">
        <f>"12007"</f>
        <v>12007</v>
      </c>
      <c r="B12011" t="str">
        <f t="shared" si="666"/>
        <v>1</v>
      </c>
      <c r="C12011" t="str">
        <f t="shared" si="668"/>
        <v>241</v>
      </c>
      <c r="D12011" t="str">
        <f>"35"</f>
        <v>35</v>
      </c>
      <c r="E12011" t="str">
        <f>"1-241-35"</f>
        <v>1-241-35</v>
      </c>
      <c r="F12011" t="s">
        <v>65</v>
      </c>
      <c r="G12011" t="s">
        <v>66</v>
      </c>
      <c r="H12011" t="s">
        <v>67</v>
      </c>
      <c r="S12011">
        <v>0</v>
      </c>
      <c r="T12011">
        <v>1</v>
      </c>
      <c r="U12011">
        <v>0</v>
      </c>
      <c r="V12011">
        <v>0</v>
      </c>
      <c r="W12011">
        <v>1</v>
      </c>
      <c r="X12011">
        <v>0</v>
      </c>
      <c r="Y12011">
        <v>0</v>
      </c>
      <c r="Z12011">
        <v>1</v>
      </c>
      <c r="AA12011">
        <v>1</v>
      </c>
      <c r="AB12011">
        <v>0</v>
      </c>
      <c r="AC12011">
        <v>0</v>
      </c>
      <c r="AD12011">
        <v>1</v>
      </c>
      <c r="AE12011">
        <v>1</v>
      </c>
      <c r="AF12011">
        <v>1</v>
      </c>
      <c r="AG12011">
        <v>1</v>
      </c>
      <c r="AH12011">
        <v>1</v>
      </c>
      <c r="AI12011">
        <v>1</v>
      </c>
      <c r="AJ12011">
        <v>1</v>
      </c>
      <c r="AK12011">
        <v>1</v>
      </c>
      <c r="AL12011">
        <v>1</v>
      </c>
      <c r="AM12011">
        <v>1</v>
      </c>
    </row>
    <row r="12012" spans="1:39" x14ac:dyDescent="0.2">
      <c r="A12012" t="str">
        <f>"12008"</f>
        <v>12008</v>
      </c>
      <c r="B12012" t="str">
        <f t="shared" si="666"/>
        <v>1</v>
      </c>
      <c r="C12012" t="str">
        <f t="shared" si="668"/>
        <v>241</v>
      </c>
      <c r="D12012" t="str">
        <f>"24"</f>
        <v>24</v>
      </c>
      <c r="E12012" t="str">
        <f>"1-241-24"</f>
        <v>1-241-24</v>
      </c>
      <c r="F12012" t="s">
        <v>65</v>
      </c>
      <c r="G12012" t="s">
        <v>66</v>
      </c>
      <c r="H12012" t="s">
        <v>67</v>
      </c>
      <c r="S12012">
        <v>1</v>
      </c>
      <c r="T12012">
        <v>0</v>
      </c>
      <c r="U12012">
        <v>0</v>
      </c>
      <c r="V12012">
        <v>0</v>
      </c>
      <c r="W12012">
        <v>1</v>
      </c>
      <c r="X12012">
        <v>0</v>
      </c>
      <c r="Y12012">
        <v>0</v>
      </c>
      <c r="Z12012">
        <v>1</v>
      </c>
      <c r="AA12012">
        <v>1</v>
      </c>
      <c r="AB12012">
        <v>0</v>
      </c>
      <c r="AC12012">
        <v>0</v>
      </c>
      <c r="AD12012">
        <v>1</v>
      </c>
      <c r="AE12012">
        <v>1</v>
      </c>
      <c r="AF12012">
        <v>1</v>
      </c>
      <c r="AG12012">
        <v>1</v>
      </c>
      <c r="AH12012">
        <v>1</v>
      </c>
      <c r="AI12012">
        <v>1</v>
      </c>
      <c r="AJ12012">
        <v>1</v>
      </c>
      <c r="AK12012">
        <v>1</v>
      </c>
      <c r="AL12012">
        <v>1</v>
      </c>
      <c r="AM12012">
        <v>1</v>
      </c>
    </row>
    <row r="12013" spans="1:39" x14ac:dyDescent="0.2">
      <c r="A12013" t="str">
        <f>"12009"</f>
        <v>12009</v>
      </c>
      <c r="B12013" t="str">
        <f t="shared" si="666"/>
        <v>1</v>
      </c>
      <c r="C12013" t="str">
        <f t="shared" si="668"/>
        <v>241</v>
      </c>
      <c r="D12013" t="str">
        <f>"16"</f>
        <v>16</v>
      </c>
      <c r="E12013" t="str">
        <f>"1-241-16"</f>
        <v>1-241-16</v>
      </c>
      <c r="F12013" t="s">
        <v>65</v>
      </c>
      <c r="G12013" t="s">
        <v>66</v>
      </c>
      <c r="H12013" t="s">
        <v>67</v>
      </c>
      <c r="S12013">
        <v>0</v>
      </c>
      <c r="T12013">
        <v>1</v>
      </c>
      <c r="U12013">
        <v>0</v>
      </c>
      <c r="V12013">
        <v>0</v>
      </c>
      <c r="W12013">
        <v>0</v>
      </c>
      <c r="X12013">
        <v>1</v>
      </c>
      <c r="Y12013">
        <v>0</v>
      </c>
      <c r="Z12013">
        <v>1</v>
      </c>
      <c r="AA12013">
        <v>0</v>
      </c>
      <c r="AB12013">
        <v>0</v>
      </c>
      <c r="AC12013">
        <v>1</v>
      </c>
      <c r="AD12013">
        <v>1</v>
      </c>
      <c r="AE12013">
        <v>1</v>
      </c>
      <c r="AF12013">
        <v>1</v>
      </c>
      <c r="AG12013">
        <v>1</v>
      </c>
      <c r="AH12013">
        <v>1</v>
      </c>
      <c r="AI12013">
        <v>1</v>
      </c>
      <c r="AJ12013">
        <v>1</v>
      </c>
      <c r="AK12013">
        <v>1</v>
      </c>
      <c r="AL12013">
        <v>1</v>
      </c>
      <c r="AM12013">
        <v>1</v>
      </c>
    </row>
    <row r="12014" spans="1:39" x14ac:dyDescent="0.2">
      <c r="A12014" t="str">
        <f>"12010"</f>
        <v>12010</v>
      </c>
      <c r="B12014" t="str">
        <f t="shared" si="666"/>
        <v>1</v>
      </c>
      <c r="C12014" t="str">
        <f t="shared" si="668"/>
        <v>241</v>
      </c>
      <c r="D12014" t="str">
        <f>"2"</f>
        <v>2</v>
      </c>
      <c r="E12014" t="str">
        <f>"1-241-2"</f>
        <v>1-241-2</v>
      </c>
      <c r="F12014" t="s">
        <v>65</v>
      </c>
      <c r="G12014" t="s">
        <v>66</v>
      </c>
      <c r="H12014" t="s">
        <v>67</v>
      </c>
      <c r="S12014">
        <v>0</v>
      </c>
      <c r="T12014">
        <v>1</v>
      </c>
      <c r="U12014">
        <v>0</v>
      </c>
      <c r="V12014">
        <v>0</v>
      </c>
      <c r="W12014">
        <v>1</v>
      </c>
      <c r="X12014">
        <v>0</v>
      </c>
      <c r="Y12014">
        <v>1</v>
      </c>
      <c r="Z12014">
        <v>0</v>
      </c>
      <c r="AA12014">
        <v>0</v>
      </c>
      <c r="AB12014">
        <v>1</v>
      </c>
      <c r="AC12014">
        <v>0</v>
      </c>
      <c r="AD12014">
        <v>1</v>
      </c>
      <c r="AE12014">
        <v>1</v>
      </c>
      <c r="AF12014">
        <v>1</v>
      </c>
      <c r="AG12014">
        <v>1</v>
      </c>
      <c r="AH12014">
        <v>1</v>
      </c>
      <c r="AI12014">
        <v>1</v>
      </c>
      <c r="AJ12014">
        <v>1</v>
      </c>
      <c r="AK12014">
        <v>1</v>
      </c>
      <c r="AL12014">
        <v>1</v>
      </c>
      <c r="AM12014">
        <v>1</v>
      </c>
    </row>
    <row r="12015" spans="1:39" x14ac:dyDescent="0.2">
      <c r="A12015" t="str">
        <f>"12011"</f>
        <v>12011</v>
      </c>
      <c r="B12015" t="str">
        <f t="shared" si="666"/>
        <v>1</v>
      </c>
      <c r="C12015" t="str">
        <f t="shared" si="668"/>
        <v>241</v>
      </c>
      <c r="D12015" t="str">
        <f>"45"</f>
        <v>45</v>
      </c>
      <c r="E12015" t="str">
        <f>"1-241-45"</f>
        <v>1-241-45</v>
      </c>
      <c r="F12015" t="s">
        <v>65</v>
      </c>
      <c r="G12015" t="s">
        <v>66</v>
      </c>
      <c r="H12015" t="s">
        <v>67</v>
      </c>
      <c r="S12015">
        <v>0</v>
      </c>
      <c r="T12015">
        <v>0</v>
      </c>
      <c r="U12015">
        <v>0</v>
      </c>
      <c r="V12015">
        <v>0</v>
      </c>
      <c r="W12015">
        <v>0</v>
      </c>
      <c r="X12015">
        <v>1</v>
      </c>
      <c r="Y12015">
        <v>0</v>
      </c>
      <c r="Z12015">
        <v>0</v>
      </c>
      <c r="AA12015">
        <v>0</v>
      </c>
      <c r="AB12015">
        <v>0</v>
      </c>
      <c r="AC12015">
        <v>0</v>
      </c>
      <c r="AD12015">
        <v>0</v>
      </c>
      <c r="AE12015">
        <v>0</v>
      </c>
      <c r="AF12015">
        <v>0</v>
      </c>
      <c r="AG12015">
        <v>0</v>
      </c>
      <c r="AH12015">
        <v>0</v>
      </c>
      <c r="AI12015">
        <v>0</v>
      </c>
      <c r="AJ12015">
        <v>0</v>
      </c>
      <c r="AK12015">
        <v>0</v>
      </c>
      <c r="AL12015">
        <v>0</v>
      </c>
      <c r="AM12015">
        <v>0</v>
      </c>
    </row>
    <row r="12016" spans="1:39" x14ac:dyDescent="0.2">
      <c r="A12016" t="str">
        <f>"12012"</f>
        <v>12012</v>
      </c>
      <c r="B12016" t="str">
        <f t="shared" si="666"/>
        <v>1</v>
      </c>
      <c r="C12016" t="str">
        <f t="shared" si="668"/>
        <v>241</v>
      </c>
      <c r="D12016" t="str">
        <f>"44"</f>
        <v>44</v>
      </c>
      <c r="E12016" t="str">
        <f>"1-241-44"</f>
        <v>1-241-44</v>
      </c>
      <c r="F12016" t="s">
        <v>65</v>
      </c>
      <c r="G12016" t="s">
        <v>66</v>
      </c>
      <c r="H12016" t="s">
        <v>67</v>
      </c>
      <c r="S12016">
        <v>0</v>
      </c>
      <c r="T12016">
        <v>1</v>
      </c>
      <c r="U12016">
        <v>0</v>
      </c>
      <c r="V12016">
        <v>0</v>
      </c>
      <c r="W12016">
        <v>1</v>
      </c>
      <c r="X12016">
        <v>0</v>
      </c>
      <c r="Y12016">
        <v>0</v>
      </c>
      <c r="Z12016">
        <v>1</v>
      </c>
      <c r="AA12016">
        <v>0</v>
      </c>
      <c r="AB12016">
        <v>0</v>
      </c>
      <c r="AC12016">
        <v>1</v>
      </c>
      <c r="AD12016">
        <v>1</v>
      </c>
      <c r="AE12016">
        <v>1</v>
      </c>
      <c r="AF12016">
        <v>1</v>
      </c>
      <c r="AG12016">
        <v>1</v>
      </c>
      <c r="AH12016">
        <v>1</v>
      </c>
      <c r="AI12016">
        <v>1</v>
      </c>
      <c r="AJ12016">
        <v>1</v>
      </c>
      <c r="AK12016">
        <v>1</v>
      </c>
      <c r="AL12016">
        <v>1</v>
      </c>
      <c r="AM12016">
        <v>1</v>
      </c>
    </row>
    <row r="12017" spans="1:39" x14ac:dyDescent="0.2">
      <c r="A12017" t="str">
        <f>"12013"</f>
        <v>12013</v>
      </c>
      <c r="B12017" t="str">
        <f t="shared" si="666"/>
        <v>1</v>
      </c>
      <c r="C12017" t="str">
        <f t="shared" si="668"/>
        <v>241</v>
      </c>
      <c r="D12017" t="str">
        <f>"32"</f>
        <v>32</v>
      </c>
      <c r="E12017" t="str">
        <f>"1-241-32"</f>
        <v>1-241-32</v>
      </c>
      <c r="F12017" t="s">
        <v>65</v>
      </c>
      <c r="G12017" t="s">
        <v>66</v>
      </c>
      <c r="H12017" t="s">
        <v>67</v>
      </c>
      <c r="S12017">
        <v>1</v>
      </c>
      <c r="T12017">
        <v>0</v>
      </c>
      <c r="U12017">
        <v>0</v>
      </c>
      <c r="V12017">
        <v>0</v>
      </c>
      <c r="W12017">
        <v>1</v>
      </c>
      <c r="X12017">
        <v>0</v>
      </c>
      <c r="Y12017">
        <v>0</v>
      </c>
      <c r="Z12017">
        <v>1</v>
      </c>
      <c r="AA12017">
        <v>1</v>
      </c>
      <c r="AB12017">
        <v>0</v>
      </c>
      <c r="AC12017">
        <v>0</v>
      </c>
      <c r="AD12017">
        <v>1</v>
      </c>
      <c r="AE12017">
        <v>1</v>
      </c>
      <c r="AF12017">
        <v>1</v>
      </c>
      <c r="AG12017">
        <v>1</v>
      </c>
      <c r="AH12017">
        <v>1</v>
      </c>
      <c r="AI12017">
        <v>1</v>
      </c>
      <c r="AJ12017">
        <v>1</v>
      </c>
      <c r="AK12017">
        <v>1</v>
      </c>
      <c r="AL12017">
        <v>1</v>
      </c>
      <c r="AM12017">
        <v>1</v>
      </c>
    </row>
    <row r="12018" spans="1:39" x14ac:dyDescent="0.2">
      <c r="A12018" t="str">
        <f>"12014"</f>
        <v>12014</v>
      </c>
      <c r="B12018" t="str">
        <f t="shared" si="666"/>
        <v>1</v>
      </c>
      <c r="C12018" t="str">
        <f t="shared" si="668"/>
        <v>241</v>
      </c>
      <c r="D12018" t="str">
        <f>"17"</f>
        <v>17</v>
      </c>
      <c r="E12018" t="str">
        <f>"1-241-17"</f>
        <v>1-241-17</v>
      </c>
      <c r="F12018" t="s">
        <v>65</v>
      </c>
      <c r="G12018" t="s">
        <v>66</v>
      </c>
      <c r="H12018" t="s">
        <v>67</v>
      </c>
      <c r="S12018">
        <v>1</v>
      </c>
      <c r="T12018">
        <v>0</v>
      </c>
      <c r="U12018">
        <v>0</v>
      </c>
      <c r="V12018">
        <v>0</v>
      </c>
      <c r="W12018">
        <v>1</v>
      </c>
      <c r="X12018">
        <v>0</v>
      </c>
      <c r="Y12018">
        <v>1</v>
      </c>
      <c r="Z12018">
        <v>0</v>
      </c>
      <c r="AA12018">
        <v>1</v>
      </c>
      <c r="AB12018">
        <v>0</v>
      </c>
      <c r="AC12018">
        <v>0</v>
      </c>
      <c r="AD12018">
        <v>0</v>
      </c>
      <c r="AE12018">
        <v>0</v>
      </c>
      <c r="AF12018">
        <v>0</v>
      </c>
      <c r="AG12018">
        <v>0</v>
      </c>
      <c r="AH12018">
        <v>0</v>
      </c>
      <c r="AI12018">
        <v>0</v>
      </c>
      <c r="AJ12018">
        <v>1</v>
      </c>
      <c r="AK12018">
        <v>0</v>
      </c>
      <c r="AL12018">
        <v>1</v>
      </c>
      <c r="AM12018">
        <v>0</v>
      </c>
    </row>
    <row r="12019" spans="1:39" x14ac:dyDescent="0.2">
      <c r="A12019" t="str">
        <f>"12015"</f>
        <v>12015</v>
      </c>
      <c r="B12019" t="str">
        <f t="shared" si="666"/>
        <v>1</v>
      </c>
      <c r="C12019" t="str">
        <f t="shared" si="668"/>
        <v>241</v>
      </c>
      <c r="D12019" t="str">
        <f>"6"</f>
        <v>6</v>
      </c>
      <c r="E12019" t="str">
        <f>"1-241-6"</f>
        <v>1-241-6</v>
      </c>
      <c r="F12019" t="s">
        <v>65</v>
      </c>
      <c r="G12019" t="s">
        <v>66</v>
      </c>
      <c r="H12019" t="s">
        <v>67</v>
      </c>
      <c r="S12019">
        <v>1</v>
      </c>
      <c r="T12019">
        <v>0</v>
      </c>
      <c r="U12019">
        <v>0</v>
      </c>
      <c r="V12019">
        <v>0</v>
      </c>
      <c r="W12019">
        <v>1</v>
      </c>
      <c r="X12019">
        <v>0</v>
      </c>
      <c r="Y12019">
        <v>1</v>
      </c>
      <c r="Z12019">
        <v>0</v>
      </c>
      <c r="AA12019">
        <v>1</v>
      </c>
      <c r="AB12019">
        <v>0</v>
      </c>
      <c r="AC12019">
        <v>0</v>
      </c>
      <c r="AD12019">
        <v>1</v>
      </c>
      <c r="AE12019">
        <v>1</v>
      </c>
      <c r="AF12019">
        <v>1</v>
      </c>
      <c r="AG12019">
        <v>0</v>
      </c>
      <c r="AH12019">
        <v>1</v>
      </c>
      <c r="AI12019">
        <v>1</v>
      </c>
      <c r="AJ12019">
        <v>1</v>
      </c>
      <c r="AK12019">
        <v>1</v>
      </c>
      <c r="AL12019">
        <v>1</v>
      </c>
      <c r="AM12019">
        <v>1</v>
      </c>
    </row>
    <row r="12020" spans="1:39" x14ac:dyDescent="0.2">
      <c r="A12020" t="str">
        <f>"12016"</f>
        <v>12016</v>
      </c>
      <c r="B12020" t="str">
        <f t="shared" si="666"/>
        <v>1</v>
      </c>
      <c r="C12020" t="str">
        <f t="shared" si="668"/>
        <v>241</v>
      </c>
      <c r="D12020" t="str">
        <f>"40"</f>
        <v>40</v>
      </c>
      <c r="E12020" t="str">
        <f>"1-241-40"</f>
        <v>1-241-40</v>
      </c>
      <c r="F12020" t="s">
        <v>65</v>
      </c>
      <c r="G12020" t="s">
        <v>66</v>
      </c>
      <c r="H12020" t="s">
        <v>67</v>
      </c>
      <c r="S12020">
        <v>1</v>
      </c>
      <c r="T12020">
        <v>0</v>
      </c>
      <c r="U12020">
        <v>0</v>
      </c>
      <c r="V12020">
        <v>0</v>
      </c>
      <c r="W12020">
        <v>1</v>
      </c>
      <c r="X12020">
        <v>0</v>
      </c>
      <c r="Y12020">
        <v>1</v>
      </c>
      <c r="Z12020">
        <v>0</v>
      </c>
      <c r="AA12020">
        <v>1</v>
      </c>
      <c r="AB12020">
        <v>0</v>
      </c>
      <c r="AC12020">
        <v>0</v>
      </c>
      <c r="AD12020">
        <v>0</v>
      </c>
      <c r="AE12020">
        <v>0</v>
      </c>
      <c r="AF12020">
        <v>0</v>
      </c>
      <c r="AG12020">
        <v>0</v>
      </c>
      <c r="AH12020">
        <v>0</v>
      </c>
      <c r="AI12020">
        <v>0</v>
      </c>
      <c r="AJ12020">
        <v>0</v>
      </c>
      <c r="AK12020">
        <v>0</v>
      </c>
      <c r="AL12020">
        <v>0</v>
      </c>
      <c r="AM12020">
        <v>0</v>
      </c>
    </row>
    <row r="12021" spans="1:39" x14ac:dyDescent="0.2">
      <c r="A12021" t="str">
        <f>"12017"</f>
        <v>12017</v>
      </c>
      <c r="B12021" t="str">
        <f t="shared" si="666"/>
        <v>1</v>
      </c>
      <c r="C12021" t="str">
        <f t="shared" si="668"/>
        <v>241</v>
      </c>
      <c r="D12021" t="str">
        <f>"39"</f>
        <v>39</v>
      </c>
      <c r="E12021" t="str">
        <f>"1-241-39"</f>
        <v>1-241-39</v>
      </c>
      <c r="F12021" t="s">
        <v>65</v>
      </c>
      <c r="G12021" t="s">
        <v>66</v>
      </c>
      <c r="H12021" t="s">
        <v>67</v>
      </c>
      <c r="S12021">
        <v>1</v>
      </c>
      <c r="T12021">
        <v>0</v>
      </c>
      <c r="U12021">
        <v>0</v>
      </c>
      <c r="V12021">
        <v>0</v>
      </c>
      <c r="W12021">
        <v>1</v>
      </c>
      <c r="X12021">
        <v>0</v>
      </c>
      <c r="Y12021">
        <v>1</v>
      </c>
      <c r="Z12021">
        <v>0</v>
      </c>
      <c r="AA12021">
        <v>0</v>
      </c>
      <c r="AB12021">
        <v>0</v>
      </c>
      <c r="AC12021">
        <v>1</v>
      </c>
      <c r="AD12021">
        <v>1</v>
      </c>
      <c r="AE12021">
        <v>1</v>
      </c>
      <c r="AF12021">
        <v>1</v>
      </c>
      <c r="AG12021">
        <v>1</v>
      </c>
      <c r="AH12021">
        <v>1</v>
      </c>
      <c r="AI12021">
        <v>1</v>
      </c>
      <c r="AJ12021">
        <v>1</v>
      </c>
      <c r="AK12021">
        <v>1</v>
      </c>
      <c r="AL12021">
        <v>1</v>
      </c>
      <c r="AM12021">
        <v>1</v>
      </c>
    </row>
    <row r="12022" spans="1:39" x14ac:dyDescent="0.2">
      <c r="A12022" t="str">
        <f>"12018"</f>
        <v>12018</v>
      </c>
      <c r="B12022" t="str">
        <f t="shared" si="666"/>
        <v>1</v>
      </c>
      <c r="C12022" t="str">
        <f t="shared" si="668"/>
        <v>241</v>
      </c>
      <c r="D12022" t="str">
        <f>"31"</f>
        <v>31</v>
      </c>
      <c r="E12022" t="str">
        <f>"1-241-31"</f>
        <v>1-241-31</v>
      </c>
      <c r="F12022" t="s">
        <v>65</v>
      </c>
      <c r="G12022" t="s">
        <v>66</v>
      </c>
      <c r="H12022" t="s">
        <v>67</v>
      </c>
      <c r="S12022">
        <v>1</v>
      </c>
      <c r="T12022">
        <v>0</v>
      </c>
      <c r="U12022">
        <v>0</v>
      </c>
      <c r="V12022">
        <v>0</v>
      </c>
      <c r="W12022">
        <v>1</v>
      </c>
      <c r="X12022">
        <v>0</v>
      </c>
      <c r="Y12022">
        <v>0</v>
      </c>
      <c r="Z12022">
        <v>1</v>
      </c>
      <c r="AA12022">
        <v>1</v>
      </c>
      <c r="AB12022">
        <v>0</v>
      </c>
      <c r="AC12022">
        <v>0</v>
      </c>
      <c r="AD12022">
        <v>1</v>
      </c>
      <c r="AE12022">
        <v>1</v>
      </c>
      <c r="AF12022">
        <v>1</v>
      </c>
      <c r="AG12022">
        <v>1</v>
      </c>
      <c r="AH12022">
        <v>1</v>
      </c>
      <c r="AI12022">
        <v>1</v>
      </c>
      <c r="AJ12022">
        <v>1</v>
      </c>
      <c r="AK12022">
        <v>1</v>
      </c>
      <c r="AL12022">
        <v>1</v>
      </c>
      <c r="AM12022">
        <v>0</v>
      </c>
    </row>
    <row r="12023" spans="1:39" x14ac:dyDescent="0.2">
      <c r="A12023" t="str">
        <f>"12019"</f>
        <v>12019</v>
      </c>
      <c r="B12023" t="str">
        <f t="shared" ref="B12023:B12086" si="669">"1"</f>
        <v>1</v>
      </c>
      <c r="C12023" t="str">
        <f t="shared" si="668"/>
        <v>241</v>
      </c>
      <c r="D12023" t="str">
        <f>"18"</f>
        <v>18</v>
      </c>
      <c r="E12023" t="str">
        <f>"1-241-18"</f>
        <v>1-241-18</v>
      </c>
      <c r="F12023" t="s">
        <v>65</v>
      </c>
      <c r="G12023" t="s">
        <v>66</v>
      </c>
      <c r="H12023" t="s">
        <v>67</v>
      </c>
      <c r="S12023">
        <v>0</v>
      </c>
      <c r="T12023">
        <v>1</v>
      </c>
      <c r="U12023">
        <v>0</v>
      </c>
      <c r="V12023">
        <v>0</v>
      </c>
      <c r="W12023">
        <v>0</v>
      </c>
      <c r="X12023">
        <v>1</v>
      </c>
      <c r="Y12023">
        <v>0</v>
      </c>
      <c r="Z12023">
        <v>1</v>
      </c>
      <c r="AA12023">
        <v>0</v>
      </c>
      <c r="AB12023">
        <v>0</v>
      </c>
      <c r="AC12023">
        <v>1</v>
      </c>
      <c r="AD12023">
        <v>0</v>
      </c>
      <c r="AE12023">
        <v>0</v>
      </c>
      <c r="AF12023">
        <v>0</v>
      </c>
      <c r="AG12023">
        <v>0</v>
      </c>
      <c r="AH12023">
        <v>1</v>
      </c>
      <c r="AI12023">
        <v>1</v>
      </c>
      <c r="AJ12023">
        <v>1</v>
      </c>
      <c r="AK12023">
        <v>0</v>
      </c>
      <c r="AL12023">
        <v>0</v>
      </c>
      <c r="AM12023">
        <v>0</v>
      </c>
    </row>
    <row r="12024" spans="1:39" x14ac:dyDescent="0.2">
      <c r="A12024" t="str">
        <f>"12020"</f>
        <v>12020</v>
      </c>
      <c r="B12024" t="str">
        <f t="shared" si="669"/>
        <v>1</v>
      </c>
      <c r="C12024" t="str">
        <f t="shared" si="668"/>
        <v>241</v>
      </c>
      <c r="D12024" t="str">
        <f>"12"</f>
        <v>12</v>
      </c>
      <c r="E12024" t="str">
        <f>"1-241-12"</f>
        <v>1-241-12</v>
      </c>
      <c r="F12024" t="s">
        <v>65</v>
      </c>
      <c r="G12024" t="s">
        <v>66</v>
      </c>
      <c r="H12024" t="s">
        <v>67</v>
      </c>
      <c r="S12024">
        <v>0</v>
      </c>
      <c r="T12024">
        <v>1</v>
      </c>
      <c r="U12024">
        <v>0</v>
      </c>
      <c r="V12024">
        <v>0</v>
      </c>
      <c r="W12024">
        <v>1</v>
      </c>
      <c r="X12024">
        <v>0</v>
      </c>
      <c r="Y12024">
        <v>0</v>
      </c>
      <c r="Z12024">
        <v>1</v>
      </c>
      <c r="AA12024">
        <v>0</v>
      </c>
      <c r="AB12024">
        <v>0</v>
      </c>
      <c r="AC12024">
        <v>1</v>
      </c>
      <c r="AD12024">
        <v>1</v>
      </c>
      <c r="AE12024">
        <v>1</v>
      </c>
      <c r="AF12024">
        <v>1</v>
      </c>
      <c r="AG12024">
        <v>1</v>
      </c>
      <c r="AH12024">
        <v>1</v>
      </c>
      <c r="AI12024">
        <v>1</v>
      </c>
      <c r="AJ12024">
        <v>1</v>
      </c>
      <c r="AK12024">
        <v>1</v>
      </c>
      <c r="AL12024">
        <v>1</v>
      </c>
      <c r="AM12024">
        <v>1</v>
      </c>
    </row>
    <row r="12025" spans="1:39" x14ac:dyDescent="0.2">
      <c r="A12025" t="str">
        <f>"12021"</f>
        <v>12021</v>
      </c>
      <c r="B12025" t="str">
        <f t="shared" si="669"/>
        <v>1</v>
      </c>
      <c r="C12025" t="str">
        <f t="shared" si="668"/>
        <v>241</v>
      </c>
      <c r="D12025" t="str">
        <f>"48"</f>
        <v>48</v>
      </c>
      <c r="E12025" t="str">
        <f>"1-241-48"</f>
        <v>1-241-48</v>
      </c>
      <c r="F12025" t="s">
        <v>65</v>
      </c>
      <c r="G12025" t="s">
        <v>66</v>
      </c>
      <c r="H12025" t="s">
        <v>67</v>
      </c>
      <c r="S12025">
        <v>0</v>
      </c>
      <c r="T12025">
        <v>0</v>
      </c>
      <c r="U12025">
        <v>0</v>
      </c>
      <c r="V12025">
        <v>0</v>
      </c>
      <c r="W12025">
        <v>0</v>
      </c>
      <c r="X12025">
        <v>1</v>
      </c>
      <c r="Y12025">
        <v>0</v>
      </c>
      <c r="Z12025">
        <v>0</v>
      </c>
      <c r="AA12025">
        <v>0</v>
      </c>
      <c r="AB12025">
        <v>0</v>
      </c>
      <c r="AC12025">
        <v>1</v>
      </c>
      <c r="AD12025">
        <v>0</v>
      </c>
      <c r="AE12025">
        <v>0</v>
      </c>
      <c r="AF12025">
        <v>0</v>
      </c>
      <c r="AG12025">
        <v>0</v>
      </c>
      <c r="AH12025">
        <v>0</v>
      </c>
      <c r="AI12025">
        <v>0</v>
      </c>
      <c r="AJ12025">
        <v>0</v>
      </c>
      <c r="AK12025">
        <v>0</v>
      </c>
      <c r="AL12025">
        <v>0</v>
      </c>
      <c r="AM12025">
        <v>0</v>
      </c>
    </row>
    <row r="12026" spans="1:39" x14ac:dyDescent="0.2">
      <c r="A12026" t="str">
        <f>"12022"</f>
        <v>12022</v>
      </c>
      <c r="B12026" t="str">
        <f t="shared" si="669"/>
        <v>1</v>
      </c>
      <c r="C12026" t="str">
        <f t="shared" si="668"/>
        <v>241</v>
      </c>
      <c r="D12026" t="str">
        <f>"47"</f>
        <v>47</v>
      </c>
      <c r="E12026" t="str">
        <f>"1-241-47"</f>
        <v>1-241-47</v>
      </c>
      <c r="F12026" t="s">
        <v>65</v>
      </c>
      <c r="G12026" t="s">
        <v>66</v>
      </c>
      <c r="H12026" t="s">
        <v>67</v>
      </c>
      <c r="S12026">
        <v>1</v>
      </c>
      <c r="T12026">
        <v>0</v>
      </c>
      <c r="U12026">
        <v>0</v>
      </c>
      <c r="V12026">
        <v>0</v>
      </c>
      <c r="W12026">
        <v>0</v>
      </c>
      <c r="X12026">
        <v>1</v>
      </c>
      <c r="Y12026">
        <v>0</v>
      </c>
      <c r="Z12026">
        <v>1</v>
      </c>
      <c r="AA12026">
        <v>0</v>
      </c>
      <c r="AB12026">
        <v>0</v>
      </c>
      <c r="AC12026">
        <v>0</v>
      </c>
      <c r="AD12026">
        <v>0</v>
      </c>
      <c r="AE12026">
        <v>0</v>
      </c>
      <c r="AF12026">
        <v>0</v>
      </c>
      <c r="AG12026">
        <v>0</v>
      </c>
      <c r="AH12026">
        <v>0</v>
      </c>
      <c r="AI12026">
        <v>1</v>
      </c>
      <c r="AJ12026">
        <v>1</v>
      </c>
      <c r="AK12026">
        <v>0</v>
      </c>
      <c r="AL12026">
        <v>0</v>
      </c>
      <c r="AM12026">
        <v>0</v>
      </c>
    </row>
    <row r="12027" spans="1:39" x14ac:dyDescent="0.2">
      <c r="A12027" t="str">
        <f>"12023"</f>
        <v>12023</v>
      </c>
      <c r="B12027" t="str">
        <f t="shared" si="669"/>
        <v>1</v>
      </c>
      <c r="C12027" t="str">
        <f t="shared" si="668"/>
        <v>241</v>
      </c>
      <c r="D12027" t="str">
        <f>"33"</f>
        <v>33</v>
      </c>
      <c r="E12027" t="str">
        <f>"1-241-33"</f>
        <v>1-241-33</v>
      </c>
      <c r="F12027" t="s">
        <v>65</v>
      </c>
      <c r="G12027" t="s">
        <v>66</v>
      </c>
      <c r="H12027" t="s">
        <v>67</v>
      </c>
      <c r="S12027">
        <v>1</v>
      </c>
      <c r="T12027">
        <v>0</v>
      </c>
      <c r="U12027">
        <v>0</v>
      </c>
      <c r="V12027">
        <v>0</v>
      </c>
      <c r="W12027">
        <v>1</v>
      </c>
      <c r="X12027">
        <v>0</v>
      </c>
      <c r="Y12027">
        <v>1</v>
      </c>
      <c r="Z12027">
        <v>0</v>
      </c>
      <c r="AA12027">
        <v>1</v>
      </c>
      <c r="AB12027">
        <v>0</v>
      </c>
      <c r="AC12027">
        <v>0</v>
      </c>
      <c r="AD12027">
        <v>0</v>
      </c>
      <c r="AE12027">
        <v>0</v>
      </c>
      <c r="AF12027">
        <v>0</v>
      </c>
      <c r="AG12027">
        <v>0</v>
      </c>
      <c r="AH12027">
        <v>0</v>
      </c>
      <c r="AI12027">
        <v>0</v>
      </c>
      <c r="AJ12027">
        <v>0</v>
      </c>
      <c r="AK12027">
        <v>0</v>
      </c>
      <c r="AL12027">
        <v>0</v>
      </c>
      <c r="AM12027">
        <v>0</v>
      </c>
    </row>
    <row r="12028" spans="1:39" x14ac:dyDescent="0.2">
      <c r="A12028" t="str">
        <f>"12024"</f>
        <v>12024</v>
      </c>
      <c r="B12028" t="str">
        <f t="shared" si="669"/>
        <v>1</v>
      </c>
      <c r="C12028" t="str">
        <f t="shared" si="668"/>
        <v>241</v>
      </c>
      <c r="D12028" t="str">
        <f>"19"</f>
        <v>19</v>
      </c>
      <c r="E12028" t="str">
        <f>"1-241-19"</f>
        <v>1-241-19</v>
      </c>
      <c r="F12028" t="s">
        <v>65</v>
      </c>
      <c r="G12028" t="s">
        <v>66</v>
      </c>
      <c r="H12028" t="s">
        <v>67</v>
      </c>
      <c r="S12028">
        <v>0</v>
      </c>
      <c r="T12028">
        <v>1</v>
      </c>
      <c r="U12028">
        <v>0</v>
      </c>
      <c r="V12028">
        <v>0</v>
      </c>
      <c r="W12028">
        <v>0</v>
      </c>
      <c r="X12028">
        <v>1</v>
      </c>
      <c r="Y12028">
        <v>0</v>
      </c>
      <c r="Z12028">
        <v>1</v>
      </c>
      <c r="AA12028">
        <v>0</v>
      </c>
      <c r="AB12028">
        <v>0</v>
      </c>
      <c r="AC12028">
        <v>1</v>
      </c>
      <c r="AD12028">
        <v>1</v>
      </c>
      <c r="AE12028">
        <v>1</v>
      </c>
      <c r="AF12028">
        <v>1</v>
      </c>
      <c r="AG12028">
        <v>1</v>
      </c>
      <c r="AH12028">
        <v>1</v>
      </c>
      <c r="AI12028">
        <v>1</v>
      </c>
      <c r="AJ12028">
        <v>1</v>
      </c>
      <c r="AK12028">
        <v>1</v>
      </c>
      <c r="AL12028">
        <v>1</v>
      </c>
      <c r="AM12028">
        <v>1</v>
      </c>
    </row>
    <row r="12029" spans="1:39" x14ac:dyDescent="0.2">
      <c r="A12029" t="str">
        <f>"12025"</f>
        <v>12025</v>
      </c>
      <c r="B12029" t="str">
        <f t="shared" si="669"/>
        <v>1</v>
      </c>
      <c r="C12029" t="str">
        <f t="shared" si="668"/>
        <v>241</v>
      </c>
      <c r="D12029" t="str">
        <f>"1"</f>
        <v>1</v>
      </c>
      <c r="E12029" t="str">
        <f>"1-241-1"</f>
        <v>1-241-1</v>
      </c>
      <c r="F12029" t="s">
        <v>65</v>
      </c>
      <c r="G12029" t="s">
        <v>66</v>
      </c>
      <c r="H12029" t="s">
        <v>67</v>
      </c>
      <c r="S12029">
        <v>1</v>
      </c>
      <c r="T12029">
        <v>0</v>
      </c>
      <c r="U12029">
        <v>0</v>
      </c>
      <c r="V12029">
        <v>0</v>
      </c>
      <c r="W12029">
        <v>1</v>
      </c>
      <c r="X12029">
        <v>0</v>
      </c>
      <c r="Y12029">
        <v>1</v>
      </c>
      <c r="Z12029">
        <v>0</v>
      </c>
      <c r="AA12029">
        <v>1</v>
      </c>
      <c r="AB12029">
        <v>0</v>
      </c>
      <c r="AC12029">
        <v>0</v>
      </c>
      <c r="AD12029">
        <v>1</v>
      </c>
      <c r="AE12029">
        <v>1</v>
      </c>
      <c r="AF12029">
        <v>1</v>
      </c>
      <c r="AG12029">
        <v>1</v>
      </c>
      <c r="AH12029">
        <v>1</v>
      </c>
      <c r="AI12029">
        <v>1</v>
      </c>
      <c r="AJ12029">
        <v>1</v>
      </c>
      <c r="AK12029">
        <v>1</v>
      </c>
      <c r="AL12029">
        <v>1</v>
      </c>
      <c r="AM12029">
        <v>1</v>
      </c>
    </row>
    <row r="12030" spans="1:39" x14ac:dyDescent="0.2">
      <c r="A12030" t="str">
        <f>"12026"</f>
        <v>12026</v>
      </c>
      <c r="B12030" t="str">
        <f t="shared" si="669"/>
        <v>1</v>
      </c>
      <c r="C12030" t="str">
        <f t="shared" si="668"/>
        <v>241</v>
      </c>
      <c r="D12030" t="str">
        <f>"43"</f>
        <v>43</v>
      </c>
      <c r="E12030" t="str">
        <f>"1-241-43"</f>
        <v>1-241-43</v>
      </c>
      <c r="F12030" t="s">
        <v>65</v>
      </c>
      <c r="G12030" t="s">
        <v>66</v>
      </c>
      <c r="H12030" t="s">
        <v>67</v>
      </c>
      <c r="S12030">
        <v>0</v>
      </c>
      <c r="T12030">
        <v>1</v>
      </c>
      <c r="U12030">
        <v>0</v>
      </c>
      <c r="V12030">
        <v>0</v>
      </c>
      <c r="W12030">
        <v>1</v>
      </c>
      <c r="X12030">
        <v>0</v>
      </c>
      <c r="Y12030">
        <v>1</v>
      </c>
      <c r="Z12030">
        <v>0</v>
      </c>
      <c r="AA12030">
        <v>0</v>
      </c>
      <c r="AB12030">
        <v>1</v>
      </c>
      <c r="AC12030">
        <v>0</v>
      </c>
      <c r="AD12030">
        <v>1</v>
      </c>
      <c r="AE12030">
        <v>1</v>
      </c>
      <c r="AF12030">
        <v>1</v>
      </c>
      <c r="AG12030">
        <v>1</v>
      </c>
      <c r="AH12030">
        <v>1</v>
      </c>
      <c r="AI12030">
        <v>1</v>
      </c>
      <c r="AJ12030">
        <v>1</v>
      </c>
      <c r="AK12030">
        <v>1</v>
      </c>
      <c r="AL12030">
        <v>1</v>
      </c>
      <c r="AM12030">
        <v>1</v>
      </c>
    </row>
    <row r="12031" spans="1:39" x14ac:dyDescent="0.2">
      <c r="A12031" t="str">
        <f>"12027"</f>
        <v>12027</v>
      </c>
      <c r="B12031" t="str">
        <f t="shared" si="669"/>
        <v>1</v>
      </c>
      <c r="C12031" t="str">
        <f t="shared" si="668"/>
        <v>241</v>
      </c>
      <c r="D12031" t="str">
        <f>"42"</f>
        <v>42</v>
      </c>
      <c r="E12031" t="str">
        <f>"1-241-42"</f>
        <v>1-241-42</v>
      </c>
      <c r="F12031" t="s">
        <v>65</v>
      </c>
      <c r="G12031" t="s">
        <v>66</v>
      </c>
      <c r="H12031" t="s">
        <v>67</v>
      </c>
      <c r="S12031">
        <v>1</v>
      </c>
      <c r="T12031">
        <v>0</v>
      </c>
      <c r="U12031">
        <v>0</v>
      </c>
      <c r="V12031">
        <v>0</v>
      </c>
      <c r="W12031">
        <v>1</v>
      </c>
      <c r="X12031">
        <v>0</v>
      </c>
      <c r="Y12031">
        <v>1</v>
      </c>
      <c r="Z12031">
        <v>0</v>
      </c>
      <c r="AA12031">
        <v>0</v>
      </c>
      <c r="AB12031">
        <v>1</v>
      </c>
      <c r="AC12031">
        <v>0</v>
      </c>
      <c r="AD12031">
        <v>1</v>
      </c>
      <c r="AE12031">
        <v>1</v>
      </c>
      <c r="AF12031">
        <v>1</v>
      </c>
      <c r="AG12031">
        <v>1</v>
      </c>
      <c r="AH12031">
        <v>1</v>
      </c>
      <c r="AI12031">
        <v>1</v>
      </c>
      <c r="AJ12031">
        <v>1</v>
      </c>
      <c r="AK12031">
        <v>1</v>
      </c>
      <c r="AL12031">
        <v>1</v>
      </c>
      <c r="AM12031">
        <v>1</v>
      </c>
    </row>
    <row r="12032" spans="1:39" x14ac:dyDescent="0.2">
      <c r="A12032" t="str">
        <f>"12028"</f>
        <v>12028</v>
      </c>
      <c r="B12032" t="str">
        <f t="shared" si="669"/>
        <v>1</v>
      </c>
      <c r="C12032" t="str">
        <f t="shared" si="668"/>
        <v>241</v>
      </c>
      <c r="D12032" t="str">
        <f>"34"</f>
        <v>34</v>
      </c>
      <c r="E12032" t="str">
        <f>"1-241-34"</f>
        <v>1-241-34</v>
      </c>
      <c r="F12032" t="s">
        <v>65</v>
      </c>
      <c r="G12032" t="s">
        <v>66</v>
      </c>
      <c r="H12032" t="s">
        <v>67</v>
      </c>
      <c r="S12032">
        <v>0</v>
      </c>
      <c r="T12032">
        <v>1</v>
      </c>
      <c r="U12032">
        <v>0</v>
      </c>
      <c r="V12032">
        <v>0</v>
      </c>
      <c r="W12032">
        <v>1</v>
      </c>
      <c r="X12032">
        <v>0</v>
      </c>
      <c r="Y12032">
        <v>0</v>
      </c>
      <c r="Z12032">
        <v>1</v>
      </c>
      <c r="AA12032">
        <v>1</v>
      </c>
      <c r="AB12032">
        <v>0</v>
      </c>
      <c r="AC12032">
        <v>0</v>
      </c>
      <c r="AD12032">
        <v>1</v>
      </c>
      <c r="AE12032">
        <v>1</v>
      </c>
      <c r="AF12032">
        <v>1</v>
      </c>
      <c r="AG12032">
        <v>1</v>
      </c>
      <c r="AH12032">
        <v>1</v>
      </c>
      <c r="AI12032">
        <v>1</v>
      </c>
      <c r="AJ12032">
        <v>1</v>
      </c>
      <c r="AK12032">
        <v>1</v>
      </c>
      <c r="AL12032">
        <v>1</v>
      </c>
      <c r="AM12032">
        <v>1</v>
      </c>
    </row>
    <row r="12033" spans="1:39" x14ac:dyDescent="0.2">
      <c r="A12033" t="str">
        <f>"12029"</f>
        <v>12029</v>
      </c>
      <c r="B12033" t="str">
        <f t="shared" si="669"/>
        <v>1</v>
      </c>
      <c r="C12033" t="str">
        <f t="shared" si="668"/>
        <v>241</v>
      </c>
      <c r="D12033" t="str">
        <f>"20"</f>
        <v>20</v>
      </c>
      <c r="E12033" t="str">
        <f>"1-241-20"</f>
        <v>1-241-20</v>
      </c>
      <c r="F12033" t="s">
        <v>65</v>
      </c>
      <c r="G12033" t="s">
        <v>66</v>
      </c>
      <c r="H12033" t="s">
        <v>67</v>
      </c>
      <c r="S12033">
        <v>1</v>
      </c>
      <c r="T12033">
        <v>0</v>
      </c>
      <c r="U12033">
        <v>0</v>
      </c>
      <c r="V12033">
        <v>0</v>
      </c>
      <c r="W12033">
        <v>0</v>
      </c>
      <c r="X12033">
        <v>1</v>
      </c>
      <c r="Y12033">
        <v>0</v>
      </c>
      <c r="Z12033">
        <v>1</v>
      </c>
      <c r="AA12033">
        <v>0</v>
      </c>
      <c r="AB12033">
        <v>1</v>
      </c>
      <c r="AC12033">
        <v>0</v>
      </c>
      <c r="AD12033">
        <v>1</v>
      </c>
      <c r="AE12033">
        <v>1</v>
      </c>
      <c r="AF12033">
        <v>1</v>
      </c>
      <c r="AG12033">
        <v>1</v>
      </c>
      <c r="AH12033">
        <v>1</v>
      </c>
      <c r="AI12033">
        <v>1</v>
      </c>
      <c r="AJ12033">
        <v>1</v>
      </c>
      <c r="AK12033">
        <v>1</v>
      </c>
      <c r="AL12033">
        <v>1</v>
      </c>
      <c r="AM12033">
        <v>1</v>
      </c>
    </row>
    <row r="12034" spans="1:39" x14ac:dyDescent="0.2">
      <c r="A12034" t="str">
        <f>"12030"</f>
        <v>12030</v>
      </c>
      <c r="B12034" t="str">
        <f t="shared" si="669"/>
        <v>1</v>
      </c>
      <c r="C12034" t="str">
        <f t="shared" si="668"/>
        <v>241</v>
      </c>
      <c r="D12034" t="str">
        <f>"13"</f>
        <v>13</v>
      </c>
      <c r="E12034" t="str">
        <f>"1-241-13"</f>
        <v>1-241-13</v>
      </c>
      <c r="F12034" t="s">
        <v>65</v>
      </c>
      <c r="G12034" t="s">
        <v>66</v>
      </c>
      <c r="H12034" t="s">
        <v>67</v>
      </c>
      <c r="S12034">
        <v>0</v>
      </c>
      <c r="T12034">
        <v>1</v>
      </c>
      <c r="U12034">
        <v>0</v>
      </c>
      <c r="V12034">
        <v>0</v>
      </c>
      <c r="W12034">
        <v>0</v>
      </c>
      <c r="X12034">
        <v>1</v>
      </c>
      <c r="Y12034">
        <v>0</v>
      </c>
      <c r="Z12034">
        <v>0</v>
      </c>
      <c r="AA12034">
        <v>0</v>
      </c>
      <c r="AB12034">
        <v>0</v>
      </c>
      <c r="AC12034">
        <v>0</v>
      </c>
      <c r="AD12034">
        <v>0</v>
      </c>
      <c r="AE12034">
        <v>0</v>
      </c>
      <c r="AF12034">
        <v>0</v>
      </c>
      <c r="AG12034">
        <v>1</v>
      </c>
      <c r="AH12034">
        <v>1</v>
      </c>
      <c r="AI12034">
        <v>1</v>
      </c>
      <c r="AJ12034">
        <v>1</v>
      </c>
      <c r="AK12034">
        <v>1</v>
      </c>
      <c r="AL12034">
        <v>1</v>
      </c>
      <c r="AM12034">
        <v>0</v>
      </c>
    </row>
    <row r="12035" spans="1:39" x14ac:dyDescent="0.2">
      <c r="A12035" t="str">
        <f>"12031"</f>
        <v>12031</v>
      </c>
      <c r="B12035" t="str">
        <f t="shared" si="669"/>
        <v>1</v>
      </c>
      <c r="C12035" t="str">
        <f t="shared" si="668"/>
        <v>241</v>
      </c>
      <c r="D12035" t="str">
        <f>"41"</f>
        <v>41</v>
      </c>
      <c r="E12035" t="str">
        <f>"1-241-41"</f>
        <v>1-241-41</v>
      </c>
      <c r="F12035" t="s">
        <v>65</v>
      </c>
      <c r="G12035" t="s">
        <v>66</v>
      </c>
      <c r="H12035" t="s">
        <v>67</v>
      </c>
      <c r="S12035">
        <v>0</v>
      </c>
      <c r="T12035">
        <v>1</v>
      </c>
      <c r="U12035">
        <v>0</v>
      </c>
      <c r="V12035">
        <v>0</v>
      </c>
      <c r="W12035">
        <v>1</v>
      </c>
      <c r="X12035">
        <v>0</v>
      </c>
      <c r="Y12035">
        <v>1</v>
      </c>
      <c r="Z12035">
        <v>0</v>
      </c>
      <c r="AA12035">
        <v>0</v>
      </c>
      <c r="AB12035">
        <v>1</v>
      </c>
      <c r="AC12035">
        <v>0</v>
      </c>
      <c r="AD12035">
        <v>1</v>
      </c>
      <c r="AE12035">
        <v>1</v>
      </c>
      <c r="AF12035">
        <v>1</v>
      </c>
      <c r="AG12035">
        <v>1</v>
      </c>
      <c r="AH12035">
        <v>1</v>
      </c>
      <c r="AI12035">
        <v>1</v>
      </c>
      <c r="AJ12035">
        <v>1</v>
      </c>
      <c r="AK12035">
        <v>1</v>
      </c>
      <c r="AL12035">
        <v>1</v>
      </c>
      <c r="AM12035">
        <v>1</v>
      </c>
    </row>
    <row r="12036" spans="1:39" x14ac:dyDescent="0.2">
      <c r="A12036" t="str">
        <f>"12032"</f>
        <v>12032</v>
      </c>
      <c r="B12036" t="str">
        <f t="shared" si="669"/>
        <v>1</v>
      </c>
      <c r="C12036" t="str">
        <f t="shared" si="668"/>
        <v>241</v>
      </c>
      <c r="D12036" t="str">
        <f>"21"</f>
        <v>21</v>
      </c>
      <c r="E12036" t="str">
        <f>"1-241-21"</f>
        <v>1-241-21</v>
      </c>
      <c r="F12036" t="s">
        <v>65</v>
      </c>
      <c r="G12036" t="s">
        <v>66</v>
      </c>
      <c r="H12036" t="s">
        <v>67</v>
      </c>
      <c r="S12036">
        <v>0</v>
      </c>
      <c r="T12036">
        <v>1</v>
      </c>
      <c r="U12036">
        <v>0</v>
      </c>
      <c r="V12036">
        <v>0</v>
      </c>
      <c r="W12036">
        <v>0</v>
      </c>
      <c r="X12036">
        <v>1</v>
      </c>
      <c r="Y12036">
        <v>0</v>
      </c>
      <c r="Z12036">
        <v>0</v>
      </c>
      <c r="AA12036">
        <v>0</v>
      </c>
      <c r="AB12036">
        <v>1</v>
      </c>
      <c r="AC12036">
        <v>0</v>
      </c>
      <c r="AD12036">
        <v>0</v>
      </c>
      <c r="AE12036">
        <v>0</v>
      </c>
      <c r="AF12036">
        <v>0</v>
      </c>
      <c r="AG12036">
        <v>0</v>
      </c>
      <c r="AH12036">
        <v>0</v>
      </c>
      <c r="AI12036">
        <v>0</v>
      </c>
      <c r="AJ12036">
        <v>0</v>
      </c>
      <c r="AK12036">
        <v>0</v>
      </c>
      <c r="AL12036">
        <v>0</v>
      </c>
      <c r="AM12036">
        <v>0</v>
      </c>
    </row>
    <row r="12037" spans="1:39" x14ac:dyDescent="0.2">
      <c r="A12037" t="str">
        <f>"12033"</f>
        <v>12033</v>
      </c>
      <c r="B12037" t="str">
        <f t="shared" si="669"/>
        <v>1</v>
      </c>
      <c r="C12037" t="str">
        <f t="shared" ref="C12037:C12054" si="670">"241"</f>
        <v>241</v>
      </c>
      <c r="D12037" t="str">
        <f>"7"</f>
        <v>7</v>
      </c>
      <c r="E12037" t="str">
        <f>"1-241-7"</f>
        <v>1-241-7</v>
      </c>
      <c r="F12037" t="s">
        <v>65</v>
      </c>
      <c r="G12037" t="s">
        <v>66</v>
      </c>
      <c r="H12037" t="s">
        <v>67</v>
      </c>
      <c r="S12037">
        <v>1</v>
      </c>
      <c r="T12037">
        <v>0</v>
      </c>
      <c r="U12037">
        <v>0</v>
      </c>
      <c r="V12037">
        <v>0</v>
      </c>
      <c r="W12037">
        <v>1</v>
      </c>
      <c r="X12037">
        <v>0</v>
      </c>
      <c r="Y12037">
        <v>1</v>
      </c>
      <c r="Z12037">
        <v>0</v>
      </c>
      <c r="AA12037">
        <v>0</v>
      </c>
      <c r="AB12037">
        <v>1</v>
      </c>
      <c r="AC12037">
        <v>0</v>
      </c>
      <c r="AD12037">
        <v>1</v>
      </c>
      <c r="AE12037">
        <v>0</v>
      </c>
      <c r="AF12037">
        <v>0</v>
      </c>
      <c r="AG12037">
        <v>1</v>
      </c>
      <c r="AH12037">
        <v>1</v>
      </c>
      <c r="AI12037">
        <v>1</v>
      </c>
      <c r="AJ12037">
        <v>1</v>
      </c>
      <c r="AK12037">
        <v>0</v>
      </c>
      <c r="AL12037">
        <v>1</v>
      </c>
      <c r="AM12037">
        <v>1</v>
      </c>
    </row>
    <row r="12038" spans="1:39" x14ac:dyDescent="0.2">
      <c r="A12038" t="str">
        <f>"12034"</f>
        <v>12034</v>
      </c>
      <c r="B12038" t="str">
        <f t="shared" si="669"/>
        <v>1</v>
      </c>
      <c r="C12038" t="str">
        <f t="shared" si="670"/>
        <v>241</v>
      </c>
      <c r="D12038" t="str">
        <f>"22"</f>
        <v>22</v>
      </c>
      <c r="E12038" t="str">
        <f>"1-241-22"</f>
        <v>1-241-22</v>
      </c>
      <c r="F12038" t="s">
        <v>65</v>
      </c>
      <c r="G12038" t="s">
        <v>66</v>
      </c>
      <c r="H12038" t="s">
        <v>67</v>
      </c>
      <c r="S12038">
        <v>1</v>
      </c>
      <c r="T12038">
        <v>0</v>
      </c>
      <c r="U12038">
        <v>0</v>
      </c>
      <c r="V12038">
        <v>0</v>
      </c>
      <c r="W12038">
        <v>1</v>
      </c>
      <c r="X12038">
        <v>0</v>
      </c>
      <c r="Y12038">
        <v>1</v>
      </c>
      <c r="Z12038">
        <v>0</v>
      </c>
      <c r="AA12038">
        <v>1</v>
      </c>
      <c r="AB12038">
        <v>0</v>
      </c>
      <c r="AC12038">
        <v>0</v>
      </c>
      <c r="AD12038">
        <v>1</v>
      </c>
      <c r="AE12038">
        <v>1</v>
      </c>
      <c r="AF12038">
        <v>0</v>
      </c>
      <c r="AG12038">
        <v>1</v>
      </c>
      <c r="AH12038">
        <v>1</v>
      </c>
      <c r="AI12038">
        <v>0</v>
      </c>
      <c r="AJ12038">
        <v>1</v>
      </c>
      <c r="AK12038">
        <v>1</v>
      </c>
      <c r="AL12038">
        <v>1</v>
      </c>
      <c r="AM12038">
        <v>0</v>
      </c>
    </row>
    <row r="12039" spans="1:39" x14ac:dyDescent="0.2">
      <c r="A12039" t="str">
        <f>"12035"</f>
        <v>12035</v>
      </c>
      <c r="B12039" t="str">
        <f t="shared" si="669"/>
        <v>1</v>
      </c>
      <c r="C12039" t="str">
        <f t="shared" si="670"/>
        <v>241</v>
      </c>
      <c r="D12039" t="str">
        <f>"14"</f>
        <v>14</v>
      </c>
      <c r="E12039" t="str">
        <f>"1-241-14"</f>
        <v>1-241-14</v>
      </c>
      <c r="F12039" t="s">
        <v>65</v>
      </c>
      <c r="G12039" t="s">
        <v>66</v>
      </c>
      <c r="H12039" t="s">
        <v>67</v>
      </c>
      <c r="S12039">
        <v>0</v>
      </c>
      <c r="T12039">
        <v>1</v>
      </c>
      <c r="U12039">
        <v>0</v>
      </c>
      <c r="V12039">
        <v>0</v>
      </c>
      <c r="W12039">
        <v>0</v>
      </c>
      <c r="X12039">
        <v>1</v>
      </c>
      <c r="Y12039">
        <v>0</v>
      </c>
      <c r="Z12039">
        <v>1</v>
      </c>
      <c r="AA12039">
        <v>0</v>
      </c>
      <c r="AB12039">
        <v>1</v>
      </c>
      <c r="AC12039">
        <v>0</v>
      </c>
      <c r="AD12039">
        <v>0</v>
      </c>
      <c r="AE12039">
        <v>0</v>
      </c>
      <c r="AF12039">
        <v>0</v>
      </c>
      <c r="AG12039">
        <v>0</v>
      </c>
      <c r="AH12039">
        <v>0</v>
      </c>
      <c r="AI12039">
        <v>0</v>
      </c>
      <c r="AJ12039">
        <v>0</v>
      </c>
      <c r="AK12039">
        <v>0</v>
      </c>
      <c r="AL12039">
        <v>0</v>
      </c>
      <c r="AM12039">
        <v>0</v>
      </c>
    </row>
    <row r="12040" spans="1:39" x14ac:dyDescent="0.2">
      <c r="A12040" t="str">
        <f>"12036"</f>
        <v>12036</v>
      </c>
      <c r="B12040" t="str">
        <f t="shared" si="669"/>
        <v>1</v>
      </c>
      <c r="C12040" t="str">
        <f t="shared" si="670"/>
        <v>241</v>
      </c>
      <c r="D12040" t="str">
        <f>"46"</f>
        <v>46</v>
      </c>
      <c r="E12040" t="str">
        <f>"1-241-46"</f>
        <v>1-241-46</v>
      </c>
      <c r="F12040" t="s">
        <v>65</v>
      </c>
      <c r="G12040" t="s">
        <v>66</v>
      </c>
      <c r="H12040" t="s">
        <v>67</v>
      </c>
      <c r="S12040">
        <v>0</v>
      </c>
      <c r="T12040">
        <v>1</v>
      </c>
      <c r="U12040">
        <v>0</v>
      </c>
      <c r="V12040">
        <v>0</v>
      </c>
      <c r="W12040">
        <v>1</v>
      </c>
      <c r="X12040">
        <v>0</v>
      </c>
      <c r="Y12040">
        <v>0</v>
      </c>
      <c r="Z12040">
        <v>1</v>
      </c>
      <c r="AA12040">
        <v>0</v>
      </c>
      <c r="AB12040">
        <v>0</v>
      </c>
      <c r="AC12040">
        <v>1</v>
      </c>
      <c r="AD12040">
        <v>1</v>
      </c>
      <c r="AE12040">
        <v>1</v>
      </c>
      <c r="AF12040">
        <v>1</v>
      </c>
      <c r="AG12040">
        <v>1</v>
      </c>
      <c r="AH12040">
        <v>1</v>
      </c>
      <c r="AI12040">
        <v>1</v>
      </c>
      <c r="AJ12040">
        <v>1</v>
      </c>
      <c r="AK12040">
        <v>1</v>
      </c>
      <c r="AL12040">
        <v>1</v>
      </c>
      <c r="AM12040">
        <v>1</v>
      </c>
    </row>
    <row r="12041" spans="1:39" x14ac:dyDescent="0.2">
      <c r="A12041" t="str">
        <f>"12037"</f>
        <v>12037</v>
      </c>
      <c r="B12041" t="str">
        <f t="shared" si="669"/>
        <v>1</v>
      </c>
      <c r="C12041" t="str">
        <f t="shared" si="670"/>
        <v>241</v>
      </c>
      <c r="D12041" t="str">
        <f>"23"</f>
        <v>23</v>
      </c>
      <c r="E12041" t="str">
        <f>"1-241-23"</f>
        <v>1-241-23</v>
      </c>
      <c r="F12041" t="s">
        <v>65</v>
      </c>
      <c r="G12041" t="s">
        <v>66</v>
      </c>
      <c r="H12041" t="s">
        <v>67</v>
      </c>
      <c r="S12041">
        <v>1</v>
      </c>
      <c r="T12041">
        <v>0</v>
      </c>
      <c r="U12041">
        <v>0</v>
      </c>
      <c r="V12041">
        <v>0</v>
      </c>
      <c r="W12041">
        <v>0</v>
      </c>
      <c r="X12041">
        <v>1</v>
      </c>
      <c r="Y12041">
        <v>0</v>
      </c>
      <c r="Z12041">
        <v>1</v>
      </c>
      <c r="AA12041">
        <v>0</v>
      </c>
      <c r="AB12041">
        <v>1</v>
      </c>
      <c r="AC12041">
        <v>0</v>
      </c>
      <c r="AD12041">
        <v>1</v>
      </c>
      <c r="AE12041">
        <v>1</v>
      </c>
      <c r="AF12041">
        <v>1</v>
      </c>
      <c r="AG12041">
        <v>1</v>
      </c>
      <c r="AH12041">
        <v>1</v>
      </c>
      <c r="AI12041">
        <v>1</v>
      </c>
      <c r="AJ12041">
        <v>1</v>
      </c>
      <c r="AK12041">
        <v>1</v>
      </c>
      <c r="AL12041">
        <v>1</v>
      </c>
      <c r="AM12041">
        <v>1</v>
      </c>
    </row>
    <row r="12042" spans="1:39" x14ac:dyDescent="0.2">
      <c r="A12042" t="str">
        <f>"12038"</f>
        <v>12038</v>
      </c>
      <c r="B12042" t="str">
        <f t="shared" si="669"/>
        <v>1</v>
      </c>
      <c r="C12042" t="str">
        <f t="shared" si="670"/>
        <v>241</v>
      </c>
      <c r="D12042" t="str">
        <f>"9"</f>
        <v>9</v>
      </c>
      <c r="E12042" t="str">
        <f>"1-241-9"</f>
        <v>1-241-9</v>
      </c>
      <c r="F12042" t="s">
        <v>65</v>
      </c>
      <c r="G12042" t="s">
        <v>66</v>
      </c>
      <c r="H12042" t="s">
        <v>67</v>
      </c>
      <c r="S12042">
        <v>0</v>
      </c>
      <c r="T12042">
        <v>1</v>
      </c>
      <c r="U12042">
        <v>0</v>
      </c>
      <c r="V12042">
        <v>0</v>
      </c>
      <c r="W12042">
        <v>1</v>
      </c>
      <c r="X12042">
        <v>0</v>
      </c>
      <c r="Y12042">
        <v>1</v>
      </c>
      <c r="Z12042">
        <v>0</v>
      </c>
      <c r="AA12042">
        <v>1</v>
      </c>
      <c r="AB12042">
        <v>0</v>
      </c>
      <c r="AC12042">
        <v>0</v>
      </c>
      <c r="AD12042">
        <v>1</v>
      </c>
      <c r="AE12042">
        <v>1</v>
      </c>
      <c r="AF12042">
        <v>1</v>
      </c>
      <c r="AG12042">
        <v>1</v>
      </c>
      <c r="AH12042">
        <v>1</v>
      </c>
      <c r="AI12042">
        <v>1</v>
      </c>
      <c r="AJ12042">
        <v>1</v>
      </c>
      <c r="AK12042">
        <v>1</v>
      </c>
      <c r="AL12042">
        <v>1</v>
      </c>
      <c r="AM12042">
        <v>1</v>
      </c>
    </row>
    <row r="12043" spans="1:39" x14ac:dyDescent="0.2">
      <c r="A12043" t="str">
        <f>"12039"</f>
        <v>12039</v>
      </c>
      <c r="B12043" t="str">
        <f t="shared" si="669"/>
        <v>1</v>
      </c>
      <c r="C12043" t="str">
        <f t="shared" si="670"/>
        <v>241</v>
      </c>
      <c r="D12043" t="str">
        <f>"49"</f>
        <v>49</v>
      </c>
      <c r="E12043" t="str">
        <f>"1-241-49"</f>
        <v>1-241-49</v>
      </c>
      <c r="F12043" t="s">
        <v>65</v>
      </c>
      <c r="G12043" t="s">
        <v>66</v>
      </c>
      <c r="H12043" t="s">
        <v>67</v>
      </c>
      <c r="S12043">
        <v>1</v>
      </c>
      <c r="T12043">
        <v>0</v>
      </c>
      <c r="U12043">
        <v>0</v>
      </c>
      <c r="V12043">
        <v>0</v>
      </c>
      <c r="W12043">
        <v>1</v>
      </c>
      <c r="X12043">
        <v>0</v>
      </c>
      <c r="Y12043">
        <v>0</v>
      </c>
      <c r="Z12043">
        <v>1</v>
      </c>
      <c r="AA12043">
        <v>0</v>
      </c>
      <c r="AB12043">
        <v>0</v>
      </c>
      <c r="AC12043">
        <v>1</v>
      </c>
      <c r="AD12043">
        <v>1</v>
      </c>
      <c r="AE12043">
        <v>1</v>
      </c>
      <c r="AF12043">
        <v>1</v>
      </c>
      <c r="AG12043">
        <v>1</v>
      </c>
      <c r="AH12043">
        <v>1</v>
      </c>
      <c r="AI12043">
        <v>1</v>
      </c>
      <c r="AJ12043">
        <v>1</v>
      </c>
      <c r="AK12043">
        <v>1</v>
      </c>
      <c r="AL12043">
        <v>1</v>
      </c>
      <c r="AM12043">
        <v>1</v>
      </c>
    </row>
    <row r="12044" spans="1:39" x14ac:dyDescent="0.2">
      <c r="A12044" t="str">
        <f>"12040"</f>
        <v>12040</v>
      </c>
      <c r="B12044" t="str">
        <f t="shared" si="669"/>
        <v>1</v>
      </c>
      <c r="C12044" t="str">
        <f t="shared" si="670"/>
        <v>241</v>
      </c>
      <c r="D12044" t="str">
        <f>"25"</f>
        <v>25</v>
      </c>
      <c r="E12044" t="str">
        <f>"1-241-25"</f>
        <v>1-241-25</v>
      </c>
      <c r="F12044" t="s">
        <v>65</v>
      </c>
      <c r="G12044" t="s">
        <v>66</v>
      </c>
      <c r="H12044" t="s">
        <v>67</v>
      </c>
      <c r="S12044">
        <v>1</v>
      </c>
      <c r="T12044">
        <v>0</v>
      </c>
      <c r="U12044">
        <v>0</v>
      </c>
      <c r="V12044">
        <v>0</v>
      </c>
      <c r="W12044">
        <v>0</v>
      </c>
      <c r="X12044">
        <v>1</v>
      </c>
      <c r="Y12044">
        <v>0</v>
      </c>
      <c r="Z12044">
        <v>1</v>
      </c>
      <c r="AA12044">
        <v>0</v>
      </c>
      <c r="AB12044">
        <v>0</v>
      </c>
      <c r="AC12044">
        <v>1</v>
      </c>
      <c r="AD12044">
        <v>0</v>
      </c>
      <c r="AE12044">
        <v>0</v>
      </c>
      <c r="AF12044">
        <v>0</v>
      </c>
      <c r="AG12044">
        <v>0</v>
      </c>
      <c r="AH12044">
        <v>0</v>
      </c>
      <c r="AI12044">
        <v>0</v>
      </c>
      <c r="AJ12044">
        <v>0</v>
      </c>
      <c r="AK12044">
        <v>0</v>
      </c>
      <c r="AL12044">
        <v>0</v>
      </c>
      <c r="AM12044">
        <v>0</v>
      </c>
    </row>
    <row r="12045" spans="1:39" x14ac:dyDescent="0.2">
      <c r="A12045" t="str">
        <f>"12041"</f>
        <v>12041</v>
      </c>
      <c r="B12045" t="str">
        <f t="shared" si="669"/>
        <v>1</v>
      </c>
      <c r="C12045" t="str">
        <f t="shared" si="670"/>
        <v>241</v>
      </c>
      <c r="D12045" t="str">
        <f>"11"</f>
        <v>11</v>
      </c>
      <c r="E12045" t="str">
        <f>"1-241-11"</f>
        <v>1-241-11</v>
      </c>
      <c r="F12045" t="s">
        <v>65</v>
      </c>
      <c r="G12045" t="s">
        <v>66</v>
      </c>
      <c r="H12045" t="s">
        <v>67</v>
      </c>
      <c r="S12045">
        <v>0</v>
      </c>
      <c r="T12045">
        <v>0</v>
      </c>
      <c r="U12045">
        <v>0</v>
      </c>
      <c r="V12045">
        <v>0</v>
      </c>
      <c r="W12045">
        <v>1</v>
      </c>
      <c r="X12045">
        <v>0</v>
      </c>
      <c r="Y12045">
        <v>0</v>
      </c>
      <c r="Z12045">
        <v>0</v>
      </c>
      <c r="AA12045">
        <v>1</v>
      </c>
      <c r="AB12045">
        <v>0</v>
      </c>
      <c r="AC12045">
        <v>0</v>
      </c>
      <c r="AD12045">
        <v>0</v>
      </c>
      <c r="AE12045">
        <v>0</v>
      </c>
      <c r="AF12045">
        <v>0</v>
      </c>
      <c r="AG12045">
        <v>0</v>
      </c>
      <c r="AH12045">
        <v>0</v>
      </c>
      <c r="AI12045">
        <v>0</v>
      </c>
      <c r="AJ12045">
        <v>0</v>
      </c>
      <c r="AK12045">
        <v>0</v>
      </c>
      <c r="AL12045">
        <v>0</v>
      </c>
      <c r="AM12045">
        <v>0</v>
      </c>
    </row>
    <row r="12046" spans="1:39" x14ac:dyDescent="0.2">
      <c r="A12046" t="str">
        <f>"12042"</f>
        <v>12042</v>
      </c>
      <c r="B12046" t="str">
        <f t="shared" si="669"/>
        <v>1</v>
      </c>
      <c r="C12046" t="str">
        <f t="shared" si="670"/>
        <v>241</v>
      </c>
      <c r="D12046" t="str">
        <f>"27"</f>
        <v>27</v>
      </c>
      <c r="E12046" t="str">
        <f>"1-241-27"</f>
        <v>1-241-27</v>
      </c>
      <c r="F12046" t="s">
        <v>65</v>
      </c>
      <c r="G12046" t="s">
        <v>66</v>
      </c>
      <c r="H12046" t="s">
        <v>67</v>
      </c>
      <c r="S12046">
        <v>0</v>
      </c>
      <c r="T12046">
        <v>1</v>
      </c>
      <c r="U12046">
        <v>0</v>
      </c>
      <c r="V12046">
        <v>0</v>
      </c>
      <c r="W12046">
        <v>1</v>
      </c>
      <c r="X12046">
        <v>0</v>
      </c>
      <c r="Y12046">
        <v>0</v>
      </c>
      <c r="Z12046">
        <v>1</v>
      </c>
      <c r="AA12046">
        <v>0</v>
      </c>
      <c r="AB12046">
        <v>1</v>
      </c>
      <c r="AC12046">
        <v>0</v>
      </c>
      <c r="AD12046">
        <v>1</v>
      </c>
      <c r="AE12046">
        <v>1</v>
      </c>
      <c r="AF12046">
        <v>1</v>
      </c>
      <c r="AG12046">
        <v>1</v>
      </c>
      <c r="AH12046">
        <v>1</v>
      </c>
      <c r="AI12046">
        <v>1</v>
      </c>
      <c r="AJ12046">
        <v>1</v>
      </c>
      <c r="AK12046">
        <v>1</v>
      </c>
      <c r="AL12046">
        <v>1</v>
      </c>
      <c r="AM12046">
        <v>1</v>
      </c>
    </row>
    <row r="12047" spans="1:39" x14ac:dyDescent="0.2">
      <c r="A12047" t="str">
        <f>"12043"</f>
        <v>12043</v>
      </c>
      <c r="B12047" t="str">
        <f t="shared" si="669"/>
        <v>1</v>
      </c>
      <c r="C12047" t="str">
        <f t="shared" si="670"/>
        <v>241</v>
      </c>
      <c r="D12047" t="str">
        <f>"10"</f>
        <v>10</v>
      </c>
      <c r="E12047" t="str">
        <f>"1-241-10"</f>
        <v>1-241-10</v>
      </c>
      <c r="F12047" t="s">
        <v>65</v>
      </c>
      <c r="G12047" t="s">
        <v>66</v>
      </c>
      <c r="H12047" t="s">
        <v>67</v>
      </c>
      <c r="S12047">
        <v>0</v>
      </c>
      <c r="T12047">
        <v>1</v>
      </c>
      <c r="U12047">
        <v>0</v>
      </c>
      <c r="V12047">
        <v>0</v>
      </c>
      <c r="W12047">
        <v>0</v>
      </c>
      <c r="X12047">
        <v>1</v>
      </c>
      <c r="Y12047">
        <v>0</v>
      </c>
      <c r="Z12047">
        <v>1</v>
      </c>
      <c r="AA12047">
        <v>0</v>
      </c>
      <c r="AB12047">
        <v>1</v>
      </c>
      <c r="AC12047">
        <v>0</v>
      </c>
      <c r="AD12047">
        <v>1</v>
      </c>
      <c r="AE12047">
        <v>1</v>
      </c>
      <c r="AF12047">
        <v>1</v>
      </c>
      <c r="AG12047">
        <v>1</v>
      </c>
      <c r="AH12047">
        <v>1</v>
      </c>
      <c r="AI12047">
        <v>1</v>
      </c>
      <c r="AJ12047">
        <v>1</v>
      </c>
      <c r="AK12047">
        <v>1</v>
      </c>
      <c r="AL12047">
        <v>1</v>
      </c>
      <c r="AM12047">
        <v>0</v>
      </c>
    </row>
    <row r="12048" spans="1:39" x14ac:dyDescent="0.2">
      <c r="A12048" t="str">
        <f>"12044"</f>
        <v>12044</v>
      </c>
      <c r="B12048" t="str">
        <f t="shared" si="669"/>
        <v>1</v>
      </c>
      <c r="C12048" t="str">
        <f t="shared" si="670"/>
        <v>241</v>
      </c>
      <c r="D12048" t="str">
        <f>"28"</f>
        <v>28</v>
      </c>
      <c r="E12048" t="str">
        <f>"1-241-28"</f>
        <v>1-241-28</v>
      </c>
      <c r="F12048" t="s">
        <v>65</v>
      </c>
      <c r="G12048" t="s">
        <v>66</v>
      </c>
      <c r="H12048" t="s">
        <v>67</v>
      </c>
      <c r="S12048">
        <v>0</v>
      </c>
      <c r="T12048">
        <v>1</v>
      </c>
      <c r="U12048">
        <v>0</v>
      </c>
      <c r="V12048">
        <v>0</v>
      </c>
      <c r="W12048">
        <v>0</v>
      </c>
      <c r="X12048">
        <v>0</v>
      </c>
      <c r="Y12048">
        <v>0</v>
      </c>
      <c r="Z12048">
        <v>1</v>
      </c>
      <c r="AA12048">
        <v>0</v>
      </c>
      <c r="AB12048">
        <v>0</v>
      </c>
      <c r="AC12048">
        <v>1</v>
      </c>
      <c r="AD12048">
        <v>0</v>
      </c>
      <c r="AE12048">
        <v>0</v>
      </c>
      <c r="AF12048">
        <v>0</v>
      </c>
      <c r="AG12048">
        <v>0</v>
      </c>
      <c r="AH12048">
        <v>0</v>
      </c>
      <c r="AI12048">
        <v>0</v>
      </c>
      <c r="AJ12048">
        <v>0</v>
      </c>
      <c r="AK12048">
        <v>0</v>
      </c>
      <c r="AL12048">
        <v>0</v>
      </c>
      <c r="AM12048">
        <v>0</v>
      </c>
    </row>
    <row r="12049" spans="1:39" x14ac:dyDescent="0.2">
      <c r="A12049" t="str">
        <f>"12045"</f>
        <v>12045</v>
      </c>
      <c r="B12049" t="str">
        <f t="shared" si="669"/>
        <v>1</v>
      </c>
      <c r="C12049" t="str">
        <f t="shared" si="670"/>
        <v>241</v>
      </c>
      <c r="D12049" t="str">
        <f>"4"</f>
        <v>4</v>
      </c>
      <c r="E12049" t="str">
        <f>"1-241-4"</f>
        <v>1-241-4</v>
      </c>
      <c r="F12049" t="s">
        <v>65</v>
      </c>
      <c r="G12049" t="s">
        <v>66</v>
      </c>
      <c r="H12049" t="s">
        <v>67</v>
      </c>
      <c r="S12049">
        <v>0</v>
      </c>
      <c r="T12049">
        <v>1</v>
      </c>
      <c r="U12049">
        <v>0</v>
      </c>
      <c r="V12049">
        <v>0</v>
      </c>
      <c r="W12049">
        <v>1</v>
      </c>
      <c r="X12049">
        <v>0</v>
      </c>
      <c r="Y12049">
        <v>1</v>
      </c>
      <c r="Z12049">
        <v>0</v>
      </c>
      <c r="AA12049">
        <v>0</v>
      </c>
      <c r="AB12049">
        <v>0</v>
      </c>
      <c r="AC12049">
        <v>1</v>
      </c>
      <c r="AD12049">
        <v>1</v>
      </c>
      <c r="AE12049">
        <v>1</v>
      </c>
      <c r="AF12049">
        <v>1</v>
      </c>
      <c r="AG12049">
        <v>1</v>
      </c>
      <c r="AH12049">
        <v>1</v>
      </c>
      <c r="AI12049">
        <v>1</v>
      </c>
      <c r="AJ12049">
        <v>1</v>
      </c>
      <c r="AK12049">
        <v>1</v>
      </c>
      <c r="AL12049">
        <v>1</v>
      </c>
      <c r="AM12049">
        <v>1</v>
      </c>
    </row>
    <row r="12050" spans="1:39" x14ac:dyDescent="0.2">
      <c r="A12050" t="str">
        <f>"12046"</f>
        <v>12046</v>
      </c>
      <c r="B12050" t="str">
        <f t="shared" si="669"/>
        <v>1</v>
      </c>
      <c r="C12050" t="str">
        <f t="shared" si="670"/>
        <v>241</v>
      </c>
      <c r="D12050" t="str">
        <f>"29"</f>
        <v>29</v>
      </c>
      <c r="E12050" t="str">
        <f>"1-241-29"</f>
        <v>1-241-29</v>
      </c>
      <c r="F12050" t="s">
        <v>65</v>
      </c>
      <c r="G12050" t="s">
        <v>66</v>
      </c>
      <c r="H12050" t="s">
        <v>67</v>
      </c>
      <c r="S12050">
        <v>0</v>
      </c>
      <c r="T12050">
        <v>1</v>
      </c>
      <c r="U12050">
        <v>0</v>
      </c>
      <c r="V12050">
        <v>0</v>
      </c>
      <c r="W12050">
        <v>0</v>
      </c>
      <c r="X12050">
        <v>1</v>
      </c>
      <c r="Y12050">
        <v>0</v>
      </c>
      <c r="Z12050">
        <v>0</v>
      </c>
      <c r="AA12050">
        <v>0</v>
      </c>
      <c r="AB12050">
        <v>0</v>
      </c>
      <c r="AC12050">
        <v>0</v>
      </c>
      <c r="AD12050">
        <v>0</v>
      </c>
      <c r="AE12050">
        <v>0</v>
      </c>
      <c r="AF12050">
        <v>0</v>
      </c>
      <c r="AG12050">
        <v>0</v>
      </c>
      <c r="AH12050">
        <v>0</v>
      </c>
      <c r="AI12050">
        <v>0</v>
      </c>
      <c r="AJ12050">
        <v>0</v>
      </c>
      <c r="AK12050">
        <v>0</v>
      </c>
      <c r="AL12050">
        <v>0</v>
      </c>
      <c r="AM12050">
        <v>0</v>
      </c>
    </row>
    <row r="12051" spans="1:39" x14ac:dyDescent="0.2">
      <c r="A12051" t="str">
        <f>"12047"</f>
        <v>12047</v>
      </c>
      <c r="B12051" t="str">
        <f t="shared" si="669"/>
        <v>1</v>
      </c>
      <c r="C12051" t="str">
        <f t="shared" si="670"/>
        <v>241</v>
      </c>
      <c r="D12051" t="str">
        <f>"3"</f>
        <v>3</v>
      </c>
      <c r="E12051" t="str">
        <f>"1-241-3"</f>
        <v>1-241-3</v>
      </c>
      <c r="F12051" t="s">
        <v>65</v>
      </c>
      <c r="G12051" t="s">
        <v>66</v>
      </c>
      <c r="H12051" t="s">
        <v>67</v>
      </c>
      <c r="S12051">
        <v>1</v>
      </c>
      <c r="T12051">
        <v>0</v>
      </c>
      <c r="U12051">
        <v>0</v>
      </c>
      <c r="V12051">
        <v>0</v>
      </c>
      <c r="W12051">
        <v>1</v>
      </c>
      <c r="X12051">
        <v>0</v>
      </c>
      <c r="Y12051">
        <v>1</v>
      </c>
      <c r="Z12051">
        <v>0</v>
      </c>
      <c r="AA12051">
        <v>1</v>
      </c>
      <c r="AB12051">
        <v>0</v>
      </c>
      <c r="AC12051">
        <v>0</v>
      </c>
      <c r="AD12051">
        <v>0</v>
      </c>
      <c r="AE12051">
        <v>0</v>
      </c>
      <c r="AF12051">
        <v>0</v>
      </c>
      <c r="AG12051">
        <v>0</v>
      </c>
      <c r="AH12051">
        <v>0</v>
      </c>
      <c r="AI12051">
        <v>0</v>
      </c>
      <c r="AJ12051">
        <v>0</v>
      </c>
      <c r="AK12051">
        <v>0</v>
      </c>
      <c r="AL12051">
        <v>0</v>
      </c>
      <c r="AM12051">
        <v>0</v>
      </c>
    </row>
    <row r="12052" spans="1:39" x14ac:dyDescent="0.2">
      <c r="A12052" t="str">
        <f>"12048"</f>
        <v>12048</v>
      </c>
      <c r="B12052" t="str">
        <f t="shared" si="669"/>
        <v>1</v>
      </c>
      <c r="C12052" t="str">
        <f t="shared" si="670"/>
        <v>241</v>
      </c>
      <c r="D12052" t="str">
        <f>"30"</f>
        <v>30</v>
      </c>
      <c r="E12052" t="str">
        <f>"1-241-30"</f>
        <v>1-241-30</v>
      </c>
      <c r="F12052" t="s">
        <v>65</v>
      </c>
      <c r="G12052" t="s">
        <v>66</v>
      </c>
      <c r="H12052" t="s">
        <v>67</v>
      </c>
      <c r="S12052">
        <v>0</v>
      </c>
      <c r="T12052">
        <v>1</v>
      </c>
      <c r="U12052">
        <v>0</v>
      </c>
      <c r="V12052">
        <v>0</v>
      </c>
      <c r="W12052">
        <v>0</v>
      </c>
      <c r="X12052">
        <v>1</v>
      </c>
      <c r="Y12052">
        <v>0</v>
      </c>
      <c r="Z12052">
        <v>1</v>
      </c>
      <c r="AA12052">
        <v>0</v>
      </c>
      <c r="AB12052">
        <v>0</v>
      </c>
      <c r="AC12052">
        <v>1</v>
      </c>
      <c r="AD12052">
        <v>0</v>
      </c>
      <c r="AE12052">
        <v>0</v>
      </c>
      <c r="AF12052">
        <v>0</v>
      </c>
      <c r="AG12052">
        <v>0</v>
      </c>
      <c r="AH12052">
        <v>0</v>
      </c>
      <c r="AI12052">
        <v>0</v>
      </c>
      <c r="AJ12052">
        <v>0</v>
      </c>
      <c r="AK12052">
        <v>0</v>
      </c>
      <c r="AL12052">
        <v>1</v>
      </c>
      <c r="AM12052">
        <v>1</v>
      </c>
    </row>
    <row r="12053" spans="1:39" x14ac:dyDescent="0.2">
      <c r="A12053" t="str">
        <f>"12049"</f>
        <v>12049</v>
      </c>
      <c r="B12053" t="str">
        <f t="shared" si="669"/>
        <v>1</v>
      </c>
      <c r="C12053" t="str">
        <f t="shared" si="670"/>
        <v>241</v>
      </c>
      <c r="D12053" t="str">
        <f>"5"</f>
        <v>5</v>
      </c>
      <c r="E12053" t="str">
        <f>"1-241-5"</f>
        <v>1-241-5</v>
      </c>
      <c r="F12053" t="s">
        <v>65</v>
      </c>
      <c r="G12053" t="s">
        <v>66</v>
      </c>
      <c r="H12053" t="s">
        <v>67</v>
      </c>
      <c r="S12053">
        <v>0</v>
      </c>
      <c r="T12053">
        <v>1</v>
      </c>
      <c r="U12053">
        <v>0</v>
      </c>
      <c r="V12053">
        <v>0</v>
      </c>
      <c r="W12053">
        <v>0</v>
      </c>
      <c r="X12053">
        <v>1</v>
      </c>
      <c r="Y12053">
        <v>0</v>
      </c>
      <c r="Z12053">
        <v>1</v>
      </c>
      <c r="AA12053">
        <v>0</v>
      </c>
      <c r="AB12053">
        <v>0</v>
      </c>
      <c r="AC12053">
        <v>0</v>
      </c>
      <c r="AD12053">
        <v>0</v>
      </c>
      <c r="AE12053">
        <v>0</v>
      </c>
      <c r="AF12053">
        <v>0</v>
      </c>
      <c r="AG12053">
        <v>1</v>
      </c>
      <c r="AH12053">
        <v>0</v>
      </c>
      <c r="AI12053">
        <v>0</v>
      </c>
      <c r="AJ12053">
        <v>0</v>
      </c>
      <c r="AK12053">
        <v>0</v>
      </c>
      <c r="AL12053">
        <v>0</v>
      </c>
      <c r="AM12053">
        <v>0</v>
      </c>
    </row>
    <row r="12054" spans="1:39" x14ac:dyDescent="0.2">
      <c r="A12054" t="str">
        <f>"12050"</f>
        <v>12050</v>
      </c>
      <c r="B12054" t="str">
        <f t="shared" si="669"/>
        <v>1</v>
      </c>
      <c r="C12054" t="str">
        <f t="shared" si="670"/>
        <v>241</v>
      </c>
      <c r="D12054" t="str">
        <f>"50"</f>
        <v>50</v>
      </c>
      <c r="E12054" t="str">
        <f>"1-241-50"</f>
        <v>1-241-50</v>
      </c>
      <c r="F12054" t="s">
        <v>65</v>
      </c>
      <c r="G12054" t="s">
        <v>66</v>
      </c>
      <c r="H12054" t="s">
        <v>67</v>
      </c>
      <c r="S12054">
        <v>1</v>
      </c>
      <c r="T12054">
        <v>0</v>
      </c>
      <c r="U12054">
        <v>0</v>
      </c>
      <c r="V12054">
        <v>0</v>
      </c>
      <c r="W12054">
        <v>1</v>
      </c>
      <c r="X12054">
        <v>0</v>
      </c>
      <c r="Y12054">
        <v>0</v>
      </c>
      <c r="Z12054">
        <v>1</v>
      </c>
      <c r="AA12054">
        <v>0</v>
      </c>
      <c r="AB12054">
        <v>0</v>
      </c>
      <c r="AC12054">
        <v>1</v>
      </c>
      <c r="AD12054">
        <v>1</v>
      </c>
      <c r="AE12054">
        <v>1</v>
      </c>
      <c r="AF12054">
        <v>1</v>
      </c>
      <c r="AG12054">
        <v>1</v>
      </c>
      <c r="AH12054">
        <v>1</v>
      </c>
      <c r="AI12054">
        <v>1</v>
      </c>
      <c r="AJ12054">
        <v>1</v>
      </c>
      <c r="AK12054">
        <v>1</v>
      </c>
      <c r="AL12054">
        <v>1</v>
      </c>
      <c r="AM12054">
        <v>1</v>
      </c>
    </row>
    <row r="12055" spans="1:39" x14ac:dyDescent="0.2">
      <c r="A12055" t="str">
        <f>"12051"</f>
        <v>12051</v>
      </c>
      <c r="B12055" t="str">
        <f t="shared" si="669"/>
        <v>1</v>
      </c>
      <c r="C12055" t="str">
        <f t="shared" ref="C12055:C12086" si="671">"242"</f>
        <v>242</v>
      </c>
      <c r="D12055" t="str">
        <f>"38"</f>
        <v>38</v>
      </c>
      <c r="E12055" t="str">
        <f>"1-242-38"</f>
        <v>1-242-38</v>
      </c>
      <c r="F12055" t="s">
        <v>65</v>
      </c>
      <c r="G12055" t="s">
        <v>66</v>
      </c>
      <c r="H12055" t="s">
        <v>67</v>
      </c>
      <c r="S12055">
        <v>1</v>
      </c>
      <c r="T12055">
        <v>0</v>
      </c>
      <c r="U12055">
        <v>0</v>
      </c>
      <c r="V12055">
        <v>0</v>
      </c>
      <c r="W12055">
        <v>1</v>
      </c>
      <c r="X12055">
        <v>0</v>
      </c>
      <c r="Y12055">
        <v>1</v>
      </c>
      <c r="Z12055">
        <v>0</v>
      </c>
      <c r="AA12055">
        <v>0</v>
      </c>
      <c r="AB12055">
        <v>1</v>
      </c>
      <c r="AC12055">
        <v>0</v>
      </c>
      <c r="AD12055">
        <v>1</v>
      </c>
      <c r="AE12055">
        <v>1</v>
      </c>
      <c r="AF12055">
        <v>1</v>
      </c>
      <c r="AG12055">
        <v>1</v>
      </c>
      <c r="AH12055">
        <v>1</v>
      </c>
      <c r="AI12055">
        <v>1</v>
      </c>
      <c r="AJ12055">
        <v>1</v>
      </c>
      <c r="AK12055">
        <v>1</v>
      </c>
      <c r="AL12055">
        <v>1</v>
      </c>
      <c r="AM12055">
        <v>1</v>
      </c>
    </row>
    <row r="12056" spans="1:39" x14ac:dyDescent="0.2">
      <c r="A12056" t="str">
        <f>"12052"</f>
        <v>12052</v>
      </c>
      <c r="B12056" t="str">
        <f t="shared" si="669"/>
        <v>1</v>
      </c>
      <c r="C12056" t="str">
        <f t="shared" si="671"/>
        <v>242</v>
      </c>
      <c r="D12056" t="str">
        <f>"37"</f>
        <v>37</v>
      </c>
      <c r="E12056" t="str">
        <f>"1-242-37"</f>
        <v>1-242-37</v>
      </c>
      <c r="F12056" t="s">
        <v>65</v>
      </c>
      <c r="G12056" t="s">
        <v>66</v>
      </c>
      <c r="H12056" t="s">
        <v>67</v>
      </c>
      <c r="S12056">
        <v>0</v>
      </c>
      <c r="T12056">
        <v>1</v>
      </c>
      <c r="U12056">
        <v>0</v>
      </c>
      <c r="V12056">
        <v>0</v>
      </c>
      <c r="W12056">
        <v>0</v>
      </c>
      <c r="X12056">
        <v>1</v>
      </c>
      <c r="Y12056">
        <v>0</v>
      </c>
      <c r="Z12056">
        <v>1</v>
      </c>
      <c r="AA12056">
        <v>0</v>
      </c>
      <c r="AB12056">
        <v>1</v>
      </c>
      <c r="AC12056">
        <v>0</v>
      </c>
      <c r="AD12056">
        <v>1</v>
      </c>
      <c r="AE12056">
        <v>1</v>
      </c>
      <c r="AF12056">
        <v>1</v>
      </c>
      <c r="AG12056">
        <v>1</v>
      </c>
      <c r="AH12056">
        <v>1</v>
      </c>
      <c r="AI12056">
        <v>1</v>
      </c>
      <c r="AJ12056">
        <v>1</v>
      </c>
      <c r="AK12056">
        <v>1</v>
      </c>
      <c r="AL12056">
        <v>1</v>
      </c>
      <c r="AM12056">
        <v>1</v>
      </c>
    </row>
    <row r="12057" spans="1:39" x14ac:dyDescent="0.2">
      <c r="A12057" t="str">
        <f>"12053"</f>
        <v>12053</v>
      </c>
      <c r="B12057" t="str">
        <f t="shared" si="669"/>
        <v>1</v>
      </c>
      <c r="C12057" t="str">
        <f t="shared" si="671"/>
        <v>242</v>
      </c>
      <c r="D12057" t="str">
        <f>"21"</f>
        <v>21</v>
      </c>
      <c r="E12057" t="str">
        <f>"1-242-21"</f>
        <v>1-242-21</v>
      </c>
      <c r="F12057" t="s">
        <v>65</v>
      </c>
      <c r="G12057" t="s">
        <v>66</v>
      </c>
      <c r="H12057" t="s">
        <v>67</v>
      </c>
      <c r="S12057">
        <v>1</v>
      </c>
      <c r="T12057">
        <v>0</v>
      </c>
      <c r="U12057">
        <v>0</v>
      </c>
      <c r="V12057">
        <v>0</v>
      </c>
      <c r="W12057">
        <v>1</v>
      </c>
      <c r="X12057">
        <v>0</v>
      </c>
      <c r="Y12057">
        <v>1</v>
      </c>
      <c r="Z12057">
        <v>0</v>
      </c>
      <c r="AA12057">
        <v>0</v>
      </c>
      <c r="AB12057">
        <v>1</v>
      </c>
      <c r="AC12057">
        <v>0</v>
      </c>
      <c r="AD12057">
        <v>0</v>
      </c>
      <c r="AE12057">
        <v>1</v>
      </c>
      <c r="AF12057">
        <v>1</v>
      </c>
      <c r="AG12057">
        <v>1</v>
      </c>
      <c r="AH12057">
        <v>0</v>
      </c>
      <c r="AI12057">
        <v>1</v>
      </c>
      <c r="AJ12057">
        <v>1</v>
      </c>
      <c r="AK12057">
        <v>1</v>
      </c>
      <c r="AL12057">
        <v>1</v>
      </c>
      <c r="AM12057">
        <v>1</v>
      </c>
    </row>
    <row r="12058" spans="1:39" x14ac:dyDescent="0.2">
      <c r="A12058" t="str">
        <f>"12054"</f>
        <v>12054</v>
      </c>
      <c r="B12058" t="str">
        <f t="shared" si="669"/>
        <v>1</v>
      </c>
      <c r="C12058" t="str">
        <f t="shared" si="671"/>
        <v>242</v>
      </c>
      <c r="D12058" t="str">
        <f>"20"</f>
        <v>20</v>
      </c>
      <c r="E12058" t="str">
        <f>"1-242-20"</f>
        <v>1-242-20</v>
      </c>
      <c r="F12058" t="s">
        <v>65</v>
      </c>
      <c r="G12058" t="s">
        <v>66</v>
      </c>
      <c r="H12058" t="s">
        <v>67</v>
      </c>
      <c r="S12058">
        <v>1</v>
      </c>
      <c r="T12058">
        <v>0</v>
      </c>
      <c r="U12058">
        <v>0</v>
      </c>
      <c r="V12058">
        <v>0</v>
      </c>
      <c r="W12058">
        <v>1</v>
      </c>
      <c r="X12058">
        <v>0</v>
      </c>
      <c r="Y12058">
        <v>1</v>
      </c>
      <c r="Z12058">
        <v>0</v>
      </c>
      <c r="AA12058">
        <v>1</v>
      </c>
      <c r="AB12058">
        <v>0</v>
      </c>
      <c r="AC12058">
        <v>0</v>
      </c>
      <c r="AD12058">
        <v>1</v>
      </c>
      <c r="AE12058">
        <v>0</v>
      </c>
      <c r="AF12058">
        <v>0</v>
      </c>
      <c r="AG12058">
        <v>0</v>
      </c>
      <c r="AH12058">
        <v>0</v>
      </c>
      <c r="AI12058">
        <v>1</v>
      </c>
      <c r="AJ12058">
        <v>1</v>
      </c>
      <c r="AK12058">
        <v>1</v>
      </c>
      <c r="AL12058">
        <v>1</v>
      </c>
      <c r="AM12058">
        <v>0</v>
      </c>
    </row>
    <row r="12059" spans="1:39" x14ac:dyDescent="0.2">
      <c r="A12059" t="str">
        <f>"12055"</f>
        <v>12055</v>
      </c>
      <c r="B12059" t="str">
        <f t="shared" si="669"/>
        <v>1</v>
      </c>
      <c r="C12059" t="str">
        <f t="shared" si="671"/>
        <v>242</v>
      </c>
      <c r="D12059" t="str">
        <f>"17"</f>
        <v>17</v>
      </c>
      <c r="E12059" t="str">
        <f>"1-242-17"</f>
        <v>1-242-17</v>
      </c>
      <c r="F12059" t="s">
        <v>65</v>
      </c>
      <c r="G12059" t="s">
        <v>66</v>
      </c>
      <c r="H12059" t="s">
        <v>67</v>
      </c>
      <c r="S12059">
        <v>1</v>
      </c>
      <c r="T12059">
        <v>0</v>
      </c>
      <c r="U12059">
        <v>0</v>
      </c>
      <c r="V12059">
        <v>0</v>
      </c>
      <c r="W12059">
        <v>1</v>
      </c>
      <c r="X12059">
        <v>0</v>
      </c>
      <c r="Y12059">
        <v>0</v>
      </c>
      <c r="Z12059">
        <v>1</v>
      </c>
      <c r="AA12059">
        <v>1</v>
      </c>
      <c r="AB12059">
        <v>0</v>
      </c>
      <c r="AC12059">
        <v>0</v>
      </c>
      <c r="AD12059">
        <v>0</v>
      </c>
      <c r="AE12059">
        <v>0</v>
      </c>
      <c r="AF12059">
        <v>0</v>
      </c>
      <c r="AG12059">
        <v>0</v>
      </c>
      <c r="AH12059">
        <v>1</v>
      </c>
      <c r="AI12059">
        <v>1</v>
      </c>
      <c r="AJ12059">
        <v>0</v>
      </c>
      <c r="AK12059">
        <v>0</v>
      </c>
      <c r="AL12059">
        <v>1</v>
      </c>
      <c r="AM12059">
        <v>0</v>
      </c>
    </row>
    <row r="12060" spans="1:39" x14ac:dyDescent="0.2">
      <c r="A12060" t="str">
        <f>"12056"</f>
        <v>12056</v>
      </c>
      <c r="B12060" t="str">
        <f t="shared" si="669"/>
        <v>1</v>
      </c>
      <c r="C12060" t="str">
        <f t="shared" si="671"/>
        <v>242</v>
      </c>
      <c r="D12060" t="str">
        <f>"15"</f>
        <v>15</v>
      </c>
      <c r="E12060" t="str">
        <f>"1-242-15"</f>
        <v>1-242-15</v>
      </c>
      <c r="F12060" t="s">
        <v>65</v>
      </c>
      <c r="G12060" t="s">
        <v>66</v>
      </c>
      <c r="H12060" t="s">
        <v>68</v>
      </c>
      <c r="I12060">
        <v>0</v>
      </c>
      <c r="J12060">
        <v>1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</row>
    <row r="12061" spans="1:39" x14ac:dyDescent="0.2">
      <c r="A12061" t="str">
        <f>"12057"</f>
        <v>12057</v>
      </c>
      <c r="B12061" t="str">
        <f t="shared" si="669"/>
        <v>1</v>
      </c>
      <c r="C12061" t="str">
        <f t="shared" si="671"/>
        <v>242</v>
      </c>
      <c r="D12061" t="str">
        <f>"1"</f>
        <v>1</v>
      </c>
      <c r="E12061" t="str">
        <f>"1-242-1"</f>
        <v>1-242-1</v>
      </c>
      <c r="F12061" t="s">
        <v>65</v>
      </c>
      <c r="G12061" t="s">
        <v>66</v>
      </c>
      <c r="H12061" t="s">
        <v>67</v>
      </c>
      <c r="S12061">
        <v>1</v>
      </c>
      <c r="T12061">
        <v>0</v>
      </c>
      <c r="U12061">
        <v>0</v>
      </c>
      <c r="V12061">
        <v>0</v>
      </c>
      <c r="W12061">
        <v>1</v>
      </c>
      <c r="X12061">
        <v>0</v>
      </c>
      <c r="Y12061">
        <v>1</v>
      </c>
      <c r="Z12061">
        <v>0</v>
      </c>
      <c r="AA12061">
        <v>1</v>
      </c>
      <c r="AB12061">
        <v>0</v>
      </c>
      <c r="AC12061">
        <v>0</v>
      </c>
      <c r="AD12061">
        <v>1</v>
      </c>
      <c r="AE12061">
        <v>1</v>
      </c>
      <c r="AF12061">
        <v>1</v>
      </c>
      <c r="AG12061">
        <v>1</v>
      </c>
      <c r="AH12061">
        <v>1</v>
      </c>
      <c r="AI12061">
        <v>1</v>
      </c>
      <c r="AJ12061">
        <v>1</v>
      </c>
      <c r="AK12061">
        <v>1</v>
      </c>
      <c r="AL12061">
        <v>1</v>
      </c>
      <c r="AM12061">
        <v>1</v>
      </c>
    </row>
    <row r="12062" spans="1:39" x14ac:dyDescent="0.2">
      <c r="A12062" t="str">
        <f>"12058"</f>
        <v>12058</v>
      </c>
      <c r="B12062" t="str">
        <f t="shared" si="669"/>
        <v>1</v>
      </c>
      <c r="C12062" t="str">
        <f t="shared" si="671"/>
        <v>242</v>
      </c>
      <c r="D12062" t="str">
        <f>"36"</f>
        <v>36</v>
      </c>
      <c r="E12062" t="str">
        <f>"1-242-36"</f>
        <v>1-242-36</v>
      </c>
      <c r="F12062" t="s">
        <v>65</v>
      </c>
      <c r="G12062" t="s">
        <v>66</v>
      </c>
      <c r="H12062" t="s">
        <v>67</v>
      </c>
      <c r="S12062">
        <v>1</v>
      </c>
      <c r="T12062">
        <v>0</v>
      </c>
      <c r="U12062">
        <v>0</v>
      </c>
      <c r="V12062">
        <v>0</v>
      </c>
      <c r="W12062">
        <v>0</v>
      </c>
      <c r="X12062">
        <v>1</v>
      </c>
      <c r="Y12062">
        <v>0</v>
      </c>
      <c r="Z12062">
        <v>1</v>
      </c>
      <c r="AA12062">
        <v>1</v>
      </c>
      <c r="AB12062">
        <v>0</v>
      </c>
      <c r="AC12062">
        <v>0</v>
      </c>
      <c r="AD12062">
        <v>1</v>
      </c>
      <c r="AE12062">
        <v>1</v>
      </c>
      <c r="AF12062">
        <v>1</v>
      </c>
      <c r="AG12062">
        <v>1</v>
      </c>
      <c r="AH12062">
        <v>1</v>
      </c>
      <c r="AI12062">
        <v>1</v>
      </c>
      <c r="AJ12062">
        <v>1</v>
      </c>
      <c r="AK12062">
        <v>1</v>
      </c>
      <c r="AL12062">
        <v>1</v>
      </c>
      <c r="AM12062">
        <v>1</v>
      </c>
    </row>
    <row r="12063" spans="1:39" x14ac:dyDescent="0.2">
      <c r="A12063" t="str">
        <f>"12059"</f>
        <v>12059</v>
      </c>
      <c r="B12063" t="str">
        <f t="shared" si="669"/>
        <v>1</v>
      </c>
      <c r="C12063" t="str">
        <f t="shared" si="671"/>
        <v>242</v>
      </c>
      <c r="D12063" t="str">
        <f>"35"</f>
        <v>35</v>
      </c>
      <c r="E12063" t="str">
        <f>"1-242-35"</f>
        <v>1-242-35</v>
      </c>
      <c r="F12063" t="s">
        <v>65</v>
      </c>
      <c r="G12063" t="s">
        <v>66</v>
      </c>
      <c r="H12063" t="s">
        <v>67</v>
      </c>
      <c r="S12063">
        <v>1</v>
      </c>
      <c r="T12063">
        <v>0</v>
      </c>
      <c r="U12063">
        <v>0</v>
      </c>
      <c r="V12063">
        <v>0</v>
      </c>
      <c r="W12063">
        <v>0</v>
      </c>
      <c r="X12063">
        <v>1</v>
      </c>
      <c r="Y12063">
        <v>1</v>
      </c>
      <c r="Z12063">
        <v>0</v>
      </c>
      <c r="AA12063">
        <v>0</v>
      </c>
      <c r="AB12063">
        <v>1</v>
      </c>
      <c r="AC12063">
        <v>0</v>
      </c>
      <c r="AD12063">
        <v>1</v>
      </c>
      <c r="AE12063">
        <v>1</v>
      </c>
      <c r="AF12063">
        <v>1</v>
      </c>
      <c r="AG12063">
        <v>1</v>
      </c>
      <c r="AH12063">
        <v>1</v>
      </c>
      <c r="AI12063">
        <v>1</v>
      </c>
      <c r="AJ12063">
        <v>1</v>
      </c>
      <c r="AK12063">
        <v>1</v>
      </c>
      <c r="AL12063">
        <v>1</v>
      </c>
      <c r="AM12063">
        <v>1</v>
      </c>
    </row>
    <row r="12064" spans="1:39" x14ac:dyDescent="0.2">
      <c r="A12064" t="str">
        <f>"12060"</f>
        <v>12060</v>
      </c>
      <c r="B12064" t="str">
        <f t="shared" si="669"/>
        <v>1</v>
      </c>
      <c r="C12064" t="str">
        <f t="shared" si="671"/>
        <v>242</v>
      </c>
      <c r="D12064" t="str">
        <f>"24"</f>
        <v>24</v>
      </c>
      <c r="E12064" t="str">
        <f>"1-242-24"</f>
        <v>1-242-24</v>
      </c>
      <c r="F12064" t="s">
        <v>65</v>
      </c>
      <c r="G12064" t="s">
        <v>66</v>
      </c>
      <c r="H12064" t="s">
        <v>67</v>
      </c>
      <c r="S12064">
        <v>0</v>
      </c>
      <c r="T12064">
        <v>1</v>
      </c>
      <c r="U12064">
        <v>0</v>
      </c>
      <c r="V12064">
        <v>0</v>
      </c>
      <c r="W12064">
        <v>0</v>
      </c>
      <c r="X12064">
        <v>1</v>
      </c>
      <c r="Y12064">
        <v>0</v>
      </c>
      <c r="Z12064">
        <v>0</v>
      </c>
      <c r="AA12064">
        <v>0</v>
      </c>
      <c r="AB12064">
        <v>0</v>
      </c>
      <c r="AC12064">
        <v>1</v>
      </c>
      <c r="AD12064">
        <v>0</v>
      </c>
      <c r="AE12064">
        <v>0</v>
      </c>
      <c r="AF12064">
        <v>0</v>
      </c>
      <c r="AG12064">
        <v>0</v>
      </c>
      <c r="AH12064">
        <v>0</v>
      </c>
      <c r="AI12064">
        <v>0</v>
      </c>
      <c r="AJ12064">
        <v>0</v>
      </c>
      <c r="AK12064">
        <v>0</v>
      </c>
      <c r="AL12064">
        <v>0</v>
      </c>
      <c r="AM12064">
        <v>0</v>
      </c>
    </row>
    <row r="12065" spans="1:39" x14ac:dyDescent="0.2">
      <c r="A12065" t="str">
        <f>"12061"</f>
        <v>12061</v>
      </c>
      <c r="B12065" t="str">
        <f t="shared" si="669"/>
        <v>1</v>
      </c>
      <c r="C12065" t="str">
        <f t="shared" si="671"/>
        <v>242</v>
      </c>
      <c r="D12065" t="str">
        <f>"16"</f>
        <v>16</v>
      </c>
      <c r="E12065" t="str">
        <f>"1-242-16"</f>
        <v>1-242-16</v>
      </c>
      <c r="F12065" t="s">
        <v>65</v>
      </c>
      <c r="G12065" t="s">
        <v>66</v>
      </c>
      <c r="H12065" t="s">
        <v>67</v>
      </c>
      <c r="S12065">
        <v>0</v>
      </c>
      <c r="T12065">
        <v>1</v>
      </c>
      <c r="U12065">
        <v>0</v>
      </c>
      <c r="V12065">
        <v>0</v>
      </c>
      <c r="W12065">
        <v>0</v>
      </c>
      <c r="X12065">
        <v>1</v>
      </c>
      <c r="Y12065">
        <v>0</v>
      </c>
      <c r="Z12065">
        <v>1</v>
      </c>
      <c r="AA12065">
        <v>1</v>
      </c>
      <c r="AB12065">
        <v>0</v>
      </c>
      <c r="AC12065">
        <v>0</v>
      </c>
      <c r="AD12065">
        <v>0</v>
      </c>
      <c r="AE12065">
        <v>0</v>
      </c>
      <c r="AF12065">
        <v>0</v>
      </c>
      <c r="AG12065">
        <v>0</v>
      </c>
      <c r="AH12065">
        <v>0</v>
      </c>
      <c r="AI12065">
        <v>0</v>
      </c>
      <c r="AJ12065">
        <v>1</v>
      </c>
      <c r="AK12065">
        <v>0</v>
      </c>
      <c r="AL12065">
        <v>1</v>
      </c>
      <c r="AM12065">
        <v>0</v>
      </c>
    </row>
    <row r="12066" spans="1:39" x14ac:dyDescent="0.2">
      <c r="A12066" t="str">
        <f>"12062"</f>
        <v>12062</v>
      </c>
      <c r="B12066" t="str">
        <f t="shared" si="669"/>
        <v>1</v>
      </c>
      <c r="C12066" t="str">
        <f t="shared" si="671"/>
        <v>242</v>
      </c>
      <c r="D12066" t="str">
        <f>"9"</f>
        <v>9</v>
      </c>
      <c r="E12066" t="str">
        <f>"1-242-9"</f>
        <v>1-242-9</v>
      </c>
      <c r="F12066" t="s">
        <v>65</v>
      </c>
      <c r="G12066" t="s">
        <v>66</v>
      </c>
      <c r="H12066" t="s">
        <v>67</v>
      </c>
      <c r="S12066">
        <v>0</v>
      </c>
      <c r="T12066">
        <v>1</v>
      </c>
      <c r="U12066">
        <v>0</v>
      </c>
      <c r="V12066">
        <v>0</v>
      </c>
      <c r="W12066">
        <v>0</v>
      </c>
      <c r="X12066">
        <v>1</v>
      </c>
      <c r="Y12066">
        <v>0</v>
      </c>
      <c r="Z12066">
        <v>1</v>
      </c>
      <c r="AA12066">
        <v>0</v>
      </c>
      <c r="AB12066">
        <v>0</v>
      </c>
      <c r="AC12066">
        <v>1</v>
      </c>
      <c r="AD12066">
        <v>0</v>
      </c>
      <c r="AE12066">
        <v>0</v>
      </c>
      <c r="AF12066">
        <v>0</v>
      </c>
      <c r="AG12066">
        <v>0</v>
      </c>
      <c r="AH12066">
        <v>0</v>
      </c>
      <c r="AI12066">
        <v>0</v>
      </c>
      <c r="AJ12066">
        <v>0</v>
      </c>
      <c r="AK12066">
        <v>0</v>
      </c>
      <c r="AL12066">
        <v>0</v>
      </c>
      <c r="AM12066">
        <v>0</v>
      </c>
    </row>
    <row r="12067" spans="1:39" x14ac:dyDescent="0.2">
      <c r="A12067" t="str">
        <f>"12063"</f>
        <v>12063</v>
      </c>
      <c r="B12067" t="str">
        <f t="shared" si="669"/>
        <v>1</v>
      </c>
      <c r="C12067" t="str">
        <f t="shared" si="671"/>
        <v>242</v>
      </c>
      <c r="D12067" t="str">
        <f>"40"</f>
        <v>40</v>
      </c>
      <c r="E12067" t="str">
        <f>"1-242-40"</f>
        <v>1-242-40</v>
      </c>
      <c r="F12067" t="s">
        <v>65</v>
      </c>
      <c r="G12067" t="s">
        <v>66</v>
      </c>
      <c r="H12067" t="s">
        <v>67</v>
      </c>
      <c r="S12067">
        <v>1</v>
      </c>
      <c r="T12067">
        <v>0</v>
      </c>
      <c r="U12067">
        <v>0</v>
      </c>
      <c r="V12067">
        <v>0</v>
      </c>
      <c r="W12067">
        <v>1</v>
      </c>
      <c r="X12067">
        <v>0</v>
      </c>
      <c r="Y12067">
        <v>1</v>
      </c>
      <c r="Z12067">
        <v>0</v>
      </c>
      <c r="AA12067">
        <v>0</v>
      </c>
      <c r="AB12067">
        <v>1</v>
      </c>
      <c r="AC12067">
        <v>0</v>
      </c>
      <c r="AD12067">
        <v>0</v>
      </c>
      <c r="AE12067">
        <v>0</v>
      </c>
      <c r="AF12067">
        <v>0</v>
      </c>
      <c r="AG12067">
        <v>0</v>
      </c>
      <c r="AH12067">
        <v>0</v>
      </c>
      <c r="AI12067">
        <v>0</v>
      </c>
      <c r="AJ12067">
        <v>0</v>
      </c>
      <c r="AK12067">
        <v>0</v>
      </c>
      <c r="AL12067">
        <v>0</v>
      </c>
      <c r="AM12067">
        <v>0</v>
      </c>
    </row>
    <row r="12068" spans="1:39" x14ac:dyDescent="0.2">
      <c r="A12068" t="str">
        <f>"12064"</f>
        <v>12064</v>
      </c>
      <c r="B12068" t="str">
        <f t="shared" si="669"/>
        <v>1</v>
      </c>
      <c r="C12068" t="str">
        <f t="shared" si="671"/>
        <v>242</v>
      </c>
      <c r="D12068" t="str">
        <f>"39"</f>
        <v>39</v>
      </c>
      <c r="E12068" t="str">
        <f>"1-242-39"</f>
        <v>1-242-39</v>
      </c>
      <c r="F12068" t="s">
        <v>65</v>
      </c>
      <c r="G12068" t="s">
        <v>66</v>
      </c>
      <c r="H12068" t="s">
        <v>67</v>
      </c>
      <c r="S12068">
        <v>1</v>
      </c>
      <c r="T12068">
        <v>0</v>
      </c>
      <c r="U12068">
        <v>0</v>
      </c>
      <c r="V12068">
        <v>0</v>
      </c>
      <c r="W12068">
        <v>1</v>
      </c>
      <c r="X12068">
        <v>0</v>
      </c>
      <c r="Y12068">
        <v>1</v>
      </c>
      <c r="Z12068">
        <v>0</v>
      </c>
      <c r="AA12068">
        <v>1</v>
      </c>
      <c r="AB12068">
        <v>0</v>
      </c>
      <c r="AC12068">
        <v>0</v>
      </c>
      <c r="AD12068">
        <v>1</v>
      </c>
      <c r="AE12068">
        <v>1</v>
      </c>
      <c r="AF12068">
        <v>1</v>
      </c>
      <c r="AG12068">
        <v>1</v>
      </c>
      <c r="AH12068">
        <v>1</v>
      </c>
      <c r="AI12068">
        <v>1</v>
      </c>
      <c r="AJ12068">
        <v>1</v>
      </c>
      <c r="AK12068">
        <v>1</v>
      </c>
      <c r="AL12068">
        <v>1</v>
      </c>
      <c r="AM12068">
        <v>1</v>
      </c>
    </row>
    <row r="12069" spans="1:39" x14ac:dyDescent="0.2">
      <c r="A12069" t="str">
        <f>"12065"</f>
        <v>12065</v>
      </c>
      <c r="B12069" t="str">
        <f t="shared" si="669"/>
        <v>1</v>
      </c>
      <c r="C12069" t="str">
        <f t="shared" si="671"/>
        <v>242</v>
      </c>
      <c r="D12069" t="str">
        <f>"33"</f>
        <v>33</v>
      </c>
      <c r="E12069" t="str">
        <f>"1-242-33"</f>
        <v>1-242-33</v>
      </c>
      <c r="F12069" t="s">
        <v>65</v>
      </c>
      <c r="G12069" t="s">
        <v>66</v>
      </c>
      <c r="H12069" t="s">
        <v>67</v>
      </c>
      <c r="S12069">
        <v>0</v>
      </c>
      <c r="T12069">
        <v>0</v>
      </c>
      <c r="U12069">
        <v>0</v>
      </c>
      <c r="V12069">
        <v>0</v>
      </c>
      <c r="W12069">
        <v>0</v>
      </c>
      <c r="X12069">
        <v>1</v>
      </c>
      <c r="Y12069">
        <v>0</v>
      </c>
      <c r="Z12069">
        <v>0</v>
      </c>
      <c r="AA12069">
        <v>0</v>
      </c>
      <c r="AB12069">
        <v>0</v>
      </c>
      <c r="AC12069">
        <v>0</v>
      </c>
      <c r="AD12069">
        <v>0</v>
      </c>
      <c r="AE12069">
        <v>0</v>
      </c>
      <c r="AF12069">
        <v>0</v>
      </c>
      <c r="AG12069">
        <v>0</v>
      </c>
      <c r="AH12069">
        <v>0</v>
      </c>
      <c r="AI12069">
        <v>0</v>
      </c>
      <c r="AJ12069">
        <v>0</v>
      </c>
      <c r="AK12069">
        <v>0</v>
      </c>
      <c r="AL12069">
        <v>0</v>
      </c>
      <c r="AM12069">
        <v>0</v>
      </c>
    </row>
    <row r="12070" spans="1:39" x14ac:dyDescent="0.2">
      <c r="A12070" t="str">
        <f>"12066"</f>
        <v>12066</v>
      </c>
      <c r="B12070" t="str">
        <f t="shared" si="669"/>
        <v>1</v>
      </c>
      <c r="C12070" t="str">
        <f t="shared" si="671"/>
        <v>242</v>
      </c>
      <c r="D12070" t="str">
        <f>"18"</f>
        <v>18</v>
      </c>
      <c r="E12070" t="str">
        <f>"1-242-18"</f>
        <v>1-242-18</v>
      </c>
      <c r="F12070" t="s">
        <v>65</v>
      </c>
      <c r="G12070" t="s">
        <v>66</v>
      </c>
      <c r="H12070" t="s">
        <v>67</v>
      </c>
      <c r="S12070">
        <v>1</v>
      </c>
      <c r="T12070">
        <v>0</v>
      </c>
      <c r="U12070">
        <v>0</v>
      </c>
      <c r="V12070">
        <v>0</v>
      </c>
      <c r="W12070">
        <v>1</v>
      </c>
      <c r="X12070">
        <v>0</v>
      </c>
      <c r="Y12070">
        <v>1</v>
      </c>
      <c r="Z12070">
        <v>0</v>
      </c>
      <c r="AA12070">
        <v>1</v>
      </c>
      <c r="AB12070">
        <v>0</v>
      </c>
      <c r="AC12070">
        <v>0</v>
      </c>
      <c r="AD12070">
        <v>0</v>
      </c>
      <c r="AE12070">
        <v>0</v>
      </c>
      <c r="AF12070">
        <v>0</v>
      </c>
      <c r="AG12070">
        <v>0</v>
      </c>
      <c r="AH12070">
        <v>0</v>
      </c>
      <c r="AI12070">
        <v>0</v>
      </c>
      <c r="AJ12070">
        <v>0</v>
      </c>
      <c r="AK12070">
        <v>0</v>
      </c>
      <c r="AL12070">
        <v>0</v>
      </c>
      <c r="AM12070">
        <v>0</v>
      </c>
    </row>
    <row r="12071" spans="1:39" x14ac:dyDescent="0.2">
      <c r="A12071" t="str">
        <f>"12067"</f>
        <v>12067</v>
      </c>
      <c r="B12071" t="str">
        <f t="shared" si="669"/>
        <v>1</v>
      </c>
      <c r="C12071" t="str">
        <f t="shared" si="671"/>
        <v>242</v>
      </c>
      <c r="D12071" t="str">
        <f>"6"</f>
        <v>6</v>
      </c>
      <c r="E12071" t="str">
        <f>"1-242-6"</f>
        <v>1-242-6</v>
      </c>
      <c r="F12071" t="s">
        <v>65</v>
      </c>
      <c r="G12071" t="s">
        <v>66</v>
      </c>
      <c r="H12071" t="s">
        <v>67</v>
      </c>
      <c r="S12071">
        <v>1</v>
      </c>
      <c r="T12071">
        <v>0</v>
      </c>
      <c r="U12071">
        <v>0</v>
      </c>
      <c r="V12071">
        <v>0</v>
      </c>
      <c r="W12071">
        <v>1</v>
      </c>
      <c r="X12071">
        <v>0</v>
      </c>
      <c r="Y12071">
        <v>1</v>
      </c>
      <c r="Z12071">
        <v>0</v>
      </c>
      <c r="AA12071">
        <v>1</v>
      </c>
      <c r="AB12071">
        <v>0</v>
      </c>
      <c r="AC12071">
        <v>0</v>
      </c>
      <c r="AD12071">
        <v>1</v>
      </c>
      <c r="AE12071">
        <v>1</v>
      </c>
      <c r="AF12071">
        <v>1</v>
      </c>
      <c r="AG12071">
        <v>1</v>
      </c>
      <c r="AH12071">
        <v>1</v>
      </c>
      <c r="AI12071">
        <v>1</v>
      </c>
      <c r="AJ12071">
        <v>1</v>
      </c>
      <c r="AK12071">
        <v>1</v>
      </c>
      <c r="AL12071">
        <v>1</v>
      </c>
      <c r="AM12071">
        <v>1</v>
      </c>
    </row>
    <row r="12072" spans="1:39" x14ac:dyDescent="0.2">
      <c r="A12072" t="str">
        <f>"12068"</f>
        <v>12068</v>
      </c>
      <c r="B12072" t="str">
        <f t="shared" si="669"/>
        <v>1</v>
      </c>
      <c r="C12072" t="str">
        <f t="shared" si="671"/>
        <v>242</v>
      </c>
      <c r="D12072" t="str">
        <f>"42"</f>
        <v>42</v>
      </c>
      <c r="E12072" t="str">
        <f>"1-242-42"</f>
        <v>1-242-42</v>
      </c>
      <c r="F12072" t="s">
        <v>65</v>
      </c>
      <c r="G12072" t="s">
        <v>66</v>
      </c>
      <c r="H12072" t="s">
        <v>67</v>
      </c>
      <c r="S12072">
        <v>1</v>
      </c>
      <c r="T12072">
        <v>0</v>
      </c>
      <c r="U12072">
        <v>0</v>
      </c>
      <c r="V12072">
        <v>0</v>
      </c>
      <c r="W12072">
        <v>1</v>
      </c>
      <c r="X12072">
        <v>0</v>
      </c>
      <c r="Y12072">
        <v>1</v>
      </c>
      <c r="Z12072">
        <v>0</v>
      </c>
      <c r="AA12072">
        <v>1</v>
      </c>
      <c r="AB12072">
        <v>0</v>
      </c>
      <c r="AC12072">
        <v>0</v>
      </c>
      <c r="AD12072">
        <v>1</v>
      </c>
      <c r="AE12072">
        <v>1</v>
      </c>
      <c r="AF12072">
        <v>1</v>
      </c>
      <c r="AG12072">
        <v>1</v>
      </c>
      <c r="AH12072">
        <v>1</v>
      </c>
      <c r="AI12072">
        <v>1</v>
      </c>
      <c r="AJ12072">
        <v>1</v>
      </c>
      <c r="AK12072">
        <v>1</v>
      </c>
      <c r="AL12072">
        <v>1</v>
      </c>
      <c r="AM12072">
        <v>1</v>
      </c>
    </row>
    <row r="12073" spans="1:39" x14ac:dyDescent="0.2">
      <c r="A12073" t="str">
        <f>"12069"</f>
        <v>12069</v>
      </c>
      <c r="B12073" t="str">
        <f t="shared" si="669"/>
        <v>1</v>
      </c>
      <c r="C12073" t="str">
        <f t="shared" si="671"/>
        <v>242</v>
      </c>
      <c r="D12073" t="str">
        <f>"41"</f>
        <v>41</v>
      </c>
      <c r="E12073" t="str">
        <f>"1-242-41"</f>
        <v>1-242-41</v>
      </c>
      <c r="F12073" t="s">
        <v>65</v>
      </c>
      <c r="G12073" t="s">
        <v>66</v>
      </c>
      <c r="H12073" t="s">
        <v>67</v>
      </c>
      <c r="S12073">
        <v>1</v>
      </c>
      <c r="T12073">
        <v>0</v>
      </c>
      <c r="U12073">
        <v>0</v>
      </c>
      <c r="V12073">
        <v>0</v>
      </c>
      <c r="W12073">
        <v>0</v>
      </c>
      <c r="X12073">
        <v>1</v>
      </c>
      <c r="Y12073">
        <v>0</v>
      </c>
      <c r="Z12073">
        <v>1</v>
      </c>
      <c r="AA12073">
        <v>0</v>
      </c>
      <c r="AB12073">
        <v>0</v>
      </c>
      <c r="AC12073">
        <v>1</v>
      </c>
      <c r="AD12073">
        <v>0</v>
      </c>
      <c r="AE12073">
        <v>0</v>
      </c>
      <c r="AF12073">
        <v>0</v>
      </c>
      <c r="AG12073">
        <v>0</v>
      </c>
      <c r="AH12073">
        <v>0</v>
      </c>
      <c r="AI12073">
        <v>0</v>
      </c>
      <c r="AJ12073">
        <v>0</v>
      </c>
      <c r="AK12073">
        <v>0</v>
      </c>
      <c r="AL12073">
        <v>0</v>
      </c>
      <c r="AM12073">
        <v>0</v>
      </c>
    </row>
    <row r="12074" spans="1:39" x14ac:dyDescent="0.2">
      <c r="A12074" t="str">
        <f>"12070"</f>
        <v>12070</v>
      </c>
      <c r="B12074" t="str">
        <f t="shared" si="669"/>
        <v>1</v>
      </c>
      <c r="C12074" t="str">
        <f t="shared" si="671"/>
        <v>242</v>
      </c>
      <c r="D12074" t="str">
        <f>"34"</f>
        <v>34</v>
      </c>
      <c r="E12074" t="str">
        <f>"1-242-34"</f>
        <v>1-242-34</v>
      </c>
      <c r="F12074" t="s">
        <v>65</v>
      </c>
      <c r="G12074" t="s">
        <v>66</v>
      </c>
      <c r="H12074" t="s">
        <v>67</v>
      </c>
      <c r="S12074">
        <v>1</v>
      </c>
      <c r="T12074">
        <v>0</v>
      </c>
      <c r="U12074">
        <v>0</v>
      </c>
      <c r="V12074">
        <v>0</v>
      </c>
      <c r="W12074">
        <v>1</v>
      </c>
      <c r="X12074">
        <v>0</v>
      </c>
      <c r="Y12074">
        <v>0</v>
      </c>
      <c r="Z12074">
        <v>1</v>
      </c>
      <c r="AA12074">
        <v>1</v>
      </c>
      <c r="AB12074">
        <v>0</v>
      </c>
      <c r="AC12074">
        <v>0</v>
      </c>
      <c r="AD12074">
        <v>1</v>
      </c>
      <c r="AE12074">
        <v>1</v>
      </c>
      <c r="AF12074">
        <v>1</v>
      </c>
      <c r="AG12074">
        <v>1</v>
      </c>
      <c r="AH12074">
        <v>1</v>
      </c>
      <c r="AI12074">
        <v>1</v>
      </c>
      <c r="AJ12074">
        <v>1</v>
      </c>
      <c r="AK12074">
        <v>1</v>
      </c>
      <c r="AL12074">
        <v>1</v>
      </c>
      <c r="AM12074">
        <v>1</v>
      </c>
    </row>
    <row r="12075" spans="1:39" x14ac:dyDescent="0.2">
      <c r="A12075" t="str">
        <f>"12071"</f>
        <v>12071</v>
      </c>
      <c r="B12075" t="str">
        <f t="shared" si="669"/>
        <v>1</v>
      </c>
      <c r="C12075" t="str">
        <f t="shared" si="671"/>
        <v>242</v>
      </c>
      <c r="D12075" t="str">
        <f>"19"</f>
        <v>19</v>
      </c>
      <c r="E12075" t="str">
        <f>"1-242-19"</f>
        <v>1-242-19</v>
      </c>
      <c r="F12075" t="s">
        <v>65</v>
      </c>
      <c r="G12075" t="s">
        <v>66</v>
      </c>
      <c r="H12075" t="s">
        <v>67</v>
      </c>
      <c r="S12075">
        <v>0</v>
      </c>
      <c r="T12075">
        <v>0</v>
      </c>
      <c r="U12075">
        <v>0</v>
      </c>
      <c r="V12075">
        <v>0</v>
      </c>
      <c r="W12075">
        <v>0</v>
      </c>
      <c r="X12075">
        <v>1</v>
      </c>
      <c r="Y12075">
        <v>0</v>
      </c>
      <c r="Z12075">
        <v>0</v>
      </c>
      <c r="AA12075">
        <v>0</v>
      </c>
      <c r="AB12075">
        <v>0</v>
      </c>
      <c r="AC12075">
        <v>0</v>
      </c>
      <c r="AD12075">
        <v>0</v>
      </c>
      <c r="AE12075">
        <v>0</v>
      </c>
      <c r="AF12075">
        <v>0</v>
      </c>
      <c r="AG12075">
        <v>0</v>
      </c>
      <c r="AH12075">
        <v>0</v>
      </c>
      <c r="AI12075">
        <v>0</v>
      </c>
      <c r="AJ12075">
        <v>0</v>
      </c>
      <c r="AK12075">
        <v>0</v>
      </c>
      <c r="AL12075">
        <v>0</v>
      </c>
      <c r="AM12075">
        <v>0</v>
      </c>
    </row>
    <row r="12076" spans="1:39" x14ac:dyDescent="0.2">
      <c r="A12076" t="str">
        <f>"12072"</f>
        <v>12072</v>
      </c>
      <c r="B12076" t="str">
        <f t="shared" si="669"/>
        <v>1</v>
      </c>
      <c r="C12076" t="str">
        <f t="shared" si="671"/>
        <v>242</v>
      </c>
      <c r="D12076" t="str">
        <f>"5"</f>
        <v>5</v>
      </c>
      <c r="E12076" t="str">
        <f>"1-242-5"</f>
        <v>1-242-5</v>
      </c>
      <c r="F12076" t="s">
        <v>65</v>
      </c>
      <c r="G12076" t="s">
        <v>66</v>
      </c>
      <c r="H12076" t="s">
        <v>67</v>
      </c>
      <c r="S12076">
        <v>0</v>
      </c>
      <c r="T12076">
        <v>1</v>
      </c>
      <c r="U12076">
        <v>0</v>
      </c>
      <c r="V12076">
        <v>0</v>
      </c>
      <c r="W12076">
        <v>0</v>
      </c>
      <c r="X12076">
        <v>0</v>
      </c>
      <c r="Y12076">
        <v>0</v>
      </c>
      <c r="Z12076">
        <v>1</v>
      </c>
      <c r="AA12076">
        <v>0</v>
      </c>
      <c r="AB12076">
        <v>0</v>
      </c>
      <c r="AC12076">
        <v>1</v>
      </c>
      <c r="AD12076">
        <v>0</v>
      </c>
      <c r="AE12076">
        <v>0</v>
      </c>
      <c r="AF12076">
        <v>0</v>
      </c>
      <c r="AG12076">
        <v>0</v>
      </c>
      <c r="AH12076">
        <v>0</v>
      </c>
      <c r="AI12076">
        <v>0</v>
      </c>
      <c r="AJ12076">
        <v>0</v>
      </c>
      <c r="AK12076">
        <v>0</v>
      </c>
      <c r="AL12076">
        <v>1</v>
      </c>
      <c r="AM12076">
        <v>0</v>
      </c>
    </row>
    <row r="12077" spans="1:39" x14ac:dyDescent="0.2">
      <c r="A12077" t="str">
        <f>"12073"</f>
        <v>12073</v>
      </c>
      <c r="B12077" t="str">
        <f t="shared" si="669"/>
        <v>1</v>
      </c>
      <c r="C12077" t="str">
        <f t="shared" si="671"/>
        <v>242</v>
      </c>
      <c r="D12077" t="str">
        <f>"43"</f>
        <v>43</v>
      </c>
      <c r="E12077" t="str">
        <f>"1-242-43"</f>
        <v>1-242-43</v>
      </c>
      <c r="F12077" t="s">
        <v>65</v>
      </c>
      <c r="G12077" t="s">
        <v>66</v>
      </c>
      <c r="H12077" t="s">
        <v>67</v>
      </c>
      <c r="S12077">
        <v>1</v>
      </c>
      <c r="T12077">
        <v>0</v>
      </c>
      <c r="U12077">
        <v>0</v>
      </c>
      <c r="V12077">
        <v>0</v>
      </c>
      <c r="W12077">
        <v>1</v>
      </c>
      <c r="X12077">
        <v>0</v>
      </c>
      <c r="Y12077">
        <v>0</v>
      </c>
      <c r="Z12077">
        <v>1</v>
      </c>
      <c r="AA12077">
        <v>0</v>
      </c>
      <c r="AB12077">
        <v>0</v>
      </c>
      <c r="AC12077">
        <v>1</v>
      </c>
      <c r="AD12077">
        <v>1</v>
      </c>
      <c r="AE12077">
        <v>1</v>
      </c>
      <c r="AF12077">
        <v>1</v>
      </c>
      <c r="AG12077">
        <v>1</v>
      </c>
      <c r="AH12077">
        <v>1</v>
      </c>
      <c r="AI12077">
        <v>1</v>
      </c>
      <c r="AJ12077">
        <v>1</v>
      </c>
      <c r="AK12077">
        <v>0</v>
      </c>
      <c r="AL12077">
        <v>1</v>
      </c>
      <c r="AM12077">
        <v>1</v>
      </c>
    </row>
    <row r="12078" spans="1:39" x14ac:dyDescent="0.2">
      <c r="A12078" t="str">
        <f>"12074"</f>
        <v>12074</v>
      </c>
      <c r="B12078" t="str">
        <f t="shared" si="669"/>
        <v>1</v>
      </c>
      <c r="C12078" t="str">
        <f t="shared" si="671"/>
        <v>242</v>
      </c>
      <c r="D12078" t="str">
        <f>"22"</f>
        <v>22</v>
      </c>
      <c r="E12078" t="str">
        <f>"1-242-22"</f>
        <v>1-242-22</v>
      </c>
      <c r="F12078" t="s">
        <v>65</v>
      </c>
      <c r="G12078" t="s">
        <v>66</v>
      </c>
      <c r="H12078" t="s">
        <v>67</v>
      </c>
      <c r="S12078">
        <v>1</v>
      </c>
      <c r="T12078">
        <v>0</v>
      </c>
      <c r="U12078">
        <v>0</v>
      </c>
      <c r="V12078">
        <v>0</v>
      </c>
      <c r="W12078">
        <v>1</v>
      </c>
      <c r="X12078">
        <v>0</v>
      </c>
      <c r="Y12078">
        <v>1</v>
      </c>
      <c r="Z12078">
        <v>0</v>
      </c>
      <c r="AA12078">
        <v>1</v>
      </c>
      <c r="AB12078">
        <v>0</v>
      </c>
      <c r="AC12078">
        <v>0</v>
      </c>
      <c r="AD12078">
        <v>1</v>
      </c>
      <c r="AE12078">
        <v>1</v>
      </c>
      <c r="AF12078">
        <v>1</v>
      </c>
      <c r="AG12078">
        <v>1</v>
      </c>
      <c r="AH12078">
        <v>1</v>
      </c>
      <c r="AI12078">
        <v>1</v>
      </c>
      <c r="AJ12078">
        <v>1</v>
      </c>
      <c r="AK12078">
        <v>1</v>
      </c>
      <c r="AL12078">
        <v>1</v>
      </c>
      <c r="AM12078">
        <v>1</v>
      </c>
    </row>
    <row r="12079" spans="1:39" x14ac:dyDescent="0.2">
      <c r="A12079" t="str">
        <f>"12075"</f>
        <v>12075</v>
      </c>
      <c r="B12079" t="str">
        <f t="shared" si="669"/>
        <v>1</v>
      </c>
      <c r="C12079" t="str">
        <f t="shared" si="671"/>
        <v>242</v>
      </c>
      <c r="D12079" t="str">
        <f>"7"</f>
        <v>7</v>
      </c>
      <c r="E12079" t="str">
        <f>"1-242-7"</f>
        <v>1-242-7</v>
      </c>
      <c r="F12079" t="s">
        <v>65</v>
      </c>
      <c r="G12079" t="s">
        <v>66</v>
      </c>
      <c r="H12079" t="s">
        <v>67</v>
      </c>
      <c r="S12079">
        <v>0</v>
      </c>
      <c r="T12079">
        <v>1</v>
      </c>
      <c r="U12079">
        <v>0</v>
      </c>
      <c r="V12079">
        <v>0</v>
      </c>
      <c r="W12079">
        <v>1</v>
      </c>
      <c r="X12079">
        <v>0</v>
      </c>
      <c r="Y12079">
        <v>0</v>
      </c>
      <c r="Z12079">
        <v>1</v>
      </c>
      <c r="AA12079">
        <v>1</v>
      </c>
      <c r="AB12079">
        <v>0</v>
      </c>
      <c r="AC12079">
        <v>0</v>
      </c>
      <c r="AD12079">
        <v>0</v>
      </c>
      <c r="AE12079">
        <v>0</v>
      </c>
      <c r="AF12079">
        <v>0</v>
      </c>
      <c r="AG12079">
        <v>0</v>
      </c>
      <c r="AH12079">
        <v>0</v>
      </c>
      <c r="AI12079">
        <v>0</v>
      </c>
      <c r="AJ12079">
        <v>0</v>
      </c>
      <c r="AK12079">
        <v>0</v>
      </c>
      <c r="AL12079">
        <v>0</v>
      </c>
      <c r="AM12079">
        <v>0</v>
      </c>
    </row>
    <row r="12080" spans="1:39" x14ac:dyDescent="0.2">
      <c r="A12080" t="str">
        <f>"12076"</f>
        <v>12076</v>
      </c>
      <c r="B12080" t="str">
        <f t="shared" si="669"/>
        <v>1</v>
      </c>
      <c r="C12080" t="str">
        <f t="shared" si="671"/>
        <v>242</v>
      </c>
      <c r="D12080" t="str">
        <f>"23"</f>
        <v>23</v>
      </c>
      <c r="E12080" t="str">
        <f>"1-242-23"</f>
        <v>1-242-23</v>
      </c>
      <c r="F12080" t="s">
        <v>65</v>
      </c>
      <c r="G12080" t="s">
        <v>66</v>
      </c>
      <c r="H12080" t="s">
        <v>67</v>
      </c>
      <c r="S12080">
        <v>1</v>
      </c>
      <c r="T12080">
        <v>0</v>
      </c>
      <c r="U12080">
        <v>0</v>
      </c>
      <c r="V12080">
        <v>0</v>
      </c>
      <c r="W12080">
        <v>1</v>
      </c>
      <c r="X12080">
        <v>0</v>
      </c>
      <c r="Y12080">
        <v>1</v>
      </c>
      <c r="Z12080">
        <v>0</v>
      </c>
      <c r="AA12080">
        <v>1</v>
      </c>
      <c r="AB12080">
        <v>0</v>
      </c>
      <c r="AC12080">
        <v>0</v>
      </c>
      <c r="AD12080">
        <v>0</v>
      </c>
      <c r="AE12080">
        <v>0</v>
      </c>
      <c r="AF12080">
        <v>0</v>
      </c>
      <c r="AG12080">
        <v>0</v>
      </c>
      <c r="AH12080">
        <v>0</v>
      </c>
      <c r="AI12080">
        <v>0</v>
      </c>
      <c r="AJ12080">
        <v>0</v>
      </c>
      <c r="AK12080">
        <v>0</v>
      </c>
      <c r="AL12080">
        <v>0</v>
      </c>
      <c r="AM12080">
        <v>0</v>
      </c>
    </row>
    <row r="12081" spans="1:39" x14ac:dyDescent="0.2">
      <c r="A12081" t="str">
        <f>"12077"</f>
        <v>12077</v>
      </c>
      <c r="B12081" t="str">
        <f t="shared" si="669"/>
        <v>1</v>
      </c>
      <c r="C12081" t="str">
        <f t="shared" si="671"/>
        <v>242</v>
      </c>
      <c r="D12081" t="str">
        <f>"11"</f>
        <v>11</v>
      </c>
      <c r="E12081" t="str">
        <f>"1-242-11"</f>
        <v>1-242-11</v>
      </c>
      <c r="F12081" t="s">
        <v>65</v>
      </c>
      <c r="G12081" t="s">
        <v>66</v>
      </c>
      <c r="H12081" t="s">
        <v>67</v>
      </c>
      <c r="S12081">
        <v>1</v>
      </c>
      <c r="T12081">
        <v>0</v>
      </c>
      <c r="U12081">
        <v>0</v>
      </c>
      <c r="V12081">
        <v>0</v>
      </c>
      <c r="W12081">
        <v>1</v>
      </c>
      <c r="X12081">
        <v>0</v>
      </c>
      <c r="Y12081">
        <v>0</v>
      </c>
      <c r="Z12081">
        <v>1</v>
      </c>
      <c r="AA12081">
        <v>1</v>
      </c>
      <c r="AB12081">
        <v>0</v>
      </c>
      <c r="AC12081">
        <v>0</v>
      </c>
      <c r="AD12081">
        <v>0</v>
      </c>
      <c r="AE12081">
        <v>0</v>
      </c>
      <c r="AF12081">
        <v>0</v>
      </c>
      <c r="AG12081">
        <v>0</v>
      </c>
      <c r="AH12081">
        <v>1</v>
      </c>
      <c r="AI12081">
        <v>1</v>
      </c>
      <c r="AJ12081">
        <v>0</v>
      </c>
      <c r="AK12081">
        <v>0</v>
      </c>
      <c r="AL12081">
        <v>1</v>
      </c>
      <c r="AM12081">
        <v>0</v>
      </c>
    </row>
    <row r="12082" spans="1:39" x14ac:dyDescent="0.2">
      <c r="A12082" t="str">
        <f>"12078"</f>
        <v>12078</v>
      </c>
      <c r="B12082" t="str">
        <f t="shared" si="669"/>
        <v>1</v>
      </c>
      <c r="C12082" t="str">
        <f t="shared" si="671"/>
        <v>242</v>
      </c>
      <c r="D12082" t="str">
        <f>"25"</f>
        <v>25</v>
      </c>
      <c r="E12082" t="str">
        <f>"1-242-25"</f>
        <v>1-242-25</v>
      </c>
      <c r="F12082" t="s">
        <v>65</v>
      </c>
      <c r="G12082" t="s">
        <v>66</v>
      </c>
      <c r="H12082" t="s">
        <v>67</v>
      </c>
      <c r="S12082">
        <v>0</v>
      </c>
      <c r="T12082">
        <v>1</v>
      </c>
      <c r="U12082">
        <v>0</v>
      </c>
      <c r="V12082">
        <v>0</v>
      </c>
      <c r="W12082">
        <v>1</v>
      </c>
      <c r="X12082">
        <v>0</v>
      </c>
      <c r="Y12082">
        <v>0</v>
      </c>
      <c r="Z12082">
        <v>1</v>
      </c>
      <c r="AA12082">
        <v>1</v>
      </c>
      <c r="AB12082">
        <v>0</v>
      </c>
      <c r="AC12082">
        <v>0</v>
      </c>
      <c r="AD12082">
        <v>0</v>
      </c>
      <c r="AE12082">
        <v>0</v>
      </c>
      <c r="AF12082">
        <v>0</v>
      </c>
      <c r="AG12082">
        <v>0</v>
      </c>
      <c r="AH12082">
        <v>0</v>
      </c>
      <c r="AI12082">
        <v>0</v>
      </c>
      <c r="AJ12082">
        <v>0</v>
      </c>
      <c r="AK12082">
        <v>0</v>
      </c>
      <c r="AL12082">
        <v>1</v>
      </c>
      <c r="AM12082">
        <v>1</v>
      </c>
    </row>
    <row r="12083" spans="1:39" x14ac:dyDescent="0.2">
      <c r="A12083" t="str">
        <f>"12079"</f>
        <v>12079</v>
      </c>
      <c r="B12083" t="str">
        <f t="shared" si="669"/>
        <v>1</v>
      </c>
      <c r="C12083" t="str">
        <f t="shared" si="671"/>
        <v>242</v>
      </c>
      <c r="D12083" t="str">
        <f>"2"</f>
        <v>2</v>
      </c>
      <c r="E12083" t="str">
        <f>"1-242-2"</f>
        <v>1-242-2</v>
      </c>
      <c r="F12083" t="s">
        <v>65</v>
      </c>
      <c r="G12083" t="s">
        <v>66</v>
      </c>
      <c r="H12083" t="s">
        <v>67</v>
      </c>
      <c r="S12083">
        <v>1</v>
      </c>
      <c r="T12083">
        <v>0</v>
      </c>
      <c r="U12083">
        <v>0</v>
      </c>
      <c r="V12083">
        <v>0</v>
      </c>
      <c r="W12083">
        <v>1</v>
      </c>
      <c r="X12083">
        <v>0</v>
      </c>
      <c r="Y12083">
        <v>1</v>
      </c>
      <c r="Z12083">
        <v>0</v>
      </c>
      <c r="AA12083">
        <v>1</v>
      </c>
      <c r="AB12083">
        <v>0</v>
      </c>
      <c r="AC12083">
        <v>0</v>
      </c>
      <c r="AD12083">
        <v>1</v>
      </c>
      <c r="AE12083">
        <v>1</v>
      </c>
      <c r="AF12083">
        <v>1</v>
      </c>
      <c r="AG12083">
        <v>1</v>
      </c>
      <c r="AH12083">
        <v>1</v>
      </c>
      <c r="AI12083">
        <v>1</v>
      </c>
      <c r="AJ12083">
        <v>1</v>
      </c>
      <c r="AK12083">
        <v>1</v>
      </c>
      <c r="AL12083">
        <v>1</v>
      </c>
      <c r="AM12083">
        <v>1</v>
      </c>
    </row>
    <row r="12084" spans="1:39" x14ac:dyDescent="0.2">
      <c r="A12084" t="str">
        <f>"12080"</f>
        <v>12080</v>
      </c>
      <c r="B12084" t="str">
        <f t="shared" si="669"/>
        <v>1</v>
      </c>
      <c r="C12084" t="str">
        <f t="shared" si="671"/>
        <v>242</v>
      </c>
      <c r="D12084" t="str">
        <f>"44"</f>
        <v>44</v>
      </c>
      <c r="E12084" t="str">
        <f>"1-242-44"</f>
        <v>1-242-44</v>
      </c>
      <c r="F12084" t="s">
        <v>65</v>
      </c>
      <c r="G12084" t="s">
        <v>66</v>
      </c>
      <c r="H12084" t="s">
        <v>67</v>
      </c>
      <c r="S12084">
        <v>0</v>
      </c>
      <c r="T12084">
        <v>1</v>
      </c>
      <c r="U12084">
        <v>0</v>
      </c>
      <c r="V12084">
        <v>0</v>
      </c>
      <c r="W12084">
        <v>0</v>
      </c>
      <c r="X12084">
        <v>1</v>
      </c>
      <c r="Y12084">
        <v>0</v>
      </c>
      <c r="Z12084">
        <v>1</v>
      </c>
      <c r="AA12084">
        <v>0</v>
      </c>
      <c r="AB12084">
        <v>0</v>
      </c>
      <c r="AC12084">
        <v>1</v>
      </c>
      <c r="AD12084">
        <v>1</v>
      </c>
      <c r="AE12084">
        <v>1</v>
      </c>
      <c r="AF12084">
        <v>1</v>
      </c>
      <c r="AG12084">
        <v>1</v>
      </c>
      <c r="AH12084">
        <v>1</v>
      </c>
      <c r="AI12084">
        <v>1</v>
      </c>
      <c r="AJ12084">
        <v>1</v>
      </c>
      <c r="AK12084">
        <v>1</v>
      </c>
      <c r="AL12084">
        <v>1</v>
      </c>
      <c r="AM12084">
        <v>1</v>
      </c>
    </row>
    <row r="12085" spans="1:39" x14ac:dyDescent="0.2">
      <c r="A12085" t="str">
        <f>"12081"</f>
        <v>12081</v>
      </c>
      <c r="B12085" t="str">
        <f t="shared" si="669"/>
        <v>1</v>
      </c>
      <c r="C12085" t="str">
        <f t="shared" si="671"/>
        <v>242</v>
      </c>
      <c r="D12085" t="str">
        <f>"26"</f>
        <v>26</v>
      </c>
      <c r="E12085" t="str">
        <f>"1-242-26"</f>
        <v>1-242-26</v>
      </c>
      <c r="F12085" t="s">
        <v>65</v>
      </c>
      <c r="G12085" t="s">
        <v>66</v>
      </c>
      <c r="H12085" t="s">
        <v>67</v>
      </c>
      <c r="S12085">
        <v>0</v>
      </c>
      <c r="T12085">
        <v>1</v>
      </c>
      <c r="U12085">
        <v>0</v>
      </c>
      <c r="V12085">
        <v>0</v>
      </c>
      <c r="W12085">
        <v>1</v>
      </c>
      <c r="X12085">
        <v>0</v>
      </c>
      <c r="Y12085">
        <v>0</v>
      </c>
      <c r="Z12085">
        <v>1</v>
      </c>
      <c r="AA12085">
        <v>1</v>
      </c>
      <c r="AB12085">
        <v>0</v>
      </c>
      <c r="AC12085">
        <v>0</v>
      </c>
      <c r="AD12085">
        <v>1</v>
      </c>
      <c r="AE12085">
        <v>1</v>
      </c>
      <c r="AF12085">
        <v>1</v>
      </c>
      <c r="AG12085">
        <v>1</v>
      </c>
      <c r="AH12085">
        <v>0</v>
      </c>
      <c r="AI12085">
        <v>1</v>
      </c>
      <c r="AJ12085">
        <v>1</v>
      </c>
      <c r="AK12085">
        <v>1</v>
      </c>
      <c r="AL12085">
        <v>1</v>
      </c>
      <c r="AM12085">
        <v>1</v>
      </c>
    </row>
    <row r="12086" spans="1:39" x14ac:dyDescent="0.2">
      <c r="A12086" t="str">
        <f>"12082"</f>
        <v>12082</v>
      </c>
      <c r="B12086" t="str">
        <f t="shared" si="669"/>
        <v>1</v>
      </c>
      <c r="C12086" t="str">
        <f t="shared" si="671"/>
        <v>242</v>
      </c>
      <c r="D12086" t="str">
        <f>"14"</f>
        <v>14</v>
      </c>
      <c r="E12086" t="str">
        <f>"1-242-14"</f>
        <v>1-242-14</v>
      </c>
      <c r="F12086" t="s">
        <v>65</v>
      </c>
      <c r="G12086" t="s">
        <v>66</v>
      </c>
      <c r="H12086" t="s">
        <v>67</v>
      </c>
      <c r="S12086">
        <v>1</v>
      </c>
      <c r="T12086">
        <v>0</v>
      </c>
      <c r="U12086">
        <v>0</v>
      </c>
      <c r="V12086">
        <v>0</v>
      </c>
      <c r="W12086">
        <v>0</v>
      </c>
      <c r="X12086">
        <v>1</v>
      </c>
      <c r="Y12086">
        <v>1</v>
      </c>
      <c r="Z12086">
        <v>0</v>
      </c>
      <c r="AA12086">
        <v>1</v>
      </c>
      <c r="AB12086">
        <v>0</v>
      </c>
      <c r="AC12086">
        <v>0</v>
      </c>
      <c r="AD12086">
        <v>1</v>
      </c>
      <c r="AE12086">
        <v>1</v>
      </c>
      <c r="AF12086">
        <v>1</v>
      </c>
      <c r="AG12086">
        <v>1</v>
      </c>
      <c r="AH12086">
        <v>1</v>
      </c>
      <c r="AI12086">
        <v>1</v>
      </c>
      <c r="AJ12086">
        <v>1</v>
      </c>
      <c r="AK12086">
        <v>1</v>
      </c>
      <c r="AL12086">
        <v>1</v>
      </c>
      <c r="AM12086">
        <v>1</v>
      </c>
    </row>
    <row r="12087" spans="1:39" x14ac:dyDescent="0.2">
      <c r="A12087" t="str">
        <f>"12083"</f>
        <v>12083</v>
      </c>
      <c r="B12087" t="str">
        <f t="shared" ref="B12087:B12150" si="672">"1"</f>
        <v>1</v>
      </c>
      <c r="C12087" t="str">
        <f t="shared" ref="C12087:C12104" si="673">"242"</f>
        <v>242</v>
      </c>
      <c r="D12087" t="str">
        <f>"27"</f>
        <v>27</v>
      </c>
      <c r="E12087" t="str">
        <f>"1-242-27"</f>
        <v>1-242-27</v>
      </c>
      <c r="F12087" t="s">
        <v>65</v>
      </c>
      <c r="G12087" t="s">
        <v>66</v>
      </c>
      <c r="H12087" t="s">
        <v>67</v>
      </c>
      <c r="S12087">
        <v>1</v>
      </c>
      <c r="T12087">
        <v>0</v>
      </c>
      <c r="U12087">
        <v>0</v>
      </c>
      <c r="V12087">
        <v>0</v>
      </c>
      <c r="W12087">
        <v>1</v>
      </c>
      <c r="X12087">
        <v>0</v>
      </c>
      <c r="Y12087">
        <v>1</v>
      </c>
      <c r="Z12087">
        <v>0</v>
      </c>
      <c r="AA12087">
        <v>1</v>
      </c>
      <c r="AB12087">
        <v>0</v>
      </c>
      <c r="AC12087">
        <v>0</v>
      </c>
      <c r="AD12087">
        <v>0</v>
      </c>
      <c r="AE12087">
        <v>0</v>
      </c>
      <c r="AF12087">
        <v>0</v>
      </c>
      <c r="AG12087">
        <v>0</v>
      </c>
      <c r="AH12087">
        <v>0</v>
      </c>
      <c r="AI12087">
        <v>0</v>
      </c>
      <c r="AJ12087">
        <v>0</v>
      </c>
      <c r="AK12087">
        <v>0</v>
      </c>
      <c r="AL12087">
        <v>1</v>
      </c>
      <c r="AM12087">
        <v>0</v>
      </c>
    </row>
    <row r="12088" spans="1:39" x14ac:dyDescent="0.2">
      <c r="A12088" t="str">
        <f>"12084"</f>
        <v>12084</v>
      </c>
      <c r="B12088" t="str">
        <f t="shared" si="672"/>
        <v>1</v>
      </c>
      <c r="C12088" t="str">
        <f t="shared" si="673"/>
        <v>242</v>
      </c>
      <c r="D12088" t="str">
        <f>"10"</f>
        <v>10</v>
      </c>
      <c r="E12088" t="str">
        <f>"1-242-10"</f>
        <v>1-242-10</v>
      </c>
      <c r="F12088" t="s">
        <v>65</v>
      </c>
      <c r="G12088" t="s">
        <v>66</v>
      </c>
      <c r="H12088" t="s">
        <v>67</v>
      </c>
      <c r="S12088">
        <v>0</v>
      </c>
      <c r="T12088">
        <v>1</v>
      </c>
      <c r="U12088">
        <v>0</v>
      </c>
      <c r="V12088">
        <v>0</v>
      </c>
      <c r="W12088">
        <v>0</v>
      </c>
      <c r="X12088">
        <v>1</v>
      </c>
      <c r="Y12088">
        <v>0</v>
      </c>
      <c r="Z12088">
        <v>1</v>
      </c>
      <c r="AA12088">
        <v>0</v>
      </c>
      <c r="AB12088">
        <v>0</v>
      </c>
      <c r="AC12088">
        <v>1</v>
      </c>
      <c r="AD12088">
        <v>0</v>
      </c>
      <c r="AE12088">
        <v>0</v>
      </c>
      <c r="AF12088">
        <v>0</v>
      </c>
      <c r="AG12088">
        <v>0</v>
      </c>
      <c r="AH12088">
        <v>0</v>
      </c>
      <c r="AI12088">
        <v>0</v>
      </c>
      <c r="AJ12088">
        <v>0</v>
      </c>
      <c r="AK12088">
        <v>0</v>
      </c>
      <c r="AL12088">
        <v>0</v>
      </c>
      <c r="AM12088">
        <v>0</v>
      </c>
    </row>
    <row r="12089" spans="1:39" x14ac:dyDescent="0.2">
      <c r="A12089" t="str">
        <f>"12085"</f>
        <v>12085</v>
      </c>
      <c r="B12089" t="str">
        <f t="shared" si="672"/>
        <v>1</v>
      </c>
      <c r="C12089" t="str">
        <f t="shared" si="673"/>
        <v>242</v>
      </c>
      <c r="D12089" t="str">
        <f>"48"</f>
        <v>48</v>
      </c>
      <c r="E12089" t="str">
        <f>"1-242-48"</f>
        <v>1-242-48</v>
      </c>
      <c r="F12089" t="s">
        <v>65</v>
      </c>
      <c r="G12089" t="s">
        <v>66</v>
      </c>
      <c r="H12089" t="s">
        <v>67</v>
      </c>
      <c r="S12089">
        <v>0</v>
      </c>
      <c r="T12089">
        <v>0</v>
      </c>
      <c r="U12089">
        <v>0</v>
      </c>
      <c r="V12089">
        <v>0</v>
      </c>
      <c r="W12089">
        <v>0</v>
      </c>
      <c r="X12089">
        <v>1</v>
      </c>
      <c r="Y12089">
        <v>0</v>
      </c>
      <c r="Z12089">
        <v>0</v>
      </c>
      <c r="AA12089">
        <v>0</v>
      </c>
      <c r="AB12089">
        <v>0</v>
      </c>
      <c r="AC12089">
        <v>0</v>
      </c>
      <c r="AD12089">
        <v>0</v>
      </c>
      <c r="AE12089">
        <v>0</v>
      </c>
      <c r="AF12089">
        <v>0</v>
      </c>
      <c r="AG12089">
        <v>0</v>
      </c>
      <c r="AH12089">
        <v>0</v>
      </c>
      <c r="AI12089">
        <v>0</v>
      </c>
      <c r="AJ12089">
        <v>0</v>
      </c>
      <c r="AK12089">
        <v>0</v>
      </c>
      <c r="AL12089">
        <v>0</v>
      </c>
      <c r="AM12089">
        <v>0</v>
      </c>
    </row>
    <row r="12090" spans="1:39" x14ac:dyDescent="0.2">
      <c r="A12090" t="str">
        <f>"12086"</f>
        <v>12086</v>
      </c>
      <c r="B12090" t="str">
        <f t="shared" si="672"/>
        <v>1</v>
      </c>
      <c r="C12090" t="str">
        <f t="shared" si="673"/>
        <v>242</v>
      </c>
      <c r="D12090" t="str">
        <f>"28"</f>
        <v>28</v>
      </c>
      <c r="E12090" t="str">
        <f>"1-242-28"</f>
        <v>1-242-28</v>
      </c>
      <c r="F12090" t="s">
        <v>65</v>
      </c>
      <c r="G12090" t="s">
        <v>66</v>
      </c>
      <c r="H12090" t="s">
        <v>67</v>
      </c>
      <c r="S12090">
        <v>1</v>
      </c>
      <c r="T12090">
        <v>0</v>
      </c>
      <c r="U12090">
        <v>0</v>
      </c>
      <c r="V12090">
        <v>0</v>
      </c>
      <c r="W12090">
        <v>1</v>
      </c>
      <c r="X12090">
        <v>0</v>
      </c>
      <c r="Y12090">
        <v>1</v>
      </c>
      <c r="Z12090">
        <v>0</v>
      </c>
      <c r="AA12090">
        <v>0</v>
      </c>
      <c r="AB12090">
        <v>0</v>
      </c>
      <c r="AC12090">
        <v>1</v>
      </c>
      <c r="AD12090">
        <v>1</v>
      </c>
      <c r="AE12090">
        <v>1</v>
      </c>
      <c r="AF12090">
        <v>1</v>
      </c>
      <c r="AG12090">
        <v>1</v>
      </c>
      <c r="AH12090">
        <v>1</v>
      </c>
      <c r="AI12090">
        <v>1</v>
      </c>
      <c r="AJ12090">
        <v>1</v>
      </c>
      <c r="AK12090">
        <v>1</v>
      </c>
      <c r="AL12090">
        <v>1</v>
      </c>
      <c r="AM12090">
        <v>1</v>
      </c>
    </row>
    <row r="12091" spans="1:39" x14ac:dyDescent="0.2">
      <c r="A12091" t="str">
        <f>"12087"</f>
        <v>12087</v>
      </c>
      <c r="B12091" t="str">
        <f t="shared" si="672"/>
        <v>1</v>
      </c>
      <c r="C12091" t="str">
        <f t="shared" si="673"/>
        <v>242</v>
      </c>
      <c r="D12091" t="str">
        <f>"12"</f>
        <v>12</v>
      </c>
      <c r="E12091" t="str">
        <f>"1-242-12"</f>
        <v>1-242-12</v>
      </c>
      <c r="F12091" t="s">
        <v>65</v>
      </c>
      <c r="G12091" t="s">
        <v>66</v>
      </c>
      <c r="H12091" t="s">
        <v>67</v>
      </c>
      <c r="S12091">
        <v>0</v>
      </c>
      <c r="T12091">
        <v>1</v>
      </c>
      <c r="U12091">
        <v>0</v>
      </c>
      <c r="V12091">
        <v>0</v>
      </c>
      <c r="W12091">
        <v>1</v>
      </c>
      <c r="X12091">
        <v>0</v>
      </c>
      <c r="Y12091">
        <v>1</v>
      </c>
      <c r="Z12091">
        <v>0</v>
      </c>
      <c r="AA12091">
        <v>0</v>
      </c>
      <c r="AB12091">
        <v>0</v>
      </c>
      <c r="AC12091">
        <v>0</v>
      </c>
      <c r="AD12091">
        <v>0</v>
      </c>
      <c r="AE12091">
        <v>0</v>
      </c>
      <c r="AF12091">
        <v>0</v>
      </c>
      <c r="AG12091">
        <v>0</v>
      </c>
      <c r="AH12091">
        <v>0</v>
      </c>
      <c r="AI12091">
        <v>0</v>
      </c>
      <c r="AJ12091">
        <v>0</v>
      </c>
      <c r="AK12091">
        <v>0</v>
      </c>
      <c r="AL12091">
        <v>0</v>
      </c>
      <c r="AM12091">
        <v>0</v>
      </c>
    </row>
    <row r="12092" spans="1:39" x14ac:dyDescent="0.2">
      <c r="A12092" t="str">
        <f>"12088"</f>
        <v>12088</v>
      </c>
      <c r="B12092" t="str">
        <f t="shared" si="672"/>
        <v>1</v>
      </c>
      <c r="C12092" t="str">
        <f t="shared" si="673"/>
        <v>242</v>
      </c>
      <c r="D12092" t="str">
        <f>"49"</f>
        <v>49</v>
      </c>
      <c r="E12092" t="str">
        <f>"1-242-49"</f>
        <v>1-242-49</v>
      </c>
      <c r="F12092" t="s">
        <v>65</v>
      </c>
      <c r="G12092" t="s">
        <v>66</v>
      </c>
      <c r="H12092" t="s">
        <v>67</v>
      </c>
      <c r="S12092">
        <v>1</v>
      </c>
      <c r="T12092">
        <v>0</v>
      </c>
      <c r="U12092">
        <v>0</v>
      </c>
      <c r="V12092">
        <v>0</v>
      </c>
      <c r="W12092">
        <v>1</v>
      </c>
      <c r="X12092">
        <v>0</v>
      </c>
      <c r="Y12092">
        <v>0</v>
      </c>
      <c r="Z12092">
        <v>0</v>
      </c>
      <c r="AA12092">
        <v>1</v>
      </c>
      <c r="AB12092">
        <v>0</v>
      </c>
      <c r="AC12092">
        <v>0</v>
      </c>
      <c r="AD12092">
        <v>1</v>
      </c>
      <c r="AE12092">
        <v>1</v>
      </c>
      <c r="AF12092">
        <v>1</v>
      </c>
      <c r="AG12092">
        <v>1</v>
      </c>
      <c r="AH12092">
        <v>1</v>
      </c>
      <c r="AI12092">
        <v>1</v>
      </c>
      <c r="AJ12092">
        <v>1</v>
      </c>
      <c r="AK12092">
        <v>1</v>
      </c>
      <c r="AL12092">
        <v>1</v>
      </c>
      <c r="AM12092">
        <v>1</v>
      </c>
    </row>
    <row r="12093" spans="1:39" x14ac:dyDescent="0.2">
      <c r="A12093" t="str">
        <f>"12089"</f>
        <v>12089</v>
      </c>
      <c r="B12093" t="str">
        <f t="shared" si="672"/>
        <v>1</v>
      </c>
      <c r="C12093" t="str">
        <f t="shared" si="673"/>
        <v>242</v>
      </c>
      <c r="D12093" t="str">
        <f>"29"</f>
        <v>29</v>
      </c>
      <c r="E12093" t="str">
        <f>"1-242-29"</f>
        <v>1-242-29</v>
      </c>
      <c r="F12093" t="s">
        <v>65</v>
      </c>
      <c r="G12093" t="s">
        <v>66</v>
      </c>
      <c r="H12093" t="s">
        <v>67</v>
      </c>
      <c r="S12093">
        <v>1</v>
      </c>
      <c r="T12093">
        <v>0</v>
      </c>
      <c r="U12093">
        <v>0</v>
      </c>
      <c r="V12093">
        <v>0</v>
      </c>
      <c r="W12093">
        <v>1</v>
      </c>
      <c r="X12093">
        <v>0</v>
      </c>
      <c r="Y12093">
        <v>1</v>
      </c>
      <c r="Z12093">
        <v>0</v>
      </c>
      <c r="AA12093">
        <v>1</v>
      </c>
      <c r="AB12093">
        <v>0</v>
      </c>
      <c r="AC12093">
        <v>0</v>
      </c>
      <c r="AD12093">
        <v>1</v>
      </c>
      <c r="AE12093">
        <v>1</v>
      </c>
      <c r="AF12093">
        <v>1</v>
      </c>
      <c r="AG12093">
        <v>1</v>
      </c>
      <c r="AH12093">
        <v>1</v>
      </c>
      <c r="AI12093">
        <v>0</v>
      </c>
      <c r="AJ12093">
        <v>1</v>
      </c>
      <c r="AK12093">
        <v>1</v>
      </c>
      <c r="AL12093">
        <v>1</v>
      </c>
      <c r="AM12093">
        <v>1</v>
      </c>
    </row>
    <row r="12094" spans="1:39" x14ac:dyDescent="0.2">
      <c r="A12094" t="str">
        <f>"12090"</f>
        <v>12090</v>
      </c>
      <c r="B12094" t="str">
        <f t="shared" si="672"/>
        <v>1</v>
      </c>
      <c r="C12094" t="str">
        <f t="shared" si="673"/>
        <v>242</v>
      </c>
      <c r="D12094" t="str">
        <f>"4"</f>
        <v>4</v>
      </c>
      <c r="E12094" t="str">
        <f>"1-242-4"</f>
        <v>1-242-4</v>
      </c>
      <c r="F12094" t="s">
        <v>65</v>
      </c>
      <c r="G12094" t="s">
        <v>66</v>
      </c>
      <c r="H12094" t="s">
        <v>67</v>
      </c>
      <c r="S12094">
        <v>0</v>
      </c>
      <c r="T12094">
        <v>1</v>
      </c>
      <c r="U12094">
        <v>0</v>
      </c>
      <c r="V12094">
        <v>0</v>
      </c>
      <c r="W12094">
        <v>0</v>
      </c>
      <c r="X12094">
        <v>1</v>
      </c>
      <c r="Y12094">
        <v>0</v>
      </c>
      <c r="Z12094">
        <v>0</v>
      </c>
      <c r="AA12094">
        <v>0</v>
      </c>
      <c r="AB12094">
        <v>0</v>
      </c>
      <c r="AC12094">
        <v>1</v>
      </c>
      <c r="AD12094">
        <v>0</v>
      </c>
      <c r="AE12094">
        <v>0</v>
      </c>
      <c r="AF12094">
        <v>0</v>
      </c>
      <c r="AG12094">
        <v>0</v>
      </c>
      <c r="AH12094">
        <v>0</v>
      </c>
      <c r="AI12094">
        <v>0</v>
      </c>
      <c r="AJ12094">
        <v>0</v>
      </c>
      <c r="AK12094">
        <v>0</v>
      </c>
      <c r="AL12094">
        <v>0</v>
      </c>
      <c r="AM12094">
        <v>0</v>
      </c>
    </row>
    <row r="12095" spans="1:39" x14ac:dyDescent="0.2">
      <c r="A12095" t="str">
        <f>"12091"</f>
        <v>12091</v>
      </c>
      <c r="B12095" t="str">
        <f t="shared" si="672"/>
        <v>1</v>
      </c>
      <c r="C12095" t="str">
        <f t="shared" si="673"/>
        <v>242</v>
      </c>
      <c r="D12095" t="str">
        <f>"45"</f>
        <v>45</v>
      </c>
      <c r="E12095" t="str">
        <f>"1-242-45"</f>
        <v>1-242-45</v>
      </c>
      <c r="F12095" t="s">
        <v>65</v>
      </c>
      <c r="G12095" t="s">
        <v>66</v>
      </c>
      <c r="H12095" t="s">
        <v>68</v>
      </c>
      <c r="I12095">
        <v>1</v>
      </c>
      <c r="J12095">
        <v>1</v>
      </c>
      <c r="K12095">
        <v>0</v>
      </c>
      <c r="L12095">
        <v>0</v>
      </c>
      <c r="M12095">
        <v>1</v>
      </c>
      <c r="N12095">
        <v>1</v>
      </c>
      <c r="O12095">
        <v>1</v>
      </c>
      <c r="P12095">
        <v>1</v>
      </c>
      <c r="Q12095">
        <v>1</v>
      </c>
      <c r="R12095">
        <v>1</v>
      </c>
    </row>
    <row r="12096" spans="1:39" x14ac:dyDescent="0.2">
      <c r="A12096" t="str">
        <f>"12092"</f>
        <v>12092</v>
      </c>
      <c r="B12096" t="str">
        <f t="shared" si="672"/>
        <v>1</v>
      </c>
      <c r="C12096" t="str">
        <f t="shared" si="673"/>
        <v>242</v>
      </c>
      <c r="D12096" t="str">
        <f>"30"</f>
        <v>30</v>
      </c>
      <c r="E12096" t="str">
        <f>"1-242-30"</f>
        <v>1-242-30</v>
      </c>
      <c r="F12096" t="s">
        <v>65</v>
      </c>
      <c r="G12096" t="s">
        <v>66</v>
      </c>
      <c r="H12096" t="s">
        <v>67</v>
      </c>
      <c r="S12096">
        <v>0</v>
      </c>
      <c r="T12096">
        <v>1</v>
      </c>
      <c r="U12096">
        <v>0</v>
      </c>
      <c r="V12096">
        <v>0</v>
      </c>
      <c r="W12096">
        <v>1</v>
      </c>
      <c r="X12096">
        <v>0</v>
      </c>
      <c r="Y12096">
        <v>1</v>
      </c>
      <c r="Z12096">
        <v>0</v>
      </c>
      <c r="AA12096">
        <v>1</v>
      </c>
      <c r="AB12096">
        <v>0</v>
      </c>
      <c r="AC12096">
        <v>0</v>
      </c>
      <c r="AD12096">
        <v>1</v>
      </c>
      <c r="AE12096">
        <v>1</v>
      </c>
      <c r="AF12096">
        <v>1</v>
      </c>
      <c r="AG12096">
        <v>1</v>
      </c>
      <c r="AH12096">
        <v>1</v>
      </c>
      <c r="AI12096">
        <v>1</v>
      </c>
      <c r="AJ12096">
        <v>1</v>
      </c>
      <c r="AK12096">
        <v>1</v>
      </c>
      <c r="AL12096">
        <v>1</v>
      </c>
      <c r="AM12096">
        <v>1</v>
      </c>
    </row>
    <row r="12097" spans="1:39" x14ac:dyDescent="0.2">
      <c r="A12097" t="str">
        <f>"12093"</f>
        <v>12093</v>
      </c>
      <c r="B12097" t="str">
        <f t="shared" si="672"/>
        <v>1</v>
      </c>
      <c r="C12097" t="str">
        <f t="shared" si="673"/>
        <v>242</v>
      </c>
      <c r="D12097" t="str">
        <f>"8"</f>
        <v>8</v>
      </c>
      <c r="E12097" t="str">
        <f>"1-242-8"</f>
        <v>1-242-8</v>
      </c>
      <c r="F12097" t="s">
        <v>65</v>
      </c>
      <c r="G12097" t="s">
        <v>66</v>
      </c>
      <c r="H12097" t="s">
        <v>67</v>
      </c>
      <c r="S12097">
        <v>1</v>
      </c>
      <c r="T12097">
        <v>0</v>
      </c>
      <c r="U12097">
        <v>0</v>
      </c>
      <c r="V12097">
        <v>0</v>
      </c>
      <c r="W12097">
        <v>1</v>
      </c>
      <c r="X12097">
        <v>0</v>
      </c>
      <c r="Y12097">
        <v>1</v>
      </c>
      <c r="Z12097">
        <v>0</v>
      </c>
      <c r="AA12097">
        <v>1</v>
      </c>
      <c r="AB12097">
        <v>0</v>
      </c>
      <c r="AC12097">
        <v>0</v>
      </c>
      <c r="AD12097">
        <v>1</v>
      </c>
      <c r="AE12097">
        <v>1</v>
      </c>
      <c r="AF12097">
        <v>1</v>
      </c>
      <c r="AG12097">
        <v>1</v>
      </c>
      <c r="AH12097">
        <v>1</v>
      </c>
      <c r="AI12097">
        <v>1</v>
      </c>
      <c r="AJ12097">
        <v>1</v>
      </c>
      <c r="AK12097">
        <v>1</v>
      </c>
      <c r="AL12097">
        <v>1</v>
      </c>
      <c r="AM12097">
        <v>1</v>
      </c>
    </row>
    <row r="12098" spans="1:39" x14ac:dyDescent="0.2">
      <c r="A12098" t="str">
        <f>"12094"</f>
        <v>12094</v>
      </c>
      <c r="B12098" t="str">
        <f t="shared" si="672"/>
        <v>1</v>
      </c>
      <c r="C12098" t="str">
        <f t="shared" si="673"/>
        <v>242</v>
      </c>
      <c r="D12098" t="str">
        <f>"50"</f>
        <v>50</v>
      </c>
      <c r="E12098" t="str">
        <f>"1-242-50"</f>
        <v>1-242-50</v>
      </c>
      <c r="F12098" t="s">
        <v>65</v>
      </c>
      <c r="G12098" t="s">
        <v>66</v>
      </c>
      <c r="H12098" t="s">
        <v>67</v>
      </c>
      <c r="S12098">
        <v>1</v>
      </c>
      <c r="T12098">
        <v>0</v>
      </c>
      <c r="U12098">
        <v>0</v>
      </c>
      <c r="V12098">
        <v>0</v>
      </c>
      <c r="W12098">
        <v>1</v>
      </c>
      <c r="X12098">
        <v>0</v>
      </c>
      <c r="Y12098">
        <v>0</v>
      </c>
      <c r="Z12098">
        <v>0</v>
      </c>
      <c r="AA12098">
        <v>1</v>
      </c>
      <c r="AB12098">
        <v>0</v>
      </c>
      <c r="AC12098">
        <v>0</v>
      </c>
      <c r="AD12098">
        <v>1</v>
      </c>
      <c r="AE12098">
        <v>1</v>
      </c>
      <c r="AF12098">
        <v>1</v>
      </c>
      <c r="AG12098">
        <v>1</v>
      </c>
      <c r="AH12098">
        <v>1</v>
      </c>
      <c r="AI12098">
        <v>1</v>
      </c>
      <c r="AJ12098">
        <v>1</v>
      </c>
      <c r="AK12098">
        <v>1</v>
      </c>
      <c r="AL12098">
        <v>1</v>
      </c>
      <c r="AM12098">
        <v>1</v>
      </c>
    </row>
    <row r="12099" spans="1:39" x14ac:dyDescent="0.2">
      <c r="A12099" t="str">
        <f>"12095"</f>
        <v>12095</v>
      </c>
      <c r="B12099" t="str">
        <f t="shared" si="672"/>
        <v>1</v>
      </c>
      <c r="C12099" t="str">
        <f t="shared" si="673"/>
        <v>242</v>
      </c>
      <c r="D12099" t="str">
        <f>"31"</f>
        <v>31</v>
      </c>
      <c r="E12099" t="str">
        <f>"1-242-31"</f>
        <v>1-242-31</v>
      </c>
      <c r="F12099" t="s">
        <v>65</v>
      </c>
      <c r="G12099" t="s">
        <v>66</v>
      </c>
      <c r="H12099" t="s">
        <v>67</v>
      </c>
      <c r="S12099">
        <v>1</v>
      </c>
      <c r="T12099">
        <v>0</v>
      </c>
      <c r="U12099">
        <v>0</v>
      </c>
      <c r="V12099">
        <v>0</v>
      </c>
      <c r="W12099">
        <v>1</v>
      </c>
      <c r="X12099">
        <v>0</v>
      </c>
      <c r="Y12099">
        <v>0</v>
      </c>
      <c r="Z12099">
        <v>0</v>
      </c>
      <c r="AA12099">
        <v>0</v>
      </c>
      <c r="AB12099">
        <v>1</v>
      </c>
      <c r="AC12099">
        <v>0</v>
      </c>
      <c r="AD12099">
        <v>0</v>
      </c>
      <c r="AE12099">
        <v>0</v>
      </c>
      <c r="AF12099">
        <v>0</v>
      </c>
      <c r="AG12099">
        <v>0</v>
      </c>
      <c r="AH12099">
        <v>0</v>
      </c>
      <c r="AI12099">
        <v>0</v>
      </c>
      <c r="AJ12099">
        <v>0</v>
      </c>
      <c r="AK12099">
        <v>0</v>
      </c>
      <c r="AL12099">
        <v>0</v>
      </c>
      <c r="AM12099">
        <v>0</v>
      </c>
    </row>
    <row r="12100" spans="1:39" x14ac:dyDescent="0.2">
      <c r="A12100" t="str">
        <f>"12096"</f>
        <v>12096</v>
      </c>
      <c r="B12100" t="str">
        <f t="shared" si="672"/>
        <v>1</v>
      </c>
      <c r="C12100" t="str">
        <f t="shared" si="673"/>
        <v>242</v>
      </c>
      <c r="D12100" t="str">
        <f>"3"</f>
        <v>3</v>
      </c>
      <c r="E12100" t="str">
        <f>"1-242-3"</f>
        <v>1-242-3</v>
      </c>
      <c r="F12100" t="s">
        <v>65</v>
      </c>
      <c r="G12100" t="s">
        <v>66</v>
      </c>
      <c r="H12100" t="s">
        <v>67</v>
      </c>
      <c r="S12100">
        <v>0</v>
      </c>
      <c r="T12100">
        <v>1</v>
      </c>
      <c r="U12100">
        <v>0</v>
      </c>
      <c r="V12100">
        <v>0</v>
      </c>
      <c r="W12100">
        <v>0</v>
      </c>
      <c r="X12100">
        <v>1</v>
      </c>
      <c r="Y12100">
        <v>0</v>
      </c>
      <c r="Z12100">
        <v>1</v>
      </c>
      <c r="AA12100">
        <v>0</v>
      </c>
      <c r="AB12100">
        <v>0</v>
      </c>
      <c r="AC12100">
        <v>1</v>
      </c>
      <c r="AD12100">
        <v>0</v>
      </c>
      <c r="AE12100">
        <v>0</v>
      </c>
      <c r="AF12100">
        <v>0</v>
      </c>
      <c r="AG12100">
        <v>0</v>
      </c>
      <c r="AH12100">
        <v>1</v>
      </c>
      <c r="AI12100">
        <v>0</v>
      </c>
      <c r="AJ12100">
        <v>0</v>
      </c>
      <c r="AK12100">
        <v>0</v>
      </c>
      <c r="AL12100">
        <v>0</v>
      </c>
      <c r="AM12100">
        <v>0</v>
      </c>
    </row>
    <row r="12101" spans="1:39" x14ac:dyDescent="0.2">
      <c r="A12101" t="str">
        <f>"12097"</f>
        <v>12097</v>
      </c>
      <c r="B12101" t="str">
        <f t="shared" si="672"/>
        <v>1</v>
      </c>
      <c r="C12101" t="str">
        <f t="shared" si="673"/>
        <v>242</v>
      </c>
      <c r="D12101" t="str">
        <f>"32"</f>
        <v>32</v>
      </c>
      <c r="E12101" t="str">
        <f>"1-242-32"</f>
        <v>1-242-32</v>
      </c>
      <c r="F12101" t="s">
        <v>65</v>
      </c>
      <c r="G12101" t="s">
        <v>66</v>
      </c>
      <c r="H12101" t="s">
        <v>67</v>
      </c>
      <c r="S12101">
        <v>0</v>
      </c>
      <c r="T12101">
        <v>1</v>
      </c>
      <c r="U12101">
        <v>0</v>
      </c>
      <c r="V12101">
        <v>0</v>
      </c>
      <c r="W12101">
        <v>0</v>
      </c>
      <c r="X12101">
        <v>1</v>
      </c>
      <c r="Y12101">
        <v>0</v>
      </c>
      <c r="Z12101">
        <v>0</v>
      </c>
      <c r="AA12101">
        <v>0</v>
      </c>
      <c r="AB12101">
        <v>1</v>
      </c>
      <c r="AC12101">
        <v>0</v>
      </c>
      <c r="AD12101">
        <v>0</v>
      </c>
      <c r="AE12101">
        <v>0</v>
      </c>
      <c r="AF12101">
        <v>0</v>
      </c>
      <c r="AG12101">
        <v>0</v>
      </c>
      <c r="AH12101">
        <v>0</v>
      </c>
      <c r="AI12101">
        <v>0</v>
      </c>
      <c r="AJ12101">
        <v>0</v>
      </c>
      <c r="AK12101">
        <v>0</v>
      </c>
      <c r="AL12101">
        <v>0</v>
      </c>
      <c r="AM12101">
        <v>0</v>
      </c>
    </row>
    <row r="12102" spans="1:39" x14ac:dyDescent="0.2">
      <c r="A12102" t="str">
        <f>"12098"</f>
        <v>12098</v>
      </c>
      <c r="B12102" t="str">
        <f t="shared" si="672"/>
        <v>1</v>
      </c>
      <c r="C12102" t="str">
        <f t="shared" si="673"/>
        <v>242</v>
      </c>
      <c r="D12102" t="str">
        <f>"13"</f>
        <v>13</v>
      </c>
      <c r="E12102" t="str">
        <f>"1-242-13"</f>
        <v>1-242-13</v>
      </c>
      <c r="F12102" t="s">
        <v>65</v>
      </c>
      <c r="G12102" t="s">
        <v>66</v>
      </c>
      <c r="H12102" t="s">
        <v>67</v>
      </c>
      <c r="S12102">
        <v>0</v>
      </c>
      <c r="T12102">
        <v>1</v>
      </c>
      <c r="U12102">
        <v>0</v>
      </c>
      <c r="V12102">
        <v>0</v>
      </c>
      <c r="W12102">
        <v>0</v>
      </c>
      <c r="X12102">
        <v>1</v>
      </c>
      <c r="Y12102">
        <v>0</v>
      </c>
      <c r="Z12102">
        <v>1</v>
      </c>
      <c r="AA12102">
        <v>0</v>
      </c>
      <c r="AB12102">
        <v>1</v>
      </c>
      <c r="AC12102">
        <v>0</v>
      </c>
      <c r="AD12102">
        <v>1</v>
      </c>
      <c r="AE12102">
        <v>1</v>
      </c>
      <c r="AF12102">
        <v>1</v>
      </c>
      <c r="AG12102">
        <v>1</v>
      </c>
      <c r="AH12102">
        <v>1</v>
      </c>
      <c r="AI12102">
        <v>1</v>
      </c>
      <c r="AJ12102">
        <v>1</v>
      </c>
      <c r="AK12102">
        <v>1</v>
      </c>
      <c r="AL12102">
        <v>1</v>
      </c>
      <c r="AM12102">
        <v>1</v>
      </c>
    </row>
    <row r="12103" spans="1:39" x14ac:dyDescent="0.2">
      <c r="A12103" t="str">
        <f>"12099"</f>
        <v>12099</v>
      </c>
      <c r="B12103" t="str">
        <f t="shared" si="672"/>
        <v>1</v>
      </c>
      <c r="C12103" t="str">
        <f t="shared" si="673"/>
        <v>242</v>
      </c>
      <c r="D12103" t="str">
        <f>"46"</f>
        <v>46</v>
      </c>
      <c r="E12103" t="str">
        <f>"1-242-46"</f>
        <v>1-242-46</v>
      </c>
      <c r="F12103" t="s">
        <v>65</v>
      </c>
      <c r="G12103" t="s">
        <v>66</v>
      </c>
      <c r="H12103" t="s">
        <v>67</v>
      </c>
      <c r="S12103">
        <v>1</v>
      </c>
      <c r="T12103">
        <v>0</v>
      </c>
      <c r="U12103">
        <v>0</v>
      </c>
      <c r="V12103">
        <v>0</v>
      </c>
      <c r="W12103">
        <v>1</v>
      </c>
      <c r="X12103">
        <v>0</v>
      </c>
      <c r="Y12103">
        <v>1</v>
      </c>
      <c r="Z12103">
        <v>0</v>
      </c>
      <c r="AA12103">
        <v>1</v>
      </c>
      <c r="AB12103">
        <v>0</v>
      </c>
      <c r="AC12103">
        <v>0</v>
      </c>
      <c r="AD12103">
        <v>1</v>
      </c>
      <c r="AE12103">
        <v>1</v>
      </c>
      <c r="AF12103">
        <v>1</v>
      </c>
      <c r="AG12103">
        <v>1</v>
      </c>
      <c r="AH12103">
        <v>1</v>
      </c>
      <c r="AI12103">
        <v>1</v>
      </c>
      <c r="AJ12103">
        <v>1</v>
      </c>
      <c r="AK12103">
        <v>1</v>
      </c>
      <c r="AL12103">
        <v>1</v>
      </c>
      <c r="AM12103">
        <v>1</v>
      </c>
    </row>
    <row r="12104" spans="1:39" x14ac:dyDescent="0.2">
      <c r="A12104" t="str">
        <f>"12100"</f>
        <v>12100</v>
      </c>
      <c r="B12104" t="str">
        <f t="shared" si="672"/>
        <v>1</v>
      </c>
      <c r="C12104" t="str">
        <f t="shared" si="673"/>
        <v>242</v>
      </c>
      <c r="D12104" t="str">
        <f>"47"</f>
        <v>47</v>
      </c>
      <c r="E12104" t="str">
        <f>"1-242-47"</f>
        <v>1-242-47</v>
      </c>
      <c r="F12104" t="s">
        <v>65</v>
      </c>
      <c r="G12104" t="s">
        <v>66</v>
      </c>
      <c r="H12104" t="s">
        <v>67</v>
      </c>
      <c r="S12104">
        <v>0</v>
      </c>
      <c r="T12104">
        <v>0</v>
      </c>
      <c r="U12104">
        <v>0</v>
      </c>
      <c r="V12104">
        <v>0</v>
      </c>
      <c r="W12104">
        <v>0</v>
      </c>
      <c r="X12104">
        <v>1</v>
      </c>
      <c r="Y12104">
        <v>0</v>
      </c>
      <c r="Z12104">
        <v>1</v>
      </c>
      <c r="AA12104">
        <v>0</v>
      </c>
      <c r="AB12104">
        <v>0</v>
      </c>
      <c r="AC12104">
        <v>1</v>
      </c>
      <c r="AD12104">
        <v>0</v>
      </c>
      <c r="AE12104">
        <v>0</v>
      </c>
      <c r="AF12104">
        <v>0</v>
      </c>
      <c r="AG12104">
        <v>0</v>
      </c>
      <c r="AH12104">
        <v>0</v>
      </c>
      <c r="AI12104">
        <v>0</v>
      </c>
      <c r="AJ12104">
        <v>0</v>
      </c>
      <c r="AK12104">
        <v>0</v>
      </c>
      <c r="AL12104">
        <v>0</v>
      </c>
      <c r="AM12104">
        <v>0</v>
      </c>
    </row>
    <row r="12105" spans="1:39" x14ac:dyDescent="0.2">
      <c r="A12105" t="str">
        <f>"12101"</f>
        <v>12101</v>
      </c>
      <c r="B12105" t="str">
        <f t="shared" si="672"/>
        <v>1</v>
      </c>
      <c r="C12105" t="str">
        <f t="shared" ref="C12105:C12136" si="674">"243"</f>
        <v>243</v>
      </c>
      <c r="D12105" t="str">
        <f>"38"</f>
        <v>38</v>
      </c>
      <c r="E12105" t="str">
        <f>"1-243-38"</f>
        <v>1-243-38</v>
      </c>
      <c r="F12105" t="s">
        <v>65</v>
      </c>
      <c r="G12105" t="s">
        <v>66</v>
      </c>
      <c r="H12105" t="s">
        <v>67</v>
      </c>
      <c r="S12105">
        <v>0</v>
      </c>
      <c r="T12105">
        <v>1</v>
      </c>
      <c r="U12105">
        <v>0</v>
      </c>
      <c r="V12105">
        <v>0</v>
      </c>
      <c r="W12105">
        <v>0</v>
      </c>
      <c r="X12105">
        <v>1</v>
      </c>
      <c r="Y12105">
        <v>0</v>
      </c>
      <c r="Z12105">
        <v>1</v>
      </c>
      <c r="AA12105">
        <v>0</v>
      </c>
      <c r="AB12105">
        <v>1</v>
      </c>
      <c r="AC12105">
        <v>0</v>
      </c>
      <c r="AD12105">
        <v>0</v>
      </c>
      <c r="AE12105">
        <v>1</v>
      </c>
      <c r="AF12105">
        <v>1</v>
      </c>
      <c r="AG12105">
        <v>1</v>
      </c>
      <c r="AH12105">
        <v>1</v>
      </c>
      <c r="AI12105">
        <v>0</v>
      </c>
      <c r="AJ12105">
        <v>1</v>
      </c>
      <c r="AK12105">
        <v>1</v>
      </c>
      <c r="AL12105">
        <v>1</v>
      </c>
      <c r="AM12105">
        <v>1</v>
      </c>
    </row>
    <row r="12106" spans="1:39" x14ac:dyDescent="0.2">
      <c r="A12106" t="str">
        <f>"12102"</f>
        <v>12102</v>
      </c>
      <c r="B12106" t="str">
        <f t="shared" si="672"/>
        <v>1</v>
      </c>
      <c r="C12106" t="str">
        <f t="shared" si="674"/>
        <v>243</v>
      </c>
      <c r="D12106" t="str">
        <f>"37"</f>
        <v>37</v>
      </c>
      <c r="E12106" t="str">
        <f>"1-243-37"</f>
        <v>1-243-37</v>
      </c>
      <c r="F12106" t="s">
        <v>65</v>
      </c>
      <c r="G12106" t="s">
        <v>66</v>
      </c>
      <c r="H12106" t="s">
        <v>67</v>
      </c>
      <c r="S12106">
        <v>1</v>
      </c>
      <c r="T12106">
        <v>0</v>
      </c>
      <c r="U12106">
        <v>0</v>
      </c>
      <c r="V12106">
        <v>0</v>
      </c>
      <c r="W12106">
        <v>1</v>
      </c>
      <c r="X12106">
        <v>0</v>
      </c>
      <c r="Y12106">
        <v>1</v>
      </c>
      <c r="Z12106">
        <v>0</v>
      </c>
      <c r="AA12106">
        <v>1</v>
      </c>
      <c r="AB12106">
        <v>0</v>
      </c>
      <c r="AC12106">
        <v>0</v>
      </c>
      <c r="AD12106">
        <v>1</v>
      </c>
      <c r="AE12106">
        <v>1</v>
      </c>
      <c r="AF12106">
        <v>1</v>
      </c>
      <c r="AG12106">
        <v>0</v>
      </c>
      <c r="AH12106">
        <v>1</v>
      </c>
      <c r="AI12106">
        <v>1</v>
      </c>
      <c r="AJ12106">
        <v>1</v>
      </c>
      <c r="AK12106">
        <v>1</v>
      </c>
      <c r="AL12106">
        <v>1</v>
      </c>
      <c r="AM12106">
        <v>1</v>
      </c>
    </row>
    <row r="12107" spans="1:39" x14ac:dyDescent="0.2">
      <c r="A12107" t="str">
        <f>"12103"</f>
        <v>12103</v>
      </c>
      <c r="B12107" t="str">
        <f t="shared" si="672"/>
        <v>1</v>
      </c>
      <c r="C12107" t="str">
        <f t="shared" si="674"/>
        <v>243</v>
      </c>
      <c r="D12107" t="str">
        <f>"27"</f>
        <v>27</v>
      </c>
      <c r="E12107" t="str">
        <f>"1-243-27"</f>
        <v>1-243-27</v>
      </c>
      <c r="F12107" t="s">
        <v>65</v>
      </c>
      <c r="G12107" t="s">
        <v>66</v>
      </c>
      <c r="H12107" t="s">
        <v>67</v>
      </c>
      <c r="S12107">
        <v>1</v>
      </c>
      <c r="T12107">
        <v>0</v>
      </c>
      <c r="U12107">
        <v>0</v>
      </c>
      <c r="V12107">
        <v>0</v>
      </c>
      <c r="W12107">
        <v>1</v>
      </c>
      <c r="X12107">
        <v>0</v>
      </c>
      <c r="Y12107">
        <v>1</v>
      </c>
      <c r="Z12107">
        <v>0</v>
      </c>
      <c r="AA12107">
        <v>0</v>
      </c>
      <c r="AB12107">
        <v>1</v>
      </c>
      <c r="AC12107">
        <v>0</v>
      </c>
      <c r="AD12107">
        <v>0</v>
      </c>
      <c r="AE12107">
        <v>0</v>
      </c>
      <c r="AF12107">
        <v>0</v>
      </c>
      <c r="AG12107">
        <v>0</v>
      </c>
      <c r="AH12107">
        <v>0</v>
      </c>
      <c r="AI12107">
        <v>0</v>
      </c>
      <c r="AJ12107">
        <v>0</v>
      </c>
      <c r="AK12107">
        <v>0</v>
      </c>
      <c r="AL12107">
        <v>1</v>
      </c>
      <c r="AM12107">
        <v>1</v>
      </c>
    </row>
    <row r="12108" spans="1:39" x14ac:dyDescent="0.2">
      <c r="A12108" t="str">
        <f>"12104"</f>
        <v>12104</v>
      </c>
      <c r="B12108" t="str">
        <f t="shared" si="672"/>
        <v>1</v>
      </c>
      <c r="C12108" t="str">
        <f t="shared" si="674"/>
        <v>243</v>
      </c>
      <c r="D12108" t="str">
        <f>"15"</f>
        <v>15</v>
      </c>
      <c r="E12108" t="str">
        <f>"1-243-15"</f>
        <v>1-243-15</v>
      </c>
      <c r="F12108" t="s">
        <v>65</v>
      </c>
      <c r="G12108" t="s">
        <v>66</v>
      </c>
      <c r="H12108" t="s">
        <v>67</v>
      </c>
      <c r="S12108">
        <v>1</v>
      </c>
      <c r="T12108">
        <v>0</v>
      </c>
      <c r="U12108">
        <v>0</v>
      </c>
      <c r="V12108">
        <v>0</v>
      </c>
      <c r="W12108">
        <v>1</v>
      </c>
      <c r="X12108">
        <v>0</v>
      </c>
      <c r="Y12108">
        <v>1</v>
      </c>
      <c r="Z12108">
        <v>0</v>
      </c>
      <c r="AA12108">
        <v>0</v>
      </c>
      <c r="AB12108">
        <v>0</v>
      </c>
      <c r="AC12108">
        <v>1</v>
      </c>
      <c r="AD12108">
        <v>1</v>
      </c>
      <c r="AE12108">
        <v>1</v>
      </c>
      <c r="AF12108">
        <v>1</v>
      </c>
      <c r="AG12108">
        <v>1</v>
      </c>
      <c r="AH12108">
        <v>1</v>
      </c>
      <c r="AI12108">
        <v>1</v>
      </c>
      <c r="AJ12108">
        <v>1</v>
      </c>
      <c r="AK12108">
        <v>1</v>
      </c>
      <c r="AL12108">
        <v>1</v>
      </c>
      <c r="AM12108">
        <v>1</v>
      </c>
    </row>
    <row r="12109" spans="1:39" x14ac:dyDescent="0.2">
      <c r="A12109" t="str">
        <f>"12105"</f>
        <v>12105</v>
      </c>
      <c r="B12109" t="str">
        <f t="shared" si="672"/>
        <v>1</v>
      </c>
      <c r="C12109" t="str">
        <f t="shared" si="674"/>
        <v>243</v>
      </c>
      <c r="D12109" t="str">
        <f>"8"</f>
        <v>8</v>
      </c>
      <c r="E12109" t="str">
        <f>"1-243-8"</f>
        <v>1-243-8</v>
      </c>
      <c r="F12109" t="s">
        <v>65</v>
      </c>
      <c r="G12109" t="s">
        <v>66</v>
      </c>
      <c r="H12109" t="s">
        <v>67</v>
      </c>
      <c r="S12109">
        <v>1</v>
      </c>
      <c r="T12109">
        <v>0</v>
      </c>
      <c r="U12109">
        <v>0</v>
      </c>
      <c r="V12109">
        <v>0</v>
      </c>
      <c r="W12109">
        <v>1</v>
      </c>
      <c r="X12109">
        <v>0</v>
      </c>
      <c r="Y12109">
        <v>1</v>
      </c>
      <c r="Z12109">
        <v>0</v>
      </c>
      <c r="AA12109">
        <v>1</v>
      </c>
      <c r="AB12109">
        <v>0</v>
      </c>
      <c r="AC12109">
        <v>0</v>
      </c>
      <c r="AD12109">
        <v>0</v>
      </c>
      <c r="AE12109">
        <v>0</v>
      </c>
      <c r="AF12109">
        <v>0</v>
      </c>
      <c r="AG12109">
        <v>0</v>
      </c>
      <c r="AH12109">
        <v>0</v>
      </c>
      <c r="AI12109">
        <v>0</v>
      </c>
      <c r="AJ12109">
        <v>0</v>
      </c>
      <c r="AK12109">
        <v>0</v>
      </c>
      <c r="AL12109">
        <v>0</v>
      </c>
      <c r="AM12109">
        <v>0</v>
      </c>
    </row>
    <row r="12110" spans="1:39" x14ac:dyDescent="0.2">
      <c r="A12110" t="str">
        <f>"12106"</f>
        <v>12106</v>
      </c>
      <c r="B12110" t="str">
        <f t="shared" si="672"/>
        <v>1</v>
      </c>
      <c r="C12110" t="str">
        <f t="shared" si="674"/>
        <v>243</v>
      </c>
      <c r="D12110" t="str">
        <f>"36"</f>
        <v>36</v>
      </c>
      <c r="E12110" t="str">
        <f>"1-243-36"</f>
        <v>1-243-36</v>
      </c>
      <c r="F12110" t="s">
        <v>65</v>
      </c>
      <c r="G12110" t="s">
        <v>66</v>
      </c>
      <c r="H12110" t="s">
        <v>67</v>
      </c>
      <c r="S12110">
        <v>0</v>
      </c>
      <c r="T12110">
        <v>1</v>
      </c>
      <c r="U12110">
        <v>0</v>
      </c>
      <c r="V12110">
        <v>0</v>
      </c>
      <c r="W12110">
        <v>1</v>
      </c>
      <c r="X12110">
        <v>0</v>
      </c>
      <c r="Y12110">
        <v>0</v>
      </c>
      <c r="Z12110">
        <v>0</v>
      </c>
      <c r="AA12110">
        <v>0</v>
      </c>
      <c r="AB12110">
        <v>0</v>
      </c>
      <c r="AC12110">
        <v>0</v>
      </c>
      <c r="AD12110">
        <v>0</v>
      </c>
      <c r="AE12110">
        <v>0</v>
      </c>
      <c r="AF12110">
        <v>0</v>
      </c>
      <c r="AG12110">
        <v>1</v>
      </c>
      <c r="AH12110">
        <v>1</v>
      </c>
      <c r="AI12110">
        <v>0</v>
      </c>
      <c r="AJ12110">
        <v>0</v>
      </c>
      <c r="AK12110">
        <v>1</v>
      </c>
      <c r="AL12110">
        <v>0</v>
      </c>
      <c r="AM12110">
        <v>0</v>
      </c>
    </row>
    <row r="12111" spans="1:39" x14ac:dyDescent="0.2">
      <c r="A12111" t="str">
        <f>"12107"</f>
        <v>12107</v>
      </c>
      <c r="B12111" t="str">
        <f t="shared" si="672"/>
        <v>1</v>
      </c>
      <c r="C12111" t="str">
        <f t="shared" si="674"/>
        <v>243</v>
      </c>
      <c r="D12111" t="str">
        <f>"35"</f>
        <v>35</v>
      </c>
      <c r="E12111" t="str">
        <f>"1-243-35"</f>
        <v>1-243-35</v>
      </c>
      <c r="F12111" t="s">
        <v>65</v>
      </c>
      <c r="G12111" t="s">
        <v>66</v>
      </c>
      <c r="H12111" t="s">
        <v>67</v>
      </c>
      <c r="S12111">
        <v>1</v>
      </c>
      <c r="T12111">
        <v>0</v>
      </c>
      <c r="U12111">
        <v>0</v>
      </c>
      <c r="V12111">
        <v>0</v>
      </c>
      <c r="W12111">
        <v>1</v>
      </c>
      <c r="X12111">
        <v>0</v>
      </c>
      <c r="Y12111">
        <v>1</v>
      </c>
      <c r="Z12111">
        <v>0</v>
      </c>
      <c r="AA12111">
        <v>1</v>
      </c>
      <c r="AB12111">
        <v>0</v>
      </c>
      <c r="AC12111">
        <v>0</v>
      </c>
      <c r="AD12111">
        <v>1</v>
      </c>
      <c r="AE12111">
        <v>1</v>
      </c>
      <c r="AF12111">
        <v>1</v>
      </c>
      <c r="AG12111">
        <v>1</v>
      </c>
      <c r="AH12111">
        <v>1</v>
      </c>
      <c r="AI12111">
        <v>1</v>
      </c>
      <c r="AJ12111">
        <v>1</v>
      </c>
      <c r="AK12111">
        <v>1</v>
      </c>
      <c r="AL12111">
        <v>1</v>
      </c>
      <c r="AM12111">
        <v>1</v>
      </c>
    </row>
    <row r="12112" spans="1:39" x14ac:dyDescent="0.2">
      <c r="A12112" t="str">
        <f>"12108"</f>
        <v>12108</v>
      </c>
      <c r="B12112" t="str">
        <f t="shared" si="672"/>
        <v>1</v>
      </c>
      <c r="C12112" t="str">
        <f t="shared" si="674"/>
        <v>243</v>
      </c>
      <c r="D12112" t="str">
        <f>"25"</f>
        <v>25</v>
      </c>
      <c r="E12112" t="str">
        <f>"1-243-25"</f>
        <v>1-243-25</v>
      </c>
      <c r="F12112" t="s">
        <v>65</v>
      </c>
      <c r="G12112" t="s">
        <v>66</v>
      </c>
      <c r="H12112" t="s">
        <v>67</v>
      </c>
      <c r="S12112">
        <v>1</v>
      </c>
      <c r="T12112">
        <v>0</v>
      </c>
      <c r="U12112">
        <v>0</v>
      </c>
      <c r="V12112">
        <v>0</v>
      </c>
      <c r="W12112">
        <v>1</v>
      </c>
      <c r="X12112">
        <v>0</v>
      </c>
      <c r="Y12112">
        <v>1</v>
      </c>
      <c r="Z12112">
        <v>0</v>
      </c>
      <c r="AA12112">
        <v>1</v>
      </c>
      <c r="AB12112">
        <v>0</v>
      </c>
      <c r="AC12112">
        <v>0</v>
      </c>
      <c r="AD12112">
        <v>1</v>
      </c>
      <c r="AE12112">
        <v>1</v>
      </c>
      <c r="AF12112">
        <v>1</v>
      </c>
      <c r="AG12112">
        <v>1</v>
      </c>
      <c r="AH12112">
        <v>1</v>
      </c>
      <c r="AI12112">
        <v>1</v>
      </c>
      <c r="AJ12112">
        <v>1</v>
      </c>
      <c r="AK12112">
        <v>1</v>
      </c>
      <c r="AL12112">
        <v>1</v>
      </c>
      <c r="AM12112">
        <v>1</v>
      </c>
    </row>
    <row r="12113" spans="1:39" x14ac:dyDescent="0.2">
      <c r="A12113" t="str">
        <f>"12109"</f>
        <v>12109</v>
      </c>
      <c r="B12113" t="str">
        <f t="shared" si="672"/>
        <v>1</v>
      </c>
      <c r="C12113" t="str">
        <f t="shared" si="674"/>
        <v>243</v>
      </c>
      <c r="D12113" t="str">
        <f>"16"</f>
        <v>16</v>
      </c>
      <c r="E12113" t="str">
        <f>"1-243-16"</f>
        <v>1-243-16</v>
      </c>
      <c r="F12113" t="s">
        <v>65</v>
      </c>
      <c r="G12113" t="s">
        <v>66</v>
      </c>
      <c r="H12113" t="s">
        <v>67</v>
      </c>
      <c r="S12113">
        <v>1</v>
      </c>
      <c r="T12113">
        <v>0</v>
      </c>
      <c r="U12113">
        <v>0</v>
      </c>
      <c r="V12113">
        <v>0</v>
      </c>
      <c r="W12113">
        <v>1</v>
      </c>
      <c r="X12113">
        <v>0</v>
      </c>
      <c r="Y12113">
        <v>0</v>
      </c>
      <c r="Z12113">
        <v>1</v>
      </c>
      <c r="AA12113">
        <v>1</v>
      </c>
      <c r="AB12113">
        <v>0</v>
      </c>
      <c r="AC12113">
        <v>0</v>
      </c>
      <c r="AD12113">
        <v>1</v>
      </c>
      <c r="AE12113">
        <v>1</v>
      </c>
      <c r="AF12113">
        <v>1</v>
      </c>
      <c r="AG12113">
        <v>1</v>
      </c>
      <c r="AH12113">
        <v>1</v>
      </c>
      <c r="AI12113">
        <v>1</v>
      </c>
      <c r="AJ12113">
        <v>1</v>
      </c>
      <c r="AK12113">
        <v>1</v>
      </c>
      <c r="AL12113">
        <v>1</v>
      </c>
      <c r="AM12113">
        <v>1</v>
      </c>
    </row>
    <row r="12114" spans="1:39" x14ac:dyDescent="0.2">
      <c r="A12114" t="str">
        <f>"12110"</f>
        <v>12110</v>
      </c>
      <c r="B12114" t="str">
        <f t="shared" si="672"/>
        <v>1</v>
      </c>
      <c r="C12114" t="str">
        <f t="shared" si="674"/>
        <v>243</v>
      </c>
      <c r="D12114" t="str">
        <f>"5"</f>
        <v>5</v>
      </c>
      <c r="E12114" t="str">
        <f>"1-243-5"</f>
        <v>1-243-5</v>
      </c>
      <c r="F12114" t="s">
        <v>65</v>
      </c>
      <c r="G12114" t="s">
        <v>66</v>
      </c>
      <c r="H12114" t="s">
        <v>67</v>
      </c>
      <c r="S12114">
        <v>1</v>
      </c>
      <c r="T12114">
        <v>0</v>
      </c>
      <c r="U12114">
        <v>0</v>
      </c>
      <c r="V12114">
        <v>0</v>
      </c>
      <c r="W12114">
        <v>1</v>
      </c>
      <c r="X12114">
        <v>0</v>
      </c>
      <c r="Y12114">
        <v>1</v>
      </c>
      <c r="Z12114">
        <v>0</v>
      </c>
      <c r="AA12114">
        <v>1</v>
      </c>
      <c r="AB12114">
        <v>0</v>
      </c>
      <c r="AC12114">
        <v>0</v>
      </c>
      <c r="AD12114">
        <v>1</v>
      </c>
      <c r="AE12114">
        <v>1</v>
      </c>
      <c r="AF12114">
        <v>1</v>
      </c>
      <c r="AG12114">
        <v>1</v>
      </c>
      <c r="AH12114">
        <v>1</v>
      </c>
      <c r="AI12114">
        <v>1</v>
      </c>
      <c r="AJ12114">
        <v>1</v>
      </c>
      <c r="AK12114">
        <v>1</v>
      </c>
      <c r="AL12114">
        <v>1</v>
      </c>
      <c r="AM12114">
        <v>1</v>
      </c>
    </row>
    <row r="12115" spans="1:39" x14ac:dyDescent="0.2">
      <c r="A12115" t="str">
        <f>"12111"</f>
        <v>12111</v>
      </c>
      <c r="B12115" t="str">
        <f t="shared" si="672"/>
        <v>1</v>
      </c>
      <c r="C12115" t="str">
        <f t="shared" si="674"/>
        <v>243</v>
      </c>
      <c r="D12115" t="str">
        <f>"40"</f>
        <v>40</v>
      </c>
      <c r="E12115" t="str">
        <f>"1-243-40"</f>
        <v>1-243-40</v>
      </c>
      <c r="F12115" t="s">
        <v>65</v>
      </c>
      <c r="G12115" t="s">
        <v>66</v>
      </c>
      <c r="H12115" t="s">
        <v>67</v>
      </c>
      <c r="S12115">
        <v>1</v>
      </c>
      <c r="T12115">
        <v>0</v>
      </c>
      <c r="U12115">
        <v>0</v>
      </c>
      <c r="V12115">
        <v>0</v>
      </c>
      <c r="W12115">
        <v>1</v>
      </c>
      <c r="X12115">
        <v>0</v>
      </c>
      <c r="Y12115">
        <v>1</v>
      </c>
      <c r="Z12115">
        <v>0</v>
      </c>
      <c r="AA12115">
        <v>1</v>
      </c>
      <c r="AB12115">
        <v>0</v>
      </c>
      <c r="AC12115">
        <v>0</v>
      </c>
      <c r="AD12115">
        <v>1</v>
      </c>
      <c r="AE12115">
        <v>1</v>
      </c>
      <c r="AF12115">
        <v>1</v>
      </c>
      <c r="AG12115">
        <v>1</v>
      </c>
      <c r="AH12115">
        <v>1</v>
      </c>
      <c r="AI12115">
        <v>1</v>
      </c>
      <c r="AJ12115">
        <v>1</v>
      </c>
      <c r="AK12115">
        <v>1</v>
      </c>
      <c r="AL12115">
        <v>1</v>
      </c>
      <c r="AM12115">
        <v>1</v>
      </c>
    </row>
    <row r="12116" spans="1:39" x14ac:dyDescent="0.2">
      <c r="A12116" t="str">
        <f>"12112"</f>
        <v>12112</v>
      </c>
      <c r="B12116" t="str">
        <f t="shared" si="672"/>
        <v>1</v>
      </c>
      <c r="C12116" t="str">
        <f t="shared" si="674"/>
        <v>243</v>
      </c>
      <c r="D12116" t="str">
        <f>"39"</f>
        <v>39</v>
      </c>
      <c r="E12116" t="str">
        <f>"1-243-39"</f>
        <v>1-243-39</v>
      </c>
      <c r="F12116" t="s">
        <v>65</v>
      </c>
      <c r="G12116" t="s">
        <v>66</v>
      </c>
      <c r="H12116" t="s">
        <v>67</v>
      </c>
      <c r="S12116">
        <v>0</v>
      </c>
      <c r="T12116">
        <v>1</v>
      </c>
      <c r="U12116">
        <v>0</v>
      </c>
      <c r="V12116">
        <v>0</v>
      </c>
      <c r="W12116">
        <v>1</v>
      </c>
      <c r="X12116">
        <v>0</v>
      </c>
      <c r="Y12116">
        <v>0</v>
      </c>
      <c r="Z12116">
        <v>1</v>
      </c>
      <c r="AA12116">
        <v>0</v>
      </c>
      <c r="AB12116">
        <v>1</v>
      </c>
      <c r="AC12116">
        <v>0</v>
      </c>
      <c r="AD12116">
        <v>1</v>
      </c>
      <c r="AE12116">
        <v>1</v>
      </c>
      <c r="AF12116">
        <v>1</v>
      </c>
      <c r="AG12116">
        <v>1</v>
      </c>
      <c r="AH12116">
        <v>1</v>
      </c>
      <c r="AI12116">
        <v>1</v>
      </c>
      <c r="AJ12116">
        <v>1</v>
      </c>
      <c r="AK12116">
        <v>1</v>
      </c>
      <c r="AL12116">
        <v>1</v>
      </c>
      <c r="AM12116">
        <v>1</v>
      </c>
    </row>
    <row r="12117" spans="1:39" x14ac:dyDescent="0.2">
      <c r="A12117" t="str">
        <f>"12113"</f>
        <v>12113</v>
      </c>
      <c r="B12117" t="str">
        <f t="shared" si="672"/>
        <v>1</v>
      </c>
      <c r="C12117" t="str">
        <f t="shared" si="674"/>
        <v>243</v>
      </c>
      <c r="D12117" t="str">
        <f>"31"</f>
        <v>31</v>
      </c>
      <c r="E12117" t="str">
        <f>"1-243-31"</f>
        <v>1-243-31</v>
      </c>
      <c r="F12117" t="s">
        <v>65</v>
      </c>
      <c r="G12117" t="s">
        <v>66</v>
      </c>
      <c r="H12117" t="s">
        <v>67</v>
      </c>
      <c r="S12117">
        <v>1</v>
      </c>
      <c r="T12117">
        <v>0</v>
      </c>
      <c r="U12117">
        <v>0</v>
      </c>
      <c r="V12117">
        <v>0</v>
      </c>
      <c r="W12117">
        <v>1</v>
      </c>
      <c r="X12117">
        <v>0</v>
      </c>
      <c r="Y12117">
        <v>1</v>
      </c>
      <c r="Z12117">
        <v>0</v>
      </c>
      <c r="AA12117">
        <v>1</v>
      </c>
      <c r="AB12117">
        <v>0</v>
      </c>
      <c r="AC12117">
        <v>0</v>
      </c>
      <c r="AD12117">
        <v>1</v>
      </c>
      <c r="AE12117">
        <v>1</v>
      </c>
      <c r="AF12117">
        <v>1</v>
      </c>
      <c r="AG12117">
        <v>1</v>
      </c>
      <c r="AH12117">
        <v>1</v>
      </c>
      <c r="AI12117">
        <v>1</v>
      </c>
      <c r="AJ12117">
        <v>1</v>
      </c>
      <c r="AK12117">
        <v>1</v>
      </c>
      <c r="AL12117">
        <v>1</v>
      </c>
      <c r="AM12117">
        <v>1</v>
      </c>
    </row>
    <row r="12118" spans="1:39" x14ac:dyDescent="0.2">
      <c r="A12118" t="str">
        <f>"12114"</f>
        <v>12114</v>
      </c>
      <c r="B12118" t="str">
        <f t="shared" si="672"/>
        <v>1</v>
      </c>
      <c r="C12118" t="str">
        <f t="shared" si="674"/>
        <v>243</v>
      </c>
      <c r="D12118" t="str">
        <f>"17"</f>
        <v>17</v>
      </c>
      <c r="E12118" t="str">
        <f>"1-243-17"</f>
        <v>1-243-17</v>
      </c>
      <c r="F12118" t="s">
        <v>65</v>
      </c>
      <c r="G12118" t="s">
        <v>66</v>
      </c>
      <c r="H12118" t="s">
        <v>67</v>
      </c>
      <c r="S12118">
        <v>0</v>
      </c>
      <c r="T12118">
        <v>1</v>
      </c>
      <c r="U12118">
        <v>0</v>
      </c>
      <c r="V12118">
        <v>0</v>
      </c>
      <c r="W12118">
        <v>1</v>
      </c>
      <c r="X12118">
        <v>0</v>
      </c>
      <c r="Y12118">
        <v>0</v>
      </c>
      <c r="Z12118">
        <v>1</v>
      </c>
      <c r="AA12118">
        <v>0</v>
      </c>
      <c r="AB12118">
        <v>0</v>
      </c>
      <c r="AC12118">
        <v>1</v>
      </c>
      <c r="AD12118">
        <v>1</v>
      </c>
      <c r="AE12118">
        <v>1</v>
      </c>
      <c r="AF12118">
        <v>1</v>
      </c>
      <c r="AG12118">
        <v>1</v>
      </c>
      <c r="AH12118">
        <v>1</v>
      </c>
      <c r="AI12118">
        <v>1</v>
      </c>
      <c r="AJ12118">
        <v>1</v>
      </c>
      <c r="AK12118">
        <v>1</v>
      </c>
      <c r="AL12118">
        <v>1</v>
      </c>
      <c r="AM12118">
        <v>1</v>
      </c>
    </row>
    <row r="12119" spans="1:39" x14ac:dyDescent="0.2">
      <c r="A12119" t="str">
        <f>"12115"</f>
        <v>12115</v>
      </c>
      <c r="B12119" t="str">
        <f t="shared" si="672"/>
        <v>1</v>
      </c>
      <c r="C12119" t="str">
        <f t="shared" si="674"/>
        <v>243</v>
      </c>
      <c r="D12119" t="str">
        <f>"3"</f>
        <v>3</v>
      </c>
      <c r="E12119" t="str">
        <f>"1-243-3"</f>
        <v>1-243-3</v>
      </c>
      <c r="F12119" t="s">
        <v>65</v>
      </c>
      <c r="G12119" t="s">
        <v>66</v>
      </c>
      <c r="H12119" t="s">
        <v>67</v>
      </c>
      <c r="S12119">
        <v>1</v>
      </c>
      <c r="T12119">
        <v>0</v>
      </c>
      <c r="U12119">
        <v>0</v>
      </c>
      <c r="V12119">
        <v>0</v>
      </c>
      <c r="W12119">
        <v>1</v>
      </c>
      <c r="X12119">
        <v>0</v>
      </c>
      <c r="Y12119">
        <v>1</v>
      </c>
      <c r="Z12119">
        <v>0</v>
      </c>
      <c r="AA12119">
        <v>1</v>
      </c>
      <c r="AB12119">
        <v>0</v>
      </c>
      <c r="AC12119">
        <v>0</v>
      </c>
      <c r="AD12119">
        <v>1</v>
      </c>
      <c r="AE12119">
        <v>1</v>
      </c>
      <c r="AF12119">
        <v>1</v>
      </c>
      <c r="AG12119">
        <v>1</v>
      </c>
      <c r="AH12119">
        <v>1</v>
      </c>
      <c r="AI12119">
        <v>1</v>
      </c>
      <c r="AJ12119">
        <v>1</v>
      </c>
      <c r="AK12119">
        <v>1</v>
      </c>
      <c r="AL12119">
        <v>1</v>
      </c>
      <c r="AM12119">
        <v>1</v>
      </c>
    </row>
    <row r="12120" spans="1:39" x14ac:dyDescent="0.2">
      <c r="A12120" t="str">
        <f>"12116"</f>
        <v>12116</v>
      </c>
      <c r="B12120" t="str">
        <f t="shared" si="672"/>
        <v>1</v>
      </c>
      <c r="C12120" t="str">
        <f t="shared" si="674"/>
        <v>243</v>
      </c>
      <c r="D12120" t="str">
        <f>"47"</f>
        <v>47</v>
      </c>
      <c r="E12120" t="str">
        <f>"1-243-47"</f>
        <v>1-243-47</v>
      </c>
      <c r="F12120" t="s">
        <v>65</v>
      </c>
      <c r="G12120" t="s">
        <v>66</v>
      </c>
      <c r="H12120" t="s">
        <v>67</v>
      </c>
      <c r="S12120">
        <v>0</v>
      </c>
      <c r="T12120">
        <v>1</v>
      </c>
      <c r="U12120">
        <v>0</v>
      </c>
      <c r="V12120">
        <v>0</v>
      </c>
      <c r="W12120">
        <v>1</v>
      </c>
      <c r="X12120">
        <v>0</v>
      </c>
      <c r="Y12120">
        <v>1</v>
      </c>
      <c r="Z12120">
        <v>0</v>
      </c>
      <c r="AA12120">
        <v>0</v>
      </c>
      <c r="AB12120">
        <v>0</v>
      </c>
      <c r="AC12120">
        <v>0</v>
      </c>
      <c r="AD12120">
        <v>1</v>
      </c>
      <c r="AE12120">
        <v>1</v>
      </c>
      <c r="AF12120">
        <v>1</v>
      </c>
      <c r="AG12120">
        <v>1</v>
      </c>
      <c r="AH12120">
        <v>1</v>
      </c>
      <c r="AI12120">
        <v>1</v>
      </c>
      <c r="AJ12120">
        <v>1</v>
      </c>
      <c r="AK12120">
        <v>1</v>
      </c>
      <c r="AL12120">
        <v>1</v>
      </c>
      <c r="AM12120">
        <v>1</v>
      </c>
    </row>
    <row r="12121" spans="1:39" x14ac:dyDescent="0.2">
      <c r="A12121" t="str">
        <f>"12117"</f>
        <v>12117</v>
      </c>
      <c r="B12121" t="str">
        <f t="shared" si="672"/>
        <v>1</v>
      </c>
      <c r="C12121" t="str">
        <f t="shared" si="674"/>
        <v>243</v>
      </c>
      <c r="D12121" t="str">
        <f>"46"</f>
        <v>46</v>
      </c>
      <c r="E12121" t="str">
        <f>"1-243-46"</f>
        <v>1-243-46</v>
      </c>
      <c r="F12121" t="s">
        <v>65</v>
      </c>
      <c r="G12121" t="s">
        <v>66</v>
      </c>
      <c r="H12121" t="s">
        <v>67</v>
      </c>
      <c r="S12121">
        <v>1</v>
      </c>
      <c r="T12121">
        <v>0</v>
      </c>
      <c r="U12121">
        <v>0</v>
      </c>
      <c r="V12121">
        <v>0</v>
      </c>
      <c r="W12121">
        <v>0</v>
      </c>
      <c r="X12121">
        <v>1</v>
      </c>
      <c r="Y12121">
        <v>1</v>
      </c>
      <c r="Z12121">
        <v>0</v>
      </c>
      <c r="AA12121">
        <v>0</v>
      </c>
      <c r="AB12121">
        <v>0</v>
      </c>
      <c r="AC12121">
        <v>0</v>
      </c>
      <c r="AD12121">
        <v>0</v>
      </c>
      <c r="AE12121">
        <v>0</v>
      </c>
      <c r="AF12121">
        <v>0</v>
      </c>
      <c r="AG12121">
        <v>0</v>
      </c>
      <c r="AH12121">
        <v>1</v>
      </c>
      <c r="AI12121">
        <v>1</v>
      </c>
      <c r="AJ12121">
        <v>1</v>
      </c>
      <c r="AK12121">
        <v>1</v>
      </c>
      <c r="AL12121">
        <v>1</v>
      </c>
      <c r="AM12121">
        <v>1</v>
      </c>
    </row>
    <row r="12122" spans="1:39" x14ac:dyDescent="0.2">
      <c r="A12122" t="str">
        <f>"12118"</f>
        <v>12118</v>
      </c>
      <c r="B12122" t="str">
        <f t="shared" si="672"/>
        <v>1</v>
      </c>
      <c r="C12122" t="str">
        <f t="shared" si="674"/>
        <v>243</v>
      </c>
      <c r="D12122" t="str">
        <f>"32"</f>
        <v>32</v>
      </c>
      <c r="E12122" t="str">
        <f>"1-243-32"</f>
        <v>1-243-32</v>
      </c>
      <c r="F12122" t="s">
        <v>65</v>
      </c>
      <c r="G12122" t="s">
        <v>66</v>
      </c>
      <c r="H12122" t="s">
        <v>67</v>
      </c>
      <c r="S12122">
        <v>1</v>
      </c>
      <c r="T12122">
        <v>0</v>
      </c>
      <c r="U12122">
        <v>0</v>
      </c>
      <c r="V12122">
        <v>0</v>
      </c>
      <c r="W12122">
        <v>1</v>
      </c>
      <c r="X12122">
        <v>0</v>
      </c>
      <c r="Y12122">
        <v>1</v>
      </c>
      <c r="Z12122">
        <v>0</v>
      </c>
      <c r="AA12122">
        <v>1</v>
      </c>
      <c r="AB12122">
        <v>0</v>
      </c>
      <c r="AC12122">
        <v>0</v>
      </c>
      <c r="AD12122">
        <v>0</v>
      </c>
      <c r="AE12122">
        <v>0</v>
      </c>
      <c r="AF12122">
        <v>0</v>
      </c>
      <c r="AG12122">
        <v>1</v>
      </c>
      <c r="AH12122">
        <v>1</v>
      </c>
      <c r="AI12122">
        <v>1</v>
      </c>
      <c r="AJ12122">
        <v>0</v>
      </c>
      <c r="AK12122">
        <v>0</v>
      </c>
      <c r="AL12122">
        <v>1</v>
      </c>
      <c r="AM12122">
        <v>0</v>
      </c>
    </row>
    <row r="12123" spans="1:39" x14ac:dyDescent="0.2">
      <c r="A12123" t="str">
        <f>"12119"</f>
        <v>12119</v>
      </c>
      <c r="B12123" t="str">
        <f t="shared" si="672"/>
        <v>1</v>
      </c>
      <c r="C12123" t="str">
        <f t="shared" si="674"/>
        <v>243</v>
      </c>
      <c r="D12123" t="str">
        <f>"18"</f>
        <v>18</v>
      </c>
      <c r="E12123" t="str">
        <f>"1-243-18"</f>
        <v>1-243-18</v>
      </c>
      <c r="F12123" t="s">
        <v>65</v>
      </c>
      <c r="G12123" t="s">
        <v>66</v>
      </c>
      <c r="H12123" t="s">
        <v>67</v>
      </c>
      <c r="S12123">
        <v>1</v>
      </c>
      <c r="T12123">
        <v>0</v>
      </c>
      <c r="U12123">
        <v>0</v>
      </c>
      <c r="V12123">
        <v>0</v>
      </c>
      <c r="W12123">
        <v>1</v>
      </c>
      <c r="X12123">
        <v>0</v>
      </c>
      <c r="Y12123">
        <v>0</v>
      </c>
      <c r="Z12123">
        <v>1</v>
      </c>
      <c r="AA12123">
        <v>0</v>
      </c>
      <c r="AB12123">
        <v>1</v>
      </c>
      <c r="AC12123">
        <v>0</v>
      </c>
      <c r="AD12123">
        <v>1</v>
      </c>
      <c r="AE12123">
        <v>1</v>
      </c>
      <c r="AF12123">
        <v>1</v>
      </c>
      <c r="AG12123">
        <v>1</v>
      </c>
      <c r="AH12123">
        <v>0</v>
      </c>
      <c r="AI12123">
        <v>0</v>
      </c>
      <c r="AJ12123">
        <v>1</v>
      </c>
      <c r="AK12123">
        <v>1</v>
      </c>
      <c r="AL12123">
        <v>1</v>
      </c>
      <c r="AM12123">
        <v>1</v>
      </c>
    </row>
    <row r="12124" spans="1:39" x14ac:dyDescent="0.2">
      <c r="A12124" t="str">
        <f>"12120"</f>
        <v>12120</v>
      </c>
      <c r="B12124" t="str">
        <f t="shared" si="672"/>
        <v>1</v>
      </c>
      <c r="C12124" t="str">
        <f t="shared" si="674"/>
        <v>243</v>
      </c>
      <c r="D12124" t="str">
        <f>"1"</f>
        <v>1</v>
      </c>
      <c r="E12124" t="str">
        <f>"1-243-1"</f>
        <v>1-243-1</v>
      </c>
      <c r="F12124" t="s">
        <v>65</v>
      </c>
      <c r="G12124" t="s">
        <v>66</v>
      </c>
      <c r="H12124" t="s">
        <v>67</v>
      </c>
      <c r="S12124">
        <v>1</v>
      </c>
      <c r="T12124">
        <v>0</v>
      </c>
      <c r="U12124">
        <v>0</v>
      </c>
      <c r="V12124">
        <v>0</v>
      </c>
      <c r="W12124">
        <v>1</v>
      </c>
      <c r="X12124">
        <v>0</v>
      </c>
      <c r="Y12124">
        <v>0</v>
      </c>
      <c r="Z12124">
        <v>1</v>
      </c>
      <c r="AA12124">
        <v>0</v>
      </c>
      <c r="AB12124">
        <v>1</v>
      </c>
      <c r="AC12124">
        <v>0</v>
      </c>
      <c r="AD12124">
        <v>1</v>
      </c>
      <c r="AE12124">
        <v>1</v>
      </c>
      <c r="AF12124">
        <v>1</v>
      </c>
      <c r="AG12124">
        <v>1</v>
      </c>
      <c r="AH12124">
        <v>1</v>
      </c>
      <c r="AI12124">
        <v>1</v>
      </c>
      <c r="AJ12124">
        <v>1</v>
      </c>
      <c r="AK12124">
        <v>1</v>
      </c>
      <c r="AL12124">
        <v>1</v>
      </c>
      <c r="AM12124">
        <v>1</v>
      </c>
    </row>
    <row r="12125" spans="1:39" x14ac:dyDescent="0.2">
      <c r="A12125" t="str">
        <f>"12121"</f>
        <v>12121</v>
      </c>
      <c r="B12125" t="str">
        <f t="shared" si="672"/>
        <v>1</v>
      </c>
      <c r="C12125" t="str">
        <f t="shared" si="674"/>
        <v>243</v>
      </c>
      <c r="D12125" t="str">
        <f>"43"</f>
        <v>43</v>
      </c>
      <c r="E12125" t="str">
        <f>"1-243-43"</f>
        <v>1-243-43</v>
      </c>
      <c r="F12125" t="s">
        <v>65</v>
      </c>
      <c r="G12125" t="s">
        <v>66</v>
      </c>
      <c r="H12125" t="s">
        <v>67</v>
      </c>
      <c r="S12125">
        <v>1</v>
      </c>
      <c r="T12125">
        <v>0</v>
      </c>
      <c r="U12125">
        <v>0</v>
      </c>
      <c r="V12125">
        <v>0</v>
      </c>
      <c r="W12125">
        <v>1</v>
      </c>
      <c r="X12125">
        <v>0</v>
      </c>
      <c r="Y12125">
        <v>1</v>
      </c>
      <c r="Z12125">
        <v>0</v>
      </c>
      <c r="AA12125">
        <v>0</v>
      </c>
      <c r="AB12125">
        <v>1</v>
      </c>
      <c r="AC12125">
        <v>0</v>
      </c>
      <c r="AD12125">
        <v>1</v>
      </c>
      <c r="AE12125">
        <v>1</v>
      </c>
      <c r="AF12125">
        <v>1</v>
      </c>
      <c r="AG12125">
        <v>1</v>
      </c>
      <c r="AH12125">
        <v>1</v>
      </c>
      <c r="AI12125">
        <v>1</v>
      </c>
      <c r="AJ12125">
        <v>1</v>
      </c>
      <c r="AK12125">
        <v>1</v>
      </c>
      <c r="AL12125">
        <v>1</v>
      </c>
      <c r="AM12125">
        <v>1</v>
      </c>
    </row>
    <row r="12126" spans="1:39" x14ac:dyDescent="0.2">
      <c r="A12126" t="str">
        <f>"12122"</f>
        <v>12122</v>
      </c>
      <c r="B12126" t="str">
        <f t="shared" si="672"/>
        <v>1</v>
      </c>
      <c r="C12126" t="str">
        <f t="shared" si="674"/>
        <v>243</v>
      </c>
      <c r="D12126" t="str">
        <f>"42"</f>
        <v>42</v>
      </c>
      <c r="E12126" t="str">
        <f>"1-243-42"</f>
        <v>1-243-42</v>
      </c>
      <c r="F12126" t="s">
        <v>65</v>
      </c>
      <c r="G12126" t="s">
        <v>66</v>
      </c>
      <c r="H12126" t="s">
        <v>67</v>
      </c>
      <c r="S12126">
        <v>1</v>
      </c>
      <c r="T12126">
        <v>0</v>
      </c>
      <c r="U12126">
        <v>0</v>
      </c>
      <c r="V12126">
        <v>0</v>
      </c>
      <c r="W12126">
        <v>1</v>
      </c>
      <c r="X12126">
        <v>0</v>
      </c>
      <c r="Y12126">
        <v>1</v>
      </c>
      <c r="Z12126">
        <v>0</v>
      </c>
      <c r="AA12126">
        <v>0</v>
      </c>
      <c r="AB12126">
        <v>1</v>
      </c>
      <c r="AC12126">
        <v>0</v>
      </c>
      <c r="AD12126">
        <v>1</v>
      </c>
      <c r="AE12126">
        <v>1</v>
      </c>
      <c r="AF12126">
        <v>1</v>
      </c>
      <c r="AG12126">
        <v>1</v>
      </c>
      <c r="AH12126">
        <v>1</v>
      </c>
      <c r="AI12126">
        <v>1</v>
      </c>
      <c r="AJ12126">
        <v>1</v>
      </c>
      <c r="AK12126">
        <v>1</v>
      </c>
      <c r="AL12126">
        <v>1</v>
      </c>
      <c r="AM12126">
        <v>1</v>
      </c>
    </row>
    <row r="12127" spans="1:39" x14ac:dyDescent="0.2">
      <c r="A12127" t="str">
        <f>"12123"</f>
        <v>12123</v>
      </c>
      <c r="B12127" t="str">
        <f t="shared" si="672"/>
        <v>1</v>
      </c>
      <c r="C12127" t="str">
        <f t="shared" si="674"/>
        <v>243</v>
      </c>
      <c r="D12127" t="str">
        <f>"33"</f>
        <v>33</v>
      </c>
      <c r="E12127" t="str">
        <f>"1-243-33"</f>
        <v>1-243-33</v>
      </c>
      <c r="F12127" t="s">
        <v>65</v>
      </c>
      <c r="G12127" t="s">
        <v>66</v>
      </c>
      <c r="H12127" t="s">
        <v>67</v>
      </c>
      <c r="S12127">
        <v>1</v>
      </c>
      <c r="T12127">
        <v>0</v>
      </c>
      <c r="U12127">
        <v>0</v>
      </c>
      <c r="V12127">
        <v>0</v>
      </c>
      <c r="W12127">
        <v>1</v>
      </c>
      <c r="X12127">
        <v>0</v>
      </c>
      <c r="Y12127">
        <v>1</v>
      </c>
      <c r="Z12127">
        <v>0</v>
      </c>
      <c r="AA12127">
        <v>1</v>
      </c>
      <c r="AB12127">
        <v>0</v>
      </c>
      <c r="AC12127">
        <v>0</v>
      </c>
      <c r="AD12127">
        <v>1</v>
      </c>
      <c r="AE12127">
        <v>1</v>
      </c>
      <c r="AF12127">
        <v>1</v>
      </c>
      <c r="AG12127">
        <v>1</v>
      </c>
      <c r="AH12127">
        <v>1</v>
      </c>
      <c r="AI12127">
        <v>1</v>
      </c>
      <c r="AJ12127">
        <v>1</v>
      </c>
      <c r="AK12127">
        <v>1</v>
      </c>
      <c r="AL12127">
        <v>1</v>
      </c>
      <c r="AM12127">
        <v>1</v>
      </c>
    </row>
    <row r="12128" spans="1:39" x14ac:dyDescent="0.2">
      <c r="A12128" t="str">
        <f>"12124"</f>
        <v>12124</v>
      </c>
      <c r="B12128" t="str">
        <f t="shared" si="672"/>
        <v>1</v>
      </c>
      <c r="C12128" t="str">
        <f t="shared" si="674"/>
        <v>243</v>
      </c>
      <c r="D12128" t="str">
        <f>"19"</f>
        <v>19</v>
      </c>
      <c r="E12128" t="str">
        <f>"1-243-19"</f>
        <v>1-243-19</v>
      </c>
      <c r="F12128" t="s">
        <v>65</v>
      </c>
      <c r="G12128" t="s">
        <v>66</v>
      </c>
      <c r="H12128" t="s">
        <v>67</v>
      </c>
      <c r="S12128">
        <v>1</v>
      </c>
      <c r="T12128">
        <v>0</v>
      </c>
      <c r="U12128">
        <v>0</v>
      </c>
      <c r="V12128">
        <v>0</v>
      </c>
      <c r="W12128">
        <v>1</v>
      </c>
      <c r="X12128">
        <v>0</v>
      </c>
      <c r="Y12128">
        <v>1</v>
      </c>
      <c r="Z12128">
        <v>0</v>
      </c>
      <c r="AA12128">
        <v>0</v>
      </c>
      <c r="AB12128">
        <v>0</v>
      </c>
      <c r="AC12128">
        <v>1</v>
      </c>
      <c r="AD12128">
        <v>1</v>
      </c>
      <c r="AE12128">
        <v>1</v>
      </c>
      <c r="AF12128">
        <v>1</v>
      </c>
      <c r="AG12128">
        <v>1</v>
      </c>
      <c r="AH12128">
        <v>1</v>
      </c>
      <c r="AI12128">
        <v>1</v>
      </c>
      <c r="AJ12128">
        <v>1</v>
      </c>
      <c r="AK12128">
        <v>1</v>
      </c>
      <c r="AL12128">
        <v>1</v>
      </c>
      <c r="AM12128">
        <v>1</v>
      </c>
    </row>
    <row r="12129" spans="1:39" x14ac:dyDescent="0.2">
      <c r="A12129" t="str">
        <f>"12125"</f>
        <v>12125</v>
      </c>
      <c r="B12129" t="str">
        <f t="shared" si="672"/>
        <v>1</v>
      </c>
      <c r="C12129" t="str">
        <f t="shared" si="674"/>
        <v>243</v>
      </c>
      <c r="D12129" t="str">
        <f>"11"</f>
        <v>11</v>
      </c>
      <c r="E12129" t="str">
        <f>"1-243-11"</f>
        <v>1-243-11</v>
      </c>
      <c r="F12129" t="s">
        <v>65</v>
      </c>
      <c r="G12129" t="s">
        <v>66</v>
      </c>
      <c r="H12129" t="s">
        <v>67</v>
      </c>
      <c r="S12129">
        <v>0</v>
      </c>
      <c r="T12129">
        <v>1</v>
      </c>
      <c r="U12129">
        <v>0</v>
      </c>
      <c r="V12129">
        <v>0</v>
      </c>
      <c r="W12129">
        <v>0</v>
      </c>
      <c r="X12129">
        <v>1</v>
      </c>
      <c r="Y12129">
        <v>0</v>
      </c>
      <c r="Z12129">
        <v>1</v>
      </c>
      <c r="AA12129">
        <v>0</v>
      </c>
      <c r="AB12129">
        <v>0</v>
      </c>
      <c r="AC12129">
        <v>1</v>
      </c>
      <c r="AD12129">
        <v>1</v>
      </c>
      <c r="AE12129">
        <v>1</v>
      </c>
      <c r="AF12129">
        <v>1</v>
      </c>
      <c r="AG12129">
        <v>1</v>
      </c>
      <c r="AH12129">
        <v>1</v>
      </c>
      <c r="AI12129">
        <v>1</v>
      </c>
      <c r="AJ12129">
        <v>1</v>
      </c>
      <c r="AK12129">
        <v>1</v>
      </c>
      <c r="AL12129">
        <v>1</v>
      </c>
      <c r="AM12129">
        <v>1</v>
      </c>
    </row>
    <row r="12130" spans="1:39" x14ac:dyDescent="0.2">
      <c r="A12130" t="str">
        <f>"12126"</f>
        <v>12126</v>
      </c>
      <c r="B12130" t="str">
        <f t="shared" si="672"/>
        <v>1</v>
      </c>
      <c r="C12130" t="str">
        <f t="shared" si="674"/>
        <v>243</v>
      </c>
      <c r="D12130" t="str">
        <f>"50"</f>
        <v>50</v>
      </c>
      <c r="E12130" t="str">
        <f>"1-243-50"</f>
        <v>1-243-50</v>
      </c>
      <c r="F12130" t="s">
        <v>65</v>
      </c>
      <c r="G12130" t="s">
        <v>66</v>
      </c>
      <c r="H12130" t="s">
        <v>67</v>
      </c>
      <c r="S12130">
        <v>0</v>
      </c>
      <c r="T12130">
        <v>1</v>
      </c>
      <c r="U12130">
        <v>0</v>
      </c>
      <c r="V12130">
        <v>0</v>
      </c>
      <c r="W12130">
        <v>1</v>
      </c>
      <c r="X12130">
        <v>0</v>
      </c>
      <c r="Y12130">
        <v>1</v>
      </c>
      <c r="Z12130">
        <v>0</v>
      </c>
      <c r="AA12130">
        <v>0</v>
      </c>
      <c r="AB12130">
        <v>0</v>
      </c>
      <c r="AC12130">
        <v>0</v>
      </c>
      <c r="AD12130">
        <v>1</v>
      </c>
      <c r="AE12130">
        <v>1</v>
      </c>
      <c r="AF12130">
        <v>1</v>
      </c>
      <c r="AG12130">
        <v>1</v>
      </c>
      <c r="AH12130">
        <v>1</v>
      </c>
      <c r="AI12130">
        <v>1</v>
      </c>
      <c r="AJ12130">
        <v>1</v>
      </c>
      <c r="AK12130">
        <v>1</v>
      </c>
      <c r="AL12130">
        <v>1</v>
      </c>
      <c r="AM12130">
        <v>1</v>
      </c>
    </row>
    <row r="12131" spans="1:39" x14ac:dyDescent="0.2">
      <c r="A12131" t="str">
        <f>"12127"</f>
        <v>12127</v>
      </c>
      <c r="B12131" t="str">
        <f t="shared" si="672"/>
        <v>1</v>
      </c>
      <c r="C12131" t="str">
        <f t="shared" si="674"/>
        <v>243</v>
      </c>
      <c r="D12131" t="str">
        <f>"49"</f>
        <v>49</v>
      </c>
      <c r="E12131" t="str">
        <f>"1-243-49"</f>
        <v>1-243-49</v>
      </c>
      <c r="F12131" t="s">
        <v>65</v>
      </c>
      <c r="G12131" t="s">
        <v>66</v>
      </c>
      <c r="H12131" t="s">
        <v>67</v>
      </c>
      <c r="S12131">
        <v>1</v>
      </c>
      <c r="T12131">
        <v>0</v>
      </c>
      <c r="U12131">
        <v>0</v>
      </c>
      <c r="V12131">
        <v>0</v>
      </c>
      <c r="W12131">
        <v>1</v>
      </c>
      <c r="X12131">
        <v>0</v>
      </c>
      <c r="Y12131">
        <v>0</v>
      </c>
      <c r="Z12131">
        <v>1</v>
      </c>
      <c r="AA12131">
        <v>1</v>
      </c>
      <c r="AB12131">
        <v>0</v>
      </c>
      <c r="AC12131">
        <v>0</v>
      </c>
      <c r="AD12131">
        <v>1</v>
      </c>
      <c r="AE12131">
        <v>1</v>
      </c>
      <c r="AF12131">
        <v>1</v>
      </c>
      <c r="AG12131">
        <v>1</v>
      </c>
      <c r="AH12131">
        <v>1</v>
      </c>
      <c r="AI12131">
        <v>1</v>
      </c>
      <c r="AJ12131">
        <v>1</v>
      </c>
      <c r="AK12131">
        <v>1</v>
      </c>
      <c r="AL12131">
        <v>1</v>
      </c>
      <c r="AM12131">
        <v>1</v>
      </c>
    </row>
    <row r="12132" spans="1:39" x14ac:dyDescent="0.2">
      <c r="A12132" t="str">
        <f>"12128"</f>
        <v>12128</v>
      </c>
      <c r="B12132" t="str">
        <f t="shared" si="672"/>
        <v>1</v>
      </c>
      <c r="C12132" t="str">
        <f t="shared" si="674"/>
        <v>243</v>
      </c>
      <c r="D12132" t="str">
        <f>"34"</f>
        <v>34</v>
      </c>
      <c r="E12132" t="str">
        <f>"1-243-34"</f>
        <v>1-243-34</v>
      </c>
      <c r="F12132" t="s">
        <v>65</v>
      </c>
      <c r="G12132" t="s">
        <v>66</v>
      </c>
      <c r="H12132" t="s">
        <v>67</v>
      </c>
      <c r="S12132">
        <v>1</v>
      </c>
      <c r="T12132">
        <v>0</v>
      </c>
      <c r="U12132">
        <v>0</v>
      </c>
      <c r="V12132">
        <v>0</v>
      </c>
      <c r="W12132">
        <v>1</v>
      </c>
      <c r="X12132">
        <v>0</v>
      </c>
      <c r="Y12132">
        <v>1</v>
      </c>
      <c r="Z12132">
        <v>0</v>
      </c>
      <c r="AA12132">
        <v>1</v>
      </c>
      <c r="AB12132">
        <v>0</v>
      </c>
      <c r="AC12132">
        <v>0</v>
      </c>
      <c r="AD12132">
        <v>0</v>
      </c>
      <c r="AE12132">
        <v>0</v>
      </c>
      <c r="AF12132">
        <v>0</v>
      </c>
      <c r="AG12132">
        <v>0</v>
      </c>
      <c r="AH12132">
        <v>0</v>
      </c>
      <c r="AI12132">
        <v>0</v>
      </c>
      <c r="AJ12132">
        <v>0</v>
      </c>
      <c r="AK12132">
        <v>0</v>
      </c>
      <c r="AL12132">
        <v>1</v>
      </c>
      <c r="AM12132">
        <v>0</v>
      </c>
    </row>
    <row r="12133" spans="1:39" x14ac:dyDescent="0.2">
      <c r="A12133" t="str">
        <f>"12129"</f>
        <v>12129</v>
      </c>
      <c r="B12133" t="str">
        <f t="shared" si="672"/>
        <v>1</v>
      </c>
      <c r="C12133" t="str">
        <f t="shared" si="674"/>
        <v>243</v>
      </c>
      <c r="D12133" t="str">
        <f>"20"</f>
        <v>20</v>
      </c>
      <c r="E12133" t="str">
        <f>"1-243-20"</f>
        <v>1-243-20</v>
      </c>
      <c r="F12133" t="s">
        <v>65</v>
      </c>
      <c r="G12133" t="s">
        <v>66</v>
      </c>
      <c r="H12133" t="s">
        <v>67</v>
      </c>
      <c r="S12133">
        <v>1</v>
      </c>
      <c r="T12133">
        <v>0</v>
      </c>
      <c r="U12133">
        <v>0</v>
      </c>
      <c r="V12133">
        <v>0</v>
      </c>
      <c r="W12133">
        <v>1</v>
      </c>
      <c r="X12133">
        <v>0</v>
      </c>
      <c r="Y12133">
        <v>1</v>
      </c>
      <c r="Z12133">
        <v>0</v>
      </c>
      <c r="AA12133">
        <v>0</v>
      </c>
      <c r="AB12133">
        <v>0</v>
      </c>
      <c r="AC12133">
        <v>0</v>
      </c>
      <c r="AD12133">
        <v>1</v>
      </c>
      <c r="AE12133">
        <v>1</v>
      </c>
      <c r="AF12133">
        <v>1</v>
      </c>
      <c r="AG12133">
        <v>1</v>
      </c>
      <c r="AH12133">
        <v>1</v>
      </c>
      <c r="AI12133">
        <v>1</v>
      </c>
      <c r="AJ12133">
        <v>1</v>
      </c>
      <c r="AK12133">
        <v>1</v>
      </c>
      <c r="AL12133">
        <v>1</v>
      </c>
      <c r="AM12133">
        <v>1</v>
      </c>
    </row>
    <row r="12134" spans="1:39" x14ac:dyDescent="0.2">
      <c r="A12134" t="str">
        <f>"12130"</f>
        <v>12130</v>
      </c>
      <c r="B12134" t="str">
        <f t="shared" si="672"/>
        <v>1</v>
      </c>
      <c r="C12134" t="str">
        <f t="shared" si="674"/>
        <v>243</v>
      </c>
      <c r="D12134" t="str">
        <f>"7"</f>
        <v>7</v>
      </c>
      <c r="E12134" t="str">
        <f>"1-243-7"</f>
        <v>1-243-7</v>
      </c>
      <c r="F12134" t="s">
        <v>65</v>
      </c>
      <c r="G12134" t="s">
        <v>66</v>
      </c>
      <c r="H12134" t="s">
        <v>67</v>
      </c>
      <c r="S12134">
        <v>1</v>
      </c>
      <c r="T12134">
        <v>0</v>
      </c>
      <c r="U12134">
        <v>0</v>
      </c>
      <c r="V12134">
        <v>0</v>
      </c>
      <c r="W12134">
        <v>1</v>
      </c>
      <c r="X12134">
        <v>0</v>
      </c>
      <c r="Y12134">
        <v>1</v>
      </c>
      <c r="Z12134">
        <v>0</v>
      </c>
      <c r="AA12134">
        <v>1</v>
      </c>
      <c r="AB12134">
        <v>0</v>
      </c>
      <c r="AC12134">
        <v>0</v>
      </c>
      <c r="AD12134">
        <v>1</v>
      </c>
      <c r="AE12134">
        <v>1</v>
      </c>
      <c r="AF12134">
        <v>1</v>
      </c>
      <c r="AG12134">
        <v>1</v>
      </c>
      <c r="AH12134">
        <v>1</v>
      </c>
      <c r="AI12134">
        <v>1</v>
      </c>
      <c r="AJ12134">
        <v>1</v>
      </c>
      <c r="AK12134">
        <v>1</v>
      </c>
      <c r="AL12134">
        <v>1</v>
      </c>
      <c r="AM12134">
        <v>1</v>
      </c>
    </row>
    <row r="12135" spans="1:39" x14ac:dyDescent="0.2">
      <c r="A12135" t="str">
        <f>"12131"</f>
        <v>12131</v>
      </c>
      <c r="B12135" t="str">
        <f t="shared" si="672"/>
        <v>1</v>
      </c>
      <c r="C12135" t="str">
        <f t="shared" si="674"/>
        <v>243</v>
      </c>
      <c r="D12135" t="str">
        <f>"41"</f>
        <v>41</v>
      </c>
      <c r="E12135" t="str">
        <f>"1-243-41"</f>
        <v>1-243-41</v>
      </c>
      <c r="F12135" t="s">
        <v>65</v>
      </c>
      <c r="G12135" t="s">
        <v>66</v>
      </c>
      <c r="H12135" t="s">
        <v>67</v>
      </c>
      <c r="S12135">
        <v>1</v>
      </c>
      <c r="T12135">
        <v>0</v>
      </c>
      <c r="U12135">
        <v>0</v>
      </c>
      <c r="V12135">
        <v>0</v>
      </c>
      <c r="W12135">
        <v>1</v>
      </c>
      <c r="X12135">
        <v>0</v>
      </c>
      <c r="Y12135">
        <v>1</v>
      </c>
      <c r="Z12135">
        <v>0</v>
      </c>
      <c r="AA12135">
        <v>0</v>
      </c>
      <c r="AB12135">
        <v>0</v>
      </c>
      <c r="AC12135">
        <v>1</v>
      </c>
      <c r="AD12135">
        <v>1</v>
      </c>
      <c r="AE12135">
        <v>1</v>
      </c>
      <c r="AF12135">
        <v>1</v>
      </c>
      <c r="AG12135">
        <v>1</v>
      </c>
      <c r="AH12135">
        <v>1</v>
      </c>
      <c r="AI12135">
        <v>1</v>
      </c>
      <c r="AJ12135">
        <v>1</v>
      </c>
      <c r="AK12135">
        <v>1</v>
      </c>
      <c r="AL12135">
        <v>1</v>
      </c>
      <c r="AM12135">
        <v>1</v>
      </c>
    </row>
    <row r="12136" spans="1:39" x14ac:dyDescent="0.2">
      <c r="A12136" t="str">
        <f>"12132"</f>
        <v>12132</v>
      </c>
      <c r="B12136" t="str">
        <f t="shared" si="672"/>
        <v>1</v>
      </c>
      <c r="C12136" t="str">
        <f t="shared" si="674"/>
        <v>243</v>
      </c>
      <c r="D12136" t="str">
        <f>"21"</f>
        <v>21</v>
      </c>
      <c r="E12136" t="str">
        <f>"1-243-21"</f>
        <v>1-243-21</v>
      </c>
      <c r="F12136" t="s">
        <v>65</v>
      </c>
      <c r="G12136" t="s">
        <v>66</v>
      </c>
      <c r="H12136" t="s">
        <v>67</v>
      </c>
      <c r="S12136">
        <v>1</v>
      </c>
      <c r="T12136">
        <v>0</v>
      </c>
      <c r="U12136">
        <v>0</v>
      </c>
      <c r="V12136">
        <v>0</v>
      </c>
      <c r="W12136">
        <v>1</v>
      </c>
      <c r="X12136">
        <v>0</v>
      </c>
      <c r="Y12136">
        <v>1</v>
      </c>
      <c r="Z12136">
        <v>0</v>
      </c>
      <c r="AA12136">
        <v>1</v>
      </c>
      <c r="AB12136">
        <v>0</v>
      </c>
      <c r="AC12136">
        <v>0</v>
      </c>
      <c r="AD12136">
        <v>1</v>
      </c>
      <c r="AE12136">
        <v>1</v>
      </c>
      <c r="AF12136">
        <v>1</v>
      </c>
      <c r="AG12136">
        <v>1</v>
      </c>
      <c r="AH12136">
        <v>1</v>
      </c>
      <c r="AI12136">
        <v>0</v>
      </c>
      <c r="AJ12136">
        <v>1</v>
      </c>
      <c r="AK12136">
        <v>1</v>
      </c>
      <c r="AL12136">
        <v>1</v>
      </c>
      <c r="AM12136">
        <v>1</v>
      </c>
    </row>
    <row r="12137" spans="1:39" x14ac:dyDescent="0.2">
      <c r="A12137" t="str">
        <f>"12133"</f>
        <v>12133</v>
      </c>
      <c r="B12137" t="str">
        <f t="shared" si="672"/>
        <v>1</v>
      </c>
      <c r="C12137" t="str">
        <f t="shared" ref="C12137:C12154" si="675">"243"</f>
        <v>243</v>
      </c>
      <c r="D12137" t="str">
        <f>"9"</f>
        <v>9</v>
      </c>
      <c r="E12137" t="str">
        <f>"1-243-9"</f>
        <v>1-243-9</v>
      </c>
      <c r="F12137" t="s">
        <v>65</v>
      </c>
      <c r="G12137" t="s">
        <v>66</v>
      </c>
      <c r="H12137" t="s">
        <v>67</v>
      </c>
      <c r="S12137">
        <v>1</v>
      </c>
      <c r="T12137">
        <v>0</v>
      </c>
      <c r="U12137">
        <v>0</v>
      </c>
      <c r="V12137">
        <v>0</v>
      </c>
      <c r="W12137">
        <v>1</v>
      </c>
      <c r="X12137">
        <v>0</v>
      </c>
      <c r="Y12137">
        <v>1</v>
      </c>
      <c r="Z12137">
        <v>0</v>
      </c>
      <c r="AA12137">
        <v>1</v>
      </c>
      <c r="AB12137">
        <v>0</v>
      </c>
      <c r="AC12137">
        <v>0</v>
      </c>
      <c r="AD12137">
        <v>0</v>
      </c>
      <c r="AE12137">
        <v>0</v>
      </c>
      <c r="AF12137">
        <v>0</v>
      </c>
      <c r="AG12137">
        <v>0</v>
      </c>
      <c r="AH12137">
        <v>0</v>
      </c>
      <c r="AI12137">
        <v>0</v>
      </c>
      <c r="AJ12137">
        <v>0</v>
      </c>
      <c r="AK12137">
        <v>0</v>
      </c>
      <c r="AL12137">
        <v>0</v>
      </c>
      <c r="AM12137">
        <v>0</v>
      </c>
    </row>
    <row r="12138" spans="1:39" x14ac:dyDescent="0.2">
      <c r="A12138" t="str">
        <f>"12134"</f>
        <v>12134</v>
      </c>
      <c r="B12138" t="str">
        <f t="shared" si="672"/>
        <v>1</v>
      </c>
      <c r="C12138" t="str">
        <f t="shared" si="675"/>
        <v>243</v>
      </c>
      <c r="D12138" t="str">
        <f>"44"</f>
        <v>44</v>
      </c>
      <c r="E12138" t="str">
        <f>"1-243-44"</f>
        <v>1-243-44</v>
      </c>
      <c r="F12138" t="s">
        <v>65</v>
      </c>
      <c r="G12138" t="s">
        <v>66</v>
      </c>
      <c r="H12138" t="s">
        <v>67</v>
      </c>
      <c r="S12138">
        <v>1</v>
      </c>
      <c r="T12138">
        <v>0</v>
      </c>
      <c r="U12138">
        <v>0</v>
      </c>
      <c r="V12138">
        <v>0</v>
      </c>
      <c r="W12138">
        <v>1</v>
      </c>
      <c r="X12138">
        <v>0</v>
      </c>
      <c r="Y12138">
        <v>1</v>
      </c>
      <c r="Z12138">
        <v>0</v>
      </c>
      <c r="AA12138">
        <v>1</v>
      </c>
      <c r="AB12138">
        <v>0</v>
      </c>
      <c r="AC12138">
        <v>0</v>
      </c>
      <c r="AD12138">
        <v>1</v>
      </c>
      <c r="AE12138">
        <v>1</v>
      </c>
      <c r="AF12138">
        <v>1</v>
      </c>
      <c r="AG12138">
        <v>1</v>
      </c>
      <c r="AH12138">
        <v>1</v>
      </c>
      <c r="AI12138">
        <v>1</v>
      </c>
      <c r="AJ12138">
        <v>1</v>
      </c>
      <c r="AK12138">
        <v>1</v>
      </c>
      <c r="AL12138">
        <v>1</v>
      </c>
      <c r="AM12138">
        <v>1</v>
      </c>
    </row>
    <row r="12139" spans="1:39" x14ac:dyDescent="0.2">
      <c r="A12139" t="str">
        <f>"12135"</f>
        <v>12135</v>
      </c>
      <c r="B12139" t="str">
        <f t="shared" si="672"/>
        <v>1</v>
      </c>
      <c r="C12139" t="str">
        <f t="shared" si="675"/>
        <v>243</v>
      </c>
      <c r="D12139" t="str">
        <f>"2"</f>
        <v>2</v>
      </c>
      <c r="E12139" t="str">
        <f>"1-243-2"</f>
        <v>1-243-2</v>
      </c>
      <c r="F12139" t="s">
        <v>65</v>
      </c>
      <c r="G12139" t="s">
        <v>66</v>
      </c>
      <c r="H12139" t="s">
        <v>67</v>
      </c>
      <c r="S12139">
        <v>0</v>
      </c>
      <c r="T12139">
        <v>1</v>
      </c>
      <c r="U12139">
        <v>0</v>
      </c>
      <c r="V12139">
        <v>0</v>
      </c>
      <c r="W12139">
        <v>1</v>
      </c>
      <c r="X12139">
        <v>0</v>
      </c>
      <c r="Y12139">
        <v>1</v>
      </c>
      <c r="Z12139">
        <v>0</v>
      </c>
      <c r="AA12139">
        <v>0</v>
      </c>
      <c r="AB12139">
        <v>1</v>
      </c>
      <c r="AC12139">
        <v>0</v>
      </c>
      <c r="AD12139">
        <v>1</v>
      </c>
      <c r="AE12139">
        <v>0</v>
      </c>
      <c r="AF12139">
        <v>0</v>
      </c>
      <c r="AG12139">
        <v>1</v>
      </c>
      <c r="AH12139">
        <v>1</v>
      </c>
      <c r="AI12139">
        <v>1</v>
      </c>
      <c r="AJ12139">
        <v>1</v>
      </c>
      <c r="AK12139">
        <v>1</v>
      </c>
      <c r="AL12139">
        <v>1</v>
      </c>
      <c r="AM12139">
        <v>0</v>
      </c>
    </row>
    <row r="12140" spans="1:39" x14ac:dyDescent="0.2">
      <c r="A12140" t="str">
        <f>"12136"</f>
        <v>12136</v>
      </c>
      <c r="B12140" t="str">
        <f t="shared" si="672"/>
        <v>1</v>
      </c>
      <c r="C12140" t="str">
        <f t="shared" si="675"/>
        <v>243</v>
      </c>
      <c r="D12140" t="str">
        <f>"48"</f>
        <v>48</v>
      </c>
      <c r="E12140" t="str">
        <f>"1-243-48"</f>
        <v>1-243-48</v>
      </c>
      <c r="F12140" t="s">
        <v>65</v>
      </c>
      <c r="G12140" t="s">
        <v>66</v>
      </c>
      <c r="H12140" t="s">
        <v>67</v>
      </c>
      <c r="S12140">
        <v>1</v>
      </c>
      <c r="T12140">
        <v>0</v>
      </c>
      <c r="U12140">
        <v>0</v>
      </c>
      <c r="V12140">
        <v>0</v>
      </c>
      <c r="W12140">
        <v>1</v>
      </c>
      <c r="X12140">
        <v>0</v>
      </c>
      <c r="Y12140">
        <v>1</v>
      </c>
      <c r="Z12140">
        <v>0</v>
      </c>
      <c r="AA12140">
        <v>0</v>
      </c>
      <c r="AB12140">
        <v>1</v>
      </c>
      <c r="AC12140">
        <v>0</v>
      </c>
      <c r="AD12140">
        <v>0</v>
      </c>
      <c r="AE12140">
        <v>0</v>
      </c>
      <c r="AF12140">
        <v>0</v>
      </c>
      <c r="AG12140">
        <v>0</v>
      </c>
      <c r="AH12140">
        <v>0</v>
      </c>
      <c r="AI12140">
        <v>0</v>
      </c>
      <c r="AJ12140">
        <v>0</v>
      </c>
      <c r="AK12140">
        <v>0</v>
      </c>
      <c r="AL12140">
        <v>0</v>
      </c>
      <c r="AM12140">
        <v>0</v>
      </c>
    </row>
    <row r="12141" spans="1:39" x14ac:dyDescent="0.2">
      <c r="A12141" t="str">
        <f>"12137"</f>
        <v>12137</v>
      </c>
      <c r="B12141" t="str">
        <f t="shared" si="672"/>
        <v>1</v>
      </c>
      <c r="C12141" t="str">
        <f t="shared" si="675"/>
        <v>243</v>
      </c>
      <c r="D12141" t="str">
        <f>"23"</f>
        <v>23</v>
      </c>
      <c r="E12141" t="str">
        <f>"1-243-23"</f>
        <v>1-243-23</v>
      </c>
      <c r="F12141" t="s">
        <v>65</v>
      </c>
      <c r="G12141" t="s">
        <v>66</v>
      </c>
      <c r="H12141" t="s">
        <v>67</v>
      </c>
      <c r="S12141">
        <v>1</v>
      </c>
      <c r="T12141">
        <v>0</v>
      </c>
      <c r="U12141">
        <v>0</v>
      </c>
      <c r="V12141">
        <v>0</v>
      </c>
      <c r="W12141">
        <v>1</v>
      </c>
      <c r="X12141">
        <v>0</v>
      </c>
      <c r="Y12141">
        <v>1</v>
      </c>
      <c r="Z12141">
        <v>0</v>
      </c>
      <c r="AA12141">
        <v>0</v>
      </c>
      <c r="AB12141">
        <v>1</v>
      </c>
      <c r="AC12141">
        <v>0</v>
      </c>
      <c r="AD12141">
        <v>1</v>
      </c>
      <c r="AE12141">
        <v>1</v>
      </c>
      <c r="AF12141">
        <v>1</v>
      </c>
      <c r="AG12141">
        <v>1</v>
      </c>
      <c r="AH12141">
        <v>1</v>
      </c>
      <c r="AI12141">
        <v>1</v>
      </c>
      <c r="AJ12141">
        <v>1</v>
      </c>
      <c r="AK12141">
        <v>1</v>
      </c>
      <c r="AL12141">
        <v>1</v>
      </c>
      <c r="AM12141">
        <v>1</v>
      </c>
    </row>
    <row r="12142" spans="1:39" x14ac:dyDescent="0.2">
      <c r="A12142" t="str">
        <f>"12138"</f>
        <v>12138</v>
      </c>
      <c r="B12142" t="str">
        <f t="shared" si="672"/>
        <v>1</v>
      </c>
      <c r="C12142" t="str">
        <f t="shared" si="675"/>
        <v>243</v>
      </c>
      <c r="D12142" t="str">
        <f>"12"</f>
        <v>12</v>
      </c>
      <c r="E12142" t="str">
        <f>"1-243-12"</f>
        <v>1-243-12</v>
      </c>
      <c r="F12142" t="s">
        <v>65</v>
      </c>
      <c r="G12142" t="s">
        <v>66</v>
      </c>
      <c r="H12142" t="s">
        <v>67</v>
      </c>
      <c r="S12142">
        <v>1</v>
      </c>
      <c r="T12142">
        <v>0</v>
      </c>
      <c r="U12142">
        <v>0</v>
      </c>
      <c r="V12142">
        <v>0</v>
      </c>
      <c r="W12142">
        <v>1</v>
      </c>
      <c r="X12142">
        <v>0</v>
      </c>
      <c r="Y12142">
        <v>1</v>
      </c>
      <c r="Z12142">
        <v>0</v>
      </c>
      <c r="AA12142">
        <v>1</v>
      </c>
      <c r="AB12142">
        <v>0</v>
      </c>
      <c r="AC12142">
        <v>0</v>
      </c>
      <c r="AD12142">
        <v>0</v>
      </c>
      <c r="AE12142">
        <v>0</v>
      </c>
      <c r="AF12142">
        <v>0</v>
      </c>
      <c r="AG12142">
        <v>0</v>
      </c>
      <c r="AH12142">
        <v>0</v>
      </c>
      <c r="AI12142">
        <v>0</v>
      </c>
      <c r="AJ12142">
        <v>0</v>
      </c>
      <c r="AK12142">
        <v>0</v>
      </c>
      <c r="AL12142">
        <v>0</v>
      </c>
      <c r="AM12142">
        <v>0</v>
      </c>
    </row>
    <row r="12143" spans="1:39" x14ac:dyDescent="0.2">
      <c r="A12143" t="str">
        <f>"12139"</f>
        <v>12139</v>
      </c>
      <c r="B12143" t="str">
        <f t="shared" si="672"/>
        <v>1</v>
      </c>
      <c r="C12143" t="str">
        <f t="shared" si="675"/>
        <v>243</v>
      </c>
      <c r="D12143" t="str">
        <f>"24"</f>
        <v>24</v>
      </c>
      <c r="E12143" t="str">
        <f>"1-243-24"</f>
        <v>1-243-24</v>
      </c>
      <c r="F12143" t="s">
        <v>65</v>
      </c>
      <c r="G12143" t="s">
        <v>66</v>
      </c>
      <c r="H12143" t="s">
        <v>67</v>
      </c>
      <c r="S12143">
        <v>1</v>
      </c>
      <c r="T12143">
        <v>0</v>
      </c>
      <c r="U12143">
        <v>0</v>
      </c>
      <c r="V12143">
        <v>0</v>
      </c>
      <c r="W12143">
        <v>1</v>
      </c>
      <c r="X12143">
        <v>0</v>
      </c>
      <c r="Y12143">
        <v>1</v>
      </c>
      <c r="Z12143">
        <v>0</v>
      </c>
      <c r="AA12143">
        <v>1</v>
      </c>
      <c r="AB12143">
        <v>0</v>
      </c>
      <c r="AC12143">
        <v>0</v>
      </c>
      <c r="AD12143">
        <v>1</v>
      </c>
      <c r="AE12143">
        <v>1</v>
      </c>
      <c r="AF12143">
        <v>1</v>
      </c>
      <c r="AG12143">
        <v>1</v>
      </c>
      <c r="AH12143">
        <v>1</v>
      </c>
      <c r="AI12143">
        <v>1</v>
      </c>
      <c r="AJ12143">
        <v>1</v>
      </c>
      <c r="AK12143">
        <v>1</v>
      </c>
      <c r="AL12143">
        <v>1</v>
      </c>
      <c r="AM12143">
        <v>1</v>
      </c>
    </row>
    <row r="12144" spans="1:39" x14ac:dyDescent="0.2">
      <c r="A12144" t="str">
        <f>"12140"</f>
        <v>12140</v>
      </c>
      <c r="B12144" t="str">
        <f t="shared" si="672"/>
        <v>1</v>
      </c>
      <c r="C12144" t="str">
        <f t="shared" si="675"/>
        <v>243</v>
      </c>
      <c r="D12144" t="str">
        <f>"10"</f>
        <v>10</v>
      </c>
      <c r="E12144" t="str">
        <f>"1-243-10"</f>
        <v>1-243-10</v>
      </c>
      <c r="F12144" t="s">
        <v>65</v>
      </c>
      <c r="G12144" t="s">
        <v>66</v>
      </c>
      <c r="H12144" t="s">
        <v>67</v>
      </c>
      <c r="S12144">
        <v>1</v>
      </c>
      <c r="T12144">
        <v>0</v>
      </c>
      <c r="U12144">
        <v>0</v>
      </c>
      <c r="V12144">
        <v>0</v>
      </c>
      <c r="W12144">
        <v>1</v>
      </c>
      <c r="X12144">
        <v>0</v>
      </c>
      <c r="Y12144">
        <v>1</v>
      </c>
      <c r="Z12144">
        <v>0</v>
      </c>
      <c r="AA12144">
        <v>1</v>
      </c>
      <c r="AB12144">
        <v>0</v>
      </c>
      <c r="AC12144">
        <v>0</v>
      </c>
      <c r="AD12144">
        <v>1</v>
      </c>
      <c r="AE12144">
        <v>1</v>
      </c>
      <c r="AF12144">
        <v>1</v>
      </c>
      <c r="AG12144">
        <v>1</v>
      </c>
      <c r="AH12144">
        <v>0</v>
      </c>
      <c r="AI12144">
        <v>1</v>
      </c>
      <c r="AJ12144">
        <v>1</v>
      </c>
      <c r="AK12144">
        <v>1</v>
      </c>
      <c r="AL12144">
        <v>1</v>
      </c>
      <c r="AM12144">
        <v>1</v>
      </c>
    </row>
    <row r="12145" spans="1:39" x14ac:dyDescent="0.2">
      <c r="A12145" t="str">
        <f>"12141"</f>
        <v>12141</v>
      </c>
      <c r="B12145" t="str">
        <f t="shared" si="672"/>
        <v>1</v>
      </c>
      <c r="C12145" t="str">
        <f t="shared" si="675"/>
        <v>243</v>
      </c>
      <c r="D12145" t="str">
        <f>"45"</f>
        <v>45</v>
      </c>
      <c r="E12145" t="str">
        <f>"1-243-45"</f>
        <v>1-243-45</v>
      </c>
      <c r="F12145" t="s">
        <v>65</v>
      </c>
      <c r="G12145" t="s">
        <v>66</v>
      </c>
      <c r="H12145" t="s">
        <v>67</v>
      </c>
      <c r="S12145">
        <v>0</v>
      </c>
      <c r="T12145">
        <v>1</v>
      </c>
      <c r="U12145">
        <v>0</v>
      </c>
      <c r="V12145">
        <v>0</v>
      </c>
      <c r="W12145">
        <v>1</v>
      </c>
      <c r="X12145">
        <v>0</v>
      </c>
      <c r="Y12145">
        <v>1</v>
      </c>
      <c r="Z12145">
        <v>0</v>
      </c>
      <c r="AA12145">
        <v>0</v>
      </c>
      <c r="AB12145">
        <v>1</v>
      </c>
      <c r="AC12145">
        <v>0</v>
      </c>
      <c r="AD12145">
        <v>0</v>
      </c>
      <c r="AE12145">
        <v>0</v>
      </c>
      <c r="AF12145">
        <v>0</v>
      </c>
      <c r="AG12145">
        <v>0</v>
      </c>
      <c r="AH12145">
        <v>1</v>
      </c>
      <c r="AI12145">
        <v>0</v>
      </c>
      <c r="AJ12145">
        <v>0</v>
      </c>
      <c r="AK12145">
        <v>0</v>
      </c>
      <c r="AL12145">
        <v>0</v>
      </c>
      <c r="AM12145">
        <v>1</v>
      </c>
    </row>
    <row r="12146" spans="1:39" x14ac:dyDescent="0.2">
      <c r="A12146" t="str">
        <f>"12142"</f>
        <v>12142</v>
      </c>
      <c r="B12146" t="str">
        <f t="shared" si="672"/>
        <v>1</v>
      </c>
      <c r="C12146" t="str">
        <f t="shared" si="675"/>
        <v>243</v>
      </c>
      <c r="D12146" t="str">
        <f>"26"</f>
        <v>26</v>
      </c>
      <c r="E12146" t="str">
        <f>"1-243-26"</f>
        <v>1-243-26</v>
      </c>
      <c r="F12146" t="s">
        <v>65</v>
      </c>
      <c r="G12146" t="s">
        <v>66</v>
      </c>
      <c r="H12146" t="s">
        <v>67</v>
      </c>
      <c r="S12146">
        <v>1</v>
      </c>
      <c r="T12146">
        <v>0</v>
      </c>
      <c r="U12146">
        <v>0</v>
      </c>
      <c r="V12146">
        <v>0</v>
      </c>
      <c r="W12146">
        <v>1</v>
      </c>
      <c r="X12146">
        <v>0</v>
      </c>
      <c r="Y12146">
        <v>1</v>
      </c>
      <c r="Z12146">
        <v>0</v>
      </c>
      <c r="AA12146">
        <v>1</v>
      </c>
      <c r="AB12146">
        <v>0</v>
      </c>
      <c r="AC12146">
        <v>0</v>
      </c>
      <c r="AD12146">
        <v>1</v>
      </c>
      <c r="AE12146">
        <v>1</v>
      </c>
      <c r="AF12146">
        <v>1</v>
      </c>
      <c r="AG12146">
        <v>1</v>
      </c>
      <c r="AH12146">
        <v>1</v>
      </c>
      <c r="AI12146">
        <v>1</v>
      </c>
      <c r="AJ12146">
        <v>1</v>
      </c>
      <c r="AK12146">
        <v>1</v>
      </c>
      <c r="AL12146">
        <v>1</v>
      </c>
      <c r="AM12146">
        <v>1</v>
      </c>
    </row>
    <row r="12147" spans="1:39" x14ac:dyDescent="0.2">
      <c r="A12147" t="str">
        <f>"12143"</f>
        <v>12143</v>
      </c>
      <c r="B12147" t="str">
        <f t="shared" si="672"/>
        <v>1</v>
      </c>
      <c r="C12147" t="str">
        <f t="shared" si="675"/>
        <v>243</v>
      </c>
      <c r="D12147" t="str">
        <f>"13"</f>
        <v>13</v>
      </c>
      <c r="E12147" t="str">
        <f>"1-243-13"</f>
        <v>1-243-13</v>
      </c>
      <c r="F12147" t="s">
        <v>65</v>
      </c>
      <c r="G12147" t="s">
        <v>66</v>
      </c>
      <c r="H12147" t="s">
        <v>67</v>
      </c>
      <c r="S12147">
        <v>1</v>
      </c>
      <c r="T12147">
        <v>0</v>
      </c>
      <c r="U12147">
        <v>0</v>
      </c>
      <c r="V12147">
        <v>0</v>
      </c>
      <c r="W12147">
        <v>1</v>
      </c>
      <c r="X12147">
        <v>0</v>
      </c>
      <c r="Y12147">
        <v>0</v>
      </c>
      <c r="Z12147">
        <v>1</v>
      </c>
      <c r="AA12147">
        <v>1</v>
      </c>
      <c r="AB12147">
        <v>0</v>
      </c>
      <c r="AC12147">
        <v>0</v>
      </c>
      <c r="AD12147">
        <v>1</v>
      </c>
      <c r="AE12147">
        <v>1</v>
      </c>
      <c r="AF12147">
        <v>1</v>
      </c>
      <c r="AG12147">
        <v>1</v>
      </c>
      <c r="AH12147">
        <v>1</v>
      </c>
      <c r="AI12147">
        <v>1</v>
      </c>
      <c r="AJ12147">
        <v>1</v>
      </c>
      <c r="AK12147">
        <v>1</v>
      </c>
      <c r="AL12147">
        <v>1</v>
      </c>
      <c r="AM12147">
        <v>1</v>
      </c>
    </row>
    <row r="12148" spans="1:39" x14ac:dyDescent="0.2">
      <c r="A12148" t="str">
        <f>"12144"</f>
        <v>12144</v>
      </c>
      <c r="B12148" t="str">
        <f t="shared" si="672"/>
        <v>1</v>
      </c>
      <c r="C12148" t="str">
        <f t="shared" si="675"/>
        <v>243</v>
      </c>
      <c r="D12148" t="str">
        <f>"28"</f>
        <v>28</v>
      </c>
      <c r="E12148" t="str">
        <f>"1-243-28"</f>
        <v>1-243-28</v>
      </c>
      <c r="F12148" t="s">
        <v>65</v>
      </c>
      <c r="G12148" t="s">
        <v>66</v>
      </c>
      <c r="H12148" t="s">
        <v>67</v>
      </c>
      <c r="S12148">
        <v>0</v>
      </c>
      <c r="T12148">
        <v>1</v>
      </c>
      <c r="U12148">
        <v>0</v>
      </c>
      <c r="V12148">
        <v>0</v>
      </c>
      <c r="W12148">
        <v>0</v>
      </c>
      <c r="X12148">
        <v>1</v>
      </c>
      <c r="Y12148">
        <v>0</v>
      </c>
      <c r="Z12148">
        <v>1</v>
      </c>
      <c r="AA12148">
        <v>0</v>
      </c>
      <c r="AB12148">
        <v>0</v>
      </c>
      <c r="AC12148">
        <v>1</v>
      </c>
      <c r="AD12148">
        <v>0</v>
      </c>
      <c r="AE12148">
        <v>0</v>
      </c>
      <c r="AF12148">
        <v>0</v>
      </c>
      <c r="AG12148">
        <v>0</v>
      </c>
      <c r="AH12148">
        <v>1</v>
      </c>
      <c r="AI12148">
        <v>0</v>
      </c>
      <c r="AJ12148">
        <v>0</v>
      </c>
      <c r="AK12148">
        <v>0</v>
      </c>
      <c r="AL12148">
        <v>0</v>
      </c>
      <c r="AM12148">
        <v>0</v>
      </c>
    </row>
    <row r="12149" spans="1:39" x14ac:dyDescent="0.2">
      <c r="A12149" t="str">
        <f>"12145"</f>
        <v>12145</v>
      </c>
      <c r="B12149" t="str">
        <f t="shared" si="672"/>
        <v>1</v>
      </c>
      <c r="C12149" t="str">
        <f t="shared" si="675"/>
        <v>243</v>
      </c>
      <c r="D12149" t="str">
        <f>"6"</f>
        <v>6</v>
      </c>
      <c r="E12149" t="str">
        <f>"1-243-6"</f>
        <v>1-243-6</v>
      </c>
      <c r="F12149" t="s">
        <v>65</v>
      </c>
      <c r="G12149" t="s">
        <v>66</v>
      </c>
      <c r="H12149" t="s">
        <v>67</v>
      </c>
      <c r="S12149">
        <v>1</v>
      </c>
      <c r="T12149">
        <v>0</v>
      </c>
      <c r="U12149">
        <v>0</v>
      </c>
      <c r="V12149">
        <v>0</v>
      </c>
      <c r="W12149">
        <v>0</v>
      </c>
      <c r="X12149">
        <v>1</v>
      </c>
      <c r="Y12149">
        <v>0</v>
      </c>
      <c r="Z12149">
        <v>1</v>
      </c>
      <c r="AA12149">
        <v>0</v>
      </c>
      <c r="AB12149">
        <v>1</v>
      </c>
      <c r="AC12149">
        <v>0</v>
      </c>
      <c r="AD12149">
        <v>1</v>
      </c>
      <c r="AE12149">
        <v>1</v>
      </c>
      <c r="AF12149">
        <v>1</v>
      </c>
      <c r="AG12149">
        <v>1</v>
      </c>
      <c r="AH12149">
        <v>1</v>
      </c>
      <c r="AI12149">
        <v>1</v>
      </c>
      <c r="AJ12149">
        <v>1</v>
      </c>
      <c r="AK12149">
        <v>1</v>
      </c>
      <c r="AL12149">
        <v>1</v>
      </c>
      <c r="AM12149">
        <v>1</v>
      </c>
    </row>
    <row r="12150" spans="1:39" x14ac:dyDescent="0.2">
      <c r="A12150" t="str">
        <f>"12146"</f>
        <v>12146</v>
      </c>
      <c r="B12150" t="str">
        <f t="shared" si="672"/>
        <v>1</v>
      </c>
      <c r="C12150" t="str">
        <f t="shared" si="675"/>
        <v>243</v>
      </c>
      <c r="D12150" t="str">
        <f>"29"</f>
        <v>29</v>
      </c>
      <c r="E12150" t="str">
        <f>"1-243-29"</f>
        <v>1-243-29</v>
      </c>
      <c r="F12150" t="s">
        <v>65</v>
      </c>
      <c r="G12150" t="s">
        <v>66</v>
      </c>
      <c r="H12150" t="s">
        <v>67</v>
      </c>
      <c r="S12150">
        <v>1</v>
      </c>
      <c r="T12150">
        <v>0</v>
      </c>
      <c r="U12150">
        <v>0</v>
      </c>
      <c r="V12150">
        <v>0</v>
      </c>
      <c r="W12150">
        <v>1</v>
      </c>
      <c r="X12150">
        <v>0</v>
      </c>
      <c r="Y12150">
        <v>1</v>
      </c>
      <c r="Z12150">
        <v>0</v>
      </c>
      <c r="AA12150">
        <v>1</v>
      </c>
      <c r="AB12150">
        <v>0</v>
      </c>
      <c r="AC12150">
        <v>0</v>
      </c>
      <c r="AD12150">
        <v>1</v>
      </c>
      <c r="AE12150">
        <v>1</v>
      </c>
      <c r="AF12150">
        <v>1</v>
      </c>
      <c r="AG12150">
        <v>1</v>
      </c>
      <c r="AH12150">
        <v>1</v>
      </c>
      <c r="AI12150">
        <v>1</v>
      </c>
      <c r="AJ12150">
        <v>1</v>
      </c>
      <c r="AK12150">
        <v>1</v>
      </c>
      <c r="AL12150">
        <v>1</v>
      </c>
      <c r="AM12150">
        <v>1</v>
      </c>
    </row>
    <row r="12151" spans="1:39" x14ac:dyDescent="0.2">
      <c r="A12151" t="str">
        <f>"12147"</f>
        <v>12147</v>
      </c>
      <c r="B12151" t="str">
        <f t="shared" ref="B12151:B12214" si="676">"1"</f>
        <v>1</v>
      </c>
      <c r="C12151" t="str">
        <f t="shared" si="675"/>
        <v>243</v>
      </c>
      <c r="D12151" t="str">
        <f>"4"</f>
        <v>4</v>
      </c>
      <c r="E12151" t="str">
        <f>"1-243-4"</f>
        <v>1-243-4</v>
      </c>
      <c r="F12151" t="s">
        <v>65</v>
      </c>
      <c r="G12151" t="s">
        <v>66</v>
      </c>
      <c r="H12151" t="s">
        <v>67</v>
      </c>
      <c r="S12151">
        <v>0</v>
      </c>
      <c r="T12151">
        <v>1</v>
      </c>
      <c r="U12151">
        <v>0</v>
      </c>
      <c r="V12151">
        <v>0</v>
      </c>
      <c r="W12151">
        <v>1</v>
      </c>
      <c r="X12151">
        <v>0</v>
      </c>
      <c r="Y12151">
        <v>0</v>
      </c>
      <c r="Z12151">
        <v>1</v>
      </c>
      <c r="AA12151">
        <v>1</v>
      </c>
      <c r="AB12151">
        <v>0</v>
      </c>
      <c r="AC12151">
        <v>0</v>
      </c>
      <c r="AD12151">
        <v>1</v>
      </c>
      <c r="AE12151">
        <v>1</v>
      </c>
      <c r="AF12151">
        <v>1</v>
      </c>
      <c r="AG12151">
        <v>1</v>
      </c>
      <c r="AH12151">
        <v>1</v>
      </c>
      <c r="AI12151">
        <v>1</v>
      </c>
      <c r="AJ12151">
        <v>1</v>
      </c>
      <c r="AK12151">
        <v>1</v>
      </c>
      <c r="AL12151">
        <v>1</v>
      </c>
      <c r="AM12151">
        <v>1</v>
      </c>
    </row>
    <row r="12152" spans="1:39" x14ac:dyDescent="0.2">
      <c r="A12152" t="str">
        <f>"12148"</f>
        <v>12148</v>
      </c>
      <c r="B12152" t="str">
        <f t="shared" si="676"/>
        <v>1</v>
      </c>
      <c r="C12152" t="str">
        <f t="shared" si="675"/>
        <v>243</v>
      </c>
      <c r="D12152" t="str">
        <f>"30"</f>
        <v>30</v>
      </c>
      <c r="E12152" t="str">
        <f>"1-243-30"</f>
        <v>1-243-30</v>
      </c>
      <c r="F12152" t="s">
        <v>65</v>
      </c>
      <c r="G12152" t="s">
        <v>66</v>
      </c>
      <c r="H12152" t="s">
        <v>67</v>
      </c>
      <c r="S12152">
        <v>1</v>
      </c>
      <c r="T12152">
        <v>0</v>
      </c>
      <c r="U12152">
        <v>0</v>
      </c>
      <c r="V12152">
        <v>0</v>
      </c>
      <c r="W12152">
        <v>1</v>
      </c>
      <c r="X12152">
        <v>0</v>
      </c>
      <c r="Y12152">
        <v>1</v>
      </c>
      <c r="Z12152">
        <v>0</v>
      </c>
      <c r="AA12152">
        <v>1</v>
      </c>
      <c r="AB12152">
        <v>0</v>
      </c>
      <c r="AC12152">
        <v>0</v>
      </c>
      <c r="AD12152">
        <v>1</v>
      </c>
      <c r="AE12152">
        <v>1</v>
      </c>
      <c r="AF12152">
        <v>1</v>
      </c>
      <c r="AG12152">
        <v>1</v>
      </c>
      <c r="AH12152">
        <v>1</v>
      </c>
      <c r="AI12152">
        <v>1</v>
      </c>
      <c r="AJ12152">
        <v>1</v>
      </c>
      <c r="AK12152">
        <v>1</v>
      </c>
      <c r="AL12152">
        <v>1</v>
      </c>
      <c r="AM12152">
        <v>1</v>
      </c>
    </row>
    <row r="12153" spans="1:39" x14ac:dyDescent="0.2">
      <c r="A12153" t="str">
        <f>"12149"</f>
        <v>12149</v>
      </c>
      <c r="B12153" t="str">
        <f t="shared" si="676"/>
        <v>1</v>
      </c>
      <c r="C12153" t="str">
        <f t="shared" si="675"/>
        <v>243</v>
      </c>
      <c r="D12153" t="str">
        <f>"14"</f>
        <v>14</v>
      </c>
      <c r="E12153" t="str">
        <f>"1-243-14"</f>
        <v>1-243-14</v>
      </c>
      <c r="F12153" t="s">
        <v>65</v>
      </c>
      <c r="G12153" t="s">
        <v>66</v>
      </c>
      <c r="H12153" t="s">
        <v>67</v>
      </c>
      <c r="S12153">
        <v>0</v>
      </c>
      <c r="T12153">
        <v>1</v>
      </c>
      <c r="U12153">
        <v>0</v>
      </c>
      <c r="V12153">
        <v>0</v>
      </c>
      <c r="W12153">
        <v>1</v>
      </c>
      <c r="X12153">
        <v>0</v>
      </c>
      <c r="Y12153">
        <v>0</v>
      </c>
      <c r="Z12153">
        <v>1</v>
      </c>
      <c r="AA12153">
        <v>0</v>
      </c>
      <c r="AB12153">
        <v>0</v>
      </c>
      <c r="AC12153">
        <v>1</v>
      </c>
      <c r="AD12153">
        <v>1</v>
      </c>
      <c r="AE12153">
        <v>1</v>
      </c>
      <c r="AF12153">
        <v>1</v>
      </c>
      <c r="AG12153">
        <v>1</v>
      </c>
      <c r="AH12153">
        <v>1</v>
      </c>
      <c r="AI12153">
        <v>1</v>
      </c>
      <c r="AJ12153">
        <v>1</v>
      </c>
      <c r="AK12153">
        <v>1</v>
      </c>
      <c r="AL12153">
        <v>1</v>
      </c>
      <c r="AM12153">
        <v>1</v>
      </c>
    </row>
    <row r="12154" spans="1:39" x14ac:dyDescent="0.2">
      <c r="A12154" t="str">
        <f>"12150"</f>
        <v>12150</v>
      </c>
      <c r="B12154" t="str">
        <f t="shared" si="676"/>
        <v>1</v>
      </c>
      <c r="C12154" t="str">
        <f t="shared" si="675"/>
        <v>243</v>
      </c>
      <c r="D12154" t="str">
        <f>"22"</f>
        <v>22</v>
      </c>
      <c r="E12154" t="str">
        <f>"1-243-22"</f>
        <v>1-243-22</v>
      </c>
      <c r="F12154" t="s">
        <v>65</v>
      </c>
      <c r="G12154" t="s">
        <v>66</v>
      </c>
      <c r="H12154" t="s">
        <v>67</v>
      </c>
      <c r="S12154">
        <v>0</v>
      </c>
      <c r="T12154">
        <v>1</v>
      </c>
      <c r="U12154">
        <v>0</v>
      </c>
      <c r="V12154">
        <v>0</v>
      </c>
      <c r="W12154">
        <v>1</v>
      </c>
      <c r="X12154">
        <v>0</v>
      </c>
      <c r="Y12154">
        <v>1</v>
      </c>
      <c r="Z12154">
        <v>0</v>
      </c>
      <c r="AA12154">
        <v>1</v>
      </c>
      <c r="AB12154">
        <v>0</v>
      </c>
      <c r="AC12154">
        <v>0</v>
      </c>
      <c r="AD12154">
        <v>1</v>
      </c>
      <c r="AE12154">
        <v>1</v>
      </c>
      <c r="AF12154">
        <v>1</v>
      </c>
      <c r="AG12154">
        <v>1</v>
      </c>
      <c r="AH12154">
        <v>1</v>
      </c>
      <c r="AI12154">
        <v>1</v>
      </c>
      <c r="AJ12154">
        <v>1</v>
      </c>
      <c r="AK12154">
        <v>1</v>
      </c>
      <c r="AL12154">
        <v>1</v>
      </c>
      <c r="AM12154">
        <v>1</v>
      </c>
    </row>
    <row r="12155" spans="1:39" x14ac:dyDescent="0.2">
      <c r="A12155" t="str">
        <f>"12151"</f>
        <v>12151</v>
      </c>
      <c r="B12155" t="str">
        <f t="shared" si="676"/>
        <v>1</v>
      </c>
      <c r="C12155" t="str">
        <f t="shared" ref="C12155:C12186" si="677">"244"</f>
        <v>244</v>
      </c>
      <c r="D12155" t="str">
        <f>"38"</f>
        <v>38</v>
      </c>
      <c r="E12155" t="str">
        <f>"1-244-38"</f>
        <v>1-244-38</v>
      </c>
      <c r="F12155" t="s">
        <v>65</v>
      </c>
      <c r="G12155" t="s">
        <v>66</v>
      </c>
      <c r="H12155" t="s">
        <v>67</v>
      </c>
      <c r="S12155">
        <v>1</v>
      </c>
      <c r="T12155">
        <v>0</v>
      </c>
      <c r="U12155">
        <v>0</v>
      </c>
      <c r="V12155">
        <v>0</v>
      </c>
      <c r="W12155">
        <v>1</v>
      </c>
      <c r="X12155">
        <v>0</v>
      </c>
      <c r="Y12155">
        <v>1</v>
      </c>
      <c r="Z12155">
        <v>0</v>
      </c>
      <c r="AA12155">
        <v>0</v>
      </c>
      <c r="AB12155">
        <v>0</v>
      </c>
      <c r="AC12155">
        <v>1</v>
      </c>
      <c r="AD12155">
        <v>0</v>
      </c>
      <c r="AE12155">
        <v>0</v>
      </c>
      <c r="AF12155">
        <v>0</v>
      </c>
      <c r="AG12155">
        <v>1</v>
      </c>
      <c r="AH12155">
        <v>0</v>
      </c>
      <c r="AI12155">
        <v>1</v>
      </c>
      <c r="AJ12155">
        <v>0</v>
      </c>
      <c r="AK12155">
        <v>0</v>
      </c>
      <c r="AL12155">
        <v>0</v>
      </c>
      <c r="AM12155">
        <v>1</v>
      </c>
    </row>
    <row r="12156" spans="1:39" x14ac:dyDescent="0.2">
      <c r="A12156" t="str">
        <f>"12152"</f>
        <v>12152</v>
      </c>
      <c r="B12156" t="str">
        <f t="shared" si="676"/>
        <v>1</v>
      </c>
      <c r="C12156" t="str">
        <f t="shared" si="677"/>
        <v>244</v>
      </c>
      <c r="D12156" t="str">
        <f>"37"</f>
        <v>37</v>
      </c>
      <c r="E12156" t="str">
        <f>"1-244-37"</f>
        <v>1-244-37</v>
      </c>
      <c r="F12156" t="s">
        <v>65</v>
      </c>
      <c r="G12156" t="s">
        <v>66</v>
      </c>
      <c r="H12156" t="s">
        <v>67</v>
      </c>
      <c r="S12156">
        <v>0</v>
      </c>
      <c r="T12156">
        <v>0</v>
      </c>
      <c r="U12156">
        <v>0</v>
      </c>
      <c r="V12156">
        <v>0</v>
      </c>
      <c r="W12156">
        <v>1</v>
      </c>
      <c r="X12156">
        <v>0</v>
      </c>
      <c r="Y12156">
        <v>0</v>
      </c>
      <c r="Z12156">
        <v>0</v>
      </c>
      <c r="AA12156">
        <v>0</v>
      </c>
      <c r="AB12156">
        <v>0</v>
      </c>
      <c r="AC12156">
        <v>0</v>
      </c>
      <c r="AD12156">
        <v>0</v>
      </c>
      <c r="AE12156">
        <v>0</v>
      </c>
      <c r="AF12156">
        <v>0</v>
      </c>
      <c r="AG12156">
        <v>0</v>
      </c>
      <c r="AH12156">
        <v>0</v>
      </c>
      <c r="AI12156">
        <v>0</v>
      </c>
      <c r="AJ12156">
        <v>0</v>
      </c>
      <c r="AK12156">
        <v>0</v>
      </c>
      <c r="AL12156">
        <v>0</v>
      </c>
      <c r="AM12156">
        <v>0</v>
      </c>
    </row>
    <row r="12157" spans="1:39" x14ac:dyDescent="0.2">
      <c r="A12157" t="str">
        <f>"12153"</f>
        <v>12153</v>
      </c>
      <c r="B12157" t="str">
        <f t="shared" si="676"/>
        <v>1</v>
      </c>
      <c r="C12157" t="str">
        <f t="shared" si="677"/>
        <v>244</v>
      </c>
      <c r="D12157" t="str">
        <f>"26"</f>
        <v>26</v>
      </c>
      <c r="E12157" t="str">
        <f>"1-244-26"</f>
        <v>1-244-26</v>
      </c>
      <c r="F12157" t="s">
        <v>65</v>
      </c>
      <c r="G12157" t="s">
        <v>66</v>
      </c>
      <c r="H12157" t="s">
        <v>67</v>
      </c>
      <c r="S12157">
        <v>1</v>
      </c>
      <c r="T12157">
        <v>0</v>
      </c>
      <c r="U12157">
        <v>0</v>
      </c>
      <c r="V12157">
        <v>0</v>
      </c>
      <c r="W12157">
        <v>1</v>
      </c>
      <c r="X12157">
        <v>0</v>
      </c>
      <c r="Y12157">
        <v>1</v>
      </c>
      <c r="Z12157">
        <v>0</v>
      </c>
      <c r="AA12157">
        <v>1</v>
      </c>
      <c r="AB12157">
        <v>0</v>
      </c>
      <c r="AC12157">
        <v>0</v>
      </c>
      <c r="AD12157">
        <v>1</v>
      </c>
      <c r="AE12157">
        <v>1</v>
      </c>
      <c r="AF12157">
        <v>1</v>
      </c>
      <c r="AG12157">
        <v>1</v>
      </c>
      <c r="AH12157">
        <v>1</v>
      </c>
      <c r="AI12157">
        <v>1</v>
      </c>
      <c r="AJ12157">
        <v>1</v>
      </c>
      <c r="AK12157">
        <v>1</v>
      </c>
      <c r="AL12157">
        <v>1</v>
      </c>
      <c r="AM12157">
        <v>1</v>
      </c>
    </row>
    <row r="12158" spans="1:39" x14ac:dyDescent="0.2">
      <c r="A12158" t="str">
        <f>"12154"</f>
        <v>12154</v>
      </c>
      <c r="B12158" t="str">
        <f t="shared" si="676"/>
        <v>1</v>
      </c>
      <c r="C12158" t="str">
        <f t="shared" si="677"/>
        <v>244</v>
      </c>
      <c r="D12158" t="str">
        <f>"15"</f>
        <v>15</v>
      </c>
      <c r="E12158" t="str">
        <f>"1-244-15"</f>
        <v>1-244-15</v>
      </c>
      <c r="F12158" t="s">
        <v>65</v>
      </c>
      <c r="G12158" t="s">
        <v>66</v>
      </c>
      <c r="H12158" t="s">
        <v>67</v>
      </c>
      <c r="S12158">
        <v>1</v>
      </c>
      <c r="T12158">
        <v>0</v>
      </c>
      <c r="U12158">
        <v>0</v>
      </c>
      <c r="V12158">
        <v>0</v>
      </c>
      <c r="W12158">
        <v>1</v>
      </c>
      <c r="X12158">
        <v>0</v>
      </c>
      <c r="Y12158">
        <v>1</v>
      </c>
      <c r="Z12158">
        <v>0</v>
      </c>
      <c r="AA12158">
        <v>1</v>
      </c>
      <c r="AB12158">
        <v>0</v>
      </c>
      <c r="AC12158">
        <v>0</v>
      </c>
      <c r="AD12158">
        <v>1</v>
      </c>
      <c r="AE12158">
        <v>1</v>
      </c>
      <c r="AF12158">
        <v>1</v>
      </c>
      <c r="AG12158">
        <v>1</v>
      </c>
      <c r="AH12158">
        <v>1</v>
      </c>
      <c r="AI12158">
        <v>1</v>
      </c>
      <c r="AJ12158">
        <v>1</v>
      </c>
      <c r="AK12158">
        <v>1</v>
      </c>
      <c r="AL12158">
        <v>1</v>
      </c>
      <c r="AM12158">
        <v>1</v>
      </c>
    </row>
    <row r="12159" spans="1:39" x14ac:dyDescent="0.2">
      <c r="A12159" t="str">
        <f>"12155"</f>
        <v>12155</v>
      </c>
      <c r="B12159" t="str">
        <f t="shared" si="676"/>
        <v>1</v>
      </c>
      <c r="C12159" t="str">
        <f t="shared" si="677"/>
        <v>244</v>
      </c>
      <c r="D12159" t="str">
        <f>"36"</f>
        <v>36</v>
      </c>
      <c r="E12159" t="str">
        <f>"1-244-36"</f>
        <v>1-244-36</v>
      </c>
      <c r="F12159" t="s">
        <v>65</v>
      </c>
      <c r="G12159" t="s">
        <v>66</v>
      </c>
      <c r="H12159" t="s">
        <v>67</v>
      </c>
      <c r="S12159">
        <v>0</v>
      </c>
      <c r="T12159">
        <v>1</v>
      </c>
      <c r="U12159">
        <v>0</v>
      </c>
      <c r="V12159">
        <v>0</v>
      </c>
      <c r="W12159">
        <v>1</v>
      </c>
      <c r="X12159">
        <v>0</v>
      </c>
      <c r="Y12159">
        <v>1</v>
      </c>
      <c r="Z12159">
        <v>0</v>
      </c>
      <c r="AA12159">
        <v>1</v>
      </c>
      <c r="AB12159">
        <v>0</v>
      </c>
      <c r="AC12159">
        <v>0</v>
      </c>
      <c r="AD12159">
        <v>0</v>
      </c>
      <c r="AE12159">
        <v>0</v>
      </c>
      <c r="AF12159">
        <v>0</v>
      </c>
      <c r="AG12159">
        <v>0</v>
      </c>
      <c r="AH12159">
        <v>0</v>
      </c>
      <c r="AI12159">
        <v>0</v>
      </c>
      <c r="AJ12159">
        <v>0</v>
      </c>
      <c r="AK12159">
        <v>0</v>
      </c>
      <c r="AL12159">
        <v>0</v>
      </c>
      <c r="AM12159">
        <v>0</v>
      </c>
    </row>
    <row r="12160" spans="1:39" x14ac:dyDescent="0.2">
      <c r="A12160" t="str">
        <f>"12156"</f>
        <v>12156</v>
      </c>
      <c r="B12160" t="str">
        <f t="shared" si="676"/>
        <v>1</v>
      </c>
      <c r="C12160" t="str">
        <f t="shared" si="677"/>
        <v>244</v>
      </c>
      <c r="D12160" t="str">
        <f>"35"</f>
        <v>35</v>
      </c>
      <c r="E12160" t="str">
        <f>"1-244-35"</f>
        <v>1-244-35</v>
      </c>
      <c r="F12160" t="s">
        <v>65</v>
      </c>
      <c r="G12160" t="s">
        <v>66</v>
      </c>
      <c r="H12160" t="s">
        <v>67</v>
      </c>
      <c r="S12160">
        <v>1</v>
      </c>
      <c r="T12160">
        <v>0</v>
      </c>
      <c r="U12160">
        <v>0</v>
      </c>
      <c r="V12160">
        <v>0</v>
      </c>
      <c r="W12160">
        <v>1</v>
      </c>
      <c r="X12160">
        <v>0</v>
      </c>
      <c r="Y12160">
        <v>1</v>
      </c>
      <c r="Z12160">
        <v>0</v>
      </c>
      <c r="AA12160">
        <v>1</v>
      </c>
      <c r="AB12160">
        <v>0</v>
      </c>
      <c r="AC12160">
        <v>0</v>
      </c>
      <c r="AD12160">
        <v>0</v>
      </c>
      <c r="AE12160">
        <v>0</v>
      </c>
      <c r="AF12160">
        <v>0</v>
      </c>
      <c r="AG12160">
        <v>1</v>
      </c>
      <c r="AH12160">
        <v>1</v>
      </c>
      <c r="AI12160">
        <v>1</v>
      </c>
      <c r="AJ12160">
        <v>1</v>
      </c>
      <c r="AK12160">
        <v>1</v>
      </c>
      <c r="AL12160">
        <v>1</v>
      </c>
      <c r="AM12160">
        <v>1</v>
      </c>
    </row>
    <row r="12161" spans="1:39" x14ac:dyDescent="0.2">
      <c r="A12161" t="str">
        <f>"12157"</f>
        <v>12157</v>
      </c>
      <c r="B12161" t="str">
        <f t="shared" si="676"/>
        <v>1</v>
      </c>
      <c r="C12161" t="str">
        <f t="shared" si="677"/>
        <v>244</v>
      </c>
      <c r="D12161" t="str">
        <f>"22"</f>
        <v>22</v>
      </c>
      <c r="E12161" t="str">
        <f>"1-244-22"</f>
        <v>1-244-22</v>
      </c>
      <c r="F12161" t="s">
        <v>65</v>
      </c>
      <c r="G12161" t="s">
        <v>66</v>
      </c>
      <c r="H12161" t="s">
        <v>67</v>
      </c>
      <c r="S12161">
        <v>0</v>
      </c>
      <c r="T12161">
        <v>1</v>
      </c>
      <c r="U12161">
        <v>0</v>
      </c>
      <c r="V12161">
        <v>0</v>
      </c>
      <c r="W12161">
        <v>1</v>
      </c>
      <c r="X12161">
        <v>0</v>
      </c>
      <c r="Y12161">
        <v>0</v>
      </c>
      <c r="Z12161">
        <v>0</v>
      </c>
      <c r="AA12161">
        <v>0</v>
      </c>
      <c r="AB12161">
        <v>0</v>
      </c>
      <c r="AC12161">
        <v>0</v>
      </c>
      <c r="AD12161">
        <v>0</v>
      </c>
      <c r="AE12161">
        <v>0</v>
      </c>
      <c r="AF12161">
        <v>0</v>
      </c>
      <c r="AG12161">
        <v>0</v>
      </c>
      <c r="AH12161">
        <v>0</v>
      </c>
      <c r="AI12161">
        <v>0</v>
      </c>
      <c r="AJ12161">
        <v>0</v>
      </c>
      <c r="AK12161">
        <v>0</v>
      </c>
      <c r="AL12161">
        <v>0</v>
      </c>
      <c r="AM12161">
        <v>0</v>
      </c>
    </row>
    <row r="12162" spans="1:39" x14ac:dyDescent="0.2">
      <c r="A12162" t="str">
        <f>"12158"</f>
        <v>12158</v>
      </c>
      <c r="B12162" t="str">
        <f t="shared" si="676"/>
        <v>1</v>
      </c>
      <c r="C12162" t="str">
        <f t="shared" si="677"/>
        <v>244</v>
      </c>
      <c r="D12162" t="str">
        <f>"16"</f>
        <v>16</v>
      </c>
      <c r="E12162" t="str">
        <f>"1-244-16"</f>
        <v>1-244-16</v>
      </c>
      <c r="F12162" t="s">
        <v>65</v>
      </c>
      <c r="G12162" t="s">
        <v>66</v>
      </c>
      <c r="H12162" t="s">
        <v>67</v>
      </c>
      <c r="S12162">
        <v>1</v>
      </c>
      <c r="T12162">
        <v>0</v>
      </c>
      <c r="U12162">
        <v>0</v>
      </c>
      <c r="V12162">
        <v>0</v>
      </c>
      <c r="W12162">
        <v>1</v>
      </c>
      <c r="X12162">
        <v>0</v>
      </c>
      <c r="Y12162">
        <v>0</v>
      </c>
      <c r="Z12162">
        <v>1</v>
      </c>
      <c r="AA12162">
        <v>1</v>
      </c>
      <c r="AB12162">
        <v>0</v>
      </c>
      <c r="AC12162">
        <v>0</v>
      </c>
      <c r="AD12162">
        <v>1</v>
      </c>
      <c r="AE12162">
        <v>1</v>
      </c>
      <c r="AF12162">
        <v>1</v>
      </c>
      <c r="AG12162">
        <v>1</v>
      </c>
      <c r="AH12162">
        <v>1</v>
      </c>
      <c r="AI12162">
        <v>1</v>
      </c>
      <c r="AJ12162">
        <v>1</v>
      </c>
      <c r="AK12162">
        <v>1</v>
      </c>
      <c r="AL12162">
        <v>1</v>
      </c>
      <c r="AM12162">
        <v>1</v>
      </c>
    </row>
    <row r="12163" spans="1:39" x14ac:dyDescent="0.2">
      <c r="A12163" t="str">
        <f>"12159"</f>
        <v>12159</v>
      </c>
      <c r="B12163" t="str">
        <f t="shared" si="676"/>
        <v>1</v>
      </c>
      <c r="C12163" t="str">
        <f t="shared" si="677"/>
        <v>244</v>
      </c>
      <c r="D12163" t="str">
        <f>"9"</f>
        <v>9</v>
      </c>
      <c r="E12163" t="str">
        <f>"1-244-9"</f>
        <v>1-244-9</v>
      </c>
      <c r="F12163" t="s">
        <v>65</v>
      </c>
      <c r="G12163" t="s">
        <v>66</v>
      </c>
      <c r="H12163" t="s">
        <v>67</v>
      </c>
      <c r="S12163">
        <v>1</v>
      </c>
      <c r="T12163">
        <v>0</v>
      </c>
      <c r="U12163">
        <v>0</v>
      </c>
      <c r="V12163">
        <v>0</v>
      </c>
      <c r="W12163">
        <v>1</v>
      </c>
      <c r="X12163">
        <v>0</v>
      </c>
      <c r="Y12163">
        <v>0</v>
      </c>
      <c r="Z12163">
        <v>1</v>
      </c>
      <c r="AA12163">
        <v>1</v>
      </c>
      <c r="AB12163">
        <v>0</v>
      </c>
      <c r="AC12163">
        <v>0</v>
      </c>
      <c r="AD12163">
        <v>0</v>
      </c>
      <c r="AE12163">
        <v>0</v>
      </c>
      <c r="AF12163">
        <v>0</v>
      </c>
      <c r="AG12163">
        <v>0</v>
      </c>
      <c r="AH12163">
        <v>0</v>
      </c>
      <c r="AI12163">
        <v>0</v>
      </c>
      <c r="AJ12163">
        <v>0</v>
      </c>
      <c r="AK12163">
        <v>0</v>
      </c>
      <c r="AL12163">
        <v>0</v>
      </c>
      <c r="AM12163">
        <v>0</v>
      </c>
    </row>
    <row r="12164" spans="1:39" x14ac:dyDescent="0.2">
      <c r="A12164" t="str">
        <f>"12160"</f>
        <v>12160</v>
      </c>
      <c r="B12164" t="str">
        <f t="shared" si="676"/>
        <v>1</v>
      </c>
      <c r="C12164" t="str">
        <f t="shared" si="677"/>
        <v>244</v>
      </c>
      <c r="D12164" t="str">
        <f>"42"</f>
        <v>42</v>
      </c>
      <c r="E12164" t="str">
        <f>"1-244-42"</f>
        <v>1-244-42</v>
      </c>
      <c r="F12164" t="s">
        <v>65</v>
      </c>
      <c r="G12164" t="s">
        <v>66</v>
      </c>
      <c r="H12164" t="s">
        <v>67</v>
      </c>
      <c r="S12164">
        <v>0</v>
      </c>
      <c r="T12164">
        <v>1</v>
      </c>
      <c r="U12164">
        <v>0</v>
      </c>
      <c r="V12164">
        <v>0</v>
      </c>
      <c r="W12164">
        <v>0</v>
      </c>
      <c r="X12164">
        <v>1</v>
      </c>
      <c r="Y12164">
        <v>0</v>
      </c>
      <c r="Z12164">
        <v>1</v>
      </c>
      <c r="AA12164">
        <v>0</v>
      </c>
      <c r="AB12164">
        <v>0</v>
      </c>
      <c r="AC12164">
        <v>1</v>
      </c>
      <c r="AD12164">
        <v>0</v>
      </c>
      <c r="AE12164">
        <v>0</v>
      </c>
      <c r="AF12164">
        <v>0</v>
      </c>
      <c r="AG12164">
        <v>0</v>
      </c>
      <c r="AH12164">
        <v>0</v>
      </c>
      <c r="AI12164">
        <v>0</v>
      </c>
      <c r="AJ12164">
        <v>0</v>
      </c>
      <c r="AK12164">
        <v>0</v>
      </c>
      <c r="AL12164">
        <v>0</v>
      </c>
      <c r="AM12164">
        <v>1</v>
      </c>
    </row>
    <row r="12165" spans="1:39" x14ac:dyDescent="0.2">
      <c r="A12165" t="str">
        <f>"12161"</f>
        <v>12161</v>
      </c>
      <c r="B12165" t="str">
        <f t="shared" si="676"/>
        <v>1</v>
      </c>
      <c r="C12165" t="str">
        <f t="shared" si="677"/>
        <v>244</v>
      </c>
      <c r="D12165" t="str">
        <f>"41"</f>
        <v>41</v>
      </c>
      <c r="E12165" t="str">
        <f>"1-244-41"</f>
        <v>1-244-41</v>
      </c>
      <c r="F12165" t="s">
        <v>65</v>
      </c>
      <c r="G12165" t="s">
        <v>66</v>
      </c>
      <c r="H12165" t="s">
        <v>67</v>
      </c>
      <c r="S12165">
        <v>1</v>
      </c>
      <c r="T12165">
        <v>0</v>
      </c>
      <c r="U12165">
        <v>0</v>
      </c>
      <c r="V12165">
        <v>0</v>
      </c>
      <c r="W12165">
        <v>1</v>
      </c>
      <c r="X12165">
        <v>0</v>
      </c>
      <c r="Y12165">
        <v>1</v>
      </c>
      <c r="Z12165">
        <v>0</v>
      </c>
      <c r="AA12165">
        <v>1</v>
      </c>
      <c r="AB12165">
        <v>0</v>
      </c>
      <c r="AC12165">
        <v>0</v>
      </c>
      <c r="AD12165">
        <v>0</v>
      </c>
      <c r="AE12165">
        <v>0</v>
      </c>
      <c r="AF12165">
        <v>0</v>
      </c>
      <c r="AG12165">
        <v>0</v>
      </c>
      <c r="AH12165">
        <v>0</v>
      </c>
      <c r="AI12165">
        <v>0</v>
      </c>
      <c r="AJ12165">
        <v>0</v>
      </c>
      <c r="AK12165">
        <v>0</v>
      </c>
      <c r="AL12165">
        <v>0</v>
      </c>
      <c r="AM12165">
        <v>0</v>
      </c>
    </row>
    <row r="12166" spans="1:39" x14ac:dyDescent="0.2">
      <c r="A12166" t="str">
        <f>"12162"</f>
        <v>12162</v>
      </c>
      <c r="B12166" t="str">
        <f t="shared" si="676"/>
        <v>1</v>
      </c>
      <c r="C12166" t="str">
        <f t="shared" si="677"/>
        <v>244</v>
      </c>
      <c r="D12166" t="str">
        <f>"32"</f>
        <v>32</v>
      </c>
      <c r="E12166" t="str">
        <f>"1-244-32"</f>
        <v>1-244-32</v>
      </c>
      <c r="F12166" t="s">
        <v>65</v>
      </c>
      <c r="G12166" t="s">
        <v>66</v>
      </c>
      <c r="H12166" t="s">
        <v>67</v>
      </c>
      <c r="S12166">
        <v>1</v>
      </c>
      <c r="T12166">
        <v>0</v>
      </c>
      <c r="U12166">
        <v>0</v>
      </c>
      <c r="V12166">
        <v>0</v>
      </c>
      <c r="W12166">
        <v>1</v>
      </c>
      <c r="X12166">
        <v>0</v>
      </c>
      <c r="Y12166">
        <v>1</v>
      </c>
      <c r="Z12166">
        <v>0</v>
      </c>
      <c r="AA12166">
        <v>1</v>
      </c>
      <c r="AB12166">
        <v>0</v>
      </c>
      <c r="AC12166">
        <v>0</v>
      </c>
      <c r="AD12166">
        <v>0</v>
      </c>
      <c r="AE12166">
        <v>0</v>
      </c>
      <c r="AF12166">
        <v>0</v>
      </c>
      <c r="AG12166">
        <v>0</v>
      </c>
      <c r="AH12166">
        <v>0</v>
      </c>
      <c r="AI12166">
        <v>0</v>
      </c>
      <c r="AJ12166">
        <v>0</v>
      </c>
      <c r="AK12166">
        <v>0</v>
      </c>
      <c r="AL12166">
        <v>1</v>
      </c>
      <c r="AM12166">
        <v>0</v>
      </c>
    </row>
    <row r="12167" spans="1:39" x14ac:dyDescent="0.2">
      <c r="A12167" t="str">
        <f>"12163"</f>
        <v>12163</v>
      </c>
      <c r="B12167" t="str">
        <f t="shared" si="676"/>
        <v>1</v>
      </c>
      <c r="C12167" t="str">
        <f t="shared" si="677"/>
        <v>244</v>
      </c>
      <c r="D12167" t="str">
        <f>"17"</f>
        <v>17</v>
      </c>
      <c r="E12167" t="str">
        <f>"1-244-17"</f>
        <v>1-244-17</v>
      </c>
      <c r="F12167" t="s">
        <v>65</v>
      </c>
      <c r="G12167" t="s">
        <v>66</v>
      </c>
      <c r="H12167" t="s">
        <v>67</v>
      </c>
      <c r="S12167">
        <v>0</v>
      </c>
      <c r="T12167">
        <v>1</v>
      </c>
      <c r="U12167">
        <v>0</v>
      </c>
      <c r="V12167">
        <v>0</v>
      </c>
      <c r="W12167">
        <v>1</v>
      </c>
      <c r="X12167">
        <v>0</v>
      </c>
      <c r="Y12167">
        <v>0</v>
      </c>
      <c r="Z12167">
        <v>1</v>
      </c>
      <c r="AA12167">
        <v>0</v>
      </c>
      <c r="AB12167">
        <v>0</v>
      </c>
      <c r="AC12167">
        <v>1</v>
      </c>
      <c r="AD12167">
        <v>0</v>
      </c>
      <c r="AE12167">
        <v>0</v>
      </c>
      <c r="AF12167">
        <v>0</v>
      </c>
      <c r="AG12167">
        <v>0</v>
      </c>
      <c r="AH12167">
        <v>0</v>
      </c>
      <c r="AI12167">
        <v>0</v>
      </c>
      <c r="AJ12167">
        <v>0</v>
      </c>
      <c r="AK12167">
        <v>0</v>
      </c>
      <c r="AL12167">
        <v>0</v>
      </c>
      <c r="AM12167">
        <v>0</v>
      </c>
    </row>
    <row r="12168" spans="1:39" x14ac:dyDescent="0.2">
      <c r="A12168" t="str">
        <f>"12164"</f>
        <v>12164</v>
      </c>
      <c r="B12168" t="str">
        <f t="shared" si="676"/>
        <v>1</v>
      </c>
      <c r="C12168" t="str">
        <f t="shared" si="677"/>
        <v>244</v>
      </c>
      <c r="D12168" t="str">
        <f>"8"</f>
        <v>8</v>
      </c>
      <c r="E12168" t="str">
        <f>"1-244-8"</f>
        <v>1-244-8</v>
      </c>
      <c r="F12168" t="s">
        <v>65</v>
      </c>
      <c r="G12168" t="s">
        <v>66</v>
      </c>
      <c r="H12168" t="s">
        <v>67</v>
      </c>
      <c r="S12168">
        <v>1</v>
      </c>
      <c r="T12168">
        <v>0</v>
      </c>
      <c r="U12168">
        <v>0</v>
      </c>
      <c r="V12168">
        <v>0</v>
      </c>
      <c r="W12168">
        <v>1</v>
      </c>
      <c r="X12168">
        <v>0</v>
      </c>
      <c r="Y12168">
        <v>0</v>
      </c>
      <c r="Z12168">
        <v>1</v>
      </c>
      <c r="AA12168">
        <v>0</v>
      </c>
      <c r="AB12168">
        <v>0</v>
      </c>
      <c r="AC12168">
        <v>1</v>
      </c>
      <c r="AD12168">
        <v>1</v>
      </c>
      <c r="AE12168">
        <v>1</v>
      </c>
      <c r="AF12168">
        <v>1</v>
      </c>
      <c r="AG12168">
        <v>1</v>
      </c>
      <c r="AH12168">
        <v>1</v>
      </c>
      <c r="AI12168">
        <v>1</v>
      </c>
      <c r="AJ12168">
        <v>1</v>
      </c>
      <c r="AK12168">
        <v>1</v>
      </c>
      <c r="AL12168">
        <v>1</v>
      </c>
      <c r="AM12168">
        <v>1</v>
      </c>
    </row>
    <row r="12169" spans="1:39" x14ac:dyDescent="0.2">
      <c r="A12169" t="str">
        <f>"12165"</f>
        <v>12165</v>
      </c>
      <c r="B12169" t="str">
        <f t="shared" si="676"/>
        <v>1</v>
      </c>
      <c r="C12169" t="str">
        <f t="shared" si="677"/>
        <v>244</v>
      </c>
      <c r="D12169" t="str">
        <f>"40"</f>
        <v>40</v>
      </c>
      <c r="E12169" t="str">
        <f>"1-244-40"</f>
        <v>1-244-40</v>
      </c>
      <c r="F12169" t="s">
        <v>65</v>
      </c>
      <c r="G12169" t="s">
        <v>66</v>
      </c>
      <c r="H12169" t="s">
        <v>67</v>
      </c>
      <c r="S12169">
        <v>0</v>
      </c>
      <c r="T12169">
        <v>1</v>
      </c>
      <c r="U12169">
        <v>0</v>
      </c>
      <c r="V12169">
        <v>0</v>
      </c>
      <c r="W12169">
        <v>1</v>
      </c>
      <c r="X12169">
        <v>0</v>
      </c>
      <c r="Y12169">
        <v>1</v>
      </c>
      <c r="Z12169">
        <v>0</v>
      </c>
      <c r="AA12169">
        <v>1</v>
      </c>
      <c r="AB12169">
        <v>0</v>
      </c>
      <c r="AC12169">
        <v>0</v>
      </c>
      <c r="AD12169">
        <v>1</v>
      </c>
      <c r="AE12169">
        <v>1</v>
      </c>
      <c r="AF12169">
        <v>1</v>
      </c>
      <c r="AG12169">
        <v>1</v>
      </c>
      <c r="AH12169">
        <v>1</v>
      </c>
      <c r="AI12169">
        <v>1</v>
      </c>
      <c r="AJ12169">
        <v>1</v>
      </c>
      <c r="AK12169">
        <v>1</v>
      </c>
      <c r="AL12169">
        <v>1</v>
      </c>
      <c r="AM12169">
        <v>1</v>
      </c>
    </row>
    <row r="12170" spans="1:39" x14ac:dyDescent="0.2">
      <c r="A12170" t="str">
        <f>"12166"</f>
        <v>12166</v>
      </c>
      <c r="B12170" t="str">
        <f t="shared" si="676"/>
        <v>1</v>
      </c>
      <c r="C12170" t="str">
        <f t="shared" si="677"/>
        <v>244</v>
      </c>
      <c r="D12170" t="str">
        <f>"39"</f>
        <v>39</v>
      </c>
      <c r="E12170" t="str">
        <f>"1-244-39"</f>
        <v>1-244-39</v>
      </c>
      <c r="F12170" t="s">
        <v>65</v>
      </c>
      <c r="G12170" t="s">
        <v>66</v>
      </c>
      <c r="H12170" t="s">
        <v>67</v>
      </c>
      <c r="S12170">
        <v>1</v>
      </c>
      <c r="T12170">
        <v>0</v>
      </c>
      <c r="U12170">
        <v>0</v>
      </c>
      <c r="V12170">
        <v>0</v>
      </c>
      <c r="W12170">
        <v>1</v>
      </c>
      <c r="X12170">
        <v>0</v>
      </c>
      <c r="Y12170">
        <v>1</v>
      </c>
      <c r="Z12170">
        <v>0</v>
      </c>
      <c r="AA12170">
        <v>1</v>
      </c>
      <c r="AB12170">
        <v>0</v>
      </c>
      <c r="AC12170">
        <v>0</v>
      </c>
      <c r="AD12170">
        <v>1</v>
      </c>
      <c r="AE12170">
        <v>1</v>
      </c>
      <c r="AF12170">
        <v>1</v>
      </c>
      <c r="AG12170">
        <v>1</v>
      </c>
      <c r="AH12170">
        <v>1</v>
      </c>
      <c r="AI12170">
        <v>1</v>
      </c>
      <c r="AJ12170">
        <v>1</v>
      </c>
      <c r="AK12170">
        <v>1</v>
      </c>
      <c r="AL12170">
        <v>1</v>
      </c>
      <c r="AM12170">
        <v>1</v>
      </c>
    </row>
    <row r="12171" spans="1:39" x14ac:dyDescent="0.2">
      <c r="A12171" t="str">
        <f>"12167"</f>
        <v>12167</v>
      </c>
      <c r="B12171" t="str">
        <f t="shared" si="676"/>
        <v>1</v>
      </c>
      <c r="C12171" t="str">
        <f t="shared" si="677"/>
        <v>244</v>
      </c>
      <c r="D12171" t="str">
        <f>"31"</f>
        <v>31</v>
      </c>
      <c r="E12171" t="str">
        <f>"1-244-31"</f>
        <v>1-244-31</v>
      </c>
      <c r="F12171" t="s">
        <v>65</v>
      </c>
      <c r="G12171" t="s">
        <v>66</v>
      </c>
      <c r="H12171" t="s">
        <v>67</v>
      </c>
      <c r="S12171">
        <v>1</v>
      </c>
      <c r="T12171">
        <v>0</v>
      </c>
      <c r="U12171">
        <v>0</v>
      </c>
      <c r="V12171">
        <v>0</v>
      </c>
      <c r="W12171">
        <v>1</v>
      </c>
      <c r="X12171">
        <v>0</v>
      </c>
      <c r="Y12171">
        <v>1</v>
      </c>
      <c r="Z12171">
        <v>0</v>
      </c>
      <c r="AA12171">
        <v>1</v>
      </c>
      <c r="AB12171">
        <v>0</v>
      </c>
      <c r="AC12171">
        <v>0</v>
      </c>
      <c r="AD12171">
        <v>1</v>
      </c>
      <c r="AE12171">
        <v>1</v>
      </c>
      <c r="AF12171">
        <v>1</v>
      </c>
      <c r="AG12171">
        <v>1</v>
      </c>
      <c r="AH12171">
        <v>1</v>
      </c>
      <c r="AI12171">
        <v>1</v>
      </c>
      <c r="AJ12171">
        <v>1</v>
      </c>
      <c r="AK12171">
        <v>1</v>
      </c>
      <c r="AL12171">
        <v>1</v>
      </c>
      <c r="AM12171">
        <v>1</v>
      </c>
    </row>
    <row r="12172" spans="1:39" x14ac:dyDescent="0.2">
      <c r="A12172" t="str">
        <f>"12168"</f>
        <v>12168</v>
      </c>
      <c r="B12172" t="str">
        <f t="shared" si="676"/>
        <v>1</v>
      </c>
      <c r="C12172" t="str">
        <f t="shared" si="677"/>
        <v>244</v>
      </c>
      <c r="D12172" t="str">
        <f>"18"</f>
        <v>18</v>
      </c>
      <c r="E12172" t="str">
        <f>"1-244-18"</f>
        <v>1-244-18</v>
      </c>
      <c r="F12172" t="s">
        <v>65</v>
      </c>
      <c r="G12172" t="s">
        <v>66</v>
      </c>
      <c r="H12172" t="s">
        <v>67</v>
      </c>
      <c r="S12172">
        <v>1</v>
      </c>
      <c r="T12172">
        <v>0</v>
      </c>
      <c r="U12172">
        <v>0</v>
      </c>
      <c r="V12172">
        <v>0</v>
      </c>
      <c r="W12172">
        <v>1</v>
      </c>
      <c r="X12172">
        <v>0</v>
      </c>
      <c r="Y12172">
        <v>1</v>
      </c>
      <c r="Z12172">
        <v>0</v>
      </c>
      <c r="AA12172">
        <v>1</v>
      </c>
      <c r="AB12172">
        <v>0</v>
      </c>
      <c r="AC12172">
        <v>0</v>
      </c>
      <c r="AD12172">
        <v>0</v>
      </c>
      <c r="AE12172">
        <v>0</v>
      </c>
      <c r="AF12172">
        <v>0</v>
      </c>
      <c r="AG12172">
        <v>0</v>
      </c>
      <c r="AH12172">
        <v>0</v>
      </c>
      <c r="AI12172">
        <v>0</v>
      </c>
      <c r="AJ12172">
        <v>0</v>
      </c>
      <c r="AK12172">
        <v>0</v>
      </c>
      <c r="AL12172">
        <v>1</v>
      </c>
      <c r="AM12172">
        <v>0</v>
      </c>
    </row>
    <row r="12173" spans="1:39" x14ac:dyDescent="0.2">
      <c r="A12173" t="str">
        <f>"12169"</f>
        <v>12169</v>
      </c>
      <c r="B12173" t="str">
        <f t="shared" si="676"/>
        <v>1</v>
      </c>
      <c r="C12173" t="str">
        <f t="shared" si="677"/>
        <v>244</v>
      </c>
      <c r="D12173" t="str">
        <f>"5"</f>
        <v>5</v>
      </c>
      <c r="E12173" t="str">
        <f>"1-244-5"</f>
        <v>1-244-5</v>
      </c>
      <c r="F12173" t="s">
        <v>65</v>
      </c>
      <c r="G12173" t="s">
        <v>66</v>
      </c>
      <c r="H12173" t="s">
        <v>67</v>
      </c>
      <c r="S12173">
        <v>0</v>
      </c>
      <c r="T12173">
        <v>1</v>
      </c>
      <c r="U12173">
        <v>0</v>
      </c>
      <c r="V12173">
        <v>0</v>
      </c>
      <c r="W12173">
        <v>1</v>
      </c>
      <c r="X12173">
        <v>0</v>
      </c>
      <c r="Y12173">
        <v>0</v>
      </c>
      <c r="Z12173">
        <v>1</v>
      </c>
      <c r="AA12173">
        <v>0</v>
      </c>
      <c r="AB12173">
        <v>1</v>
      </c>
      <c r="AC12173">
        <v>0</v>
      </c>
      <c r="AD12173">
        <v>1</v>
      </c>
      <c r="AE12173">
        <v>1</v>
      </c>
      <c r="AF12173">
        <v>1</v>
      </c>
      <c r="AG12173">
        <v>1</v>
      </c>
      <c r="AH12173">
        <v>1</v>
      </c>
      <c r="AI12173">
        <v>1</v>
      </c>
      <c r="AJ12173">
        <v>1</v>
      </c>
      <c r="AK12173">
        <v>1</v>
      </c>
      <c r="AL12173">
        <v>1</v>
      </c>
      <c r="AM12173">
        <v>1</v>
      </c>
    </row>
    <row r="12174" spans="1:39" x14ac:dyDescent="0.2">
      <c r="A12174" t="str">
        <f>"12170"</f>
        <v>12170</v>
      </c>
      <c r="B12174" t="str">
        <f t="shared" si="676"/>
        <v>1</v>
      </c>
      <c r="C12174" t="str">
        <f t="shared" si="677"/>
        <v>244</v>
      </c>
      <c r="D12174" t="str">
        <f>"47"</f>
        <v>47</v>
      </c>
      <c r="E12174" t="str">
        <f>"1-244-47"</f>
        <v>1-244-47</v>
      </c>
      <c r="F12174" t="s">
        <v>65</v>
      </c>
      <c r="G12174" t="s">
        <v>66</v>
      </c>
      <c r="H12174" t="s">
        <v>67</v>
      </c>
      <c r="S12174">
        <v>0</v>
      </c>
      <c r="T12174">
        <v>1</v>
      </c>
      <c r="U12174">
        <v>0</v>
      </c>
      <c r="V12174">
        <v>0</v>
      </c>
      <c r="W12174">
        <v>1</v>
      </c>
      <c r="X12174">
        <v>0</v>
      </c>
      <c r="Y12174">
        <v>1</v>
      </c>
      <c r="Z12174">
        <v>0</v>
      </c>
      <c r="AA12174">
        <v>0</v>
      </c>
      <c r="AB12174">
        <v>0</v>
      </c>
      <c r="AC12174">
        <v>1</v>
      </c>
      <c r="AD12174">
        <v>1</v>
      </c>
      <c r="AE12174">
        <v>1</v>
      </c>
      <c r="AF12174">
        <v>1</v>
      </c>
      <c r="AG12174">
        <v>1</v>
      </c>
      <c r="AH12174">
        <v>1</v>
      </c>
      <c r="AI12174">
        <v>1</v>
      </c>
      <c r="AJ12174">
        <v>1</v>
      </c>
      <c r="AK12174">
        <v>1</v>
      </c>
      <c r="AL12174">
        <v>1</v>
      </c>
      <c r="AM12174">
        <v>1</v>
      </c>
    </row>
    <row r="12175" spans="1:39" x14ac:dyDescent="0.2">
      <c r="A12175" t="str">
        <f>"12171"</f>
        <v>12171</v>
      </c>
      <c r="B12175" t="str">
        <f t="shared" si="676"/>
        <v>1</v>
      </c>
      <c r="C12175" t="str">
        <f t="shared" si="677"/>
        <v>244</v>
      </c>
      <c r="D12175" t="str">
        <f>"46"</f>
        <v>46</v>
      </c>
      <c r="E12175" t="str">
        <f>"1-244-46"</f>
        <v>1-244-46</v>
      </c>
      <c r="F12175" t="s">
        <v>65</v>
      </c>
      <c r="G12175" t="s">
        <v>66</v>
      </c>
      <c r="H12175" t="s">
        <v>67</v>
      </c>
      <c r="S12175">
        <v>0</v>
      </c>
      <c r="T12175">
        <v>1</v>
      </c>
      <c r="U12175">
        <v>0</v>
      </c>
      <c r="V12175">
        <v>0</v>
      </c>
      <c r="W12175">
        <v>0</v>
      </c>
      <c r="X12175">
        <v>1</v>
      </c>
      <c r="Y12175">
        <v>0</v>
      </c>
      <c r="Z12175">
        <v>1</v>
      </c>
      <c r="AA12175">
        <v>1</v>
      </c>
      <c r="AB12175">
        <v>0</v>
      </c>
      <c r="AC12175">
        <v>0</v>
      </c>
      <c r="AD12175">
        <v>1</v>
      </c>
      <c r="AE12175">
        <v>1</v>
      </c>
      <c r="AF12175">
        <v>1</v>
      </c>
      <c r="AG12175">
        <v>1</v>
      </c>
      <c r="AH12175">
        <v>1</v>
      </c>
      <c r="AI12175">
        <v>1</v>
      </c>
      <c r="AJ12175">
        <v>1</v>
      </c>
      <c r="AK12175">
        <v>1</v>
      </c>
      <c r="AL12175">
        <v>1</v>
      </c>
      <c r="AM12175">
        <v>1</v>
      </c>
    </row>
    <row r="12176" spans="1:39" x14ac:dyDescent="0.2">
      <c r="A12176" t="str">
        <f>"12172"</f>
        <v>12172</v>
      </c>
      <c r="B12176" t="str">
        <f t="shared" si="676"/>
        <v>1</v>
      </c>
      <c r="C12176" t="str">
        <f t="shared" si="677"/>
        <v>244</v>
      </c>
      <c r="D12176" t="str">
        <f>"33"</f>
        <v>33</v>
      </c>
      <c r="E12176" t="str">
        <f>"1-244-33"</f>
        <v>1-244-33</v>
      </c>
      <c r="F12176" t="s">
        <v>65</v>
      </c>
      <c r="G12176" t="s">
        <v>66</v>
      </c>
      <c r="H12176" t="s">
        <v>67</v>
      </c>
      <c r="S12176">
        <v>0</v>
      </c>
      <c r="T12176">
        <v>0</v>
      </c>
      <c r="U12176">
        <v>0</v>
      </c>
      <c r="V12176">
        <v>0</v>
      </c>
      <c r="W12176">
        <v>1</v>
      </c>
      <c r="X12176">
        <v>0</v>
      </c>
      <c r="Y12176">
        <v>1</v>
      </c>
      <c r="Z12176">
        <v>0</v>
      </c>
      <c r="AA12176">
        <v>0</v>
      </c>
      <c r="AB12176">
        <v>0</v>
      </c>
      <c r="AC12176">
        <v>0</v>
      </c>
      <c r="AD12176">
        <v>0</v>
      </c>
      <c r="AE12176">
        <v>0</v>
      </c>
      <c r="AF12176">
        <v>0</v>
      </c>
      <c r="AG12176">
        <v>0</v>
      </c>
      <c r="AH12176">
        <v>1</v>
      </c>
      <c r="AI12176">
        <v>0</v>
      </c>
      <c r="AJ12176">
        <v>0</v>
      </c>
      <c r="AK12176">
        <v>0</v>
      </c>
      <c r="AL12176">
        <v>1</v>
      </c>
      <c r="AM12176">
        <v>0</v>
      </c>
    </row>
    <row r="12177" spans="1:39" x14ac:dyDescent="0.2">
      <c r="A12177" t="str">
        <f>"12173"</f>
        <v>12173</v>
      </c>
      <c r="B12177" t="str">
        <f t="shared" si="676"/>
        <v>1</v>
      </c>
      <c r="C12177" t="str">
        <f t="shared" si="677"/>
        <v>244</v>
      </c>
      <c r="D12177" t="str">
        <f>"19"</f>
        <v>19</v>
      </c>
      <c r="E12177" t="str">
        <f>"1-244-19"</f>
        <v>1-244-19</v>
      </c>
      <c r="F12177" t="s">
        <v>65</v>
      </c>
      <c r="G12177" t="s">
        <v>66</v>
      </c>
      <c r="H12177" t="s">
        <v>67</v>
      </c>
      <c r="S12177">
        <v>1</v>
      </c>
      <c r="T12177">
        <v>0</v>
      </c>
      <c r="U12177">
        <v>0</v>
      </c>
      <c r="V12177">
        <v>0</v>
      </c>
      <c r="W12177">
        <v>1</v>
      </c>
      <c r="X12177">
        <v>0</v>
      </c>
      <c r="Y12177">
        <v>1</v>
      </c>
      <c r="Z12177">
        <v>0</v>
      </c>
      <c r="AA12177">
        <v>0</v>
      </c>
      <c r="AB12177">
        <v>1</v>
      </c>
      <c r="AC12177">
        <v>0</v>
      </c>
      <c r="AD12177">
        <v>1</v>
      </c>
      <c r="AE12177">
        <v>1</v>
      </c>
      <c r="AF12177">
        <v>1</v>
      </c>
      <c r="AG12177">
        <v>1</v>
      </c>
      <c r="AH12177">
        <v>1</v>
      </c>
      <c r="AI12177">
        <v>1</v>
      </c>
      <c r="AJ12177">
        <v>1</v>
      </c>
      <c r="AK12177">
        <v>1</v>
      </c>
      <c r="AL12177">
        <v>1</v>
      </c>
      <c r="AM12177">
        <v>1</v>
      </c>
    </row>
    <row r="12178" spans="1:39" x14ac:dyDescent="0.2">
      <c r="A12178" t="str">
        <f>"12174"</f>
        <v>12174</v>
      </c>
      <c r="B12178" t="str">
        <f t="shared" si="676"/>
        <v>1</v>
      </c>
      <c r="C12178" t="str">
        <f t="shared" si="677"/>
        <v>244</v>
      </c>
      <c r="D12178" t="str">
        <f>"7"</f>
        <v>7</v>
      </c>
      <c r="E12178" t="str">
        <f>"1-244-7"</f>
        <v>1-244-7</v>
      </c>
      <c r="F12178" t="s">
        <v>65</v>
      </c>
      <c r="G12178" t="s">
        <v>66</v>
      </c>
      <c r="H12178" t="s">
        <v>67</v>
      </c>
      <c r="S12178">
        <v>1</v>
      </c>
      <c r="T12178">
        <v>0</v>
      </c>
      <c r="U12178">
        <v>0</v>
      </c>
      <c r="V12178">
        <v>0</v>
      </c>
      <c r="W12178">
        <v>1</v>
      </c>
      <c r="X12178">
        <v>0</v>
      </c>
      <c r="Y12178">
        <v>1</v>
      </c>
      <c r="Z12178">
        <v>0</v>
      </c>
      <c r="AA12178">
        <v>0</v>
      </c>
      <c r="AB12178">
        <v>1</v>
      </c>
      <c r="AC12178">
        <v>0</v>
      </c>
      <c r="AD12178">
        <v>1</v>
      </c>
      <c r="AE12178">
        <v>1</v>
      </c>
      <c r="AF12178">
        <v>1</v>
      </c>
      <c r="AG12178">
        <v>1</v>
      </c>
      <c r="AH12178">
        <v>1</v>
      </c>
      <c r="AI12178">
        <v>1</v>
      </c>
      <c r="AJ12178">
        <v>1</v>
      </c>
      <c r="AK12178">
        <v>1</v>
      </c>
      <c r="AL12178">
        <v>1</v>
      </c>
      <c r="AM12178">
        <v>1</v>
      </c>
    </row>
    <row r="12179" spans="1:39" x14ac:dyDescent="0.2">
      <c r="A12179" t="str">
        <f>"12175"</f>
        <v>12175</v>
      </c>
      <c r="B12179" t="str">
        <f t="shared" si="676"/>
        <v>1</v>
      </c>
      <c r="C12179" t="str">
        <f t="shared" si="677"/>
        <v>244</v>
      </c>
      <c r="D12179" t="str">
        <f>"45"</f>
        <v>45</v>
      </c>
      <c r="E12179" t="str">
        <f>"1-244-45"</f>
        <v>1-244-45</v>
      </c>
      <c r="F12179" t="s">
        <v>65</v>
      </c>
      <c r="G12179" t="s">
        <v>66</v>
      </c>
      <c r="H12179" t="s">
        <v>67</v>
      </c>
      <c r="S12179">
        <v>0</v>
      </c>
      <c r="T12179">
        <v>1</v>
      </c>
      <c r="U12179">
        <v>0</v>
      </c>
      <c r="V12179">
        <v>0</v>
      </c>
      <c r="W12179">
        <v>1</v>
      </c>
      <c r="X12179">
        <v>0</v>
      </c>
      <c r="Y12179">
        <v>0</v>
      </c>
      <c r="Z12179">
        <v>1</v>
      </c>
      <c r="AA12179">
        <v>1</v>
      </c>
      <c r="AB12179">
        <v>0</v>
      </c>
      <c r="AC12179">
        <v>0</v>
      </c>
      <c r="AD12179">
        <v>1</v>
      </c>
      <c r="AE12179">
        <v>1</v>
      </c>
      <c r="AF12179">
        <v>1</v>
      </c>
      <c r="AG12179">
        <v>1</v>
      </c>
      <c r="AH12179">
        <v>1</v>
      </c>
      <c r="AI12179">
        <v>1</v>
      </c>
      <c r="AJ12179">
        <v>1</v>
      </c>
      <c r="AK12179">
        <v>1</v>
      </c>
      <c r="AL12179">
        <v>1</v>
      </c>
      <c r="AM12179">
        <v>1</v>
      </c>
    </row>
    <row r="12180" spans="1:39" x14ac:dyDescent="0.2">
      <c r="A12180" t="str">
        <f>"12176"</f>
        <v>12176</v>
      </c>
      <c r="B12180" t="str">
        <f t="shared" si="676"/>
        <v>1</v>
      </c>
      <c r="C12180" t="str">
        <f t="shared" si="677"/>
        <v>244</v>
      </c>
      <c r="D12180" t="str">
        <f>"44"</f>
        <v>44</v>
      </c>
      <c r="E12180" t="str">
        <f>"1-244-44"</f>
        <v>1-244-44</v>
      </c>
      <c r="F12180" t="s">
        <v>65</v>
      </c>
      <c r="G12180" t="s">
        <v>66</v>
      </c>
      <c r="H12180" t="s">
        <v>67</v>
      </c>
      <c r="S12180">
        <v>1</v>
      </c>
      <c r="T12180">
        <v>0</v>
      </c>
      <c r="U12180">
        <v>0</v>
      </c>
      <c r="V12180">
        <v>0</v>
      </c>
      <c r="W12180">
        <v>1</v>
      </c>
      <c r="X12180">
        <v>0</v>
      </c>
      <c r="Y12180">
        <v>1</v>
      </c>
      <c r="Z12180">
        <v>0</v>
      </c>
      <c r="AA12180">
        <v>1</v>
      </c>
      <c r="AB12180">
        <v>0</v>
      </c>
      <c r="AC12180">
        <v>0</v>
      </c>
      <c r="AD12180">
        <v>1</v>
      </c>
      <c r="AE12180">
        <v>1</v>
      </c>
      <c r="AF12180">
        <v>1</v>
      </c>
      <c r="AG12180">
        <v>1</v>
      </c>
      <c r="AH12180">
        <v>1</v>
      </c>
      <c r="AI12180">
        <v>1</v>
      </c>
      <c r="AJ12180">
        <v>1</v>
      </c>
      <c r="AK12180">
        <v>1</v>
      </c>
      <c r="AL12180">
        <v>1</v>
      </c>
      <c r="AM12180">
        <v>1</v>
      </c>
    </row>
    <row r="12181" spans="1:39" x14ac:dyDescent="0.2">
      <c r="A12181" t="str">
        <f>"12177"</f>
        <v>12177</v>
      </c>
      <c r="B12181" t="str">
        <f t="shared" si="676"/>
        <v>1</v>
      </c>
      <c r="C12181" t="str">
        <f t="shared" si="677"/>
        <v>244</v>
      </c>
      <c r="D12181" t="str">
        <f>"34"</f>
        <v>34</v>
      </c>
      <c r="E12181" t="str">
        <f>"1-244-34"</f>
        <v>1-244-34</v>
      </c>
      <c r="F12181" t="s">
        <v>65</v>
      </c>
      <c r="G12181" t="s">
        <v>66</v>
      </c>
      <c r="H12181" t="s">
        <v>67</v>
      </c>
      <c r="S12181">
        <v>1</v>
      </c>
      <c r="T12181">
        <v>0</v>
      </c>
      <c r="U12181">
        <v>0</v>
      </c>
      <c r="V12181">
        <v>0</v>
      </c>
      <c r="W12181">
        <v>1</v>
      </c>
      <c r="X12181">
        <v>0</v>
      </c>
      <c r="Y12181">
        <v>1</v>
      </c>
      <c r="Z12181">
        <v>0</v>
      </c>
      <c r="AA12181">
        <v>1</v>
      </c>
      <c r="AB12181">
        <v>0</v>
      </c>
      <c r="AC12181">
        <v>0</v>
      </c>
      <c r="AD12181">
        <v>1</v>
      </c>
      <c r="AE12181">
        <v>1</v>
      </c>
      <c r="AF12181">
        <v>1</v>
      </c>
      <c r="AG12181">
        <v>1</v>
      </c>
      <c r="AH12181">
        <v>1</v>
      </c>
      <c r="AI12181">
        <v>1</v>
      </c>
      <c r="AJ12181">
        <v>1</v>
      </c>
      <c r="AK12181">
        <v>1</v>
      </c>
      <c r="AL12181">
        <v>1</v>
      </c>
      <c r="AM12181">
        <v>1</v>
      </c>
    </row>
    <row r="12182" spans="1:39" x14ac:dyDescent="0.2">
      <c r="A12182" t="str">
        <f>"12178"</f>
        <v>12178</v>
      </c>
      <c r="B12182" t="str">
        <f t="shared" si="676"/>
        <v>1</v>
      </c>
      <c r="C12182" t="str">
        <f t="shared" si="677"/>
        <v>244</v>
      </c>
      <c r="D12182" t="str">
        <f>"20"</f>
        <v>20</v>
      </c>
      <c r="E12182" t="str">
        <f>"1-244-20"</f>
        <v>1-244-20</v>
      </c>
      <c r="F12182" t="s">
        <v>65</v>
      </c>
      <c r="G12182" t="s">
        <v>66</v>
      </c>
      <c r="H12182" t="s">
        <v>67</v>
      </c>
      <c r="S12182">
        <v>0</v>
      </c>
      <c r="T12182">
        <v>0</v>
      </c>
      <c r="U12182">
        <v>0</v>
      </c>
      <c r="V12182">
        <v>0</v>
      </c>
      <c r="W12182">
        <v>0</v>
      </c>
      <c r="X12182">
        <v>1</v>
      </c>
      <c r="Y12182">
        <v>0</v>
      </c>
      <c r="Z12182">
        <v>0</v>
      </c>
      <c r="AA12182">
        <v>0</v>
      </c>
      <c r="AB12182">
        <v>1</v>
      </c>
      <c r="AC12182">
        <v>0</v>
      </c>
      <c r="AD12182">
        <v>0</v>
      </c>
      <c r="AE12182">
        <v>0</v>
      </c>
      <c r="AF12182">
        <v>0</v>
      </c>
      <c r="AG12182">
        <v>0</v>
      </c>
      <c r="AH12182">
        <v>0</v>
      </c>
      <c r="AI12182">
        <v>1</v>
      </c>
      <c r="AJ12182">
        <v>1</v>
      </c>
      <c r="AK12182">
        <v>1</v>
      </c>
      <c r="AL12182">
        <v>1</v>
      </c>
      <c r="AM12182">
        <v>1</v>
      </c>
    </row>
    <row r="12183" spans="1:39" x14ac:dyDescent="0.2">
      <c r="A12183" t="str">
        <f>"12179"</f>
        <v>12179</v>
      </c>
      <c r="B12183" t="str">
        <f t="shared" si="676"/>
        <v>1</v>
      </c>
      <c r="C12183" t="str">
        <f t="shared" si="677"/>
        <v>244</v>
      </c>
      <c r="D12183" t="str">
        <f>"11"</f>
        <v>11</v>
      </c>
      <c r="E12183" t="str">
        <f>"1-244-11"</f>
        <v>1-244-11</v>
      </c>
      <c r="F12183" t="s">
        <v>65</v>
      </c>
      <c r="G12183" t="s">
        <v>66</v>
      </c>
      <c r="H12183" t="s">
        <v>67</v>
      </c>
      <c r="S12183">
        <v>1</v>
      </c>
      <c r="T12183">
        <v>0</v>
      </c>
      <c r="U12183">
        <v>0</v>
      </c>
      <c r="V12183">
        <v>0</v>
      </c>
      <c r="W12183">
        <v>1</v>
      </c>
      <c r="X12183">
        <v>0</v>
      </c>
      <c r="Y12183">
        <v>1</v>
      </c>
      <c r="Z12183">
        <v>0</v>
      </c>
      <c r="AA12183">
        <v>1</v>
      </c>
      <c r="AB12183">
        <v>0</v>
      </c>
      <c r="AC12183">
        <v>0</v>
      </c>
      <c r="AD12183">
        <v>1</v>
      </c>
      <c r="AE12183">
        <v>1</v>
      </c>
      <c r="AF12183">
        <v>1</v>
      </c>
      <c r="AG12183">
        <v>1</v>
      </c>
      <c r="AH12183">
        <v>1</v>
      </c>
      <c r="AI12183">
        <v>1</v>
      </c>
      <c r="AJ12183">
        <v>1</v>
      </c>
      <c r="AK12183">
        <v>1</v>
      </c>
      <c r="AL12183">
        <v>1</v>
      </c>
      <c r="AM12183">
        <v>1</v>
      </c>
    </row>
    <row r="12184" spans="1:39" x14ac:dyDescent="0.2">
      <c r="A12184" t="str">
        <f>"12180"</f>
        <v>12180</v>
      </c>
      <c r="B12184" t="str">
        <f t="shared" si="676"/>
        <v>1</v>
      </c>
      <c r="C12184" t="str">
        <f t="shared" si="677"/>
        <v>244</v>
      </c>
      <c r="D12184" t="str">
        <f>"43"</f>
        <v>43</v>
      </c>
      <c r="E12184" t="str">
        <f>"1-244-43"</f>
        <v>1-244-43</v>
      </c>
      <c r="F12184" t="s">
        <v>65</v>
      </c>
      <c r="G12184" t="s">
        <v>66</v>
      </c>
      <c r="H12184" t="s">
        <v>67</v>
      </c>
      <c r="S12184">
        <v>1</v>
      </c>
      <c r="T12184">
        <v>0</v>
      </c>
      <c r="U12184">
        <v>0</v>
      </c>
      <c r="V12184">
        <v>0</v>
      </c>
      <c r="W12184">
        <v>1</v>
      </c>
      <c r="X12184">
        <v>0</v>
      </c>
      <c r="Y12184">
        <v>1</v>
      </c>
      <c r="Z12184">
        <v>0</v>
      </c>
      <c r="AA12184">
        <v>1</v>
      </c>
      <c r="AB12184">
        <v>0</v>
      </c>
      <c r="AC12184">
        <v>0</v>
      </c>
      <c r="AD12184">
        <v>1</v>
      </c>
      <c r="AE12184">
        <v>1</v>
      </c>
      <c r="AF12184">
        <v>1</v>
      </c>
      <c r="AG12184">
        <v>1</v>
      </c>
      <c r="AH12184">
        <v>1</v>
      </c>
      <c r="AI12184">
        <v>1</v>
      </c>
      <c r="AJ12184">
        <v>1</v>
      </c>
      <c r="AK12184">
        <v>1</v>
      </c>
      <c r="AL12184">
        <v>1</v>
      </c>
      <c r="AM12184">
        <v>1</v>
      </c>
    </row>
    <row r="12185" spans="1:39" x14ac:dyDescent="0.2">
      <c r="A12185" t="str">
        <f>"12181"</f>
        <v>12181</v>
      </c>
      <c r="B12185" t="str">
        <f t="shared" si="676"/>
        <v>1</v>
      </c>
      <c r="C12185" t="str">
        <f t="shared" si="677"/>
        <v>244</v>
      </c>
      <c r="D12185" t="str">
        <f>"21"</f>
        <v>21</v>
      </c>
      <c r="E12185" t="str">
        <f>"1-244-21"</f>
        <v>1-244-21</v>
      </c>
      <c r="F12185" t="s">
        <v>65</v>
      </c>
      <c r="G12185" t="s">
        <v>66</v>
      </c>
      <c r="H12185" t="s">
        <v>67</v>
      </c>
      <c r="S12185">
        <v>1</v>
      </c>
      <c r="T12185">
        <v>0</v>
      </c>
      <c r="U12185">
        <v>0</v>
      </c>
      <c r="V12185">
        <v>0</v>
      </c>
      <c r="W12185">
        <v>1</v>
      </c>
      <c r="X12185">
        <v>0</v>
      </c>
      <c r="Y12185">
        <v>1</v>
      </c>
      <c r="Z12185">
        <v>0</v>
      </c>
      <c r="AA12185">
        <v>1</v>
      </c>
      <c r="AB12185">
        <v>0</v>
      </c>
      <c r="AC12185">
        <v>0</v>
      </c>
      <c r="AD12185">
        <v>1</v>
      </c>
      <c r="AE12185">
        <v>1</v>
      </c>
      <c r="AF12185">
        <v>1</v>
      </c>
      <c r="AG12185">
        <v>1</v>
      </c>
      <c r="AH12185">
        <v>1</v>
      </c>
      <c r="AI12185">
        <v>1</v>
      </c>
      <c r="AJ12185">
        <v>1</v>
      </c>
      <c r="AK12185">
        <v>1</v>
      </c>
      <c r="AL12185">
        <v>1</v>
      </c>
      <c r="AM12185">
        <v>1</v>
      </c>
    </row>
    <row r="12186" spans="1:39" x14ac:dyDescent="0.2">
      <c r="A12186" t="str">
        <f>"12182"</f>
        <v>12182</v>
      </c>
      <c r="B12186" t="str">
        <f t="shared" si="676"/>
        <v>1</v>
      </c>
      <c r="C12186" t="str">
        <f t="shared" si="677"/>
        <v>244</v>
      </c>
      <c r="D12186" t="str">
        <f>"13"</f>
        <v>13</v>
      </c>
      <c r="E12186" t="str">
        <f>"1-244-13"</f>
        <v>1-244-13</v>
      </c>
      <c r="F12186" t="s">
        <v>65</v>
      </c>
      <c r="G12186" t="s">
        <v>66</v>
      </c>
      <c r="H12186" t="s">
        <v>67</v>
      </c>
      <c r="S12186">
        <v>1</v>
      </c>
      <c r="T12186">
        <v>0</v>
      </c>
      <c r="U12186">
        <v>0</v>
      </c>
      <c r="V12186">
        <v>0</v>
      </c>
      <c r="W12186">
        <v>1</v>
      </c>
      <c r="X12186">
        <v>0</v>
      </c>
      <c r="Y12186">
        <v>1</v>
      </c>
      <c r="Z12186">
        <v>0</v>
      </c>
      <c r="AA12186">
        <v>1</v>
      </c>
      <c r="AB12186">
        <v>0</v>
      </c>
      <c r="AC12186">
        <v>0</v>
      </c>
      <c r="AD12186">
        <v>0</v>
      </c>
      <c r="AE12186">
        <v>0</v>
      </c>
      <c r="AF12186">
        <v>0</v>
      </c>
      <c r="AG12186">
        <v>1</v>
      </c>
      <c r="AH12186">
        <v>1</v>
      </c>
      <c r="AI12186">
        <v>0</v>
      </c>
      <c r="AJ12186">
        <v>0</v>
      </c>
      <c r="AK12186">
        <v>0</v>
      </c>
      <c r="AL12186">
        <v>0</v>
      </c>
      <c r="AM12186">
        <v>0</v>
      </c>
    </row>
    <row r="12187" spans="1:39" x14ac:dyDescent="0.2">
      <c r="A12187" t="str">
        <f>"12183"</f>
        <v>12183</v>
      </c>
      <c r="B12187" t="str">
        <f t="shared" si="676"/>
        <v>1</v>
      </c>
      <c r="C12187" t="str">
        <f t="shared" ref="C12187:C12204" si="678">"244"</f>
        <v>244</v>
      </c>
      <c r="D12187" t="str">
        <f>"49"</f>
        <v>49</v>
      </c>
      <c r="E12187" t="str">
        <f>"1-244-49"</f>
        <v>1-244-49</v>
      </c>
      <c r="F12187" t="s">
        <v>65</v>
      </c>
      <c r="G12187" t="s">
        <v>66</v>
      </c>
      <c r="H12187" t="s">
        <v>67</v>
      </c>
      <c r="S12187">
        <v>0</v>
      </c>
      <c r="T12187">
        <v>1</v>
      </c>
      <c r="U12187">
        <v>0</v>
      </c>
      <c r="V12187">
        <v>0</v>
      </c>
      <c r="W12187">
        <v>1</v>
      </c>
      <c r="X12187">
        <v>0</v>
      </c>
      <c r="Y12187">
        <v>0</v>
      </c>
      <c r="Z12187">
        <v>1</v>
      </c>
      <c r="AA12187">
        <v>0</v>
      </c>
      <c r="AB12187">
        <v>0</v>
      </c>
      <c r="AC12187">
        <v>1</v>
      </c>
      <c r="AD12187">
        <v>1</v>
      </c>
      <c r="AE12187">
        <v>1</v>
      </c>
      <c r="AF12187">
        <v>1</v>
      </c>
      <c r="AG12187">
        <v>1</v>
      </c>
      <c r="AH12187">
        <v>1</v>
      </c>
      <c r="AI12187">
        <v>1</v>
      </c>
      <c r="AJ12187">
        <v>1</v>
      </c>
      <c r="AK12187">
        <v>1</v>
      </c>
      <c r="AL12187">
        <v>1</v>
      </c>
      <c r="AM12187">
        <v>1</v>
      </c>
    </row>
    <row r="12188" spans="1:39" x14ac:dyDescent="0.2">
      <c r="A12188" t="str">
        <f>"12184"</f>
        <v>12184</v>
      </c>
      <c r="B12188" t="str">
        <f t="shared" si="676"/>
        <v>1</v>
      </c>
      <c r="C12188" t="str">
        <f t="shared" si="678"/>
        <v>244</v>
      </c>
      <c r="D12188" t="str">
        <f>"23"</f>
        <v>23</v>
      </c>
      <c r="E12188" t="str">
        <f>"1-244-23"</f>
        <v>1-244-23</v>
      </c>
      <c r="F12188" t="s">
        <v>65</v>
      </c>
      <c r="G12188" t="s">
        <v>66</v>
      </c>
      <c r="H12188" t="s">
        <v>67</v>
      </c>
      <c r="S12188">
        <v>0</v>
      </c>
      <c r="T12188">
        <v>1</v>
      </c>
      <c r="U12188">
        <v>0</v>
      </c>
      <c r="V12188">
        <v>0</v>
      </c>
      <c r="W12188">
        <v>1</v>
      </c>
      <c r="X12188">
        <v>0</v>
      </c>
      <c r="Y12188">
        <v>0</v>
      </c>
      <c r="Z12188">
        <v>1</v>
      </c>
      <c r="AA12188">
        <v>1</v>
      </c>
      <c r="AB12188">
        <v>0</v>
      </c>
      <c r="AC12188">
        <v>0</v>
      </c>
      <c r="AD12188">
        <v>1</v>
      </c>
      <c r="AE12188">
        <v>1</v>
      </c>
      <c r="AF12188">
        <v>1</v>
      </c>
      <c r="AG12188">
        <v>1</v>
      </c>
      <c r="AH12188">
        <v>1</v>
      </c>
      <c r="AI12188">
        <v>1</v>
      </c>
      <c r="AJ12188">
        <v>1</v>
      </c>
      <c r="AK12188">
        <v>1</v>
      </c>
      <c r="AL12188">
        <v>1</v>
      </c>
      <c r="AM12188">
        <v>1</v>
      </c>
    </row>
    <row r="12189" spans="1:39" x14ac:dyDescent="0.2">
      <c r="A12189" t="str">
        <f>"12185"</f>
        <v>12185</v>
      </c>
      <c r="B12189" t="str">
        <f t="shared" si="676"/>
        <v>1</v>
      </c>
      <c r="C12189" t="str">
        <f t="shared" si="678"/>
        <v>244</v>
      </c>
      <c r="D12189" t="str">
        <f>"14"</f>
        <v>14</v>
      </c>
      <c r="E12189" t="str">
        <f>"1-244-14"</f>
        <v>1-244-14</v>
      </c>
      <c r="F12189" t="s">
        <v>65</v>
      </c>
      <c r="G12189" t="s">
        <v>66</v>
      </c>
      <c r="H12189" t="s">
        <v>67</v>
      </c>
      <c r="S12189">
        <v>1</v>
      </c>
      <c r="T12189">
        <v>0</v>
      </c>
      <c r="U12189">
        <v>0</v>
      </c>
      <c r="V12189">
        <v>0</v>
      </c>
      <c r="W12189">
        <v>1</v>
      </c>
      <c r="X12189">
        <v>0</v>
      </c>
      <c r="Y12189">
        <v>1</v>
      </c>
      <c r="Z12189">
        <v>0</v>
      </c>
      <c r="AA12189">
        <v>1</v>
      </c>
      <c r="AB12189">
        <v>0</v>
      </c>
      <c r="AC12189">
        <v>0</v>
      </c>
      <c r="AD12189">
        <v>0</v>
      </c>
      <c r="AE12189">
        <v>0</v>
      </c>
      <c r="AF12189">
        <v>0</v>
      </c>
      <c r="AG12189">
        <v>1</v>
      </c>
      <c r="AH12189">
        <v>1</v>
      </c>
      <c r="AI12189">
        <v>0</v>
      </c>
      <c r="AJ12189">
        <v>0</v>
      </c>
      <c r="AK12189">
        <v>0</v>
      </c>
      <c r="AL12189">
        <v>0</v>
      </c>
      <c r="AM12189">
        <v>0</v>
      </c>
    </row>
    <row r="12190" spans="1:39" x14ac:dyDescent="0.2">
      <c r="A12190" t="str">
        <f>"12186"</f>
        <v>12186</v>
      </c>
      <c r="B12190" t="str">
        <f t="shared" si="676"/>
        <v>1</v>
      </c>
      <c r="C12190" t="str">
        <f t="shared" si="678"/>
        <v>244</v>
      </c>
      <c r="D12190" t="str">
        <f>"24"</f>
        <v>24</v>
      </c>
      <c r="E12190" t="str">
        <f>"1-244-24"</f>
        <v>1-244-24</v>
      </c>
      <c r="F12190" t="s">
        <v>65</v>
      </c>
      <c r="G12190" t="s">
        <v>66</v>
      </c>
      <c r="H12190" t="s">
        <v>67</v>
      </c>
      <c r="S12190">
        <v>1</v>
      </c>
      <c r="T12190">
        <v>0</v>
      </c>
      <c r="U12190">
        <v>0</v>
      </c>
      <c r="V12190">
        <v>0</v>
      </c>
      <c r="W12190">
        <v>1</v>
      </c>
      <c r="X12190">
        <v>0</v>
      </c>
      <c r="Y12190">
        <v>1</v>
      </c>
      <c r="Z12190">
        <v>0</v>
      </c>
      <c r="AA12190">
        <v>0</v>
      </c>
      <c r="AB12190">
        <v>1</v>
      </c>
      <c r="AC12190">
        <v>0</v>
      </c>
      <c r="AD12190">
        <v>0</v>
      </c>
      <c r="AE12190">
        <v>0</v>
      </c>
      <c r="AF12190">
        <v>1</v>
      </c>
      <c r="AG12190">
        <v>1</v>
      </c>
      <c r="AH12190">
        <v>0</v>
      </c>
      <c r="AI12190">
        <v>0</v>
      </c>
      <c r="AJ12190">
        <v>0</v>
      </c>
      <c r="AK12190">
        <v>0</v>
      </c>
      <c r="AL12190">
        <v>1</v>
      </c>
      <c r="AM12190">
        <v>1</v>
      </c>
    </row>
    <row r="12191" spans="1:39" x14ac:dyDescent="0.2">
      <c r="A12191" t="str">
        <f>"12187"</f>
        <v>12187</v>
      </c>
      <c r="B12191" t="str">
        <f t="shared" si="676"/>
        <v>1</v>
      </c>
      <c r="C12191" t="str">
        <f t="shared" si="678"/>
        <v>244</v>
      </c>
      <c r="D12191" t="str">
        <f>"4"</f>
        <v>4</v>
      </c>
      <c r="E12191" t="str">
        <f>"1-244-4"</f>
        <v>1-244-4</v>
      </c>
      <c r="F12191" t="s">
        <v>65</v>
      </c>
      <c r="G12191" t="s">
        <v>66</v>
      </c>
      <c r="H12191" t="s">
        <v>67</v>
      </c>
      <c r="S12191">
        <v>1</v>
      </c>
      <c r="T12191">
        <v>0</v>
      </c>
      <c r="U12191">
        <v>0</v>
      </c>
      <c r="V12191">
        <v>0</v>
      </c>
      <c r="W12191">
        <v>1</v>
      </c>
      <c r="X12191">
        <v>0</v>
      </c>
      <c r="Y12191">
        <v>0</v>
      </c>
      <c r="Z12191">
        <v>1</v>
      </c>
      <c r="AA12191">
        <v>1</v>
      </c>
      <c r="AB12191">
        <v>0</v>
      </c>
      <c r="AC12191">
        <v>0</v>
      </c>
      <c r="AD12191">
        <v>1</v>
      </c>
      <c r="AE12191">
        <v>1</v>
      </c>
      <c r="AF12191">
        <v>1</v>
      </c>
      <c r="AG12191">
        <v>1</v>
      </c>
      <c r="AH12191">
        <v>1</v>
      </c>
      <c r="AI12191">
        <v>1</v>
      </c>
      <c r="AJ12191">
        <v>1</v>
      </c>
      <c r="AK12191">
        <v>1</v>
      </c>
      <c r="AL12191">
        <v>1</v>
      </c>
      <c r="AM12191">
        <v>1</v>
      </c>
    </row>
    <row r="12192" spans="1:39" x14ac:dyDescent="0.2">
      <c r="A12192" t="str">
        <f>"12188"</f>
        <v>12188</v>
      </c>
      <c r="B12192" t="str">
        <f t="shared" si="676"/>
        <v>1</v>
      </c>
      <c r="C12192" t="str">
        <f t="shared" si="678"/>
        <v>244</v>
      </c>
      <c r="D12192" t="str">
        <f>"48"</f>
        <v>48</v>
      </c>
      <c r="E12192" t="str">
        <f>"1-244-48"</f>
        <v>1-244-48</v>
      </c>
      <c r="F12192" t="s">
        <v>65</v>
      </c>
      <c r="G12192" t="s">
        <v>66</v>
      </c>
      <c r="H12192" t="s">
        <v>67</v>
      </c>
      <c r="S12192">
        <v>1</v>
      </c>
      <c r="T12192">
        <v>0</v>
      </c>
      <c r="U12192">
        <v>0</v>
      </c>
      <c r="V12192">
        <v>0</v>
      </c>
      <c r="W12192">
        <v>1</v>
      </c>
      <c r="X12192">
        <v>0</v>
      </c>
      <c r="Y12192">
        <v>1</v>
      </c>
      <c r="Z12192">
        <v>0</v>
      </c>
      <c r="AA12192">
        <v>1</v>
      </c>
      <c r="AB12192">
        <v>0</v>
      </c>
      <c r="AC12192">
        <v>0</v>
      </c>
      <c r="AD12192">
        <v>1</v>
      </c>
      <c r="AE12192">
        <v>1</v>
      </c>
      <c r="AF12192">
        <v>1</v>
      </c>
      <c r="AG12192">
        <v>1</v>
      </c>
      <c r="AH12192">
        <v>1</v>
      </c>
      <c r="AI12192">
        <v>1</v>
      </c>
      <c r="AJ12192">
        <v>1</v>
      </c>
      <c r="AK12192">
        <v>1</v>
      </c>
      <c r="AL12192">
        <v>1</v>
      </c>
      <c r="AM12192">
        <v>1</v>
      </c>
    </row>
    <row r="12193" spans="1:39" x14ac:dyDescent="0.2">
      <c r="A12193" t="str">
        <f>"12189"</f>
        <v>12189</v>
      </c>
      <c r="B12193" t="str">
        <f t="shared" si="676"/>
        <v>1</v>
      </c>
      <c r="C12193" t="str">
        <f t="shared" si="678"/>
        <v>244</v>
      </c>
      <c r="D12193" t="str">
        <f>"25"</f>
        <v>25</v>
      </c>
      <c r="E12193" t="str">
        <f>"1-244-25"</f>
        <v>1-244-25</v>
      </c>
      <c r="F12193" t="s">
        <v>65</v>
      </c>
      <c r="G12193" t="s">
        <v>66</v>
      </c>
      <c r="H12193" t="s">
        <v>67</v>
      </c>
      <c r="S12193">
        <v>0</v>
      </c>
      <c r="T12193">
        <v>1</v>
      </c>
      <c r="U12193">
        <v>0</v>
      </c>
      <c r="V12193">
        <v>0</v>
      </c>
      <c r="W12193">
        <v>1</v>
      </c>
      <c r="X12193">
        <v>0</v>
      </c>
      <c r="Y12193">
        <v>0</v>
      </c>
      <c r="Z12193">
        <v>1</v>
      </c>
      <c r="AA12193">
        <v>1</v>
      </c>
      <c r="AB12193">
        <v>0</v>
      </c>
      <c r="AC12193">
        <v>0</v>
      </c>
      <c r="AD12193">
        <v>1</v>
      </c>
      <c r="AE12193">
        <v>1</v>
      </c>
      <c r="AF12193">
        <v>1</v>
      </c>
      <c r="AG12193">
        <v>1</v>
      </c>
      <c r="AH12193">
        <v>1</v>
      </c>
      <c r="AI12193">
        <v>1</v>
      </c>
      <c r="AJ12193">
        <v>1</v>
      </c>
      <c r="AK12193">
        <v>1</v>
      </c>
      <c r="AL12193">
        <v>1</v>
      </c>
      <c r="AM12193">
        <v>1</v>
      </c>
    </row>
    <row r="12194" spans="1:39" x14ac:dyDescent="0.2">
      <c r="A12194" t="str">
        <f>"12190"</f>
        <v>12190</v>
      </c>
      <c r="B12194" t="str">
        <f t="shared" si="676"/>
        <v>1</v>
      </c>
      <c r="C12194" t="str">
        <f t="shared" si="678"/>
        <v>244</v>
      </c>
      <c r="D12194" t="str">
        <f>"12"</f>
        <v>12</v>
      </c>
      <c r="E12194" t="str">
        <f>"1-244-12"</f>
        <v>1-244-12</v>
      </c>
      <c r="F12194" t="s">
        <v>65</v>
      </c>
      <c r="G12194" t="s">
        <v>66</v>
      </c>
      <c r="H12194" t="s">
        <v>67</v>
      </c>
      <c r="S12194">
        <v>1</v>
      </c>
      <c r="T12194">
        <v>0</v>
      </c>
      <c r="U12194">
        <v>0</v>
      </c>
      <c r="V12194">
        <v>0</v>
      </c>
      <c r="W12194">
        <v>1</v>
      </c>
      <c r="X12194">
        <v>0</v>
      </c>
      <c r="Y12194">
        <v>1</v>
      </c>
      <c r="Z12194">
        <v>0</v>
      </c>
      <c r="AA12194">
        <v>1</v>
      </c>
      <c r="AB12194">
        <v>0</v>
      </c>
      <c r="AC12194">
        <v>0</v>
      </c>
      <c r="AD12194">
        <v>0</v>
      </c>
      <c r="AE12194">
        <v>0</v>
      </c>
      <c r="AF12194">
        <v>1</v>
      </c>
      <c r="AG12194">
        <v>1</v>
      </c>
      <c r="AH12194">
        <v>1</v>
      </c>
      <c r="AI12194">
        <v>0</v>
      </c>
      <c r="AJ12194">
        <v>0</v>
      </c>
      <c r="AK12194">
        <v>0</v>
      </c>
      <c r="AL12194">
        <v>1</v>
      </c>
      <c r="AM12194">
        <v>0</v>
      </c>
    </row>
    <row r="12195" spans="1:39" x14ac:dyDescent="0.2">
      <c r="A12195" t="str">
        <f>"12191"</f>
        <v>12191</v>
      </c>
      <c r="B12195" t="str">
        <f t="shared" si="676"/>
        <v>1</v>
      </c>
      <c r="C12195" t="str">
        <f t="shared" si="678"/>
        <v>244</v>
      </c>
      <c r="D12195" t="str">
        <f>"27"</f>
        <v>27</v>
      </c>
      <c r="E12195" t="str">
        <f>"1-244-27"</f>
        <v>1-244-27</v>
      </c>
      <c r="F12195" t="s">
        <v>65</v>
      </c>
      <c r="G12195" t="s">
        <v>66</v>
      </c>
      <c r="H12195" t="s">
        <v>67</v>
      </c>
      <c r="S12195">
        <v>1</v>
      </c>
      <c r="T12195">
        <v>0</v>
      </c>
      <c r="U12195">
        <v>0</v>
      </c>
      <c r="V12195">
        <v>0</v>
      </c>
      <c r="W12195">
        <v>1</v>
      </c>
      <c r="X12195">
        <v>0</v>
      </c>
      <c r="Y12195">
        <v>0</v>
      </c>
      <c r="Z12195">
        <v>1</v>
      </c>
      <c r="AA12195">
        <v>0</v>
      </c>
      <c r="AB12195">
        <v>0</v>
      </c>
      <c r="AC12195">
        <v>0</v>
      </c>
      <c r="AD12195">
        <v>0</v>
      </c>
      <c r="AE12195">
        <v>0</v>
      </c>
      <c r="AF12195">
        <v>0</v>
      </c>
      <c r="AG12195">
        <v>0</v>
      </c>
      <c r="AH12195">
        <v>0</v>
      </c>
      <c r="AI12195">
        <v>0</v>
      </c>
      <c r="AJ12195">
        <v>0</v>
      </c>
      <c r="AK12195">
        <v>0</v>
      </c>
      <c r="AL12195">
        <v>0</v>
      </c>
      <c r="AM12195">
        <v>0</v>
      </c>
    </row>
    <row r="12196" spans="1:39" x14ac:dyDescent="0.2">
      <c r="A12196" t="str">
        <f>"12192"</f>
        <v>12192</v>
      </c>
      <c r="B12196" t="str">
        <f t="shared" si="676"/>
        <v>1</v>
      </c>
      <c r="C12196" t="str">
        <f t="shared" si="678"/>
        <v>244</v>
      </c>
      <c r="D12196" t="str">
        <f>"3"</f>
        <v>3</v>
      </c>
      <c r="E12196" t="str">
        <f>"1-244-3"</f>
        <v>1-244-3</v>
      </c>
      <c r="F12196" t="s">
        <v>65</v>
      </c>
      <c r="G12196" t="s">
        <v>66</v>
      </c>
      <c r="H12196" t="s">
        <v>67</v>
      </c>
      <c r="S12196">
        <v>1</v>
      </c>
      <c r="T12196">
        <v>0</v>
      </c>
      <c r="U12196">
        <v>0</v>
      </c>
      <c r="V12196">
        <v>0</v>
      </c>
      <c r="W12196">
        <v>1</v>
      </c>
      <c r="X12196">
        <v>0</v>
      </c>
      <c r="Y12196">
        <v>1</v>
      </c>
      <c r="Z12196">
        <v>0</v>
      </c>
      <c r="AA12196">
        <v>0</v>
      </c>
      <c r="AB12196">
        <v>1</v>
      </c>
      <c r="AC12196">
        <v>0</v>
      </c>
      <c r="AD12196">
        <v>1</v>
      </c>
      <c r="AE12196">
        <v>1</v>
      </c>
      <c r="AF12196">
        <v>1</v>
      </c>
      <c r="AG12196">
        <v>1</v>
      </c>
      <c r="AH12196">
        <v>1</v>
      </c>
      <c r="AI12196">
        <v>1</v>
      </c>
      <c r="AJ12196">
        <v>1</v>
      </c>
      <c r="AK12196">
        <v>1</v>
      </c>
      <c r="AL12196">
        <v>1</v>
      </c>
      <c r="AM12196">
        <v>1</v>
      </c>
    </row>
    <row r="12197" spans="1:39" x14ac:dyDescent="0.2">
      <c r="A12197" t="str">
        <f>"12193"</f>
        <v>12193</v>
      </c>
      <c r="B12197" t="str">
        <f t="shared" si="676"/>
        <v>1</v>
      </c>
      <c r="C12197" t="str">
        <f t="shared" si="678"/>
        <v>244</v>
      </c>
      <c r="D12197" t="str">
        <f>"28"</f>
        <v>28</v>
      </c>
      <c r="E12197" t="str">
        <f>"1-244-28"</f>
        <v>1-244-28</v>
      </c>
      <c r="F12197" t="s">
        <v>65</v>
      </c>
      <c r="G12197" t="s">
        <v>66</v>
      </c>
      <c r="H12197" t="s">
        <v>67</v>
      </c>
      <c r="S12197">
        <v>1</v>
      </c>
      <c r="T12197">
        <v>0</v>
      </c>
      <c r="U12197">
        <v>0</v>
      </c>
      <c r="V12197">
        <v>0</v>
      </c>
      <c r="W12197">
        <v>1</v>
      </c>
      <c r="X12197">
        <v>0</v>
      </c>
      <c r="Y12197">
        <v>1</v>
      </c>
      <c r="Z12197">
        <v>0</v>
      </c>
      <c r="AA12197">
        <v>0</v>
      </c>
      <c r="AB12197">
        <v>0</v>
      </c>
      <c r="AC12197">
        <v>1</v>
      </c>
      <c r="AD12197">
        <v>1</v>
      </c>
      <c r="AE12197">
        <v>1</v>
      </c>
      <c r="AF12197">
        <v>1</v>
      </c>
      <c r="AG12197">
        <v>1</v>
      </c>
      <c r="AH12197">
        <v>1</v>
      </c>
      <c r="AI12197">
        <v>1</v>
      </c>
      <c r="AJ12197">
        <v>1</v>
      </c>
      <c r="AK12197">
        <v>1</v>
      </c>
      <c r="AL12197">
        <v>1</v>
      </c>
      <c r="AM12197">
        <v>1</v>
      </c>
    </row>
    <row r="12198" spans="1:39" x14ac:dyDescent="0.2">
      <c r="A12198" t="str">
        <f>"12194"</f>
        <v>12194</v>
      </c>
      <c r="B12198" t="str">
        <f t="shared" si="676"/>
        <v>1</v>
      </c>
      <c r="C12198" t="str">
        <f t="shared" si="678"/>
        <v>244</v>
      </c>
      <c r="D12198" t="str">
        <f>"6"</f>
        <v>6</v>
      </c>
      <c r="E12198" t="str">
        <f>"1-244-6"</f>
        <v>1-244-6</v>
      </c>
      <c r="F12198" t="s">
        <v>65</v>
      </c>
      <c r="G12198" t="s">
        <v>66</v>
      </c>
      <c r="H12198" t="s">
        <v>67</v>
      </c>
      <c r="S12198">
        <v>0</v>
      </c>
      <c r="T12198">
        <v>1</v>
      </c>
      <c r="U12198">
        <v>0</v>
      </c>
      <c r="V12198">
        <v>0</v>
      </c>
      <c r="W12198">
        <v>1</v>
      </c>
      <c r="X12198">
        <v>0</v>
      </c>
      <c r="Y12198">
        <v>0</v>
      </c>
      <c r="Z12198">
        <v>1</v>
      </c>
      <c r="AA12198">
        <v>1</v>
      </c>
      <c r="AB12198">
        <v>0</v>
      </c>
      <c r="AC12198">
        <v>0</v>
      </c>
      <c r="AD12198">
        <v>1</v>
      </c>
      <c r="AE12198">
        <v>1</v>
      </c>
      <c r="AF12198">
        <v>1</v>
      </c>
      <c r="AG12198">
        <v>1</v>
      </c>
      <c r="AH12198">
        <v>1</v>
      </c>
      <c r="AI12198">
        <v>1</v>
      </c>
      <c r="AJ12198">
        <v>1</v>
      </c>
      <c r="AK12198">
        <v>1</v>
      </c>
      <c r="AL12198">
        <v>1</v>
      </c>
      <c r="AM12198">
        <v>0</v>
      </c>
    </row>
    <row r="12199" spans="1:39" x14ac:dyDescent="0.2">
      <c r="A12199" t="str">
        <f>"12195"</f>
        <v>12195</v>
      </c>
      <c r="B12199" t="str">
        <f t="shared" si="676"/>
        <v>1</v>
      </c>
      <c r="C12199" t="str">
        <f t="shared" si="678"/>
        <v>244</v>
      </c>
      <c r="D12199" t="str">
        <f>"29"</f>
        <v>29</v>
      </c>
      <c r="E12199" t="str">
        <f>"1-244-29"</f>
        <v>1-244-29</v>
      </c>
      <c r="F12199" t="s">
        <v>65</v>
      </c>
      <c r="G12199" t="s">
        <v>66</v>
      </c>
      <c r="H12199" t="s">
        <v>67</v>
      </c>
      <c r="S12199">
        <v>1</v>
      </c>
      <c r="T12199">
        <v>0</v>
      </c>
      <c r="U12199">
        <v>0</v>
      </c>
      <c r="V12199">
        <v>0</v>
      </c>
      <c r="W12199">
        <v>1</v>
      </c>
      <c r="X12199">
        <v>0</v>
      </c>
      <c r="Y12199">
        <v>1</v>
      </c>
      <c r="Z12199">
        <v>0</v>
      </c>
      <c r="AA12199">
        <v>1</v>
      </c>
      <c r="AB12199">
        <v>0</v>
      </c>
      <c r="AC12199">
        <v>0</v>
      </c>
      <c r="AD12199">
        <v>0</v>
      </c>
      <c r="AE12199">
        <v>0</v>
      </c>
      <c r="AF12199">
        <v>0</v>
      </c>
      <c r="AG12199">
        <v>0</v>
      </c>
      <c r="AH12199">
        <v>0</v>
      </c>
      <c r="AI12199">
        <v>0</v>
      </c>
      <c r="AJ12199">
        <v>0</v>
      </c>
      <c r="AK12199">
        <v>0</v>
      </c>
      <c r="AL12199">
        <v>1</v>
      </c>
      <c r="AM12199">
        <v>0</v>
      </c>
    </row>
    <row r="12200" spans="1:39" x14ac:dyDescent="0.2">
      <c r="A12200" t="str">
        <f>"12196"</f>
        <v>12196</v>
      </c>
      <c r="B12200" t="str">
        <f t="shared" si="676"/>
        <v>1</v>
      </c>
      <c r="C12200" t="str">
        <f t="shared" si="678"/>
        <v>244</v>
      </c>
      <c r="D12200" t="str">
        <f>"10"</f>
        <v>10</v>
      </c>
      <c r="E12200" t="str">
        <f>"1-244-10"</f>
        <v>1-244-10</v>
      </c>
      <c r="F12200" t="s">
        <v>65</v>
      </c>
      <c r="G12200" t="s">
        <v>66</v>
      </c>
      <c r="H12200" t="s">
        <v>67</v>
      </c>
      <c r="S12200">
        <v>1</v>
      </c>
      <c r="T12200">
        <v>0</v>
      </c>
      <c r="U12200">
        <v>0</v>
      </c>
      <c r="V12200">
        <v>0</v>
      </c>
      <c r="W12200">
        <v>1</v>
      </c>
      <c r="X12200">
        <v>0</v>
      </c>
      <c r="Y12200">
        <v>1</v>
      </c>
      <c r="Z12200">
        <v>0</v>
      </c>
      <c r="AA12200">
        <v>1</v>
      </c>
      <c r="AB12200">
        <v>0</v>
      </c>
      <c r="AC12200">
        <v>0</v>
      </c>
      <c r="AD12200">
        <v>0</v>
      </c>
      <c r="AE12200">
        <v>0</v>
      </c>
      <c r="AF12200">
        <v>0</v>
      </c>
      <c r="AG12200">
        <v>0</v>
      </c>
      <c r="AH12200">
        <v>0</v>
      </c>
      <c r="AI12200">
        <v>0</v>
      </c>
      <c r="AJ12200">
        <v>0</v>
      </c>
      <c r="AK12200">
        <v>0</v>
      </c>
      <c r="AL12200">
        <v>0</v>
      </c>
      <c r="AM12200">
        <v>0</v>
      </c>
    </row>
    <row r="12201" spans="1:39" x14ac:dyDescent="0.2">
      <c r="A12201" t="str">
        <f>"12197"</f>
        <v>12197</v>
      </c>
      <c r="B12201" t="str">
        <f t="shared" si="676"/>
        <v>1</v>
      </c>
      <c r="C12201" t="str">
        <f t="shared" si="678"/>
        <v>244</v>
      </c>
      <c r="D12201" t="str">
        <f>"30"</f>
        <v>30</v>
      </c>
      <c r="E12201" t="str">
        <f>"1-244-30"</f>
        <v>1-244-30</v>
      </c>
      <c r="F12201" t="s">
        <v>65</v>
      </c>
      <c r="G12201" t="s">
        <v>66</v>
      </c>
      <c r="H12201" t="s">
        <v>67</v>
      </c>
      <c r="S12201">
        <v>0</v>
      </c>
      <c r="T12201">
        <v>1</v>
      </c>
      <c r="U12201">
        <v>0</v>
      </c>
      <c r="V12201">
        <v>0</v>
      </c>
      <c r="W12201">
        <v>0</v>
      </c>
      <c r="X12201">
        <v>1</v>
      </c>
      <c r="Y12201">
        <v>0</v>
      </c>
      <c r="Z12201">
        <v>1</v>
      </c>
      <c r="AA12201">
        <v>0</v>
      </c>
      <c r="AB12201">
        <v>0</v>
      </c>
      <c r="AC12201">
        <v>1</v>
      </c>
      <c r="AD12201">
        <v>1</v>
      </c>
      <c r="AE12201">
        <v>1</v>
      </c>
      <c r="AF12201">
        <v>1</v>
      </c>
      <c r="AG12201">
        <v>1</v>
      </c>
      <c r="AH12201">
        <v>1</v>
      </c>
      <c r="AI12201">
        <v>1</v>
      </c>
      <c r="AJ12201">
        <v>1</v>
      </c>
      <c r="AK12201">
        <v>1</v>
      </c>
      <c r="AL12201">
        <v>1</v>
      </c>
      <c r="AM12201">
        <v>1</v>
      </c>
    </row>
    <row r="12202" spans="1:39" x14ac:dyDescent="0.2">
      <c r="A12202" t="str">
        <f>"12198"</f>
        <v>12198</v>
      </c>
      <c r="B12202" t="str">
        <f t="shared" si="676"/>
        <v>1</v>
      </c>
      <c r="C12202" t="str">
        <f t="shared" si="678"/>
        <v>244</v>
      </c>
      <c r="D12202" t="str">
        <f>"2"</f>
        <v>2</v>
      </c>
      <c r="E12202" t="str">
        <f>"1-244-2"</f>
        <v>1-244-2</v>
      </c>
      <c r="F12202" t="s">
        <v>65</v>
      </c>
      <c r="G12202" t="s">
        <v>66</v>
      </c>
      <c r="H12202" t="s">
        <v>67</v>
      </c>
      <c r="S12202">
        <v>1</v>
      </c>
      <c r="T12202">
        <v>0</v>
      </c>
      <c r="U12202">
        <v>0</v>
      </c>
      <c r="V12202">
        <v>0</v>
      </c>
      <c r="W12202">
        <v>1</v>
      </c>
      <c r="X12202">
        <v>0</v>
      </c>
      <c r="Y12202">
        <v>1</v>
      </c>
      <c r="Z12202">
        <v>0</v>
      </c>
      <c r="AA12202">
        <v>1</v>
      </c>
      <c r="AB12202">
        <v>0</v>
      </c>
      <c r="AC12202">
        <v>0</v>
      </c>
      <c r="AD12202">
        <v>1</v>
      </c>
      <c r="AE12202">
        <v>1</v>
      </c>
      <c r="AF12202">
        <v>1</v>
      </c>
      <c r="AG12202">
        <v>1</v>
      </c>
      <c r="AH12202">
        <v>1</v>
      </c>
      <c r="AI12202">
        <v>1</v>
      </c>
      <c r="AJ12202">
        <v>1</v>
      </c>
      <c r="AK12202">
        <v>1</v>
      </c>
      <c r="AL12202">
        <v>1</v>
      </c>
      <c r="AM12202">
        <v>1</v>
      </c>
    </row>
    <row r="12203" spans="1:39" x14ac:dyDescent="0.2">
      <c r="A12203" t="str">
        <f>"12199"</f>
        <v>12199</v>
      </c>
      <c r="B12203" t="str">
        <f t="shared" si="676"/>
        <v>1</v>
      </c>
      <c r="C12203" t="str">
        <f t="shared" si="678"/>
        <v>244</v>
      </c>
      <c r="D12203" t="str">
        <f>"1"</f>
        <v>1</v>
      </c>
      <c r="E12203" t="str">
        <f>"1-244-1"</f>
        <v>1-244-1</v>
      </c>
      <c r="F12203" t="s">
        <v>65</v>
      </c>
      <c r="G12203" t="s">
        <v>66</v>
      </c>
      <c r="H12203" t="s">
        <v>67</v>
      </c>
      <c r="S12203">
        <v>1</v>
      </c>
      <c r="T12203">
        <v>0</v>
      </c>
      <c r="U12203">
        <v>0</v>
      </c>
      <c r="V12203">
        <v>0</v>
      </c>
      <c r="W12203">
        <v>1</v>
      </c>
      <c r="X12203">
        <v>0</v>
      </c>
      <c r="Y12203">
        <v>1</v>
      </c>
      <c r="Z12203">
        <v>0</v>
      </c>
      <c r="AA12203">
        <v>1</v>
      </c>
      <c r="AB12203">
        <v>0</v>
      </c>
      <c r="AC12203">
        <v>0</v>
      </c>
      <c r="AD12203">
        <v>0</v>
      </c>
      <c r="AE12203">
        <v>0</v>
      </c>
      <c r="AF12203">
        <v>0</v>
      </c>
      <c r="AG12203">
        <v>0</v>
      </c>
      <c r="AH12203">
        <v>1</v>
      </c>
      <c r="AI12203">
        <v>1</v>
      </c>
      <c r="AJ12203">
        <v>1</v>
      </c>
      <c r="AK12203">
        <v>1</v>
      </c>
      <c r="AL12203">
        <v>1</v>
      </c>
      <c r="AM12203">
        <v>1</v>
      </c>
    </row>
    <row r="12204" spans="1:39" x14ac:dyDescent="0.2">
      <c r="A12204" t="str">
        <f>"12200"</f>
        <v>12200</v>
      </c>
      <c r="B12204" t="str">
        <f t="shared" si="676"/>
        <v>1</v>
      </c>
      <c r="C12204" t="str">
        <f t="shared" si="678"/>
        <v>244</v>
      </c>
      <c r="D12204" t="str">
        <f>"50"</f>
        <v>50</v>
      </c>
      <c r="E12204" t="str">
        <f>"1-244-50"</f>
        <v>1-244-50</v>
      </c>
      <c r="F12204" t="s">
        <v>65</v>
      </c>
      <c r="G12204" t="s">
        <v>66</v>
      </c>
      <c r="H12204" t="s">
        <v>67</v>
      </c>
      <c r="S12204">
        <v>0</v>
      </c>
      <c r="T12204">
        <v>1</v>
      </c>
      <c r="U12204">
        <v>0</v>
      </c>
      <c r="V12204">
        <v>0</v>
      </c>
      <c r="W12204">
        <v>1</v>
      </c>
      <c r="X12204">
        <v>0</v>
      </c>
      <c r="Y12204">
        <v>1</v>
      </c>
      <c r="Z12204">
        <v>0</v>
      </c>
      <c r="AA12204">
        <v>0</v>
      </c>
      <c r="AB12204">
        <v>0</v>
      </c>
      <c r="AC12204">
        <v>1</v>
      </c>
      <c r="AD12204">
        <v>1</v>
      </c>
      <c r="AE12204">
        <v>1</v>
      </c>
      <c r="AF12204">
        <v>1</v>
      </c>
      <c r="AG12204">
        <v>1</v>
      </c>
      <c r="AH12204">
        <v>1</v>
      </c>
      <c r="AI12204">
        <v>1</v>
      </c>
      <c r="AJ12204">
        <v>1</v>
      </c>
      <c r="AK12204">
        <v>1</v>
      </c>
      <c r="AL12204">
        <v>1</v>
      </c>
      <c r="AM12204">
        <v>1</v>
      </c>
    </row>
    <row r="12205" spans="1:39" x14ac:dyDescent="0.2">
      <c r="A12205" t="str">
        <f>"12201"</f>
        <v>12201</v>
      </c>
      <c r="B12205" t="str">
        <f t="shared" si="676"/>
        <v>1</v>
      </c>
      <c r="C12205" t="str">
        <f t="shared" ref="C12205:C12236" si="679">"245"</f>
        <v>245</v>
      </c>
      <c r="D12205" t="str">
        <f>"38"</f>
        <v>38</v>
      </c>
      <c r="E12205" t="str">
        <f>"1-245-38"</f>
        <v>1-245-38</v>
      </c>
      <c r="F12205" t="s">
        <v>65</v>
      </c>
      <c r="G12205" t="s">
        <v>66</v>
      </c>
      <c r="H12205" t="s">
        <v>67</v>
      </c>
      <c r="S12205">
        <v>1</v>
      </c>
      <c r="T12205">
        <v>0</v>
      </c>
      <c r="U12205">
        <v>0</v>
      </c>
      <c r="V12205">
        <v>0</v>
      </c>
      <c r="W12205">
        <v>1</v>
      </c>
      <c r="X12205">
        <v>0</v>
      </c>
      <c r="Y12205">
        <v>1</v>
      </c>
      <c r="Z12205">
        <v>0</v>
      </c>
      <c r="AA12205">
        <v>1</v>
      </c>
      <c r="AB12205">
        <v>0</v>
      </c>
      <c r="AC12205">
        <v>0</v>
      </c>
      <c r="AD12205">
        <v>1</v>
      </c>
      <c r="AE12205">
        <v>1</v>
      </c>
      <c r="AF12205">
        <v>1</v>
      </c>
      <c r="AG12205">
        <v>1</v>
      </c>
      <c r="AH12205">
        <v>1</v>
      </c>
      <c r="AI12205">
        <v>1</v>
      </c>
      <c r="AJ12205">
        <v>1</v>
      </c>
      <c r="AK12205">
        <v>1</v>
      </c>
      <c r="AL12205">
        <v>1</v>
      </c>
      <c r="AM12205">
        <v>1</v>
      </c>
    </row>
    <row r="12206" spans="1:39" x14ac:dyDescent="0.2">
      <c r="A12206" t="str">
        <f>"12202"</f>
        <v>12202</v>
      </c>
      <c r="B12206" t="str">
        <f t="shared" si="676"/>
        <v>1</v>
      </c>
      <c r="C12206" t="str">
        <f t="shared" si="679"/>
        <v>245</v>
      </c>
      <c r="D12206" t="str">
        <f>"37"</f>
        <v>37</v>
      </c>
      <c r="E12206" t="str">
        <f>"1-245-37"</f>
        <v>1-245-37</v>
      </c>
      <c r="F12206" t="s">
        <v>65</v>
      </c>
      <c r="G12206" t="s">
        <v>66</v>
      </c>
      <c r="H12206" t="s">
        <v>67</v>
      </c>
      <c r="S12206">
        <v>1</v>
      </c>
      <c r="T12206">
        <v>0</v>
      </c>
      <c r="U12206">
        <v>0</v>
      </c>
      <c r="V12206">
        <v>0</v>
      </c>
      <c r="W12206">
        <v>1</v>
      </c>
      <c r="X12206">
        <v>0</v>
      </c>
      <c r="Y12206">
        <v>1</v>
      </c>
      <c r="Z12206">
        <v>0</v>
      </c>
      <c r="AA12206">
        <v>1</v>
      </c>
      <c r="AB12206">
        <v>0</v>
      </c>
      <c r="AC12206">
        <v>0</v>
      </c>
      <c r="AD12206">
        <v>1</v>
      </c>
      <c r="AE12206">
        <v>1</v>
      </c>
      <c r="AF12206">
        <v>1</v>
      </c>
      <c r="AG12206">
        <v>1</v>
      </c>
      <c r="AH12206">
        <v>1</v>
      </c>
      <c r="AI12206">
        <v>1</v>
      </c>
      <c r="AJ12206">
        <v>1</v>
      </c>
      <c r="AK12206">
        <v>1</v>
      </c>
      <c r="AL12206">
        <v>1</v>
      </c>
      <c r="AM12206">
        <v>1</v>
      </c>
    </row>
    <row r="12207" spans="1:39" x14ac:dyDescent="0.2">
      <c r="A12207" t="str">
        <f>"12203"</f>
        <v>12203</v>
      </c>
      <c r="B12207" t="str">
        <f t="shared" si="676"/>
        <v>1</v>
      </c>
      <c r="C12207" t="str">
        <f t="shared" si="679"/>
        <v>245</v>
      </c>
      <c r="D12207" t="str">
        <f>"22"</f>
        <v>22</v>
      </c>
      <c r="E12207" t="str">
        <f>"1-245-22"</f>
        <v>1-245-22</v>
      </c>
      <c r="F12207" t="s">
        <v>65</v>
      </c>
      <c r="G12207" t="s">
        <v>66</v>
      </c>
      <c r="H12207" t="s">
        <v>67</v>
      </c>
      <c r="S12207">
        <v>1</v>
      </c>
      <c r="T12207">
        <v>0</v>
      </c>
      <c r="U12207">
        <v>0</v>
      </c>
      <c r="V12207">
        <v>0</v>
      </c>
      <c r="W12207">
        <v>1</v>
      </c>
      <c r="X12207">
        <v>0</v>
      </c>
      <c r="Y12207">
        <v>1</v>
      </c>
      <c r="Z12207">
        <v>0</v>
      </c>
      <c r="AA12207">
        <v>1</v>
      </c>
      <c r="AB12207">
        <v>0</v>
      </c>
      <c r="AC12207">
        <v>0</v>
      </c>
      <c r="AD12207">
        <v>1</v>
      </c>
      <c r="AE12207">
        <v>1</v>
      </c>
      <c r="AF12207">
        <v>1</v>
      </c>
      <c r="AG12207">
        <v>1</v>
      </c>
      <c r="AH12207">
        <v>1</v>
      </c>
      <c r="AI12207">
        <v>1</v>
      </c>
      <c r="AJ12207">
        <v>1</v>
      </c>
      <c r="AK12207">
        <v>1</v>
      </c>
      <c r="AL12207">
        <v>1</v>
      </c>
      <c r="AM12207">
        <v>1</v>
      </c>
    </row>
    <row r="12208" spans="1:39" x14ac:dyDescent="0.2">
      <c r="A12208" t="str">
        <f>"12204"</f>
        <v>12204</v>
      </c>
      <c r="B12208" t="str">
        <f t="shared" si="676"/>
        <v>1</v>
      </c>
      <c r="C12208" t="str">
        <f t="shared" si="679"/>
        <v>245</v>
      </c>
      <c r="D12208" t="str">
        <f>"21"</f>
        <v>21</v>
      </c>
      <c r="E12208" t="str">
        <f>"1-245-21"</f>
        <v>1-245-21</v>
      </c>
      <c r="F12208" t="s">
        <v>65</v>
      </c>
      <c r="G12208" t="s">
        <v>66</v>
      </c>
      <c r="H12208" t="s">
        <v>67</v>
      </c>
      <c r="S12208">
        <v>0</v>
      </c>
      <c r="T12208">
        <v>1</v>
      </c>
      <c r="U12208">
        <v>0</v>
      </c>
      <c r="V12208">
        <v>0</v>
      </c>
      <c r="W12208">
        <v>1</v>
      </c>
      <c r="X12208">
        <v>0</v>
      </c>
      <c r="Y12208">
        <v>1</v>
      </c>
      <c r="Z12208">
        <v>0</v>
      </c>
      <c r="AA12208">
        <v>1</v>
      </c>
      <c r="AB12208">
        <v>0</v>
      </c>
      <c r="AC12208">
        <v>0</v>
      </c>
      <c r="AD12208">
        <v>1</v>
      </c>
      <c r="AE12208">
        <v>1</v>
      </c>
      <c r="AF12208">
        <v>1</v>
      </c>
      <c r="AG12208">
        <v>1</v>
      </c>
      <c r="AH12208">
        <v>1</v>
      </c>
      <c r="AI12208">
        <v>1</v>
      </c>
      <c r="AJ12208">
        <v>1</v>
      </c>
      <c r="AK12208">
        <v>1</v>
      </c>
      <c r="AL12208">
        <v>1</v>
      </c>
      <c r="AM12208">
        <v>1</v>
      </c>
    </row>
    <row r="12209" spans="1:39" x14ac:dyDescent="0.2">
      <c r="A12209" t="str">
        <f>"12205"</f>
        <v>12205</v>
      </c>
      <c r="B12209" t="str">
        <f t="shared" si="676"/>
        <v>1</v>
      </c>
      <c r="C12209" t="str">
        <f t="shared" si="679"/>
        <v>245</v>
      </c>
      <c r="D12209" t="str">
        <f>"17"</f>
        <v>17</v>
      </c>
      <c r="E12209" t="str">
        <f>"1-245-17"</f>
        <v>1-245-17</v>
      </c>
      <c r="F12209" t="s">
        <v>65</v>
      </c>
      <c r="G12209" t="s">
        <v>66</v>
      </c>
      <c r="H12209" t="s">
        <v>67</v>
      </c>
      <c r="S12209">
        <v>0</v>
      </c>
      <c r="T12209">
        <v>1</v>
      </c>
      <c r="U12209">
        <v>0</v>
      </c>
      <c r="V12209">
        <v>0</v>
      </c>
      <c r="W12209">
        <v>1</v>
      </c>
      <c r="X12209">
        <v>0</v>
      </c>
      <c r="Y12209">
        <v>0</v>
      </c>
      <c r="Z12209">
        <v>1</v>
      </c>
      <c r="AA12209">
        <v>1</v>
      </c>
      <c r="AB12209">
        <v>0</v>
      </c>
      <c r="AC12209">
        <v>0</v>
      </c>
      <c r="AD12209">
        <v>1</v>
      </c>
      <c r="AE12209">
        <v>1</v>
      </c>
      <c r="AF12209">
        <v>1</v>
      </c>
      <c r="AG12209">
        <v>1</v>
      </c>
      <c r="AH12209">
        <v>1</v>
      </c>
      <c r="AI12209">
        <v>1</v>
      </c>
      <c r="AJ12209">
        <v>1</v>
      </c>
      <c r="AK12209">
        <v>1</v>
      </c>
      <c r="AL12209">
        <v>1</v>
      </c>
      <c r="AM12209">
        <v>1</v>
      </c>
    </row>
    <row r="12210" spans="1:39" x14ac:dyDescent="0.2">
      <c r="A12210" t="str">
        <f>"12206"</f>
        <v>12206</v>
      </c>
      <c r="B12210" t="str">
        <f t="shared" si="676"/>
        <v>1</v>
      </c>
      <c r="C12210" t="str">
        <f t="shared" si="679"/>
        <v>245</v>
      </c>
      <c r="D12210" t="str">
        <f>"15"</f>
        <v>15</v>
      </c>
      <c r="E12210" t="str">
        <f>"1-245-15"</f>
        <v>1-245-15</v>
      </c>
      <c r="F12210" t="s">
        <v>65</v>
      </c>
      <c r="G12210" t="s">
        <v>66</v>
      </c>
      <c r="H12210" t="s">
        <v>67</v>
      </c>
      <c r="S12210">
        <v>0</v>
      </c>
      <c r="T12210">
        <v>1</v>
      </c>
      <c r="U12210">
        <v>0</v>
      </c>
      <c r="V12210">
        <v>0</v>
      </c>
      <c r="W12210">
        <v>1</v>
      </c>
      <c r="X12210">
        <v>0</v>
      </c>
      <c r="Y12210">
        <v>0</v>
      </c>
      <c r="Z12210">
        <v>1</v>
      </c>
      <c r="AA12210">
        <v>1</v>
      </c>
      <c r="AB12210">
        <v>0</v>
      </c>
      <c r="AC12210">
        <v>0</v>
      </c>
      <c r="AD12210">
        <v>1</v>
      </c>
      <c r="AE12210">
        <v>1</v>
      </c>
      <c r="AF12210">
        <v>1</v>
      </c>
      <c r="AG12210">
        <v>1</v>
      </c>
      <c r="AH12210">
        <v>1</v>
      </c>
      <c r="AI12210">
        <v>1</v>
      </c>
      <c r="AJ12210">
        <v>1</v>
      </c>
      <c r="AK12210">
        <v>1</v>
      </c>
      <c r="AL12210">
        <v>1</v>
      </c>
      <c r="AM12210">
        <v>1</v>
      </c>
    </row>
    <row r="12211" spans="1:39" x14ac:dyDescent="0.2">
      <c r="A12211" t="str">
        <f>"12207"</f>
        <v>12207</v>
      </c>
      <c r="B12211" t="str">
        <f t="shared" si="676"/>
        <v>1</v>
      </c>
      <c r="C12211" t="str">
        <f t="shared" si="679"/>
        <v>245</v>
      </c>
      <c r="D12211" t="str">
        <f>"7"</f>
        <v>7</v>
      </c>
      <c r="E12211" t="str">
        <f>"1-245-7"</f>
        <v>1-245-7</v>
      </c>
      <c r="F12211" t="s">
        <v>65</v>
      </c>
      <c r="G12211" t="s">
        <v>66</v>
      </c>
      <c r="H12211" t="s">
        <v>67</v>
      </c>
      <c r="S12211">
        <v>0</v>
      </c>
      <c r="T12211">
        <v>1</v>
      </c>
      <c r="U12211">
        <v>0</v>
      </c>
      <c r="V12211">
        <v>0</v>
      </c>
      <c r="W12211">
        <v>1</v>
      </c>
      <c r="X12211">
        <v>0</v>
      </c>
      <c r="Y12211">
        <v>0</v>
      </c>
      <c r="Z12211">
        <v>1</v>
      </c>
      <c r="AA12211">
        <v>0</v>
      </c>
      <c r="AB12211">
        <v>1</v>
      </c>
      <c r="AC12211">
        <v>0</v>
      </c>
      <c r="AD12211">
        <v>1</v>
      </c>
      <c r="AE12211">
        <v>1</v>
      </c>
      <c r="AF12211">
        <v>1</v>
      </c>
      <c r="AG12211">
        <v>1</v>
      </c>
      <c r="AH12211">
        <v>1</v>
      </c>
      <c r="AI12211">
        <v>1</v>
      </c>
      <c r="AJ12211">
        <v>1</v>
      </c>
      <c r="AK12211">
        <v>1</v>
      </c>
      <c r="AL12211">
        <v>1</v>
      </c>
      <c r="AM12211">
        <v>1</v>
      </c>
    </row>
    <row r="12212" spans="1:39" x14ac:dyDescent="0.2">
      <c r="A12212" t="str">
        <f>"12208"</f>
        <v>12208</v>
      </c>
      <c r="B12212" t="str">
        <f t="shared" si="676"/>
        <v>1</v>
      </c>
      <c r="C12212" t="str">
        <f t="shared" si="679"/>
        <v>245</v>
      </c>
      <c r="D12212" t="str">
        <f>"30"</f>
        <v>30</v>
      </c>
      <c r="E12212" t="str">
        <f>"1-245-30"</f>
        <v>1-245-30</v>
      </c>
      <c r="F12212" t="s">
        <v>65</v>
      </c>
      <c r="G12212" t="s">
        <v>66</v>
      </c>
      <c r="H12212" t="s">
        <v>67</v>
      </c>
      <c r="S12212">
        <v>1</v>
      </c>
      <c r="T12212">
        <v>0</v>
      </c>
      <c r="U12212">
        <v>0</v>
      </c>
      <c r="V12212">
        <v>0</v>
      </c>
      <c r="W12212">
        <v>1</v>
      </c>
      <c r="X12212">
        <v>0</v>
      </c>
      <c r="Y12212">
        <v>1</v>
      </c>
      <c r="Z12212">
        <v>0</v>
      </c>
      <c r="AA12212">
        <v>1</v>
      </c>
      <c r="AB12212">
        <v>0</v>
      </c>
      <c r="AC12212">
        <v>0</v>
      </c>
      <c r="AD12212">
        <v>1</v>
      </c>
      <c r="AE12212">
        <v>1</v>
      </c>
      <c r="AF12212">
        <v>1</v>
      </c>
      <c r="AG12212">
        <v>1</v>
      </c>
      <c r="AH12212">
        <v>1</v>
      </c>
      <c r="AI12212">
        <v>1</v>
      </c>
      <c r="AJ12212">
        <v>1</v>
      </c>
      <c r="AK12212">
        <v>1</v>
      </c>
      <c r="AL12212">
        <v>1</v>
      </c>
      <c r="AM12212">
        <v>1</v>
      </c>
    </row>
    <row r="12213" spans="1:39" x14ac:dyDescent="0.2">
      <c r="A12213" t="str">
        <f>"12209"</f>
        <v>12209</v>
      </c>
      <c r="B12213" t="str">
        <f t="shared" si="676"/>
        <v>1</v>
      </c>
      <c r="C12213" t="str">
        <f t="shared" si="679"/>
        <v>245</v>
      </c>
      <c r="D12213" t="str">
        <f>"16"</f>
        <v>16</v>
      </c>
      <c r="E12213" t="str">
        <f>"1-245-16"</f>
        <v>1-245-16</v>
      </c>
      <c r="F12213" t="s">
        <v>65</v>
      </c>
      <c r="G12213" t="s">
        <v>66</v>
      </c>
      <c r="H12213" t="s">
        <v>67</v>
      </c>
      <c r="S12213">
        <v>0</v>
      </c>
      <c r="T12213">
        <v>1</v>
      </c>
      <c r="U12213">
        <v>0</v>
      </c>
      <c r="V12213">
        <v>0</v>
      </c>
      <c r="W12213">
        <v>0</v>
      </c>
      <c r="X12213">
        <v>1</v>
      </c>
      <c r="Y12213">
        <v>0</v>
      </c>
      <c r="Z12213">
        <v>1</v>
      </c>
      <c r="AA12213">
        <v>0</v>
      </c>
      <c r="AB12213">
        <v>1</v>
      </c>
      <c r="AC12213">
        <v>0</v>
      </c>
      <c r="AD12213">
        <v>1</v>
      </c>
      <c r="AE12213">
        <v>1</v>
      </c>
      <c r="AF12213">
        <v>1</v>
      </c>
      <c r="AG12213">
        <v>1</v>
      </c>
      <c r="AH12213">
        <v>1</v>
      </c>
      <c r="AI12213">
        <v>1</v>
      </c>
      <c r="AJ12213">
        <v>1</v>
      </c>
      <c r="AK12213">
        <v>1</v>
      </c>
      <c r="AL12213">
        <v>1</v>
      </c>
      <c r="AM12213">
        <v>1</v>
      </c>
    </row>
    <row r="12214" spans="1:39" x14ac:dyDescent="0.2">
      <c r="A12214" t="str">
        <f>"12210"</f>
        <v>12210</v>
      </c>
      <c r="B12214" t="str">
        <f t="shared" si="676"/>
        <v>1</v>
      </c>
      <c r="C12214" t="str">
        <f t="shared" si="679"/>
        <v>245</v>
      </c>
      <c r="D12214" t="str">
        <f>"2"</f>
        <v>2</v>
      </c>
      <c r="E12214" t="str">
        <f>"1-245-2"</f>
        <v>1-245-2</v>
      </c>
      <c r="F12214" t="s">
        <v>65</v>
      </c>
      <c r="G12214" t="s">
        <v>66</v>
      </c>
      <c r="H12214" t="s">
        <v>67</v>
      </c>
      <c r="S12214">
        <v>0</v>
      </c>
      <c r="T12214">
        <v>1</v>
      </c>
      <c r="U12214">
        <v>0</v>
      </c>
      <c r="V12214">
        <v>0</v>
      </c>
      <c r="W12214">
        <v>1</v>
      </c>
      <c r="X12214">
        <v>0</v>
      </c>
      <c r="Y12214">
        <v>1</v>
      </c>
      <c r="Z12214">
        <v>0</v>
      </c>
      <c r="AA12214">
        <v>0</v>
      </c>
      <c r="AB12214">
        <v>0</v>
      </c>
      <c r="AC12214">
        <v>1</v>
      </c>
      <c r="AD12214">
        <v>1</v>
      </c>
      <c r="AE12214">
        <v>1</v>
      </c>
      <c r="AF12214">
        <v>1</v>
      </c>
      <c r="AG12214">
        <v>1</v>
      </c>
      <c r="AH12214">
        <v>1</v>
      </c>
      <c r="AI12214">
        <v>1</v>
      </c>
      <c r="AJ12214">
        <v>1</v>
      </c>
      <c r="AK12214">
        <v>1</v>
      </c>
      <c r="AL12214">
        <v>1</v>
      </c>
      <c r="AM12214">
        <v>1</v>
      </c>
    </row>
    <row r="12215" spans="1:39" x14ac:dyDescent="0.2">
      <c r="A12215" t="str">
        <f>"12211"</f>
        <v>12211</v>
      </c>
      <c r="B12215" t="str">
        <f t="shared" ref="B12215:B12278" si="680">"1"</f>
        <v>1</v>
      </c>
      <c r="C12215" t="str">
        <f t="shared" si="679"/>
        <v>245</v>
      </c>
      <c r="D12215" t="str">
        <f>"42"</f>
        <v>42</v>
      </c>
      <c r="E12215" t="str">
        <f>"1-245-42"</f>
        <v>1-245-42</v>
      </c>
      <c r="F12215" t="s">
        <v>65</v>
      </c>
      <c r="G12215" t="s">
        <v>66</v>
      </c>
      <c r="H12215" t="s">
        <v>67</v>
      </c>
      <c r="S12215">
        <v>0</v>
      </c>
      <c r="T12215">
        <v>1</v>
      </c>
      <c r="U12215">
        <v>0</v>
      </c>
      <c r="V12215">
        <v>0</v>
      </c>
      <c r="W12215">
        <v>0</v>
      </c>
      <c r="X12215">
        <v>1</v>
      </c>
      <c r="Y12215">
        <v>1</v>
      </c>
      <c r="Z12215">
        <v>0</v>
      </c>
      <c r="AA12215">
        <v>0</v>
      </c>
      <c r="AB12215">
        <v>0</v>
      </c>
      <c r="AC12215">
        <v>1</v>
      </c>
      <c r="AD12215">
        <v>1</v>
      </c>
      <c r="AE12215">
        <v>1</v>
      </c>
      <c r="AF12215">
        <v>1</v>
      </c>
      <c r="AG12215">
        <v>1</v>
      </c>
      <c r="AH12215">
        <v>1</v>
      </c>
      <c r="AI12215">
        <v>1</v>
      </c>
      <c r="AJ12215">
        <v>1</v>
      </c>
      <c r="AK12215">
        <v>1</v>
      </c>
      <c r="AL12215">
        <v>1</v>
      </c>
      <c r="AM12215">
        <v>1</v>
      </c>
    </row>
    <row r="12216" spans="1:39" x14ac:dyDescent="0.2">
      <c r="A12216" t="str">
        <f>"12212"</f>
        <v>12212</v>
      </c>
      <c r="B12216" t="str">
        <f t="shared" si="680"/>
        <v>1</v>
      </c>
      <c r="C12216" t="str">
        <f t="shared" si="679"/>
        <v>245</v>
      </c>
      <c r="D12216" t="str">
        <f>"41"</f>
        <v>41</v>
      </c>
      <c r="E12216" t="str">
        <f>"1-245-41"</f>
        <v>1-245-41</v>
      </c>
      <c r="F12216" t="s">
        <v>65</v>
      </c>
      <c r="G12216" t="s">
        <v>66</v>
      </c>
      <c r="H12216" t="s">
        <v>67</v>
      </c>
      <c r="S12216">
        <v>1</v>
      </c>
      <c r="T12216">
        <v>0</v>
      </c>
      <c r="U12216">
        <v>0</v>
      </c>
      <c r="V12216">
        <v>0</v>
      </c>
      <c r="W12216">
        <v>1</v>
      </c>
      <c r="X12216">
        <v>0</v>
      </c>
      <c r="Y12216">
        <v>1</v>
      </c>
      <c r="Z12216">
        <v>0</v>
      </c>
      <c r="AA12216">
        <v>0</v>
      </c>
      <c r="AB12216">
        <v>1</v>
      </c>
      <c r="AC12216">
        <v>0</v>
      </c>
      <c r="AD12216">
        <v>1</v>
      </c>
      <c r="AE12216">
        <v>1</v>
      </c>
      <c r="AF12216">
        <v>1</v>
      </c>
      <c r="AG12216">
        <v>1</v>
      </c>
      <c r="AH12216">
        <v>1</v>
      </c>
      <c r="AI12216">
        <v>1</v>
      </c>
      <c r="AJ12216">
        <v>1</v>
      </c>
      <c r="AK12216">
        <v>1</v>
      </c>
      <c r="AL12216">
        <v>1</v>
      </c>
      <c r="AM12216">
        <v>1</v>
      </c>
    </row>
    <row r="12217" spans="1:39" x14ac:dyDescent="0.2">
      <c r="A12217" t="str">
        <f>"12213"</f>
        <v>12213</v>
      </c>
      <c r="B12217" t="str">
        <f t="shared" si="680"/>
        <v>1</v>
      </c>
      <c r="C12217" t="str">
        <f t="shared" si="679"/>
        <v>245</v>
      </c>
      <c r="D12217" t="str">
        <f>"33"</f>
        <v>33</v>
      </c>
      <c r="E12217" t="str">
        <f>"1-245-33"</f>
        <v>1-245-33</v>
      </c>
      <c r="F12217" t="s">
        <v>65</v>
      </c>
      <c r="G12217" t="s">
        <v>66</v>
      </c>
      <c r="H12217" t="s">
        <v>67</v>
      </c>
      <c r="S12217">
        <v>1</v>
      </c>
      <c r="T12217">
        <v>0</v>
      </c>
      <c r="U12217">
        <v>0</v>
      </c>
      <c r="V12217">
        <v>0</v>
      </c>
      <c r="W12217">
        <v>1</v>
      </c>
      <c r="X12217">
        <v>0</v>
      </c>
      <c r="Y12217">
        <v>1</v>
      </c>
      <c r="Z12217">
        <v>0</v>
      </c>
      <c r="AA12217">
        <v>0</v>
      </c>
      <c r="AB12217">
        <v>0</v>
      </c>
      <c r="AC12217">
        <v>0</v>
      </c>
      <c r="AD12217">
        <v>1</v>
      </c>
      <c r="AE12217">
        <v>1</v>
      </c>
      <c r="AF12217">
        <v>1</v>
      </c>
      <c r="AG12217">
        <v>1</v>
      </c>
      <c r="AH12217">
        <v>1</v>
      </c>
      <c r="AI12217">
        <v>1</v>
      </c>
      <c r="AJ12217">
        <v>1</v>
      </c>
      <c r="AK12217">
        <v>1</v>
      </c>
      <c r="AL12217">
        <v>1</v>
      </c>
      <c r="AM12217">
        <v>1</v>
      </c>
    </row>
    <row r="12218" spans="1:39" x14ac:dyDescent="0.2">
      <c r="A12218" t="str">
        <f>"12214"</f>
        <v>12214</v>
      </c>
      <c r="B12218" t="str">
        <f t="shared" si="680"/>
        <v>1</v>
      </c>
      <c r="C12218" t="str">
        <f t="shared" si="679"/>
        <v>245</v>
      </c>
      <c r="D12218" t="str">
        <f>"18"</f>
        <v>18</v>
      </c>
      <c r="E12218" t="str">
        <f>"1-245-18"</f>
        <v>1-245-18</v>
      </c>
      <c r="F12218" t="s">
        <v>65</v>
      </c>
      <c r="G12218" t="s">
        <v>66</v>
      </c>
      <c r="H12218" t="s">
        <v>67</v>
      </c>
      <c r="S12218">
        <v>1</v>
      </c>
      <c r="T12218">
        <v>0</v>
      </c>
      <c r="U12218">
        <v>0</v>
      </c>
      <c r="V12218">
        <v>0</v>
      </c>
      <c r="W12218">
        <v>1</v>
      </c>
      <c r="X12218">
        <v>0</v>
      </c>
      <c r="Y12218">
        <v>1</v>
      </c>
      <c r="Z12218">
        <v>0</v>
      </c>
      <c r="AA12218">
        <v>1</v>
      </c>
      <c r="AB12218">
        <v>0</v>
      </c>
      <c r="AC12218">
        <v>0</v>
      </c>
      <c r="AD12218">
        <v>0</v>
      </c>
      <c r="AE12218">
        <v>0</v>
      </c>
      <c r="AF12218">
        <v>0</v>
      </c>
      <c r="AG12218">
        <v>0</v>
      </c>
      <c r="AH12218">
        <v>0</v>
      </c>
      <c r="AI12218">
        <v>0</v>
      </c>
      <c r="AJ12218">
        <v>0</v>
      </c>
      <c r="AK12218">
        <v>0</v>
      </c>
      <c r="AL12218">
        <v>0</v>
      </c>
      <c r="AM12218">
        <v>0</v>
      </c>
    </row>
    <row r="12219" spans="1:39" x14ac:dyDescent="0.2">
      <c r="A12219" t="str">
        <f>"12215"</f>
        <v>12215</v>
      </c>
      <c r="B12219" t="str">
        <f t="shared" si="680"/>
        <v>1</v>
      </c>
      <c r="C12219" t="str">
        <f t="shared" si="679"/>
        <v>245</v>
      </c>
      <c r="D12219" t="str">
        <f>"9"</f>
        <v>9</v>
      </c>
      <c r="E12219" t="str">
        <f>"1-245-9"</f>
        <v>1-245-9</v>
      </c>
      <c r="F12219" t="s">
        <v>65</v>
      </c>
      <c r="G12219" t="s">
        <v>66</v>
      </c>
      <c r="H12219" t="s">
        <v>67</v>
      </c>
      <c r="S12219">
        <v>0</v>
      </c>
      <c r="T12219">
        <v>1</v>
      </c>
      <c r="U12219">
        <v>0</v>
      </c>
      <c r="V12219">
        <v>0</v>
      </c>
      <c r="W12219">
        <v>1</v>
      </c>
      <c r="X12219">
        <v>0</v>
      </c>
      <c r="Y12219">
        <v>1</v>
      </c>
      <c r="Z12219">
        <v>0</v>
      </c>
      <c r="AA12219">
        <v>1</v>
      </c>
      <c r="AB12219">
        <v>0</v>
      </c>
      <c r="AC12219">
        <v>0</v>
      </c>
      <c r="AD12219">
        <v>1</v>
      </c>
      <c r="AE12219">
        <v>1</v>
      </c>
      <c r="AF12219">
        <v>1</v>
      </c>
      <c r="AG12219">
        <v>1</v>
      </c>
      <c r="AH12219">
        <v>1</v>
      </c>
      <c r="AI12219">
        <v>1</v>
      </c>
      <c r="AJ12219">
        <v>1</v>
      </c>
      <c r="AK12219">
        <v>1</v>
      </c>
      <c r="AL12219">
        <v>1</v>
      </c>
      <c r="AM12219">
        <v>1</v>
      </c>
    </row>
    <row r="12220" spans="1:39" x14ac:dyDescent="0.2">
      <c r="A12220" t="str">
        <f>"12216"</f>
        <v>12216</v>
      </c>
      <c r="B12220" t="str">
        <f t="shared" si="680"/>
        <v>1</v>
      </c>
      <c r="C12220" t="str">
        <f t="shared" si="679"/>
        <v>245</v>
      </c>
      <c r="D12220" t="str">
        <f>"40"</f>
        <v>40</v>
      </c>
      <c r="E12220" t="str">
        <f>"1-245-40"</f>
        <v>1-245-40</v>
      </c>
      <c r="F12220" t="s">
        <v>65</v>
      </c>
      <c r="G12220" t="s">
        <v>66</v>
      </c>
      <c r="H12220" t="s">
        <v>67</v>
      </c>
      <c r="S12220">
        <v>1</v>
      </c>
      <c r="T12220">
        <v>0</v>
      </c>
      <c r="U12220">
        <v>0</v>
      </c>
      <c r="V12220">
        <v>0</v>
      </c>
      <c r="W12220">
        <v>1</v>
      </c>
      <c r="X12220">
        <v>0</v>
      </c>
      <c r="Y12220">
        <v>1</v>
      </c>
      <c r="Z12220">
        <v>0</v>
      </c>
      <c r="AA12220">
        <v>0</v>
      </c>
      <c r="AB12220">
        <v>1</v>
      </c>
      <c r="AC12220">
        <v>0</v>
      </c>
      <c r="AD12220">
        <v>1</v>
      </c>
      <c r="AE12220">
        <v>1</v>
      </c>
      <c r="AF12220">
        <v>1</v>
      </c>
      <c r="AG12220">
        <v>1</v>
      </c>
      <c r="AH12220">
        <v>1</v>
      </c>
      <c r="AI12220">
        <v>1</v>
      </c>
      <c r="AJ12220">
        <v>1</v>
      </c>
      <c r="AK12220">
        <v>1</v>
      </c>
      <c r="AL12220">
        <v>1</v>
      </c>
      <c r="AM12220">
        <v>1</v>
      </c>
    </row>
    <row r="12221" spans="1:39" x14ac:dyDescent="0.2">
      <c r="A12221" t="str">
        <f>"12217"</f>
        <v>12217</v>
      </c>
      <c r="B12221" t="str">
        <f t="shared" si="680"/>
        <v>1</v>
      </c>
      <c r="C12221" t="str">
        <f t="shared" si="679"/>
        <v>245</v>
      </c>
      <c r="D12221" t="str">
        <f>"39"</f>
        <v>39</v>
      </c>
      <c r="E12221" t="str">
        <f>"1-245-39"</f>
        <v>1-245-39</v>
      </c>
      <c r="F12221" t="s">
        <v>65</v>
      </c>
      <c r="G12221" t="s">
        <v>66</v>
      </c>
      <c r="H12221" t="s">
        <v>67</v>
      </c>
      <c r="S12221">
        <v>1</v>
      </c>
      <c r="T12221">
        <v>0</v>
      </c>
      <c r="U12221">
        <v>0</v>
      </c>
      <c r="V12221">
        <v>0</v>
      </c>
      <c r="W12221">
        <v>1</v>
      </c>
      <c r="X12221">
        <v>0</v>
      </c>
      <c r="Y12221">
        <v>0</v>
      </c>
      <c r="Z12221">
        <v>0</v>
      </c>
      <c r="AA12221">
        <v>1</v>
      </c>
      <c r="AB12221">
        <v>0</v>
      </c>
      <c r="AC12221">
        <v>0</v>
      </c>
      <c r="AD12221">
        <v>0</v>
      </c>
      <c r="AE12221">
        <v>0</v>
      </c>
      <c r="AF12221">
        <v>0</v>
      </c>
      <c r="AG12221">
        <v>0</v>
      </c>
      <c r="AH12221">
        <v>0</v>
      </c>
      <c r="AI12221">
        <v>0</v>
      </c>
      <c r="AJ12221">
        <v>0</v>
      </c>
      <c r="AK12221">
        <v>0</v>
      </c>
      <c r="AL12221">
        <v>0</v>
      </c>
      <c r="AM12221">
        <v>0</v>
      </c>
    </row>
    <row r="12222" spans="1:39" x14ac:dyDescent="0.2">
      <c r="A12222" t="str">
        <f>"12218"</f>
        <v>12218</v>
      </c>
      <c r="B12222" t="str">
        <f t="shared" si="680"/>
        <v>1</v>
      </c>
      <c r="C12222" t="str">
        <f t="shared" si="679"/>
        <v>245</v>
      </c>
      <c r="D12222" t="str">
        <f>"34"</f>
        <v>34</v>
      </c>
      <c r="E12222" t="str">
        <f>"1-245-34"</f>
        <v>1-245-34</v>
      </c>
      <c r="F12222" t="s">
        <v>65</v>
      </c>
      <c r="G12222" t="s">
        <v>66</v>
      </c>
      <c r="H12222" t="s">
        <v>67</v>
      </c>
      <c r="S12222">
        <v>0</v>
      </c>
      <c r="T12222">
        <v>1</v>
      </c>
      <c r="U12222">
        <v>0</v>
      </c>
      <c r="V12222">
        <v>0</v>
      </c>
      <c r="W12222">
        <v>1</v>
      </c>
      <c r="X12222">
        <v>0</v>
      </c>
      <c r="Y12222">
        <v>0</v>
      </c>
      <c r="Z12222">
        <v>1</v>
      </c>
      <c r="AA12222">
        <v>1</v>
      </c>
      <c r="AB12222">
        <v>0</v>
      </c>
      <c r="AC12222">
        <v>0</v>
      </c>
      <c r="AD12222">
        <v>1</v>
      </c>
      <c r="AE12222">
        <v>1</v>
      </c>
      <c r="AF12222">
        <v>1</v>
      </c>
      <c r="AG12222">
        <v>1</v>
      </c>
      <c r="AH12222">
        <v>1</v>
      </c>
      <c r="AI12222">
        <v>1</v>
      </c>
      <c r="AJ12222">
        <v>1</v>
      </c>
      <c r="AK12222">
        <v>1</v>
      </c>
      <c r="AL12222">
        <v>1</v>
      </c>
      <c r="AM12222">
        <v>1</v>
      </c>
    </row>
    <row r="12223" spans="1:39" x14ac:dyDescent="0.2">
      <c r="A12223" t="str">
        <f>"12219"</f>
        <v>12219</v>
      </c>
      <c r="B12223" t="str">
        <f t="shared" si="680"/>
        <v>1</v>
      </c>
      <c r="C12223" t="str">
        <f t="shared" si="679"/>
        <v>245</v>
      </c>
      <c r="D12223" t="str">
        <f>"19"</f>
        <v>19</v>
      </c>
      <c r="E12223" t="str">
        <f>"1-245-19"</f>
        <v>1-245-19</v>
      </c>
      <c r="F12223" t="s">
        <v>65</v>
      </c>
      <c r="G12223" t="s">
        <v>66</v>
      </c>
      <c r="H12223" t="s">
        <v>67</v>
      </c>
      <c r="S12223">
        <v>1</v>
      </c>
      <c r="T12223">
        <v>0</v>
      </c>
      <c r="U12223">
        <v>0</v>
      </c>
      <c r="V12223">
        <v>0</v>
      </c>
      <c r="W12223">
        <v>1</v>
      </c>
      <c r="X12223">
        <v>0</v>
      </c>
      <c r="Y12223">
        <v>1</v>
      </c>
      <c r="Z12223">
        <v>0</v>
      </c>
      <c r="AA12223">
        <v>0</v>
      </c>
      <c r="AB12223">
        <v>1</v>
      </c>
      <c r="AC12223">
        <v>0</v>
      </c>
      <c r="AD12223">
        <v>1</v>
      </c>
      <c r="AE12223">
        <v>1</v>
      </c>
      <c r="AF12223">
        <v>1</v>
      </c>
      <c r="AG12223">
        <v>1</v>
      </c>
      <c r="AH12223">
        <v>1</v>
      </c>
      <c r="AI12223">
        <v>1</v>
      </c>
      <c r="AJ12223">
        <v>1</v>
      </c>
      <c r="AK12223">
        <v>1</v>
      </c>
      <c r="AL12223">
        <v>1</v>
      </c>
      <c r="AM12223">
        <v>1</v>
      </c>
    </row>
    <row r="12224" spans="1:39" x14ac:dyDescent="0.2">
      <c r="A12224" t="str">
        <f>"12220"</f>
        <v>12220</v>
      </c>
      <c r="B12224" t="str">
        <f t="shared" si="680"/>
        <v>1</v>
      </c>
      <c r="C12224" t="str">
        <f t="shared" si="679"/>
        <v>245</v>
      </c>
      <c r="D12224" t="str">
        <f>"6"</f>
        <v>6</v>
      </c>
      <c r="E12224" t="str">
        <f>"1-245-6"</f>
        <v>1-245-6</v>
      </c>
      <c r="F12224" t="s">
        <v>65</v>
      </c>
      <c r="G12224" t="s">
        <v>66</v>
      </c>
      <c r="H12224" t="s">
        <v>67</v>
      </c>
      <c r="S12224">
        <v>0</v>
      </c>
      <c r="T12224">
        <v>1</v>
      </c>
      <c r="U12224">
        <v>0</v>
      </c>
      <c r="V12224">
        <v>0</v>
      </c>
      <c r="W12224">
        <v>1</v>
      </c>
      <c r="X12224">
        <v>0</v>
      </c>
      <c r="Y12224">
        <v>1</v>
      </c>
      <c r="Z12224">
        <v>0</v>
      </c>
      <c r="AA12224">
        <v>1</v>
      </c>
      <c r="AB12224">
        <v>0</v>
      </c>
      <c r="AC12224">
        <v>0</v>
      </c>
      <c r="AD12224">
        <v>1</v>
      </c>
      <c r="AE12224">
        <v>1</v>
      </c>
      <c r="AF12224">
        <v>1</v>
      </c>
      <c r="AG12224">
        <v>1</v>
      </c>
      <c r="AH12224">
        <v>1</v>
      </c>
      <c r="AI12224">
        <v>1</v>
      </c>
      <c r="AJ12224">
        <v>1</v>
      </c>
      <c r="AK12224">
        <v>1</v>
      </c>
      <c r="AL12224">
        <v>1</v>
      </c>
      <c r="AM12224">
        <v>1</v>
      </c>
    </row>
    <row r="12225" spans="1:39" x14ac:dyDescent="0.2">
      <c r="A12225" t="str">
        <f>"12221"</f>
        <v>12221</v>
      </c>
      <c r="B12225" t="str">
        <f t="shared" si="680"/>
        <v>1</v>
      </c>
      <c r="C12225" t="str">
        <f t="shared" si="679"/>
        <v>245</v>
      </c>
      <c r="D12225" t="str">
        <f>"43"</f>
        <v>43</v>
      </c>
      <c r="E12225" t="str">
        <f>"1-245-43"</f>
        <v>1-245-43</v>
      </c>
      <c r="F12225" t="s">
        <v>65</v>
      </c>
      <c r="G12225" t="s">
        <v>66</v>
      </c>
      <c r="H12225" t="s">
        <v>67</v>
      </c>
      <c r="S12225">
        <v>1</v>
      </c>
      <c r="T12225">
        <v>0</v>
      </c>
      <c r="U12225">
        <v>0</v>
      </c>
      <c r="V12225">
        <v>0</v>
      </c>
      <c r="W12225">
        <v>1</v>
      </c>
      <c r="X12225">
        <v>0</v>
      </c>
      <c r="Y12225">
        <v>0</v>
      </c>
      <c r="Z12225">
        <v>1</v>
      </c>
      <c r="AA12225">
        <v>0</v>
      </c>
      <c r="AB12225">
        <v>0</v>
      </c>
      <c r="AC12225">
        <v>0</v>
      </c>
      <c r="AD12225">
        <v>1</v>
      </c>
      <c r="AE12225">
        <v>1</v>
      </c>
      <c r="AF12225">
        <v>1</v>
      </c>
      <c r="AG12225">
        <v>1</v>
      </c>
      <c r="AH12225">
        <v>1</v>
      </c>
      <c r="AI12225">
        <v>1</v>
      </c>
      <c r="AJ12225">
        <v>1</v>
      </c>
      <c r="AK12225">
        <v>1</v>
      </c>
      <c r="AL12225">
        <v>1</v>
      </c>
      <c r="AM12225">
        <v>1</v>
      </c>
    </row>
    <row r="12226" spans="1:39" x14ac:dyDescent="0.2">
      <c r="A12226" t="str">
        <f>"12222"</f>
        <v>12222</v>
      </c>
      <c r="B12226" t="str">
        <f t="shared" si="680"/>
        <v>1</v>
      </c>
      <c r="C12226" t="str">
        <f t="shared" si="679"/>
        <v>245</v>
      </c>
      <c r="D12226" t="str">
        <f>"20"</f>
        <v>20</v>
      </c>
      <c r="E12226" t="str">
        <f>"1-245-20"</f>
        <v>1-245-20</v>
      </c>
      <c r="F12226" t="s">
        <v>65</v>
      </c>
      <c r="G12226" t="s">
        <v>66</v>
      </c>
      <c r="H12226" t="s">
        <v>67</v>
      </c>
      <c r="S12226">
        <v>0</v>
      </c>
      <c r="T12226">
        <v>0</v>
      </c>
      <c r="U12226">
        <v>0</v>
      </c>
      <c r="V12226">
        <v>0</v>
      </c>
      <c r="W12226">
        <v>1</v>
      </c>
      <c r="X12226">
        <v>0</v>
      </c>
      <c r="Y12226">
        <v>0</v>
      </c>
      <c r="Z12226">
        <v>0</v>
      </c>
      <c r="AA12226">
        <v>0</v>
      </c>
      <c r="AB12226">
        <v>0</v>
      </c>
      <c r="AC12226">
        <v>1</v>
      </c>
      <c r="AD12226">
        <v>0</v>
      </c>
      <c r="AE12226">
        <v>0</v>
      </c>
      <c r="AF12226">
        <v>0</v>
      </c>
      <c r="AG12226">
        <v>0</v>
      </c>
      <c r="AH12226">
        <v>0</v>
      </c>
      <c r="AI12226">
        <v>1</v>
      </c>
      <c r="AJ12226">
        <v>0</v>
      </c>
      <c r="AK12226">
        <v>0</v>
      </c>
      <c r="AL12226">
        <v>0</v>
      </c>
      <c r="AM12226">
        <v>1</v>
      </c>
    </row>
    <row r="12227" spans="1:39" x14ac:dyDescent="0.2">
      <c r="A12227" t="str">
        <f>"12223"</f>
        <v>12223</v>
      </c>
      <c r="B12227" t="str">
        <f t="shared" si="680"/>
        <v>1</v>
      </c>
      <c r="C12227" t="str">
        <f t="shared" si="679"/>
        <v>245</v>
      </c>
      <c r="D12227" t="str">
        <f>"11"</f>
        <v>11</v>
      </c>
      <c r="E12227" t="str">
        <f>"1-245-11"</f>
        <v>1-245-11</v>
      </c>
      <c r="F12227" t="s">
        <v>65</v>
      </c>
      <c r="G12227" t="s">
        <v>66</v>
      </c>
      <c r="H12227" t="s">
        <v>67</v>
      </c>
      <c r="S12227">
        <v>1</v>
      </c>
      <c r="T12227">
        <v>0</v>
      </c>
      <c r="U12227">
        <v>0</v>
      </c>
      <c r="V12227">
        <v>0</v>
      </c>
      <c r="W12227">
        <v>1</v>
      </c>
      <c r="X12227">
        <v>0</v>
      </c>
      <c r="Y12227">
        <v>1</v>
      </c>
      <c r="Z12227">
        <v>0</v>
      </c>
      <c r="AA12227">
        <v>1</v>
      </c>
      <c r="AB12227">
        <v>0</v>
      </c>
      <c r="AC12227">
        <v>0</v>
      </c>
      <c r="AD12227">
        <v>0</v>
      </c>
      <c r="AE12227">
        <v>0</v>
      </c>
      <c r="AF12227">
        <v>0</v>
      </c>
      <c r="AG12227">
        <v>0</v>
      </c>
      <c r="AH12227">
        <v>0</v>
      </c>
      <c r="AI12227">
        <v>0</v>
      </c>
      <c r="AJ12227">
        <v>0</v>
      </c>
      <c r="AK12227">
        <v>0</v>
      </c>
      <c r="AL12227">
        <v>1</v>
      </c>
      <c r="AM12227">
        <v>0</v>
      </c>
    </row>
    <row r="12228" spans="1:39" x14ac:dyDescent="0.2">
      <c r="A12228" t="str">
        <f>"12224"</f>
        <v>12224</v>
      </c>
      <c r="B12228" t="str">
        <f t="shared" si="680"/>
        <v>1</v>
      </c>
      <c r="C12228" t="str">
        <f t="shared" si="679"/>
        <v>245</v>
      </c>
      <c r="D12228" t="str">
        <f>"50"</f>
        <v>50</v>
      </c>
      <c r="E12228" t="str">
        <f>"1-245-50"</f>
        <v>1-245-50</v>
      </c>
      <c r="F12228" t="s">
        <v>65</v>
      </c>
      <c r="G12228" t="s">
        <v>66</v>
      </c>
      <c r="H12228" t="s">
        <v>67</v>
      </c>
      <c r="S12228">
        <v>1</v>
      </c>
      <c r="T12228">
        <v>0</v>
      </c>
      <c r="U12228">
        <v>0</v>
      </c>
      <c r="V12228">
        <v>0</v>
      </c>
      <c r="W12228">
        <v>1</v>
      </c>
      <c r="X12228">
        <v>0</v>
      </c>
      <c r="Y12228">
        <v>1</v>
      </c>
      <c r="Z12228">
        <v>0</v>
      </c>
      <c r="AA12228">
        <v>1</v>
      </c>
      <c r="AB12228">
        <v>0</v>
      </c>
      <c r="AC12228">
        <v>0</v>
      </c>
      <c r="AD12228">
        <v>0</v>
      </c>
      <c r="AE12228">
        <v>0</v>
      </c>
      <c r="AF12228">
        <v>0</v>
      </c>
      <c r="AG12228">
        <v>0</v>
      </c>
      <c r="AH12228">
        <v>0</v>
      </c>
      <c r="AI12228">
        <v>0</v>
      </c>
      <c r="AJ12228">
        <v>0</v>
      </c>
      <c r="AK12228">
        <v>0</v>
      </c>
      <c r="AL12228">
        <v>0</v>
      </c>
      <c r="AM12228">
        <v>0</v>
      </c>
    </row>
    <row r="12229" spans="1:39" x14ac:dyDescent="0.2">
      <c r="A12229" t="str">
        <f>"12225"</f>
        <v>12225</v>
      </c>
      <c r="B12229" t="str">
        <f t="shared" si="680"/>
        <v>1</v>
      </c>
      <c r="C12229" t="str">
        <f t="shared" si="679"/>
        <v>245</v>
      </c>
      <c r="D12229" t="str">
        <f>"23"</f>
        <v>23</v>
      </c>
      <c r="E12229" t="str">
        <f>"1-245-23"</f>
        <v>1-245-23</v>
      </c>
      <c r="F12229" t="s">
        <v>65</v>
      </c>
      <c r="G12229" t="s">
        <v>66</v>
      </c>
      <c r="H12229" t="s">
        <v>67</v>
      </c>
      <c r="S12229">
        <v>0</v>
      </c>
      <c r="T12229">
        <v>1</v>
      </c>
      <c r="U12229">
        <v>0</v>
      </c>
      <c r="V12229">
        <v>0</v>
      </c>
      <c r="W12229">
        <v>0</v>
      </c>
      <c r="X12229">
        <v>1</v>
      </c>
      <c r="Y12229">
        <v>0</v>
      </c>
      <c r="Z12229">
        <v>1</v>
      </c>
      <c r="AA12229">
        <v>0</v>
      </c>
      <c r="AB12229">
        <v>0</v>
      </c>
      <c r="AC12229">
        <v>1</v>
      </c>
      <c r="AD12229">
        <v>1</v>
      </c>
      <c r="AE12229">
        <v>1</v>
      </c>
      <c r="AF12229">
        <v>0</v>
      </c>
      <c r="AG12229">
        <v>1</v>
      </c>
      <c r="AH12229">
        <v>1</v>
      </c>
      <c r="AI12229">
        <v>1</v>
      </c>
      <c r="AJ12229">
        <v>1</v>
      </c>
      <c r="AK12229">
        <v>1</v>
      </c>
      <c r="AL12229">
        <v>1</v>
      </c>
      <c r="AM12229">
        <v>1</v>
      </c>
    </row>
    <row r="12230" spans="1:39" x14ac:dyDescent="0.2">
      <c r="A12230" t="str">
        <f>"12226"</f>
        <v>12226</v>
      </c>
      <c r="B12230" t="str">
        <f t="shared" si="680"/>
        <v>1</v>
      </c>
      <c r="C12230" t="str">
        <f t="shared" si="679"/>
        <v>245</v>
      </c>
      <c r="D12230" t="str">
        <f>"13"</f>
        <v>13</v>
      </c>
      <c r="E12230" t="str">
        <f>"1-245-13"</f>
        <v>1-245-13</v>
      </c>
      <c r="F12230" t="s">
        <v>65</v>
      </c>
      <c r="G12230" t="s">
        <v>66</v>
      </c>
      <c r="H12230" t="s">
        <v>67</v>
      </c>
      <c r="S12230">
        <v>1</v>
      </c>
      <c r="T12230">
        <v>0</v>
      </c>
      <c r="U12230">
        <v>0</v>
      </c>
      <c r="V12230">
        <v>0</v>
      </c>
      <c r="W12230">
        <v>1</v>
      </c>
      <c r="X12230">
        <v>0</v>
      </c>
      <c r="Y12230">
        <v>1</v>
      </c>
      <c r="Z12230">
        <v>0</v>
      </c>
      <c r="AA12230">
        <v>0</v>
      </c>
      <c r="AB12230">
        <v>0</v>
      </c>
      <c r="AC12230">
        <v>0</v>
      </c>
      <c r="AD12230">
        <v>0</v>
      </c>
      <c r="AE12230">
        <v>0</v>
      </c>
      <c r="AF12230">
        <v>0</v>
      </c>
      <c r="AG12230">
        <v>0</v>
      </c>
      <c r="AH12230">
        <v>0</v>
      </c>
      <c r="AI12230">
        <v>0</v>
      </c>
      <c r="AJ12230">
        <v>0</v>
      </c>
      <c r="AK12230">
        <v>0</v>
      </c>
      <c r="AL12230">
        <v>1</v>
      </c>
      <c r="AM12230">
        <v>0</v>
      </c>
    </row>
    <row r="12231" spans="1:39" x14ac:dyDescent="0.2">
      <c r="A12231" t="str">
        <f>"12227"</f>
        <v>12227</v>
      </c>
      <c r="B12231" t="str">
        <f t="shared" si="680"/>
        <v>1</v>
      </c>
      <c r="C12231" t="str">
        <f t="shared" si="679"/>
        <v>245</v>
      </c>
      <c r="D12231" t="str">
        <f>"24"</f>
        <v>24</v>
      </c>
      <c r="E12231" t="str">
        <f>"1-245-24"</f>
        <v>1-245-24</v>
      </c>
      <c r="F12231" t="s">
        <v>65</v>
      </c>
      <c r="G12231" t="s">
        <v>66</v>
      </c>
      <c r="H12231" t="s">
        <v>67</v>
      </c>
      <c r="S12231">
        <v>1</v>
      </c>
      <c r="T12231">
        <v>0</v>
      </c>
      <c r="U12231">
        <v>0</v>
      </c>
      <c r="V12231">
        <v>0</v>
      </c>
      <c r="W12231">
        <v>1</v>
      </c>
      <c r="X12231">
        <v>0</v>
      </c>
      <c r="Y12231">
        <v>1</v>
      </c>
      <c r="Z12231">
        <v>0</v>
      </c>
      <c r="AA12231">
        <v>1</v>
      </c>
      <c r="AB12231">
        <v>0</v>
      </c>
      <c r="AC12231">
        <v>0</v>
      </c>
      <c r="AD12231">
        <v>1</v>
      </c>
      <c r="AE12231">
        <v>1</v>
      </c>
      <c r="AF12231">
        <v>1</v>
      </c>
      <c r="AG12231">
        <v>1</v>
      </c>
      <c r="AH12231">
        <v>1</v>
      </c>
      <c r="AI12231">
        <v>1</v>
      </c>
      <c r="AJ12231">
        <v>1</v>
      </c>
      <c r="AK12231">
        <v>1</v>
      </c>
      <c r="AL12231">
        <v>1</v>
      </c>
      <c r="AM12231">
        <v>1</v>
      </c>
    </row>
    <row r="12232" spans="1:39" x14ac:dyDescent="0.2">
      <c r="A12232" t="str">
        <f>"12228"</f>
        <v>12228</v>
      </c>
      <c r="B12232" t="str">
        <f t="shared" si="680"/>
        <v>1</v>
      </c>
      <c r="C12232" t="str">
        <f t="shared" si="679"/>
        <v>245</v>
      </c>
      <c r="D12232" t="str">
        <f>"5"</f>
        <v>5</v>
      </c>
      <c r="E12232" t="str">
        <f>"1-245-5"</f>
        <v>1-245-5</v>
      </c>
      <c r="F12232" t="s">
        <v>65</v>
      </c>
      <c r="G12232" t="s">
        <v>66</v>
      </c>
      <c r="H12232" t="s">
        <v>67</v>
      </c>
      <c r="S12232">
        <v>1</v>
      </c>
      <c r="T12232">
        <v>0</v>
      </c>
      <c r="U12232">
        <v>0</v>
      </c>
      <c r="V12232">
        <v>0</v>
      </c>
      <c r="W12232">
        <v>1</v>
      </c>
      <c r="X12232">
        <v>0</v>
      </c>
      <c r="Y12232">
        <v>0</v>
      </c>
      <c r="Z12232">
        <v>1</v>
      </c>
      <c r="AA12232">
        <v>1</v>
      </c>
      <c r="AB12232">
        <v>0</v>
      </c>
      <c r="AC12232">
        <v>0</v>
      </c>
      <c r="AD12232">
        <v>0</v>
      </c>
      <c r="AE12232">
        <v>0</v>
      </c>
      <c r="AF12232">
        <v>0</v>
      </c>
      <c r="AG12232">
        <v>1</v>
      </c>
      <c r="AH12232">
        <v>0</v>
      </c>
      <c r="AI12232">
        <v>1</v>
      </c>
      <c r="AJ12232">
        <v>1</v>
      </c>
      <c r="AK12232">
        <v>0</v>
      </c>
      <c r="AL12232">
        <v>1</v>
      </c>
      <c r="AM12232">
        <v>0</v>
      </c>
    </row>
    <row r="12233" spans="1:39" x14ac:dyDescent="0.2">
      <c r="A12233" t="str">
        <f>"12229"</f>
        <v>12229</v>
      </c>
      <c r="B12233" t="str">
        <f t="shared" si="680"/>
        <v>1</v>
      </c>
      <c r="C12233" t="str">
        <f t="shared" si="679"/>
        <v>245</v>
      </c>
      <c r="D12233" t="str">
        <f>"25"</f>
        <v>25</v>
      </c>
      <c r="E12233" t="str">
        <f>"1-245-25"</f>
        <v>1-245-25</v>
      </c>
      <c r="F12233" t="s">
        <v>65</v>
      </c>
      <c r="G12233" t="s">
        <v>66</v>
      </c>
      <c r="H12233" t="s">
        <v>67</v>
      </c>
      <c r="S12233">
        <v>0</v>
      </c>
      <c r="T12233">
        <v>1</v>
      </c>
      <c r="U12233">
        <v>0</v>
      </c>
      <c r="V12233">
        <v>0</v>
      </c>
      <c r="W12233">
        <v>1</v>
      </c>
      <c r="X12233">
        <v>0</v>
      </c>
      <c r="Y12233">
        <v>0</v>
      </c>
      <c r="Z12233">
        <v>0</v>
      </c>
      <c r="AA12233">
        <v>0</v>
      </c>
      <c r="AB12233">
        <v>0</v>
      </c>
      <c r="AC12233">
        <v>0</v>
      </c>
      <c r="AD12233">
        <v>0</v>
      </c>
      <c r="AE12233">
        <v>0</v>
      </c>
      <c r="AF12233">
        <v>0</v>
      </c>
      <c r="AG12233">
        <v>0</v>
      </c>
      <c r="AH12233">
        <v>0</v>
      </c>
      <c r="AI12233">
        <v>0</v>
      </c>
      <c r="AJ12233">
        <v>0</v>
      </c>
      <c r="AK12233">
        <v>0</v>
      </c>
      <c r="AL12233">
        <v>0</v>
      </c>
      <c r="AM12233">
        <v>0</v>
      </c>
    </row>
    <row r="12234" spans="1:39" x14ac:dyDescent="0.2">
      <c r="A12234" t="str">
        <f>"12230"</f>
        <v>12230</v>
      </c>
      <c r="B12234" t="str">
        <f t="shared" si="680"/>
        <v>1</v>
      </c>
      <c r="C12234" t="str">
        <f t="shared" si="679"/>
        <v>245</v>
      </c>
      <c r="D12234" t="str">
        <f>"10"</f>
        <v>10</v>
      </c>
      <c r="E12234" t="str">
        <f>"1-245-10"</f>
        <v>1-245-10</v>
      </c>
      <c r="F12234" t="s">
        <v>65</v>
      </c>
      <c r="G12234" t="s">
        <v>66</v>
      </c>
      <c r="H12234" t="s">
        <v>67</v>
      </c>
      <c r="S12234">
        <v>0</v>
      </c>
      <c r="T12234">
        <v>1</v>
      </c>
      <c r="U12234">
        <v>0</v>
      </c>
      <c r="V12234">
        <v>0</v>
      </c>
      <c r="W12234">
        <v>1</v>
      </c>
      <c r="X12234">
        <v>0</v>
      </c>
      <c r="Y12234">
        <v>1</v>
      </c>
      <c r="Z12234">
        <v>0</v>
      </c>
      <c r="AA12234">
        <v>1</v>
      </c>
      <c r="AB12234">
        <v>0</v>
      </c>
      <c r="AC12234">
        <v>0</v>
      </c>
      <c r="AD12234">
        <v>1</v>
      </c>
      <c r="AE12234">
        <v>1</v>
      </c>
      <c r="AF12234">
        <v>1</v>
      </c>
      <c r="AG12234">
        <v>1</v>
      </c>
      <c r="AH12234">
        <v>1</v>
      </c>
      <c r="AI12234">
        <v>1</v>
      </c>
      <c r="AJ12234">
        <v>1</v>
      </c>
      <c r="AK12234">
        <v>1</v>
      </c>
      <c r="AL12234">
        <v>1</v>
      </c>
      <c r="AM12234">
        <v>1</v>
      </c>
    </row>
    <row r="12235" spans="1:39" x14ac:dyDescent="0.2">
      <c r="A12235" t="str">
        <f>"12231"</f>
        <v>12231</v>
      </c>
      <c r="B12235" t="str">
        <f t="shared" si="680"/>
        <v>1</v>
      </c>
      <c r="C12235" t="str">
        <f t="shared" si="679"/>
        <v>245</v>
      </c>
      <c r="D12235" t="str">
        <f>"44"</f>
        <v>44</v>
      </c>
      <c r="E12235" t="str">
        <f>"1-245-44"</f>
        <v>1-245-44</v>
      </c>
      <c r="F12235" t="s">
        <v>65</v>
      </c>
      <c r="G12235" t="s">
        <v>66</v>
      </c>
      <c r="H12235" t="s">
        <v>67</v>
      </c>
      <c r="S12235">
        <v>1</v>
      </c>
      <c r="T12235">
        <v>0</v>
      </c>
      <c r="U12235">
        <v>0</v>
      </c>
      <c r="V12235">
        <v>0</v>
      </c>
      <c r="W12235">
        <v>1</v>
      </c>
      <c r="X12235">
        <v>0</v>
      </c>
      <c r="Y12235">
        <v>1</v>
      </c>
      <c r="Z12235">
        <v>0</v>
      </c>
      <c r="AA12235">
        <v>0</v>
      </c>
      <c r="AB12235">
        <v>1</v>
      </c>
      <c r="AC12235">
        <v>0</v>
      </c>
      <c r="AD12235">
        <v>1</v>
      </c>
      <c r="AE12235">
        <v>1</v>
      </c>
      <c r="AF12235">
        <v>1</v>
      </c>
      <c r="AG12235">
        <v>1</v>
      </c>
      <c r="AH12235">
        <v>1</v>
      </c>
      <c r="AI12235">
        <v>1</v>
      </c>
      <c r="AJ12235">
        <v>1</v>
      </c>
      <c r="AK12235">
        <v>1</v>
      </c>
      <c r="AL12235">
        <v>1</v>
      </c>
      <c r="AM12235">
        <v>1</v>
      </c>
    </row>
    <row r="12236" spans="1:39" x14ac:dyDescent="0.2">
      <c r="A12236" t="str">
        <f>"12232"</f>
        <v>12232</v>
      </c>
      <c r="B12236" t="str">
        <f t="shared" si="680"/>
        <v>1</v>
      </c>
      <c r="C12236" t="str">
        <f t="shared" si="679"/>
        <v>245</v>
      </c>
      <c r="D12236" t="str">
        <f>"26"</f>
        <v>26</v>
      </c>
      <c r="E12236" t="str">
        <f>"1-245-26"</f>
        <v>1-245-26</v>
      </c>
      <c r="F12236" t="s">
        <v>65</v>
      </c>
      <c r="G12236" t="s">
        <v>66</v>
      </c>
      <c r="H12236" t="s">
        <v>67</v>
      </c>
      <c r="S12236">
        <v>1</v>
      </c>
      <c r="T12236">
        <v>0</v>
      </c>
      <c r="U12236">
        <v>0</v>
      </c>
      <c r="V12236">
        <v>0</v>
      </c>
      <c r="W12236">
        <v>1</v>
      </c>
      <c r="X12236">
        <v>0</v>
      </c>
      <c r="Y12236">
        <v>1</v>
      </c>
      <c r="Z12236">
        <v>0</v>
      </c>
      <c r="AA12236">
        <v>1</v>
      </c>
      <c r="AB12236">
        <v>0</v>
      </c>
      <c r="AC12236">
        <v>0</v>
      </c>
      <c r="AD12236">
        <v>1</v>
      </c>
      <c r="AE12236">
        <v>1</v>
      </c>
      <c r="AF12236">
        <v>1</v>
      </c>
      <c r="AG12236">
        <v>1</v>
      </c>
      <c r="AH12236">
        <v>1</v>
      </c>
      <c r="AI12236">
        <v>1</v>
      </c>
      <c r="AJ12236">
        <v>1</v>
      </c>
      <c r="AK12236">
        <v>1</v>
      </c>
      <c r="AL12236">
        <v>1</v>
      </c>
      <c r="AM12236">
        <v>1</v>
      </c>
    </row>
    <row r="12237" spans="1:39" x14ac:dyDescent="0.2">
      <c r="A12237" t="str">
        <f>"12233"</f>
        <v>12233</v>
      </c>
      <c r="B12237" t="str">
        <f t="shared" si="680"/>
        <v>1</v>
      </c>
      <c r="C12237" t="str">
        <f t="shared" ref="C12237:C12254" si="681">"245"</f>
        <v>245</v>
      </c>
      <c r="D12237" t="str">
        <f>"8"</f>
        <v>8</v>
      </c>
      <c r="E12237" t="str">
        <f>"1-245-8"</f>
        <v>1-245-8</v>
      </c>
      <c r="F12237" t="s">
        <v>65</v>
      </c>
      <c r="G12237" t="s">
        <v>66</v>
      </c>
      <c r="H12237" t="s">
        <v>67</v>
      </c>
      <c r="S12237">
        <v>0</v>
      </c>
      <c r="T12237">
        <v>1</v>
      </c>
      <c r="U12237">
        <v>0</v>
      </c>
      <c r="V12237">
        <v>0</v>
      </c>
      <c r="W12237">
        <v>1</v>
      </c>
      <c r="X12237">
        <v>0</v>
      </c>
      <c r="Y12237">
        <v>1</v>
      </c>
      <c r="Z12237">
        <v>0</v>
      </c>
      <c r="AA12237">
        <v>1</v>
      </c>
      <c r="AB12237">
        <v>0</v>
      </c>
      <c r="AC12237">
        <v>0</v>
      </c>
      <c r="AD12237">
        <v>1</v>
      </c>
      <c r="AE12237">
        <v>1</v>
      </c>
      <c r="AF12237">
        <v>1</v>
      </c>
      <c r="AG12237">
        <v>1</v>
      </c>
      <c r="AH12237">
        <v>1</v>
      </c>
      <c r="AI12237">
        <v>1</v>
      </c>
      <c r="AJ12237">
        <v>1</v>
      </c>
      <c r="AK12237">
        <v>1</v>
      </c>
      <c r="AL12237">
        <v>1</v>
      </c>
      <c r="AM12237">
        <v>1</v>
      </c>
    </row>
    <row r="12238" spans="1:39" x14ac:dyDescent="0.2">
      <c r="A12238" t="str">
        <f>"12234"</f>
        <v>12234</v>
      </c>
      <c r="B12238" t="str">
        <f t="shared" si="680"/>
        <v>1</v>
      </c>
      <c r="C12238" t="str">
        <f t="shared" si="681"/>
        <v>245</v>
      </c>
      <c r="D12238" t="str">
        <f>"27"</f>
        <v>27</v>
      </c>
      <c r="E12238" t="str">
        <f>"1-245-27"</f>
        <v>1-245-27</v>
      </c>
      <c r="F12238" t="s">
        <v>65</v>
      </c>
      <c r="G12238" t="s">
        <v>66</v>
      </c>
      <c r="H12238" t="s">
        <v>67</v>
      </c>
      <c r="S12238">
        <v>0</v>
      </c>
      <c r="T12238">
        <v>1</v>
      </c>
      <c r="U12238">
        <v>0</v>
      </c>
      <c r="V12238">
        <v>0</v>
      </c>
      <c r="W12238">
        <v>0</v>
      </c>
      <c r="X12238">
        <v>1</v>
      </c>
      <c r="Y12238">
        <v>0</v>
      </c>
      <c r="Z12238">
        <v>1</v>
      </c>
      <c r="AA12238">
        <v>0</v>
      </c>
      <c r="AB12238">
        <v>1</v>
      </c>
      <c r="AC12238">
        <v>0</v>
      </c>
      <c r="AD12238">
        <v>1</v>
      </c>
      <c r="AE12238">
        <v>1</v>
      </c>
      <c r="AF12238">
        <v>1</v>
      </c>
      <c r="AG12238">
        <v>1</v>
      </c>
      <c r="AH12238">
        <v>0</v>
      </c>
      <c r="AI12238">
        <v>1</v>
      </c>
      <c r="AJ12238">
        <v>1</v>
      </c>
      <c r="AK12238">
        <v>1</v>
      </c>
      <c r="AL12238">
        <v>0</v>
      </c>
      <c r="AM12238">
        <v>1</v>
      </c>
    </row>
    <row r="12239" spans="1:39" x14ac:dyDescent="0.2">
      <c r="A12239" t="str">
        <f>"12235"</f>
        <v>12235</v>
      </c>
      <c r="B12239" t="str">
        <f t="shared" si="680"/>
        <v>1</v>
      </c>
      <c r="C12239" t="str">
        <f t="shared" si="681"/>
        <v>245</v>
      </c>
      <c r="D12239" t="str">
        <f>"12"</f>
        <v>12</v>
      </c>
      <c r="E12239" t="str">
        <f>"1-245-12"</f>
        <v>1-245-12</v>
      </c>
      <c r="F12239" t="s">
        <v>65</v>
      </c>
      <c r="G12239" t="s">
        <v>66</v>
      </c>
      <c r="H12239" t="s">
        <v>67</v>
      </c>
      <c r="S12239">
        <v>1</v>
      </c>
      <c r="T12239">
        <v>0</v>
      </c>
      <c r="U12239">
        <v>0</v>
      </c>
      <c r="V12239">
        <v>0</v>
      </c>
      <c r="W12239">
        <v>1</v>
      </c>
      <c r="X12239">
        <v>0</v>
      </c>
      <c r="Y12239">
        <v>1</v>
      </c>
      <c r="Z12239">
        <v>0</v>
      </c>
      <c r="AA12239">
        <v>1</v>
      </c>
      <c r="AB12239">
        <v>0</v>
      </c>
      <c r="AC12239">
        <v>0</v>
      </c>
      <c r="AD12239">
        <v>0</v>
      </c>
      <c r="AE12239">
        <v>0</v>
      </c>
      <c r="AF12239">
        <v>0</v>
      </c>
      <c r="AG12239">
        <v>0</v>
      </c>
      <c r="AH12239">
        <v>0</v>
      </c>
      <c r="AI12239">
        <v>0</v>
      </c>
      <c r="AJ12239">
        <v>0</v>
      </c>
      <c r="AK12239">
        <v>0</v>
      </c>
      <c r="AL12239">
        <v>1</v>
      </c>
      <c r="AM12239">
        <v>0</v>
      </c>
    </row>
    <row r="12240" spans="1:39" x14ac:dyDescent="0.2">
      <c r="A12240" t="str">
        <f>"12236"</f>
        <v>12236</v>
      </c>
      <c r="B12240" t="str">
        <f t="shared" si="680"/>
        <v>1</v>
      </c>
      <c r="C12240" t="str">
        <f t="shared" si="681"/>
        <v>245</v>
      </c>
      <c r="D12240" t="str">
        <f>"47"</f>
        <v>47</v>
      </c>
      <c r="E12240" t="str">
        <f>"1-245-47"</f>
        <v>1-245-47</v>
      </c>
      <c r="F12240" t="s">
        <v>65</v>
      </c>
      <c r="G12240" t="s">
        <v>66</v>
      </c>
      <c r="H12240" t="s">
        <v>67</v>
      </c>
      <c r="S12240">
        <v>0</v>
      </c>
      <c r="T12240">
        <v>1</v>
      </c>
      <c r="U12240">
        <v>0</v>
      </c>
      <c r="V12240">
        <v>0</v>
      </c>
      <c r="W12240">
        <v>1</v>
      </c>
      <c r="X12240">
        <v>0</v>
      </c>
      <c r="Y12240">
        <v>1</v>
      </c>
      <c r="Z12240">
        <v>0</v>
      </c>
      <c r="AA12240">
        <v>1</v>
      </c>
      <c r="AB12240">
        <v>0</v>
      </c>
      <c r="AC12240">
        <v>0</v>
      </c>
      <c r="AD12240">
        <v>1</v>
      </c>
      <c r="AE12240">
        <v>1</v>
      </c>
      <c r="AF12240">
        <v>1</v>
      </c>
      <c r="AG12240">
        <v>1</v>
      </c>
      <c r="AH12240">
        <v>1</v>
      </c>
      <c r="AI12240">
        <v>1</v>
      </c>
      <c r="AJ12240">
        <v>1</v>
      </c>
      <c r="AK12240">
        <v>1</v>
      </c>
      <c r="AL12240">
        <v>1</v>
      </c>
      <c r="AM12240">
        <v>1</v>
      </c>
    </row>
    <row r="12241" spans="1:39" x14ac:dyDescent="0.2">
      <c r="A12241" t="str">
        <f>"12237"</f>
        <v>12237</v>
      </c>
      <c r="B12241" t="str">
        <f t="shared" si="680"/>
        <v>1</v>
      </c>
      <c r="C12241" t="str">
        <f t="shared" si="681"/>
        <v>245</v>
      </c>
      <c r="D12241" t="str">
        <f>"28"</f>
        <v>28</v>
      </c>
      <c r="E12241" t="str">
        <f>"1-245-28"</f>
        <v>1-245-28</v>
      </c>
      <c r="F12241" t="s">
        <v>65</v>
      </c>
      <c r="G12241" t="s">
        <v>66</v>
      </c>
      <c r="H12241" t="s">
        <v>67</v>
      </c>
      <c r="S12241">
        <v>1</v>
      </c>
      <c r="T12241">
        <v>0</v>
      </c>
      <c r="U12241">
        <v>0</v>
      </c>
      <c r="V12241">
        <v>0</v>
      </c>
      <c r="W12241">
        <v>1</v>
      </c>
      <c r="X12241">
        <v>0</v>
      </c>
      <c r="Y12241">
        <v>1</v>
      </c>
      <c r="Z12241">
        <v>0</v>
      </c>
      <c r="AA12241">
        <v>0</v>
      </c>
      <c r="AB12241">
        <v>1</v>
      </c>
      <c r="AC12241">
        <v>0</v>
      </c>
      <c r="AD12241">
        <v>1</v>
      </c>
      <c r="AE12241">
        <v>1</v>
      </c>
      <c r="AF12241">
        <v>1</v>
      </c>
      <c r="AG12241">
        <v>1</v>
      </c>
      <c r="AH12241">
        <v>1</v>
      </c>
      <c r="AI12241">
        <v>0</v>
      </c>
      <c r="AJ12241">
        <v>1</v>
      </c>
      <c r="AK12241">
        <v>1</v>
      </c>
      <c r="AL12241">
        <v>1</v>
      </c>
      <c r="AM12241">
        <v>1</v>
      </c>
    </row>
    <row r="12242" spans="1:39" x14ac:dyDescent="0.2">
      <c r="A12242" t="str">
        <f>"12238"</f>
        <v>12238</v>
      </c>
      <c r="B12242" t="str">
        <f t="shared" si="680"/>
        <v>1</v>
      </c>
      <c r="C12242" t="str">
        <f t="shared" si="681"/>
        <v>245</v>
      </c>
      <c r="D12242" t="str">
        <f>"1"</f>
        <v>1</v>
      </c>
      <c r="E12242" t="str">
        <f>"1-245-1"</f>
        <v>1-245-1</v>
      </c>
      <c r="F12242" t="s">
        <v>65</v>
      </c>
      <c r="G12242" t="s">
        <v>66</v>
      </c>
      <c r="H12242" t="s">
        <v>67</v>
      </c>
      <c r="S12242">
        <v>1</v>
      </c>
      <c r="T12242">
        <v>0</v>
      </c>
      <c r="U12242">
        <v>0</v>
      </c>
      <c r="V12242">
        <v>0</v>
      </c>
      <c r="W12242">
        <v>1</v>
      </c>
      <c r="X12242">
        <v>0</v>
      </c>
      <c r="Y12242">
        <v>1</v>
      </c>
      <c r="Z12242">
        <v>0</v>
      </c>
      <c r="AA12242">
        <v>0</v>
      </c>
      <c r="AB12242">
        <v>1</v>
      </c>
      <c r="AC12242">
        <v>0</v>
      </c>
      <c r="AD12242">
        <v>1</v>
      </c>
      <c r="AE12242">
        <v>1</v>
      </c>
      <c r="AF12242">
        <v>1</v>
      </c>
      <c r="AG12242">
        <v>1</v>
      </c>
      <c r="AH12242">
        <v>1</v>
      </c>
      <c r="AI12242">
        <v>1</v>
      </c>
      <c r="AJ12242">
        <v>1</v>
      </c>
      <c r="AK12242">
        <v>1</v>
      </c>
      <c r="AL12242">
        <v>1</v>
      </c>
      <c r="AM12242">
        <v>1</v>
      </c>
    </row>
    <row r="12243" spans="1:39" x14ac:dyDescent="0.2">
      <c r="A12243" t="str">
        <f>"12239"</f>
        <v>12239</v>
      </c>
      <c r="B12243" t="str">
        <f t="shared" si="680"/>
        <v>1</v>
      </c>
      <c r="C12243" t="str">
        <f t="shared" si="681"/>
        <v>245</v>
      </c>
      <c r="D12243" t="str">
        <f>"48"</f>
        <v>48</v>
      </c>
      <c r="E12243" t="str">
        <f>"1-245-48"</f>
        <v>1-245-48</v>
      </c>
      <c r="F12243" t="s">
        <v>65</v>
      </c>
      <c r="G12243" t="s">
        <v>66</v>
      </c>
      <c r="H12243" t="s">
        <v>67</v>
      </c>
      <c r="S12243">
        <v>0</v>
      </c>
      <c r="T12243">
        <v>1</v>
      </c>
      <c r="U12243">
        <v>0</v>
      </c>
      <c r="V12243">
        <v>0</v>
      </c>
      <c r="W12243">
        <v>0</v>
      </c>
      <c r="X12243">
        <v>1</v>
      </c>
      <c r="Y12243">
        <v>1</v>
      </c>
      <c r="Z12243">
        <v>0</v>
      </c>
      <c r="AA12243">
        <v>1</v>
      </c>
      <c r="AB12243">
        <v>0</v>
      </c>
      <c r="AC12243">
        <v>0</v>
      </c>
      <c r="AD12243">
        <v>1</v>
      </c>
      <c r="AE12243">
        <v>1</v>
      </c>
      <c r="AF12243">
        <v>1</v>
      </c>
      <c r="AG12243">
        <v>1</v>
      </c>
      <c r="AH12243">
        <v>1</v>
      </c>
      <c r="AI12243">
        <v>1</v>
      </c>
      <c r="AJ12243">
        <v>1</v>
      </c>
      <c r="AK12243">
        <v>1</v>
      </c>
      <c r="AL12243">
        <v>1</v>
      </c>
      <c r="AM12243">
        <v>1</v>
      </c>
    </row>
    <row r="12244" spans="1:39" x14ac:dyDescent="0.2">
      <c r="A12244" t="str">
        <f>"12240"</f>
        <v>12240</v>
      </c>
      <c r="B12244" t="str">
        <f t="shared" si="680"/>
        <v>1</v>
      </c>
      <c r="C12244" t="str">
        <f t="shared" si="681"/>
        <v>245</v>
      </c>
      <c r="D12244" t="str">
        <f>"29"</f>
        <v>29</v>
      </c>
      <c r="E12244" t="str">
        <f>"1-245-29"</f>
        <v>1-245-29</v>
      </c>
      <c r="F12244" t="s">
        <v>65</v>
      </c>
      <c r="G12244" t="s">
        <v>66</v>
      </c>
      <c r="H12244" t="s">
        <v>67</v>
      </c>
      <c r="S12244">
        <v>1</v>
      </c>
      <c r="T12244">
        <v>0</v>
      </c>
      <c r="U12244">
        <v>0</v>
      </c>
      <c r="V12244">
        <v>0</v>
      </c>
      <c r="W12244">
        <v>1</v>
      </c>
      <c r="X12244">
        <v>0</v>
      </c>
      <c r="Y12244">
        <v>1</v>
      </c>
      <c r="Z12244">
        <v>0</v>
      </c>
      <c r="AA12244">
        <v>1</v>
      </c>
      <c r="AB12244">
        <v>0</v>
      </c>
      <c r="AC12244">
        <v>0</v>
      </c>
      <c r="AD12244">
        <v>1</v>
      </c>
      <c r="AE12244">
        <v>1</v>
      </c>
      <c r="AF12244">
        <v>1</v>
      </c>
      <c r="AG12244">
        <v>1</v>
      </c>
      <c r="AH12244">
        <v>1</v>
      </c>
      <c r="AI12244">
        <v>1</v>
      </c>
      <c r="AJ12244">
        <v>1</v>
      </c>
      <c r="AK12244">
        <v>1</v>
      </c>
      <c r="AL12244">
        <v>1</v>
      </c>
      <c r="AM12244">
        <v>1</v>
      </c>
    </row>
    <row r="12245" spans="1:39" x14ac:dyDescent="0.2">
      <c r="A12245" t="str">
        <f>"12241"</f>
        <v>12241</v>
      </c>
      <c r="B12245" t="str">
        <f t="shared" si="680"/>
        <v>1</v>
      </c>
      <c r="C12245" t="str">
        <f t="shared" si="681"/>
        <v>245</v>
      </c>
      <c r="D12245" t="str">
        <f>"14"</f>
        <v>14</v>
      </c>
      <c r="E12245" t="str">
        <f>"1-245-14"</f>
        <v>1-245-14</v>
      </c>
      <c r="F12245" t="s">
        <v>65</v>
      </c>
      <c r="G12245" t="s">
        <v>66</v>
      </c>
      <c r="H12245" t="s">
        <v>67</v>
      </c>
      <c r="S12245">
        <v>1</v>
      </c>
      <c r="T12245">
        <v>0</v>
      </c>
      <c r="U12245">
        <v>0</v>
      </c>
      <c r="V12245">
        <v>0</v>
      </c>
      <c r="W12245">
        <v>1</v>
      </c>
      <c r="X12245">
        <v>0</v>
      </c>
      <c r="Y12245">
        <v>1</v>
      </c>
      <c r="Z12245">
        <v>0</v>
      </c>
      <c r="AA12245">
        <v>1</v>
      </c>
      <c r="AB12245">
        <v>0</v>
      </c>
      <c r="AC12245">
        <v>0</v>
      </c>
      <c r="AD12245">
        <v>0</v>
      </c>
      <c r="AE12245">
        <v>0</v>
      </c>
      <c r="AF12245">
        <v>0</v>
      </c>
      <c r="AG12245">
        <v>1</v>
      </c>
      <c r="AH12245">
        <v>1</v>
      </c>
      <c r="AI12245">
        <v>1</v>
      </c>
      <c r="AJ12245">
        <v>1</v>
      </c>
      <c r="AK12245">
        <v>1</v>
      </c>
      <c r="AL12245">
        <v>1</v>
      </c>
      <c r="AM12245">
        <v>1</v>
      </c>
    </row>
    <row r="12246" spans="1:39" x14ac:dyDescent="0.2">
      <c r="A12246" t="str">
        <f>"12242"</f>
        <v>12242</v>
      </c>
      <c r="B12246" t="str">
        <f t="shared" si="680"/>
        <v>1</v>
      </c>
      <c r="C12246" t="str">
        <f t="shared" si="681"/>
        <v>245</v>
      </c>
      <c r="D12246" t="str">
        <f>"46"</f>
        <v>46</v>
      </c>
      <c r="E12246" t="str">
        <f>"1-245-46"</f>
        <v>1-245-46</v>
      </c>
      <c r="F12246" t="s">
        <v>65</v>
      </c>
      <c r="G12246" t="s">
        <v>66</v>
      </c>
      <c r="H12246" t="s">
        <v>67</v>
      </c>
      <c r="S12246">
        <v>0</v>
      </c>
      <c r="T12246">
        <v>1</v>
      </c>
      <c r="U12246">
        <v>0</v>
      </c>
      <c r="V12246">
        <v>0</v>
      </c>
      <c r="W12246">
        <v>1</v>
      </c>
      <c r="X12246">
        <v>0</v>
      </c>
      <c r="Y12246">
        <v>0</v>
      </c>
      <c r="Z12246">
        <v>1</v>
      </c>
      <c r="AA12246">
        <v>1</v>
      </c>
      <c r="AB12246">
        <v>0</v>
      </c>
      <c r="AC12246">
        <v>0</v>
      </c>
      <c r="AD12246">
        <v>1</v>
      </c>
      <c r="AE12246">
        <v>1</v>
      </c>
      <c r="AF12246">
        <v>1</v>
      </c>
      <c r="AG12246">
        <v>1</v>
      </c>
      <c r="AH12246">
        <v>1</v>
      </c>
      <c r="AI12246">
        <v>1</v>
      </c>
      <c r="AJ12246">
        <v>1</v>
      </c>
      <c r="AK12246">
        <v>1</v>
      </c>
      <c r="AL12246">
        <v>1</v>
      </c>
      <c r="AM12246">
        <v>1</v>
      </c>
    </row>
    <row r="12247" spans="1:39" x14ac:dyDescent="0.2">
      <c r="A12247" t="str">
        <f>"12243"</f>
        <v>12243</v>
      </c>
      <c r="B12247" t="str">
        <f t="shared" si="680"/>
        <v>1</v>
      </c>
      <c r="C12247" t="str">
        <f t="shared" si="681"/>
        <v>245</v>
      </c>
      <c r="D12247" t="str">
        <f>"31"</f>
        <v>31</v>
      </c>
      <c r="E12247" t="str">
        <f>"1-245-31"</f>
        <v>1-245-31</v>
      </c>
      <c r="F12247" t="s">
        <v>65</v>
      </c>
      <c r="G12247" t="s">
        <v>66</v>
      </c>
      <c r="H12247" t="s">
        <v>67</v>
      </c>
      <c r="S12247">
        <v>1</v>
      </c>
      <c r="T12247">
        <v>0</v>
      </c>
      <c r="U12247">
        <v>0</v>
      </c>
      <c r="V12247">
        <v>0</v>
      </c>
      <c r="W12247">
        <v>1</v>
      </c>
      <c r="X12247">
        <v>0</v>
      </c>
      <c r="Y12247">
        <v>1</v>
      </c>
      <c r="Z12247">
        <v>0</v>
      </c>
      <c r="AA12247">
        <v>1</v>
      </c>
      <c r="AB12247">
        <v>0</v>
      </c>
      <c r="AC12247">
        <v>0</v>
      </c>
      <c r="AD12247">
        <v>1</v>
      </c>
      <c r="AE12247">
        <v>1</v>
      </c>
      <c r="AF12247">
        <v>1</v>
      </c>
      <c r="AG12247">
        <v>1</v>
      </c>
      <c r="AH12247">
        <v>1</v>
      </c>
      <c r="AI12247">
        <v>1</v>
      </c>
      <c r="AJ12247">
        <v>1</v>
      </c>
      <c r="AK12247">
        <v>1</v>
      </c>
      <c r="AL12247">
        <v>1</v>
      </c>
      <c r="AM12247">
        <v>1</v>
      </c>
    </row>
    <row r="12248" spans="1:39" x14ac:dyDescent="0.2">
      <c r="A12248" t="str">
        <f>"12244"</f>
        <v>12244</v>
      </c>
      <c r="B12248" t="str">
        <f t="shared" si="680"/>
        <v>1</v>
      </c>
      <c r="C12248" t="str">
        <f t="shared" si="681"/>
        <v>245</v>
      </c>
      <c r="D12248" t="str">
        <f>"4"</f>
        <v>4</v>
      </c>
      <c r="E12248" t="str">
        <f>"1-245-4"</f>
        <v>1-245-4</v>
      </c>
      <c r="F12248" t="s">
        <v>65</v>
      </c>
      <c r="G12248" t="s">
        <v>66</v>
      </c>
      <c r="H12248" t="s">
        <v>67</v>
      </c>
      <c r="S12248">
        <v>1</v>
      </c>
      <c r="T12248">
        <v>0</v>
      </c>
      <c r="U12248">
        <v>0</v>
      </c>
      <c r="V12248">
        <v>0</v>
      </c>
      <c r="W12248">
        <v>1</v>
      </c>
      <c r="X12248">
        <v>0</v>
      </c>
      <c r="Y12248">
        <v>1</v>
      </c>
      <c r="Z12248">
        <v>0</v>
      </c>
      <c r="AA12248">
        <v>1</v>
      </c>
      <c r="AB12248">
        <v>0</v>
      </c>
      <c r="AC12248">
        <v>0</v>
      </c>
      <c r="AD12248">
        <v>1</v>
      </c>
      <c r="AE12248">
        <v>1</v>
      </c>
      <c r="AF12248">
        <v>1</v>
      </c>
      <c r="AG12248">
        <v>1</v>
      </c>
      <c r="AH12248">
        <v>1</v>
      </c>
      <c r="AI12248">
        <v>1</v>
      </c>
      <c r="AJ12248">
        <v>1</v>
      </c>
      <c r="AK12248">
        <v>1</v>
      </c>
      <c r="AL12248">
        <v>1</v>
      </c>
      <c r="AM12248">
        <v>1</v>
      </c>
    </row>
    <row r="12249" spans="1:39" x14ac:dyDescent="0.2">
      <c r="A12249" t="str">
        <f>"12245"</f>
        <v>12245</v>
      </c>
      <c r="B12249" t="str">
        <f t="shared" si="680"/>
        <v>1</v>
      </c>
      <c r="C12249" t="str">
        <f t="shared" si="681"/>
        <v>245</v>
      </c>
      <c r="D12249" t="str">
        <f>"45"</f>
        <v>45</v>
      </c>
      <c r="E12249" t="str">
        <f>"1-245-45"</f>
        <v>1-245-45</v>
      </c>
      <c r="F12249" t="s">
        <v>65</v>
      </c>
      <c r="G12249" t="s">
        <v>66</v>
      </c>
      <c r="H12249" t="s">
        <v>67</v>
      </c>
      <c r="S12249">
        <v>1</v>
      </c>
      <c r="T12249">
        <v>0</v>
      </c>
      <c r="U12249">
        <v>0</v>
      </c>
      <c r="V12249">
        <v>0</v>
      </c>
      <c r="W12249">
        <v>1</v>
      </c>
      <c r="X12249">
        <v>0</v>
      </c>
      <c r="Y12249">
        <v>0</v>
      </c>
      <c r="Z12249">
        <v>1</v>
      </c>
      <c r="AA12249">
        <v>0</v>
      </c>
      <c r="AB12249">
        <v>1</v>
      </c>
      <c r="AC12249">
        <v>0</v>
      </c>
      <c r="AD12249">
        <v>1</v>
      </c>
      <c r="AE12249">
        <v>1</v>
      </c>
      <c r="AF12249">
        <v>1</v>
      </c>
      <c r="AG12249">
        <v>1</v>
      </c>
      <c r="AH12249">
        <v>1</v>
      </c>
      <c r="AI12249">
        <v>1</v>
      </c>
      <c r="AJ12249">
        <v>1</v>
      </c>
      <c r="AK12249">
        <v>1</v>
      </c>
      <c r="AL12249">
        <v>1</v>
      </c>
      <c r="AM12249">
        <v>1</v>
      </c>
    </row>
    <row r="12250" spans="1:39" x14ac:dyDescent="0.2">
      <c r="A12250" t="str">
        <f>"12246"</f>
        <v>12246</v>
      </c>
      <c r="B12250" t="str">
        <f t="shared" si="680"/>
        <v>1</v>
      </c>
      <c r="C12250" t="str">
        <f t="shared" si="681"/>
        <v>245</v>
      </c>
      <c r="D12250" t="str">
        <f>"32"</f>
        <v>32</v>
      </c>
      <c r="E12250" t="str">
        <f>"1-245-32"</f>
        <v>1-245-32</v>
      </c>
      <c r="F12250" t="s">
        <v>65</v>
      </c>
      <c r="G12250" t="s">
        <v>66</v>
      </c>
      <c r="H12250" t="s">
        <v>67</v>
      </c>
      <c r="S12250">
        <v>1</v>
      </c>
      <c r="T12250">
        <v>0</v>
      </c>
      <c r="U12250">
        <v>0</v>
      </c>
      <c r="V12250">
        <v>0</v>
      </c>
      <c r="W12250">
        <v>1</v>
      </c>
      <c r="X12250">
        <v>0</v>
      </c>
      <c r="Y12250">
        <v>0</v>
      </c>
      <c r="Z12250">
        <v>1</v>
      </c>
      <c r="AA12250">
        <v>1</v>
      </c>
      <c r="AB12250">
        <v>0</v>
      </c>
      <c r="AC12250">
        <v>0</v>
      </c>
      <c r="AD12250">
        <v>1</v>
      </c>
      <c r="AE12250">
        <v>1</v>
      </c>
      <c r="AF12250">
        <v>1</v>
      </c>
      <c r="AG12250">
        <v>1</v>
      </c>
      <c r="AH12250">
        <v>1</v>
      </c>
      <c r="AI12250">
        <v>1</v>
      </c>
      <c r="AJ12250">
        <v>1</v>
      </c>
      <c r="AK12250">
        <v>1</v>
      </c>
      <c r="AL12250">
        <v>1</v>
      </c>
      <c r="AM12250">
        <v>1</v>
      </c>
    </row>
    <row r="12251" spans="1:39" x14ac:dyDescent="0.2">
      <c r="A12251" t="str">
        <f>"12247"</f>
        <v>12247</v>
      </c>
      <c r="B12251" t="str">
        <f t="shared" si="680"/>
        <v>1</v>
      </c>
      <c r="C12251" t="str">
        <f t="shared" si="681"/>
        <v>245</v>
      </c>
      <c r="D12251" t="str">
        <f>"3"</f>
        <v>3</v>
      </c>
      <c r="E12251" t="str">
        <f>"1-245-3"</f>
        <v>1-245-3</v>
      </c>
      <c r="F12251" t="s">
        <v>65</v>
      </c>
      <c r="G12251" t="s">
        <v>66</v>
      </c>
      <c r="H12251" t="s">
        <v>67</v>
      </c>
      <c r="S12251">
        <v>1</v>
      </c>
      <c r="T12251">
        <v>0</v>
      </c>
      <c r="U12251">
        <v>0</v>
      </c>
      <c r="V12251">
        <v>0</v>
      </c>
      <c r="W12251">
        <v>1</v>
      </c>
      <c r="X12251">
        <v>0</v>
      </c>
      <c r="Y12251">
        <v>1</v>
      </c>
      <c r="Z12251">
        <v>0</v>
      </c>
      <c r="AA12251">
        <v>1</v>
      </c>
      <c r="AB12251">
        <v>0</v>
      </c>
      <c r="AC12251">
        <v>0</v>
      </c>
      <c r="AD12251">
        <v>0</v>
      </c>
      <c r="AE12251">
        <v>0</v>
      </c>
      <c r="AF12251">
        <v>0</v>
      </c>
      <c r="AG12251">
        <v>1</v>
      </c>
      <c r="AH12251">
        <v>1</v>
      </c>
      <c r="AI12251">
        <v>1</v>
      </c>
      <c r="AJ12251">
        <v>1</v>
      </c>
      <c r="AK12251">
        <v>1</v>
      </c>
      <c r="AL12251">
        <v>1</v>
      </c>
      <c r="AM12251">
        <v>1</v>
      </c>
    </row>
    <row r="12252" spans="1:39" x14ac:dyDescent="0.2">
      <c r="A12252" t="str">
        <f>"12248"</f>
        <v>12248</v>
      </c>
      <c r="B12252" t="str">
        <f t="shared" si="680"/>
        <v>1</v>
      </c>
      <c r="C12252" t="str">
        <f t="shared" si="681"/>
        <v>245</v>
      </c>
      <c r="D12252" t="str">
        <f>"49"</f>
        <v>49</v>
      </c>
      <c r="E12252" t="str">
        <f>"1-245-49"</f>
        <v>1-245-49</v>
      </c>
      <c r="F12252" t="s">
        <v>65</v>
      </c>
      <c r="G12252" t="s">
        <v>66</v>
      </c>
      <c r="H12252" t="s">
        <v>67</v>
      </c>
      <c r="S12252">
        <v>1</v>
      </c>
      <c r="T12252">
        <v>0</v>
      </c>
      <c r="U12252">
        <v>0</v>
      </c>
      <c r="V12252">
        <v>0</v>
      </c>
      <c r="W12252">
        <v>1</v>
      </c>
      <c r="X12252">
        <v>0</v>
      </c>
      <c r="Y12252">
        <v>0</v>
      </c>
      <c r="Z12252">
        <v>1</v>
      </c>
      <c r="AA12252">
        <v>0</v>
      </c>
      <c r="AB12252">
        <v>0</v>
      </c>
      <c r="AC12252">
        <v>1</v>
      </c>
      <c r="AD12252">
        <v>0</v>
      </c>
      <c r="AE12252">
        <v>0</v>
      </c>
      <c r="AF12252">
        <v>0</v>
      </c>
      <c r="AG12252">
        <v>1</v>
      </c>
      <c r="AH12252">
        <v>0</v>
      </c>
      <c r="AI12252">
        <v>1</v>
      </c>
      <c r="AJ12252">
        <v>1</v>
      </c>
      <c r="AK12252">
        <v>1</v>
      </c>
      <c r="AL12252">
        <v>1</v>
      </c>
      <c r="AM12252">
        <v>1</v>
      </c>
    </row>
    <row r="12253" spans="1:39" x14ac:dyDescent="0.2">
      <c r="A12253" t="str">
        <f>"12249"</f>
        <v>12249</v>
      </c>
      <c r="B12253" t="str">
        <f t="shared" si="680"/>
        <v>1</v>
      </c>
      <c r="C12253" t="str">
        <f t="shared" si="681"/>
        <v>245</v>
      </c>
      <c r="D12253" t="str">
        <f>"35"</f>
        <v>35</v>
      </c>
      <c r="E12253" t="str">
        <f>"1-245-35"</f>
        <v>1-245-35</v>
      </c>
      <c r="F12253" t="s">
        <v>65</v>
      </c>
      <c r="G12253" t="s">
        <v>66</v>
      </c>
      <c r="H12253" t="s">
        <v>67</v>
      </c>
      <c r="S12253">
        <v>1</v>
      </c>
      <c r="T12253">
        <v>0</v>
      </c>
      <c r="U12253">
        <v>0</v>
      </c>
      <c r="V12253">
        <v>0</v>
      </c>
      <c r="W12253">
        <v>1</v>
      </c>
      <c r="X12253">
        <v>0</v>
      </c>
      <c r="Y12253">
        <v>1</v>
      </c>
      <c r="Z12253">
        <v>0</v>
      </c>
      <c r="AA12253">
        <v>1</v>
      </c>
      <c r="AB12253">
        <v>0</v>
      </c>
      <c r="AC12253">
        <v>0</v>
      </c>
      <c r="AD12253">
        <v>0</v>
      </c>
      <c r="AE12253">
        <v>0</v>
      </c>
      <c r="AF12253">
        <v>0</v>
      </c>
      <c r="AG12253">
        <v>0</v>
      </c>
      <c r="AH12253">
        <v>0</v>
      </c>
      <c r="AI12253">
        <v>0</v>
      </c>
      <c r="AJ12253">
        <v>0</v>
      </c>
      <c r="AK12253">
        <v>0</v>
      </c>
      <c r="AL12253">
        <v>0</v>
      </c>
      <c r="AM12253">
        <v>0</v>
      </c>
    </row>
    <row r="12254" spans="1:39" x14ac:dyDescent="0.2">
      <c r="A12254" t="str">
        <f>"12250"</f>
        <v>12250</v>
      </c>
      <c r="B12254" t="str">
        <f t="shared" si="680"/>
        <v>1</v>
      </c>
      <c r="C12254" t="str">
        <f t="shared" si="681"/>
        <v>245</v>
      </c>
      <c r="D12254" t="str">
        <f>"36"</f>
        <v>36</v>
      </c>
      <c r="E12254" t="str">
        <f>"1-245-36"</f>
        <v>1-245-36</v>
      </c>
      <c r="F12254" t="s">
        <v>65</v>
      </c>
      <c r="G12254" t="s">
        <v>66</v>
      </c>
      <c r="H12254" t="s">
        <v>67</v>
      </c>
      <c r="S12254">
        <v>1</v>
      </c>
      <c r="T12254">
        <v>0</v>
      </c>
      <c r="U12254">
        <v>0</v>
      </c>
      <c r="V12254">
        <v>0</v>
      </c>
      <c r="W12254">
        <v>1</v>
      </c>
      <c r="X12254">
        <v>0</v>
      </c>
      <c r="Y12254">
        <v>0</v>
      </c>
      <c r="Z12254">
        <v>1</v>
      </c>
      <c r="AA12254">
        <v>0</v>
      </c>
      <c r="AB12254">
        <v>0</v>
      </c>
      <c r="AC12254">
        <v>1</v>
      </c>
      <c r="AD12254">
        <v>1</v>
      </c>
      <c r="AE12254">
        <v>1</v>
      </c>
      <c r="AF12254">
        <v>1</v>
      </c>
      <c r="AG12254">
        <v>1</v>
      </c>
      <c r="AH12254">
        <v>1</v>
      </c>
      <c r="AI12254">
        <v>1</v>
      </c>
      <c r="AJ12254">
        <v>1</v>
      </c>
      <c r="AK12254">
        <v>1</v>
      </c>
      <c r="AL12254">
        <v>1</v>
      </c>
      <c r="AM12254">
        <v>1</v>
      </c>
    </row>
    <row r="12255" spans="1:39" x14ac:dyDescent="0.2">
      <c r="A12255" t="str">
        <f>"12251"</f>
        <v>12251</v>
      </c>
      <c r="B12255" t="str">
        <f t="shared" si="680"/>
        <v>1</v>
      </c>
      <c r="C12255" t="str">
        <f t="shared" ref="C12255:C12286" si="682">"246"</f>
        <v>246</v>
      </c>
      <c r="D12255" t="str">
        <f>"38"</f>
        <v>38</v>
      </c>
      <c r="E12255" t="str">
        <f>"1-246-38"</f>
        <v>1-246-38</v>
      </c>
      <c r="F12255" t="s">
        <v>65</v>
      </c>
      <c r="G12255" t="s">
        <v>66</v>
      </c>
      <c r="H12255" t="s">
        <v>67</v>
      </c>
      <c r="S12255">
        <v>0</v>
      </c>
      <c r="T12255">
        <v>1</v>
      </c>
      <c r="U12255">
        <v>0</v>
      </c>
      <c r="V12255">
        <v>0</v>
      </c>
      <c r="W12255">
        <v>1</v>
      </c>
      <c r="X12255">
        <v>0</v>
      </c>
      <c r="Y12255">
        <v>1</v>
      </c>
      <c r="Z12255">
        <v>0</v>
      </c>
      <c r="AA12255">
        <v>1</v>
      </c>
      <c r="AB12255">
        <v>0</v>
      </c>
      <c r="AC12255">
        <v>0</v>
      </c>
      <c r="AD12255">
        <v>1</v>
      </c>
      <c r="AE12255">
        <v>1</v>
      </c>
      <c r="AF12255">
        <v>1</v>
      </c>
      <c r="AG12255">
        <v>1</v>
      </c>
      <c r="AH12255">
        <v>1</v>
      </c>
      <c r="AI12255">
        <v>1</v>
      </c>
      <c r="AJ12255">
        <v>1</v>
      </c>
      <c r="AK12255">
        <v>1</v>
      </c>
      <c r="AL12255">
        <v>1</v>
      </c>
      <c r="AM12255">
        <v>1</v>
      </c>
    </row>
    <row r="12256" spans="1:39" x14ac:dyDescent="0.2">
      <c r="A12256" t="str">
        <f>"12252"</f>
        <v>12252</v>
      </c>
      <c r="B12256" t="str">
        <f t="shared" si="680"/>
        <v>1</v>
      </c>
      <c r="C12256" t="str">
        <f t="shared" si="682"/>
        <v>246</v>
      </c>
      <c r="D12256" t="str">
        <f>"37"</f>
        <v>37</v>
      </c>
      <c r="E12256" t="str">
        <f>"1-246-37"</f>
        <v>1-246-37</v>
      </c>
      <c r="F12256" t="s">
        <v>65</v>
      </c>
      <c r="G12256" t="s">
        <v>66</v>
      </c>
      <c r="H12256" t="s">
        <v>67</v>
      </c>
      <c r="S12256">
        <v>1</v>
      </c>
      <c r="T12256">
        <v>0</v>
      </c>
      <c r="U12256">
        <v>0</v>
      </c>
      <c r="V12256">
        <v>0</v>
      </c>
      <c r="W12256">
        <v>1</v>
      </c>
      <c r="X12256">
        <v>0</v>
      </c>
      <c r="Y12256">
        <v>0</v>
      </c>
      <c r="Z12256">
        <v>1</v>
      </c>
      <c r="AA12256">
        <v>0</v>
      </c>
      <c r="AB12256">
        <v>0</v>
      </c>
      <c r="AC12256">
        <v>1</v>
      </c>
      <c r="AD12256">
        <v>1</v>
      </c>
      <c r="AE12256">
        <v>1</v>
      </c>
      <c r="AF12256">
        <v>1</v>
      </c>
      <c r="AG12256">
        <v>1</v>
      </c>
      <c r="AH12256">
        <v>1</v>
      </c>
      <c r="AI12256">
        <v>1</v>
      </c>
      <c r="AJ12256">
        <v>1</v>
      </c>
      <c r="AK12256">
        <v>1</v>
      </c>
      <c r="AL12256">
        <v>1</v>
      </c>
      <c r="AM12256">
        <v>1</v>
      </c>
    </row>
    <row r="12257" spans="1:39" x14ac:dyDescent="0.2">
      <c r="A12257" t="str">
        <f>"12253"</f>
        <v>12253</v>
      </c>
      <c r="B12257" t="str">
        <f t="shared" si="680"/>
        <v>1</v>
      </c>
      <c r="C12257" t="str">
        <f t="shared" si="682"/>
        <v>246</v>
      </c>
      <c r="D12257" t="str">
        <f>"28"</f>
        <v>28</v>
      </c>
      <c r="E12257" t="str">
        <f>"1-246-28"</f>
        <v>1-246-28</v>
      </c>
      <c r="F12257" t="s">
        <v>65</v>
      </c>
      <c r="G12257" t="s">
        <v>66</v>
      </c>
      <c r="H12257" t="s">
        <v>67</v>
      </c>
      <c r="S12257">
        <v>1</v>
      </c>
      <c r="T12257">
        <v>0</v>
      </c>
      <c r="U12257">
        <v>0</v>
      </c>
      <c r="V12257">
        <v>0</v>
      </c>
      <c r="W12257">
        <v>1</v>
      </c>
      <c r="X12257">
        <v>0</v>
      </c>
      <c r="Y12257">
        <v>1</v>
      </c>
      <c r="Z12257">
        <v>0</v>
      </c>
      <c r="AA12257">
        <v>0</v>
      </c>
      <c r="AB12257">
        <v>0</v>
      </c>
      <c r="AC12257">
        <v>1</v>
      </c>
      <c r="AD12257">
        <v>1</v>
      </c>
      <c r="AE12257">
        <v>1</v>
      </c>
      <c r="AF12257">
        <v>1</v>
      </c>
      <c r="AG12257">
        <v>1</v>
      </c>
      <c r="AH12257">
        <v>1</v>
      </c>
      <c r="AI12257">
        <v>1</v>
      </c>
      <c r="AJ12257">
        <v>1</v>
      </c>
      <c r="AK12257">
        <v>1</v>
      </c>
      <c r="AL12257">
        <v>1</v>
      </c>
      <c r="AM12257">
        <v>1</v>
      </c>
    </row>
    <row r="12258" spans="1:39" x14ac:dyDescent="0.2">
      <c r="A12258" t="str">
        <f>"12254"</f>
        <v>12254</v>
      </c>
      <c r="B12258" t="str">
        <f t="shared" si="680"/>
        <v>1</v>
      </c>
      <c r="C12258" t="str">
        <f t="shared" si="682"/>
        <v>246</v>
      </c>
      <c r="D12258" t="str">
        <f>"15"</f>
        <v>15</v>
      </c>
      <c r="E12258" t="str">
        <f>"1-246-15"</f>
        <v>1-246-15</v>
      </c>
      <c r="F12258" t="s">
        <v>65</v>
      </c>
      <c r="G12258" t="s">
        <v>66</v>
      </c>
      <c r="H12258" t="s">
        <v>67</v>
      </c>
      <c r="S12258">
        <v>1</v>
      </c>
      <c r="T12258">
        <v>0</v>
      </c>
      <c r="U12258">
        <v>0</v>
      </c>
      <c r="V12258">
        <v>0</v>
      </c>
      <c r="W12258">
        <v>1</v>
      </c>
      <c r="X12258">
        <v>0</v>
      </c>
      <c r="Y12258">
        <v>0</v>
      </c>
      <c r="Z12258">
        <v>1</v>
      </c>
      <c r="AA12258">
        <v>1</v>
      </c>
      <c r="AB12258">
        <v>0</v>
      </c>
      <c r="AC12258">
        <v>0</v>
      </c>
      <c r="AD12258">
        <v>0</v>
      </c>
      <c r="AE12258">
        <v>0</v>
      </c>
      <c r="AF12258">
        <v>0</v>
      </c>
      <c r="AG12258">
        <v>1</v>
      </c>
      <c r="AH12258">
        <v>0</v>
      </c>
      <c r="AI12258">
        <v>0</v>
      </c>
      <c r="AJ12258">
        <v>0</v>
      </c>
      <c r="AK12258">
        <v>0</v>
      </c>
      <c r="AL12258">
        <v>1</v>
      </c>
      <c r="AM12258">
        <v>0</v>
      </c>
    </row>
    <row r="12259" spans="1:39" x14ac:dyDescent="0.2">
      <c r="A12259" t="str">
        <f>"12255"</f>
        <v>12255</v>
      </c>
      <c r="B12259" t="str">
        <f t="shared" si="680"/>
        <v>1</v>
      </c>
      <c r="C12259" t="str">
        <f t="shared" si="682"/>
        <v>246</v>
      </c>
      <c r="D12259" t="str">
        <f>"1"</f>
        <v>1</v>
      </c>
      <c r="E12259" t="str">
        <f>"1-246-1"</f>
        <v>1-246-1</v>
      </c>
      <c r="F12259" t="s">
        <v>65</v>
      </c>
      <c r="G12259" t="s">
        <v>66</v>
      </c>
      <c r="H12259" t="s">
        <v>67</v>
      </c>
      <c r="S12259">
        <v>0</v>
      </c>
      <c r="T12259">
        <v>1</v>
      </c>
      <c r="U12259">
        <v>0</v>
      </c>
      <c r="V12259">
        <v>0</v>
      </c>
      <c r="W12259">
        <v>1</v>
      </c>
      <c r="X12259">
        <v>0</v>
      </c>
      <c r="Y12259">
        <v>1</v>
      </c>
      <c r="Z12259">
        <v>0</v>
      </c>
      <c r="AA12259">
        <v>0</v>
      </c>
      <c r="AB12259">
        <v>1</v>
      </c>
      <c r="AC12259">
        <v>0</v>
      </c>
      <c r="AD12259">
        <v>0</v>
      </c>
      <c r="AE12259">
        <v>0</v>
      </c>
      <c r="AF12259">
        <v>0</v>
      </c>
      <c r="AG12259">
        <v>0</v>
      </c>
      <c r="AH12259">
        <v>0</v>
      </c>
      <c r="AI12259">
        <v>1</v>
      </c>
      <c r="AJ12259">
        <v>1</v>
      </c>
      <c r="AK12259">
        <v>0</v>
      </c>
      <c r="AL12259">
        <v>0</v>
      </c>
      <c r="AM12259">
        <v>0</v>
      </c>
    </row>
    <row r="12260" spans="1:39" x14ac:dyDescent="0.2">
      <c r="A12260" t="str">
        <f>"12256"</f>
        <v>12256</v>
      </c>
      <c r="B12260" t="str">
        <f t="shared" si="680"/>
        <v>1</v>
      </c>
      <c r="C12260" t="str">
        <f t="shared" si="682"/>
        <v>246</v>
      </c>
      <c r="D12260" t="str">
        <f>"36"</f>
        <v>36</v>
      </c>
      <c r="E12260" t="str">
        <f>"1-246-36"</f>
        <v>1-246-36</v>
      </c>
      <c r="F12260" t="s">
        <v>65</v>
      </c>
      <c r="G12260" t="s">
        <v>66</v>
      </c>
      <c r="H12260" t="s">
        <v>67</v>
      </c>
      <c r="S12260">
        <v>1</v>
      </c>
      <c r="T12260">
        <v>0</v>
      </c>
      <c r="U12260">
        <v>0</v>
      </c>
      <c r="V12260">
        <v>0</v>
      </c>
      <c r="W12260">
        <v>0</v>
      </c>
      <c r="X12260">
        <v>1</v>
      </c>
      <c r="Y12260">
        <v>1</v>
      </c>
      <c r="Z12260">
        <v>0</v>
      </c>
      <c r="AA12260">
        <v>1</v>
      </c>
      <c r="AB12260">
        <v>0</v>
      </c>
      <c r="AC12260">
        <v>0</v>
      </c>
      <c r="AD12260">
        <v>1</v>
      </c>
      <c r="AE12260">
        <v>1</v>
      </c>
      <c r="AF12260">
        <v>0</v>
      </c>
      <c r="AG12260">
        <v>0</v>
      </c>
      <c r="AH12260">
        <v>0</v>
      </c>
      <c r="AI12260">
        <v>0</v>
      </c>
      <c r="AJ12260">
        <v>0</v>
      </c>
      <c r="AK12260">
        <v>0</v>
      </c>
      <c r="AL12260">
        <v>0</v>
      </c>
      <c r="AM12260">
        <v>0</v>
      </c>
    </row>
    <row r="12261" spans="1:39" x14ac:dyDescent="0.2">
      <c r="A12261" t="str">
        <f>"12257"</f>
        <v>12257</v>
      </c>
      <c r="B12261" t="str">
        <f t="shared" si="680"/>
        <v>1</v>
      </c>
      <c r="C12261" t="str">
        <f t="shared" si="682"/>
        <v>246</v>
      </c>
      <c r="D12261" t="str">
        <f>"35"</f>
        <v>35</v>
      </c>
      <c r="E12261" t="str">
        <f>"1-246-35"</f>
        <v>1-246-35</v>
      </c>
      <c r="F12261" t="s">
        <v>65</v>
      </c>
      <c r="G12261" t="s">
        <v>66</v>
      </c>
      <c r="H12261" t="s">
        <v>67</v>
      </c>
      <c r="S12261">
        <v>1</v>
      </c>
      <c r="T12261">
        <v>0</v>
      </c>
      <c r="U12261">
        <v>0</v>
      </c>
      <c r="V12261">
        <v>0</v>
      </c>
      <c r="W12261">
        <v>1</v>
      </c>
      <c r="X12261">
        <v>0</v>
      </c>
      <c r="Y12261">
        <v>0</v>
      </c>
      <c r="Z12261">
        <v>1</v>
      </c>
      <c r="AA12261">
        <v>1</v>
      </c>
      <c r="AB12261">
        <v>0</v>
      </c>
      <c r="AC12261">
        <v>0</v>
      </c>
      <c r="AD12261">
        <v>1</v>
      </c>
      <c r="AE12261">
        <v>1</v>
      </c>
      <c r="AF12261">
        <v>1</v>
      </c>
      <c r="AG12261">
        <v>1</v>
      </c>
      <c r="AH12261">
        <v>1</v>
      </c>
      <c r="AI12261">
        <v>1</v>
      </c>
      <c r="AJ12261">
        <v>1</v>
      </c>
      <c r="AK12261">
        <v>1</v>
      </c>
      <c r="AL12261">
        <v>1</v>
      </c>
      <c r="AM12261">
        <v>1</v>
      </c>
    </row>
    <row r="12262" spans="1:39" x14ac:dyDescent="0.2">
      <c r="A12262" t="str">
        <f>"12258"</f>
        <v>12258</v>
      </c>
      <c r="B12262" t="str">
        <f t="shared" si="680"/>
        <v>1</v>
      </c>
      <c r="C12262" t="str">
        <f t="shared" si="682"/>
        <v>246</v>
      </c>
      <c r="D12262" t="str">
        <f>"24"</f>
        <v>24</v>
      </c>
      <c r="E12262" t="str">
        <f>"1-246-24"</f>
        <v>1-246-24</v>
      </c>
      <c r="F12262" t="s">
        <v>65</v>
      </c>
      <c r="G12262" t="s">
        <v>66</v>
      </c>
      <c r="H12262" t="s">
        <v>67</v>
      </c>
      <c r="S12262">
        <v>1</v>
      </c>
      <c r="T12262">
        <v>0</v>
      </c>
      <c r="U12262">
        <v>0</v>
      </c>
      <c r="V12262">
        <v>0</v>
      </c>
      <c r="W12262">
        <v>1</v>
      </c>
      <c r="X12262">
        <v>0</v>
      </c>
      <c r="Y12262">
        <v>1</v>
      </c>
      <c r="Z12262">
        <v>0</v>
      </c>
      <c r="AA12262">
        <v>1</v>
      </c>
      <c r="AB12262">
        <v>0</v>
      </c>
      <c r="AC12262">
        <v>0</v>
      </c>
      <c r="AD12262">
        <v>0</v>
      </c>
      <c r="AE12262">
        <v>0</v>
      </c>
      <c r="AF12262">
        <v>0</v>
      </c>
      <c r="AG12262">
        <v>0</v>
      </c>
      <c r="AH12262">
        <v>0</v>
      </c>
      <c r="AI12262">
        <v>1</v>
      </c>
      <c r="AJ12262">
        <v>1</v>
      </c>
      <c r="AK12262">
        <v>1</v>
      </c>
      <c r="AL12262">
        <v>1</v>
      </c>
      <c r="AM12262">
        <v>1</v>
      </c>
    </row>
    <row r="12263" spans="1:39" x14ac:dyDescent="0.2">
      <c r="A12263" t="str">
        <f>"12259"</f>
        <v>12259</v>
      </c>
      <c r="B12263" t="str">
        <f t="shared" si="680"/>
        <v>1</v>
      </c>
      <c r="C12263" t="str">
        <f t="shared" si="682"/>
        <v>246</v>
      </c>
      <c r="D12263" t="str">
        <f>"16"</f>
        <v>16</v>
      </c>
      <c r="E12263" t="str">
        <f>"1-246-16"</f>
        <v>1-246-16</v>
      </c>
      <c r="F12263" t="s">
        <v>65</v>
      </c>
      <c r="G12263" t="s">
        <v>66</v>
      </c>
      <c r="H12263" t="s">
        <v>67</v>
      </c>
      <c r="S12263">
        <v>0</v>
      </c>
      <c r="T12263">
        <v>1</v>
      </c>
      <c r="U12263">
        <v>0</v>
      </c>
      <c r="V12263">
        <v>0</v>
      </c>
      <c r="W12263">
        <v>1</v>
      </c>
      <c r="X12263">
        <v>0</v>
      </c>
      <c r="Y12263">
        <v>1</v>
      </c>
      <c r="Z12263">
        <v>0</v>
      </c>
      <c r="AA12263">
        <v>1</v>
      </c>
      <c r="AB12263">
        <v>0</v>
      </c>
      <c r="AC12263">
        <v>0</v>
      </c>
      <c r="AD12263">
        <v>0</v>
      </c>
      <c r="AE12263">
        <v>0</v>
      </c>
      <c r="AF12263">
        <v>0</v>
      </c>
      <c r="AG12263">
        <v>0</v>
      </c>
      <c r="AH12263">
        <v>0</v>
      </c>
      <c r="AI12263">
        <v>0</v>
      </c>
      <c r="AJ12263">
        <v>1</v>
      </c>
      <c r="AK12263">
        <v>1</v>
      </c>
      <c r="AL12263">
        <v>1</v>
      </c>
      <c r="AM12263">
        <v>1</v>
      </c>
    </row>
    <row r="12264" spans="1:39" x14ac:dyDescent="0.2">
      <c r="A12264" t="str">
        <f>"12260"</f>
        <v>12260</v>
      </c>
      <c r="B12264" t="str">
        <f t="shared" si="680"/>
        <v>1</v>
      </c>
      <c r="C12264" t="str">
        <f t="shared" si="682"/>
        <v>246</v>
      </c>
      <c r="D12264" t="str">
        <f>"4"</f>
        <v>4</v>
      </c>
      <c r="E12264" t="str">
        <f>"1-246-4"</f>
        <v>1-246-4</v>
      </c>
      <c r="F12264" t="s">
        <v>65</v>
      </c>
      <c r="G12264" t="s">
        <v>66</v>
      </c>
      <c r="H12264" t="s">
        <v>67</v>
      </c>
      <c r="S12264">
        <v>1</v>
      </c>
      <c r="T12264">
        <v>0</v>
      </c>
      <c r="U12264">
        <v>0</v>
      </c>
      <c r="V12264">
        <v>0</v>
      </c>
      <c r="W12264">
        <v>1</v>
      </c>
      <c r="X12264">
        <v>0</v>
      </c>
      <c r="Y12264">
        <v>1</v>
      </c>
      <c r="Z12264">
        <v>0</v>
      </c>
      <c r="AA12264">
        <v>1</v>
      </c>
      <c r="AB12264">
        <v>0</v>
      </c>
      <c r="AC12264">
        <v>0</v>
      </c>
      <c r="AD12264">
        <v>1</v>
      </c>
      <c r="AE12264">
        <v>1</v>
      </c>
      <c r="AF12264">
        <v>1</v>
      </c>
      <c r="AG12264">
        <v>1</v>
      </c>
      <c r="AH12264">
        <v>1</v>
      </c>
      <c r="AI12264">
        <v>1</v>
      </c>
      <c r="AJ12264">
        <v>1</v>
      </c>
      <c r="AK12264">
        <v>1</v>
      </c>
      <c r="AL12264">
        <v>1</v>
      </c>
      <c r="AM12264">
        <v>1</v>
      </c>
    </row>
    <row r="12265" spans="1:39" x14ac:dyDescent="0.2">
      <c r="A12265" t="str">
        <f>"12261"</f>
        <v>12261</v>
      </c>
      <c r="B12265" t="str">
        <f t="shared" si="680"/>
        <v>1</v>
      </c>
      <c r="C12265" t="str">
        <f t="shared" si="682"/>
        <v>246</v>
      </c>
      <c r="D12265" t="str">
        <f>"33"</f>
        <v>33</v>
      </c>
      <c r="E12265" t="str">
        <f>"1-246-33"</f>
        <v>1-246-33</v>
      </c>
      <c r="F12265" t="s">
        <v>65</v>
      </c>
      <c r="G12265" t="s">
        <v>66</v>
      </c>
      <c r="H12265" t="s">
        <v>67</v>
      </c>
      <c r="S12265">
        <v>1</v>
      </c>
      <c r="T12265">
        <v>0</v>
      </c>
      <c r="U12265">
        <v>0</v>
      </c>
      <c r="V12265">
        <v>0</v>
      </c>
      <c r="W12265">
        <v>1</v>
      </c>
      <c r="X12265">
        <v>0</v>
      </c>
      <c r="Y12265">
        <v>0</v>
      </c>
      <c r="Z12265">
        <v>1</v>
      </c>
      <c r="AA12265">
        <v>1</v>
      </c>
      <c r="AB12265">
        <v>0</v>
      </c>
      <c r="AC12265">
        <v>0</v>
      </c>
      <c r="AD12265">
        <v>1</v>
      </c>
      <c r="AE12265">
        <v>1</v>
      </c>
      <c r="AF12265">
        <v>1</v>
      </c>
      <c r="AG12265">
        <v>1</v>
      </c>
      <c r="AH12265">
        <v>1</v>
      </c>
      <c r="AI12265">
        <v>1</v>
      </c>
      <c r="AJ12265">
        <v>1</v>
      </c>
      <c r="AK12265">
        <v>1</v>
      </c>
      <c r="AL12265">
        <v>1</v>
      </c>
      <c r="AM12265">
        <v>1</v>
      </c>
    </row>
    <row r="12266" spans="1:39" x14ac:dyDescent="0.2">
      <c r="A12266" t="str">
        <f>"12262"</f>
        <v>12262</v>
      </c>
      <c r="B12266" t="str">
        <f t="shared" si="680"/>
        <v>1</v>
      </c>
      <c r="C12266" t="str">
        <f t="shared" si="682"/>
        <v>246</v>
      </c>
      <c r="D12266" t="str">
        <f>"17"</f>
        <v>17</v>
      </c>
      <c r="E12266" t="str">
        <f>"1-246-17"</f>
        <v>1-246-17</v>
      </c>
      <c r="F12266" t="s">
        <v>65</v>
      </c>
      <c r="G12266" t="s">
        <v>66</v>
      </c>
      <c r="H12266" t="s">
        <v>67</v>
      </c>
      <c r="S12266">
        <v>1</v>
      </c>
      <c r="T12266">
        <v>0</v>
      </c>
      <c r="U12266">
        <v>0</v>
      </c>
      <c r="V12266">
        <v>0</v>
      </c>
      <c r="W12266">
        <v>1</v>
      </c>
      <c r="X12266">
        <v>0</v>
      </c>
      <c r="Y12266">
        <v>0</v>
      </c>
      <c r="Z12266">
        <v>1</v>
      </c>
      <c r="AA12266">
        <v>1</v>
      </c>
      <c r="AB12266">
        <v>0</v>
      </c>
      <c r="AC12266">
        <v>0</v>
      </c>
      <c r="AD12266">
        <v>1</v>
      </c>
      <c r="AE12266">
        <v>1</v>
      </c>
      <c r="AF12266">
        <v>1</v>
      </c>
      <c r="AG12266">
        <v>1</v>
      </c>
      <c r="AH12266">
        <v>1</v>
      </c>
      <c r="AI12266">
        <v>1</v>
      </c>
      <c r="AJ12266">
        <v>1</v>
      </c>
      <c r="AK12266">
        <v>1</v>
      </c>
      <c r="AL12266">
        <v>1</v>
      </c>
      <c r="AM12266">
        <v>1</v>
      </c>
    </row>
    <row r="12267" spans="1:39" x14ac:dyDescent="0.2">
      <c r="A12267" t="str">
        <f>"12263"</f>
        <v>12263</v>
      </c>
      <c r="B12267" t="str">
        <f t="shared" si="680"/>
        <v>1</v>
      </c>
      <c r="C12267" t="str">
        <f t="shared" si="682"/>
        <v>246</v>
      </c>
      <c r="D12267" t="str">
        <f>"10"</f>
        <v>10</v>
      </c>
      <c r="E12267" t="str">
        <f>"1-246-10"</f>
        <v>1-246-10</v>
      </c>
      <c r="F12267" t="s">
        <v>65</v>
      </c>
      <c r="G12267" t="s">
        <v>66</v>
      </c>
      <c r="H12267" t="s">
        <v>67</v>
      </c>
      <c r="S12267">
        <v>0</v>
      </c>
      <c r="T12267">
        <v>1</v>
      </c>
      <c r="U12267">
        <v>0</v>
      </c>
      <c r="V12267">
        <v>0</v>
      </c>
      <c r="W12267">
        <v>1</v>
      </c>
      <c r="X12267">
        <v>0</v>
      </c>
      <c r="Y12267">
        <v>1</v>
      </c>
      <c r="Z12267">
        <v>0</v>
      </c>
      <c r="AA12267">
        <v>0</v>
      </c>
      <c r="AB12267">
        <v>0</v>
      </c>
      <c r="AC12267">
        <v>1</v>
      </c>
      <c r="AD12267">
        <v>1</v>
      </c>
      <c r="AE12267">
        <v>1</v>
      </c>
      <c r="AF12267">
        <v>1</v>
      </c>
      <c r="AG12267">
        <v>1</v>
      </c>
      <c r="AH12267">
        <v>0</v>
      </c>
      <c r="AI12267">
        <v>1</v>
      </c>
      <c r="AJ12267">
        <v>1</v>
      </c>
      <c r="AK12267">
        <v>1</v>
      </c>
      <c r="AL12267">
        <v>1</v>
      </c>
      <c r="AM12267">
        <v>0</v>
      </c>
    </row>
    <row r="12268" spans="1:39" x14ac:dyDescent="0.2">
      <c r="A12268" t="str">
        <f>"12264"</f>
        <v>12264</v>
      </c>
      <c r="B12268" t="str">
        <f t="shared" si="680"/>
        <v>1</v>
      </c>
      <c r="C12268" t="str">
        <f t="shared" si="682"/>
        <v>246</v>
      </c>
      <c r="D12268" t="str">
        <f>"47"</f>
        <v>47</v>
      </c>
      <c r="E12268" t="str">
        <f>"1-246-47"</f>
        <v>1-246-47</v>
      </c>
      <c r="F12268" t="s">
        <v>65</v>
      </c>
      <c r="G12268" t="s">
        <v>66</v>
      </c>
      <c r="H12268" t="s">
        <v>67</v>
      </c>
      <c r="S12268">
        <v>1</v>
      </c>
      <c r="T12268">
        <v>0</v>
      </c>
      <c r="U12268">
        <v>0</v>
      </c>
      <c r="V12268">
        <v>0</v>
      </c>
      <c r="W12268">
        <v>1</v>
      </c>
      <c r="X12268">
        <v>0</v>
      </c>
      <c r="Y12268">
        <v>1</v>
      </c>
      <c r="Z12268">
        <v>0</v>
      </c>
      <c r="AA12268">
        <v>0</v>
      </c>
      <c r="AB12268">
        <v>1</v>
      </c>
      <c r="AC12268">
        <v>0</v>
      </c>
      <c r="AD12268">
        <v>1</v>
      </c>
      <c r="AE12268">
        <v>1</v>
      </c>
      <c r="AF12268">
        <v>1</v>
      </c>
      <c r="AG12268">
        <v>1</v>
      </c>
      <c r="AH12268">
        <v>1</v>
      </c>
      <c r="AI12268">
        <v>1</v>
      </c>
      <c r="AJ12268">
        <v>1</v>
      </c>
      <c r="AK12268">
        <v>1</v>
      </c>
      <c r="AL12268">
        <v>1</v>
      </c>
      <c r="AM12268">
        <v>1</v>
      </c>
    </row>
    <row r="12269" spans="1:39" x14ac:dyDescent="0.2">
      <c r="A12269" t="str">
        <f>"12265"</f>
        <v>12265</v>
      </c>
      <c r="B12269" t="str">
        <f t="shared" si="680"/>
        <v>1</v>
      </c>
      <c r="C12269" t="str">
        <f t="shared" si="682"/>
        <v>246</v>
      </c>
      <c r="D12269" t="str">
        <f>"46"</f>
        <v>46</v>
      </c>
      <c r="E12269" t="str">
        <f>"1-246-46"</f>
        <v>1-246-46</v>
      </c>
      <c r="F12269" t="s">
        <v>65</v>
      </c>
      <c r="G12269" t="s">
        <v>66</v>
      </c>
      <c r="H12269" t="s">
        <v>67</v>
      </c>
      <c r="S12269">
        <v>0</v>
      </c>
      <c r="T12269">
        <v>1</v>
      </c>
      <c r="U12269">
        <v>0</v>
      </c>
      <c r="V12269">
        <v>0</v>
      </c>
      <c r="W12269">
        <v>0</v>
      </c>
      <c r="X12269">
        <v>1</v>
      </c>
      <c r="Y12269">
        <v>0</v>
      </c>
      <c r="Z12269">
        <v>1</v>
      </c>
      <c r="AA12269">
        <v>0</v>
      </c>
      <c r="AB12269">
        <v>1</v>
      </c>
      <c r="AC12269">
        <v>0</v>
      </c>
      <c r="AD12269">
        <v>0</v>
      </c>
      <c r="AE12269">
        <v>0</v>
      </c>
      <c r="AF12269">
        <v>0</v>
      </c>
      <c r="AG12269">
        <v>0</v>
      </c>
      <c r="AH12269">
        <v>0</v>
      </c>
      <c r="AI12269">
        <v>0</v>
      </c>
      <c r="AJ12269">
        <v>0</v>
      </c>
      <c r="AK12269">
        <v>0</v>
      </c>
      <c r="AL12269">
        <v>0</v>
      </c>
      <c r="AM12269">
        <v>0</v>
      </c>
    </row>
    <row r="12270" spans="1:39" x14ac:dyDescent="0.2">
      <c r="A12270" t="str">
        <f>"12266"</f>
        <v>12266</v>
      </c>
      <c r="B12270" t="str">
        <f t="shared" si="680"/>
        <v>1</v>
      </c>
      <c r="C12270" t="str">
        <f t="shared" si="682"/>
        <v>246</v>
      </c>
      <c r="D12270" t="str">
        <f>"34"</f>
        <v>34</v>
      </c>
      <c r="E12270" t="str">
        <f>"1-246-34"</f>
        <v>1-246-34</v>
      </c>
      <c r="F12270" t="s">
        <v>65</v>
      </c>
      <c r="G12270" t="s">
        <v>66</v>
      </c>
      <c r="H12270" t="s">
        <v>67</v>
      </c>
      <c r="S12270">
        <v>1</v>
      </c>
      <c r="T12270">
        <v>0</v>
      </c>
      <c r="U12270">
        <v>0</v>
      </c>
      <c r="V12270">
        <v>0</v>
      </c>
      <c r="W12270">
        <v>0</v>
      </c>
      <c r="X12270">
        <v>1</v>
      </c>
      <c r="Y12270">
        <v>1</v>
      </c>
      <c r="Z12270">
        <v>0</v>
      </c>
      <c r="AA12270">
        <v>1</v>
      </c>
      <c r="AB12270">
        <v>0</v>
      </c>
      <c r="AC12270">
        <v>0</v>
      </c>
      <c r="AD12270">
        <v>1</v>
      </c>
      <c r="AE12270">
        <v>1</v>
      </c>
      <c r="AF12270">
        <v>1</v>
      </c>
      <c r="AG12270">
        <v>1</v>
      </c>
      <c r="AH12270">
        <v>1</v>
      </c>
      <c r="AI12270">
        <v>1</v>
      </c>
      <c r="AJ12270">
        <v>1</v>
      </c>
      <c r="AK12270">
        <v>1</v>
      </c>
      <c r="AL12270">
        <v>1</v>
      </c>
      <c r="AM12270">
        <v>1</v>
      </c>
    </row>
    <row r="12271" spans="1:39" x14ac:dyDescent="0.2">
      <c r="A12271" t="str">
        <f>"12267"</f>
        <v>12267</v>
      </c>
      <c r="B12271" t="str">
        <f t="shared" si="680"/>
        <v>1</v>
      </c>
      <c r="C12271" t="str">
        <f t="shared" si="682"/>
        <v>246</v>
      </c>
      <c r="D12271" t="str">
        <f>"18"</f>
        <v>18</v>
      </c>
      <c r="E12271" t="str">
        <f>"1-246-18"</f>
        <v>1-246-18</v>
      </c>
      <c r="F12271" t="s">
        <v>65</v>
      </c>
      <c r="G12271" t="s">
        <v>66</v>
      </c>
      <c r="H12271" t="s">
        <v>67</v>
      </c>
      <c r="S12271">
        <v>1</v>
      </c>
      <c r="T12271">
        <v>0</v>
      </c>
      <c r="U12271">
        <v>0</v>
      </c>
      <c r="V12271">
        <v>0</v>
      </c>
      <c r="W12271">
        <v>1</v>
      </c>
      <c r="X12271">
        <v>0</v>
      </c>
      <c r="Y12271">
        <v>1</v>
      </c>
      <c r="Z12271">
        <v>0</v>
      </c>
      <c r="AA12271">
        <v>0</v>
      </c>
      <c r="AB12271">
        <v>0</v>
      </c>
      <c r="AC12271">
        <v>0</v>
      </c>
      <c r="AD12271">
        <v>0</v>
      </c>
      <c r="AE12271">
        <v>0</v>
      </c>
      <c r="AF12271">
        <v>0</v>
      </c>
      <c r="AG12271">
        <v>1</v>
      </c>
      <c r="AH12271">
        <v>1</v>
      </c>
      <c r="AI12271">
        <v>1</v>
      </c>
      <c r="AJ12271">
        <v>1</v>
      </c>
      <c r="AK12271">
        <v>1</v>
      </c>
      <c r="AL12271">
        <v>1</v>
      </c>
      <c r="AM12271">
        <v>1</v>
      </c>
    </row>
    <row r="12272" spans="1:39" x14ac:dyDescent="0.2">
      <c r="A12272" t="str">
        <f>"12268"</f>
        <v>12268</v>
      </c>
      <c r="B12272" t="str">
        <f t="shared" si="680"/>
        <v>1</v>
      </c>
      <c r="C12272" t="str">
        <f t="shared" si="682"/>
        <v>246</v>
      </c>
      <c r="D12272" t="str">
        <f>"6"</f>
        <v>6</v>
      </c>
      <c r="E12272" t="str">
        <f>"1-246-6"</f>
        <v>1-246-6</v>
      </c>
      <c r="F12272" t="s">
        <v>65</v>
      </c>
      <c r="G12272" t="s">
        <v>66</v>
      </c>
      <c r="H12272" t="s">
        <v>67</v>
      </c>
      <c r="S12272">
        <v>1</v>
      </c>
      <c r="T12272">
        <v>0</v>
      </c>
      <c r="U12272">
        <v>0</v>
      </c>
      <c r="V12272">
        <v>0</v>
      </c>
      <c r="W12272">
        <v>1</v>
      </c>
      <c r="X12272">
        <v>0</v>
      </c>
      <c r="Y12272">
        <v>1</v>
      </c>
      <c r="Z12272">
        <v>0</v>
      </c>
      <c r="AA12272">
        <v>1</v>
      </c>
      <c r="AB12272">
        <v>0</v>
      </c>
      <c r="AC12272">
        <v>0</v>
      </c>
      <c r="AD12272">
        <v>0</v>
      </c>
      <c r="AE12272">
        <v>0</v>
      </c>
      <c r="AF12272">
        <v>0</v>
      </c>
      <c r="AG12272">
        <v>1</v>
      </c>
      <c r="AH12272">
        <v>1</v>
      </c>
      <c r="AI12272">
        <v>1</v>
      </c>
      <c r="AJ12272">
        <v>1</v>
      </c>
      <c r="AK12272">
        <v>0</v>
      </c>
      <c r="AL12272">
        <v>1</v>
      </c>
      <c r="AM12272">
        <v>0</v>
      </c>
    </row>
    <row r="12273" spans="1:39" x14ac:dyDescent="0.2">
      <c r="A12273" t="str">
        <f>"12269"</f>
        <v>12269</v>
      </c>
      <c r="B12273" t="str">
        <f t="shared" si="680"/>
        <v>1</v>
      </c>
      <c r="C12273" t="str">
        <f t="shared" si="682"/>
        <v>246</v>
      </c>
      <c r="D12273" t="str">
        <f>"42"</f>
        <v>42</v>
      </c>
      <c r="E12273" t="str">
        <f>"1-246-42"</f>
        <v>1-246-42</v>
      </c>
      <c r="F12273" t="s">
        <v>65</v>
      </c>
      <c r="G12273" t="s">
        <v>66</v>
      </c>
      <c r="H12273" t="s">
        <v>67</v>
      </c>
      <c r="S12273">
        <v>1</v>
      </c>
      <c r="T12273">
        <v>0</v>
      </c>
      <c r="U12273">
        <v>0</v>
      </c>
      <c r="V12273">
        <v>0</v>
      </c>
      <c r="W12273">
        <v>1</v>
      </c>
      <c r="X12273">
        <v>0</v>
      </c>
      <c r="Y12273">
        <v>1</v>
      </c>
      <c r="Z12273">
        <v>0</v>
      </c>
      <c r="AA12273">
        <v>1</v>
      </c>
      <c r="AB12273">
        <v>0</v>
      </c>
      <c r="AC12273">
        <v>0</v>
      </c>
      <c r="AD12273">
        <v>1</v>
      </c>
      <c r="AE12273">
        <v>1</v>
      </c>
      <c r="AF12273">
        <v>1</v>
      </c>
      <c r="AG12273">
        <v>1</v>
      </c>
      <c r="AH12273">
        <v>1</v>
      </c>
      <c r="AI12273">
        <v>1</v>
      </c>
      <c r="AJ12273">
        <v>1</v>
      </c>
      <c r="AK12273">
        <v>1</v>
      </c>
      <c r="AL12273">
        <v>0</v>
      </c>
      <c r="AM12273">
        <v>0</v>
      </c>
    </row>
    <row r="12274" spans="1:39" x14ac:dyDescent="0.2">
      <c r="A12274" t="str">
        <f>"12270"</f>
        <v>12270</v>
      </c>
      <c r="B12274" t="str">
        <f t="shared" si="680"/>
        <v>1</v>
      </c>
      <c r="C12274" t="str">
        <f t="shared" si="682"/>
        <v>246</v>
      </c>
      <c r="D12274" t="str">
        <f>"41"</f>
        <v>41</v>
      </c>
      <c r="E12274" t="str">
        <f>"1-246-41"</f>
        <v>1-246-41</v>
      </c>
      <c r="F12274" t="s">
        <v>65</v>
      </c>
      <c r="G12274" t="s">
        <v>66</v>
      </c>
      <c r="H12274" t="s">
        <v>67</v>
      </c>
      <c r="S12274">
        <v>1</v>
      </c>
      <c r="T12274">
        <v>0</v>
      </c>
      <c r="U12274">
        <v>0</v>
      </c>
      <c r="V12274">
        <v>0</v>
      </c>
      <c r="W12274">
        <v>1</v>
      </c>
      <c r="X12274">
        <v>0</v>
      </c>
      <c r="Y12274">
        <v>1</v>
      </c>
      <c r="Z12274">
        <v>0</v>
      </c>
      <c r="AA12274">
        <v>1</v>
      </c>
      <c r="AB12274">
        <v>0</v>
      </c>
      <c r="AC12274">
        <v>0</v>
      </c>
      <c r="AD12274">
        <v>1</v>
      </c>
      <c r="AE12274">
        <v>1</v>
      </c>
      <c r="AF12274">
        <v>1</v>
      </c>
      <c r="AG12274">
        <v>0</v>
      </c>
      <c r="AH12274">
        <v>1</v>
      </c>
      <c r="AI12274">
        <v>1</v>
      </c>
      <c r="AJ12274">
        <v>0</v>
      </c>
      <c r="AK12274">
        <v>1</v>
      </c>
      <c r="AL12274">
        <v>1</v>
      </c>
      <c r="AM12274">
        <v>1</v>
      </c>
    </row>
    <row r="12275" spans="1:39" x14ac:dyDescent="0.2">
      <c r="A12275" t="str">
        <f>"12271"</f>
        <v>12271</v>
      </c>
      <c r="B12275" t="str">
        <f t="shared" si="680"/>
        <v>1</v>
      </c>
      <c r="C12275" t="str">
        <f t="shared" si="682"/>
        <v>246</v>
      </c>
      <c r="D12275" t="str">
        <f>"32"</f>
        <v>32</v>
      </c>
      <c r="E12275" t="str">
        <f>"1-246-32"</f>
        <v>1-246-32</v>
      </c>
      <c r="F12275" t="s">
        <v>65</v>
      </c>
      <c r="G12275" t="s">
        <v>66</v>
      </c>
      <c r="H12275" t="s">
        <v>67</v>
      </c>
      <c r="S12275">
        <v>1</v>
      </c>
      <c r="T12275">
        <v>0</v>
      </c>
      <c r="U12275">
        <v>0</v>
      </c>
      <c r="V12275">
        <v>0</v>
      </c>
      <c r="W12275">
        <v>1</v>
      </c>
      <c r="X12275">
        <v>0</v>
      </c>
      <c r="Y12275">
        <v>1</v>
      </c>
      <c r="Z12275">
        <v>0</v>
      </c>
      <c r="AA12275">
        <v>1</v>
      </c>
      <c r="AB12275">
        <v>0</v>
      </c>
      <c r="AC12275">
        <v>0</v>
      </c>
      <c r="AD12275">
        <v>1</v>
      </c>
      <c r="AE12275">
        <v>1</v>
      </c>
      <c r="AF12275">
        <v>1</v>
      </c>
      <c r="AG12275">
        <v>1</v>
      </c>
      <c r="AH12275">
        <v>1</v>
      </c>
      <c r="AI12275">
        <v>1</v>
      </c>
      <c r="AJ12275">
        <v>1</v>
      </c>
      <c r="AK12275">
        <v>1</v>
      </c>
      <c r="AL12275">
        <v>0</v>
      </c>
      <c r="AM12275">
        <v>1</v>
      </c>
    </row>
    <row r="12276" spans="1:39" x14ac:dyDescent="0.2">
      <c r="A12276" t="str">
        <f>"12272"</f>
        <v>12272</v>
      </c>
      <c r="B12276" t="str">
        <f t="shared" si="680"/>
        <v>1</v>
      </c>
      <c r="C12276" t="str">
        <f t="shared" si="682"/>
        <v>246</v>
      </c>
      <c r="D12276" t="str">
        <f>"19"</f>
        <v>19</v>
      </c>
      <c r="E12276" t="str">
        <f>"1-246-19"</f>
        <v>1-246-19</v>
      </c>
      <c r="F12276" t="s">
        <v>65</v>
      </c>
      <c r="G12276" t="s">
        <v>66</v>
      </c>
      <c r="H12276" t="s">
        <v>67</v>
      </c>
      <c r="S12276">
        <v>0</v>
      </c>
      <c r="T12276">
        <v>1</v>
      </c>
      <c r="U12276">
        <v>0</v>
      </c>
      <c r="V12276">
        <v>0</v>
      </c>
      <c r="W12276">
        <v>1</v>
      </c>
      <c r="X12276">
        <v>0</v>
      </c>
      <c r="Y12276">
        <v>0</v>
      </c>
      <c r="Z12276">
        <v>1</v>
      </c>
      <c r="AA12276">
        <v>1</v>
      </c>
      <c r="AB12276">
        <v>0</v>
      </c>
      <c r="AC12276">
        <v>0</v>
      </c>
      <c r="AD12276">
        <v>1</v>
      </c>
      <c r="AE12276">
        <v>1</v>
      </c>
      <c r="AF12276">
        <v>1</v>
      </c>
      <c r="AG12276">
        <v>1</v>
      </c>
      <c r="AH12276">
        <v>1</v>
      </c>
      <c r="AI12276">
        <v>1</v>
      </c>
      <c r="AJ12276">
        <v>1</v>
      </c>
      <c r="AK12276">
        <v>1</v>
      </c>
      <c r="AL12276">
        <v>1</v>
      </c>
      <c r="AM12276">
        <v>1</v>
      </c>
    </row>
    <row r="12277" spans="1:39" x14ac:dyDescent="0.2">
      <c r="A12277" t="str">
        <f>"12273"</f>
        <v>12273</v>
      </c>
      <c r="B12277" t="str">
        <f t="shared" si="680"/>
        <v>1</v>
      </c>
      <c r="C12277" t="str">
        <f t="shared" si="682"/>
        <v>246</v>
      </c>
      <c r="D12277" t="str">
        <f>"9"</f>
        <v>9</v>
      </c>
      <c r="E12277" t="str">
        <f>"1-246-9"</f>
        <v>1-246-9</v>
      </c>
      <c r="F12277" t="s">
        <v>65</v>
      </c>
      <c r="G12277" t="s">
        <v>66</v>
      </c>
      <c r="H12277" t="s">
        <v>67</v>
      </c>
      <c r="S12277">
        <v>0</v>
      </c>
      <c r="T12277">
        <v>1</v>
      </c>
      <c r="U12277">
        <v>0</v>
      </c>
      <c r="V12277">
        <v>0</v>
      </c>
      <c r="W12277">
        <v>1</v>
      </c>
      <c r="X12277">
        <v>0</v>
      </c>
      <c r="Y12277">
        <v>0</v>
      </c>
      <c r="Z12277">
        <v>1</v>
      </c>
      <c r="AA12277">
        <v>0</v>
      </c>
      <c r="AB12277">
        <v>0</v>
      </c>
      <c r="AC12277">
        <v>1</v>
      </c>
      <c r="AD12277">
        <v>1</v>
      </c>
      <c r="AE12277">
        <v>1</v>
      </c>
      <c r="AF12277">
        <v>1</v>
      </c>
      <c r="AG12277">
        <v>1</v>
      </c>
      <c r="AH12277">
        <v>1</v>
      </c>
      <c r="AI12277">
        <v>1</v>
      </c>
      <c r="AJ12277">
        <v>1</v>
      </c>
      <c r="AK12277">
        <v>1</v>
      </c>
      <c r="AL12277">
        <v>1</v>
      </c>
      <c r="AM12277">
        <v>1</v>
      </c>
    </row>
    <row r="12278" spans="1:39" x14ac:dyDescent="0.2">
      <c r="A12278" t="str">
        <f>"12274"</f>
        <v>12274</v>
      </c>
      <c r="B12278" t="str">
        <f t="shared" si="680"/>
        <v>1</v>
      </c>
      <c r="C12278" t="str">
        <f t="shared" si="682"/>
        <v>246</v>
      </c>
      <c r="D12278" t="str">
        <f>"44"</f>
        <v>44</v>
      </c>
      <c r="E12278" t="str">
        <f>"1-246-44"</f>
        <v>1-246-44</v>
      </c>
      <c r="F12278" t="s">
        <v>65</v>
      </c>
      <c r="G12278" t="s">
        <v>66</v>
      </c>
      <c r="H12278" t="s">
        <v>67</v>
      </c>
      <c r="S12278">
        <v>1</v>
      </c>
      <c r="T12278">
        <v>0</v>
      </c>
      <c r="U12278">
        <v>0</v>
      </c>
      <c r="V12278">
        <v>0</v>
      </c>
      <c r="W12278">
        <v>1</v>
      </c>
      <c r="X12278">
        <v>0</v>
      </c>
      <c r="Y12278">
        <v>1</v>
      </c>
      <c r="Z12278">
        <v>0</v>
      </c>
      <c r="AA12278">
        <v>1</v>
      </c>
      <c r="AB12278">
        <v>0</v>
      </c>
      <c r="AC12278">
        <v>0</v>
      </c>
      <c r="AD12278">
        <v>0</v>
      </c>
      <c r="AE12278">
        <v>0</v>
      </c>
      <c r="AF12278">
        <v>0</v>
      </c>
      <c r="AG12278">
        <v>0</v>
      </c>
      <c r="AH12278">
        <v>0</v>
      </c>
      <c r="AI12278">
        <v>0</v>
      </c>
      <c r="AJ12278">
        <v>0</v>
      </c>
      <c r="AK12278">
        <v>0</v>
      </c>
      <c r="AL12278">
        <v>0</v>
      </c>
      <c r="AM12278">
        <v>0</v>
      </c>
    </row>
    <row r="12279" spans="1:39" x14ac:dyDescent="0.2">
      <c r="A12279" t="str">
        <f>"12275"</f>
        <v>12275</v>
      </c>
      <c r="B12279" t="str">
        <f t="shared" ref="B12279:B12342" si="683">"1"</f>
        <v>1</v>
      </c>
      <c r="C12279" t="str">
        <f t="shared" si="682"/>
        <v>246</v>
      </c>
      <c r="D12279" t="str">
        <f>"43"</f>
        <v>43</v>
      </c>
      <c r="E12279" t="str">
        <f>"1-246-43"</f>
        <v>1-246-43</v>
      </c>
      <c r="F12279" t="s">
        <v>65</v>
      </c>
      <c r="G12279" t="s">
        <v>66</v>
      </c>
      <c r="H12279" t="s">
        <v>67</v>
      </c>
      <c r="S12279">
        <v>1</v>
      </c>
      <c r="T12279">
        <v>0</v>
      </c>
      <c r="U12279">
        <v>0</v>
      </c>
      <c r="V12279">
        <v>0</v>
      </c>
      <c r="W12279">
        <v>1</v>
      </c>
      <c r="X12279">
        <v>0</v>
      </c>
      <c r="Y12279">
        <v>1</v>
      </c>
      <c r="Z12279">
        <v>0</v>
      </c>
      <c r="AA12279">
        <v>1</v>
      </c>
      <c r="AB12279">
        <v>0</v>
      </c>
      <c r="AC12279">
        <v>0</v>
      </c>
      <c r="AD12279">
        <v>1</v>
      </c>
      <c r="AE12279">
        <v>1</v>
      </c>
      <c r="AF12279">
        <v>1</v>
      </c>
      <c r="AG12279">
        <v>1</v>
      </c>
      <c r="AH12279">
        <v>1</v>
      </c>
      <c r="AI12279">
        <v>1</v>
      </c>
      <c r="AJ12279">
        <v>1</v>
      </c>
      <c r="AK12279">
        <v>1</v>
      </c>
      <c r="AL12279">
        <v>1</v>
      </c>
      <c r="AM12279">
        <v>1</v>
      </c>
    </row>
    <row r="12280" spans="1:39" x14ac:dyDescent="0.2">
      <c r="A12280" t="str">
        <f>"12276"</f>
        <v>12276</v>
      </c>
      <c r="B12280" t="str">
        <f t="shared" si="683"/>
        <v>1</v>
      </c>
      <c r="C12280" t="str">
        <f t="shared" si="682"/>
        <v>246</v>
      </c>
      <c r="D12280" t="str">
        <f>"31"</f>
        <v>31</v>
      </c>
      <c r="E12280" t="str">
        <f>"1-246-31"</f>
        <v>1-246-31</v>
      </c>
      <c r="F12280" t="s">
        <v>65</v>
      </c>
      <c r="G12280" t="s">
        <v>66</v>
      </c>
      <c r="H12280" t="s">
        <v>67</v>
      </c>
      <c r="S12280">
        <v>1</v>
      </c>
      <c r="T12280">
        <v>0</v>
      </c>
      <c r="U12280">
        <v>0</v>
      </c>
      <c r="V12280">
        <v>0</v>
      </c>
      <c r="W12280">
        <v>1</v>
      </c>
      <c r="X12280">
        <v>0</v>
      </c>
      <c r="Y12280">
        <v>1</v>
      </c>
      <c r="Z12280">
        <v>0</v>
      </c>
      <c r="AA12280">
        <v>1</v>
      </c>
      <c r="AB12280">
        <v>0</v>
      </c>
      <c r="AC12280">
        <v>0</v>
      </c>
      <c r="AD12280">
        <v>1</v>
      </c>
      <c r="AE12280">
        <v>1</v>
      </c>
      <c r="AF12280">
        <v>1</v>
      </c>
      <c r="AG12280">
        <v>1</v>
      </c>
      <c r="AH12280">
        <v>1</v>
      </c>
      <c r="AI12280">
        <v>1</v>
      </c>
      <c r="AJ12280">
        <v>1</v>
      </c>
      <c r="AK12280">
        <v>1</v>
      </c>
      <c r="AL12280">
        <v>1</v>
      </c>
      <c r="AM12280">
        <v>1</v>
      </c>
    </row>
    <row r="12281" spans="1:39" x14ac:dyDescent="0.2">
      <c r="A12281" t="str">
        <f>"12277"</f>
        <v>12277</v>
      </c>
      <c r="B12281" t="str">
        <f t="shared" si="683"/>
        <v>1</v>
      </c>
      <c r="C12281" t="str">
        <f t="shared" si="682"/>
        <v>246</v>
      </c>
      <c r="D12281" t="str">
        <f>"20"</f>
        <v>20</v>
      </c>
      <c r="E12281" t="str">
        <f>"1-246-20"</f>
        <v>1-246-20</v>
      </c>
      <c r="F12281" t="s">
        <v>65</v>
      </c>
      <c r="G12281" t="s">
        <v>66</v>
      </c>
      <c r="H12281" t="s">
        <v>67</v>
      </c>
      <c r="S12281">
        <v>0</v>
      </c>
      <c r="T12281">
        <v>1</v>
      </c>
      <c r="U12281">
        <v>0</v>
      </c>
      <c r="V12281">
        <v>0</v>
      </c>
      <c r="W12281">
        <v>1</v>
      </c>
      <c r="X12281">
        <v>0</v>
      </c>
      <c r="Y12281">
        <v>0</v>
      </c>
      <c r="Z12281">
        <v>1</v>
      </c>
      <c r="AA12281">
        <v>0</v>
      </c>
      <c r="AB12281">
        <v>0</v>
      </c>
      <c r="AC12281">
        <v>1</v>
      </c>
      <c r="AD12281">
        <v>0</v>
      </c>
      <c r="AE12281">
        <v>0</v>
      </c>
      <c r="AF12281">
        <v>0</v>
      </c>
      <c r="AG12281">
        <v>1</v>
      </c>
      <c r="AH12281">
        <v>0</v>
      </c>
      <c r="AI12281">
        <v>1</v>
      </c>
      <c r="AJ12281">
        <v>0</v>
      </c>
      <c r="AK12281">
        <v>0</v>
      </c>
      <c r="AL12281">
        <v>1</v>
      </c>
      <c r="AM12281">
        <v>1</v>
      </c>
    </row>
    <row r="12282" spans="1:39" x14ac:dyDescent="0.2">
      <c r="A12282" t="str">
        <f>"12278"</f>
        <v>12278</v>
      </c>
      <c r="B12282" t="str">
        <f t="shared" si="683"/>
        <v>1</v>
      </c>
      <c r="C12282" t="str">
        <f t="shared" si="682"/>
        <v>246</v>
      </c>
      <c r="D12282" t="str">
        <f>"7"</f>
        <v>7</v>
      </c>
      <c r="E12282" t="str">
        <f>"1-246-7"</f>
        <v>1-246-7</v>
      </c>
      <c r="F12282" t="s">
        <v>65</v>
      </c>
      <c r="G12282" t="s">
        <v>66</v>
      </c>
      <c r="H12282" t="s">
        <v>67</v>
      </c>
      <c r="S12282">
        <v>1</v>
      </c>
      <c r="T12282">
        <v>0</v>
      </c>
      <c r="U12282">
        <v>0</v>
      </c>
      <c r="V12282">
        <v>0</v>
      </c>
      <c r="W12282">
        <v>1</v>
      </c>
      <c r="X12282">
        <v>0</v>
      </c>
      <c r="Y12282">
        <v>1</v>
      </c>
      <c r="Z12282">
        <v>0</v>
      </c>
      <c r="AA12282">
        <v>1</v>
      </c>
      <c r="AB12282">
        <v>0</v>
      </c>
      <c r="AC12282">
        <v>0</v>
      </c>
      <c r="AD12282">
        <v>0</v>
      </c>
      <c r="AE12282">
        <v>0</v>
      </c>
      <c r="AF12282">
        <v>0</v>
      </c>
      <c r="AG12282">
        <v>1</v>
      </c>
      <c r="AH12282">
        <v>0</v>
      </c>
      <c r="AI12282">
        <v>1</v>
      </c>
      <c r="AJ12282">
        <v>1</v>
      </c>
      <c r="AK12282">
        <v>1</v>
      </c>
      <c r="AL12282">
        <v>1</v>
      </c>
      <c r="AM12282">
        <v>1</v>
      </c>
    </row>
    <row r="12283" spans="1:39" x14ac:dyDescent="0.2">
      <c r="A12283" t="str">
        <f>"12279"</f>
        <v>12279</v>
      </c>
      <c r="B12283" t="str">
        <f t="shared" si="683"/>
        <v>1</v>
      </c>
      <c r="C12283" t="str">
        <f t="shared" si="682"/>
        <v>246</v>
      </c>
      <c r="D12283" t="str">
        <f>"49"</f>
        <v>49</v>
      </c>
      <c r="E12283" t="str">
        <f>"1-246-49"</f>
        <v>1-246-49</v>
      </c>
      <c r="F12283" t="s">
        <v>65</v>
      </c>
      <c r="G12283" t="s">
        <v>66</v>
      </c>
      <c r="H12283" t="s">
        <v>67</v>
      </c>
      <c r="S12283">
        <v>0</v>
      </c>
      <c r="T12283">
        <v>1</v>
      </c>
      <c r="U12283">
        <v>0</v>
      </c>
      <c r="V12283">
        <v>0</v>
      </c>
      <c r="W12283">
        <v>1</v>
      </c>
      <c r="X12283">
        <v>0</v>
      </c>
      <c r="Y12283">
        <v>0</v>
      </c>
      <c r="Z12283">
        <v>1</v>
      </c>
      <c r="AA12283">
        <v>1</v>
      </c>
      <c r="AB12283">
        <v>0</v>
      </c>
      <c r="AC12283">
        <v>0</v>
      </c>
      <c r="AD12283">
        <v>0</v>
      </c>
      <c r="AE12283">
        <v>0</v>
      </c>
      <c r="AF12283">
        <v>0</v>
      </c>
      <c r="AG12283">
        <v>0</v>
      </c>
      <c r="AH12283">
        <v>0</v>
      </c>
      <c r="AI12283">
        <v>0</v>
      </c>
      <c r="AJ12283">
        <v>0</v>
      </c>
      <c r="AK12283">
        <v>0</v>
      </c>
      <c r="AL12283">
        <v>0</v>
      </c>
      <c r="AM12283">
        <v>0</v>
      </c>
    </row>
    <row r="12284" spans="1:39" x14ac:dyDescent="0.2">
      <c r="A12284" t="str">
        <f>"12280"</f>
        <v>12280</v>
      </c>
      <c r="B12284" t="str">
        <f t="shared" si="683"/>
        <v>1</v>
      </c>
      <c r="C12284" t="str">
        <f t="shared" si="682"/>
        <v>246</v>
      </c>
      <c r="D12284" t="str">
        <f>"21"</f>
        <v>21</v>
      </c>
      <c r="E12284" t="str">
        <f>"1-246-21"</f>
        <v>1-246-21</v>
      </c>
      <c r="F12284" t="s">
        <v>65</v>
      </c>
      <c r="G12284" t="s">
        <v>66</v>
      </c>
      <c r="H12284" t="s">
        <v>67</v>
      </c>
      <c r="S12284">
        <v>0</v>
      </c>
      <c r="T12284">
        <v>1</v>
      </c>
      <c r="U12284">
        <v>0</v>
      </c>
      <c r="V12284">
        <v>0</v>
      </c>
      <c r="W12284">
        <v>1</v>
      </c>
      <c r="X12284">
        <v>0</v>
      </c>
      <c r="Y12284">
        <v>0</v>
      </c>
      <c r="Z12284">
        <v>1</v>
      </c>
      <c r="AA12284">
        <v>1</v>
      </c>
      <c r="AB12284">
        <v>0</v>
      </c>
      <c r="AC12284">
        <v>0</v>
      </c>
      <c r="AD12284">
        <v>1</v>
      </c>
      <c r="AE12284">
        <v>1</v>
      </c>
      <c r="AF12284">
        <v>1</v>
      </c>
      <c r="AG12284">
        <v>1</v>
      </c>
      <c r="AH12284">
        <v>1</v>
      </c>
      <c r="AI12284">
        <v>1</v>
      </c>
      <c r="AJ12284">
        <v>1</v>
      </c>
      <c r="AK12284">
        <v>1</v>
      </c>
      <c r="AL12284">
        <v>1</v>
      </c>
      <c r="AM12284">
        <v>1</v>
      </c>
    </row>
    <row r="12285" spans="1:39" x14ac:dyDescent="0.2">
      <c r="A12285" t="str">
        <f>"12281"</f>
        <v>12281</v>
      </c>
      <c r="B12285" t="str">
        <f t="shared" si="683"/>
        <v>1</v>
      </c>
      <c r="C12285" t="str">
        <f t="shared" si="682"/>
        <v>246</v>
      </c>
      <c r="D12285" t="str">
        <f>"13"</f>
        <v>13</v>
      </c>
      <c r="E12285" t="str">
        <f>"1-246-13"</f>
        <v>1-246-13</v>
      </c>
      <c r="F12285" t="s">
        <v>65</v>
      </c>
      <c r="G12285" t="s">
        <v>66</v>
      </c>
      <c r="H12285" t="s">
        <v>67</v>
      </c>
      <c r="S12285">
        <v>0</v>
      </c>
      <c r="T12285">
        <v>1</v>
      </c>
      <c r="U12285">
        <v>0</v>
      </c>
      <c r="V12285">
        <v>0</v>
      </c>
      <c r="W12285">
        <v>1</v>
      </c>
      <c r="X12285">
        <v>0</v>
      </c>
      <c r="Y12285">
        <v>1</v>
      </c>
      <c r="Z12285">
        <v>0</v>
      </c>
      <c r="AA12285">
        <v>1</v>
      </c>
      <c r="AB12285">
        <v>0</v>
      </c>
      <c r="AC12285">
        <v>0</v>
      </c>
      <c r="AD12285">
        <v>1</v>
      </c>
      <c r="AE12285">
        <v>1</v>
      </c>
      <c r="AF12285">
        <v>1</v>
      </c>
      <c r="AG12285">
        <v>1</v>
      </c>
      <c r="AH12285">
        <v>1</v>
      </c>
      <c r="AI12285">
        <v>1</v>
      </c>
      <c r="AJ12285">
        <v>1</v>
      </c>
      <c r="AK12285">
        <v>1</v>
      </c>
      <c r="AL12285">
        <v>1</v>
      </c>
      <c r="AM12285">
        <v>1</v>
      </c>
    </row>
    <row r="12286" spans="1:39" x14ac:dyDescent="0.2">
      <c r="A12286" t="str">
        <f>"12282"</f>
        <v>12282</v>
      </c>
      <c r="B12286" t="str">
        <f t="shared" si="683"/>
        <v>1</v>
      </c>
      <c r="C12286" t="str">
        <f t="shared" si="682"/>
        <v>246</v>
      </c>
      <c r="D12286" t="str">
        <f>"40"</f>
        <v>40</v>
      </c>
      <c r="E12286" t="str">
        <f>"1-246-40"</f>
        <v>1-246-40</v>
      </c>
      <c r="F12286" t="s">
        <v>65</v>
      </c>
      <c r="G12286" t="s">
        <v>66</v>
      </c>
      <c r="H12286" t="s">
        <v>67</v>
      </c>
      <c r="S12286">
        <v>1</v>
      </c>
      <c r="T12286">
        <v>0</v>
      </c>
      <c r="U12286">
        <v>0</v>
      </c>
      <c r="V12286">
        <v>0</v>
      </c>
      <c r="W12286">
        <v>1</v>
      </c>
      <c r="X12286">
        <v>0</v>
      </c>
      <c r="Y12286">
        <v>1</v>
      </c>
      <c r="Z12286">
        <v>0</v>
      </c>
      <c r="AA12286">
        <v>1</v>
      </c>
      <c r="AB12286">
        <v>0</v>
      </c>
      <c r="AC12286">
        <v>0</v>
      </c>
      <c r="AD12286">
        <v>0</v>
      </c>
      <c r="AE12286">
        <v>0</v>
      </c>
      <c r="AF12286">
        <v>0</v>
      </c>
      <c r="AG12286">
        <v>0</v>
      </c>
      <c r="AH12286">
        <v>0</v>
      </c>
      <c r="AI12286">
        <v>0</v>
      </c>
      <c r="AJ12286">
        <v>0</v>
      </c>
      <c r="AK12286">
        <v>0</v>
      </c>
      <c r="AL12286">
        <v>0</v>
      </c>
      <c r="AM12286">
        <v>0</v>
      </c>
    </row>
    <row r="12287" spans="1:39" x14ac:dyDescent="0.2">
      <c r="A12287" t="str">
        <f>"12283"</f>
        <v>12283</v>
      </c>
      <c r="B12287" t="str">
        <f t="shared" si="683"/>
        <v>1</v>
      </c>
      <c r="C12287" t="str">
        <f t="shared" ref="C12287:C12304" si="684">"246"</f>
        <v>246</v>
      </c>
      <c r="D12287" t="str">
        <f>"22"</f>
        <v>22</v>
      </c>
      <c r="E12287" t="str">
        <f>"1-246-22"</f>
        <v>1-246-22</v>
      </c>
      <c r="F12287" t="s">
        <v>65</v>
      </c>
      <c r="G12287" t="s">
        <v>66</v>
      </c>
      <c r="H12287" t="s">
        <v>67</v>
      </c>
      <c r="S12287">
        <v>0</v>
      </c>
      <c r="T12287">
        <v>1</v>
      </c>
      <c r="U12287">
        <v>0</v>
      </c>
      <c r="V12287">
        <v>0</v>
      </c>
      <c r="W12287">
        <v>1</v>
      </c>
      <c r="X12287">
        <v>0</v>
      </c>
      <c r="Y12287">
        <v>0</v>
      </c>
      <c r="Z12287">
        <v>1</v>
      </c>
      <c r="AA12287">
        <v>0</v>
      </c>
      <c r="AB12287">
        <v>0</v>
      </c>
      <c r="AC12287">
        <v>1</v>
      </c>
      <c r="AD12287">
        <v>1</v>
      </c>
      <c r="AE12287">
        <v>1</v>
      </c>
      <c r="AF12287">
        <v>1</v>
      </c>
      <c r="AG12287">
        <v>1</v>
      </c>
      <c r="AH12287">
        <v>1</v>
      </c>
      <c r="AI12287">
        <v>1</v>
      </c>
      <c r="AJ12287">
        <v>1</v>
      </c>
      <c r="AK12287">
        <v>1</v>
      </c>
      <c r="AL12287">
        <v>1</v>
      </c>
      <c r="AM12287">
        <v>1</v>
      </c>
    </row>
    <row r="12288" spans="1:39" x14ac:dyDescent="0.2">
      <c r="A12288" t="str">
        <f>"12284"</f>
        <v>12284</v>
      </c>
      <c r="B12288" t="str">
        <f t="shared" si="683"/>
        <v>1</v>
      </c>
      <c r="C12288" t="str">
        <f t="shared" si="684"/>
        <v>246</v>
      </c>
      <c r="D12288" t="str">
        <f>"11"</f>
        <v>11</v>
      </c>
      <c r="E12288" t="str">
        <f>"1-246-11"</f>
        <v>1-246-11</v>
      </c>
      <c r="F12288" t="s">
        <v>65</v>
      </c>
      <c r="G12288" t="s">
        <v>66</v>
      </c>
      <c r="H12288" t="s">
        <v>67</v>
      </c>
      <c r="S12288">
        <v>0</v>
      </c>
      <c r="T12288">
        <v>0</v>
      </c>
      <c r="U12288">
        <v>0</v>
      </c>
      <c r="V12288">
        <v>0</v>
      </c>
      <c r="W12288">
        <v>1</v>
      </c>
      <c r="X12288">
        <v>0</v>
      </c>
      <c r="Y12288">
        <v>0</v>
      </c>
      <c r="Z12288">
        <v>1</v>
      </c>
      <c r="AA12288">
        <v>1</v>
      </c>
      <c r="AB12288">
        <v>0</v>
      </c>
      <c r="AC12288">
        <v>0</v>
      </c>
      <c r="AD12288">
        <v>0</v>
      </c>
      <c r="AE12288">
        <v>0</v>
      </c>
      <c r="AF12288">
        <v>0</v>
      </c>
      <c r="AG12288">
        <v>0</v>
      </c>
      <c r="AH12288">
        <v>0</v>
      </c>
      <c r="AI12288">
        <v>0</v>
      </c>
      <c r="AJ12288">
        <v>0</v>
      </c>
      <c r="AK12288">
        <v>0</v>
      </c>
      <c r="AL12288">
        <v>1</v>
      </c>
      <c r="AM12288">
        <v>0</v>
      </c>
    </row>
    <row r="12289" spans="1:39" x14ac:dyDescent="0.2">
      <c r="A12289" t="str">
        <f>"12285"</f>
        <v>12285</v>
      </c>
      <c r="B12289" t="str">
        <f t="shared" si="683"/>
        <v>1</v>
      </c>
      <c r="C12289" t="str">
        <f t="shared" si="684"/>
        <v>246</v>
      </c>
      <c r="D12289" t="str">
        <f>"39"</f>
        <v>39</v>
      </c>
      <c r="E12289" t="str">
        <f>"1-246-39"</f>
        <v>1-246-39</v>
      </c>
      <c r="F12289" t="s">
        <v>65</v>
      </c>
      <c r="G12289" t="s">
        <v>66</v>
      </c>
      <c r="H12289" t="s">
        <v>67</v>
      </c>
      <c r="S12289">
        <v>1</v>
      </c>
      <c r="T12289">
        <v>0</v>
      </c>
      <c r="U12289">
        <v>0</v>
      </c>
      <c r="V12289">
        <v>0</v>
      </c>
      <c r="W12289">
        <v>1</v>
      </c>
      <c r="X12289">
        <v>0</v>
      </c>
      <c r="Y12289">
        <v>0</v>
      </c>
      <c r="Z12289">
        <v>1</v>
      </c>
      <c r="AA12289">
        <v>0</v>
      </c>
      <c r="AB12289">
        <v>1</v>
      </c>
      <c r="AC12289">
        <v>0</v>
      </c>
      <c r="AD12289">
        <v>1</v>
      </c>
      <c r="AE12289">
        <v>1</v>
      </c>
      <c r="AF12289">
        <v>1</v>
      </c>
      <c r="AG12289">
        <v>0</v>
      </c>
      <c r="AH12289">
        <v>0</v>
      </c>
      <c r="AI12289">
        <v>1</v>
      </c>
      <c r="AJ12289">
        <v>0</v>
      </c>
      <c r="AK12289">
        <v>0</v>
      </c>
      <c r="AL12289">
        <v>1</v>
      </c>
      <c r="AM12289">
        <v>1</v>
      </c>
    </row>
    <row r="12290" spans="1:39" x14ac:dyDescent="0.2">
      <c r="A12290" t="str">
        <f>"12286"</f>
        <v>12286</v>
      </c>
      <c r="B12290" t="str">
        <f t="shared" si="683"/>
        <v>1</v>
      </c>
      <c r="C12290" t="str">
        <f t="shared" si="684"/>
        <v>246</v>
      </c>
      <c r="D12290" t="str">
        <f>"23"</f>
        <v>23</v>
      </c>
      <c r="E12290" t="str">
        <f>"1-246-23"</f>
        <v>1-246-23</v>
      </c>
      <c r="F12290" t="s">
        <v>65</v>
      </c>
      <c r="G12290" t="s">
        <v>66</v>
      </c>
      <c r="H12290" t="s">
        <v>67</v>
      </c>
      <c r="S12290">
        <v>1</v>
      </c>
      <c r="T12290">
        <v>0</v>
      </c>
      <c r="U12290">
        <v>0</v>
      </c>
      <c r="V12290">
        <v>0</v>
      </c>
      <c r="W12290">
        <v>1</v>
      </c>
      <c r="X12290">
        <v>0</v>
      </c>
      <c r="Y12290">
        <v>1</v>
      </c>
      <c r="Z12290">
        <v>0</v>
      </c>
      <c r="AA12290">
        <v>0</v>
      </c>
      <c r="AB12290">
        <v>0</v>
      </c>
      <c r="AC12290">
        <v>1</v>
      </c>
      <c r="AD12290">
        <v>1</v>
      </c>
      <c r="AE12290">
        <v>1</v>
      </c>
      <c r="AF12290">
        <v>1</v>
      </c>
      <c r="AG12290">
        <v>1</v>
      </c>
      <c r="AH12290">
        <v>1</v>
      </c>
      <c r="AI12290">
        <v>1</v>
      </c>
      <c r="AJ12290">
        <v>1</v>
      </c>
      <c r="AK12290">
        <v>1</v>
      </c>
      <c r="AL12290">
        <v>1</v>
      </c>
      <c r="AM12290">
        <v>1</v>
      </c>
    </row>
    <row r="12291" spans="1:39" x14ac:dyDescent="0.2">
      <c r="A12291" t="str">
        <f>"12287"</f>
        <v>12287</v>
      </c>
      <c r="B12291" t="str">
        <f t="shared" si="683"/>
        <v>1</v>
      </c>
      <c r="C12291" t="str">
        <f t="shared" si="684"/>
        <v>246</v>
      </c>
      <c r="D12291" t="str">
        <f>"8"</f>
        <v>8</v>
      </c>
      <c r="E12291" t="str">
        <f>"1-246-8"</f>
        <v>1-246-8</v>
      </c>
      <c r="F12291" t="s">
        <v>65</v>
      </c>
      <c r="G12291" t="s">
        <v>66</v>
      </c>
      <c r="H12291" t="s">
        <v>67</v>
      </c>
      <c r="S12291">
        <v>1</v>
      </c>
      <c r="T12291">
        <v>0</v>
      </c>
      <c r="U12291">
        <v>0</v>
      </c>
      <c r="V12291">
        <v>0</v>
      </c>
      <c r="W12291">
        <v>0</v>
      </c>
      <c r="X12291">
        <v>0</v>
      </c>
      <c r="Y12291">
        <v>1</v>
      </c>
      <c r="Z12291">
        <v>0</v>
      </c>
      <c r="AA12291">
        <v>0</v>
      </c>
      <c r="AB12291">
        <v>1</v>
      </c>
      <c r="AC12291">
        <v>0</v>
      </c>
      <c r="AD12291">
        <v>1</v>
      </c>
      <c r="AE12291">
        <v>1</v>
      </c>
      <c r="AF12291">
        <v>1</v>
      </c>
      <c r="AG12291">
        <v>1</v>
      </c>
      <c r="AH12291">
        <v>1</v>
      </c>
      <c r="AI12291">
        <v>1</v>
      </c>
      <c r="AJ12291">
        <v>1</v>
      </c>
      <c r="AK12291">
        <v>1</v>
      </c>
      <c r="AL12291">
        <v>1</v>
      </c>
      <c r="AM12291">
        <v>1</v>
      </c>
    </row>
    <row r="12292" spans="1:39" x14ac:dyDescent="0.2">
      <c r="A12292" t="str">
        <f>"12288"</f>
        <v>12288</v>
      </c>
      <c r="B12292" t="str">
        <f t="shared" si="683"/>
        <v>1</v>
      </c>
      <c r="C12292" t="str">
        <f t="shared" si="684"/>
        <v>246</v>
      </c>
      <c r="D12292" t="str">
        <f>"45"</f>
        <v>45</v>
      </c>
      <c r="E12292" t="str">
        <f>"1-246-45"</f>
        <v>1-246-45</v>
      </c>
      <c r="F12292" t="s">
        <v>65</v>
      </c>
      <c r="G12292" t="s">
        <v>66</v>
      </c>
      <c r="H12292" t="s">
        <v>67</v>
      </c>
      <c r="S12292">
        <v>1</v>
      </c>
      <c r="T12292">
        <v>0</v>
      </c>
      <c r="U12292">
        <v>0</v>
      </c>
      <c r="V12292">
        <v>0</v>
      </c>
      <c r="W12292">
        <v>1</v>
      </c>
      <c r="X12292">
        <v>0</v>
      </c>
      <c r="Y12292">
        <v>1</v>
      </c>
      <c r="Z12292">
        <v>0</v>
      </c>
      <c r="AA12292">
        <v>1</v>
      </c>
      <c r="AB12292">
        <v>0</v>
      </c>
      <c r="AC12292">
        <v>0</v>
      </c>
      <c r="AD12292">
        <v>1</v>
      </c>
      <c r="AE12292">
        <v>1</v>
      </c>
      <c r="AF12292">
        <v>1</v>
      </c>
      <c r="AG12292">
        <v>1</v>
      </c>
      <c r="AH12292">
        <v>1</v>
      </c>
      <c r="AI12292">
        <v>1</v>
      </c>
      <c r="AJ12292">
        <v>1</v>
      </c>
      <c r="AK12292">
        <v>1</v>
      </c>
      <c r="AL12292">
        <v>1</v>
      </c>
      <c r="AM12292">
        <v>1</v>
      </c>
    </row>
    <row r="12293" spans="1:39" x14ac:dyDescent="0.2">
      <c r="A12293" t="str">
        <f>"12289"</f>
        <v>12289</v>
      </c>
      <c r="B12293" t="str">
        <f t="shared" si="683"/>
        <v>1</v>
      </c>
      <c r="C12293" t="str">
        <f t="shared" si="684"/>
        <v>246</v>
      </c>
      <c r="D12293" t="str">
        <f>"25"</f>
        <v>25</v>
      </c>
      <c r="E12293" t="str">
        <f>"1-246-25"</f>
        <v>1-246-25</v>
      </c>
      <c r="F12293" t="s">
        <v>65</v>
      </c>
      <c r="G12293" t="s">
        <v>66</v>
      </c>
      <c r="H12293" t="s">
        <v>67</v>
      </c>
      <c r="S12293">
        <v>1</v>
      </c>
      <c r="T12293">
        <v>0</v>
      </c>
      <c r="U12293">
        <v>0</v>
      </c>
      <c r="V12293">
        <v>0</v>
      </c>
      <c r="W12293">
        <v>1</v>
      </c>
      <c r="X12293">
        <v>0</v>
      </c>
      <c r="Y12293">
        <v>1</v>
      </c>
      <c r="Z12293">
        <v>0</v>
      </c>
      <c r="AA12293">
        <v>1</v>
      </c>
      <c r="AB12293">
        <v>0</v>
      </c>
      <c r="AC12293">
        <v>0</v>
      </c>
      <c r="AD12293">
        <v>0</v>
      </c>
      <c r="AE12293">
        <v>0</v>
      </c>
      <c r="AF12293">
        <v>0</v>
      </c>
      <c r="AG12293">
        <v>0</v>
      </c>
      <c r="AH12293">
        <v>0</v>
      </c>
      <c r="AI12293">
        <v>1</v>
      </c>
      <c r="AJ12293">
        <v>1</v>
      </c>
      <c r="AK12293">
        <v>1</v>
      </c>
      <c r="AL12293">
        <v>1</v>
      </c>
      <c r="AM12293">
        <v>1</v>
      </c>
    </row>
    <row r="12294" spans="1:39" x14ac:dyDescent="0.2">
      <c r="A12294" t="str">
        <f>"12290"</f>
        <v>12290</v>
      </c>
      <c r="B12294" t="str">
        <f t="shared" si="683"/>
        <v>1</v>
      </c>
      <c r="C12294" t="str">
        <f t="shared" si="684"/>
        <v>246</v>
      </c>
      <c r="D12294" t="str">
        <f>"2"</f>
        <v>2</v>
      </c>
      <c r="E12294" t="str">
        <f>"1-246-2"</f>
        <v>1-246-2</v>
      </c>
      <c r="F12294" t="s">
        <v>65</v>
      </c>
      <c r="G12294" t="s">
        <v>66</v>
      </c>
      <c r="H12294" t="s">
        <v>67</v>
      </c>
      <c r="S12294">
        <v>0</v>
      </c>
      <c r="T12294">
        <v>1</v>
      </c>
      <c r="U12294">
        <v>0</v>
      </c>
      <c r="V12294">
        <v>0</v>
      </c>
      <c r="W12294">
        <v>1</v>
      </c>
      <c r="X12294">
        <v>0</v>
      </c>
      <c r="Y12294">
        <v>1</v>
      </c>
      <c r="Z12294">
        <v>0</v>
      </c>
      <c r="AA12294">
        <v>1</v>
      </c>
      <c r="AB12294">
        <v>0</v>
      </c>
      <c r="AC12294">
        <v>0</v>
      </c>
      <c r="AD12294">
        <v>1</v>
      </c>
      <c r="AE12294">
        <v>1</v>
      </c>
      <c r="AF12294">
        <v>1</v>
      </c>
      <c r="AG12294">
        <v>1</v>
      </c>
      <c r="AH12294">
        <v>1</v>
      </c>
      <c r="AI12294">
        <v>1</v>
      </c>
      <c r="AJ12294">
        <v>1</v>
      </c>
      <c r="AK12294">
        <v>1</v>
      </c>
      <c r="AL12294">
        <v>1</v>
      </c>
      <c r="AM12294">
        <v>1</v>
      </c>
    </row>
    <row r="12295" spans="1:39" x14ac:dyDescent="0.2">
      <c r="A12295" t="str">
        <f>"12291"</f>
        <v>12291</v>
      </c>
      <c r="B12295" t="str">
        <f t="shared" si="683"/>
        <v>1</v>
      </c>
      <c r="C12295" t="str">
        <f t="shared" si="684"/>
        <v>246</v>
      </c>
      <c r="D12295" t="str">
        <f>"50"</f>
        <v>50</v>
      </c>
      <c r="E12295" t="str">
        <f>"1-246-50"</f>
        <v>1-246-50</v>
      </c>
      <c r="F12295" t="s">
        <v>65</v>
      </c>
      <c r="G12295" t="s">
        <v>66</v>
      </c>
      <c r="H12295" t="s">
        <v>67</v>
      </c>
      <c r="S12295">
        <v>0</v>
      </c>
      <c r="T12295">
        <v>0</v>
      </c>
      <c r="U12295">
        <v>0</v>
      </c>
      <c r="V12295">
        <v>0</v>
      </c>
      <c r="W12295">
        <v>1</v>
      </c>
      <c r="X12295">
        <v>0</v>
      </c>
      <c r="Y12295">
        <v>0</v>
      </c>
      <c r="Z12295">
        <v>1</v>
      </c>
      <c r="AA12295">
        <v>1</v>
      </c>
      <c r="AB12295">
        <v>0</v>
      </c>
      <c r="AC12295">
        <v>0</v>
      </c>
      <c r="AD12295">
        <v>0</v>
      </c>
      <c r="AE12295">
        <v>0</v>
      </c>
      <c r="AF12295">
        <v>0</v>
      </c>
      <c r="AG12295">
        <v>1</v>
      </c>
      <c r="AH12295">
        <v>0</v>
      </c>
      <c r="AI12295">
        <v>0</v>
      </c>
      <c r="AJ12295">
        <v>0</v>
      </c>
      <c r="AK12295">
        <v>0</v>
      </c>
      <c r="AL12295">
        <v>1</v>
      </c>
      <c r="AM12295">
        <v>0</v>
      </c>
    </row>
    <row r="12296" spans="1:39" x14ac:dyDescent="0.2">
      <c r="A12296" t="str">
        <f>"12292"</f>
        <v>12292</v>
      </c>
      <c r="B12296" t="str">
        <f t="shared" si="683"/>
        <v>1</v>
      </c>
      <c r="C12296" t="str">
        <f t="shared" si="684"/>
        <v>246</v>
      </c>
      <c r="D12296" t="str">
        <f>"26"</f>
        <v>26</v>
      </c>
      <c r="E12296" t="str">
        <f>"1-246-26"</f>
        <v>1-246-26</v>
      </c>
      <c r="F12296" t="s">
        <v>65</v>
      </c>
      <c r="G12296" t="s">
        <v>66</v>
      </c>
      <c r="H12296" t="s">
        <v>67</v>
      </c>
      <c r="S12296">
        <v>1</v>
      </c>
      <c r="T12296">
        <v>0</v>
      </c>
      <c r="U12296">
        <v>0</v>
      </c>
      <c r="V12296">
        <v>0</v>
      </c>
      <c r="W12296">
        <v>1</v>
      </c>
      <c r="X12296">
        <v>0</v>
      </c>
      <c r="Y12296">
        <v>1</v>
      </c>
      <c r="Z12296">
        <v>0</v>
      </c>
      <c r="AA12296">
        <v>1</v>
      </c>
      <c r="AB12296">
        <v>0</v>
      </c>
      <c r="AC12296">
        <v>0</v>
      </c>
      <c r="AD12296">
        <v>0</v>
      </c>
      <c r="AE12296">
        <v>0</v>
      </c>
      <c r="AF12296">
        <v>0</v>
      </c>
      <c r="AG12296">
        <v>0</v>
      </c>
      <c r="AH12296">
        <v>0</v>
      </c>
      <c r="AI12296">
        <v>0</v>
      </c>
      <c r="AJ12296">
        <v>1</v>
      </c>
      <c r="AK12296">
        <v>1</v>
      </c>
      <c r="AL12296">
        <v>0</v>
      </c>
      <c r="AM12296">
        <v>1</v>
      </c>
    </row>
    <row r="12297" spans="1:39" x14ac:dyDescent="0.2">
      <c r="A12297" t="str">
        <f>"12293"</f>
        <v>12293</v>
      </c>
      <c r="B12297" t="str">
        <f t="shared" si="683"/>
        <v>1</v>
      </c>
      <c r="C12297" t="str">
        <f t="shared" si="684"/>
        <v>246</v>
      </c>
      <c r="D12297" t="str">
        <f>"3"</f>
        <v>3</v>
      </c>
      <c r="E12297" t="str">
        <f>"1-246-3"</f>
        <v>1-246-3</v>
      </c>
      <c r="F12297" t="s">
        <v>65</v>
      </c>
      <c r="G12297" t="s">
        <v>66</v>
      </c>
      <c r="H12297" t="s">
        <v>67</v>
      </c>
      <c r="S12297">
        <v>0</v>
      </c>
      <c r="T12297">
        <v>1</v>
      </c>
      <c r="U12297">
        <v>0</v>
      </c>
      <c r="V12297">
        <v>0</v>
      </c>
      <c r="W12297">
        <v>1</v>
      </c>
      <c r="X12297">
        <v>0</v>
      </c>
      <c r="Y12297">
        <v>1</v>
      </c>
      <c r="Z12297">
        <v>0</v>
      </c>
      <c r="AA12297">
        <v>1</v>
      </c>
      <c r="AB12297">
        <v>0</v>
      </c>
      <c r="AC12297">
        <v>0</v>
      </c>
      <c r="AD12297">
        <v>1</v>
      </c>
      <c r="AE12297">
        <v>1</v>
      </c>
      <c r="AF12297">
        <v>1</v>
      </c>
      <c r="AG12297">
        <v>1</v>
      </c>
      <c r="AH12297">
        <v>1</v>
      </c>
      <c r="AI12297">
        <v>1</v>
      </c>
      <c r="AJ12297">
        <v>1</v>
      </c>
      <c r="AK12297">
        <v>1</v>
      </c>
      <c r="AL12297">
        <v>1</v>
      </c>
      <c r="AM12297">
        <v>1</v>
      </c>
    </row>
    <row r="12298" spans="1:39" x14ac:dyDescent="0.2">
      <c r="A12298" t="str">
        <f>"12294"</f>
        <v>12294</v>
      </c>
      <c r="B12298" t="str">
        <f t="shared" si="683"/>
        <v>1</v>
      </c>
      <c r="C12298" t="str">
        <f t="shared" si="684"/>
        <v>246</v>
      </c>
      <c r="D12298" t="str">
        <f>"27"</f>
        <v>27</v>
      </c>
      <c r="E12298" t="str">
        <f>"1-246-27"</f>
        <v>1-246-27</v>
      </c>
      <c r="F12298" t="s">
        <v>65</v>
      </c>
      <c r="G12298" t="s">
        <v>66</v>
      </c>
      <c r="H12298" t="s">
        <v>67</v>
      </c>
      <c r="S12298">
        <v>1</v>
      </c>
      <c r="T12298">
        <v>0</v>
      </c>
      <c r="U12298">
        <v>0</v>
      </c>
      <c r="V12298">
        <v>0</v>
      </c>
      <c r="W12298">
        <v>1</v>
      </c>
      <c r="X12298">
        <v>0</v>
      </c>
      <c r="Y12298">
        <v>1</v>
      </c>
      <c r="Z12298">
        <v>0</v>
      </c>
      <c r="AA12298">
        <v>1</v>
      </c>
      <c r="AB12298">
        <v>0</v>
      </c>
      <c r="AC12298">
        <v>0</v>
      </c>
      <c r="AD12298">
        <v>0</v>
      </c>
      <c r="AE12298">
        <v>0</v>
      </c>
      <c r="AF12298">
        <v>0</v>
      </c>
      <c r="AG12298">
        <v>0</v>
      </c>
      <c r="AH12298">
        <v>0</v>
      </c>
      <c r="AI12298">
        <v>0</v>
      </c>
      <c r="AJ12298">
        <v>1</v>
      </c>
      <c r="AK12298">
        <v>1</v>
      </c>
      <c r="AL12298">
        <v>0</v>
      </c>
      <c r="AM12298">
        <v>1</v>
      </c>
    </row>
    <row r="12299" spans="1:39" x14ac:dyDescent="0.2">
      <c r="A12299" t="str">
        <f>"12295"</f>
        <v>12295</v>
      </c>
      <c r="B12299" t="str">
        <f t="shared" si="683"/>
        <v>1</v>
      </c>
      <c r="C12299" t="str">
        <f t="shared" si="684"/>
        <v>246</v>
      </c>
      <c r="D12299" t="str">
        <f>"5"</f>
        <v>5</v>
      </c>
      <c r="E12299" t="str">
        <f>"1-246-5"</f>
        <v>1-246-5</v>
      </c>
      <c r="F12299" t="s">
        <v>65</v>
      </c>
      <c r="G12299" t="s">
        <v>66</v>
      </c>
      <c r="H12299" t="s">
        <v>67</v>
      </c>
      <c r="S12299">
        <v>1</v>
      </c>
      <c r="T12299">
        <v>0</v>
      </c>
      <c r="U12299">
        <v>0</v>
      </c>
      <c r="V12299">
        <v>0</v>
      </c>
      <c r="W12299">
        <v>1</v>
      </c>
      <c r="X12299">
        <v>0</v>
      </c>
      <c r="Y12299">
        <v>1</v>
      </c>
      <c r="Z12299">
        <v>0</v>
      </c>
      <c r="AA12299">
        <v>1</v>
      </c>
      <c r="AB12299">
        <v>0</v>
      </c>
      <c r="AC12299">
        <v>0</v>
      </c>
      <c r="AD12299">
        <v>1</v>
      </c>
      <c r="AE12299">
        <v>1</v>
      </c>
      <c r="AF12299">
        <v>1</v>
      </c>
      <c r="AG12299">
        <v>1</v>
      </c>
      <c r="AH12299">
        <v>1</v>
      </c>
      <c r="AI12299">
        <v>1</v>
      </c>
      <c r="AJ12299">
        <v>1</v>
      </c>
      <c r="AK12299">
        <v>1</v>
      </c>
      <c r="AL12299">
        <v>1</v>
      </c>
      <c r="AM12299">
        <v>1</v>
      </c>
    </row>
    <row r="12300" spans="1:39" x14ac:dyDescent="0.2">
      <c r="A12300" t="str">
        <f>"12296"</f>
        <v>12296</v>
      </c>
      <c r="B12300" t="str">
        <f t="shared" si="683"/>
        <v>1</v>
      </c>
      <c r="C12300" t="str">
        <f t="shared" si="684"/>
        <v>246</v>
      </c>
      <c r="D12300" t="str">
        <f>"29"</f>
        <v>29</v>
      </c>
      <c r="E12300" t="str">
        <f>"1-246-29"</f>
        <v>1-246-29</v>
      </c>
      <c r="F12300" t="s">
        <v>65</v>
      </c>
      <c r="G12300" t="s">
        <v>66</v>
      </c>
      <c r="H12300" t="s">
        <v>67</v>
      </c>
      <c r="S12300">
        <v>1</v>
      </c>
      <c r="T12300">
        <v>0</v>
      </c>
      <c r="U12300">
        <v>0</v>
      </c>
      <c r="V12300">
        <v>0</v>
      </c>
      <c r="W12300">
        <v>0</v>
      </c>
      <c r="X12300">
        <v>1</v>
      </c>
      <c r="Y12300">
        <v>1</v>
      </c>
      <c r="Z12300">
        <v>0</v>
      </c>
      <c r="AA12300">
        <v>1</v>
      </c>
      <c r="AB12300">
        <v>0</v>
      </c>
      <c r="AC12300">
        <v>0</v>
      </c>
      <c r="AD12300">
        <v>1</v>
      </c>
      <c r="AE12300">
        <v>1</v>
      </c>
      <c r="AF12300">
        <v>1</v>
      </c>
      <c r="AG12300">
        <v>1</v>
      </c>
      <c r="AH12300">
        <v>1</v>
      </c>
      <c r="AI12300">
        <v>1</v>
      </c>
      <c r="AJ12300">
        <v>1</v>
      </c>
      <c r="AK12300">
        <v>1</v>
      </c>
      <c r="AL12300">
        <v>1</v>
      </c>
      <c r="AM12300">
        <v>1</v>
      </c>
    </row>
    <row r="12301" spans="1:39" x14ac:dyDescent="0.2">
      <c r="A12301" t="str">
        <f>"12297"</f>
        <v>12297</v>
      </c>
      <c r="B12301" t="str">
        <f t="shared" si="683"/>
        <v>1</v>
      </c>
      <c r="C12301" t="str">
        <f t="shared" si="684"/>
        <v>246</v>
      </c>
      <c r="D12301" t="str">
        <f>"14"</f>
        <v>14</v>
      </c>
      <c r="E12301" t="str">
        <f>"1-246-14"</f>
        <v>1-246-14</v>
      </c>
      <c r="F12301" t="s">
        <v>65</v>
      </c>
      <c r="G12301" t="s">
        <v>66</v>
      </c>
      <c r="H12301" t="s">
        <v>67</v>
      </c>
      <c r="S12301">
        <v>0</v>
      </c>
      <c r="T12301">
        <v>1</v>
      </c>
      <c r="U12301">
        <v>0</v>
      </c>
      <c r="V12301">
        <v>0</v>
      </c>
      <c r="W12301">
        <v>1</v>
      </c>
      <c r="X12301">
        <v>0</v>
      </c>
      <c r="Y12301">
        <v>0</v>
      </c>
      <c r="Z12301">
        <v>1</v>
      </c>
      <c r="AA12301">
        <v>1</v>
      </c>
      <c r="AB12301">
        <v>0</v>
      </c>
      <c r="AC12301">
        <v>0</v>
      </c>
      <c r="AD12301">
        <v>0</v>
      </c>
      <c r="AE12301">
        <v>1</v>
      </c>
      <c r="AF12301">
        <v>0</v>
      </c>
      <c r="AG12301">
        <v>1</v>
      </c>
      <c r="AH12301">
        <v>0</v>
      </c>
      <c r="AI12301">
        <v>0</v>
      </c>
      <c r="AJ12301">
        <v>0</v>
      </c>
      <c r="AK12301">
        <v>1</v>
      </c>
      <c r="AL12301">
        <v>1</v>
      </c>
      <c r="AM12301">
        <v>1</v>
      </c>
    </row>
    <row r="12302" spans="1:39" x14ac:dyDescent="0.2">
      <c r="A12302" t="str">
        <f>"12298"</f>
        <v>12298</v>
      </c>
      <c r="B12302" t="str">
        <f t="shared" si="683"/>
        <v>1</v>
      </c>
      <c r="C12302" t="str">
        <f t="shared" si="684"/>
        <v>246</v>
      </c>
      <c r="D12302" t="str">
        <f>"48"</f>
        <v>48</v>
      </c>
      <c r="E12302" t="str">
        <f>"1-246-48"</f>
        <v>1-246-48</v>
      </c>
      <c r="F12302" t="s">
        <v>65</v>
      </c>
      <c r="G12302" t="s">
        <v>66</v>
      </c>
      <c r="H12302" t="s">
        <v>67</v>
      </c>
      <c r="S12302">
        <v>1</v>
      </c>
      <c r="T12302">
        <v>0</v>
      </c>
      <c r="U12302">
        <v>0</v>
      </c>
      <c r="V12302">
        <v>0</v>
      </c>
      <c r="W12302">
        <v>1</v>
      </c>
      <c r="X12302">
        <v>0</v>
      </c>
      <c r="Y12302">
        <v>0</v>
      </c>
      <c r="Z12302">
        <v>1</v>
      </c>
      <c r="AA12302">
        <v>0</v>
      </c>
      <c r="AB12302">
        <v>0</v>
      </c>
      <c r="AC12302">
        <v>0</v>
      </c>
      <c r="AD12302">
        <v>1</v>
      </c>
      <c r="AE12302">
        <v>0</v>
      </c>
      <c r="AF12302">
        <v>0</v>
      </c>
      <c r="AG12302">
        <v>0</v>
      </c>
      <c r="AH12302">
        <v>0</v>
      </c>
      <c r="AI12302">
        <v>1</v>
      </c>
      <c r="AJ12302">
        <v>0</v>
      </c>
      <c r="AK12302">
        <v>0</v>
      </c>
      <c r="AL12302">
        <v>0</v>
      </c>
      <c r="AM12302">
        <v>0</v>
      </c>
    </row>
    <row r="12303" spans="1:39" x14ac:dyDescent="0.2">
      <c r="A12303" t="str">
        <f>"12299"</f>
        <v>12299</v>
      </c>
      <c r="B12303" t="str">
        <f t="shared" si="683"/>
        <v>1</v>
      </c>
      <c r="C12303" t="str">
        <f t="shared" si="684"/>
        <v>246</v>
      </c>
      <c r="D12303" t="str">
        <f>"30"</f>
        <v>30</v>
      </c>
      <c r="E12303" t="str">
        <f>"1-246-30"</f>
        <v>1-246-30</v>
      </c>
      <c r="F12303" t="s">
        <v>65</v>
      </c>
      <c r="G12303" t="s">
        <v>66</v>
      </c>
      <c r="H12303" t="s">
        <v>67</v>
      </c>
      <c r="S12303">
        <v>1</v>
      </c>
      <c r="T12303">
        <v>0</v>
      </c>
      <c r="U12303">
        <v>0</v>
      </c>
      <c r="V12303">
        <v>0</v>
      </c>
      <c r="W12303">
        <v>0</v>
      </c>
      <c r="X12303">
        <v>1</v>
      </c>
      <c r="Y12303">
        <v>1</v>
      </c>
      <c r="Z12303">
        <v>0</v>
      </c>
      <c r="AA12303">
        <v>0</v>
      </c>
      <c r="AB12303">
        <v>1</v>
      </c>
      <c r="AC12303">
        <v>0</v>
      </c>
      <c r="AD12303">
        <v>1</v>
      </c>
      <c r="AE12303">
        <v>1</v>
      </c>
      <c r="AF12303">
        <v>1</v>
      </c>
      <c r="AG12303">
        <v>1</v>
      </c>
      <c r="AH12303">
        <v>1</v>
      </c>
      <c r="AI12303">
        <v>1</v>
      </c>
      <c r="AJ12303">
        <v>1</v>
      </c>
      <c r="AK12303">
        <v>1</v>
      </c>
      <c r="AL12303">
        <v>1</v>
      </c>
      <c r="AM12303">
        <v>1</v>
      </c>
    </row>
    <row r="12304" spans="1:39" x14ac:dyDescent="0.2">
      <c r="A12304" t="str">
        <f>"12300"</f>
        <v>12300</v>
      </c>
      <c r="B12304" t="str">
        <f t="shared" si="683"/>
        <v>1</v>
      </c>
      <c r="C12304" t="str">
        <f t="shared" si="684"/>
        <v>246</v>
      </c>
      <c r="D12304" t="str">
        <f>"12"</f>
        <v>12</v>
      </c>
      <c r="E12304" t="str">
        <f>"1-246-12"</f>
        <v>1-246-12</v>
      </c>
      <c r="F12304" t="s">
        <v>65</v>
      </c>
      <c r="G12304" t="s">
        <v>66</v>
      </c>
      <c r="H12304" t="s">
        <v>67</v>
      </c>
      <c r="S12304">
        <v>1</v>
      </c>
      <c r="T12304">
        <v>0</v>
      </c>
      <c r="U12304">
        <v>0</v>
      </c>
      <c r="V12304">
        <v>0</v>
      </c>
      <c r="W12304">
        <v>1</v>
      </c>
      <c r="X12304">
        <v>0</v>
      </c>
      <c r="Y12304">
        <v>1</v>
      </c>
      <c r="Z12304">
        <v>0</v>
      </c>
      <c r="AA12304">
        <v>0</v>
      </c>
      <c r="AB12304">
        <v>1</v>
      </c>
      <c r="AC12304">
        <v>0</v>
      </c>
      <c r="AD12304">
        <v>1</v>
      </c>
      <c r="AE12304">
        <v>1</v>
      </c>
      <c r="AF12304">
        <v>1</v>
      </c>
      <c r="AG12304">
        <v>1</v>
      </c>
      <c r="AH12304">
        <v>1</v>
      </c>
      <c r="AI12304">
        <v>1</v>
      </c>
      <c r="AJ12304">
        <v>1</v>
      </c>
      <c r="AK12304">
        <v>1</v>
      </c>
      <c r="AL12304">
        <v>1</v>
      </c>
      <c r="AM12304">
        <v>1</v>
      </c>
    </row>
    <row r="12305" spans="1:39" x14ac:dyDescent="0.2">
      <c r="A12305" t="str">
        <f>"12301"</f>
        <v>12301</v>
      </c>
      <c r="B12305" t="str">
        <f t="shared" si="683"/>
        <v>1</v>
      </c>
      <c r="C12305" t="str">
        <f t="shared" ref="C12305:C12336" si="685">"247"</f>
        <v>247</v>
      </c>
      <c r="D12305" t="str">
        <f>"36"</f>
        <v>36</v>
      </c>
      <c r="E12305" t="str">
        <f>"1-247-36"</f>
        <v>1-247-36</v>
      </c>
      <c r="F12305" t="s">
        <v>65</v>
      </c>
      <c r="G12305" t="s">
        <v>66</v>
      </c>
      <c r="H12305" t="s">
        <v>67</v>
      </c>
      <c r="S12305">
        <v>0</v>
      </c>
      <c r="T12305">
        <v>1</v>
      </c>
      <c r="U12305">
        <v>0</v>
      </c>
      <c r="V12305">
        <v>0</v>
      </c>
      <c r="W12305">
        <v>1</v>
      </c>
      <c r="X12305">
        <v>0</v>
      </c>
      <c r="Y12305">
        <v>0</v>
      </c>
      <c r="Z12305">
        <v>1</v>
      </c>
      <c r="AA12305">
        <v>1</v>
      </c>
      <c r="AB12305">
        <v>0</v>
      </c>
      <c r="AC12305">
        <v>0</v>
      </c>
      <c r="AD12305">
        <v>1</v>
      </c>
      <c r="AE12305">
        <v>1</v>
      </c>
      <c r="AF12305">
        <v>1</v>
      </c>
      <c r="AG12305">
        <v>1</v>
      </c>
      <c r="AH12305">
        <v>1</v>
      </c>
      <c r="AI12305">
        <v>1</v>
      </c>
      <c r="AJ12305">
        <v>1</v>
      </c>
      <c r="AK12305">
        <v>1</v>
      </c>
      <c r="AL12305">
        <v>1</v>
      </c>
      <c r="AM12305">
        <v>1</v>
      </c>
    </row>
    <row r="12306" spans="1:39" x14ac:dyDescent="0.2">
      <c r="A12306" t="str">
        <f>"12302"</f>
        <v>12302</v>
      </c>
      <c r="B12306" t="str">
        <f t="shared" si="683"/>
        <v>1</v>
      </c>
      <c r="C12306" t="str">
        <f t="shared" si="685"/>
        <v>247</v>
      </c>
      <c r="D12306" t="str">
        <f>"35"</f>
        <v>35</v>
      </c>
      <c r="E12306" t="str">
        <f>"1-247-35"</f>
        <v>1-247-35</v>
      </c>
      <c r="F12306" t="s">
        <v>65</v>
      </c>
      <c r="G12306" t="s">
        <v>66</v>
      </c>
      <c r="H12306" t="s">
        <v>67</v>
      </c>
      <c r="S12306">
        <v>1</v>
      </c>
      <c r="T12306">
        <v>0</v>
      </c>
      <c r="U12306">
        <v>0</v>
      </c>
      <c r="V12306">
        <v>0</v>
      </c>
      <c r="W12306">
        <v>1</v>
      </c>
      <c r="X12306">
        <v>0</v>
      </c>
      <c r="Y12306">
        <v>1</v>
      </c>
      <c r="Z12306">
        <v>0</v>
      </c>
      <c r="AA12306">
        <v>1</v>
      </c>
      <c r="AB12306">
        <v>0</v>
      </c>
      <c r="AC12306">
        <v>0</v>
      </c>
      <c r="AD12306">
        <v>0</v>
      </c>
      <c r="AE12306">
        <v>0</v>
      </c>
      <c r="AF12306">
        <v>0</v>
      </c>
      <c r="AG12306">
        <v>1</v>
      </c>
      <c r="AH12306">
        <v>1</v>
      </c>
      <c r="AI12306">
        <v>1</v>
      </c>
      <c r="AJ12306">
        <v>0</v>
      </c>
      <c r="AK12306">
        <v>0</v>
      </c>
      <c r="AL12306">
        <v>1</v>
      </c>
      <c r="AM12306">
        <v>0</v>
      </c>
    </row>
    <row r="12307" spans="1:39" x14ac:dyDescent="0.2">
      <c r="A12307" t="str">
        <f>"12303"</f>
        <v>12303</v>
      </c>
      <c r="B12307" t="str">
        <f t="shared" si="683"/>
        <v>1</v>
      </c>
      <c r="C12307" t="str">
        <f t="shared" si="685"/>
        <v>247</v>
      </c>
      <c r="D12307" t="str">
        <f>"22"</f>
        <v>22</v>
      </c>
      <c r="E12307" t="str">
        <f>"1-247-22"</f>
        <v>1-247-22</v>
      </c>
      <c r="F12307" t="s">
        <v>65</v>
      </c>
      <c r="G12307" t="s">
        <v>66</v>
      </c>
      <c r="H12307" t="s">
        <v>67</v>
      </c>
      <c r="S12307">
        <v>1</v>
      </c>
      <c r="T12307">
        <v>0</v>
      </c>
      <c r="U12307">
        <v>0</v>
      </c>
      <c r="V12307">
        <v>0</v>
      </c>
      <c r="W12307">
        <v>1</v>
      </c>
      <c r="X12307">
        <v>0</v>
      </c>
      <c r="Y12307">
        <v>1</v>
      </c>
      <c r="Z12307">
        <v>0</v>
      </c>
      <c r="AA12307">
        <v>1</v>
      </c>
      <c r="AB12307">
        <v>0</v>
      </c>
      <c r="AC12307">
        <v>0</v>
      </c>
      <c r="AD12307">
        <v>0</v>
      </c>
      <c r="AE12307">
        <v>0</v>
      </c>
      <c r="AF12307">
        <v>0</v>
      </c>
      <c r="AG12307">
        <v>0</v>
      </c>
      <c r="AH12307">
        <v>0</v>
      </c>
      <c r="AI12307">
        <v>0</v>
      </c>
      <c r="AJ12307">
        <v>0</v>
      </c>
      <c r="AK12307">
        <v>0</v>
      </c>
      <c r="AL12307">
        <v>0</v>
      </c>
      <c r="AM12307">
        <v>0</v>
      </c>
    </row>
    <row r="12308" spans="1:39" x14ac:dyDescent="0.2">
      <c r="A12308" t="str">
        <f>"12304"</f>
        <v>12304</v>
      </c>
      <c r="B12308" t="str">
        <f t="shared" si="683"/>
        <v>1</v>
      </c>
      <c r="C12308" t="str">
        <f t="shared" si="685"/>
        <v>247</v>
      </c>
      <c r="D12308" t="str">
        <f>"15"</f>
        <v>15</v>
      </c>
      <c r="E12308" t="str">
        <f>"1-247-15"</f>
        <v>1-247-15</v>
      </c>
      <c r="F12308" t="s">
        <v>65</v>
      </c>
      <c r="G12308" t="s">
        <v>66</v>
      </c>
      <c r="H12308" t="s">
        <v>67</v>
      </c>
      <c r="S12308">
        <v>0</v>
      </c>
      <c r="T12308">
        <v>1</v>
      </c>
      <c r="U12308">
        <v>0</v>
      </c>
      <c r="V12308">
        <v>0</v>
      </c>
      <c r="W12308">
        <v>0</v>
      </c>
      <c r="X12308">
        <v>1</v>
      </c>
      <c r="Y12308">
        <v>0</v>
      </c>
      <c r="Z12308">
        <v>1</v>
      </c>
      <c r="AA12308">
        <v>0</v>
      </c>
      <c r="AB12308">
        <v>0</v>
      </c>
      <c r="AC12308">
        <v>1</v>
      </c>
      <c r="AD12308">
        <v>1</v>
      </c>
      <c r="AE12308">
        <v>1</v>
      </c>
      <c r="AF12308">
        <v>1</v>
      </c>
      <c r="AG12308">
        <v>1</v>
      </c>
      <c r="AH12308">
        <v>1</v>
      </c>
      <c r="AI12308">
        <v>1</v>
      </c>
      <c r="AJ12308">
        <v>1</v>
      </c>
      <c r="AK12308">
        <v>1</v>
      </c>
      <c r="AL12308">
        <v>1</v>
      </c>
      <c r="AM12308">
        <v>1</v>
      </c>
    </row>
    <row r="12309" spans="1:39" x14ac:dyDescent="0.2">
      <c r="A12309" t="str">
        <f>"12305"</f>
        <v>12305</v>
      </c>
      <c r="B12309" t="str">
        <f t="shared" si="683"/>
        <v>1</v>
      </c>
      <c r="C12309" t="str">
        <f t="shared" si="685"/>
        <v>247</v>
      </c>
      <c r="D12309" t="str">
        <f>"3"</f>
        <v>3</v>
      </c>
      <c r="E12309" t="str">
        <f>"1-247-3"</f>
        <v>1-247-3</v>
      </c>
      <c r="F12309" t="s">
        <v>65</v>
      </c>
      <c r="G12309" t="s">
        <v>66</v>
      </c>
      <c r="H12309" t="s">
        <v>67</v>
      </c>
      <c r="S12309">
        <v>0</v>
      </c>
      <c r="T12309">
        <v>0</v>
      </c>
      <c r="U12309">
        <v>0</v>
      </c>
      <c r="V12309">
        <v>0</v>
      </c>
      <c r="W12309">
        <v>0</v>
      </c>
      <c r="X12309">
        <v>1</v>
      </c>
      <c r="Y12309">
        <v>0</v>
      </c>
      <c r="Z12309">
        <v>0</v>
      </c>
      <c r="AA12309">
        <v>0</v>
      </c>
      <c r="AB12309">
        <v>0</v>
      </c>
      <c r="AC12309">
        <v>0</v>
      </c>
      <c r="AD12309">
        <v>0</v>
      </c>
      <c r="AE12309">
        <v>0</v>
      </c>
      <c r="AF12309">
        <v>0</v>
      </c>
      <c r="AG12309">
        <v>0</v>
      </c>
      <c r="AH12309">
        <v>0</v>
      </c>
      <c r="AI12309">
        <v>1</v>
      </c>
      <c r="AJ12309">
        <v>0</v>
      </c>
      <c r="AK12309">
        <v>1</v>
      </c>
      <c r="AL12309">
        <v>1</v>
      </c>
      <c r="AM12309">
        <v>1</v>
      </c>
    </row>
    <row r="12310" spans="1:39" x14ac:dyDescent="0.2">
      <c r="A12310" t="str">
        <f>"12306"</f>
        <v>12306</v>
      </c>
      <c r="B12310" t="str">
        <f t="shared" si="683"/>
        <v>1</v>
      </c>
      <c r="C12310" t="str">
        <f t="shared" si="685"/>
        <v>247</v>
      </c>
      <c r="D12310" t="str">
        <f>"38"</f>
        <v>38</v>
      </c>
      <c r="E12310" t="str">
        <f>"1-247-38"</f>
        <v>1-247-38</v>
      </c>
      <c r="F12310" t="s">
        <v>65</v>
      </c>
      <c r="G12310" t="s">
        <v>66</v>
      </c>
      <c r="H12310" t="s">
        <v>67</v>
      </c>
      <c r="S12310">
        <v>0</v>
      </c>
      <c r="T12310">
        <v>1</v>
      </c>
      <c r="U12310">
        <v>0</v>
      </c>
      <c r="V12310">
        <v>0</v>
      </c>
      <c r="W12310">
        <v>1</v>
      </c>
      <c r="X12310">
        <v>0</v>
      </c>
      <c r="Y12310">
        <v>0</v>
      </c>
      <c r="Z12310">
        <v>1</v>
      </c>
      <c r="AA12310">
        <v>0</v>
      </c>
      <c r="AB12310">
        <v>1</v>
      </c>
      <c r="AC12310">
        <v>0</v>
      </c>
      <c r="AD12310">
        <v>1</v>
      </c>
      <c r="AE12310">
        <v>1</v>
      </c>
      <c r="AF12310">
        <v>1</v>
      </c>
      <c r="AG12310">
        <v>1</v>
      </c>
      <c r="AH12310">
        <v>1</v>
      </c>
      <c r="AI12310">
        <v>1</v>
      </c>
      <c r="AJ12310">
        <v>1</v>
      </c>
      <c r="AK12310">
        <v>1</v>
      </c>
      <c r="AL12310">
        <v>1</v>
      </c>
      <c r="AM12310">
        <v>1</v>
      </c>
    </row>
    <row r="12311" spans="1:39" x14ac:dyDescent="0.2">
      <c r="A12311" t="str">
        <f>"12307"</f>
        <v>12307</v>
      </c>
      <c r="B12311" t="str">
        <f t="shared" si="683"/>
        <v>1</v>
      </c>
      <c r="C12311" t="str">
        <f t="shared" si="685"/>
        <v>247</v>
      </c>
      <c r="D12311" t="str">
        <f>"37"</f>
        <v>37</v>
      </c>
      <c r="E12311" t="str">
        <f>"1-247-37"</f>
        <v>1-247-37</v>
      </c>
      <c r="F12311" t="s">
        <v>65</v>
      </c>
      <c r="G12311" t="s">
        <v>66</v>
      </c>
      <c r="H12311" t="s">
        <v>67</v>
      </c>
      <c r="S12311">
        <v>0</v>
      </c>
      <c r="T12311">
        <v>1</v>
      </c>
      <c r="U12311">
        <v>0</v>
      </c>
      <c r="V12311">
        <v>0</v>
      </c>
      <c r="W12311">
        <v>1</v>
      </c>
      <c r="X12311">
        <v>0</v>
      </c>
      <c r="Y12311">
        <v>0</v>
      </c>
      <c r="Z12311">
        <v>1</v>
      </c>
      <c r="AA12311">
        <v>0</v>
      </c>
      <c r="AB12311">
        <v>1</v>
      </c>
      <c r="AC12311">
        <v>0</v>
      </c>
      <c r="AD12311">
        <v>0</v>
      </c>
      <c r="AE12311">
        <v>0</v>
      </c>
      <c r="AF12311">
        <v>0</v>
      </c>
      <c r="AG12311">
        <v>1</v>
      </c>
      <c r="AH12311">
        <v>0</v>
      </c>
      <c r="AI12311">
        <v>0</v>
      </c>
      <c r="AJ12311">
        <v>0</v>
      </c>
      <c r="AK12311">
        <v>0</v>
      </c>
      <c r="AL12311">
        <v>1</v>
      </c>
      <c r="AM12311">
        <v>0</v>
      </c>
    </row>
    <row r="12312" spans="1:39" x14ac:dyDescent="0.2">
      <c r="A12312" t="str">
        <f>"12308"</f>
        <v>12308</v>
      </c>
      <c r="B12312" t="str">
        <f t="shared" si="683"/>
        <v>1</v>
      </c>
      <c r="C12312" t="str">
        <f t="shared" si="685"/>
        <v>247</v>
      </c>
      <c r="D12312" t="str">
        <f>"25"</f>
        <v>25</v>
      </c>
      <c r="E12312" t="str">
        <f>"1-247-25"</f>
        <v>1-247-25</v>
      </c>
      <c r="F12312" t="s">
        <v>65</v>
      </c>
      <c r="G12312" t="s">
        <v>66</v>
      </c>
      <c r="H12312" t="s">
        <v>67</v>
      </c>
      <c r="S12312">
        <v>1</v>
      </c>
      <c r="T12312">
        <v>0</v>
      </c>
      <c r="U12312">
        <v>0</v>
      </c>
      <c r="V12312">
        <v>0</v>
      </c>
      <c r="W12312">
        <v>1</v>
      </c>
      <c r="X12312">
        <v>0</v>
      </c>
      <c r="Y12312">
        <v>0</v>
      </c>
      <c r="Z12312">
        <v>1</v>
      </c>
      <c r="AA12312">
        <v>1</v>
      </c>
      <c r="AB12312">
        <v>0</v>
      </c>
      <c r="AC12312">
        <v>0</v>
      </c>
      <c r="AD12312">
        <v>0</v>
      </c>
      <c r="AE12312">
        <v>0</v>
      </c>
      <c r="AF12312">
        <v>0</v>
      </c>
      <c r="AG12312">
        <v>1</v>
      </c>
      <c r="AH12312">
        <v>0</v>
      </c>
      <c r="AI12312">
        <v>0</v>
      </c>
      <c r="AJ12312">
        <v>0</v>
      </c>
      <c r="AK12312">
        <v>0</v>
      </c>
      <c r="AL12312">
        <v>1</v>
      </c>
      <c r="AM12312">
        <v>0</v>
      </c>
    </row>
    <row r="12313" spans="1:39" x14ac:dyDescent="0.2">
      <c r="A12313" t="str">
        <f>"12309"</f>
        <v>12309</v>
      </c>
      <c r="B12313" t="str">
        <f t="shared" si="683"/>
        <v>1</v>
      </c>
      <c r="C12313" t="str">
        <f t="shared" si="685"/>
        <v>247</v>
      </c>
      <c r="D12313" t="str">
        <f>"16"</f>
        <v>16</v>
      </c>
      <c r="E12313" t="str">
        <f>"1-247-16"</f>
        <v>1-247-16</v>
      </c>
      <c r="F12313" t="s">
        <v>65</v>
      </c>
      <c r="G12313" t="s">
        <v>66</v>
      </c>
      <c r="H12313" t="s">
        <v>67</v>
      </c>
      <c r="S12313">
        <v>1</v>
      </c>
      <c r="T12313">
        <v>0</v>
      </c>
      <c r="U12313">
        <v>0</v>
      </c>
      <c r="V12313">
        <v>0</v>
      </c>
      <c r="W12313">
        <v>1</v>
      </c>
      <c r="X12313">
        <v>0</v>
      </c>
      <c r="Y12313">
        <v>1</v>
      </c>
      <c r="Z12313">
        <v>0</v>
      </c>
      <c r="AA12313">
        <v>1</v>
      </c>
      <c r="AB12313">
        <v>0</v>
      </c>
      <c r="AC12313">
        <v>0</v>
      </c>
      <c r="AD12313">
        <v>1</v>
      </c>
      <c r="AE12313">
        <v>1</v>
      </c>
      <c r="AF12313">
        <v>1</v>
      </c>
      <c r="AG12313">
        <v>1</v>
      </c>
      <c r="AH12313">
        <v>1</v>
      </c>
      <c r="AI12313">
        <v>1</v>
      </c>
      <c r="AJ12313">
        <v>1</v>
      </c>
      <c r="AK12313">
        <v>1</v>
      </c>
      <c r="AL12313">
        <v>1</v>
      </c>
      <c r="AM12313">
        <v>1</v>
      </c>
    </row>
    <row r="12314" spans="1:39" x14ac:dyDescent="0.2">
      <c r="A12314" t="str">
        <f>"12310"</f>
        <v>12310</v>
      </c>
      <c r="B12314" t="str">
        <f t="shared" si="683"/>
        <v>1</v>
      </c>
      <c r="C12314" t="str">
        <f t="shared" si="685"/>
        <v>247</v>
      </c>
      <c r="D12314" t="str">
        <f>"7"</f>
        <v>7</v>
      </c>
      <c r="E12314" t="str">
        <f>"1-247-7"</f>
        <v>1-247-7</v>
      </c>
      <c r="F12314" t="s">
        <v>65</v>
      </c>
      <c r="G12314" t="s">
        <v>66</v>
      </c>
      <c r="H12314" t="s">
        <v>67</v>
      </c>
      <c r="S12314">
        <v>1</v>
      </c>
      <c r="T12314">
        <v>0</v>
      </c>
      <c r="U12314">
        <v>0</v>
      </c>
      <c r="V12314">
        <v>0</v>
      </c>
      <c r="W12314">
        <v>1</v>
      </c>
      <c r="X12314">
        <v>0</v>
      </c>
      <c r="Y12314">
        <v>0</v>
      </c>
      <c r="Z12314">
        <v>1</v>
      </c>
      <c r="AA12314">
        <v>0</v>
      </c>
      <c r="AB12314">
        <v>0</v>
      </c>
      <c r="AC12314">
        <v>1</v>
      </c>
      <c r="AD12314">
        <v>1</v>
      </c>
      <c r="AE12314">
        <v>1</v>
      </c>
      <c r="AF12314">
        <v>1</v>
      </c>
      <c r="AG12314">
        <v>1</v>
      </c>
      <c r="AH12314">
        <v>1</v>
      </c>
      <c r="AI12314">
        <v>1</v>
      </c>
      <c r="AJ12314">
        <v>1</v>
      </c>
      <c r="AK12314">
        <v>0</v>
      </c>
      <c r="AL12314">
        <v>1</v>
      </c>
      <c r="AM12314">
        <v>1</v>
      </c>
    </row>
    <row r="12315" spans="1:39" x14ac:dyDescent="0.2">
      <c r="A12315" t="str">
        <f>"12311"</f>
        <v>12311</v>
      </c>
      <c r="B12315" t="str">
        <f t="shared" si="683"/>
        <v>1</v>
      </c>
      <c r="C12315" t="str">
        <f t="shared" si="685"/>
        <v>247</v>
      </c>
      <c r="D12315" t="str">
        <f>"32"</f>
        <v>32</v>
      </c>
      <c r="E12315" t="str">
        <f>"1-247-32"</f>
        <v>1-247-32</v>
      </c>
      <c r="F12315" t="s">
        <v>65</v>
      </c>
      <c r="G12315" t="s">
        <v>66</v>
      </c>
      <c r="H12315" t="s">
        <v>67</v>
      </c>
      <c r="S12315">
        <v>1</v>
      </c>
      <c r="T12315">
        <v>0</v>
      </c>
      <c r="U12315">
        <v>0</v>
      </c>
      <c r="V12315">
        <v>0</v>
      </c>
      <c r="W12315">
        <v>0</v>
      </c>
      <c r="X12315">
        <v>1</v>
      </c>
      <c r="Y12315">
        <v>1</v>
      </c>
      <c r="Z12315">
        <v>0</v>
      </c>
      <c r="AA12315">
        <v>1</v>
      </c>
      <c r="AB12315">
        <v>0</v>
      </c>
      <c r="AC12315">
        <v>0</v>
      </c>
      <c r="AD12315">
        <v>1</v>
      </c>
      <c r="AE12315">
        <v>1</v>
      </c>
      <c r="AF12315">
        <v>1</v>
      </c>
      <c r="AG12315">
        <v>1</v>
      </c>
      <c r="AH12315">
        <v>1</v>
      </c>
      <c r="AI12315">
        <v>1</v>
      </c>
      <c r="AJ12315">
        <v>1</v>
      </c>
      <c r="AK12315">
        <v>1</v>
      </c>
      <c r="AL12315">
        <v>1</v>
      </c>
      <c r="AM12315">
        <v>1</v>
      </c>
    </row>
    <row r="12316" spans="1:39" x14ac:dyDescent="0.2">
      <c r="A12316" t="str">
        <f>"12312"</f>
        <v>12312</v>
      </c>
      <c r="B12316" t="str">
        <f t="shared" si="683"/>
        <v>1</v>
      </c>
      <c r="C12316" t="str">
        <f t="shared" si="685"/>
        <v>247</v>
      </c>
      <c r="D12316" t="str">
        <f>"17"</f>
        <v>17</v>
      </c>
      <c r="E12316" t="str">
        <f>"1-247-17"</f>
        <v>1-247-17</v>
      </c>
      <c r="F12316" t="s">
        <v>65</v>
      </c>
      <c r="G12316" t="s">
        <v>66</v>
      </c>
      <c r="H12316" t="s">
        <v>67</v>
      </c>
      <c r="S12316">
        <v>0</v>
      </c>
      <c r="T12316">
        <v>1</v>
      </c>
      <c r="U12316">
        <v>0</v>
      </c>
      <c r="V12316">
        <v>0</v>
      </c>
      <c r="W12316">
        <v>1</v>
      </c>
      <c r="X12316">
        <v>0</v>
      </c>
      <c r="Y12316">
        <v>1</v>
      </c>
      <c r="Z12316">
        <v>0</v>
      </c>
      <c r="AA12316">
        <v>0</v>
      </c>
      <c r="AB12316">
        <v>1</v>
      </c>
      <c r="AC12316">
        <v>0</v>
      </c>
      <c r="AD12316">
        <v>1</v>
      </c>
      <c r="AE12316">
        <v>1</v>
      </c>
      <c r="AF12316">
        <v>1</v>
      </c>
      <c r="AG12316">
        <v>1</v>
      </c>
      <c r="AH12316">
        <v>1</v>
      </c>
      <c r="AI12316">
        <v>1</v>
      </c>
      <c r="AJ12316">
        <v>1</v>
      </c>
      <c r="AK12316">
        <v>1</v>
      </c>
      <c r="AL12316">
        <v>1</v>
      </c>
      <c r="AM12316">
        <v>1</v>
      </c>
    </row>
    <row r="12317" spans="1:39" x14ac:dyDescent="0.2">
      <c r="A12317" t="str">
        <f>"12313"</f>
        <v>12313</v>
      </c>
      <c r="B12317" t="str">
        <f t="shared" si="683"/>
        <v>1</v>
      </c>
      <c r="C12317" t="str">
        <f t="shared" si="685"/>
        <v>247</v>
      </c>
      <c r="D12317" t="str">
        <f>"6"</f>
        <v>6</v>
      </c>
      <c r="E12317" t="str">
        <f>"1-247-6"</f>
        <v>1-247-6</v>
      </c>
      <c r="F12317" t="s">
        <v>65</v>
      </c>
      <c r="G12317" t="s">
        <v>66</v>
      </c>
      <c r="H12317" t="s">
        <v>67</v>
      </c>
      <c r="S12317">
        <v>1</v>
      </c>
      <c r="T12317">
        <v>0</v>
      </c>
      <c r="U12317">
        <v>0</v>
      </c>
      <c r="V12317">
        <v>0</v>
      </c>
      <c r="W12317">
        <v>1</v>
      </c>
      <c r="X12317">
        <v>0</v>
      </c>
      <c r="Y12317">
        <v>1</v>
      </c>
      <c r="Z12317">
        <v>0</v>
      </c>
      <c r="AA12317">
        <v>1</v>
      </c>
      <c r="AB12317">
        <v>0</v>
      </c>
      <c r="AC12317">
        <v>0</v>
      </c>
      <c r="AD12317">
        <v>1</v>
      </c>
      <c r="AE12317">
        <v>1</v>
      </c>
      <c r="AF12317">
        <v>1</v>
      </c>
      <c r="AG12317">
        <v>1</v>
      </c>
      <c r="AH12317">
        <v>1</v>
      </c>
      <c r="AI12317">
        <v>1</v>
      </c>
      <c r="AJ12317">
        <v>1</v>
      </c>
      <c r="AK12317">
        <v>1</v>
      </c>
      <c r="AL12317">
        <v>1</v>
      </c>
      <c r="AM12317">
        <v>1</v>
      </c>
    </row>
    <row r="12318" spans="1:39" x14ac:dyDescent="0.2">
      <c r="A12318" t="str">
        <f>"12314"</f>
        <v>12314</v>
      </c>
      <c r="B12318" t="str">
        <f t="shared" si="683"/>
        <v>1</v>
      </c>
      <c r="C12318" t="str">
        <f t="shared" si="685"/>
        <v>247</v>
      </c>
      <c r="D12318" t="str">
        <f>"42"</f>
        <v>42</v>
      </c>
      <c r="E12318" t="str">
        <f>"1-247-42"</f>
        <v>1-247-42</v>
      </c>
      <c r="F12318" t="s">
        <v>65</v>
      </c>
      <c r="G12318" t="s">
        <v>66</v>
      </c>
      <c r="H12318" t="s">
        <v>67</v>
      </c>
      <c r="S12318">
        <v>1</v>
      </c>
      <c r="T12318">
        <v>0</v>
      </c>
      <c r="U12318">
        <v>0</v>
      </c>
      <c r="V12318">
        <v>0</v>
      </c>
      <c r="W12318">
        <v>0</v>
      </c>
      <c r="X12318">
        <v>1</v>
      </c>
      <c r="Y12318">
        <v>0</v>
      </c>
      <c r="Z12318">
        <v>1</v>
      </c>
      <c r="AA12318">
        <v>0</v>
      </c>
      <c r="AB12318">
        <v>1</v>
      </c>
      <c r="AC12318">
        <v>0</v>
      </c>
      <c r="AD12318">
        <v>1</v>
      </c>
      <c r="AE12318">
        <v>1</v>
      </c>
      <c r="AF12318">
        <v>1</v>
      </c>
      <c r="AG12318">
        <v>1</v>
      </c>
      <c r="AH12318">
        <v>1</v>
      </c>
      <c r="AI12318">
        <v>1</v>
      </c>
      <c r="AJ12318">
        <v>1</v>
      </c>
      <c r="AK12318">
        <v>1</v>
      </c>
      <c r="AL12318">
        <v>1</v>
      </c>
      <c r="AM12318">
        <v>1</v>
      </c>
    </row>
    <row r="12319" spans="1:39" x14ac:dyDescent="0.2">
      <c r="A12319" t="str">
        <f>"12315"</f>
        <v>12315</v>
      </c>
      <c r="B12319" t="str">
        <f t="shared" si="683"/>
        <v>1</v>
      </c>
      <c r="C12319" t="str">
        <f t="shared" si="685"/>
        <v>247</v>
      </c>
      <c r="D12319" t="str">
        <f>"41"</f>
        <v>41</v>
      </c>
      <c r="E12319" t="str">
        <f>"1-247-41"</f>
        <v>1-247-41</v>
      </c>
      <c r="F12319" t="s">
        <v>65</v>
      </c>
      <c r="G12319" t="s">
        <v>66</v>
      </c>
      <c r="H12319" t="s">
        <v>67</v>
      </c>
      <c r="S12319">
        <v>1</v>
      </c>
      <c r="T12319">
        <v>0</v>
      </c>
      <c r="U12319">
        <v>0</v>
      </c>
      <c r="V12319">
        <v>0</v>
      </c>
      <c r="W12319">
        <v>1</v>
      </c>
      <c r="X12319">
        <v>0</v>
      </c>
      <c r="Y12319">
        <v>0</v>
      </c>
      <c r="Z12319">
        <v>1</v>
      </c>
      <c r="AA12319">
        <v>0</v>
      </c>
      <c r="AB12319">
        <v>1</v>
      </c>
      <c r="AC12319">
        <v>0</v>
      </c>
      <c r="AD12319">
        <v>0</v>
      </c>
      <c r="AE12319">
        <v>0</v>
      </c>
      <c r="AF12319">
        <v>0</v>
      </c>
      <c r="AG12319">
        <v>1</v>
      </c>
      <c r="AH12319">
        <v>0</v>
      </c>
      <c r="AI12319">
        <v>1</v>
      </c>
      <c r="AJ12319">
        <v>1</v>
      </c>
      <c r="AK12319">
        <v>0</v>
      </c>
      <c r="AL12319">
        <v>1</v>
      </c>
      <c r="AM12319">
        <v>1</v>
      </c>
    </row>
    <row r="12320" spans="1:39" x14ac:dyDescent="0.2">
      <c r="A12320" t="str">
        <f>"12316"</f>
        <v>12316</v>
      </c>
      <c r="B12320" t="str">
        <f t="shared" si="683"/>
        <v>1</v>
      </c>
      <c r="C12320" t="str">
        <f t="shared" si="685"/>
        <v>247</v>
      </c>
      <c r="D12320" t="str">
        <f>"31"</f>
        <v>31</v>
      </c>
      <c r="E12320" t="str">
        <f>"1-247-31"</f>
        <v>1-247-31</v>
      </c>
      <c r="F12320" t="s">
        <v>65</v>
      </c>
      <c r="G12320" t="s">
        <v>66</v>
      </c>
      <c r="H12320" t="s">
        <v>67</v>
      </c>
      <c r="S12320">
        <v>1</v>
      </c>
      <c r="T12320">
        <v>0</v>
      </c>
      <c r="U12320">
        <v>0</v>
      </c>
      <c r="V12320">
        <v>0</v>
      </c>
      <c r="W12320">
        <v>1</v>
      </c>
      <c r="X12320">
        <v>0</v>
      </c>
      <c r="Y12320">
        <v>1</v>
      </c>
      <c r="Z12320">
        <v>0</v>
      </c>
      <c r="AA12320">
        <v>0</v>
      </c>
      <c r="AB12320">
        <v>1</v>
      </c>
      <c r="AC12320">
        <v>0</v>
      </c>
      <c r="AD12320">
        <v>1</v>
      </c>
      <c r="AE12320">
        <v>1</v>
      </c>
      <c r="AF12320">
        <v>1</v>
      </c>
      <c r="AG12320">
        <v>1</v>
      </c>
      <c r="AH12320">
        <v>1</v>
      </c>
      <c r="AI12320">
        <v>1</v>
      </c>
      <c r="AJ12320">
        <v>1</v>
      </c>
      <c r="AK12320">
        <v>1</v>
      </c>
      <c r="AL12320">
        <v>1</v>
      </c>
      <c r="AM12320">
        <v>1</v>
      </c>
    </row>
    <row r="12321" spans="1:39" x14ac:dyDescent="0.2">
      <c r="A12321" t="str">
        <f>"12317"</f>
        <v>12317</v>
      </c>
      <c r="B12321" t="str">
        <f t="shared" si="683"/>
        <v>1</v>
      </c>
      <c r="C12321" t="str">
        <f t="shared" si="685"/>
        <v>247</v>
      </c>
      <c r="D12321" t="str">
        <f>"18"</f>
        <v>18</v>
      </c>
      <c r="E12321" t="str">
        <f>"1-247-18"</f>
        <v>1-247-18</v>
      </c>
      <c r="F12321" t="s">
        <v>65</v>
      </c>
      <c r="G12321" t="s">
        <v>66</v>
      </c>
      <c r="H12321" t="s">
        <v>67</v>
      </c>
      <c r="S12321">
        <v>0</v>
      </c>
      <c r="T12321">
        <v>1</v>
      </c>
      <c r="U12321">
        <v>0</v>
      </c>
      <c r="V12321">
        <v>0</v>
      </c>
      <c r="W12321">
        <v>0</v>
      </c>
      <c r="X12321">
        <v>1</v>
      </c>
      <c r="Y12321">
        <v>1</v>
      </c>
      <c r="Z12321">
        <v>0</v>
      </c>
      <c r="AA12321">
        <v>0</v>
      </c>
      <c r="AB12321">
        <v>1</v>
      </c>
      <c r="AC12321">
        <v>0</v>
      </c>
      <c r="AD12321">
        <v>1</v>
      </c>
      <c r="AE12321">
        <v>1</v>
      </c>
      <c r="AF12321">
        <v>1</v>
      </c>
      <c r="AG12321">
        <v>1</v>
      </c>
      <c r="AH12321">
        <v>1</v>
      </c>
      <c r="AI12321">
        <v>1</v>
      </c>
      <c r="AJ12321">
        <v>1</v>
      </c>
      <c r="AK12321">
        <v>1</v>
      </c>
      <c r="AL12321">
        <v>1</v>
      </c>
      <c r="AM12321">
        <v>1</v>
      </c>
    </row>
    <row r="12322" spans="1:39" x14ac:dyDescent="0.2">
      <c r="A12322" t="str">
        <f>"12318"</f>
        <v>12318</v>
      </c>
      <c r="B12322" t="str">
        <f t="shared" si="683"/>
        <v>1</v>
      </c>
      <c r="C12322" t="str">
        <f t="shared" si="685"/>
        <v>247</v>
      </c>
      <c r="D12322" t="str">
        <f>"10"</f>
        <v>10</v>
      </c>
      <c r="E12322" t="str">
        <f>"1-247-10"</f>
        <v>1-247-10</v>
      </c>
      <c r="F12322" t="s">
        <v>65</v>
      </c>
      <c r="G12322" t="s">
        <v>66</v>
      </c>
      <c r="H12322" t="s">
        <v>67</v>
      </c>
      <c r="S12322">
        <v>0</v>
      </c>
      <c r="T12322">
        <v>1</v>
      </c>
      <c r="U12322">
        <v>0</v>
      </c>
      <c r="V12322">
        <v>0</v>
      </c>
      <c r="W12322">
        <v>1</v>
      </c>
      <c r="X12322">
        <v>0</v>
      </c>
      <c r="Y12322">
        <v>0</v>
      </c>
      <c r="Z12322">
        <v>1</v>
      </c>
      <c r="AA12322">
        <v>0</v>
      </c>
      <c r="AB12322">
        <v>0</v>
      </c>
      <c r="AC12322">
        <v>1</v>
      </c>
      <c r="AD12322">
        <v>1</v>
      </c>
      <c r="AE12322">
        <v>1</v>
      </c>
      <c r="AF12322">
        <v>1</v>
      </c>
      <c r="AG12322">
        <v>1</v>
      </c>
      <c r="AH12322">
        <v>1</v>
      </c>
      <c r="AI12322">
        <v>1</v>
      </c>
      <c r="AJ12322">
        <v>1</v>
      </c>
      <c r="AK12322">
        <v>1</v>
      </c>
      <c r="AL12322">
        <v>1</v>
      </c>
      <c r="AM12322">
        <v>0</v>
      </c>
    </row>
    <row r="12323" spans="1:39" x14ac:dyDescent="0.2">
      <c r="A12323" t="str">
        <f>"12319"</f>
        <v>12319</v>
      </c>
      <c r="B12323" t="str">
        <f t="shared" si="683"/>
        <v>1</v>
      </c>
      <c r="C12323" t="str">
        <f t="shared" si="685"/>
        <v>247</v>
      </c>
      <c r="D12323" t="str">
        <f>"47"</f>
        <v>47</v>
      </c>
      <c r="E12323" t="str">
        <f>"1-247-47"</f>
        <v>1-247-47</v>
      </c>
      <c r="F12323" t="s">
        <v>65</v>
      </c>
      <c r="G12323" t="s">
        <v>66</v>
      </c>
      <c r="H12323" t="s">
        <v>67</v>
      </c>
      <c r="S12323">
        <v>1</v>
      </c>
      <c r="T12323">
        <v>0</v>
      </c>
      <c r="U12323">
        <v>0</v>
      </c>
      <c r="V12323">
        <v>0</v>
      </c>
      <c r="W12323">
        <v>1</v>
      </c>
      <c r="X12323">
        <v>0</v>
      </c>
      <c r="Y12323">
        <v>0</v>
      </c>
      <c r="Z12323">
        <v>1</v>
      </c>
      <c r="AA12323">
        <v>1</v>
      </c>
      <c r="AB12323">
        <v>0</v>
      </c>
      <c r="AC12323">
        <v>0</v>
      </c>
      <c r="AD12323">
        <v>1</v>
      </c>
      <c r="AE12323">
        <v>1</v>
      </c>
      <c r="AF12323">
        <v>1</v>
      </c>
      <c r="AG12323">
        <v>1</v>
      </c>
      <c r="AH12323">
        <v>1</v>
      </c>
      <c r="AI12323">
        <v>1</v>
      </c>
      <c r="AJ12323">
        <v>1</v>
      </c>
      <c r="AK12323">
        <v>1</v>
      </c>
      <c r="AL12323">
        <v>1</v>
      </c>
      <c r="AM12323">
        <v>1</v>
      </c>
    </row>
    <row r="12324" spans="1:39" x14ac:dyDescent="0.2">
      <c r="A12324" t="str">
        <f>"12320"</f>
        <v>12320</v>
      </c>
      <c r="B12324" t="str">
        <f t="shared" si="683"/>
        <v>1</v>
      </c>
      <c r="C12324" t="str">
        <f t="shared" si="685"/>
        <v>247</v>
      </c>
      <c r="D12324" t="str">
        <f>"46"</f>
        <v>46</v>
      </c>
      <c r="E12324" t="str">
        <f>"1-247-46"</f>
        <v>1-247-46</v>
      </c>
      <c r="F12324" t="s">
        <v>65</v>
      </c>
      <c r="G12324" t="s">
        <v>66</v>
      </c>
      <c r="H12324" t="s">
        <v>67</v>
      </c>
      <c r="S12324">
        <v>1</v>
      </c>
      <c r="T12324">
        <v>0</v>
      </c>
      <c r="U12324">
        <v>0</v>
      </c>
      <c r="V12324">
        <v>0</v>
      </c>
      <c r="W12324">
        <v>1</v>
      </c>
      <c r="X12324">
        <v>0</v>
      </c>
      <c r="Y12324">
        <v>0</v>
      </c>
      <c r="Z12324">
        <v>1</v>
      </c>
      <c r="AA12324">
        <v>1</v>
      </c>
      <c r="AB12324">
        <v>0</v>
      </c>
      <c r="AC12324">
        <v>0</v>
      </c>
      <c r="AD12324">
        <v>0</v>
      </c>
      <c r="AE12324">
        <v>0</v>
      </c>
      <c r="AF12324">
        <v>0</v>
      </c>
      <c r="AG12324">
        <v>0</v>
      </c>
      <c r="AH12324">
        <v>0</v>
      </c>
      <c r="AI12324">
        <v>0</v>
      </c>
      <c r="AJ12324">
        <v>0</v>
      </c>
      <c r="AK12324">
        <v>0</v>
      </c>
      <c r="AL12324">
        <v>0</v>
      </c>
      <c r="AM12324">
        <v>0</v>
      </c>
    </row>
    <row r="12325" spans="1:39" x14ac:dyDescent="0.2">
      <c r="A12325" t="str">
        <f>"12321"</f>
        <v>12321</v>
      </c>
      <c r="B12325" t="str">
        <f t="shared" si="683"/>
        <v>1</v>
      </c>
      <c r="C12325" t="str">
        <f t="shared" si="685"/>
        <v>247</v>
      </c>
      <c r="D12325" t="str">
        <f>"33"</f>
        <v>33</v>
      </c>
      <c r="E12325" t="str">
        <f>"1-247-33"</f>
        <v>1-247-33</v>
      </c>
      <c r="F12325" t="s">
        <v>65</v>
      </c>
      <c r="G12325" t="s">
        <v>66</v>
      </c>
      <c r="H12325" t="s">
        <v>67</v>
      </c>
      <c r="S12325">
        <v>0</v>
      </c>
      <c r="T12325">
        <v>1</v>
      </c>
      <c r="U12325">
        <v>0</v>
      </c>
      <c r="V12325">
        <v>0</v>
      </c>
      <c r="W12325">
        <v>0</v>
      </c>
      <c r="X12325">
        <v>1</v>
      </c>
      <c r="Y12325">
        <v>1</v>
      </c>
      <c r="Z12325">
        <v>0</v>
      </c>
      <c r="AA12325">
        <v>0</v>
      </c>
      <c r="AB12325">
        <v>0</v>
      </c>
      <c r="AC12325">
        <v>1</v>
      </c>
      <c r="AD12325">
        <v>1</v>
      </c>
      <c r="AE12325">
        <v>1</v>
      </c>
      <c r="AF12325">
        <v>1</v>
      </c>
      <c r="AG12325">
        <v>1</v>
      </c>
      <c r="AH12325">
        <v>1</v>
      </c>
      <c r="AI12325">
        <v>1</v>
      </c>
      <c r="AJ12325">
        <v>1</v>
      </c>
      <c r="AK12325">
        <v>1</v>
      </c>
      <c r="AL12325">
        <v>1</v>
      </c>
      <c r="AM12325">
        <v>1</v>
      </c>
    </row>
    <row r="12326" spans="1:39" x14ac:dyDescent="0.2">
      <c r="A12326" t="str">
        <f>"12322"</f>
        <v>12322</v>
      </c>
      <c r="B12326" t="str">
        <f t="shared" si="683"/>
        <v>1</v>
      </c>
      <c r="C12326" t="str">
        <f t="shared" si="685"/>
        <v>247</v>
      </c>
      <c r="D12326" t="str">
        <f>"19"</f>
        <v>19</v>
      </c>
      <c r="E12326" t="str">
        <f>"1-247-19"</f>
        <v>1-247-19</v>
      </c>
      <c r="F12326" t="s">
        <v>65</v>
      </c>
      <c r="G12326" t="s">
        <v>66</v>
      </c>
      <c r="H12326" t="s">
        <v>67</v>
      </c>
      <c r="S12326">
        <v>1</v>
      </c>
      <c r="T12326">
        <v>0</v>
      </c>
      <c r="U12326">
        <v>0</v>
      </c>
      <c r="V12326">
        <v>0</v>
      </c>
      <c r="W12326">
        <v>1</v>
      </c>
      <c r="X12326">
        <v>0</v>
      </c>
      <c r="Y12326">
        <v>1</v>
      </c>
      <c r="Z12326">
        <v>0</v>
      </c>
      <c r="AA12326">
        <v>1</v>
      </c>
      <c r="AB12326">
        <v>0</v>
      </c>
      <c r="AC12326">
        <v>0</v>
      </c>
      <c r="AD12326">
        <v>1</v>
      </c>
      <c r="AE12326">
        <v>1</v>
      </c>
      <c r="AF12326">
        <v>1</v>
      </c>
      <c r="AG12326">
        <v>1</v>
      </c>
      <c r="AH12326">
        <v>1</v>
      </c>
      <c r="AI12326">
        <v>1</v>
      </c>
      <c r="AJ12326">
        <v>1</v>
      </c>
      <c r="AK12326">
        <v>1</v>
      </c>
      <c r="AL12326">
        <v>1</v>
      </c>
      <c r="AM12326">
        <v>1</v>
      </c>
    </row>
    <row r="12327" spans="1:39" x14ac:dyDescent="0.2">
      <c r="A12327" t="str">
        <f>"12323"</f>
        <v>12323</v>
      </c>
      <c r="B12327" t="str">
        <f t="shared" si="683"/>
        <v>1</v>
      </c>
      <c r="C12327" t="str">
        <f t="shared" si="685"/>
        <v>247</v>
      </c>
      <c r="D12327" t="str">
        <f>"2"</f>
        <v>2</v>
      </c>
      <c r="E12327" t="str">
        <f>"1-247-2"</f>
        <v>1-247-2</v>
      </c>
      <c r="F12327" t="s">
        <v>65</v>
      </c>
      <c r="G12327" t="s">
        <v>66</v>
      </c>
      <c r="H12327" t="s">
        <v>67</v>
      </c>
      <c r="S12327">
        <v>1</v>
      </c>
      <c r="T12327">
        <v>0</v>
      </c>
      <c r="U12327">
        <v>0</v>
      </c>
      <c r="V12327">
        <v>0</v>
      </c>
      <c r="W12327">
        <v>0</v>
      </c>
      <c r="X12327">
        <v>1</v>
      </c>
      <c r="Y12327">
        <v>0</v>
      </c>
      <c r="Z12327">
        <v>1</v>
      </c>
      <c r="AA12327">
        <v>0</v>
      </c>
      <c r="AB12327">
        <v>1</v>
      </c>
      <c r="AC12327">
        <v>0</v>
      </c>
      <c r="AD12327">
        <v>1</v>
      </c>
      <c r="AE12327">
        <v>1</v>
      </c>
      <c r="AF12327">
        <v>1</v>
      </c>
      <c r="AG12327">
        <v>1</v>
      </c>
      <c r="AH12327">
        <v>1</v>
      </c>
      <c r="AI12327">
        <v>1</v>
      </c>
      <c r="AJ12327">
        <v>1</v>
      </c>
      <c r="AK12327">
        <v>1</v>
      </c>
      <c r="AL12327">
        <v>1</v>
      </c>
      <c r="AM12327">
        <v>1</v>
      </c>
    </row>
    <row r="12328" spans="1:39" x14ac:dyDescent="0.2">
      <c r="A12328" t="str">
        <f>"12324"</f>
        <v>12324</v>
      </c>
      <c r="B12328" t="str">
        <f t="shared" si="683"/>
        <v>1</v>
      </c>
      <c r="C12328" t="str">
        <f t="shared" si="685"/>
        <v>247</v>
      </c>
      <c r="D12328" t="str">
        <f>"49"</f>
        <v>49</v>
      </c>
      <c r="E12328" t="str">
        <f>"1-247-49"</f>
        <v>1-247-49</v>
      </c>
      <c r="F12328" t="s">
        <v>65</v>
      </c>
      <c r="G12328" t="s">
        <v>66</v>
      </c>
      <c r="H12328" t="s">
        <v>67</v>
      </c>
      <c r="S12328">
        <v>0</v>
      </c>
      <c r="T12328">
        <v>1</v>
      </c>
      <c r="U12328">
        <v>0</v>
      </c>
      <c r="V12328">
        <v>0</v>
      </c>
      <c r="W12328">
        <v>1</v>
      </c>
      <c r="X12328">
        <v>0</v>
      </c>
      <c r="Y12328">
        <v>0</v>
      </c>
      <c r="Z12328">
        <v>1</v>
      </c>
      <c r="AA12328">
        <v>1</v>
      </c>
      <c r="AB12328">
        <v>0</v>
      </c>
      <c r="AC12328">
        <v>0</v>
      </c>
      <c r="AD12328">
        <v>1</v>
      </c>
      <c r="AE12328">
        <v>1</v>
      </c>
      <c r="AF12328">
        <v>1</v>
      </c>
      <c r="AG12328">
        <v>1</v>
      </c>
      <c r="AH12328">
        <v>1</v>
      </c>
      <c r="AI12328">
        <v>1</v>
      </c>
      <c r="AJ12328">
        <v>1</v>
      </c>
      <c r="AK12328">
        <v>1</v>
      </c>
      <c r="AL12328">
        <v>1</v>
      </c>
      <c r="AM12328">
        <v>1</v>
      </c>
    </row>
    <row r="12329" spans="1:39" x14ac:dyDescent="0.2">
      <c r="A12329" t="str">
        <f>"12325"</f>
        <v>12325</v>
      </c>
      <c r="B12329" t="str">
        <f t="shared" si="683"/>
        <v>1</v>
      </c>
      <c r="C12329" t="str">
        <f t="shared" si="685"/>
        <v>247</v>
      </c>
      <c r="D12329" t="str">
        <f>"48"</f>
        <v>48</v>
      </c>
      <c r="E12329" t="str">
        <f>"1-247-48"</f>
        <v>1-247-48</v>
      </c>
      <c r="F12329" t="s">
        <v>65</v>
      </c>
      <c r="G12329" t="s">
        <v>66</v>
      </c>
      <c r="H12329" t="s">
        <v>67</v>
      </c>
      <c r="S12329">
        <v>0</v>
      </c>
      <c r="T12329">
        <v>1</v>
      </c>
      <c r="U12329">
        <v>0</v>
      </c>
      <c r="V12329">
        <v>0</v>
      </c>
      <c r="W12329">
        <v>1</v>
      </c>
      <c r="X12329">
        <v>0</v>
      </c>
      <c r="Y12329">
        <v>0</v>
      </c>
      <c r="Z12329">
        <v>1</v>
      </c>
      <c r="AA12329">
        <v>0</v>
      </c>
      <c r="AB12329">
        <v>1</v>
      </c>
      <c r="AC12329">
        <v>0</v>
      </c>
      <c r="AD12329">
        <v>1</v>
      </c>
      <c r="AE12329">
        <v>1</v>
      </c>
      <c r="AF12329">
        <v>1</v>
      </c>
      <c r="AG12329">
        <v>1</v>
      </c>
      <c r="AH12329">
        <v>1</v>
      </c>
      <c r="AI12329">
        <v>1</v>
      </c>
      <c r="AJ12329">
        <v>1</v>
      </c>
      <c r="AK12329">
        <v>1</v>
      </c>
      <c r="AL12329">
        <v>1</v>
      </c>
      <c r="AM12329">
        <v>1</v>
      </c>
    </row>
    <row r="12330" spans="1:39" x14ac:dyDescent="0.2">
      <c r="A12330" t="str">
        <f>"12326"</f>
        <v>12326</v>
      </c>
      <c r="B12330" t="str">
        <f t="shared" si="683"/>
        <v>1</v>
      </c>
      <c r="C12330" t="str">
        <f t="shared" si="685"/>
        <v>247</v>
      </c>
      <c r="D12330" t="str">
        <f>"34"</f>
        <v>34</v>
      </c>
      <c r="E12330" t="str">
        <f>"1-247-34"</f>
        <v>1-247-34</v>
      </c>
      <c r="F12330" t="s">
        <v>65</v>
      </c>
      <c r="G12330" t="s">
        <v>66</v>
      </c>
      <c r="H12330" t="s">
        <v>67</v>
      </c>
      <c r="S12330">
        <v>1</v>
      </c>
      <c r="T12330">
        <v>0</v>
      </c>
      <c r="U12330">
        <v>0</v>
      </c>
      <c r="V12330">
        <v>0</v>
      </c>
      <c r="W12330">
        <v>1</v>
      </c>
      <c r="X12330">
        <v>0</v>
      </c>
      <c r="Y12330">
        <v>1</v>
      </c>
      <c r="Z12330">
        <v>0</v>
      </c>
      <c r="AA12330">
        <v>1</v>
      </c>
      <c r="AB12330">
        <v>0</v>
      </c>
      <c r="AC12330">
        <v>0</v>
      </c>
      <c r="AD12330">
        <v>0</v>
      </c>
      <c r="AE12330">
        <v>0</v>
      </c>
      <c r="AF12330">
        <v>0</v>
      </c>
      <c r="AG12330">
        <v>1</v>
      </c>
      <c r="AH12330">
        <v>1</v>
      </c>
      <c r="AI12330">
        <v>1</v>
      </c>
      <c r="AJ12330">
        <v>0</v>
      </c>
      <c r="AK12330">
        <v>0</v>
      </c>
      <c r="AL12330">
        <v>1</v>
      </c>
      <c r="AM12330">
        <v>0</v>
      </c>
    </row>
    <row r="12331" spans="1:39" x14ac:dyDescent="0.2">
      <c r="A12331" t="str">
        <f>"12327"</f>
        <v>12327</v>
      </c>
      <c r="B12331" t="str">
        <f t="shared" si="683"/>
        <v>1</v>
      </c>
      <c r="C12331" t="str">
        <f t="shared" si="685"/>
        <v>247</v>
      </c>
      <c r="D12331" t="str">
        <f>"20"</f>
        <v>20</v>
      </c>
      <c r="E12331" t="str">
        <f>"1-247-20"</f>
        <v>1-247-20</v>
      </c>
      <c r="F12331" t="s">
        <v>65</v>
      </c>
      <c r="G12331" t="s">
        <v>66</v>
      </c>
      <c r="H12331" t="s">
        <v>67</v>
      </c>
      <c r="S12331">
        <v>1</v>
      </c>
      <c r="T12331">
        <v>0</v>
      </c>
      <c r="U12331">
        <v>0</v>
      </c>
      <c r="V12331">
        <v>0</v>
      </c>
      <c r="W12331">
        <v>1</v>
      </c>
      <c r="X12331">
        <v>0</v>
      </c>
      <c r="Y12331">
        <v>1</v>
      </c>
      <c r="Z12331">
        <v>0</v>
      </c>
      <c r="AA12331">
        <v>1</v>
      </c>
      <c r="AB12331">
        <v>0</v>
      </c>
      <c r="AC12331">
        <v>0</v>
      </c>
      <c r="AD12331">
        <v>0</v>
      </c>
      <c r="AE12331">
        <v>0</v>
      </c>
      <c r="AF12331">
        <v>0</v>
      </c>
      <c r="AG12331">
        <v>1</v>
      </c>
      <c r="AH12331">
        <v>1</v>
      </c>
      <c r="AI12331">
        <v>1</v>
      </c>
      <c r="AJ12331">
        <v>1</v>
      </c>
      <c r="AK12331">
        <v>1</v>
      </c>
      <c r="AL12331">
        <v>1</v>
      </c>
      <c r="AM12331">
        <v>1</v>
      </c>
    </row>
    <row r="12332" spans="1:39" x14ac:dyDescent="0.2">
      <c r="A12332" t="str">
        <f>"12328"</f>
        <v>12328</v>
      </c>
      <c r="B12332" t="str">
        <f t="shared" si="683"/>
        <v>1</v>
      </c>
      <c r="C12332" t="str">
        <f t="shared" si="685"/>
        <v>247</v>
      </c>
      <c r="D12332" t="str">
        <f>"11"</f>
        <v>11</v>
      </c>
      <c r="E12332" t="str">
        <f>"1-247-11"</f>
        <v>1-247-11</v>
      </c>
      <c r="F12332" t="s">
        <v>65</v>
      </c>
      <c r="G12332" t="s">
        <v>66</v>
      </c>
      <c r="H12332" t="s">
        <v>67</v>
      </c>
      <c r="S12332">
        <v>0</v>
      </c>
      <c r="T12332">
        <v>1</v>
      </c>
      <c r="U12332">
        <v>0</v>
      </c>
      <c r="V12332">
        <v>0</v>
      </c>
      <c r="W12332">
        <v>1</v>
      </c>
      <c r="X12332">
        <v>0</v>
      </c>
      <c r="Y12332">
        <v>0</v>
      </c>
      <c r="Z12332">
        <v>1</v>
      </c>
      <c r="AA12332">
        <v>0</v>
      </c>
      <c r="AB12332">
        <v>0</v>
      </c>
      <c r="AC12332">
        <v>1</v>
      </c>
      <c r="AD12332">
        <v>1</v>
      </c>
      <c r="AE12332">
        <v>1</v>
      </c>
      <c r="AF12332">
        <v>1</v>
      </c>
      <c r="AG12332">
        <v>1</v>
      </c>
      <c r="AH12332">
        <v>1</v>
      </c>
      <c r="AI12332">
        <v>1</v>
      </c>
      <c r="AJ12332">
        <v>1</v>
      </c>
      <c r="AK12332">
        <v>1</v>
      </c>
      <c r="AL12332">
        <v>1</v>
      </c>
      <c r="AM12332">
        <v>1</v>
      </c>
    </row>
    <row r="12333" spans="1:39" x14ac:dyDescent="0.2">
      <c r="A12333" t="str">
        <f>"12329"</f>
        <v>12329</v>
      </c>
      <c r="B12333" t="str">
        <f t="shared" si="683"/>
        <v>1</v>
      </c>
      <c r="C12333" t="str">
        <f t="shared" si="685"/>
        <v>247</v>
      </c>
      <c r="D12333" t="str">
        <f>"39"</f>
        <v>39</v>
      </c>
      <c r="E12333" t="str">
        <f>"1-247-39"</f>
        <v>1-247-39</v>
      </c>
      <c r="F12333" t="s">
        <v>65</v>
      </c>
      <c r="G12333" t="s">
        <v>66</v>
      </c>
      <c r="H12333" t="s">
        <v>67</v>
      </c>
      <c r="S12333">
        <v>0</v>
      </c>
      <c r="T12333">
        <v>1</v>
      </c>
      <c r="U12333">
        <v>0</v>
      </c>
      <c r="V12333">
        <v>0</v>
      </c>
      <c r="W12333">
        <v>1</v>
      </c>
      <c r="X12333">
        <v>0</v>
      </c>
      <c r="Y12333">
        <v>1</v>
      </c>
      <c r="Z12333">
        <v>0</v>
      </c>
      <c r="AA12333">
        <v>0</v>
      </c>
      <c r="AB12333">
        <v>1</v>
      </c>
      <c r="AC12333">
        <v>0</v>
      </c>
      <c r="AD12333">
        <v>1</v>
      </c>
      <c r="AE12333">
        <v>1</v>
      </c>
      <c r="AF12333">
        <v>1</v>
      </c>
      <c r="AG12333">
        <v>1</v>
      </c>
      <c r="AH12333">
        <v>0</v>
      </c>
      <c r="AI12333">
        <v>1</v>
      </c>
      <c r="AJ12333">
        <v>1</v>
      </c>
      <c r="AK12333">
        <v>1</v>
      </c>
      <c r="AL12333">
        <v>1</v>
      </c>
      <c r="AM12333">
        <v>1</v>
      </c>
    </row>
    <row r="12334" spans="1:39" x14ac:dyDescent="0.2">
      <c r="A12334" t="str">
        <f>"12330"</f>
        <v>12330</v>
      </c>
      <c r="B12334" t="str">
        <f t="shared" si="683"/>
        <v>1</v>
      </c>
      <c r="C12334" t="str">
        <f t="shared" si="685"/>
        <v>247</v>
      </c>
      <c r="D12334" t="str">
        <f>"21"</f>
        <v>21</v>
      </c>
      <c r="E12334" t="str">
        <f>"1-247-21"</f>
        <v>1-247-21</v>
      </c>
      <c r="F12334" t="s">
        <v>65</v>
      </c>
      <c r="G12334" t="s">
        <v>66</v>
      </c>
      <c r="H12334" t="s">
        <v>67</v>
      </c>
      <c r="S12334">
        <v>1</v>
      </c>
      <c r="T12334">
        <v>0</v>
      </c>
      <c r="U12334">
        <v>0</v>
      </c>
      <c r="V12334">
        <v>0</v>
      </c>
      <c r="W12334">
        <v>1</v>
      </c>
      <c r="X12334">
        <v>0</v>
      </c>
      <c r="Y12334">
        <v>1</v>
      </c>
      <c r="Z12334">
        <v>0</v>
      </c>
      <c r="AA12334">
        <v>1</v>
      </c>
      <c r="AB12334">
        <v>0</v>
      </c>
      <c r="AC12334">
        <v>0</v>
      </c>
      <c r="AD12334">
        <v>1</v>
      </c>
      <c r="AE12334">
        <v>0</v>
      </c>
      <c r="AF12334">
        <v>1</v>
      </c>
      <c r="AG12334">
        <v>1</v>
      </c>
      <c r="AH12334">
        <v>1</v>
      </c>
      <c r="AI12334">
        <v>1</v>
      </c>
      <c r="AJ12334">
        <v>0</v>
      </c>
      <c r="AK12334">
        <v>1</v>
      </c>
      <c r="AL12334">
        <v>1</v>
      </c>
      <c r="AM12334">
        <v>1</v>
      </c>
    </row>
    <row r="12335" spans="1:39" x14ac:dyDescent="0.2">
      <c r="A12335" t="str">
        <f>"12331"</f>
        <v>12331</v>
      </c>
      <c r="B12335" t="str">
        <f t="shared" si="683"/>
        <v>1</v>
      </c>
      <c r="C12335" t="str">
        <f t="shared" si="685"/>
        <v>247</v>
      </c>
      <c r="D12335" t="str">
        <f>"5"</f>
        <v>5</v>
      </c>
      <c r="E12335" t="str">
        <f>"1-247-5"</f>
        <v>1-247-5</v>
      </c>
      <c r="F12335" t="s">
        <v>65</v>
      </c>
      <c r="G12335" t="s">
        <v>66</v>
      </c>
      <c r="H12335" t="s">
        <v>67</v>
      </c>
      <c r="S12335">
        <v>1</v>
      </c>
      <c r="T12335">
        <v>0</v>
      </c>
      <c r="U12335">
        <v>0</v>
      </c>
      <c r="V12335">
        <v>0</v>
      </c>
      <c r="W12335">
        <v>1</v>
      </c>
      <c r="X12335">
        <v>0</v>
      </c>
      <c r="Y12335">
        <v>1</v>
      </c>
      <c r="Z12335">
        <v>0</v>
      </c>
      <c r="AA12335">
        <v>1</v>
      </c>
      <c r="AB12335">
        <v>0</v>
      </c>
      <c r="AC12335">
        <v>0</v>
      </c>
      <c r="AD12335">
        <v>1</v>
      </c>
      <c r="AE12335">
        <v>1</v>
      </c>
      <c r="AF12335">
        <v>1</v>
      </c>
      <c r="AG12335">
        <v>1</v>
      </c>
      <c r="AH12335">
        <v>1</v>
      </c>
      <c r="AI12335">
        <v>1</v>
      </c>
      <c r="AJ12335">
        <v>1</v>
      </c>
      <c r="AK12335">
        <v>1</v>
      </c>
      <c r="AL12335">
        <v>1</v>
      </c>
      <c r="AM12335">
        <v>1</v>
      </c>
    </row>
    <row r="12336" spans="1:39" x14ac:dyDescent="0.2">
      <c r="A12336" t="str">
        <f>"12332"</f>
        <v>12332</v>
      </c>
      <c r="B12336" t="str">
        <f t="shared" si="683"/>
        <v>1</v>
      </c>
      <c r="C12336" t="str">
        <f t="shared" si="685"/>
        <v>247</v>
      </c>
      <c r="D12336" t="str">
        <f>"40"</f>
        <v>40</v>
      </c>
      <c r="E12336" t="str">
        <f>"1-247-40"</f>
        <v>1-247-40</v>
      </c>
      <c r="F12336" t="s">
        <v>65</v>
      </c>
      <c r="G12336" t="s">
        <v>66</v>
      </c>
      <c r="H12336" t="s">
        <v>67</v>
      </c>
      <c r="S12336">
        <v>0</v>
      </c>
      <c r="T12336">
        <v>1</v>
      </c>
      <c r="U12336">
        <v>0</v>
      </c>
      <c r="V12336">
        <v>0</v>
      </c>
      <c r="W12336">
        <v>1</v>
      </c>
      <c r="X12336">
        <v>0</v>
      </c>
      <c r="Y12336">
        <v>0</v>
      </c>
      <c r="Z12336">
        <v>1</v>
      </c>
      <c r="AA12336">
        <v>1</v>
      </c>
      <c r="AB12336">
        <v>0</v>
      </c>
      <c r="AC12336">
        <v>0</v>
      </c>
      <c r="AD12336">
        <v>0</v>
      </c>
      <c r="AE12336">
        <v>0</v>
      </c>
      <c r="AF12336">
        <v>0</v>
      </c>
      <c r="AG12336">
        <v>0</v>
      </c>
      <c r="AH12336">
        <v>0</v>
      </c>
      <c r="AI12336">
        <v>0</v>
      </c>
      <c r="AJ12336">
        <v>0</v>
      </c>
      <c r="AK12336">
        <v>0</v>
      </c>
      <c r="AL12336">
        <v>0</v>
      </c>
      <c r="AM12336">
        <v>0</v>
      </c>
    </row>
    <row r="12337" spans="1:39" x14ac:dyDescent="0.2">
      <c r="A12337" t="str">
        <f>"12333"</f>
        <v>12333</v>
      </c>
      <c r="B12337" t="str">
        <f t="shared" si="683"/>
        <v>1</v>
      </c>
      <c r="C12337" t="str">
        <f t="shared" ref="C12337:C12354" si="686">"247"</f>
        <v>247</v>
      </c>
      <c r="D12337" t="str">
        <f>"23"</f>
        <v>23</v>
      </c>
      <c r="E12337" t="str">
        <f>"1-247-23"</f>
        <v>1-247-23</v>
      </c>
      <c r="F12337" t="s">
        <v>65</v>
      </c>
      <c r="G12337" t="s">
        <v>66</v>
      </c>
      <c r="H12337" t="s">
        <v>67</v>
      </c>
      <c r="S12337">
        <v>1</v>
      </c>
      <c r="T12337">
        <v>0</v>
      </c>
      <c r="U12337">
        <v>0</v>
      </c>
      <c r="V12337">
        <v>0</v>
      </c>
      <c r="W12337">
        <v>1</v>
      </c>
      <c r="X12337">
        <v>0</v>
      </c>
      <c r="Y12337">
        <v>1</v>
      </c>
      <c r="Z12337">
        <v>0</v>
      </c>
      <c r="AA12337">
        <v>1</v>
      </c>
      <c r="AB12337">
        <v>0</v>
      </c>
      <c r="AC12337">
        <v>0</v>
      </c>
      <c r="AD12337">
        <v>0</v>
      </c>
      <c r="AE12337">
        <v>0</v>
      </c>
      <c r="AF12337">
        <v>0</v>
      </c>
      <c r="AG12337">
        <v>1</v>
      </c>
      <c r="AH12337">
        <v>1</v>
      </c>
      <c r="AI12337">
        <v>0</v>
      </c>
      <c r="AJ12337">
        <v>0</v>
      </c>
      <c r="AK12337">
        <v>0</v>
      </c>
      <c r="AL12337">
        <v>0</v>
      </c>
      <c r="AM12337">
        <v>0</v>
      </c>
    </row>
    <row r="12338" spans="1:39" x14ac:dyDescent="0.2">
      <c r="A12338" t="str">
        <f>"12334"</f>
        <v>12334</v>
      </c>
      <c r="B12338" t="str">
        <f t="shared" si="683"/>
        <v>1</v>
      </c>
      <c r="C12338" t="str">
        <f t="shared" si="686"/>
        <v>247</v>
      </c>
      <c r="D12338" t="str">
        <f>"4"</f>
        <v>4</v>
      </c>
      <c r="E12338" t="str">
        <f>"1-247-4"</f>
        <v>1-247-4</v>
      </c>
      <c r="F12338" t="s">
        <v>65</v>
      </c>
      <c r="G12338" t="s">
        <v>66</v>
      </c>
      <c r="H12338" t="s">
        <v>67</v>
      </c>
      <c r="S12338">
        <v>1</v>
      </c>
      <c r="T12338">
        <v>0</v>
      </c>
      <c r="U12338">
        <v>0</v>
      </c>
      <c r="V12338">
        <v>0</v>
      </c>
      <c r="W12338">
        <v>1</v>
      </c>
      <c r="X12338">
        <v>0</v>
      </c>
      <c r="Y12338">
        <v>1</v>
      </c>
      <c r="Z12338">
        <v>0</v>
      </c>
      <c r="AA12338">
        <v>1</v>
      </c>
      <c r="AB12338">
        <v>0</v>
      </c>
      <c r="AC12338">
        <v>0</v>
      </c>
      <c r="AD12338">
        <v>0</v>
      </c>
      <c r="AE12338">
        <v>0</v>
      </c>
      <c r="AF12338">
        <v>0</v>
      </c>
      <c r="AG12338">
        <v>0</v>
      </c>
      <c r="AH12338">
        <v>0</v>
      </c>
      <c r="AI12338">
        <v>0</v>
      </c>
      <c r="AJ12338">
        <v>0</v>
      </c>
      <c r="AK12338">
        <v>0</v>
      </c>
      <c r="AL12338">
        <v>0</v>
      </c>
      <c r="AM12338">
        <v>0</v>
      </c>
    </row>
    <row r="12339" spans="1:39" x14ac:dyDescent="0.2">
      <c r="A12339" t="str">
        <f>"12335"</f>
        <v>12335</v>
      </c>
      <c r="B12339" t="str">
        <f t="shared" si="683"/>
        <v>1</v>
      </c>
      <c r="C12339" t="str">
        <f t="shared" si="686"/>
        <v>247</v>
      </c>
      <c r="D12339" t="str">
        <f>"44"</f>
        <v>44</v>
      </c>
      <c r="E12339" t="str">
        <f>"1-247-44"</f>
        <v>1-247-44</v>
      </c>
      <c r="F12339" t="s">
        <v>65</v>
      </c>
      <c r="G12339" t="s">
        <v>66</v>
      </c>
      <c r="H12339" t="s">
        <v>67</v>
      </c>
      <c r="S12339">
        <v>1</v>
      </c>
      <c r="T12339">
        <v>0</v>
      </c>
      <c r="U12339">
        <v>0</v>
      </c>
      <c r="V12339">
        <v>0</v>
      </c>
      <c r="W12339">
        <v>1</v>
      </c>
      <c r="X12339">
        <v>0</v>
      </c>
      <c r="Y12339">
        <v>0</v>
      </c>
      <c r="Z12339">
        <v>1</v>
      </c>
      <c r="AA12339">
        <v>1</v>
      </c>
      <c r="AB12339">
        <v>0</v>
      </c>
      <c r="AC12339">
        <v>0</v>
      </c>
      <c r="AD12339">
        <v>1</v>
      </c>
      <c r="AE12339">
        <v>0</v>
      </c>
      <c r="AF12339">
        <v>1</v>
      </c>
      <c r="AG12339">
        <v>1</v>
      </c>
      <c r="AH12339">
        <v>0</v>
      </c>
      <c r="AI12339">
        <v>0</v>
      </c>
      <c r="AJ12339">
        <v>0</v>
      </c>
      <c r="AK12339">
        <v>0</v>
      </c>
      <c r="AL12339">
        <v>0</v>
      </c>
      <c r="AM12339">
        <v>0</v>
      </c>
    </row>
    <row r="12340" spans="1:39" x14ac:dyDescent="0.2">
      <c r="A12340" t="str">
        <f>"12336"</f>
        <v>12336</v>
      </c>
      <c r="B12340" t="str">
        <f t="shared" si="683"/>
        <v>1</v>
      </c>
      <c r="C12340" t="str">
        <f t="shared" si="686"/>
        <v>247</v>
      </c>
      <c r="D12340" t="str">
        <f>"24"</f>
        <v>24</v>
      </c>
      <c r="E12340" t="str">
        <f>"1-247-24"</f>
        <v>1-247-24</v>
      </c>
      <c r="F12340" t="s">
        <v>65</v>
      </c>
      <c r="G12340" t="s">
        <v>66</v>
      </c>
      <c r="H12340" t="s">
        <v>67</v>
      </c>
      <c r="S12340">
        <v>1</v>
      </c>
      <c r="T12340">
        <v>0</v>
      </c>
      <c r="U12340">
        <v>0</v>
      </c>
      <c r="V12340">
        <v>0</v>
      </c>
      <c r="W12340">
        <v>1</v>
      </c>
      <c r="X12340">
        <v>0</v>
      </c>
      <c r="Y12340">
        <v>1</v>
      </c>
      <c r="Z12340">
        <v>0</v>
      </c>
      <c r="AA12340">
        <v>0</v>
      </c>
      <c r="AB12340">
        <v>0</v>
      </c>
      <c r="AC12340">
        <v>1</v>
      </c>
      <c r="AD12340">
        <v>1</v>
      </c>
      <c r="AE12340">
        <v>1</v>
      </c>
      <c r="AF12340">
        <v>1</v>
      </c>
      <c r="AG12340">
        <v>1</v>
      </c>
      <c r="AH12340">
        <v>1</v>
      </c>
      <c r="AI12340">
        <v>1</v>
      </c>
      <c r="AJ12340">
        <v>1</v>
      </c>
      <c r="AK12340">
        <v>1</v>
      </c>
      <c r="AL12340">
        <v>1</v>
      </c>
      <c r="AM12340">
        <v>1</v>
      </c>
    </row>
    <row r="12341" spans="1:39" x14ac:dyDescent="0.2">
      <c r="A12341" t="str">
        <f>"12337"</f>
        <v>12337</v>
      </c>
      <c r="B12341" t="str">
        <f t="shared" si="683"/>
        <v>1</v>
      </c>
      <c r="C12341" t="str">
        <f t="shared" si="686"/>
        <v>247</v>
      </c>
      <c r="D12341" t="str">
        <f>"13"</f>
        <v>13</v>
      </c>
      <c r="E12341" t="str">
        <f>"1-247-13"</f>
        <v>1-247-13</v>
      </c>
      <c r="F12341" t="s">
        <v>65</v>
      </c>
      <c r="G12341" t="s">
        <v>66</v>
      </c>
      <c r="H12341" t="s">
        <v>67</v>
      </c>
      <c r="S12341">
        <v>0</v>
      </c>
      <c r="T12341">
        <v>1</v>
      </c>
      <c r="U12341">
        <v>0</v>
      </c>
      <c r="V12341">
        <v>0</v>
      </c>
      <c r="W12341">
        <v>1</v>
      </c>
      <c r="X12341">
        <v>0</v>
      </c>
      <c r="Y12341">
        <v>1</v>
      </c>
      <c r="Z12341">
        <v>0</v>
      </c>
      <c r="AA12341">
        <v>0</v>
      </c>
      <c r="AB12341">
        <v>1</v>
      </c>
      <c r="AC12341">
        <v>0</v>
      </c>
      <c r="AD12341">
        <v>1</v>
      </c>
      <c r="AE12341">
        <v>1</v>
      </c>
      <c r="AF12341">
        <v>1</v>
      </c>
      <c r="AG12341">
        <v>1</v>
      </c>
      <c r="AH12341">
        <v>1</v>
      </c>
      <c r="AI12341">
        <v>1</v>
      </c>
      <c r="AJ12341">
        <v>1</v>
      </c>
      <c r="AK12341">
        <v>1</v>
      </c>
      <c r="AL12341">
        <v>1</v>
      </c>
      <c r="AM12341">
        <v>1</v>
      </c>
    </row>
    <row r="12342" spans="1:39" x14ac:dyDescent="0.2">
      <c r="A12342" t="str">
        <f>"12338"</f>
        <v>12338</v>
      </c>
      <c r="B12342" t="str">
        <f t="shared" si="683"/>
        <v>1</v>
      </c>
      <c r="C12342" t="str">
        <f t="shared" si="686"/>
        <v>247</v>
      </c>
      <c r="D12342" t="str">
        <f>"43"</f>
        <v>43</v>
      </c>
      <c r="E12342" t="str">
        <f>"1-247-43"</f>
        <v>1-247-43</v>
      </c>
      <c r="F12342" t="s">
        <v>65</v>
      </c>
      <c r="G12342" t="s">
        <v>66</v>
      </c>
      <c r="H12342" t="s">
        <v>67</v>
      </c>
      <c r="S12342">
        <v>1</v>
      </c>
      <c r="T12342">
        <v>0</v>
      </c>
      <c r="U12342">
        <v>0</v>
      </c>
      <c r="V12342">
        <v>0</v>
      </c>
      <c r="W12342">
        <v>0</v>
      </c>
      <c r="X12342">
        <v>1</v>
      </c>
      <c r="Y12342">
        <v>0</v>
      </c>
      <c r="Z12342">
        <v>1</v>
      </c>
      <c r="AA12342">
        <v>1</v>
      </c>
      <c r="AB12342">
        <v>0</v>
      </c>
      <c r="AC12342">
        <v>0</v>
      </c>
      <c r="AD12342">
        <v>1</v>
      </c>
      <c r="AE12342">
        <v>1</v>
      </c>
      <c r="AF12342">
        <v>1</v>
      </c>
      <c r="AG12342">
        <v>1</v>
      </c>
      <c r="AH12342">
        <v>1</v>
      </c>
      <c r="AI12342">
        <v>1</v>
      </c>
      <c r="AJ12342">
        <v>1</v>
      </c>
      <c r="AK12342">
        <v>1</v>
      </c>
      <c r="AL12342">
        <v>1</v>
      </c>
      <c r="AM12342">
        <v>1</v>
      </c>
    </row>
    <row r="12343" spans="1:39" x14ac:dyDescent="0.2">
      <c r="A12343" t="str">
        <f>"12339"</f>
        <v>12339</v>
      </c>
      <c r="B12343" t="str">
        <f t="shared" ref="B12343:B12406" si="687">"1"</f>
        <v>1</v>
      </c>
      <c r="C12343" t="str">
        <f t="shared" si="686"/>
        <v>247</v>
      </c>
      <c r="D12343" t="str">
        <f>"26"</f>
        <v>26</v>
      </c>
      <c r="E12343" t="str">
        <f>"1-247-26"</f>
        <v>1-247-26</v>
      </c>
      <c r="F12343" t="s">
        <v>65</v>
      </c>
      <c r="G12343" t="s">
        <v>66</v>
      </c>
      <c r="H12343" t="s">
        <v>67</v>
      </c>
      <c r="S12343">
        <v>1</v>
      </c>
      <c r="T12343">
        <v>0</v>
      </c>
      <c r="U12343">
        <v>0</v>
      </c>
      <c r="V12343">
        <v>0</v>
      </c>
      <c r="W12343">
        <v>1</v>
      </c>
      <c r="X12343">
        <v>0</v>
      </c>
      <c r="Y12343">
        <v>1</v>
      </c>
      <c r="Z12343">
        <v>0</v>
      </c>
      <c r="AA12343">
        <v>1</v>
      </c>
      <c r="AB12343">
        <v>0</v>
      </c>
      <c r="AC12343">
        <v>0</v>
      </c>
      <c r="AD12343">
        <v>1</v>
      </c>
      <c r="AE12343">
        <v>1</v>
      </c>
      <c r="AF12343">
        <v>1</v>
      </c>
      <c r="AG12343">
        <v>1</v>
      </c>
      <c r="AH12343">
        <v>1</v>
      </c>
      <c r="AI12343">
        <v>1</v>
      </c>
      <c r="AJ12343">
        <v>1</v>
      </c>
      <c r="AK12343">
        <v>1</v>
      </c>
      <c r="AL12343">
        <v>1</v>
      </c>
      <c r="AM12343">
        <v>1</v>
      </c>
    </row>
    <row r="12344" spans="1:39" x14ac:dyDescent="0.2">
      <c r="A12344" t="str">
        <f>"12340"</f>
        <v>12340</v>
      </c>
      <c r="B12344" t="str">
        <f t="shared" si="687"/>
        <v>1</v>
      </c>
      <c r="C12344" t="str">
        <f t="shared" si="686"/>
        <v>247</v>
      </c>
      <c r="D12344" t="str">
        <f>"8"</f>
        <v>8</v>
      </c>
      <c r="E12344" t="str">
        <f>"1-247-8"</f>
        <v>1-247-8</v>
      </c>
      <c r="F12344" t="s">
        <v>65</v>
      </c>
      <c r="G12344" t="s">
        <v>66</v>
      </c>
      <c r="H12344" t="s">
        <v>67</v>
      </c>
      <c r="S12344">
        <v>0</v>
      </c>
      <c r="T12344">
        <v>1</v>
      </c>
      <c r="U12344">
        <v>0</v>
      </c>
      <c r="V12344">
        <v>0</v>
      </c>
      <c r="W12344">
        <v>1</v>
      </c>
      <c r="X12344">
        <v>0</v>
      </c>
      <c r="Y12344">
        <v>1</v>
      </c>
      <c r="Z12344">
        <v>0</v>
      </c>
      <c r="AA12344">
        <v>1</v>
      </c>
      <c r="AB12344">
        <v>0</v>
      </c>
      <c r="AC12344">
        <v>0</v>
      </c>
      <c r="AD12344">
        <v>1</v>
      </c>
      <c r="AE12344">
        <v>1</v>
      </c>
      <c r="AF12344">
        <v>1</v>
      </c>
      <c r="AG12344">
        <v>1</v>
      </c>
      <c r="AH12344">
        <v>1</v>
      </c>
      <c r="AI12344">
        <v>1</v>
      </c>
      <c r="AJ12344">
        <v>1</v>
      </c>
      <c r="AK12344">
        <v>1</v>
      </c>
      <c r="AL12344">
        <v>1</v>
      </c>
      <c r="AM12344">
        <v>1</v>
      </c>
    </row>
    <row r="12345" spans="1:39" x14ac:dyDescent="0.2">
      <c r="A12345" t="str">
        <f>"12341"</f>
        <v>12341</v>
      </c>
      <c r="B12345" t="str">
        <f t="shared" si="687"/>
        <v>1</v>
      </c>
      <c r="C12345" t="str">
        <f t="shared" si="686"/>
        <v>247</v>
      </c>
      <c r="D12345" t="str">
        <f>"27"</f>
        <v>27</v>
      </c>
      <c r="E12345" t="str">
        <f>"1-247-27"</f>
        <v>1-247-27</v>
      </c>
      <c r="F12345" t="s">
        <v>65</v>
      </c>
      <c r="G12345" t="s">
        <v>66</v>
      </c>
      <c r="H12345" t="s">
        <v>67</v>
      </c>
      <c r="S12345">
        <v>0</v>
      </c>
      <c r="T12345">
        <v>1</v>
      </c>
      <c r="U12345">
        <v>0</v>
      </c>
      <c r="V12345">
        <v>0</v>
      </c>
      <c r="W12345">
        <v>1</v>
      </c>
      <c r="X12345">
        <v>0</v>
      </c>
      <c r="Y12345">
        <v>0</v>
      </c>
      <c r="Z12345">
        <v>1</v>
      </c>
      <c r="AA12345">
        <v>1</v>
      </c>
      <c r="AB12345">
        <v>0</v>
      </c>
      <c r="AC12345">
        <v>0</v>
      </c>
      <c r="AD12345">
        <v>1</v>
      </c>
      <c r="AE12345">
        <v>1</v>
      </c>
      <c r="AF12345">
        <v>1</v>
      </c>
      <c r="AG12345">
        <v>1</v>
      </c>
      <c r="AH12345">
        <v>1</v>
      </c>
      <c r="AI12345">
        <v>1</v>
      </c>
      <c r="AJ12345">
        <v>1</v>
      </c>
      <c r="AK12345">
        <v>1</v>
      </c>
      <c r="AL12345">
        <v>1</v>
      </c>
      <c r="AM12345">
        <v>1</v>
      </c>
    </row>
    <row r="12346" spans="1:39" x14ac:dyDescent="0.2">
      <c r="A12346" t="str">
        <f>"12342"</f>
        <v>12342</v>
      </c>
      <c r="B12346" t="str">
        <f t="shared" si="687"/>
        <v>1</v>
      </c>
      <c r="C12346" t="str">
        <f t="shared" si="686"/>
        <v>247</v>
      </c>
      <c r="D12346" t="str">
        <f>"12"</f>
        <v>12</v>
      </c>
      <c r="E12346" t="str">
        <f>"1-247-12"</f>
        <v>1-247-12</v>
      </c>
      <c r="F12346" t="s">
        <v>65</v>
      </c>
      <c r="G12346" t="s">
        <v>66</v>
      </c>
      <c r="H12346" t="s">
        <v>67</v>
      </c>
      <c r="S12346">
        <v>1</v>
      </c>
      <c r="T12346">
        <v>0</v>
      </c>
      <c r="U12346">
        <v>0</v>
      </c>
      <c r="V12346">
        <v>0</v>
      </c>
      <c r="W12346">
        <v>1</v>
      </c>
      <c r="X12346">
        <v>0</v>
      </c>
      <c r="Y12346">
        <v>0</v>
      </c>
      <c r="Z12346">
        <v>1</v>
      </c>
      <c r="AA12346">
        <v>0</v>
      </c>
      <c r="AB12346">
        <v>0</v>
      </c>
      <c r="AC12346">
        <v>1</v>
      </c>
      <c r="AD12346">
        <v>1</v>
      </c>
      <c r="AE12346">
        <v>1</v>
      </c>
      <c r="AF12346">
        <v>1</v>
      </c>
      <c r="AG12346">
        <v>1</v>
      </c>
      <c r="AH12346">
        <v>1</v>
      </c>
      <c r="AI12346">
        <v>1</v>
      </c>
      <c r="AJ12346">
        <v>1</v>
      </c>
      <c r="AK12346">
        <v>1</v>
      </c>
      <c r="AL12346">
        <v>1</v>
      </c>
      <c r="AM12346">
        <v>1</v>
      </c>
    </row>
    <row r="12347" spans="1:39" x14ac:dyDescent="0.2">
      <c r="A12347" t="str">
        <f>"12343"</f>
        <v>12343</v>
      </c>
      <c r="B12347" t="str">
        <f t="shared" si="687"/>
        <v>1</v>
      </c>
      <c r="C12347" t="str">
        <f t="shared" si="686"/>
        <v>247</v>
      </c>
      <c r="D12347" t="str">
        <f>"28"</f>
        <v>28</v>
      </c>
      <c r="E12347" t="str">
        <f>"1-247-28"</f>
        <v>1-247-28</v>
      </c>
      <c r="F12347" t="s">
        <v>65</v>
      </c>
      <c r="G12347" t="s">
        <v>66</v>
      </c>
      <c r="H12347" t="s">
        <v>67</v>
      </c>
      <c r="S12347">
        <v>1</v>
      </c>
      <c r="T12347">
        <v>0</v>
      </c>
      <c r="U12347">
        <v>0</v>
      </c>
      <c r="V12347">
        <v>0</v>
      </c>
      <c r="W12347">
        <v>1</v>
      </c>
      <c r="X12347">
        <v>0</v>
      </c>
      <c r="Y12347">
        <v>0</v>
      </c>
      <c r="Z12347">
        <v>1</v>
      </c>
      <c r="AA12347">
        <v>1</v>
      </c>
      <c r="AB12347">
        <v>0</v>
      </c>
      <c r="AC12347">
        <v>0</v>
      </c>
      <c r="AD12347">
        <v>1</v>
      </c>
      <c r="AE12347">
        <v>1</v>
      </c>
      <c r="AF12347">
        <v>1</v>
      </c>
      <c r="AG12347">
        <v>1</v>
      </c>
      <c r="AH12347">
        <v>1</v>
      </c>
      <c r="AI12347">
        <v>1</v>
      </c>
      <c r="AJ12347">
        <v>1</v>
      </c>
      <c r="AK12347">
        <v>1</v>
      </c>
      <c r="AL12347">
        <v>1</v>
      </c>
      <c r="AM12347">
        <v>1</v>
      </c>
    </row>
    <row r="12348" spans="1:39" x14ac:dyDescent="0.2">
      <c r="A12348" t="str">
        <f>"12344"</f>
        <v>12344</v>
      </c>
      <c r="B12348" t="str">
        <f t="shared" si="687"/>
        <v>1</v>
      </c>
      <c r="C12348" t="str">
        <f t="shared" si="686"/>
        <v>247</v>
      </c>
      <c r="D12348" t="str">
        <f>"1"</f>
        <v>1</v>
      </c>
      <c r="E12348" t="str">
        <f>"1-247-1"</f>
        <v>1-247-1</v>
      </c>
      <c r="F12348" t="s">
        <v>65</v>
      </c>
      <c r="G12348" t="s">
        <v>66</v>
      </c>
      <c r="H12348" t="s">
        <v>67</v>
      </c>
      <c r="S12348">
        <v>1</v>
      </c>
      <c r="T12348">
        <v>0</v>
      </c>
      <c r="U12348">
        <v>0</v>
      </c>
      <c r="V12348">
        <v>0</v>
      </c>
      <c r="W12348">
        <v>1</v>
      </c>
      <c r="X12348">
        <v>0</v>
      </c>
      <c r="Y12348">
        <v>1</v>
      </c>
      <c r="Z12348">
        <v>0</v>
      </c>
      <c r="AA12348">
        <v>1</v>
      </c>
      <c r="AB12348">
        <v>0</v>
      </c>
      <c r="AC12348">
        <v>0</v>
      </c>
      <c r="AD12348">
        <v>1</v>
      </c>
      <c r="AE12348">
        <v>1</v>
      </c>
      <c r="AF12348">
        <v>1</v>
      </c>
      <c r="AG12348">
        <v>0</v>
      </c>
      <c r="AH12348">
        <v>1</v>
      </c>
      <c r="AI12348">
        <v>1</v>
      </c>
      <c r="AJ12348">
        <v>1</v>
      </c>
      <c r="AK12348">
        <v>1</v>
      </c>
      <c r="AL12348">
        <v>1</v>
      </c>
      <c r="AM12348">
        <v>1</v>
      </c>
    </row>
    <row r="12349" spans="1:39" x14ac:dyDescent="0.2">
      <c r="A12349" t="str">
        <f>"12345"</f>
        <v>12345</v>
      </c>
      <c r="B12349" t="str">
        <f t="shared" si="687"/>
        <v>1</v>
      </c>
      <c r="C12349" t="str">
        <f t="shared" si="686"/>
        <v>247</v>
      </c>
      <c r="D12349" t="str">
        <f>"45"</f>
        <v>45</v>
      </c>
      <c r="E12349" t="str">
        <f>"1-247-45"</f>
        <v>1-247-45</v>
      </c>
      <c r="F12349" t="s">
        <v>65</v>
      </c>
      <c r="G12349" t="s">
        <v>66</v>
      </c>
      <c r="H12349" t="s">
        <v>67</v>
      </c>
      <c r="S12349">
        <v>1</v>
      </c>
      <c r="T12349">
        <v>0</v>
      </c>
      <c r="U12349">
        <v>0</v>
      </c>
      <c r="V12349">
        <v>0</v>
      </c>
      <c r="W12349">
        <v>1</v>
      </c>
      <c r="X12349">
        <v>0</v>
      </c>
      <c r="Y12349">
        <v>0</v>
      </c>
      <c r="Z12349">
        <v>1</v>
      </c>
      <c r="AA12349">
        <v>1</v>
      </c>
      <c r="AB12349">
        <v>0</v>
      </c>
      <c r="AC12349">
        <v>0</v>
      </c>
      <c r="AD12349">
        <v>1</v>
      </c>
      <c r="AE12349">
        <v>0</v>
      </c>
      <c r="AF12349">
        <v>1</v>
      </c>
      <c r="AG12349">
        <v>1</v>
      </c>
      <c r="AH12349">
        <v>0</v>
      </c>
      <c r="AI12349">
        <v>0</v>
      </c>
      <c r="AJ12349">
        <v>0</v>
      </c>
      <c r="AK12349">
        <v>0</v>
      </c>
      <c r="AL12349">
        <v>0</v>
      </c>
      <c r="AM12349">
        <v>0</v>
      </c>
    </row>
    <row r="12350" spans="1:39" x14ac:dyDescent="0.2">
      <c r="A12350" t="str">
        <f>"12346"</f>
        <v>12346</v>
      </c>
      <c r="B12350" t="str">
        <f t="shared" si="687"/>
        <v>1</v>
      </c>
      <c r="C12350" t="str">
        <f t="shared" si="686"/>
        <v>247</v>
      </c>
      <c r="D12350" t="str">
        <f>"29"</f>
        <v>29</v>
      </c>
      <c r="E12350" t="str">
        <f>"1-247-29"</f>
        <v>1-247-29</v>
      </c>
      <c r="F12350" t="s">
        <v>65</v>
      </c>
      <c r="G12350" t="s">
        <v>66</v>
      </c>
      <c r="H12350" t="s">
        <v>67</v>
      </c>
      <c r="S12350">
        <v>0</v>
      </c>
      <c r="T12350">
        <v>1</v>
      </c>
      <c r="U12350">
        <v>0</v>
      </c>
      <c r="V12350">
        <v>0</v>
      </c>
      <c r="W12350">
        <v>1</v>
      </c>
      <c r="X12350">
        <v>0</v>
      </c>
      <c r="Y12350">
        <v>0</v>
      </c>
      <c r="Z12350">
        <v>1</v>
      </c>
      <c r="AA12350">
        <v>1</v>
      </c>
      <c r="AB12350">
        <v>0</v>
      </c>
      <c r="AC12350">
        <v>0</v>
      </c>
      <c r="AD12350">
        <v>0</v>
      </c>
      <c r="AE12350">
        <v>0</v>
      </c>
      <c r="AF12350">
        <v>0</v>
      </c>
      <c r="AG12350">
        <v>0</v>
      </c>
      <c r="AH12350">
        <v>0</v>
      </c>
      <c r="AI12350">
        <v>0</v>
      </c>
      <c r="AJ12350">
        <v>0</v>
      </c>
      <c r="AK12350">
        <v>0</v>
      </c>
      <c r="AL12350">
        <v>0</v>
      </c>
      <c r="AM12350">
        <v>0</v>
      </c>
    </row>
    <row r="12351" spans="1:39" x14ac:dyDescent="0.2">
      <c r="A12351" t="str">
        <f>"12347"</f>
        <v>12347</v>
      </c>
      <c r="B12351" t="str">
        <f t="shared" si="687"/>
        <v>1</v>
      </c>
      <c r="C12351" t="str">
        <f t="shared" si="686"/>
        <v>247</v>
      </c>
      <c r="D12351" t="str">
        <f>"14"</f>
        <v>14</v>
      </c>
      <c r="E12351" t="str">
        <f>"1-247-14"</f>
        <v>1-247-14</v>
      </c>
      <c r="F12351" t="s">
        <v>65</v>
      </c>
      <c r="G12351" t="s">
        <v>66</v>
      </c>
      <c r="H12351" t="s">
        <v>67</v>
      </c>
      <c r="S12351">
        <v>0</v>
      </c>
      <c r="T12351">
        <v>1</v>
      </c>
      <c r="U12351">
        <v>0</v>
      </c>
      <c r="V12351">
        <v>0</v>
      </c>
      <c r="W12351">
        <v>1</v>
      </c>
      <c r="X12351">
        <v>0</v>
      </c>
      <c r="Y12351">
        <v>1</v>
      </c>
      <c r="Z12351">
        <v>0</v>
      </c>
      <c r="AA12351">
        <v>0</v>
      </c>
      <c r="AB12351">
        <v>1</v>
      </c>
      <c r="AC12351">
        <v>0</v>
      </c>
      <c r="AD12351">
        <v>1</v>
      </c>
      <c r="AE12351">
        <v>1</v>
      </c>
      <c r="AF12351">
        <v>1</v>
      </c>
      <c r="AG12351">
        <v>1</v>
      </c>
      <c r="AH12351">
        <v>1</v>
      </c>
      <c r="AI12351">
        <v>1</v>
      </c>
      <c r="AJ12351">
        <v>1</v>
      </c>
      <c r="AK12351">
        <v>1</v>
      </c>
      <c r="AL12351">
        <v>1</v>
      </c>
      <c r="AM12351">
        <v>1</v>
      </c>
    </row>
    <row r="12352" spans="1:39" x14ac:dyDescent="0.2">
      <c r="A12352" t="str">
        <f>"12348"</f>
        <v>12348</v>
      </c>
      <c r="B12352" t="str">
        <f t="shared" si="687"/>
        <v>1</v>
      </c>
      <c r="C12352" t="str">
        <f t="shared" si="686"/>
        <v>247</v>
      </c>
      <c r="D12352" t="str">
        <f>"30"</f>
        <v>30</v>
      </c>
      <c r="E12352" t="str">
        <f>"1-247-30"</f>
        <v>1-247-30</v>
      </c>
      <c r="F12352" t="s">
        <v>65</v>
      </c>
      <c r="G12352" t="s">
        <v>66</v>
      </c>
      <c r="H12352" t="s">
        <v>67</v>
      </c>
      <c r="S12352">
        <v>1</v>
      </c>
      <c r="T12352">
        <v>0</v>
      </c>
      <c r="U12352">
        <v>0</v>
      </c>
      <c r="V12352">
        <v>0</v>
      </c>
      <c r="W12352">
        <v>1</v>
      </c>
      <c r="X12352">
        <v>0</v>
      </c>
      <c r="Y12352">
        <v>1</v>
      </c>
      <c r="Z12352">
        <v>0</v>
      </c>
      <c r="AA12352">
        <v>1</v>
      </c>
      <c r="AB12352">
        <v>0</v>
      </c>
      <c r="AC12352">
        <v>0</v>
      </c>
      <c r="AD12352">
        <v>1</v>
      </c>
      <c r="AE12352">
        <v>1</v>
      </c>
      <c r="AF12352">
        <v>1</v>
      </c>
      <c r="AG12352">
        <v>1</v>
      </c>
      <c r="AH12352">
        <v>1</v>
      </c>
      <c r="AI12352">
        <v>1</v>
      </c>
      <c r="AJ12352">
        <v>1</v>
      </c>
      <c r="AK12352">
        <v>1</v>
      </c>
      <c r="AL12352">
        <v>1</v>
      </c>
      <c r="AM12352">
        <v>1</v>
      </c>
    </row>
    <row r="12353" spans="1:39" x14ac:dyDescent="0.2">
      <c r="A12353" t="str">
        <f>"12349"</f>
        <v>12349</v>
      </c>
      <c r="B12353" t="str">
        <f t="shared" si="687"/>
        <v>1</v>
      </c>
      <c r="C12353" t="str">
        <f t="shared" si="686"/>
        <v>247</v>
      </c>
      <c r="D12353" t="str">
        <f>"9"</f>
        <v>9</v>
      </c>
      <c r="E12353" t="str">
        <f>"1-247-9"</f>
        <v>1-247-9</v>
      </c>
      <c r="F12353" t="s">
        <v>65</v>
      </c>
      <c r="G12353" t="s">
        <v>66</v>
      </c>
      <c r="H12353" t="s">
        <v>67</v>
      </c>
      <c r="S12353">
        <v>1</v>
      </c>
      <c r="T12353">
        <v>0</v>
      </c>
      <c r="U12353">
        <v>0</v>
      </c>
      <c r="V12353">
        <v>0</v>
      </c>
      <c r="W12353">
        <v>1</v>
      </c>
      <c r="X12353">
        <v>0</v>
      </c>
      <c r="Y12353">
        <v>1</v>
      </c>
      <c r="Z12353">
        <v>0</v>
      </c>
      <c r="AA12353">
        <v>1</v>
      </c>
      <c r="AB12353">
        <v>0</v>
      </c>
      <c r="AC12353">
        <v>0</v>
      </c>
      <c r="AD12353">
        <v>0</v>
      </c>
      <c r="AE12353">
        <v>0</v>
      </c>
      <c r="AF12353">
        <v>0</v>
      </c>
      <c r="AG12353">
        <v>0</v>
      </c>
      <c r="AH12353">
        <v>0</v>
      </c>
      <c r="AI12353">
        <v>0</v>
      </c>
      <c r="AJ12353">
        <v>0</v>
      </c>
      <c r="AK12353">
        <v>0</v>
      </c>
      <c r="AL12353">
        <v>0</v>
      </c>
      <c r="AM12353">
        <v>0</v>
      </c>
    </row>
    <row r="12354" spans="1:39" x14ac:dyDescent="0.2">
      <c r="A12354" t="str">
        <f>"12350"</f>
        <v>12350</v>
      </c>
      <c r="B12354" t="str">
        <f t="shared" si="687"/>
        <v>1</v>
      </c>
      <c r="C12354" t="str">
        <f t="shared" si="686"/>
        <v>247</v>
      </c>
      <c r="D12354" t="str">
        <f>"50"</f>
        <v>50</v>
      </c>
      <c r="E12354" t="str">
        <f>"1-247-50"</f>
        <v>1-247-50</v>
      </c>
      <c r="F12354" t="s">
        <v>65</v>
      </c>
      <c r="G12354" t="s">
        <v>66</v>
      </c>
      <c r="H12354" t="s">
        <v>67</v>
      </c>
      <c r="S12354">
        <v>1</v>
      </c>
      <c r="T12354">
        <v>0</v>
      </c>
      <c r="U12354">
        <v>0</v>
      </c>
      <c r="V12354">
        <v>0</v>
      </c>
      <c r="W12354">
        <v>1</v>
      </c>
      <c r="X12354">
        <v>0</v>
      </c>
      <c r="Y12354">
        <v>0</v>
      </c>
      <c r="Z12354">
        <v>1</v>
      </c>
      <c r="AA12354">
        <v>0</v>
      </c>
      <c r="AB12354">
        <v>0</v>
      </c>
      <c r="AC12354">
        <v>1</v>
      </c>
      <c r="AD12354">
        <v>1</v>
      </c>
      <c r="AE12354">
        <v>1</v>
      </c>
      <c r="AF12354">
        <v>1</v>
      </c>
      <c r="AG12354">
        <v>1</v>
      </c>
      <c r="AH12354">
        <v>1</v>
      </c>
      <c r="AI12354">
        <v>1</v>
      </c>
      <c r="AJ12354">
        <v>1</v>
      </c>
      <c r="AK12354">
        <v>0</v>
      </c>
      <c r="AL12354">
        <v>1</v>
      </c>
      <c r="AM12354">
        <v>1</v>
      </c>
    </row>
    <row r="12355" spans="1:39" x14ac:dyDescent="0.2">
      <c r="A12355" t="str">
        <f>"12351"</f>
        <v>12351</v>
      </c>
      <c r="B12355" t="str">
        <f t="shared" si="687"/>
        <v>1</v>
      </c>
      <c r="C12355" t="str">
        <f t="shared" ref="C12355:C12386" si="688">"248"</f>
        <v>248</v>
      </c>
      <c r="D12355" t="str">
        <f>"38"</f>
        <v>38</v>
      </c>
      <c r="E12355" t="str">
        <f>"1-248-38"</f>
        <v>1-248-38</v>
      </c>
      <c r="F12355" t="s">
        <v>65</v>
      </c>
      <c r="G12355" t="s">
        <v>66</v>
      </c>
      <c r="H12355" t="s">
        <v>67</v>
      </c>
      <c r="S12355">
        <v>0</v>
      </c>
      <c r="T12355">
        <v>1</v>
      </c>
      <c r="U12355">
        <v>0</v>
      </c>
      <c r="V12355">
        <v>0</v>
      </c>
      <c r="W12355">
        <v>0</v>
      </c>
      <c r="X12355">
        <v>1</v>
      </c>
      <c r="Y12355">
        <v>0</v>
      </c>
      <c r="Z12355">
        <v>1</v>
      </c>
      <c r="AA12355">
        <v>0</v>
      </c>
      <c r="AB12355">
        <v>0</v>
      </c>
      <c r="AC12355">
        <v>1</v>
      </c>
      <c r="AD12355">
        <v>1</v>
      </c>
      <c r="AE12355">
        <v>1</v>
      </c>
      <c r="AF12355">
        <v>1</v>
      </c>
      <c r="AG12355">
        <v>1</v>
      </c>
      <c r="AH12355">
        <v>1</v>
      </c>
      <c r="AI12355">
        <v>1</v>
      </c>
      <c r="AJ12355">
        <v>1</v>
      </c>
      <c r="AK12355">
        <v>1</v>
      </c>
      <c r="AL12355">
        <v>1</v>
      </c>
      <c r="AM12355">
        <v>1</v>
      </c>
    </row>
    <row r="12356" spans="1:39" x14ac:dyDescent="0.2">
      <c r="A12356" t="str">
        <f>"12352"</f>
        <v>12352</v>
      </c>
      <c r="B12356" t="str">
        <f t="shared" si="687"/>
        <v>1</v>
      </c>
      <c r="C12356" t="str">
        <f t="shared" si="688"/>
        <v>248</v>
      </c>
      <c r="D12356" t="str">
        <f>"37"</f>
        <v>37</v>
      </c>
      <c r="E12356" t="str">
        <f>"1-248-37"</f>
        <v>1-248-37</v>
      </c>
      <c r="F12356" t="s">
        <v>65</v>
      </c>
      <c r="G12356" t="s">
        <v>66</v>
      </c>
      <c r="H12356" t="s">
        <v>67</v>
      </c>
      <c r="S12356">
        <v>1</v>
      </c>
      <c r="T12356">
        <v>0</v>
      </c>
      <c r="U12356">
        <v>0</v>
      </c>
      <c r="V12356">
        <v>0</v>
      </c>
      <c r="W12356">
        <v>1</v>
      </c>
      <c r="X12356">
        <v>0</v>
      </c>
      <c r="Y12356">
        <v>1</v>
      </c>
      <c r="Z12356">
        <v>0</v>
      </c>
      <c r="AA12356">
        <v>1</v>
      </c>
      <c r="AB12356">
        <v>0</v>
      </c>
      <c r="AC12356">
        <v>0</v>
      </c>
      <c r="AD12356">
        <v>1</v>
      </c>
      <c r="AE12356">
        <v>1</v>
      </c>
      <c r="AF12356">
        <v>1</v>
      </c>
      <c r="AG12356">
        <v>1</v>
      </c>
      <c r="AH12356">
        <v>1</v>
      </c>
      <c r="AI12356">
        <v>1</v>
      </c>
      <c r="AJ12356">
        <v>1</v>
      </c>
      <c r="AK12356">
        <v>1</v>
      </c>
      <c r="AL12356">
        <v>1</v>
      </c>
      <c r="AM12356">
        <v>1</v>
      </c>
    </row>
    <row r="12357" spans="1:39" x14ac:dyDescent="0.2">
      <c r="A12357" t="str">
        <f>"12353"</f>
        <v>12353</v>
      </c>
      <c r="B12357" t="str">
        <f t="shared" si="687"/>
        <v>1</v>
      </c>
      <c r="C12357" t="str">
        <f t="shared" si="688"/>
        <v>248</v>
      </c>
      <c r="D12357" t="str">
        <f>"25"</f>
        <v>25</v>
      </c>
      <c r="E12357" t="str">
        <f>"1-248-25"</f>
        <v>1-248-25</v>
      </c>
      <c r="F12357" t="s">
        <v>65</v>
      </c>
      <c r="G12357" t="s">
        <v>66</v>
      </c>
      <c r="H12357" t="s">
        <v>67</v>
      </c>
      <c r="S12357">
        <v>0</v>
      </c>
      <c r="T12357">
        <v>1</v>
      </c>
      <c r="U12357">
        <v>0</v>
      </c>
      <c r="V12357">
        <v>0</v>
      </c>
      <c r="W12357">
        <v>1</v>
      </c>
      <c r="X12357">
        <v>0</v>
      </c>
      <c r="Y12357">
        <v>1</v>
      </c>
      <c r="Z12357">
        <v>0</v>
      </c>
      <c r="AA12357">
        <v>0</v>
      </c>
      <c r="AB12357">
        <v>0</v>
      </c>
      <c r="AC12357">
        <v>1</v>
      </c>
      <c r="AD12357">
        <v>1</v>
      </c>
      <c r="AE12357">
        <v>1</v>
      </c>
      <c r="AF12357">
        <v>1</v>
      </c>
      <c r="AG12357">
        <v>1</v>
      </c>
      <c r="AH12357">
        <v>1</v>
      </c>
      <c r="AI12357">
        <v>1</v>
      </c>
      <c r="AJ12357">
        <v>1</v>
      </c>
      <c r="AK12357">
        <v>1</v>
      </c>
      <c r="AL12357">
        <v>1</v>
      </c>
      <c r="AM12357">
        <v>1</v>
      </c>
    </row>
    <row r="12358" spans="1:39" x14ac:dyDescent="0.2">
      <c r="A12358" t="str">
        <f>"12354"</f>
        <v>12354</v>
      </c>
      <c r="B12358" t="str">
        <f t="shared" si="687"/>
        <v>1</v>
      </c>
      <c r="C12358" t="str">
        <f t="shared" si="688"/>
        <v>248</v>
      </c>
      <c r="D12358" t="str">
        <f>"15"</f>
        <v>15</v>
      </c>
      <c r="E12358" t="str">
        <f>"1-248-15"</f>
        <v>1-248-15</v>
      </c>
      <c r="F12358" t="s">
        <v>65</v>
      </c>
      <c r="G12358" t="s">
        <v>66</v>
      </c>
      <c r="H12358" t="s">
        <v>67</v>
      </c>
      <c r="S12358">
        <v>1</v>
      </c>
      <c r="T12358">
        <v>0</v>
      </c>
      <c r="U12358">
        <v>0</v>
      </c>
      <c r="V12358">
        <v>0</v>
      </c>
      <c r="W12358">
        <v>1</v>
      </c>
      <c r="X12358">
        <v>0</v>
      </c>
      <c r="Y12358">
        <v>0</v>
      </c>
      <c r="Z12358">
        <v>1</v>
      </c>
      <c r="AA12358">
        <v>0</v>
      </c>
      <c r="AB12358">
        <v>1</v>
      </c>
      <c r="AC12358">
        <v>0</v>
      </c>
      <c r="AD12358">
        <v>1</v>
      </c>
      <c r="AE12358">
        <v>1</v>
      </c>
      <c r="AF12358">
        <v>1</v>
      </c>
      <c r="AG12358">
        <v>1</v>
      </c>
      <c r="AH12358">
        <v>1</v>
      </c>
      <c r="AI12358">
        <v>1</v>
      </c>
      <c r="AJ12358">
        <v>1</v>
      </c>
      <c r="AK12358">
        <v>1</v>
      </c>
      <c r="AL12358">
        <v>1</v>
      </c>
      <c r="AM12358">
        <v>1</v>
      </c>
    </row>
    <row r="12359" spans="1:39" x14ac:dyDescent="0.2">
      <c r="A12359" t="str">
        <f>"12355"</f>
        <v>12355</v>
      </c>
      <c r="B12359" t="str">
        <f t="shared" si="687"/>
        <v>1</v>
      </c>
      <c r="C12359" t="str">
        <f t="shared" si="688"/>
        <v>248</v>
      </c>
      <c r="D12359" t="str">
        <f>"2"</f>
        <v>2</v>
      </c>
      <c r="E12359" t="str">
        <f>"1-248-2"</f>
        <v>1-248-2</v>
      </c>
      <c r="F12359" t="s">
        <v>65</v>
      </c>
      <c r="G12359" t="s">
        <v>66</v>
      </c>
      <c r="H12359" t="s">
        <v>67</v>
      </c>
      <c r="S12359">
        <v>1</v>
      </c>
      <c r="T12359">
        <v>0</v>
      </c>
      <c r="U12359">
        <v>0</v>
      </c>
      <c r="V12359">
        <v>0</v>
      </c>
      <c r="W12359">
        <v>1</v>
      </c>
      <c r="X12359">
        <v>0</v>
      </c>
      <c r="Y12359">
        <v>1</v>
      </c>
      <c r="Z12359">
        <v>0</v>
      </c>
      <c r="AA12359">
        <v>1</v>
      </c>
      <c r="AB12359">
        <v>0</v>
      </c>
      <c r="AC12359">
        <v>0</v>
      </c>
      <c r="AD12359">
        <v>1</v>
      </c>
      <c r="AE12359">
        <v>1</v>
      </c>
      <c r="AF12359">
        <v>1</v>
      </c>
      <c r="AG12359">
        <v>1</v>
      </c>
      <c r="AH12359">
        <v>1</v>
      </c>
      <c r="AI12359">
        <v>1</v>
      </c>
      <c r="AJ12359">
        <v>1</v>
      </c>
      <c r="AK12359">
        <v>1</v>
      </c>
      <c r="AL12359">
        <v>1</v>
      </c>
      <c r="AM12359">
        <v>1</v>
      </c>
    </row>
    <row r="12360" spans="1:39" x14ac:dyDescent="0.2">
      <c r="A12360" t="str">
        <f>"12356"</f>
        <v>12356</v>
      </c>
      <c r="B12360" t="str">
        <f t="shared" si="687"/>
        <v>1</v>
      </c>
      <c r="C12360" t="str">
        <f t="shared" si="688"/>
        <v>248</v>
      </c>
      <c r="D12360" t="str">
        <f>"36"</f>
        <v>36</v>
      </c>
      <c r="E12360" t="str">
        <f>"1-248-36"</f>
        <v>1-248-36</v>
      </c>
      <c r="F12360" t="s">
        <v>65</v>
      </c>
      <c r="G12360" t="s">
        <v>66</v>
      </c>
      <c r="H12360" t="s">
        <v>67</v>
      </c>
      <c r="S12360">
        <v>1</v>
      </c>
      <c r="T12360">
        <v>0</v>
      </c>
      <c r="U12360">
        <v>0</v>
      </c>
      <c r="V12360">
        <v>0</v>
      </c>
      <c r="W12360">
        <v>1</v>
      </c>
      <c r="X12360">
        <v>0</v>
      </c>
      <c r="Y12360">
        <v>1</v>
      </c>
      <c r="Z12360">
        <v>0</v>
      </c>
      <c r="AA12360">
        <v>1</v>
      </c>
      <c r="AB12360">
        <v>0</v>
      </c>
      <c r="AC12360">
        <v>0</v>
      </c>
      <c r="AD12360">
        <v>1</v>
      </c>
      <c r="AE12360">
        <v>1</v>
      </c>
      <c r="AF12360">
        <v>1</v>
      </c>
      <c r="AG12360">
        <v>1</v>
      </c>
      <c r="AH12360">
        <v>1</v>
      </c>
      <c r="AI12360">
        <v>1</v>
      </c>
      <c r="AJ12360">
        <v>1</v>
      </c>
      <c r="AK12360">
        <v>1</v>
      </c>
      <c r="AL12360">
        <v>1</v>
      </c>
      <c r="AM12360">
        <v>1</v>
      </c>
    </row>
    <row r="12361" spans="1:39" x14ac:dyDescent="0.2">
      <c r="A12361" t="str">
        <f>"12357"</f>
        <v>12357</v>
      </c>
      <c r="B12361" t="str">
        <f t="shared" si="687"/>
        <v>1</v>
      </c>
      <c r="C12361" t="str">
        <f t="shared" si="688"/>
        <v>248</v>
      </c>
      <c r="D12361" t="str">
        <f>"35"</f>
        <v>35</v>
      </c>
      <c r="E12361" t="str">
        <f>"1-248-35"</f>
        <v>1-248-35</v>
      </c>
      <c r="F12361" t="s">
        <v>65</v>
      </c>
      <c r="G12361" t="s">
        <v>66</v>
      </c>
      <c r="H12361" t="s">
        <v>67</v>
      </c>
      <c r="S12361">
        <v>0</v>
      </c>
      <c r="T12361">
        <v>1</v>
      </c>
      <c r="U12361">
        <v>0</v>
      </c>
      <c r="V12361">
        <v>0</v>
      </c>
      <c r="W12361">
        <v>0</v>
      </c>
      <c r="X12361">
        <v>1</v>
      </c>
      <c r="Y12361">
        <v>0</v>
      </c>
      <c r="Z12361">
        <v>1</v>
      </c>
      <c r="AA12361">
        <v>0</v>
      </c>
      <c r="AB12361">
        <v>0</v>
      </c>
      <c r="AC12361">
        <v>1</v>
      </c>
      <c r="AD12361">
        <v>1</v>
      </c>
      <c r="AE12361">
        <v>1</v>
      </c>
      <c r="AF12361">
        <v>1</v>
      </c>
      <c r="AG12361">
        <v>1</v>
      </c>
      <c r="AH12361">
        <v>1</v>
      </c>
      <c r="AI12361">
        <v>1</v>
      </c>
      <c r="AJ12361">
        <v>1</v>
      </c>
      <c r="AK12361">
        <v>1</v>
      </c>
      <c r="AL12361">
        <v>1</v>
      </c>
      <c r="AM12361">
        <v>1</v>
      </c>
    </row>
    <row r="12362" spans="1:39" x14ac:dyDescent="0.2">
      <c r="A12362" t="str">
        <f>"12358"</f>
        <v>12358</v>
      </c>
      <c r="B12362" t="str">
        <f t="shared" si="687"/>
        <v>1</v>
      </c>
      <c r="C12362" t="str">
        <f t="shared" si="688"/>
        <v>248</v>
      </c>
      <c r="D12362" t="str">
        <f>"22"</f>
        <v>22</v>
      </c>
      <c r="E12362" t="str">
        <f>"1-248-22"</f>
        <v>1-248-22</v>
      </c>
      <c r="F12362" t="s">
        <v>65</v>
      </c>
      <c r="G12362" t="s">
        <v>66</v>
      </c>
      <c r="H12362" t="s">
        <v>67</v>
      </c>
      <c r="S12362">
        <v>1</v>
      </c>
      <c r="T12362">
        <v>0</v>
      </c>
      <c r="U12362">
        <v>0</v>
      </c>
      <c r="V12362">
        <v>0</v>
      </c>
      <c r="W12362">
        <v>1</v>
      </c>
      <c r="X12362">
        <v>0</v>
      </c>
      <c r="Y12362">
        <v>0</v>
      </c>
      <c r="Z12362">
        <v>1</v>
      </c>
      <c r="AA12362">
        <v>0</v>
      </c>
      <c r="AB12362">
        <v>0</v>
      </c>
      <c r="AC12362">
        <v>1</v>
      </c>
      <c r="AD12362">
        <v>0</v>
      </c>
      <c r="AE12362">
        <v>0</v>
      </c>
      <c r="AF12362">
        <v>0</v>
      </c>
      <c r="AG12362">
        <v>0</v>
      </c>
      <c r="AH12362">
        <v>1</v>
      </c>
      <c r="AI12362">
        <v>0</v>
      </c>
      <c r="AJ12362">
        <v>1</v>
      </c>
      <c r="AK12362">
        <v>1</v>
      </c>
      <c r="AL12362">
        <v>0</v>
      </c>
      <c r="AM12362">
        <v>0</v>
      </c>
    </row>
    <row r="12363" spans="1:39" x14ac:dyDescent="0.2">
      <c r="A12363" t="str">
        <f>"12359"</f>
        <v>12359</v>
      </c>
      <c r="B12363" t="str">
        <f t="shared" si="687"/>
        <v>1</v>
      </c>
      <c r="C12363" t="str">
        <f t="shared" si="688"/>
        <v>248</v>
      </c>
      <c r="D12363" t="str">
        <f>"16"</f>
        <v>16</v>
      </c>
      <c r="E12363" t="str">
        <f>"1-248-16"</f>
        <v>1-248-16</v>
      </c>
      <c r="F12363" t="s">
        <v>65</v>
      </c>
      <c r="G12363" t="s">
        <v>66</v>
      </c>
      <c r="H12363" t="s">
        <v>67</v>
      </c>
      <c r="S12363">
        <v>1</v>
      </c>
      <c r="T12363">
        <v>0</v>
      </c>
      <c r="U12363">
        <v>0</v>
      </c>
      <c r="V12363">
        <v>0</v>
      </c>
      <c r="W12363">
        <v>1</v>
      </c>
      <c r="X12363">
        <v>0</v>
      </c>
      <c r="Y12363">
        <v>1</v>
      </c>
      <c r="Z12363">
        <v>0</v>
      </c>
      <c r="AA12363">
        <v>1</v>
      </c>
      <c r="AB12363">
        <v>0</v>
      </c>
      <c r="AC12363">
        <v>0</v>
      </c>
      <c r="AD12363">
        <v>1</v>
      </c>
      <c r="AE12363">
        <v>1</v>
      </c>
      <c r="AF12363">
        <v>1</v>
      </c>
      <c r="AG12363">
        <v>1</v>
      </c>
      <c r="AH12363">
        <v>1</v>
      </c>
      <c r="AI12363">
        <v>1</v>
      </c>
      <c r="AJ12363">
        <v>1</v>
      </c>
      <c r="AK12363">
        <v>1</v>
      </c>
      <c r="AL12363">
        <v>1</v>
      </c>
      <c r="AM12363">
        <v>1</v>
      </c>
    </row>
    <row r="12364" spans="1:39" x14ac:dyDescent="0.2">
      <c r="A12364" t="str">
        <f>"12360"</f>
        <v>12360</v>
      </c>
      <c r="B12364" t="str">
        <f t="shared" si="687"/>
        <v>1</v>
      </c>
      <c r="C12364" t="str">
        <f t="shared" si="688"/>
        <v>248</v>
      </c>
      <c r="D12364" t="str">
        <f>"4"</f>
        <v>4</v>
      </c>
      <c r="E12364" t="str">
        <f>"1-248-4"</f>
        <v>1-248-4</v>
      </c>
      <c r="F12364" t="s">
        <v>65</v>
      </c>
      <c r="G12364" t="s">
        <v>66</v>
      </c>
      <c r="H12364" t="s">
        <v>67</v>
      </c>
      <c r="S12364">
        <v>1</v>
      </c>
      <c r="T12364">
        <v>0</v>
      </c>
      <c r="U12364">
        <v>0</v>
      </c>
      <c r="V12364">
        <v>0</v>
      </c>
      <c r="W12364">
        <v>1</v>
      </c>
      <c r="X12364">
        <v>0</v>
      </c>
      <c r="Y12364">
        <v>0</v>
      </c>
      <c r="Z12364">
        <v>1</v>
      </c>
      <c r="AA12364">
        <v>1</v>
      </c>
      <c r="AB12364">
        <v>0</v>
      </c>
      <c r="AC12364">
        <v>0</v>
      </c>
      <c r="AD12364">
        <v>1</v>
      </c>
      <c r="AE12364">
        <v>1</v>
      </c>
      <c r="AF12364">
        <v>1</v>
      </c>
      <c r="AG12364">
        <v>1</v>
      </c>
      <c r="AH12364">
        <v>1</v>
      </c>
      <c r="AI12364">
        <v>1</v>
      </c>
      <c r="AJ12364">
        <v>1</v>
      </c>
      <c r="AK12364">
        <v>1</v>
      </c>
      <c r="AL12364">
        <v>1</v>
      </c>
      <c r="AM12364">
        <v>1</v>
      </c>
    </row>
    <row r="12365" spans="1:39" x14ac:dyDescent="0.2">
      <c r="A12365" t="str">
        <f>"12361"</f>
        <v>12361</v>
      </c>
      <c r="B12365" t="str">
        <f t="shared" si="687"/>
        <v>1</v>
      </c>
      <c r="C12365" t="str">
        <f t="shared" si="688"/>
        <v>248</v>
      </c>
      <c r="D12365" t="str">
        <f>"42"</f>
        <v>42</v>
      </c>
      <c r="E12365" t="str">
        <f>"1-248-42"</f>
        <v>1-248-42</v>
      </c>
      <c r="F12365" t="s">
        <v>65</v>
      </c>
      <c r="G12365" t="s">
        <v>66</v>
      </c>
      <c r="H12365" t="s">
        <v>67</v>
      </c>
      <c r="S12365">
        <v>1</v>
      </c>
      <c r="T12365">
        <v>0</v>
      </c>
      <c r="U12365">
        <v>0</v>
      </c>
      <c r="V12365">
        <v>0</v>
      </c>
      <c r="W12365">
        <v>1</v>
      </c>
      <c r="X12365">
        <v>0</v>
      </c>
      <c r="Y12365">
        <v>1</v>
      </c>
      <c r="Z12365">
        <v>0</v>
      </c>
      <c r="AA12365">
        <v>1</v>
      </c>
      <c r="AB12365">
        <v>0</v>
      </c>
      <c r="AC12365">
        <v>0</v>
      </c>
      <c r="AD12365">
        <v>1</v>
      </c>
      <c r="AE12365">
        <v>0</v>
      </c>
      <c r="AF12365">
        <v>1</v>
      </c>
      <c r="AG12365">
        <v>1</v>
      </c>
      <c r="AH12365">
        <v>1</v>
      </c>
      <c r="AI12365">
        <v>1</v>
      </c>
      <c r="AJ12365">
        <v>1</v>
      </c>
      <c r="AK12365">
        <v>1</v>
      </c>
      <c r="AL12365">
        <v>1</v>
      </c>
      <c r="AM12365">
        <v>1</v>
      </c>
    </row>
    <row r="12366" spans="1:39" x14ac:dyDescent="0.2">
      <c r="A12366" t="str">
        <f>"12362"</f>
        <v>12362</v>
      </c>
      <c r="B12366" t="str">
        <f t="shared" si="687"/>
        <v>1</v>
      </c>
      <c r="C12366" t="str">
        <f t="shared" si="688"/>
        <v>248</v>
      </c>
      <c r="D12366" t="str">
        <f>"41"</f>
        <v>41</v>
      </c>
      <c r="E12366" t="str">
        <f>"1-248-41"</f>
        <v>1-248-41</v>
      </c>
      <c r="F12366" t="s">
        <v>65</v>
      </c>
      <c r="G12366" t="s">
        <v>66</v>
      </c>
      <c r="H12366" t="s">
        <v>67</v>
      </c>
      <c r="S12366">
        <v>0</v>
      </c>
      <c r="T12366">
        <v>1</v>
      </c>
      <c r="U12366">
        <v>0</v>
      </c>
      <c r="V12366">
        <v>0</v>
      </c>
      <c r="W12366">
        <v>1</v>
      </c>
      <c r="X12366">
        <v>0</v>
      </c>
      <c r="Y12366">
        <v>1</v>
      </c>
      <c r="Z12366">
        <v>0</v>
      </c>
      <c r="AA12366">
        <v>0</v>
      </c>
      <c r="AB12366">
        <v>0</v>
      </c>
      <c r="AC12366">
        <v>1</v>
      </c>
      <c r="AD12366">
        <v>0</v>
      </c>
      <c r="AE12366">
        <v>0</v>
      </c>
      <c r="AF12366">
        <v>0</v>
      </c>
      <c r="AG12366">
        <v>1</v>
      </c>
      <c r="AH12366">
        <v>0</v>
      </c>
      <c r="AI12366">
        <v>0</v>
      </c>
      <c r="AJ12366">
        <v>0</v>
      </c>
      <c r="AK12366">
        <v>0</v>
      </c>
      <c r="AL12366">
        <v>1</v>
      </c>
      <c r="AM12366">
        <v>0</v>
      </c>
    </row>
    <row r="12367" spans="1:39" x14ac:dyDescent="0.2">
      <c r="A12367" t="str">
        <f>"12363"</f>
        <v>12363</v>
      </c>
      <c r="B12367" t="str">
        <f t="shared" si="687"/>
        <v>1</v>
      </c>
      <c r="C12367" t="str">
        <f t="shared" si="688"/>
        <v>248</v>
      </c>
      <c r="D12367" t="str">
        <f>"32"</f>
        <v>32</v>
      </c>
      <c r="E12367" t="str">
        <f>"1-248-32"</f>
        <v>1-248-32</v>
      </c>
      <c r="F12367" t="s">
        <v>65</v>
      </c>
      <c r="G12367" t="s">
        <v>66</v>
      </c>
      <c r="H12367" t="s">
        <v>67</v>
      </c>
      <c r="S12367">
        <v>1</v>
      </c>
      <c r="T12367">
        <v>0</v>
      </c>
      <c r="U12367">
        <v>0</v>
      </c>
      <c r="V12367">
        <v>0</v>
      </c>
      <c r="W12367">
        <v>1</v>
      </c>
      <c r="X12367">
        <v>0</v>
      </c>
      <c r="Y12367">
        <v>1</v>
      </c>
      <c r="Z12367">
        <v>0</v>
      </c>
      <c r="AA12367">
        <v>1</v>
      </c>
      <c r="AB12367">
        <v>0</v>
      </c>
      <c r="AC12367">
        <v>0</v>
      </c>
      <c r="AD12367">
        <v>0</v>
      </c>
      <c r="AE12367">
        <v>0</v>
      </c>
      <c r="AF12367">
        <v>0</v>
      </c>
      <c r="AG12367">
        <v>0</v>
      </c>
      <c r="AH12367">
        <v>0</v>
      </c>
      <c r="AI12367">
        <v>0</v>
      </c>
      <c r="AJ12367">
        <v>0</v>
      </c>
      <c r="AK12367">
        <v>0</v>
      </c>
      <c r="AL12367">
        <v>0</v>
      </c>
      <c r="AM12367">
        <v>0</v>
      </c>
    </row>
    <row r="12368" spans="1:39" x14ac:dyDescent="0.2">
      <c r="A12368" t="str">
        <f>"12364"</f>
        <v>12364</v>
      </c>
      <c r="B12368" t="str">
        <f t="shared" si="687"/>
        <v>1</v>
      </c>
      <c r="C12368" t="str">
        <f t="shared" si="688"/>
        <v>248</v>
      </c>
      <c r="D12368" t="str">
        <f>"17"</f>
        <v>17</v>
      </c>
      <c r="E12368" t="str">
        <f>"1-248-17"</f>
        <v>1-248-17</v>
      </c>
      <c r="F12368" t="s">
        <v>65</v>
      </c>
      <c r="G12368" t="s">
        <v>66</v>
      </c>
      <c r="H12368" t="s">
        <v>67</v>
      </c>
      <c r="S12368">
        <v>1</v>
      </c>
      <c r="T12368">
        <v>0</v>
      </c>
      <c r="U12368">
        <v>0</v>
      </c>
      <c r="V12368">
        <v>0</v>
      </c>
      <c r="W12368">
        <v>1</v>
      </c>
      <c r="X12368">
        <v>0</v>
      </c>
      <c r="Y12368">
        <v>0</v>
      </c>
      <c r="Z12368">
        <v>1</v>
      </c>
      <c r="AA12368">
        <v>0</v>
      </c>
      <c r="AB12368">
        <v>1</v>
      </c>
      <c r="AC12368">
        <v>0</v>
      </c>
      <c r="AD12368">
        <v>1</v>
      </c>
      <c r="AE12368">
        <v>1</v>
      </c>
      <c r="AF12368">
        <v>1</v>
      </c>
      <c r="AG12368">
        <v>1</v>
      </c>
      <c r="AH12368">
        <v>1</v>
      </c>
      <c r="AI12368">
        <v>1</v>
      </c>
      <c r="AJ12368">
        <v>1</v>
      </c>
      <c r="AK12368">
        <v>1</v>
      </c>
      <c r="AL12368">
        <v>1</v>
      </c>
      <c r="AM12368">
        <v>1</v>
      </c>
    </row>
    <row r="12369" spans="1:39" x14ac:dyDescent="0.2">
      <c r="A12369" t="str">
        <f>"12365"</f>
        <v>12365</v>
      </c>
      <c r="B12369" t="str">
        <f t="shared" si="687"/>
        <v>1</v>
      </c>
      <c r="C12369" t="str">
        <f t="shared" si="688"/>
        <v>248</v>
      </c>
      <c r="D12369" t="str">
        <f>"8"</f>
        <v>8</v>
      </c>
      <c r="E12369" t="str">
        <f>"1-248-8"</f>
        <v>1-248-8</v>
      </c>
      <c r="F12369" t="s">
        <v>65</v>
      </c>
      <c r="G12369" t="s">
        <v>66</v>
      </c>
      <c r="H12369" t="s">
        <v>67</v>
      </c>
      <c r="S12369">
        <v>1</v>
      </c>
      <c r="T12369">
        <v>0</v>
      </c>
      <c r="U12369">
        <v>0</v>
      </c>
      <c r="V12369">
        <v>0</v>
      </c>
      <c r="W12369">
        <v>1</v>
      </c>
      <c r="X12369">
        <v>0</v>
      </c>
      <c r="Y12369">
        <v>1</v>
      </c>
      <c r="Z12369">
        <v>0</v>
      </c>
      <c r="AA12369">
        <v>1</v>
      </c>
      <c r="AB12369">
        <v>0</v>
      </c>
      <c r="AC12369">
        <v>0</v>
      </c>
      <c r="AD12369">
        <v>1</v>
      </c>
      <c r="AE12369">
        <v>1</v>
      </c>
      <c r="AF12369">
        <v>1</v>
      </c>
      <c r="AG12369">
        <v>1</v>
      </c>
      <c r="AH12369">
        <v>1</v>
      </c>
      <c r="AI12369">
        <v>1</v>
      </c>
      <c r="AJ12369">
        <v>1</v>
      </c>
      <c r="AK12369">
        <v>1</v>
      </c>
      <c r="AL12369">
        <v>1</v>
      </c>
      <c r="AM12369">
        <v>0</v>
      </c>
    </row>
    <row r="12370" spans="1:39" x14ac:dyDescent="0.2">
      <c r="A12370" t="str">
        <f>"12366"</f>
        <v>12366</v>
      </c>
      <c r="B12370" t="str">
        <f t="shared" si="687"/>
        <v>1</v>
      </c>
      <c r="C12370" t="str">
        <f t="shared" si="688"/>
        <v>248</v>
      </c>
      <c r="D12370" t="str">
        <f>"44"</f>
        <v>44</v>
      </c>
      <c r="E12370" t="str">
        <f>"1-248-44"</f>
        <v>1-248-44</v>
      </c>
      <c r="F12370" t="s">
        <v>65</v>
      </c>
      <c r="G12370" t="s">
        <v>66</v>
      </c>
      <c r="H12370" t="s">
        <v>67</v>
      </c>
      <c r="S12370">
        <v>1</v>
      </c>
      <c r="T12370">
        <v>0</v>
      </c>
      <c r="U12370">
        <v>0</v>
      </c>
      <c r="V12370">
        <v>0</v>
      </c>
      <c r="W12370">
        <v>1</v>
      </c>
      <c r="X12370">
        <v>0</v>
      </c>
      <c r="Y12370">
        <v>1</v>
      </c>
      <c r="Z12370">
        <v>0</v>
      </c>
      <c r="AA12370">
        <v>0</v>
      </c>
      <c r="AB12370">
        <v>1</v>
      </c>
      <c r="AC12370">
        <v>0</v>
      </c>
      <c r="AD12370">
        <v>0</v>
      </c>
      <c r="AE12370">
        <v>0</v>
      </c>
      <c r="AF12370">
        <v>0</v>
      </c>
      <c r="AG12370">
        <v>0</v>
      </c>
      <c r="AH12370">
        <v>0</v>
      </c>
      <c r="AI12370">
        <v>0</v>
      </c>
      <c r="AJ12370">
        <v>0</v>
      </c>
      <c r="AK12370">
        <v>0</v>
      </c>
      <c r="AL12370">
        <v>1</v>
      </c>
      <c r="AM12370">
        <v>1</v>
      </c>
    </row>
    <row r="12371" spans="1:39" x14ac:dyDescent="0.2">
      <c r="A12371" t="str">
        <f>"12367"</f>
        <v>12367</v>
      </c>
      <c r="B12371" t="str">
        <f t="shared" si="687"/>
        <v>1</v>
      </c>
      <c r="C12371" t="str">
        <f t="shared" si="688"/>
        <v>248</v>
      </c>
      <c r="D12371" t="str">
        <f>"43"</f>
        <v>43</v>
      </c>
      <c r="E12371" t="str">
        <f>"1-248-43"</f>
        <v>1-248-43</v>
      </c>
      <c r="F12371" t="s">
        <v>65</v>
      </c>
      <c r="G12371" t="s">
        <v>66</v>
      </c>
      <c r="H12371" t="s">
        <v>67</v>
      </c>
      <c r="S12371">
        <v>1</v>
      </c>
      <c r="T12371">
        <v>0</v>
      </c>
      <c r="U12371">
        <v>0</v>
      </c>
      <c r="V12371">
        <v>0</v>
      </c>
      <c r="W12371">
        <v>1</v>
      </c>
      <c r="X12371">
        <v>0</v>
      </c>
      <c r="Y12371">
        <v>0</v>
      </c>
      <c r="Z12371">
        <v>1</v>
      </c>
      <c r="AA12371">
        <v>1</v>
      </c>
      <c r="AB12371">
        <v>0</v>
      </c>
      <c r="AC12371">
        <v>0</v>
      </c>
      <c r="AD12371">
        <v>0</v>
      </c>
      <c r="AE12371">
        <v>0</v>
      </c>
      <c r="AF12371">
        <v>0</v>
      </c>
      <c r="AG12371">
        <v>0</v>
      </c>
      <c r="AH12371">
        <v>0</v>
      </c>
      <c r="AI12371">
        <v>0</v>
      </c>
      <c r="AJ12371">
        <v>0</v>
      </c>
      <c r="AK12371">
        <v>0</v>
      </c>
      <c r="AL12371">
        <v>1</v>
      </c>
      <c r="AM12371">
        <v>0</v>
      </c>
    </row>
    <row r="12372" spans="1:39" x14ac:dyDescent="0.2">
      <c r="A12372" t="str">
        <f>"12368"</f>
        <v>12368</v>
      </c>
      <c r="B12372" t="str">
        <f t="shared" si="687"/>
        <v>1</v>
      </c>
      <c r="C12372" t="str">
        <f t="shared" si="688"/>
        <v>248</v>
      </c>
      <c r="D12372" t="str">
        <f>"31"</f>
        <v>31</v>
      </c>
      <c r="E12372" t="str">
        <f>"1-248-31"</f>
        <v>1-248-31</v>
      </c>
      <c r="F12372" t="s">
        <v>65</v>
      </c>
      <c r="G12372" t="s">
        <v>66</v>
      </c>
      <c r="H12372" t="s">
        <v>67</v>
      </c>
      <c r="S12372">
        <v>1</v>
      </c>
      <c r="T12372">
        <v>0</v>
      </c>
      <c r="U12372">
        <v>0</v>
      </c>
      <c r="V12372">
        <v>0</v>
      </c>
      <c r="W12372">
        <v>0</v>
      </c>
      <c r="X12372">
        <v>1</v>
      </c>
      <c r="Y12372">
        <v>1</v>
      </c>
      <c r="Z12372">
        <v>0</v>
      </c>
      <c r="AA12372">
        <v>0</v>
      </c>
      <c r="AB12372">
        <v>0</v>
      </c>
      <c r="AC12372">
        <v>1</v>
      </c>
      <c r="AD12372">
        <v>1</v>
      </c>
      <c r="AE12372">
        <v>1</v>
      </c>
      <c r="AF12372">
        <v>1</v>
      </c>
      <c r="AG12372">
        <v>1</v>
      </c>
      <c r="AH12372">
        <v>1</v>
      </c>
      <c r="AI12372">
        <v>1</v>
      </c>
      <c r="AJ12372">
        <v>1</v>
      </c>
      <c r="AK12372">
        <v>1</v>
      </c>
      <c r="AL12372">
        <v>1</v>
      </c>
      <c r="AM12372">
        <v>1</v>
      </c>
    </row>
    <row r="12373" spans="1:39" x14ac:dyDescent="0.2">
      <c r="A12373" t="str">
        <f>"12369"</f>
        <v>12369</v>
      </c>
      <c r="B12373" t="str">
        <f t="shared" si="687"/>
        <v>1</v>
      </c>
      <c r="C12373" t="str">
        <f t="shared" si="688"/>
        <v>248</v>
      </c>
      <c r="D12373" t="str">
        <f>"18"</f>
        <v>18</v>
      </c>
      <c r="E12373" t="str">
        <f>"1-248-18"</f>
        <v>1-248-18</v>
      </c>
      <c r="F12373" t="s">
        <v>65</v>
      </c>
      <c r="G12373" t="s">
        <v>66</v>
      </c>
      <c r="H12373" t="s">
        <v>67</v>
      </c>
      <c r="S12373">
        <v>1</v>
      </c>
      <c r="T12373">
        <v>0</v>
      </c>
      <c r="U12373">
        <v>0</v>
      </c>
      <c r="V12373">
        <v>0</v>
      </c>
      <c r="W12373">
        <v>1</v>
      </c>
      <c r="X12373">
        <v>0</v>
      </c>
      <c r="Y12373">
        <v>1</v>
      </c>
      <c r="Z12373">
        <v>0</v>
      </c>
      <c r="AA12373">
        <v>1</v>
      </c>
      <c r="AB12373">
        <v>0</v>
      </c>
      <c r="AC12373">
        <v>0</v>
      </c>
      <c r="AD12373">
        <v>1</v>
      </c>
      <c r="AE12373">
        <v>1</v>
      </c>
      <c r="AF12373">
        <v>1</v>
      </c>
      <c r="AG12373">
        <v>1</v>
      </c>
      <c r="AH12373">
        <v>1</v>
      </c>
      <c r="AI12373">
        <v>1</v>
      </c>
      <c r="AJ12373">
        <v>1</v>
      </c>
      <c r="AK12373">
        <v>1</v>
      </c>
      <c r="AL12373">
        <v>1</v>
      </c>
      <c r="AM12373">
        <v>1</v>
      </c>
    </row>
    <row r="12374" spans="1:39" x14ac:dyDescent="0.2">
      <c r="A12374" t="str">
        <f>"12370"</f>
        <v>12370</v>
      </c>
      <c r="B12374" t="str">
        <f t="shared" si="687"/>
        <v>1</v>
      </c>
      <c r="C12374" t="str">
        <f t="shared" si="688"/>
        <v>248</v>
      </c>
      <c r="D12374" t="str">
        <f>"6"</f>
        <v>6</v>
      </c>
      <c r="E12374" t="str">
        <f>"1-248-6"</f>
        <v>1-248-6</v>
      </c>
      <c r="F12374" t="s">
        <v>65</v>
      </c>
      <c r="G12374" t="s">
        <v>66</v>
      </c>
      <c r="H12374" t="s">
        <v>67</v>
      </c>
      <c r="S12374">
        <v>1</v>
      </c>
      <c r="T12374">
        <v>0</v>
      </c>
      <c r="U12374">
        <v>0</v>
      </c>
      <c r="V12374">
        <v>0</v>
      </c>
      <c r="W12374">
        <v>1</v>
      </c>
      <c r="X12374">
        <v>0</v>
      </c>
      <c r="Y12374">
        <v>0</v>
      </c>
      <c r="Z12374">
        <v>1</v>
      </c>
      <c r="AA12374">
        <v>1</v>
      </c>
      <c r="AB12374">
        <v>0</v>
      </c>
      <c r="AC12374">
        <v>0</v>
      </c>
      <c r="AD12374">
        <v>0</v>
      </c>
      <c r="AE12374">
        <v>0</v>
      </c>
      <c r="AF12374">
        <v>0</v>
      </c>
      <c r="AG12374">
        <v>0</v>
      </c>
      <c r="AH12374">
        <v>0</v>
      </c>
      <c r="AI12374">
        <v>0</v>
      </c>
      <c r="AJ12374">
        <v>0</v>
      </c>
      <c r="AK12374">
        <v>0</v>
      </c>
      <c r="AL12374">
        <v>0</v>
      </c>
      <c r="AM12374">
        <v>0</v>
      </c>
    </row>
    <row r="12375" spans="1:39" x14ac:dyDescent="0.2">
      <c r="A12375" t="str">
        <f>"12371"</f>
        <v>12371</v>
      </c>
      <c r="B12375" t="str">
        <f t="shared" si="687"/>
        <v>1</v>
      </c>
      <c r="C12375" t="str">
        <f t="shared" si="688"/>
        <v>248</v>
      </c>
      <c r="D12375" t="str">
        <f>"50"</f>
        <v>50</v>
      </c>
      <c r="E12375" t="str">
        <f>"1-248-50"</f>
        <v>1-248-50</v>
      </c>
      <c r="F12375" t="s">
        <v>65</v>
      </c>
      <c r="G12375" t="s">
        <v>66</v>
      </c>
      <c r="H12375" t="s">
        <v>67</v>
      </c>
      <c r="S12375">
        <v>1</v>
      </c>
      <c r="T12375">
        <v>0</v>
      </c>
      <c r="U12375">
        <v>0</v>
      </c>
      <c r="V12375">
        <v>0</v>
      </c>
      <c r="W12375">
        <v>1</v>
      </c>
      <c r="X12375">
        <v>0</v>
      </c>
      <c r="Y12375">
        <v>1</v>
      </c>
      <c r="Z12375">
        <v>0</v>
      </c>
      <c r="AA12375">
        <v>1</v>
      </c>
      <c r="AB12375">
        <v>0</v>
      </c>
      <c r="AC12375">
        <v>0</v>
      </c>
      <c r="AD12375">
        <v>0</v>
      </c>
      <c r="AE12375">
        <v>0</v>
      </c>
      <c r="AF12375">
        <v>0</v>
      </c>
      <c r="AG12375">
        <v>0</v>
      </c>
      <c r="AH12375">
        <v>0</v>
      </c>
      <c r="AI12375">
        <v>0</v>
      </c>
      <c r="AJ12375">
        <v>0</v>
      </c>
      <c r="AK12375">
        <v>0</v>
      </c>
      <c r="AL12375">
        <v>0</v>
      </c>
      <c r="AM12375">
        <v>0</v>
      </c>
    </row>
    <row r="12376" spans="1:39" x14ac:dyDescent="0.2">
      <c r="A12376" t="str">
        <f>"12372"</f>
        <v>12372</v>
      </c>
      <c r="B12376" t="str">
        <f t="shared" si="687"/>
        <v>1</v>
      </c>
      <c r="C12376" t="str">
        <f t="shared" si="688"/>
        <v>248</v>
      </c>
      <c r="D12376" t="str">
        <f>"33"</f>
        <v>33</v>
      </c>
      <c r="E12376" t="str">
        <f>"1-248-33"</f>
        <v>1-248-33</v>
      </c>
      <c r="F12376" t="s">
        <v>65</v>
      </c>
      <c r="G12376" t="s">
        <v>66</v>
      </c>
      <c r="H12376" t="s">
        <v>67</v>
      </c>
      <c r="S12376">
        <v>1</v>
      </c>
      <c r="T12376">
        <v>0</v>
      </c>
      <c r="U12376">
        <v>0</v>
      </c>
      <c r="V12376">
        <v>0</v>
      </c>
      <c r="W12376">
        <v>1</v>
      </c>
      <c r="X12376">
        <v>0</v>
      </c>
      <c r="Y12376">
        <v>1</v>
      </c>
      <c r="Z12376">
        <v>0</v>
      </c>
      <c r="AA12376">
        <v>1</v>
      </c>
      <c r="AB12376">
        <v>0</v>
      </c>
      <c r="AC12376">
        <v>0</v>
      </c>
      <c r="AD12376">
        <v>1</v>
      </c>
      <c r="AE12376">
        <v>1</v>
      </c>
      <c r="AF12376">
        <v>1</v>
      </c>
      <c r="AG12376">
        <v>1</v>
      </c>
      <c r="AH12376">
        <v>1</v>
      </c>
      <c r="AI12376">
        <v>1</v>
      </c>
      <c r="AJ12376">
        <v>0</v>
      </c>
      <c r="AK12376">
        <v>1</v>
      </c>
      <c r="AL12376">
        <v>1</v>
      </c>
      <c r="AM12376">
        <v>1</v>
      </c>
    </row>
    <row r="12377" spans="1:39" x14ac:dyDescent="0.2">
      <c r="A12377" t="str">
        <f>"12373"</f>
        <v>12373</v>
      </c>
      <c r="B12377" t="str">
        <f t="shared" si="687"/>
        <v>1</v>
      </c>
      <c r="C12377" t="str">
        <f t="shared" si="688"/>
        <v>248</v>
      </c>
      <c r="D12377" t="str">
        <f>"19"</f>
        <v>19</v>
      </c>
      <c r="E12377" t="str">
        <f>"1-248-19"</f>
        <v>1-248-19</v>
      </c>
      <c r="F12377" t="s">
        <v>65</v>
      </c>
      <c r="G12377" t="s">
        <v>66</v>
      </c>
      <c r="H12377" t="s">
        <v>67</v>
      </c>
      <c r="S12377">
        <v>1</v>
      </c>
      <c r="T12377">
        <v>0</v>
      </c>
      <c r="U12377">
        <v>0</v>
      </c>
      <c r="V12377">
        <v>0</v>
      </c>
      <c r="W12377">
        <v>1</v>
      </c>
      <c r="X12377">
        <v>0</v>
      </c>
      <c r="Y12377">
        <v>0</v>
      </c>
      <c r="Z12377">
        <v>1</v>
      </c>
      <c r="AA12377">
        <v>0</v>
      </c>
      <c r="AB12377">
        <v>0</v>
      </c>
      <c r="AC12377">
        <v>1</v>
      </c>
      <c r="AD12377">
        <v>1</v>
      </c>
      <c r="AE12377">
        <v>1</v>
      </c>
      <c r="AF12377">
        <v>1</v>
      </c>
      <c r="AG12377">
        <v>1</v>
      </c>
      <c r="AH12377">
        <v>1</v>
      </c>
      <c r="AI12377">
        <v>1</v>
      </c>
      <c r="AJ12377">
        <v>1</v>
      </c>
      <c r="AK12377">
        <v>1</v>
      </c>
      <c r="AL12377">
        <v>1</v>
      </c>
      <c r="AM12377">
        <v>1</v>
      </c>
    </row>
    <row r="12378" spans="1:39" x14ac:dyDescent="0.2">
      <c r="A12378" t="str">
        <f>"12374"</f>
        <v>12374</v>
      </c>
      <c r="B12378" t="str">
        <f t="shared" si="687"/>
        <v>1</v>
      </c>
      <c r="C12378" t="str">
        <f t="shared" si="688"/>
        <v>248</v>
      </c>
      <c r="D12378" t="str">
        <f>"5"</f>
        <v>5</v>
      </c>
      <c r="E12378" t="str">
        <f>"1-248-5"</f>
        <v>1-248-5</v>
      </c>
      <c r="F12378" t="s">
        <v>65</v>
      </c>
      <c r="G12378" t="s">
        <v>66</v>
      </c>
      <c r="H12378" t="s">
        <v>67</v>
      </c>
      <c r="S12378">
        <v>1</v>
      </c>
      <c r="T12378">
        <v>0</v>
      </c>
      <c r="U12378">
        <v>0</v>
      </c>
      <c r="V12378">
        <v>0</v>
      </c>
      <c r="W12378">
        <v>1</v>
      </c>
      <c r="X12378">
        <v>0</v>
      </c>
      <c r="Y12378">
        <v>0</v>
      </c>
      <c r="Z12378">
        <v>1</v>
      </c>
      <c r="AA12378">
        <v>1</v>
      </c>
      <c r="AB12378">
        <v>0</v>
      </c>
      <c r="AC12378">
        <v>0</v>
      </c>
      <c r="AD12378">
        <v>1</v>
      </c>
      <c r="AE12378">
        <v>1</v>
      </c>
      <c r="AF12378">
        <v>1</v>
      </c>
      <c r="AG12378">
        <v>1</v>
      </c>
      <c r="AH12378">
        <v>1</v>
      </c>
      <c r="AI12378">
        <v>1</v>
      </c>
      <c r="AJ12378">
        <v>1</v>
      </c>
      <c r="AK12378">
        <v>1</v>
      </c>
      <c r="AL12378">
        <v>1</v>
      </c>
      <c r="AM12378">
        <v>1</v>
      </c>
    </row>
    <row r="12379" spans="1:39" x14ac:dyDescent="0.2">
      <c r="A12379" t="str">
        <f>"12375"</f>
        <v>12375</v>
      </c>
      <c r="B12379" t="str">
        <f t="shared" si="687"/>
        <v>1</v>
      </c>
      <c r="C12379" t="str">
        <f t="shared" si="688"/>
        <v>248</v>
      </c>
      <c r="D12379" t="str">
        <f>"49"</f>
        <v>49</v>
      </c>
      <c r="E12379" t="str">
        <f>"1-248-49"</f>
        <v>1-248-49</v>
      </c>
      <c r="F12379" t="s">
        <v>65</v>
      </c>
      <c r="G12379" t="s">
        <v>66</v>
      </c>
      <c r="H12379" t="s">
        <v>67</v>
      </c>
      <c r="S12379">
        <v>1</v>
      </c>
      <c r="T12379">
        <v>0</v>
      </c>
      <c r="U12379">
        <v>0</v>
      </c>
      <c r="V12379">
        <v>0</v>
      </c>
      <c r="W12379">
        <v>1</v>
      </c>
      <c r="X12379">
        <v>0</v>
      </c>
      <c r="Y12379">
        <v>1</v>
      </c>
      <c r="Z12379">
        <v>0</v>
      </c>
      <c r="AA12379">
        <v>0</v>
      </c>
      <c r="AB12379">
        <v>0</v>
      </c>
      <c r="AC12379">
        <v>1</v>
      </c>
      <c r="AD12379">
        <v>1</v>
      </c>
      <c r="AE12379">
        <v>1</v>
      </c>
      <c r="AF12379">
        <v>1</v>
      </c>
      <c r="AG12379">
        <v>1</v>
      </c>
      <c r="AH12379">
        <v>1</v>
      </c>
      <c r="AI12379">
        <v>1</v>
      </c>
      <c r="AJ12379">
        <v>1</v>
      </c>
      <c r="AK12379">
        <v>1</v>
      </c>
      <c r="AL12379">
        <v>1</v>
      </c>
      <c r="AM12379">
        <v>1</v>
      </c>
    </row>
    <row r="12380" spans="1:39" x14ac:dyDescent="0.2">
      <c r="A12380" t="str">
        <f>"12376"</f>
        <v>12376</v>
      </c>
      <c r="B12380" t="str">
        <f t="shared" si="687"/>
        <v>1</v>
      </c>
      <c r="C12380" t="str">
        <f t="shared" si="688"/>
        <v>248</v>
      </c>
      <c r="D12380" t="str">
        <f>"48"</f>
        <v>48</v>
      </c>
      <c r="E12380" t="str">
        <f>"1-248-48"</f>
        <v>1-248-48</v>
      </c>
      <c r="F12380" t="s">
        <v>65</v>
      </c>
      <c r="G12380" t="s">
        <v>66</v>
      </c>
      <c r="H12380" t="s">
        <v>67</v>
      </c>
      <c r="S12380">
        <v>1</v>
      </c>
      <c r="T12380">
        <v>0</v>
      </c>
      <c r="U12380">
        <v>0</v>
      </c>
      <c r="V12380">
        <v>0</v>
      </c>
      <c r="W12380">
        <v>1</v>
      </c>
      <c r="X12380">
        <v>0</v>
      </c>
      <c r="Y12380">
        <v>1</v>
      </c>
      <c r="Z12380">
        <v>0</v>
      </c>
      <c r="AA12380">
        <v>0</v>
      </c>
      <c r="AB12380">
        <v>0</v>
      </c>
      <c r="AC12380">
        <v>1</v>
      </c>
      <c r="AD12380">
        <v>1</v>
      </c>
      <c r="AE12380">
        <v>1</v>
      </c>
      <c r="AF12380">
        <v>1</v>
      </c>
      <c r="AG12380">
        <v>1</v>
      </c>
      <c r="AH12380">
        <v>1</v>
      </c>
      <c r="AI12380">
        <v>1</v>
      </c>
      <c r="AJ12380">
        <v>1</v>
      </c>
      <c r="AK12380">
        <v>1</v>
      </c>
      <c r="AL12380">
        <v>1</v>
      </c>
      <c r="AM12380">
        <v>1</v>
      </c>
    </row>
    <row r="12381" spans="1:39" x14ac:dyDescent="0.2">
      <c r="A12381" t="str">
        <f>"12377"</f>
        <v>12377</v>
      </c>
      <c r="B12381" t="str">
        <f t="shared" si="687"/>
        <v>1</v>
      </c>
      <c r="C12381" t="str">
        <f t="shared" si="688"/>
        <v>248</v>
      </c>
      <c r="D12381" t="str">
        <f>"34"</f>
        <v>34</v>
      </c>
      <c r="E12381" t="str">
        <f>"1-248-34"</f>
        <v>1-248-34</v>
      </c>
      <c r="F12381" t="s">
        <v>65</v>
      </c>
      <c r="G12381" t="s">
        <v>66</v>
      </c>
      <c r="H12381" t="s">
        <v>67</v>
      </c>
      <c r="S12381">
        <v>1</v>
      </c>
      <c r="T12381">
        <v>0</v>
      </c>
      <c r="U12381">
        <v>0</v>
      </c>
      <c r="V12381">
        <v>0</v>
      </c>
      <c r="W12381">
        <v>1</v>
      </c>
      <c r="X12381">
        <v>0</v>
      </c>
      <c r="Y12381">
        <v>1</v>
      </c>
      <c r="Z12381">
        <v>0</v>
      </c>
      <c r="AA12381">
        <v>0</v>
      </c>
      <c r="AB12381">
        <v>0</v>
      </c>
      <c r="AC12381">
        <v>1</v>
      </c>
      <c r="AD12381">
        <v>1</v>
      </c>
      <c r="AE12381">
        <v>1</v>
      </c>
      <c r="AF12381">
        <v>1</v>
      </c>
      <c r="AG12381">
        <v>1</v>
      </c>
      <c r="AH12381">
        <v>1</v>
      </c>
      <c r="AI12381">
        <v>1</v>
      </c>
      <c r="AJ12381">
        <v>1</v>
      </c>
      <c r="AK12381">
        <v>1</v>
      </c>
      <c r="AL12381">
        <v>1</v>
      </c>
      <c r="AM12381">
        <v>1</v>
      </c>
    </row>
    <row r="12382" spans="1:39" x14ac:dyDescent="0.2">
      <c r="A12382" t="str">
        <f>"12378"</f>
        <v>12378</v>
      </c>
      <c r="B12382" t="str">
        <f t="shared" si="687"/>
        <v>1</v>
      </c>
      <c r="C12382" t="str">
        <f t="shared" si="688"/>
        <v>248</v>
      </c>
      <c r="D12382" t="str">
        <f>"20"</f>
        <v>20</v>
      </c>
      <c r="E12382" t="str">
        <f>"1-248-20"</f>
        <v>1-248-20</v>
      </c>
      <c r="F12382" t="s">
        <v>65</v>
      </c>
      <c r="G12382" t="s">
        <v>66</v>
      </c>
      <c r="H12382" t="s">
        <v>67</v>
      </c>
      <c r="S12382">
        <v>1</v>
      </c>
      <c r="T12382">
        <v>0</v>
      </c>
      <c r="U12382">
        <v>0</v>
      </c>
      <c r="V12382">
        <v>0</v>
      </c>
      <c r="W12382">
        <v>0</v>
      </c>
      <c r="X12382">
        <v>1</v>
      </c>
      <c r="Y12382">
        <v>1</v>
      </c>
      <c r="Z12382">
        <v>0</v>
      </c>
      <c r="AA12382">
        <v>0</v>
      </c>
      <c r="AB12382">
        <v>0</v>
      </c>
      <c r="AC12382">
        <v>1</v>
      </c>
      <c r="AD12382">
        <v>1</v>
      </c>
      <c r="AE12382">
        <v>1</v>
      </c>
      <c r="AF12382">
        <v>1</v>
      </c>
      <c r="AG12382">
        <v>1</v>
      </c>
      <c r="AH12382">
        <v>1</v>
      </c>
      <c r="AI12382">
        <v>1</v>
      </c>
      <c r="AJ12382">
        <v>1</v>
      </c>
      <c r="AK12382">
        <v>1</v>
      </c>
      <c r="AL12382">
        <v>1</v>
      </c>
      <c r="AM12382">
        <v>1</v>
      </c>
    </row>
    <row r="12383" spans="1:39" x14ac:dyDescent="0.2">
      <c r="A12383" t="str">
        <f>"12379"</f>
        <v>12379</v>
      </c>
      <c r="B12383" t="str">
        <f t="shared" si="687"/>
        <v>1</v>
      </c>
      <c r="C12383" t="str">
        <f t="shared" si="688"/>
        <v>248</v>
      </c>
      <c r="D12383" t="str">
        <f>"12"</f>
        <v>12</v>
      </c>
      <c r="E12383" t="str">
        <f>"1-248-12"</f>
        <v>1-248-12</v>
      </c>
      <c r="F12383" t="s">
        <v>65</v>
      </c>
      <c r="G12383" t="s">
        <v>66</v>
      </c>
      <c r="H12383" t="s">
        <v>67</v>
      </c>
      <c r="S12383">
        <v>1</v>
      </c>
      <c r="T12383">
        <v>0</v>
      </c>
      <c r="U12383">
        <v>0</v>
      </c>
      <c r="V12383">
        <v>0</v>
      </c>
      <c r="W12383">
        <v>1</v>
      </c>
      <c r="X12383">
        <v>0</v>
      </c>
      <c r="Y12383">
        <v>0</v>
      </c>
      <c r="Z12383">
        <v>1</v>
      </c>
      <c r="AA12383">
        <v>1</v>
      </c>
      <c r="AB12383">
        <v>0</v>
      </c>
      <c r="AC12383">
        <v>0</v>
      </c>
      <c r="AD12383">
        <v>1</v>
      </c>
      <c r="AE12383">
        <v>1</v>
      </c>
      <c r="AF12383">
        <v>1</v>
      </c>
      <c r="AG12383">
        <v>1</v>
      </c>
      <c r="AH12383">
        <v>1</v>
      </c>
      <c r="AI12383">
        <v>1</v>
      </c>
      <c r="AJ12383">
        <v>1</v>
      </c>
      <c r="AK12383">
        <v>1</v>
      </c>
      <c r="AL12383">
        <v>1</v>
      </c>
      <c r="AM12383">
        <v>1</v>
      </c>
    </row>
    <row r="12384" spans="1:39" x14ac:dyDescent="0.2">
      <c r="A12384" t="str">
        <f>"12380"</f>
        <v>12380</v>
      </c>
      <c r="B12384" t="str">
        <f t="shared" si="687"/>
        <v>1</v>
      </c>
      <c r="C12384" t="str">
        <f t="shared" si="688"/>
        <v>248</v>
      </c>
      <c r="D12384" t="str">
        <f>"39"</f>
        <v>39</v>
      </c>
      <c r="E12384" t="str">
        <f>"1-248-39"</f>
        <v>1-248-39</v>
      </c>
      <c r="F12384" t="s">
        <v>65</v>
      </c>
      <c r="G12384" t="s">
        <v>66</v>
      </c>
      <c r="H12384" t="s">
        <v>67</v>
      </c>
      <c r="S12384">
        <v>0</v>
      </c>
      <c r="T12384">
        <v>1</v>
      </c>
      <c r="U12384">
        <v>0</v>
      </c>
      <c r="V12384">
        <v>0</v>
      </c>
      <c r="W12384">
        <v>0</v>
      </c>
      <c r="X12384">
        <v>1</v>
      </c>
      <c r="Y12384">
        <v>0</v>
      </c>
      <c r="Z12384">
        <v>1</v>
      </c>
      <c r="AA12384">
        <v>0</v>
      </c>
      <c r="AB12384">
        <v>0</v>
      </c>
      <c r="AC12384">
        <v>1</v>
      </c>
      <c r="AD12384">
        <v>1</v>
      </c>
      <c r="AE12384">
        <v>1</v>
      </c>
      <c r="AF12384">
        <v>1</v>
      </c>
      <c r="AG12384">
        <v>1</v>
      </c>
      <c r="AH12384">
        <v>1</v>
      </c>
      <c r="AI12384">
        <v>1</v>
      </c>
      <c r="AJ12384">
        <v>1</v>
      </c>
      <c r="AK12384">
        <v>1</v>
      </c>
      <c r="AL12384">
        <v>1</v>
      </c>
      <c r="AM12384">
        <v>1</v>
      </c>
    </row>
    <row r="12385" spans="1:39" x14ac:dyDescent="0.2">
      <c r="A12385" t="str">
        <f>"12381"</f>
        <v>12381</v>
      </c>
      <c r="B12385" t="str">
        <f t="shared" si="687"/>
        <v>1</v>
      </c>
      <c r="C12385" t="str">
        <f t="shared" si="688"/>
        <v>248</v>
      </c>
      <c r="D12385" t="str">
        <f>"21"</f>
        <v>21</v>
      </c>
      <c r="E12385" t="str">
        <f>"1-248-21"</f>
        <v>1-248-21</v>
      </c>
      <c r="F12385" t="s">
        <v>65</v>
      </c>
      <c r="G12385" t="s">
        <v>66</v>
      </c>
      <c r="H12385" t="s">
        <v>67</v>
      </c>
      <c r="S12385">
        <v>0</v>
      </c>
      <c r="T12385">
        <v>1</v>
      </c>
      <c r="U12385">
        <v>0</v>
      </c>
      <c r="V12385">
        <v>0</v>
      </c>
      <c r="W12385">
        <v>1</v>
      </c>
      <c r="X12385">
        <v>0</v>
      </c>
      <c r="Y12385">
        <v>0</v>
      </c>
      <c r="Z12385">
        <v>1</v>
      </c>
      <c r="AA12385">
        <v>1</v>
      </c>
      <c r="AB12385">
        <v>0</v>
      </c>
      <c r="AC12385">
        <v>0</v>
      </c>
      <c r="AD12385">
        <v>1</v>
      </c>
      <c r="AE12385">
        <v>1</v>
      </c>
      <c r="AF12385">
        <v>1</v>
      </c>
      <c r="AG12385">
        <v>1</v>
      </c>
      <c r="AH12385">
        <v>1</v>
      </c>
      <c r="AI12385">
        <v>1</v>
      </c>
      <c r="AJ12385">
        <v>1</v>
      </c>
      <c r="AK12385">
        <v>1</v>
      </c>
      <c r="AL12385">
        <v>1</v>
      </c>
      <c r="AM12385">
        <v>1</v>
      </c>
    </row>
    <row r="12386" spans="1:39" x14ac:dyDescent="0.2">
      <c r="A12386" t="str">
        <f>"12382"</f>
        <v>12382</v>
      </c>
      <c r="B12386" t="str">
        <f t="shared" si="687"/>
        <v>1</v>
      </c>
      <c r="C12386" t="str">
        <f t="shared" si="688"/>
        <v>248</v>
      </c>
      <c r="D12386" t="str">
        <f>"9"</f>
        <v>9</v>
      </c>
      <c r="E12386" t="str">
        <f>"1-248-9"</f>
        <v>1-248-9</v>
      </c>
      <c r="F12386" t="s">
        <v>65</v>
      </c>
      <c r="G12386" t="s">
        <v>66</v>
      </c>
      <c r="H12386" t="s">
        <v>67</v>
      </c>
      <c r="S12386">
        <v>1</v>
      </c>
      <c r="T12386">
        <v>0</v>
      </c>
      <c r="U12386">
        <v>0</v>
      </c>
      <c r="V12386">
        <v>0</v>
      </c>
      <c r="W12386">
        <v>1</v>
      </c>
      <c r="X12386">
        <v>0</v>
      </c>
      <c r="Y12386">
        <v>1</v>
      </c>
      <c r="Z12386">
        <v>0</v>
      </c>
      <c r="AA12386">
        <v>1</v>
      </c>
      <c r="AB12386">
        <v>0</v>
      </c>
      <c r="AC12386">
        <v>0</v>
      </c>
      <c r="AD12386">
        <v>1</v>
      </c>
      <c r="AE12386">
        <v>1</v>
      </c>
      <c r="AF12386">
        <v>1</v>
      </c>
      <c r="AG12386">
        <v>1</v>
      </c>
      <c r="AH12386">
        <v>1</v>
      </c>
      <c r="AI12386">
        <v>1</v>
      </c>
      <c r="AJ12386">
        <v>1</v>
      </c>
      <c r="AK12386">
        <v>0</v>
      </c>
      <c r="AL12386">
        <v>1</v>
      </c>
      <c r="AM12386">
        <v>1</v>
      </c>
    </row>
    <row r="12387" spans="1:39" x14ac:dyDescent="0.2">
      <c r="A12387" t="str">
        <f>"12383"</f>
        <v>12383</v>
      </c>
      <c r="B12387" t="str">
        <f t="shared" si="687"/>
        <v>1</v>
      </c>
      <c r="C12387" t="str">
        <f t="shared" ref="C12387:C12404" si="689">"248"</f>
        <v>248</v>
      </c>
      <c r="D12387" t="str">
        <f>"45"</f>
        <v>45</v>
      </c>
      <c r="E12387" t="str">
        <f>"1-248-45"</f>
        <v>1-248-45</v>
      </c>
      <c r="F12387" t="s">
        <v>65</v>
      </c>
      <c r="G12387" t="s">
        <v>66</v>
      </c>
      <c r="H12387" t="s">
        <v>67</v>
      </c>
      <c r="S12387">
        <v>1</v>
      </c>
      <c r="T12387">
        <v>0</v>
      </c>
      <c r="U12387">
        <v>0</v>
      </c>
      <c r="V12387">
        <v>0</v>
      </c>
      <c r="W12387">
        <v>1</v>
      </c>
      <c r="X12387">
        <v>0</v>
      </c>
      <c r="Y12387">
        <v>1</v>
      </c>
      <c r="Z12387">
        <v>0</v>
      </c>
      <c r="AA12387">
        <v>1</v>
      </c>
      <c r="AB12387">
        <v>0</v>
      </c>
      <c r="AC12387">
        <v>0</v>
      </c>
      <c r="AD12387">
        <v>1</v>
      </c>
      <c r="AE12387">
        <v>1</v>
      </c>
      <c r="AF12387">
        <v>1</v>
      </c>
      <c r="AG12387">
        <v>1</v>
      </c>
      <c r="AH12387">
        <v>1</v>
      </c>
      <c r="AI12387">
        <v>1</v>
      </c>
      <c r="AJ12387">
        <v>1</v>
      </c>
      <c r="AK12387">
        <v>1</v>
      </c>
      <c r="AL12387">
        <v>1</v>
      </c>
      <c r="AM12387">
        <v>1</v>
      </c>
    </row>
    <row r="12388" spans="1:39" x14ac:dyDescent="0.2">
      <c r="A12388" t="str">
        <f>"12384"</f>
        <v>12384</v>
      </c>
      <c r="B12388" t="str">
        <f t="shared" si="687"/>
        <v>1</v>
      </c>
      <c r="C12388" t="str">
        <f t="shared" si="689"/>
        <v>248</v>
      </c>
      <c r="D12388" t="str">
        <f>"23"</f>
        <v>23</v>
      </c>
      <c r="E12388" t="str">
        <f>"1-248-23"</f>
        <v>1-248-23</v>
      </c>
      <c r="F12388" t="s">
        <v>65</v>
      </c>
      <c r="G12388" t="s">
        <v>66</v>
      </c>
      <c r="H12388" t="s">
        <v>67</v>
      </c>
      <c r="S12388">
        <v>0</v>
      </c>
      <c r="T12388">
        <v>1</v>
      </c>
      <c r="U12388">
        <v>0</v>
      </c>
      <c r="V12388">
        <v>0</v>
      </c>
      <c r="W12388">
        <v>1</v>
      </c>
      <c r="X12388">
        <v>0</v>
      </c>
      <c r="Y12388">
        <v>0</v>
      </c>
      <c r="Z12388">
        <v>1</v>
      </c>
      <c r="AA12388">
        <v>0</v>
      </c>
      <c r="AB12388">
        <v>0</v>
      </c>
      <c r="AC12388">
        <v>1</v>
      </c>
      <c r="AD12388">
        <v>0</v>
      </c>
      <c r="AE12388">
        <v>0</v>
      </c>
      <c r="AF12388">
        <v>0</v>
      </c>
      <c r="AG12388">
        <v>0</v>
      </c>
      <c r="AH12388">
        <v>0</v>
      </c>
      <c r="AI12388">
        <v>0</v>
      </c>
      <c r="AJ12388">
        <v>0</v>
      </c>
      <c r="AK12388">
        <v>0</v>
      </c>
      <c r="AL12388">
        <v>0</v>
      </c>
      <c r="AM12388">
        <v>0</v>
      </c>
    </row>
    <row r="12389" spans="1:39" x14ac:dyDescent="0.2">
      <c r="A12389" t="str">
        <f>"12385"</f>
        <v>12385</v>
      </c>
      <c r="B12389" t="str">
        <f t="shared" si="687"/>
        <v>1</v>
      </c>
      <c r="C12389" t="str">
        <f t="shared" si="689"/>
        <v>248</v>
      </c>
      <c r="D12389" t="str">
        <f>"10"</f>
        <v>10</v>
      </c>
      <c r="E12389" t="str">
        <f>"1-248-10"</f>
        <v>1-248-10</v>
      </c>
      <c r="F12389" t="s">
        <v>65</v>
      </c>
      <c r="G12389" t="s">
        <v>66</v>
      </c>
      <c r="H12389" t="s">
        <v>67</v>
      </c>
      <c r="S12389">
        <v>1</v>
      </c>
      <c r="T12389">
        <v>0</v>
      </c>
      <c r="U12389">
        <v>0</v>
      </c>
      <c r="V12389">
        <v>0</v>
      </c>
      <c r="W12389">
        <v>1</v>
      </c>
      <c r="X12389">
        <v>0</v>
      </c>
      <c r="Y12389">
        <v>1</v>
      </c>
      <c r="Z12389">
        <v>0</v>
      </c>
      <c r="AA12389">
        <v>1</v>
      </c>
      <c r="AB12389">
        <v>0</v>
      </c>
      <c r="AC12389">
        <v>0</v>
      </c>
      <c r="AD12389">
        <v>0</v>
      </c>
      <c r="AE12389">
        <v>0</v>
      </c>
      <c r="AF12389">
        <v>0</v>
      </c>
      <c r="AG12389">
        <v>1</v>
      </c>
      <c r="AH12389">
        <v>0</v>
      </c>
      <c r="AI12389">
        <v>0</v>
      </c>
      <c r="AJ12389">
        <v>0</v>
      </c>
      <c r="AK12389">
        <v>0</v>
      </c>
      <c r="AL12389">
        <v>0</v>
      </c>
      <c r="AM12389">
        <v>0</v>
      </c>
    </row>
    <row r="12390" spans="1:39" x14ac:dyDescent="0.2">
      <c r="A12390" t="str">
        <f>"12386"</f>
        <v>12386</v>
      </c>
      <c r="B12390" t="str">
        <f t="shared" si="687"/>
        <v>1</v>
      </c>
      <c r="C12390" t="str">
        <f t="shared" si="689"/>
        <v>248</v>
      </c>
      <c r="D12390" t="str">
        <f>"40"</f>
        <v>40</v>
      </c>
      <c r="E12390" t="str">
        <f>"1-248-40"</f>
        <v>1-248-40</v>
      </c>
      <c r="F12390" t="s">
        <v>65</v>
      </c>
      <c r="G12390" t="s">
        <v>66</v>
      </c>
      <c r="H12390" t="s">
        <v>67</v>
      </c>
      <c r="S12390">
        <v>1</v>
      </c>
      <c r="T12390">
        <v>0</v>
      </c>
      <c r="U12390">
        <v>0</v>
      </c>
      <c r="V12390">
        <v>0</v>
      </c>
      <c r="W12390">
        <v>0</v>
      </c>
      <c r="X12390">
        <v>1</v>
      </c>
      <c r="Y12390">
        <v>1</v>
      </c>
      <c r="Z12390">
        <v>0</v>
      </c>
      <c r="AA12390">
        <v>0</v>
      </c>
      <c r="AB12390">
        <v>1</v>
      </c>
      <c r="AC12390">
        <v>0</v>
      </c>
      <c r="AD12390">
        <v>1</v>
      </c>
      <c r="AE12390">
        <v>1</v>
      </c>
      <c r="AF12390">
        <v>1</v>
      </c>
      <c r="AG12390">
        <v>1</v>
      </c>
      <c r="AH12390">
        <v>1</v>
      </c>
      <c r="AI12390">
        <v>1</v>
      </c>
      <c r="AJ12390">
        <v>1</v>
      </c>
      <c r="AK12390">
        <v>1</v>
      </c>
      <c r="AL12390">
        <v>1</v>
      </c>
      <c r="AM12390">
        <v>1</v>
      </c>
    </row>
    <row r="12391" spans="1:39" x14ac:dyDescent="0.2">
      <c r="A12391" t="str">
        <f>"12387"</f>
        <v>12387</v>
      </c>
      <c r="B12391" t="str">
        <f t="shared" si="687"/>
        <v>1</v>
      </c>
      <c r="C12391" t="str">
        <f t="shared" si="689"/>
        <v>248</v>
      </c>
      <c r="D12391" t="str">
        <f>"24"</f>
        <v>24</v>
      </c>
      <c r="E12391" t="str">
        <f>"1-248-24"</f>
        <v>1-248-24</v>
      </c>
      <c r="F12391" t="s">
        <v>65</v>
      </c>
      <c r="G12391" t="s">
        <v>66</v>
      </c>
      <c r="H12391" t="s">
        <v>67</v>
      </c>
      <c r="S12391">
        <v>1</v>
      </c>
      <c r="T12391">
        <v>0</v>
      </c>
      <c r="U12391">
        <v>0</v>
      </c>
      <c r="V12391">
        <v>0</v>
      </c>
      <c r="W12391">
        <v>1</v>
      </c>
      <c r="X12391">
        <v>0</v>
      </c>
      <c r="Y12391">
        <v>1</v>
      </c>
      <c r="Z12391">
        <v>0</v>
      </c>
      <c r="AA12391">
        <v>1</v>
      </c>
      <c r="AB12391">
        <v>0</v>
      </c>
      <c r="AC12391">
        <v>0</v>
      </c>
      <c r="AD12391">
        <v>0</v>
      </c>
      <c r="AE12391">
        <v>0</v>
      </c>
      <c r="AF12391">
        <v>0</v>
      </c>
      <c r="AG12391">
        <v>0</v>
      </c>
      <c r="AH12391">
        <v>0</v>
      </c>
      <c r="AI12391">
        <v>0</v>
      </c>
      <c r="AJ12391">
        <v>0</v>
      </c>
      <c r="AK12391">
        <v>0</v>
      </c>
      <c r="AL12391">
        <v>0</v>
      </c>
      <c r="AM12391">
        <v>0</v>
      </c>
    </row>
    <row r="12392" spans="1:39" x14ac:dyDescent="0.2">
      <c r="A12392" t="str">
        <f>"12388"</f>
        <v>12388</v>
      </c>
      <c r="B12392" t="str">
        <f t="shared" si="687"/>
        <v>1</v>
      </c>
      <c r="C12392" t="str">
        <f t="shared" si="689"/>
        <v>248</v>
      </c>
      <c r="D12392" t="str">
        <f>"7"</f>
        <v>7</v>
      </c>
      <c r="E12392" t="str">
        <f>"1-248-7"</f>
        <v>1-248-7</v>
      </c>
      <c r="F12392" t="s">
        <v>65</v>
      </c>
      <c r="G12392" t="s">
        <v>66</v>
      </c>
      <c r="H12392" t="s">
        <v>67</v>
      </c>
      <c r="S12392">
        <v>1</v>
      </c>
      <c r="T12392">
        <v>0</v>
      </c>
      <c r="U12392">
        <v>0</v>
      </c>
      <c r="V12392">
        <v>0</v>
      </c>
      <c r="W12392">
        <v>1</v>
      </c>
      <c r="X12392">
        <v>0</v>
      </c>
      <c r="Y12392">
        <v>0</v>
      </c>
      <c r="Z12392">
        <v>1</v>
      </c>
      <c r="AA12392">
        <v>0</v>
      </c>
      <c r="AB12392">
        <v>1</v>
      </c>
      <c r="AC12392">
        <v>0</v>
      </c>
      <c r="AD12392">
        <v>1</v>
      </c>
      <c r="AE12392">
        <v>1</v>
      </c>
      <c r="AF12392">
        <v>1</v>
      </c>
      <c r="AG12392">
        <v>0</v>
      </c>
      <c r="AH12392">
        <v>1</v>
      </c>
      <c r="AI12392">
        <v>0</v>
      </c>
      <c r="AJ12392">
        <v>1</v>
      </c>
      <c r="AK12392">
        <v>1</v>
      </c>
      <c r="AL12392">
        <v>1</v>
      </c>
      <c r="AM12392">
        <v>0</v>
      </c>
    </row>
    <row r="12393" spans="1:39" x14ac:dyDescent="0.2">
      <c r="A12393" t="str">
        <f>"12389"</f>
        <v>12389</v>
      </c>
      <c r="B12393" t="str">
        <f t="shared" si="687"/>
        <v>1</v>
      </c>
      <c r="C12393" t="str">
        <f t="shared" si="689"/>
        <v>248</v>
      </c>
      <c r="D12393" t="str">
        <f>"26"</f>
        <v>26</v>
      </c>
      <c r="E12393" t="str">
        <f>"1-248-26"</f>
        <v>1-248-26</v>
      </c>
      <c r="F12393" t="s">
        <v>65</v>
      </c>
      <c r="G12393" t="s">
        <v>66</v>
      </c>
      <c r="H12393" t="s">
        <v>67</v>
      </c>
      <c r="S12393">
        <v>1</v>
      </c>
      <c r="T12393">
        <v>0</v>
      </c>
      <c r="U12393">
        <v>0</v>
      </c>
      <c r="V12393">
        <v>0</v>
      </c>
      <c r="W12393">
        <v>1</v>
      </c>
      <c r="X12393">
        <v>0</v>
      </c>
      <c r="Y12393">
        <v>0</v>
      </c>
      <c r="Z12393">
        <v>1</v>
      </c>
      <c r="AA12393">
        <v>1</v>
      </c>
      <c r="AB12393">
        <v>0</v>
      </c>
      <c r="AC12393">
        <v>0</v>
      </c>
      <c r="AD12393">
        <v>1</v>
      </c>
      <c r="AE12393">
        <v>1</v>
      </c>
      <c r="AF12393">
        <v>1</v>
      </c>
      <c r="AG12393">
        <v>1</v>
      </c>
      <c r="AH12393">
        <v>1</v>
      </c>
      <c r="AI12393">
        <v>1</v>
      </c>
      <c r="AJ12393">
        <v>1</v>
      </c>
      <c r="AK12393">
        <v>1</v>
      </c>
      <c r="AL12393">
        <v>1</v>
      </c>
      <c r="AM12393">
        <v>1</v>
      </c>
    </row>
    <row r="12394" spans="1:39" x14ac:dyDescent="0.2">
      <c r="A12394" t="str">
        <f>"12390"</f>
        <v>12390</v>
      </c>
      <c r="B12394" t="str">
        <f t="shared" si="687"/>
        <v>1</v>
      </c>
      <c r="C12394" t="str">
        <f t="shared" si="689"/>
        <v>248</v>
      </c>
      <c r="D12394" t="str">
        <f>"14"</f>
        <v>14</v>
      </c>
      <c r="E12394" t="str">
        <f>"1-248-14"</f>
        <v>1-248-14</v>
      </c>
      <c r="F12394" t="s">
        <v>65</v>
      </c>
      <c r="G12394" t="s">
        <v>66</v>
      </c>
      <c r="H12394" t="s">
        <v>67</v>
      </c>
      <c r="S12394">
        <v>1</v>
      </c>
      <c r="T12394">
        <v>0</v>
      </c>
      <c r="U12394">
        <v>0</v>
      </c>
      <c r="V12394">
        <v>0</v>
      </c>
      <c r="W12394">
        <v>1</v>
      </c>
      <c r="X12394">
        <v>0</v>
      </c>
      <c r="Y12394">
        <v>0</v>
      </c>
      <c r="Z12394">
        <v>1</v>
      </c>
      <c r="AA12394">
        <v>0</v>
      </c>
      <c r="AB12394">
        <v>1</v>
      </c>
      <c r="AC12394">
        <v>0</v>
      </c>
      <c r="AD12394">
        <v>1</v>
      </c>
      <c r="AE12394">
        <v>1</v>
      </c>
      <c r="AF12394">
        <v>1</v>
      </c>
      <c r="AG12394">
        <v>1</v>
      </c>
      <c r="AH12394">
        <v>1</v>
      </c>
      <c r="AI12394">
        <v>1</v>
      </c>
      <c r="AJ12394">
        <v>1</v>
      </c>
      <c r="AK12394">
        <v>1</v>
      </c>
      <c r="AL12394">
        <v>1</v>
      </c>
      <c r="AM12394">
        <v>1</v>
      </c>
    </row>
    <row r="12395" spans="1:39" x14ac:dyDescent="0.2">
      <c r="A12395" t="str">
        <f>"12391"</f>
        <v>12391</v>
      </c>
      <c r="B12395" t="str">
        <f t="shared" si="687"/>
        <v>1</v>
      </c>
      <c r="C12395" t="str">
        <f t="shared" si="689"/>
        <v>248</v>
      </c>
      <c r="D12395" t="str">
        <f>"47"</f>
        <v>47</v>
      </c>
      <c r="E12395" t="str">
        <f>"1-248-47"</f>
        <v>1-248-47</v>
      </c>
      <c r="F12395" t="s">
        <v>65</v>
      </c>
      <c r="G12395" t="s">
        <v>66</v>
      </c>
      <c r="H12395" t="s">
        <v>67</v>
      </c>
      <c r="S12395">
        <v>0</v>
      </c>
      <c r="T12395">
        <v>1</v>
      </c>
      <c r="U12395">
        <v>0</v>
      </c>
      <c r="V12395">
        <v>0</v>
      </c>
      <c r="W12395">
        <v>1</v>
      </c>
      <c r="X12395">
        <v>0</v>
      </c>
      <c r="Y12395">
        <v>0</v>
      </c>
      <c r="Z12395">
        <v>1</v>
      </c>
      <c r="AA12395">
        <v>1</v>
      </c>
      <c r="AB12395">
        <v>0</v>
      </c>
      <c r="AC12395">
        <v>0</v>
      </c>
      <c r="AD12395">
        <v>1</v>
      </c>
      <c r="AE12395">
        <v>1</v>
      </c>
      <c r="AF12395">
        <v>1</v>
      </c>
      <c r="AG12395">
        <v>1</v>
      </c>
      <c r="AH12395">
        <v>1</v>
      </c>
      <c r="AI12395">
        <v>1</v>
      </c>
      <c r="AJ12395">
        <v>1</v>
      </c>
      <c r="AK12395">
        <v>1</v>
      </c>
      <c r="AL12395">
        <v>1</v>
      </c>
      <c r="AM12395">
        <v>1</v>
      </c>
    </row>
    <row r="12396" spans="1:39" x14ac:dyDescent="0.2">
      <c r="A12396" t="str">
        <f>"12392"</f>
        <v>12392</v>
      </c>
      <c r="B12396" t="str">
        <f t="shared" si="687"/>
        <v>1</v>
      </c>
      <c r="C12396" t="str">
        <f t="shared" si="689"/>
        <v>248</v>
      </c>
      <c r="D12396" t="str">
        <f>"27"</f>
        <v>27</v>
      </c>
      <c r="E12396" t="str">
        <f>"1-248-27"</f>
        <v>1-248-27</v>
      </c>
      <c r="F12396" t="s">
        <v>65</v>
      </c>
      <c r="G12396" t="s">
        <v>66</v>
      </c>
      <c r="H12396" t="s">
        <v>67</v>
      </c>
      <c r="S12396">
        <v>0</v>
      </c>
      <c r="T12396">
        <v>1</v>
      </c>
      <c r="U12396">
        <v>0</v>
      </c>
      <c r="V12396">
        <v>0</v>
      </c>
      <c r="W12396">
        <v>0</v>
      </c>
      <c r="X12396">
        <v>1</v>
      </c>
      <c r="Y12396">
        <v>0</v>
      </c>
      <c r="Z12396">
        <v>1</v>
      </c>
      <c r="AA12396">
        <v>0</v>
      </c>
      <c r="AB12396">
        <v>1</v>
      </c>
      <c r="AC12396">
        <v>0</v>
      </c>
      <c r="AD12396">
        <v>0</v>
      </c>
      <c r="AE12396">
        <v>0</v>
      </c>
      <c r="AF12396">
        <v>0</v>
      </c>
      <c r="AG12396">
        <v>1</v>
      </c>
      <c r="AH12396">
        <v>1</v>
      </c>
      <c r="AI12396">
        <v>0</v>
      </c>
      <c r="AJ12396">
        <v>0</v>
      </c>
      <c r="AK12396">
        <v>0</v>
      </c>
      <c r="AL12396">
        <v>0</v>
      </c>
      <c r="AM12396">
        <v>0</v>
      </c>
    </row>
    <row r="12397" spans="1:39" x14ac:dyDescent="0.2">
      <c r="A12397" t="str">
        <f>"12393"</f>
        <v>12393</v>
      </c>
      <c r="B12397" t="str">
        <f t="shared" si="687"/>
        <v>1</v>
      </c>
      <c r="C12397" t="str">
        <f t="shared" si="689"/>
        <v>248</v>
      </c>
      <c r="D12397" t="str">
        <f>"3"</f>
        <v>3</v>
      </c>
      <c r="E12397" t="str">
        <f>"1-248-3"</f>
        <v>1-248-3</v>
      </c>
      <c r="F12397" t="s">
        <v>65</v>
      </c>
      <c r="G12397" t="s">
        <v>66</v>
      </c>
      <c r="H12397" t="s">
        <v>67</v>
      </c>
      <c r="S12397">
        <v>1</v>
      </c>
      <c r="T12397">
        <v>0</v>
      </c>
      <c r="U12397">
        <v>0</v>
      </c>
      <c r="V12397">
        <v>0</v>
      </c>
      <c r="W12397">
        <v>1</v>
      </c>
      <c r="X12397">
        <v>0</v>
      </c>
      <c r="Y12397">
        <v>1</v>
      </c>
      <c r="Z12397">
        <v>0</v>
      </c>
      <c r="AA12397">
        <v>1</v>
      </c>
      <c r="AB12397">
        <v>0</v>
      </c>
      <c r="AC12397">
        <v>0</v>
      </c>
      <c r="AD12397">
        <v>1</v>
      </c>
      <c r="AE12397">
        <v>1</v>
      </c>
      <c r="AF12397">
        <v>1</v>
      </c>
      <c r="AG12397">
        <v>1</v>
      </c>
      <c r="AH12397">
        <v>1</v>
      </c>
      <c r="AI12397">
        <v>1</v>
      </c>
      <c r="AJ12397">
        <v>1</v>
      </c>
      <c r="AK12397">
        <v>1</v>
      </c>
      <c r="AL12397">
        <v>1</v>
      </c>
      <c r="AM12397">
        <v>1</v>
      </c>
    </row>
    <row r="12398" spans="1:39" x14ac:dyDescent="0.2">
      <c r="A12398" t="str">
        <f>"12394"</f>
        <v>12394</v>
      </c>
      <c r="B12398" t="str">
        <f t="shared" si="687"/>
        <v>1</v>
      </c>
      <c r="C12398" t="str">
        <f t="shared" si="689"/>
        <v>248</v>
      </c>
      <c r="D12398" t="str">
        <f>"46"</f>
        <v>46</v>
      </c>
      <c r="E12398" t="str">
        <f>"1-248-46"</f>
        <v>1-248-46</v>
      </c>
      <c r="F12398" t="s">
        <v>65</v>
      </c>
      <c r="G12398" t="s">
        <v>66</v>
      </c>
      <c r="H12398" t="s">
        <v>67</v>
      </c>
      <c r="S12398">
        <v>1</v>
      </c>
      <c r="T12398">
        <v>0</v>
      </c>
      <c r="U12398">
        <v>0</v>
      </c>
      <c r="V12398">
        <v>0</v>
      </c>
      <c r="W12398">
        <v>1</v>
      </c>
      <c r="X12398">
        <v>0</v>
      </c>
      <c r="Y12398">
        <v>0</v>
      </c>
      <c r="Z12398">
        <v>1</v>
      </c>
      <c r="AA12398">
        <v>1</v>
      </c>
      <c r="AB12398">
        <v>0</v>
      </c>
      <c r="AC12398">
        <v>0</v>
      </c>
      <c r="AD12398">
        <v>0</v>
      </c>
      <c r="AE12398">
        <v>0</v>
      </c>
      <c r="AF12398">
        <v>0</v>
      </c>
      <c r="AG12398">
        <v>0</v>
      </c>
      <c r="AH12398">
        <v>0</v>
      </c>
      <c r="AI12398">
        <v>0</v>
      </c>
      <c r="AJ12398">
        <v>0</v>
      </c>
      <c r="AK12398">
        <v>0</v>
      </c>
      <c r="AL12398">
        <v>0</v>
      </c>
      <c r="AM12398">
        <v>0</v>
      </c>
    </row>
    <row r="12399" spans="1:39" x14ac:dyDescent="0.2">
      <c r="A12399" t="str">
        <f>"12395"</f>
        <v>12395</v>
      </c>
      <c r="B12399" t="str">
        <f t="shared" si="687"/>
        <v>1</v>
      </c>
      <c r="C12399" t="str">
        <f t="shared" si="689"/>
        <v>248</v>
      </c>
      <c r="D12399" t="str">
        <f>"28"</f>
        <v>28</v>
      </c>
      <c r="E12399" t="str">
        <f>"1-248-28"</f>
        <v>1-248-28</v>
      </c>
      <c r="F12399" t="s">
        <v>65</v>
      </c>
      <c r="G12399" t="s">
        <v>66</v>
      </c>
      <c r="H12399" t="s">
        <v>67</v>
      </c>
      <c r="S12399">
        <v>0</v>
      </c>
      <c r="T12399">
        <v>1</v>
      </c>
      <c r="U12399">
        <v>0</v>
      </c>
      <c r="V12399">
        <v>0</v>
      </c>
      <c r="W12399">
        <v>1</v>
      </c>
      <c r="X12399">
        <v>0</v>
      </c>
      <c r="Y12399">
        <v>0</v>
      </c>
      <c r="Z12399">
        <v>1</v>
      </c>
      <c r="AA12399">
        <v>1</v>
      </c>
      <c r="AB12399">
        <v>0</v>
      </c>
      <c r="AC12399">
        <v>0</v>
      </c>
      <c r="AD12399">
        <v>1</v>
      </c>
      <c r="AE12399">
        <v>1</v>
      </c>
      <c r="AF12399">
        <v>1</v>
      </c>
      <c r="AG12399">
        <v>1</v>
      </c>
      <c r="AH12399">
        <v>1</v>
      </c>
      <c r="AI12399">
        <v>1</v>
      </c>
      <c r="AJ12399">
        <v>1</v>
      </c>
      <c r="AK12399">
        <v>1</v>
      </c>
      <c r="AL12399">
        <v>1</v>
      </c>
      <c r="AM12399">
        <v>1</v>
      </c>
    </row>
    <row r="12400" spans="1:39" x14ac:dyDescent="0.2">
      <c r="A12400" t="str">
        <f>"12396"</f>
        <v>12396</v>
      </c>
      <c r="B12400" t="str">
        <f t="shared" si="687"/>
        <v>1</v>
      </c>
      <c r="C12400" t="str">
        <f t="shared" si="689"/>
        <v>248</v>
      </c>
      <c r="D12400" t="str">
        <f>"13"</f>
        <v>13</v>
      </c>
      <c r="E12400" t="str">
        <f>"1-248-13"</f>
        <v>1-248-13</v>
      </c>
      <c r="F12400" t="s">
        <v>65</v>
      </c>
      <c r="G12400" t="s">
        <v>66</v>
      </c>
      <c r="H12400" t="s">
        <v>67</v>
      </c>
      <c r="S12400">
        <v>0</v>
      </c>
      <c r="T12400">
        <v>1</v>
      </c>
      <c r="U12400">
        <v>0</v>
      </c>
      <c r="V12400">
        <v>0</v>
      </c>
      <c r="W12400">
        <v>1</v>
      </c>
      <c r="X12400">
        <v>0</v>
      </c>
      <c r="Y12400">
        <v>1</v>
      </c>
      <c r="Z12400">
        <v>0</v>
      </c>
      <c r="AA12400">
        <v>0</v>
      </c>
      <c r="AB12400">
        <v>0</v>
      </c>
      <c r="AC12400">
        <v>1</v>
      </c>
      <c r="AD12400">
        <v>1</v>
      </c>
      <c r="AE12400">
        <v>1</v>
      </c>
      <c r="AF12400">
        <v>1</v>
      </c>
      <c r="AG12400">
        <v>1</v>
      </c>
      <c r="AH12400">
        <v>0</v>
      </c>
      <c r="AI12400">
        <v>1</v>
      </c>
      <c r="AJ12400">
        <v>1</v>
      </c>
      <c r="AK12400">
        <v>1</v>
      </c>
      <c r="AL12400">
        <v>1</v>
      </c>
      <c r="AM12400">
        <v>0</v>
      </c>
    </row>
    <row r="12401" spans="1:39" x14ac:dyDescent="0.2">
      <c r="A12401" t="str">
        <f>"12397"</f>
        <v>12397</v>
      </c>
      <c r="B12401" t="str">
        <f t="shared" si="687"/>
        <v>1</v>
      </c>
      <c r="C12401" t="str">
        <f t="shared" si="689"/>
        <v>248</v>
      </c>
      <c r="D12401" t="str">
        <f>"29"</f>
        <v>29</v>
      </c>
      <c r="E12401" t="str">
        <f>"1-248-29"</f>
        <v>1-248-29</v>
      </c>
      <c r="F12401" t="s">
        <v>65</v>
      </c>
      <c r="G12401" t="s">
        <v>66</v>
      </c>
      <c r="H12401" t="s">
        <v>67</v>
      </c>
      <c r="S12401">
        <v>0</v>
      </c>
      <c r="T12401">
        <v>1</v>
      </c>
      <c r="U12401">
        <v>0</v>
      </c>
      <c r="V12401">
        <v>0</v>
      </c>
      <c r="W12401">
        <v>1</v>
      </c>
      <c r="X12401">
        <v>0</v>
      </c>
      <c r="Y12401">
        <v>0</v>
      </c>
      <c r="Z12401">
        <v>1</v>
      </c>
      <c r="AA12401">
        <v>0</v>
      </c>
      <c r="AB12401">
        <v>0</v>
      </c>
      <c r="AC12401">
        <v>1</v>
      </c>
      <c r="AD12401">
        <v>1</v>
      </c>
      <c r="AE12401">
        <v>1</v>
      </c>
      <c r="AF12401">
        <v>1</v>
      </c>
      <c r="AG12401">
        <v>1</v>
      </c>
      <c r="AH12401">
        <v>1</v>
      </c>
      <c r="AI12401">
        <v>1</v>
      </c>
      <c r="AJ12401">
        <v>1</v>
      </c>
      <c r="AK12401">
        <v>1</v>
      </c>
      <c r="AL12401">
        <v>1</v>
      </c>
      <c r="AM12401">
        <v>1</v>
      </c>
    </row>
    <row r="12402" spans="1:39" x14ac:dyDescent="0.2">
      <c r="A12402" t="str">
        <f>"12398"</f>
        <v>12398</v>
      </c>
      <c r="B12402" t="str">
        <f t="shared" si="687"/>
        <v>1</v>
      </c>
      <c r="C12402" t="str">
        <f t="shared" si="689"/>
        <v>248</v>
      </c>
      <c r="D12402" t="str">
        <f>"11"</f>
        <v>11</v>
      </c>
      <c r="E12402" t="str">
        <f>"1-248-11"</f>
        <v>1-248-11</v>
      </c>
      <c r="F12402" t="s">
        <v>65</v>
      </c>
      <c r="G12402" t="s">
        <v>66</v>
      </c>
      <c r="H12402" t="s">
        <v>67</v>
      </c>
      <c r="S12402">
        <v>1</v>
      </c>
      <c r="T12402">
        <v>0</v>
      </c>
      <c r="U12402">
        <v>0</v>
      </c>
      <c r="V12402">
        <v>0</v>
      </c>
      <c r="W12402">
        <v>1</v>
      </c>
      <c r="X12402">
        <v>0</v>
      </c>
      <c r="Y12402">
        <v>1</v>
      </c>
      <c r="Z12402">
        <v>0</v>
      </c>
      <c r="AA12402">
        <v>1</v>
      </c>
      <c r="AB12402">
        <v>0</v>
      </c>
      <c r="AC12402">
        <v>0</v>
      </c>
      <c r="AD12402">
        <v>0</v>
      </c>
      <c r="AE12402">
        <v>0</v>
      </c>
      <c r="AF12402">
        <v>0</v>
      </c>
      <c r="AG12402">
        <v>1</v>
      </c>
      <c r="AH12402">
        <v>0</v>
      </c>
      <c r="AI12402">
        <v>0</v>
      </c>
      <c r="AJ12402">
        <v>1</v>
      </c>
      <c r="AK12402">
        <v>1</v>
      </c>
      <c r="AL12402">
        <v>1</v>
      </c>
      <c r="AM12402">
        <v>1</v>
      </c>
    </row>
    <row r="12403" spans="1:39" x14ac:dyDescent="0.2">
      <c r="A12403" t="str">
        <f>"12399"</f>
        <v>12399</v>
      </c>
      <c r="B12403" t="str">
        <f t="shared" si="687"/>
        <v>1</v>
      </c>
      <c r="C12403" t="str">
        <f t="shared" si="689"/>
        <v>248</v>
      </c>
      <c r="D12403" t="str">
        <f>"30"</f>
        <v>30</v>
      </c>
      <c r="E12403" t="str">
        <f>"1-248-30"</f>
        <v>1-248-30</v>
      </c>
      <c r="F12403" t="s">
        <v>65</v>
      </c>
      <c r="G12403" t="s">
        <v>66</v>
      </c>
      <c r="H12403" t="s">
        <v>67</v>
      </c>
      <c r="S12403">
        <v>1</v>
      </c>
      <c r="T12403">
        <v>0</v>
      </c>
      <c r="U12403">
        <v>0</v>
      </c>
      <c r="V12403">
        <v>0</v>
      </c>
      <c r="W12403">
        <v>1</v>
      </c>
      <c r="X12403">
        <v>0</v>
      </c>
      <c r="Y12403">
        <v>1</v>
      </c>
      <c r="Z12403">
        <v>0</v>
      </c>
      <c r="AA12403">
        <v>1</v>
      </c>
      <c r="AB12403">
        <v>0</v>
      </c>
      <c r="AC12403">
        <v>0</v>
      </c>
      <c r="AD12403">
        <v>0</v>
      </c>
      <c r="AE12403">
        <v>0</v>
      </c>
      <c r="AF12403">
        <v>0</v>
      </c>
      <c r="AG12403">
        <v>0</v>
      </c>
      <c r="AH12403">
        <v>0</v>
      </c>
      <c r="AI12403">
        <v>0</v>
      </c>
      <c r="AJ12403">
        <v>0</v>
      </c>
      <c r="AK12403">
        <v>0</v>
      </c>
      <c r="AL12403">
        <v>0</v>
      </c>
      <c r="AM12403">
        <v>0</v>
      </c>
    </row>
    <row r="12404" spans="1:39" x14ac:dyDescent="0.2">
      <c r="A12404" t="str">
        <f>"12400"</f>
        <v>12400</v>
      </c>
      <c r="B12404" t="str">
        <f t="shared" si="687"/>
        <v>1</v>
      </c>
      <c r="C12404" t="str">
        <f t="shared" si="689"/>
        <v>248</v>
      </c>
      <c r="D12404" t="str">
        <f>"1"</f>
        <v>1</v>
      </c>
      <c r="E12404" t="str">
        <f>"1-248-1"</f>
        <v>1-248-1</v>
      </c>
      <c r="F12404" t="s">
        <v>65</v>
      </c>
      <c r="G12404" t="s">
        <v>66</v>
      </c>
      <c r="H12404" t="s">
        <v>67</v>
      </c>
      <c r="S12404">
        <v>0</v>
      </c>
      <c r="T12404">
        <v>1</v>
      </c>
      <c r="U12404">
        <v>0</v>
      </c>
      <c r="V12404">
        <v>0</v>
      </c>
      <c r="W12404">
        <v>1</v>
      </c>
      <c r="X12404">
        <v>0</v>
      </c>
      <c r="Y12404">
        <v>0</v>
      </c>
      <c r="Z12404">
        <v>1</v>
      </c>
      <c r="AA12404">
        <v>0</v>
      </c>
      <c r="AB12404">
        <v>0</v>
      </c>
      <c r="AC12404">
        <v>1</v>
      </c>
      <c r="AD12404">
        <v>1</v>
      </c>
      <c r="AE12404">
        <v>1</v>
      </c>
      <c r="AF12404">
        <v>1</v>
      </c>
      <c r="AG12404">
        <v>1</v>
      </c>
      <c r="AH12404">
        <v>1</v>
      </c>
      <c r="AI12404">
        <v>1</v>
      </c>
      <c r="AJ12404">
        <v>1</v>
      </c>
      <c r="AK12404">
        <v>1</v>
      </c>
      <c r="AL12404">
        <v>1</v>
      </c>
      <c r="AM12404">
        <v>1</v>
      </c>
    </row>
    <row r="12405" spans="1:39" x14ac:dyDescent="0.2">
      <c r="A12405" t="str">
        <f>"12401"</f>
        <v>12401</v>
      </c>
      <c r="B12405" t="str">
        <f t="shared" si="687"/>
        <v>1</v>
      </c>
      <c r="C12405" t="str">
        <f t="shared" ref="C12405:C12436" si="690">"249"</f>
        <v>249</v>
      </c>
      <c r="D12405" t="str">
        <f>"35"</f>
        <v>35</v>
      </c>
      <c r="E12405" t="str">
        <f>"1-249-35"</f>
        <v>1-249-35</v>
      </c>
      <c r="F12405" t="s">
        <v>65</v>
      </c>
      <c r="G12405" t="s">
        <v>66</v>
      </c>
      <c r="H12405" t="s">
        <v>67</v>
      </c>
      <c r="S12405">
        <v>0</v>
      </c>
      <c r="T12405">
        <v>1</v>
      </c>
      <c r="U12405">
        <v>0</v>
      </c>
      <c r="V12405">
        <v>0</v>
      </c>
      <c r="W12405">
        <v>1</v>
      </c>
      <c r="X12405">
        <v>0</v>
      </c>
      <c r="Y12405">
        <v>0</v>
      </c>
      <c r="Z12405">
        <v>1</v>
      </c>
      <c r="AA12405">
        <v>1</v>
      </c>
      <c r="AB12405">
        <v>0</v>
      </c>
      <c r="AC12405">
        <v>0</v>
      </c>
      <c r="AD12405">
        <v>0</v>
      </c>
      <c r="AE12405">
        <v>0</v>
      </c>
      <c r="AF12405">
        <v>0</v>
      </c>
      <c r="AG12405">
        <v>0</v>
      </c>
      <c r="AH12405">
        <v>0</v>
      </c>
      <c r="AI12405">
        <v>0</v>
      </c>
      <c r="AJ12405">
        <v>0</v>
      </c>
      <c r="AK12405">
        <v>0</v>
      </c>
      <c r="AL12405">
        <v>0</v>
      </c>
      <c r="AM12405">
        <v>0</v>
      </c>
    </row>
    <row r="12406" spans="1:39" x14ac:dyDescent="0.2">
      <c r="A12406" t="str">
        <f>"12402"</f>
        <v>12402</v>
      </c>
      <c r="B12406" t="str">
        <f t="shared" si="687"/>
        <v>1</v>
      </c>
      <c r="C12406" t="str">
        <f t="shared" si="690"/>
        <v>249</v>
      </c>
      <c r="D12406" t="str">
        <f>"34"</f>
        <v>34</v>
      </c>
      <c r="E12406" t="str">
        <f>"1-249-34"</f>
        <v>1-249-34</v>
      </c>
      <c r="F12406" t="s">
        <v>65</v>
      </c>
      <c r="G12406" t="s">
        <v>66</v>
      </c>
      <c r="H12406" t="s">
        <v>67</v>
      </c>
      <c r="S12406">
        <v>1</v>
      </c>
      <c r="T12406">
        <v>0</v>
      </c>
      <c r="U12406">
        <v>0</v>
      </c>
      <c r="V12406">
        <v>0</v>
      </c>
      <c r="W12406">
        <v>1</v>
      </c>
      <c r="X12406">
        <v>0</v>
      </c>
      <c r="Y12406">
        <v>1</v>
      </c>
      <c r="Z12406">
        <v>0</v>
      </c>
      <c r="AA12406">
        <v>0</v>
      </c>
      <c r="AB12406">
        <v>0</v>
      </c>
      <c r="AC12406">
        <v>1</v>
      </c>
      <c r="AD12406">
        <v>1</v>
      </c>
      <c r="AE12406">
        <v>1</v>
      </c>
      <c r="AF12406">
        <v>1</v>
      </c>
      <c r="AG12406">
        <v>1</v>
      </c>
      <c r="AH12406">
        <v>1</v>
      </c>
      <c r="AI12406">
        <v>1</v>
      </c>
      <c r="AJ12406">
        <v>1</v>
      </c>
      <c r="AK12406">
        <v>1</v>
      </c>
      <c r="AL12406">
        <v>1</v>
      </c>
      <c r="AM12406">
        <v>1</v>
      </c>
    </row>
    <row r="12407" spans="1:39" x14ac:dyDescent="0.2">
      <c r="A12407" t="str">
        <f>"12403"</f>
        <v>12403</v>
      </c>
      <c r="B12407" t="str">
        <f t="shared" ref="B12407:B12470" si="691">"1"</f>
        <v>1</v>
      </c>
      <c r="C12407" t="str">
        <f t="shared" si="690"/>
        <v>249</v>
      </c>
      <c r="D12407" t="str">
        <f>"23"</f>
        <v>23</v>
      </c>
      <c r="E12407" t="str">
        <f>"1-249-23"</f>
        <v>1-249-23</v>
      </c>
      <c r="F12407" t="s">
        <v>65</v>
      </c>
      <c r="G12407" t="s">
        <v>66</v>
      </c>
      <c r="H12407" t="s">
        <v>67</v>
      </c>
      <c r="S12407">
        <v>1</v>
      </c>
      <c r="T12407">
        <v>0</v>
      </c>
      <c r="U12407">
        <v>0</v>
      </c>
      <c r="V12407">
        <v>0</v>
      </c>
      <c r="W12407">
        <v>1</v>
      </c>
      <c r="X12407">
        <v>0</v>
      </c>
      <c r="Y12407">
        <v>1</v>
      </c>
      <c r="Z12407">
        <v>0</v>
      </c>
      <c r="AA12407">
        <v>0</v>
      </c>
      <c r="AB12407">
        <v>0</v>
      </c>
      <c r="AC12407">
        <v>0</v>
      </c>
      <c r="AD12407">
        <v>1</v>
      </c>
      <c r="AE12407">
        <v>1</v>
      </c>
      <c r="AF12407">
        <v>1</v>
      </c>
      <c r="AG12407">
        <v>1</v>
      </c>
      <c r="AH12407">
        <v>1</v>
      </c>
      <c r="AI12407">
        <v>1</v>
      </c>
      <c r="AJ12407">
        <v>1</v>
      </c>
      <c r="AK12407">
        <v>1</v>
      </c>
      <c r="AL12407">
        <v>1</v>
      </c>
      <c r="AM12407">
        <v>1</v>
      </c>
    </row>
    <row r="12408" spans="1:39" x14ac:dyDescent="0.2">
      <c r="A12408" t="str">
        <f>"12404"</f>
        <v>12404</v>
      </c>
      <c r="B12408" t="str">
        <f t="shared" si="691"/>
        <v>1</v>
      </c>
      <c r="C12408" t="str">
        <f t="shared" si="690"/>
        <v>249</v>
      </c>
      <c r="D12408" t="str">
        <f>"15"</f>
        <v>15</v>
      </c>
      <c r="E12408" t="str">
        <f>"1-249-15"</f>
        <v>1-249-15</v>
      </c>
      <c r="F12408" t="s">
        <v>65</v>
      </c>
      <c r="G12408" t="s">
        <v>66</v>
      </c>
      <c r="H12408" t="s">
        <v>67</v>
      </c>
      <c r="S12408">
        <v>1</v>
      </c>
      <c r="T12408">
        <v>0</v>
      </c>
      <c r="U12408">
        <v>0</v>
      </c>
      <c r="V12408">
        <v>0</v>
      </c>
      <c r="W12408">
        <v>1</v>
      </c>
      <c r="X12408">
        <v>0</v>
      </c>
      <c r="Y12408">
        <v>1</v>
      </c>
      <c r="Z12408">
        <v>0</v>
      </c>
      <c r="AA12408">
        <v>0</v>
      </c>
      <c r="AB12408">
        <v>1</v>
      </c>
      <c r="AC12408">
        <v>0</v>
      </c>
      <c r="AD12408">
        <v>1</v>
      </c>
      <c r="AE12408">
        <v>1</v>
      </c>
      <c r="AF12408">
        <v>1</v>
      </c>
      <c r="AG12408">
        <v>1</v>
      </c>
      <c r="AH12408">
        <v>1</v>
      </c>
      <c r="AI12408">
        <v>1</v>
      </c>
      <c r="AJ12408">
        <v>1</v>
      </c>
      <c r="AK12408">
        <v>1</v>
      </c>
      <c r="AL12408">
        <v>1</v>
      </c>
      <c r="AM12408">
        <v>1</v>
      </c>
    </row>
    <row r="12409" spans="1:39" x14ac:dyDescent="0.2">
      <c r="A12409" t="str">
        <f>"12405"</f>
        <v>12405</v>
      </c>
      <c r="B12409" t="str">
        <f t="shared" si="691"/>
        <v>1</v>
      </c>
      <c r="C12409" t="str">
        <f t="shared" si="690"/>
        <v>249</v>
      </c>
      <c r="D12409" t="str">
        <f>"11"</f>
        <v>11</v>
      </c>
      <c r="E12409" t="str">
        <f>"1-249-11"</f>
        <v>1-249-11</v>
      </c>
      <c r="F12409" t="s">
        <v>65</v>
      </c>
      <c r="G12409" t="s">
        <v>66</v>
      </c>
      <c r="H12409" t="s">
        <v>67</v>
      </c>
      <c r="S12409">
        <v>1</v>
      </c>
      <c r="T12409">
        <v>0</v>
      </c>
      <c r="U12409">
        <v>0</v>
      </c>
      <c r="V12409">
        <v>0</v>
      </c>
      <c r="W12409">
        <v>1</v>
      </c>
      <c r="X12409">
        <v>0</v>
      </c>
      <c r="Y12409">
        <v>0</v>
      </c>
      <c r="Z12409">
        <v>1</v>
      </c>
      <c r="AA12409">
        <v>1</v>
      </c>
      <c r="AB12409">
        <v>0</v>
      </c>
      <c r="AC12409">
        <v>0</v>
      </c>
      <c r="AD12409">
        <v>1</v>
      </c>
      <c r="AE12409">
        <v>0</v>
      </c>
      <c r="AF12409">
        <v>1</v>
      </c>
      <c r="AG12409">
        <v>1</v>
      </c>
      <c r="AH12409">
        <v>1</v>
      </c>
      <c r="AI12409">
        <v>0</v>
      </c>
      <c r="AJ12409">
        <v>0</v>
      </c>
      <c r="AK12409">
        <v>0</v>
      </c>
      <c r="AL12409">
        <v>0</v>
      </c>
      <c r="AM12409">
        <v>0</v>
      </c>
    </row>
    <row r="12410" spans="1:39" x14ac:dyDescent="0.2">
      <c r="A12410" t="str">
        <f>"12406"</f>
        <v>12406</v>
      </c>
      <c r="B12410" t="str">
        <f t="shared" si="691"/>
        <v>1</v>
      </c>
      <c r="C12410" t="str">
        <f t="shared" si="690"/>
        <v>249</v>
      </c>
      <c r="D12410" t="str">
        <f>"37"</f>
        <v>37</v>
      </c>
      <c r="E12410" t="str">
        <f>"1-249-37"</f>
        <v>1-249-37</v>
      </c>
      <c r="F12410" t="s">
        <v>65</v>
      </c>
      <c r="G12410" t="s">
        <v>66</v>
      </c>
      <c r="H12410" t="s">
        <v>67</v>
      </c>
      <c r="S12410">
        <v>0</v>
      </c>
      <c r="T12410">
        <v>1</v>
      </c>
      <c r="U12410">
        <v>0</v>
      </c>
      <c r="V12410">
        <v>0</v>
      </c>
      <c r="W12410">
        <v>1</v>
      </c>
      <c r="X12410">
        <v>0</v>
      </c>
      <c r="Y12410">
        <v>1</v>
      </c>
      <c r="Z12410">
        <v>0</v>
      </c>
      <c r="AA12410">
        <v>1</v>
      </c>
      <c r="AB12410">
        <v>0</v>
      </c>
      <c r="AC12410">
        <v>0</v>
      </c>
      <c r="AD12410">
        <v>1</v>
      </c>
      <c r="AE12410">
        <v>1</v>
      </c>
      <c r="AF12410">
        <v>1</v>
      </c>
      <c r="AG12410">
        <v>1</v>
      </c>
      <c r="AH12410">
        <v>1</v>
      </c>
      <c r="AI12410">
        <v>1</v>
      </c>
      <c r="AJ12410">
        <v>1</v>
      </c>
      <c r="AK12410">
        <v>1</v>
      </c>
      <c r="AL12410">
        <v>1</v>
      </c>
      <c r="AM12410">
        <v>1</v>
      </c>
    </row>
    <row r="12411" spans="1:39" x14ac:dyDescent="0.2">
      <c r="A12411" t="str">
        <f>"12407"</f>
        <v>12407</v>
      </c>
      <c r="B12411" t="str">
        <f t="shared" si="691"/>
        <v>1</v>
      </c>
      <c r="C12411" t="str">
        <f t="shared" si="690"/>
        <v>249</v>
      </c>
      <c r="D12411" t="str">
        <f>"36"</f>
        <v>36</v>
      </c>
      <c r="E12411" t="str">
        <f>"1-249-36"</f>
        <v>1-249-36</v>
      </c>
      <c r="F12411" t="s">
        <v>65</v>
      </c>
      <c r="G12411" t="s">
        <v>66</v>
      </c>
      <c r="H12411" t="s">
        <v>67</v>
      </c>
      <c r="S12411">
        <v>0</v>
      </c>
      <c r="T12411">
        <v>1</v>
      </c>
      <c r="U12411">
        <v>0</v>
      </c>
      <c r="V12411">
        <v>0</v>
      </c>
      <c r="W12411">
        <v>0</v>
      </c>
      <c r="X12411">
        <v>1</v>
      </c>
      <c r="Y12411">
        <v>1</v>
      </c>
      <c r="Z12411">
        <v>0</v>
      </c>
      <c r="AA12411">
        <v>1</v>
      </c>
      <c r="AB12411">
        <v>0</v>
      </c>
      <c r="AC12411">
        <v>0</v>
      </c>
      <c r="AD12411">
        <v>1</v>
      </c>
      <c r="AE12411">
        <v>1</v>
      </c>
      <c r="AF12411">
        <v>1</v>
      </c>
      <c r="AG12411">
        <v>1</v>
      </c>
      <c r="AH12411">
        <v>0</v>
      </c>
      <c r="AI12411">
        <v>1</v>
      </c>
      <c r="AJ12411">
        <v>1</v>
      </c>
      <c r="AK12411">
        <v>1</v>
      </c>
      <c r="AL12411">
        <v>1</v>
      </c>
      <c r="AM12411">
        <v>1</v>
      </c>
    </row>
    <row r="12412" spans="1:39" x14ac:dyDescent="0.2">
      <c r="A12412" t="str">
        <f>"12408"</f>
        <v>12408</v>
      </c>
      <c r="B12412" t="str">
        <f t="shared" si="691"/>
        <v>1</v>
      </c>
      <c r="C12412" t="str">
        <f t="shared" si="690"/>
        <v>249</v>
      </c>
      <c r="D12412" t="str">
        <f>"26"</f>
        <v>26</v>
      </c>
      <c r="E12412" t="str">
        <f>"1-249-26"</f>
        <v>1-249-26</v>
      </c>
      <c r="F12412" t="s">
        <v>65</v>
      </c>
      <c r="G12412" t="s">
        <v>66</v>
      </c>
      <c r="H12412" t="s">
        <v>67</v>
      </c>
      <c r="S12412">
        <v>1</v>
      </c>
      <c r="T12412">
        <v>0</v>
      </c>
      <c r="U12412">
        <v>0</v>
      </c>
      <c r="V12412">
        <v>0</v>
      </c>
      <c r="W12412">
        <v>1</v>
      </c>
      <c r="X12412">
        <v>0</v>
      </c>
      <c r="Y12412">
        <v>0</v>
      </c>
      <c r="Z12412">
        <v>1</v>
      </c>
      <c r="AA12412">
        <v>1</v>
      </c>
      <c r="AB12412">
        <v>0</v>
      </c>
      <c r="AC12412">
        <v>0</v>
      </c>
      <c r="AD12412">
        <v>1</v>
      </c>
      <c r="AE12412">
        <v>1</v>
      </c>
      <c r="AF12412">
        <v>1</v>
      </c>
      <c r="AG12412">
        <v>1</v>
      </c>
      <c r="AH12412">
        <v>1</v>
      </c>
      <c r="AI12412">
        <v>1</v>
      </c>
      <c r="AJ12412">
        <v>1</v>
      </c>
      <c r="AK12412">
        <v>1</v>
      </c>
      <c r="AL12412">
        <v>1</v>
      </c>
      <c r="AM12412">
        <v>1</v>
      </c>
    </row>
    <row r="12413" spans="1:39" x14ac:dyDescent="0.2">
      <c r="A12413" t="str">
        <f>"12409"</f>
        <v>12409</v>
      </c>
      <c r="B12413" t="str">
        <f t="shared" si="691"/>
        <v>1</v>
      </c>
      <c r="C12413" t="str">
        <f t="shared" si="690"/>
        <v>249</v>
      </c>
      <c r="D12413" t="str">
        <f>"16"</f>
        <v>16</v>
      </c>
      <c r="E12413" t="str">
        <f>"1-249-16"</f>
        <v>1-249-16</v>
      </c>
      <c r="F12413" t="s">
        <v>65</v>
      </c>
      <c r="G12413" t="s">
        <v>66</v>
      </c>
      <c r="H12413" t="s">
        <v>67</v>
      </c>
      <c r="S12413">
        <v>1</v>
      </c>
      <c r="T12413">
        <v>0</v>
      </c>
      <c r="U12413">
        <v>0</v>
      </c>
      <c r="V12413">
        <v>0</v>
      </c>
      <c r="W12413">
        <v>1</v>
      </c>
      <c r="X12413">
        <v>0</v>
      </c>
      <c r="Y12413">
        <v>1</v>
      </c>
      <c r="Z12413">
        <v>0</v>
      </c>
      <c r="AA12413">
        <v>0</v>
      </c>
      <c r="AB12413">
        <v>1</v>
      </c>
      <c r="AC12413">
        <v>0</v>
      </c>
      <c r="AD12413">
        <v>1</v>
      </c>
      <c r="AE12413">
        <v>1</v>
      </c>
      <c r="AF12413">
        <v>1</v>
      </c>
      <c r="AG12413">
        <v>1</v>
      </c>
      <c r="AH12413">
        <v>1</v>
      </c>
      <c r="AI12413">
        <v>1</v>
      </c>
      <c r="AJ12413">
        <v>1</v>
      </c>
      <c r="AK12413">
        <v>1</v>
      </c>
      <c r="AL12413">
        <v>1</v>
      </c>
      <c r="AM12413">
        <v>1</v>
      </c>
    </row>
    <row r="12414" spans="1:39" x14ac:dyDescent="0.2">
      <c r="A12414" t="str">
        <f>"12410"</f>
        <v>12410</v>
      </c>
      <c r="B12414" t="str">
        <f t="shared" si="691"/>
        <v>1</v>
      </c>
      <c r="C12414" t="str">
        <f t="shared" si="690"/>
        <v>249</v>
      </c>
      <c r="D12414" t="str">
        <f>"4"</f>
        <v>4</v>
      </c>
      <c r="E12414" t="str">
        <f>"1-249-4"</f>
        <v>1-249-4</v>
      </c>
      <c r="F12414" t="s">
        <v>65</v>
      </c>
      <c r="G12414" t="s">
        <v>66</v>
      </c>
      <c r="H12414" t="s">
        <v>67</v>
      </c>
      <c r="S12414">
        <v>1</v>
      </c>
      <c r="T12414">
        <v>0</v>
      </c>
      <c r="U12414">
        <v>0</v>
      </c>
      <c r="V12414">
        <v>0</v>
      </c>
      <c r="W12414">
        <v>1</v>
      </c>
      <c r="X12414">
        <v>0</v>
      </c>
      <c r="Y12414">
        <v>1</v>
      </c>
      <c r="Z12414">
        <v>0</v>
      </c>
      <c r="AA12414">
        <v>1</v>
      </c>
      <c r="AB12414">
        <v>0</v>
      </c>
      <c r="AC12414">
        <v>0</v>
      </c>
      <c r="AD12414">
        <v>1</v>
      </c>
      <c r="AE12414">
        <v>1</v>
      </c>
      <c r="AF12414">
        <v>1</v>
      </c>
      <c r="AG12414">
        <v>1</v>
      </c>
      <c r="AH12414">
        <v>1</v>
      </c>
      <c r="AI12414">
        <v>1</v>
      </c>
      <c r="AJ12414">
        <v>1</v>
      </c>
      <c r="AK12414">
        <v>1</v>
      </c>
      <c r="AL12414">
        <v>1</v>
      </c>
      <c r="AM12414">
        <v>1</v>
      </c>
    </row>
    <row r="12415" spans="1:39" x14ac:dyDescent="0.2">
      <c r="A12415" t="str">
        <f>"12411"</f>
        <v>12411</v>
      </c>
      <c r="B12415" t="str">
        <f t="shared" si="691"/>
        <v>1</v>
      </c>
      <c r="C12415" t="str">
        <f t="shared" si="690"/>
        <v>249</v>
      </c>
      <c r="D12415" t="str">
        <f>"43"</f>
        <v>43</v>
      </c>
      <c r="E12415" t="str">
        <f>"1-249-43"</f>
        <v>1-249-43</v>
      </c>
      <c r="F12415" t="s">
        <v>65</v>
      </c>
      <c r="G12415" t="s">
        <v>66</v>
      </c>
      <c r="H12415" t="s">
        <v>67</v>
      </c>
      <c r="S12415">
        <v>1</v>
      </c>
      <c r="T12415">
        <v>0</v>
      </c>
      <c r="U12415">
        <v>0</v>
      </c>
      <c r="V12415">
        <v>0</v>
      </c>
      <c r="W12415">
        <v>1</v>
      </c>
      <c r="X12415">
        <v>0</v>
      </c>
      <c r="Y12415">
        <v>1</v>
      </c>
      <c r="Z12415">
        <v>0</v>
      </c>
      <c r="AA12415">
        <v>1</v>
      </c>
      <c r="AB12415">
        <v>0</v>
      </c>
      <c r="AC12415">
        <v>0</v>
      </c>
      <c r="AD12415">
        <v>1</v>
      </c>
      <c r="AE12415">
        <v>1</v>
      </c>
      <c r="AF12415">
        <v>1</v>
      </c>
      <c r="AG12415">
        <v>1</v>
      </c>
      <c r="AH12415">
        <v>1</v>
      </c>
      <c r="AI12415">
        <v>1</v>
      </c>
      <c r="AJ12415">
        <v>1</v>
      </c>
      <c r="AK12415">
        <v>1</v>
      </c>
      <c r="AL12415">
        <v>1</v>
      </c>
      <c r="AM12415">
        <v>1</v>
      </c>
    </row>
    <row r="12416" spans="1:39" x14ac:dyDescent="0.2">
      <c r="A12416" t="str">
        <f>"12412"</f>
        <v>12412</v>
      </c>
      <c r="B12416" t="str">
        <f t="shared" si="691"/>
        <v>1</v>
      </c>
      <c r="C12416" t="str">
        <f t="shared" si="690"/>
        <v>249</v>
      </c>
      <c r="D12416" t="str">
        <f>"42"</f>
        <v>42</v>
      </c>
      <c r="E12416" t="str">
        <f>"1-249-42"</f>
        <v>1-249-42</v>
      </c>
      <c r="F12416" t="s">
        <v>65</v>
      </c>
      <c r="G12416" t="s">
        <v>66</v>
      </c>
      <c r="H12416" t="s">
        <v>67</v>
      </c>
      <c r="S12416">
        <v>1</v>
      </c>
      <c r="T12416">
        <v>0</v>
      </c>
      <c r="U12416">
        <v>0</v>
      </c>
      <c r="V12416">
        <v>0</v>
      </c>
      <c r="W12416">
        <v>1</v>
      </c>
      <c r="X12416">
        <v>0</v>
      </c>
      <c r="Y12416">
        <v>1</v>
      </c>
      <c r="Z12416">
        <v>0</v>
      </c>
      <c r="AA12416">
        <v>1</v>
      </c>
      <c r="AB12416">
        <v>0</v>
      </c>
      <c r="AC12416">
        <v>0</v>
      </c>
      <c r="AD12416">
        <v>1</v>
      </c>
      <c r="AE12416">
        <v>1</v>
      </c>
      <c r="AF12416">
        <v>1</v>
      </c>
      <c r="AG12416">
        <v>1</v>
      </c>
      <c r="AH12416">
        <v>1</v>
      </c>
      <c r="AI12416">
        <v>1</v>
      </c>
      <c r="AJ12416">
        <v>1</v>
      </c>
      <c r="AK12416">
        <v>1</v>
      </c>
      <c r="AL12416">
        <v>1</v>
      </c>
      <c r="AM12416">
        <v>1</v>
      </c>
    </row>
    <row r="12417" spans="1:39" x14ac:dyDescent="0.2">
      <c r="A12417" t="str">
        <f>"12413"</f>
        <v>12413</v>
      </c>
      <c r="B12417" t="str">
        <f t="shared" si="691"/>
        <v>1</v>
      </c>
      <c r="C12417" t="str">
        <f t="shared" si="690"/>
        <v>249</v>
      </c>
      <c r="D12417" t="str">
        <f>"31"</f>
        <v>31</v>
      </c>
      <c r="E12417" t="str">
        <f>"1-249-31"</f>
        <v>1-249-31</v>
      </c>
      <c r="F12417" t="s">
        <v>65</v>
      </c>
      <c r="G12417" t="s">
        <v>66</v>
      </c>
      <c r="H12417" t="s">
        <v>67</v>
      </c>
      <c r="S12417">
        <v>0</v>
      </c>
      <c r="T12417">
        <v>1</v>
      </c>
      <c r="U12417">
        <v>0</v>
      </c>
      <c r="V12417">
        <v>0</v>
      </c>
      <c r="W12417">
        <v>1</v>
      </c>
      <c r="X12417">
        <v>0</v>
      </c>
      <c r="Y12417">
        <v>0</v>
      </c>
      <c r="Z12417">
        <v>1</v>
      </c>
      <c r="AA12417">
        <v>1</v>
      </c>
      <c r="AB12417">
        <v>0</v>
      </c>
      <c r="AC12417">
        <v>0</v>
      </c>
      <c r="AD12417">
        <v>0</v>
      </c>
      <c r="AE12417">
        <v>0</v>
      </c>
      <c r="AF12417">
        <v>0</v>
      </c>
      <c r="AG12417">
        <v>1</v>
      </c>
      <c r="AH12417">
        <v>1</v>
      </c>
      <c r="AI12417">
        <v>1</v>
      </c>
      <c r="AJ12417">
        <v>1</v>
      </c>
      <c r="AK12417">
        <v>1</v>
      </c>
      <c r="AL12417">
        <v>1</v>
      </c>
      <c r="AM12417">
        <v>0</v>
      </c>
    </row>
    <row r="12418" spans="1:39" x14ac:dyDescent="0.2">
      <c r="A12418" t="str">
        <f>"12414"</f>
        <v>12414</v>
      </c>
      <c r="B12418" t="str">
        <f t="shared" si="691"/>
        <v>1</v>
      </c>
      <c r="C12418" t="str">
        <f t="shared" si="690"/>
        <v>249</v>
      </c>
      <c r="D12418" t="str">
        <f>"17"</f>
        <v>17</v>
      </c>
      <c r="E12418" t="str">
        <f>"1-249-17"</f>
        <v>1-249-17</v>
      </c>
      <c r="F12418" t="s">
        <v>65</v>
      </c>
      <c r="G12418" t="s">
        <v>66</v>
      </c>
      <c r="H12418" t="s">
        <v>67</v>
      </c>
      <c r="S12418">
        <v>1</v>
      </c>
      <c r="T12418">
        <v>0</v>
      </c>
      <c r="U12418">
        <v>0</v>
      </c>
      <c r="V12418">
        <v>0</v>
      </c>
      <c r="W12418">
        <v>1</v>
      </c>
      <c r="X12418">
        <v>0</v>
      </c>
      <c r="Y12418">
        <v>1</v>
      </c>
      <c r="Z12418">
        <v>0</v>
      </c>
      <c r="AA12418">
        <v>0</v>
      </c>
      <c r="AB12418">
        <v>1</v>
      </c>
      <c r="AC12418">
        <v>0</v>
      </c>
      <c r="AD12418">
        <v>1</v>
      </c>
      <c r="AE12418">
        <v>1</v>
      </c>
      <c r="AF12418">
        <v>1</v>
      </c>
      <c r="AG12418">
        <v>1</v>
      </c>
      <c r="AH12418">
        <v>1</v>
      </c>
      <c r="AI12418">
        <v>1</v>
      </c>
      <c r="AJ12418">
        <v>1</v>
      </c>
      <c r="AK12418">
        <v>1</v>
      </c>
      <c r="AL12418">
        <v>1</v>
      </c>
      <c r="AM12418">
        <v>0</v>
      </c>
    </row>
    <row r="12419" spans="1:39" x14ac:dyDescent="0.2">
      <c r="A12419" t="str">
        <f>"12415"</f>
        <v>12415</v>
      </c>
      <c r="B12419" t="str">
        <f t="shared" si="691"/>
        <v>1</v>
      </c>
      <c r="C12419" t="str">
        <f t="shared" si="690"/>
        <v>249</v>
      </c>
      <c r="D12419" t="str">
        <f>"9"</f>
        <v>9</v>
      </c>
      <c r="E12419" t="str">
        <f>"1-249-9"</f>
        <v>1-249-9</v>
      </c>
      <c r="F12419" t="s">
        <v>65</v>
      </c>
      <c r="G12419" t="s">
        <v>66</v>
      </c>
      <c r="H12419" t="s">
        <v>67</v>
      </c>
      <c r="S12419">
        <v>1</v>
      </c>
      <c r="T12419">
        <v>0</v>
      </c>
      <c r="U12419">
        <v>0</v>
      </c>
      <c r="V12419">
        <v>0</v>
      </c>
      <c r="W12419">
        <v>1</v>
      </c>
      <c r="X12419">
        <v>0</v>
      </c>
      <c r="Y12419">
        <v>1</v>
      </c>
      <c r="Z12419">
        <v>0</v>
      </c>
      <c r="AA12419">
        <v>1</v>
      </c>
      <c r="AB12419">
        <v>0</v>
      </c>
      <c r="AC12419">
        <v>0</v>
      </c>
      <c r="AD12419">
        <v>0</v>
      </c>
      <c r="AE12419">
        <v>0</v>
      </c>
      <c r="AF12419">
        <v>0</v>
      </c>
      <c r="AG12419">
        <v>1</v>
      </c>
      <c r="AH12419">
        <v>0</v>
      </c>
      <c r="AI12419">
        <v>1</v>
      </c>
      <c r="AJ12419">
        <v>1</v>
      </c>
      <c r="AK12419">
        <v>0</v>
      </c>
      <c r="AL12419">
        <v>0</v>
      </c>
      <c r="AM12419">
        <v>0</v>
      </c>
    </row>
    <row r="12420" spans="1:39" x14ac:dyDescent="0.2">
      <c r="A12420" t="str">
        <f>"12416"</f>
        <v>12416</v>
      </c>
      <c r="B12420" t="str">
        <f t="shared" si="691"/>
        <v>1</v>
      </c>
      <c r="C12420" t="str">
        <f t="shared" si="690"/>
        <v>249</v>
      </c>
      <c r="D12420" t="str">
        <f>"48"</f>
        <v>48</v>
      </c>
      <c r="E12420" t="str">
        <f>"1-249-48"</f>
        <v>1-249-48</v>
      </c>
      <c r="F12420" t="s">
        <v>65</v>
      </c>
      <c r="G12420" t="s">
        <v>66</v>
      </c>
      <c r="H12420" t="s">
        <v>67</v>
      </c>
      <c r="S12420">
        <v>0</v>
      </c>
      <c r="T12420">
        <v>1</v>
      </c>
      <c r="U12420">
        <v>0</v>
      </c>
      <c r="V12420">
        <v>0</v>
      </c>
      <c r="W12420">
        <v>0</v>
      </c>
      <c r="X12420">
        <v>1</v>
      </c>
      <c r="Y12420">
        <v>1</v>
      </c>
      <c r="Z12420">
        <v>0</v>
      </c>
      <c r="AA12420">
        <v>0</v>
      </c>
      <c r="AB12420">
        <v>1</v>
      </c>
      <c r="AC12420">
        <v>0</v>
      </c>
      <c r="AD12420">
        <v>1</v>
      </c>
      <c r="AE12420">
        <v>1</v>
      </c>
      <c r="AF12420">
        <v>1</v>
      </c>
      <c r="AG12420">
        <v>1</v>
      </c>
      <c r="AH12420">
        <v>1</v>
      </c>
      <c r="AI12420">
        <v>1</v>
      </c>
      <c r="AJ12420">
        <v>1</v>
      </c>
      <c r="AK12420">
        <v>1</v>
      </c>
      <c r="AL12420">
        <v>1</v>
      </c>
      <c r="AM12420">
        <v>1</v>
      </c>
    </row>
    <row r="12421" spans="1:39" x14ac:dyDescent="0.2">
      <c r="A12421" t="str">
        <f>"12417"</f>
        <v>12417</v>
      </c>
      <c r="B12421" t="str">
        <f t="shared" si="691"/>
        <v>1</v>
      </c>
      <c r="C12421" t="str">
        <f t="shared" si="690"/>
        <v>249</v>
      </c>
      <c r="D12421" t="str">
        <f>"47"</f>
        <v>47</v>
      </c>
      <c r="E12421" t="str">
        <f>"1-249-47"</f>
        <v>1-249-47</v>
      </c>
      <c r="F12421" t="s">
        <v>65</v>
      </c>
      <c r="G12421" t="s">
        <v>66</v>
      </c>
      <c r="H12421" t="s">
        <v>67</v>
      </c>
      <c r="S12421">
        <v>0</v>
      </c>
      <c r="T12421">
        <v>1</v>
      </c>
      <c r="U12421">
        <v>0</v>
      </c>
      <c r="V12421">
        <v>0</v>
      </c>
      <c r="W12421">
        <v>1</v>
      </c>
      <c r="X12421">
        <v>0</v>
      </c>
      <c r="Y12421">
        <v>1</v>
      </c>
      <c r="Z12421">
        <v>0</v>
      </c>
      <c r="AA12421">
        <v>0</v>
      </c>
      <c r="AB12421">
        <v>1</v>
      </c>
      <c r="AC12421">
        <v>0</v>
      </c>
      <c r="AD12421">
        <v>1</v>
      </c>
      <c r="AE12421">
        <v>1</v>
      </c>
      <c r="AF12421">
        <v>1</v>
      </c>
      <c r="AG12421">
        <v>1</v>
      </c>
      <c r="AH12421">
        <v>1</v>
      </c>
      <c r="AI12421">
        <v>1</v>
      </c>
      <c r="AJ12421">
        <v>1</v>
      </c>
      <c r="AK12421">
        <v>1</v>
      </c>
      <c r="AL12421">
        <v>1</v>
      </c>
      <c r="AM12421">
        <v>1</v>
      </c>
    </row>
    <row r="12422" spans="1:39" x14ac:dyDescent="0.2">
      <c r="A12422" t="str">
        <f>"12418"</f>
        <v>12418</v>
      </c>
      <c r="B12422" t="str">
        <f t="shared" si="691"/>
        <v>1</v>
      </c>
      <c r="C12422" t="str">
        <f t="shared" si="690"/>
        <v>249</v>
      </c>
      <c r="D12422" t="str">
        <f>"32"</f>
        <v>32</v>
      </c>
      <c r="E12422" t="str">
        <f>"1-249-32"</f>
        <v>1-249-32</v>
      </c>
      <c r="F12422" t="s">
        <v>65</v>
      </c>
      <c r="G12422" t="s">
        <v>66</v>
      </c>
      <c r="H12422" t="s">
        <v>67</v>
      </c>
      <c r="S12422">
        <v>0</v>
      </c>
      <c r="T12422">
        <v>1</v>
      </c>
      <c r="U12422">
        <v>0</v>
      </c>
      <c r="V12422">
        <v>0</v>
      </c>
      <c r="W12422">
        <v>1</v>
      </c>
      <c r="X12422">
        <v>0</v>
      </c>
      <c r="Y12422">
        <v>1</v>
      </c>
      <c r="Z12422">
        <v>0</v>
      </c>
      <c r="AA12422">
        <v>1</v>
      </c>
      <c r="AB12422">
        <v>0</v>
      </c>
      <c r="AC12422">
        <v>0</v>
      </c>
      <c r="AD12422">
        <v>0</v>
      </c>
      <c r="AE12422">
        <v>0</v>
      </c>
      <c r="AF12422">
        <v>0</v>
      </c>
      <c r="AG12422">
        <v>1</v>
      </c>
      <c r="AH12422">
        <v>1</v>
      </c>
      <c r="AI12422">
        <v>1</v>
      </c>
      <c r="AJ12422">
        <v>1</v>
      </c>
      <c r="AK12422">
        <v>0</v>
      </c>
      <c r="AL12422">
        <v>1</v>
      </c>
      <c r="AM12422">
        <v>1</v>
      </c>
    </row>
    <row r="12423" spans="1:39" x14ac:dyDescent="0.2">
      <c r="A12423" t="str">
        <f>"12419"</f>
        <v>12419</v>
      </c>
      <c r="B12423" t="str">
        <f t="shared" si="691"/>
        <v>1</v>
      </c>
      <c r="C12423" t="str">
        <f t="shared" si="690"/>
        <v>249</v>
      </c>
      <c r="D12423" t="str">
        <f>"18"</f>
        <v>18</v>
      </c>
      <c r="E12423" t="str">
        <f>"1-249-18"</f>
        <v>1-249-18</v>
      </c>
      <c r="F12423" t="s">
        <v>65</v>
      </c>
      <c r="G12423" t="s">
        <v>66</v>
      </c>
      <c r="H12423" t="s">
        <v>67</v>
      </c>
      <c r="S12423">
        <v>1</v>
      </c>
      <c r="T12423">
        <v>0</v>
      </c>
      <c r="U12423">
        <v>0</v>
      </c>
      <c r="V12423">
        <v>0</v>
      </c>
      <c r="W12423">
        <v>0</v>
      </c>
      <c r="X12423">
        <v>1</v>
      </c>
      <c r="Y12423">
        <v>1</v>
      </c>
      <c r="Z12423">
        <v>0</v>
      </c>
      <c r="AA12423">
        <v>0</v>
      </c>
      <c r="AB12423">
        <v>0</v>
      </c>
      <c r="AC12423">
        <v>1</v>
      </c>
      <c r="AD12423">
        <v>1</v>
      </c>
      <c r="AE12423">
        <v>1</v>
      </c>
      <c r="AF12423">
        <v>1</v>
      </c>
      <c r="AG12423">
        <v>1</v>
      </c>
      <c r="AH12423">
        <v>1</v>
      </c>
      <c r="AI12423">
        <v>1</v>
      </c>
      <c r="AJ12423">
        <v>1</v>
      </c>
      <c r="AK12423">
        <v>1</v>
      </c>
      <c r="AL12423">
        <v>1</v>
      </c>
      <c r="AM12423">
        <v>1</v>
      </c>
    </row>
    <row r="12424" spans="1:39" x14ac:dyDescent="0.2">
      <c r="A12424" t="str">
        <f>"12420"</f>
        <v>12420</v>
      </c>
      <c r="B12424" t="str">
        <f t="shared" si="691"/>
        <v>1</v>
      </c>
      <c r="C12424" t="str">
        <f t="shared" si="690"/>
        <v>249</v>
      </c>
      <c r="D12424" t="str">
        <f>"6"</f>
        <v>6</v>
      </c>
      <c r="E12424" t="str">
        <f>"1-249-6"</f>
        <v>1-249-6</v>
      </c>
      <c r="F12424" t="s">
        <v>65</v>
      </c>
      <c r="G12424" t="s">
        <v>66</v>
      </c>
      <c r="H12424" t="s">
        <v>67</v>
      </c>
      <c r="S12424">
        <v>0</v>
      </c>
      <c r="T12424">
        <v>1</v>
      </c>
      <c r="U12424">
        <v>0</v>
      </c>
      <c r="V12424">
        <v>0</v>
      </c>
      <c r="W12424">
        <v>0</v>
      </c>
      <c r="X12424">
        <v>1</v>
      </c>
      <c r="Y12424">
        <v>0</v>
      </c>
      <c r="Z12424">
        <v>1</v>
      </c>
      <c r="AA12424">
        <v>0</v>
      </c>
      <c r="AB12424">
        <v>0</v>
      </c>
      <c r="AC12424">
        <v>1</v>
      </c>
      <c r="AD12424">
        <v>1</v>
      </c>
      <c r="AE12424">
        <v>1</v>
      </c>
      <c r="AF12424">
        <v>1</v>
      </c>
      <c r="AG12424">
        <v>1</v>
      </c>
      <c r="AH12424">
        <v>1</v>
      </c>
      <c r="AI12424">
        <v>1</v>
      </c>
      <c r="AJ12424">
        <v>1</v>
      </c>
      <c r="AK12424">
        <v>1</v>
      </c>
      <c r="AL12424">
        <v>1</v>
      </c>
      <c r="AM12424">
        <v>1</v>
      </c>
    </row>
    <row r="12425" spans="1:39" x14ac:dyDescent="0.2">
      <c r="A12425" t="str">
        <f>"12421"</f>
        <v>12421</v>
      </c>
      <c r="B12425" t="str">
        <f t="shared" si="691"/>
        <v>1</v>
      </c>
      <c r="C12425" t="str">
        <f t="shared" si="690"/>
        <v>249</v>
      </c>
      <c r="D12425" t="str">
        <f>"46"</f>
        <v>46</v>
      </c>
      <c r="E12425" t="str">
        <f>"1-249-46"</f>
        <v>1-249-46</v>
      </c>
      <c r="F12425" t="s">
        <v>65</v>
      </c>
      <c r="G12425" t="s">
        <v>66</v>
      </c>
      <c r="H12425" t="s">
        <v>67</v>
      </c>
      <c r="S12425">
        <v>1</v>
      </c>
      <c r="T12425">
        <v>0</v>
      </c>
      <c r="U12425">
        <v>0</v>
      </c>
      <c r="V12425">
        <v>0</v>
      </c>
      <c r="W12425">
        <v>1</v>
      </c>
      <c r="X12425">
        <v>0</v>
      </c>
      <c r="Y12425">
        <v>1</v>
      </c>
      <c r="Z12425">
        <v>0</v>
      </c>
      <c r="AA12425">
        <v>1</v>
      </c>
      <c r="AB12425">
        <v>0</v>
      </c>
      <c r="AC12425">
        <v>0</v>
      </c>
      <c r="AD12425">
        <v>1</v>
      </c>
      <c r="AE12425">
        <v>1</v>
      </c>
      <c r="AF12425">
        <v>1</v>
      </c>
      <c r="AG12425">
        <v>1</v>
      </c>
      <c r="AH12425">
        <v>1</v>
      </c>
      <c r="AI12425">
        <v>1</v>
      </c>
      <c r="AJ12425">
        <v>1</v>
      </c>
      <c r="AK12425">
        <v>1</v>
      </c>
      <c r="AL12425">
        <v>1</v>
      </c>
      <c r="AM12425">
        <v>1</v>
      </c>
    </row>
    <row r="12426" spans="1:39" x14ac:dyDescent="0.2">
      <c r="A12426" t="str">
        <f>"12422"</f>
        <v>12422</v>
      </c>
      <c r="B12426" t="str">
        <f t="shared" si="691"/>
        <v>1</v>
      </c>
      <c r="C12426" t="str">
        <f t="shared" si="690"/>
        <v>249</v>
      </c>
      <c r="D12426" t="str">
        <f>"45"</f>
        <v>45</v>
      </c>
      <c r="E12426" t="str">
        <f>"1-249-45"</f>
        <v>1-249-45</v>
      </c>
      <c r="F12426" t="s">
        <v>65</v>
      </c>
      <c r="G12426" t="s">
        <v>66</v>
      </c>
      <c r="H12426" t="s">
        <v>67</v>
      </c>
      <c r="S12426">
        <v>1</v>
      </c>
      <c r="T12426">
        <v>0</v>
      </c>
      <c r="U12426">
        <v>0</v>
      </c>
      <c r="V12426">
        <v>0</v>
      </c>
      <c r="W12426">
        <v>1</v>
      </c>
      <c r="X12426">
        <v>0</v>
      </c>
      <c r="Y12426">
        <v>1</v>
      </c>
      <c r="Z12426">
        <v>0</v>
      </c>
      <c r="AA12426">
        <v>1</v>
      </c>
      <c r="AB12426">
        <v>0</v>
      </c>
      <c r="AC12426">
        <v>0</v>
      </c>
      <c r="AD12426">
        <v>1</v>
      </c>
      <c r="AE12426">
        <v>1</v>
      </c>
      <c r="AF12426">
        <v>1</v>
      </c>
      <c r="AG12426">
        <v>1</v>
      </c>
      <c r="AH12426">
        <v>1</v>
      </c>
      <c r="AI12426">
        <v>1</v>
      </c>
      <c r="AJ12426">
        <v>1</v>
      </c>
      <c r="AK12426">
        <v>1</v>
      </c>
      <c r="AL12426">
        <v>1</v>
      </c>
      <c r="AM12426">
        <v>1</v>
      </c>
    </row>
    <row r="12427" spans="1:39" x14ac:dyDescent="0.2">
      <c r="A12427" t="str">
        <f>"12423"</f>
        <v>12423</v>
      </c>
      <c r="B12427" t="str">
        <f t="shared" si="691"/>
        <v>1</v>
      </c>
      <c r="C12427" t="str">
        <f t="shared" si="690"/>
        <v>249</v>
      </c>
      <c r="D12427" t="str">
        <f>"33"</f>
        <v>33</v>
      </c>
      <c r="E12427" t="str">
        <f>"1-249-33"</f>
        <v>1-249-33</v>
      </c>
      <c r="F12427" t="s">
        <v>65</v>
      </c>
      <c r="G12427" t="s">
        <v>66</v>
      </c>
      <c r="H12427" t="s">
        <v>67</v>
      </c>
      <c r="S12427">
        <v>0</v>
      </c>
      <c r="T12427">
        <v>1</v>
      </c>
      <c r="U12427">
        <v>0</v>
      </c>
      <c r="V12427">
        <v>0</v>
      </c>
      <c r="W12427">
        <v>1</v>
      </c>
      <c r="X12427">
        <v>0</v>
      </c>
      <c r="Y12427">
        <v>0</v>
      </c>
      <c r="Z12427">
        <v>1</v>
      </c>
      <c r="AA12427">
        <v>1</v>
      </c>
      <c r="AB12427">
        <v>0</v>
      </c>
      <c r="AC12427">
        <v>0</v>
      </c>
      <c r="AD12427">
        <v>1</v>
      </c>
      <c r="AE12427">
        <v>1</v>
      </c>
      <c r="AF12427">
        <v>1</v>
      </c>
      <c r="AG12427">
        <v>1</v>
      </c>
      <c r="AH12427">
        <v>1</v>
      </c>
      <c r="AI12427">
        <v>1</v>
      </c>
      <c r="AJ12427">
        <v>1</v>
      </c>
      <c r="AK12427">
        <v>1</v>
      </c>
      <c r="AL12427">
        <v>1</v>
      </c>
      <c r="AM12427">
        <v>1</v>
      </c>
    </row>
    <row r="12428" spans="1:39" x14ac:dyDescent="0.2">
      <c r="A12428" t="str">
        <f>"12424"</f>
        <v>12424</v>
      </c>
      <c r="B12428" t="str">
        <f t="shared" si="691"/>
        <v>1</v>
      </c>
      <c r="C12428" t="str">
        <f t="shared" si="690"/>
        <v>249</v>
      </c>
      <c r="D12428" t="str">
        <f>"19"</f>
        <v>19</v>
      </c>
      <c r="E12428" t="str">
        <f>"1-249-19"</f>
        <v>1-249-19</v>
      </c>
      <c r="F12428" t="s">
        <v>65</v>
      </c>
      <c r="G12428" t="s">
        <v>66</v>
      </c>
      <c r="H12428" t="s">
        <v>67</v>
      </c>
      <c r="S12428">
        <v>1</v>
      </c>
      <c r="T12428">
        <v>0</v>
      </c>
      <c r="U12428">
        <v>0</v>
      </c>
      <c r="V12428">
        <v>0</v>
      </c>
      <c r="W12428">
        <v>1</v>
      </c>
      <c r="X12428">
        <v>0</v>
      </c>
      <c r="Y12428">
        <v>1</v>
      </c>
      <c r="Z12428">
        <v>0</v>
      </c>
      <c r="AA12428">
        <v>1</v>
      </c>
      <c r="AB12428">
        <v>0</v>
      </c>
      <c r="AC12428">
        <v>0</v>
      </c>
      <c r="AD12428">
        <v>1</v>
      </c>
      <c r="AE12428">
        <v>1</v>
      </c>
      <c r="AF12428">
        <v>1</v>
      </c>
      <c r="AG12428">
        <v>1</v>
      </c>
      <c r="AH12428">
        <v>1</v>
      </c>
      <c r="AI12428">
        <v>1</v>
      </c>
      <c r="AJ12428">
        <v>1</v>
      </c>
      <c r="AK12428">
        <v>1</v>
      </c>
      <c r="AL12428">
        <v>1</v>
      </c>
      <c r="AM12428">
        <v>1</v>
      </c>
    </row>
    <row r="12429" spans="1:39" x14ac:dyDescent="0.2">
      <c r="A12429" t="str">
        <f>"12425"</f>
        <v>12425</v>
      </c>
      <c r="B12429" t="str">
        <f t="shared" si="691"/>
        <v>1</v>
      </c>
      <c r="C12429" t="str">
        <f t="shared" si="690"/>
        <v>249</v>
      </c>
      <c r="D12429" t="str">
        <f>"5"</f>
        <v>5</v>
      </c>
      <c r="E12429" t="str">
        <f>"1-249-5"</f>
        <v>1-249-5</v>
      </c>
      <c r="F12429" t="s">
        <v>65</v>
      </c>
      <c r="G12429" t="s">
        <v>66</v>
      </c>
      <c r="H12429" t="s">
        <v>67</v>
      </c>
      <c r="S12429">
        <v>1</v>
      </c>
      <c r="T12429">
        <v>0</v>
      </c>
      <c r="U12429">
        <v>0</v>
      </c>
      <c r="V12429">
        <v>0</v>
      </c>
      <c r="W12429">
        <v>1</v>
      </c>
      <c r="X12429">
        <v>0</v>
      </c>
      <c r="Y12429">
        <v>1</v>
      </c>
      <c r="Z12429">
        <v>0</v>
      </c>
      <c r="AA12429">
        <v>1</v>
      </c>
      <c r="AB12429">
        <v>0</v>
      </c>
      <c r="AC12429">
        <v>0</v>
      </c>
      <c r="AD12429">
        <v>1</v>
      </c>
      <c r="AE12429">
        <v>1</v>
      </c>
      <c r="AF12429">
        <v>1</v>
      </c>
      <c r="AG12429">
        <v>1</v>
      </c>
      <c r="AH12429">
        <v>1</v>
      </c>
      <c r="AI12429">
        <v>1</v>
      </c>
      <c r="AJ12429">
        <v>1</v>
      </c>
      <c r="AK12429">
        <v>1</v>
      </c>
      <c r="AL12429">
        <v>1</v>
      </c>
      <c r="AM12429">
        <v>1</v>
      </c>
    </row>
    <row r="12430" spans="1:39" x14ac:dyDescent="0.2">
      <c r="A12430" t="str">
        <f>"12426"</f>
        <v>12426</v>
      </c>
      <c r="B12430" t="str">
        <f t="shared" si="691"/>
        <v>1</v>
      </c>
      <c r="C12430" t="str">
        <f t="shared" si="690"/>
        <v>249</v>
      </c>
      <c r="D12430" t="str">
        <f>"38"</f>
        <v>38</v>
      </c>
      <c r="E12430" t="str">
        <f>"1-249-38"</f>
        <v>1-249-38</v>
      </c>
      <c r="F12430" t="s">
        <v>65</v>
      </c>
      <c r="G12430" t="s">
        <v>66</v>
      </c>
      <c r="H12430" t="s">
        <v>67</v>
      </c>
      <c r="S12430">
        <v>1</v>
      </c>
      <c r="T12430">
        <v>0</v>
      </c>
      <c r="U12430">
        <v>0</v>
      </c>
      <c r="V12430">
        <v>0</v>
      </c>
      <c r="W12430">
        <v>1</v>
      </c>
      <c r="X12430">
        <v>0</v>
      </c>
      <c r="Y12430">
        <v>1</v>
      </c>
      <c r="Z12430">
        <v>0</v>
      </c>
      <c r="AA12430">
        <v>1</v>
      </c>
      <c r="AB12430">
        <v>0</v>
      </c>
      <c r="AC12430">
        <v>0</v>
      </c>
      <c r="AD12430">
        <v>1</v>
      </c>
      <c r="AE12430">
        <v>1</v>
      </c>
      <c r="AF12430">
        <v>1</v>
      </c>
      <c r="AG12430">
        <v>1</v>
      </c>
      <c r="AH12430">
        <v>1</v>
      </c>
      <c r="AI12430">
        <v>1</v>
      </c>
      <c r="AJ12430">
        <v>1</v>
      </c>
      <c r="AK12430">
        <v>1</v>
      </c>
      <c r="AL12430">
        <v>1</v>
      </c>
      <c r="AM12430">
        <v>1</v>
      </c>
    </row>
    <row r="12431" spans="1:39" x14ac:dyDescent="0.2">
      <c r="A12431" t="str">
        <f>"12427"</f>
        <v>12427</v>
      </c>
      <c r="B12431" t="str">
        <f t="shared" si="691"/>
        <v>1</v>
      </c>
      <c r="C12431" t="str">
        <f t="shared" si="690"/>
        <v>249</v>
      </c>
      <c r="D12431" t="str">
        <f>"20"</f>
        <v>20</v>
      </c>
      <c r="E12431" t="str">
        <f>"1-249-20"</f>
        <v>1-249-20</v>
      </c>
      <c r="F12431" t="s">
        <v>65</v>
      </c>
      <c r="G12431" t="s">
        <v>66</v>
      </c>
      <c r="H12431" t="s">
        <v>67</v>
      </c>
      <c r="S12431">
        <v>1</v>
      </c>
      <c r="T12431">
        <v>0</v>
      </c>
      <c r="U12431">
        <v>0</v>
      </c>
      <c r="V12431">
        <v>0</v>
      </c>
      <c r="W12431">
        <v>1</v>
      </c>
      <c r="X12431">
        <v>0</v>
      </c>
      <c r="Y12431">
        <v>1</v>
      </c>
      <c r="Z12431">
        <v>0</v>
      </c>
      <c r="AA12431">
        <v>1</v>
      </c>
      <c r="AB12431">
        <v>0</v>
      </c>
      <c r="AC12431">
        <v>0</v>
      </c>
      <c r="AD12431">
        <v>0</v>
      </c>
      <c r="AE12431">
        <v>0</v>
      </c>
      <c r="AF12431">
        <v>0</v>
      </c>
      <c r="AG12431">
        <v>0</v>
      </c>
      <c r="AH12431">
        <v>0</v>
      </c>
      <c r="AI12431">
        <v>0</v>
      </c>
      <c r="AJ12431">
        <v>0</v>
      </c>
      <c r="AK12431">
        <v>0</v>
      </c>
      <c r="AL12431">
        <v>0</v>
      </c>
      <c r="AM12431">
        <v>0</v>
      </c>
    </row>
    <row r="12432" spans="1:39" x14ac:dyDescent="0.2">
      <c r="A12432" t="str">
        <f>"12428"</f>
        <v>12428</v>
      </c>
      <c r="B12432" t="str">
        <f t="shared" si="691"/>
        <v>1</v>
      </c>
      <c r="C12432" t="str">
        <f t="shared" si="690"/>
        <v>249</v>
      </c>
      <c r="D12432" t="str">
        <f>"2"</f>
        <v>2</v>
      </c>
      <c r="E12432" t="str">
        <f>"1-249-2"</f>
        <v>1-249-2</v>
      </c>
      <c r="F12432" t="s">
        <v>65</v>
      </c>
      <c r="G12432" t="s">
        <v>66</v>
      </c>
      <c r="H12432" t="s">
        <v>67</v>
      </c>
      <c r="S12432">
        <v>1</v>
      </c>
      <c r="T12432">
        <v>0</v>
      </c>
      <c r="U12432">
        <v>0</v>
      </c>
      <c r="V12432">
        <v>0</v>
      </c>
      <c r="W12432">
        <v>1</v>
      </c>
      <c r="X12432">
        <v>0</v>
      </c>
      <c r="Y12432">
        <v>0</v>
      </c>
      <c r="Z12432">
        <v>0</v>
      </c>
      <c r="AA12432">
        <v>0</v>
      </c>
      <c r="AB12432">
        <v>0</v>
      </c>
      <c r="AC12432">
        <v>0</v>
      </c>
      <c r="AD12432">
        <v>0</v>
      </c>
      <c r="AE12432">
        <v>0</v>
      </c>
      <c r="AF12432">
        <v>0</v>
      </c>
      <c r="AG12432">
        <v>0</v>
      </c>
      <c r="AH12432">
        <v>0</v>
      </c>
      <c r="AI12432">
        <v>1</v>
      </c>
      <c r="AJ12432">
        <v>1</v>
      </c>
      <c r="AK12432">
        <v>1</v>
      </c>
      <c r="AL12432">
        <v>1</v>
      </c>
      <c r="AM12432">
        <v>1</v>
      </c>
    </row>
    <row r="12433" spans="1:39" x14ac:dyDescent="0.2">
      <c r="A12433" t="str">
        <f>"12429"</f>
        <v>12429</v>
      </c>
      <c r="B12433" t="str">
        <f t="shared" si="691"/>
        <v>1</v>
      </c>
      <c r="C12433" t="str">
        <f t="shared" si="690"/>
        <v>249</v>
      </c>
      <c r="D12433" t="str">
        <f>"39"</f>
        <v>39</v>
      </c>
      <c r="E12433" t="str">
        <f>"1-249-39"</f>
        <v>1-249-39</v>
      </c>
      <c r="F12433" t="s">
        <v>65</v>
      </c>
      <c r="G12433" t="s">
        <v>66</v>
      </c>
      <c r="H12433" t="s">
        <v>67</v>
      </c>
      <c r="S12433">
        <v>0</v>
      </c>
      <c r="T12433">
        <v>1</v>
      </c>
      <c r="U12433">
        <v>0</v>
      </c>
      <c r="V12433">
        <v>0</v>
      </c>
      <c r="W12433">
        <v>1</v>
      </c>
      <c r="X12433">
        <v>0</v>
      </c>
      <c r="Y12433">
        <v>0</v>
      </c>
      <c r="Z12433">
        <v>1</v>
      </c>
      <c r="AA12433">
        <v>0</v>
      </c>
      <c r="AB12433">
        <v>0</v>
      </c>
      <c r="AC12433">
        <v>1</v>
      </c>
      <c r="AD12433">
        <v>1</v>
      </c>
      <c r="AE12433">
        <v>1</v>
      </c>
      <c r="AF12433">
        <v>1</v>
      </c>
      <c r="AG12433">
        <v>1</v>
      </c>
      <c r="AH12433">
        <v>1</v>
      </c>
      <c r="AI12433">
        <v>1</v>
      </c>
      <c r="AJ12433">
        <v>1</v>
      </c>
      <c r="AK12433">
        <v>1</v>
      </c>
      <c r="AL12433">
        <v>1</v>
      </c>
      <c r="AM12433">
        <v>0</v>
      </c>
    </row>
    <row r="12434" spans="1:39" x14ac:dyDescent="0.2">
      <c r="A12434" t="str">
        <f>"12430"</f>
        <v>12430</v>
      </c>
      <c r="B12434" t="str">
        <f t="shared" si="691"/>
        <v>1</v>
      </c>
      <c r="C12434" t="str">
        <f t="shared" si="690"/>
        <v>249</v>
      </c>
      <c r="D12434" t="str">
        <f>"21"</f>
        <v>21</v>
      </c>
      <c r="E12434" t="str">
        <f>"1-249-21"</f>
        <v>1-249-21</v>
      </c>
      <c r="F12434" t="s">
        <v>65</v>
      </c>
      <c r="G12434" t="s">
        <v>66</v>
      </c>
      <c r="H12434" t="s">
        <v>67</v>
      </c>
      <c r="S12434">
        <v>1</v>
      </c>
      <c r="T12434">
        <v>0</v>
      </c>
      <c r="U12434">
        <v>0</v>
      </c>
      <c r="V12434">
        <v>0</v>
      </c>
      <c r="W12434">
        <v>1</v>
      </c>
      <c r="X12434">
        <v>0</v>
      </c>
      <c r="Y12434">
        <v>1</v>
      </c>
      <c r="Z12434">
        <v>0</v>
      </c>
      <c r="AA12434">
        <v>0</v>
      </c>
      <c r="AB12434">
        <v>1</v>
      </c>
      <c r="AC12434">
        <v>0</v>
      </c>
      <c r="AD12434">
        <v>1</v>
      </c>
      <c r="AE12434">
        <v>1</v>
      </c>
      <c r="AF12434">
        <v>1</v>
      </c>
      <c r="AG12434">
        <v>1</v>
      </c>
      <c r="AH12434">
        <v>1</v>
      </c>
      <c r="AI12434">
        <v>1</v>
      </c>
      <c r="AJ12434">
        <v>1</v>
      </c>
      <c r="AK12434">
        <v>1</v>
      </c>
      <c r="AL12434">
        <v>1</v>
      </c>
      <c r="AM12434">
        <v>1</v>
      </c>
    </row>
    <row r="12435" spans="1:39" x14ac:dyDescent="0.2">
      <c r="A12435" t="str">
        <f>"12431"</f>
        <v>12431</v>
      </c>
      <c r="B12435" t="str">
        <f t="shared" si="691"/>
        <v>1</v>
      </c>
      <c r="C12435" t="str">
        <f t="shared" si="690"/>
        <v>249</v>
      </c>
      <c r="D12435" t="str">
        <f>"10"</f>
        <v>10</v>
      </c>
      <c r="E12435" t="str">
        <f>"1-249-10"</f>
        <v>1-249-10</v>
      </c>
      <c r="F12435" t="s">
        <v>65</v>
      </c>
      <c r="G12435" t="s">
        <v>66</v>
      </c>
      <c r="H12435" t="s">
        <v>67</v>
      </c>
      <c r="S12435">
        <v>1</v>
      </c>
      <c r="T12435">
        <v>0</v>
      </c>
      <c r="U12435">
        <v>0</v>
      </c>
      <c r="V12435">
        <v>0</v>
      </c>
      <c r="W12435">
        <v>1</v>
      </c>
      <c r="X12435">
        <v>0</v>
      </c>
      <c r="Y12435">
        <v>0</v>
      </c>
      <c r="Z12435">
        <v>0</v>
      </c>
      <c r="AA12435">
        <v>0</v>
      </c>
      <c r="AB12435">
        <v>0</v>
      </c>
      <c r="AC12435">
        <v>0</v>
      </c>
      <c r="AD12435">
        <v>0</v>
      </c>
      <c r="AE12435">
        <v>0</v>
      </c>
      <c r="AF12435">
        <v>0</v>
      </c>
      <c r="AG12435">
        <v>0</v>
      </c>
      <c r="AH12435">
        <v>0</v>
      </c>
      <c r="AI12435">
        <v>0</v>
      </c>
      <c r="AJ12435">
        <v>0</v>
      </c>
      <c r="AK12435">
        <v>0</v>
      </c>
      <c r="AL12435">
        <v>0</v>
      </c>
      <c r="AM12435">
        <v>0</v>
      </c>
    </row>
    <row r="12436" spans="1:39" x14ac:dyDescent="0.2">
      <c r="A12436" t="str">
        <f>"12432"</f>
        <v>12432</v>
      </c>
      <c r="B12436" t="str">
        <f t="shared" si="691"/>
        <v>1</v>
      </c>
      <c r="C12436" t="str">
        <f t="shared" si="690"/>
        <v>249</v>
      </c>
      <c r="D12436" t="str">
        <f>"40"</f>
        <v>40</v>
      </c>
      <c r="E12436" t="str">
        <f>"1-249-40"</f>
        <v>1-249-40</v>
      </c>
      <c r="F12436" t="s">
        <v>65</v>
      </c>
      <c r="G12436" t="s">
        <v>66</v>
      </c>
      <c r="H12436" t="s">
        <v>67</v>
      </c>
      <c r="S12436">
        <v>1</v>
      </c>
      <c r="T12436">
        <v>0</v>
      </c>
      <c r="U12436">
        <v>0</v>
      </c>
      <c r="V12436">
        <v>0</v>
      </c>
      <c r="W12436">
        <v>1</v>
      </c>
      <c r="X12436">
        <v>0</v>
      </c>
      <c r="Y12436">
        <v>1</v>
      </c>
      <c r="Z12436">
        <v>0</v>
      </c>
      <c r="AA12436">
        <v>1</v>
      </c>
      <c r="AB12436">
        <v>0</v>
      </c>
      <c r="AC12436">
        <v>0</v>
      </c>
      <c r="AD12436">
        <v>1</v>
      </c>
      <c r="AE12436">
        <v>1</v>
      </c>
      <c r="AF12436">
        <v>1</v>
      </c>
      <c r="AG12436">
        <v>1</v>
      </c>
      <c r="AH12436">
        <v>1</v>
      </c>
      <c r="AI12436">
        <v>1</v>
      </c>
      <c r="AJ12436">
        <v>1</v>
      </c>
      <c r="AK12436">
        <v>1</v>
      </c>
      <c r="AL12436">
        <v>1</v>
      </c>
      <c r="AM12436">
        <v>1</v>
      </c>
    </row>
    <row r="12437" spans="1:39" x14ac:dyDescent="0.2">
      <c r="A12437" t="str">
        <f>"12433"</f>
        <v>12433</v>
      </c>
      <c r="B12437" t="str">
        <f t="shared" si="691"/>
        <v>1</v>
      </c>
      <c r="C12437" t="str">
        <f t="shared" ref="C12437:C12454" si="692">"249"</f>
        <v>249</v>
      </c>
      <c r="D12437" t="str">
        <f>"22"</f>
        <v>22</v>
      </c>
      <c r="E12437" t="str">
        <f>"1-249-22"</f>
        <v>1-249-22</v>
      </c>
      <c r="F12437" t="s">
        <v>65</v>
      </c>
      <c r="G12437" t="s">
        <v>66</v>
      </c>
      <c r="H12437" t="s">
        <v>67</v>
      </c>
      <c r="S12437">
        <v>1</v>
      </c>
      <c r="T12437">
        <v>0</v>
      </c>
      <c r="U12437">
        <v>0</v>
      </c>
      <c r="V12437">
        <v>0</v>
      </c>
      <c r="W12437">
        <v>1</v>
      </c>
      <c r="X12437">
        <v>0</v>
      </c>
      <c r="Y12437">
        <v>1</v>
      </c>
      <c r="Z12437">
        <v>0</v>
      </c>
      <c r="AA12437">
        <v>0</v>
      </c>
      <c r="AB12437">
        <v>0</v>
      </c>
      <c r="AC12437">
        <v>1</v>
      </c>
      <c r="AD12437">
        <v>0</v>
      </c>
      <c r="AE12437">
        <v>0</v>
      </c>
      <c r="AF12437">
        <v>0</v>
      </c>
      <c r="AG12437">
        <v>0</v>
      </c>
      <c r="AH12437">
        <v>0</v>
      </c>
      <c r="AI12437">
        <v>0</v>
      </c>
      <c r="AJ12437">
        <v>0</v>
      </c>
      <c r="AK12437">
        <v>0</v>
      </c>
      <c r="AL12437">
        <v>0</v>
      </c>
      <c r="AM12437">
        <v>0</v>
      </c>
    </row>
    <row r="12438" spans="1:39" x14ac:dyDescent="0.2">
      <c r="A12438" t="str">
        <f>"12434"</f>
        <v>12434</v>
      </c>
      <c r="B12438" t="str">
        <f t="shared" si="691"/>
        <v>1</v>
      </c>
      <c r="C12438" t="str">
        <f t="shared" si="692"/>
        <v>249</v>
      </c>
      <c r="D12438" t="str">
        <f>"7"</f>
        <v>7</v>
      </c>
      <c r="E12438" t="str">
        <f>"1-249-7"</f>
        <v>1-249-7</v>
      </c>
      <c r="F12438" t="s">
        <v>65</v>
      </c>
      <c r="G12438" t="s">
        <v>66</v>
      </c>
      <c r="H12438" t="s">
        <v>67</v>
      </c>
      <c r="S12438">
        <v>1</v>
      </c>
      <c r="T12438">
        <v>0</v>
      </c>
      <c r="U12438">
        <v>0</v>
      </c>
      <c r="V12438">
        <v>0</v>
      </c>
      <c r="W12438">
        <v>1</v>
      </c>
      <c r="X12438">
        <v>0</v>
      </c>
      <c r="Y12438">
        <v>1</v>
      </c>
      <c r="Z12438">
        <v>0</v>
      </c>
      <c r="AA12438">
        <v>1</v>
      </c>
      <c r="AB12438">
        <v>0</v>
      </c>
      <c r="AC12438">
        <v>0</v>
      </c>
      <c r="AD12438">
        <v>0</v>
      </c>
      <c r="AE12438">
        <v>0</v>
      </c>
      <c r="AF12438">
        <v>0</v>
      </c>
      <c r="AG12438">
        <v>0</v>
      </c>
      <c r="AH12438">
        <v>0</v>
      </c>
      <c r="AI12438">
        <v>0</v>
      </c>
      <c r="AJ12438">
        <v>0</v>
      </c>
      <c r="AK12438">
        <v>0</v>
      </c>
      <c r="AL12438">
        <v>0</v>
      </c>
      <c r="AM12438">
        <v>0</v>
      </c>
    </row>
    <row r="12439" spans="1:39" x14ac:dyDescent="0.2">
      <c r="A12439" t="str">
        <f>"12435"</f>
        <v>12435</v>
      </c>
      <c r="B12439" t="str">
        <f t="shared" si="691"/>
        <v>1</v>
      </c>
      <c r="C12439" t="str">
        <f t="shared" si="692"/>
        <v>249</v>
      </c>
      <c r="D12439" t="str">
        <f>"49"</f>
        <v>49</v>
      </c>
      <c r="E12439" t="str">
        <f>"1-249-49"</f>
        <v>1-249-49</v>
      </c>
      <c r="F12439" t="s">
        <v>65</v>
      </c>
      <c r="G12439" t="s">
        <v>66</v>
      </c>
      <c r="H12439" t="s">
        <v>67</v>
      </c>
      <c r="S12439">
        <v>1</v>
      </c>
      <c r="T12439">
        <v>0</v>
      </c>
      <c r="U12439">
        <v>0</v>
      </c>
      <c r="V12439">
        <v>0</v>
      </c>
      <c r="W12439">
        <v>0</v>
      </c>
      <c r="X12439">
        <v>1</v>
      </c>
      <c r="Y12439">
        <v>0</v>
      </c>
      <c r="Z12439">
        <v>1</v>
      </c>
      <c r="AA12439">
        <v>0</v>
      </c>
      <c r="AB12439">
        <v>1</v>
      </c>
      <c r="AC12439">
        <v>0</v>
      </c>
      <c r="AD12439">
        <v>1</v>
      </c>
      <c r="AE12439">
        <v>1</v>
      </c>
      <c r="AF12439">
        <v>1</v>
      </c>
      <c r="AG12439">
        <v>1</v>
      </c>
      <c r="AH12439">
        <v>1</v>
      </c>
      <c r="AI12439">
        <v>1</v>
      </c>
      <c r="AJ12439">
        <v>1</v>
      </c>
      <c r="AK12439">
        <v>1</v>
      </c>
      <c r="AL12439">
        <v>1</v>
      </c>
      <c r="AM12439">
        <v>1</v>
      </c>
    </row>
    <row r="12440" spans="1:39" x14ac:dyDescent="0.2">
      <c r="A12440" t="str">
        <f>"12436"</f>
        <v>12436</v>
      </c>
      <c r="B12440" t="str">
        <f t="shared" si="691"/>
        <v>1</v>
      </c>
      <c r="C12440" t="str">
        <f t="shared" si="692"/>
        <v>249</v>
      </c>
      <c r="D12440" t="str">
        <f>"24"</f>
        <v>24</v>
      </c>
      <c r="E12440" t="str">
        <f>"1-249-24"</f>
        <v>1-249-24</v>
      </c>
      <c r="F12440" t="s">
        <v>65</v>
      </c>
      <c r="G12440" t="s">
        <v>66</v>
      </c>
      <c r="H12440" t="s">
        <v>67</v>
      </c>
      <c r="S12440">
        <v>1</v>
      </c>
      <c r="T12440">
        <v>0</v>
      </c>
      <c r="U12440">
        <v>0</v>
      </c>
      <c r="V12440">
        <v>0</v>
      </c>
      <c r="W12440">
        <v>1</v>
      </c>
      <c r="X12440">
        <v>0</v>
      </c>
      <c r="Y12440">
        <v>1</v>
      </c>
      <c r="Z12440">
        <v>0</v>
      </c>
      <c r="AA12440">
        <v>0</v>
      </c>
      <c r="AB12440">
        <v>0</v>
      </c>
      <c r="AC12440">
        <v>0</v>
      </c>
      <c r="AD12440">
        <v>1</v>
      </c>
      <c r="AE12440">
        <v>0</v>
      </c>
      <c r="AF12440">
        <v>1</v>
      </c>
      <c r="AG12440">
        <v>1</v>
      </c>
      <c r="AH12440">
        <v>1</v>
      </c>
      <c r="AI12440">
        <v>1</v>
      </c>
      <c r="AJ12440">
        <v>1</v>
      </c>
      <c r="AK12440">
        <v>1</v>
      </c>
      <c r="AL12440">
        <v>1</v>
      </c>
      <c r="AM12440">
        <v>1</v>
      </c>
    </row>
    <row r="12441" spans="1:39" x14ac:dyDescent="0.2">
      <c r="A12441" t="str">
        <f>"12437"</f>
        <v>12437</v>
      </c>
      <c r="B12441" t="str">
        <f t="shared" si="691"/>
        <v>1</v>
      </c>
      <c r="C12441" t="str">
        <f t="shared" si="692"/>
        <v>249</v>
      </c>
      <c r="D12441" t="str">
        <f>"1"</f>
        <v>1</v>
      </c>
      <c r="E12441" t="str">
        <f>"1-249-1"</f>
        <v>1-249-1</v>
      </c>
      <c r="F12441" t="s">
        <v>65</v>
      </c>
      <c r="G12441" t="s">
        <v>66</v>
      </c>
      <c r="H12441" t="s">
        <v>67</v>
      </c>
      <c r="S12441">
        <v>1</v>
      </c>
      <c r="T12441">
        <v>0</v>
      </c>
      <c r="U12441">
        <v>0</v>
      </c>
      <c r="V12441">
        <v>0</v>
      </c>
      <c r="W12441">
        <v>1</v>
      </c>
      <c r="X12441">
        <v>0</v>
      </c>
      <c r="Y12441">
        <v>1</v>
      </c>
      <c r="Z12441">
        <v>0</v>
      </c>
      <c r="AA12441">
        <v>1</v>
      </c>
      <c r="AB12441">
        <v>0</v>
      </c>
      <c r="AC12441">
        <v>0</v>
      </c>
      <c r="AD12441">
        <v>0</v>
      </c>
      <c r="AE12441">
        <v>0</v>
      </c>
      <c r="AF12441">
        <v>0</v>
      </c>
      <c r="AG12441">
        <v>0</v>
      </c>
      <c r="AH12441">
        <v>0</v>
      </c>
      <c r="AI12441">
        <v>0</v>
      </c>
      <c r="AJ12441">
        <v>0</v>
      </c>
      <c r="AK12441">
        <v>0</v>
      </c>
      <c r="AL12441">
        <v>0</v>
      </c>
      <c r="AM12441">
        <v>0</v>
      </c>
    </row>
    <row r="12442" spans="1:39" x14ac:dyDescent="0.2">
      <c r="A12442" t="str">
        <f>"12438"</f>
        <v>12438</v>
      </c>
      <c r="B12442" t="str">
        <f t="shared" si="691"/>
        <v>1</v>
      </c>
      <c r="C12442" t="str">
        <f t="shared" si="692"/>
        <v>249</v>
      </c>
      <c r="D12442" t="str">
        <f>"41"</f>
        <v>41</v>
      </c>
      <c r="E12442" t="str">
        <f>"1-249-41"</f>
        <v>1-249-41</v>
      </c>
      <c r="F12442" t="s">
        <v>65</v>
      </c>
      <c r="G12442" t="s">
        <v>66</v>
      </c>
      <c r="H12442" t="s">
        <v>67</v>
      </c>
      <c r="S12442">
        <v>1</v>
      </c>
      <c r="T12442">
        <v>0</v>
      </c>
      <c r="U12442">
        <v>0</v>
      </c>
      <c r="V12442">
        <v>0</v>
      </c>
      <c r="W12442">
        <v>1</v>
      </c>
      <c r="X12442">
        <v>0</v>
      </c>
      <c r="Y12442">
        <v>1</v>
      </c>
      <c r="Z12442">
        <v>0</v>
      </c>
      <c r="AA12442">
        <v>1</v>
      </c>
      <c r="AB12442">
        <v>0</v>
      </c>
      <c r="AC12442">
        <v>0</v>
      </c>
      <c r="AD12442">
        <v>1</v>
      </c>
      <c r="AE12442">
        <v>1</v>
      </c>
      <c r="AF12442">
        <v>1</v>
      </c>
      <c r="AG12442">
        <v>1</v>
      </c>
      <c r="AH12442">
        <v>1</v>
      </c>
      <c r="AI12442">
        <v>1</v>
      </c>
      <c r="AJ12442">
        <v>1</v>
      </c>
      <c r="AK12442">
        <v>1</v>
      </c>
      <c r="AL12442">
        <v>1</v>
      </c>
      <c r="AM12442">
        <v>1</v>
      </c>
    </row>
    <row r="12443" spans="1:39" x14ac:dyDescent="0.2">
      <c r="A12443" t="str">
        <f>"12439"</f>
        <v>12439</v>
      </c>
      <c r="B12443" t="str">
        <f t="shared" si="691"/>
        <v>1</v>
      </c>
      <c r="C12443" t="str">
        <f t="shared" si="692"/>
        <v>249</v>
      </c>
      <c r="D12443" t="str">
        <f>"25"</f>
        <v>25</v>
      </c>
      <c r="E12443" t="str">
        <f>"1-249-25"</f>
        <v>1-249-25</v>
      </c>
      <c r="F12443" t="s">
        <v>65</v>
      </c>
      <c r="G12443" t="s">
        <v>66</v>
      </c>
      <c r="H12443" t="s">
        <v>67</v>
      </c>
      <c r="S12443">
        <v>1</v>
      </c>
      <c r="T12443">
        <v>0</v>
      </c>
      <c r="U12443">
        <v>0</v>
      </c>
      <c r="V12443">
        <v>0</v>
      </c>
      <c r="W12443">
        <v>1</v>
      </c>
      <c r="X12443">
        <v>0</v>
      </c>
      <c r="Y12443">
        <v>0</v>
      </c>
      <c r="Z12443">
        <v>1</v>
      </c>
      <c r="AA12443">
        <v>1</v>
      </c>
      <c r="AB12443">
        <v>0</v>
      </c>
      <c r="AC12443">
        <v>0</v>
      </c>
      <c r="AD12443">
        <v>1</v>
      </c>
      <c r="AE12443">
        <v>1</v>
      </c>
      <c r="AF12443">
        <v>1</v>
      </c>
      <c r="AG12443">
        <v>1</v>
      </c>
      <c r="AH12443">
        <v>1</v>
      </c>
      <c r="AI12443">
        <v>1</v>
      </c>
      <c r="AJ12443">
        <v>1</v>
      </c>
      <c r="AK12443">
        <v>1</v>
      </c>
      <c r="AL12443">
        <v>1</v>
      </c>
      <c r="AM12443">
        <v>1</v>
      </c>
    </row>
    <row r="12444" spans="1:39" x14ac:dyDescent="0.2">
      <c r="A12444" t="str">
        <f>"12440"</f>
        <v>12440</v>
      </c>
      <c r="B12444" t="str">
        <f t="shared" si="691"/>
        <v>1</v>
      </c>
      <c r="C12444" t="str">
        <f t="shared" si="692"/>
        <v>249</v>
      </c>
      <c r="D12444" t="str">
        <f>"13"</f>
        <v>13</v>
      </c>
      <c r="E12444" t="str">
        <f>"1-249-13"</f>
        <v>1-249-13</v>
      </c>
      <c r="F12444" t="s">
        <v>65</v>
      </c>
      <c r="G12444" t="s">
        <v>66</v>
      </c>
      <c r="H12444" t="s">
        <v>67</v>
      </c>
      <c r="S12444">
        <v>0</v>
      </c>
      <c r="T12444">
        <v>1</v>
      </c>
      <c r="U12444">
        <v>0</v>
      </c>
      <c r="V12444">
        <v>0</v>
      </c>
      <c r="W12444">
        <v>0</v>
      </c>
      <c r="X12444">
        <v>1</v>
      </c>
      <c r="Y12444">
        <v>0</v>
      </c>
      <c r="Z12444">
        <v>1</v>
      </c>
      <c r="AA12444">
        <v>0</v>
      </c>
      <c r="AB12444">
        <v>0</v>
      </c>
      <c r="AC12444">
        <v>1</v>
      </c>
      <c r="AD12444">
        <v>1</v>
      </c>
      <c r="AE12444">
        <v>1</v>
      </c>
      <c r="AF12444">
        <v>1</v>
      </c>
      <c r="AG12444">
        <v>1</v>
      </c>
      <c r="AH12444">
        <v>1</v>
      </c>
      <c r="AI12444">
        <v>1</v>
      </c>
      <c r="AJ12444">
        <v>1</v>
      </c>
      <c r="AK12444">
        <v>1</v>
      </c>
      <c r="AL12444">
        <v>1</v>
      </c>
      <c r="AM12444">
        <v>1</v>
      </c>
    </row>
    <row r="12445" spans="1:39" x14ac:dyDescent="0.2">
      <c r="A12445" t="str">
        <f>"12441"</f>
        <v>12441</v>
      </c>
      <c r="B12445" t="str">
        <f t="shared" si="691"/>
        <v>1</v>
      </c>
      <c r="C12445" t="str">
        <f t="shared" si="692"/>
        <v>249</v>
      </c>
      <c r="D12445" t="str">
        <f>"44"</f>
        <v>44</v>
      </c>
      <c r="E12445" t="str">
        <f>"1-249-44"</f>
        <v>1-249-44</v>
      </c>
      <c r="F12445" t="s">
        <v>65</v>
      </c>
      <c r="G12445" t="s">
        <v>66</v>
      </c>
      <c r="H12445" t="s">
        <v>67</v>
      </c>
      <c r="S12445">
        <v>1</v>
      </c>
      <c r="T12445">
        <v>0</v>
      </c>
      <c r="U12445">
        <v>0</v>
      </c>
      <c r="V12445">
        <v>0</v>
      </c>
      <c r="W12445">
        <v>1</v>
      </c>
      <c r="X12445">
        <v>0</v>
      </c>
      <c r="Y12445">
        <v>0</v>
      </c>
      <c r="Z12445">
        <v>1</v>
      </c>
      <c r="AA12445">
        <v>1</v>
      </c>
      <c r="AB12445">
        <v>0</v>
      </c>
      <c r="AC12445">
        <v>0</v>
      </c>
      <c r="AD12445">
        <v>1</v>
      </c>
      <c r="AE12445">
        <v>0</v>
      </c>
      <c r="AF12445">
        <v>0</v>
      </c>
      <c r="AG12445">
        <v>1</v>
      </c>
      <c r="AH12445">
        <v>0</v>
      </c>
      <c r="AI12445">
        <v>1</v>
      </c>
      <c r="AJ12445">
        <v>1</v>
      </c>
      <c r="AK12445">
        <v>0</v>
      </c>
      <c r="AL12445">
        <v>0</v>
      </c>
      <c r="AM12445">
        <v>1</v>
      </c>
    </row>
    <row r="12446" spans="1:39" x14ac:dyDescent="0.2">
      <c r="A12446" t="str">
        <f>"12442"</f>
        <v>12442</v>
      </c>
      <c r="B12446" t="str">
        <f t="shared" si="691"/>
        <v>1</v>
      </c>
      <c r="C12446" t="str">
        <f t="shared" si="692"/>
        <v>249</v>
      </c>
      <c r="D12446" t="str">
        <f>"27"</f>
        <v>27</v>
      </c>
      <c r="E12446" t="str">
        <f>"1-249-27"</f>
        <v>1-249-27</v>
      </c>
      <c r="F12446" t="s">
        <v>65</v>
      </c>
      <c r="G12446" t="s">
        <v>66</v>
      </c>
      <c r="H12446" t="s">
        <v>67</v>
      </c>
      <c r="S12446">
        <v>1</v>
      </c>
      <c r="T12446">
        <v>0</v>
      </c>
      <c r="U12446">
        <v>0</v>
      </c>
      <c r="V12446">
        <v>0</v>
      </c>
      <c r="W12446">
        <v>1</v>
      </c>
      <c r="X12446">
        <v>0</v>
      </c>
      <c r="Y12446">
        <v>1</v>
      </c>
      <c r="Z12446">
        <v>0</v>
      </c>
      <c r="AA12446">
        <v>0</v>
      </c>
      <c r="AB12446">
        <v>0</v>
      </c>
      <c r="AC12446">
        <v>1</v>
      </c>
      <c r="AD12446">
        <v>1</v>
      </c>
      <c r="AE12446">
        <v>1</v>
      </c>
      <c r="AF12446">
        <v>1</v>
      </c>
      <c r="AG12446">
        <v>1</v>
      </c>
      <c r="AH12446">
        <v>1</v>
      </c>
      <c r="AI12446">
        <v>1</v>
      </c>
      <c r="AJ12446">
        <v>1</v>
      </c>
      <c r="AK12446">
        <v>1</v>
      </c>
      <c r="AL12446">
        <v>1</v>
      </c>
      <c r="AM12446">
        <v>1</v>
      </c>
    </row>
    <row r="12447" spans="1:39" x14ac:dyDescent="0.2">
      <c r="A12447" t="str">
        <f>"12443"</f>
        <v>12443</v>
      </c>
      <c r="B12447" t="str">
        <f t="shared" si="691"/>
        <v>1</v>
      </c>
      <c r="C12447" t="str">
        <f t="shared" si="692"/>
        <v>249</v>
      </c>
      <c r="D12447" t="str">
        <f>"8"</f>
        <v>8</v>
      </c>
      <c r="E12447" t="str">
        <f>"1-249-8"</f>
        <v>1-249-8</v>
      </c>
      <c r="F12447" t="s">
        <v>65</v>
      </c>
      <c r="G12447" t="s">
        <v>66</v>
      </c>
      <c r="H12447" t="s">
        <v>67</v>
      </c>
      <c r="S12447">
        <v>1</v>
      </c>
      <c r="T12447">
        <v>0</v>
      </c>
      <c r="U12447">
        <v>0</v>
      </c>
      <c r="V12447">
        <v>0</v>
      </c>
      <c r="W12447">
        <v>1</v>
      </c>
      <c r="X12447">
        <v>0</v>
      </c>
      <c r="Y12447">
        <v>1</v>
      </c>
      <c r="Z12447">
        <v>0</v>
      </c>
      <c r="AA12447">
        <v>1</v>
      </c>
      <c r="AB12447">
        <v>0</v>
      </c>
      <c r="AC12447">
        <v>0</v>
      </c>
      <c r="AD12447">
        <v>1</v>
      </c>
      <c r="AE12447">
        <v>1</v>
      </c>
      <c r="AF12447">
        <v>1</v>
      </c>
      <c r="AG12447">
        <v>1</v>
      </c>
      <c r="AH12447">
        <v>1</v>
      </c>
      <c r="AI12447">
        <v>1</v>
      </c>
      <c r="AJ12447">
        <v>1</v>
      </c>
      <c r="AK12447">
        <v>1</v>
      </c>
      <c r="AL12447">
        <v>1</v>
      </c>
      <c r="AM12447">
        <v>1</v>
      </c>
    </row>
    <row r="12448" spans="1:39" x14ac:dyDescent="0.2">
      <c r="A12448" t="str">
        <f>"12444"</f>
        <v>12444</v>
      </c>
      <c r="B12448" t="str">
        <f t="shared" si="691"/>
        <v>1</v>
      </c>
      <c r="C12448" t="str">
        <f t="shared" si="692"/>
        <v>249</v>
      </c>
      <c r="D12448" t="str">
        <f>"28"</f>
        <v>28</v>
      </c>
      <c r="E12448" t="str">
        <f>"1-249-28"</f>
        <v>1-249-28</v>
      </c>
      <c r="F12448" t="s">
        <v>65</v>
      </c>
      <c r="G12448" t="s">
        <v>66</v>
      </c>
      <c r="H12448" t="s">
        <v>67</v>
      </c>
      <c r="S12448">
        <v>1</v>
      </c>
      <c r="T12448">
        <v>0</v>
      </c>
      <c r="U12448">
        <v>0</v>
      </c>
      <c r="V12448">
        <v>0</v>
      </c>
      <c r="W12448">
        <v>1</v>
      </c>
      <c r="X12448">
        <v>0</v>
      </c>
      <c r="Y12448">
        <v>1</v>
      </c>
      <c r="Z12448">
        <v>0</v>
      </c>
      <c r="AA12448">
        <v>1</v>
      </c>
      <c r="AB12448">
        <v>0</v>
      </c>
      <c r="AC12448">
        <v>0</v>
      </c>
      <c r="AD12448">
        <v>1</v>
      </c>
      <c r="AE12448">
        <v>1</v>
      </c>
      <c r="AF12448">
        <v>1</v>
      </c>
      <c r="AG12448">
        <v>1</v>
      </c>
      <c r="AH12448">
        <v>1</v>
      </c>
      <c r="AI12448">
        <v>1</v>
      </c>
      <c r="AJ12448">
        <v>1</v>
      </c>
      <c r="AK12448">
        <v>1</v>
      </c>
      <c r="AL12448">
        <v>1</v>
      </c>
      <c r="AM12448">
        <v>1</v>
      </c>
    </row>
    <row r="12449" spans="1:39" x14ac:dyDescent="0.2">
      <c r="A12449" t="str">
        <f>"12445"</f>
        <v>12445</v>
      </c>
      <c r="B12449" t="str">
        <f t="shared" si="691"/>
        <v>1</v>
      </c>
      <c r="C12449" t="str">
        <f t="shared" si="692"/>
        <v>249</v>
      </c>
      <c r="D12449" t="str">
        <f>"12"</f>
        <v>12</v>
      </c>
      <c r="E12449" t="str">
        <f>"1-249-12"</f>
        <v>1-249-12</v>
      </c>
      <c r="F12449" t="s">
        <v>65</v>
      </c>
      <c r="G12449" t="s">
        <v>66</v>
      </c>
      <c r="H12449" t="s">
        <v>67</v>
      </c>
      <c r="S12449">
        <v>1</v>
      </c>
      <c r="T12449">
        <v>0</v>
      </c>
      <c r="U12449">
        <v>0</v>
      </c>
      <c r="V12449">
        <v>0</v>
      </c>
      <c r="W12449">
        <v>1</v>
      </c>
      <c r="X12449">
        <v>0</v>
      </c>
      <c r="Y12449">
        <v>0</v>
      </c>
      <c r="Z12449">
        <v>1</v>
      </c>
      <c r="AA12449">
        <v>1</v>
      </c>
      <c r="AB12449">
        <v>0</v>
      </c>
      <c r="AC12449">
        <v>0</v>
      </c>
      <c r="AD12449">
        <v>1</v>
      </c>
      <c r="AE12449">
        <v>0</v>
      </c>
      <c r="AF12449">
        <v>1</v>
      </c>
      <c r="AG12449">
        <v>1</v>
      </c>
      <c r="AH12449">
        <v>0</v>
      </c>
      <c r="AI12449">
        <v>0</v>
      </c>
      <c r="AJ12449">
        <v>0</v>
      </c>
      <c r="AK12449">
        <v>0</v>
      </c>
      <c r="AL12449">
        <v>0</v>
      </c>
      <c r="AM12449">
        <v>0</v>
      </c>
    </row>
    <row r="12450" spans="1:39" x14ac:dyDescent="0.2">
      <c r="A12450" t="str">
        <f>"12446"</f>
        <v>12446</v>
      </c>
      <c r="B12450" t="str">
        <f t="shared" si="691"/>
        <v>1</v>
      </c>
      <c r="C12450" t="str">
        <f t="shared" si="692"/>
        <v>249</v>
      </c>
      <c r="D12450" t="str">
        <f>"29"</f>
        <v>29</v>
      </c>
      <c r="E12450" t="str">
        <f>"1-249-29"</f>
        <v>1-249-29</v>
      </c>
      <c r="F12450" t="s">
        <v>65</v>
      </c>
      <c r="G12450" t="s">
        <v>66</v>
      </c>
      <c r="H12450" t="s">
        <v>67</v>
      </c>
      <c r="S12450">
        <v>0</v>
      </c>
      <c r="T12450">
        <v>1</v>
      </c>
      <c r="U12450">
        <v>0</v>
      </c>
      <c r="V12450">
        <v>0</v>
      </c>
      <c r="W12450">
        <v>0</v>
      </c>
      <c r="X12450">
        <v>1</v>
      </c>
      <c r="Y12450">
        <v>1</v>
      </c>
      <c r="Z12450">
        <v>0</v>
      </c>
      <c r="AA12450">
        <v>1</v>
      </c>
      <c r="AB12450">
        <v>0</v>
      </c>
      <c r="AC12450">
        <v>0</v>
      </c>
      <c r="AD12450">
        <v>1</v>
      </c>
      <c r="AE12450">
        <v>1</v>
      </c>
      <c r="AF12450">
        <v>1</v>
      </c>
      <c r="AG12450">
        <v>1</v>
      </c>
      <c r="AH12450">
        <v>0</v>
      </c>
      <c r="AI12450">
        <v>1</v>
      </c>
      <c r="AJ12450">
        <v>1</v>
      </c>
      <c r="AK12450">
        <v>1</v>
      </c>
      <c r="AL12450">
        <v>1</v>
      </c>
      <c r="AM12450">
        <v>1</v>
      </c>
    </row>
    <row r="12451" spans="1:39" x14ac:dyDescent="0.2">
      <c r="A12451" t="str">
        <f>"12447"</f>
        <v>12447</v>
      </c>
      <c r="B12451" t="str">
        <f t="shared" si="691"/>
        <v>1</v>
      </c>
      <c r="C12451" t="str">
        <f t="shared" si="692"/>
        <v>249</v>
      </c>
      <c r="D12451" t="str">
        <f>"14"</f>
        <v>14</v>
      </c>
      <c r="E12451" t="str">
        <f>"1-249-14"</f>
        <v>1-249-14</v>
      </c>
      <c r="F12451" t="s">
        <v>65</v>
      </c>
      <c r="G12451" t="s">
        <v>66</v>
      </c>
      <c r="H12451" t="s">
        <v>67</v>
      </c>
      <c r="S12451">
        <v>0</v>
      </c>
      <c r="T12451">
        <v>1</v>
      </c>
      <c r="U12451">
        <v>0</v>
      </c>
      <c r="V12451">
        <v>0</v>
      </c>
      <c r="W12451">
        <v>1</v>
      </c>
      <c r="X12451">
        <v>0</v>
      </c>
      <c r="Y12451">
        <v>0</v>
      </c>
      <c r="Z12451">
        <v>1</v>
      </c>
      <c r="AA12451">
        <v>1</v>
      </c>
      <c r="AB12451">
        <v>0</v>
      </c>
      <c r="AC12451">
        <v>0</v>
      </c>
      <c r="AD12451">
        <v>1</v>
      </c>
      <c r="AE12451">
        <v>1</v>
      </c>
      <c r="AF12451">
        <v>1</v>
      </c>
      <c r="AG12451">
        <v>1</v>
      </c>
      <c r="AH12451">
        <v>1</v>
      </c>
      <c r="AI12451">
        <v>1</v>
      </c>
      <c r="AJ12451">
        <v>1</v>
      </c>
      <c r="AK12451">
        <v>1</v>
      </c>
      <c r="AL12451">
        <v>1</v>
      </c>
      <c r="AM12451">
        <v>1</v>
      </c>
    </row>
    <row r="12452" spans="1:39" x14ac:dyDescent="0.2">
      <c r="A12452" t="str">
        <f>"12448"</f>
        <v>12448</v>
      </c>
      <c r="B12452" t="str">
        <f t="shared" si="691"/>
        <v>1</v>
      </c>
      <c r="C12452" t="str">
        <f t="shared" si="692"/>
        <v>249</v>
      </c>
      <c r="D12452" t="str">
        <f>"50"</f>
        <v>50</v>
      </c>
      <c r="E12452" t="str">
        <f>"1-249-50"</f>
        <v>1-249-50</v>
      </c>
      <c r="F12452" t="s">
        <v>65</v>
      </c>
      <c r="G12452" t="s">
        <v>66</v>
      </c>
      <c r="H12452" t="s">
        <v>67</v>
      </c>
      <c r="S12452">
        <v>1</v>
      </c>
      <c r="T12452">
        <v>0</v>
      </c>
      <c r="U12452">
        <v>0</v>
      </c>
      <c r="V12452">
        <v>0</v>
      </c>
      <c r="W12452">
        <v>1</v>
      </c>
      <c r="X12452">
        <v>0</v>
      </c>
      <c r="Y12452">
        <v>0</v>
      </c>
      <c r="Z12452">
        <v>1</v>
      </c>
      <c r="AA12452">
        <v>1</v>
      </c>
      <c r="AB12452">
        <v>0</v>
      </c>
      <c r="AC12452">
        <v>0</v>
      </c>
      <c r="AD12452">
        <v>1</v>
      </c>
      <c r="AE12452">
        <v>1</v>
      </c>
      <c r="AF12452">
        <v>1</v>
      </c>
      <c r="AG12452">
        <v>1</v>
      </c>
      <c r="AH12452">
        <v>1</v>
      </c>
      <c r="AI12452">
        <v>1</v>
      </c>
      <c r="AJ12452">
        <v>1</v>
      </c>
      <c r="AK12452">
        <v>1</v>
      </c>
      <c r="AL12452">
        <v>1</v>
      </c>
      <c r="AM12452">
        <v>1</v>
      </c>
    </row>
    <row r="12453" spans="1:39" x14ac:dyDescent="0.2">
      <c r="A12453" t="str">
        <f>"12449"</f>
        <v>12449</v>
      </c>
      <c r="B12453" t="str">
        <f t="shared" si="691"/>
        <v>1</v>
      </c>
      <c r="C12453" t="str">
        <f t="shared" si="692"/>
        <v>249</v>
      </c>
      <c r="D12453" t="str">
        <f>"30"</f>
        <v>30</v>
      </c>
      <c r="E12453" t="str">
        <f>"1-249-30"</f>
        <v>1-249-30</v>
      </c>
      <c r="F12453" t="s">
        <v>65</v>
      </c>
      <c r="G12453" t="s">
        <v>66</v>
      </c>
      <c r="H12453" t="s">
        <v>67</v>
      </c>
      <c r="S12453">
        <v>1</v>
      </c>
      <c r="T12453">
        <v>0</v>
      </c>
      <c r="U12453">
        <v>0</v>
      </c>
      <c r="V12453">
        <v>0</v>
      </c>
      <c r="W12453">
        <v>1</v>
      </c>
      <c r="X12453">
        <v>0</v>
      </c>
      <c r="Y12453">
        <v>1</v>
      </c>
      <c r="Z12453">
        <v>0</v>
      </c>
      <c r="AA12453">
        <v>1</v>
      </c>
      <c r="AB12453">
        <v>0</v>
      </c>
      <c r="AC12453">
        <v>0</v>
      </c>
      <c r="AD12453">
        <v>1</v>
      </c>
      <c r="AE12453">
        <v>1</v>
      </c>
      <c r="AF12453">
        <v>1</v>
      </c>
      <c r="AG12453">
        <v>1</v>
      </c>
      <c r="AH12453">
        <v>1</v>
      </c>
      <c r="AI12453">
        <v>1</v>
      </c>
      <c r="AJ12453">
        <v>1</v>
      </c>
      <c r="AK12453">
        <v>1</v>
      </c>
      <c r="AL12453">
        <v>1</v>
      </c>
      <c r="AM12453">
        <v>1</v>
      </c>
    </row>
    <row r="12454" spans="1:39" x14ac:dyDescent="0.2">
      <c r="A12454" t="str">
        <f>"12450"</f>
        <v>12450</v>
      </c>
      <c r="B12454" t="str">
        <f t="shared" si="691"/>
        <v>1</v>
      </c>
      <c r="C12454" t="str">
        <f t="shared" si="692"/>
        <v>249</v>
      </c>
      <c r="D12454" t="str">
        <f>"3"</f>
        <v>3</v>
      </c>
      <c r="E12454" t="str">
        <f>"1-249-3"</f>
        <v>1-249-3</v>
      </c>
      <c r="F12454" t="s">
        <v>65</v>
      </c>
      <c r="G12454" t="s">
        <v>66</v>
      </c>
      <c r="H12454" t="s">
        <v>67</v>
      </c>
      <c r="S12454">
        <v>1</v>
      </c>
      <c r="T12454">
        <v>0</v>
      </c>
      <c r="U12454">
        <v>0</v>
      </c>
      <c r="V12454">
        <v>0</v>
      </c>
      <c r="W12454">
        <v>1</v>
      </c>
      <c r="X12454">
        <v>0</v>
      </c>
      <c r="Y12454">
        <v>0</v>
      </c>
      <c r="Z12454">
        <v>0</v>
      </c>
      <c r="AA12454">
        <v>1</v>
      </c>
      <c r="AB12454">
        <v>0</v>
      </c>
      <c r="AC12454">
        <v>0</v>
      </c>
      <c r="AD12454">
        <v>0</v>
      </c>
      <c r="AE12454">
        <v>0</v>
      </c>
      <c r="AF12454">
        <v>0</v>
      </c>
      <c r="AG12454">
        <v>0</v>
      </c>
      <c r="AH12454">
        <v>0</v>
      </c>
      <c r="AI12454">
        <v>0</v>
      </c>
      <c r="AJ12454">
        <v>0</v>
      </c>
      <c r="AK12454">
        <v>0</v>
      </c>
      <c r="AL12454">
        <v>0</v>
      </c>
      <c r="AM12454">
        <v>0</v>
      </c>
    </row>
    <row r="12455" spans="1:39" x14ac:dyDescent="0.2">
      <c r="A12455" t="str">
        <f>"12451"</f>
        <v>12451</v>
      </c>
      <c r="B12455" t="str">
        <f t="shared" si="691"/>
        <v>1</v>
      </c>
      <c r="C12455" t="str">
        <f t="shared" ref="C12455:C12486" si="693">"250"</f>
        <v>250</v>
      </c>
      <c r="D12455" t="str">
        <f>"38"</f>
        <v>38</v>
      </c>
      <c r="E12455" t="str">
        <f>"1-250-38"</f>
        <v>1-250-38</v>
      </c>
      <c r="F12455" t="s">
        <v>65</v>
      </c>
      <c r="G12455" t="s">
        <v>66</v>
      </c>
      <c r="H12455" t="s">
        <v>67</v>
      </c>
      <c r="S12455">
        <v>1</v>
      </c>
      <c r="T12455">
        <v>0</v>
      </c>
      <c r="U12455">
        <v>0</v>
      </c>
      <c r="V12455">
        <v>0</v>
      </c>
      <c r="W12455">
        <v>1</v>
      </c>
      <c r="X12455">
        <v>0</v>
      </c>
      <c r="Y12455">
        <v>1</v>
      </c>
      <c r="Z12455">
        <v>0</v>
      </c>
      <c r="AA12455">
        <v>0</v>
      </c>
      <c r="AB12455">
        <v>0</v>
      </c>
      <c r="AC12455">
        <v>1</v>
      </c>
      <c r="AD12455">
        <v>1</v>
      </c>
      <c r="AE12455">
        <v>1</v>
      </c>
      <c r="AF12455">
        <v>1</v>
      </c>
      <c r="AG12455">
        <v>1</v>
      </c>
      <c r="AH12455">
        <v>1</v>
      </c>
      <c r="AI12455">
        <v>1</v>
      </c>
      <c r="AJ12455">
        <v>1</v>
      </c>
      <c r="AK12455">
        <v>1</v>
      </c>
      <c r="AL12455">
        <v>1</v>
      </c>
      <c r="AM12455">
        <v>1</v>
      </c>
    </row>
    <row r="12456" spans="1:39" x14ac:dyDescent="0.2">
      <c r="A12456" t="str">
        <f>"12452"</f>
        <v>12452</v>
      </c>
      <c r="B12456" t="str">
        <f t="shared" si="691"/>
        <v>1</v>
      </c>
      <c r="C12456" t="str">
        <f t="shared" si="693"/>
        <v>250</v>
      </c>
      <c r="D12456" t="str">
        <f>"37"</f>
        <v>37</v>
      </c>
      <c r="E12456" t="str">
        <f>"1-250-37"</f>
        <v>1-250-37</v>
      </c>
      <c r="F12456" t="s">
        <v>65</v>
      </c>
      <c r="G12456" t="s">
        <v>66</v>
      </c>
      <c r="H12456" t="s">
        <v>67</v>
      </c>
      <c r="S12456">
        <v>0</v>
      </c>
      <c r="T12456">
        <v>1</v>
      </c>
      <c r="U12456">
        <v>0</v>
      </c>
      <c r="V12456">
        <v>0</v>
      </c>
      <c r="W12456">
        <v>1</v>
      </c>
      <c r="X12456">
        <v>0</v>
      </c>
      <c r="Y12456">
        <v>1</v>
      </c>
      <c r="Z12456">
        <v>0</v>
      </c>
      <c r="AA12456">
        <v>1</v>
      </c>
      <c r="AB12456">
        <v>0</v>
      </c>
      <c r="AC12456">
        <v>0</v>
      </c>
      <c r="AD12456">
        <v>1</v>
      </c>
      <c r="AE12456">
        <v>1</v>
      </c>
      <c r="AF12456">
        <v>1</v>
      </c>
      <c r="AG12456">
        <v>0</v>
      </c>
      <c r="AH12456">
        <v>1</v>
      </c>
      <c r="AI12456">
        <v>1</v>
      </c>
      <c r="AJ12456">
        <v>1</v>
      </c>
      <c r="AK12456">
        <v>0</v>
      </c>
      <c r="AL12456">
        <v>0</v>
      </c>
      <c r="AM12456">
        <v>1</v>
      </c>
    </row>
    <row r="12457" spans="1:39" x14ac:dyDescent="0.2">
      <c r="A12457" t="str">
        <f>"12453"</f>
        <v>12453</v>
      </c>
      <c r="B12457" t="str">
        <f t="shared" si="691"/>
        <v>1</v>
      </c>
      <c r="C12457" t="str">
        <f t="shared" si="693"/>
        <v>250</v>
      </c>
      <c r="D12457" t="str">
        <f>"27"</f>
        <v>27</v>
      </c>
      <c r="E12457" t="str">
        <f>"1-250-27"</f>
        <v>1-250-27</v>
      </c>
      <c r="F12457" t="s">
        <v>65</v>
      </c>
      <c r="G12457" t="s">
        <v>66</v>
      </c>
      <c r="H12457" t="s">
        <v>67</v>
      </c>
      <c r="S12457">
        <v>1</v>
      </c>
      <c r="T12457">
        <v>0</v>
      </c>
      <c r="U12457">
        <v>0</v>
      </c>
      <c r="V12457">
        <v>0</v>
      </c>
      <c r="W12457">
        <v>1</v>
      </c>
      <c r="X12457">
        <v>0</v>
      </c>
      <c r="Y12457">
        <v>1</v>
      </c>
      <c r="Z12457">
        <v>0</v>
      </c>
      <c r="AA12457">
        <v>1</v>
      </c>
      <c r="AB12457">
        <v>0</v>
      </c>
      <c r="AC12457">
        <v>0</v>
      </c>
      <c r="AD12457">
        <v>0</v>
      </c>
      <c r="AE12457">
        <v>0</v>
      </c>
      <c r="AF12457">
        <v>0</v>
      </c>
      <c r="AG12457">
        <v>0</v>
      </c>
      <c r="AH12457">
        <v>0</v>
      </c>
      <c r="AI12457">
        <v>0</v>
      </c>
      <c r="AJ12457">
        <v>0</v>
      </c>
      <c r="AK12457">
        <v>0</v>
      </c>
      <c r="AL12457">
        <v>0</v>
      </c>
      <c r="AM12457">
        <v>0</v>
      </c>
    </row>
    <row r="12458" spans="1:39" x14ac:dyDescent="0.2">
      <c r="A12458" t="str">
        <f>"12454"</f>
        <v>12454</v>
      </c>
      <c r="B12458" t="str">
        <f t="shared" si="691"/>
        <v>1</v>
      </c>
      <c r="C12458" t="str">
        <f t="shared" si="693"/>
        <v>250</v>
      </c>
      <c r="D12458" t="str">
        <f>"15"</f>
        <v>15</v>
      </c>
      <c r="E12458" t="str">
        <f>"1-250-15"</f>
        <v>1-250-15</v>
      </c>
      <c r="F12458" t="s">
        <v>65</v>
      </c>
      <c r="G12458" t="s">
        <v>66</v>
      </c>
      <c r="H12458" t="s">
        <v>67</v>
      </c>
      <c r="S12458">
        <v>0</v>
      </c>
      <c r="T12458">
        <v>1</v>
      </c>
      <c r="U12458">
        <v>0</v>
      </c>
      <c r="V12458">
        <v>0</v>
      </c>
      <c r="W12458">
        <v>1</v>
      </c>
      <c r="X12458">
        <v>0</v>
      </c>
      <c r="Y12458">
        <v>0</v>
      </c>
      <c r="Z12458">
        <v>1</v>
      </c>
      <c r="AA12458">
        <v>0</v>
      </c>
      <c r="AB12458">
        <v>1</v>
      </c>
      <c r="AC12458">
        <v>0</v>
      </c>
      <c r="AD12458">
        <v>1</v>
      </c>
      <c r="AE12458">
        <v>1</v>
      </c>
      <c r="AF12458">
        <v>1</v>
      </c>
      <c r="AG12458">
        <v>1</v>
      </c>
      <c r="AH12458">
        <v>1</v>
      </c>
      <c r="AI12458">
        <v>1</v>
      </c>
      <c r="AJ12458">
        <v>1</v>
      </c>
      <c r="AK12458">
        <v>1</v>
      </c>
      <c r="AL12458">
        <v>1</v>
      </c>
      <c r="AM12458">
        <v>1</v>
      </c>
    </row>
    <row r="12459" spans="1:39" x14ac:dyDescent="0.2">
      <c r="A12459" t="str">
        <f>"12455"</f>
        <v>12455</v>
      </c>
      <c r="B12459" t="str">
        <f t="shared" si="691"/>
        <v>1</v>
      </c>
      <c r="C12459" t="str">
        <f t="shared" si="693"/>
        <v>250</v>
      </c>
      <c r="D12459" t="str">
        <f>"5"</f>
        <v>5</v>
      </c>
      <c r="E12459" t="str">
        <f>"1-250-5"</f>
        <v>1-250-5</v>
      </c>
      <c r="F12459" t="s">
        <v>65</v>
      </c>
      <c r="G12459" t="s">
        <v>66</v>
      </c>
      <c r="H12459" t="s">
        <v>68</v>
      </c>
      <c r="I12459">
        <v>1</v>
      </c>
      <c r="J12459">
        <v>1</v>
      </c>
      <c r="K12459">
        <v>0</v>
      </c>
      <c r="L12459">
        <v>0</v>
      </c>
      <c r="M12459">
        <v>1</v>
      </c>
      <c r="N12459">
        <v>1</v>
      </c>
      <c r="O12459">
        <v>1</v>
      </c>
      <c r="P12459">
        <v>1</v>
      </c>
      <c r="Q12459">
        <v>1</v>
      </c>
      <c r="R12459">
        <v>1</v>
      </c>
    </row>
    <row r="12460" spans="1:39" x14ac:dyDescent="0.2">
      <c r="A12460" t="str">
        <f>"12456"</f>
        <v>12456</v>
      </c>
      <c r="B12460" t="str">
        <f t="shared" si="691"/>
        <v>1</v>
      </c>
      <c r="C12460" t="str">
        <f t="shared" si="693"/>
        <v>250</v>
      </c>
      <c r="D12460" t="str">
        <f>"48"</f>
        <v>48</v>
      </c>
      <c r="E12460" t="str">
        <f>"1-250-48"</f>
        <v>1-250-48</v>
      </c>
      <c r="F12460" t="s">
        <v>65</v>
      </c>
      <c r="G12460" t="s">
        <v>66</v>
      </c>
      <c r="H12460" t="s">
        <v>67</v>
      </c>
      <c r="S12460">
        <v>0</v>
      </c>
      <c r="T12460">
        <v>1</v>
      </c>
      <c r="U12460">
        <v>0</v>
      </c>
      <c r="V12460">
        <v>0</v>
      </c>
      <c r="W12460">
        <v>1</v>
      </c>
      <c r="X12460">
        <v>0</v>
      </c>
      <c r="Y12460">
        <v>1</v>
      </c>
      <c r="Z12460">
        <v>0</v>
      </c>
      <c r="AA12460">
        <v>1</v>
      </c>
      <c r="AB12460">
        <v>0</v>
      </c>
      <c r="AC12460">
        <v>0</v>
      </c>
      <c r="AD12460">
        <v>1</v>
      </c>
      <c r="AE12460">
        <v>1</v>
      </c>
      <c r="AF12460">
        <v>1</v>
      </c>
      <c r="AG12460">
        <v>0</v>
      </c>
      <c r="AH12460">
        <v>1</v>
      </c>
      <c r="AI12460">
        <v>1</v>
      </c>
      <c r="AJ12460">
        <v>1</v>
      </c>
      <c r="AK12460">
        <v>0</v>
      </c>
      <c r="AL12460">
        <v>0</v>
      </c>
      <c r="AM12460">
        <v>1</v>
      </c>
    </row>
    <row r="12461" spans="1:39" x14ac:dyDescent="0.2">
      <c r="A12461" t="str">
        <f>"12457"</f>
        <v>12457</v>
      </c>
      <c r="B12461" t="str">
        <f t="shared" si="691"/>
        <v>1</v>
      </c>
      <c r="C12461" t="str">
        <f t="shared" si="693"/>
        <v>250</v>
      </c>
      <c r="D12461" t="str">
        <f>"33"</f>
        <v>33</v>
      </c>
      <c r="E12461" t="str">
        <f>"1-250-33"</f>
        <v>1-250-33</v>
      </c>
      <c r="F12461" t="s">
        <v>65</v>
      </c>
      <c r="G12461" t="s">
        <v>66</v>
      </c>
      <c r="H12461" t="s">
        <v>67</v>
      </c>
      <c r="S12461">
        <v>1</v>
      </c>
      <c r="T12461">
        <v>0</v>
      </c>
      <c r="U12461">
        <v>0</v>
      </c>
      <c r="V12461">
        <v>0</v>
      </c>
      <c r="W12461">
        <v>0</v>
      </c>
      <c r="X12461">
        <v>1</v>
      </c>
      <c r="Y12461">
        <v>1</v>
      </c>
      <c r="Z12461">
        <v>0</v>
      </c>
      <c r="AA12461">
        <v>0</v>
      </c>
      <c r="AB12461">
        <v>1</v>
      </c>
      <c r="AC12461">
        <v>0</v>
      </c>
      <c r="AD12461">
        <v>1</v>
      </c>
      <c r="AE12461">
        <v>1</v>
      </c>
      <c r="AF12461">
        <v>1</v>
      </c>
      <c r="AG12461">
        <v>1</v>
      </c>
      <c r="AH12461">
        <v>1</v>
      </c>
      <c r="AI12461">
        <v>1</v>
      </c>
      <c r="AJ12461">
        <v>1</v>
      </c>
      <c r="AK12461">
        <v>1</v>
      </c>
      <c r="AL12461">
        <v>1</v>
      </c>
      <c r="AM12461">
        <v>1</v>
      </c>
    </row>
    <row r="12462" spans="1:39" x14ac:dyDescent="0.2">
      <c r="A12462" t="str">
        <f>"12458"</f>
        <v>12458</v>
      </c>
      <c r="B12462" t="str">
        <f t="shared" si="691"/>
        <v>1</v>
      </c>
      <c r="C12462" t="str">
        <f t="shared" si="693"/>
        <v>250</v>
      </c>
      <c r="D12462" t="str">
        <f>"32"</f>
        <v>32</v>
      </c>
      <c r="E12462" t="str">
        <f>"1-250-32"</f>
        <v>1-250-32</v>
      </c>
      <c r="F12462" t="s">
        <v>65</v>
      </c>
      <c r="G12462" t="s">
        <v>66</v>
      </c>
      <c r="H12462" t="s">
        <v>67</v>
      </c>
      <c r="S12462">
        <v>0</v>
      </c>
      <c r="T12462">
        <v>0</v>
      </c>
      <c r="U12462">
        <v>0</v>
      </c>
      <c r="V12462">
        <v>0</v>
      </c>
      <c r="W12462">
        <v>0</v>
      </c>
      <c r="X12462">
        <v>1</v>
      </c>
      <c r="Y12462">
        <v>0</v>
      </c>
      <c r="Z12462">
        <v>0</v>
      </c>
      <c r="AA12462">
        <v>0</v>
      </c>
      <c r="AB12462">
        <v>0</v>
      </c>
      <c r="AC12462">
        <v>0</v>
      </c>
      <c r="AD12462">
        <v>1</v>
      </c>
      <c r="AE12462">
        <v>1</v>
      </c>
      <c r="AF12462">
        <v>1</v>
      </c>
      <c r="AG12462">
        <v>1</v>
      </c>
      <c r="AH12462">
        <v>1</v>
      </c>
      <c r="AI12462">
        <v>1</v>
      </c>
      <c r="AJ12462">
        <v>1</v>
      </c>
      <c r="AK12462">
        <v>1</v>
      </c>
      <c r="AL12462">
        <v>1</v>
      </c>
      <c r="AM12462">
        <v>1</v>
      </c>
    </row>
    <row r="12463" spans="1:39" x14ac:dyDescent="0.2">
      <c r="A12463" t="str">
        <f>"12459"</f>
        <v>12459</v>
      </c>
      <c r="B12463" t="str">
        <f t="shared" si="691"/>
        <v>1</v>
      </c>
      <c r="C12463" t="str">
        <f t="shared" si="693"/>
        <v>250</v>
      </c>
      <c r="D12463" t="str">
        <f>"29"</f>
        <v>29</v>
      </c>
      <c r="E12463" t="str">
        <f>"1-250-29"</f>
        <v>1-250-29</v>
      </c>
      <c r="F12463" t="s">
        <v>65</v>
      </c>
      <c r="G12463" t="s">
        <v>66</v>
      </c>
      <c r="H12463" t="s">
        <v>67</v>
      </c>
      <c r="S12463">
        <v>0</v>
      </c>
      <c r="T12463">
        <v>1</v>
      </c>
      <c r="U12463">
        <v>0</v>
      </c>
      <c r="V12463">
        <v>0</v>
      </c>
      <c r="W12463">
        <v>1</v>
      </c>
      <c r="X12463">
        <v>0</v>
      </c>
      <c r="Y12463">
        <v>1</v>
      </c>
      <c r="Z12463">
        <v>0</v>
      </c>
      <c r="AA12463">
        <v>1</v>
      </c>
      <c r="AB12463">
        <v>0</v>
      </c>
      <c r="AC12463">
        <v>0</v>
      </c>
      <c r="AD12463">
        <v>0</v>
      </c>
      <c r="AE12463">
        <v>0</v>
      </c>
      <c r="AF12463">
        <v>0</v>
      </c>
      <c r="AG12463">
        <v>0</v>
      </c>
      <c r="AH12463">
        <v>0</v>
      </c>
      <c r="AI12463">
        <v>0</v>
      </c>
      <c r="AJ12463">
        <v>0</v>
      </c>
      <c r="AK12463">
        <v>0</v>
      </c>
      <c r="AL12463">
        <v>0</v>
      </c>
      <c r="AM12463">
        <v>0</v>
      </c>
    </row>
    <row r="12464" spans="1:39" x14ac:dyDescent="0.2">
      <c r="A12464" t="str">
        <f>"12460"</f>
        <v>12460</v>
      </c>
      <c r="B12464" t="str">
        <f t="shared" si="691"/>
        <v>1</v>
      </c>
      <c r="C12464" t="str">
        <f t="shared" si="693"/>
        <v>250</v>
      </c>
      <c r="D12464" t="str">
        <f>"16"</f>
        <v>16</v>
      </c>
      <c r="E12464" t="str">
        <f>"1-250-16"</f>
        <v>1-250-16</v>
      </c>
      <c r="F12464" t="s">
        <v>65</v>
      </c>
      <c r="G12464" t="s">
        <v>66</v>
      </c>
      <c r="H12464" t="s">
        <v>67</v>
      </c>
      <c r="S12464">
        <v>1</v>
      </c>
      <c r="T12464">
        <v>0</v>
      </c>
      <c r="U12464">
        <v>0</v>
      </c>
      <c r="V12464">
        <v>0</v>
      </c>
      <c r="W12464">
        <v>1</v>
      </c>
      <c r="X12464">
        <v>0</v>
      </c>
      <c r="Y12464">
        <v>0</v>
      </c>
      <c r="Z12464">
        <v>1</v>
      </c>
      <c r="AA12464">
        <v>0</v>
      </c>
      <c r="AB12464">
        <v>1</v>
      </c>
      <c r="AC12464">
        <v>0</v>
      </c>
      <c r="AD12464">
        <v>1</v>
      </c>
      <c r="AE12464">
        <v>1</v>
      </c>
      <c r="AF12464">
        <v>1</v>
      </c>
      <c r="AG12464">
        <v>1</v>
      </c>
      <c r="AH12464">
        <v>1</v>
      </c>
      <c r="AI12464">
        <v>1</v>
      </c>
      <c r="AJ12464">
        <v>1</v>
      </c>
      <c r="AK12464">
        <v>1</v>
      </c>
      <c r="AL12464">
        <v>1</v>
      </c>
      <c r="AM12464">
        <v>1</v>
      </c>
    </row>
    <row r="12465" spans="1:39" x14ac:dyDescent="0.2">
      <c r="A12465" t="str">
        <f>"12461"</f>
        <v>12461</v>
      </c>
      <c r="B12465" t="str">
        <f t="shared" si="691"/>
        <v>1</v>
      </c>
      <c r="C12465" t="str">
        <f t="shared" si="693"/>
        <v>250</v>
      </c>
      <c r="D12465" t="str">
        <f>"13"</f>
        <v>13</v>
      </c>
      <c r="E12465" t="str">
        <f>"1-250-13"</f>
        <v>1-250-13</v>
      </c>
      <c r="F12465" t="s">
        <v>65</v>
      </c>
      <c r="G12465" t="s">
        <v>66</v>
      </c>
      <c r="H12465" t="s">
        <v>67</v>
      </c>
      <c r="S12465">
        <v>0</v>
      </c>
      <c r="T12465">
        <v>1</v>
      </c>
      <c r="U12465">
        <v>0</v>
      </c>
      <c r="V12465">
        <v>0</v>
      </c>
      <c r="W12465">
        <v>1</v>
      </c>
      <c r="X12465">
        <v>0</v>
      </c>
      <c r="Y12465">
        <v>0</v>
      </c>
      <c r="Z12465">
        <v>1</v>
      </c>
      <c r="AA12465">
        <v>0</v>
      </c>
      <c r="AB12465">
        <v>1</v>
      </c>
      <c r="AC12465">
        <v>0</v>
      </c>
      <c r="AD12465">
        <v>1</v>
      </c>
      <c r="AE12465">
        <v>1</v>
      </c>
      <c r="AF12465">
        <v>1</v>
      </c>
      <c r="AG12465">
        <v>1</v>
      </c>
      <c r="AH12465">
        <v>1</v>
      </c>
      <c r="AI12465">
        <v>1</v>
      </c>
      <c r="AJ12465">
        <v>1</v>
      </c>
      <c r="AK12465">
        <v>1</v>
      </c>
      <c r="AL12465">
        <v>1</v>
      </c>
      <c r="AM12465">
        <v>1</v>
      </c>
    </row>
    <row r="12466" spans="1:39" x14ac:dyDescent="0.2">
      <c r="A12466" t="str">
        <f>"12462"</f>
        <v>12462</v>
      </c>
      <c r="B12466" t="str">
        <f t="shared" si="691"/>
        <v>1</v>
      </c>
      <c r="C12466" t="str">
        <f t="shared" si="693"/>
        <v>250</v>
      </c>
      <c r="D12466" t="str">
        <f>"42"</f>
        <v>42</v>
      </c>
      <c r="E12466" t="str">
        <f>"1-250-42"</f>
        <v>1-250-42</v>
      </c>
      <c r="F12466" t="s">
        <v>65</v>
      </c>
      <c r="G12466" t="s">
        <v>66</v>
      </c>
      <c r="H12466" t="s">
        <v>67</v>
      </c>
      <c r="S12466">
        <v>0</v>
      </c>
      <c r="T12466">
        <v>0</v>
      </c>
      <c r="U12466">
        <v>0</v>
      </c>
      <c r="V12466">
        <v>0</v>
      </c>
      <c r="W12466">
        <v>1</v>
      </c>
      <c r="X12466">
        <v>0</v>
      </c>
      <c r="Y12466">
        <v>0</v>
      </c>
      <c r="Z12466">
        <v>0</v>
      </c>
      <c r="AA12466">
        <v>0</v>
      </c>
      <c r="AB12466">
        <v>0</v>
      </c>
      <c r="AC12466">
        <v>0</v>
      </c>
      <c r="AD12466">
        <v>0</v>
      </c>
      <c r="AE12466">
        <v>0</v>
      </c>
      <c r="AF12466">
        <v>0</v>
      </c>
      <c r="AG12466">
        <v>0</v>
      </c>
      <c r="AH12466">
        <v>1</v>
      </c>
      <c r="AI12466">
        <v>0</v>
      </c>
      <c r="AJ12466">
        <v>0</v>
      </c>
      <c r="AK12466">
        <v>0</v>
      </c>
      <c r="AL12466">
        <v>1</v>
      </c>
      <c r="AM12466">
        <v>0</v>
      </c>
    </row>
    <row r="12467" spans="1:39" x14ac:dyDescent="0.2">
      <c r="A12467" t="str">
        <f>"12463"</f>
        <v>12463</v>
      </c>
      <c r="B12467" t="str">
        <f t="shared" si="691"/>
        <v>1</v>
      </c>
      <c r="C12467" t="str">
        <f t="shared" si="693"/>
        <v>250</v>
      </c>
      <c r="D12467" t="str">
        <f>"41"</f>
        <v>41</v>
      </c>
      <c r="E12467" t="str">
        <f>"1-250-41"</f>
        <v>1-250-41</v>
      </c>
      <c r="F12467" t="s">
        <v>65</v>
      </c>
      <c r="G12467" t="s">
        <v>66</v>
      </c>
      <c r="H12467" t="s">
        <v>67</v>
      </c>
      <c r="S12467">
        <v>0</v>
      </c>
      <c r="T12467">
        <v>1</v>
      </c>
      <c r="U12467">
        <v>0</v>
      </c>
      <c r="V12467">
        <v>0</v>
      </c>
      <c r="W12467">
        <v>1</v>
      </c>
      <c r="X12467">
        <v>0</v>
      </c>
      <c r="Y12467">
        <v>0</v>
      </c>
      <c r="Z12467">
        <v>1</v>
      </c>
      <c r="AA12467">
        <v>1</v>
      </c>
      <c r="AB12467">
        <v>0</v>
      </c>
      <c r="AC12467">
        <v>0</v>
      </c>
      <c r="AD12467">
        <v>0</v>
      </c>
      <c r="AE12467">
        <v>0</v>
      </c>
      <c r="AF12467">
        <v>0</v>
      </c>
      <c r="AG12467">
        <v>1</v>
      </c>
      <c r="AH12467">
        <v>0</v>
      </c>
      <c r="AI12467">
        <v>1</v>
      </c>
      <c r="AJ12467">
        <v>1</v>
      </c>
      <c r="AK12467">
        <v>1</v>
      </c>
      <c r="AL12467">
        <v>1</v>
      </c>
      <c r="AM12467">
        <v>1</v>
      </c>
    </row>
    <row r="12468" spans="1:39" x14ac:dyDescent="0.2">
      <c r="A12468" t="str">
        <f>"12464"</f>
        <v>12464</v>
      </c>
      <c r="B12468" t="str">
        <f t="shared" si="691"/>
        <v>1</v>
      </c>
      <c r="C12468" t="str">
        <f t="shared" si="693"/>
        <v>250</v>
      </c>
      <c r="D12468" t="str">
        <f>"30"</f>
        <v>30</v>
      </c>
      <c r="E12468" t="str">
        <f>"1-250-30"</f>
        <v>1-250-30</v>
      </c>
      <c r="F12468" t="s">
        <v>65</v>
      </c>
      <c r="G12468" t="s">
        <v>66</v>
      </c>
      <c r="H12468" t="s">
        <v>67</v>
      </c>
      <c r="S12468">
        <v>1</v>
      </c>
      <c r="T12468">
        <v>0</v>
      </c>
      <c r="U12468">
        <v>0</v>
      </c>
      <c r="V12468">
        <v>0</v>
      </c>
      <c r="W12468">
        <v>0</v>
      </c>
      <c r="X12468">
        <v>1</v>
      </c>
      <c r="Y12468">
        <v>1</v>
      </c>
      <c r="Z12468">
        <v>0</v>
      </c>
      <c r="AA12468">
        <v>0</v>
      </c>
      <c r="AB12468">
        <v>0</v>
      </c>
      <c r="AC12468">
        <v>1</v>
      </c>
      <c r="AD12468">
        <v>0</v>
      </c>
      <c r="AE12468">
        <v>0</v>
      </c>
      <c r="AF12468">
        <v>0</v>
      </c>
      <c r="AG12468">
        <v>0</v>
      </c>
      <c r="AH12468">
        <v>0</v>
      </c>
      <c r="AI12468">
        <v>0</v>
      </c>
      <c r="AJ12468">
        <v>0</v>
      </c>
      <c r="AK12468">
        <v>0</v>
      </c>
      <c r="AL12468">
        <v>0</v>
      </c>
      <c r="AM12468">
        <v>0</v>
      </c>
    </row>
    <row r="12469" spans="1:39" x14ac:dyDescent="0.2">
      <c r="A12469" t="str">
        <f>"12465"</f>
        <v>12465</v>
      </c>
      <c r="B12469" t="str">
        <f t="shared" si="691"/>
        <v>1</v>
      </c>
      <c r="C12469" t="str">
        <f t="shared" si="693"/>
        <v>250</v>
      </c>
      <c r="D12469" t="str">
        <f>"17"</f>
        <v>17</v>
      </c>
      <c r="E12469" t="str">
        <f>"1-250-17"</f>
        <v>1-250-17</v>
      </c>
      <c r="F12469" t="s">
        <v>65</v>
      </c>
      <c r="G12469" t="s">
        <v>66</v>
      </c>
      <c r="H12469" t="s">
        <v>67</v>
      </c>
      <c r="S12469">
        <v>1</v>
      </c>
      <c r="T12469">
        <v>0</v>
      </c>
      <c r="U12469">
        <v>0</v>
      </c>
      <c r="V12469">
        <v>0</v>
      </c>
      <c r="W12469">
        <v>1</v>
      </c>
      <c r="X12469">
        <v>0</v>
      </c>
      <c r="Y12469">
        <v>1</v>
      </c>
      <c r="Z12469">
        <v>0</v>
      </c>
      <c r="AA12469">
        <v>0</v>
      </c>
      <c r="AB12469">
        <v>0</v>
      </c>
      <c r="AC12469">
        <v>0</v>
      </c>
      <c r="AD12469">
        <v>1</v>
      </c>
      <c r="AE12469">
        <v>1</v>
      </c>
      <c r="AF12469">
        <v>1</v>
      </c>
      <c r="AG12469">
        <v>1</v>
      </c>
      <c r="AH12469">
        <v>1</v>
      </c>
      <c r="AI12469">
        <v>1</v>
      </c>
      <c r="AJ12469">
        <v>1</v>
      </c>
      <c r="AK12469">
        <v>1</v>
      </c>
      <c r="AL12469">
        <v>1</v>
      </c>
      <c r="AM12469">
        <v>1</v>
      </c>
    </row>
    <row r="12470" spans="1:39" x14ac:dyDescent="0.2">
      <c r="A12470" t="str">
        <f>"12466"</f>
        <v>12466</v>
      </c>
      <c r="B12470" t="str">
        <f t="shared" si="691"/>
        <v>1</v>
      </c>
      <c r="C12470" t="str">
        <f t="shared" si="693"/>
        <v>250</v>
      </c>
      <c r="D12470" t="str">
        <f>"2"</f>
        <v>2</v>
      </c>
      <c r="E12470" t="str">
        <f>"1-250-2"</f>
        <v>1-250-2</v>
      </c>
      <c r="F12470" t="s">
        <v>65</v>
      </c>
      <c r="G12470" t="s">
        <v>66</v>
      </c>
      <c r="H12470" t="s">
        <v>68</v>
      </c>
      <c r="I12470">
        <v>1</v>
      </c>
      <c r="J12470">
        <v>0</v>
      </c>
      <c r="K12470">
        <v>0</v>
      </c>
      <c r="L12470">
        <v>1</v>
      </c>
      <c r="M12470">
        <v>1</v>
      </c>
      <c r="N12470">
        <v>1</v>
      </c>
      <c r="O12470">
        <v>1</v>
      </c>
      <c r="P12470">
        <v>1</v>
      </c>
      <c r="Q12470">
        <v>1</v>
      </c>
      <c r="R12470">
        <v>1</v>
      </c>
    </row>
    <row r="12471" spans="1:39" x14ac:dyDescent="0.2">
      <c r="A12471" t="str">
        <f>"12467"</f>
        <v>12467</v>
      </c>
      <c r="B12471" t="str">
        <f t="shared" ref="B12471:B12534" si="694">"1"</f>
        <v>1</v>
      </c>
      <c r="C12471" t="str">
        <f t="shared" si="693"/>
        <v>250</v>
      </c>
      <c r="D12471" t="str">
        <f>"34"</f>
        <v>34</v>
      </c>
      <c r="E12471" t="str">
        <f>"1-250-34"</f>
        <v>1-250-34</v>
      </c>
      <c r="F12471" t="s">
        <v>65</v>
      </c>
      <c r="G12471" t="s">
        <v>66</v>
      </c>
      <c r="H12471" t="s">
        <v>67</v>
      </c>
      <c r="S12471">
        <v>1</v>
      </c>
      <c r="T12471">
        <v>0</v>
      </c>
      <c r="U12471">
        <v>0</v>
      </c>
      <c r="V12471">
        <v>0</v>
      </c>
      <c r="W12471">
        <v>0</v>
      </c>
      <c r="X12471">
        <v>1</v>
      </c>
      <c r="Y12471">
        <v>1</v>
      </c>
      <c r="Z12471">
        <v>0</v>
      </c>
      <c r="AA12471">
        <v>0</v>
      </c>
      <c r="AB12471">
        <v>1</v>
      </c>
      <c r="AC12471">
        <v>0</v>
      </c>
      <c r="AD12471">
        <v>1</v>
      </c>
      <c r="AE12471">
        <v>1</v>
      </c>
      <c r="AF12471">
        <v>1</v>
      </c>
      <c r="AG12471">
        <v>1</v>
      </c>
      <c r="AH12471">
        <v>1</v>
      </c>
      <c r="AI12471">
        <v>1</v>
      </c>
      <c r="AJ12471">
        <v>1</v>
      </c>
      <c r="AK12471">
        <v>1</v>
      </c>
      <c r="AL12471">
        <v>1</v>
      </c>
      <c r="AM12471">
        <v>1</v>
      </c>
    </row>
    <row r="12472" spans="1:39" x14ac:dyDescent="0.2">
      <c r="A12472" t="str">
        <f>"12468"</f>
        <v>12468</v>
      </c>
      <c r="B12472" t="str">
        <f t="shared" si="694"/>
        <v>1</v>
      </c>
      <c r="C12472" t="str">
        <f t="shared" si="693"/>
        <v>250</v>
      </c>
      <c r="D12472" t="str">
        <f>"18"</f>
        <v>18</v>
      </c>
      <c r="E12472" t="str">
        <f>"1-250-18"</f>
        <v>1-250-18</v>
      </c>
      <c r="F12472" t="s">
        <v>65</v>
      </c>
      <c r="G12472" t="s">
        <v>66</v>
      </c>
      <c r="H12472" t="s">
        <v>67</v>
      </c>
      <c r="S12472">
        <v>1</v>
      </c>
      <c r="T12472">
        <v>0</v>
      </c>
      <c r="U12472">
        <v>0</v>
      </c>
      <c r="V12472">
        <v>0</v>
      </c>
      <c r="W12472">
        <v>1</v>
      </c>
      <c r="X12472">
        <v>0</v>
      </c>
      <c r="Y12472">
        <v>1</v>
      </c>
      <c r="Z12472">
        <v>0</v>
      </c>
      <c r="AA12472">
        <v>0</v>
      </c>
      <c r="AB12472">
        <v>1</v>
      </c>
      <c r="AC12472">
        <v>0</v>
      </c>
      <c r="AD12472">
        <v>0</v>
      </c>
      <c r="AE12472">
        <v>0</v>
      </c>
      <c r="AF12472">
        <v>0</v>
      </c>
      <c r="AG12472">
        <v>1</v>
      </c>
      <c r="AH12472">
        <v>0</v>
      </c>
      <c r="AI12472">
        <v>0</v>
      </c>
      <c r="AJ12472">
        <v>0</v>
      </c>
      <c r="AK12472">
        <v>0</v>
      </c>
      <c r="AL12472">
        <v>0</v>
      </c>
      <c r="AM12472">
        <v>0</v>
      </c>
    </row>
    <row r="12473" spans="1:39" x14ac:dyDescent="0.2">
      <c r="A12473" t="str">
        <f>"12469"</f>
        <v>12469</v>
      </c>
      <c r="B12473" t="str">
        <f t="shared" si="694"/>
        <v>1</v>
      </c>
      <c r="C12473" t="str">
        <f t="shared" si="693"/>
        <v>250</v>
      </c>
      <c r="D12473" t="str">
        <f>"14"</f>
        <v>14</v>
      </c>
      <c r="E12473" t="str">
        <f>"1-250-14"</f>
        <v>1-250-14</v>
      </c>
      <c r="F12473" t="s">
        <v>65</v>
      </c>
      <c r="G12473" t="s">
        <v>66</v>
      </c>
      <c r="H12473" t="s">
        <v>67</v>
      </c>
      <c r="S12473">
        <v>1</v>
      </c>
      <c r="T12473">
        <v>0</v>
      </c>
      <c r="U12473">
        <v>0</v>
      </c>
      <c r="V12473">
        <v>0</v>
      </c>
      <c r="W12473">
        <v>1</v>
      </c>
      <c r="X12473">
        <v>0</v>
      </c>
      <c r="Y12473">
        <v>1</v>
      </c>
      <c r="Z12473">
        <v>0</v>
      </c>
      <c r="AA12473">
        <v>1</v>
      </c>
      <c r="AB12473">
        <v>0</v>
      </c>
      <c r="AC12473">
        <v>0</v>
      </c>
      <c r="AD12473">
        <v>1</v>
      </c>
      <c r="AE12473">
        <v>1</v>
      </c>
      <c r="AF12473">
        <v>1</v>
      </c>
      <c r="AG12473">
        <v>1</v>
      </c>
      <c r="AH12473">
        <v>1</v>
      </c>
      <c r="AI12473">
        <v>1</v>
      </c>
      <c r="AJ12473">
        <v>1</v>
      </c>
      <c r="AK12473">
        <v>1</v>
      </c>
      <c r="AL12473">
        <v>1</v>
      </c>
      <c r="AM12473">
        <v>1</v>
      </c>
    </row>
    <row r="12474" spans="1:39" x14ac:dyDescent="0.2">
      <c r="A12474" t="str">
        <f>"12470"</f>
        <v>12470</v>
      </c>
      <c r="B12474" t="str">
        <f t="shared" si="694"/>
        <v>1</v>
      </c>
      <c r="C12474" t="str">
        <f t="shared" si="693"/>
        <v>250</v>
      </c>
      <c r="D12474" t="str">
        <f>"36"</f>
        <v>36</v>
      </c>
      <c r="E12474" t="str">
        <f>"1-250-36"</f>
        <v>1-250-36</v>
      </c>
      <c r="F12474" t="s">
        <v>65</v>
      </c>
      <c r="G12474" t="s">
        <v>66</v>
      </c>
      <c r="H12474" t="s">
        <v>67</v>
      </c>
      <c r="S12474">
        <v>1</v>
      </c>
      <c r="T12474">
        <v>0</v>
      </c>
      <c r="U12474">
        <v>0</v>
      </c>
      <c r="V12474">
        <v>0</v>
      </c>
      <c r="W12474">
        <v>1</v>
      </c>
      <c r="X12474">
        <v>0</v>
      </c>
      <c r="Y12474">
        <v>0</v>
      </c>
      <c r="Z12474">
        <v>1</v>
      </c>
      <c r="AA12474">
        <v>0</v>
      </c>
      <c r="AB12474">
        <v>0</v>
      </c>
      <c r="AC12474">
        <v>1</v>
      </c>
      <c r="AD12474">
        <v>0</v>
      </c>
      <c r="AE12474">
        <v>0</v>
      </c>
      <c r="AF12474">
        <v>0</v>
      </c>
      <c r="AG12474">
        <v>1</v>
      </c>
      <c r="AH12474">
        <v>1</v>
      </c>
      <c r="AI12474">
        <v>1</v>
      </c>
      <c r="AJ12474">
        <v>1</v>
      </c>
      <c r="AK12474">
        <v>1</v>
      </c>
      <c r="AL12474">
        <v>1</v>
      </c>
      <c r="AM12474">
        <v>0</v>
      </c>
    </row>
    <row r="12475" spans="1:39" x14ac:dyDescent="0.2">
      <c r="A12475" t="str">
        <f>"12471"</f>
        <v>12471</v>
      </c>
      <c r="B12475" t="str">
        <f t="shared" si="694"/>
        <v>1</v>
      </c>
      <c r="C12475" t="str">
        <f t="shared" si="693"/>
        <v>250</v>
      </c>
      <c r="D12475" t="str">
        <f>"19"</f>
        <v>19</v>
      </c>
      <c r="E12475" t="str">
        <f>"1-250-19"</f>
        <v>1-250-19</v>
      </c>
      <c r="F12475" t="s">
        <v>65</v>
      </c>
      <c r="G12475" t="s">
        <v>66</v>
      </c>
      <c r="H12475" t="s">
        <v>67</v>
      </c>
      <c r="S12475">
        <v>0</v>
      </c>
      <c r="T12475">
        <v>1</v>
      </c>
      <c r="U12475">
        <v>0</v>
      </c>
      <c r="V12475">
        <v>0</v>
      </c>
      <c r="W12475">
        <v>1</v>
      </c>
      <c r="X12475">
        <v>0</v>
      </c>
      <c r="Y12475">
        <v>1</v>
      </c>
      <c r="Z12475">
        <v>0</v>
      </c>
      <c r="AA12475">
        <v>0</v>
      </c>
      <c r="AB12475">
        <v>0</v>
      </c>
      <c r="AC12475">
        <v>0</v>
      </c>
      <c r="AD12475">
        <v>0</v>
      </c>
      <c r="AE12475">
        <v>0</v>
      </c>
      <c r="AF12475">
        <v>0</v>
      </c>
      <c r="AG12475">
        <v>1</v>
      </c>
      <c r="AH12475">
        <v>1</v>
      </c>
      <c r="AI12475">
        <v>1</v>
      </c>
      <c r="AJ12475">
        <v>1</v>
      </c>
      <c r="AK12475">
        <v>0</v>
      </c>
      <c r="AL12475">
        <v>1</v>
      </c>
      <c r="AM12475">
        <v>1</v>
      </c>
    </row>
    <row r="12476" spans="1:39" x14ac:dyDescent="0.2">
      <c r="A12476" t="str">
        <f>"12472"</f>
        <v>12472</v>
      </c>
      <c r="B12476" t="str">
        <f t="shared" si="694"/>
        <v>1</v>
      </c>
      <c r="C12476" t="str">
        <f t="shared" si="693"/>
        <v>250</v>
      </c>
      <c r="D12476" t="str">
        <f>"10"</f>
        <v>10</v>
      </c>
      <c r="E12476" t="str">
        <f>"1-250-10"</f>
        <v>1-250-10</v>
      </c>
      <c r="F12476" t="s">
        <v>65</v>
      </c>
      <c r="G12476" t="s">
        <v>66</v>
      </c>
      <c r="H12476" t="s">
        <v>67</v>
      </c>
      <c r="S12476">
        <v>1</v>
      </c>
      <c r="T12476">
        <v>0</v>
      </c>
      <c r="U12476">
        <v>0</v>
      </c>
      <c r="V12476">
        <v>0</v>
      </c>
      <c r="W12476">
        <v>1</v>
      </c>
      <c r="X12476">
        <v>0</v>
      </c>
      <c r="Y12476">
        <v>0</v>
      </c>
      <c r="Z12476">
        <v>1</v>
      </c>
      <c r="AA12476">
        <v>0</v>
      </c>
      <c r="AB12476">
        <v>1</v>
      </c>
      <c r="AC12476">
        <v>0</v>
      </c>
      <c r="AD12476">
        <v>1</v>
      </c>
      <c r="AE12476">
        <v>1</v>
      </c>
      <c r="AF12476">
        <v>1</v>
      </c>
      <c r="AG12476">
        <v>1</v>
      </c>
      <c r="AH12476">
        <v>1</v>
      </c>
      <c r="AI12476">
        <v>1</v>
      </c>
      <c r="AJ12476">
        <v>1</v>
      </c>
      <c r="AK12476">
        <v>1</v>
      </c>
      <c r="AL12476">
        <v>1</v>
      </c>
      <c r="AM12476">
        <v>1</v>
      </c>
    </row>
    <row r="12477" spans="1:39" x14ac:dyDescent="0.2">
      <c r="A12477" t="str">
        <f>"12473"</f>
        <v>12473</v>
      </c>
      <c r="B12477" t="str">
        <f t="shared" si="694"/>
        <v>1</v>
      </c>
      <c r="C12477" t="str">
        <f t="shared" si="693"/>
        <v>250</v>
      </c>
      <c r="D12477" t="str">
        <f>"35"</f>
        <v>35</v>
      </c>
      <c r="E12477" t="str">
        <f>"1-250-35"</f>
        <v>1-250-35</v>
      </c>
      <c r="F12477" t="s">
        <v>65</v>
      </c>
      <c r="G12477" t="s">
        <v>66</v>
      </c>
      <c r="H12477" t="s">
        <v>67</v>
      </c>
      <c r="S12477">
        <v>1</v>
      </c>
      <c r="T12477">
        <v>0</v>
      </c>
      <c r="U12477">
        <v>0</v>
      </c>
      <c r="V12477">
        <v>0</v>
      </c>
      <c r="W12477">
        <v>1</v>
      </c>
      <c r="X12477">
        <v>0</v>
      </c>
      <c r="Y12477">
        <v>0</v>
      </c>
      <c r="Z12477">
        <v>1</v>
      </c>
      <c r="AA12477">
        <v>1</v>
      </c>
      <c r="AB12477">
        <v>0</v>
      </c>
      <c r="AC12477">
        <v>0</v>
      </c>
      <c r="AD12477">
        <v>1</v>
      </c>
      <c r="AE12477">
        <v>1</v>
      </c>
      <c r="AF12477">
        <v>1</v>
      </c>
      <c r="AG12477">
        <v>1</v>
      </c>
      <c r="AH12477">
        <v>1</v>
      </c>
      <c r="AI12477">
        <v>1</v>
      </c>
      <c r="AJ12477">
        <v>1</v>
      </c>
      <c r="AK12477">
        <v>1</v>
      </c>
      <c r="AL12477">
        <v>1</v>
      </c>
      <c r="AM12477">
        <v>1</v>
      </c>
    </row>
    <row r="12478" spans="1:39" x14ac:dyDescent="0.2">
      <c r="A12478" t="str">
        <f>"12474"</f>
        <v>12474</v>
      </c>
      <c r="B12478" t="str">
        <f t="shared" si="694"/>
        <v>1</v>
      </c>
      <c r="C12478" t="str">
        <f t="shared" si="693"/>
        <v>250</v>
      </c>
      <c r="D12478" t="str">
        <f>"20"</f>
        <v>20</v>
      </c>
      <c r="E12478" t="str">
        <f>"1-250-20"</f>
        <v>1-250-20</v>
      </c>
      <c r="F12478" t="s">
        <v>65</v>
      </c>
      <c r="G12478" t="s">
        <v>66</v>
      </c>
      <c r="H12478" t="s">
        <v>67</v>
      </c>
      <c r="S12478">
        <v>1</v>
      </c>
      <c r="T12478">
        <v>0</v>
      </c>
      <c r="U12478">
        <v>0</v>
      </c>
      <c r="V12478">
        <v>0</v>
      </c>
      <c r="W12478">
        <v>1</v>
      </c>
      <c r="X12478">
        <v>0</v>
      </c>
      <c r="Y12478">
        <v>0</v>
      </c>
      <c r="Z12478">
        <v>1</v>
      </c>
      <c r="AA12478">
        <v>0</v>
      </c>
      <c r="AB12478">
        <v>0</v>
      </c>
      <c r="AC12478">
        <v>1</v>
      </c>
      <c r="AD12478">
        <v>1</v>
      </c>
      <c r="AE12478">
        <v>1</v>
      </c>
      <c r="AF12478">
        <v>1</v>
      </c>
      <c r="AG12478">
        <v>1</v>
      </c>
      <c r="AH12478">
        <v>1</v>
      </c>
      <c r="AI12478">
        <v>1</v>
      </c>
      <c r="AJ12478">
        <v>1</v>
      </c>
      <c r="AK12478">
        <v>1</v>
      </c>
      <c r="AL12478">
        <v>1</v>
      </c>
      <c r="AM12478">
        <v>1</v>
      </c>
    </row>
    <row r="12479" spans="1:39" x14ac:dyDescent="0.2">
      <c r="A12479" t="str">
        <f>"12475"</f>
        <v>12475</v>
      </c>
      <c r="B12479" t="str">
        <f t="shared" si="694"/>
        <v>1</v>
      </c>
      <c r="C12479" t="str">
        <f t="shared" si="693"/>
        <v>250</v>
      </c>
      <c r="D12479" t="str">
        <f>"9"</f>
        <v>9</v>
      </c>
      <c r="E12479" t="str">
        <f>"1-250-9"</f>
        <v>1-250-9</v>
      </c>
      <c r="F12479" t="s">
        <v>65</v>
      </c>
      <c r="G12479" t="s">
        <v>66</v>
      </c>
      <c r="H12479" t="s">
        <v>67</v>
      </c>
      <c r="S12479">
        <v>1</v>
      </c>
      <c r="T12479">
        <v>0</v>
      </c>
      <c r="U12479">
        <v>0</v>
      </c>
      <c r="V12479">
        <v>0</v>
      </c>
      <c r="W12479">
        <v>1</v>
      </c>
      <c r="X12479">
        <v>0</v>
      </c>
      <c r="Y12479">
        <v>0</v>
      </c>
      <c r="Z12479">
        <v>1</v>
      </c>
      <c r="AA12479">
        <v>0</v>
      </c>
      <c r="AB12479">
        <v>1</v>
      </c>
      <c r="AC12479">
        <v>0</v>
      </c>
      <c r="AD12479">
        <v>1</v>
      </c>
      <c r="AE12479">
        <v>1</v>
      </c>
      <c r="AF12479">
        <v>1</v>
      </c>
      <c r="AG12479">
        <v>1</v>
      </c>
      <c r="AH12479">
        <v>1</v>
      </c>
      <c r="AI12479">
        <v>1</v>
      </c>
      <c r="AJ12479">
        <v>1</v>
      </c>
      <c r="AK12479">
        <v>1</v>
      </c>
      <c r="AL12479">
        <v>1</v>
      </c>
      <c r="AM12479">
        <v>1</v>
      </c>
    </row>
    <row r="12480" spans="1:39" x14ac:dyDescent="0.2">
      <c r="A12480" t="str">
        <f>"12476"</f>
        <v>12476</v>
      </c>
      <c r="B12480" t="str">
        <f t="shared" si="694"/>
        <v>1</v>
      </c>
      <c r="C12480" t="str">
        <f t="shared" si="693"/>
        <v>250</v>
      </c>
      <c r="D12480" t="str">
        <f>"43"</f>
        <v>43</v>
      </c>
      <c r="E12480" t="str">
        <f>"1-250-43"</f>
        <v>1-250-43</v>
      </c>
      <c r="F12480" t="s">
        <v>65</v>
      </c>
      <c r="G12480" t="s">
        <v>66</v>
      </c>
      <c r="H12480" t="s">
        <v>68</v>
      </c>
      <c r="I12480">
        <v>1</v>
      </c>
      <c r="J12480">
        <v>0</v>
      </c>
      <c r="K12480">
        <v>0</v>
      </c>
      <c r="L12480">
        <v>1</v>
      </c>
      <c r="M12480">
        <v>1</v>
      </c>
      <c r="N12480">
        <v>1</v>
      </c>
      <c r="O12480">
        <v>1</v>
      </c>
      <c r="P12480">
        <v>1</v>
      </c>
      <c r="Q12480">
        <v>1</v>
      </c>
      <c r="R12480">
        <v>1</v>
      </c>
    </row>
    <row r="12481" spans="1:39" x14ac:dyDescent="0.2">
      <c r="A12481" t="str">
        <f>"12477"</f>
        <v>12477</v>
      </c>
      <c r="B12481" t="str">
        <f t="shared" si="694"/>
        <v>1</v>
      </c>
      <c r="C12481" t="str">
        <f t="shared" si="693"/>
        <v>250</v>
      </c>
      <c r="D12481" t="str">
        <f>"21"</f>
        <v>21</v>
      </c>
      <c r="E12481" t="str">
        <f>"1-250-21"</f>
        <v>1-250-21</v>
      </c>
      <c r="F12481" t="s">
        <v>65</v>
      </c>
      <c r="G12481" t="s">
        <v>66</v>
      </c>
      <c r="H12481" t="s">
        <v>67</v>
      </c>
      <c r="S12481">
        <v>0</v>
      </c>
      <c r="T12481">
        <v>1</v>
      </c>
      <c r="U12481">
        <v>0</v>
      </c>
      <c r="V12481">
        <v>0</v>
      </c>
      <c r="W12481">
        <v>1</v>
      </c>
      <c r="X12481">
        <v>0</v>
      </c>
      <c r="Y12481">
        <v>1</v>
      </c>
      <c r="Z12481">
        <v>0</v>
      </c>
      <c r="AA12481">
        <v>1</v>
      </c>
      <c r="AB12481">
        <v>0</v>
      </c>
      <c r="AC12481">
        <v>0</v>
      </c>
      <c r="AD12481">
        <v>0</v>
      </c>
      <c r="AE12481">
        <v>0</v>
      </c>
      <c r="AF12481">
        <v>0</v>
      </c>
      <c r="AG12481">
        <v>0</v>
      </c>
      <c r="AH12481">
        <v>0</v>
      </c>
      <c r="AI12481">
        <v>0</v>
      </c>
      <c r="AJ12481">
        <v>0</v>
      </c>
      <c r="AK12481">
        <v>0</v>
      </c>
      <c r="AL12481">
        <v>0</v>
      </c>
      <c r="AM12481">
        <v>0</v>
      </c>
    </row>
    <row r="12482" spans="1:39" x14ac:dyDescent="0.2">
      <c r="A12482" t="str">
        <f>"12478"</f>
        <v>12478</v>
      </c>
      <c r="B12482" t="str">
        <f t="shared" si="694"/>
        <v>1</v>
      </c>
      <c r="C12482" t="str">
        <f t="shared" si="693"/>
        <v>250</v>
      </c>
      <c r="D12482" t="str">
        <f>"7"</f>
        <v>7</v>
      </c>
      <c r="E12482" t="str">
        <f>"1-250-7"</f>
        <v>1-250-7</v>
      </c>
      <c r="F12482" t="s">
        <v>65</v>
      </c>
      <c r="G12482" t="s">
        <v>66</v>
      </c>
      <c r="H12482" t="s">
        <v>67</v>
      </c>
      <c r="S12482">
        <v>1</v>
      </c>
      <c r="T12482">
        <v>0</v>
      </c>
      <c r="U12482">
        <v>0</v>
      </c>
      <c r="V12482">
        <v>0</v>
      </c>
      <c r="W12482">
        <v>1</v>
      </c>
      <c r="X12482">
        <v>0</v>
      </c>
      <c r="Y12482">
        <v>1</v>
      </c>
      <c r="Z12482">
        <v>0</v>
      </c>
      <c r="AA12482">
        <v>1</v>
      </c>
      <c r="AB12482">
        <v>0</v>
      </c>
      <c r="AC12482">
        <v>0</v>
      </c>
      <c r="AD12482">
        <v>1</v>
      </c>
      <c r="AE12482">
        <v>1</v>
      </c>
      <c r="AF12482">
        <v>1</v>
      </c>
      <c r="AG12482">
        <v>1</v>
      </c>
      <c r="AH12482">
        <v>1</v>
      </c>
      <c r="AI12482">
        <v>1</v>
      </c>
      <c r="AJ12482">
        <v>1</v>
      </c>
      <c r="AK12482">
        <v>1</v>
      </c>
      <c r="AL12482">
        <v>1</v>
      </c>
      <c r="AM12482">
        <v>0</v>
      </c>
    </row>
    <row r="12483" spans="1:39" x14ac:dyDescent="0.2">
      <c r="A12483" t="str">
        <f>"12479"</f>
        <v>12479</v>
      </c>
      <c r="B12483" t="str">
        <f t="shared" si="694"/>
        <v>1</v>
      </c>
      <c r="C12483" t="str">
        <f t="shared" si="693"/>
        <v>250</v>
      </c>
      <c r="D12483" t="str">
        <f>"40"</f>
        <v>40</v>
      </c>
      <c r="E12483" t="str">
        <f>"1-250-40"</f>
        <v>1-250-40</v>
      </c>
      <c r="F12483" t="s">
        <v>65</v>
      </c>
      <c r="G12483" t="s">
        <v>66</v>
      </c>
      <c r="H12483" t="s">
        <v>67</v>
      </c>
      <c r="S12483">
        <v>1</v>
      </c>
      <c r="T12483">
        <v>0</v>
      </c>
      <c r="U12483">
        <v>0</v>
      </c>
      <c r="V12483">
        <v>0</v>
      </c>
      <c r="W12483">
        <v>1</v>
      </c>
      <c r="X12483">
        <v>0</v>
      </c>
      <c r="Y12483">
        <v>1</v>
      </c>
      <c r="Z12483">
        <v>0</v>
      </c>
      <c r="AA12483">
        <v>1</v>
      </c>
      <c r="AB12483">
        <v>0</v>
      </c>
      <c r="AC12483">
        <v>0</v>
      </c>
      <c r="AD12483">
        <v>0</v>
      </c>
      <c r="AE12483">
        <v>0</v>
      </c>
      <c r="AF12483">
        <v>0</v>
      </c>
      <c r="AG12483">
        <v>1</v>
      </c>
      <c r="AH12483">
        <v>0</v>
      </c>
      <c r="AI12483">
        <v>1</v>
      </c>
      <c r="AJ12483">
        <v>1</v>
      </c>
      <c r="AK12483">
        <v>1</v>
      </c>
      <c r="AL12483">
        <v>1</v>
      </c>
      <c r="AM12483">
        <v>0</v>
      </c>
    </row>
    <row r="12484" spans="1:39" x14ac:dyDescent="0.2">
      <c r="A12484" t="str">
        <f>"12480"</f>
        <v>12480</v>
      </c>
      <c r="B12484" t="str">
        <f t="shared" si="694"/>
        <v>1</v>
      </c>
      <c r="C12484" t="str">
        <f t="shared" si="693"/>
        <v>250</v>
      </c>
      <c r="D12484" t="str">
        <f>"22"</f>
        <v>22</v>
      </c>
      <c r="E12484" t="str">
        <f>"1-250-22"</f>
        <v>1-250-22</v>
      </c>
      <c r="F12484" t="s">
        <v>65</v>
      </c>
      <c r="G12484" t="s">
        <v>66</v>
      </c>
      <c r="H12484" t="s">
        <v>67</v>
      </c>
      <c r="S12484">
        <v>0</v>
      </c>
      <c r="T12484">
        <v>1</v>
      </c>
      <c r="U12484">
        <v>0</v>
      </c>
      <c r="V12484">
        <v>0</v>
      </c>
      <c r="W12484">
        <v>0</v>
      </c>
      <c r="X12484">
        <v>1</v>
      </c>
      <c r="Y12484">
        <v>0</v>
      </c>
      <c r="Z12484">
        <v>1</v>
      </c>
      <c r="AA12484">
        <v>0</v>
      </c>
      <c r="AB12484">
        <v>1</v>
      </c>
      <c r="AC12484">
        <v>0</v>
      </c>
      <c r="AD12484">
        <v>1</v>
      </c>
      <c r="AE12484">
        <v>1</v>
      </c>
      <c r="AF12484">
        <v>1</v>
      </c>
      <c r="AG12484">
        <v>1</v>
      </c>
      <c r="AH12484">
        <v>1</v>
      </c>
      <c r="AI12484">
        <v>1</v>
      </c>
      <c r="AJ12484">
        <v>1</v>
      </c>
      <c r="AK12484">
        <v>1</v>
      </c>
      <c r="AL12484">
        <v>1</v>
      </c>
      <c r="AM12484">
        <v>1</v>
      </c>
    </row>
    <row r="12485" spans="1:39" x14ac:dyDescent="0.2">
      <c r="A12485" t="str">
        <f>"12481"</f>
        <v>12481</v>
      </c>
      <c r="B12485" t="str">
        <f t="shared" si="694"/>
        <v>1</v>
      </c>
      <c r="C12485" t="str">
        <f t="shared" si="693"/>
        <v>250</v>
      </c>
      <c r="D12485" t="str">
        <f>"6"</f>
        <v>6</v>
      </c>
      <c r="E12485" t="str">
        <f>"1-250-6"</f>
        <v>1-250-6</v>
      </c>
      <c r="F12485" t="s">
        <v>65</v>
      </c>
      <c r="G12485" t="s">
        <v>66</v>
      </c>
      <c r="H12485" t="s">
        <v>67</v>
      </c>
      <c r="S12485">
        <v>1</v>
      </c>
      <c r="T12485">
        <v>0</v>
      </c>
      <c r="U12485">
        <v>0</v>
      </c>
      <c r="V12485">
        <v>0</v>
      </c>
      <c r="W12485">
        <v>1</v>
      </c>
      <c r="X12485">
        <v>0</v>
      </c>
      <c r="Y12485">
        <v>1</v>
      </c>
      <c r="Z12485">
        <v>0</v>
      </c>
      <c r="AA12485">
        <v>1</v>
      </c>
      <c r="AB12485">
        <v>0</v>
      </c>
      <c r="AC12485">
        <v>0</v>
      </c>
      <c r="AD12485">
        <v>0</v>
      </c>
      <c r="AE12485">
        <v>0</v>
      </c>
      <c r="AF12485">
        <v>0</v>
      </c>
      <c r="AG12485">
        <v>0</v>
      </c>
      <c r="AH12485">
        <v>0</v>
      </c>
      <c r="AI12485">
        <v>0</v>
      </c>
      <c r="AJ12485">
        <v>0</v>
      </c>
      <c r="AK12485">
        <v>0</v>
      </c>
      <c r="AL12485">
        <v>0</v>
      </c>
      <c r="AM12485">
        <v>0</v>
      </c>
    </row>
    <row r="12486" spans="1:39" x14ac:dyDescent="0.2">
      <c r="A12486" t="str">
        <f>"12482"</f>
        <v>12482</v>
      </c>
      <c r="B12486" t="str">
        <f t="shared" si="694"/>
        <v>1</v>
      </c>
      <c r="C12486" t="str">
        <f t="shared" si="693"/>
        <v>250</v>
      </c>
      <c r="D12486" t="str">
        <f>"47"</f>
        <v>47</v>
      </c>
      <c r="E12486" t="str">
        <f>"1-250-47"</f>
        <v>1-250-47</v>
      </c>
      <c r="F12486" t="s">
        <v>65</v>
      </c>
      <c r="G12486" t="s">
        <v>66</v>
      </c>
      <c r="H12486" t="s">
        <v>67</v>
      </c>
      <c r="S12486">
        <v>1</v>
      </c>
      <c r="T12486">
        <v>0</v>
      </c>
      <c r="U12486">
        <v>0</v>
      </c>
      <c r="V12486">
        <v>0</v>
      </c>
      <c r="W12486">
        <v>1</v>
      </c>
      <c r="X12486">
        <v>0</v>
      </c>
      <c r="Y12486">
        <v>1</v>
      </c>
      <c r="Z12486">
        <v>0</v>
      </c>
      <c r="AA12486">
        <v>1</v>
      </c>
      <c r="AB12486">
        <v>0</v>
      </c>
      <c r="AC12486">
        <v>0</v>
      </c>
      <c r="AD12486">
        <v>1</v>
      </c>
      <c r="AE12486">
        <v>1</v>
      </c>
      <c r="AF12486">
        <v>1</v>
      </c>
      <c r="AG12486">
        <v>1</v>
      </c>
      <c r="AH12486">
        <v>1</v>
      </c>
      <c r="AI12486">
        <v>1</v>
      </c>
      <c r="AJ12486">
        <v>1</v>
      </c>
      <c r="AK12486">
        <v>1</v>
      </c>
      <c r="AL12486">
        <v>1</v>
      </c>
      <c r="AM12486">
        <v>1</v>
      </c>
    </row>
    <row r="12487" spans="1:39" x14ac:dyDescent="0.2">
      <c r="A12487" t="str">
        <f>"12483"</f>
        <v>12483</v>
      </c>
      <c r="B12487" t="str">
        <f t="shared" si="694"/>
        <v>1</v>
      </c>
      <c r="C12487" t="str">
        <f t="shared" ref="C12487:C12504" si="695">"250"</f>
        <v>250</v>
      </c>
      <c r="D12487" t="str">
        <f>"23"</f>
        <v>23</v>
      </c>
      <c r="E12487" t="str">
        <f>"1-250-23"</f>
        <v>1-250-23</v>
      </c>
      <c r="F12487" t="s">
        <v>65</v>
      </c>
      <c r="G12487" t="s">
        <v>66</v>
      </c>
      <c r="H12487" t="s">
        <v>67</v>
      </c>
      <c r="S12487">
        <v>1</v>
      </c>
      <c r="T12487">
        <v>0</v>
      </c>
      <c r="U12487">
        <v>0</v>
      </c>
      <c r="V12487">
        <v>0</v>
      </c>
      <c r="W12487">
        <v>1</v>
      </c>
      <c r="X12487">
        <v>0</v>
      </c>
      <c r="Y12487">
        <v>1</v>
      </c>
      <c r="Z12487">
        <v>0</v>
      </c>
      <c r="AA12487">
        <v>1</v>
      </c>
      <c r="AB12487">
        <v>0</v>
      </c>
      <c r="AC12487">
        <v>0</v>
      </c>
      <c r="AD12487">
        <v>1</v>
      </c>
      <c r="AE12487">
        <v>1</v>
      </c>
      <c r="AF12487">
        <v>1</v>
      </c>
      <c r="AG12487">
        <v>1</v>
      </c>
      <c r="AH12487">
        <v>1</v>
      </c>
      <c r="AI12487">
        <v>1</v>
      </c>
      <c r="AJ12487">
        <v>1</v>
      </c>
      <c r="AK12487">
        <v>1</v>
      </c>
      <c r="AL12487">
        <v>1</v>
      </c>
      <c r="AM12487">
        <v>1</v>
      </c>
    </row>
    <row r="12488" spans="1:39" x14ac:dyDescent="0.2">
      <c r="A12488" t="str">
        <f>"12484"</f>
        <v>12484</v>
      </c>
      <c r="B12488" t="str">
        <f t="shared" si="694"/>
        <v>1</v>
      </c>
      <c r="C12488" t="str">
        <f t="shared" si="695"/>
        <v>250</v>
      </c>
      <c r="D12488" t="str">
        <f>"1"</f>
        <v>1</v>
      </c>
      <c r="E12488" t="str">
        <f>"1-250-1"</f>
        <v>1-250-1</v>
      </c>
      <c r="F12488" t="s">
        <v>65</v>
      </c>
      <c r="G12488" t="s">
        <v>66</v>
      </c>
      <c r="H12488" t="s">
        <v>68</v>
      </c>
      <c r="I12488">
        <v>1</v>
      </c>
      <c r="J12488">
        <v>0</v>
      </c>
      <c r="K12488">
        <v>0</v>
      </c>
      <c r="L12488">
        <v>1</v>
      </c>
      <c r="M12488">
        <v>1</v>
      </c>
      <c r="N12488">
        <v>1</v>
      </c>
      <c r="O12488">
        <v>1</v>
      </c>
      <c r="P12488">
        <v>1</v>
      </c>
      <c r="Q12488">
        <v>1</v>
      </c>
      <c r="R12488">
        <v>1</v>
      </c>
    </row>
    <row r="12489" spans="1:39" x14ac:dyDescent="0.2">
      <c r="A12489" t="str">
        <f>"12485"</f>
        <v>12485</v>
      </c>
      <c r="B12489" t="str">
        <f t="shared" si="694"/>
        <v>1</v>
      </c>
      <c r="C12489" t="str">
        <f t="shared" si="695"/>
        <v>250</v>
      </c>
      <c r="D12489" t="str">
        <f>"45"</f>
        <v>45</v>
      </c>
      <c r="E12489" t="str">
        <f>"1-250-45"</f>
        <v>1-250-45</v>
      </c>
      <c r="F12489" t="s">
        <v>65</v>
      </c>
      <c r="G12489" t="s">
        <v>66</v>
      </c>
      <c r="H12489" t="s">
        <v>67</v>
      </c>
      <c r="S12489">
        <v>1</v>
      </c>
      <c r="T12489">
        <v>0</v>
      </c>
      <c r="U12489">
        <v>0</v>
      </c>
      <c r="V12489">
        <v>0</v>
      </c>
      <c r="W12489">
        <v>1</v>
      </c>
      <c r="X12489">
        <v>0</v>
      </c>
      <c r="Y12489">
        <v>0</v>
      </c>
      <c r="Z12489">
        <v>1</v>
      </c>
      <c r="AA12489">
        <v>1</v>
      </c>
      <c r="AB12489">
        <v>0</v>
      </c>
      <c r="AC12489">
        <v>0</v>
      </c>
      <c r="AD12489">
        <v>0</v>
      </c>
      <c r="AE12489">
        <v>0</v>
      </c>
      <c r="AF12489">
        <v>0</v>
      </c>
      <c r="AG12489">
        <v>0</v>
      </c>
      <c r="AH12489">
        <v>0</v>
      </c>
      <c r="AI12489">
        <v>0</v>
      </c>
      <c r="AJ12489">
        <v>0</v>
      </c>
      <c r="AK12489">
        <v>0</v>
      </c>
      <c r="AL12489">
        <v>0</v>
      </c>
      <c r="AM12489">
        <v>0</v>
      </c>
    </row>
    <row r="12490" spans="1:39" x14ac:dyDescent="0.2">
      <c r="A12490" t="str">
        <f>"12486"</f>
        <v>12486</v>
      </c>
      <c r="B12490" t="str">
        <f t="shared" si="694"/>
        <v>1</v>
      </c>
      <c r="C12490" t="str">
        <f t="shared" si="695"/>
        <v>250</v>
      </c>
      <c r="D12490" t="str">
        <f>"24"</f>
        <v>24</v>
      </c>
      <c r="E12490" t="str">
        <f>"1-250-24"</f>
        <v>1-250-24</v>
      </c>
      <c r="F12490" t="s">
        <v>65</v>
      </c>
      <c r="G12490" t="s">
        <v>66</v>
      </c>
      <c r="H12490" t="s">
        <v>67</v>
      </c>
      <c r="S12490">
        <v>0</v>
      </c>
      <c r="T12490">
        <v>1</v>
      </c>
      <c r="U12490">
        <v>0</v>
      </c>
      <c r="V12490">
        <v>0</v>
      </c>
      <c r="W12490">
        <v>1</v>
      </c>
      <c r="X12490">
        <v>0</v>
      </c>
      <c r="Y12490">
        <v>0</v>
      </c>
      <c r="Z12490">
        <v>1</v>
      </c>
      <c r="AA12490">
        <v>0</v>
      </c>
      <c r="AB12490">
        <v>0</v>
      </c>
      <c r="AC12490">
        <v>0</v>
      </c>
      <c r="AD12490">
        <v>0</v>
      </c>
      <c r="AE12490">
        <v>0</v>
      </c>
      <c r="AF12490">
        <v>0</v>
      </c>
      <c r="AG12490">
        <v>0</v>
      </c>
      <c r="AH12490">
        <v>0</v>
      </c>
      <c r="AI12490">
        <v>0</v>
      </c>
      <c r="AJ12490">
        <v>0</v>
      </c>
      <c r="AK12490">
        <v>0</v>
      </c>
      <c r="AL12490">
        <v>0</v>
      </c>
      <c r="AM12490">
        <v>0</v>
      </c>
    </row>
    <row r="12491" spans="1:39" x14ac:dyDescent="0.2">
      <c r="A12491" t="str">
        <f>"12487"</f>
        <v>12487</v>
      </c>
      <c r="B12491" t="str">
        <f t="shared" si="694"/>
        <v>1</v>
      </c>
      <c r="C12491" t="str">
        <f t="shared" si="695"/>
        <v>250</v>
      </c>
      <c r="D12491" t="str">
        <f>"3"</f>
        <v>3</v>
      </c>
      <c r="E12491" t="str">
        <f>"1-250-3"</f>
        <v>1-250-3</v>
      </c>
      <c r="F12491" t="s">
        <v>65</v>
      </c>
      <c r="G12491" t="s">
        <v>66</v>
      </c>
      <c r="H12491" t="s">
        <v>68</v>
      </c>
      <c r="I12491">
        <v>1</v>
      </c>
      <c r="J12491">
        <v>0</v>
      </c>
      <c r="K12491">
        <v>0</v>
      </c>
      <c r="L12491">
        <v>1</v>
      </c>
      <c r="M12491">
        <v>1</v>
      </c>
      <c r="N12491">
        <v>1</v>
      </c>
      <c r="O12491">
        <v>1</v>
      </c>
      <c r="P12491">
        <v>1</v>
      </c>
      <c r="Q12491">
        <v>1</v>
      </c>
      <c r="R12491">
        <v>1</v>
      </c>
    </row>
    <row r="12492" spans="1:39" x14ac:dyDescent="0.2">
      <c r="A12492" t="str">
        <f>"12488"</f>
        <v>12488</v>
      </c>
      <c r="B12492" t="str">
        <f t="shared" si="694"/>
        <v>1</v>
      </c>
      <c r="C12492" t="str">
        <f t="shared" si="695"/>
        <v>250</v>
      </c>
      <c r="D12492" t="str">
        <f>"39"</f>
        <v>39</v>
      </c>
      <c r="E12492" t="str">
        <f>"1-250-39"</f>
        <v>1-250-39</v>
      </c>
      <c r="F12492" t="s">
        <v>65</v>
      </c>
      <c r="G12492" t="s">
        <v>66</v>
      </c>
      <c r="H12492" t="s">
        <v>67</v>
      </c>
      <c r="S12492">
        <v>1</v>
      </c>
      <c r="T12492">
        <v>0</v>
      </c>
      <c r="U12492">
        <v>0</v>
      </c>
      <c r="V12492">
        <v>0</v>
      </c>
      <c r="W12492">
        <v>1</v>
      </c>
      <c r="X12492">
        <v>0</v>
      </c>
      <c r="Y12492">
        <v>1</v>
      </c>
      <c r="Z12492">
        <v>0</v>
      </c>
      <c r="AA12492">
        <v>0</v>
      </c>
      <c r="AB12492">
        <v>0</v>
      </c>
      <c r="AC12492">
        <v>1</v>
      </c>
      <c r="AD12492">
        <v>1</v>
      </c>
      <c r="AE12492">
        <v>1</v>
      </c>
      <c r="AF12492">
        <v>1</v>
      </c>
      <c r="AG12492">
        <v>1</v>
      </c>
      <c r="AH12492">
        <v>1</v>
      </c>
      <c r="AI12492">
        <v>1</v>
      </c>
      <c r="AJ12492">
        <v>1</v>
      </c>
      <c r="AK12492">
        <v>1</v>
      </c>
      <c r="AL12492">
        <v>1</v>
      </c>
      <c r="AM12492">
        <v>1</v>
      </c>
    </row>
    <row r="12493" spans="1:39" x14ac:dyDescent="0.2">
      <c r="A12493" t="str">
        <f>"12489"</f>
        <v>12489</v>
      </c>
      <c r="B12493" t="str">
        <f t="shared" si="694"/>
        <v>1</v>
      </c>
      <c r="C12493" t="str">
        <f t="shared" si="695"/>
        <v>250</v>
      </c>
      <c r="D12493" t="str">
        <f>"25"</f>
        <v>25</v>
      </c>
      <c r="E12493" t="str">
        <f>"1-250-25"</f>
        <v>1-250-25</v>
      </c>
      <c r="F12493" t="s">
        <v>65</v>
      </c>
      <c r="G12493" t="s">
        <v>66</v>
      </c>
      <c r="H12493" t="s">
        <v>67</v>
      </c>
      <c r="S12493">
        <v>1</v>
      </c>
      <c r="T12493">
        <v>0</v>
      </c>
      <c r="U12493">
        <v>0</v>
      </c>
      <c r="V12493">
        <v>0</v>
      </c>
      <c r="W12493">
        <v>1</v>
      </c>
      <c r="X12493">
        <v>0</v>
      </c>
      <c r="Y12493">
        <v>0</v>
      </c>
      <c r="Z12493">
        <v>1</v>
      </c>
      <c r="AA12493">
        <v>1</v>
      </c>
      <c r="AB12493">
        <v>0</v>
      </c>
      <c r="AC12493">
        <v>0</v>
      </c>
      <c r="AD12493">
        <v>0</v>
      </c>
      <c r="AE12493">
        <v>0</v>
      </c>
      <c r="AF12493">
        <v>0</v>
      </c>
      <c r="AG12493">
        <v>0</v>
      </c>
      <c r="AH12493">
        <v>0</v>
      </c>
      <c r="AI12493">
        <v>0</v>
      </c>
      <c r="AJ12493">
        <v>0</v>
      </c>
      <c r="AK12493">
        <v>0</v>
      </c>
      <c r="AL12493">
        <v>0</v>
      </c>
      <c r="AM12493">
        <v>0</v>
      </c>
    </row>
    <row r="12494" spans="1:39" x14ac:dyDescent="0.2">
      <c r="A12494" t="str">
        <f>"12490"</f>
        <v>12490</v>
      </c>
      <c r="B12494" t="str">
        <f t="shared" si="694"/>
        <v>1</v>
      </c>
      <c r="C12494" t="str">
        <f t="shared" si="695"/>
        <v>250</v>
      </c>
      <c r="D12494" t="str">
        <f>"11"</f>
        <v>11</v>
      </c>
      <c r="E12494" t="str">
        <f>"1-250-11"</f>
        <v>1-250-11</v>
      </c>
      <c r="F12494" t="s">
        <v>65</v>
      </c>
      <c r="G12494" t="s">
        <v>66</v>
      </c>
      <c r="H12494" t="s">
        <v>67</v>
      </c>
      <c r="S12494">
        <v>1</v>
      </c>
      <c r="T12494">
        <v>0</v>
      </c>
      <c r="U12494">
        <v>0</v>
      </c>
      <c r="V12494">
        <v>0</v>
      </c>
      <c r="W12494">
        <v>1</v>
      </c>
      <c r="X12494">
        <v>0</v>
      </c>
      <c r="Y12494">
        <v>1</v>
      </c>
      <c r="Z12494">
        <v>0</v>
      </c>
      <c r="AA12494">
        <v>1</v>
      </c>
      <c r="AB12494">
        <v>0</v>
      </c>
      <c r="AC12494">
        <v>0</v>
      </c>
      <c r="AD12494">
        <v>1</v>
      </c>
      <c r="AE12494">
        <v>1</v>
      </c>
      <c r="AF12494">
        <v>1</v>
      </c>
      <c r="AG12494">
        <v>1</v>
      </c>
      <c r="AH12494">
        <v>1</v>
      </c>
      <c r="AI12494">
        <v>1</v>
      </c>
      <c r="AJ12494">
        <v>1</v>
      </c>
      <c r="AK12494">
        <v>1</v>
      </c>
      <c r="AL12494">
        <v>1</v>
      </c>
      <c r="AM12494">
        <v>1</v>
      </c>
    </row>
    <row r="12495" spans="1:39" x14ac:dyDescent="0.2">
      <c r="A12495" t="str">
        <f>"12491"</f>
        <v>12491</v>
      </c>
      <c r="B12495" t="str">
        <f t="shared" si="694"/>
        <v>1</v>
      </c>
      <c r="C12495" t="str">
        <f t="shared" si="695"/>
        <v>250</v>
      </c>
      <c r="D12495" t="str">
        <f>"46"</f>
        <v>46</v>
      </c>
      <c r="E12495" t="str">
        <f>"1-250-46"</f>
        <v>1-250-46</v>
      </c>
      <c r="F12495" t="s">
        <v>65</v>
      </c>
      <c r="G12495" t="s">
        <v>66</v>
      </c>
      <c r="H12495" t="s">
        <v>67</v>
      </c>
      <c r="S12495">
        <v>1</v>
      </c>
      <c r="T12495">
        <v>0</v>
      </c>
      <c r="U12495">
        <v>0</v>
      </c>
      <c r="V12495">
        <v>0</v>
      </c>
      <c r="W12495">
        <v>1</v>
      </c>
      <c r="X12495">
        <v>0</v>
      </c>
      <c r="Y12495">
        <v>1</v>
      </c>
      <c r="Z12495">
        <v>0</v>
      </c>
      <c r="AA12495">
        <v>1</v>
      </c>
      <c r="AB12495">
        <v>0</v>
      </c>
      <c r="AC12495">
        <v>0</v>
      </c>
      <c r="AD12495">
        <v>1</v>
      </c>
      <c r="AE12495">
        <v>1</v>
      </c>
      <c r="AF12495">
        <v>1</v>
      </c>
      <c r="AG12495">
        <v>1</v>
      </c>
      <c r="AH12495">
        <v>1</v>
      </c>
      <c r="AI12495">
        <v>1</v>
      </c>
      <c r="AJ12495">
        <v>1</v>
      </c>
      <c r="AK12495">
        <v>1</v>
      </c>
      <c r="AL12495">
        <v>1</v>
      </c>
      <c r="AM12495">
        <v>1</v>
      </c>
    </row>
    <row r="12496" spans="1:39" x14ac:dyDescent="0.2">
      <c r="A12496" t="str">
        <f>"12492"</f>
        <v>12492</v>
      </c>
      <c r="B12496" t="str">
        <f t="shared" si="694"/>
        <v>1</v>
      </c>
      <c r="C12496" t="str">
        <f t="shared" si="695"/>
        <v>250</v>
      </c>
      <c r="D12496" t="str">
        <f>"26"</f>
        <v>26</v>
      </c>
      <c r="E12496" t="str">
        <f>"1-250-26"</f>
        <v>1-250-26</v>
      </c>
      <c r="F12496" t="s">
        <v>65</v>
      </c>
      <c r="G12496" t="s">
        <v>66</v>
      </c>
      <c r="H12496" t="s">
        <v>67</v>
      </c>
      <c r="S12496">
        <v>1</v>
      </c>
      <c r="T12496">
        <v>0</v>
      </c>
      <c r="U12496">
        <v>0</v>
      </c>
      <c r="V12496">
        <v>0</v>
      </c>
      <c r="W12496">
        <v>1</v>
      </c>
      <c r="X12496">
        <v>0</v>
      </c>
      <c r="Y12496">
        <v>1</v>
      </c>
      <c r="Z12496">
        <v>0</v>
      </c>
      <c r="AA12496">
        <v>0</v>
      </c>
      <c r="AB12496">
        <v>0</v>
      </c>
      <c r="AC12496">
        <v>1</v>
      </c>
      <c r="AD12496">
        <v>1</v>
      </c>
      <c r="AE12496">
        <v>1</v>
      </c>
      <c r="AF12496">
        <v>1</v>
      </c>
      <c r="AG12496">
        <v>1</v>
      </c>
      <c r="AH12496">
        <v>1</v>
      </c>
      <c r="AI12496">
        <v>1</v>
      </c>
      <c r="AJ12496">
        <v>1</v>
      </c>
      <c r="AK12496">
        <v>1</v>
      </c>
      <c r="AL12496">
        <v>1</v>
      </c>
      <c r="AM12496">
        <v>1</v>
      </c>
    </row>
    <row r="12497" spans="1:39" x14ac:dyDescent="0.2">
      <c r="A12497" t="str">
        <f>"12493"</f>
        <v>12493</v>
      </c>
      <c r="B12497" t="str">
        <f t="shared" si="694"/>
        <v>1</v>
      </c>
      <c r="C12497" t="str">
        <f t="shared" si="695"/>
        <v>250</v>
      </c>
      <c r="D12497" t="str">
        <f>"4"</f>
        <v>4</v>
      </c>
      <c r="E12497" t="str">
        <f>"1-250-4"</f>
        <v>1-250-4</v>
      </c>
      <c r="F12497" t="s">
        <v>65</v>
      </c>
      <c r="G12497" t="s">
        <v>66</v>
      </c>
      <c r="H12497" t="s">
        <v>68</v>
      </c>
      <c r="I12497">
        <v>0</v>
      </c>
      <c r="J12497">
        <v>1</v>
      </c>
      <c r="K12497">
        <v>0</v>
      </c>
      <c r="L12497">
        <v>0</v>
      </c>
      <c r="M12497">
        <v>1</v>
      </c>
      <c r="N12497">
        <v>1</v>
      </c>
      <c r="O12497">
        <v>1</v>
      </c>
      <c r="P12497">
        <v>1</v>
      </c>
      <c r="Q12497">
        <v>1</v>
      </c>
      <c r="R12497">
        <v>1</v>
      </c>
    </row>
    <row r="12498" spans="1:39" x14ac:dyDescent="0.2">
      <c r="A12498" t="str">
        <f>"12494"</f>
        <v>12494</v>
      </c>
      <c r="B12498" t="str">
        <f t="shared" si="694"/>
        <v>1</v>
      </c>
      <c r="C12498" t="str">
        <f t="shared" si="695"/>
        <v>250</v>
      </c>
      <c r="D12498" t="str">
        <f>"44"</f>
        <v>44</v>
      </c>
      <c r="E12498" t="str">
        <f>"1-250-44"</f>
        <v>1-250-44</v>
      </c>
      <c r="F12498" t="s">
        <v>65</v>
      </c>
      <c r="G12498" t="s">
        <v>66</v>
      </c>
      <c r="H12498" t="s">
        <v>67</v>
      </c>
      <c r="S12498">
        <v>1</v>
      </c>
      <c r="T12498">
        <v>0</v>
      </c>
      <c r="U12498">
        <v>0</v>
      </c>
      <c r="V12498">
        <v>0</v>
      </c>
      <c r="W12498">
        <v>1</v>
      </c>
      <c r="X12498">
        <v>0</v>
      </c>
      <c r="Y12498">
        <v>1</v>
      </c>
      <c r="Z12498">
        <v>0</v>
      </c>
      <c r="AA12498">
        <v>0</v>
      </c>
      <c r="AB12498">
        <v>0</v>
      </c>
      <c r="AC12498">
        <v>1</v>
      </c>
      <c r="AD12498">
        <v>0</v>
      </c>
      <c r="AE12498">
        <v>0</v>
      </c>
      <c r="AF12498">
        <v>0</v>
      </c>
      <c r="AG12498">
        <v>1</v>
      </c>
      <c r="AH12498">
        <v>0</v>
      </c>
      <c r="AI12498">
        <v>1</v>
      </c>
      <c r="AJ12498">
        <v>1</v>
      </c>
      <c r="AK12498">
        <v>0</v>
      </c>
      <c r="AL12498">
        <v>1</v>
      </c>
      <c r="AM12498">
        <v>1</v>
      </c>
    </row>
    <row r="12499" spans="1:39" x14ac:dyDescent="0.2">
      <c r="A12499" t="str">
        <f>"12495"</f>
        <v>12495</v>
      </c>
      <c r="B12499" t="str">
        <f t="shared" si="694"/>
        <v>1</v>
      </c>
      <c r="C12499" t="str">
        <f t="shared" si="695"/>
        <v>250</v>
      </c>
      <c r="D12499" t="str">
        <f>"28"</f>
        <v>28</v>
      </c>
      <c r="E12499" t="str">
        <f>"1-250-28"</f>
        <v>1-250-28</v>
      </c>
      <c r="F12499" t="s">
        <v>65</v>
      </c>
      <c r="G12499" t="s">
        <v>66</v>
      </c>
      <c r="H12499" t="s">
        <v>67</v>
      </c>
      <c r="S12499">
        <v>1</v>
      </c>
      <c r="T12499">
        <v>0</v>
      </c>
      <c r="U12499">
        <v>0</v>
      </c>
      <c r="V12499">
        <v>0</v>
      </c>
      <c r="W12499">
        <v>1</v>
      </c>
      <c r="X12499">
        <v>0</v>
      </c>
      <c r="Y12499">
        <v>1</v>
      </c>
      <c r="Z12499">
        <v>0</v>
      </c>
      <c r="AA12499">
        <v>1</v>
      </c>
      <c r="AB12499">
        <v>0</v>
      </c>
      <c r="AC12499">
        <v>0</v>
      </c>
      <c r="AD12499">
        <v>1</v>
      </c>
      <c r="AE12499">
        <v>1</v>
      </c>
      <c r="AF12499">
        <v>1</v>
      </c>
      <c r="AG12499">
        <v>1</v>
      </c>
      <c r="AH12499">
        <v>1</v>
      </c>
      <c r="AI12499">
        <v>1</v>
      </c>
      <c r="AJ12499">
        <v>1</v>
      </c>
      <c r="AK12499">
        <v>1</v>
      </c>
      <c r="AL12499">
        <v>1</v>
      </c>
      <c r="AM12499">
        <v>1</v>
      </c>
    </row>
    <row r="12500" spans="1:39" x14ac:dyDescent="0.2">
      <c r="A12500" t="str">
        <f>"12496"</f>
        <v>12496</v>
      </c>
      <c r="B12500" t="str">
        <f t="shared" si="694"/>
        <v>1</v>
      </c>
      <c r="C12500" t="str">
        <f t="shared" si="695"/>
        <v>250</v>
      </c>
      <c r="D12500" t="str">
        <f>"12"</f>
        <v>12</v>
      </c>
      <c r="E12500" t="str">
        <f>"1-250-12"</f>
        <v>1-250-12</v>
      </c>
      <c r="F12500" t="s">
        <v>65</v>
      </c>
      <c r="G12500" t="s">
        <v>66</v>
      </c>
      <c r="H12500" t="s">
        <v>67</v>
      </c>
      <c r="S12500">
        <v>1</v>
      </c>
      <c r="T12500">
        <v>0</v>
      </c>
      <c r="U12500">
        <v>0</v>
      </c>
      <c r="V12500">
        <v>0</v>
      </c>
      <c r="W12500">
        <v>1</v>
      </c>
      <c r="X12500">
        <v>0</v>
      </c>
      <c r="Y12500">
        <v>1</v>
      </c>
      <c r="Z12500">
        <v>0</v>
      </c>
      <c r="AA12500">
        <v>0</v>
      </c>
      <c r="AB12500">
        <v>0</v>
      </c>
      <c r="AC12500">
        <v>1</v>
      </c>
      <c r="AD12500">
        <v>1</v>
      </c>
      <c r="AE12500">
        <v>1</v>
      </c>
      <c r="AF12500">
        <v>1</v>
      </c>
      <c r="AG12500">
        <v>1</v>
      </c>
      <c r="AH12500">
        <v>1</v>
      </c>
      <c r="AI12500">
        <v>1</v>
      </c>
      <c r="AJ12500">
        <v>1</v>
      </c>
      <c r="AK12500">
        <v>1</v>
      </c>
      <c r="AL12500">
        <v>1</v>
      </c>
      <c r="AM12500">
        <v>1</v>
      </c>
    </row>
    <row r="12501" spans="1:39" x14ac:dyDescent="0.2">
      <c r="A12501" t="str">
        <f>"12497"</f>
        <v>12497</v>
      </c>
      <c r="B12501" t="str">
        <f t="shared" si="694"/>
        <v>1</v>
      </c>
      <c r="C12501" t="str">
        <f t="shared" si="695"/>
        <v>250</v>
      </c>
      <c r="D12501" t="str">
        <f>"31"</f>
        <v>31</v>
      </c>
      <c r="E12501" t="str">
        <f>"1-250-31"</f>
        <v>1-250-31</v>
      </c>
      <c r="F12501" t="s">
        <v>65</v>
      </c>
      <c r="G12501" t="s">
        <v>66</v>
      </c>
      <c r="H12501" t="s">
        <v>67</v>
      </c>
      <c r="S12501">
        <v>0</v>
      </c>
      <c r="T12501">
        <v>0</v>
      </c>
      <c r="U12501">
        <v>0</v>
      </c>
      <c r="V12501">
        <v>0</v>
      </c>
      <c r="W12501">
        <v>1</v>
      </c>
      <c r="X12501">
        <v>0</v>
      </c>
      <c r="Y12501">
        <v>0</v>
      </c>
      <c r="Z12501">
        <v>1</v>
      </c>
      <c r="AA12501">
        <v>0</v>
      </c>
      <c r="AB12501">
        <v>1</v>
      </c>
      <c r="AC12501">
        <v>0</v>
      </c>
      <c r="AD12501">
        <v>1</v>
      </c>
      <c r="AE12501">
        <v>1</v>
      </c>
      <c r="AF12501">
        <v>1</v>
      </c>
      <c r="AG12501">
        <v>1</v>
      </c>
      <c r="AH12501">
        <v>1</v>
      </c>
      <c r="AI12501">
        <v>1</v>
      </c>
      <c r="AJ12501">
        <v>1</v>
      </c>
      <c r="AK12501">
        <v>1</v>
      </c>
      <c r="AL12501">
        <v>1</v>
      </c>
      <c r="AM12501">
        <v>1</v>
      </c>
    </row>
    <row r="12502" spans="1:39" x14ac:dyDescent="0.2">
      <c r="A12502" t="str">
        <f>"12498"</f>
        <v>12498</v>
      </c>
      <c r="B12502" t="str">
        <f t="shared" si="694"/>
        <v>1</v>
      </c>
      <c r="C12502" t="str">
        <f t="shared" si="695"/>
        <v>250</v>
      </c>
      <c r="D12502" t="str">
        <f>"8"</f>
        <v>8</v>
      </c>
      <c r="E12502" t="str">
        <f>"1-250-8"</f>
        <v>1-250-8</v>
      </c>
      <c r="F12502" t="s">
        <v>65</v>
      </c>
      <c r="G12502" t="s">
        <v>66</v>
      </c>
      <c r="H12502" t="s">
        <v>67</v>
      </c>
      <c r="S12502">
        <v>1</v>
      </c>
      <c r="T12502">
        <v>0</v>
      </c>
      <c r="U12502">
        <v>0</v>
      </c>
      <c r="V12502">
        <v>0</v>
      </c>
      <c r="W12502">
        <v>1</v>
      </c>
      <c r="X12502">
        <v>0</v>
      </c>
      <c r="Y12502">
        <v>1</v>
      </c>
      <c r="Z12502">
        <v>0</v>
      </c>
      <c r="AA12502">
        <v>1</v>
      </c>
      <c r="AB12502">
        <v>0</v>
      </c>
      <c r="AC12502">
        <v>0</v>
      </c>
      <c r="AD12502">
        <v>1</v>
      </c>
      <c r="AE12502">
        <v>1</v>
      </c>
      <c r="AF12502">
        <v>1</v>
      </c>
      <c r="AG12502">
        <v>1</v>
      </c>
      <c r="AH12502">
        <v>1</v>
      </c>
      <c r="AI12502">
        <v>1</v>
      </c>
      <c r="AJ12502">
        <v>1</v>
      </c>
      <c r="AK12502">
        <v>1</v>
      </c>
      <c r="AL12502">
        <v>1</v>
      </c>
      <c r="AM12502">
        <v>1</v>
      </c>
    </row>
    <row r="12503" spans="1:39" x14ac:dyDescent="0.2">
      <c r="A12503" t="str">
        <f>"12499"</f>
        <v>12499</v>
      </c>
      <c r="B12503" t="str">
        <f t="shared" si="694"/>
        <v>1</v>
      </c>
      <c r="C12503" t="str">
        <f t="shared" si="695"/>
        <v>250</v>
      </c>
      <c r="D12503" t="str">
        <f>"50"</f>
        <v>50</v>
      </c>
      <c r="E12503" t="str">
        <f>"1-250-50"</f>
        <v>1-250-50</v>
      </c>
      <c r="F12503" t="s">
        <v>65</v>
      </c>
      <c r="G12503" t="s">
        <v>66</v>
      </c>
      <c r="H12503" t="s">
        <v>67</v>
      </c>
      <c r="S12503">
        <v>1</v>
      </c>
      <c r="T12503">
        <v>0</v>
      </c>
      <c r="U12503">
        <v>0</v>
      </c>
      <c r="V12503">
        <v>0</v>
      </c>
      <c r="W12503">
        <v>1</v>
      </c>
      <c r="X12503">
        <v>0</v>
      </c>
      <c r="Y12503">
        <v>1</v>
      </c>
      <c r="Z12503">
        <v>0</v>
      </c>
      <c r="AA12503">
        <v>0</v>
      </c>
      <c r="AB12503">
        <v>0</v>
      </c>
      <c r="AC12503">
        <v>0</v>
      </c>
      <c r="AD12503">
        <v>0</v>
      </c>
      <c r="AE12503">
        <v>0</v>
      </c>
      <c r="AF12503">
        <v>0</v>
      </c>
      <c r="AG12503">
        <v>0</v>
      </c>
      <c r="AH12503">
        <v>0</v>
      </c>
      <c r="AI12503">
        <v>0</v>
      </c>
      <c r="AJ12503">
        <v>0</v>
      </c>
      <c r="AK12503">
        <v>0</v>
      </c>
      <c r="AL12503">
        <v>0</v>
      </c>
      <c r="AM12503">
        <v>0</v>
      </c>
    </row>
    <row r="12504" spans="1:39" x14ac:dyDescent="0.2">
      <c r="A12504" t="str">
        <f>"12500"</f>
        <v>12500</v>
      </c>
      <c r="B12504" t="str">
        <f t="shared" si="694"/>
        <v>1</v>
      </c>
      <c r="C12504" t="str">
        <f t="shared" si="695"/>
        <v>250</v>
      </c>
      <c r="D12504" t="str">
        <f>"49"</f>
        <v>49</v>
      </c>
      <c r="E12504" t="str">
        <f>"1-250-49"</f>
        <v>1-250-49</v>
      </c>
      <c r="F12504" t="s">
        <v>65</v>
      </c>
      <c r="G12504" t="s">
        <v>66</v>
      </c>
      <c r="H12504" t="s">
        <v>67</v>
      </c>
      <c r="S12504">
        <v>0</v>
      </c>
      <c r="T12504">
        <v>1</v>
      </c>
      <c r="U12504">
        <v>0</v>
      </c>
      <c r="V12504">
        <v>0</v>
      </c>
      <c r="W12504">
        <v>1</v>
      </c>
      <c r="X12504">
        <v>0</v>
      </c>
      <c r="Y12504">
        <v>0</v>
      </c>
      <c r="Z12504">
        <v>1</v>
      </c>
      <c r="AA12504">
        <v>1</v>
      </c>
      <c r="AB12504">
        <v>0</v>
      </c>
      <c r="AC12504">
        <v>0</v>
      </c>
      <c r="AD12504">
        <v>1</v>
      </c>
      <c r="AE12504">
        <v>1</v>
      </c>
      <c r="AF12504">
        <v>1</v>
      </c>
      <c r="AG12504">
        <v>1</v>
      </c>
      <c r="AH12504">
        <v>1</v>
      </c>
      <c r="AI12504">
        <v>1</v>
      </c>
      <c r="AJ12504">
        <v>1</v>
      </c>
      <c r="AK12504">
        <v>1</v>
      </c>
      <c r="AL12504">
        <v>1</v>
      </c>
      <c r="AM12504">
        <v>1</v>
      </c>
    </row>
    <row r="12505" spans="1:39" x14ac:dyDescent="0.2">
      <c r="A12505" t="str">
        <f>"12501"</f>
        <v>12501</v>
      </c>
      <c r="B12505" t="str">
        <f t="shared" si="694"/>
        <v>1</v>
      </c>
      <c r="C12505" t="str">
        <f t="shared" ref="C12505:C12536" si="696">"251"</f>
        <v>251</v>
      </c>
      <c r="D12505" t="str">
        <f>"32"</f>
        <v>32</v>
      </c>
      <c r="E12505" t="str">
        <f>"1-251-32"</f>
        <v>1-251-32</v>
      </c>
      <c r="F12505" t="s">
        <v>65</v>
      </c>
      <c r="G12505" t="s">
        <v>66</v>
      </c>
      <c r="H12505" t="s">
        <v>67</v>
      </c>
      <c r="S12505">
        <v>1</v>
      </c>
      <c r="T12505">
        <v>0</v>
      </c>
      <c r="U12505">
        <v>0</v>
      </c>
      <c r="V12505">
        <v>0</v>
      </c>
      <c r="W12505">
        <v>1</v>
      </c>
      <c r="X12505">
        <v>0</v>
      </c>
      <c r="Y12505">
        <v>0</v>
      </c>
      <c r="Z12505">
        <v>1</v>
      </c>
      <c r="AA12505">
        <v>1</v>
      </c>
      <c r="AB12505">
        <v>0</v>
      </c>
      <c r="AC12505">
        <v>0</v>
      </c>
      <c r="AD12505">
        <v>0</v>
      </c>
      <c r="AE12505">
        <v>0</v>
      </c>
      <c r="AF12505">
        <v>0</v>
      </c>
      <c r="AG12505">
        <v>0</v>
      </c>
      <c r="AH12505">
        <v>0</v>
      </c>
      <c r="AI12505">
        <v>0</v>
      </c>
      <c r="AJ12505">
        <v>0</v>
      </c>
      <c r="AK12505">
        <v>0</v>
      </c>
      <c r="AL12505">
        <v>0</v>
      </c>
      <c r="AM12505">
        <v>0</v>
      </c>
    </row>
    <row r="12506" spans="1:39" x14ac:dyDescent="0.2">
      <c r="A12506" t="str">
        <f>"12502"</f>
        <v>12502</v>
      </c>
      <c r="B12506" t="str">
        <f t="shared" si="694"/>
        <v>1</v>
      </c>
      <c r="C12506" t="str">
        <f t="shared" si="696"/>
        <v>251</v>
      </c>
      <c r="D12506" t="str">
        <f>"31"</f>
        <v>31</v>
      </c>
      <c r="E12506" t="str">
        <f>"1-251-31"</f>
        <v>1-251-31</v>
      </c>
      <c r="F12506" t="s">
        <v>65</v>
      </c>
      <c r="G12506" t="s">
        <v>66</v>
      </c>
      <c r="H12506" t="s">
        <v>67</v>
      </c>
      <c r="S12506">
        <v>0</v>
      </c>
      <c r="T12506">
        <v>1</v>
      </c>
      <c r="U12506">
        <v>0</v>
      </c>
      <c r="V12506">
        <v>0</v>
      </c>
      <c r="W12506">
        <v>1</v>
      </c>
      <c r="X12506">
        <v>0</v>
      </c>
      <c r="Y12506">
        <v>1</v>
      </c>
      <c r="Z12506">
        <v>0</v>
      </c>
      <c r="AA12506">
        <v>1</v>
      </c>
      <c r="AB12506">
        <v>0</v>
      </c>
      <c r="AC12506">
        <v>0</v>
      </c>
      <c r="AD12506">
        <v>1</v>
      </c>
      <c r="AE12506">
        <v>1</v>
      </c>
      <c r="AF12506">
        <v>1</v>
      </c>
      <c r="AG12506">
        <v>1</v>
      </c>
      <c r="AH12506">
        <v>1</v>
      </c>
      <c r="AI12506">
        <v>1</v>
      </c>
      <c r="AJ12506">
        <v>1</v>
      </c>
      <c r="AK12506">
        <v>1</v>
      </c>
      <c r="AL12506">
        <v>1</v>
      </c>
      <c r="AM12506">
        <v>1</v>
      </c>
    </row>
    <row r="12507" spans="1:39" x14ac:dyDescent="0.2">
      <c r="A12507" t="str">
        <f>"12503"</f>
        <v>12503</v>
      </c>
      <c r="B12507" t="str">
        <f t="shared" si="694"/>
        <v>1</v>
      </c>
      <c r="C12507" t="str">
        <f t="shared" si="696"/>
        <v>251</v>
      </c>
      <c r="D12507" t="str">
        <f>"22"</f>
        <v>22</v>
      </c>
      <c r="E12507" t="str">
        <f>"1-251-22"</f>
        <v>1-251-22</v>
      </c>
      <c r="F12507" t="s">
        <v>65</v>
      </c>
      <c r="G12507" t="s">
        <v>66</v>
      </c>
      <c r="H12507" t="s">
        <v>67</v>
      </c>
      <c r="S12507">
        <v>1</v>
      </c>
      <c r="T12507">
        <v>0</v>
      </c>
      <c r="U12507">
        <v>0</v>
      </c>
      <c r="V12507">
        <v>0</v>
      </c>
      <c r="W12507">
        <v>1</v>
      </c>
      <c r="X12507">
        <v>0</v>
      </c>
      <c r="Y12507">
        <v>1</v>
      </c>
      <c r="Z12507">
        <v>0</v>
      </c>
      <c r="AA12507">
        <v>1</v>
      </c>
      <c r="AB12507">
        <v>0</v>
      </c>
      <c r="AC12507">
        <v>0</v>
      </c>
      <c r="AD12507">
        <v>1</v>
      </c>
      <c r="AE12507">
        <v>1</v>
      </c>
      <c r="AF12507">
        <v>1</v>
      </c>
      <c r="AG12507">
        <v>1</v>
      </c>
      <c r="AH12507">
        <v>1</v>
      </c>
      <c r="AI12507">
        <v>1</v>
      </c>
      <c r="AJ12507">
        <v>1</v>
      </c>
      <c r="AK12507">
        <v>1</v>
      </c>
      <c r="AL12507">
        <v>1</v>
      </c>
      <c r="AM12507">
        <v>1</v>
      </c>
    </row>
    <row r="12508" spans="1:39" x14ac:dyDescent="0.2">
      <c r="A12508" t="str">
        <f>"12504"</f>
        <v>12504</v>
      </c>
      <c r="B12508" t="str">
        <f t="shared" si="694"/>
        <v>1</v>
      </c>
      <c r="C12508" t="str">
        <f t="shared" si="696"/>
        <v>251</v>
      </c>
      <c r="D12508" t="str">
        <f>"15"</f>
        <v>15</v>
      </c>
      <c r="E12508" t="str">
        <f>"1-251-15"</f>
        <v>1-251-15</v>
      </c>
      <c r="F12508" t="s">
        <v>65</v>
      </c>
      <c r="G12508" t="s">
        <v>66</v>
      </c>
      <c r="H12508" t="s">
        <v>67</v>
      </c>
      <c r="S12508">
        <v>1</v>
      </c>
      <c r="T12508">
        <v>0</v>
      </c>
      <c r="U12508">
        <v>0</v>
      </c>
      <c r="V12508">
        <v>0</v>
      </c>
      <c r="W12508">
        <v>0</v>
      </c>
      <c r="X12508">
        <v>0</v>
      </c>
      <c r="Y12508">
        <v>1</v>
      </c>
      <c r="Z12508">
        <v>0</v>
      </c>
      <c r="AA12508">
        <v>1</v>
      </c>
      <c r="AB12508">
        <v>0</v>
      </c>
      <c r="AC12508">
        <v>0</v>
      </c>
      <c r="AD12508">
        <v>0</v>
      </c>
      <c r="AE12508">
        <v>0</v>
      </c>
      <c r="AF12508">
        <v>0</v>
      </c>
      <c r="AG12508">
        <v>1</v>
      </c>
      <c r="AH12508">
        <v>1</v>
      </c>
      <c r="AI12508">
        <v>0</v>
      </c>
      <c r="AJ12508">
        <v>1</v>
      </c>
      <c r="AK12508">
        <v>0</v>
      </c>
      <c r="AL12508">
        <v>0</v>
      </c>
      <c r="AM12508">
        <v>0</v>
      </c>
    </row>
    <row r="12509" spans="1:39" x14ac:dyDescent="0.2">
      <c r="A12509" t="str">
        <f>"12505"</f>
        <v>12505</v>
      </c>
      <c r="B12509" t="str">
        <f t="shared" si="694"/>
        <v>1</v>
      </c>
      <c r="C12509" t="str">
        <f t="shared" si="696"/>
        <v>251</v>
      </c>
      <c r="D12509" t="str">
        <f>"5"</f>
        <v>5</v>
      </c>
      <c r="E12509" t="str">
        <f>"1-251-5"</f>
        <v>1-251-5</v>
      </c>
      <c r="F12509" t="s">
        <v>65</v>
      </c>
      <c r="G12509" t="s">
        <v>66</v>
      </c>
      <c r="H12509" t="s">
        <v>67</v>
      </c>
      <c r="S12509">
        <v>1</v>
      </c>
      <c r="T12509">
        <v>0</v>
      </c>
      <c r="U12509">
        <v>0</v>
      </c>
      <c r="V12509">
        <v>0</v>
      </c>
      <c r="W12509">
        <v>1</v>
      </c>
      <c r="X12509">
        <v>0</v>
      </c>
      <c r="Y12509">
        <v>0</v>
      </c>
      <c r="Z12509">
        <v>1</v>
      </c>
      <c r="AA12509">
        <v>1</v>
      </c>
      <c r="AB12509">
        <v>0</v>
      </c>
      <c r="AC12509">
        <v>0</v>
      </c>
      <c r="AD12509">
        <v>1</v>
      </c>
      <c r="AE12509">
        <v>1</v>
      </c>
      <c r="AF12509">
        <v>1</v>
      </c>
      <c r="AG12509">
        <v>1</v>
      </c>
      <c r="AH12509">
        <v>1</v>
      </c>
      <c r="AI12509">
        <v>1</v>
      </c>
      <c r="AJ12509">
        <v>1</v>
      </c>
      <c r="AK12509">
        <v>1</v>
      </c>
      <c r="AL12509">
        <v>1</v>
      </c>
      <c r="AM12509">
        <v>1</v>
      </c>
    </row>
    <row r="12510" spans="1:39" x14ac:dyDescent="0.2">
      <c r="A12510" t="str">
        <f>"12506"</f>
        <v>12506</v>
      </c>
      <c r="B12510" t="str">
        <f t="shared" si="694"/>
        <v>1</v>
      </c>
      <c r="C12510" t="str">
        <f t="shared" si="696"/>
        <v>251</v>
      </c>
      <c r="D12510" t="str">
        <f>"43"</f>
        <v>43</v>
      </c>
      <c r="E12510" t="str">
        <f>"1-251-43"</f>
        <v>1-251-43</v>
      </c>
      <c r="F12510" t="s">
        <v>65</v>
      </c>
      <c r="G12510" t="s">
        <v>66</v>
      </c>
      <c r="H12510" t="s">
        <v>67</v>
      </c>
      <c r="S12510">
        <v>1</v>
      </c>
      <c r="T12510">
        <v>0</v>
      </c>
      <c r="U12510">
        <v>0</v>
      </c>
      <c r="V12510">
        <v>0</v>
      </c>
      <c r="W12510">
        <v>1</v>
      </c>
      <c r="X12510">
        <v>0</v>
      </c>
      <c r="Y12510">
        <v>1</v>
      </c>
      <c r="Z12510">
        <v>0</v>
      </c>
      <c r="AA12510">
        <v>1</v>
      </c>
      <c r="AB12510">
        <v>0</v>
      </c>
      <c r="AC12510">
        <v>0</v>
      </c>
      <c r="AD12510">
        <v>0</v>
      </c>
      <c r="AE12510">
        <v>0</v>
      </c>
      <c r="AF12510">
        <v>0</v>
      </c>
      <c r="AG12510">
        <v>0</v>
      </c>
      <c r="AH12510">
        <v>0</v>
      </c>
      <c r="AI12510">
        <v>0</v>
      </c>
      <c r="AJ12510">
        <v>0</v>
      </c>
      <c r="AK12510">
        <v>0</v>
      </c>
      <c r="AL12510">
        <v>1</v>
      </c>
      <c r="AM12510">
        <v>0</v>
      </c>
    </row>
    <row r="12511" spans="1:39" x14ac:dyDescent="0.2">
      <c r="A12511" t="str">
        <f>"12507"</f>
        <v>12507</v>
      </c>
      <c r="B12511" t="str">
        <f t="shared" si="694"/>
        <v>1</v>
      </c>
      <c r="C12511" t="str">
        <f t="shared" si="696"/>
        <v>251</v>
      </c>
      <c r="D12511" t="str">
        <f>"42"</f>
        <v>42</v>
      </c>
      <c r="E12511" t="str">
        <f>"1-251-42"</f>
        <v>1-251-42</v>
      </c>
      <c r="F12511" t="s">
        <v>65</v>
      </c>
      <c r="G12511" t="s">
        <v>66</v>
      </c>
      <c r="H12511" t="s">
        <v>67</v>
      </c>
      <c r="S12511">
        <v>1</v>
      </c>
      <c r="T12511">
        <v>0</v>
      </c>
      <c r="U12511">
        <v>0</v>
      </c>
      <c r="V12511">
        <v>0</v>
      </c>
      <c r="W12511">
        <v>1</v>
      </c>
      <c r="X12511">
        <v>0</v>
      </c>
      <c r="Y12511">
        <v>1</v>
      </c>
      <c r="Z12511">
        <v>0</v>
      </c>
      <c r="AA12511">
        <v>1</v>
      </c>
      <c r="AB12511">
        <v>0</v>
      </c>
      <c r="AC12511">
        <v>0</v>
      </c>
      <c r="AD12511">
        <v>0</v>
      </c>
      <c r="AE12511">
        <v>0</v>
      </c>
      <c r="AF12511">
        <v>0</v>
      </c>
      <c r="AG12511">
        <v>0</v>
      </c>
      <c r="AH12511">
        <v>0</v>
      </c>
      <c r="AI12511">
        <v>0</v>
      </c>
      <c r="AJ12511">
        <v>0</v>
      </c>
      <c r="AK12511">
        <v>0</v>
      </c>
      <c r="AL12511">
        <v>1</v>
      </c>
      <c r="AM12511">
        <v>0</v>
      </c>
    </row>
    <row r="12512" spans="1:39" x14ac:dyDescent="0.2">
      <c r="A12512" t="str">
        <f>"12508"</f>
        <v>12508</v>
      </c>
      <c r="B12512" t="str">
        <f t="shared" si="694"/>
        <v>1</v>
      </c>
      <c r="C12512" t="str">
        <f t="shared" si="696"/>
        <v>251</v>
      </c>
      <c r="D12512" t="str">
        <f>"29"</f>
        <v>29</v>
      </c>
      <c r="E12512" t="str">
        <f>"1-251-29"</f>
        <v>1-251-29</v>
      </c>
      <c r="F12512" t="s">
        <v>65</v>
      </c>
      <c r="G12512" t="s">
        <v>66</v>
      </c>
      <c r="H12512" t="s">
        <v>67</v>
      </c>
      <c r="S12512">
        <v>1</v>
      </c>
      <c r="T12512">
        <v>0</v>
      </c>
      <c r="U12512">
        <v>0</v>
      </c>
      <c r="V12512">
        <v>0</v>
      </c>
      <c r="W12512">
        <v>1</v>
      </c>
      <c r="X12512">
        <v>0</v>
      </c>
      <c r="Y12512">
        <v>1</v>
      </c>
      <c r="Z12512">
        <v>0</v>
      </c>
      <c r="AA12512">
        <v>0</v>
      </c>
      <c r="AB12512">
        <v>0</v>
      </c>
      <c r="AC12512">
        <v>1</v>
      </c>
      <c r="AD12512">
        <v>1</v>
      </c>
      <c r="AE12512">
        <v>1</v>
      </c>
      <c r="AF12512">
        <v>1</v>
      </c>
      <c r="AG12512">
        <v>1</v>
      </c>
      <c r="AH12512">
        <v>1</v>
      </c>
      <c r="AI12512">
        <v>1</v>
      </c>
      <c r="AJ12512">
        <v>1</v>
      </c>
      <c r="AK12512">
        <v>1</v>
      </c>
      <c r="AL12512">
        <v>1</v>
      </c>
      <c r="AM12512">
        <v>0</v>
      </c>
    </row>
    <row r="12513" spans="1:39" x14ac:dyDescent="0.2">
      <c r="A12513" t="str">
        <f>"12509"</f>
        <v>12509</v>
      </c>
      <c r="B12513" t="str">
        <f t="shared" si="694"/>
        <v>1</v>
      </c>
      <c r="C12513" t="str">
        <f t="shared" si="696"/>
        <v>251</v>
      </c>
      <c r="D12513" t="str">
        <f>"16"</f>
        <v>16</v>
      </c>
      <c r="E12513" t="str">
        <f>"1-251-16"</f>
        <v>1-251-16</v>
      </c>
      <c r="F12513" t="s">
        <v>65</v>
      </c>
      <c r="G12513" t="s">
        <v>66</v>
      </c>
      <c r="H12513" t="s">
        <v>67</v>
      </c>
      <c r="S12513">
        <v>1</v>
      </c>
      <c r="T12513">
        <v>0</v>
      </c>
      <c r="U12513">
        <v>0</v>
      </c>
      <c r="V12513">
        <v>0</v>
      </c>
      <c r="W12513">
        <v>1</v>
      </c>
      <c r="X12513">
        <v>0</v>
      </c>
      <c r="Y12513">
        <v>1</v>
      </c>
      <c r="Z12513">
        <v>0</v>
      </c>
      <c r="AA12513">
        <v>1</v>
      </c>
      <c r="AB12513">
        <v>0</v>
      </c>
      <c r="AC12513">
        <v>0</v>
      </c>
      <c r="AD12513">
        <v>0</v>
      </c>
      <c r="AE12513">
        <v>0</v>
      </c>
      <c r="AF12513">
        <v>0</v>
      </c>
      <c r="AG12513">
        <v>1</v>
      </c>
      <c r="AH12513">
        <v>1</v>
      </c>
      <c r="AI12513">
        <v>0</v>
      </c>
      <c r="AJ12513">
        <v>1</v>
      </c>
      <c r="AK12513">
        <v>0</v>
      </c>
      <c r="AL12513">
        <v>0</v>
      </c>
      <c r="AM12513">
        <v>0</v>
      </c>
    </row>
    <row r="12514" spans="1:39" x14ac:dyDescent="0.2">
      <c r="A12514" t="str">
        <f>"12510"</f>
        <v>12510</v>
      </c>
      <c r="B12514" t="str">
        <f t="shared" si="694"/>
        <v>1</v>
      </c>
      <c r="C12514" t="str">
        <f t="shared" si="696"/>
        <v>251</v>
      </c>
      <c r="D12514" t="str">
        <f>"6"</f>
        <v>6</v>
      </c>
      <c r="E12514" t="str">
        <f>"1-251-6"</f>
        <v>1-251-6</v>
      </c>
      <c r="F12514" t="s">
        <v>65</v>
      </c>
      <c r="G12514" t="s">
        <v>66</v>
      </c>
      <c r="H12514" t="s">
        <v>67</v>
      </c>
      <c r="S12514">
        <v>1</v>
      </c>
      <c r="T12514">
        <v>0</v>
      </c>
      <c r="U12514">
        <v>0</v>
      </c>
      <c r="V12514">
        <v>0</v>
      </c>
      <c r="W12514">
        <v>1</v>
      </c>
      <c r="X12514">
        <v>0</v>
      </c>
      <c r="Y12514">
        <v>0</v>
      </c>
      <c r="Z12514">
        <v>1</v>
      </c>
      <c r="AA12514">
        <v>1</v>
      </c>
      <c r="AB12514">
        <v>0</v>
      </c>
      <c r="AC12514">
        <v>0</v>
      </c>
      <c r="AD12514">
        <v>1</v>
      </c>
      <c r="AE12514">
        <v>1</v>
      </c>
      <c r="AF12514">
        <v>1</v>
      </c>
      <c r="AG12514">
        <v>1</v>
      </c>
      <c r="AH12514">
        <v>1</v>
      </c>
      <c r="AI12514">
        <v>1</v>
      </c>
      <c r="AJ12514">
        <v>1</v>
      </c>
      <c r="AK12514">
        <v>1</v>
      </c>
      <c r="AL12514">
        <v>1</v>
      </c>
      <c r="AM12514">
        <v>1</v>
      </c>
    </row>
    <row r="12515" spans="1:39" x14ac:dyDescent="0.2">
      <c r="A12515" t="str">
        <f>"12511"</f>
        <v>12511</v>
      </c>
      <c r="B12515" t="str">
        <f t="shared" si="694"/>
        <v>1</v>
      </c>
      <c r="C12515" t="str">
        <f t="shared" si="696"/>
        <v>251</v>
      </c>
      <c r="D12515" t="str">
        <f>"39"</f>
        <v>39</v>
      </c>
      <c r="E12515" t="str">
        <f>"1-251-39"</f>
        <v>1-251-39</v>
      </c>
      <c r="F12515" t="s">
        <v>65</v>
      </c>
      <c r="G12515" t="s">
        <v>66</v>
      </c>
      <c r="H12515" t="s">
        <v>67</v>
      </c>
      <c r="S12515">
        <v>1</v>
      </c>
      <c r="T12515">
        <v>0</v>
      </c>
      <c r="U12515">
        <v>0</v>
      </c>
      <c r="V12515">
        <v>0</v>
      </c>
      <c r="W12515">
        <v>1</v>
      </c>
      <c r="X12515">
        <v>0</v>
      </c>
      <c r="Y12515">
        <v>1</v>
      </c>
      <c r="Z12515">
        <v>0</v>
      </c>
      <c r="AA12515">
        <v>1</v>
      </c>
      <c r="AB12515">
        <v>0</v>
      </c>
      <c r="AC12515">
        <v>0</v>
      </c>
      <c r="AD12515">
        <v>0</v>
      </c>
      <c r="AE12515">
        <v>0</v>
      </c>
      <c r="AF12515">
        <v>1</v>
      </c>
      <c r="AG12515">
        <v>1</v>
      </c>
      <c r="AH12515">
        <v>1</v>
      </c>
      <c r="AI12515">
        <v>1</v>
      </c>
      <c r="AJ12515">
        <v>1</v>
      </c>
      <c r="AK12515">
        <v>1</v>
      </c>
      <c r="AL12515">
        <v>1</v>
      </c>
      <c r="AM12515">
        <v>1</v>
      </c>
    </row>
    <row r="12516" spans="1:39" x14ac:dyDescent="0.2">
      <c r="A12516" t="str">
        <f>"12512"</f>
        <v>12512</v>
      </c>
      <c r="B12516" t="str">
        <f t="shared" si="694"/>
        <v>1</v>
      </c>
      <c r="C12516" t="str">
        <f t="shared" si="696"/>
        <v>251</v>
      </c>
      <c r="D12516" t="str">
        <f>"38"</f>
        <v>38</v>
      </c>
      <c r="E12516" t="str">
        <f>"1-251-38"</f>
        <v>1-251-38</v>
      </c>
      <c r="F12516" t="s">
        <v>65</v>
      </c>
      <c r="G12516" t="s">
        <v>66</v>
      </c>
      <c r="H12516" t="s">
        <v>67</v>
      </c>
      <c r="S12516">
        <v>1</v>
      </c>
      <c r="T12516">
        <v>0</v>
      </c>
      <c r="U12516">
        <v>0</v>
      </c>
      <c r="V12516">
        <v>0</v>
      </c>
      <c r="W12516">
        <v>1</v>
      </c>
      <c r="X12516">
        <v>0</v>
      </c>
      <c r="Y12516">
        <v>1</v>
      </c>
      <c r="Z12516">
        <v>0</v>
      </c>
      <c r="AA12516">
        <v>1</v>
      </c>
      <c r="AB12516">
        <v>0</v>
      </c>
      <c r="AC12516">
        <v>0</v>
      </c>
      <c r="AD12516">
        <v>0</v>
      </c>
      <c r="AE12516">
        <v>0</v>
      </c>
      <c r="AF12516">
        <v>0</v>
      </c>
      <c r="AG12516">
        <v>0</v>
      </c>
      <c r="AH12516">
        <v>0</v>
      </c>
      <c r="AI12516">
        <v>0</v>
      </c>
      <c r="AJ12516">
        <v>0</v>
      </c>
      <c r="AK12516">
        <v>0</v>
      </c>
      <c r="AL12516">
        <v>0</v>
      </c>
      <c r="AM12516">
        <v>0</v>
      </c>
    </row>
    <row r="12517" spans="1:39" x14ac:dyDescent="0.2">
      <c r="A12517" t="str">
        <f>"12513"</f>
        <v>12513</v>
      </c>
      <c r="B12517" t="str">
        <f t="shared" si="694"/>
        <v>1</v>
      </c>
      <c r="C12517" t="str">
        <f t="shared" si="696"/>
        <v>251</v>
      </c>
      <c r="D12517" t="str">
        <f>"28"</f>
        <v>28</v>
      </c>
      <c r="E12517" t="str">
        <f>"1-251-28"</f>
        <v>1-251-28</v>
      </c>
      <c r="F12517" t="s">
        <v>65</v>
      </c>
      <c r="G12517" t="s">
        <v>66</v>
      </c>
      <c r="H12517" t="s">
        <v>67</v>
      </c>
      <c r="S12517">
        <v>0</v>
      </c>
      <c r="T12517">
        <v>1</v>
      </c>
      <c r="U12517">
        <v>0</v>
      </c>
      <c r="V12517">
        <v>0</v>
      </c>
      <c r="W12517">
        <v>1</v>
      </c>
      <c r="X12517">
        <v>0</v>
      </c>
      <c r="Y12517">
        <v>1</v>
      </c>
      <c r="Z12517">
        <v>0</v>
      </c>
      <c r="AA12517">
        <v>0</v>
      </c>
      <c r="AB12517">
        <v>1</v>
      </c>
      <c r="AC12517">
        <v>0</v>
      </c>
      <c r="AD12517">
        <v>0</v>
      </c>
      <c r="AE12517">
        <v>0</v>
      </c>
      <c r="AF12517">
        <v>0</v>
      </c>
      <c r="AG12517">
        <v>0</v>
      </c>
      <c r="AH12517">
        <v>0</v>
      </c>
      <c r="AI12517">
        <v>0</v>
      </c>
      <c r="AJ12517">
        <v>0</v>
      </c>
      <c r="AK12517">
        <v>0</v>
      </c>
      <c r="AL12517">
        <v>0</v>
      </c>
      <c r="AM12517">
        <v>0</v>
      </c>
    </row>
    <row r="12518" spans="1:39" x14ac:dyDescent="0.2">
      <c r="A12518" t="str">
        <f>"12514"</f>
        <v>12514</v>
      </c>
      <c r="B12518" t="str">
        <f t="shared" si="694"/>
        <v>1</v>
      </c>
      <c r="C12518" t="str">
        <f t="shared" si="696"/>
        <v>251</v>
      </c>
      <c r="D12518" t="str">
        <f>"17"</f>
        <v>17</v>
      </c>
      <c r="E12518" t="str">
        <f>"1-251-17"</f>
        <v>1-251-17</v>
      </c>
      <c r="F12518" t="s">
        <v>65</v>
      </c>
      <c r="G12518" t="s">
        <v>66</v>
      </c>
      <c r="H12518" t="s">
        <v>67</v>
      </c>
      <c r="S12518">
        <v>1</v>
      </c>
      <c r="T12518">
        <v>0</v>
      </c>
      <c r="U12518">
        <v>0</v>
      </c>
      <c r="V12518">
        <v>0</v>
      </c>
      <c r="W12518">
        <v>1</v>
      </c>
      <c r="X12518">
        <v>0</v>
      </c>
      <c r="Y12518">
        <v>1</v>
      </c>
      <c r="Z12518">
        <v>0</v>
      </c>
      <c r="AA12518">
        <v>1</v>
      </c>
      <c r="AB12518">
        <v>0</v>
      </c>
      <c r="AC12518">
        <v>0</v>
      </c>
      <c r="AD12518">
        <v>1</v>
      </c>
      <c r="AE12518">
        <v>1</v>
      </c>
      <c r="AF12518">
        <v>1</v>
      </c>
      <c r="AG12518">
        <v>1</v>
      </c>
      <c r="AH12518">
        <v>1</v>
      </c>
      <c r="AI12518">
        <v>1</v>
      </c>
      <c r="AJ12518">
        <v>1</v>
      </c>
      <c r="AK12518">
        <v>1</v>
      </c>
      <c r="AL12518">
        <v>1</v>
      </c>
      <c r="AM12518">
        <v>1</v>
      </c>
    </row>
    <row r="12519" spans="1:39" x14ac:dyDescent="0.2">
      <c r="A12519" t="str">
        <f>"12515"</f>
        <v>12515</v>
      </c>
      <c r="B12519" t="str">
        <f t="shared" si="694"/>
        <v>1</v>
      </c>
      <c r="C12519" t="str">
        <f t="shared" si="696"/>
        <v>251</v>
      </c>
      <c r="D12519" t="str">
        <f>"13"</f>
        <v>13</v>
      </c>
      <c r="E12519" t="str">
        <f>"1-251-13"</f>
        <v>1-251-13</v>
      </c>
      <c r="F12519" t="s">
        <v>65</v>
      </c>
      <c r="G12519" t="s">
        <v>66</v>
      </c>
      <c r="H12519" t="s">
        <v>67</v>
      </c>
      <c r="S12519">
        <v>1</v>
      </c>
      <c r="T12519">
        <v>0</v>
      </c>
      <c r="U12519">
        <v>0</v>
      </c>
      <c r="V12519">
        <v>0</v>
      </c>
      <c r="W12519">
        <v>1</v>
      </c>
      <c r="X12519">
        <v>0</v>
      </c>
      <c r="Y12519">
        <v>1</v>
      </c>
      <c r="Z12519">
        <v>0</v>
      </c>
      <c r="AA12519">
        <v>1</v>
      </c>
      <c r="AB12519">
        <v>0</v>
      </c>
      <c r="AC12519">
        <v>0</v>
      </c>
      <c r="AD12519">
        <v>1</v>
      </c>
      <c r="AE12519">
        <v>1</v>
      </c>
      <c r="AF12519">
        <v>1</v>
      </c>
      <c r="AG12519">
        <v>1</v>
      </c>
      <c r="AH12519">
        <v>1</v>
      </c>
      <c r="AI12519">
        <v>1</v>
      </c>
      <c r="AJ12519">
        <v>1</v>
      </c>
      <c r="AK12519">
        <v>1</v>
      </c>
      <c r="AL12519">
        <v>1</v>
      </c>
      <c r="AM12519">
        <v>1</v>
      </c>
    </row>
    <row r="12520" spans="1:39" x14ac:dyDescent="0.2">
      <c r="A12520" t="str">
        <f>"12516"</f>
        <v>12516</v>
      </c>
      <c r="B12520" t="str">
        <f t="shared" si="694"/>
        <v>1</v>
      </c>
      <c r="C12520" t="str">
        <f t="shared" si="696"/>
        <v>251</v>
      </c>
      <c r="D12520" t="str">
        <f>"41"</f>
        <v>41</v>
      </c>
      <c r="E12520" t="str">
        <f>"1-251-41"</f>
        <v>1-251-41</v>
      </c>
      <c r="F12520" t="s">
        <v>65</v>
      </c>
      <c r="G12520" t="s">
        <v>66</v>
      </c>
      <c r="H12520" t="s">
        <v>67</v>
      </c>
      <c r="S12520">
        <v>1</v>
      </c>
      <c r="T12520">
        <v>0</v>
      </c>
      <c r="U12520">
        <v>0</v>
      </c>
      <c r="V12520">
        <v>0</v>
      </c>
      <c r="W12520">
        <v>1</v>
      </c>
      <c r="X12520">
        <v>0</v>
      </c>
      <c r="Y12520">
        <v>0</v>
      </c>
      <c r="Z12520">
        <v>1</v>
      </c>
      <c r="AA12520">
        <v>1</v>
      </c>
      <c r="AB12520">
        <v>0</v>
      </c>
      <c r="AC12520">
        <v>0</v>
      </c>
      <c r="AD12520">
        <v>0</v>
      </c>
      <c r="AE12520">
        <v>0</v>
      </c>
      <c r="AF12520">
        <v>0</v>
      </c>
      <c r="AG12520">
        <v>1</v>
      </c>
      <c r="AH12520">
        <v>1</v>
      </c>
      <c r="AI12520">
        <v>1</v>
      </c>
      <c r="AJ12520">
        <v>1</v>
      </c>
      <c r="AK12520">
        <v>1</v>
      </c>
      <c r="AL12520">
        <v>1</v>
      </c>
      <c r="AM12520">
        <v>0</v>
      </c>
    </row>
    <row r="12521" spans="1:39" x14ac:dyDescent="0.2">
      <c r="A12521" t="str">
        <f>"12517"</f>
        <v>12517</v>
      </c>
      <c r="B12521" t="str">
        <f t="shared" si="694"/>
        <v>1</v>
      </c>
      <c r="C12521" t="str">
        <f t="shared" si="696"/>
        <v>251</v>
      </c>
      <c r="D12521" t="str">
        <f>"40"</f>
        <v>40</v>
      </c>
      <c r="E12521" t="str">
        <f>"1-251-40"</f>
        <v>1-251-40</v>
      </c>
      <c r="F12521" t="s">
        <v>65</v>
      </c>
      <c r="G12521" t="s">
        <v>66</v>
      </c>
      <c r="H12521" t="s">
        <v>67</v>
      </c>
      <c r="S12521">
        <v>1</v>
      </c>
      <c r="T12521">
        <v>0</v>
      </c>
      <c r="U12521">
        <v>0</v>
      </c>
      <c r="V12521">
        <v>0</v>
      </c>
      <c r="W12521">
        <v>1</v>
      </c>
      <c r="X12521">
        <v>0</v>
      </c>
      <c r="Y12521">
        <v>0</v>
      </c>
      <c r="Z12521">
        <v>1</v>
      </c>
      <c r="AA12521">
        <v>1</v>
      </c>
      <c r="AB12521">
        <v>0</v>
      </c>
      <c r="AC12521">
        <v>0</v>
      </c>
      <c r="AD12521">
        <v>1</v>
      </c>
      <c r="AE12521">
        <v>1</v>
      </c>
      <c r="AF12521">
        <v>1</v>
      </c>
      <c r="AG12521">
        <v>1</v>
      </c>
      <c r="AH12521">
        <v>1</v>
      </c>
      <c r="AI12521">
        <v>1</v>
      </c>
      <c r="AJ12521">
        <v>1</v>
      </c>
      <c r="AK12521">
        <v>1</v>
      </c>
      <c r="AL12521">
        <v>1</v>
      </c>
      <c r="AM12521">
        <v>1</v>
      </c>
    </row>
    <row r="12522" spans="1:39" x14ac:dyDescent="0.2">
      <c r="A12522" t="str">
        <f>"12518"</f>
        <v>12518</v>
      </c>
      <c r="B12522" t="str">
        <f t="shared" si="694"/>
        <v>1</v>
      </c>
      <c r="C12522" t="str">
        <f t="shared" si="696"/>
        <v>251</v>
      </c>
      <c r="D12522" t="str">
        <f>"27"</f>
        <v>27</v>
      </c>
      <c r="E12522" t="str">
        <f>"1-251-27"</f>
        <v>1-251-27</v>
      </c>
      <c r="F12522" t="s">
        <v>65</v>
      </c>
      <c r="G12522" t="s">
        <v>66</v>
      </c>
      <c r="H12522" t="s">
        <v>67</v>
      </c>
      <c r="S12522">
        <v>1</v>
      </c>
      <c r="T12522">
        <v>0</v>
      </c>
      <c r="U12522">
        <v>0</v>
      </c>
      <c r="V12522">
        <v>0</v>
      </c>
      <c r="W12522">
        <v>1</v>
      </c>
      <c r="X12522">
        <v>0</v>
      </c>
      <c r="Y12522">
        <v>1</v>
      </c>
      <c r="Z12522">
        <v>0</v>
      </c>
      <c r="AA12522">
        <v>1</v>
      </c>
      <c r="AB12522">
        <v>0</v>
      </c>
      <c r="AC12522">
        <v>0</v>
      </c>
      <c r="AD12522">
        <v>1</v>
      </c>
      <c r="AE12522">
        <v>1</v>
      </c>
      <c r="AF12522">
        <v>1</v>
      </c>
      <c r="AG12522">
        <v>1</v>
      </c>
      <c r="AH12522">
        <v>1</v>
      </c>
      <c r="AI12522">
        <v>1</v>
      </c>
      <c r="AJ12522">
        <v>0</v>
      </c>
      <c r="AK12522">
        <v>1</v>
      </c>
      <c r="AL12522">
        <v>1</v>
      </c>
      <c r="AM12522">
        <v>1</v>
      </c>
    </row>
    <row r="12523" spans="1:39" x14ac:dyDescent="0.2">
      <c r="A12523" t="str">
        <f>"12519"</f>
        <v>12519</v>
      </c>
      <c r="B12523" t="str">
        <f t="shared" si="694"/>
        <v>1</v>
      </c>
      <c r="C12523" t="str">
        <f t="shared" si="696"/>
        <v>251</v>
      </c>
      <c r="D12523" t="str">
        <f>"18"</f>
        <v>18</v>
      </c>
      <c r="E12523" t="str">
        <f>"1-251-18"</f>
        <v>1-251-18</v>
      </c>
      <c r="F12523" t="s">
        <v>65</v>
      </c>
      <c r="G12523" t="s">
        <v>66</v>
      </c>
      <c r="H12523" t="s">
        <v>67</v>
      </c>
      <c r="S12523">
        <v>0</v>
      </c>
      <c r="T12523">
        <v>1</v>
      </c>
      <c r="U12523">
        <v>0</v>
      </c>
      <c r="V12523">
        <v>0</v>
      </c>
      <c r="W12523">
        <v>0</v>
      </c>
      <c r="X12523">
        <v>1</v>
      </c>
      <c r="Y12523">
        <v>0</v>
      </c>
      <c r="Z12523">
        <v>1</v>
      </c>
      <c r="AA12523">
        <v>0</v>
      </c>
      <c r="AB12523">
        <v>0</v>
      </c>
      <c r="AC12523">
        <v>1</v>
      </c>
      <c r="AD12523">
        <v>1</v>
      </c>
      <c r="AE12523">
        <v>1</v>
      </c>
      <c r="AF12523">
        <v>1</v>
      </c>
      <c r="AG12523">
        <v>1</v>
      </c>
      <c r="AH12523">
        <v>1</v>
      </c>
      <c r="AI12523">
        <v>1</v>
      </c>
      <c r="AJ12523">
        <v>1</v>
      </c>
      <c r="AK12523">
        <v>1</v>
      </c>
      <c r="AL12523">
        <v>1</v>
      </c>
      <c r="AM12523">
        <v>1</v>
      </c>
    </row>
    <row r="12524" spans="1:39" x14ac:dyDescent="0.2">
      <c r="A12524" t="str">
        <f>"12520"</f>
        <v>12520</v>
      </c>
      <c r="B12524" t="str">
        <f t="shared" si="694"/>
        <v>1</v>
      </c>
      <c r="C12524" t="str">
        <f t="shared" si="696"/>
        <v>251</v>
      </c>
      <c r="D12524" t="str">
        <f>"7"</f>
        <v>7</v>
      </c>
      <c r="E12524" t="str">
        <f>"1-251-7"</f>
        <v>1-251-7</v>
      </c>
      <c r="F12524" t="s">
        <v>65</v>
      </c>
      <c r="G12524" t="s">
        <v>66</v>
      </c>
      <c r="H12524" t="s">
        <v>67</v>
      </c>
      <c r="S12524">
        <v>1</v>
      </c>
      <c r="T12524">
        <v>0</v>
      </c>
      <c r="U12524">
        <v>0</v>
      </c>
      <c r="V12524">
        <v>0</v>
      </c>
      <c r="W12524">
        <v>1</v>
      </c>
      <c r="X12524">
        <v>0</v>
      </c>
      <c r="Y12524">
        <v>0</v>
      </c>
      <c r="Z12524">
        <v>1</v>
      </c>
      <c r="AA12524">
        <v>1</v>
      </c>
      <c r="AB12524">
        <v>0</v>
      </c>
      <c r="AC12524">
        <v>0</v>
      </c>
      <c r="AD12524">
        <v>1</v>
      </c>
      <c r="AE12524">
        <v>1</v>
      </c>
      <c r="AF12524">
        <v>1</v>
      </c>
      <c r="AG12524">
        <v>1</v>
      </c>
      <c r="AH12524">
        <v>1</v>
      </c>
      <c r="AI12524">
        <v>1</v>
      </c>
      <c r="AJ12524">
        <v>1</v>
      </c>
      <c r="AK12524">
        <v>1</v>
      </c>
      <c r="AL12524">
        <v>1</v>
      </c>
      <c r="AM12524">
        <v>1</v>
      </c>
    </row>
    <row r="12525" spans="1:39" x14ac:dyDescent="0.2">
      <c r="A12525" t="str">
        <f>"12521"</f>
        <v>12521</v>
      </c>
      <c r="B12525" t="str">
        <f t="shared" si="694"/>
        <v>1</v>
      </c>
      <c r="C12525" t="str">
        <f t="shared" si="696"/>
        <v>251</v>
      </c>
      <c r="D12525" t="str">
        <f>"47"</f>
        <v>47</v>
      </c>
      <c r="E12525" t="str">
        <f>"1-251-47"</f>
        <v>1-251-47</v>
      </c>
      <c r="F12525" t="s">
        <v>65</v>
      </c>
      <c r="G12525" t="s">
        <v>66</v>
      </c>
      <c r="H12525" t="s">
        <v>67</v>
      </c>
      <c r="S12525">
        <v>0</v>
      </c>
      <c r="T12525">
        <v>1</v>
      </c>
      <c r="U12525">
        <v>0</v>
      </c>
      <c r="V12525">
        <v>0</v>
      </c>
      <c r="W12525">
        <v>0</v>
      </c>
      <c r="X12525">
        <v>1</v>
      </c>
      <c r="Y12525">
        <v>0</v>
      </c>
      <c r="Z12525">
        <v>1</v>
      </c>
      <c r="AA12525">
        <v>1</v>
      </c>
      <c r="AB12525">
        <v>0</v>
      </c>
      <c r="AC12525">
        <v>0</v>
      </c>
      <c r="AD12525">
        <v>1</v>
      </c>
      <c r="AE12525">
        <v>1</v>
      </c>
      <c r="AF12525">
        <v>1</v>
      </c>
      <c r="AG12525">
        <v>1</v>
      </c>
      <c r="AH12525">
        <v>1</v>
      </c>
      <c r="AI12525">
        <v>1</v>
      </c>
      <c r="AJ12525">
        <v>1</v>
      </c>
      <c r="AK12525">
        <v>1</v>
      </c>
      <c r="AL12525">
        <v>1</v>
      </c>
      <c r="AM12525">
        <v>1</v>
      </c>
    </row>
    <row r="12526" spans="1:39" x14ac:dyDescent="0.2">
      <c r="A12526" t="str">
        <f>"12522"</f>
        <v>12522</v>
      </c>
      <c r="B12526" t="str">
        <f t="shared" si="694"/>
        <v>1</v>
      </c>
      <c r="C12526" t="str">
        <f t="shared" si="696"/>
        <v>251</v>
      </c>
      <c r="D12526" t="str">
        <f>"46"</f>
        <v>46</v>
      </c>
      <c r="E12526" t="str">
        <f>"1-251-46"</f>
        <v>1-251-46</v>
      </c>
      <c r="F12526" t="s">
        <v>65</v>
      </c>
      <c r="G12526" t="s">
        <v>66</v>
      </c>
      <c r="H12526" t="s">
        <v>67</v>
      </c>
      <c r="S12526">
        <v>0</v>
      </c>
      <c r="T12526">
        <v>1</v>
      </c>
      <c r="U12526">
        <v>0</v>
      </c>
      <c r="V12526">
        <v>0</v>
      </c>
      <c r="W12526">
        <v>1</v>
      </c>
      <c r="X12526">
        <v>0</v>
      </c>
      <c r="Y12526">
        <v>1</v>
      </c>
      <c r="Z12526">
        <v>0</v>
      </c>
      <c r="AA12526">
        <v>1</v>
      </c>
      <c r="AB12526">
        <v>0</v>
      </c>
      <c r="AC12526">
        <v>0</v>
      </c>
      <c r="AD12526">
        <v>1</v>
      </c>
      <c r="AE12526">
        <v>1</v>
      </c>
      <c r="AF12526">
        <v>1</v>
      </c>
      <c r="AG12526">
        <v>1</v>
      </c>
      <c r="AH12526">
        <v>1</v>
      </c>
      <c r="AI12526">
        <v>1</v>
      </c>
      <c r="AJ12526">
        <v>1</v>
      </c>
      <c r="AK12526">
        <v>1</v>
      </c>
      <c r="AL12526">
        <v>1</v>
      </c>
      <c r="AM12526">
        <v>1</v>
      </c>
    </row>
    <row r="12527" spans="1:39" x14ac:dyDescent="0.2">
      <c r="A12527" t="str">
        <f>"12523"</f>
        <v>12523</v>
      </c>
      <c r="B12527" t="str">
        <f t="shared" si="694"/>
        <v>1</v>
      </c>
      <c r="C12527" t="str">
        <f t="shared" si="696"/>
        <v>251</v>
      </c>
      <c r="D12527" t="str">
        <f>"33"</f>
        <v>33</v>
      </c>
      <c r="E12527" t="str">
        <f>"1-251-33"</f>
        <v>1-251-33</v>
      </c>
      <c r="F12527" t="s">
        <v>65</v>
      </c>
      <c r="G12527" t="s">
        <v>66</v>
      </c>
      <c r="H12527" t="s">
        <v>67</v>
      </c>
      <c r="S12527">
        <v>1</v>
      </c>
      <c r="T12527">
        <v>0</v>
      </c>
      <c r="U12527">
        <v>0</v>
      </c>
      <c r="V12527">
        <v>0</v>
      </c>
      <c r="W12527">
        <v>1</v>
      </c>
      <c r="X12527">
        <v>0</v>
      </c>
      <c r="Y12527">
        <v>1</v>
      </c>
      <c r="Z12527">
        <v>0</v>
      </c>
      <c r="AA12527">
        <v>1</v>
      </c>
      <c r="AB12527">
        <v>0</v>
      </c>
      <c r="AC12527">
        <v>0</v>
      </c>
      <c r="AD12527">
        <v>1</v>
      </c>
      <c r="AE12527">
        <v>1</v>
      </c>
      <c r="AF12527">
        <v>1</v>
      </c>
      <c r="AG12527">
        <v>1</v>
      </c>
      <c r="AH12527">
        <v>1</v>
      </c>
      <c r="AI12527">
        <v>1</v>
      </c>
      <c r="AJ12527">
        <v>1</v>
      </c>
      <c r="AK12527">
        <v>1</v>
      </c>
      <c r="AL12527">
        <v>0</v>
      </c>
      <c r="AM12527">
        <v>1</v>
      </c>
    </row>
    <row r="12528" spans="1:39" x14ac:dyDescent="0.2">
      <c r="A12528" t="str">
        <f>"12524"</f>
        <v>12524</v>
      </c>
      <c r="B12528" t="str">
        <f t="shared" si="694"/>
        <v>1</v>
      </c>
      <c r="C12528" t="str">
        <f t="shared" si="696"/>
        <v>251</v>
      </c>
      <c r="D12528" t="str">
        <f>"19"</f>
        <v>19</v>
      </c>
      <c r="E12528" t="str">
        <f>"1-251-19"</f>
        <v>1-251-19</v>
      </c>
      <c r="F12528" t="s">
        <v>65</v>
      </c>
      <c r="G12528" t="s">
        <v>66</v>
      </c>
      <c r="H12528" t="s">
        <v>67</v>
      </c>
      <c r="S12528">
        <v>0</v>
      </c>
      <c r="T12528">
        <v>1</v>
      </c>
      <c r="U12528">
        <v>0</v>
      </c>
      <c r="V12528">
        <v>0</v>
      </c>
      <c r="W12528">
        <v>0</v>
      </c>
      <c r="X12528">
        <v>1</v>
      </c>
      <c r="Y12528">
        <v>0</v>
      </c>
      <c r="Z12528">
        <v>1</v>
      </c>
      <c r="AA12528">
        <v>0</v>
      </c>
      <c r="AB12528">
        <v>0</v>
      </c>
      <c r="AC12528">
        <v>1</v>
      </c>
      <c r="AD12528">
        <v>1</v>
      </c>
      <c r="AE12528">
        <v>1</v>
      </c>
      <c r="AF12528">
        <v>1</v>
      </c>
      <c r="AG12528">
        <v>1</v>
      </c>
      <c r="AH12528">
        <v>1</v>
      </c>
      <c r="AI12528">
        <v>1</v>
      </c>
      <c r="AJ12528">
        <v>1</v>
      </c>
      <c r="AK12528">
        <v>1</v>
      </c>
      <c r="AL12528">
        <v>1</v>
      </c>
      <c r="AM12528">
        <v>1</v>
      </c>
    </row>
    <row r="12529" spans="1:39" x14ac:dyDescent="0.2">
      <c r="A12529" t="str">
        <f>"12525"</f>
        <v>12525</v>
      </c>
      <c r="B12529" t="str">
        <f t="shared" si="694"/>
        <v>1</v>
      </c>
      <c r="C12529" t="str">
        <f t="shared" si="696"/>
        <v>251</v>
      </c>
      <c r="D12529" t="str">
        <f>"12"</f>
        <v>12</v>
      </c>
      <c r="E12529" t="str">
        <f>"1-251-12"</f>
        <v>1-251-12</v>
      </c>
      <c r="F12529" t="s">
        <v>65</v>
      </c>
      <c r="G12529" t="s">
        <v>66</v>
      </c>
      <c r="H12529" t="s">
        <v>67</v>
      </c>
      <c r="S12529">
        <v>0</v>
      </c>
      <c r="T12529">
        <v>1</v>
      </c>
      <c r="U12529">
        <v>0</v>
      </c>
      <c r="V12529">
        <v>0</v>
      </c>
      <c r="W12529">
        <v>1</v>
      </c>
      <c r="X12529">
        <v>0</v>
      </c>
      <c r="Y12529">
        <v>0</v>
      </c>
      <c r="Z12529">
        <v>1</v>
      </c>
      <c r="AA12529">
        <v>0</v>
      </c>
      <c r="AB12529">
        <v>1</v>
      </c>
      <c r="AC12529">
        <v>0</v>
      </c>
      <c r="AD12529">
        <v>0</v>
      </c>
      <c r="AE12529">
        <v>0</v>
      </c>
      <c r="AF12529">
        <v>0</v>
      </c>
      <c r="AG12529">
        <v>0</v>
      </c>
      <c r="AH12529">
        <v>0</v>
      </c>
      <c r="AI12529">
        <v>0</v>
      </c>
      <c r="AJ12529">
        <v>0</v>
      </c>
      <c r="AK12529">
        <v>0</v>
      </c>
      <c r="AL12529">
        <v>0</v>
      </c>
      <c r="AM12529">
        <v>0</v>
      </c>
    </row>
    <row r="12530" spans="1:39" x14ac:dyDescent="0.2">
      <c r="A12530" t="str">
        <f>"12526"</f>
        <v>12526</v>
      </c>
      <c r="B12530" t="str">
        <f t="shared" si="694"/>
        <v>1</v>
      </c>
      <c r="C12530" t="str">
        <f t="shared" si="696"/>
        <v>251</v>
      </c>
      <c r="D12530" t="str">
        <f>"36"</f>
        <v>36</v>
      </c>
      <c r="E12530" t="str">
        <f>"1-251-36"</f>
        <v>1-251-36</v>
      </c>
      <c r="F12530" t="s">
        <v>65</v>
      </c>
      <c r="G12530" t="s">
        <v>66</v>
      </c>
      <c r="H12530" t="s">
        <v>67</v>
      </c>
      <c r="S12530">
        <v>0</v>
      </c>
      <c r="T12530">
        <v>0</v>
      </c>
      <c r="U12530">
        <v>0</v>
      </c>
      <c r="V12530">
        <v>0</v>
      </c>
      <c r="W12530">
        <v>1</v>
      </c>
      <c r="X12530">
        <v>0</v>
      </c>
      <c r="Y12530">
        <v>0</v>
      </c>
      <c r="Z12530">
        <v>0</v>
      </c>
      <c r="AA12530">
        <v>0</v>
      </c>
      <c r="AB12530">
        <v>0</v>
      </c>
      <c r="AC12530">
        <v>0</v>
      </c>
      <c r="AD12530">
        <v>0</v>
      </c>
      <c r="AE12530">
        <v>0</v>
      </c>
      <c r="AF12530">
        <v>0</v>
      </c>
      <c r="AG12530">
        <v>0</v>
      </c>
      <c r="AH12530">
        <v>0</v>
      </c>
      <c r="AI12530">
        <v>0</v>
      </c>
      <c r="AJ12530">
        <v>0</v>
      </c>
      <c r="AK12530">
        <v>0</v>
      </c>
      <c r="AL12530">
        <v>0</v>
      </c>
      <c r="AM12530">
        <v>0</v>
      </c>
    </row>
    <row r="12531" spans="1:39" x14ac:dyDescent="0.2">
      <c r="A12531" t="str">
        <f>"12527"</f>
        <v>12527</v>
      </c>
      <c r="B12531" t="str">
        <f t="shared" si="694"/>
        <v>1</v>
      </c>
      <c r="C12531" t="str">
        <f t="shared" si="696"/>
        <v>251</v>
      </c>
      <c r="D12531" t="str">
        <f>"20"</f>
        <v>20</v>
      </c>
      <c r="E12531" t="str">
        <f>"1-251-20"</f>
        <v>1-251-20</v>
      </c>
      <c r="F12531" t="s">
        <v>65</v>
      </c>
      <c r="G12531" t="s">
        <v>66</v>
      </c>
      <c r="H12531" t="s">
        <v>67</v>
      </c>
      <c r="S12531">
        <v>0</v>
      </c>
      <c r="T12531">
        <v>1</v>
      </c>
      <c r="U12531">
        <v>0</v>
      </c>
      <c r="V12531">
        <v>0</v>
      </c>
      <c r="W12531">
        <v>1</v>
      </c>
      <c r="X12531">
        <v>0</v>
      </c>
      <c r="Y12531">
        <v>1</v>
      </c>
      <c r="Z12531">
        <v>0</v>
      </c>
      <c r="AA12531">
        <v>1</v>
      </c>
      <c r="AB12531">
        <v>0</v>
      </c>
      <c r="AC12531">
        <v>0</v>
      </c>
      <c r="AD12531">
        <v>0</v>
      </c>
      <c r="AE12531">
        <v>0</v>
      </c>
      <c r="AF12531">
        <v>0</v>
      </c>
      <c r="AG12531">
        <v>0</v>
      </c>
      <c r="AH12531">
        <v>0</v>
      </c>
      <c r="AI12531">
        <v>0</v>
      </c>
      <c r="AJ12531">
        <v>0</v>
      </c>
      <c r="AK12531">
        <v>0</v>
      </c>
      <c r="AL12531">
        <v>0</v>
      </c>
      <c r="AM12531">
        <v>0</v>
      </c>
    </row>
    <row r="12532" spans="1:39" x14ac:dyDescent="0.2">
      <c r="A12532" t="str">
        <f>"12528"</f>
        <v>12528</v>
      </c>
      <c r="B12532" t="str">
        <f t="shared" si="694"/>
        <v>1</v>
      </c>
      <c r="C12532" t="str">
        <f t="shared" si="696"/>
        <v>251</v>
      </c>
      <c r="D12532" t="str">
        <f>"8"</f>
        <v>8</v>
      </c>
      <c r="E12532" t="str">
        <f>"1-251-8"</f>
        <v>1-251-8</v>
      </c>
      <c r="F12532" t="s">
        <v>65</v>
      </c>
      <c r="G12532" t="s">
        <v>66</v>
      </c>
      <c r="H12532" t="s">
        <v>67</v>
      </c>
      <c r="S12532">
        <v>1</v>
      </c>
      <c r="T12532">
        <v>0</v>
      </c>
      <c r="U12532">
        <v>0</v>
      </c>
      <c r="V12532">
        <v>0</v>
      </c>
      <c r="W12532">
        <v>1</v>
      </c>
      <c r="X12532">
        <v>0</v>
      </c>
      <c r="Y12532">
        <v>1</v>
      </c>
      <c r="Z12532">
        <v>0</v>
      </c>
      <c r="AA12532">
        <v>0</v>
      </c>
      <c r="AB12532">
        <v>0</v>
      </c>
      <c r="AC12532">
        <v>1</v>
      </c>
      <c r="AD12532">
        <v>1</v>
      </c>
      <c r="AE12532">
        <v>1</v>
      </c>
      <c r="AF12532">
        <v>1</v>
      </c>
      <c r="AG12532">
        <v>1</v>
      </c>
      <c r="AH12532">
        <v>1</v>
      </c>
      <c r="AI12532">
        <v>1</v>
      </c>
      <c r="AJ12532">
        <v>1</v>
      </c>
      <c r="AK12532">
        <v>1</v>
      </c>
      <c r="AL12532">
        <v>1</v>
      </c>
      <c r="AM12532">
        <v>1</v>
      </c>
    </row>
    <row r="12533" spans="1:39" x14ac:dyDescent="0.2">
      <c r="A12533" t="str">
        <f>"12529"</f>
        <v>12529</v>
      </c>
      <c r="B12533" t="str">
        <f t="shared" si="694"/>
        <v>1</v>
      </c>
      <c r="C12533" t="str">
        <f t="shared" si="696"/>
        <v>251</v>
      </c>
      <c r="D12533" t="str">
        <f>"44"</f>
        <v>44</v>
      </c>
      <c r="E12533" t="str">
        <f>"1-251-44"</f>
        <v>1-251-44</v>
      </c>
      <c r="F12533" t="s">
        <v>65</v>
      </c>
      <c r="G12533" t="s">
        <v>66</v>
      </c>
      <c r="H12533" t="s">
        <v>67</v>
      </c>
      <c r="S12533">
        <v>1</v>
      </c>
      <c r="T12533">
        <v>0</v>
      </c>
      <c r="U12533">
        <v>0</v>
      </c>
      <c r="V12533">
        <v>0</v>
      </c>
      <c r="W12533">
        <v>1</v>
      </c>
      <c r="X12533">
        <v>0</v>
      </c>
      <c r="Y12533">
        <v>1</v>
      </c>
      <c r="Z12533">
        <v>0</v>
      </c>
      <c r="AA12533">
        <v>1</v>
      </c>
      <c r="AB12533">
        <v>0</v>
      </c>
      <c r="AC12533">
        <v>0</v>
      </c>
      <c r="AD12533">
        <v>0</v>
      </c>
      <c r="AE12533">
        <v>0</v>
      </c>
      <c r="AF12533">
        <v>0</v>
      </c>
      <c r="AG12533">
        <v>0</v>
      </c>
      <c r="AH12533">
        <v>0</v>
      </c>
      <c r="AI12533">
        <v>0</v>
      </c>
      <c r="AJ12533">
        <v>0</v>
      </c>
      <c r="AK12533">
        <v>0</v>
      </c>
      <c r="AL12533">
        <v>1</v>
      </c>
      <c r="AM12533">
        <v>0</v>
      </c>
    </row>
    <row r="12534" spans="1:39" x14ac:dyDescent="0.2">
      <c r="A12534" t="str">
        <f>"12530"</f>
        <v>12530</v>
      </c>
      <c r="B12534" t="str">
        <f t="shared" si="694"/>
        <v>1</v>
      </c>
      <c r="C12534" t="str">
        <f t="shared" si="696"/>
        <v>251</v>
      </c>
      <c r="D12534" t="str">
        <f>"21"</f>
        <v>21</v>
      </c>
      <c r="E12534" t="str">
        <f>"1-251-21"</f>
        <v>1-251-21</v>
      </c>
      <c r="F12534" t="s">
        <v>65</v>
      </c>
      <c r="G12534" t="s">
        <v>66</v>
      </c>
      <c r="H12534" t="s">
        <v>67</v>
      </c>
      <c r="S12534">
        <v>1</v>
      </c>
      <c r="T12534">
        <v>0</v>
      </c>
      <c r="U12534">
        <v>0</v>
      </c>
      <c r="V12534">
        <v>0</v>
      </c>
      <c r="W12534">
        <v>1</v>
      </c>
      <c r="X12534">
        <v>0</v>
      </c>
      <c r="Y12534">
        <v>0</v>
      </c>
      <c r="Z12534">
        <v>1</v>
      </c>
      <c r="AA12534">
        <v>0</v>
      </c>
      <c r="AB12534">
        <v>0</v>
      </c>
      <c r="AC12534">
        <v>1</v>
      </c>
      <c r="AD12534">
        <v>1</v>
      </c>
      <c r="AE12534">
        <v>1</v>
      </c>
      <c r="AF12534">
        <v>1</v>
      </c>
      <c r="AG12534">
        <v>1</v>
      </c>
      <c r="AH12534">
        <v>1</v>
      </c>
      <c r="AI12534">
        <v>1</v>
      </c>
      <c r="AJ12534">
        <v>1</v>
      </c>
      <c r="AK12534">
        <v>1</v>
      </c>
      <c r="AL12534">
        <v>1</v>
      </c>
      <c r="AM12534">
        <v>1</v>
      </c>
    </row>
    <row r="12535" spans="1:39" x14ac:dyDescent="0.2">
      <c r="A12535" t="str">
        <f>"12531"</f>
        <v>12531</v>
      </c>
      <c r="B12535" t="str">
        <f t="shared" ref="B12535:B12598" si="697">"1"</f>
        <v>1</v>
      </c>
      <c r="C12535" t="str">
        <f t="shared" si="696"/>
        <v>251</v>
      </c>
      <c r="D12535" t="str">
        <f>"1"</f>
        <v>1</v>
      </c>
      <c r="E12535" t="str">
        <f>"1-251-1"</f>
        <v>1-251-1</v>
      </c>
      <c r="F12535" t="s">
        <v>65</v>
      </c>
      <c r="G12535" t="s">
        <v>66</v>
      </c>
      <c r="H12535" t="s">
        <v>68</v>
      </c>
      <c r="I12535">
        <v>1</v>
      </c>
      <c r="J12535">
        <v>0</v>
      </c>
      <c r="K12535">
        <v>0</v>
      </c>
      <c r="L12535">
        <v>1</v>
      </c>
      <c r="M12535">
        <v>1</v>
      </c>
      <c r="N12535">
        <v>1</v>
      </c>
      <c r="O12535">
        <v>1</v>
      </c>
      <c r="P12535">
        <v>1</v>
      </c>
      <c r="Q12535">
        <v>1</v>
      </c>
      <c r="R12535">
        <v>1</v>
      </c>
    </row>
    <row r="12536" spans="1:39" x14ac:dyDescent="0.2">
      <c r="A12536" t="str">
        <f>"12532"</f>
        <v>12532</v>
      </c>
      <c r="B12536" t="str">
        <f t="shared" si="697"/>
        <v>1</v>
      </c>
      <c r="C12536" t="str">
        <f t="shared" si="696"/>
        <v>251</v>
      </c>
      <c r="D12536" t="str">
        <f>"37"</f>
        <v>37</v>
      </c>
      <c r="E12536" t="str">
        <f>"1-251-37"</f>
        <v>1-251-37</v>
      </c>
      <c r="F12536" t="s">
        <v>65</v>
      </c>
      <c r="G12536" t="s">
        <v>66</v>
      </c>
      <c r="H12536" t="s">
        <v>67</v>
      </c>
      <c r="S12536">
        <v>0</v>
      </c>
      <c r="T12536">
        <v>0</v>
      </c>
      <c r="U12536">
        <v>0</v>
      </c>
      <c r="V12536">
        <v>0</v>
      </c>
      <c r="W12536">
        <v>1</v>
      </c>
      <c r="X12536">
        <v>0</v>
      </c>
      <c r="Y12536">
        <v>0</v>
      </c>
      <c r="Z12536">
        <v>0</v>
      </c>
      <c r="AA12536">
        <v>0</v>
      </c>
      <c r="AB12536">
        <v>0</v>
      </c>
      <c r="AC12536">
        <v>0</v>
      </c>
      <c r="AD12536">
        <v>0</v>
      </c>
      <c r="AE12536">
        <v>0</v>
      </c>
      <c r="AF12536">
        <v>0</v>
      </c>
      <c r="AG12536">
        <v>0</v>
      </c>
      <c r="AH12536">
        <v>0</v>
      </c>
      <c r="AI12536">
        <v>0</v>
      </c>
      <c r="AJ12536">
        <v>0</v>
      </c>
      <c r="AK12536">
        <v>0</v>
      </c>
      <c r="AL12536">
        <v>0</v>
      </c>
      <c r="AM12536">
        <v>0</v>
      </c>
    </row>
    <row r="12537" spans="1:39" x14ac:dyDescent="0.2">
      <c r="A12537" t="str">
        <f>"12533"</f>
        <v>12533</v>
      </c>
      <c r="B12537" t="str">
        <f t="shared" si="697"/>
        <v>1</v>
      </c>
      <c r="C12537" t="str">
        <f t="shared" ref="C12537:C12554" si="698">"251"</f>
        <v>251</v>
      </c>
      <c r="D12537" t="str">
        <f>"23"</f>
        <v>23</v>
      </c>
      <c r="E12537" t="str">
        <f>"1-251-23"</f>
        <v>1-251-23</v>
      </c>
      <c r="F12537" t="s">
        <v>65</v>
      </c>
      <c r="G12537" t="s">
        <v>66</v>
      </c>
      <c r="H12537" t="s">
        <v>67</v>
      </c>
      <c r="S12537">
        <v>1</v>
      </c>
      <c r="T12537">
        <v>0</v>
      </c>
      <c r="U12537">
        <v>0</v>
      </c>
      <c r="V12537">
        <v>0</v>
      </c>
      <c r="W12537">
        <v>1</v>
      </c>
      <c r="X12537">
        <v>0</v>
      </c>
      <c r="Y12537">
        <v>1</v>
      </c>
      <c r="Z12537">
        <v>0</v>
      </c>
      <c r="AA12537">
        <v>1</v>
      </c>
      <c r="AB12537">
        <v>0</v>
      </c>
      <c r="AC12537">
        <v>0</v>
      </c>
      <c r="AD12537">
        <v>1</v>
      </c>
      <c r="AE12537">
        <v>1</v>
      </c>
      <c r="AF12537">
        <v>1</v>
      </c>
      <c r="AG12537">
        <v>1</v>
      </c>
      <c r="AH12537">
        <v>1</v>
      </c>
      <c r="AI12537">
        <v>1</v>
      </c>
      <c r="AJ12537">
        <v>1</v>
      </c>
      <c r="AK12537">
        <v>1</v>
      </c>
      <c r="AL12537">
        <v>1</v>
      </c>
      <c r="AM12537">
        <v>1</v>
      </c>
    </row>
    <row r="12538" spans="1:39" x14ac:dyDescent="0.2">
      <c r="A12538" t="str">
        <f>"12534"</f>
        <v>12534</v>
      </c>
      <c r="B12538" t="str">
        <f t="shared" si="697"/>
        <v>1</v>
      </c>
      <c r="C12538" t="str">
        <f t="shared" si="698"/>
        <v>251</v>
      </c>
      <c r="D12538" t="str">
        <f>"11"</f>
        <v>11</v>
      </c>
      <c r="E12538" t="str">
        <f>"1-251-11"</f>
        <v>1-251-11</v>
      </c>
      <c r="F12538" t="s">
        <v>65</v>
      </c>
      <c r="G12538" t="s">
        <v>66</v>
      </c>
      <c r="H12538" t="s">
        <v>67</v>
      </c>
      <c r="S12538">
        <v>1</v>
      </c>
      <c r="T12538">
        <v>0</v>
      </c>
      <c r="U12538">
        <v>0</v>
      </c>
      <c r="V12538">
        <v>0</v>
      </c>
      <c r="W12538">
        <v>1</v>
      </c>
      <c r="X12538">
        <v>0</v>
      </c>
      <c r="Y12538">
        <v>0</v>
      </c>
      <c r="Z12538">
        <v>1</v>
      </c>
      <c r="AA12538">
        <v>0</v>
      </c>
      <c r="AB12538">
        <v>0</v>
      </c>
      <c r="AC12538">
        <v>1</v>
      </c>
      <c r="AD12538">
        <v>1</v>
      </c>
      <c r="AE12538">
        <v>1</v>
      </c>
      <c r="AF12538">
        <v>1</v>
      </c>
      <c r="AG12538">
        <v>1</v>
      </c>
      <c r="AH12538">
        <v>1</v>
      </c>
      <c r="AI12538">
        <v>1</v>
      </c>
      <c r="AJ12538">
        <v>1</v>
      </c>
      <c r="AK12538">
        <v>1</v>
      </c>
      <c r="AL12538">
        <v>1</v>
      </c>
      <c r="AM12538">
        <v>1</v>
      </c>
    </row>
    <row r="12539" spans="1:39" x14ac:dyDescent="0.2">
      <c r="A12539" t="str">
        <f>"12535"</f>
        <v>12535</v>
      </c>
      <c r="B12539" t="str">
        <f t="shared" si="697"/>
        <v>1</v>
      </c>
      <c r="C12539" t="str">
        <f t="shared" si="698"/>
        <v>251</v>
      </c>
      <c r="D12539" t="str">
        <f>"45"</f>
        <v>45</v>
      </c>
      <c r="E12539" t="str">
        <f>"1-251-45"</f>
        <v>1-251-45</v>
      </c>
      <c r="F12539" t="s">
        <v>65</v>
      </c>
      <c r="G12539" t="s">
        <v>66</v>
      </c>
      <c r="H12539" t="s">
        <v>67</v>
      </c>
      <c r="S12539">
        <v>1</v>
      </c>
      <c r="T12539">
        <v>0</v>
      </c>
      <c r="U12539">
        <v>0</v>
      </c>
      <c r="V12539">
        <v>0</v>
      </c>
      <c r="W12539">
        <v>1</v>
      </c>
      <c r="X12539">
        <v>0</v>
      </c>
      <c r="Y12539">
        <v>1</v>
      </c>
      <c r="Z12539">
        <v>0</v>
      </c>
      <c r="AA12539">
        <v>1</v>
      </c>
      <c r="AB12539">
        <v>0</v>
      </c>
      <c r="AC12539">
        <v>0</v>
      </c>
      <c r="AD12539">
        <v>1</v>
      </c>
      <c r="AE12539">
        <v>1</v>
      </c>
      <c r="AF12539">
        <v>1</v>
      </c>
      <c r="AG12539">
        <v>1</v>
      </c>
      <c r="AH12539">
        <v>1</v>
      </c>
      <c r="AI12539">
        <v>1</v>
      </c>
      <c r="AJ12539">
        <v>1</v>
      </c>
      <c r="AK12539">
        <v>1</v>
      </c>
      <c r="AL12539">
        <v>1</v>
      </c>
      <c r="AM12539">
        <v>1</v>
      </c>
    </row>
    <row r="12540" spans="1:39" x14ac:dyDescent="0.2">
      <c r="A12540" t="str">
        <f>"12536"</f>
        <v>12536</v>
      </c>
      <c r="B12540" t="str">
        <f t="shared" si="697"/>
        <v>1</v>
      </c>
      <c r="C12540" t="str">
        <f t="shared" si="698"/>
        <v>251</v>
      </c>
      <c r="D12540" t="str">
        <f>"24"</f>
        <v>24</v>
      </c>
      <c r="E12540" t="str">
        <f>"1-251-24"</f>
        <v>1-251-24</v>
      </c>
      <c r="F12540" t="s">
        <v>65</v>
      </c>
      <c r="G12540" t="s">
        <v>66</v>
      </c>
      <c r="H12540" t="s">
        <v>67</v>
      </c>
      <c r="S12540">
        <v>1</v>
      </c>
      <c r="T12540">
        <v>0</v>
      </c>
      <c r="U12540">
        <v>0</v>
      </c>
      <c r="V12540">
        <v>0</v>
      </c>
      <c r="W12540">
        <v>1</v>
      </c>
      <c r="X12540">
        <v>0</v>
      </c>
      <c r="Y12540">
        <v>1</v>
      </c>
      <c r="Z12540">
        <v>0</v>
      </c>
      <c r="AA12540">
        <v>1</v>
      </c>
      <c r="AB12540">
        <v>0</v>
      </c>
      <c r="AC12540">
        <v>0</v>
      </c>
      <c r="AD12540">
        <v>1</v>
      </c>
      <c r="AE12540">
        <v>1</v>
      </c>
      <c r="AF12540">
        <v>1</v>
      </c>
      <c r="AG12540">
        <v>1</v>
      </c>
      <c r="AH12540">
        <v>1</v>
      </c>
      <c r="AI12540">
        <v>1</v>
      </c>
      <c r="AJ12540">
        <v>1</v>
      </c>
      <c r="AK12540">
        <v>1</v>
      </c>
      <c r="AL12540">
        <v>1</v>
      </c>
      <c r="AM12540">
        <v>1</v>
      </c>
    </row>
    <row r="12541" spans="1:39" x14ac:dyDescent="0.2">
      <c r="A12541" t="str">
        <f>"12537"</f>
        <v>12537</v>
      </c>
      <c r="B12541" t="str">
        <f t="shared" si="697"/>
        <v>1</v>
      </c>
      <c r="C12541" t="str">
        <f t="shared" si="698"/>
        <v>251</v>
      </c>
      <c r="D12541" t="str">
        <f>"2"</f>
        <v>2</v>
      </c>
      <c r="E12541" t="str">
        <f>"1-251-2"</f>
        <v>1-251-2</v>
      </c>
      <c r="F12541" t="s">
        <v>65</v>
      </c>
      <c r="G12541" t="s">
        <v>66</v>
      </c>
      <c r="H12541" t="s">
        <v>67</v>
      </c>
      <c r="S12541">
        <v>1</v>
      </c>
      <c r="T12541">
        <v>0</v>
      </c>
      <c r="U12541">
        <v>0</v>
      </c>
      <c r="V12541">
        <v>0</v>
      </c>
      <c r="W12541">
        <v>1</v>
      </c>
      <c r="X12541">
        <v>0</v>
      </c>
      <c r="Y12541">
        <v>0</v>
      </c>
      <c r="Z12541">
        <v>1</v>
      </c>
      <c r="AA12541">
        <v>1</v>
      </c>
      <c r="AB12541">
        <v>0</v>
      </c>
      <c r="AC12541">
        <v>0</v>
      </c>
      <c r="AD12541">
        <v>1</v>
      </c>
      <c r="AE12541">
        <v>1</v>
      </c>
      <c r="AF12541">
        <v>1</v>
      </c>
      <c r="AG12541">
        <v>1</v>
      </c>
      <c r="AH12541">
        <v>1</v>
      </c>
      <c r="AI12541">
        <v>1</v>
      </c>
      <c r="AJ12541">
        <v>1</v>
      </c>
      <c r="AK12541">
        <v>1</v>
      </c>
      <c r="AL12541">
        <v>1</v>
      </c>
      <c r="AM12541">
        <v>1</v>
      </c>
    </row>
    <row r="12542" spans="1:39" x14ac:dyDescent="0.2">
      <c r="A12542" t="str">
        <f>"12538"</f>
        <v>12538</v>
      </c>
      <c r="B12542" t="str">
        <f t="shared" si="697"/>
        <v>1</v>
      </c>
      <c r="C12542" t="str">
        <f t="shared" si="698"/>
        <v>251</v>
      </c>
      <c r="D12542" t="str">
        <f>"48"</f>
        <v>48</v>
      </c>
      <c r="E12542" t="str">
        <f>"1-251-48"</f>
        <v>1-251-48</v>
      </c>
      <c r="F12542" t="s">
        <v>65</v>
      </c>
      <c r="G12542" t="s">
        <v>66</v>
      </c>
      <c r="H12542" t="s">
        <v>67</v>
      </c>
      <c r="S12542">
        <v>0</v>
      </c>
      <c r="T12542">
        <v>1</v>
      </c>
      <c r="U12542">
        <v>0</v>
      </c>
      <c r="V12542">
        <v>0</v>
      </c>
      <c r="W12542">
        <v>1</v>
      </c>
      <c r="X12542">
        <v>0</v>
      </c>
      <c r="Y12542">
        <v>0</v>
      </c>
      <c r="Z12542">
        <v>1</v>
      </c>
      <c r="AA12542">
        <v>1</v>
      </c>
      <c r="AB12542">
        <v>0</v>
      </c>
      <c r="AC12542">
        <v>0</v>
      </c>
      <c r="AD12542">
        <v>0</v>
      </c>
      <c r="AE12542">
        <v>1</v>
      </c>
      <c r="AF12542">
        <v>1</v>
      </c>
      <c r="AG12542">
        <v>1</v>
      </c>
      <c r="AH12542">
        <v>1</v>
      </c>
      <c r="AI12542">
        <v>0</v>
      </c>
      <c r="AJ12542">
        <v>1</v>
      </c>
      <c r="AK12542">
        <v>1</v>
      </c>
      <c r="AL12542">
        <v>1</v>
      </c>
      <c r="AM12542">
        <v>1</v>
      </c>
    </row>
    <row r="12543" spans="1:39" x14ac:dyDescent="0.2">
      <c r="A12543" t="str">
        <f>"12539"</f>
        <v>12539</v>
      </c>
      <c r="B12543" t="str">
        <f t="shared" si="697"/>
        <v>1</v>
      </c>
      <c r="C12543" t="str">
        <f t="shared" si="698"/>
        <v>251</v>
      </c>
      <c r="D12543" t="str">
        <f>"25"</f>
        <v>25</v>
      </c>
      <c r="E12543" t="str">
        <f>"1-251-25"</f>
        <v>1-251-25</v>
      </c>
      <c r="F12543" t="s">
        <v>65</v>
      </c>
      <c r="G12543" t="s">
        <v>66</v>
      </c>
      <c r="H12543" t="s">
        <v>67</v>
      </c>
      <c r="S12543">
        <v>1</v>
      </c>
      <c r="T12543">
        <v>0</v>
      </c>
      <c r="U12543">
        <v>0</v>
      </c>
      <c r="V12543">
        <v>0</v>
      </c>
      <c r="W12543">
        <v>0</v>
      </c>
      <c r="X12543">
        <v>1</v>
      </c>
      <c r="Y12543">
        <v>1</v>
      </c>
      <c r="Z12543">
        <v>0</v>
      </c>
      <c r="AA12543">
        <v>1</v>
      </c>
      <c r="AB12543">
        <v>0</v>
      </c>
      <c r="AC12543">
        <v>0</v>
      </c>
      <c r="AD12543">
        <v>1</v>
      </c>
      <c r="AE12543">
        <v>1</v>
      </c>
      <c r="AF12543">
        <v>1</v>
      </c>
      <c r="AG12543">
        <v>1</v>
      </c>
      <c r="AH12543">
        <v>1</v>
      </c>
      <c r="AI12543">
        <v>1</v>
      </c>
      <c r="AJ12543">
        <v>1</v>
      </c>
      <c r="AK12543">
        <v>1</v>
      </c>
      <c r="AL12543">
        <v>1</v>
      </c>
      <c r="AM12543">
        <v>1</v>
      </c>
    </row>
    <row r="12544" spans="1:39" x14ac:dyDescent="0.2">
      <c r="A12544" t="str">
        <f>"12540"</f>
        <v>12540</v>
      </c>
      <c r="B12544" t="str">
        <f t="shared" si="697"/>
        <v>1</v>
      </c>
      <c r="C12544" t="str">
        <f t="shared" si="698"/>
        <v>251</v>
      </c>
      <c r="D12544" t="str">
        <f>"3"</f>
        <v>3</v>
      </c>
      <c r="E12544" t="str">
        <f>"1-251-3"</f>
        <v>1-251-3</v>
      </c>
      <c r="F12544" t="s">
        <v>65</v>
      </c>
      <c r="G12544" t="s">
        <v>66</v>
      </c>
      <c r="H12544" t="s">
        <v>67</v>
      </c>
      <c r="S12544">
        <v>1</v>
      </c>
      <c r="T12544">
        <v>0</v>
      </c>
      <c r="U12544">
        <v>0</v>
      </c>
      <c r="V12544">
        <v>0</v>
      </c>
      <c r="W12544">
        <v>1</v>
      </c>
      <c r="X12544">
        <v>0</v>
      </c>
      <c r="Y12544">
        <v>1</v>
      </c>
      <c r="Z12544">
        <v>0</v>
      </c>
      <c r="AA12544">
        <v>1</v>
      </c>
      <c r="AB12544">
        <v>0</v>
      </c>
      <c r="AC12544">
        <v>0</v>
      </c>
      <c r="AD12544">
        <v>0</v>
      </c>
      <c r="AE12544">
        <v>0</v>
      </c>
      <c r="AF12544">
        <v>0</v>
      </c>
      <c r="AG12544">
        <v>0</v>
      </c>
      <c r="AH12544">
        <v>0</v>
      </c>
      <c r="AI12544">
        <v>0</v>
      </c>
      <c r="AJ12544">
        <v>0</v>
      </c>
      <c r="AK12544">
        <v>0</v>
      </c>
      <c r="AL12544">
        <v>0</v>
      </c>
      <c r="AM12544">
        <v>0</v>
      </c>
    </row>
    <row r="12545" spans="1:39" x14ac:dyDescent="0.2">
      <c r="A12545" t="str">
        <f>"12541"</f>
        <v>12541</v>
      </c>
      <c r="B12545" t="str">
        <f t="shared" si="697"/>
        <v>1</v>
      </c>
      <c r="C12545" t="str">
        <f t="shared" si="698"/>
        <v>251</v>
      </c>
      <c r="D12545" t="str">
        <f>"49"</f>
        <v>49</v>
      </c>
      <c r="E12545" t="str">
        <f>"1-251-49"</f>
        <v>1-251-49</v>
      </c>
      <c r="F12545" t="s">
        <v>65</v>
      </c>
      <c r="G12545" t="s">
        <v>66</v>
      </c>
      <c r="H12545" t="s">
        <v>67</v>
      </c>
      <c r="S12545">
        <v>0</v>
      </c>
      <c r="T12545">
        <v>1</v>
      </c>
      <c r="U12545">
        <v>0</v>
      </c>
      <c r="V12545">
        <v>0</v>
      </c>
      <c r="W12545">
        <v>1</v>
      </c>
      <c r="X12545">
        <v>0</v>
      </c>
      <c r="Y12545">
        <v>0</v>
      </c>
      <c r="Z12545">
        <v>1</v>
      </c>
      <c r="AA12545">
        <v>1</v>
      </c>
      <c r="AB12545">
        <v>0</v>
      </c>
      <c r="AC12545">
        <v>0</v>
      </c>
      <c r="AD12545">
        <v>1</v>
      </c>
      <c r="AE12545">
        <v>1</v>
      </c>
      <c r="AF12545">
        <v>1</v>
      </c>
      <c r="AG12545">
        <v>1</v>
      </c>
      <c r="AH12545">
        <v>1</v>
      </c>
      <c r="AI12545">
        <v>1</v>
      </c>
      <c r="AJ12545">
        <v>1</v>
      </c>
      <c r="AK12545">
        <v>1</v>
      </c>
      <c r="AL12545">
        <v>1</v>
      </c>
      <c r="AM12545">
        <v>1</v>
      </c>
    </row>
    <row r="12546" spans="1:39" x14ac:dyDescent="0.2">
      <c r="A12546" t="str">
        <f>"12542"</f>
        <v>12542</v>
      </c>
      <c r="B12546" t="str">
        <f t="shared" si="697"/>
        <v>1</v>
      </c>
      <c r="C12546" t="str">
        <f t="shared" si="698"/>
        <v>251</v>
      </c>
      <c r="D12546" t="str">
        <f>"26"</f>
        <v>26</v>
      </c>
      <c r="E12546" t="str">
        <f>"1-251-26"</f>
        <v>1-251-26</v>
      </c>
      <c r="F12546" t="s">
        <v>65</v>
      </c>
      <c r="G12546" t="s">
        <v>66</v>
      </c>
      <c r="H12546" t="s">
        <v>67</v>
      </c>
      <c r="S12546">
        <v>1</v>
      </c>
      <c r="T12546">
        <v>0</v>
      </c>
      <c r="U12546">
        <v>0</v>
      </c>
      <c r="V12546">
        <v>0</v>
      </c>
      <c r="W12546">
        <v>1</v>
      </c>
      <c r="X12546">
        <v>0</v>
      </c>
      <c r="Y12546">
        <v>1</v>
      </c>
      <c r="Z12546">
        <v>0</v>
      </c>
      <c r="AA12546">
        <v>1</v>
      </c>
      <c r="AB12546">
        <v>0</v>
      </c>
      <c r="AC12546">
        <v>0</v>
      </c>
      <c r="AD12546">
        <v>0</v>
      </c>
      <c r="AE12546">
        <v>0</v>
      </c>
      <c r="AF12546">
        <v>0</v>
      </c>
      <c r="AG12546">
        <v>0</v>
      </c>
      <c r="AH12546">
        <v>0</v>
      </c>
      <c r="AI12546">
        <v>0</v>
      </c>
      <c r="AJ12546">
        <v>0</v>
      </c>
      <c r="AK12546">
        <v>0</v>
      </c>
      <c r="AL12546">
        <v>0</v>
      </c>
      <c r="AM12546">
        <v>0</v>
      </c>
    </row>
    <row r="12547" spans="1:39" x14ac:dyDescent="0.2">
      <c r="A12547" t="str">
        <f>"12543"</f>
        <v>12543</v>
      </c>
      <c r="B12547" t="str">
        <f t="shared" si="697"/>
        <v>1</v>
      </c>
      <c r="C12547" t="str">
        <f t="shared" si="698"/>
        <v>251</v>
      </c>
      <c r="D12547" t="str">
        <f>"9"</f>
        <v>9</v>
      </c>
      <c r="E12547" t="str">
        <f>"1-251-9"</f>
        <v>1-251-9</v>
      </c>
      <c r="F12547" t="s">
        <v>65</v>
      </c>
      <c r="G12547" t="s">
        <v>66</v>
      </c>
      <c r="H12547" t="s">
        <v>67</v>
      </c>
      <c r="S12547">
        <v>0</v>
      </c>
      <c r="T12547">
        <v>1</v>
      </c>
      <c r="U12547">
        <v>0</v>
      </c>
      <c r="V12547">
        <v>0</v>
      </c>
      <c r="W12547">
        <v>1</v>
      </c>
      <c r="X12547">
        <v>0</v>
      </c>
      <c r="Y12547">
        <v>0</v>
      </c>
      <c r="Z12547">
        <v>1</v>
      </c>
      <c r="AA12547">
        <v>1</v>
      </c>
      <c r="AB12547">
        <v>0</v>
      </c>
      <c r="AC12547">
        <v>0</v>
      </c>
      <c r="AD12547">
        <v>1</v>
      </c>
      <c r="AE12547">
        <v>1</v>
      </c>
      <c r="AF12547">
        <v>1</v>
      </c>
      <c r="AG12547">
        <v>1</v>
      </c>
      <c r="AH12547">
        <v>1</v>
      </c>
      <c r="AI12547">
        <v>1</v>
      </c>
      <c r="AJ12547">
        <v>1</v>
      </c>
      <c r="AK12547">
        <v>1</v>
      </c>
      <c r="AL12547">
        <v>1</v>
      </c>
      <c r="AM12547">
        <v>1</v>
      </c>
    </row>
    <row r="12548" spans="1:39" x14ac:dyDescent="0.2">
      <c r="A12548" t="str">
        <f>"12544"</f>
        <v>12544</v>
      </c>
      <c r="B12548" t="str">
        <f t="shared" si="697"/>
        <v>1</v>
      </c>
      <c r="C12548" t="str">
        <f t="shared" si="698"/>
        <v>251</v>
      </c>
      <c r="D12548" t="str">
        <f>"50"</f>
        <v>50</v>
      </c>
      <c r="E12548" t="str">
        <f>"1-251-50"</f>
        <v>1-251-50</v>
      </c>
      <c r="F12548" t="s">
        <v>65</v>
      </c>
      <c r="G12548" t="s">
        <v>66</v>
      </c>
      <c r="H12548" t="s">
        <v>67</v>
      </c>
      <c r="S12548">
        <v>1</v>
      </c>
      <c r="T12548">
        <v>0</v>
      </c>
      <c r="U12548">
        <v>0</v>
      </c>
      <c r="V12548">
        <v>0</v>
      </c>
      <c r="W12548">
        <v>1</v>
      </c>
      <c r="X12548">
        <v>0</v>
      </c>
      <c r="Y12548">
        <v>1</v>
      </c>
      <c r="Z12548">
        <v>0</v>
      </c>
      <c r="AA12548">
        <v>1</v>
      </c>
      <c r="AB12548">
        <v>0</v>
      </c>
      <c r="AC12548">
        <v>0</v>
      </c>
      <c r="AD12548">
        <v>1</v>
      </c>
      <c r="AE12548">
        <v>1</v>
      </c>
      <c r="AF12548">
        <v>1</v>
      </c>
      <c r="AG12548">
        <v>1</v>
      </c>
      <c r="AH12548">
        <v>1</v>
      </c>
      <c r="AI12548">
        <v>1</v>
      </c>
      <c r="AJ12548">
        <v>1</v>
      </c>
      <c r="AK12548">
        <v>1</v>
      </c>
      <c r="AL12548">
        <v>1</v>
      </c>
      <c r="AM12548">
        <v>1</v>
      </c>
    </row>
    <row r="12549" spans="1:39" x14ac:dyDescent="0.2">
      <c r="A12549" t="str">
        <f>"12545"</f>
        <v>12545</v>
      </c>
      <c r="B12549" t="str">
        <f t="shared" si="697"/>
        <v>1</v>
      </c>
      <c r="C12549" t="str">
        <f t="shared" si="698"/>
        <v>251</v>
      </c>
      <c r="D12549" t="str">
        <f>"30"</f>
        <v>30</v>
      </c>
      <c r="E12549" t="str">
        <f>"1-251-30"</f>
        <v>1-251-30</v>
      </c>
      <c r="F12549" t="s">
        <v>65</v>
      </c>
      <c r="G12549" t="s">
        <v>66</v>
      </c>
      <c r="H12549" t="s">
        <v>67</v>
      </c>
      <c r="S12549">
        <v>0</v>
      </c>
      <c r="T12549">
        <v>0</v>
      </c>
      <c r="U12549">
        <v>0</v>
      </c>
      <c r="V12549">
        <v>0</v>
      </c>
      <c r="W12549">
        <v>0</v>
      </c>
      <c r="X12549">
        <v>1</v>
      </c>
      <c r="Y12549">
        <v>0</v>
      </c>
      <c r="Z12549">
        <v>1</v>
      </c>
      <c r="AA12549">
        <v>0</v>
      </c>
      <c r="AB12549">
        <v>1</v>
      </c>
      <c r="AC12549">
        <v>0</v>
      </c>
      <c r="AD12549">
        <v>1</v>
      </c>
      <c r="AE12549">
        <v>0</v>
      </c>
      <c r="AF12549">
        <v>0</v>
      </c>
      <c r="AG12549">
        <v>0</v>
      </c>
      <c r="AH12549">
        <v>0</v>
      </c>
      <c r="AI12549">
        <v>0</v>
      </c>
      <c r="AJ12549">
        <v>0</v>
      </c>
      <c r="AK12549">
        <v>0</v>
      </c>
      <c r="AL12549">
        <v>0</v>
      </c>
      <c r="AM12549">
        <v>0</v>
      </c>
    </row>
    <row r="12550" spans="1:39" x14ac:dyDescent="0.2">
      <c r="A12550" t="str">
        <f>"12546"</f>
        <v>12546</v>
      </c>
      <c r="B12550" t="str">
        <f t="shared" si="697"/>
        <v>1</v>
      </c>
      <c r="C12550" t="str">
        <f t="shared" si="698"/>
        <v>251</v>
      </c>
      <c r="D12550" t="str">
        <f>"4"</f>
        <v>4</v>
      </c>
      <c r="E12550" t="str">
        <f>"1-251-4"</f>
        <v>1-251-4</v>
      </c>
      <c r="F12550" t="s">
        <v>65</v>
      </c>
      <c r="G12550" t="s">
        <v>66</v>
      </c>
      <c r="H12550" t="s">
        <v>67</v>
      </c>
      <c r="S12550">
        <v>1</v>
      </c>
      <c r="T12550">
        <v>0</v>
      </c>
      <c r="U12550">
        <v>0</v>
      </c>
      <c r="V12550">
        <v>0</v>
      </c>
      <c r="W12550">
        <v>1</v>
      </c>
      <c r="X12550">
        <v>0</v>
      </c>
      <c r="Y12550">
        <v>1</v>
      </c>
      <c r="Z12550">
        <v>0</v>
      </c>
      <c r="AA12550">
        <v>1</v>
      </c>
      <c r="AB12550">
        <v>0</v>
      </c>
      <c r="AC12550">
        <v>0</v>
      </c>
      <c r="AD12550">
        <v>1</v>
      </c>
      <c r="AE12550">
        <v>1</v>
      </c>
      <c r="AF12550">
        <v>1</v>
      </c>
      <c r="AG12550">
        <v>1</v>
      </c>
      <c r="AH12550">
        <v>1</v>
      </c>
      <c r="AI12550">
        <v>1</v>
      </c>
      <c r="AJ12550">
        <v>1</v>
      </c>
      <c r="AK12550">
        <v>1</v>
      </c>
      <c r="AL12550">
        <v>1</v>
      </c>
      <c r="AM12550">
        <v>1</v>
      </c>
    </row>
    <row r="12551" spans="1:39" x14ac:dyDescent="0.2">
      <c r="A12551" t="str">
        <f>"12547"</f>
        <v>12547</v>
      </c>
      <c r="B12551" t="str">
        <f t="shared" si="697"/>
        <v>1</v>
      </c>
      <c r="C12551" t="str">
        <f t="shared" si="698"/>
        <v>251</v>
      </c>
      <c r="D12551" t="str">
        <f>"34"</f>
        <v>34</v>
      </c>
      <c r="E12551" t="str">
        <f>"1-251-34"</f>
        <v>1-251-34</v>
      </c>
      <c r="F12551" t="s">
        <v>65</v>
      </c>
      <c r="G12551" t="s">
        <v>66</v>
      </c>
      <c r="H12551" t="s">
        <v>67</v>
      </c>
      <c r="S12551">
        <v>1</v>
      </c>
      <c r="T12551">
        <v>0</v>
      </c>
      <c r="U12551">
        <v>0</v>
      </c>
      <c r="V12551">
        <v>0</v>
      </c>
      <c r="W12551">
        <v>1</v>
      </c>
      <c r="X12551">
        <v>0</v>
      </c>
      <c r="Y12551">
        <v>1</v>
      </c>
      <c r="Z12551">
        <v>0</v>
      </c>
      <c r="AA12551">
        <v>0</v>
      </c>
      <c r="AB12551">
        <v>1</v>
      </c>
      <c r="AC12551">
        <v>0</v>
      </c>
      <c r="AD12551">
        <v>1</v>
      </c>
      <c r="AE12551">
        <v>1</v>
      </c>
      <c r="AF12551">
        <v>1</v>
      </c>
      <c r="AG12551">
        <v>1</v>
      </c>
      <c r="AH12551">
        <v>1</v>
      </c>
      <c r="AI12551">
        <v>1</v>
      </c>
      <c r="AJ12551">
        <v>1</v>
      </c>
      <c r="AK12551">
        <v>1</v>
      </c>
      <c r="AL12551">
        <v>1</v>
      </c>
      <c r="AM12551">
        <v>1</v>
      </c>
    </row>
    <row r="12552" spans="1:39" x14ac:dyDescent="0.2">
      <c r="A12552" t="str">
        <f>"12548"</f>
        <v>12548</v>
      </c>
      <c r="B12552" t="str">
        <f t="shared" si="697"/>
        <v>1</v>
      </c>
      <c r="C12552" t="str">
        <f t="shared" si="698"/>
        <v>251</v>
      </c>
      <c r="D12552" t="str">
        <f>"14"</f>
        <v>14</v>
      </c>
      <c r="E12552" t="str">
        <f>"1-251-14"</f>
        <v>1-251-14</v>
      </c>
      <c r="F12552" t="s">
        <v>65</v>
      </c>
      <c r="G12552" t="s">
        <v>66</v>
      </c>
      <c r="H12552" t="s">
        <v>67</v>
      </c>
      <c r="S12552">
        <v>0</v>
      </c>
      <c r="T12552">
        <v>1</v>
      </c>
      <c r="U12552">
        <v>0</v>
      </c>
      <c r="V12552">
        <v>0</v>
      </c>
      <c r="W12552">
        <v>1</v>
      </c>
      <c r="X12552">
        <v>0</v>
      </c>
      <c r="Y12552">
        <v>0</v>
      </c>
      <c r="Z12552">
        <v>1</v>
      </c>
      <c r="AA12552">
        <v>0</v>
      </c>
      <c r="AB12552">
        <v>1</v>
      </c>
      <c r="AC12552">
        <v>0</v>
      </c>
      <c r="AD12552">
        <v>0</v>
      </c>
      <c r="AE12552">
        <v>0</v>
      </c>
      <c r="AF12552">
        <v>0</v>
      </c>
      <c r="AG12552">
        <v>0</v>
      </c>
      <c r="AH12552">
        <v>0</v>
      </c>
      <c r="AI12552">
        <v>0</v>
      </c>
      <c r="AJ12552">
        <v>0</v>
      </c>
      <c r="AK12552">
        <v>0</v>
      </c>
      <c r="AL12552">
        <v>0</v>
      </c>
      <c r="AM12552">
        <v>0</v>
      </c>
    </row>
    <row r="12553" spans="1:39" x14ac:dyDescent="0.2">
      <c r="A12553" t="str">
        <f>"12549"</f>
        <v>12549</v>
      </c>
      <c r="B12553" t="str">
        <f t="shared" si="697"/>
        <v>1</v>
      </c>
      <c r="C12553" t="str">
        <f t="shared" si="698"/>
        <v>251</v>
      </c>
      <c r="D12553" t="str">
        <f>"35"</f>
        <v>35</v>
      </c>
      <c r="E12553" t="str">
        <f>"1-251-35"</f>
        <v>1-251-35</v>
      </c>
      <c r="F12553" t="s">
        <v>65</v>
      </c>
      <c r="G12553" t="s">
        <v>66</v>
      </c>
      <c r="H12553" t="s">
        <v>67</v>
      </c>
      <c r="S12553">
        <v>1</v>
      </c>
      <c r="T12553">
        <v>0</v>
      </c>
      <c r="U12553">
        <v>0</v>
      </c>
      <c r="V12553">
        <v>0</v>
      </c>
      <c r="W12553">
        <v>1</v>
      </c>
      <c r="X12553">
        <v>0</v>
      </c>
      <c r="Y12553">
        <v>1</v>
      </c>
      <c r="Z12553">
        <v>0</v>
      </c>
      <c r="AA12553">
        <v>1</v>
      </c>
      <c r="AB12553">
        <v>0</v>
      </c>
      <c r="AC12553">
        <v>0</v>
      </c>
      <c r="AD12553">
        <v>1</v>
      </c>
      <c r="AE12553">
        <v>1</v>
      </c>
      <c r="AF12553">
        <v>1</v>
      </c>
      <c r="AG12553">
        <v>1</v>
      </c>
      <c r="AH12553">
        <v>1</v>
      </c>
      <c r="AI12553">
        <v>1</v>
      </c>
      <c r="AJ12553">
        <v>1</v>
      </c>
      <c r="AK12553">
        <v>1</v>
      </c>
      <c r="AL12553">
        <v>1</v>
      </c>
      <c r="AM12553">
        <v>1</v>
      </c>
    </row>
    <row r="12554" spans="1:39" x14ac:dyDescent="0.2">
      <c r="A12554" t="str">
        <f>"12550"</f>
        <v>12550</v>
      </c>
      <c r="B12554" t="str">
        <f t="shared" si="697"/>
        <v>1</v>
      </c>
      <c r="C12554" t="str">
        <f t="shared" si="698"/>
        <v>251</v>
      </c>
      <c r="D12554" t="str">
        <f>"10"</f>
        <v>10</v>
      </c>
      <c r="E12554" t="str">
        <f>"1-251-10"</f>
        <v>1-251-10</v>
      </c>
      <c r="F12554" t="s">
        <v>65</v>
      </c>
      <c r="G12554" t="s">
        <v>66</v>
      </c>
      <c r="H12554" t="s">
        <v>67</v>
      </c>
      <c r="S12554">
        <v>0</v>
      </c>
      <c r="T12554">
        <v>0</v>
      </c>
      <c r="U12554">
        <v>0</v>
      </c>
      <c r="V12554">
        <v>0</v>
      </c>
      <c r="W12554">
        <v>0</v>
      </c>
      <c r="X12554">
        <v>1</v>
      </c>
      <c r="Y12554">
        <v>0</v>
      </c>
      <c r="Z12554">
        <v>0</v>
      </c>
      <c r="AA12554">
        <v>0</v>
      </c>
      <c r="AB12554">
        <v>1</v>
      </c>
      <c r="AC12554">
        <v>0</v>
      </c>
      <c r="AD12554">
        <v>0</v>
      </c>
      <c r="AE12554">
        <v>0</v>
      </c>
      <c r="AF12554">
        <v>0</v>
      </c>
      <c r="AG12554">
        <v>0</v>
      </c>
      <c r="AH12554">
        <v>0</v>
      </c>
      <c r="AI12554">
        <v>1</v>
      </c>
      <c r="AJ12554">
        <v>0</v>
      </c>
      <c r="AK12554">
        <v>0</v>
      </c>
      <c r="AL12554">
        <v>1</v>
      </c>
      <c r="AM12554">
        <v>0</v>
      </c>
    </row>
    <row r="12555" spans="1:39" x14ac:dyDescent="0.2">
      <c r="A12555" t="str">
        <f>"12551"</f>
        <v>12551</v>
      </c>
      <c r="B12555" t="str">
        <f t="shared" si="697"/>
        <v>1</v>
      </c>
      <c r="C12555" t="str">
        <f t="shared" ref="C12555:C12586" si="699">"252"</f>
        <v>252</v>
      </c>
      <c r="D12555" t="str">
        <f>"45"</f>
        <v>45</v>
      </c>
      <c r="E12555" t="str">
        <f>"1-252-45"</f>
        <v>1-252-45</v>
      </c>
      <c r="F12555" t="s">
        <v>65</v>
      </c>
      <c r="G12555" t="s">
        <v>66</v>
      </c>
      <c r="H12555" t="s">
        <v>67</v>
      </c>
      <c r="S12555">
        <v>0</v>
      </c>
      <c r="T12555">
        <v>1</v>
      </c>
      <c r="U12555">
        <v>0</v>
      </c>
      <c r="V12555">
        <v>0</v>
      </c>
      <c r="W12555">
        <v>1</v>
      </c>
      <c r="X12555">
        <v>0</v>
      </c>
      <c r="Y12555">
        <v>0</v>
      </c>
      <c r="Z12555">
        <v>1</v>
      </c>
      <c r="AA12555">
        <v>1</v>
      </c>
      <c r="AB12555">
        <v>0</v>
      </c>
      <c r="AC12555">
        <v>0</v>
      </c>
      <c r="AD12555">
        <v>0</v>
      </c>
      <c r="AE12555">
        <v>0</v>
      </c>
      <c r="AF12555">
        <v>0</v>
      </c>
      <c r="AG12555">
        <v>0</v>
      </c>
      <c r="AH12555">
        <v>0</v>
      </c>
      <c r="AI12555">
        <v>1</v>
      </c>
      <c r="AJ12555">
        <v>0</v>
      </c>
      <c r="AK12555">
        <v>0</v>
      </c>
      <c r="AL12555">
        <v>1</v>
      </c>
      <c r="AM12555">
        <v>1</v>
      </c>
    </row>
    <row r="12556" spans="1:39" x14ac:dyDescent="0.2">
      <c r="A12556" t="str">
        <f>"12552"</f>
        <v>12552</v>
      </c>
      <c r="B12556" t="str">
        <f t="shared" si="697"/>
        <v>1</v>
      </c>
      <c r="C12556" t="str">
        <f t="shared" si="699"/>
        <v>252</v>
      </c>
      <c r="D12556" t="str">
        <f>"44"</f>
        <v>44</v>
      </c>
      <c r="E12556" t="str">
        <f>"1-252-44"</f>
        <v>1-252-44</v>
      </c>
      <c r="F12556" t="s">
        <v>65</v>
      </c>
      <c r="G12556" t="s">
        <v>66</v>
      </c>
      <c r="H12556" t="s">
        <v>67</v>
      </c>
      <c r="S12556">
        <v>0</v>
      </c>
      <c r="T12556">
        <v>1</v>
      </c>
      <c r="U12556">
        <v>0</v>
      </c>
      <c r="V12556">
        <v>0</v>
      </c>
      <c r="W12556">
        <v>1</v>
      </c>
      <c r="X12556">
        <v>0</v>
      </c>
      <c r="Y12556">
        <v>0</v>
      </c>
      <c r="Z12556">
        <v>1</v>
      </c>
      <c r="AA12556">
        <v>1</v>
      </c>
      <c r="AB12556">
        <v>0</v>
      </c>
      <c r="AC12556">
        <v>0</v>
      </c>
      <c r="AD12556">
        <v>0</v>
      </c>
      <c r="AE12556">
        <v>0</v>
      </c>
      <c r="AF12556">
        <v>0</v>
      </c>
      <c r="AG12556">
        <v>0</v>
      </c>
      <c r="AH12556">
        <v>0</v>
      </c>
      <c r="AI12556">
        <v>1</v>
      </c>
      <c r="AJ12556">
        <v>0</v>
      </c>
      <c r="AK12556">
        <v>0</v>
      </c>
      <c r="AL12556">
        <v>1</v>
      </c>
      <c r="AM12556">
        <v>1</v>
      </c>
    </row>
    <row r="12557" spans="1:39" x14ac:dyDescent="0.2">
      <c r="A12557" t="str">
        <f>"12553"</f>
        <v>12553</v>
      </c>
      <c r="B12557" t="str">
        <f t="shared" si="697"/>
        <v>1</v>
      </c>
      <c r="C12557" t="str">
        <f t="shared" si="699"/>
        <v>252</v>
      </c>
      <c r="D12557" t="str">
        <f>"30"</f>
        <v>30</v>
      </c>
      <c r="E12557" t="str">
        <f>"1-252-30"</f>
        <v>1-252-30</v>
      </c>
      <c r="F12557" t="s">
        <v>65</v>
      </c>
      <c r="G12557" t="s">
        <v>66</v>
      </c>
      <c r="H12557" t="s">
        <v>67</v>
      </c>
      <c r="S12557">
        <v>0</v>
      </c>
      <c r="T12557">
        <v>1</v>
      </c>
      <c r="U12557">
        <v>0</v>
      </c>
      <c r="V12557">
        <v>0</v>
      </c>
      <c r="W12557">
        <v>1</v>
      </c>
      <c r="X12557">
        <v>0</v>
      </c>
      <c r="Y12557">
        <v>1</v>
      </c>
      <c r="Z12557">
        <v>0</v>
      </c>
      <c r="AA12557">
        <v>1</v>
      </c>
      <c r="AB12557">
        <v>0</v>
      </c>
      <c r="AC12557">
        <v>0</v>
      </c>
      <c r="AD12557">
        <v>0</v>
      </c>
      <c r="AE12557">
        <v>0</v>
      </c>
      <c r="AF12557">
        <v>0</v>
      </c>
      <c r="AG12557">
        <v>0</v>
      </c>
      <c r="AH12557">
        <v>0</v>
      </c>
      <c r="AI12557">
        <v>0</v>
      </c>
      <c r="AJ12557">
        <v>0</v>
      </c>
      <c r="AK12557">
        <v>0</v>
      </c>
      <c r="AL12557">
        <v>0</v>
      </c>
      <c r="AM12557">
        <v>0</v>
      </c>
    </row>
    <row r="12558" spans="1:39" x14ac:dyDescent="0.2">
      <c r="A12558" t="str">
        <f>"12554"</f>
        <v>12554</v>
      </c>
      <c r="B12558" t="str">
        <f t="shared" si="697"/>
        <v>1</v>
      </c>
      <c r="C12558" t="str">
        <f t="shared" si="699"/>
        <v>252</v>
      </c>
      <c r="D12558" t="str">
        <f>"15"</f>
        <v>15</v>
      </c>
      <c r="E12558" t="str">
        <f>"1-252-15"</f>
        <v>1-252-15</v>
      </c>
      <c r="F12558" t="s">
        <v>65</v>
      </c>
      <c r="G12558" t="s">
        <v>66</v>
      </c>
      <c r="H12558" t="s">
        <v>67</v>
      </c>
      <c r="S12558">
        <v>0</v>
      </c>
      <c r="T12558">
        <v>0</v>
      </c>
      <c r="U12558">
        <v>0</v>
      </c>
      <c r="V12558">
        <v>0</v>
      </c>
      <c r="W12558">
        <v>1</v>
      </c>
      <c r="X12558">
        <v>0</v>
      </c>
      <c r="Y12558">
        <v>0</v>
      </c>
      <c r="Z12558">
        <v>0</v>
      </c>
      <c r="AA12558">
        <v>0</v>
      </c>
      <c r="AB12558">
        <v>0</v>
      </c>
      <c r="AC12558">
        <v>0</v>
      </c>
      <c r="AD12558">
        <v>0</v>
      </c>
      <c r="AE12558">
        <v>0</v>
      </c>
      <c r="AF12558">
        <v>0</v>
      </c>
      <c r="AG12558">
        <v>1</v>
      </c>
      <c r="AH12558">
        <v>1</v>
      </c>
      <c r="AI12558">
        <v>1</v>
      </c>
      <c r="AJ12558">
        <v>1</v>
      </c>
      <c r="AK12558">
        <v>1</v>
      </c>
      <c r="AL12558">
        <v>1</v>
      </c>
      <c r="AM12558">
        <v>1</v>
      </c>
    </row>
    <row r="12559" spans="1:39" x14ac:dyDescent="0.2">
      <c r="A12559" t="str">
        <f>"12555"</f>
        <v>12555</v>
      </c>
      <c r="B12559" t="str">
        <f t="shared" si="697"/>
        <v>1</v>
      </c>
      <c r="C12559" t="str">
        <f t="shared" si="699"/>
        <v>252</v>
      </c>
      <c r="D12559" t="str">
        <f>"2"</f>
        <v>2</v>
      </c>
      <c r="E12559" t="str">
        <f>"1-252-2"</f>
        <v>1-252-2</v>
      </c>
      <c r="F12559" t="s">
        <v>65</v>
      </c>
      <c r="G12559" t="s">
        <v>66</v>
      </c>
      <c r="H12559" t="s">
        <v>68</v>
      </c>
      <c r="I12559">
        <v>1</v>
      </c>
      <c r="J12559">
        <v>1</v>
      </c>
      <c r="K12559">
        <v>0</v>
      </c>
      <c r="L12559">
        <v>0</v>
      </c>
      <c r="M12559">
        <v>1</v>
      </c>
      <c r="N12559">
        <v>1</v>
      </c>
      <c r="O12559">
        <v>1</v>
      </c>
      <c r="P12559">
        <v>1</v>
      </c>
      <c r="Q12559">
        <v>1</v>
      </c>
      <c r="R12559">
        <v>1</v>
      </c>
    </row>
    <row r="12560" spans="1:39" x14ac:dyDescent="0.2">
      <c r="A12560" t="str">
        <f>"12556"</f>
        <v>12556</v>
      </c>
      <c r="B12560" t="str">
        <f t="shared" si="697"/>
        <v>1</v>
      </c>
      <c r="C12560" t="str">
        <f t="shared" si="699"/>
        <v>252</v>
      </c>
      <c r="D12560" t="str">
        <f>"47"</f>
        <v>47</v>
      </c>
      <c r="E12560" t="str">
        <f>"1-252-47"</f>
        <v>1-252-47</v>
      </c>
      <c r="F12560" t="s">
        <v>65</v>
      </c>
      <c r="G12560" t="s">
        <v>66</v>
      </c>
      <c r="H12560" t="s">
        <v>67</v>
      </c>
      <c r="S12560">
        <v>1</v>
      </c>
      <c r="T12560">
        <v>0</v>
      </c>
      <c r="U12560">
        <v>0</v>
      </c>
      <c r="V12560">
        <v>0</v>
      </c>
      <c r="W12560">
        <v>1</v>
      </c>
      <c r="X12560">
        <v>0</v>
      </c>
      <c r="Y12560">
        <v>1</v>
      </c>
      <c r="Z12560">
        <v>0</v>
      </c>
      <c r="AA12560">
        <v>1</v>
      </c>
      <c r="AB12560">
        <v>0</v>
      </c>
      <c r="AC12560">
        <v>0</v>
      </c>
      <c r="AD12560">
        <v>1</v>
      </c>
      <c r="AE12560">
        <v>1</v>
      </c>
      <c r="AF12560">
        <v>1</v>
      </c>
      <c r="AG12560">
        <v>1</v>
      </c>
      <c r="AH12560">
        <v>1</v>
      </c>
      <c r="AI12560">
        <v>1</v>
      </c>
      <c r="AJ12560">
        <v>1</v>
      </c>
      <c r="AK12560">
        <v>1</v>
      </c>
      <c r="AL12560">
        <v>1</v>
      </c>
      <c r="AM12560">
        <v>1</v>
      </c>
    </row>
    <row r="12561" spans="1:39" x14ac:dyDescent="0.2">
      <c r="A12561" t="str">
        <f>"12557"</f>
        <v>12557</v>
      </c>
      <c r="B12561" t="str">
        <f t="shared" si="697"/>
        <v>1</v>
      </c>
      <c r="C12561" t="str">
        <f t="shared" si="699"/>
        <v>252</v>
      </c>
      <c r="D12561" t="str">
        <f>"46"</f>
        <v>46</v>
      </c>
      <c r="E12561" t="str">
        <f>"1-252-46"</f>
        <v>1-252-46</v>
      </c>
      <c r="F12561" t="s">
        <v>65</v>
      </c>
      <c r="G12561" t="s">
        <v>66</v>
      </c>
      <c r="H12561" t="s">
        <v>67</v>
      </c>
      <c r="S12561">
        <v>0</v>
      </c>
      <c r="T12561">
        <v>1</v>
      </c>
      <c r="U12561">
        <v>0</v>
      </c>
      <c r="V12561">
        <v>0</v>
      </c>
      <c r="W12561">
        <v>1</v>
      </c>
      <c r="X12561">
        <v>0</v>
      </c>
      <c r="Y12561">
        <v>1</v>
      </c>
      <c r="Z12561">
        <v>0</v>
      </c>
      <c r="AA12561">
        <v>1</v>
      </c>
      <c r="AB12561">
        <v>0</v>
      </c>
      <c r="AC12561">
        <v>0</v>
      </c>
      <c r="AD12561">
        <v>1</v>
      </c>
      <c r="AE12561">
        <v>1</v>
      </c>
      <c r="AF12561">
        <v>1</v>
      </c>
      <c r="AG12561">
        <v>1</v>
      </c>
      <c r="AH12561">
        <v>1</v>
      </c>
      <c r="AI12561">
        <v>1</v>
      </c>
      <c r="AJ12561">
        <v>1</v>
      </c>
      <c r="AK12561">
        <v>1</v>
      </c>
      <c r="AL12561">
        <v>1</v>
      </c>
      <c r="AM12561">
        <v>1</v>
      </c>
    </row>
    <row r="12562" spans="1:39" x14ac:dyDescent="0.2">
      <c r="A12562" t="str">
        <f>"12558"</f>
        <v>12558</v>
      </c>
      <c r="B12562" t="str">
        <f t="shared" si="697"/>
        <v>1</v>
      </c>
      <c r="C12562" t="str">
        <f t="shared" si="699"/>
        <v>252</v>
      </c>
      <c r="D12562" t="str">
        <f>"31"</f>
        <v>31</v>
      </c>
      <c r="E12562" t="str">
        <f>"1-252-31"</f>
        <v>1-252-31</v>
      </c>
      <c r="F12562" t="s">
        <v>65</v>
      </c>
      <c r="G12562" t="s">
        <v>66</v>
      </c>
      <c r="H12562" t="s">
        <v>67</v>
      </c>
      <c r="S12562">
        <v>1</v>
      </c>
      <c r="T12562">
        <v>0</v>
      </c>
      <c r="U12562">
        <v>0</v>
      </c>
      <c r="V12562">
        <v>0</v>
      </c>
      <c r="W12562">
        <v>1</v>
      </c>
      <c r="X12562">
        <v>0</v>
      </c>
      <c r="Y12562">
        <v>1</v>
      </c>
      <c r="Z12562">
        <v>0</v>
      </c>
      <c r="AA12562">
        <v>1</v>
      </c>
      <c r="AB12562">
        <v>0</v>
      </c>
      <c r="AC12562">
        <v>0</v>
      </c>
      <c r="AD12562">
        <v>1</v>
      </c>
      <c r="AE12562">
        <v>1</v>
      </c>
      <c r="AF12562">
        <v>1</v>
      </c>
      <c r="AG12562">
        <v>1</v>
      </c>
      <c r="AH12562">
        <v>1</v>
      </c>
      <c r="AI12562">
        <v>1</v>
      </c>
      <c r="AJ12562">
        <v>1</v>
      </c>
      <c r="AK12562">
        <v>1</v>
      </c>
      <c r="AL12562">
        <v>1</v>
      </c>
      <c r="AM12562">
        <v>1</v>
      </c>
    </row>
    <row r="12563" spans="1:39" x14ac:dyDescent="0.2">
      <c r="A12563" t="str">
        <f>"12559"</f>
        <v>12559</v>
      </c>
      <c r="B12563" t="str">
        <f t="shared" si="697"/>
        <v>1</v>
      </c>
      <c r="C12563" t="str">
        <f t="shared" si="699"/>
        <v>252</v>
      </c>
      <c r="D12563" t="str">
        <f>"16"</f>
        <v>16</v>
      </c>
      <c r="E12563" t="str">
        <f>"1-252-16"</f>
        <v>1-252-16</v>
      </c>
      <c r="F12563" t="s">
        <v>65</v>
      </c>
      <c r="G12563" t="s">
        <v>66</v>
      </c>
      <c r="H12563" t="s">
        <v>67</v>
      </c>
      <c r="S12563">
        <v>1</v>
      </c>
      <c r="T12563">
        <v>0</v>
      </c>
      <c r="U12563">
        <v>0</v>
      </c>
      <c r="V12563">
        <v>0</v>
      </c>
      <c r="W12563">
        <v>1</v>
      </c>
      <c r="X12563">
        <v>0</v>
      </c>
      <c r="Y12563">
        <v>0</v>
      </c>
      <c r="Z12563">
        <v>0</v>
      </c>
      <c r="AA12563">
        <v>0</v>
      </c>
      <c r="AB12563">
        <v>0</v>
      </c>
      <c r="AC12563">
        <v>0</v>
      </c>
      <c r="AD12563">
        <v>0</v>
      </c>
      <c r="AE12563">
        <v>0</v>
      </c>
      <c r="AF12563">
        <v>0</v>
      </c>
      <c r="AG12563">
        <v>1</v>
      </c>
      <c r="AH12563">
        <v>1</v>
      </c>
      <c r="AI12563">
        <v>1</v>
      </c>
      <c r="AJ12563">
        <v>1</v>
      </c>
      <c r="AK12563">
        <v>1</v>
      </c>
      <c r="AL12563">
        <v>1</v>
      </c>
      <c r="AM12563">
        <v>1</v>
      </c>
    </row>
    <row r="12564" spans="1:39" x14ac:dyDescent="0.2">
      <c r="A12564" t="str">
        <f>"12560"</f>
        <v>12560</v>
      </c>
      <c r="B12564" t="str">
        <f t="shared" si="697"/>
        <v>1</v>
      </c>
      <c r="C12564" t="str">
        <f t="shared" si="699"/>
        <v>252</v>
      </c>
      <c r="D12564" t="str">
        <f>"3"</f>
        <v>3</v>
      </c>
      <c r="E12564" t="str">
        <f>"1-252-3"</f>
        <v>1-252-3</v>
      </c>
      <c r="F12564" t="s">
        <v>65</v>
      </c>
      <c r="G12564" t="s">
        <v>66</v>
      </c>
      <c r="H12564" t="s">
        <v>67</v>
      </c>
      <c r="S12564">
        <v>1</v>
      </c>
      <c r="T12564">
        <v>0</v>
      </c>
      <c r="U12564">
        <v>0</v>
      </c>
      <c r="V12564">
        <v>0</v>
      </c>
      <c r="W12564">
        <v>1</v>
      </c>
      <c r="X12564">
        <v>0</v>
      </c>
      <c r="Y12564">
        <v>1</v>
      </c>
      <c r="Z12564">
        <v>0</v>
      </c>
      <c r="AA12564">
        <v>1</v>
      </c>
      <c r="AB12564">
        <v>0</v>
      </c>
      <c r="AC12564">
        <v>0</v>
      </c>
      <c r="AD12564">
        <v>0</v>
      </c>
      <c r="AE12564">
        <v>0</v>
      </c>
      <c r="AF12564">
        <v>0</v>
      </c>
      <c r="AG12564">
        <v>0</v>
      </c>
      <c r="AH12564">
        <v>0</v>
      </c>
      <c r="AI12564">
        <v>0</v>
      </c>
      <c r="AJ12564">
        <v>0</v>
      </c>
      <c r="AK12564">
        <v>0</v>
      </c>
      <c r="AL12564">
        <v>0</v>
      </c>
      <c r="AM12564">
        <v>0</v>
      </c>
    </row>
    <row r="12565" spans="1:39" x14ac:dyDescent="0.2">
      <c r="A12565" t="str">
        <f>"12561"</f>
        <v>12561</v>
      </c>
      <c r="B12565" t="str">
        <f t="shared" si="697"/>
        <v>1</v>
      </c>
      <c r="C12565" t="str">
        <f t="shared" si="699"/>
        <v>252</v>
      </c>
      <c r="D12565" t="str">
        <f>"34"</f>
        <v>34</v>
      </c>
      <c r="E12565" t="str">
        <f>"1-252-34"</f>
        <v>1-252-34</v>
      </c>
      <c r="F12565" t="s">
        <v>65</v>
      </c>
      <c r="G12565" t="s">
        <v>66</v>
      </c>
      <c r="H12565" t="s">
        <v>67</v>
      </c>
      <c r="S12565">
        <v>0</v>
      </c>
      <c r="T12565">
        <v>1</v>
      </c>
      <c r="U12565">
        <v>0</v>
      </c>
      <c r="V12565">
        <v>0</v>
      </c>
      <c r="W12565">
        <v>1</v>
      </c>
      <c r="X12565">
        <v>0</v>
      </c>
      <c r="Y12565">
        <v>0</v>
      </c>
      <c r="Z12565">
        <v>1</v>
      </c>
      <c r="AA12565">
        <v>0</v>
      </c>
      <c r="AB12565">
        <v>0</v>
      </c>
      <c r="AC12565">
        <v>1</v>
      </c>
      <c r="AD12565">
        <v>0</v>
      </c>
      <c r="AE12565">
        <v>0</v>
      </c>
      <c r="AF12565">
        <v>0</v>
      </c>
      <c r="AG12565">
        <v>0</v>
      </c>
      <c r="AH12565">
        <v>0</v>
      </c>
      <c r="AI12565">
        <v>0</v>
      </c>
      <c r="AJ12565">
        <v>0</v>
      </c>
      <c r="AK12565">
        <v>0</v>
      </c>
      <c r="AL12565">
        <v>0</v>
      </c>
      <c r="AM12565">
        <v>0</v>
      </c>
    </row>
    <row r="12566" spans="1:39" x14ac:dyDescent="0.2">
      <c r="A12566" t="str">
        <f>"12562"</f>
        <v>12562</v>
      </c>
      <c r="B12566" t="str">
        <f t="shared" si="697"/>
        <v>1</v>
      </c>
      <c r="C12566" t="str">
        <f t="shared" si="699"/>
        <v>252</v>
      </c>
      <c r="D12566" t="str">
        <f>"33"</f>
        <v>33</v>
      </c>
      <c r="E12566" t="str">
        <f>"1-252-33"</f>
        <v>1-252-33</v>
      </c>
      <c r="F12566" t="s">
        <v>65</v>
      </c>
      <c r="G12566" t="s">
        <v>66</v>
      </c>
      <c r="H12566" t="s">
        <v>67</v>
      </c>
      <c r="S12566">
        <v>0</v>
      </c>
      <c r="T12566">
        <v>1</v>
      </c>
      <c r="U12566">
        <v>0</v>
      </c>
      <c r="V12566">
        <v>0</v>
      </c>
      <c r="W12566">
        <v>1</v>
      </c>
      <c r="X12566">
        <v>0</v>
      </c>
      <c r="Y12566">
        <v>0</v>
      </c>
      <c r="Z12566">
        <v>1</v>
      </c>
      <c r="AA12566">
        <v>1</v>
      </c>
      <c r="AB12566">
        <v>0</v>
      </c>
      <c r="AC12566">
        <v>0</v>
      </c>
      <c r="AD12566">
        <v>1</v>
      </c>
      <c r="AE12566">
        <v>1</v>
      </c>
      <c r="AF12566">
        <v>1</v>
      </c>
      <c r="AG12566">
        <v>1</v>
      </c>
      <c r="AH12566">
        <v>1</v>
      </c>
      <c r="AI12566">
        <v>1</v>
      </c>
      <c r="AJ12566">
        <v>1</v>
      </c>
      <c r="AK12566">
        <v>1</v>
      </c>
      <c r="AL12566">
        <v>1</v>
      </c>
      <c r="AM12566">
        <v>1</v>
      </c>
    </row>
    <row r="12567" spans="1:39" x14ac:dyDescent="0.2">
      <c r="A12567" t="str">
        <f>"12563"</f>
        <v>12563</v>
      </c>
      <c r="B12567" t="str">
        <f t="shared" si="697"/>
        <v>1</v>
      </c>
      <c r="C12567" t="str">
        <f t="shared" si="699"/>
        <v>252</v>
      </c>
      <c r="D12567" t="str">
        <f>"32"</f>
        <v>32</v>
      </c>
      <c r="E12567" t="str">
        <f>"1-252-32"</f>
        <v>1-252-32</v>
      </c>
      <c r="F12567" t="s">
        <v>65</v>
      </c>
      <c r="G12567" t="s">
        <v>66</v>
      </c>
      <c r="H12567" t="s">
        <v>67</v>
      </c>
      <c r="S12567">
        <v>0</v>
      </c>
      <c r="T12567">
        <v>1</v>
      </c>
      <c r="U12567">
        <v>0</v>
      </c>
      <c r="V12567">
        <v>0</v>
      </c>
      <c r="W12567">
        <v>1</v>
      </c>
      <c r="X12567">
        <v>0</v>
      </c>
      <c r="Y12567">
        <v>0</v>
      </c>
      <c r="Z12567">
        <v>1</v>
      </c>
      <c r="AA12567">
        <v>1</v>
      </c>
      <c r="AB12567">
        <v>0</v>
      </c>
      <c r="AC12567">
        <v>0</v>
      </c>
      <c r="AD12567">
        <v>1</v>
      </c>
      <c r="AE12567">
        <v>1</v>
      </c>
      <c r="AF12567">
        <v>1</v>
      </c>
      <c r="AG12567">
        <v>1</v>
      </c>
      <c r="AH12567">
        <v>1</v>
      </c>
      <c r="AI12567">
        <v>1</v>
      </c>
      <c r="AJ12567">
        <v>1</v>
      </c>
      <c r="AK12567">
        <v>1</v>
      </c>
      <c r="AL12567">
        <v>1</v>
      </c>
      <c r="AM12567">
        <v>1</v>
      </c>
    </row>
    <row r="12568" spans="1:39" x14ac:dyDescent="0.2">
      <c r="A12568" t="str">
        <f>"12564"</f>
        <v>12564</v>
      </c>
      <c r="B12568" t="str">
        <f t="shared" si="697"/>
        <v>1</v>
      </c>
      <c r="C12568" t="str">
        <f t="shared" si="699"/>
        <v>252</v>
      </c>
      <c r="D12568" t="str">
        <f>"17"</f>
        <v>17</v>
      </c>
      <c r="E12568" t="str">
        <f>"1-252-17"</f>
        <v>1-252-17</v>
      </c>
      <c r="F12568" t="s">
        <v>65</v>
      </c>
      <c r="G12568" t="s">
        <v>66</v>
      </c>
      <c r="H12568" t="s">
        <v>67</v>
      </c>
      <c r="S12568">
        <v>1</v>
      </c>
      <c r="T12568">
        <v>0</v>
      </c>
      <c r="U12568">
        <v>0</v>
      </c>
      <c r="V12568">
        <v>0</v>
      </c>
      <c r="W12568">
        <v>1</v>
      </c>
      <c r="X12568">
        <v>0</v>
      </c>
      <c r="Y12568">
        <v>1</v>
      </c>
      <c r="Z12568">
        <v>0</v>
      </c>
      <c r="AA12568">
        <v>1</v>
      </c>
      <c r="AB12568">
        <v>0</v>
      </c>
      <c r="AC12568">
        <v>0</v>
      </c>
      <c r="AD12568">
        <v>1</v>
      </c>
      <c r="AE12568">
        <v>1</v>
      </c>
      <c r="AF12568">
        <v>1</v>
      </c>
      <c r="AG12568">
        <v>1</v>
      </c>
      <c r="AH12568">
        <v>1</v>
      </c>
      <c r="AI12568">
        <v>1</v>
      </c>
      <c r="AJ12568">
        <v>1</v>
      </c>
      <c r="AK12568">
        <v>1</v>
      </c>
      <c r="AL12568">
        <v>1</v>
      </c>
      <c r="AM12568">
        <v>1</v>
      </c>
    </row>
    <row r="12569" spans="1:39" x14ac:dyDescent="0.2">
      <c r="A12569" t="str">
        <f>"12565"</f>
        <v>12565</v>
      </c>
      <c r="B12569" t="str">
        <f t="shared" si="697"/>
        <v>1</v>
      </c>
      <c r="C12569" t="str">
        <f t="shared" si="699"/>
        <v>252</v>
      </c>
      <c r="D12569" t="str">
        <f>"8"</f>
        <v>8</v>
      </c>
      <c r="E12569" t="str">
        <f>"1-252-8"</f>
        <v>1-252-8</v>
      </c>
      <c r="F12569" t="s">
        <v>65</v>
      </c>
      <c r="G12569" t="s">
        <v>66</v>
      </c>
      <c r="H12569" t="s">
        <v>67</v>
      </c>
      <c r="S12569">
        <v>1</v>
      </c>
      <c r="T12569">
        <v>0</v>
      </c>
      <c r="U12569">
        <v>0</v>
      </c>
      <c r="V12569">
        <v>0</v>
      </c>
      <c r="W12569">
        <v>1</v>
      </c>
      <c r="X12569">
        <v>0</v>
      </c>
      <c r="Y12569">
        <v>0</v>
      </c>
      <c r="Z12569">
        <v>0</v>
      </c>
      <c r="AA12569">
        <v>1</v>
      </c>
      <c r="AB12569">
        <v>0</v>
      </c>
      <c r="AC12569">
        <v>0</v>
      </c>
      <c r="AD12569">
        <v>1</v>
      </c>
      <c r="AE12569">
        <v>1</v>
      </c>
      <c r="AF12569">
        <v>1</v>
      </c>
      <c r="AG12569">
        <v>1</v>
      </c>
      <c r="AH12569">
        <v>1</v>
      </c>
      <c r="AI12569">
        <v>1</v>
      </c>
      <c r="AJ12569">
        <v>1</v>
      </c>
      <c r="AK12569">
        <v>1</v>
      </c>
      <c r="AL12569">
        <v>1</v>
      </c>
      <c r="AM12569">
        <v>1</v>
      </c>
    </row>
    <row r="12570" spans="1:39" x14ac:dyDescent="0.2">
      <c r="A12570" t="str">
        <f>"12566"</f>
        <v>12566</v>
      </c>
      <c r="B12570" t="str">
        <f t="shared" si="697"/>
        <v>1</v>
      </c>
      <c r="C12570" t="str">
        <f t="shared" si="699"/>
        <v>252</v>
      </c>
      <c r="D12570" t="str">
        <f>"35"</f>
        <v>35</v>
      </c>
      <c r="E12570" t="str">
        <f>"1-252-35"</f>
        <v>1-252-35</v>
      </c>
      <c r="F12570" t="s">
        <v>65</v>
      </c>
      <c r="G12570" t="s">
        <v>66</v>
      </c>
      <c r="H12570" t="s">
        <v>67</v>
      </c>
      <c r="S12570">
        <v>1</v>
      </c>
      <c r="T12570">
        <v>0</v>
      </c>
      <c r="U12570">
        <v>0</v>
      </c>
      <c r="V12570">
        <v>0</v>
      </c>
      <c r="W12570">
        <v>1</v>
      </c>
      <c r="X12570">
        <v>0</v>
      </c>
      <c r="Y12570">
        <v>1</v>
      </c>
      <c r="Z12570">
        <v>0</v>
      </c>
      <c r="AA12570">
        <v>0</v>
      </c>
      <c r="AB12570">
        <v>0</v>
      </c>
      <c r="AC12570">
        <v>1</v>
      </c>
      <c r="AD12570">
        <v>1</v>
      </c>
      <c r="AE12570">
        <v>1</v>
      </c>
      <c r="AF12570">
        <v>1</v>
      </c>
      <c r="AG12570">
        <v>1</v>
      </c>
      <c r="AH12570">
        <v>1</v>
      </c>
      <c r="AI12570">
        <v>1</v>
      </c>
      <c r="AJ12570">
        <v>1</v>
      </c>
      <c r="AK12570">
        <v>1</v>
      </c>
      <c r="AL12570">
        <v>1</v>
      </c>
      <c r="AM12570">
        <v>1</v>
      </c>
    </row>
    <row r="12571" spans="1:39" x14ac:dyDescent="0.2">
      <c r="A12571" t="str">
        <f>"12567"</f>
        <v>12567</v>
      </c>
      <c r="B12571" t="str">
        <f t="shared" si="697"/>
        <v>1</v>
      </c>
      <c r="C12571" t="str">
        <f t="shared" si="699"/>
        <v>252</v>
      </c>
      <c r="D12571" t="str">
        <f>"29"</f>
        <v>29</v>
      </c>
      <c r="E12571" t="str">
        <f>"1-252-29"</f>
        <v>1-252-29</v>
      </c>
      <c r="F12571" t="s">
        <v>65</v>
      </c>
      <c r="G12571" t="s">
        <v>66</v>
      </c>
      <c r="H12571" t="s">
        <v>67</v>
      </c>
      <c r="S12571">
        <v>0</v>
      </c>
      <c r="T12571">
        <v>1</v>
      </c>
      <c r="U12571">
        <v>0</v>
      </c>
      <c r="V12571">
        <v>0</v>
      </c>
      <c r="W12571">
        <v>1</v>
      </c>
      <c r="X12571">
        <v>0</v>
      </c>
      <c r="Y12571">
        <v>1</v>
      </c>
      <c r="Z12571">
        <v>0</v>
      </c>
      <c r="AA12571">
        <v>1</v>
      </c>
      <c r="AB12571">
        <v>0</v>
      </c>
      <c r="AC12571">
        <v>0</v>
      </c>
      <c r="AD12571">
        <v>0</v>
      </c>
      <c r="AE12571">
        <v>0</v>
      </c>
      <c r="AF12571">
        <v>0</v>
      </c>
      <c r="AG12571">
        <v>0</v>
      </c>
      <c r="AH12571">
        <v>0</v>
      </c>
      <c r="AI12571">
        <v>0</v>
      </c>
      <c r="AJ12571">
        <v>0</v>
      </c>
      <c r="AK12571">
        <v>0</v>
      </c>
      <c r="AL12571">
        <v>0</v>
      </c>
      <c r="AM12571">
        <v>0</v>
      </c>
    </row>
    <row r="12572" spans="1:39" x14ac:dyDescent="0.2">
      <c r="A12572" t="str">
        <f>"12568"</f>
        <v>12568</v>
      </c>
      <c r="B12572" t="str">
        <f t="shared" si="697"/>
        <v>1</v>
      </c>
      <c r="C12572" t="str">
        <f t="shared" si="699"/>
        <v>252</v>
      </c>
      <c r="D12572" t="str">
        <f>"18"</f>
        <v>18</v>
      </c>
      <c r="E12572" t="str">
        <f>"1-252-18"</f>
        <v>1-252-18</v>
      </c>
      <c r="F12572" t="s">
        <v>65</v>
      </c>
      <c r="G12572" t="s">
        <v>66</v>
      </c>
      <c r="H12572" t="s">
        <v>67</v>
      </c>
      <c r="S12572">
        <v>1</v>
      </c>
      <c r="T12572">
        <v>0</v>
      </c>
      <c r="U12572">
        <v>0</v>
      </c>
      <c r="V12572">
        <v>0</v>
      </c>
      <c r="W12572">
        <v>1</v>
      </c>
      <c r="X12572">
        <v>0</v>
      </c>
      <c r="Y12572">
        <v>1</v>
      </c>
      <c r="Z12572">
        <v>0</v>
      </c>
      <c r="AA12572">
        <v>1</v>
      </c>
      <c r="AB12572">
        <v>0</v>
      </c>
      <c r="AC12572">
        <v>0</v>
      </c>
      <c r="AD12572">
        <v>1</v>
      </c>
      <c r="AE12572">
        <v>1</v>
      </c>
      <c r="AF12572">
        <v>1</v>
      </c>
      <c r="AG12572">
        <v>1</v>
      </c>
      <c r="AH12572">
        <v>1</v>
      </c>
      <c r="AI12572">
        <v>1</v>
      </c>
      <c r="AJ12572">
        <v>1</v>
      </c>
      <c r="AK12572">
        <v>1</v>
      </c>
      <c r="AL12572">
        <v>1</v>
      </c>
      <c r="AM12572">
        <v>1</v>
      </c>
    </row>
    <row r="12573" spans="1:39" x14ac:dyDescent="0.2">
      <c r="A12573" t="str">
        <f>"12569"</f>
        <v>12569</v>
      </c>
      <c r="B12573" t="str">
        <f t="shared" si="697"/>
        <v>1</v>
      </c>
      <c r="C12573" t="str">
        <f t="shared" si="699"/>
        <v>252</v>
      </c>
      <c r="D12573" t="str">
        <f>"14"</f>
        <v>14</v>
      </c>
      <c r="E12573" t="str">
        <f>"1-252-14"</f>
        <v>1-252-14</v>
      </c>
      <c r="F12573" t="s">
        <v>65</v>
      </c>
      <c r="G12573" t="s">
        <v>66</v>
      </c>
      <c r="H12573" t="s">
        <v>67</v>
      </c>
      <c r="S12573">
        <v>1</v>
      </c>
      <c r="T12573">
        <v>0</v>
      </c>
      <c r="U12573">
        <v>0</v>
      </c>
      <c r="V12573">
        <v>0</v>
      </c>
      <c r="W12573">
        <v>1</v>
      </c>
      <c r="X12573">
        <v>0</v>
      </c>
      <c r="Y12573">
        <v>0</v>
      </c>
      <c r="Z12573">
        <v>1</v>
      </c>
      <c r="AA12573">
        <v>0</v>
      </c>
      <c r="AB12573">
        <v>0</v>
      </c>
      <c r="AC12573">
        <v>1</v>
      </c>
      <c r="AD12573">
        <v>1</v>
      </c>
      <c r="AE12573">
        <v>1</v>
      </c>
      <c r="AF12573">
        <v>1</v>
      </c>
      <c r="AG12573">
        <v>1</v>
      </c>
      <c r="AH12573">
        <v>1</v>
      </c>
      <c r="AI12573">
        <v>1</v>
      </c>
      <c r="AJ12573">
        <v>1</v>
      </c>
      <c r="AK12573">
        <v>1</v>
      </c>
      <c r="AL12573">
        <v>1</v>
      </c>
      <c r="AM12573">
        <v>1</v>
      </c>
    </row>
    <row r="12574" spans="1:39" x14ac:dyDescent="0.2">
      <c r="A12574" t="str">
        <f>"12570"</f>
        <v>12570</v>
      </c>
      <c r="B12574" t="str">
        <f t="shared" si="697"/>
        <v>1</v>
      </c>
      <c r="C12574" t="str">
        <f t="shared" si="699"/>
        <v>252</v>
      </c>
      <c r="D12574" t="str">
        <f>"37"</f>
        <v>37</v>
      </c>
      <c r="E12574" t="str">
        <f>"1-252-37"</f>
        <v>1-252-37</v>
      </c>
      <c r="F12574" t="s">
        <v>65</v>
      </c>
      <c r="G12574" t="s">
        <v>66</v>
      </c>
      <c r="H12574" t="s">
        <v>67</v>
      </c>
      <c r="S12574">
        <v>1</v>
      </c>
      <c r="T12574">
        <v>0</v>
      </c>
      <c r="U12574">
        <v>0</v>
      </c>
      <c r="V12574">
        <v>0</v>
      </c>
      <c r="W12574">
        <v>1</v>
      </c>
      <c r="X12574">
        <v>0</v>
      </c>
      <c r="Y12574">
        <v>1</v>
      </c>
      <c r="Z12574">
        <v>0</v>
      </c>
      <c r="AA12574">
        <v>1</v>
      </c>
      <c r="AB12574">
        <v>0</v>
      </c>
      <c r="AC12574">
        <v>0</v>
      </c>
      <c r="AD12574">
        <v>1</v>
      </c>
      <c r="AE12574">
        <v>1</v>
      </c>
      <c r="AF12574">
        <v>1</v>
      </c>
      <c r="AG12574">
        <v>1</v>
      </c>
      <c r="AH12574">
        <v>1</v>
      </c>
      <c r="AI12574">
        <v>1</v>
      </c>
      <c r="AJ12574">
        <v>1</v>
      </c>
      <c r="AK12574">
        <v>1</v>
      </c>
      <c r="AL12574">
        <v>1</v>
      </c>
      <c r="AM12574">
        <v>1</v>
      </c>
    </row>
    <row r="12575" spans="1:39" x14ac:dyDescent="0.2">
      <c r="A12575" t="str">
        <f>"12571"</f>
        <v>12571</v>
      </c>
      <c r="B12575" t="str">
        <f t="shared" si="697"/>
        <v>1</v>
      </c>
      <c r="C12575" t="str">
        <f t="shared" si="699"/>
        <v>252</v>
      </c>
      <c r="D12575" t="str">
        <f>"19"</f>
        <v>19</v>
      </c>
      <c r="E12575" t="str">
        <f>"1-252-19"</f>
        <v>1-252-19</v>
      </c>
      <c r="F12575" t="s">
        <v>65</v>
      </c>
      <c r="G12575" t="s">
        <v>66</v>
      </c>
      <c r="H12575" t="s">
        <v>67</v>
      </c>
      <c r="S12575">
        <v>1</v>
      </c>
      <c r="T12575">
        <v>0</v>
      </c>
      <c r="U12575">
        <v>0</v>
      </c>
      <c r="V12575">
        <v>0</v>
      </c>
      <c r="W12575">
        <v>1</v>
      </c>
      <c r="X12575">
        <v>0</v>
      </c>
      <c r="Y12575">
        <v>1</v>
      </c>
      <c r="Z12575">
        <v>0</v>
      </c>
      <c r="AA12575">
        <v>0</v>
      </c>
      <c r="AB12575">
        <v>1</v>
      </c>
      <c r="AC12575">
        <v>0</v>
      </c>
      <c r="AD12575">
        <v>0</v>
      </c>
      <c r="AE12575">
        <v>0</v>
      </c>
      <c r="AF12575">
        <v>0</v>
      </c>
      <c r="AG12575">
        <v>1</v>
      </c>
      <c r="AH12575">
        <v>1</v>
      </c>
      <c r="AI12575">
        <v>1</v>
      </c>
      <c r="AJ12575">
        <v>1</v>
      </c>
      <c r="AK12575">
        <v>1</v>
      </c>
      <c r="AL12575">
        <v>1</v>
      </c>
      <c r="AM12575">
        <v>1</v>
      </c>
    </row>
    <row r="12576" spans="1:39" x14ac:dyDescent="0.2">
      <c r="A12576" t="str">
        <f>"12572"</f>
        <v>12572</v>
      </c>
      <c r="B12576" t="str">
        <f t="shared" si="697"/>
        <v>1</v>
      </c>
      <c r="C12576" t="str">
        <f t="shared" si="699"/>
        <v>252</v>
      </c>
      <c r="D12576" t="str">
        <f>"1"</f>
        <v>1</v>
      </c>
      <c r="E12576" t="str">
        <f>"1-252-1"</f>
        <v>1-252-1</v>
      </c>
      <c r="F12576" t="s">
        <v>65</v>
      </c>
      <c r="G12576" t="s">
        <v>66</v>
      </c>
      <c r="H12576" t="s">
        <v>68</v>
      </c>
      <c r="I12576">
        <v>1</v>
      </c>
      <c r="J12576">
        <v>0</v>
      </c>
      <c r="K12576">
        <v>1</v>
      </c>
      <c r="L12576">
        <v>0</v>
      </c>
      <c r="M12576">
        <v>1</v>
      </c>
      <c r="N12576">
        <v>1</v>
      </c>
      <c r="O12576">
        <v>1</v>
      </c>
      <c r="P12576">
        <v>1</v>
      </c>
      <c r="Q12576">
        <v>1</v>
      </c>
      <c r="R12576">
        <v>1</v>
      </c>
    </row>
    <row r="12577" spans="1:39" x14ac:dyDescent="0.2">
      <c r="A12577" t="str">
        <f>"12573"</f>
        <v>12573</v>
      </c>
      <c r="B12577" t="str">
        <f t="shared" si="697"/>
        <v>1</v>
      </c>
      <c r="C12577" t="str">
        <f t="shared" si="699"/>
        <v>252</v>
      </c>
      <c r="D12577" t="str">
        <f>"38"</f>
        <v>38</v>
      </c>
      <c r="E12577" t="str">
        <f>"1-252-38"</f>
        <v>1-252-38</v>
      </c>
      <c r="F12577" t="s">
        <v>65</v>
      </c>
      <c r="G12577" t="s">
        <v>66</v>
      </c>
      <c r="H12577" t="s">
        <v>67</v>
      </c>
      <c r="S12577">
        <v>1</v>
      </c>
      <c r="T12577">
        <v>0</v>
      </c>
      <c r="U12577">
        <v>0</v>
      </c>
      <c r="V12577">
        <v>0</v>
      </c>
      <c r="W12577">
        <v>1</v>
      </c>
      <c r="X12577">
        <v>0</v>
      </c>
      <c r="Y12577">
        <v>1</v>
      </c>
      <c r="Z12577">
        <v>0</v>
      </c>
      <c r="AA12577">
        <v>1</v>
      </c>
      <c r="AB12577">
        <v>0</v>
      </c>
      <c r="AC12577">
        <v>0</v>
      </c>
      <c r="AD12577">
        <v>1</v>
      </c>
      <c r="AE12577">
        <v>1</v>
      </c>
      <c r="AF12577">
        <v>1</v>
      </c>
      <c r="AG12577">
        <v>1</v>
      </c>
      <c r="AH12577">
        <v>1</v>
      </c>
      <c r="AI12577">
        <v>1</v>
      </c>
      <c r="AJ12577">
        <v>1</v>
      </c>
      <c r="AK12577">
        <v>1</v>
      </c>
      <c r="AL12577">
        <v>1</v>
      </c>
      <c r="AM12577">
        <v>1</v>
      </c>
    </row>
    <row r="12578" spans="1:39" x14ac:dyDescent="0.2">
      <c r="A12578" t="str">
        <f>"12574"</f>
        <v>12574</v>
      </c>
      <c r="B12578" t="str">
        <f t="shared" si="697"/>
        <v>1</v>
      </c>
      <c r="C12578" t="str">
        <f t="shared" si="699"/>
        <v>252</v>
      </c>
      <c r="D12578" t="str">
        <f>"20"</f>
        <v>20</v>
      </c>
      <c r="E12578" t="str">
        <f>"1-252-20"</f>
        <v>1-252-20</v>
      </c>
      <c r="F12578" t="s">
        <v>65</v>
      </c>
      <c r="G12578" t="s">
        <v>66</v>
      </c>
      <c r="H12578" t="s">
        <v>67</v>
      </c>
      <c r="S12578">
        <v>1</v>
      </c>
      <c r="T12578">
        <v>0</v>
      </c>
      <c r="U12578">
        <v>0</v>
      </c>
      <c r="V12578">
        <v>0</v>
      </c>
      <c r="W12578">
        <v>1</v>
      </c>
      <c r="X12578">
        <v>0</v>
      </c>
      <c r="Y12578">
        <v>1</v>
      </c>
      <c r="Z12578">
        <v>0</v>
      </c>
      <c r="AA12578">
        <v>1</v>
      </c>
      <c r="AB12578">
        <v>0</v>
      </c>
      <c r="AC12578">
        <v>0</v>
      </c>
      <c r="AD12578">
        <v>1</v>
      </c>
      <c r="AE12578">
        <v>1</v>
      </c>
      <c r="AF12578">
        <v>1</v>
      </c>
      <c r="AG12578">
        <v>1</v>
      </c>
      <c r="AH12578">
        <v>1</v>
      </c>
      <c r="AI12578">
        <v>1</v>
      </c>
      <c r="AJ12578">
        <v>1</v>
      </c>
      <c r="AK12578">
        <v>1</v>
      </c>
      <c r="AL12578">
        <v>1</v>
      </c>
      <c r="AM12578">
        <v>1</v>
      </c>
    </row>
    <row r="12579" spans="1:39" x14ac:dyDescent="0.2">
      <c r="A12579" t="str">
        <f>"12575"</f>
        <v>12575</v>
      </c>
      <c r="B12579" t="str">
        <f t="shared" si="697"/>
        <v>1</v>
      </c>
      <c r="C12579" t="str">
        <f t="shared" si="699"/>
        <v>252</v>
      </c>
      <c r="D12579" t="str">
        <f>"12"</f>
        <v>12</v>
      </c>
      <c r="E12579" t="str">
        <f>"1-252-12"</f>
        <v>1-252-12</v>
      </c>
      <c r="F12579" t="s">
        <v>65</v>
      </c>
      <c r="G12579" t="s">
        <v>66</v>
      </c>
      <c r="H12579" t="s">
        <v>67</v>
      </c>
      <c r="S12579">
        <v>0</v>
      </c>
      <c r="T12579">
        <v>1</v>
      </c>
      <c r="U12579">
        <v>0</v>
      </c>
      <c r="V12579">
        <v>0</v>
      </c>
      <c r="W12579">
        <v>1</v>
      </c>
      <c r="X12579">
        <v>0</v>
      </c>
      <c r="Y12579">
        <v>1</v>
      </c>
      <c r="Z12579">
        <v>0</v>
      </c>
      <c r="AA12579">
        <v>0</v>
      </c>
      <c r="AB12579">
        <v>1</v>
      </c>
      <c r="AC12579">
        <v>0</v>
      </c>
      <c r="AD12579">
        <v>1</v>
      </c>
      <c r="AE12579">
        <v>1</v>
      </c>
      <c r="AF12579">
        <v>1</v>
      </c>
      <c r="AG12579">
        <v>1</v>
      </c>
      <c r="AH12579">
        <v>1</v>
      </c>
      <c r="AI12579">
        <v>1</v>
      </c>
      <c r="AJ12579">
        <v>1</v>
      </c>
      <c r="AK12579">
        <v>1</v>
      </c>
      <c r="AL12579">
        <v>0</v>
      </c>
      <c r="AM12579">
        <v>1</v>
      </c>
    </row>
    <row r="12580" spans="1:39" x14ac:dyDescent="0.2">
      <c r="A12580" t="str">
        <f>"12576"</f>
        <v>12576</v>
      </c>
      <c r="B12580" t="str">
        <f t="shared" si="697"/>
        <v>1</v>
      </c>
      <c r="C12580" t="str">
        <f t="shared" si="699"/>
        <v>252</v>
      </c>
      <c r="D12580" t="str">
        <f>"40"</f>
        <v>40</v>
      </c>
      <c r="E12580" t="str">
        <f>"1-252-40"</f>
        <v>1-252-40</v>
      </c>
      <c r="F12580" t="s">
        <v>65</v>
      </c>
      <c r="G12580" t="s">
        <v>66</v>
      </c>
      <c r="H12580" t="s">
        <v>67</v>
      </c>
      <c r="S12580">
        <v>1</v>
      </c>
      <c r="T12580">
        <v>0</v>
      </c>
      <c r="U12580">
        <v>0</v>
      </c>
      <c r="V12580">
        <v>0</v>
      </c>
      <c r="W12580">
        <v>1</v>
      </c>
      <c r="X12580">
        <v>0</v>
      </c>
      <c r="Y12580">
        <v>1</v>
      </c>
      <c r="Z12580">
        <v>0</v>
      </c>
      <c r="AA12580">
        <v>1</v>
      </c>
      <c r="AB12580">
        <v>0</v>
      </c>
      <c r="AC12580">
        <v>0</v>
      </c>
      <c r="AD12580">
        <v>1</v>
      </c>
      <c r="AE12580">
        <v>1</v>
      </c>
      <c r="AF12580">
        <v>1</v>
      </c>
      <c r="AG12580">
        <v>1</v>
      </c>
      <c r="AH12580">
        <v>1</v>
      </c>
      <c r="AI12580">
        <v>1</v>
      </c>
      <c r="AJ12580">
        <v>1</v>
      </c>
      <c r="AK12580">
        <v>1</v>
      </c>
      <c r="AL12580">
        <v>1</v>
      </c>
      <c r="AM12580">
        <v>1</v>
      </c>
    </row>
    <row r="12581" spans="1:39" x14ac:dyDescent="0.2">
      <c r="A12581" t="str">
        <f>"12577"</f>
        <v>12577</v>
      </c>
      <c r="B12581" t="str">
        <f t="shared" si="697"/>
        <v>1</v>
      </c>
      <c r="C12581" t="str">
        <f t="shared" si="699"/>
        <v>252</v>
      </c>
      <c r="D12581" t="str">
        <f>"21"</f>
        <v>21</v>
      </c>
      <c r="E12581" t="str">
        <f>"1-252-21"</f>
        <v>1-252-21</v>
      </c>
      <c r="F12581" t="s">
        <v>65</v>
      </c>
      <c r="G12581" t="s">
        <v>66</v>
      </c>
      <c r="H12581" t="s">
        <v>67</v>
      </c>
      <c r="S12581">
        <v>1</v>
      </c>
      <c r="T12581">
        <v>0</v>
      </c>
      <c r="U12581">
        <v>0</v>
      </c>
      <c r="V12581">
        <v>0</v>
      </c>
      <c r="W12581">
        <v>1</v>
      </c>
      <c r="X12581">
        <v>0</v>
      </c>
      <c r="Y12581">
        <v>1</v>
      </c>
      <c r="Z12581">
        <v>0</v>
      </c>
      <c r="AA12581">
        <v>1</v>
      </c>
      <c r="AB12581">
        <v>0</v>
      </c>
      <c r="AC12581">
        <v>0</v>
      </c>
      <c r="AD12581">
        <v>1</v>
      </c>
      <c r="AE12581">
        <v>1</v>
      </c>
      <c r="AF12581">
        <v>1</v>
      </c>
      <c r="AG12581">
        <v>1</v>
      </c>
      <c r="AH12581">
        <v>1</v>
      </c>
      <c r="AI12581">
        <v>1</v>
      </c>
      <c r="AJ12581">
        <v>1</v>
      </c>
      <c r="AK12581">
        <v>1</v>
      </c>
      <c r="AL12581">
        <v>1</v>
      </c>
      <c r="AM12581">
        <v>1</v>
      </c>
    </row>
    <row r="12582" spans="1:39" x14ac:dyDescent="0.2">
      <c r="A12582" t="str">
        <f>"12578"</f>
        <v>12578</v>
      </c>
      <c r="B12582" t="str">
        <f t="shared" si="697"/>
        <v>1</v>
      </c>
      <c r="C12582" t="str">
        <f t="shared" si="699"/>
        <v>252</v>
      </c>
      <c r="D12582" t="str">
        <f>"5"</f>
        <v>5</v>
      </c>
      <c r="E12582" t="str">
        <f>"1-252-5"</f>
        <v>1-252-5</v>
      </c>
      <c r="F12582" t="s">
        <v>65</v>
      </c>
      <c r="G12582" t="s">
        <v>66</v>
      </c>
      <c r="H12582" t="s">
        <v>67</v>
      </c>
      <c r="S12582">
        <v>1</v>
      </c>
      <c r="T12582">
        <v>0</v>
      </c>
      <c r="U12582">
        <v>0</v>
      </c>
      <c r="V12582">
        <v>0</v>
      </c>
      <c r="W12582">
        <v>1</v>
      </c>
      <c r="X12582">
        <v>0</v>
      </c>
      <c r="Y12582">
        <v>1</v>
      </c>
      <c r="Z12582">
        <v>0</v>
      </c>
      <c r="AA12582">
        <v>0</v>
      </c>
      <c r="AB12582">
        <v>1</v>
      </c>
      <c r="AC12582">
        <v>0</v>
      </c>
      <c r="AD12582">
        <v>1</v>
      </c>
      <c r="AE12582">
        <v>1</v>
      </c>
      <c r="AF12582">
        <v>1</v>
      </c>
      <c r="AG12582">
        <v>1</v>
      </c>
      <c r="AH12582">
        <v>1</v>
      </c>
      <c r="AI12582">
        <v>1</v>
      </c>
      <c r="AJ12582">
        <v>1</v>
      </c>
      <c r="AK12582">
        <v>1</v>
      </c>
      <c r="AL12582">
        <v>0</v>
      </c>
      <c r="AM12582">
        <v>1</v>
      </c>
    </row>
    <row r="12583" spans="1:39" x14ac:dyDescent="0.2">
      <c r="A12583" t="str">
        <f>"12579"</f>
        <v>12579</v>
      </c>
      <c r="B12583" t="str">
        <f t="shared" si="697"/>
        <v>1</v>
      </c>
      <c r="C12583" t="str">
        <f t="shared" si="699"/>
        <v>252</v>
      </c>
      <c r="D12583" t="str">
        <f>"39"</f>
        <v>39</v>
      </c>
      <c r="E12583" t="str">
        <f>"1-252-39"</f>
        <v>1-252-39</v>
      </c>
      <c r="F12583" t="s">
        <v>65</v>
      </c>
      <c r="G12583" t="s">
        <v>66</v>
      </c>
      <c r="H12583" t="s">
        <v>67</v>
      </c>
      <c r="S12583">
        <v>1</v>
      </c>
      <c r="T12583">
        <v>0</v>
      </c>
      <c r="U12583">
        <v>0</v>
      </c>
      <c r="V12583">
        <v>0</v>
      </c>
      <c r="W12583">
        <v>0</v>
      </c>
      <c r="X12583">
        <v>1</v>
      </c>
      <c r="Y12583">
        <v>1</v>
      </c>
      <c r="Z12583">
        <v>0</v>
      </c>
      <c r="AA12583">
        <v>0</v>
      </c>
      <c r="AB12583">
        <v>1</v>
      </c>
      <c r="AC12583">
        <v>0</v>
      </c>
      <c r="AD12583">
        <v>1</v>
      </c>
      <c r="AE12583">
        <v>1</v>
      </c>
      <c r="AF12583">
        <v>1</v>
      </c>
      <c r="AG12583">
        <v>1</v>
      </c>
      <c r="AH12583">
        <v>1</v>
      </c>
      <c r="AI12583">
        <v>1</v>
      </c>
      <c r="AJ12583">
        <v>1</v>
      </c>
      <c r="AK12583">
        <v>1</v>
      </c>
      <c r="AL12583">
        <v>1</v>
      </c>
      <c r="AM12583">
        <v>1</v>
      </c>
    </row>
    <row r="12584" spans="1:39" x14ac:dyDescent="0.2">
      <c r="A12584" t="str">
        <f>"12580"</f>
        <v>12580</v>
      </c>
      <c r="B12584" t="str">
        <f t="shared" si="697"/>
        <v>1</v>
      </c>
      <c r="C12584" t="str">
        <f t="shared" si="699"/>
        <v>252</v>
      </c>
      <c r="D12584" t="str">
        <f>"22"</f>
        <v>22</v>
      </c>
      <c r="E12584" t="str">
        <f>"1-252-22"</f>
        <v>1-252-22</v>
      </c>
      <c r="F12584" t="s">
        <v>65</v>
      </c>
      <c r="G12584" t="s">
        <v>66</v>
      </c>
      <c r="H12584" t="s">
        <v>67</v>
      </c>
      <c r="S12584">
        <v>1</v>
      </c>
      <c r="T12584">
        <v>0</v>
      </c>
      <c r="U12584">
        <v>0</v>
      </c>
      <c r="V12584">
        <v>0</v>
      </c>
      <c r="W12584">
        <v>1</v>
      </c>
      <c r="X12584">
        <v>0</v>
      </c>
      <c r="Y12584">
        <v>0</v>
      </c>
      <c r="Z12584">
        <v>1</v>
      </c>
      <c r="AA12584">
        <v>1</v>
      </c>
      <c r="AB12584">
        <v>0</v>
      </c>
      <c r="AC12584">
        <v>0</v>
      </c>
      <c r="AD12584">
        <v>1</v>
      </c>
      <c r="AE12584">
        <v>1</v>
      </c>
      <c r="AF12584">
        <v>1</v>
      </c>
      <c r="AG12584">
        <v>1</v>
      </c>
      <c r="AH12584">
        <v>1</v>
      </c>
      <c r="AI12584">
        <v>1</v>
      </c>
      <c r="AJ12584">
        <v>1</v>
      </c>
      <c r="AK12584">
        <v>1</v>
      </c>
      <c r="AL12584">
        <v>1</v>
      </c>
      <c r="AM12584">
        <v>1</v>
      </c>
    </row>
    <row r="12585" spans="1:39" x14ac:dyDescent="0.2">
      <c r="A12585" t="str">
        <f>"12581"</f>
        <v>12581</v>
      </c>
      <c r="B12585" t="str">
        <f t="shared" si="697"/>
        <v>1</v>
      </c>
      <c r="C12585" t="str">
        <f t="shared" si="699"/>
        <v>252</v>
      </c>
      <c r="D12585" t="str">
        <f>"6"</f>
        <v>6</v>
      </c>
      <c r="E12585" t="str">
        <f>"1-252-6"</f>
        <v>1-252-6</v>
      </c>
      <c r="F12585" t="s">
        <v>65</v>
      </c>
      <c r="G12585" t="s">
        <v>66</v>
      </c>
      <c r="H12585" t="s">
        <v>67</v>
      </c>
      <c r="S12585">
        <v>1</v>
      </c>
      <c r="T12585">
        <v>0</v>
      </c>
      <c r="U12585">
        <v>0</v>
      </c>
      <c r="V12585">
        <v>0</v>
      </c>
      <c r="W12585">
        <v>1</v>
      </c>
      <c r="X12585">
        <v>0</v>
      </c>
      <c r="Y12585">
        <v>1</v>
      </c>
      <c r="Z12585">
        <v>0</v>
      </c>
      <c r="AA12585">
        <v>1</v>
      </c>
      <c r="AB12585">
        <v>0</v>
      </c>
      <c r="AC12585">
        <v>0</v>
      </c>
      <c r="AD12585">
        <v>0</v>
      </c>
      <c r="AE12585">
        <v>0</v>
      </c>
      <c r="AF12585">
        <v>0</v>
      </c>
      <c r="AG12585">
        <v>0</v>
      </c>
      <c r="AH12585">
        <v>0</v>
      </c>
      <c r="AI12585">
        <v>0</v>
      </c>
      <c r="AJ12585">
        <v>0</v>
      </c>
      <c r="AK12585">
        <v>0</v>
      </c>
      <c r="AL12585">
        <v>0</v>
      </c>
      <c r="AM12585">
        <v>0</v>
      </c>
    </row>
    <row r="12586" spans="1:39" x14ac:dyDescent="0.2">
      <c r="A12586" t="str">
        <f>"12582"</f>
        <v>12582</v>
      </c>
      <c r="B12586" t="str">
        <f t="shared" si="697"/>
        <v>1</v>
      </c>
      <c r="C12586" t="str">
        <f t="shared" si="699"/>
        <v>252</v>
      </c>
      <c r="D12586" t="str">
        <f>"41"</f>
        <v>41</v>
      </c>
      <c r="E12586" t="str">
        <f>"1-252-41"</f>
        <v>1-252-41</v>
      </c>
      <c r="F12586" t="s">
        <v>65</v>
      </c>
      <c r="G12586" t="s">
        <v>66</v>
      </c>
      <c r="H12586" t="s">
        <v>67</v>
      </c>
      <c r="S12586">
        <v>1</v>
      </c>
      <c r="T12586">
        <v>0</v>
      </c>
      <c r="U12586">
        <v>0</v>
      </c>
      <c r="V12586">
        <v>0</v>
      </c>
      <c r="W12586">
        <v>1</v>
      </c>
      <c r="X12586">
        <v>0</v>
      </c>
      <c r="Y12586">
        <v>1</v>
      </c>
      <c r="Z12586">
        <v>0</v>
      </c>
      <c r="AA12586">
        <v>1</v>
      </c>
      <c r="AB12586">
        <v>0</v>
      </c>
      <c r="AC12586">
        <v>0</v>
      </c>
      <c r="AD12586">
        <v>1</v>
      </c>
      <c r="AE12586">
        <v>1</v>
      </c>
      <c r="AF12586">
        <v>1</v>
      </c>
      <c r="AG12586">
        <v>1</v>
      </c>
      <c r="AH12586">
        <v>1</v>
      </c>
      <c r="AI12586">
        <v>1</v>
      </c>
      <c r="AJ12586">
        <v>1</v>
      </c>
      <c r="AK12586">
        <v>1</v>
      </c>
      <c r="AL12586">
        <v>1</v>
      </c>
      <c r="AM12586">
        <v>1</v>
      </c>
    </row>
    <row r="12587" spans="1:39" x14ac:dyDescent="0.2">
      <c r="A12587" t="str">
        <f>"12583"</f>
        <v>12583</v>
      </c>
      <c r="B12587" t="str">
        <f t="shared" si="697"/>
        <v>1</v>
      </c>
      <c r="C12587" t="str">
        <f t="shared" ref="C12587:C12604" si="700">"252"</f>
        <v>252</v>
      </c>
      <c r="D12587" t="str">
        <f>"23"</f>
        <v>23</v>
      </c>
      <c r="E12587" t="str">
        <f>"1-252-23"</f>
        <v>1-252-23</v>
      </c>
      <c r="F12587" t="s">
        <v>65</v>
      </c>
      <c r="G12587" t="s">
        <v>66</v>
      </c>
      <c r="H12587" t="s">
        <v>67</v>
      </c>
      <c r="S12587">
        <v>1</v>
      </c>
      <c r="T12587">
        <v>0</v>
      </c>
      <c r="U12587">
        <v>0</v>
      </c>
      <c r="V12587">
        <v>0</v>
      </c>
      <c r="W12587">
        <v>1</v>
      </c>
      <c r="X12587">
        <v>0</v>
      </c>
      <c r="Y12587">
        <v>1</v>
      </c>
      <c r="Z12587">
        <v>0</v>
      </c>
      <c r="AA12587">
        <v>1</v>
      </c>
      <c r="AB12587">
        <v>0</v>
      </c>
      <c r="AC12587">
        <v>0</v>
      </c>
      <c r="AD12587">
        <v>0</v>
      </c>
      <c r="AE12587">
        <v>0</v>
      </c>
      <c r="AF12587">
        <v>0</v>
      </c>
      <c r="AG12587">
        <v>1</v>
      </c>
      <c r="AH12587">
        <v>0</v>
      </c>
      <c r="AI12587">
        <v>0</v>
      </c>
      <c r="AJ12587">
        <v>0</v>
      </c>
      <c r="AK12587">
        <v>0</v>
      </c>
      <c r="AL12587">
        <v>0</v>
      </c>
      <c r="AM12587">
        <v>0</v>
      </c>
    </row>
    <row r="12588" spans="1:39" x14ac:dyDescent="0.2">
      <c r="A12588" t="str">
        <f>"12584"</f>
        <v>12584</v>
      </c>
      <c r="B12588" t="str">
        <f t="shared" si="697"/>
        <v>1</v>
      </c>
      <c r="C12588" t="str">
        <f t="shared" si="700"/>
        <v>252</v>
      </c>
      <c r="D12588" t="str">
        <f>"4"</f>
        <v>4</v>
      </c>
      <c r="E12588" t="str">
        <f>"1-252-4"</f>
        <v>1-252-4</v>
      </c>
      <c r="F12588" t="s">
        <v>65</v>
      </c>
      <c r="G12588" t="s">
        <v>66</v>
      </c>
      <c r="H12588" t="s">
        <v>67</v>
      </c>
      <c r="S12588">
        <v>1</v>
      </c>
      <c r="T12588">
        <v>0</v>
      </c>
      <c r="U12588">
        <v>0</v>
      </c>
      <c r="V12588">
        <v>0</v>
      </c>
      <c r="W12588">
        <v>1</v>
      </c>
      <c r="X12588">
        <v>0</v>
      </c>
      <c r="Y12588">
        <v>1</v>
      </c>
      <c r="Z12588">
        <v>0</v>
      </c>
      <c r="AA12588">
        <v>1</v>
      </c>
      <c r="AB12588">
        <v>0</v>
      </c>
      <c r="AC12588">
        <v>0</v>
      </c>
      <c r="AD12588">
        <v>1</v>
      </c>
      <c r="AE12588">
        <v>1</v>
      </c>
      <c r="AF12588">
        <v>1</v>
      </c>
      <c r="AG12588">
        <v>1</v>
      </c>
      <c r="AH12588">
        <v>0</v>
      </c>
      <c r="AI12588">
        <v>1</v>
      </c>
      <c r="AJ12588">
        <v>1</v>
      </c>
      <c r="AK12588">
        <v>0</v>
      </c>
      <c r="AL12588">
        <v>1</v>
      </c>
      <c r="AM12588">
        <v>1</v>
      </c>
    </row>
    <row r="12589" spans="1:39" x14ac:dyDescent="0.2">
      <c r="A12589" t="str">
        <f>"12585"</f>
        <v>12585</v>
      </c>
      <c r="B12589" t="str">
        <f t="shared" si="697"/>
        <v>1</v>
      </c>
      <c r="C12589" t="str">
        <f t="shared" si="700"/>
        <v>252</v>
      </c>
      <c r="D12589" t="str">
        <f>"42"</f>
        <v>42</v>
      </c>
      <c r="E12589" t="str">
        <f>"1-252-42"</f>
        <v>1-252-42</v>
      </c>
      <c r="F12589" t="s">
        <v>65</v>
      </c>
      <c r="G12589" t="s">
        <v>66</v>
      </c>
      <c r="H12589" t="s">
        <v>67</v>
      </c>
      <c r="S12589">
        <v>1</v>
      </c>
      <c r="T12589">
        <v>0</v>
      </c>
      <c r="U12589">
        <v>0</v>
      </c>
      <c r="V12589">
        <v>0</v>
      </c>
      <c r="W12589">
        <v>1</v>
      </c>
      <c r="X12589">
        <v>0</v>
      </c>
      <c r="Y12589">
        <v>1</v>
      </c>
      <c r="Z12589">
        <v>0</v>
      </c>
      <c r="AA12589">
        <v>1</v>
      </c>
      <c r="AB12589">
        <v>0</v>
      </c>
      <c r="AC12589">
        <v>0</v>
      </c>
      <c r="AD12589">
        <v>1</v>
      </c>
      <c r="AE12589">
        <v>1</v>
      </c>
      <c r="AF12589">
        <v>1</v>
      </c>
      <c r="AG12589">
        <v>1</v>
      </c>
      <c r="AH12589">
        <v>1</v>
      </c>
      <c r="AI12589">
        <v>1</v>
      </c>
      <c r="AJ12589">
        <v>1</v>
      </c>
      <c r="AK12589">
        <v>1</v>
      </c>
      <c r="AL12589">
        <v>1</v>
      </c>
      <c r="AM12589">
        <v>1</v>
      </c>
    </row>
    <row r="12590" spans="1:39" x14ac:dyDescent="0.2">
      <c r="A12590" t="str">
        <f>"12586"</f>
        <v>12586</v>
      </c>
      <c r="B12590" t="str">
        <f t="shared" si="697"/>
        <v>1</v>
      </c>
      <c r="C12590" t="str">
        <f t="shared" si="700"/>
        <v>252</v>
      </c>
      <c r="D12590" t="str">
        <f>"24"</f>
        <v>24</v>
      </c>
      <c r="E12590" t="str">
        <f>"1-252-24"</f>
        <v>1-252-24</v>
      </c>
      <c r="F12590" t="s">
        <v>65</v>
      </c>
      <c r="G12590" t="s">
        <v>66</v>
      </c>
      <c r="H12590" t="s">
        <v>67</v>
      </c>
      <c r="S12590">
        <v>1</v>
      </c>
      <c r="T12590">
        <v>0</v>
      </c>
      <c r="U12590">
        <v>0</v>
      </c>
      <c r="V12590">
        <v>0</v>
      </c>
      <c r="W12590">
        <v>1</v>
      </c>
      <c r="X12590">
        <v>0</v>
      </c>
      <c r="Y12590">
        <v>1</v>
      </c>
      <c r="Z12590">
        <v>0</v>
      </c>
      <c r="AA12590">
        <v>1</v>
      </c>
      <c r="AB12590">
        <v>0</v>
      </c>
      <c r="AC12590">
        <v>0</v>
      </c>
      <c r="AD12590">
        <v>0</v>
      </c>
      <c r="AE12590">
        <v>0</v>
      </c>
      <c r="AF12590">
        <v>0</v>
      </c>
      <c r="AG12590">
        <v>1</v>
      </c>
      <c r="AH12590">
        <v>0</v>
      </c>
      <c r="AI12590">
        <v>0</v>
      </c>
      <c r="AJ12590">
        <v>0</v>
      </c>
      <c r="AK12590">
        <v>0</v>
      </c>
      <c r="AL12590">
        <v>0</v>
      </c>
      <c r="AM12590">
        <v>0</v>
      </c>
    </row>
    <row r="12591" spans="1:39" x14ac:dyDescent="0.2">
      <c r="A12591" t="str">
        <f>"12587"</f>
        <v>12587</v>
      </c>
      <c r="B12591" t="str">
        <f t="shared" si="697"/>
        <v>1</v>
      </c>
      <c r="C12591" t="str">
        <f t="shared" si="700"/>
        <v>252</v>
      </c>
      <c r="D12591" t="str">
        <f>"7"</f>
        <v>7</v>
      </c>
      <c r="E12591" t="str">
        <f>"1-252-7"</f>
        <v>1-252-7</v>
      </c>
      <c r="F12591" t="s">
        <v>65</v>
      </c>
      <c r="G12591" t="s">
        <v>66</v>
      </c>
      <c r="H12591" t="s">
        <v>67</v>
      </c>
      <c r="S12591">
        <v>0</v>
      </c>
      <c r="T12591">
        <v>1</v>
      </c>
      <c r="U12591">
        <v>0</v>
      </c>
      <c r="V12591">
        <v>0</v>
      </c>
      <c r="W12591">
        <v>1</v>
      </c>
      <c r="X12591">
        <v>0</v>
      </c>
      <c r="Y12591">
        <v>1</v>
      </c>
      <c r="Z12591">
        <v>0</v>
      </c>
      <c r="AA12591">
        <v>1</v>
      </c>
      <c r="AB12591">
        <v>0</v>
      </c>
      <c r="AC12591">
        <v>0</v>
      </c>
      <c r="AD12591">
        <v>0</v>
      </c>
      <c r="AE12591">
        <v>0</v>
      </c>
      <c r="AF12591">
        <v>0</v>
      </c>
      <c r="AG12591">
        <v>1</v>
      </c>
      <c r="AH12591">
        <v>0</v>
      </c>
      <c r="AI12591">
        <v>0</v>
      </c>
      <c r="AJ12591">
        <v>0</v>
      </c>
      <c r="AK12591">
        <v>0</v>
      </c>
      <c r="AL12591">
        <v>1</v>
      </c>
      <c r="AM12591">
        <v>0</v>
      </c>
    </row>
    <row r="12592" spans="1:39" x14ac:dyDescent="0.2">
      <c r="A12592" t="str">
        <f>"12588"</f>
        <v>12588</v>
      </c>
      <c r="B12592" t="str">
        <f t="shared" si="697"/>
        <v>1</v>
      </c>
      <c r="C12592" t="str">
        <f t="shared" si="700"/>
        <v>252</v>
      </c>
      <c r="D12592" t="str">
        <f>"43"</f>
        <v>43</v>
      </c>
      <c r="E12592" t="str">
        <f>"1-252-43"</f>
        <v>1-252-43</v>
      </c>
      <c r="F12592" t="s">
        <v>65</v>
      </c>
      <c r="G12592" t="s">
        <v>66</v>
      </c>
      <c r="H12592" t="s">
        <v>67</v>
      </c>
      <c r="S12592">
        <v>1</v>
      </c>
      <c r="T12592">
        <v>0</v>
      </c>
      <c r="U12592">
        <v>0</v>
      </c>
      <c r="V12592">
        <v>0</v>
      </c>
      <c r="W12592">
        <v>1</v>
      </c>
      <c r="X12592">
        <v>0</v>
      </c>
      <c r="Y12592">
        <v>1</v>
      </c>
      <c r="Z12592">
        <v>0</v>
      </c>
      <c r="AA12592">
        <v>1</v>
      </c>
      <c r="AB12592">
        <v>0</v>
      </c>
      <c r="AC12592">
        <v>0</v>
      </c>
      <c r="AD12592">
        <v>1</v>
      </c>
      <c r="AE12592">
        <v>1</v>
      </c>
      <c r="AF12592">
        <v>1</v>
      </c>
      <c r="AG12592">
        <v>1</v>
      </c>
      <c r="AH12592">
        <v>1</v>
      </c>
      <c r="AI12592">
        <v>1</v>
      </c>
      <c r="AJ12592">
        <v>1</v>
      </c>
      <c r="AK12592">
        <v>1</v>
      </c>
      <c r="AL12592">
        <v>1</v>
      </c>
      <c r="AM12592">
        <v>1</v>
      </c>
    </row>
    <row r="12593" spans="1:39" x14ac:dyDescent="0.2">
      <c r="A12593" t="str">
        <f>"12589"</f>
        <v>12589</v>
      </c>
      <c r="B12593" t="str">
        <f t="shared" si="697"/>
        <v>1</v>
      </c>
      <c r="C12593" t="str">
        <f t="shared" si="700"/>
        <v>252</v>
      </c>
      <c r="D12593" t="str">
        <f>"25"</f>
        <v>25</v>
      </c>
      <c r="E12593" t="str">
        <f>"1-252-25"</f>
        <v>1-252-25</v>
      </c>
      <c r="F12593" t="s">
        <v>65</v>
      </c>
      <c r="G12593" t="s">
        <v>66</v>
      </c>
      <c r="H12593" t="s">
        <v>67</v>
      </c>
      <c r="S12593">
        <v>0</v>
      </c>
      <c r="T12593">
        <v>0</v>
      </c>
      <c r="U12593">
        <v>0</v>
      </c>
      <c r="V12593">
        <v>0</v>
      </c>
      <c r="W12593">
        <v>1</v>
      </c>
      <c r="X12593">
        <v>0</v>
      </c>
      <c r="Y12593">
        <v>0</v>
      </c>
      <c r="Z12593">
        <v>0</v>
      </c>
      <c r="AA12593">
        <v>0</v>
      </c>
      <c r="AB12593">
        <v>0</v>
      </c>
      <c r="AC12593">
        <v>0</v>
      </c>
      <c r="AD12593">
        <v>1</v>
      </c>
      <c r="AE12593">
        <v>1</v>
      </c>
      <c r="AF12593">
        <v>1</v>
      </c>
      <c r="AG12593">
        <v>1</v>
      </c>
      <c r="AH12593">
        <v>1</v>
      </c>
      <c r="AI12593">
        <v>1</v>
      </c>
      <c r="AJ12593">
        <v>1</v>
      </c>
      <c r="AK12593">
        <v>1</v>
      </c>
      <c r="AL12593">
        <v>1</v>
      </c>
      <c r="AM12593">
        <v>1</v>
      </c>
    </row>
    <row r="12594" spans="1:39" x14ac:dyDescent="0.2">
      <c r="A12594" t="str">
        <f>"12590"</f>
        <v>12590</v>
      </c>
      <c r="B12594" t="str">
        <f t="shared" si="697"/>
        <v>1</v>
      </c>
      <c r="C12594" t="str">
        <f t="shared" si="700"/>
        <v>252</v>
      </c>
      <c r="D12594" t="str">
        <f>"11"</f>
        <v>11</v>
      </c>
      <c r="E12594" t="str">
        <f>"1-252-11"</f>
        <v>1-252-11</v>
      </c>
      <c r="F12594" t="s">
        <v>65</v>
      </c>
      <c r="G12594" t="s">
        <v>66</v>
      </c>
      <c r="H12594" t="s">
        <v>67</v>
      </c>
      <c r="S12594">
        <v>1</v>
      </c>
      <c r="T12594">
        <v>0</v>
      </c>
      <c r="U12594">
        <v>0</v>
      </c>
      <c r="V12594">
        <v>0</v>
      </c>
      <c r="W12594">
        <v>0</v>
      </c>
      <c r="X12594">
        <v>1</v>
      </c>
      <c r="Y12594">
        <v>1</v>
      </c>
      <c r="Z12594">
        <v>0</v>
      </c>
      <c r="AA12594">
        <v>0</v>
      </c>
      <c r="AB12594">
        <v>0</v>
      </c>
      <c r="AC12594">
        <v>1</v>
      </c>
      <c r="AD12594">
        <v>0</v>
      </c>
      <c r="AE12594">
        <v>0</v>
      </c>
      <c r="AF12594">
        <v>0</v>
      </c>
      <c r="AG12594">
        <v>0</v>
      </c>
      <c r="AH12594">
        <v>0</v>
      </c>
      <c r="AI12594">
        <v>0</v>
      </c>
      <c r="AJ12594">
        <v>0</v>
      </c>
      <c r="AK12594">
        <v>0</v>
      </c>
      <c r="AL12594">
        <v>0</v>
      </c>
      <c r="AM12594">
        <v>0</v>
      </c>
    </row>
    <row r="12595" spans="1:39" x14ac:dyDescent="0.2">
      <c r="A12595" t="str">
        <f>"12591"</f>
        <v>12591</v>
      </c>
      <c r="B12595" t="str">
        <f t="shared" si="697"/>
        <v>1</v>
      </c>
      <c r="C12595" t="str">
        <f t="shared" si="700"/>
        <v>252</v>
      </c>
      <c r="D12595" t="str">
        <f>"48"</f>
        <v>48</v>
      </c>
      <c r="E12595" t="str">
        <f>"1-252-48"</f>
        <v>1-252-48</v>
      </c>
      <c r="F12595" t="s">
        <v>65</v>
      </c>
      <c r="G12595" t="s">
        <v>66</v>
      </c>
      <c r="H12595" t="s">
        <v>67</v>
      </c>
      <c r="S12595">
        <v>1</v>
      </c>
      <c r="T12595">
        <v>0</v>
      </c>
      <c r="U12595">
        <v>0</v>
      </c>
      <c r="V12595">
        <v>0</v>
      </c>
      <c r="W12595">
        <v>1</v>
      </c>
      <c r="X12595">
        <v>0</v>
      </c>
      <c r="Y12595">
        <v>0</v>
      </c>
      <c r="Z12595">
        <v>1</v>
      </c>
      <c r="AA12595">
        <v>1</v>
      </c>
      <c r="AB12595">
        <v>0</v>
      </c>
      <c r="AC12595">
        <v>0</v>
      </c>
      <c r="AD12595">
        <v>1</v>
      </c>
      <c r="AE12595">
        <v>1</v>
      </c>
      <c r="AF12595">
        <v>1</v>
      </c>
      <c r="AG12595">
        <v>1</v>
      </c>
      <c r="AH12595">
        <v>1</v>
      </c>
      <c r="AI12595">
        <v>1</v>
      </c>
      <c r="AJ12595">
        <v>1</v>
      </c>
      <c r="AK12595">
        <v>1</v>
      </c>
      <c r="AL12595">
        <v>1</v>
      </c>
      <c r="AM12595">
        <v>1</v>
      </c>
    </row>
    <row r="12596" spans="1:39" x14ac:dyDescent="0.2">
      <c r="A12596" t="str">
        <f>"12592"</f>
        <v>12592</v>
      </c>
      <c r="B12596" t="str">
        <f t="shared" si="697"/>
        <v>1</v>
      </c>
      <c r="C12596" t="str">
        <f t="shared" si="700"/>
        <v>252</v>
      </c>
      <c r="D12596" t="str">
        <f>"26"</f>
        <v>26</v>
      </c>
      <c r="E12596" t="str">
        <f>"1-252-26"</f>
        <v>1-252-26</v>
      </c>
      <c r="F12596" t="s">
        <v>65</v>
      </c>
      <c r="G12596" t="s">
        <v>66</v>
      </c>
      <c r="H12596" t="s">
        <v>67</v>
      </c>
      <c r="S12596">
        <v>1</v>
      </c>
      <c r="T12596">
        <v>0</v>
      </c>
      <c r="U12596">
        <v>0</v>
      </c>
      <c r="V12596">
        <v>0</v>
      </c>
      <c r="W12596">
        <v>1</v>
      </c>
      <c r="X12596">
        <v>0</v>
      </c>
      <c r="Y12596">
        <v>1</v>
      </c>
      <c r="Z12596">
        <v>0</v>
      </c>
      <c r="AA12596">
        <v>0</v>
      </c>
      <c r="AB12596">
        <v>0</v>
      </c>
      <c r="AC12596">
        <v>0</v>
      </c>
      <c r="AD12596">
        <v>1</v>
      </c>
      <c r="AE12596">
        <v>1</v>
      </c>
      <c r="AF12596">
        <v>1</v>
      </c>
      <c r="AG12596">
        <v>1</v>
      </c>
      <c r="AH12596">
        <v>1</v>
      </c>
      <c r="AI12596">
        <v>1</v>
      </c>
      <c r="AJ12596">
        <v>1</v>
      </c>
      <c r="AK12596">
        <v>1</v>
      </c>
      <c r="AL12596">
        <v>1</v>
      </c>
      <c r="AM12596">
        <v>1</v>
      </c>
    </row>
    <row r="12597" spans="1:39" x14ac:dyDescent="0.2">
      <c r="A12597" t="str">
        <f>"12593"</f>
        <v>12593</v>
      </c>
      <c r="B12597" t="str">
        <f t="shared" si="697"/>
        <v>1</v>
      </c>
      <c r="C12597" t="str">
        <f t="shared" si="700"/>
        <v>252</v>
      </c>
      <c r="D12597" t="str">
        <f>"10"</f>
        <v>10</v>
      </c>
      <c r="E12597" t="str">
        <f>"1-252-10"</f>
        <v>1-252-10</v>
      </c>
      <c r="F12597" t="s">
        <v>65</v>
      </c>
      <c r="G12597" t="s">
        <v>66</v>
      </c>
      <c r="H12597" t="s">
        <v>67</v>
      </c>
      <c r="S12597">
        <v>0</v>
      </c>
      <c r="T12597">
        <v>1</v>
      </c>
      <c r="U12597">
        <v>0</v>
      </c>
      <c r="V12597">
        <v>0</v>
      </c>
      <c r="W12597">
        <v>0</v>
      </c>
      <c r="X12597">
        <v>1</v>
      </c>
      <c r="Y12597">
        <v>1</v>
      </c>
      <c r="Z12597">
        <v>0</v>
      </c>
      <c r="AA12597">
        <v>0</v>
      </c>
      <c r="AB12597">
        <v>1</v>
      </c>
      <c r="AC12597">
        <v>0</v>
      </c>
      <c r="AD12597">
        <v>1</v>
      </c>
      <c r="AE12597">
        <v>1</v>
      </c>
      <c r="AF12597">
        <v>1</v>
      </c>
      <c r="AG12597">
        <v>1</v>
      </c>
      <c r="AH12597">
        <v>1</v>
      </c>
      <c r="AI12597">
        <v>1</v>
      </c>
      <c r="AJ12597">
        <v>1</v>
      </c>
      <c r="AK12597">
        <v>1</v>
      </c>
      <c r="AL12597">
        <v>1</v>
      </c>
      <c r="AM12597">
        <v>1</v>
      </c>
    </row>
    <row r="12598" spans="1:39" x14ac:dyDescent="0.2">
      <c r="A12598" t="str">
        <f>"12594"</f>
        <v>12594</v>
      </c>
      <c r="B12598" t="str">
        <f t="shared" si="697"/>
        <v>1</v>
      </c>
      <c r="C12598" t="str">
        <f t="shared" si="700"/>
        <v>252</v>
      </c>
      <c r="D12598" t="str">
        <f>"27"</f>
        <v>27</v>
      </c>
      <c r="E12598" t="str">
        <f>"1-252-27"</f>
        <v>1-252-27</v>
      </c>
      <c r="F12598" t="s">
        <v>65</v>
      </c>
      <c r="G12598" t="s">
        <v>66</v>
      </c>
      <c r="H12598" t="s">
        <v>67</v>
      </c>
      <c r="S12598">
        <v>0</v>
      </c>
      <c r="T12598">
        <v>1</v>
      </c>
      <c r="U12598">
        <v>0</v>
      </c>
      <c r="V12598">
        <v>0</v>
      </c>
      <c r="W12598">
        <v>1</v>
      </c>
      <c r="X12598">
        <v>0</v>
      </c>
      <c r="Y12598">
        <v>1</v>
      </c>
      <c r="Z12598">
        <v>0</v>
      </c>
      <c r="AA12598">
        <v>0</v>
      </c>
      <c r="AB12598">
        <v>1</v>
      </c>
      <c r="AC12598">
        <v>0</v>
      </c>
      <c r="AD12598">
        <v>1</v>
      </c>
      <c r="AE12598">
        <v>1</v>
      </c>
      <c r="AF12598">
        <v>1</v>
      </c>
      <c r="AG12598">
        <v>1</v>
      </c>
      <c r="AH12598">
        <v>1</v>
      </c>
      <c r="AI12598">
        <v>1</v>
      </c>
      <c r="AJ12598">
        <v>1</v>
      </c>
      <c r="AK12598">
        <v>1</v>
      </c>
      <c r="AL12598">
        <v>1</v>
      </c>
      <c r="AM12598">
        <v>1</v>
      </c>
    </row>
    <row r="12599" spans="1:39" x14ac:dyDescent="0.2">
      <c r="A12599" t="str">
        <f>"12595"</f>
        <v>12595</v>
      </c>
      <c r="B12599" t="str">
        <f t="shared" ref="B12599:B12662" si="701">"1"</f>
        <v>1</v>
      </c>
      <c r="C12599" t="str">
        <f t="shared" si="700"/>
        <v>252</v>
      </c>
      <c r="D12599" t="str">
        <f>"9"</f>
        <v>9</v>
      </c>
      <c r="E12599" t="str">
        <f>"1-252-9"</f>
        <v>1-252-9</v>
      </c>
      <c r="F12599" t="s">
        <v>65</v>
      </c>
      <c r="G12599" t="s">
        <v>66</v>
      </c>
      <c r="H12599" t="s">
        <v>67</v>
      </c>
      <c r="S12599">
        <v>1</v>
      </c>
      <c r="T12599">
        <v>0</v>
      </c>
      <c r="U12599">
        <v>0</v>
      </c>
      <c r="V12599">
        <v>0</v>
      </c>
      <c r="W12599">
        <v>1</v>
      </c>
      <c r="X12599">
        <v>0</v>
      </c>
      <c r="Y12599">
        <v>1</v>
      </c>
      <c r="Z12599">
        <v>0</v>
      </c>
      <c r="AA12599">
        <v>0</v>
      </c>
      <c r="AB12599">
        <v>0</v>
      </c>
      <c r="AC12599">
        <v>1</v>
      </c>
      <c r="AD12599">
        <v>0</v>
      </c>
      <c r="AE12599">
        <v>0</v>
      </c>
      <c r="AF12599">
        <v>1</v>
      </c>
      <c r="AG12599">
        <v>1</v>
      </c>
      <c r="AH12599">
        <v>1</v>
      </c>
      <c r="AI12599">
        <v>1</v>
      </c>
      <c r="AJ12599">
        <v>1</v>
      </c>
      <c r="AK12599">
        <v>1</v>
      </c>
      <c r="AL12599">
        <v>1</v>
      </c>
      <c r="AM12599">
        <v>1</v>
      </c>
    </row>
    <row r="12600" spans="1:39" x14ac:dyDescent="0.2">
      <c r="A12600" t="str">
        <f>"12596"</f>
        <v>12596</v>
      </c>
      <c r="B12600" t="str">
        <f t="shared" si="701"/>
        <v>1</v>
      </c>
      <c r="C12600" t="str">
        <f t="shared" si="700"/>
        <v>252</v>
      </c>
      <c r="D12600" t="str">
        <f>"49"</f>
        <v>49</v>
      </c>
      <c r="E12600" t="str">
        <f>"1-252-49"</f>
        <v>1-252-49</v>
      </c>
      <c r="F12600" t="s">
        <v>65</v>
      </c>
      <c r="G12600" t="s">
        <v>66</v>
      </c>
      <c r="H12600" t="s">
        <v>67</v>
      </c>
      <c r="S12600">
        <v>1</v>
      </c>
      <c r="T12600">
        <v>0</v>
      </c>
      <c r="U12600">
        <v>0</v>
      </c>
      <c r="V12600">
        <v>0</v>
      </c>
      <c r="W12600">
        <v>1</v>
      </c>
      <c r="X12600">
        <v>0</v>
      </c>
      <c r="Y12600">
        <v>0</v>
      </c>
      <c r="Z12600">
        <v>1</v>
      </c>
      <c r="AA12600">
        <v>1</v>
      </c>
      <c r="AB12600">
        <v>0</v>
      </c>
      <c r="AC12600">
        <v>0</v>
      </c>
      <c r="AD12600">
        <v>1</v>
      </c>
      <c r="AE12600">
        <v>1</v>
      </c>
      <c r="AF12600">
        <v>1</v>
      </c>
      <c r="AG12600">
        <v>1</v>
      </c>
      <c r="AH12600">
        <v>1</v>
      </c>
      <c r="AI12600">
        <v>1</v>
      </c>
      <c r="AJ12600">
        <v>1</v>
      </c>
      <c r="AK12600">
        <v>1</v>
      </c>
      <c r="AL12600">
        <v>1</v>
      </c>
      <c r="AM12600">
        <v>1</v>
      </c>
    </row>
    <row r="12601" spans="1:39" x14ac:dyDescent="0.2">
      <c r="A12601" t="str">
        <f>"12597"</f>
        <v>12597</v>
      </c>
      <c r="B12601" t="str">
        <f t="shared" si="701"/>
        <v>1</v>
      </c>
      <c r="C12601" t="str">
        <f t="shared" si="700"/>
        <v>252</v>
      </c>
      <c r="D12601" t="str">
        <f>"28"</f>
        <v>28</v>
      </c>
      <c r="E12601" t="str">
        <f>"1-252-28"</f>
        <v>1-252-28</v>
      </c>
      <c r="F12601" t="s">
        <v>65</v>
      </c>
      <c r="G12601" t="s">
        <v>66</v>
      </c>
      <c r="H12601" t="s">
        <v>67</v>
      </c>
      <c r="S12601">
        <v>0</v>
      </c>
      <c r="T12601">
        <v>1</v>
      </c>
      <c r="U12601">
        <v>0</v>
      </c>
      <c r="V12601">
        <v>0</v>
      </c>
      <c r="W12601">
        <v>1</v>
      </c>
      <c r="X12601">
        <v>0</v>
      </c>
      <c r="Y12601">
        <v>1</v>
      </c>
      <c r="Z12601">
        <v>0</v>
      </c>
      <c r="AA12601">
        <v>1</v>
      </c>
      <c r="AB12601">
        <v>0</v>
      </c>
      <c r="AC12601">
        <v>0</v>
      </c>
      <c r="AD12601">
        <v>0</v>
      </c>
      <c r="AE12601">
        <v>0</v>
      </c>
      <c r="AF12601">
        <v>0</v>
      </c>
      <c r="AG12601">
        <v>0</v>
      </c>
      <c r="AH12601">
        <v>0</v>
      </c>
      <c r="AI12601">
        <v>0</v>
      </c>
      <c r="AJ12601">
        <v>0</v>
      </c>
      <c r="AK12601">
        <v>0</v>
      </c>
      <c r="AL12601">
        <v>0</v>
      </c>
      <c r="AM12601">
        <v>0</v>
      </c>
    </row>
    <row r="12602" spans="1:39" x14ac:dyDescent="0.2">
      <c r="A12602" t="str">
        <f>"12598"</f>
        <v>12598</v>
      </c>
      <c r="B12602" t="str">
        <f t="shared" si="701"/>
        <v>1</v>
      </c>
      <c r="C12602" t="str">
        <f t="shared" si="700"/>
        <v>252</v>
      </c>
      <c r="D12602" t="str">
        <f>"13"</f>
        <v>13</v>
      </c>
      <c r="E12602" t="str">
        <f>"1-252-13"</f>
        <v>1-252-13</v>
      </c>
      <c r="F12602" t="s">
        <v>65</v>
      </c>
      <c r="G12602" t="s">
        <v>66</v>
      </c>
      <c r="H12602" t="s">
        <v>67</v>
      </c>
      <c r="S12602">
        <v>0</v>
      </c>
      <c r="T12602">
        <v>1</v>
      </c>
      <c r="U12602">
        <v>0</v>
      </c>
      <c r="V12602">
        <v>0</v>
      </c>
      <c r="W12602">
        <v>1</v>
      </c>
      <c r="X12602">
        <v>0</v>
      </c>
      <c r="Y12602">
        <v>1</v>
      </c>
      <c r="Z12602">
        <v>0</v>
      </c>
      <c r="AA12602">
        <v>1</v>
      </c>
      <c r="AB12602">
        <v>0</v>
      </c>
      <c r="AC12602">
        <v>0</v>
      </c>
      <c r="AD12602">
        <v>1</v>
      </c>
      <c r="AE12602">
        <v>1</v>
      </c>
      <c r="AF12602">
        <v>1</v>
      </c>
      <c r="AG12602">
        <v>1</v>
      </c>
      <c r="AH12602">
        <v>1</v>
      </c>
      <c r="AI12602">
        <v>1</v>
      </c>
      <c r="AJ12602">
        <v>1</v>
      </c>
      <c r="AK12602">
        <v>1</v>
      </c>
      <c r="AL12602">
        <v>0</v>
      </c>
      <c r="AM12602">
        <v>1</v>
      </c>
    </row>
    <row r="12603" spans="1:39" x14ac:dyDescent="0.2">
      <c r="A12603" t="str">
        <f>"12599"</f>
        <v>12599</v>
      </c>
      <c r="B12603" t="str">
        <f t="shared" si="701"/>
        <v>1</v>
      </c>
      <c r="C12603" t="str">
        <f t="shared" si="700"/>
        <v>252</v>
      </c>
      <c r="D12603" t="str">
        <f>"36"</f>
        <v>36</v>
      </c>
      <c r="E12603" t="str">
        <f>"1-252-36"</f>
        <v>1-252-36</v>
      </c>
      <c r="F12603" t="s">
        <v>65</v>
      </c>
      <c r="G12603" t="s">
        <v>66</v>
      </c>
      <c r="H12603" t="s">
        <v>67</v>
      </c>
      <c r="S12603">
        <v>1</v>
      </c>
      <c r="T12603">
        <v>0</v>
      </c>
      <c r="U12603">
        <v>0</v>
      </c>
      <c r="V12603">
        <v>0</v>
      </c>
      <c r="W12603">
        <v>1</v>
      </c>
      <c r="X12603">
        <v>0</v>
      </c>
      <c r="Y12603">
        <v>1</v>
      </c>
      <c r="Z12603">
        <v>0</v>
      </c>
      <c r="AA12603">
        <v>0</v>
      </c>
      <c r="AB12603">
        <v>1</v>
      </c>
      <c r="AC12603">
        <v>0</v>
      </c>
      <c r="AD12603">
        <v>1</v>
      </c>
      <c r="AE12603">
        <v>1</v>
      </c>
      <c r="AF12603">
        <v>1</v>
      </c>
      <c r="AG12603">
        <v>1</v>
      </c>
      <c r="AH12603">
        <v>1</v>
      </c>
      <c r="AI12603">
        <v>1</v>
      </c>
      <c r="AJ12603">
        <v>1</v>
      </c>
      <c r="AK12603">
        <v>1</v>
      </c>
      <c r="AL12603">
        <v>1</v>
      </c>
      <c r="AM12603">
        <v>1</v>
      </c>
    </row>
    <row r="12604" spans="1:39" x14ac:dyDescent="0.2">
      <c r="A12604" t="str">
        <f>"12600"</f>
        <v>12600</v>
      </c>
      <c r="B12604" t="str">
        <f t="shared" si="701"/>
        <v>1</v>
      </c>
      <c r="C12604" t="str">
        <f t="shared" si="700"/>
        <v>252</v>
      </c>
      <c r="D12604" t="str">
        <f>"50"</f>
        <v>50</v>
      </c>
      <c r="E12604" t="str">
        <f>"1-252-50"</f>
        <v>1-252-50</v>
      </c>
      <c r="F12604" t="s">
        <v>65</v>
      </c>
      <c r="G12604" t="s">
        <v>66</v>
      </c>
      <c r="H12604" t="s">
        <v>67</v>
      </c>
      <c r="S12604">
        <v>0</v>
      </c>
      <c r="T12604">
        <v>1</v>
      </c>
      <c r="U12604">
        <v>0</v>
      </c>
      <c r="V12604">
        <v>0</v>
      </c>
      <c r="W12604">
        <v>1</v>
      </c>
      <c r="X12604">
        <v>0</v>
      </c>
      <c r="Y12604">
        <v>0</v>
      </c>
      <c r="Z12604">
        <v>1</v>
      </c>
      <c r="AA12604">
        <v>0</v>
      </c>
      <c r="AB12604">
        <v>0</v>
      </c>
      <c r="AC12604">
        <v>1</v>
      </c>
      <c r="AD12604">
        <v>0</v>
      </c>
      <c r="AE12604">
        <v>0</v>
      </c>
      <c r="AF12604">
        <v>0</v>
      </c>
      <c r="AG12604">
        <v>0</v>
      </c>
      <c r="AH12604">
        <v>0</v>
      </c>
      <c r="AI12604">
        <v>0</v>
      </c>
      <c r="AJ12604">
        <v>0</v>
      </c>
      <c r="AK12604">
        <v>0</v>
      </c>
      <c r="AL12604">
        <v>0</v>
      </c>
      <c r="AM12604">
        <v>0</v>
      </c>
    </row>
    <row r="12605" spans="1:39" x14ac:dyDescent="0.2">
      <c r="A12605" t="str">
        <f>"12601"</f>
        <v>12601</v>
      </c>
      <c r="B12605" t="str">
        <f t="shared" si="701"/>
        <v>1</v>
      </c>
      <c r="C12605" t="str">
        <f t="shared" ref="C12605:C12636" si="702">"253"</f>
        <v>253</v>
      </c>
      <c r="D12605" t="str">
        <f>"39"</f>
        <v>39</v>
      </c>
      <c r="E12605" t="str">
        <f>"1-253-39"</f>
        <v>1-253-39</v>
      </c>
      <c r="F12605" t="s">
        <v>65</v>
      </c>
      <c r="G12605" t="s">
        <v>66</v>
      </c>
      <c r="H12605" t="s">
        <v>67</v>
      </c>
      <c r="S12605">
        <v>0</v>
      </c>
      <c r="T12605">
        <v>1</v>
      </c>
      <c r="U12605">
        <v>0</v>
      </c>
      <c r="V12605">
        <v>0</v>
      </c>
      <c r="W12605">
        <v>1</v>
      </c>
      <c r="X12605">
        <v>0</v>
      </c>
      <c r="Y12605">
        <v>1</v>
      </c>
      <c r="Z12605">
        <v>0</v>
      </c>
      <c r="AA12605">
        <v>0</v>
      </c>
      <c r="AB12605">
        <v>1</v>
      </c>
      <c r="AC12605">
        <v>0</v>
      </c>
      <c r="AD12605">
        <v>0</v>
      </c>
      <c r="AE12605">
        <v>0</v>
      </c>
      <c r="AF12605">
        <v>0</v>
      </c>
      <c r="AG12605">
        <v>0</v>
      </c>
      <c r="AH12605">
        <v>0</v>
      </c>
      <c r="AI12605">
        <v>0</v>
      </c>
      <c r="AJ12605">
        <v>0</v>
      </c>
      <c r="AK12605">
        <v>0</v>
      </c>
      <c r="AL12605">
        <v>0</v>
      </c>
      <c r="AM12605">
        <v>0</v>
      </c>
    </row>
    <row r="12606" spans="1:39" x14ac:dyDescent="0.2">
      <c r="A12606" t="str">
        <f>"12602"</f>
        <v>12602</v>
      </c>
      <c r="B12606" t="str">
        <f t="shared" si="701"/>
        <v>1</v>
      </c>
      <c r="C12606" t="str">
        <f t="shared" si="702"/>
        <v>253</v>
      </c>
      <c r="D12606" t="str">
        <f>"38"</f>
        <v>38</v>
      </c>
      <c r="E12606" t="str">
        <f>"1-253-38"</f>
        <v>1-253-38</v>
      </c>
      <c r="F12606" t="s">
        <v>65</v>
      </c>
      <c r="G12606" t="s">
        <v>66</v>
      </c>
      <c r="H12606" t="s">
        <v>67</v>
      </c>
      <c r="S12606">
        <v>1</v>
      </c>
      <c r="T12606">
        <v>0</v>
      </c>
      <c r="U12606">
        <v>0</v>
      </c>
      <c r="V12606">
        <v>0</v>
      </c>
      <c r="W12606">
        <v>1</v>
      </c>
      <c r="X12606">
        <v>0</v>
      </c>
      <c r="Y12606">
        <v>1</v>
      </c>
      <c r="Z12606">
        <v>0</v>
      </c>
      <c r="AA12606">
        <v>1</v>
      </c>
      <c r="AB12606">
        <v>0</v>
      </c>
      <c r="AC12606">
        <v>0</v>
      </c>
      <c r="AD12606">
        <v>1</v>
      </c>
      <c r="AE12606">
        <v>1</v>
      </c>
      <c r="AF12606">
        <v>1</v>
      </c>
      <c r="AG12606">
        <v>1</v>
      </c>
      <c r="AH12606">
        <v>1</v>
      </c>
      <c r="AI12606">
        <v>1</v>
      </c>
      <c r="AJ12606">
        <v>1</v>
      </c>
      <c r="AK12606">
        <v>1</v>
      </c>
      <c r="AL12606">
        <v>1</v>
      </c>
      <c r="AM12606">
        <v>1</v>
      </c>
    </row>
    <row r="12607" spans="1:39" x14ac:dyDescent="0.2">
      <c r="A12607" t="str">
        <f>"12603"</f>
        <v>12603</v>
      </c>
      <c r="B12607" t="str">
        <f t="shared" si="701"/>
        <v>1</v>
      </c>
      <c r="C12607" t="str">
        <f t="shared" si="702"/>
        <v>253</v>
      </c>
      <c r="D12607" t="str">
        <f>"28"</f>
        <v>28</v>
      </c>
      <c r="E12607" t="str">
        <f>"1-253-28"</f>
        <v>1-253-28</v>
      </c>
      <c r="F12607" t="s">
        <v>65</v>
      </c>
      <c r="G12607" t="s">
        <v>66</v>
      </c>
      <c r="H12607" t="s">
        <v>67</v>
      </c>
      <c r="S12607">
        <v>1</v>
      </c>
      <c r="T12607">
        <v>0</v>
      </c>
      <c r="U12607">
        <v>0</v>
      </c>
      <c r="V12607">
        <v>0</v>
      </c>
      <c r="W12607">
        <v>1</v>
      </c>
      <c r="X12607">
        <v>0</v>
      </c>
      <c r="Y12607">
        <v>1</v>
      </c>
      <c r="Z12607">
        <v>0</v>
      </c>
      <c r="AA12607">
        <v>1</v>
      </c>
      <c r="AB12607">
        <v>0</v>
      </c>
      <c r="AC12607">
        <v>0</v>
      </c>
      <c r="AD12607">
        <v>0</v>
      </c>
      <c r="AE12607">
        <v>0</v>
      </c>
      <c r="AF12607">
        <v>0</v>
      </c>
      <c r="AG12607">
        <v>0</v>
      </c>
      <c r="AH12607">
        <v>1</v>
      </c>
      <c r="AI12607">
        <v>1</v>
      </c>
      <c r="AJ12607">
        <v>0</v>
      </c>
      <c r="AK12607">
        <v>0</v>
      </c>
      <c r="AL12607">
        <v>0</v>
      </c>
      <c r="AM12607">
        <v>0</v>
      </c>
    </row>
    <row r="12608" spans="1:39" x14ac:dyDescent="0.2">
      <c r="A12608" t="str">
        <f>"12604"</f>
        <v>12604</v>
      </c>
      <c r="B12608" t="str">
        <f t="shared" si="701"/>
        <v>1</v>
      </c>
      <c r="C12608" t="str">
        <f t="shared" si="702"/>
        <v>253</v>
      </c>
      <c r="D12608" t="str">
        <f>"27"</f>
        <v>27</v>
      </c>
      <c r="E12608" t="str">
        <f>"1-253-27"</f>
        <v>1-253-27</v>
      </c>
      <c r="F12608" t="s">
        <v>65</v>
      </c>
      <c r="G12608" t="s">
        <v>66</v>
      </c>
      <c r="H12608" t="s">
        <v>67</v>
      </c>
      <c r="S12608">
        <v>1</v>
      </c>
      <c r="T12608">
        <v>0</v>
      </c>
      <c r="U12608">
        <v>0</v>
      </c>
      <c r="V12608">
        <v>0</v>
      </c>
      <c r="W12608">
        <v>1</v>
      </c>
      <c r="X12608">
        <v>0</v>
      </c>
      <c r="Y12608">
        <v>1</v>
      </c>
      <c r="Z12608">
        <v>0</v>
      </c>
      <c r="AA12608">
        <v>0</v>
      </c>
      <c r="AB12608">
        <v>0</v>
      </c>
      <c r="AC12608">
        <v>1</v>
      </c>
      <c r="AD12608">
        <v>0</v>
      </c>
      <c r="AE12608">
        <v>0</v>
      </c>
      <c r="AF12608">
        <v>0</v>
      </c>
      <c r="AG12608">
        <v>0</v>
      </c>
      <c r="AH12608">
        <v>0</v>
      </c>
      <c r="AI12608">
        <v>0</v>
      </c>
      <c r="AJ12608">
        <v>0</v>
      </c>
      <c r="AK12608">
        <v>0</v>
      </c>
      <c r="AL12608">
        <v>0</v>
      </c>
      <c r="AM12608">
        <v>0</v>
      </c>
    </row>
    <row r="12609" spans="1:39" x14ac:dyDescent="0.2">
      <c r="A12609" t="str">
        <f>"12605"</f>
        <v>12605</v>
      </c>
      <c r="B12609" t="str">
        <f t="shared" si="701"/>
        <v>1</v>
      </c>
      <c r="C12609" t="str">
        <f t="shared" si="702"/>
        <v>253</v>
      </c>
      <c r="D12609" t="str">
        <f>"19"</f>
        <v>19</v>
      </c>
      <c r="E12609" t="str">
        <f>"1-253-19"</f>
        <v>1-253-19</v>
      </c>
      <c r="F12609" t="s">
        <v>65</v>
      </c>
      <c r="G12609" t="s">
        <v>66</v>
      </c>
      <c r="H12609" t="s">
        <v>67</v>
      </c>
      <c r="S12609">
        <v>1</v>
      </c>
      <c r="T12609">
        <v>0</v>
      </c>
      <c r="U12609">
        <v>0</v>
      </c>
      <c r="V12609">
        <v>0</v>
      </c>
      <c r="W12609">
        <v>1</v>
      </c>
      <c r="X12609">
        <v>0</v>
      </c>
      <c r="Y12609">
        <v>0</v>
      </c>
      <c r="Z12609">
        <v>1</v>
      </c>
      <c r="AA12609">
        <v>1</v>
      </c>
      <c r="AB12609">
        <v>0</v>
      </c>
      <c r="AC12609">
        <v>0</v>
      </c>
      <c r="AD12609">
        <v>1</v>
      </c>
      <c r="AE12609">
        <v>1</v>
      </c>
      <c r="AF12609">
        <v>1</v>
      </c>
      <c r="AG12609">
        <v>1</v>
      </c>
      <c r="AH12609">
        <v>1</v>
      </c>
      <c r="AI12609">
        <v>1</v>
      </c>
      <c r="AJ12609">
        <v>1</v>
      </c>
      <c r="AK12609">
        <v>1</v>
      </c>
      <c r="AL12609">
        <v>1</v>
      </c>
      <c r="AM12609">
        <v>1</v>
      </c>
    </row>
    <row r="12610" spans="1:39" x14ac:dyDescent="0.2">
      <c r="A12610" t="str">
        <f>"12606"</f>
        <v>12606</v>
      </c>
      <c r="B12610" t="str">
        <f t="shared" si="701"/>
        <v>1</v>
      </c>
      <c r="C12610" t="str">
        <f t="shared" si="702"/>
        <v>253</v>
      </c>
      <c r="D12610" t="str">
        <f>"15"</f>
        <v>15</v>
      </c>
      <c r="E12610" t="str">
        <f>"1-253-15"</f>
        <v>1-253-15</v>
      </c>
      <c r="F12610" t="s">
        <v>65</v>
      </c>
      <c r="G12610" t="s">
        <v>66</v>
      </c>
      <c r="H12610" t="s">
        <v>67</v>
      </c>
      <c r="S12610">
        <v>1</v>
      </c>
      <c r="T12610">
        <v>0</v>
      </c>
      <c r="U12610">
        <v>0</v>
      </c>
      <c r="V12610">
        <v>0</v>
      </c>
      <c r="W12610">
        <v>1</v>
      </c>
      <c r="X12610">
        <v>0</v>
      </c>
      <c r="Y12610">
        <v>1</v>
      </c>
      <c r="Z12610">
        <v>0</v>
      </c>
      <c r="AA12610">
        <v>1</v>
      </c>
      <c r="AB12610">
        <v>0</v>
      </c>
      <c r="AC12610">
        <v>0</v>
      </c>
      <c r="AD12610">
        <v>1</v>
      </c>
      <c r="AE12610">
        <v>1</v>
      </c>
      <c r="AF12610">
        <v>1</v>
      </c>
      <c r="AG12610">
        <v>1</v>
      </c>
      <c r="AH12610">
        <v>1</v>
      </c>
      <c r="AI12610">
        <v>1</v>
      </c>
      <c r="AJ12610">
        <v>1</v>
      </c>
      <c r="AK12610">
        <v>1</v>
      </c>
      <c r="AL12610">
        <v>1</v>
      </c>
      <c r="AM12610">
        <v>1</v>
      </c>
    </row>
    <row r="12611" spans="1:39" x14ac:dyDescent="0.2">
      <c r="A12611" t="str">
        <f>"12607"</f>
        <v>12607</v>
      </c>
      <c r="B12611" t="str">
        <f t="shared" si="701"/>
        <v>1</v>
      </c>
      <c r="C12611" t="str">
        <f t="shared" si="702"/>
        <v>253</v>
      </c>
      <c r="D12611" t="str">
        <f>"5"</f>
        <v>5</v>
      </c>
      <c r="E12611" t="str">
        <f>"1-253-5"</f>
        <v>1-253-5</v>
      </c>
      <c r="F12611" t="s">
        <v>65</v>
      </c>
      <c r="G12611" t="s">
        <v>66</v>
      </c>
      <c r="H12611" t="s">
        <v>67</v>
      </c>
      <c r="S12611">
        <v>0</v>
      </c>
      <c r="T12611">
        <v>1</v>
      </c>
      <c r="U12611">
        <v>0</v>
      </c>
      <c r="V12611">
        <v>0</v>
      </c>
      <c r="W12611">
        <v>1</v>
      </c>
      <c r="X12611">
        <v>0</v>
      </c>
      <c r="Y12611">
        <v>0</v>
      </c>
      <c r="Z12611">
        <v>1</v>
      </c>
      <c r="AA12611">
        <v>0</v>
      </c>
      <c r="AB12611">
        <v>0</v>
      </c>
      <c r="AC12611">
        <v>1</v>
      </c>
      <c r="AD12611">
        <v>1</v>
      </c>
      <c r="AE12611">
        <v>1</v>
      </c>
      <c r="AF12611">
        <v>1</v>
      </c>
      <c r="AG12611">
        <v>1</v>
      </c>
      <c r="AH12611">
        <v>1</v>
      </c>
      <c r="AI12611">
        <v>1</v>
      </c>
      <c r="AJ12611">
        <v>1</v>
      </c>
      <c r="AK12611">
        <v>1</v>
      </c>
      <c r="AL12611">
        <v>1</v>
      </c>
      <c r="AM12611">
        <v>1</v>
      </c>
    </row>
    <row r="12612" spans="1:39" x14ac:dyDescent="0.2">
      <c r="A12612" t="str">
        <f>"12608"</f>
        <v>12608</v>
      </c>
      <c r="B12612" t="str">
        <f t="shared" si="701"/>
        <v>1</v>
      </c>
      <c r="C12612" t="str">
        <f t="shared" si="702"/>
        <v>253</v>
      </c>
      <c r="D12612" t="str">
        <f>"36"</f>
        <v>36</v>
      </c>
      <c r="E12612" t="str">
        <f>"1-253-36"</f>
        <v>1-253-36</v>
      </c>
      <c r="F12612" t="s">
        <v>65</v>
      </c>
      <c r="G12612" t="s">
        <v>66</v>
      </c>
      <c r="H12612" t="s">
        <v>67</v>
      </c>
      <c r="S12612">
        <v>1</v>
      </c>
      <c r="T12612">
        <v>0</v>
      </c>
      <c r="U12612">
        <v>0</v>
      </c>
      <c r="V12612">
        <v>0</v>
      </c>
      <c r="W12612">
        <v>1</v>
      </c>
      <c r="X12612">
        <v>0</v>
      </c>
      <c r="Y12612">
        <v>0</v>
      </c>
      <c r="Z12612">
        <v>1</v>
      </c>
      <c r="AA12612">
        <v>1</v>
      </c>
      <c r="AB12612">
        <v>0</v>
      </c>
      <c r="AC12612">
        <v>0</v>
      </c>
      <c r="AD12612">
        <v>0</v>
      </c>
      <c r="AE12612">
        <v>0</v>
      </c>
      <c r="AF12612">
        <v>0</v>
      </c>
      <c r="AG12612">
        <v>1</v>
      </c>
      <c r="AH12612">
        <v>0</v>
      </c>
      <c r="AI12612">
        <v>0</v>
      </c>
      <c r="AJ12612">
        <v>1</v>
      </c>
      <c r="AK12612">
        <v>1</v>
      </c>
      <c r="AL12612">
        <v>0</v>
      </c>
      <c r="AM12612">
        <v>0</v>
      </c>
    </row>
    <row r="12613" spans="1:39" x14ac:dyDescent="0.2">
      <c r="A12613" t="str">
        <f>"12609"</f>
        <v>12609</v>
      </c>
      <c r="B12613" t="str">
        <f t="shared" si="701"/>
        <v>1</v>
      </c>
      <c r="C12613" t="str">
        <f t="shared" si="702"/>
        <v>253</v>
      </c>
      <c r="D12613" t="str">
        <f>"35"</f>
        <v>35</v>
      </c>
      <c r="E12613" t="str">
        <f>"1-253-35"</f>
        <v>1-253-35</v>
      </c>
      <c r="F12613" t="s">
        <v>65</v>
      </c>
      <c r="G12613" t="s">
        <v>66</v>
      </c>
      <c r="H12613" t="s">
        <v>67</v>
      </c>
      <c r="S12613">
        <v>1</v>
      </c>
      <c r="T12613">
        <v>0</v>
      </c>
      <c r="U12613">
        <v>0</v>
      </c>
      <c r="V12613">
        <v>0</v>
      </c>
      <c r="W12613">
        <v>1</v>
      </c>
      <c r="X12613">
        <v>0</v>
      </c>
      <c r="Y12613">
        <v>1</v>
      </c>
      <c r="Z12613">
        <v>0</v>
      </c>
      <c r="AA12613">
        <v>0</v>
      </c>
      <c r="AB12613">
        <v>0</v>
      </c>
      <c r="AC12613">
        <v>1</v>
      </c>
      <c r="AD12613">
        <v>1</v>
      </c>
      <c r="AE12613">
        <v>1</v>
      </c>
      <c r="AF12613">
        <v>1</v>
      </c>
      <c r="AG12613">
        <v>1</v>
      </c>
      <c r="AH12613">
        <v>1</v>
      </c>
      <c r="AI12613">
        <v>1</v>
      </c>
      <c r="AJ12613">
        <v>1</v>
      </c>
      <c r="AK12613">
        <v>1</v>
      </c>
      <c r="AL12613">
        <v>1</v>
      </c>
      <c r="AM12613">
        <v>1</v>
      </c>
    </row>
    <row r="12614" spans="1:39" x14ac:dyDescent="0.2">
      <c r="A12614" t="str">
        <f>"12610"</f>
        <v>12610</v>
      </c>
      <c r="B12614" t="str">
        <f t="shared" si="701"/>
        <v>1</v>
      </c>
      <c r="C12614" t="str">
        <f t="shared" si="702"/>
        <v>253</v>
      </c>
      <c r="D12614" t="str">
        <f>"26"</f>
        <v>26</v>
      </c>
      <c r="E12614" t="str">
        <f>"1-253-26"</f>
        <v>1-253-26</v>
      </c>
      <c r="F12614" t="s">
        <v>65</v>
      </c>
      <c r="G12614" t="s">
        <v>66</v>
      </c>
      <c r="H12614" t="s">
        <v>67</v>
      </c>
      <c r="S12614">
        <v>1</v>
      </c>
      <c r="T12614">
        <v>0</v>
      </c>
      <c r="U12614">
        <v>0</v>
      </c>
      <c r="V12614">
        <v>0</v>
      </c>
      <c r="W12614">
        <v>1</v>
      </c>
      <c r="X12614">
        <v>0</v>
      </c>
      <c r="Y12614">
        <v>1</v>
      </c>
      <c r="Z12614">
        <v>0</v>
      </c>
      <c r="AA12614">
        <v>0</v>
      </c>
      <c r="AB12614">
        <v>0</v>
      </c>
      <c r="AC12614">
        <v>1</v>
      </c>
      <c r="AD12614">
        <v>1</v>
      </c>
      <c r="AE12614">
        <v>1</v>
      </c>
      <c r="AF12614">
        <v>1</v>
      </c>
      <c r="AG12614">
        <v>1</v>
      </c>
      <c r="AH12614">
        <v>1</v>
      </c>
      <c r="AI12614">
        <v>1</v>
      </c>
      <c r="AJ12614">
        <v>1</v>
      </c>
      <c r="AK12614">
        <v>1</v>
      </c>
      <c r="AL12614">
        <v>1</v>
      </c>
      <c r="AM12614">
        <v>1</v>
      </c>
    </row>
    <row r="12615" spans="1:39" x14ac:dyDescent="0.2">
      <c r="A12615" t="str">
        <f>"12611"</f>
        <v>12611</v>
      </c>
      <c r="B12615" t="str">
        <f t="shared" si="701"/>
        <v>1</v>
      </c>
      <c r="C12615" t="str">
        <f t="shared" si="702"/>
        <v>253</v>
      </c>
      <c r="D12615" t="str">
        <f>"16"</f>
        <v>16</v>
      </c>
      <c r="E12615" t="str">
        <f>"1-253-16"</f>
        <v>1-253-16</v>
      </c>
      <c r="F12615" t="s">
        <v>65</v>
      </c>
      <c r="G12615" t="s">
        <v>66</v>
      </c>
      <c r="H12615" t="s">
        <v>67</v>
      </c>
      <c r="S12615">
        <v>0</v>
      </c>
      <c r="T12615">
        <v>1</v>
      </c>
      <c r="U12615">
        <v>0</v>
      </c>
      <c r="V12615">
        <v>0</v>
      </c>
      <c r="W12615">
        <v>0</v>
      </c>
      <c r="X12615">
        <v>1</v>
      </c>
      <c r="Y12615">
        <v>0</v>
      </c>
      <c r="Z12615">
        <v>1</v>
      </c>
      <c r="AA12615">
        <v>0</v>
      </c>
      <c r="AB12615">
        <v>0</v>
      </c>
      <c r="AC12615">
        <v>1</v>
      </c>
      <c r="AD12615">
        <v>1</v>
      </c>
      <c r="AE12615">
        <v>1</v>
      </c>
      <c r="AF12615">
        <v>1</v>
      </c>
      <c r="AG12615">
        <v>1</v>
      </c>
      <c r="AH12615">
        <v>1</v>
      </c>
      <c r="AI12615">
        <v>1</v>
      </c>
      <c r="AJ12615">
        <v>1</v>
      </c>
      <c r="AK12615">
        <v>1</v>
      </c>
      <c r="AL12615">
        <v>1</v>
      </c>
      <c r="AM12615">
        <v>1</v>
      </c>
    </row>
    <row r="12616" spans="1:39" x14ac:dyDescent="0.2">
      <c r="A12616" t="str">
        <f>"12612"</f>
        <v>12612</v>
      </c>
      <c r="B12616" t="str">
        <f t="shared" si="701"/>
        <v>1</v>
      </c>
      <c r="C12616" t="str">
        <f t="shared" si="702"/>
        <v>253</v>
      </c>
      <c r="D12616" t="str">
        <f>"1"</f>
        <v>1</v>
      </c>
      <c r="E12616" t="str">
        <f>"1-253-1"</f>
        <v>1-253-1</v>
      </c>
      <c r="F12616" t="s">
        <v>65</v>
      </c>
      <c r="G12616" t="s">
        <v>66</v>
      </c>
      <c r="H12616" t="s">
        <v>67</v>
      </c>
      <c r="S12616">
        <v>1</v>
      </c>
      <c r="T12616">
        <v>0</v>
      </c>
      <c r="U12616">
        <v>0</v>
      </c>
      <c r="V12616">
        <v>0</v>
      </c>
      <c r="W12616">
        <v>1</v>
      </c>
      <c r="X12616">
        <v>0</v>
      </c>
      <c r="Y12616">
        <v>1</v>
      </c>
      <c r="Z12616">
        <v>0</v>
      </c>
      <c r="AA12616">
        <v>1</v>
      </c>
      <c r="AB12616">
        <v>0</v>
      </c>
      <c r="AC12616">
        <v>0</v>
      </c>
      <c r="AD12616">
        <v>1</v>
      </c>
      <c r="AE12616">
        <v>1</v>
      </c>
      <c r="AF12616">
        <v>1</v>
      </c>
      <c r="AG12616">
        <v>1</v>
      </c>
      <c r="AH12616">
        <v>1</v>
      </c>
      <c r="AI12616">
        <v>1</v>
      </c>
      <c r="AJ12616">
        <v>1</v>
      </c>
      <c r="AK12616">
        <v>1</v>
      </c>
      <c r="AL12616">
        <v>1</v>
      </c>
      <c r="AM12616">
        <v>1</v>
      </c>
    </row>
    <row r="12617" spans="1:39" x14ac:dyDescent="0.2">
      <c r="A12617" t="str">
        <f>"12613"</f>
        <v>12613</v>
      </c>
      <c r="B12617" t="str">
        <f t="shared" si="701"/>
        <v>1</v>
      </c>
      <c r="C12617" t="str">
        <f t="shared" si="702"/>
        <v>253</v>
      </c>
      <c r="D12617" t="str">
        <f>"47"</f>
        <v>47</v>
      </c>
      <c r="E12617" t="str">
        <f>"1-253-47"</f>
        <v>1-253-47</v>
      </c>
      <c r="F12617" t="s">
        <v>65</v>
      </c>
      <c r="G12617" t="s">
        <v>66</v>
      </c>
      <c r="H12617" t="s">
        <v>67</v>
      </c>
      <c r="S12617">
        <v>0</v>
      </c>
      <c r="T12617">
        <v>1</v>
      </c>
      <c r="U12617">
        <v>0</v>
      </c>
      <c r="V12617">
        <v>0</v>
      </c>
      <c r="W12617">
        <v>1</v>
      </c>
      <c r="X12617">
        <v>0</v>
      </c>
      <c r="Y12617">
        <v>0</v>
      </c>
      <c r="Z12617">
        <v>1</v>
      </c>
      <c r="AA12617">
        <v>1</v>
      </c>
      <c r="AB12617">
        <v>0</v>
      </c>
      <c r="AC12617">
        <v>0</v>
      </c>
      <c r="AD12617">
        <v>1</v>
      </c>
      <c r="AE12617">
        <v>1</v>
      </c>
      <c r="AF12617">
        <v>1</v>
      </c>
      <c r="AG12617">
        <v>1</v>
      </c>
      <c r="AH12617">
        <v>1</v>
      </c>
      <c r="AI12617">
        <v>1</v>
      </c>
      <c r="AJ12617">
        <v>1</v>
      </c>
      <c r="AK12617">
        <v>1</v>
      </c>
      <c r="AL12617">
        <v>1</v>
      </c>
      <c r="AM12617">
        <v>1</v>
      </c>
    </row>
    <row r="12618" spans="1:39" x14ac:dyDescent="0.2">
      <c r="A12618" t="str">
        <f>"12614"</f>
        <v>12614</v>
      </c>
      <c r="B12618" t="str">
        <f t="shared" si="701"/>
        <v>1</v>
      </c>
      <c r="C12618" t="str">
        <f t="shared" si="702"/>
        <v>253</v>
      </c>
      <c r="D12618" t="str">
        <f>"46"</f>
        <v>46</v>
      </c>
      <c r="E12618" t="str">
        <f>"1-253-46"</f>
        <v>1-253-46</v>
      </c>
      <c r="F12618" t="s">
        <v>65</v>
      </c>
      <c r="G12618" t="s">
        <v>66</v>
      </c>
      <c r="H12618" t="s">
        <v>67</v>
      </c>
      <c r="S12618">
        <v>0</v>
      </c>
      <c r="T12618">
        <v>1</v>
      </c>
      <c r="U12618">
        <v>0</v>
      </c>
      <c r="V12618">
        <v>0</v>
      </c>
      <c r="W12618">
        <v>1</v>
      </c>
      <c r="X12618">
        <v>0</v>
      </c>
      <c r="Y12618">
        <v>0</v>
      </c>
      <c r="Z12618">
        <v>1</v>
      </c>
      <c r="AA12618">
        <v>1</v>
      </c>
      <c r="AB12618">
        <v>0</v>
      </c>
      <c r="AC12618">
        <v>0</v>
      </c>
      <c r="AD12618">
        <v>1</v>
      </c>
      <c r="AE12618">
        <v>1</v>
      </c>
      <c r="AF12618">
        <v>1</v>
      </c>
      <c r="AG12618">
        <v>1</v>
      </c>
      <c r="AH12618">
        <v>1</v>
      </c>
      <c r="AI12618">
        <v>1</v>
      </c>
      <c r="AJ12618">
        <v>1</v>
      </c>
      <c r="AK12618">
        <v>1</v>
      </c>
      <c r="AL12618">
        <v>1</v>
      </c>
      <c r="AM12618">
        <v>1</v>
      </c>
    </row>
    <row r="12619" spans="1:39" x14ac:dyDescent="0.2">
      <c r="A12619" t="str">
        <f>"12615"</f>
        <v>12615</v>
      </c>
      <c r="B12619" t="str">
        <f t="shared" si="701"/>
        <v>1</v>
      </c>
      <c r="C12619" t="str">
        <f t="shared" si="702"/>
        <v>253</v>
      </c>
      <c r="D12619" t="str">
        <f>"33"</f>
        <v>33</v>
      </c>
      <c r="E12619" t="str">
        <f>"1-253-33"</f>
        <v>1-253-33</v>
      </c>
      <c r="F12619" t="s">
        <v>65</v>
      </c>
      <c r="G12619" t="s">
        <v>66</v>
      </c>
      <c r="H12619" t="s">
        <v>67</v>
      </c>
      <c r="S12619">
        <v>1</v>
      </c>
      <c r="T12619">
        <v>0</v>
      </c>
      <c r="U12619">
        <v>0</v>
      </c>
      <c r="V12619">
        <v>0</v>
      </c>
      <c r="W12619">
        <v>0</v>
      </c>
      <c r="X12619">
        <v>1</v>
      </c>
      <c r="Y12619">
        <v>1</v>
      </c>
      <c r="Z12619">
        <v>0</v>
      </c>
      <c r="AA12619">
        <v>0</v>
      </c>
      <c r="AB12619">
        <v>1</v>
      </c>
      <c r="AC12619">
        <v>0</v>
      </c>
      <c r="AD12619">
        <v>1</v>
      </c>
      <c r="AE12619">
        <v>1</v>
      </c>
      <c r="AF12619">
        <v>1</v>
      </c>
      <c r="AG12619">
        <v>1</v>
      </c>
      <c r="AH12619">
        <v>1</v>
      </c>
      <c r="AI12619">
        <v>1</v>
      </c>
      <c r="AJ12619">
        <v>1</v>
      </c>
      <c r="AK12619">
        <v>1</v>
      </c>
      <c r="AL12619">
        <v>1</v>
      </c>
      <c r="AM12619">
        <v>1</v>
      </c>
    </row>
    <row r="12620" spans="1:39" x14ac:dyDescent="0.2">
      <c r="A12620" t="str">
        <f>"12616"</f>
        <v>12616</v>
      </c>
      <c r="B12620" t="str">
        <f t="shared" si="701"/>
        <v>1</v>
      </c>
      <c r="C12620" t="str">
        <f t="shared" si="702"/>
        <v>253</v>
      </c>
      <c r="D12620" t="str">
        <f>"17"</f>
        <v>17</v>
      </c>
      <c r="E12620" t="str">
        <f>"1-253-17"</f>
        <v>1-253-17</v>
      </c>
      <c r="F12620" t="s">
        <v>65</v>
      </c>
      <c r="G12620" t="s">
        <v>66</v>
      </c>
      <c r="H12620" t="s">
        <v>67</v>
      </c>
      <c r="S12620">
        <v>0</v>
      </c>
      <c r="T12620">
        <v>1</v>
      </c>
      <c r="U12620">
        <v>0</v>
      </c>
      <c r="V12620">
        <v>0</v>
      </c>
      <c r="W12620">
        <v>1</v>
      </c>
      <c r="X12620">
        <v>0</v>
      </c>
      <c r="Y12620">
        <v>0</v>
      </c>
      <c r="Z12620">
        <v>1</v>
      </c>
      <c r="AA12620">
        <v>0</v>
      </c>
      <c r="AB12620">
        <v>0</v>
      </c>
      <c r="AC12620">
        <v>1</v>
      </c>
      <c r="AD12620">
        <v>1</v>
      </c>
      <c r="AE12620">
        <v>1</v>
      </c>
      <c r="AF12620">
        <v>1</v>
      </c>
      <c r="AG12620">
        <v>1</v>
      </c>
      <c r="AH12620">
        <v>1</v>
      </c>
      <c r="AI12620">
        <v>1</v>
      </c>
      <c r="AJ12620">
        <v>1</v>
      </c>
      <c r="AK12620">
        <v>1</v>
      </c>
      <c r="AL12620">
        <v>1</v>
      </c>
      <c r="AM12620">
        <v>1</v>
      </c>
    </row>
    <row r="12621" spans="1:39" x14ac:dyDescent="0.2">
      <c r="A12621" t="str">
        <f>"12617"</f>
        <v>12617</v>
      </c>
      <c r="B12621" t="str">
        <f t="shared" si="701"/>
        <v>1</v>
      </c>
      <c r="C12621" t="str">
        <f t="shared" si="702"/>
        <v>253</v>
      </c>
      <c r="D12621" t="str">
        <f>"6"</f>
        <v>6</v>
      </c>
      <c r="E12621" t="str">
        <f>"1-253-6"</f>
        <v>1-253-6</v>
      </c>
      <c r="F12621" t="s">
        <v>65</v>
      </c>
      <c r="G12621" t="s">
        <v>66</v>
      </c>
      <c r="H12621" t="s">
        <v>67</v>
      </c>
      <c r="S12621">
        <v>1</v>
      </c>
      <c r="T12621">
        <v>0</v>
      </c>
      <c r="U12621">
        <v>0</v>
      </c>
      <c r="V12621">
        <v>0</v>
      </c>
      <c r="W12621">
        <v>1</v>
      </c>
      <c r="X12621">
        <v>0</v>
      </c>
      <c r="Y12621">
        <v>1</v>
      </c>
      <c r="Z12621">
        <v>0</v>
      </c>
      <c r="AA12621">
        <v>1</v>
      </c>
      <c r="AB12621">
        <v>0</v>
      </c>
      <c r="AC12621">
        <v>0</v>
      </c>
      <c r="AD12621">
        <v>0</v>
      </c>
      <c r="AE12621">
        <v>0</v>
      </c>
      <c r="AF12621">
        <v>0</v>
      </c>
      <c r="AG12621">
        <v>0</v>
      </c>
      <c r="AH12621">
        <v>0</v>
      </c>
      <c r="AI12621">
        <v>0</v>
      </c>
      <c r="AJ12621">
        <v>0</v>
      </c>
      <c r="AK12621">
        <v>0</v>
      </c>
      <c r="AL12621">
        <v>0</v>
      </c>
      <c r="AM12621">
        <v>0</v>
      </c>
    </row>
    <row r="12622" spans="1:39" x14ac:dyDescent="0.2">
      <c r="A12622" t="str">
        <f>"12618"</f>
        <v>12618</v>
      </c>
      <c r="B12622" t="str">
        <f t="shared" si="701"/>
        <v>1</v>
      </c>
      <c r="C12622" t="str">
        <f t="shared" si="702"/>
        <v>253</v>
      </c>
      <c r="D12622" t="str">
        <f>"42"</f>
        <v>42</v>
      </c>
      <c r="E12622" t="str">
        <f>"1-253-42"</f>
        <v>1-253-42</v>
      </c>
      <c r="F12622" t="s">
        <v>65</v>
      </c>
      <c r="G12622" t="s">
        <v>66</v>
      </c>
      <c r="H12622" t="s">
        <v>67</v>
      </c>
      <c r="S12622">
        <v>0</v>
      </c>
      <c r="T12622">
        <v>1</v>
      </c>
      <c r="U12622">
        <v>0</v>
      </c>
      <c r="V12622">
        <v>0</v>
      </c>
      <c r="W12622">
        <v>0</v>
      </c>
      <c r="X12622">
        <v>1</v>
      </c>
      <c r="Y12622">
        <v>1</v>
      </c>
      <c r="Z12622">
        <v>0</v>
      </c>
      <c r="AA12622">
        <v>0</v>
      </c>
      <c r="AB12622">
        <v>1</v>
      </c>
      <c r="AC12622">
        <v>0</v>
      </c>
      <c r="AD12622">
        <v>1</v>
      </c>
      <c r="AE12622">
        <v>1</v>
      </c>
      <c r="AF12622">
        <v>1</v>
      </c>
      <c r="AG12622">
        <v>1</v>
      </c>
      <c r="AH12622">
        <v>1</v>
      </c>
      <c r="AI12622">
        <v>1</v>
      </c>
      <c r="AJ12622">
        <v>1</v>
      </c>
      <c r="AK12622">
        <v>1</v>
      </c>
      <c r="AL12622">
        <v>1</v>
      </c>
      <c r="AM12622">
        <v>1</v>
      </c>
    </row>
    <row r="12623" spans="1:39" x14ac:dyDescent="0.2">
      <c r="A12623" t="str">
        <f>"12619"</f>
        <v>12619</v>
      </c>
      <c r="B12623" t="str">
        <f t="shared" si="701"/>
        <v>1</v>
      </c>
      <c r="C12623" t="str">
        <f t="shared" si="702"/>
        <v>253</v>
      </c>
      <c r="D12623" t="str">
        <f>"41"</f>
        <v>41</v>
      </c>
      <c r="E12623" t="str">
        <f>"1-253-41"</f>
        <v>1-253-41</v>
      </c>
      <c r="F12623" t="s">
        <v>65</v>
      </c>
      <c r="G12623" t="s">
        <v>66</v>
      </c>
      <c r="H12623" t="s">
        <v>67</v>
      </c>
      <c r="S12623">
        <v>0</v>
      </c>
      <c r="T12623">
        <v>1</v>
      </c>
      <c r="U12623">
        <v>0</v>
      </c>
      <c r="V12623">
        <v>0</v>
      </c>
      <c r="W12623">
        <v>1</v>
      </c>
      <c r="X12623">
        <v>0</v>
      </c>
      <c r="Y12623">
        <v>1</v>
      </c>
      <c r="Z12623">
        <v>0</v>
      </c>
      <c r="AA12623">
        <v>0</v>
      </c>
      <c r="AB12623">
        <v>1</v>
      </c>
      <c r="AC12623">
        <v>0</v>
      </c>
      <c r="AD12623">
        <v>1</v>
      </c>
      <c r="AE12623">
        <v>1</v>
      </c>
      <c r="AF12623">
        <v>1</v>
      </c>
      <c r="AG12623">
        <v>1</v>
      </c>
      <c r="AH12623">
        <v>1</v>
      </c>
      <c r="AI12623">
        <v>1</v>
      </c>
      <c r="AJ12623">
        <v>1</v>
      </c>
      <c r="AK12623">
        <v>1</v>
      </c>
      <c r="AL12623">
        <v>1</v>
      </c>
      <c r="AM12623">
        <v>0</v>
      </c>
    </row>
    <row r="12624" spans="1:39" x14ac:dyDescent="0.2">
      <c r="A12624" t="str">
        <f>"12620"</f>
        <v>12620</v>
      </c>
      <c r="B12624" t="str">
        <f t="shared" si="701"/>
        <v>1</v>
      </c>
      <c r="C12624" t="str">
        <f t="shared" si="702"/>
        <v>253</v>
      </c>
      <c r="D12624" t="str">
        <f>"34"</f>
        <v>34</v>
      </c>
      <c r="E12624" t="str">
        <f>"1-253-34"</f>
        <v>1-253-34</v>
      </c>
      <c r="F12624" t="s">
        <v>65</v>
      </c>
      <c r="G12624" t="s">
        <v>66</v>
      </c>
      <c r="H12624" t="s">
        <v>67</v>
      </c>
      <c r="S12624">
        <v>1</v>
      </c>
      <c r="T12624">
        <v>0</v>
      </c>
      <c r="U12624">
        <v>0</v>
      </c>
      <c r="V12624">
        <v>0</v>
      </c>
      <c r="W12624">
        <v>1</v>
      </c>
      <c r="X12624">
        <v>0</v>
      </c>
      <c r="Y12624">
        <v>1</v>
      </c>
      <c r="Z12624">
        <v>0</v>
      </c>
      <c r="AA12624">
        <v>1</v>
      </c>
      <c r="AB12624">
        <v>0</v>
      </c>
      <c r="AC12624">
        <v>0</v>
      </c>
      <c r="AD12624">
        <v>1</v>
      </c>
      <c r="AE12624">
        <v>1</v>
      </c>
      <c r="AF12624">
        <v>1</v>
      </c>
      <c r="AG12624">
        <v>1</v>
      </c>
      <c r="AH12624">
        <v>1</v>
      </c>
      <c r="AI12624">
        <v>1</v>
      </c>
      <c r="AJ12624">
        <v>1</v>
      </c>
      <c r="AK12624">
        <v>1</v>
      </c>
      <c r="AL12624">
        <v>1</v>
      </c>
      <c r="AM12624">
        <v>1</v>
      </c>
    </row>
    <row r="12625" spans="1:39" x14ac:dyDescent="0.2">
      <c r="A12625" t="str">
        <f>"12621"</f>
        <v>12621</v>
      </c>
      <c r="B12625" t="str">
        <f t="shared" si="701"/>
        <v>1</v>
      </c>
      <c r="C12625" t="str">
        <f t="shared" si="702"/>
        <v>253</v>
      </c>
      <c r="D12625" t="str">
        <f>"18"</f>
        <v>18</v>
      </c>
      <c r="E12625" t="str">
        <f>"1-253-18"</f>
        <v>1-253-18</v>
      </c>
      <c r="F12625" t="s">
        <v>65</v>
      </c>
      <c r="G12625" t="s">
        <v>66</v>
      </c>
      <c r="H12625" t="s">
        <v>67</v>
      </c>
      <c r="S12625">
        <v>0</v>
      </c>
      <c r="T12625">
        <v>1</v>
      </c>
      <c r="U12625">
        <v>0</v>
      </c>
      <c r="V12625">
        <v>0</v>
      </c>
      <c r="W12625">
        <v>1</v>
      </c>
      <c r="X12625">
        <v>0</v>
      </c>
      <c r="Y12625">
        <v>0</v>
      </c>
      <c r="Z12625">
        <v>1</v>
      </c>
      <c r="AA12625">
        <v>0</v>
      </c>
      <c r="AB12625">
        <v>0</v>
      </c>
      <c r="AC12625">
        <v>1</v>
      </c>
      <c r="AD12625">
        <v>1</v>
      </c>
      <c r="AE12625">
        <v>1</v>
      </c>
      <c r="AF12625">
        <v>1</v>
      </c>
      <c r="AG12625">
        <v>1</v>
      </c>
      <c r="AH12625">
        <v>1</v>
      </c>
      <c r="AI12625">
        <v>1</v>
      </c>
      <c r="AJ12625">
        <v>1</v>
      </c>
      <c r="AK12625">
        <v>1</v>
      </c>
      <c r="AL12625">
        <v>1</v>
      </c>
      <c r="AM12625">
        <v>1</v>
      </c>
    </row>
    <row r="12626" spans="1:39" x14ac:dyDescent="0.2">
      <c r="A12626" t="str">
        <f>"12622"</f>
        <v>12622</v>
      </c>
      <c r="B12626" t="str">
        <f t="shared" si="701"/>
        <v>1</v>
      </c>
      <c r="C12626" t="str">
        <f t="shared" si="702"/>
        <v>253</v>
      </c>
      <c r="D12626" t="str">
        <f>"13"</f>
        <v>13</v>
      </c>
      <c r="E12626" t="str">
        <f>"1-253-13"</f>
        <v>1-253-13</v>
      </c>
      <c r="F12626" t="s">
        <v>65</v>
      </c>
      <c r="G12626" t="s">
        <v>66</v>
      </c>
      <c r="H12626" t="s">
        <v>67</v>
      </c>
      <c r="S12626">
        <v>1</v>
      </c>
      <c r="T12626">
        <v>0</v>
      </c>
      <c r="U12626">
        <v>0</v>
      </c>
      <c r="V12626">
        <v>0</v>
      </c>
      <c r="W12626">
        <v>1</v>
      </c>
      <c r="X12626">
        <v>0</v>
      </c>
      <c r="Y12626">
        <v>1</v>
      </c>
      <c r="Z12626">
        <v>0</v>
      </c>
      <c r="AA12626">
        <v>1</v>
      </c>
      <c r="AB12626">
        <v>0</v>
      </c>
      <c r="AC12626">
        <v>0</v>
      </c>
      <c r="AD12626">
        <v>1</v>
      </c>
      <c r="AE12626">
        <v>1</v>
      </c>
      <c r="AF12626">
        <v>1</v>
      </c>
      <c r="AG12626">
        <v>1</v>
      </c>
      <c r="AH12626">
        <v>1</v>
      </c>
      <c r="AI12626">
        <v>1</v>
      </c>
      <c r="AJ12626">
        <v>1</v>
      </c>
      <c r="AK12626">
        <v>1</v>
      </c>
      <c r="AL12626">
        <v>1</v>
      </c>
      <c r="AM12626">
        <v>1</v>
      </c>
    </row>
    <row r="12627" spans="1:39" x14ac:dyDescent="0.2">
      <c r="A12627" t="str">
        <f>"12623"</f>
        <v>12623</v>
      </c>
      <c r="B12627" t="str">
        <f t="shared" si="701"/>
        <v>1</v>
      </c>
      <c r="C12627" t="str">
        <f t="shared" si="702"/>
        <v>253</v>
      </c>
      <c r="D12627" t="str">
        <f>"37"</f>
        <v>37</v>
      </c>
      <c r="E12627" t="str">
        <f>"1-253-37"</f>
        <v>1-253-37</v>
      </c>
      <c r="F12627" t="s">
        <v>65</v>
      </c>
      <c r="G12627" t="s">
        <v>66</v>
      </c>
      <c r="H12627" t="s">
        <v>67</v>
      </c>
      <c r="S12627">
        <v>1</v>
      </c>
      <c r="T12627">
        <v>0</v>
      </c>
      <c r="U12627">
        <v>0</v>
      </c>
      <c r="V12627">
        <v>0</v>
      </c>
      <c r="W12627">
        <v>1</v>
      </c>
      <c r="X12627">
        <v>0</v>
      </c>
      <c r="Y12627">
        <v>1</v>
      </c>
      <c r="Z12627">
        <v>0</v>
      </c>
      <c r="AA12627">
        <v>1</v>
      </c>
      <c r="AB12627">
        <v>0</v>
      </c>
      <c r="AC12627">
        <v>0</v>
      </c>
      <c r="AD12627">
        <v>1</v>
      </c>
      <c r="AE12627">
        <v>1</v>
      </c>
      <c r="AF12627">
        <v>1</v>
      </c>
      <c r="AG12627">
        <v>1</v>
      </c>
      <c r="AH12627">
        <v>1</v>
      </c>
      <c r="AI12627">
        <v>1</v>
      </c>
      <c r="AJ12627">
        <v>1</v>
      </c>
      <c r="AK12627">
        <v>1</v>
      </c>
      <c r="AL12627">
        <v>1</v>
      </c>
      <c r="AM12627">
        <v>1</v>
      </c>
    </row>
    <row r="12628" spans="1:39" x14ac:dyDescent="0.2">
      <c r="A12628" t="str">
        <f>"12624"</f>
        <v>12624</v>
      </c>
      <c r="B12628" t="str">
        <f t="shared" si="701"/>
        <v>1</v>
      </c>
      <c r="C12628" t="str">
        <f t="shared" si="702"/>
        <v>253</v>
      </c>
      <c r="D12628" t="str">
        <f>"20"</f>
        <v>20</v>
      </c>
      <c r="E12628" t="str">
        <f>"1-253-20"</f>
        <v>1-253-20</v>
      </c>
      <c r="F12628" t="s">
        <v>65</v>
      </c>
      <c r="G12628" t="s">
        <v>66</v>
      </c>
      <c r="H12628" t="s">
        <v>67</v>
      </c>
      <c r="S12628">
        <v>1</v>
      </c>
      <c r="T12628">
        <v>0</v>
      </c>
      <c r="U12628">
        <v>0</v>
      </c>
      <c r="V12628">
        <v>0</v>
      </c>
      <c r="W12628">
        <v>1</v>
      </c>
      <c r="X12628">
        <v>0</v>
      </c>
      <c r="Y12628">
        <v>1</v>
      </c>
      <c r="Z12628">
        <v>0</v>
      </c>
      <c r="AA12628">
        <v>1</v>
      </c>
      <c r="AB12628">
        <v>0</v>
      </c>
      <c r="AC12628">
        <v>0</v>
      </c>
      <c r="AD12628">
        <v>1</v>
      </c>
      <c r="AE12628">
        <v>1</v>
      </c>
      <c r="AF12628">
        <v>1</v>
      </c>
      <c r="AG12628">
        <v>1</v>
      </c>
      <c r="AH12628">
        <v>1</v>
      </c>
      <c r="AI12628">
        <v>1</v>
      </c>
      <c r="AJ12628">
        <v>1</v>
      </c>
      <c r="AK12628">
        <v>1</v>
      </c>
      <c r="AL12628">
        <v>1</v>
      </c>
      <c r="AM12628">
        <v>1</v>
      </c>
    </row>
    <row r="12629" spans="1:39" x14ac:dyDescent="0.2">
      <c r="A12629" t="str">
        <f>"12625"</f>
        <v>12625</v>
      </c>
      <c r="B12629" t="str">
        <f t="shared" si="701"/>
        <v>1</v>
      </c>
      <c r="C12629" t="str">
        <f t="shared" si="702"/>
        <v>253</v>
      </c>
      <c r="D12629" t="str">
        <f>"2"</f>
        <v>2</v>
      </c>
      <c r="E12629" t="str">
        <f>"1-253-2"</f>
        <v>1-253-2</v>
      </c>
      <c r="F12629" t="s">
        <v>65</v>
      </c>
      <c r="G12629" t="s">
        <v>66</v>
      </c>
      <c r="H12629" t="s">
        <v>67</v>
      </c>
      <c r="S12629">
        <v>1</v>
      </c>
      <c r="T12629">
        <v>0</v>
      </c>
      <c r="U12629">
        <v>0</v>
      </c>
      <c r="V12629">
        <v>0</v>
      </c>
      <c r="W12629">
        <v>1</v>
      </c>
      <c r="X12629">
        <v>0</v>
      </c>
      <c r="Y12629">
        <v>1</v>
      </c>
      <c r="Z12629">
        <v>0</v>
      </c>
      <c r="AA12629">
        <v>0</v>
      </c>
      <c r="AB12629">
        <v>0</v>
      </c>
      <c r="AC12629">
        <v>1</v>
      </c>
      <c r="AD12629">
        <v>1</v>
      </c>
      <c r="AE12629">
        <v>1</v>
      </c>
      <c r="AF12629">
        <v>1</v>
      </c>
      <c r="AG12629">
        <v>1</v>
      </c>
      <c r="AH12629">
        <v>1</v>
      </c>
      <c r="AI12629">
        <v>1</v>
      </c>
      <c r="AJ12629">
        <v>1</v>
      </c>
      <c r="AK12629">
        <v>1</v>
      </c>
      <c r="AL12629">
        <v>1</v>
      </c>
      <c r="AM12629">
        <v>1</v>
      </c>
    </row>
    <row r="12630" spans="1:39" x14ac:dyDescent="0.2">
      <c r="A12630" t="str">
        <f>"12626"</f>
        <v>12626</v>
      </c>
      <c r="B12630" t="str">
        <f t="shared" si="701"/>
        <v>1</v>
      </c>
      <c r="C12630" t="str">
        <f t="shared" si="702"/>
        <v>253</v>
      </c>
      <c r="D12630" t="str">
        <f>"40"</f>
        <v>40</v>
      </c>
      <c r="E12630" t="str">
        <f>"1-253-40"</f>
        <v>1-253-40</v>
      </c>
      <c r="F12630" t="s">
        <v>65</v>
      </c>
      <c r="G12630" t="s">
        <v>66</v>
      </c>
      <c r="H12630" t="s">
        <v>67</v>
      </c>
      <c r="S12630">
        <v>1</v>
      </c>
      <c r="T12630">
        <v>0</v>
      </c>
      <c r="U12630">
        <v>0</v>
      </c>
      <c r="V12630">
        <v>0</v>
      </c>
      <c r="W12630">
        <v>1</v>
      </c>
      <c r="X12630">
        <v>0</v>
      </c>
      <c r="Y12630">
        <v>1</v>
      </c>
      <c r="Z12630">
        <v>0</v>
      </c>
      <c r="AA12630">
        <v>1</v>
      </c>
      <c r="AB12630">
        <v>0</v>
      </c>
      <c r="AC12630">
        <v>0</v>
      </c>
      <c r="AD12630">
        <v>1</v>
      </c>
      <c r="AE12630">
        <v>1</v>
      </c>
      <c r="AF12630">
        <v>1</v>
      </c>
      <c r="AG12630">
        <v>1</v>
      </c>
      <c r="AH12630">
        <v>1</v>
      </c>
      <c r="AI12630">
        <v>1</v>
      </c>
      <c r="AJ12630">
        <v>1</v>
      </c>
      <c r="AK12630">
        <v>1</v>
      </c>
      <c r="AL12630">
        <v>1</v>
      </c>
      <c r="AM12630">
        <v>1</v>
      </c>
    </row>
    <row r="12631" spans="1:39" x14ac:dyDescent="0.2">
      <c r="A12631" t="str">
        <f>"12627"</f>
        <v>12627</v>
      </c>
      <c r="B12631" t="str">
        <f t="shared" si="701"/>
        <v>1</v>
      </c>
      <c r="C12631" t="str">
        <f t="shared" si="702"/>
        <v>253</v>
      </c>
      <c r="D12631" t="str">
        <f>"21"</f>
        <v>21</v>
      </c>
      <c r="E12631" t="str">
        <f>"1-253-21"</f>
        <v>1-253-21</v>
      </c>
      <c r="F12631" t="s">
        <v>65</v>
      </c>
      <c r="G12631" t="s">
        <v>66</v>
      </c>
      <c r="H12631" t="s">
        <v>67</v>
      </c>
      <c r="S12631">
        <v>1</v>
      </c>
      <c r="T12631">
        <v>0</v>
      </c>
      <c r="U12631">
        <v>0</v>
      </c>
      <c r="V12631">
        <v>0</v>
      </c>
      <c r="W12631">
        <v>1</v>
      </c>
      <c r="X12631">
        <v>0</v>
      </c>
      <c r="Y12631">
        <v>1</v>
      </c>
      <c r="Z12631">
        <v>0</v>
      </c>
      <c r="AA12631">
        <v>1</v>
      </c>
      <c r="AB12631">
        <v>0</v>
      </c>
      <c r="AC12631">
        <v>0</v>
      </c>
      <c r="AD12631">
        <v>1</v>
      </c>
      <c r="AE12631">
        <v>1</v>
      </c>
      <c r="AF12631">
        <v>1</v>
      </c>
      <c r="AG12631">
        <v>1</v>
      </c>
      <c r="AH12631">
        <v>1</v>
      </c>
      <c r="AI12631">
        <v>1</v>
      </c>
      <c r="AJ12631">
        <v>1</v>
      </c>
      <c r="AK12631">
        <v>1</v>
      </c>
      <c r="AL12631">
        <v>1</v>
      </c>
      <c r="AM12631">
        <v>1</v>
      </c>
    </row>
    <row r="12632" spans="1:39" x14ac:dyDescent="0.2">
      <c r="A12632" t="str">
        <f>"12628"</f>
        <v>12628</v>
      </c>
      <c r="B12632" t="str">
        <f t="shared" si="701"/>
        <v>1</v>
      </c>
      <c r="C12632" t="str">
        <f t="shared" si="702"/>
        <v>253</v>
      </c>
      <c r="D12632" t="str">
        <f>"7"</f>
        <v>7</v>
      </c>
      <c r="E12632" t="str">
        <f>"1-253-7"</f>
        <v>1-253-7</v>
      </c>
      <c r="F12632" t="s">
        <v>65</v>
      </c>
      <c r="G12632" t="s">
        <v>66</v>
      </c>
      <c r="H12632" t="s">
        <v>67</v>
      </c>
      <c r="S12632">
        <v>1</v>
      </c>
      <c r="T12632">
        <v>0</v>
      </c>
      <c r="U12632">
        <v>0</v>
      </c>
      <c r="V12632">
        <v>0</v>
      </c>
      <c r="W12632">
        <v>1</v>
      </c>
      <c r="X12632">
        <v>0</v>
      </c>
      <c r="Y12632">
        <v>1</v>
      </c>
      <c r="Z12632">
        <v>0</v>
      </c>
      <c r="AA12632">
        <v>1</v>
      </c>
      <c r="AB12632">
        <v>0</v>
      </c>
      <c r="AC12632">
        <v>0</v>
      </c>
      <c r="AD12632">
        <v>0</v>
      </c>
      <c r="AE12632">
        <v>0</v>
      </c>
      <c r="AF12632">
        <v>0</v>
      </c>
      <c r="AG12632">
        <v>0</v>
      </c>
      <c r="AH12632">
        <v>0</v>
      </c>
      <c r="AI12632">
        <v>0</v>
      </c>
      <c r="AJ12632">
        <v>0</v>
      </c>
      <c r="AK12632">
        <v>0</v>
      </c>
      <c r="AL12632">
        <v>0</v>
      </c>
      <c r="AM12632">
        <v>0</v>
      </c>
    </row>
    <row r="12633" spans="1:39" x14ac:dyDescent="0.2">
      <c r="A12633" t="str">
        <f>"12629"</f>
        <v>12629</v>
      </c>
      <c r="B12633" t="str">
        <f t="shared" si="701"/>
        <v>1</v>
      </c>
      <c r="C12633" t="str">
        <f t="shared" si="702"/>
        <v>253</v>
      </c>
      <c r="D12633" t="str">
        <f>"43"</f>
        <v>43</v>
      </c>
      <c r="E12633" t="str">
        <f>"1-253-43"</f>
        <v>1-253-43</v>
      </c>
      <c r="F12633" t="s">
        <v>65</v>
      </c>
      <c r="G12633" t="s">
        <v>66</v>
      </c>
      <c r="H12633" t="s">
        <v>67</v>
      </c>
      <c r="S12633">
        <v>0</v>
      </c>
      <c r="T12633">
        <v>1</v>
      </c>
      <c r="U12633">
        <v>0</v>
      </c>
      <c r="V12633">
        <v>0</v>
      </c>
      <c r="W12633">
        <v>0</v>
      </c>
      <c r="X12633">
        <v>1</v>
      </c>
      <c r="Y12633">
        <v>1</v>
      </c>
      <c r="Z12633">
        <v>0</v>
      </c>
      <c r="AA12633">
        <v>0</v>
      </c>
      <c r="AB12633">
        <v>1</v>
      </c>
      <c r="AC12633">
        <v>0</v>
      </c>
      <c r="AD12633">
        <v>1</v>
      </c>
      <c r="AE12633">
        <v>1</v>
      </c>
      <c r="AF12633">
        <v>1</v>
      </c>
      <c r="AG12633">
        <v>1</v>
      </c>
      <c r="AH12633">
        <v>1</v>
      </c>
      <c r="AI12633">
        <v>1</v>
      </c>
      <c r="AJ12633">
        <v>1</v>
      </c>
      <c r="AK12633">
        <v>1</v>
      </c>
      <c r="AL12633">
        <v>1</v>
      </c>
      <c r="AM12633">
        <v>1</v>
      </c>
    </row>
    <row r="12634" spans="1:39" x14ac:dyDescent="0.2">
      <c r="A12634" t="str">
        <f>"12630"</f>
        <v>12630</v>
      </c>
      <c r="B12634" t="str">
        <f t="shared" si="701"/>
        <v>1</v>
      </c>
      <c r="C12634" t="str">
        <f t="shared" si="702"/>
        <v>253</v>
      </c>
      <c r="D12634" t="str">
        <f>"22"</f>
        <v>22</v>
      </c>
      <c r="E12634" t="str">
        <f>"1-253-22"</f>
        <v>1-253-22</v>
      </c>
      <c r="F12634" t="s">
        <v>65</v>
      </c>
      <c r="G12634" t="s">
        <v>66</v>
      </c>
      <c r="H12634" t="s">
        <v>67</v>
      </c>
      <c r="S12634">
        <v>0</v>
      </c>
      <c r="T12634">
        <v>1</v>
      </c>
      <c r="U12634">
        <v>0</v>
      </c>
      <c r="V12634">
        <v>0</v>
      </c>
      <c r="W12634">
        <v>1</v>
      </c>
      <c r="X12634">
        <v>0</v>
      </c>
      <c r="Y12634">
        <v>0</v>
      </c>
      <c r="Z12634">
        <v>1</v>
      </c>
      <c r="AA12634">
        <v>1</v>
      </c>
      <c r="AB12634">
        <v>0</v>
      </c>
      <c r="AC12634">
        <v>0</v>
      </c>
      <c r="AD12634">
        <v>1</v>
      </c>
      <c r="AE12634">
        <v>1</v>
      </c>
      <c r="AF12634">
        <v>1</v>
      </c>
      <c r="AG12634">
        <v>1</v>
      </c>
      <c r="AH12634">
        <v>1</v>
      </c>
      <c r="AI12634">
        <v>1</v>
      </c>
      <c r="AJ12634">
        <v>1</v>
      </c>
      <c r="AK12634">
        <v>1</v>
      </c>
      <c r="AL12634">
        <v>1</v>
      </c>
      <c r="AM12634">
        <v>1</v>
      </c>
    </row>
    <row r="12635" spans="1:39" x14ac:dyDescent="0.2">
      <c r="A12635" t="str">
        <f>"12631"</f>
        <v>12631</v>
      </c>
      <c r="B12635" t="str">
        <f t="shared" si="701"/>
        <v>1</v>
      </c>
      <c r="C12635" t="str">
        <f t="shared" si="702"/>
        <v>253</v>
      </c>
      <c r="D12635" t="str">
        <f>"3"</f>
        <v>3</v>
      </c>
      <c r="E12635" t="str">
        <f>"1-253-3"</f>
        <v>1-253-3</v>
      </c>
      <c r="F12635" t="s">
        <v>65</v>
      </c>
      <c r="G12635" t="s">
        <v>66</v>
      </c>
      <c r="H12635" t="s">
        <v>67</v>
      </c>
      <c r="S12635">
        <v>1</v>
      </c>
      <c r="T12635">
        <v>0</v>
      </c>
      <c r="U12635">
        <v>0</v>
      </c>
      <c r="V12635">
        <v>0</v>
      </c>
      <c r="W12635">
        <v>1</v>
      </c>
      <c r="X12635">
        <v>0</v>
      </c>
      <c r="Y12635">
        <v>1</v>
      </c>
      <c r="Z12635">
        <v>0</v>
      </c>
      <c r="AA12635">
        <v>0</v>
      </c>
      <c r="AB12635">
        <v>0</v>
      </c>
      <c r="AC12635">
        <v>1</v>
      </c>
      <c r="AD12635">
        <v>1</v>
      </c>
      <c r="AE12635">
        <v>1</v>
      </c>
      <c r="AF12635">
        <v>1</v>
      </c>
      <c r="AG12635">
        <v>1</v>
      </c>
      <c r="AH12635">
        <v>1</v>
      </c>
      <c r="AI12635">
        <v>1</v>
      </c>
      <c r="AJ12635">
        <v>1</v>
      </c>
      <c r="AK12635">
        <v>1</v>
      </c>
      <c r="AL12635">
        <v>1</v>
      </c>
      <c r="AM12635">
        <v>0</v>
      </c>
    </row>
    <row r="12636" spans="1:39" x14ac:dyDescent="0.2">
      <c r="A12636" t="str">
        <f>"12632"</f>
        <v>12632</v>
      </c>
      <c r="B12636" t="str">
        <f t="shared" si="701"/>
        <v>1</v>
      </c>
      <c r="C12636" t="str">
        <f t="shared" si="702"/>
        <v>253</v>
      </c>
      <c r="D12636" t="str">
        <f>"44"</f>
        <v>44</v>
      </c>
      <c r="E12636" t="str">
        <f>"1-253-44"</f>
        <v>1-253-44</v>
      </c>
      <c r="F12636" t="s">
        <v>65</v>
      </c>
      <c r="G12636" t="s">
        <v>66</v>
      </c>
      <c r="H12636" t="s">
        <v>67</v>
      </c>
      <c r="S12636">
        <v>0</v>
      </c>
      <c r="T12636">
        <v>1</v>
      </c>
      <c r="U12636">
        <v>0</v>
      </c>
      <c r="V12636">
        <v>0</v>
      </c>
      <c r="W12636">
        <v>1</v>
      </c>
      <c r="X12636">
        <v>0</v>
      </c>
      <c r="Y12636">
        <v>1</v>
      </c>
      <c r="Z12636">
        <v>0</v>
      </c>
      <c r="AA12636">
        <v>1</v>
      </c>
      <c r="AB12636">
        <v>0</v>
      </c>
      <c r="AC12636">
        <v>0</v>
      </c>
      <c r="AD12636">
        <v>1</v>
      </c>
      <c r="AE12636">
        <v>1</v>
      </c>
      <c r="AF12636">
        <v>1</v>
      </c>
      <c r="AG12636">
        <v>1</v>
      </c>
      <c r="AH12636">
        <v>1</v>
      </c>
      <c r="AI12636">
        <v>1</v>
      </c>
      <c r="AJ12636">
        <v>1</v>
      </c>
      <c r="AK12636">
        <v>1</v>
      </c>
      <c r="AL12636">
        <v>1</v>
      </c>
      <c r="AM12636">
        <v>1</v>
      </c>
    </row>
    <row r="12637" spans="1:39" x14ac:dyDescent="0.2">
      <c r="A12637" t="str">
        <f>"12633"</f>
        <v>12633</v>
      </c>
      <c r="B12637" t="str">
        <f t="shared" si="701"/>
        <v>1</v>
      </c>
      <c r="C12637" t="str">
        <f t="shared" ref="C12637:C12654" si="703">"253"</f>
        <v>253</v>
      </c>
      <c r="D12637" t="str">
        <f>"23"</f>
        <v>23</v>
      </c>
      <c r="E12637" t="str">
        <f>"1-253-23"</f>
        <v>1-253-23</v>
      </c>
      <c r="F12637" t="s">
        <v>65</v>
      </c>
      <c r="G12637" t="s">
        <v>66</v>
      </c>
      <c r="H12637" t="s">
        <v>67</v>
      </c>
      <c r="S12637">
        <v>0</v>
      </c>
      <c r="T12637">
        <v>1</v>
      </c>
      <c r="U12637">
        <v>0</v>
      </c>
      <c r="V12637">
        <v>0</v>
      </c>
      <c r="W12637">
        <v>1</v>
      </c>
      <c r="X12637">
        <v>0</v>
      </c>
      <c r="Y12637">
        <v>1</v>
      </c>
      <c r="Z12637">
        <v>0</v>
      </c>
      <c r="AA12637">
        <v>1</v>
      </c>
      <c r="AB12637">
        <v>0</v>
      </c>
      <c r="AC12637">
        <v>0</v>
      </c>
      <c r="AD12637">
        <v>1</v>
      </c>
      <c r="AE12637">
        <v>1</v>
      </c>
      <c r="AF12637">
        <v>1</v>
      </c>
      <c r="AG12637">
        <v>1</v>
      </c>
      <c r="AH12637">
        <v>1</v>
      </c>
      <c r="AI12637">
        <v>1</v>
      </c>
      <c r="AJ12637">
        <v>1</v>
      </c>
      <c r="AK12637">
        <v>1</v>
      </c>
      <c r="AL12637">
        <v>1</v>
      </c>
      <c r="AM12637">
        <v>1</v>
      </c>
    </row>
    <row r="12638" spans="1:39" x14ac:dyDescent="0.2">
      <c r="A12638" t="str">
        <f>"12634"</f>
        <v>12634</v>
      </c>
      <c r="B12638" t="str">
        <f t="shared" si="701"/>
        <v>1</v>
      </c>
      <c r="C12638" t="str">
        <f t="shared" si="703"/>
        <v>253</v>
      </c>
      <c r="D12638" t="str">
        <f>"9"</f>
        <v>9</v>
      </c>
      <c r="E12638" t="str">
        <f>"1-253-9"</f>
        <v>1-253-9</v>
      </c>
      <c r="F12638" t="s">
        <v>65</v>
      </c>
      <c r="G12638" t="s">
        <v>66</v>
      </c>
      <c r="H12638" t="s">
        <v>67</v>
      </c>
      <c r="S12638">
        <v>0</v>
      </c>
      <c r="T12638">
        <v>1</v>
      </c>
      <c r="U12638">
        <v>0</v>
      </c>
      <c r="V12638">
        <v>0</v>
      </c>
      <c r="W12638">
        <v>1</v>
      </c>
      <c r="X12638">
        <v>0</v>
      </c>
      <c r="Y12638">
        <v>0</v>
      </c>
      <c r="Z12638">
        <v>1</v>
      </c>
      <c r="AA12638">
        <v>0</v>
      </c>
      <c r="AB12638">
        <v>0</v>
      </c>
      <c r="AC12638">
        <v>1</v>
      </c>
      <c r="AD12638">
        <v>1</v>
      </c>
      <c r="AE12638">
        <v>1</v>
      </c>
      <c r="AF12638">
        <v>1</v>
      </c>
      <c r="AG12638">
        <v>1</v>
      </c>
      <c r="AH12638">
        <v>1</v>
      </c>
      <c r="AI12638">
        <v>1</v>
      </c>
      <c r="AJ12638">
        <v>1</v>
      </c>
      <c r="AK12638">
        <v>1</v>
      </c>
      <c r="AL12638">
        <v>1</v>
      </c>
      <c r="AM12638">
        <v>1</v>
      </c>
    </row>
    <row r="12639" spans="1:39" x14ac:dyDescent="0.2">
      <c r="A12639" t="str">
        <f>"12635"</f>
        <v>12635</v>
      </c>
      <c r="B12639" t="str">
        <f t="shared" si="701"/>
        <v>1</v>
      </c>
      <c r="C12639" t="str">
        <f t="shared" si="703"/>
        <v>253</v>
      </c>
      <c r="D12639" t="str">
        <f>"45"</f>
        <v>45</v>
      </c>
      <c r="E12639" t="str">
        <f>"1-253-45"</f>
        <v>1-253-45</v>
      </c>
      <c r="F12639" t="s">
        <v>65</v>
      </c>
      <c r="G12639" t="s">
        <v>66</v>
      </c>
      <c r="H12639" t="s">
        <v>67</v>
      </c>
      <c r="S12639">
        <v>1</v>
      </c>
      <c r="T12639">
        <v>0</v>
      </c>
      <c r="U12639">
        <v>0</v>
      </c>
      <c r="V12639">
        <v>0</v>
      </c>
      <c r="W12639">
        <v>1</v>
      </c>
      <c r="X12639">
        <v>0</v>
      </c>
      <c r="Y12639">
        <v>1</v>
      </c>
      <c r="Z12639">
        <v>0</v>
      </c>
      <c r="AA12639">
        <v>1</v>
      </c>
      <c r="AB12639">
        <v>0</v>
      </c>
      <c r="AC12639">
        <v>0</v>
      </c>
      <c r="AD12639">
        <v>1</v>
      </c>
      <c r="AE12639">
        <v>1</v>
      </c>
      <c r="AF12639">
        <v>1</v>
      </c>
      <c r="AG12639">
        <v>1</v>
      </c>
      <c r="AH12639">
        <v>1</v>
      </c>
      <c r="AI12639">
        <v>1</v>
      </c>
      <c r="AJ12639">
        <v>1</v>
      </c>
      <c r="AK12639">
        <v>1</v>
      </c>
      <c r="AL12639">
        <v>1</v>
      </c>
      <c r="AM12639">
        <v>1</v>
      </c>
    </row>
    <row r="12640" spans="1:39" x14ac:dyDescent="0.2">
      <c r="A12640" t="str">
        <f>"12636"</f>
        <v>12636</v>
      </c>
      <c r="B12640" t="str">
        <f t="shared" si="701"/>
        <v>1</v>
      </c>
      <c r="C12640" t="str">
        <f t="shared" si="703"/>
        <v>253</v>
      </c>
      <c r="D12640" t="str">
        <f>"24"</f>
        <v>24</v>
      </c>
      <c r="E12640" t="str">
        <f>"1-253-24"</f>
        <v>1-253-24</v>
      </c>
      <c r="F12640" t="s">
        <v>65</v>
      </c>
      <c r="G12640" t="s">
        <v>66</v>
      </c>
      <c r="H12640" t="s">
        <v>67</v>
      </c>
      <c r="S12640">
        <v>1</v>
      </c>
      <c r="T12640">
        <v>0</v>
      </c>
      <c r="U12640">
        <v>0</v>
      </c>
      <c r="V12640">
        <v>0</v>
      </c>
      <c r="W12640">
        <v>1</v>
      </c>
      <c r="X12640">
        <v>0</v>
      </c>
      <c r="Y12640">
        <v>1</v>
      </c>
      <c r="Z12640">
        <v>0</v>
      </c>
      <c r="AA12640">
        <v>0</v>
      </c>
      <c r="AB12640">
        <v>0</v>
      </c>
      <c r="AC12640">
        <v>1</v>
      </c>
      <c r="AD12640">
        <v>1</v>
      </c>
      <c r="AE12640">
        <v>1</v>
      </c>
      <c r="AF12640">
        <v>1</v>
      </c>
      <c r="AG12640">
        <v>1</v>
      </c>
      <c r="AH12640">
        <v>1</v>
      </c>
      <c r="AI12640">
        <v>1</v>
      </c>
      <c r="AJ12640">
        <v>1</v>
      </c>
      <c r="AK12640">
        <v>1</v>
      </c>
      <c r="AL12640">
        <v>1</v>
      </c>
      <c r="AM12640">
        <v>1</v>
      </c>
    </row>
    <row r="12641" spans="1:39" x14ac:dyDescent="0.2">
      <c r="A12641" t="str">
        <f>"12637"</f>
        <v>12637</v>
      </c>
      <c r="B12641" t="str">
        <f t="shared" si="701"/>
        <v>1</v>
      </c>
      <c r="C12641" t="str">
        <f t="shared" si="703"/>
        <v>253</v>
      </c>
      <c r="D12641" t="str">
        <f>"4"</f>
        <v>4</v>
      </c>
      <c r="E12641" t="str">
        <f>"1-253-4"</f>
        <v>1-253-4</v>
      </c>
      <c r="F12641" t="s">
        <v>65</v>
      </c>
      <c r="G12641" t="s">
        <v>66</v>
      </c>
      <c r="H12641" t="s">
        <v>67</v>
      </c>
      <c r="S12641">
        <v>1</v>
      </c>
      <c r="T12641">
        <v>0</v>
      </c>
      <c r="U12641">
        <v>0</v>
      </c>
      <c r="V12641">
        <v>0</v>
      </c>
      <c r="W12641">
        <v>1</v>
      </c>
      <c r="X12641">
        <v>0</v>
      </c>
      <c r="Y12641">
        <v>0</v>
      </c>
      <c r="Z12641">
        <v>1</v>
      </c>
      <c r="AA12641">
        <v>0</v>
      </c>
      <c r="AB12641">
        <v>0</v>
      </c>
      <c r="AC12641">
        <v>1</v>
      </c>
      <c r="AD12641">
        <v>1</v>
      </c>
      <c r="AE12641">
        <v>1</v>
      </c>
      <c r="AF12641">
        <v>1</v>
      </c>
      <c r="AG12641">
        <v>1</v>
      </c>
      <c r="AH12641">
        <v>1</v>
      </c>
      <c r="AI12641">
        <v>1</v>
      </c>
      <c r="AJ12641">
        <v>1</v>
      </c>
      <c r="AK12641">
        <v>1</v>
      </c>
      <c r="AL12641">
        <v>1</v>
      </c>
      <c r="AM12641">
        <v>1</v>
      </c>
    </row>
    <row r="12642" spans="1:39" x14ac:dyDescent="0.2">
      <c r="A12642" t="str">
        <f>"12638"</f>
        <v>12638</v>
      </c>
      <c r="B12642" t="str">
        <f t="shared" si="701"/>
        <v>1</v>
      </c>
      <c r="C12642" t="str">
        <f t="shared" si="703"/>
        <v>253</v>
      </c>
      <c r="D12642" t="str">
        <f>"49"</f>
        <v>49</v>
      </c>
      <c r="E12642" t="str">
        <f>"1-253-49"</f>
        <v>1-253-49</v>
      </c>
      <c r="F12642" t="s">
        <v>65</v>
      </c>
      <c r="G12642" t="s">
        <v>66</v>
      </c>
      <c r="H12642" t="s">
        <v>67</v>
      </c>
      <c r="S12642">
        <v>1</v>
      </c>
      <c r="T12642">
        <v>0</v>
      </c>
      <c r="U12642">
        <v>0</v>
      </c>
      <c r="V12642">
        <v>0</v>
      </c>
      <c r="W12642">
        <v>0</v>
      </c>
      <c r="X12642">
        <v>1</v>
      </c>
      <c r="Y12642">
        <v>0</v>
      </c>
      <c r="Z12642">
        <v>1</v>
      </c>
      <c r="AA12642">
        <v>0</v>
      </c>
      <c r="AB12642">
        <v>0</v>
      </c>
      <c r="AC12642">
        <v>1</v>
      </c>
      <c r="AD12642">
        <v>1</v>
      </c>
      <c r="AE12642">
        <v>1</v>
      </c>
      <c r="AF12642">
        <v>1</v>
      </c>
      <c r="AG12642">
        <v>1</v>
      </c>
      <c r="AH12642">
        <v>1</v>
      </c>
      <c r="AI12642">
        <v>1</v>
      </c>
      <c r="AJ12642">
        <v>1</v>
      </c>
      <c r="AK12642">
        <v>1</v>
      </c>
      <c r="AL12642">
        <v>1</v>
      </c>
      <c r="AM12642">
        <v>1</v>
      </c>
    </row>
    <row r="12643" spans="1:39" x14ac:dyDescent="0.2">
      <c r="A12643" t="str">
        <f>"12639"</f>
        <v>12639</v>
      </c>
      <c r="B12643" t="str">
        <f t="shared" si="701"/>
        <v>1</v>
      </c>
      <c r="C12643" t="str">
        <f t="shared" si="703"/>
        <v>253</v>
      </c>
      <c r="D12643" t="str">
        <f>"25"</f>
        <v>25</v>
      </c>
      <c r="E12643" t="str">
        <f>"1-253-25"</f>
        <v>1-253-25</v>
      </c>
      <c r="F12643" t="s">
        <v>65</v>
      </c>
      <c r="G12643" t="s">
        <v>66</v>
      </c>
      <c r="H12643" t="s">
        <v>67</v>
      </c>
      <c r="S12643">
        <v>1</v>
      </c>
      <c r="T12643">
        <v>0</v>
      </c>
      <c r="U12643">
        <v>0</v>
      </c>
      <c r="V12643">
        <v>0</v>
      </c>
      <c r="W12643">
        <v>1</v>
      </c>
      <c r="X12643">
        <v>0</v>
      </c>
      <c r="Y12643">
        <v>1</v>
      </c>
      <c r="Z12643">
        <v>0</v>
      </c>
      <c r="AA12643">
        <v>1</v>
      </c>
      <c r="AB12643">
        <v>0</v>
      </c>
      <c r="AC12643">
        <v>0</v>
      </c>
      <c r="AD12643">
        <v>0</v>
      </c>
      <c r="AE12643">
        <v>0</v>
      </c>
      <c r="AF12643">
        <v>0</v>
      </c>
      <c r="AG12643">
        <v>1</v>
      </c>
      <c r="AH12643">
        <v>0</v>
      </c>
      <c r="AI12643">
        <v>0</v>
      </c>
      <c r="AJ12643">
        <v>0</v>
      </c>
      <c r="AK12643">
        <v>1</v>
      </c>
      <c r="AL12643">
        <v>1</v>
      </c>
      <c r="AM12643">
        <v>0</v>
      </c>
    </row>
    <row r="12644" spans="1:39" x14ac:dyDescent="0.2">
      <c r="A12644" t="str">
        <f>"12640"</f>
        <v>12640</v>
      </c>
      <c r="B12644" t="str">
        <f t="shared" si="701"/>
        <v>1</v>
      </c>
      <c r="C12644" t="str">
        <f t="shared" si="703"/>
        <v>253</v>
      </c>
      <c r="D12644" t="str">
        <f>"11"</f>
        <v>11</v>
      </c>
      <c r="E12644" t="str">
        <f>"1-253-11"</f>
        <v>1-253-11</v>
      </c>
      <c r="F12644" t="s">
        <v>65</v>
      </c>
      <c r="G12644" t="s">
        <v>66</v>
      </c>
      <c r="H12644" t="s">
        <v>67</v>
      </c>
      <c r="S12644">
        <v>0</v>
      </c>
      <c r="T12644">
        <v>1</v>
      </c>
      <c r="U12644">
        <v>0</v>
      </c>
      <c r="V12644">
        <v>0</v>
      </c>
      <c r="W12644">
        <v>1</v>
      </c>
      <c r="X12644">
        <v>0</v>
      </c>
      <c r="Y12644">
        <v>0</v>
      </c>
      <c r="Z12644">
        <v>1</v>
      </c>
      <c r="AA12644">
        <v>0</v>
      </c>
      <c r="AB12644">
        <v>0</v>
      </c>
      <c r="AC12644">
        <v>0</v>
      </c>
      <c r="AD12644">
        <v>0</v>
      </c>
      <c r="AE12644">
        <v>0</v>
      </c>
      <c r="AF12644">
        <v>0</v>
      </c>
      <c r="AG12644">
        <v>0</v>
      </c>
      <c r="AH12644">
        <v>0</v>
      </c>
      <c r="AI12644">
        <v>0</v>
      </c>
      <c r="AJ12644">
        <v>0</v>
      </c>
      <c r="AK12644">
        <v>0</v>
      </c>
      <c r="AL12644">
        <v>0</v>
      </c>
      <c r="AM12644">
        <v>0</v>
      </c>
    </row>
    <row r="12645" spans="1:39" x14ac:dyDescent="0.2">
      <c r="A12645" t="str">
        <f>"12641"</f>
        <v>12641</v>
      </c>
      <c r="B12645" t="str">
        <f t="shared" si="701"/>
        <v>1</v>
      </c>
      <c r="C12645" t="str">
        <f t="shared" si="703"/>
        <v>253</v>
      </c>
      <c r="D12645" t="str">
        <f>"48"</f>
        <v>48</v>
      </c>
      <c r="E12645" t="str">
        <f>"1-253-48"</f>
        <v>1-253-48</v>
      </c>
      <c r="F12645" t="s">
        <v>65</v>
      </c>
      <c r="G12645" t="s">
        <v>66</v>
      </c>
      <c r="H12645" t="s">
        <v>67</v>
      </c>
      <c r="S12645">
        <v>1</v>
      </c>
      <c r="T12645">
        <v>0</v>
      </c>
      <c r="U12645">
        <v>0</v>
      </c>
      <c r="V12645">
        <v>0</v>
      </c>
      <c r="W12645">
        <v>1</v>
      </c>
      <c r="X12645">
        <v>0</v>
      </c>
      <c r="Y12645">
        <v>1</v>
      </c>
      <c r="Z12645">
        <v>0</v>
      </c>
      <c r="AA12645">
        <v>1</v>
      </c>
      <c r="AB12645">
        <v>0</v>
      </c>
      <c r="AC12645">
        <v>0</v>
      </c>
      <c r="AD12645">
        <v>0</v>
      </c>
      <c r="AE12645">
        <v>0</v>
      </c>
      <c r="AF12645">
        <v>0</v>
      </c>
      <c r="AG12645">
        <v>0</v>
      </c>
      <c r="AH12645">
        <v>0</v>
      </c>
      <c r="AI12645">
        <v>0</v>
      </c>
      <c r="AJ12645">
        <v>0</v>
      </c>
      <c r="AK12645">
        <v>0</v>
      </c>
      <c r="AL12645">
        <v>0</v>
      </c>
      <c r="AM12645">
        <v>0</v>
      </c>
    </row>
    <row r="12646" spans="1:39" x14ac:dyDescent="0.2">
      <c r="A12646" t="str">
        <f>"12642"</f>
        <v>12642</v>
      </c>
      <c r="B12646" t="str">
        <f t="shared" si="701"/>
        <v>1</v>
      </c>
      <c r="C12646" t="str">
        <f t="shared" si="703"/>
        <v>253</v>
      </c>
      <c r="D12646" t="str">
        <f>"29"</f>
        <v>29</v>
      </c>
      <c r="E12646" t="str">
        <f>"1-253-29"</f>
        <v>1-253-29</v>
      </c>
      <c r="F12646" t="s">
        <v>65</v>
      </c>
      <c r="G12646" t="s">
        <v>66</v>
      </c>
      <c r="H12646" t="s">
        <v>67</v>
      </c>
      <c r="S12646">
        <v>1</v>
      </c>
      <c r="T12646">
        <v>0</v>
      </c>
      <c r="U12646">
        <v>0</v>
      </c>
      <c r="V12646">
        <v>0</v>
      </c>
      <c r="W12646">
        <v>1</v>
      </c>
      <c r="X12646">
        <v>0</v>
      </c>
      <c r="Y12646">
        <v>1</v>
      </c>
      <c r="Z12646">
        <v>0</v>
      </c>
      <c r="AA12646">
        <v>1</v>
      </c>
      <c r="AB12646">
        <v>0</v>
      </c>
      <c r="AC12646">
        <v>0</v>
      </c>
      <c r="AD12646">
        <v>1</v>
      </c>
      <c r="AE12646">
        <v>1</v>
      </c>
      <c r="AF12646">
        <v>1</v>
      </c>
      <c r="AG12646">
        <v>1</v>
      </c>
      <c r="AH12646">
        <v>1</v>
      </c>
      <c r="AI12646">
        <v>1</v>
      </c>
      <c r="AJ12646">
        <v>1</v>
      </c>
      <c r="AK12646">
        <v>1</v>
      </c>
      <c r="AL12646">
        <v>1</v>
      </c>
      <c r="AM12646">
        <v>1</v>
      </c>
    </row>
    <row r="12647" spans="1:39" x14ac:dyDescent="0.2">
      <c r="A12647" t="str">
        <f>"12643"</f>
        <v>12643</v>
      </c>
      <c r="B12647" t="str">
        <f t="shared" si="701"/>
        <v>1</v>
      </c>
      <c r="C12647" t="str">
        <f t="shared" si="703"/>
        <v>253</v>
      </c>
      <c r="D12647" t="str">
        <f>"10"</f>
        <v>10</v>
      </c>
      <c r="E12647" t="str">
        <f>"1-253-10"</f>
        <v>1-253-10</v>
      </c>
      <c r="F12647" t="s">
        <v>65</v>
      </c>
      <c r="G12647" t="s">
        <v>66</v>
      </c>
      <c r="H12647" t="s">
        <v>67</v>
      </c>
      <c r="S12647">
        <v>1</v>
      </c>
      <c r="T12647">
        <v>0</v>
      </c>
      <c r="U12647">
        <v>0</v>
      </c>
      <c r="V12647">
        <v>0</v>
      </c>
      <c r="W12647">
        <v>1</v>
      </c>
      <c r="X12647">
        <v>0</v>
      </c>
      <c r="Y12647">
        <v>1</v>
      </c>
      <c r="Z12647">
        <v>0</v>
      </c>
      <c r="AA12647">
        <v>1</v>
      </c>
      <c r="AB12647">
        <v>0</v>
      </c>
      <c r="AC12647">
        <v>0</v>
      </c>
      <c r="AD12647">
        <v>1</v>
      </c>
      <c r="AE12647">
        <v>1</v>
      </c>
      <c r="AF12647">
        <v>1</v>
      </c>
      <c r="AG12647">
        <v>1</v>
      </c>
      <c r="AH12647">
        <v>1</v>
      </c>
      <c r="AI12647">
        <v>1</v>
      </c>
      <c r="AJ12647">
        <v>1</v>
      </c>
      <c r="AK12647">
        <v>1</v>
      </c>
      <c r="AL12647">
        <v>1</v>
      </c>
      <c r="AM12647">
        <v>1</v>
      </c>
    </row>
    <row r="12648" spans="1:39" x14ac:dyDescent="0.2">
      <c r="A12648" t="str">
        <f>"12644"</f>
        <v>12644</v>
      </c>
      <c r="B12648" t="str">
        <f t="shared" si="701"/>
        <v>1</v>
      </c>
      <c r="C12648" t="str">
        <f t="shared" si="703"/>
        <v>253</v>
      </c>
      <c r="D12648" t="str">
        <f>"30"</f>
        <v>30</v>
      </c>
      <c r="E12648" t="str">
        <f>"1-253-30"</f>
        <v>1-253-30</v>
      </c>
      <c r="F12648" t="s">
        <v>65</v>
      </c>
      <c r="G12648" t="s">
        <v>66</v>
      </c>
      <c r="H12648" t="s">
        <v>67</v>
      </c>
      <c r="S12648">
        <v>1</v>
      </c>
      <c r="T12648">
        <v>0</v>
      </c>
      <c r="U12648">
        <v>0</v>
      </c>
      <c r="V12648">
        <v>0</v>
      </c>
      <c r="W12648">
        <v>1</v>
      </c>
      <c r="X12648">
        <v>0</v>
      </c>
      <c r="Y12648">
        <v>0</v>
      </c>
      <c r="Z12648">
        <v>1</v>
      </c>
      <c r="AA12648">
        <v>1</v>
      </c>
      <c r="AB12648">
        <v>0</v>
      </c>
      <c r="AC12648">
        <v>0</v>
      </c>
      <c r="AD12648">
        <v>1</v>
      </c>
      <c r="AE12648">
        <v>1</v>
      </c>
      <c r="AF12648">
        <v>1</v>
      </c>
      <c r="AG12648">
        <v>1</v>
      </c>
      <c r="AH12648">
        <v>1</v>
      </c>
      <c r="AI12648">
        <v>1</v>
      </c>
      <c r="AJ12648">
        <v>1</v>
      </c>
      <c r="AK12648">
        <v>1</v>
      </c>
      <c r="AL12648">
        <v>1</v>
      </c>
      <c r="AM12648">
        <v>1</v>
      </c>
    </row>
    <row r="12649" spans="1:39" x14ac:dyDescent="0.2">
      <c r="A12649" t="str">
        <f>"12645"</f>
        <v>12645</v>
      </c>
      <c r="B12649" t="str">
        <f t="shared" si="701"/>
        <v>1</v>
      </c>
      <c r="C12649" t="str">
        <f t="shared" si="703"/>
        <v>253</v>
      </c>
      <c r="D12649" t="str">
        <f>"8"</f>
        <v>8</v>
      </c>
      <c r="E12649" t="str">
        <f>"1-253-8"</f>
        <v>1-253-8</v>
      </c>
      <c r="F12649" t="s">
        <v>65</v>
      </c>
      <c r="G12649" t="s">
        <v>66</v>
      </c>
      <c r="H12649" t="s">
        <v>67</v>
      </c>
      <c r="S12649">
        <v>1</v>
      </c>
      <c r="T12649">
        <v>0</v>
      </c>
      <c r="U12649">
        <v>0</v>
      </c>
      <c r="V12649">
        <v>0</v>
      </c>
      <c r="W12649">
        <v>1</v>
      </c>
      <c r="X12649">
        <v>0</v>
      </c>
      <c r="Y12649">
        <v>0</v>
      </c>
      <c r="Z12649">
        <v>1</v>
      </c>
      <c r="AA12649">
        <v>1</v>
      </c>
      <c r="AB12649">
        <v>0</v>
      </c>
      <c r="AC12649">
        <v>0</v>
      </c>
      <c r="AD12649">
        <v>0</v>
      </c>
      <c r="AE12649">
        <v>0</v>
      </c>
      <c r="AF12649">
        <v>0</v>
      </c>
      <c r="AG12649">
        <v>0</v>
      </c>
      <c r="AH12649">
        <v>0</v>
      </c>
      <c r="AI12649">
        <v>0</v>
      </c>
      <c r="AJ12649">
        <v>0</v>
      </c>
      <c r="AK12649">
        <v>0</v>
      </c>
      <c r="AL12649">
        <v>1</v>
      </c>
      <c r="AM12649">
        <v>0</v>
      </c>
    </row>
    <row r="12650" spans="1:39" x14ac:dyDescent="0.2">
      <c r="A12650" t="str">
        <f>"12646"</f>
        <v>12646</v>
      </c>
      <c r="B12650" t="str">
        <f t="shared" si="701"/>
        <v>1</v>
      </c>
      <c r="C12650" t="str">
        <f t="shared" si="703"/>
        <v>253</v>
      </c>
      <c r="D12650" t="str">
        <f>"50"</f>
        <v>50</v>
      </c>
      <c r="E12650" t="str">
        <f>"1-253-50"</f>
        <v>1-253-50</v>
      </c>
      <c r="F12650" t="s">
        <v>65</v>
      </c>
      <c r="G12650" t="s">
        <v>66</v>
      </c>
      <c r="H12650" t="s">
        <v>67</v>
      </c>
      <c r="S12650">
        <v>1</v>
      </c>
      <c r="T12650">
        <v>0</v>
      </c>
      <c r="U12650">
        <v>0</v>
      </c>
      <c r="V12650">
        <v>0</v>
      </c>
      <c r="W12650">
        <v>1</v>
      </c>
      <c r="X12650">
        <v>0</v>
      </c>
      <c r="Y12650">
        <v>0</v>
      </c>
      <c r="Z12650">
        <v>1</v>
      </c>
      <c r="AA12650">
        <v>1</v>
      </c>
      <c r="AB12650">
        <v>0</v>
      </c>
      <c r="AC12650">
        <v>0</v>
      </c>
      <c r="AD12650">
        <v>0</v>
      </c>
      <c r="AE12650">
        <v>0</v>
      </c>
      <c r="AF12650">
        <v>0</v>
      </c>
      <c r="AG12650">
        <v>0</v>
      </c>
      <c r="AH12650">
        <v>0</v>
      </c>
      <c r="AI12650">
        <v>0</v>
      </c>
      <c r="AJ12650">
        <v>0</v>
      </c>
      <c r="AK12650">
        <v>0</v>
      </c>
      <c r="AL12650">
        <v>0</v>
      </c>
      <c r="AM12650">
        <v>0</v>
      </c>
    </row>
    <row r="12651" spans="1:39" x14ac:dyDescent="0.2">
      <c r="A12651" t="str">
        <f>"12647"</f>
        <v>12647</v>
      </c>
      <c r="B12651" t="str">
        <f t="shared" si="701"/>
        <v>1</v>
      </c>
      <c r="C12651" t="str">
        <f t="shared" si="703"/>
        <v>253</v>
      </c>
      <c r="D12651" t="str">
        <f>"31"</f>
        <v>31</v>
      </c>
      <c r="E12651" t="str">
        <f>"1-253-31"</f>
        <v>1-253-31</v>
      </c>
      <c r="F12651" t="s">
        <v>65</v>
      </c>
      <c r="G12651" t="s">
        <v>66</v>
      </c>
      <c r="H12651" t="s">
        <v>67</v>
      </c>
      <c r="S12651">
        <v>1</v>
      </c>
      <c r="T12651">
        <v>0</v>
      </c>
      <c r="U12651">
        <v>0</v>
      </c>
      <c r="V12651">
        <v>0</v>
      </c>
      <c r="W12651">
        <v>1</v>
      </c>
      <c r="X12651">
        <v>0</v>
      </c>
      <c r="Y12651">
        <v>0</v>
      </c>
      <c r="Z12651">
        <v>1</v>
      </c>
      <c r="AA12651">
        <v>1</v>
      </c>
      <c r="AB12651">
        <v>0</v>
      </c>
      <c r="AC12651">
        <v>0</v>
      </c>
      <c r="AD12651">
        <v>1</v>
      </c>
      <c r="AE12651">
        <v>1</v>
      </c>
      <c r="AF12651">
        <v>1</v>
      </c>
      <c r="AG12651">
        <v>1</v>
      </c>
      <c r="AH12651">
        <v>1</v>
      </c>
      <c r="AI12651">
        <v>1</v>
      </c>
      <c r="AJ12651">
        <v>1</v>
      </c>
      <c r="AK12651">
        <v>1</v>
      </c>
      <c r="AL12651">
        <v>1</v>
      </c>
      <c r="AM12651">
        <v>1</v>
      </c>
    </row>
    <row r="12652" spans="1:39" x14ac:dyDescent="0.2">
      <c r="A12652" t="str">
        <f>"12648"</f>
        <v>12648</v>
      </c>
      <c r="B12652" t="str">
        <f t="shared" si="701"/>
        <v>1</v>
      </c>
      <c r="C12652" t="str">
        <f t="shared" si="703"/>
        <v>253</v>
      </c>
      <c r="D12652" t="str">
        <f>"12"</f>
        <v>12</v>
      </c>
      <c r="E12652" t="str">
        <f>"1-253-12"</f>
        <v>1-253-12</v>
      </c>
      <c r="F12652" t="s">
        <v>65</v>
      </c>
      <c r="G12652" t="s">
        <v>66</v>
      </c>
      <c r="H12652" t="s">
        <v>67</v>
      </c>
      <c r="S12652">
        <v>1</v>
      </c>
      <c r="T12652">
        <v>0</v>
      </c>
      <c r="U12652">
        <v>0</v>
      </c>
      <c r="V12652">
        <v>0</v>
      </c>
      <c r="W12652">
        <v>1</v>
      </c>
      <c r="X12652">
        <v>0</v>
      </c>
      <c r="Y12652">
        <v>1</v>
      </c>
      <c r="Z12652">
        <v>0</v>
      </c>
      <c r="AA12652">
        <v>1</v>
      </c>
      <c r="AB12652">
        <v>0</v>
      </c>
      <c r="AC12652">
        <v>0</v>
      </c>
      <c r="AD12652">
        <v>1</v>
      </c>
      <c r="AE12652">
        <v>1</v>
      </c>
      <c r="AF12652">
        <v>1</v>
      </c>
      <c r="AG12652">
        <v>1</v>
      </c>
      <c r="AH12652">
        <v>1</v>
      </c>
      <c r="AI12652">
        <v>1</v>
      </c>
      <c r="AJ12652">
        <v>1</v>
      </c>
      <c r="AK12652">
        <v>1</v>
      </c>
      <c r="AL12652">
        <v>1</v>
      </c>
      <c r="AM12652">
        <v>1</v>
      </c>
    </row>
    <row r="12653" spans="1:39" x14ac:dyDescent="0.2">
      <c r="A12653" t="str">
        <f>"12649"</f>
        <v>12649</v>
      </c>
      <c r="B12653" t="str">
        <f t="shared" si="701"/>
        <v>1</v>
      </c>
      <c r="C12653" t="str">
        <f t="shared" si="703"/>
        <v>253</v>
      </c>
      <c r="D12653" t="str">
        <f>"32"</f>
        <v>32</v>
      </c>
      <c r="E12653" t="str">
        <f>"1-253-32"</f>
        <v>1-253-32</v>
      </c>
      <c r="F12653" t="s">
        <v>65</v>
      </c>
      <c r="G12653" t="s">
        <v>66</v>
      </c>
      <c r="H12653" t="s">
        <v>67</v>
      </c>
      <c r="S12653">
        <v>1</v>
      </c>
      <c r="T12653">
        <v>0</v>
      </c>
      <c r="U12653">
        <v>0</v>
      </c>
      <c r="V12653">
        <v>0</v>
      </c>
      <c r="W12653">
        <v>1</v>
      </c>
      <c r="X12653">
        <v>0</v>
      </c>
      <c r="Y12653">
        <v>1</v>
      </c>
      <c r="Z12653">
        <v>0</v>
      </c>
      <c r="AA12653">
        <v>0</v>
      </c>
      <c r="AB12653">
        <v>1</v>
      </c>
      <c r="AC12653">
        <v>0</v>
      </c>
      <c r="AD12653">
        <v>0</v>
      </c>
      <c r="AE12653">
        <v>0</v>
      </c>
      <c r="AF12653">
        <v>0</v>
      </c>
      <c r="AG12653">
        <v>1</v>
      </c>
      <c r="AH12653">
        <v>0</v>
      </c>
      <c r="AI12653">
        <v>0</v>
      </c>
      <c r="AJ12653">
        <v>0</v>
      </c>
      <c r="AK12653">
        <v>0</v>
      </c>
      <c r="AL12653">
        <v>0</v>
      </c>
      <c r="AM12653">
        <v>0</v>
      </c>
    </row>
    <row r="12654" spans="1:39" x14ac:dyDescent="0.2">
      <c r="A12654" t="str">
        <f>"12650"</f>
        <v>12650</v>
      </c>
      <c r="B12654" t="str">
        <f t="shared" si="701"/>
        <v>1</v>
      </c>
      <c r="C12654" t="str">
        <f t="shared" si="703"/>
        <v>253</v>
      </c>
      <c r="D12654" t="str">
        <f>"14"</f>
        <v>14</v>
      </c>
      <c r="E12654" t="str">
        <f>"1-253-14"</f>
        <v>1-253-14</v>
      </c>
      <c r="F12654" t="s">
        <v>65</v>
      </c>
      <c r="G12654" t="s">
        <v>66</v>
      </c>
      <c r="H12654" t="s">
        <v>67</v>
      </c>
      <c r="S12654">
        <v>1</v>
      </c>
      <c r="T12654">
        <v>0</v>
      </c>
      <c r="U12654">
        <v>0</v>
      </c>
      <c r="V12654">
        <v>0</v>
      </c>
      <c r="W12654">
        <v>1</v>
      </c>
      <c r="X12654">
        <v>0</v>
      </c>
      <c r="Y12654">
        <v>0</v>
      </c>
      <c r="Z12654">
        <v>1</v>
      </c>
      <c r="AA12654">
        <v>1</v>
      </c>
      <c r="AB12654">
        <v>0</v>
      </c>
      <c r="AC12654">
        <v>0</v>
      </c>
      <c r="AD12654">
        <v>1</v>
      </c>
      <c r="AE12654">
        <v>1</v>
      </c>
      <c r="AF12654">
        <v>1</v>
      </c>
      <c r="AG12654">
        <v>1</v>
      </c>
      <c r="AH12654">
        <v>1</v>
      </c>
      <c r="AI12654">
        <v>1</v>
      </c>
      <c r="AJ12654">
        <v>1</v>
      </c>
      <c r="AK12654">
        <v>1</v>
      </c>
      <c r="AL12654">
        <v>1</v>
      </c>
      <c r="AM12654">
        <v>1</v>
      </c>
    </row>
    <row r="12655" spans="1:39" x14ac:dyDescent="0.2">
      <c r="A12655" t="str">
        <f>"12651"</f>
        <v>12651</v>
      </c>
      <c r="B12655" t="str">
        <f t="shared" si="701"/>
        <v>1</v>
      </c>
      <c r="C12655" t="str">
        <f t="shared" ref="C12655:C12686" si="704">"254"</f>
        <v>254</v>
      </c>
      <c r="D12655" t="str">
        <f>"38"</f>
        <v>38</v>
      </c>
      <c r="E12655" t="str">
        <f>"1-254-38"</f>
        <v>1-254-38</v>
      </c>
      <c r="F12655" t="s">
        <v>65</v>
      </c>
      <c r="G12655" t="s">
        <v>66</v>
      </c>
      <c r="H12655" t="s">
        <v>67</v>
      </c>
      <c r="S12655">
        <v>1</v>
      </c>
      <c r="T12655">
        <v>0</v>
      </c>
      <c r="U12655">
        <v>0</v>
      </c>
      <c r="V12655">
        <v>0</v>
      </c>
      <c r="W12655">
        <v>1</v>
      </c>
      <c r="X12655">
        <v>0</v>
      </c>
      <c r="Y12655">
        <v>1</v>
      </c>
      <c r="Z12655">
        <v>0</v>
      </c>
      <c r="AA12655">
        <v>0</v>
      </c>
      <c r="AB12655">
        <v>1</v>
      </c>
      <c r="AC12655">
        <v>0</v>
      </c>
      <c r="AD12655">
        <v>1</v>
      </c>
      <c r="AE12655">
        <v>1</v>
      </c>
      <c r="AF12655">
        <v>1</v>
      </c>
      <c r="AG12655">
        <v>1</v>
      </c>
      <c r="AH12655">
        <v>1</v>
      </c>
      <c r="AI12655">
        <v>1</v>
      </c>
      <c r="AJ12655">
        <v>0</v>
      </c>
      <c r="AK12655">
        <v>0</v>
      </c>
      <c r="AL12655">
        <v>1</v>
      </c>
      <c r="AM12655">
        <v>1</v>
      </c>
    </row>
    <row r="12656" spans="1:39" x14ac:dyDescent="0.2">
      <c r="A12656" t="str">
        <f>"12652"</f>
        <v>12652</v>
      </c>
      <c r="B12656" t="str">
        <f t="shared" si="701"/>
        <v>1</v>
      </c>
      <c r="C12656" t="str">
        <f t="shared" si="704"/>
        <v>254</v>
      </c>
      <c r="D12656" t="str">
        <f>"37"</f>
        <v>37</v>
      </c>
      <c r="E12656" t="str">
        <f>"1-254-37"</f>
        <v>1-254-37</v>
      </c>
      <c r="F12656" t="s">
        <v>65</v>
      </c>
      <c r="G12656" t="s">
        <v>66</v>
      </c>
      <c r="H12656" t="s">
        <v>67</v>
      </c>
      <c r="S12656">
        <v>1</v>
      </c>
      <c r="T12656">
        <v>0</v>
      </c>
      <c r="U12656">
        <v>0</v>
      </c>
      <c r="V12656">
        <v>0</v>
      </c>
      <c r="W12656">
        <v>1</v>
      </c>
      <c r="X12656">
        <v>0</v>
      </c>
      <c r="Y12656">
        <v>1</v>
      </c>
      <c r="Z12656">
        <v>0</v>
      </c>
      <c r="AA12656">
        <v>1</v>
      </c>
      <c r="AB12656">
        <v>0</v>
      </c>
      <c r="AC12656">
        <v>0</v>
      </c>
      <c r="AD12656">
        <v>1</v>
      </c>
      <c r="AE12656">
        <v>1</v>
      </c>
      <c r="AF12656">
        <v>1</v>
      </c>
      <c r="AG12656">
        <v>1</v>
      </c>
      <c r="AH12656">
        <v>1</v>
      </c>
      <c r="AI12656">
        <v>1</v>
      </c>
      <c r="AJ12656">
        <v>1</v>
      </c>
      <c r="AK12656">
        <v>1</v>
      </c>
      <c r="AL12656">
        <v>1</v>
      </c>
      <c r="AM12656">
        <v>1</v>
      </c>
    </row>
    <row r="12657" spans="1:39" x14ac:dyDescent="0.2">
      <c r="A12657" t="str">
        <f>"12653"</f>
        <v>12653</v>
      </c>
      <c r="B12657" t="str">
        <f t="shared" si="701"/>
        <v>1</v>
      </c>
      <c r="C12657" t="str">
        <f t="shared" si="704"/>
        <v>254</v>
      </c>
      <c r="D12657" t="str">
        <f>"23"</f>
        <v>23</v>
      </c>
      <c r="E12657" t="str">
        <f>"1-254-23"</f>
        <v>1-254-23</v>
      </c>
      <c r="F12657" t="s">
        <v>65</v>
      </c>
      <c r="G12657" t="s">
        <v>66</v>
      </c>
      <c r="H12657" t="s">
        <v>67</v>
      </c>
      <c r="S12657">
        <v>1</v>
      </c>
      <c r="T12657">
        <v>0</v>
      </c>
      <c r="U12657">
        <v>0</v>
      </c>
      <c r="V12657">
        <v>0</v>
      </c>
      <c r="W12657">
        <v>1</v>
      </c>
      <c r="X12657">
        <v>0</v>
      </c>
      <c r="Y12657">
        <v>0</v>
      </c>
      <c r="Z12657">
        <v>1</v>
      </c>
      <c r="AA12657">
        <v>1</v>
      </c>
      <c r="AB12657">
        <v>0</v>
      </c>
      <c r="AC12657">
        <v>0</v>
      </c>
      <c r="AD12657">
        <v>0</v>
      </c>
      <c r="AE12657">
        <v>0</v>
      </c>
      <c r="AF12657">
        <v>0</v>
      </c>
      <c r="AG12657">
        <v>0</v>
      </c>
      <c r="AH12657">
        <v>0</v>
      </c>
      <c r="AI12657">
        <v>0</v>
      </c>
      <c r="AJ12657">
        <v>0</v>
      </c>
      <c r="AK12657">
        <v>0</v>
      </c>
      <c r="AL12657">
        <v>1</v>
      </c>
      <c r="AM12657">
        <v>0</v>
      </c>
    </row>
    <row r="12658" spans="1:39" x14ac:dyDescent="0.2">
      <c r="A12658" t="str">
        <f>"12654"</f>
        <v>12654</v>
      </c>
      <c r="B12658" t="str">
        <f t="shared" si="701"/>
        <v>1</v>
      </c>
      <c r="C12658" t="str">
        <f t="shared" si="704"/>
        <v>254</v>
      </c>
      <c r="D12658" t="str">
        <f>"22"</f>
        <v>22</v>
      </c>
      <c r="E12658" t="str">
        <f>"1-254-22"</f>
        <v>1-254-22</v>
      </c>
      <c r="F12658" t="s">
        <v>65</v>
      </c>
      <c r="G12658" t="s">
        <v>66</v>
      </c>
      <c r="H12658" t="s">
        <v>67</v>
      </c>
      <c r="S12658">
        <v>1</v>
      </c>
      <c r="T12658">
        <v>0</v>
      </c>
      <c r="U12658">
        <v>0</v>
      </c>
      <c r="V12658">
        <v>0</v>
      </c>
      <c r="W12658">
        <v>1</v>
      </c>
      <c r="X12658">
        <v>0</v>
      </c>
      <c r="Y12658">
        <v>1</v>
      </c>
      <c r="Z12658">
        <v>0</v>
      </c>
      <c r="AA12658">
        <v>0</v>
      </c>
      <c r="AB12658">
        <v>0</v>
      </c>
      <c r="AC12658">
        <v>1</v>
      </c>
      <c r="AD12658">
        <v>1</v>
      </c>
      <c r="AE12658">
        <v>1</v>
      </c>
      <c r="AF12658">
        <v>1</v>
      </c>
      <c r="AG12658">
        <v>1</v>
      </c>
      <c r="AH12658">
        <v>1</v>
      </c>
      <c r="AI12658">
        <v>1</v>
      </c>
      <c r="AJ12658">
        <v>1</v>
      </c>
      <c r="AK12658">
        <v>1</v>
      </c>
      <c r="AL12658">
        <v>1</v>
      </c>
      <c r="AM12658">
        <v>1</v>
      </c>
    </row>
    <row r="12659" spans="1:39" x14ac:dyDescent="0.2">
      <c r="A12659" t="str">
        <f>"12655"</f>
        <v>12655</v>
      </c>
      <c r="B12659" t="str">
        <f t="shared" si="701"/>
        <v>1</v>
      </c>
      <c r="C12659" t="str">
        <f t="shared" si="704"/>
        <v>254</v>
      </c>
      <c r="D12659" t="str">
        <f>"17"</f>
        <v>17</v>
      </c>
      <c r="E12659" t="str">
        <f>"1-254-17"</f>
        <v>1-254-17</v>
      </c>
      <c r="F12659" t="s">
        <v>65</v>
      </c>
      <c r="G12659" t="s">
        <v>66</v>
      </c>
      <c r="H12659" t="s">
        <v>67</v>
      </c>
      <c r="S12659">
        <v>1</v>
      </c>
      <c r="T12659">
        <v>0</v>
      </c>
      <c r="U12659">
        <v>0</v>
      </c>
      <c r="V12659">
        <v>0</v>
      </c>
      <c r="W12659">
        <v>1</v>
      </c>
      <c r="X12659">
        <v>0</v>
      </c>
      <c r="Y12659">
        <v>1</v>
      </c>
      <c r="Z12659">
        <v>0</v>
      </c>
      <c r="AA12659">
        <v>1</v>
      </c>
      <c r="AB12659">
        <v>0</v>
      </c>
      <c r="AC12659">
        <v>0</v>
      </c>
      <c r="AD12659">
        <v>1</v>
      </c>
      <c r="AE12659">
        <v>1</v>
      </c>
      <c r="AF12659">
        <v>1</v>
      </c>
      <c r="AG12659">
        <v>1</v>
      </c>
      <c r="AH12659">
        <v>1</v>
      </c>
      <c r="AI12659">
        <v>1</v>
      </c>
      <c r="AJ12659">
        <v>1</v>
      </c>
      <c r="AK12659">
        <v>1</v>
      </c>
      <c r="AL12659">
        <v>1</v>
      </c>
      <c r="AM12659">
        <v>1</v>
      </c>
    </row>
    <row r="12660" spans="1:39" x14ac:dyDescent="0.2">
      <c r="A12660" t="str">
        <f>"12656"</f>
        <v>12656</v>
      </c>
      <c r="B12660" t="str">
        <f t="shared" si="701"/>
        <v>1</v>
      </c>
      <c r="C12660" t="str">
        <f t="shared" si="704"/>
        <v>254</v>
      </c>
      <c r="D12660" t="str">
        <f>"15"</f>
        <v>15</v>
      </c>
      <c r="E12660" t="str">
        <f>"1-254-15"</f>
        <v>1-254-15</v>
      </c>
      <c r="F12660" t="s">
        <v>65</v>
      </c>
      <c r="G12660" t="s">
        <v>66</v>
      </c>
      <c r="H12660" t="s">
        <v>67</v>
      </c>
      <c r="S12660">
        <v>0</v>
      </c>
      <c r="T12660">
        <v>1</v>
      </c>
      <c r="U12660">
        <v>0</v>
      </c>
      <c r="V12660">
        <v>0</v>
      </c>
      <c r="W12660">
        <v>0</v>
      </c>
      <c r="X12660">
        <v>1</v>
      </c>
      <c r="Y12660">
        <v>1</v>
      </c>
      <c r="Z12660">
        <v>0</v>
      </c>
      <c r="AA12660">
        <v>0</v>
      </c>
      <c r="AB12660">
        <v>0</v>
      </c>
      <c r="AC12660">
        <v>1</v>
      </c>
      <c r="AD12660">
        <v>1</v>
      </c>
      <c r="AE12660">
        <v>1</v>
      </c>
      <c r="AF12660">
        <v>1</v>
      </c>
      <c r="AG12660">
        <v>1</v>
      </c>
      <c r="AH12660">
        <v>1</v>
      </c>
      <c r="AI12660">
        <v>1</v>
      </c>
      <c r="AJ12660">
        <v>1</v>
      </c>
      <c r="AK12660">
        <v>1</v>
      </c>
      <c r="AL12660">
        <v>1</v>
      </c>
      <c r="AM12660">
        <v>1</v>
      </c>
    </row>
    <row r="12661" spans="1:39" x14ac:dyDescent="0.2">
      <c r="A12661" t="str">
        <f>"12657"</f>
        <v>12657</v>
      </c>
      <c r="B12661" t="str">
        <f t="shared" si="701"/>
        <v>1</v>
      </c>
      <c r="C12661" t="str">
        <f t="shared" si="704"/>
        <v>254</v>
      </c>
      <c r="D12661" t="str">
        <f>"5"</f>
        <v>5</v>
      </c>
      <c r="E12661" t="str">
        <f>"1-254-5"</f>
        <v>1-254-5</v>
      </c>
      <c r="F12661" t="s">
        <v>65</v>
      </c>
      <c r="G12661" t="s">
        <v>66</v>
      </c>
      <c r="H12661" t="s">
        <v>67</v>
      </c>
      <c r="S12661">
        <v>1</v>
      </c>
      <c r="T12661">
        <v>0</v>
      </c>
      <c r="U12661">
        <v>0</v>
      </c>
      <c r="V12661">
        <v>0</v>
      </c>
      <c r="W12661">
        <v>1</v>
      </c>
      <c r="X12661">
        <v>0</v>
      </c>
      <c r="Y12661">
        <v>0</v>
      </c>
      <c r="Z12661">
        <v>1</v>
      </c>
      <c r="AA12661">
        <v>0</v>
      </c>
      <c r="AB12661">
        <v>0</v>
      </c>
      <c r="AC12661">
        <v>1</v>
      </c>
      <c r="AD12661">
        <v>1</v>
      </c>
      <c r="AE12661">
        <v>1</v>
      </c>
      <c r="AF12661">
        <v>1</v>
      </c>
      <c r="AG12661">
        <v>1</v>
      </c>
      <c r="AH12661">
        <v>1</v>
      </c>
      <c r="AI12661">
        <v>1</v>
      </c>
      <c r="AJ12661">
        <v>1</v>
      </c>
      <c r="AK12661">
        <v>1</v>
      </c>
      <c r="AL12661">
        <v>1</v>
      </c>
      <c r="AM12661">
        <v>0</v>
      </c>
    </row>
    <row r="12662" spans="1:39" x14ac:dyDescent="0.2">
      <c r="A12662" t="str">
        <f>"12658"</f>
        <v>12658</v>
      </c>
      <c r="B12662" t="str">
        <f t="shared" si="701"/>
        <v>1</v>
      </c>
      <c r="C12662" t="str">
        <f t="shared" si="704"/>
        <v>254</v>
      </c>
      <c r="D12662" t="str">
        <f>"36"</f>
        <v>36</v>
      </c>
      <c r="E12662" t="str">
        <f>"1-254-36"</f>
        <v>1-254-36</v>
      </c>
      <c r="F12662" t="s">
        <v>65</v>
      </c>
      <c r="G12662" t="s">
        <v>66</v>
      </c>
      <c r="H12662" t="s">
        <v>67</v>
      </c>
      <c r="S12662">
        <v>1</v>
      </c>
      <c r="T12662">
        <v>0</v>
      </c>
      <c r="U12662">
        <v>0</v>
      </c>
      <c r="V12662">
        <v>0</v>
      </c>
      <c r="W12662">
        <v>1</v>
      </c>
      <c r="X12662">
        <v>0</v>
      </c>
      <c r="Y12662">
        <v>0</v>
      </c>
      <c r="Z12662">
        <v>1</v>
      </c>
      <c r="AA12662">
        <v>0</v>
      </c>
      <c r="AB12662">
        <v>1</v>
      </c>
      <c r="AC12662">
        <v>0</v>
      </c>
      <c r="AD12662">
        <v>0</v>
      </c>
      <c r="AE12662">
        <v>0</v>
      </c>
      <c r="AF12662">
        <v>0</v>
      </c>
      <c r="AG12662">
        <v>1</v>
      </c>
      <c r="AH12662">
        <v>0</v>
      </c>
      <c r="AI12662">
        <v>0</v>
      </c>
      <c r="AJ12662">
        <v>0</v>
      </c>
      <c r="AK12662">
        <v>0</v>
      </c>
      <c r="AL12662">
        <v>1</v>
      </c>
      <c r="AM12662">
        <v>0</v>
      </c>
    </row>
    <row r="12663" spans="1:39" x14ac:dyDescent="0.2">
      <c r="A12663" t="str">
        <f>"12659"</f>
        <v>12659</v>
      </c>
      <c r="B12663" t="str">
        <f t="shared" ref="B12663:B12726" si="705">"1"</f>
        <v>1</v>
      </c>
      <c r="C12663" t="str">
        <f t="shared" si="704"/>
        <v>254</v>
      </c>
      <c r="D12663" t="str">
        <f>"35"</f>
        <v>35</v>
      </c>
      <c r="E12663" t="str">
        <f>"1-254-35"</f>
        <v>1-254-35</v>
      </c>
      <c r="F12663" t="s">
        <v>65</v>
      </c>
      <c r="G12663" t="s">
        <v>66</v>
      </c>
      <c r="H12663" t="s">
        <v>67</v>
      </c>
      <c r="S12663">
        <v>1</v>
      </c>
      <c r="T12663">
        <v>0</v>
      </c>
      <c r="U12663">
        <v>0</v>
      </c>
      <c r="V12663">
        <v>0</v>
      </c>
      <c r="W12663">
        <v>1</v>
      </c>
      <c r="X12663">
        <v>0</v>
      </c>
      <c r="Y12663">
        <v>1</v>
      </c>
      <c r="Z12663">
        <v>0</v>
      </c>
      <c r="AA12663">
        <v>1</v>
      </c>
      <c r="AB12663">
        <v>0</v>
      </c>
      <c r="AC12663">
        <v>0</v>
      </c>
      <c r="AD12663">
        <v>1</v>
      </c>
      <c r="AE12663">
        <v>1</v>
      </c>
      <c r="AF12663">
        <v>1</v>
      </c>
      <c r="AG12663">
        <v>1</v>
      </c>
      <c r="AH12663">
        <v>0</v>
      </c>
      <c r="AI12663">
        <v>1</v>
      </c>
      <c r="AJ12663">
        <v>1</v>
      </c>
      <c r="AK12663">
        <v>1</v>
      </c>
      <c r="AL12663">
        <v>1</v>
      </c>
      <c r="AM12663">
        <v>1</v>
      </c>
    </row>
    <row r="12664" spans="1:39" x14ac:dyDescent="0.2">
      <c r="A12664" t="str">
        <f>"12660"</f>
        <v>12660</v>
      </c>
      <c r="B12664" t="str">
        <f t="shared" si="705"/>
        <v>1</v>
      </c>
      <c r="C12664" t="str">
        <f t="shared" si="704"/>
        <v>254</v>
      </c>
      <c r="D12664" t="str">
        <f>"28"</f>
        <v>28</v>
      </c>
      <c r="E12664" t="str">
        <f>"1-254-28"</f>
        <v>1-254-28</v>
      </c>
      <c r="F12664" t="s">
        <v>65</v>
      </c>
      <c r="G12664" t="s">
        <v>66</v>
      </c>
      <c r="H12664" t="s">
        <v>67</v>
      </c>
      <c r="S12664">
        <v>1</v>
      </c>
      <c r="T12664">
        <v>0</v>
      </c>
      <c r="U12664">
        <v>0</v>
      </c>
      <c r="V12664">
        <v>0</v>
      </c>
      <c r="W12664">
        <v>1</v>
      </c>
      <c r="X12664">
        <v>0</v>
      </c>
      <c r="Y12664">
        <v>1</v>
      </c>
      <c r="Z12664">
        <v>0</v>
      </c>
      <c r="AA12664">
        <v>1</v>
      </c>
      <c r="AB12664">
        <v>0</v>
      </c>
      <c r="AC12664">
        <v>0</v>
      </c>
      <c r="AD12664">
        <v>1</v>
      </c>
      <c r="AE12664">
        <v>1</v>
      </c>
      <c r="AF12664">
        <v>1</v>
      </c>
      <c r="AG12664">
        <v>1</v>
      </c>
      <c r="AH12664">
        <v>1</v>
      </c>
      <c r="AI12664">
        <v>1</v>
      </c>
      <c r="AJ12664">
        <v>1</v>
      </c>
      <c r="AK12664">
        <v>1</v>
      </c>
      <c r="AL12664">
        <v>1</v>
      </c>
      <c r="AM12664">
        <v>1</v>
      </c>
    </row>
    <row r="12665" spans="1:39" x14ac:dyDescent="0.2">
      <c r="A12665" t="str">
        <f>"12661"</f>
        <v>12661</v>
      </c>
      <c r="B12665" t="str">
        <f t="shared" si="705"/>
        <v>1</v>
      </c>
      <c r="C12665" t="str">
        <f t="shared" si="704"/>
        <v>254</v>
      </c>
      <c r="D12665" t="str">
        <f>"16"</f>
        <v>16</v>
      </c>
      <c r="E12665" t="str">
        <f>"1-254-16"</f>
        <v>1-254-16</v>
      </c>
      <c r="F12665" t="s">
        <v>65</v>
      </c>
      <c r="G12665" t="s">
        <v>66</v>
      </c>
      <c r="H12665" t="s">
        <v>67</v>
      </c>
      <c r="S12665">
        <v>0</v>
      </c>
      <c r="T12665">
        <v>1</v>
      </c>
      <c r="U12665">
        <v>0</v>
      </c>
      <c r="V12665">
        <v>0</v>
      </c>
      <c r="W12665">
        <v>1</v>
      </c>
      <c r="X12665">
        <v>0</v>
      </c>
      <c r="Y12665">
        <v>0</v>
      </c>
      <c r="Z12665">
        <v>1</v>
      </c>
      <c r="AA12665">
        <v>0</v>
      </c>
      <c r="AB12665">
        <v>0</v>
      </c>
      <c r="AC12665">
        <v>1</v>
      </c>
      <c r="AD12665">
        <v>1</v>
      </c>
      <c r="AE12665">
        <v>1</v>
      </c>
      <c r="AF12665">
        <v>1</v>
      </c>
      <c r="AG12665">
        <v>1</v>
      </c>
      <c r="AH12665">
        <v>1</v>
      </c>
      <c r="AI12665">
        <v>1</v>
      </c>
      <c r="AJ12665">
        <v>1</v>
      </c>
      <c r="AK12665">
        <v>1</v>
      </c>
      <c r="AL12665">
        <v>1</v>
      </c>
      <c r="AM12665">
        <v>1</v>
      </c>
    </row>
    <row r="12666" spans="1:39" x14ac:dyDescent="0.2">
      <c r="A12666" t="str">
        <f>"12662"</f>
        <v>12662</v>
      </c>
      <c r="B12666" t="str">
        <f t="shared" si="705"/>
        <v>1</v>
      </c>
      <c r="C12666" t="str">
        <f t="shared" si="704"/>
        <v>254</v>
      </c>
      <c r="D12666" t="str">
        <f>"2"</f>
        <v>2</v>
      </c>
      <c r="E12666" t="str">
        <f>"1-254-2"</f>
        <v>1-254-2</v>
      </c>
      <c r="F12666" t="s">
        <v>65</v>
      </c>
      <c r="G12666" t="s">
        <v>66</v>
      </c>
      <c r="H12666" t="s">
        <v>67</v>
      </c>
      <c r="S12666">
        <v>1</v>
      </c>
      <c r="T12666">
        <v>0</v>
      </c>
      <c r="U12666">
        <v>0</v>
      </c>
      <c r="V12666">
        <v>0</v>
      </c>
      <c r="W12666">
        <v>0</v>
      </c>
      <c r="X12666">
        <v>1</v>
      </c>
      <c r="Y12666">
        <v>0</v>
      </c>
      <c r="Z12666">
        <v>1</v>
      </c>
      <c r="AA12666">
        <v>0</v>
      </c>
      <c r="AB12666">
        <v>1</v>
      </c>
      <c r="AC12666">
        <v>0</v>
      </c>
      <c r="AD12666">
        <v>1</v>
      </c>
      <c r="AE12666">
        <v>1</v>
      </c>
      <c r="AF12666">
        <v>1</v>
      </c>
      <c r="AG12666">
        <v>1</v>
      </c>
      <c r="AH12666">
        <v>1</v>
      </c>
      <c r="AI12666">
        <v>1</v>
      </c>
      <c r="AJ12666">
        <v>1</v>
      </c>
      <c r="AK12666">
        <v>1</v>
      </c>
      <c r="AL12666">
        <v>1</v>
      </c>
      <c r="AM12666">
        <v>1</v>
      </c>
    </row>
    <row r="12667" spans="1:39" x14ac:dyDescent="0.2">
      <c r="A12667" t="str">
        <f>"12663"</f>
        <v>12663</v>
      </c>
      <c r="B12667" t="str">
        <f t="shared" si="705"/>
        <v>1</v>
      </c>
      <c r="C12667" t="str">
        <f t="shared" si="704"/>
        <v>254</v>
      </c>
      <c r="D12667" t="str">
        <f>"48"</f>
        <v>48</v>
      </c>
      <c r="E12667" t="str">
        <f>"1-254-48"</f>
        <v>1-254-48</v>
      </c>
      <c r="F12667" t="s">
        <v>65</v>
      </c>
      <c r="G12667" t="s">
        <v>66</v>
      </c>
      <c r="H12667" t="s">
        <v>67</v>
      </c>
      <c r="S12667">
        <v>0</v>
      </c>
      <c r="T12667">
        <v>0</v>
      </c>
      <c r="U12667">
        <v>0</v>
      </c>
      <c r="V12667">
        <v>0</v>
      </c>
      <c r="W12667">
        <v>1</v>
      </c>
      <c r="X12667">
        <v>0</v>
      </c>
      <c r="Y12667">
        <v>0</v>
      </c>
      <c r="Z12667">
        <v>0</v>
      </c>
      <c r="AA12667">
        <v>1</v>
      </c>
      <c r="AB12667">
        <v>0</v>
      </c>
      <c r="AC12667">
        <v>0</v>
      </c>
      <c r="AD12667">
        <v>0</v>
      </c>
      <c r="AE12667">
        <v>0</v>
      </c>
      <c r="AF12667">
        <v>0</v>
      </c>
      <c r="AG12667">
        <v>0</v>
      </c>
      <c r="AH12667">
        <v>0</v>
      </c>
      <c r="AI12667">
        <v>0</v>
      </c>
      <c r="AJ12667">
        <v>0</v>
      </c>
      <c r="AK12667">
        <v>0</v>
      </c>
      <c r="AL12667">
        <v>1</v>
      </c>
      <c r="AM12667">
        <v>0</v>
      </c>
    </row>
    <row r="12668" spans="1:39" x14ac:dyDescent="0.2">
      <c r="A12668" t="str">
        <f>"12664"</f>
        <v>12664</v>
      </c>
      <c r="B12668" t="str">
        <f t="shared" si="705"/>
        <v>1</v>
      </c>
      <c r="C12668" t="str">
        <f t="shared" si="704"/>
        <v>254</v>
      </c>
      <c r="D12668" t="str">
        <f>"47"</f>
        <v>47</v>
      </c>
      <c r="E12668" t="str">
        <f>"1-254-47"</f>
        <v>1-254-47</v>
      </c>
      <c r="F12668" t="s">
        <v>65</v>
      </c>
      <c r="G12668" t="s">
        <v>66</v>
      </c>
      <c r="H12668" t="s">
        <v>67</v>
      </c>
      <c r="S12668">
        <v>1</v>
      </c>
      <c r="T12668">
        <v>0</v>
      </c>
      <c r="U12668">
        <v>0</v>
      </c>
      <c r="V12668">
        <v>0</v>
      </c>
      <c r="W12668">
        <v>1</v>
      </c>
      <c r="X12668">
        <v>0</v>
      </c>
      <c r="Y12668">
        <v>1</v>
      </c>
      <c r="Z12668">
        <v>0</v>
      </c>
      <c r="AA12668">
        <v>0</v>
      </c>
      <c r="AB12668">
        <v>1</v>
      </c>
      <c r="AC12668">
        <v>0</v>
      </c>
      <c r="AD12668">
        <v>1</v>
      </c>
      <c r="AE12668">
        <v>1</v>
      </c>
      <c r="AF12668">
        <v>1</v>
      </c>
      <c r="AG12668">
        <v>1</v>
      </c>
      <c r="AH12668">
        <v>1</v>
      </c>
      <c r="AI12668">
        <v>1</v>
      </c>
      <c r="AJ12668">
        <v>1</v>
      </c>
      <c r="AK12668">
        <v>1</v>
      </c>
      <c r="AL12668">
        <v>1</v>
      </c>
      <c r="AM12668">
        <v>1</v>
      </c>
    </row>
    <row r="12669" spans="1:39" x14ac:dyDescent="0.2">
      <c r="A12669" t="str">
        <f>"12665"</f>
        <v>12665</v>
      </c>
      <c r="B12669" t="str">
        <f t="shared" si="705"/>
        <v>1</v>
      </c>
      <c r="C12669" t="str">
        <f t="shared" si="704"/>
        <v>254</v>
      </c>
      <c r="D12669" t="str">
        <f>"33"</f>
        <v>33</v>
      </c>
      <c r="E12669" t="str">
        <f>"1-254-33"</f>
        <v>1-254-33</v>
      </c>
      <c r="F12669" t="s">
        <v>65</v>
      </c>
      <c r="G12669" t="s">
        <v>66</v>
      </c>
      <c r="H12669" t="s">
        <v>67</v>
      </c>
      <c r="S12669">
        <v>1</v>
      </c>
      <c r="T12669">
        <v>0</v>
      </c>
      <c r="U12669">
        <v>0</v>
      </c>
      <c r="V12669">
        <v>0</v>
      </c>
      <c r="W12669">
        <v>1</v>
      </c>
      <c r="X12669">
        <v>0</v>
      </c>
      <c r="Y12669">
        <v>0</v>
      </c>
      <c r="Z12669">
        <v>1</v>
      </c>
      <c r="AA12669">
        <v>1</v>
      </c>
      <c r="AB12669">
        <v>0</v>
      </c>
      <c r="AC12669">
        <v>0</v>
      </c>
      <c r="AD12669">
        <v>0</v>
      </c>
      <c r="AE12669">
        <v>0</v>
      </c>
      <c r="AF12669">
        <v>0</v>
      </c>
      <c r="AG12669">
        <v>0</v>
      </c>
      <c r="AH12669">
        <v>0</v>
      </c>
      <c r="AI12669">
        <v>0</v>
      </c>
      <c r="AJ12669">
        <v>0</v>
      </c>
      <c r="AK12669">
        <v>0</v>
      </c>
      <c r="AL12669">
        <v>0</v>
      </c>
      <c r="AM12669">
        <v>0</v>
      </c>
    </row>
    <row r="12670" spans="1:39" x14ac:dyDescent="0.2">
      <c r="A12670" t="str">
        <f>"12666"</f>
        <v>12666</v>
      </c>
      <c r="B12670" t="str">
        <f t="shared" si="705"/>
        <v>1</v>
      </c>
      <c r="C12670" t="str">
        <f t="shared" si="704"/>
        <v>254</v>
      </c>
      <c r="D12670" t="str">
        <f>"18"</f>
        <v>18</v>
      </c>
      <c r="E12670" t="str">
        <f>"1-254-18"</f>
        <v>1-254-18</v>
      </c>
      <c r="F12670" t="s">
        <v>65</v>
      </c>
      <c r="G12670" t="s">
        <v>66</v>
      </c>
      <c r="H12670" t="s">
        <v>67</v>
      </c>
      <c r="S12670">
        <v>1</v>
      </c>
      <c r="T12670">
        <v>0</v>
      </c>
      <c r="U12670">
        <v>0</v>
      </c>
      <c r="V12670">
        <v>0</v>
      </c>
      <c r="W12670">
        <v>1</v>
      </c>
      <c r="X12670">
        <v>0</v>
      </c>
      <c r="Y12670">
        <v>0</v>
      </c>
      <c r="Z12670">
        <v>1</v>
      </c>
      <c r="AA12670">
        <v>0</v>
      </c>
      <c r="AB12670">
        <v>0</v>
      </c>
      <c r="AC12670">
        <v>1</v>
      </c>
      <c r="AD12670">
        <v>1</v>
      </c>
      <c r="AE12670">
        <v>1</v>
      </c>
      <c r="AF12670">
        <v>1</v>
      </c>
      <c r="AG12670">
        <v>1</v>
      </c>
      <c r="AH12670">
        <v>1</v>
      </c>
      <c r="AI12670">
        <v>1</v>
      </c>
      <c r="AJ12670">
        <v>1</v>
      </c>
      <c r="AK12670">
        <v>1</v>
      </c>
      <c r="AL12670">
        <v>1</v>
      </c>
      <c r="AM12670">
        <v>1</v>
      </c>
    </row>
    <row r="12671" spans="1:39" x14ac:dyDescent="0.2">
      <c r="A12671" t="str">
        <f>"12667"</f>
        <v>12667</v>
      </c>
      <c r="B12671" t="str">
        <f t="shared" si="705"/>
        <v>1</v>
      </c>
      <c r="C12671" t="str">
        <f t="shared" si="704"/>
        <v>254</v>
      </c>
      <c r="D12671" t="str">
        <f>"3"</f>
        <v>3</v>
      </c>
      <c r="E12671" t="str">
        <f>"1-254-3"</f>
        <v>1-254-3</v>
      </c>
      <c r="F12671" t="s">
        <v>65</v>
      </c>
      <c r="G12671" t="s">
        <v>66</v>
      </c>
      <c r="H12671" t="s">
        <v>67</v>
      </c>
      <c r="S12671">
        <v>0</v>
      </c>
      <c r="T12671">
        <v>1</v>
      </c>
      <c r="U12671">
        <v>0</v>
      </c>
      <c r="V12671">
        <v>0</v>
      </c>
      <c r="W12671">
        <v>1</v>
      </c>
      <c r="X12671">
        <v>0</v>
      </c>
      <c r="Y12671">
        <v>0</v>
      </c>
      <c r="Z12671">
        <v>1</v>
      </c>
      <c r="AA12671">
        <v>1</v>
      </c>
      <c r="AB12671">
        <v>0</v>
      </c>
      <c r="AC12671">
        <v>0</v>
      </c>
      <c r="AD12671">
        <v>1</v>
      </c>
      <c r="AE12671">
        <v>1</v>
      </c>
      <c r="AF12671">
        <v>1</v>
      </c>
      <c r="AG12671">
        <v>1</v>
      </c>
      <c r="AH12671">
        <v>1</v>
      </c>
      <c r="AI12671">
        <v>1</v>
      </c>
      <c r="AJ12671">
        <v>1</v>
      </c>
      <c r="AK12671">
        <v>1</v>
      </c>
      <c r="AL12671">
        <v>1</v>
      </c>
      <c r="AM12671">
        <v>1</v>
      </c>
    </row>
    <row r="12672" spans="1:39" x14ac:dyDescent="0.2">
      <c r="A12672" t="str">
        <f>"12668"</f>
        <v>12668</v>
      </c>
      <c r="B12672" t="str">
        <f t="shared" si="705"/>
        <v>1</v>
      </c>
      <c r="C12672" t="str">
        <f t="shared" si="704"/>
        <v>254</v>
      </c>
      <c r="D12672" t="str">
        <f>"34"</f>
        <v>34</v>
      </c>
      <c r="E12672" t="str">
        <f>"1-254-34"</f>
        <v>1-254-34</v>
      </c>
      <c r="F12672" t="s">
        <v>65</v>
      </c>
      <c r="G12672" t="s">
        <v>66</v>
      </c>
      <c r="H12672" t="s">
        <v>67</v>
      </c>
      <c r="S12672">
        <v>1</v>
      </c>
      <c r="T12672">
        <v>0</v>
      </c>
      <c r="U12672">
        <v>0</v>
      </c>
      <c r="V12672">
        <v>0</v>
      </c>
      <c r="W12672">
        <v>1</v>
      </c>
      <c r="X12672">
        <v>0</v>
      </c>
      <c r="Y12672">
        <v>1</v>
      </c>
      <c r="Z12672">
        <v>0</v>
      </c>
      <c r="AA12672">
        <v>1</v>
      </c>
      <c r="AB12672">
        <v>0</v>
      </c>
      <c r="AC12672">
        <v>0</v>
      </c>
      <c r="AD12672">
        <v>1</v>
      </c>
      <c r="AE12672">
        <v>1</v>
      </c>
      <c r="AF12672">
        <v>1</v>
      </c>
      <c r="AG12672">
        <v>1</v>
      </c>
      <c r="AH12672">
        <v>1</v>
      </c>
      <c r="AI12672">
        <v>1</v>
      </c>
      <c r="AJ12672">
        <v>1</v>
      </c>
      <c r="AK12672">
        <v>1</v>
      </c>
      <c r="AL12672">
        <v>1</v>
      </c>
      <c r="AM12672">
        <v>1</v>
      </c>
    </row>
    <row r="12673" spans="1:39" x14ac:dyDescent="0.2">
      <c r="A12673" t="str">
        <f>"12669"</f>
        <v>12669</v>
      </c>
      <c r="B12673" t="str">
        <f t="shared" si="705"/>
        <v>1</v>
      </c>
      <c r="C12673" t="str">
        <f t="shared" si="704"/>
        <v>254</v>
      </c>
      <c r="D12673" t="str">
        <f>"19"</f>
        <v>19</v>
      </c>
      <c r="E12673" t="str">
        <f>"1-254-19"</f>
        <v>1-254-19</v>
      </c>
      <c r="F12673" t="s">
        <v>65</v>
      </c>
      <c r="G12673" t="s">
        <v>66</v>
      </c>
      <c r="H12673" t="s">
        <v>67</v>
      </c>
      <c r="S12673">
        <v>0</v>
      </c>
      <c r="T12673">
        <v>1</v>
      </c>
      <c r="U12673">
        <v>0</v>
      </c>
      <c r="V12673">
        <v>0</v>
      </c>
      <c r="W12673">
        <v>0</v>
      </c>
      <c r="X12673">
        <v>1</v>
      </c>
      <c r="Y12673">
        <v>0</v>
      </c>
      <c r="Z12673">
        <v>1</v>
      </c>
      <c r="AA12673">
        <v>0</v>
      </c>
      <c r="AB12673">
        <v>0</v>
      </c>
      <c r="AC12673">
        <v>1</v>
      </c>
      <c r="AD12673">
        <v>0</v>
      </c>
      <c r="AE12673">
        <v>0</v>
      </c>
      <c r="AF12673">
        <v>1</v>
      </c>
      <c r="AG12673">
        <v>0</v>
      </c>
      <c r="AH12673">
        <v>1</v>
      </c>
      <c r="AI12673">
        <v>1</v>
      </c>
      <c r="AJ12673">
        <v>1</v>
      </c>
      <c r="AK12673">
        <v>0</v>
      </c>
      <c r="AL12673">
        <v>1</v>
      </c>
      <c r="AM12673">
        <v>0</v>
      </c>
    </row>
    <row r="12674" spans="1:39" x14ac:dyDescent="0.2">
      <c r="A12674" t="str">
        <f>"12670"</f>
        <v>12670</v>
      </c>
      <c r="B12674" t="str">
        <f t="shared" si="705"/>
        <v>1</v>
      </c>
      <c r="C12674" t="str">
        <f t="shared" si="704"/>
        <v>254</v>
      </c>
      <c r="D12674" t="str">
        <f>"13"</f>
        <v>13</v>
      </c>
      <c r="E12674" t="str">
        <f>"1-254-13"</f>
        <v>1-254-13</v>
      </c>
      <c r="F12674" t="s">
        <v>65</v>
      </c>
      <c r="G12674" t="s">
        <v>66</v>
      </c>
      <c r="H12674" t="s">
        <v>67</v>
      </c>
      <c r="S12674">
        <v>0</v>
      </c>
      <c r="T12674">
        <v>1</v>
      </c>
      <c r="U12674">
        <v>0</v>
      </c>
      <c r="V12674">
        <v>0</v>
      </c>
      <c r="W12674">
        <v>1</v>
      </c>
      <c r="X12674">
        <v>0</v>
      </c>
      <c r="Y12674">
        <v>1</v>
      </c>
      <c r="Z12674">
        <v>0</v>
      </c>
      <c r="AA12674">
        <v>0</v>
      </c>
      <c r="AB12674">
        <v>0</v>
      </c>
      <c r="AC12674">
        <v>1</v>
      </c>
      <c r="AD12674">
        <v>1</v>
      </c>
      <c r="AE12674">
        <v>1</v>
      </c>
      <c r="AF12674">
        <v>1</v>
      </c>
      <c r="AG12674">
        <v>1</v>
      </c>
      <c r="AH12674">
        <v>1</v>
      </c>
      <c r="AI12674">
        <v>1</v>
      </c>
      <c r="AJ12674">
        <v>1</v>
      </c>
      <c r="AK12674">
        <v>1</v>
      </c>
      <c r="AL12674">
        <v>1</v>
      </c>
      <c r="AM12674">
        <v>1</v>
      </c>
    </row>
    <row r="12675" spans="1:39" x14ac:dyDescent="0.2">
      <c r="A12675" t="str">
        <f>"12671"</f>
        <v>12671</v>
      </c>
      <c r="B12675" t="str">
        <f t="shared" si="705"/>
        <v>1</v>
      </c>
      <c r="C12675" t="str">
        <f t="shared" si="704"/>
        <v>254</v>
      </c>
      <c r="D12675" t="str">
        <f>"20"</f>
        <v>20</v>
      </c>
      <c r="E12675" t="str">
        <f>"1-254-20"</f>
        <v>1-254-20</v>
      </c>
      <c r="F12675" t="s">
        <v>65</v>
      </c>
      <c r="G12675" t="s">
        <v>66</v>
      </c>
      <c r="H12675" t="s">
        <v>67</v>
      </c>
      <c r="S12675">
        <v>1</v>
      </c>
      <c r="T12675">
        <v>0</v>
      </c>
      <c r="U12675">
        <v>0</v>
      </c>
      <c r="V12675">
        <v>0</v>
      </c>
      <c r="W12675">
        <v>1</v>
      </c>
      <c r="X12675">
        <v>0</v>
      </c>
      <c r="Y12675">
        <v>1</v>
      </c>
      <c r="Z12675">
        <v>0</v>
      </c>
      <c r="AA12675">
        <v>0</v>
      </c>
      <c r="AB12675">
        <v>0</v>
      </c>
      <c r="AC12675">
        <v>0</v>
      </c>
      <c r="AD12675">
        <v>1</v>
      </c>
      <c r="AE12675">
        <v>1</v>
      </c>
      <c r="AF12675">
        <v>1</v>
      </c>
      <c r="AG12675">
        <v>1</v>
      </c>
      <c r="AH12675">
        <v>1</v>
      </c>
      <c r="AI12675">
        <v>1</v>
      </c>
      <c r="AJ12675">
        <v>1</v>
      </c>
      <c r="AK12675">
        <v>1</v>
      </c>
      <c r="AL12675">
        <v>1</v>
      </c>
      <c r="AM12675">
        <v>1</v>
      </c>
    </row>
    <row r="12676" spans="1:39" x14ac:dyDescent="0.2">
      <c r="A12676" t="str">
        <f>"12672"</f>
        <v>12672</v>
      </c>
      <c r="B12676" t="str">
        <f t="shared" si="705"/>
        <v>1</v>
      </c>
      <c r="C12676" t="str">
        <f t="shared" si="704"/>
        <v>254</v>
      </c>
      <c r="D12676" t="str">
        <f>"9"</f>
        <v>9</v>
      </c>
      <c r="E12676" t="str">
        <f>"1-254-9"</f>
        <v>1-254-9</v>
      </c>
      <c r="F12676" t="s">
        <v>65</v>
      </c>
      <c r="G12676" t="s">
        <v>66</v>
      </c>
      <c r="H12676" t="s">
        <v>67</v>
      </c>
      <c r="S12676">
        <v>1</v>
      </c>
      <c r="T12676">
        <v>0</v>
      </c>
      <c r="U12676">
        <v>0</v>
      </c>
      <c r="V12676">
        <v>0</v>
      </c>
      <c r="W12676">
        <v>1</v>
      </c>
      <c r="X12676">
        <v>0</v>
      </c>
      <c r="Y12676">
        <v>1</v>
      </c>
      <c r="Z12676">
        <v>0</v>
      </c>
      <c r="AA12676">
        <v>1</v>
      </c>
      <c r="AB12676">
        <v>0</v>
      </c>
      <c r="AC12676">
        <v>0</v>
      </c>
      <c r="AD12676">
        <v>0</v>
      </c>
      <c r="AE12676">
        <v>0</v>
      </c>
      <c r="AF12676">
        <v>0</v>
      </c>
      <c r="AG12676">
        <v>0</v>
      </c>
      <c r="AH12676">
        <v>0</v>
      </c>
      <c r="AI12676">
        <v>0</v>
      </c>
      <c r="AJ12676">
        <v>0</v>
      </c>
      <c r="AK12676">
        <v>0</v>
      </c>
      <c r="AL12676">
        <v>0</v>
      </c>
      <c r="AM12676">
        <v>0</v>
      </c>
    </row>
    <row r="12677" spans="1:39" x14ac:dyDescent="0.2">
      <c r="A12677" t="str">
        <f>"12673"</f>
        <v>12673</v>
      </c>
      <c r="B12677" t="str">
        <f t="shared" si="705"/>
        <v>1</v>
      </c>
      <c r="C12677" t="str">
        <f t="shared" si="704"/>
        <v>254</v>
      </c>
      <c r="D12677" t="str">
        <f>"40"</f>
        <v>40</v>
      </c>
      <c r="E12677" t="str">
        <f>"1-254-40"</f>
        <v>1-254-40</v>
      </c>
      <c r="F12677" t="s">
        <v>65</v>
      </c>
      <c r="G12677" t="s">
        <v>66</v>
      </c>
      <c r="H12677" t="s">
        <v>67</v>
      </c>
      <c r="S12677">
        <v>0</v>
      </c>
      <c r="T12677">
        <v>1</v>
      </c>
      <c r="U12677">
        <v>0</v>
      </c>
      <c r="V12677">
        <v>0</v>
      </c>
      <c r="W12677">
        <v>0</v>
      </c>
      <c r="X12677">
        <v>1</v>
      </c>
      <c r="Y12677">
        <v>0</v>
      </c>
      <c r="Z12677">
        <v>1</v>
      </c>
      <c r="AA12677">
        <v>1</v>
      </c>
      <c r="AB12677">
        <v>0</v>
      </c>
      <c r="AC12677">
        <v>0</v>
      </c>
      <c r="AD12677">
        <v>1</v>
      </c>
      <c r="AE12677">
        <v>1</v>
      </c>
      <c r="AF12677">
        <v>1</v>
      </c>
      <c r="AG12677">
        <v>1</v>
      </c>
      <c r="AH12677">
        <v>1</v>
      </c>
      <c r="AI12677">
        <v>1</v>
      </c>
      <c r="AJ12677">
        <v>1</v>
      </c>
      <c r="AK12677">
        <v>1</v>
      </c>
      <c r="AL12677">
        <v>1</v>
      </c>
      <c r="AM12677">
        <v>1</v>
      </c>
    </row>
    <row r="12678" spans="1:39" x14ac:dyDescent="0.2">
      <c r="A12678" t="str">
        <f>"12674"</f>
        <v>12674</v>
      </c>
      <c r="B12678" t="str">
        <f t="shared" si="705"/>
        <v>1</v>
      </c>
      <c r="C12678" t="str">
        <f t="shared" si="704"/>
        <v>254</v>
      </c>
      <c r="D12678" t="str">
        <f>"21"</f>
        <v>21</v>
      </c>
      <c r="E12678" t="str">
        <f>"1-254-21"</f>
        <v>1-254-21</v>
      </c>
      <c r="F12678" t="s">
        <v>65</v>
      </c>
      <c r="G12678" t="s">
        <v>66</v>
      </c>
      <c r="H12678" t="s">
        <v>67</v>
      </c>
      <c r="S12678">
        <v>1</v>
      </c>
      <c r="T12678">
        <v>0</v>
      </c>
      <c r="U12678">
        <v>0</v>
      </c>
      <c r="V12678">
        <v>0</v>
      </c>
      <c r="W12678">
        <v>1</v>
      </c>
      <c r="X12678">
        <v>0</v>
      </c>
      <c r="Y12678">
        <v>0</v>
      </c>
      <c r="Z12678">
        <v>1</v>
      </c>
      <c r="AA12678">
        <v>0</v>
      </c>
      <c r="AB12678">
        <v>1</v>
      </c>
      <c r="AC12678">
        <v>0</v>
      </c>
      <c r="AD12678">
        <v>0</v>
      </c>
      <c r="AE12678">
        <v>0</v>
      </c>
      <c r="AF12678">
        <v>0</v>
      </c>
      <c r="AG12678">
        <v>0</v>
      </c>
      <c r="AH12678">
        <v>0</v>
      </c>
      <c r="AI12678">
        <v>0</v>
      </c>
      <c r="AJ12678">
        <v>0</v>
      </c>
      <c r="AK12678">
        <v>0</v>
      </c>
      <c r="AL12678">
        <v>0</v>
      </c>
      <c r="AM12678">
        <v>0</v>
      </c>
    </row>
    <row r="12679" spans="1:39" x14ac:dyDescent="0.2">
      <c r="A12679" t="str">
        <f>"12675"</f>
        <v>12675</v>
      </c>
      <c r="B12679" t="str">
        <f t="shared" si="705"/>
        <v>1</v>
      </c>
      <c r="C12679" t="str">
        <f t="shared" si="704"/>
        <v>254</v>
      </c>
      <c r="D12679" t="str">
        <f>"6"</f>
        <v>6</v>
      </c>
      <c r="E12679" t="str">
        <f>"1-254-6"</f>
        <v>1-254-6</v>
      </c>
      <c r="F12679" t="s">
        <v>65</v>
      </c>
      <c r="G12679" t="s">
        <v>66</v>
      </c>
      <c r="H12679" t="s">
        <v>67</v>
      </c>
      <c r="S12679">
        <v>0</v>
      </c>
      <c r="T12679">
        <v>1</v>
      </c>
      <c r="U12679">
        <v>0</v>
      </c>
      <c r="V12679">
        <v>0</v>
      </c>
      <c r="W12679">
        <v>1</v>
      </c>
      <c r="X12679">
        <v>0</v>
      </c>
      <c r="Y12679">
        <v>0</v>
      </c>
      <c r="Z12679">
        <v>1</v>
      </c>
      <c r="AA12679">
        <v>1</v>
      </c>
      <c r="AB12679">
        <v>0</v>
      </c>
      <c r="AC12679">
        <v>0</v>
      </c>
      <c r="AD12679">
        <v>1</v>
      </c>
      <c r="AE12679">
        <v>1</v>
      </c>
      <c r="AF12679">
        <v>1</v>
      </c>
      <c r="AG12679">
        <v>1</v>
      </c>
      <c r="AH12679">
        <v>1</v>
      </c>
      <c r="AI12679">
        <v>1</v>
      </c>
      <c r="AJ12679">
        <v>1</v>
      </c>
      <c r="AK12679">
        <v>1</v>
      </c>
      <c r="AL12679">
        <v>1</v>
      </c>
      <c r="AM12679">
        <v>1</v>
      </c>
    </row>
    <row r="12680" spans="1:39" x14ac:dyDescent="0.2">
      <c r="A12680" t="str">
        <f>"12676"</f>
        <v>12676</v>
      </c>
      <c r="B12680" t="str">
        <f t="shared" si="705"/>
        <v>1</v>
      </c>
      <c r="C12680" t="str">
        <f t="shared" si="704"/>
        <v>254</v>
      </c>
      <c r="D12680" t="str">
        <f>"41"</f>
        <v>41</v>
      </c>
      <c r="E12680" t="str">
        <f>"1-254-41"</f>
        <v>1-254-41</v>
      </c>
      <c r="F12680" t="s">
        <v>65</v>
      </c>
      <c r="G12680" t="s">
        <v>66</v>
      </c>
      <c r="H12680" t="s">
        <v>67</v>
      </c>
      <c r="S12680">
        <v>1</v>
      </c>
      <c r="T12680">
        <v>0</v>
      </c>
      <c r="U12680">
        <v>0</v>
      </c>
      <c r="V12680">
        <v>0</v>
      </c>
      <c r="W12680">
        <v>1</v>
      </c>
      <c r="X12680">
        <v>0</v>
      </c>
      <c r="Y12680">
        <v>0</v>
      </c>
      <c r="Z12680">
        <v>1</v>
      </c>
      <c r="AA12680">
        <v>1</v>
      </c>
      <c r="AB12680">
        <v>0</v>
      </c>
      <c r="AC12680">
        <v>0</v>
      </c>
      <c r="AD12680">
        <v>1</v>
      </c>
      <c r="AE12680">
        <v>1</v>
      </c>
      <c r="AF12680">
        <v>1</v>
      </c>
      <c r="AG12680">
        <v>1</v>
      </c>
      <c r="AH12680">
        <v>0</v>
      </c>
      <c r="AI12680">
        <v>1</v>
      </c>
      <c r="AJ12680">
        <v>1</v>
      </c>
      <c r="AK12680">
        <v>1</v>
      </c>
      <c r="AL12680">
        <v>1</v>
      </c>
      <c r="AM12680">
        <v>1</v>
      </c>
    </row>
    <row r="12681" spans="1:39" x14ac:dyDescent="0.2">
      <c r="A12681" t="str">
        <f>"12677"</f>
        <v>12677</v>
      </c>
      <c r="B12681" t="str">
        <f t="shared" si="705"/>
        <v>1</v>
      </c>
      <c r="C12681" t="str">
        <f t="shared" si="704"/>
        <v>254</v>
      </c>
      <c r="D12681" t="str">
        <f>"24"</f>
        <v>24</v>
      </c>
      <c r="E12681" t="str">
        <f>"1-254-24"</f>
        <v>1-254-24</v>
      </c>
      <c r="F12681" t="s">
        <v>65</v>
      </c>
      <c r="G12681" t="s">
        <v>66</v>
      </c>
      <c r="H12681" t="s">
        <v>67</v>
      </c>
      <c r="S12681">
        <v>0</v>
      </c>
      <c r="T12681">
        <v>1</v>
      </c>
      <c r="U12681">
        <v>0</v>
      </c>
      <c r="V12681">
        <v>0</v>
      </c>
      <c r="W12681">
        <v>0</v>
      </c>
      <c r="X12681">
        <v>1</v>
      </c>
      <c r="Y12681">
        <v>0</v>
      </c>
      <c r="Z12681">
        <v>1</v>
      </c>
      <c r="AA12681">
        <v>0</v>
      </c>
      <c r="AB12681">
        <v>0</v>
      </c>
      <c r="AC12681">
        <v>1</v>
      </c>
      <c r="AD12681">
        <v>1</v>
      </c>
      <c r="AE12681">
        <v>1</v>
      </c>
      <c r="AF12681">
        <v>1</v>
      </c>
      <c r="AG12681">
        <v>1</v>
      </c>
      <c r="AH12681">
        <v>1</v>
      </c>
      <c r="AI12681">
        <v>1</v>
      </c>
      <c r="AJ12681">
        <v>1</v>
      </c>
      <c r="AK12681">
        <v>1</v>
      </c>
      <c r="AL12681">
        <v>1</v>
      </c>
      <c r="AM12681">
        <v>1</v>
      </c>
    </row>
    <row r="12682" spans="1:39" x14ac:dyDescent="0.2">
      <c r="A12682" t="str">
        <f>"12678"</f>
        <v>12678</v>
      </c>
      <c r="B12682" t="str">
        <f t="shared" si="705"/>
        <v>1</v>
      </c>
      <c r="C12682" t="str">
        <f t="shared" si="704"/>
        <v>254</v>
      </c>
      <c r="D12682" t="str">
        <f>"7"</f>
        <v>7</v>
      </c>
      <c r="E12682" t="str">
        <f>"1-254-7"</f>
        <v>1-254-7</v>
      </c>
      <c r="F12682" t="s">
        <v>65</v>
      </c>
      <c r="G12682" t="s">
        <v>66</v>
      </c>
      <c r="H12682" t="s">
        <v>67</v>
      </c>
      <c r="S12682">
        <v>1</v>
      </c>
      <c r="T12682">
        <v>0</v>
      </c>
      <c r="U12682">
        <v>0</v>
      </c>
      <c r="V12682">
        <v>0</v>
      </c>
      <c r="W12682">
        <v>1</v>
      </c>
      <c r="X12682">
        <v>0</v>
      </c>
      <c r="Y12682">
        <v>1</v>
      </c>
      <c r="Z12682">
        <v>0</v>
      </c>
      <c r="AA12682">
        <v>1</v>
      </c>
      <c r="AB12682">
        <v>0</v>
      </c>
      <c r="AC12682">
        <v>0</v>
      </c>
      <c r="AD12682">
        <v>1</v>
      </c>
      <c r="AE12682">
        <v>1</v>
      </c>
      <c r="AF12682">
        <v>1</v>
      </c>
      <c r="AG12682">
        <v>1</v>
      </c>
      <c r="AH12682">
        <v>1</v>
      </c>
      <c r="AI12682">
        <v>1</v>
      </c>
      <c r="AJ12682">
        <v>1</v>
      </c>
      <c r="AK12682">
        <v>1</v>
      </c>
      <c r="AL12682">
        <v>1</v>
      </c>
      <c r="AM12682">
        <v>1</v>
      </c>
    </row>
    <row r="12683" spans="1:39" x14ac:dyDescent="0.2">
      <c r="A12683" t="str">
        <f>"12679"</f>
        <v>12679</v>
      </c>
      <c r="B12683" t="str">
        <f t="shared" si="705"/>
        <v>1</v>
      </c>
      <c r="C12683" t="str">
        <f t="shared" si="704"/>
        <v>254</v>
      </c>
      <c r="D12683" t="str">
        <f>"42"</f>
        <v>42</v>
      </c>
      <c r="E12683" t="str">
        <f>"1-254-42"</f>
        <v>1-254-42</v>
      </c>
      <c r="F12683" t="s">
        <v>65</v>
      </c>
      <c r="G12683" t="s">
        <v>66</v>
      </c>
      <c r="H12683" t="s">
        <v>67</v>
      </c>
      <c r="S12683">
        <v>1</v>
      </c>
      <c r="T12683">
        <v>0</v>
      </c>
      <c r="U12683">
        <v>0</v>
      </c>
      <c r="V12683">
        <v>0</v>
      </c>
      <c r="W12683">
        <v>1</v>
      </c>
      <c r="X12683">
        <v>0</v>
      </c>
      <c r="Y12683">
        <v>0</v>
      </c>
      <c r="Z12683">
        <v>1</v>
      </c>
      <c r="AA12683">
        <v>1</v>
      </c>
      <c r="AB12683">
        <v>0</v>
      </c>
      <c r="AC12683">
        <v>0</v>
      </c>
      <c r="AD12683">
        <v>1</v>
      </c>
      <c r="AE12683">
        <v>1</v>
      </c>
      <c r="AF12683">
        <v>1</v>
      </c>
      <c r="AG12683">
        <v>1</v>
      </c>
      <c r="AH12683">
        <v>0</v>
      </c>
      <c r="AI12683">
        <v>1</v>
      </c>
      <c r="AJ12683">
        <v>1</v>
      </c>
      <c r="AK12683">
        <v>1</v>
      </c>
      <c r="AL12683">
        <v>1</v>
      </c>
      <c r="AM12683">
        <v>1</v>
      </c>
    </row>
    <row r="12684" spans="1:39" x14ac:dyDescent="0.2">
      <c r="A12684" t="str">
        <f>"12680"</f>
        <v>12680</v>
      </c>
      <c r="B12684" t="str">
        <f t="shared" si="705"/>
        <v>1</v>
      </c>
      <c r="C12684" t="str">
        <f t="shared" si="704"/>
        <v>254</v>
      </c>
      <c r="D12684" t="str">
        <f>"25"</f>
        <v>25</v>
      </c>
      <c r="E12684" t="str">
        <f>"1-254-25"</f>
        <v>1-254-25</v>
      </c>
      <c r="F12684" t="s">
        <v>65</v>
      </c>
      <c r="G12684" t="s">
        <v>66</v>
      </c>
      <c r="H12684" t="s">
        <v>67</v>
      </c>
      <c r="S12684">
        <v>1</v>
      </c>
      <c r="T12684">
        <v>0</v>
      </c>
      <c r="U12684">
        <v>0</v>
      </c>
      <c r="V12684">
        <v>0</v>
      </c>
      <c r="W12684">
        <v>1</v>
      </c>
      <c r="X12684">
        <v>0</v>
      </c>
      <c r="Y12684">
        <v>1</v>
      </c>
      <c r="Z12684">
        <v>0</v>
      </c>
      <c r="AA12684">
        <v>0</v>
      </c>
      <c r="AB12684">
        <v>1</v>
      </c>
      <c r="AC12684">
        <v>0</v>
      </c>
      <c r="AD12684">
        <v>1</v>
      </c>
      <c r="AE12684">
        <v>1</v>
      </c>
      <c r="AF12684">
        <v>1</v>
      </c>
      <c r="AG12684">
        <v>1</v>
      </c>
      <c r="AH12684">
        <v>1</v>
      </c>
      <c r="AI12684">
        <v>1</v>
      </c>
      <c r="AJ12684">
        <v>1</v>
      </c>
      <c r="AK12684">
        <v>1</v>
      </c>
      <c r="AL12684">
        <v>1</v>
      </c>
      <c r="AM12684">
        <v>1</v>
      </c>
    </row>
    <row r="12685" spans="1:39" x14ac:dyDescent="0.2">
      <c r="A12685" t="str">
        <f>"12681"</f>
        <v>12681</v>
      </c>
      <c r="B12685" t="str">
        <f t="shared" si="705"/>
        <v>1</v>
      </c>
      <c r="C12685" t="str">
        <f t="shared" si="704"/>
        <v>254</v>
      </c>
      <c r="D12685" t="str">
        <f>"11"</f>
        <v>11</v>
      </c>
      <c r="E12685" t="str">
        <f>"1-254-11"</f>
        <v>1-254-11</v>
      </c>
      <c r="F12685" t="s">
        <v>65</v>
      </c>
      <c r="G12685" t="s">
        <v>66</v>
      </c>
      <c r="H12685" t="s">
        <v>67</v>
      </c>
      <c r="S12685">
        <v>0</v>
      </c>
      <c r="T12685">
        <v>1</v>
      </c>
      <c r="U12685">
        <v>0</v>
      </c>
      <c r="V12685">
        <v>0</v>
      </c>
      <c r="W12685">
        <v>0</v>
      </c>
      <c r="X12685">
        <v>1</v>
      </c>
      <c r="Y12685">
        <v>0</v>
      </c>
      <c r="Z12685">
        <v>1</v>
      </c>
      <c r="AA12685">
        <v>0</v>
      </c>
      <c r="AB12685">
        <v>0</v>
      </c>
      <c r="AC12685">
        <v>1</v>
      </c>
      <c r="AD12685">
        <v>1</v>
      </c>
      <c r="AE12685">
        <v>1</v>
      </c>
      <c r="AF12685">
        <v>1</v>
      </c>
      <c r="AG12685">
        <v>1</v>
      </c>
      <c r="AH12685">
        <v>1</v>
      </c>
      <c r="AI12685">
        <v>1</v>
      </c>
      <c r="AJ12685">
        <v>1</v>
      </c>
      <c r="AK12685">
        <v>1</v>
      </c>
      <c r="AL12685">
        <v>1</v>
      </c>
      <c r="AM12685">
        <v>1</v>
      </c>
    </row>
    <row r="12686" spans="1:39" x14ac:dyDescent="0.2">
      <c r="A12686" t="str">
        <f>"12682"</f>
        <v>12682</v>
      </c>
      <c r="B12686" t="str">
        <f t="shared" si="705"/>
        <v>1</v>
      </c>
      <c r="C12686" t="str">
        <f t="shared" si="704"/>
        <v>254</v>
      </c>
      <c r="D12686" t="str">
        <f>"43"</f>
        <v>43</v>
      </c>
      <c r="E12686" t="str">
        <f>"1-254-43"</f>
        <v>1-254-43</v>
      </c>
      <c r="F12686" t="s">
        <v>65</v>
      </c>
      <c r="G12686" t="s">
        <v>66</v>
      </c>
      <c r="H12686" t="s">
        <v>67</v>
      </c>
      <c r="S12686">
        <v>0</v>
      </c>
      <c r="T12686">
        <v>1</v>
      </c>
      <c r="U12686">
        <v>0</v>
      </c>
      <c r="V12686">
        <v>0</v>
      </c>
      <c r="W12686">
        <v>0</v>
      </c>
      <c r="X12686">
        <v>1</v>
      </c>
      <c r="Y12686">
        <v>0</v>
      </c>
      <c r="Z12686">
        <v>1</v>
      </c>
      <c r="AA12686">
        <v>0</v>
      </c>
      <c r="AB12686">
        <v>0</v>
      </c>
      <c r="AC12686">
        <v>1</v>
      </c>
      <c r="AD12686">
        <v>1</v>
      </c>
      <c r="AE12686">
        <v>1</v>
      </c>
      <c r="AF12686">
        <v>1</v>
      </c>
      <c r="AG12686">
        <v>1</v>
      </c>
      <c r="AH12686">
        <v>1</v>
      </c>
      <c r="AI12686">
        <v>1</v>
      </c>
      <c r="AJ12686">
        <v>1</v>
      </c>
      <c r="AK12686">
        <v>1</v>
      </c>
      <c r="AL12686">
        <v>1</v>
      </c>
      <c r="AM12686">
        <v>1</v>
      </c>
    </row>
    <row r="12687" spans="1:39" x14ac:dyDescent="0.2">
      <c r="A12687" t="str">
        <f>"12683"</f>
        <v>12683</v>
      </c>
      <c r="B12687" t="str">
        <f t="shared" si="705"/>
        <v>1</v>
      </c>
      <c r="C12687" t="str">
        <f t="shared" ref="C12687:C12704" si="706">"254"</f>
        <v>254</v>
      </c>
      <c r="D12687" t="str">
        <f>"26"</f>
        <v>26</v>
      </c>
      <c r="E12687" t="str">
        <f>"1-254-26"</f>
        <v>1-254-26</v>
      </c>
      <c r="F12687" t="s">
        <v>65</v>
      </c>
      <c r="G12687" t="s">
        <v>66</v>
      </c>
      <c r="H12687" t="s">
        <v>67</v>
      </c>
      <c r="S12687">
        <v>1</v>
      </c>
      <c r="T12687">
        <v>0</v>
      </c>
      <c r="U12687">
        <v>0</v>
      </c>
      <c r="V12687">
        <v>0</v>
      </c>
      <c r="W12687">
        <v>1</v>
      </c>
      <c r="X12687">
        <v>0</v>
      </c>
      <c r="Y12687">
        <v>1</v>
      </c>
      <c r="Z12687">
        <v>0</v>
      </c>
      <c r="AA12687">
        <v>1</v>
      </c>
      <c r="AB12687">
        <v>0</v>
      </c>
      <c r="AC12687">
        <v>0</v>
      </c>
      <c r="AD12687">
        <v>1</v>
      </c>
      <c r="AE12687">
        <v>1</v>
      </c>
      <c r="AF12687">
        <v>1</v>
      </c>
      <c r="AG12687">
        <v>1</v>
      </c>
      <c r="AH12687">
        <v>1</v>
      </c>
      <c r="AI12687">
        <v>1</v>
      </c>
      <c r="AJ12687">
        <v>1</v>
      </c>
      <c r="AK12687">
        <v>1</v>
      </c>
      <c r="AL12687">
        <v>1</v>
      </c>
      <c r="AM12687">
        <v>1</v>
      </c>
    </row>
    <row r="12688" spans="1:39" x14ac:dyDescent="0.2">
      <c r="A12688" t="str">
        <f>"12684"</f>
        <v>12684</v>
      </c>
      <c r="B12688" t="str">
        <f t="shared" si="705"/>
        <v>1</v>
      </c>
      <c r="C12688" t="str">
        <f t="shared" si="706"/>
        <v>254</v>
      </c>
      <c r="D12688" t="str">
        <f>"8"</f>
        <v>8</v>
      </c>
      <c r="E12688" t="str">
        <f>"1-254-8"</f>
        <v>1-254-8</v>
      </c>
      <c r="F12688" t="s">
        <v>65</v>
      </c>
      <c r="G12688" t="s">
        <v>66</v>
      </c>
      <c r="H12688" t="s">
        <v>67</v>
      </c>
      <c r="S12688">
        <v>1</v>
      </c>
      <c r="T12688">
        <v>0</v>
      </c>
      <c r="U12688">
        <v>0</v>
      </c>
      <c r="V12688">
        <v>0</v>
      </c>
      <c r="W12688">
        <v>0</v>
      </c>
      <c r="X12688">
        <v>1</v>
      </c>
      <c r="Y12688">
        <v>1</v>
      </c>
      <c r="Z12688">
        <v>0</v>
      </c>
      <c r="AA12688">
        <v>0</v>
      </c>
      <c r="AB12688">
        <v>0</v>
      </c>
      <c r="AC12688">
        <v>1</v>
      </c>
      <c r="AD12688">
        <v>0</v>
      </c>
      <c r="AE12688">
        <v>0</v>
      </c>
      <c r="AF12688">
        <v>0</v>
      </c>
      <c r="AG12688">
        <v>0</v>
      </c>
      <c r="AH12688">
        <v>0</v>
      </c>
      <c r="AI12688">
        <v>0</v>
      </c>
      <c r="AJ12688">
        <v>0</v>
      </c>
      <c r="AK12688">
        <v>0</v>
      </c>
      <c r="AL12688">
        <v>0</v>
      </c>
      <c r="AM12688">
        <v>0</v>
      </c>
    </row>
    <row r="12689" spans="1:39" x14ac:dyDescent="0.2">
      <c r="A12689" t="str">
        <f>"12685"</f>
        <v>12685</v>
      </c>
      <c r="B12689" t="str">
        <f t="shared" si="705"/>
        <v>1</v>
      </c>
      <c r="C12689" t="str">
        <f t="shared" si="706"/>
        <v>254</v>
      </c>
      <c r="D12689" t="str">
        <f>"44"</f>
        <v>44</v>
      </c>
      <c r="E12689" t="str">
        <f>"1-254-44"</f>
        <v>1-254-44</v>
      </c>
      <c r="F12689" t="s">
        <v>65</v>
      </c>
      <c r="G12689" t="s">
        <v>66</v>
      </c>
      <c r="H12689" t="s">
        <v>67</v>
      </c>
      <c r="S12689">
        <v>1</v>
      </c>
      <c r="T12689">
        <v>0</v>
      </c>
      <c r="U12689">
        <v>0</v>
      </c>
      <c r="V12689">
        <v>0</v>
      </c>
      <c r="W12689">
        <v>1</v>
      </c>
      <c r="X12689">
        <v>0</v>
      </c>
      <c r="Y12689">
        <v>1</v>
      </c>
      <c r="Z12689">
        <v>0</v>
      </c>
      <c r="AA12689">
        <v>1</v>
      </c>
      <c r="AB12689">
        <v>0</v>
      </c>
      <c r="AC12689">
        <v>0</v>
      </c>
      <c r="AD12689">
        <v>1</v>
      </c>
      <c r="AE12689">
        <v>1</v>
      </c>
      <c r="AF12689">
        <v>1</v>
      </c>
      <c r="AG12689">
        <v>1</v>
      </c>
      <c r="AH12689">
        <v>1</v>
      </c>
      <c r="AI12689">
        <v>1</v>
      </c>
      <c r="AJ12689">
        <v>1</v>
      </c>
      <c r="AK12689">
        <v>1</v>
      </c>
      <c r="AL12689">
        <v>1</v>
      </c>
      <c r="AM12689">
        <v>1</v>
      </c>
    </row>
    <row r="12690" spans="1:39" x14ac:dyDescent="0.2">
      <c r="A12690" t="str">
        <f>"12686"</f>
        <v>12686</v>
      </c>
      <c r="B12690" t="str">
        <f t="shared" si="705"/>
        <v>1</v>
      </c>
      <c r="C12690" t="str">
        <f t="shared" si="706"/>
        <v>254</v>
      </c>
      <c r="D12690" t="str">
        <f>"27"</f>
        <v>27</v>
      </c>
      <c r="E12690" t="str">
        <f>"1-254-27"</f>
        <v>1-254-27</v>
      </c>
      <c r="F12690" t="s">
        <v>65</v>
      </c>
      <c r="G12690" t="s">
        <v>66</v>
      </c>
      <c r="H12690" t="s">
        <v>67</v>
      </c>
      <c r="S12690">
        <v>1</v>
      </c>
      <c r="T12690">
        <v>0</v>
      </c>
      <c r="U12690">
        <v>0</v>
      </c>
      <c r="V12690">
        <v>0</v>
      </c>
      <c r="W12690">
        <v>1</v>
      </c>
      <c r="X12690">
        <v>0</v>
      </c>
      <c r="Y12690">
        <v>1</v>
      </c>
      <c r="Z12690">
        <v>0</v>
      </c>
      <c r="AA12690">
        <v>1</v>
      </c>
      <c r="AB12690">
        <v>0</v>
      </c>
      <c r="AC12690">
        <v>0</v>
      </c>
      <c r="AD12690">
        <v>1</v>
      </c>
      <c r="AE12690">
        <v>1</v>
      </c>
      <c r="AF12690">
        <v>1</v>
      </c>
      <c r="AG12690">
        <v>1</v>
      </c>
      <c r="AH12690">
        <v>1</v>
      </c>
      <c r="AI12690">
        <v>1</v>
      </c>
      <c r="AJ12690">
        <v>1</v>
      </c>
      <c r="AK12690">
        <v>1</v>
      </c>
      <c r="AL12690">
        <v>1</v>
      </c>
      <c r="AM12690">
        <v>1</v>
      </c>
    </row>
    <row r="12691" spans="1:39" x14ac:dyDescent="0.2">
      <c r="A12691" t="str">
        <f>"12687"</f>
        <v>12687</v>
      </c>
      <c r="B12691" t="str">
        <f t="shared" si="705"/>
        <v>1</v>
      </c>
      <c r="C12691" t="str">
        <f t="shared" si="706"/>
        <v>254</v>
      </c>
      <c r="D12691" t="str">
        <f>"4"</f>
        <v>4</v>
      </c>
      <c r="E12691" t="str">
        <f>"1-254-4"</f>
        <v>1-254-4</v>
      </c>
      <c r="F12691" t="s">
        <v>65</v>
      </c>
      <c r="G12691" t="s">
        <v>66</v>
      </c>
      <c r="H12691" t="s">
        <v>67</v>
      </c>
      <c r="S12691">
        <v>1</v>
      </c>
      <c r="T12691">
        <v>0</v>
      </c>
      <c r="U12691">
        <v>0</v>
      </c>
      <c r="V12691">
        <v>0</v>
      </c>
      <c r="W12691">
        <v>1</v>
      </c>
      <c r="X12691">
        <v>0</v>
      </c>
      <c r="Y12691">
        <v>0</v>
      </c>
      <c r="Z12691">
        <v>1</v>
      </c>
      <c r="AA12691">
        <v>1</v>
      </c>
      <c r="AB12691">
        <v>0</v>
      </c>
      <c r="AC12691">
        <v>0</v>
      </c>
      <c r="AD12691">
        <v>0</v>
      </c>
      <c r="AE12691">
        <v>0</v>
      </c>
      <c r="AF12691">
        <v>0</v>
      </c>
      <c r="AG12691">
        <v>0</v>
      </c>
      <c r="AH12691">
        <v>0</v>
      </c>
      <c r="AI12691">
        <v>0</v>
      </c>
      <c r="AJ12691">
        <v>0</v>
      </c>
      <c r="AK12691">
        <v>0</v>
      </c>
      <c r="AL12691">
        <v>1</v>
      </c>
      <c r="AM12691">
        <v>0</v>
      </c>
    </row>
    <row r="12692" spans="1:39" x14ac:dyDescent="0.2">
      <c r="A12692" t="str">
        <f>"12688"</f>
        <v>12688</v>
      </c>
      <c r="B12692" t="str">
        <f t="shared" si="705"/>
        <v>1</v>
      </c>
      <c r="C12692" t="str">
        <f t="shared" si="706"/>
        <v>254</v>
      </c>
      <c r="D12692" t="str">
        <f>"45"</f>
        <v>45</v>
      </c>
      <c r="E12692" t="str">
        <f>"1-254-45"</f>
        <v>1-254-45</v>
      </c>
      <c r="F12692" t="s">
        <v>65</v>
      </c>
      <c r="G12692" t="s">
        <v>66</v>
      </c>
      <c r="H12692" t="s">
        <v>67</v>
      </c>
      <c r="S12692">
        <v>0</v>
      </c>
      <c r="T12692">
        <v>0</v>
      </c>
      <c r="U12692">
        <v>0</v>
      </c>
      <c r="V12692">
        <v>0</v>
      </c>
      <c r="W12692">
        <v>1</v>
      </c>
      <c r="X12692">
        <v>0</v>
      </c>
      <c r="Y12692">
        <v>1</v>
      </c>
      <c r="Z12692">
        <v>0</v>
      </c>
      <c r="AA12692">
        <v>1</v>
      </c>
      <c r="AB12692">
        <v>0</v>
      </c>
      <c r="AC12692">
        <v>0</v>
      </c>
      <c r="AD12692">
        <v>1</v>
      </c>
      <c r="AE12692">
        <v>1</v>
      </c>
      <c r="AF12692">
        <v>1</v>
      </c>
      <c r="AG12692">
        <v>1</v>
      </c>
      <c r="AH12692">
        <v>1</v>
      </c>
      <c r="AI12692">
        <v>1</v>
      </c>
      <c r="AJ12692">
        <v>1</v>
      </c>
      <c r="AK12692">
        <v>1</v>
      </c>
      <c r="AL12692">
        <v>1</v>
      </c>
      <c r="AM12692">
        <v>1</v>
      </c>
    </row>
    <row r="12693" spans="1:39" x14ac:dyDescent="0.2">
      <c r="A12693" t="str">
        <f>"12689"</f>
        <v>12689</v>
      </c>
      <c r="B12693" t="str">
        <f t="shared" si="705"/>
        <v>1</v>
      </c>
      <c r="C12693" t="str">
        <f t="shared" si="706"/>
        <v>254</v>
      </c>
      <c r="D12693" t="str">
        <f>"29"</f>
        <v>29</v>
      </c>
      <c r="E12693" t="str">
        <f>"1-254-29"</f>
        <v>1-254-29</v>
      </c>
      <c r="F12693" t="s">
        <v>65</v>
      </c>
      <c r="G12693" t="s">
        <v>66</v>
      </c>
      <c r="H12693" t="s">
        <v>67</v>
      </c>
      <c r="S12693">
        <v>1</v>
      </c>
      <c r="T12693">
        <v>0</v>
      </c>
      <c r="U12693">
        <v>0</v>
      </c>
      <c r="V12693">
        <v>0</v>
      </c>
      <c r="W12693">
        <v>1</v>
      </c>
      <c r="X12693">
        <v>0</v>
      </c>
      <c r="Y12693">
        <v>1</v>
      </c>
      <c r="Z12693">
        <v>0</v>
      </c>
      <c r="AA12693">
        <v>0</v>
      </c>
      <c r="AB12693">
        <v>1</v>
      </c>
      <c r="AC12693">
        <v>0</v>
      </c>
      <c r="AD12693">
        <v>1</v>
      </c>
      <c r="AE12693">
        <v>1</v>
      </c>
      <c r="AF12693">
        <v>1</v>
      </c>
      <c r="AG12693">
        <v>1</v>
      </c>
      <c r="AH12693">
        <v>1</v>
      </c>
      <c r="AI12693">
        <v>1</v>
      </c>
      <c r="AJ12693">
        <v>1</v>
      </c>
      <c r="AK12693">
        <v>1</v>
      </c>
      <c r="AL12693">
        <v>1</v>
      </c>
      <c r="AM12693">
        <v>1</v>
      </c>
    </row>
    <row r="12694" spans="1:39" x14ac:dyDescent="0.2">
      <c r="A12694" t="str">
        <f>"12690"</f>
        <v>12690</v>
      </c>
      <c r="B12694" t="str">
        <f t="shared" si="705"/>
        <v>1</v>
      </c>
      <c r="C12694" t="str">
        <f t="shared" si="706"/>
        <v>254</v>
      </c>
      <c r="D12694" t="str">
        <f>"1"</f>
        <v>1</v>
      </c>
      <c r="E12694" t="str">
        <f>"1-254-1"</f>
        <v>1-254-1</v>
      </c>
      <c r="F12694" t="s">
        <v>65</v>
      </c>
      <c r="G12694" t="s">
        <v>66</v>
      </c>
      <c r="H12694" t="s">
        <v>67</v>
      </c>
      <c r="S12694">
        <v>1</v>
      </c>
      <c r="T12694">
        <v>0</v>
      </c>
      <c r="U12694">
        <v>0</v>
      </c>
      <c r="V12694">
        <v>0</v>
      </c>
      <c r="W12694">
        <v>1</v>
      </c>
      <c r="X12694">
        <v>0</v>
      </c>
      <c r="Y12694">
        <v>1</v>
      </c>
      <c r="Z12694">
        <v>0</v>
      </c>
      <c r="AA12694">
        <v>1</v>
      </c>
      <c r="AB12694">
        <v>0</v>
      </c>
      <c r="AC12694">
        <v>0</v>
      </c>
      <c r="AD12694">
        <v>1</v>
      </c>
      <c r="AE12694">
        <v>1</v>
      </c>
      <c r="AF12694">
        <v>1</v>
      </c>
      <c r="AG12694">
        <v>1</v>
      </c>
      <c r="AH12694">
        <v>1</v>
      </c>
      <c r="AI12694">
        <v>1</v>
      </c>
      <c r="AJ12694">
        <v>1</v>
      </c>
      <c r="AK12694">
        <v>1</v>
      </c>
      <c r="AL12694">
        <v>1</v>
      </c>
      <c r="AM12694">
        <v>1</v>
      </c>
    </row>
    <row r="12695" spans="1:39" x14ac:dyDescent="0.2">
      <c r="A12695" t="str">
        <f>"12691"</f>
        <v>12691</v>
      </c>
      <c r="B12695" t="str">
        <f t="shared" si="705"/>
        <v>1</v>
      </c>
      <c r="C12695" t="str">
        <f t="shared" si="706"/>
        <v>254</v>
      </c>
      <c r="D12695" t="str">
        <f>"49"</f>
        <v>49</v>
      </c>
      <c r="E12695" t="str">
        <f>"1-254-49"</f>
        <v>1-254-49</v>
      </c>
      <c r="F12695" t="s">
        <v>65</v>
      </c>
      <c r="G12695" t="s">
        <v>66</v>
      </c>
      <c r="H12695" t="s">
        <v>67</v>
      </c>
      <c r="S12695">
        <v>0</v>
      </c>
      <c r="T12695">
        <v>1</v>
      </c>
      <c r="U12695">
        <v>0</v>
      </c>
      <c r="V12695">
        <v>0</v>
      </c>
      <c r="W12695">
        <v>1</v>
      </c>
      <c r="X12695">
        <v>0</v>
      </c>
      <c r="Y12695">
        <v>1</v>
      </c>
      <c r="Z12695">
        <v>0</v>
      </c>
      <c r="AA12695">
        <v>0</v>
      </c>
      <c r="AB12695">
        <v>1</v>
      </c>
      <c r="AC12695">
        <v>0</v>
      </c>
      <c r="AD12695">
        <v>1</v>
      </c>
      <c r="AE12695">
        <v>1</v>
      </c>
      <c r="AF12695">
        <v>0</v>
      </c>
      <c r="AG12695">
        <v>1</v>
      </c>
      <c r="AH12695">
        <v>1</v>
      </c>
      <c r="AI12695">
        <v>1</v>
      </c>
      <c r="AJ12695">
        <v>1</v>
      </c>
      <c r="AK12695">
        <v>0</v>
      </c>
      <c r="AL12695">
        <v>1</v>
      </c>
      <c r="AM12695">
        <v>1</v>
      </c>
    </row>
    <row r="12696" spans="1:39" x14ac:dyDescent="0.2">
      <c r="A12696" t="str">
        <f>"12692"</f>
        <v>12692</v>
      </c>
      <c r="B12696" t="str">
        <f t="shared" si="705"/>
        <v>1</v>
      </c>
      <c r="C12696" t="str">
        <f t="shared" si="706"/>
        <v>254</v>
      </c>
      <c r="D12696" t="str">
        <f>"30"</f>
        <v>30</v>
      </c>
      <c r="E12696" t="str">
        <f>"1-254-30"</f>
        <v>1-254-30</v>
      </c>
      <c r="F12696" t="s">
        <v>65</v>
      </c>
      <c r="G12696" t="s">
        <v>66</v>
      </c>
      <c r="H12696" t="s">
        <v>67</v>
      </c>
      <c r="S12696">
        <v>0</v>
      </c>
      <c r="T12696">
        <v>1</v>
      </c>
      <c r="U12696">
        <v>0</v>
      </c>
      <c r="V12696">
        <v>0</v>
      </c>
      <c r="W12696">
        <v>1</v>
      </c>
      <c r="X12696">
        <v>0</v>
      </c>
      <c r="Y12696">
        <v>0</v>
      </c>
      <c r="Z12696">
        <v>1</v>
      </c>
      <c r="AA12696">
        <v>0</v>
      </c>
      <c r="AB12696">
        <v>0</v>
      </c>
      <c r="AC12696">
        <v>1</v>
      </c>
      <c r="AD12696">
        <v>1</v>
      </c>
      <c r="AE12696">
        <v>0</v>
      </c>
      <c r="AF12696">
        <v>0</v>
      </c>
      <c r="AG12696">
        <v>0</v>
      </c>
      <c r="AH12696">
        <v>0</v>
      </c>
      <c r="AI12696">
        <v>0</v>
      </c>
      <c r="AJ12696">
        <v>0</v>
      </c>
      <c r="AK12696">
        <v>0</v>
      </c>
      <c r="AL12696">
        <v>0</v>
      </c>
      <c r="AM12696">
        <v>0</v>
      </c>
    </row>
    <row r="12697" spans="1:39" x14ac:dyDescent="0.2">
      <c r="A12697" t="str">
        <f>"12693"</f>
        <v>12693</v>
      </c>
      <c r="B12697" t="str">
        <f t="shared" si="705"/>
        <v>1</v>
      </c>
      <c r="C12697" t="str">
        <f t="shared" si="706"/>
        <v>254</v>
      </c>
      <c r="D12697" t="str">
        <f>"10"</f>
        <v>10</v>
      </c>
      <c r="E12697" t="str">
        <f>"1-254-10"</f>
        <v>1-254-10</v>
      </c>
      <c r="F12697" t="s">
        <v>65</v>
      </c>
      <c r="G12697" t="s">
        <v>66</v>
      </c>
      <c r="H12697" t="s">
        <v>67</v>
      </c>
      <c r="S12697">
        <v>0</v>
      </c>
      <c r="T12697">
        <v>1</v>
      </c>
      <c r="U12697">
        <v>0</v>
      </c>
      <c r="V12697">
        <v>0</v>
      </c>
      <c r="W12697">
        <v>1</v>
      </c>
      <c r="X12697">
        <v>0</v>
      </c>
      <c r="Y12697">
        <v>1</v>
      </c>
      <c r="Z12697">
        <v>0</v>
      </c>
      <c r="AA12697">
        <v>1</v>
      </c>
      <c r="AB12697">
        <v>0</v>
      </c>
      <c r="AC12697">
        <v>0</v>
      </c>
      <c r="AD12697">
        <v>1</v>
      </c>
      <c r="AE12697">
        <v>1</v>
      </c>
      <c r="AF12697">
        <v>1</v>
      </c>
      <c r="AG12697">
        <v>1</v>
      </c>
      <c r="AH12697">
        <v>1</v>
      </c>
      <c r="AI12697">
        <v>1</v>
      </c>
      <c r="AJ12697">
        <v>1</v>
      </c>
      <c r="AK12697">
        <v>1</v>
      </c>
      <c r="AL12697">
        <v>1</v>
      </c>
      <c r="AM12697">
        <v>1</v>
      </c>
    </row>
    <row r="12698" spans="1:39" x14ac:dyDescent="0.2">
      <c r="A12698" t="str">
        <f>"12694"</f>
        <v>12694</v>
      </c>
      <c r="B12698" t="str">
        <f t="shared" si="705"/>
        <v>1</v>
      </c>
      <c r="C12698" t="str">
        <f t="shared" si="706"/>
        <v>254</v>
      </c>
      <c r="D12698" t="str">
        <f>"46"</f>
        <v>46</v>
      </c>
      <c r="E12698" t="str">
        <f>"1-254-46"</f>
        <v>1-254-46</v>
      </c>
      <c r="F12698" t="s">
        <v>65</v>
      </c>
      <c r="G12698" t="s">
        <v>66</v>
      </c>
      <c r="H12698" t="s">
        <v>67</v>
      </c>
      <c r="S12698">
        <v>1</v>
      </c>
      <c r="T12698">
        <v>0</v>
      </c>
      <c r="U12698">
        <v>0</v>
      </c>
      <c r="V12698">
        <v>0</v>
      </c>
      <c r="W12698">
        <v>1</v>
      </c>
      <c r="X12698">
        <v>0</v>
      </c>
      <c r="Y12698">
        <v>1</v>
      </c>
      <c r="Z12698">
        <v>0</v>
      </c>
      <c r="AA12698">
        <v>1</v>
      </c>
      <c r="AB12698">
        <v>0</v>
      </c>
      <c r="AC12698">
        <v>0</v>
      </c>
      <c r="AD12698">
        <v>1</v>
      </c>
      <c r="AE12698">
        <v>1</v>
      </c>
      <c r="AF12698">
        <v>1</v>
      </c>
      <c r="AG12698">
        <v>1</v>
      </c>
      <c r="AH12698">
        <v>1</v>
      </c>
      <c r="AI12698">
        <v>1</v>
      </c>
      <c r="AJ12698">
        <v>1</v>
      </c>
      <c r="AK12698">
        <v>1</v>
      </c>
      <c r="AL12698">
        <v>0</v>
      </c>
      <c r="AM12698">
        <v>1</v>
      </c>
    </row>
    <row r="12699" spans="1:39" x14ac:dyDescent="0.2">
      <c r="A12699" t="str">
        <f>"12695"</f>
        <v>12695</v>
      </c>
      <c r="B12699" t="str">
        <f t="shared" si="705"/>
        <v>1</v>
      </c>
      <c r="C12699" t="str">
        <f t="shared" si="706"/>
        <v>254</v>
      </c>
      <c r="D12699" t="str">
        <f>"31"</f>
        <v>31</v>
      </c>
      <c r="E12699" t="str">
        <f>"1-254-31"</f>
        <v>1-254-31</v>
      </c>
      <c r="F12699" t="s">
        <v>65</v>
      </c>
      <c r="G12699" t="s">
        <v>66</v>
      </c>
      <c r="H12699" t="s">
        <v>67</v>
      </c>
      <c r="S12699">
        <v>0</v>
      </c>
      <c r="T12699">
        <v>0</v>
      </c>
      <c r="U12699">
        <v>0</v>
      </c>
      <c r="V12699">
        <v>0</v>
      </c>
      <c r="W12699">
        <v>1</v>
      </c>
      <c r="X12699">
        <v>0</v>
      </c>
      <c r="Y12699">
        <v>0</v>
      </c>
      <c r="Z12699">
        <v>0</v>
      </c>
      <c r="AA12699">
        <v>0</v>
      </c>
      <c r="AB12699">
        <v>0</v>
      </c>
      <c r="AC12699">
        <v>0</v>
      </c>
      <c r="AD12699">
        <v>0</v>
      </c>
      <c r="AE12699">
        <v>0</v>
      </c>
      <c r="AF12699">
        <v>0</v>
      </c>
      <c r="AG12699">
        <v>1</v>
      </c>
      <c r="AH12699">
        <v>1</v>
      </c>
      <c r="AI12699">
        <v>0</v>
      </c>
      <c r="AJ12699">
        <v>0</v>
      </c>
      <c r="AK12699">
        <v>1</v>
      </c>
      <c r="AL12699">
        <v>1</v>
      </c>
      <c r="AM12699">
        <v>0</v>
      </c>
    </row>
    <row r="12700" spans="1:39" x14ac:dyDescent="0.2">
      <c r="A12700" t="str">
        <f>"12696"</f>
        <v>12696</v>
      </c>
      <c r="B12700" t="str">
        <f t="shared" si="705"/>
        <v>1</v>
      </c>
      <c r="C12700" t="str">
        <f t="shared" si="706"/>
        <v>254</v>
      </c>
      <c r="D12700" t="str">
        <f>"12"</f>
        <v>12</v>
      </c>
      <c r="E12700" t="str">
        <f>"1-254-12"</f>
        <v>1-254-12</v>
      </c>
      <c r="F12700" t="s">
        <v>65</v>
      </c>
      <c r="G12700" t="s">
        <v>66</v>
      </c>
      <c r="H12700" t="s">
        <v>67</v>
      </c>
      <c r="S12700">
        <v>1</v>
      </c>
      <c r="T12700">
        <v>0</v>
      </c>
      <c r="U12700">
        <v>0</v>
      </c>
      <c r="V12700">
        <v>0</v>
      </c>
      <c r="W12700">
        <v>1</v>
      </c>
      <c r="X12700">
        <v>0</v>
      </c>
      <c r="Y12700">
        <v>0</v>
      </c>
      <c r="Z12700">
        <v>1</v>
      </c>
      <c r="AA12700">
        <v>1</v>
      </c>
      <c r="AB12700">
        <v>0</v>
      </c>
      <c r="AC12700">
        <v>0</v>
      </c>
      <c r="AD12700">
        <v>1</v>
      </c>
      <c r="AE12700">
        <v>1</v>
      </c>
      <c r="AF12700">
        <v>1</v>
      </c>
      <c r="AG12700">
        <v>1</v>
      </c>
      <c r="AH12700">
        <v>1</v>
      </c>
      <c r="AI12700">
        <v>1</v>
      </c>
      <c r="AJ12700">
        <v>1</v>
      </c>
      <c r="AK12700">
        <v>1</v>
      </c>
      <c r="AL12700">
        <v>1</v>
      </c>
      <c r="AM12700">
        <v>1</v>
      </c>
    </row>
    <row r="12701" spans="1:39" x14ac:dyDescent="0.2">
      <c r="A12701" t="str">
        <f>"12697"</f>
        <v>12697</v>
      </c>
      <c r="B12701" t="str">
        <f t="shared" si="705"/>
        <v>1</v>
      </c>
      <c r="C12701" t="str">
        <f t="shared" si="706"/>
        <v>254</v>
      </c>
      <c r="D12701" t="str">
        <f>"50"</f>
        <v>50</v>
      </c>
      <c r="E12701" t="str">
        <f>"1-254-50"</f>
        <v>1-254-50</v>
      </c>
      <c r="F12701" t="s">
        <v>65</v>
      </c>
      <c r="G12701" t="s">
        <v>66</v>
      </c>
      <c r="H12701" t="s">
        <v>67</v>
      </c>
      <c r="S12701">
        <v>0</v>
      </c>
      <c r="T12701">
        <v>1</v>
      </c>
      <c r="U12701">
        <v>0</v>
      </c>
      <c r="V12701">
        <v>0</v>
      </c>
      <c r="W12701">
        <v>1</v>
      </c>
      <c r="X12701">
        <v>0</v>
      </c>
      <c r="Y12701">
        <v>0</v>
      </c>
      <c r="Z12701">
        <v>1</v>
      </c>
      <c r="AA12701">
        <v>0</v>
      </c>
      <c r="AB12701">
        <v>0</v>
      </c>
      <c r="AC12701">
        <v>1</v>
      </c>
      <c r="AD12701">
        <v>1</v>
      </c>
      <c r="AE12701">
        <v>1</v>
      </c>
      <c r="AF12701">
        <v>1</v>
      </c>
      <c r="AG12701">
        <v>1</v>
      </c>
      <c r="AH12701">
        <v>1</v>
      </c>
      <c r="AI12701">
        <v>1</v>
      </c>
      <c r="AJ12701">
        <v>1</v>
      </c>
      <c r="AK12701">
        <v>1</v>
      </c>
      <c r="AL12701">
        <v>1</v>
      </c>
      <c r="AM12701">
        <v>0</v>
      </c>
    </row>
    <row r="12702" spans="1:39" x14ac:dyDescent="0.2">
      <c r="A12702" t="str">
        <f>"12698"</f>
        <v>12698</v>
      </c>
      <c r="B12702" t="str">
        <f t="shared" si="705"/>
        <v>1</v>
      </c>
      <c r="C12702" t="str">
        <f t="shared" si="706"/>
        <v>254</v>
      </c>
      <c r="D12702" t="str">
        <f>"32"</f>
        <v>32</v>
      </c>
      <c r="E12702" t="str">
        <f>"1-254-32"</f>
        <v>1-254-32</v>
      </c>
      <c r="F12702" t="s">
        <v>65</v>
      </c>
      <c r="G12702" t="s">
        <v>66</v>
      </c>
      <c r="H12702" t="s">
        <v>67</v>
      </c>
      <c r="S12702">
        <v>1</v>
      </c>
      <c r="T12702">
        <v>0</v>
      </c>
      <c r="U12702">
        <v>0</v>
      </c>
      <c r="V12702">
        <v>0</v>
      </c>
      <c r="W12702">
        <v>1</v>
      </c>
      <c r="X12702">
        <v>0</v>
      </c>
      <c r="Y12702">
        <v>0</v>
      </c>
      <c r="Z12702">
        <v>1</v>
      </c>
      <c r="AA12702">
        <v>0</v>
      </c>
      <c r="AB12702">
        <v>0</v>
      </c>
      <c r="AC12702">
        <v>1</v>
      </c>
      <c r="AD12702">
        <v>1</v>
      </c>
      <c r="AE12702">
        <v>1</v>
      </c>
      <c r="AF12702">
        <v>1</v>
      </c>
      <c r="AG12702">
        <v>1</v>
      </c>
      <c r="AH12702">
        <v>1</v>
      </c>
      <c r="AI12702">
        <v>1</v>
      </c>
      <c r="AJ12702">
        <v>1</v>
      </c>
      <c r="AK12702">
        <v>1</v>
      </c>
      <c r="AL12702">
        <v>1</v>
      </c>
      <c r="AM12702">
        <v>1</v>
      </c>
    </row>
    <row r="12703" spans="1:39" x14ac:dyDescent="0.2">
      <c r="A12703" t="str">
        <f>"12699"</f>
        <v>12699</v>
      </c>
      <c r="B12703" t="str">
        <f t="shared" si="705"/>
        <v>1</v>
      </c>
      <c r="C12703" t="str">
        <f t="shared" si="706"/>
        <v>254</v>
      </c>
      <c r="D12703" t="str">
        <f>"14"</f>
        <v>14</v>
      </c>
      <c r="E12703" t="str">
        <f>"1-254-14"</f>
        <v>1-254-14</v>
      </c>
      <c r="F12703" t="s">
        <v>65</v>
      </c>
      <c r="G12703" t="s">
        <v>66</v>
      </c>
      <c r="H12703" t="s">
        <v>67</v>
      </c>
      <c r="S12703">
        <v>1</v>
      </c>
      <c r="T12703">
        <v>0</v>
      </c>
      <c r="U12703">
        <v>0</v>
      </c>
      <c r="V12703">
        <v>0</v>
      </c>
      <c r="W12703">
        <v>1</v>
      </c>
      <c r="X12703">
        <v>0</v>
      </c>
      <c r="Y12703">
        <v>1</v>
      </c>
      <c r="Z12703">
        <v>0</v>
      </c>
      <c r="AA12703">
        <v>0</v>
      </c>
      <c r="AB12703">
        <v>1</v>
      </c>
      <c r="AC12703">
        <v>0</v>
      </c>
      <c r="AD12703">
        <v>1</v>
      </c>
      <c r="AE12703">
        <v>1</v>
      </c>
      <c r="AF12703">
        <v>1</v>
      </c>
      <c r="AG12703">
        <v>1</v>
      </c>
      <c r="AH12703">
        <v>1</v>
      </c>
      <c r="AI12703">
        <v>1</v>
      </c>
      <c r="AJ12703">
        <v>1</v>
      </c>
      <c r="AK12703">
        <v>1</v>
      </c>
      <c r="AL12703">
        <v>1</v>
      </c>
      <c r="AM12703">
        <v>1</v>
      </c>
    </row>
    <row r="12704" spans="1:39" x14ac:dyDescent="0.2">
      <c r="A12704" t="str">
        <f>"12700"</f>
        <v>12700</v>
      </c>
      <c r="B12704" t="str">
        <f t="shared" si="705"/>
        <v>1</v>
      </c>
      <c r="C12704" t="str">
        <f t="shared" si="706"/>
        <v>254</v>
      </c>
      <c r="D12704" t="str">
        <f>"39"</f>
        <v>39</v>
      </c>
      <c r="E12704" t="str">
        <f>"1-254-39"</f>
        <v>1-254-39</v>
      </c>
      <c r="F12704" t="s">
        <v>65</v>
      </c>
      <c r="G12704" t="s">
        <v>66</v>
      </c>
      <c r="H12704" t="s">
        <v>67</v>
      </c>
      <c r="S12704">
        <v>1</v>
      </c>
      <c r="T12704">
        <v>0</v>
      </c>
      <c r="U12704">
        <v>0</v>
      </c>
      <c r="V12704">
        <v>0</v>
      </c>
      <c r="W12704">
        <v>1</v>
      </c>
      <c r="X12704">
        <v>0</v>
      </c>
      <c r="Y12704">
        <v>1</v>
      </c>
      <c r="Z12704">
        <v>0</v>
      </c>
      <c r="AA12704">
        <v>1</v>
      </c>
      <c r="AB12704">
        <v>0</v>
      </c>
      <c r="AC12704">
        <v>0</v>
      </c>
      <c r="AD12704">
        <v>0</v>
      </c>
      <c r="AE12704">
        <v>0</v>
      </c>
      <c r="AF12704">
        <v>0</v>
      </c>
      <c r="AG12704">
        <v>0</v>
      </c>
      <c r="AH12704">
        <v>0</v>
      </c>
      <c r="AI12704">
        <v>1</v>
      </c>
      <c r="AJ12704">
        <v>0</v>
      </c>
      <c r="AK12704">
        <v>0</v>
      </c>
      <c r="AL12704">
        <v>1</v>
      </c>
      <c r="AM12704">
        <v>0</v>
      </c>
    </row>
    <row r="12705" spans="1:39" x14ac:dyDescent="0.2">
      <c r="A12705" t="str">
        <f>"12701"</f>
        <v>12701</v>
      </c>
      <c r="B12705" t="str">
        <f t="shared" si="705"/>
        <v>1</v>
      </c>
      <c r="C12705" t="str">
        <f t="shared" ref="C12705:C12736" si="707">"255"</f>
        <v>255</v>
      </c>
      <c r="D12705" t="str">
        <f>"35"</f>
        <v>35</v>
      </c>
      <c r="E12705" t="str">
        <f>"1-255-35"</f>
        <v>1-255-35</v>
      </c>
      <c r="F12705" t="s">
        <v>65</v>
      </c>
      <c r="G12705" t="s">
        <v>66</v>
      </c>
      <c r="H12705" t="s">
        <v>67</v>
      </c>
      <c r="S12705">
        <v>1</v>
      </c>
      <c r="T12705">
        <v>0</v>
      </c>
      <c r="U12705">
        <v>0</v>
      </c>
      <c r="V12705">
        <v>0</v>
      </c>
      <c r="W12705">
        <v>1</v>
      </c>
      <c r="X12705">
        <v>0</v>
      </c>
      <c r="Y12705">
        <v>0</v>
      </c>
      <c r="Z12705">
        <v>0</v>
      </c>
      <c r="AA12705">
        <v>1</v>
      </c>
      <c r="AB12705">
        <v>0</v>
      </c>
      <c r="AC12705">
        <v>0</v>
      </c>
      <c r="AD12705">
        <v>1</v>
      </c>
      <c r="AE12705">
        <v>1</v>
      </c>
      <c r="AF12705">
        <v>1</v>
      </c>
      <c r="AG12705">
        <v>1</v>
      </c>
      <c r="AH12705">
        <v>1</v>
      </c>
      <c r="AI12705">
        <v>1</v>
      </c>
      <c r="AJ12705">
        <v>1</v>
      </c>
      <c r="AK12705">
        <v>1</v>
      </c>
      <c r="AL12705">
        <v>1</v>
      </c>
      <c r="AM12705">
        <v>1</v>
      </c>
    </row>
    <row r="12706" spans="1:39" x14ac:dyDescent="0.2">
      <c r="A12706" t="str">
        <f>"12702"</f>
        <v>12702</v>
      </c>
      <c r="B12706" t="str">
        <f t="shared" si="705"/>
        <v>1</v>
      </c>
      <c r="C12706" t="str">
        <f t="shared" si="707"/>
        <v>255</v>
      </c>
      <c r="D12706" t="str">
        <f>"34"</f>
        <v>34</v>
      </c>
      <c r="E12706" t="str">
        <f>"1-255-34"</f>
        <v>1-255-34</v>
      </c>
      <c r="F12706" t="s">
        <v>65</v>
      </c>
      <c r="G12706" t="s">
        <v>66</v>
      </c>
      <c r="H12706" t="s">
        <v>67</v>
      </c>
      <c r="S12706">
        <v>0</v>
      </c>
      <c r="T12706">
        <v>1</v>
      </c>
      <c r="U12706">
        <v>0</v>
      </c>
      <c r="V12706">
        <v>0</v>
      </c>
      <c r="W12706">
        <v>0</v>
      </c>
      <c r="X12706">
        <v>1</v>
      </c>
      <c r="Y12706">
        <v>1</v>
      </c>
      <c r="Z12706">
        <v>0</v>
      </c>
      <c r="AA12706">
        <v>0</v>
      </c>
      <c r="AB12706">
        <v>0</v>
      </c>
      <c r="AC12706">
        <v>1</v>
      </c>
      <c r="AD12706">
        <v>0</v>
      </c>
      <c r="AE12706">
        <v>0</v>
      </c>
      <c r="AF12706">
        <v>0</v>
      </c>
      <c r="AG12706">
        <v>0</v>
      </c>
      <c r="AH12706">
        <v>0</v>
      </c>
      <c r="AI12706">
        <v>0</v>
      </c>
      <c r="AJ12706">
        <v>0</v>
      </c>
      <c r="AK12706">
        <v>0</v>
      </c>
      <c r="AL12706">
        <v>0</v>
      </c>
      <c r="AM12706">
        <v>0</v>
      </c>
    </row>
    <row r="12707" spans="1:39" x14ac:dyDescent="0.2">
      <c r="A12707" t="str">
        <f>"12703"</f>
        <v>12703</v>
      </c>
      <c r="B12707" t="str">
        <f t="shared" si="705"/>
        <v>1</v>
      </c>
      <c r="C12707" t="str">
        <f t="shared" si="707"/>
        <v>255</v>
      </c>
      <c r="D12707" t="str">
        <f>"22"</f>
        <v>22</v>
      </c>
      <c r="E12707" t="str">
        <f>"1-255-22"</f>
        <v>1-255-22</v>
      </c>
      <c r="F12707" t="s">
        <v>65</v>
      </c>
      <c r="G12707" t="s">
        <v>66</v>
      </c>
      <c r="H12707" t="s">
        <v>67</v>
      </c>
      <c r="S12707">
        <v>1</v>
      </c>
      <c r="T12707">
        <v>0</v>
      </c>
      <c r="U12707">
        <v>0</v>
      </c>
      <c r="V12707">
        <v>0</v>
      </c>
      <c r="W12707">
        <v>1</v>
      </c>
      <c r="X12707">
        <v>0</v>
      </c>
      <c r="Y12707">
        <v>1</v>
      </c>
      <c r="Z12707">
        <v>0</v>
      </c>
      <c r="AA12707">
        <v>1</v>
      </c>
      <c r="AB12707">
        <v>0</v>
      </c>
      <c r="AC12707">
        <v>0</v>
      </c>
      <c r="AD12707">
        <v>1</v>
      </c>
      <c r="AE12707">
        <v>1</v>
      </c>
      <c r="AF12707">
        <v>1</v>
      </c>
      <c r="AG12707">
        <v>1</v>
      </c>
      <c r="AH12707">
        <v>1</v>
      </c>
      <c r="AI12707">
        <v>1</v>
      </c>
      <c r="AJ12707">
        <v>1</v>
      </c>
      <c r="AK12707">
        <v>1</v>
      </c>
      <c r="AL12707">
        <v>1</v>
      </c>
      <c r="AM12707">
        <v>1</v>
      </c>
    </row>
    <row r="12708" spans="1:39" x14ac:dyDescent="0.2">
      <c r="A12708" t="str">
        <f>"12704"</f>
        <v>12704</v>
      </c>
      <c r="B12708" t="str">
        <f t="shared" si="705"/>
        <v>1</v>
      </c>
      <c r="C12708" t="str">
        <f t="shared" si="707"/>
        <v>255</v>
      </c>
      <c r="D12708" t="str">
        <f>"15"</f>
        <v>15</v>
      </c>
      <c r="E12708" t="str">
        <f>"1-255-15"</f>
        <v>1-255-15</v>
      </c>
      <c r="F12708" t="s">
        <v>65</v>
      </c>
      <c r="G12708" t="s">
        <v>66</v>
      </c>
      <c r="H12708" t="s">
        <v>67</v>
      </c>
      <c r="S12708">
        <v>1</v>
      </c>
      <c r="T12708">
        <v>0</v>
      </c>
      <c r="U12708">
        <v>0</v>
      </c>
      <c r="V12708">
        <v>0</v>
      </c>
      <c r="W12708">
        <v>1</v>
      </c>
      <c r="X12708">
        <v>0</v>
      </c>
      <c r="Y12708">
        <v>0</v>
      </c>
      <c r="Z12708">
        <v>0</v>
      </c>
      <c r="AA12708">
        <v>1</v>
      </c>
      <c r="AB12708">
        <v>0</v>
      </c>
      <c r="AC12708">
        <v>0</v>
      </c>
      <c r="AD12708">
        <v>0</v>
      </c>
      <c r="AE12708">
        <v>0</v>
      </c>
      <c r="AF12708">
        <v>0</v>
      </c>
      <c r="AG12708">
        <v>0</v>
      </c>
      <c r="AH12708">
        <v>0</v>
      </c>
      <c r="AI12708">
        <v>0</v>
      </c>
      <c r="AJ12708">
        <v>0</v>
      </c>
      <c r="AK12708">
        <v>0</v>
      </c>
      <c r="AL12708">
        <v>0</v>
      </c>
      <c r="AM12708">
        <v>0</v>
      </c>
    </row>
    <row r="12709" spans="1:39" x14ac:dyDescent="0.2">
      <c r="A12709" t="str">
        <f>"12705"</f>
        <v>12705</v>
      </c>
      <c r="B12709" t="str">
        <f t="shared" si="705"/>
        <v>1</v>
      </c>
      <c r="C12709" t="str">
        <f t="shared" si="707"/>
        <v>255</v>
      </c>
      <c r="D12709" t="str">
        <f>"1"</f>
        <v>1</v>
      </c>
      <c r="E12709" t="str">
        <f>"1-255-1"</f>
        <v>1-255-1</v>
      </c>
      <c r="F12709" t="s">
        <v>65</v>
      </c>
      <c r="G12709" t="s">
        <v>66</v>
      </c>
      <c r="H12709" t="s">
        <v>68</v>
      </c>
      <c r="I12709">
        <v>1</v>
      </c>
      <c r="J12709">
        <v>1</v>
      </c>
      <c r="K12709">
        <v>0</v>
      </c>
      <c r="L12709">
        <v>0</v>
      </c>
      <c r="M12709">
        <v>1</v>
      </c>
      <c r="N12709">
        <v>1</v>
      </c>
      <c r="O12709">
        <v>1</v>
      </c>
      <c r="P12709">
        <v>1</v>
      </c>
      <c r="Q12709">
        <v>1</v>
      </c>
      <c r="R12709">
        <v>1</v>
      </c>
    </row>
    <row r="12710" spans="1:39" x14ac:dyDescent="0.2">
      <c r="A12710" t="str">
        <f>"12706"</f>
        <v>12706</v>
      </c>
      <c r="B12710" t="str">
        <f t="shared" si="705"/>
        <v>1</v>
      </c>
      <c r="C12710" t="str">
        <f t="shared" si="707"/>
        <v>255</v>
      </c>
      <c r="D12710" t="str">
        <f>"38"</f>
        <v>38</v>
      </c>
      <c r="E12710" t="str">
        <f>"1-255-38"</f>
        <v>1-255-38</v>
      </c>
      <c r="F12710" t="s">
        <v>65</v>
      </c>
      <c r="G12710" t="s">
        <v>66</v>
      </c>
      <c r="H12710" t="s">
        <v>67</v>
      </c>
      <c r="S12710">
        <v>0</v>
      </c>
      <c r="T12710">
        <v>1</v>
      </c>
      <c r="U12710">
        <v>0</v>
      </c>
      <c r="V12710">
        <v>0</v>
      </c>
      <c r="W12710">
        <v>0</v>
      </c>
      <c r="X12710">
        <v>0</v>
      </c>
      <c r="Y12710">
        <v>0</v>
      </c>
      <c r="Z12710">
        <v>1</v>
      </c>
      <c r="AA12710">
        <v>0</v>
      </c>
      <c r="AB12710">
        <v>1</v>
      </c>
      <c r="AC12710">
        <v>0</v>
      </c>
      <c r="AD12710">
        <v>1</v>
      </c>
      <c r="AE12710">
        <v>1</v>
      </c>
      <c r="AF12710">
        <v>1</v>
      </c>
      <c r="AG12710">
        <v>1</v>
      </c>
      <c r="AH12710">
        <v>1</v>
      </c>
      <c r="AI12710">
        <v>1</v>
      </c>
      <c r="AJ12710">
        <v>1</v>
      </c>
      <c r="AK12710">
        <v>1</v>
      </c>
      <c r="AL12710">
        <v>1</v>
      </c>
      <c r="AM12710">
        <v>1</v>
      </c>
    </row>
    <row r="12711" spans="1:39" x14ac:dyDescent="0.2">
      <c r="A12711" t="str">
        <f>"12707"</f>
        <v>12707</v>
      </c>
      <c r="B12711" t="str">
        <f t="shared" si="705"/>
        <v>1</v>
      </c>
      <c r="C12711" t="str">
        <f t="shared" si="707"/>
        <v>255</v>
      </c>
      <c r="D12711" t="str">
        <f>"37"</f>
        <v>37</v>
      </c>
      <c r="E12711" t="str">
        <f>"1-255-37"</f>
        <v>1-255-37</v>
      </c>
      <c r="F12711" t="s">
        <v>65</v>
      </c>
      <c r="G12711" t="s">
        <v>66</v>
      </c>
      <c r="H12711" t="s">
        <v>67</v>
      </c>
      <c r="S12711">
        <v>1</v>
      </c>
      <c r="T12711">
        <v>0</v>
      </c>
      <c r="U12711">
        <v>0</v>
      </c>
      <c r="V12711">
        <v>0</v>
      </c>
      <c r="W12711">
        <v>1</v>
      </c>
      <c r="X12711">
        <v>0</v>
      </c>
      <c r="Y12711">
        <v>1</v>
      </c>
      <c r="Z12711">
        <v>0</v>
      </c>
      <c r="AA12711">
        <v>1</v>
      </c>
      <c r="AB12711">
        <v>0</v>
      </c>
      <c r="AC12711">
        <v>0</v>
      </c>
      <c r="AD12711">
        <v>1</v>
      </c>
      <c r="AE12711">
        <v>1</v>
      </c>
      <c r="AF12711">
        <v>1</v>
      </c>
      <c r="AG12711">
        <v>1</v>
      </c>
      <c r="AH12711">
        <v>1</v>
      </c>
      <c r="AI12711">
        <v>1</v>
      </c>
      <c r="AJ12711">
        <v>1</v>
      </c>
      <c r="AK12711">
        <v>1</v>
      </c>
      <c r="AL12711">
        <v>1</v>
      </c>
      <c r="AM12711">
        <v>1</v>
      </c>
    </row>
    <row r="12712" spans="1:39" x14ac:dyDescent="0.2">
      <c r="A12712" t="str">
        <f>"12708"</f>
        <v>12708</v>
      </c>
      <c r="B12712" t="str">
        <f t="shared" si="705"/>
        <v>1</v>
      </c>
      <c r="C12712" t="str">
        <f t="shared" si="707"/>
        <v>255</v>
      </c>
      <c r="D12712" t="str">
        <f>"31"</f>
        <v>31</v>
      </c>
      <c r="E12712" t="str">
        <f>"1-255-31"</f>
        <v>1-255-31</v>
      </c>
      <c r="F12712" t="s">
        <v>65</v>
      </c>
      <c r="G12712" t="s">
        <v>66</v>
      </c>
      <c r="H12712" t="s">
        <v>68</v>
      </c>
      <c r="I12712">
        <v>1</v>
      </c>
      <c r="J12712">
        <v>0</v>
      </c>
      <c r="K12712">
        <v>0</v>
      </c>
      <c r="L12712">
        <v>1</v>
      </c>
      <c r="M12712">
        <v>1</v>
      </c>
      <c r="N12712">
        <v>1</v>
      </c>
      <c r="O12712">
        <v>1</v>
      </c>
      <c r="P12712">
        <v>1</v>
      </c>
      <c r="Q12712">
        <v>1</v>
      </c>
      <c r="R12712">
        <v>1</v>
      </c>
    </row>
    <row r="12713" spans="1:39" x14ac:dyDescent="0.2">
      <c r="A12713" t="str">
        <f>"12709"</f>
        <v>12709</v>
      </c>
      <c r="B12713" t="str">
        <f t="shared" si="705"/>
        <v>1</v>
      </c>
      <c r="C12713" t="str">
        <f t="shared" si="707"/>
        <v>255</v>
      </c>
      <c r="D12713" t="str">
        <f>"30"</f>
        <v>30</v>
      </c>
      <c r="E12713" t="str">
        <f>"1-255-30"</f>
        <v>1-255-30</v>
      </c>
      <c r="F12713" t="s">
        <v>65</v>
      </c>
      <c r="G12713" t="s">
        <v>66</v>
      </c>
      <c r="H12713" t="s">
        <v>67</v>
      </c>
      <c r="S12713">
        <v>0</v>
      </c>
      <c r="T12713">
        <v>1</v>
      </c>
      <c r="U12713">
        <v>0</v>
      </c>
      <c r="V12713">
        <v>0</v>
      </c>
      <c r="W12713">
        <v>0</v>
      </c>
      <c r="X12713">
        <v>1</v>
      </c>
      <c r="Y12713">
        <v>1</v>
      </c>
      <c r="Z12713">
        <v>0</v>
      </c>
      <c r="AA12713">
        <v>0</v>
      </c>
      <c r="AB12713">
        <v>0</v>
      </c>
      <c r="AC12713">
        <v>1</v>
      </c>
      <c r="AD12713">
        <v>0</v>
      </c>
      <c r="AE12713">
        <v>0</v>
      </c>
      <c r="AF12713">
        <v>1</v>
      </c>
      <c r="AG12713">
        <v>1</v>
      </c>
      <c r="AH12713">
        <v>1</v>
      </c>
      <c r="AI12713">
        <v>1</v>
      </c>
      <c r="AJ12713">
        <v>1</v>
      </c>
      <c r="AK12713">
        <v>1</v>
      </c>
      <c r="AL12713">
        <v>1</v>
      </c>
      <c r="AM12713">
        <v>1</v>
      </c>
    </row>
    <row r="12714" spans="1:39" x14ac:dyDescent="0.2">
      <c r="A12714" t="str">
        <f>"12710"</f>
        <v>12710</v>
      </c>
      <c r="B12714" t="str">
        <f t="shared" si="705"/>
        <v>1</v>
      </c>
      <c r="C12714" t="str">
        <f t="shared" si="707"/>
        <v>255</v>
      </c>
      <c r="D12714" t="str">
        <f>"18"</f>
        <v>18</v>
      </c>
      <c r="E12714" t="str">
        <f>"1-255-18"</f>
        <v>1-255-18</v>
      </c>
      <c r="F12714" t="s">
        <v>65</v>
      </c>
      <c r="G12714" t="s">
        <v>66</v>
      </c>
      <c r="H12714" t="s">
        <v>67</v>
      </c>
      <c r="S12714">
        <v>1</v>
      </c>
      <c r="T12714">
        <v>0</v>
      </c>
      <c r="U12714">
        <v>0</v>
      </c>
      <c r="V12714">
        <v>0</v>
      </c>
      <c r="W12714">
        <v>1</v>
      </c>
      <c r="X12714">
        <v>0</v>
      </c>
      <c r="Y12714">
        <v>0</v>
      </c>
      <c r="Z12714">
        <v>1</v>
      </c>
      <c r="AA12714">
        <v>1</v>
      </c>
      <c r="AB12714">
        <v>0</v>
      </c>
      <c r="AC12714">
        <v>0</v>
      </c>
      <c r="AD12714">
        <v>1</v>
      </c>
      <c r="AE12714">
        <v>1</v>
      </c>
      <c r="AF12714">
        <v>1</v>
      </c>
      <c r="AG12714">
        <v>1</v>
      </c>
      <c r="AH12714">
        <v>1</v>
      </c>
      <c r="AI12714">
        <v>1</v>
      </c>
      <c r="AJ12714">
        <v>1</v>
      </c>
      <c r="AK12714">
        <v>1</v>
      </c>
      <c r="AL12714">
        <v>1</v>
      </c>
      <c r="AM12714">
        <v>1</v>
      </c>
    </row>
    <row r="12715" spans="1:39" x14ac:dyDescent="0.2">
      <c r="A12715" t="str">
        <f>"12711"</f>
        <v>12711</v>
      </c>
      <c r="B12715" t="str">
        <f t="shared" si="705"/>
        <v>1</v>
      </c>
      <c r="C12715" t="str">
        <f t="shared" si="707"/>
        <v>255</v>
      </c>
      <c r="D12715" t="str">
        <f>"16"</f>
        <v>16</v>
      </c>
      <c r="E12715" t="str">
        <f>"1-255-16"</f>
        <v>1-255-16</v>
      </c>
      <c r="F12715" t="s">
        <v>65</v>
      </c>
      <c r="G12715" t="s">
        <v>66</v>
      </c>
      <c r="H12715" t="s">
        <v>67</v>
      </c>
      <c r="S12715">
        <v>1</v>
      </c>
      <c r="T12715">
        <v>0</v>
      </c>
      <c r="U12715">
        <v>0</v>
      </c>
      <c r="V12715">
        <v>0</v>
      </c>
      <c r="W12715">
        <v>1</v>
      </c>
      <c r="X12715">
        <v>0</v>
      </c>
      <c r="Y12715">
        <v>1</v>
      </c>
      <c r="Z12715">
        <v>0</v>
      </c>
      <c r="AA12715">
        <v>1</v>
      </c>
      <c r="AB12715">
        <v>0</v>
      </c>
      <c r="AC12715">
        <v>0</v>
      </c>
      <c r="AD12715">
        <v>1</v>
      </c>
      <c r="AE12715">
        <v>1</v>
      </c>
      <c r="AF12715">
        <v>1</v>
      </c>
      <c r="AG12715">
        <v>1</v>
      </c>
      <c r="AH12715">
        <v>1</v>
      </c>
      <c r="AI12715">
        <v>1</v>
      </c>
      <c r="AJ12715">
        <v>1</v>
      </c>
      <c r="AK12715">
        <v>1</v>
      </c>
      <c r="AL12715">
        <v>1</v>
      </c>
      <c r="AM12715">
        <v>1</v>
      </c>
    </row>
    <row r="12716" spans="1:39" x14ac:dyDescent="0.2">
      <c r="A12716" t="str">
        <f>"12712"</f>
        <v>12712</v>
      </c>
      <c r="B12716" t="str">
        <f t="shared" si="705"/>
        <v>1</v>
      </c>
      <c r="C12716" t="str">
        <f t="shared" si="707"/>
        <v>255</v>
      </c>
      <c r="D12716" t="str">
        <f>"8"</f>
        <v>8</v>
      </c>
      <c r="E12716" t="str">
        <f>"1-255-8"</f>
        <v>1-255-8</v>
      </c>
      <c r="F12716" t="s">
        <v>65</v>
      </c>
      <c r="G12716" t="s">
        <v>66</v>
      </c>
      <c r="H12716" t="s">
        <v>67</v>
      </c>
      <c r="S12716">
        <v>1</v>
      </c>
      <c r="T12716">
        <v>0</v>
      </c>
      <c r="U12716">
        <v>0</v>
      </c>
      <c r="V12716">
        <v>0</v>
      </c>
      <c r="W12716">
        <v>1</v>
      </c>
      <c r="X12716">
        <v>0</v>
      </c>
      <c r="Y12716">
        <v>1</v>
      </c>
      <c r="Z12716">
        <v>0</v>
      </c>
      <c r="AA12716">
        <v>0</v>
      </c>
      <c r="AB12716">
        <v>1</v>
      </c>
      <c r="AC12716">
        <v>0</v>
      </c>
      <c r="AD12716">
        <v>1</v>
      </c>
      <c r="AE12716">
        <v>1</v>
      </c>
      <c r="AF12716">
        <v>1</v>
      </c>
      <c r="AG12716">
        <v>1</v>
      </c>
      <c r="AH12716">
        <v>1</v>
      </c>
      <c r="AI12716">
        <v>1</v>
      </c>
      <c r="AJ12716">
        <v>1</v>
      </c>
      <c r="AK12716">
        <v>1</v>
      </c>
      <c r="AL12716">
        <v>1</v>
      </c>
      <c r="AM12716">
        <v>1</v>
      </c>
    </row>
    <row r="12717" spans="1:39" x14ac:dyDescent="0.2">
      <c r="A12717" t="str">
        <f>"12713"</f>
        <v>12713</v>
      </c>
      <c r="B12717" t="str">
        <f t="shared" si="705"/>
        <v>1</v>
      </c>
      <c r="C12717" t="str">
        <f t="shared" si="707"/>
        <v>255</v>
      </c>
      <c r="D12717" t="str">
        <f>"41"</f>
        <v>41</v>
      </c>
      <c r="E12717" t="str">
        <f>"1-255-41"</f>
        <v>1-255-41</v>
      </c>
      <c r="F12717" t="s">
        <v>65</v>
      </c>
      <c r="G12717" t="s">
        <v>66</v>
      </c>
      <c r="H12717" t="s">
        <v>67</v>
      </c>
      <c r="S12717">
        <v>1</v>
      </c>
      <c r="T12717">
        <v>0</v>
      </c>
      <c r="U12717">
        <v>0</v>
      </c>
      <c r="V12717">
        <v>0</v>
      </c>
      <c r="W12717">
        <v>1</v>
      </c>
      <c r="X12717">
        <v>0</v>
      </c>
      <c r="Y12717">
        <v>0</v>
      </c>
      <c r="Z12717">
        <v>1</v>
      </c>
      <c r="AA12717">
        <v>0</v>
      </c>
      <c r="AB12717">
        <v>0</v>
      </c>
      <c r="AC12717">
        <v>1</v>
      </c>
      <c r="AD12717">
        <v>0</v>
      </c>
      <c r="AE12717">
        <v>0</v>
      </c>
      <c r="AF12717">
        <v>1</v>
      </c>
      <c r="AG12717">
        <v>1</v>
      </c>
      <c r="AH12717">
        <v>1</v>
      </c>
      <c r="AI12717">
        <v>1</v>
      </c>
      <c r="AJ12717">
        <v>1</v>
      </c>
      <c r="AK12717">
        <v>1</v>
      </c>
      <c r="AL12717">
        <v>1</v>
      </c>
      <c r="AM12717">
        <v>0</v>
      </c>
    </row>
    <row r="12718" spans="1:39" x14ac:dyDescent="0.2">
      <c r="A12718" t="str">
        <f>"12714"</f>
        <v>12714</v>
      </c>
      <c r="B12718" t="str">
        <f t="shared" si="705"/>
        <v>1</v>
      </c>
      <c r="C12718" t="str">
        <f t="shared" si="707"/>
        <v>255</v>
      </c>
      <c r="D12718" t="str">
        <f>"40"</f>
        <v>40</v>
      </c>
      <c r="E12718" t="str">
        <f>"1-255-40"</f>
        <v>1-255-40</v>
      </c>
      <c r="F12718" t="s">
        <v>65</v>
      </c>
      <c r="G12718" t="s">
        <v>66</v>
      </c>
      <c r="H12718" t="s">
        <v>68</v>
      </c>
      <c r="I12718">
        <v>1</v>
      </c>
      <c r="J12718">
        <v>1</v>
      </c>
      <c r="K12718">
        <v>0</v>
      </c>
      <c r="L12718">
        <v>0</v>
      </c>
      <c r="M12718">
        <v>1</v>
      </c>
      <c r="N12718">
        <v>1</v>
      </c>
      <c r="O12718">
        <v>1</v>
      </c>
      <c r="P12718">
        <v>1</v>
      </c>
      <c r="Q12718">
        <v>1</v>
      </c>
      <c r="R12718">
        <v>1</v>
      </c>
    </row>
    <row r="12719" spans="1:39" x14ac:dyDescent="0.2">
      <c r="A12719" t="str">
        <f>"12715"</f>
        <v>12715</v>
      </c>
      <c r="B12719" t="str">
        <f t="shared" si="705"/>
        <v>1</v>
      </c>
      <c r="C12719" t="str">
        <f t="shared" si="707"/>
        <v>255</v>
      </c>
      <c r="D12719" t="str">
        <f>"33"</f>
        <v>33</v>
      </c>
      <c r="E12719" t="str">
        <f>"1-255-33"</f>
        <v>1-255-33</v>
      </c>
      <c r="F12719" t="s">
        <v>65</v>
      </c>
      <c r="G12719" t="s">
        <v>66</v>
      </c>
      <c r="H12719" t="s">
        <v>68</v>
      </c>
      <c r="I12719">
        <v>1</v>
      </c>
      <c r="J12719">
        <v>1</v>
      </c>
      <c r="K12719">
        <v>0</v>
      </c>
      <c r="L12719">
        <v>0</v>
      </c>
      <c r="M12719">
        <v>1</v>
      </c>
      <c r="N12719">
        <v>1</v>
      </c>
      <c r="O12719">
        <v>1</v>
      </c>
      <c r="P12719">
        <v>1</v>
      </c>
      <c r="Q12719">
        <v>1</v>
      </c>
      <c r="R12719">
        <v>1</v>
      </c>
    </row>
    <row r="12720" spans="1:39" x14ac:dyDescent="0.2">
      <c r="A12720" t="str">
        <f>"12716"</f>
        <v>12716</v>
      </c>
      <c r="B12720" t="str">
        <f t="shared" si="705"/>
        <v>1</v>
      </c>
      <c r="C12720" t="str">
        <f t="shared" si="707"/>
        <v>255</v>
      </c>
      <c r="D12720" t="str">
        <f>"17"</f>
        <v>17</v>
      </c>
      <c r="E12720" t="str">
        <f>"1-255-17"</f>
        <v>1-255-17</v>
      </c>
      <c r="F12720" t="s">
        <v>65</v>
      </c>
      <c r="G12720" t="s">
        <v>66</v>
      </c>
      <c r="H12720" t="s">
        <v>67</v>
      </c>
      <c r="S12720">
        <v>1</v>
      </c>
      <c r="T12720">
        <v>0</v>
      </c>
      <c r="U12720">
        <v>0</v>
      </c>
      <c r="V12720">
        <v>0</v>
      </c>
      <c r="W12720">
        <v>1</v>
      </c>
      <c r="X12720">
        <v>0</v>
      </c>
      <c r="Y12720">
        <v>1</v>
      </c>
      <c r="Z12720">
        <v>0</v>
      </c>
      <c r="AA12720">
        <v>1</v>
      </c>
      <c r="AB12720">
        <v>0</v>
      </c>
      <c r="AC12720">
        <v>0</v>
      </c>
      <c r="AD12720">
        <v>1</v>
      </c>
      <c r="AE12720">
        <v>1</v>
      </c>
      <c r="AF12720">
        <v>1</v>
      </c>
      <c r="AG12720">
        <v>1</v>
      </c>
      <c r="AH12720">
        <v>1</v>
      </c>
      <c r="AI12720">
        <v>1</v>
      </c>
      <c r="AJ12720">
        <v>1</v>
      </c>
      <c r="AK12720">
        <v>1</v>
      </c>
      <c r="AL12720">
        <v>1</v>
      </c>
      <c r="AM12720">
        <v>1</v>
      </c>
    </row>
    <row r="12721" spans="1:39" x14ac:dyDescent="0.2">
      <c r="A12721" t="str">
        <f>"12717"</f>
        <v>12717</v>
      </c>
      <c r="B12721" t="str">
        <f t="shared" si="705"/>
        <v>1</v>
      </c>
      <c r="C12721" t="str">
        <f t="shared" si="707"/>
        <v>255</v>
      </c>
      <c r="D12721" t="str">
        <f>"4"</f>
        <v>4</v>
      </c>
      <c r="E12721" t="str">
        <f>"1-255-4"</f>
        <v>1-255-4</v>
      </c>
      <c r="F12721" t="s">
        <v>65</v>
      </c>
      <c r="G12721" t="s">
        <v>66</v>
      </c>
      <c r="H12721" t="s">
        <v>68</v>
      </c>
      <c r="I12721">
        <v>1</v>
      </c>
      <c r="J12721">
        <v>0</v>
      </c>
      <c r="K12721">
        <v>0</v>
      </c>
      <c r="L12721">
        <v>1</v>
      </c>
      <c r="M12721">
        <v>1</v>
      </c>
      <c r="N12721">
        <v>1</v>
      </c>
      <c r="O12721">
        <v>1</v>
      </c>
      <c r="P12721">
        <v>1</v>
      </c>
      <c r="Q12721">
        <v>1</v>
      </c>
      <c r="R12721">
        <v>1</v>
      </c>
    </row>
    <row r="12722" spans="1:39" x14ac:dyDescent="0.2">
      <c r="A12722" t="str">
        <f>"12718"</f>
        <v>12718</v>
      </c>
      <c r="B12722" t="str">
        <f t="shared" si="705"/>
        <v>1</v>
      </c>
      <c r="C12722" t="str">
        <f t="shared" si="707"/>
        <v>255</v>
      </c>
      <c r="D12722" t="str">
        <f>"43"</f>
        <v>43</v>
      </c>
      <c r="E12722" t="str">
        <f>"1-255-43"</f>
        <v>1-255-43</v>
      </c>
      <c r="F12722" t="s">
        <v>65</v>
      </c>
      <c r="G12722" t="s">
        <v>66</v>
      </c>
      <c r="H12722" t="s">
        <v>67</v>
      </c>
      <c r="S12722">
        <v>1</v>
      </c>
      <c r="T12722">
        <v>0</v>
      </c>
      <c r="U12722">
        <v>0</v>
      </c>
      <c r="V12722">
        <v>0</v>
      </c>
      <c r="W12722">
        <v>1</v>
      </c>
      <c r="X12722">
        <v>0</v>
      </c>
      <c r="Y12722">
        <v>0</v>
      </c>
      <c r="Z12722">
        <v>1</v>
      </c>
      <c r="AA12722">
        <v>0</v>
      </c>
      <c r="AB12722">
        <v>0</v>
      </c>
      <c r="AC12722">
        <v>1</v>
      </c>
      <c r="AD12722">
        <v>1</v>
      </c>
      <c r="AE12722">
        <v>1</v>
      </c>
      <c r="AF12722">
        <v>1</v>
      </c>
      <c r="AG12722">
        <v>1</v>
      </c>
      <c r="AH12722">
        <v>1</v>
      </c>
      <c r="AI12722">
        <v>1</v>
      </c>
      <c r="AJ12722">
        <v>1</v>
      </c>
      <c r="AK12722">
        <v>1</v>
      </c>
      <c r="AL12722">
        <v>1</v>
      </c>
      <c r="AM12722">
        <v>1</v>
      </c>
    </row>
    <row r="12723" spans="1:39" x14ac:dyDescent="0.2">
      <c r="A12723" t="str">
        <f>"12719"</f>
        <v>12719</v>
      </c>
      <c r="B12723" t="str">
        <f t="shared" si="705"/>
        <v>1</v>
      </c>
      <c r="C12723" t="str">
        <f t="shared" si="707"/>
        <v>255</v>
      </c>
      <c r="D12723" t="str">
        <f>"19"</f>
        <v>19</v>
      </c>
      <c r="E12723" t="str">
        <f>"1-255-19"</f>
        <v>1-255-19</v>
      </c>
      <c r="F12723" t="s">
        <v>65</v>
      </c>
      <c r="G12723" t="s">
        <v>66</v>
      </c>
      <c r="H12723" t="s">
        <v>67</v>
      </c>
      <c r="S12723">
        <v>1</v>
      </c>
      <c r="T12723">
        <v>0</v>
      </c>
      <c r="U12723">
        <v>0</v>
      </c>
      <c r="V12723">
        <v>0</v>
      </c>
      <c r="W12723">
        <v>1</v>
      </c>
      <c r="X12723">
        <v>0</v>
      </c>
      <c r="Y12723">
        <v>1</v>
      </c>
      <c r="Z12723">
        <v>0</v>
      </c>
      <c r="AA12723">
        <v>0</v>
      </c>
      <c r="AB12723">
        <v>0</v>
      </c>
      <c r="AC12723">
        <v>0</v>
      </c>
      <c r="AD12723">
        <v>0</v>
      </c>
      <c r="AE12723">
        <v>0</v>
      </c>
      <c r="AF12723">
        <v>0</v>
      </c>
      <c r="AG12723">
        <v>0</v>
      </c>
      <c r="AH12723">
        <v>0</v>
      </c>
      <c r="AI12723">
        <v>1</v>
      </c>
      <c r="AJ12723">
        <v>0</v>
      </c>
      <c r="AK12723">
        <v>0</v>
      </c>
      <c r="AL12723">
        <v>0</v>
      </c>
      <c r="AM12723">
        <v>0</v>
      </c>
    </row>
    <row r="12724" spans="1:39" x14ac:dyDescent="0.2">
      <c r="A12724" t="str">
        <f>"12720"</f>
        <v>12720</v>
      </c>
      <c r="B12724" t="str">
        <f t="shared" si="705"/>
        <v>1</v>
      </c>
      <c r="C12724" t="str">
        <f t="shared" si="707"/>
        <v>255</v>
      </c>
      <c r="D12724" t="str">
        <f>"2"</f>
        <v>2</v>
      </c>
      <c r="E12724" t="str">
        <f>"1-255-2"</f>
        <v>1-255-2</v>
      </c>
      <c r="F12724" t="s">
        <v>65</v>
      </c>
      <c r="G12724" t="s">
        <v>66</v>
      </c>
      <c r="H12724" t="s">
        <v>68</v>
      </c>
      <c r="I12724">
        <v>1</v>
      </c>
      <c r="J12724">
        <v>1</v>
      </c>
      <c r="K12724">
        <v>0</v>
      </c>
      <c r="L12724">
        <v>0</v>
      </c>
      <c r="M12724">
        <v>1</v>
      </c>
      <c r="N12724">
        <v>1</v>
      </c>
      <c r="O12724">
        <v>1</v>
      </c>
      <c r="P12724">
        <v>1</v>
      </c>
      <c r="Q12724">
        <v>1</v>
      </c>
      <c r="R12724">
        <v>1</v>
      </c>
    </row>
    <row r="12725" spans="1:39" x14ac:dyDescent="0.2">
      <c r="A12725" t="str">
        <f>"12721"</f>
        <v>12721</v>
      </c>
      <c r="B12725" t="str">
        <f t="shared" si="705"/>
        <v>1</v>
      </c>
      <c r="C12725" t="str">
        <f t="shared" si="707"/>
        <v>255</v>
      </c>
      <c r="D12725" t="str">
        <f>"36"</f>
        <v>36</v>
      </c>
      <c r="E12725" t="str">
        <f>"1-255-36"</f>
        <v>1-255-36</v>
      </c>
      <c r="F12725" t="s">
        <v>65</v>
      </c>
      <c r="G12725" t="s">
        <v>66</v>
      </c>
      <c r="H12725" t="s">
        <v>67</v>
      </c>
      <c r="S12725">
        <v>1</v>
      </c>
      <c r="T12725">
        <v>0</v>
      </c>
      <c r="U12725">
        <v>0</v>
      </c>
      <c r="V12725">
        <v>0</v>
      </c>
      <c r="W12725">
        <v>1</v>
      </c>
      <c r="X12725">
        <v>0</v>
      </c>
      <c r="Y12725">
        <v>1</v>
      </c>
      <c r="Z12725">
        <v>0</v>
      </c>
      <c r="AA12725">
        <v>0</v>
      </c>
      <c r="AB12725">
        <v>0</v>
      </c>
      <c r="AC12725">
        <v>0</v>
      </c>
      <c r="AD12725">
        <v>0</v>
      </c>
      <c r="AE12725">
        <v>0</v>
      </c>
      <c r="AF12725">
        <v>0</v>
      </c>
      <c r="AG12725">
        <v>0</v>
      </c>
      <c r="AH12725">
        <v>0</v>
      </c>
      <c r="AI12725">
        <v>0</v>
      </c>
      <c r="AJ12725">
        <v>0</v>
      </c>
      <c r="AK12725">
        <v>0</v>
      </c>
      <c r="AL12725">
        <v>0</v>
      </c>
      <c r="AM12725">
        <v>0</v>
      </c>
    </row>
    <row r="12726" spans="1:39" x14ac:dyDescent="0.2">
      <c r="A12726" t="str">
        <f>"12722"</f>
        <v>12722</v>
      </c>
      <c r="B12726" t="str">
        <f t="shared" si="705"/>
        <v>1</v>
      </c>
      <c r="C12726" t="str">
        <f t="shared" si="707"/>
        <v>255</v>
      </c>
      <c r="D12726" t="str">
        <f>"20"</f>
        <v>20</v>
      </c>
      <c r="E12726" t="str">
        <f>"1-255-20"</f>
        <v>1-255-20</v>
      </c>
      <c r="F12726" t="s">
        <v>65</v>
      </c>
      <c r="G12726" t="s">
        <v>66</v>
      </c>
      <c r="H12726" t="s">
        <v>67</v>
      </c>
      <c r="S12726">
        <v>1</v>
      </c>
      <c r="T12726">
        <v>0</v>
      </c>
      <c r="U12726">
        <v>0</v>
      </c>
      <c r="V12726">
        <v>0</v>
      </c>
      <c r="W12726">
        <v>1</v>
      </c>
      <c r="X12726">
        <v>0</v>
      </c>
      <c r="Y12726">
        <v>1</v>
      </c>
      <c r="Z12726">
        <v>0</v>
      </c>
      <c r="AA12726">
        <v>1</v>
      </c>
      <c r="AB12726">
        <v>0</v>
      </c>
      <c r="AC12726">
        <v>0</v>
      </c>
      <c r="AD12726">
        <v>0</v>
      </c>
      <c r="AE12726">
        <v>0</v>
      </c>
      <c r="AF12726">
        <v>0</v>
      </c>
      <c r="AG12726">
        <v>1</v>
      </c>
      <c r="AH12726">
        <v>1</v>
      </c>
      <c r="AI12726">
        <v>1</v>
      </c>
      <c r="AJ12726">
        <v>1</v>
      </c>
      <c r="AK12726">
        <v>0</v>
      </c>
      <c r="AL12726">
        <v>1</v>
      </c>
      <c r="AM12726">
        <v>1</v>
      </c>
    </row>
    <row r="12727" spans="1:39" x14ac:dyDescent="0.2">
      <c r="A12727" t="str">
        <f>"12723"</f>
        <v>12723</v>
      </c>
      <c r="B12727" t="str">
        <f t="shared" ref="B12727:B12790" si="708">"1"</f>
        <v>1</v>
      </c>
      <c r="C12727" t="str">
        <f t="shared" si="707"/>
        <v>255</v>
      </c>
      <c r="D12727" t="str">
        <f>"6"</f>
        <v>6</v>
      </c>
      <c r="E12727" t="str">
        <f>"1-255-6"</f>
        <v>1-255-6</v>
      </c>
      <c r="F12727" t="s">
        <v>65</v>
      </c>
      <c r="G12727" t="s">
        <v>66</v>
      </c>
      <c r="H12727" t="s">
        <v>68</v>
      </c>
      <c r="I12727">
        <v>1</v>
      </c>
      <c r="J12727">
        <v>0</v>
      </c>
      <c r="K12727">
        <v>0</v>
      </c>
      <c r="L12727">
        <v>1</v>
      </c>
      <c r="M12727">
        <v>1</v>
      </c>
      <c r="N12727">
        <v>0</v>
      </c>
      <c r="O12727">
        <v>1</v>
      </c>
      <c r="P12727">
        <v>1</v>
      </c>
      <c r="Q12727">
        <v>1</v>
      </c>
      <c r="R12727">
        <v>1</v>
      </c>
    </row>
    <row r="12728" spans="1:39" x14ac:dyDescent="0.2">
      <c r="A12728" t="str">
        <f>"12724"</f>
        <v>12724</v>
      </c>
      <c r="B12728" t="str">
        <f t="shared" si="708"/>
        <v>1</v>
      </c>
      <c r="C12728" t="str">
        <f t="shared" si="707"/>
        <v>255</v>
      </c>
      <c r="D12728" t="str">
        <f>"46"</f>
        <v>46</v>
      </c>
      <c r="E12728" t="str">
        <f>"1-255-46"</f>
        <v>1-255-46</v>
      </c>
      <c r="F12728" t="s">
        <v>65</v>
      </c>
      <c r="G12728" t="s">
        <v>66</v>
      </c>
      <c r="H12728" t="s">
        <v>67</v>
      </c>
      <c r="S12728">
        <v>0</v>
      </c>
      <c r="T12728">
        <v>1</v>
      </c>
      <c r="U12728">
        <v>0</v>
      </c>
      <c r="V12728">
        <v>0</v>
      </c>
      <c r="W12728">
        <v>1</v>
      </c>
      <c r="X12728">
        <v>0</v>
      </c>
      <c r="Y12728">
        <v>0</v>
      </c>
      <c r="Z12728">
        <v>1</v>
      </c>
      <c r="AA12728">
        <v>1</v>
      </c>
      <c r="AB12728">
        <v>0</v>
      </c>
      <c r="AC12728">
        <v>0</v>
      </c>
      <c r="AD12728">
        <v>0</v>
      </c>
      <c r="AE12728">
        <v>0</v>
      </c>
      <c r="AF12728">
        <v>0</v>
      </c>
      <c r="AG12728">
        <v>0</v>
      </c>
      <c r="AH12728">
        <v>0</v>
      </c>
      <c r="AI12728">
        <v>0</v>
      </c>
      <c r="AJ12728">
        <v>0</v>
      </c>
      <c r="AK12728">
        <v>0</v>
      </c>
      <c r="AL12728">
        <v>1</v>
      </c>
      <c r="AM12728">
        <v>0</v>
      </c>
    </row>
    <row r="12729" spans="1:39" x14ac:dyDescent="0.2">
      <c r="A12729" t="str">
        <f>"12725"</f>
        <v>12725</v>
      </c>
      <c r="B12729" t="str">
        <f t="shared" si="708"/>
        <v>1</v>
      </c>
      <c r="C12729" t="str">
        <f t="shared" si="707"/>
        <v>255</v>
      </c>
      <c r="D12729" t="str">
        <f>"21"</f>
        <v>21</v>
      </c>
      <c r="E12729" t="str">
        <f>"1-255-21"</f>
        <v>1-255-21</v>
      </c>
      <c r="F12729" t="s">
        <v>65</v>
      </c>
      <c r="G12729" t="s">
        <v>66</v>
      </c>
      <c r="H12729" t="s">
        <v>67</v>
      </c>
      <c r="S12729">
        <v>1</v>
      </c>
      <c r="T12729">
        <v>0</v>
      </c>
      <c r="U12729">
        <v>0</v>
      </c>
      <c r="V12729">
        <v>0</v>
      </c>
      <c r="W12729">
        <v>1</v>
      </c>
      <c r="X12729">
        <v>0</v>
      </c>
      <c r="Y12729">
        <v>1</v>
      </c>
      <c r="Z12729">
        <v>0</v>
      </c>
      <c r="AA12729">
        <v>1</v>
      </c>
      <c r="AB12729">
        <v>0</v>
      </c>
      <c r="AC12729">
        <v>0</v>
      </c>
      <c r="AD12729">
        <v>1</v>
      </c>
      <c r="AE12729">
        <v>1</v>
      </c>
      <c r="AF12729">
        <v>1</v>
      </c>
      <c r="AG12729">
        <v>1</v>
      </c>
      <c r="AH12729">
        <v>1</v>
      </c>
      <c r="AI12729">
        <v>1</v>
      </c>
      <c r="AJ12729">
        <v>1</v>
      </c>
      <c r="AK12729">
        <v>1</v>
      </c>
      <c r="AL12729">
        <v>1</v>
      </c>
      <c r="AM12729">
        <v>1</v>
      </c>
    </row>
    <row r="12730" spans="1:39" x14ac:dyDescent="0.2">
      <c r="A12730" t="str">
        <f>"12726"</f>
        <v>12726</v>
      </c>
      <c r="B12730" t="str">
        <f t="shared" si="708"/>
        <v>1</v>
      </c>
      <c r="C12730" t="str">
        <f t="shared" si="707"/>
        <v>255</v>
      </c>
      <c r="D12730" t="str">
        <f>"7"</f>
        <v>7</v>
      </c>
      <c r="E12730" t="str">
        <f>"1-255-7"</f>
        <v>1-255-7</v>
      </c>
      <c r="F12730" t="s">
        <v>65</v>
      </c>
      <c r="G12730" t="s">
        <v>66</v>
      </c>
      <c r="H12730" t="s">
        <v>68</v>
      </c>
      <c r="I12730">
        <v>1</v>
      </c>
      <c r="J12730">
        <v>0</v>
      </c>
      <c r="K12730">
        <v>1</v>
      </c>
      <c r="L12730">
        <v>0</v>
      </c>
      <c r="M12730">
        <v>1</v>
      </c>
      <c r="N12730">
        <v>1</v>
      </c>
      <c r="O12730">
        <v>1</v>
      </c>
      <c r="P12730">
        <v>1</v>
      </c>
      <c r="Q12730">
        <v>0</v>
      </c>
      <c r="R12730">
        <v>0</v>
      </c>
    </row>
    <row r="12731" spans="1:39" x14ac:dyDescent="0.2">
      <c r="A12731" t="str">
        <f>"12727"</f>
        <v>12727</v>
      </c>
      <c r="B12731" t="str">
        <f t="shared" si="708"/>
        <v>1</v>
      </c>
      <c r="C12731" t="str">
        <f t="shared" si="707"/>
        <v>255</v>
      </c>
      <c r="D12731" t="str">
        <f>"45"</f>
        <v>45</v>
      </c>
      <c r="E12731" t="str">
        <f>"1-255-45"</f>
        <v>1-255-45</v>
      </c>
      <c r="F12731" t="s">
        <v>65</v>
      </c>
      <c r="G12731" t="s">
        <v>66</v>
      </c>
      <c r="H12731" t="s">
        <v>67</v>
      </c>
      <c r="S12731">
        <v>0</v>
      </c>
      <c r="T12731">
        <v>1</v>
      </c>
      <c r="U12731">
        <v>0</v>
      </c>
      <c r="V12731">
        <v>0</v>
      </c>
      <c r="W12731">
        <v>1</v>
      </c>
      <c r="X12731">
        <v>0</v>
      </c>
      <c r="Y12731">
        <v>1</v>
      </c>
      <c r="Z12731">
        <v>0</v>
      </c>
      <c r="AA12731">
        <v>1</v>
      </c>
      <c r="AB12731">
        <v>0</v>
      </c>
      <c r="AC12731">
        <v>0</v>
      </c>
      <c r="AD12731">
        <v>1</v>
      </c>
      <c r="AE12731">
        <v>1</v>
      </c>
      <c r="AF12731">
        <v>1</v>
      </c>
      <c r="AG12731">
        <v>1</v>
      </c>
      <c r="AH12731">
        <v>1</v>
      </c>
      <c r="AI12731">
        <v>1</v>
      </c>
      <c r="AJ12731">
        <v>1</v>
      </c>
      <c r="AK12731">
        <v>1</v>
      </c>
      <c r="AL12731">
        <v>1</v>
      </c>
      <c r="AM12731">
        <v>1</v>
      </c>
    </row>
    <row r="12732" spans="1:39" x14ac:dyDescent="0.2">
      <c r="A12732" t="str">
        <f>"12728"</f>
        <v>12728</v>
      </c>
      <c r="B12732" t="str">
        <f t="shared" si="708"/>
        <v>1</v>
      </c>
      <c r="C12732" t="str">
        <f t="shared" si="707"/>
        <v>255</v>
      </c>
      <c r="D12732" t="str">
        <f>"23"</f>
        <v>23</v>
      </c>
      <c r="E12732" t="str">
        <f>"1-255-23"</f>
        <v>1-255-23</v>
      </c>
      <c r="F12732" t="s">
        <v>65</v>
      </c>
      <c r="G12732" t="s">
        <v>66</v>
      </c>
      <c r="H12732" t="s">
        <v>67</v>
      </c>
      <c r="S12732">
        <v>0</v>
      </c>
      <c r="T12732">
        <v>1</v>
      </c>
      <c r="U12732">
        <v>0</v>
      </c>
      <c r="V12732">
        <v>0</v>
      </c>
      <c r="W12732">
        <v>0</v>
      </c>
      <c r="X12732">
        <v>1</v>
      </c>
      <c r="Y12732">
        <v>0</v>
      </c>
      <c r="Z12732">
        <v>1</v>
      </c>
      <c r="AA12732">
        <v>0</v>
      </c>
      <c r="AB12732">
        <v>0</v>
      </c>
      <c r="AC12732">
        <v>1</v>
      </c>
      <c r="AD12732">
        <v>1</v>
      </c>
      <c r="AE12732">
        <v>1</v>
      </c>
      <c r="AF12732">
        <v>1</v>
      </c>
      <c r="AG12732">
        <v>1</v>
      </c>
      <c r="AH12732">
        <v>1</v>
      </c>
      <c r="AI12732">
        <v>1</v>
      </c>
      <c r="AJ12732">
        <v>1</v>
      </c>
      <c r="AK12732">
        <v>1</v>
      </c>
      <c r="AL12732">
        <v>1</v>
      </c>
      <c r="AM12732">
        <v>1</v>
      </c>
    </row>
    <row r="12733" spans="1:39" x14ac:dyDescent="0.2">
      <c r="A12733" t="str">
        <f>"12729"</f>
        <v>12729</v>
      </c>
      <c r="B12733" t="str">
        <f t="shared" si="708"/>
        <v>1</v>
      </c>
      <c r="C12733" t="str">
        <f t="shared" si="707"/>
        <v>255</v>
      </c>
      <c r="D12733" t="str">
        <f>"13"</f>
        <v>13</v>
      </c>
      <c r="E12733" t="str">
        <f>"1-255-13"</f>
        <v>1-255-13</v>
      </c>
      <c r="F12733" t="s">
        <v>65</v>
      </c>
      <c r="G12733" t="s">
        <v>66</v>
      </c>
      <c r="H12733" t="s">
        <v>67</v>
      </c>
      <c r="S12733">
        <v>1</v>
      </c>
      <c r="T12733">
        <v>0</v>
      </c>
      <c r="U12733">
        <v>0</v>
      </c>
      <c r="V12733">
        <v>0</v>
      </c>
      <c r="W12733">
        <v>1</v>
      </c>
      <c r="X12733">
        <v>0</v>
      </c>
      <c r="Y12733">
        <v>1</v>
      </c>
      <c r="Z12733">
        <v>0</v>
      </c>
      <c r="AA12733">
        <v>0</v>
      </c>
      <c r="AB12733">
        <v>0</v>
      </c>
      <c r="AC12733">
        <v>1</v>
      </c>
      <c r="AD12733">
        <v>1</v>
      </c>
      <c r="AE12733">
        <v>1</v>
      </c>
      <c r="AF12733">
        <v>1</v>
      </c>
      <c r="AG12733">
        <v>1</v>
      </c>
      <c r="AH12733">
        <v>1</v>
      </c>
      <c r="AI12733">
        <v>1</v>
      </c>
      <c r="AJ12733">
        <v>1</v>
      </c>
      <c r="AK12733">
        <v>1</v>
      </c>
      <c r="AL12733">
        <v>1</v>
      </c>
      <c r="AM12733">
        <v>1</v>
      </c>
    </row>
    <row r="12734" spans="1:39" x14ac:dyDescent="0.2">
      <c r="A12734" t="str">
        <f>"12730"</f>
        <v>12730</v>
      </c>
      <c r="B12734" t="str">
        <f t="shared" si="708"/>
        <v>1</v>
      </c>
      <c r="C12734" t="str">
        <f t="shared" si="707"/>
        <v>255</v>
      </c>
      <c r="D12734" t="str">
        <f>"48"</f>
        <v>48</v>
      </c>
      <c r="E12734" t="str">
        <f>"1-255-48"</f>
        <v>1-255-48</v>
      </c>
      <c r="F12734" t="s">
        <v>65</v>
      </c>
      <c r="G12734" t="s">
        <v>66</v>
      </c>
      <c r="H12734" t="s">
        <v>67</v>
      </c>
      <c r="S12734">
        <v>1</v>
      </c>
      <c r="T12734">
        <v>0</v>
      </c>
      <c r="U12734">
        <v>0</v>
      </c>
      <c r="V12734">
        <v>0</v>
      </c>
      <c r="W12734">
        <v>0</v>
      </c>
      <c r="X12734">
        <v>1</v>
      </c>
      <c r="Y12734">
        <v>0</v>
      </c>
      <c r="Z12734">
        <v>1</v>
      </c>
      <c r="AA12734">
        <v>0</v>
      </c>
      <c r="AB12734">
        <v>0</v>
      </c>
      <c r="AC12734">
        <v>1</v>
      </c>
      <c r="AD12734">
        <v>1</v>
      </c>
      <c r="AE12734">
        <v>1</v>
      </c>
      <c r="AF12734">
        <v>1</v>
      </c>
      <c r="AG12734">
        <v>1</v>
      </c>
      <c r="AH12734">
        <v>1</v>
      </c>
      <c r="AI12734">
        <v>1</v>
      </c>
      <c r="AJ12734">
        <v>1</v>
      </c>
      <c r="AK12734">
        <v>1</v>
      </c>
      <c r="AL12734">
        <v>1</v>
      </c>
      <c r="AM12734">
        <v>1</v>
      </c>
    </row>
    <row r="12735" spans="1:39" x14ac:dyDescent="0.2">
      <c r="A12735" t="str">
        <f>"12731"</f>
        <v>12731</v>
      </c>
      <c r="B12735" t="str">
        <f t="shared" si="708"/>
        <v>1</v>
      </c>
      <c r="C12735" t="str">
        <f t="shared" si="707"/>
        <v>255</v>
      </c>
      <c r="D12735" t="str">
        <f>"24"</f>
        <v>24</v>
      </c>
      <c r="E12735" t="str">
        <f>"1-255-24"</f>
        <v>1-255-24</v>
      </c>
      <c r="F12735" t="s">
        <v>65</v>
      </c>
      <c r="G12735" t="s">
        <v>66</v>
      </c>
      <c r="H12735" t="s">
        <v>67</v>
      </c>
      <c r="S12735">
        <v>1</v>
      </c>
      <c r="T12735">
        <v>0</v>
      </c>
      <c r="U12735">
        <v>0</v>
      </c>
      <c r="V12735">
        <v>0</v>
      </c>
      <c r="W12735">
        <v>1</v>
      </c>
      <c r="X12735">
        <v>0</v>
      </c>
      <c r="Y12735">
        <v>1</v>
      </c>
      <c r="Z12735">
        <v>0</v>
      </c>
      <c r="AA12735">
        <v>0</v>
      </c>
      <c r="AB12735">
        <v>0</v>
      </c>
      <c r="AC12735">
        <v>1</v>
      </c>
      <c r="AD12735">
        <v>1</v>
      </c>
      <c r="AE12735">
        <v>1</v>
      </c>
      <c r="AF12735">
        <v>1</v>
      </c>
      <c r="AG12735">
        <v>1</v>
      </c>
      <c r="AH12735">
        <v>1</v>
      </c>
      <c r="AI12735">
        <v>1</v>
      </c>
      <c r="AJ12735">
        <v>1</v>
      </c>
      <c r="AK12735">
        <v>1</v>
      </c>
      <c r="AL12735">
        <v>1</v>
      </c>
      <c r="AM12735">
        <v>1</v>
      </c>
    </row>
    <row r="12736" spans="1:39" x14ac:dyDescent="0.2">
      <c r="A12736" t="str">
        <f>"12732"</f>
        <v>12732</v>
      </c>
      <c r="B12736" t="str">
        <f t="shared" si="708"/>
        <v>1</v>
      </c>
      <c r="C12736" t="str">
        <f t="shared" si="707"/>
        <v>255</v>
      </c>
      <c r="D12736" t="str">
        <f>"5"</f>
        <v>5</v>
      </c>
      <c r="E12736" t="str">
        <f>"1-255-5"</f>
        <v>1-255-5</v>
      </c>
      <c r="F12736" t="s">
        <v>65</v>
      </c>
      <c r="G12736" t="s">
        <v>66</v>
      </c>
      <c r="H12736" t="s">
        <v>68</v>
      </c>
      <c r="I12736">
        <v>0</v>
      </c>
      <c r="J12736">
        <v>0</v>
      </c>
      <c r="K12736">
        <v>0</v>
      </c>
      <c r="L12736">
        <v>0</v>
      </c>
      <c r="M12736">
        <v>1</v>
      </c>
      <c r="N12736">
        <v>1</v>
      </c>
      <c r="O12736">
        <v>1</v>
      </c>
      <c r="P12736">
        <v>1</v>
      </c>
      <c r="Q12736">
        <v>1</v>
      </c>
      <c r="R12736">
        <v>1</v>
      </c>
    </row>
    <row r="12737" spans="1:39" x14ac:dyDescent="0.2">
      <c r="A12737" t="str">
        <f>"12733"</f>
        <v>12733</v>
      </c>
      <c r="B12737" t="str">
        <f t="shared" si="708"/>
        <v>1</v>
      </c>
      <c r="C12737" t="str">
        <f t="shared" ref="C12737:C12754" si="709">"255"</f>
        <v>255</v>
      </c>
      <c r="D12737" t="str">
        <f>"47"</f>
        <v>47</v>
      </c>
      <c r="E12737" t="str">
        <f>"1-255-47"</f>
        <v>1-255-47</v>
      </c>
      <c r="F12737" t="s">
        <v>65</v>
      </c>
      <c r="G12737" t="s">
        <v>66</v>
      </c>
      <c r="H12737" t="s">
        <v>68</v>
      </c>
      <c r="I12737">
        <v>1</v>
      </c>
      <c r="J12737">
        <v>0</v>
      </c>
      <c r="K12737">
        <v>0</v>
      </c>
      <c r="L12737">
        <v>1</v>
      </c>
      <c r="M12737">
        <v>1</v>
      </c>
      <c r="N12737">
        <v>1</v>
      </c>
      <c r="O12737">
        <v>1</v>
      </c>
      <c r="P12737">
        <v>1</v>
      </c>
      <c r="Q12737">
        <v>1</v>
      </c>
      <c r="R12737">
        <v>1</v>
      </c>
    </row>
    <row r="12738" spans="1:39" x14ac:dyDescent="0.2">
      <c r="A12738" t="str">
        <f>"12734"</f>
        <v>12734</v>
      </c>
      <c r="B12738" t="str">
        <f t="shared" si="708"/>
        <v>1</v>
      </c>
      <c r="C12738" t="str">
        <f t="shared" si="709"/>
        <v>255</v>
      </c>
      <c r="D12738" t="str">
        <f>"25"</f>
        <v>25</v>
      </c>
      <c r="E12738" t="str">
        <f>"1-255-25"</f>
        <v>1-255-25</v>
      </c>
      <c r="F12738" t="s">
        <v>65</v>
      </c>
      <c r="G12738" t="s">
        <v>66</v>
      </c>
      <c r="H12738" t="s">
        <v>67</v>
      </c>
      <c r="S12738">
        <v>1</v>
      </c>
      <c r="T12738">
        <v>0</v>
      </c>
      <c r="U12738">
        <v>0</v>
      </c>
      <c r="V12738">
        <v>0</v>
      </c>
      <c r="W12738">
        <v>1</v>
      </c>
      <c r="X12738">
        <v>0</v>
      </c>
      <c r="Y12738">
        <v>1</v>
      </c>
      <c r="Z12738">
        <v>0</v>
      </c>
      <c r="AA12738">
        <v>0</v>
      </c>
      <c r="AB12738">
        <v>0</v>
      </c>
      <c r="AC12738">
        <v>1</v>
      </c>
      <c r="AD12738">
        <v>1</v>
      </c>
      <c r="AE12738">
        <v>1</v>
      </c>
      <c r="AF12738">
        <v>1</v>
      </c>
      <c r="AG12738">
        <v>1</v>
      </c>
      <c r="AH12738">
        <v>0</v>
      </c>
      <c r="AI12738">
        <v>1</v>
      </c>
      <c r="AJ12738">
        <v>1</v>
      </c>
      <c r="AK12738">
        <v>1</v>
      </c>
      <c r="AL12738">
        <v>1</v>
      </c>
      <c r="AM12738">
        <v>1</v>
      </c>
    </row>
    <row r="12739" spans="1:39" x14ac:dyDescent="0.2">
      <c r="A12739" t="str">
        <f>"12735"</f>
        <v>12735</v>
      </c>
      <c r="B12739" t="str">
        <f t="shared" si="708"/>
        <v>1</v>
      </c>
      <c r="C12739" t="str">
        <f t="shared" si="709"/>
        <v>255</v>
      </c>
      <c r="D12739" t="str">
        <f>"12"</f>
        <v>12</v>
      </c>
      <c r="E12739" t="str">
        <f>"1-255-12"</f>
        <v>1-255-12</v>
      </c>
      <c r="F12739" t="s">
        <v>65</v>
      </c>
      <c r="G12739" t="s">
        <v>66</v>
      </c>
      <c r="H12739" t="s">
        <v>67</v>
      </c>
      <c r="S12739">
        <v>1</v>
      </c>
      <c r="T12739">
        <v>0</v>
      </c>
      <c r="U12739">
        <v>0</v>
      </c>
      <c r="V12739">
        <v>0</v>
      </c>
      <c r="W12739">
        <v>1</v>
      </c>
      <c r="X12739">
        <v>0</v>
      </c>
      <c r="Y12739">
        <v>1</v>
      </c>
      <c r="Z12739">
        <v>0</v>
      </c>
      <c r="AA12739">
        <v>1</v>
      </c>
      <c r="AB12739">
        <v>0</v>
      </c>
      <c r="AC12739">
        <v>0</v>
      </c>
      <c r="AD12739">
        <v>1</v>
      </c>
      <c r="AE12739">
        <v>1</v>
      </c>
      <c r="AF12739">
        <v>1</v>
      </c>
      <c r="AG12739">
        <v>1</v>
      </c>
      <c r="AH12739">
        <v>1</v>
      </c>
      <c r="AI12739">
        <v>1</v>
      </c>
      <c r="AJ12739">
        <v>1</v>
      </c>
      <c r="AK12739">
        <v>1</v>
      </c>
      <c r="AL12739">
        <v>1</v>
      </c>
      <c r="AM12739">
        <v>1</v>
      </c>
    </row>
    <row r="12740" spans="1:39" x14ac:dyDescent="0.2">
      <c r="A12740" t="str">
        <f>"12736"</f>
        <v>12736</v>
      </c>
      <c r="B12740" t="str">
        <f t="shared" si="708"/>
        <v>1</v>
      </c>
      <c r="C12740" t="str">
        <f t="shared" si="709"/>
        <v>255</v>
      </c>
      <c r="D12740" t="str">
        <f>"44"</f>
        <v>44</v>
      </c>
      <c r="E12740" t="str">
        <f>"1-255-44"</f>
        <v>1-255-44</v>
      </c>
      <c r="F12740" t="s">
        <v>65</v>
      </c>
      <c r="G12740" t="s">
        <v>66</v>
      </c>
      <c r="H12740" t="s">
        <v>68</v>
      </c>
      <c r="I12740">
        <v>1</v>
      </c>
      <c r="J12740">
        <v>0</v>
      </c>
      <c r="K12740">
        <v>0</v>
      </c>
      <c r="L12740">
        <v>1</v>
      </c>
      <c r="M12740">
        <v>1</v>
      </c>
      <c r="N12740">
        <v>1</v>
      </c>
      <c r="O12740">
        <v>1</v>
      </c>
      <c r="P12740">
        <v>1</v>
      </c>
      <c r="Q12740">
        <v>1</v>
      </c>
      <c r="R12740">
        <v>1</v>
      </c>
    </row>
    <row r="12741" spans="1:39" x14ac:dyDescent="0.2">
      <c r="A12741" t="str">
        <f>"12737"</f>
        <v>12737</v>
      </c>
      <c r="B12741" t="str">
        <f t="shared" si="708"/>
        <v>1</v>
      </c>
      <c r="C12741" t="str">
        <f t="shared" si="709"/>
        <v>255</v>
      </c>
      <c r="D12741" t="str">
        <f>"26"</f>
        <v>26</v>
      </c>
      <c r="E12741" t="str">
        <f>"1-255-26"</f>
        <v>1-255-26</v>
      </c>
      <c r="F12741" t="s">
        <v>65</v>
      </c>
      <c r="G12741" t="s">
        <v>66</v>
      </c>
      <c r="H12741" t="s">
        <v>68</v>
      </c>
      <c r="I12741">
        <v>1</v>
      </c>
      <c r="J12741">
        <v>1</v>
      </c>
      <c r="K12741">
        <v>0</v>
      </c>
      <c r="L12741">
        <v>0</v>
      </c>
      <c r="M12741">
        <v>1</v>
      </c>
      <c r="N12741">
        <v>1</v>
      </c>
      <c r="O12741">
        <v>1</v>
      </c>
      <c r="P12741">
        <v>1</v>
      </c>
      <c r="Q12741">
        <v>1</v>
      </c>
      <c r="R12741">
        <v>1</v>
      </c>
    </row>
    <row r="12742" spans="1:39" x14ac:dyDescent="0.2">
      <c r="A12742" t="str">
        <f>"12738"</f>
        <v>12738</v>
      </c>
      <c r="B12742" t="str">
        <f t="shared" si="708"/>
        <v>1</v>
      </c>
      <c r="C12742" t="str">
        <f t="shared" si="709"/>
        <v>255</v>
      </c>
      <c r="D12742" t="str">
        <f>"3"</f>
        <v>3</v>
      </c>
      <c r="E12742" t="str">
        <f>"1-255-3"</f>
        <v>1-255-3</v>
      </c>
      <c r="F12742" t="s">
        <v>65</v>
      </c>
      <c r="G12742" t="s">
        <v>66</v>
      </c>
      <c r="H12742" t="s">
        <v>68</v>
      </c>
      <c r="I12742">
        <v>1</v>
      </c>
      <c r="J12742">
        <v>0</v>
      </c>
      <c r="K12742">
        <v>0</v>
      </c>
      <c r="L12742">
        <v>1</v>
      </c>
      <c r="M12742">
        <v>1</v>
      </c>
      <c r="N12742">
        <v>1</v>
      </c>
      <c r="O12742">
        <v>1</v>
      </c>
      <c r="P12742">
        <v>1</v>
      </c>
      <c r="Q12742">
        <v>1</v>
      </c>
      <c r="R12742">
        <v>1</v>
      </c>
    </row>
    <row r="12743" spans="1:39" x14ac:dyDescent="0.2">
      <c r="A12743" t="str">
        <f>"12739"</f>
        <v>12739</v>
      </c>
      <c r="B12743" t="str">
        <f t="shared" si="708"/>
        <v>1</v>
      </c>
      <c r="C12743" t="str">
        <f t="shared" si="709"/>
        <v>255</v>
      </c>
      <c r="D12743" t="str">
        <f>"49"</f>
        <v>49</v>
      </c>
      <c r="E12743" t="str">
        <f>"1-255-49"</f>
        <v>1-255-49</v>
      </c>
      <c r="F12743" t="s">
        <v>65</v>
      </c>
      <c r="G12743" t="s">
        <v>66</v>
      </c>
      <c r="H12743" t="s">
        <v>67</v>
      </c>
      <c r="S12743">
        <v>1</v>
      </c>
      <c r="T12743">
        <v>0</v>
      </c>
      <c r="U12743">
        <v>0</v>
      </c>
      <c r="V12743">
        <v>0</v>
      </c>
      <c r="W12743">
        <v>1</v>
      </c>
      <c r="X12743">
        <v>0</v>
      </c>
      <c r="Y12743">
        <v>1</v>
      </c>
      <c r="Z12743">
        <v>0</v>
      </c>
      <c r="AA12743">
        <v>0</v>
      </c>
      <c r="AB12743">
        <v>1</v>
      </c>
      <c r="AC12743">
        <v>0</v>
      </c>
      <c r="AD12743">
        <v>0</v>
      </c>
      <c r="AE12743">
        <v>0</v>
      </c>
      <c r="AF12743">
        <v>0</v>
      </c>
      <c r="AG12743">
        <v>0</v>
      </c>
      <c r="AH12743">
        <v>0</v>
      </c>
      <c r="AI12743">
        <v>0</v>
      </c>
      <c r="AJ12743">
        <v>0</v>
      </c>
      <c r="AK12743">
        <v>0</v>
      </c>
      <c r="AL12743">
        <v>0</v>
      </c>
      <c r="AM12743">
        <v>0</v>
      </c>
    </row>
    <row r="12744" spans="1:39" x14ac:dyDescent="0.2">
      <c r="A12744" t="str">
        <f>"12740"</f>
        <v>12740</v>
      </c>
      <c r="B12744" t="str">
        <f t="shared" si="708"/>
        <v>1</v>
      </c>
      <c r="C12744" t="str">
        <f t="shared" si="709"/>
        <v>255</v>
      </c>
      <c r="D12744" t="str">
        <f>"27"</f>
        <v>27</v>
      </c>
      <c r="E12744" t="str">
        <f>"1-255-27"</f>
        <v>1-255-27</v>
      </c>
      <c r="F12744" t="s">
        <v>65</v>
      </c>
      <c r="G12744" t="s">
        <v>66</v>
      </c>
      <c r="H12744" t="s">
        <v>67</v>
      </c>
      <c r="S12744">
        <v>0</v>
      </c>
      <c r="T12744">
        <v>0</v>
      </c>
      <c r="U12744">
        <v>0</v>
      </c>
      <c r="V12744">
        <v>0</v>
      </c>
      <c r="W12744">
        <v>0</v>
      </c>
      <c r="X12744">
        <v>1</v>
      </c>
      <c r="Y12744">
        <v>0</v>
      </c>
      <c r="Z12744">
        <v>0</v>
      </c>
      <c r="AA12744">
        <v>0</v>
      </c>
      <c r="AB12744">
        <v>0</v>
      </c>
      <c r="AC12744">
        <v>0</v>
      </c>
      <c r="AD12744">
        <v>0</v>
      </c>
      <c r="AE12744">
        <v>0</v>
      </c>
      <c r="AF12744">
        <v>0</v>
      </c>
      <c r="AG12744">
        <v>0</v>
      </c>
      <c r="AH12744">
        <v>0</v>
      </c>
      <c r="AI12744">
        <v>0</v>
      </c>
      <c r="AJ12744">
        <v>0</v>
      </c>
      <c r="AK12744">
        <v>0</v>
      </c>
      <c r="AL12744">
        <v>0</v>
      </c>
      <c r="AM12744">
        <v>0</v>
      </c>
    </row>
    <row r="12745" spans="1:39" x14ac:dyDescent="0.2">
      <c r="A12745" t="str">
        <f>"12741"</f>
        <v>12741</v>
      </c>
      <c r="B12745" t="str">
        <f t="shared" si="708"/>
        <v>1</v>
      </c>
      <c r="C12745" t="str">
        <f t="shared" si="709"/>
        <v>255</v>
      </c>
      <c r="D12745" t="str">
        <f>"10"</f>
        <v>10</v>
      </c>
      <c r="E12745" t="str">
        <f>"1-255-10"</f>
        <v>1-255-10</v>
      </c>
      <c r="F12745" t="s">
        <v>65</v>
      </c>
      <c r="G12745" t="s">
        <v>66</v>
      </c>
      <c r="H12745" t="s">
        <v>67</v>
      </c>
      <c r="S12745">
        <v>1</v>
      </c>
      <c r="T12745">
        <v>0</v>
      </c>
      <c r="U12745">
        <v>0</v>
      </c>
      <c r="V12745">
        <v>0</v>
      </c>
      <c r="W12745">
        <v>1</v>
      </c>
      <c r="X12745">
        <v>0</v>
      </c>
      <c r="Y12745">
        <v>1</v>
      </c>
      <c r="Z12745">
        <v>0</v>
      </c>
      <c r="AA12745">
        <v>0</v>
      </c>
      <c r="AB12745">
        <v>0</v>
      </c>
      <c r="AC12745">
        <v>1</v>
      </c>
      <c r="AD12745">
        <v>1</v>
      </c>
      <c r="AE12745">
        <v>1</v>
      </c>
      <c r="AF12745">
        <v>1</v>
      </c>
      <c r="AG12745">
        <v>1</v>
      </c>
      <c r="AH12745">
        <v>1</v>
      </c>
      <c r="AI12745">
        <v>1</v>
      </c>
      <c r="AJ12745">
        <v>1</v>
      </c>
      <c r="AK12745">
        <v>1</v>
      </c>
      <c r="AL12745">
        <v>1</v>
      </c>
      <c r="AM12745">
        <v>1</v>
      </c>
    </row>
    <row r="12746" spans="1:39" x14ac:dyDescent="0.2">
      <c r="A12746" t="str">
        <f>"12742"</f>
        <v>12742</v>
      </c>
      <c r="B12746" t="str">
        <f t="shared" si="708"/>
        <v>1</v>
      </c>
      <c r="C12746" t="str">
        <f t="shared" si="709"/>
        <v>255</v>
      </c>
      <c r="D12746" t="str">
        <f>"39"</f>
        <v>39</v>
      </c>
      <c r="E12746" t="str">
        <f>"1-255-39"</f>
        <v>1-255-39</v>
      </c>
      <c r="F12746" t="s">
        <v>65</v>
      </c>
      <c r="G12746" t="s">
        <v>66</v>
      </c>
      <c r="H12746" t="s">
        <v>67</v>
      </c>
      <c r="S12746">
        <v>0</v>
      </c>
      <c r="T12746">
        <v>0</v>
      </c>
      <c r="U12746">
        <v>0</v>
      </c>
      <c r="V12746">
        <v>0</v>
      </c>
      <c r="W12746">
        <v>0</v>
      </c>
      <c r="X12746">
        <v>1</v>
      </c>
      <c r="Y12746">
        <v>0</v>
      </c>
      <c r="Z12746">
        <v>1</v>
      </c>
      <c r="AA12746">
        <v>0</v>
      </c>
      <c r="AB12746">
        <v>0</v>
      </c>
      <c r="AC12746">
        <v>1</v>
      </c>
      <c r="AD12746">
        <v>0</v>
      </c>
      <c r="AE12746">
        <v>0</v>
      </c>
      <c r="AF12746">
        <v>0</v>
      </c>
      <c r="AG12746">
        <v>0</v>
      </c>
      <c r="AH12746">
        <v>1</v>
      </c>
      <c r="AI12746">
        <v>1</v>
      </c>
      <c r="AJ12746">
        <v>0</v>
      </c>
      <c r="AK12746">
        <v>0</v>
      </c>
      <c r="AL12746">
        <v>0</v>
      </c>
      <c r="AM12746">
        <v>0</v>
      </c>
    </row>
    <row r="12747" spans="1:39" x14ac:dyDescent="0.2">
      <c r="A12747" t="str">
        <f>"12743"</f>
        <v>12743</v>
      </c>
      <c r="B12747" t="str">
        <f t="shared" si="708"/>
        <v>1</v>
      </c>
      <c r="C12747" t="str">
        <f t="shared" si="709"/>
        <v>255</v>
      </c>
      <c r="D12747" t="str">
        <f>"28"</f>
        <v>28</v>
      </c>
      <c r="E12747" t="str">
        <f>"1-255-28"</f>
        <v>1-255-28</v>
      </c>
      <c r="F12747" t="s">
        <v>65</v>
      </c>
      <c r="G12747" t="s">
        <v>66</v>
      </c>
      <c r="H12747" t="s">
        <v>68</v>
      </c>
      <c r="I12747">
        <v>1</v>
      </c>
      <c r="J12747">
        <v>1</v>
      </c>
      <c r="K12747">
        <v>0</v>
      </c>
      <c r="L12747">
        <v>0</v>
      </c>
      <c r="M12747">
        <v>1</v>
      </c>
      <c r="N12747">
        <v>1</v>
      </c>
      <c r="O12747">
        <v>1</v>
      </c>
      <c r="P12747">
        <v>1</v>
      </c>
      <c r="Q12747">
        <v>1</v>
      </c>
      <c r="R12747">
        <v>1</v>
      </c>
    </row>
    <row r="12748" spans="1:39" x14ac:dyDescent="0.2">
      <c r="A12748" t="str">
        <f>"12744"</f>
        <v>12744</v>
      </c>
      <c r="B12748" t="str">
        <f t="shared" si="708"/>
        <v>1</v>
      </c>
      <c r="C12748" t="str">
        <f t="shared" si="709"/>
        <v>255</v>
      </c>
      <c r="D12748" t="str">
        <f>"11"</f>
        <v>11</v>
      </c>
      <c r="E12748" t="str">
        <f>"1-255-11"</f>
        <v>1-255-11</v>
      </c>
      <c r="F12748" t="s">
        <v>65</v>
      </c>
      <c r="G12748" t="s">
        <v>66</v>
      </c>
      <c r="H12748" t="s">
        <v>67</v>
      </c>
      <c r="S12748">
        <v>1</v>
      </c>
      <c r="T12748">
        <v>0</v>
      </c>
      <c r="U12748">
        <v>0</v>
      </c>
      <c r="V12748">
        <v>0</v>
      </c>
      <c r="W12748">
        <v>1</v>
      </c>
      <c r="X12748">
        <v>0</v>
      </c>
      <c r="Y12748">
        <v>1</v>
      </c>
      <c r="Z12748">
        <v>0</v>
      </c>
      <c r="AA12748">
        <v>0</v>
      </c>
      <c r="AB12748">
        <v>0</v>
      </c>
      <c r="AC12748">
        <v>1</v>
      </c>
      <c r="AD12748">
        <v>1</v>
      </c>
      <c r="AE12748">
        <v>1</v>
      </c>
      <c r="AF12748">
        <v>1</v>
      </c>
      <c r="AG12748">
        <v>1</v>
      </c>
      <c r="AH12748">
        <v>1</v>
      </c>
      <c r="AI12748">
        <v>1</v>
      </c>
      <c r="AJ12748">
        <v>1</v>
      </c>
      <c r="AK12748">
        <v>1</v>
      </c>
      <c r="AL12748">
        <v>1</v>
      </c>
      <c r="AM12748">
        <v>1</v>
      </c>
    </row>
    <row r="12749" spans="1:39" x14ac:dyDescent="0.2">
      <c r="A12749" t="str">
        <f>"12745"</f>
        <v>12745</v>
      </c>
      <c r="B12749" t="str">
        <f t="shared" si="708"/>
        <v>1</v>
      </c>
      <c r="C12749" t="str">
        <f t="shared" si="709"/>
        <v>255</v>
      </c>
      <c r="D12749" t="str">
        <f>"42"</f>
        <v>42</v>
      </c>
      <c r="E12749" t="str">
        <f>"1-255-42"</f>
        <v>1-255-42</v>
      </c>
      <c r="F12749" t="s">
        <v>65</v>
      </c>
      <c r="G12749" t="s">
        <v>66</v>
      </c>
      <c r="H12749" t="s">
        <v>67</v>
      </c>
      <c r="S12749">
        <v>0</v>
      </c>
      <c r="T12749">
        <v>1</v>
      </c>
      <c r="U12749">
        <v>0</v>
      </c>
      <c r="V12749">
        <v>0</v>
      </c>
      <c r="W12749">
        <v>1</v>
      </c>
      <c r="X12749">
        <v>0</v>
      </c>
      <c r="Y12749">
        <v>1</v>
      </c>
      <c r="Z12749">
        <v>0</v>
      </c>
      <c r="AA12749">
        <v>1</v>
      </c>
      <c r="AB12749">
        <v>0</v>
      </c>
      <c r="AC12749">
        <v>0</v>
      </c>
      <c r="AD12749">
        <v>1</v>
      </c>
      <c r="AE12749">
        <v>1</v>
      </c>
      <c r="AF12749">
        <v>1</v>
      </c>
      <c r="AG12749">
        <v>1</v>
      </c>
      <c r="AH12749">
        <v>1</v>
      </c>
      <c r="AI12749">
        <v>1</v>
      </c>
      <c r="AJ12749">
        <v>1</v>
      </c>
      <c r="AK12749">
        <v>1</v>
      </c>
      <c r="AL12749">
        <v>1</v>
      </c>
      <c r="AM12749">
        <v>1</v>
      </c>
    </row>
    <row r="12750" spans="1:39" x14ac:dyDescent="0.2">
      <c r="A12750" t="str">
        <f>"12746"</f>
        <v>12746</v>
      </c>
      <c r="B12750" t="str">
        <f t="shared" si="708"/>
        <v>1</v>
      </c>
      <c r="C12750" t="str">
        <f t="shared" si="709"/>
        <v>255</v>
      </c>
      <c r="D12750" t="str">
        <f>"29"</f>
        <v>29</v>
      </c>
      <c r="E12750" t="str">
        <f>"1-255-29"</f>
        <v>1-255-29</v>
      </c>
      <c r="F12750" t="s">
        <v>65</v>
      </c>
      <c r="G12750" t="s">
        <v>66</v>
      </c>
      <c r="H12750" t="s">
        <v>67</v>
      </c>
      <c r="S12750">
        <v>1</v>
      </c>
      <c r="T12750">
        <v>0</v>
      </c>
      <c r="U12750">
        <v>0</v>
      </c>
      <c r="V12750">
        <v>0</v>
      </c>
      <c r="W12750">
        <v>1</v>
      </c>
      <c r="X12750">
        <v>0</v>
      </c>
      <c r="Y12750">
        <v>1</v>
      </c>
      <c r="Z12750">
        <v>0</v>
      </c>
      <c r="AA12750">
        <v>0</v>
      </c>
      <c r="AB12750">
        <v>0</v>
      </c>
      <c r="AC12750">
        <v>0</v>
      </c>
      <c r="AD12750">
        <v>0</v>
      </c>
      <c r="AE12750">
        <v>0</v>
      </c>
      <c r="AF12750">
        <v>0</v>
      </c>
      <c r="AG12750">
        <v>0</v>
      </c>
      <c r="AH12750">
        <v>0</v>
      </c>
      <c r="AI12750">
        <v>0</v>
      </c>
      <c r="AJ12750">
        <v>0</v>
      </c>
      <c r="AK12750">
        <v>0</v>
      </c>
      <c r="AL12750">
        <v>0</v>
      </c>
      <c r="AM12750">
        <v>0</v>
      </c>
    </row>
    <row r="12751" spans="1:39" x14ac:dyDescent="0.2">
      <c r="A12751" t="str">
        <f>"12747"</f>
        <v>12747</v>
      </c>
      <c r="B12751" t="str">
        <f t="shared" si="708"/>
        <v>1</v>
      </c>
      <c r="C12751" t="str">
        <f t="shared" si="709"/>
        <v>255</v>
      </c>
      <c r="D12751" t="str">
        <f>"14"</f>
        <v>14</v>
      </c>
      <c r="E12751" t="str">
        <f>"1-255-14"</f>
        <v>1-255-14</v>
      </c>
      <c r="F12751" t="s">
        <v>65</v>
      </c>
      <c r="G12751" t="s">
        <v>66</v>
      </c>
      <c r="H12751" t="s">
        <v>67</v>
      </c>
      <c r="S12751">
        <v>1</v>
      </c>
      <c r="T12751">
        <v>0</v>
      </c>
      <c r="U12751">
        <v>0</v>
      </c>
      <c r="V12751">
        <v>0</v>
      </c>
      <c r="W12751">
        <v>1</v>
      </c>
      <c r="X12751">
        <v>0</v>
      </c>
      <c r="Y12751">
        <v>0</v>
      </c>
      <c r="Z12751">
        <v>0</v>
      </c>
      <c r="AA12751">
        <v>1</v>
      </c>
      <c r="AB12751">
        <v>0</v>
      </c>
      <c r="AC12751">
        <v>0</v>
      </c>
      <c r="AD12751">
        <v>0</v>
      </c>
      <c r="AE12751">
        <v>0</v>
      </c>
      <c r="AF12751">
        <v>0</v>
      </c>
      <c r="AG12751">
        <v>0</v>
      </c>
      <c r="AH12751">
        <v>0</v>
      </c>
      <c r="AI12751">
        <v>0</v>
      </c>
      <c r="AJ12751">
        <v>0</v>
      </c>
      <c r="AK12751">
        <v>0</v>
      </c>
      <c r="AL12751">
        <v>0</v>
      </c>
      <c r="AM12751">
        <v>0</v>
      </c>
    </row>
    <row r="12752" spans="1:39" x14ac:dyDescent="0.2">
      <c r="A12752" t="str">
        <f>"12748"</f>
        <v>12748</v>
      </c>
      <c r="B12752" t="str">
        <f t="shared" si="708"/>
        <v>1</v>
      </c>
      <c r="C12752" t="str">
        <f t="shared" si="709"/>
        <v>255</v>
      </c>
      <c r="D12752" t="str">
        <f>"32"</f>
        <v>32</v>
      </c>
      <c r="E12752" t="str">
        <f>"1-255-32"</f>
        <v>1-255-32</v>
      </c>
      <c r="F12752" t="s">
        <v>65</v>
      </c>
      <c r="G12752" t="s">
        <v>66</v>
      </c>
      <c r="H12752" t="s">
        <v>67</v>
      </c>
      <c r="S12752">
        <v>0</v>
      </c>
      <c r="T12752">
        <v>1</v>
      </c>
      <c r="U12752">
        <v>0</v>
      </c>
      <c r="V12752">
        <v>0</v>
      </c>
      <c r="W12752">
        <v>1</v>
      </c>
      <c r="X12752">
        <v>0</v>
      </c>
      <c r="Y12752">
        <v>0</v>
      </c>
      <c r="Z12752">
        <v>1</v>
      </c>
      <c r="AA12752">
        <v>0</v>
      </c>
      <c r="AB12752">
        <v>0</v>
      </c>
      <c r="AC12752">
        <v>0</v>
      </c>
      <c r="AD12752">
        <v>1</v>
      </c>
      <c r="AE12752">
        <v>1</v>
      </c>
      <c r="AF12752">
        <v>1</v>
      </c>
      <c r="AG12752">
        <v>1</v>
      </c>
      <c r="AH12752">
        <v>1</v>
      </c>
      <c r="AI12752">
        <v>1</v>
      </c>
      <c r="AJ12752">
        <v>1</v>
      </c>
      <c r="AK12752">
        <v>1</v>
      </c>
      <c r="AL12752">
        <v>1</v>
      </c>
      <c r="AM12752">
        <v>1</v>
      </c>
    </row>
    <row r="12753" spans="1:39" x14ac:dyDescent="0.2">
      <c r="A12753" t="str">
        <f>"12749"</f>
        <v>12749</v>
      </c>
      <c r="B12753" t="str">
        <f t="shared" si="708"/>
        <v>1</v>
      </c>
      <c r="C12753" t="str">
        <f t="shared" si="709"/>
        <v>255</v>
      </c>
      <c r="D12753" t="str">
        <f>"9"</f>
        <v>9</v>
      </c>
      <c r="E12753" t="str">
        <f>"1-255-9"</f>
        <v>1-255-9</v>
      </c>
      <c r="F12753" t="s">
        <v>65</v>
      </c>
      <c r="G12753" t="s">
        <v>66</v>
      </c>
      <c r="H12753" t="s">
        <v>67</v>
      </c>
      <c r="S12753">
        <v>1</v>
      </c>
      <c r="T12753">
        <v>0</v>
      </c>
      <c r="U12753">
        <v>0</v>
      </c>
      <c r="V12753">
        <v>0</v>
      </c>
      <c r="W12753">
        <v>1</v>
      </c>
      <c r="X12753">
        <v>0</v>
      </c>
      <c r="Y12753">
        <v>1</v>
      </c>
      <c r="Z12753">
        <v>0</v>
      </c>
      <c r="AA12753">
        <v>1</v>
      </c>
      <c r="AB12753">
        <v>0</v>
      </c>
      <c r="AC12753">
        <v>0</v>
      </c>
      <c r="AD12753">
        <v>1</v>
      </c>
      <c r="AE12753">
        <v>1</v>
      </c>
      <c r="AF12753">
        <v>1</v>
      </c>
      <c r="AG12753">
        <v>1</v>
      </c>
      <c r="AH12753">
        <v>1</v>
      </c>
      <c r="AI12753">
        <v>1</v>
      </c>
      <c r="AJ12753">
        <v>1</v>
      </c>
      <c r="AK12753">
        <v>1</v>
      </c>
      <c r="AL12753">
        <v>1</v>
      </c>
      <c r="AM12753">
        <v>1</v>
      </c>
    </row>
    <row r="12754" spans="1:39" x14ac:dyDescent="0.2">
      <c r="A12754" t="str">
        <f>"12750"</f>
        <v>12750</v>
      </c>
      <c r="B12754" t="str">
        <f t="shared" si="708"/>
        <v>1</v>
      </c>
      <c r="C12754" t="str">
        <f t="shared" si="709"/>
        <v>255</v>
      </c>
      <c r="D12754" t="str">
        <f>"50"</f>
        <v>50</v>
      </c>
      <c r="E12754" t="str">
        <f>"1-255-50"</f>
        <v>1-255-50</v>
      </c>
      <c r="F12754" t="s">
        <v>65</v>
      </c>
      <c r="G12754" t="s">
        <v>66</v>
      </c>
      <c r="H12754" t="s">
        <v>67</v>
      </c>
      <c r="S12754">
        <v>0</v>
      </c>
      <c r="T12754">
        <v>1</v>
      </c>
      <c r="U12754">
        <v>0</v>
      </c>
      <c r="V12754">
        <v>0</v>
      </c>
      <c r="W12754">
        <v>0</v>
      </c>
      <c r="X12754">
        <v>1</v>
      </c>
      <c r="Y12754">
        <v>1</v>
      </c>
      <c r="Z12754">
        <v>0</v>
      </c>
      <c r="AA12754">
        <v>0</v>
      </c>
      <c r="AB12754">
        <v>0</v>
      </c>
      <c r="AC12754">
        <v>1</v>
      </c>
      <c r="AD12754">
        <v>1</v>
      </c>
      <c r="AE12754">
        <v>1</v>
      </c>
      <c r="AF12754">
        <v>1</v>
      </c>
      <c r="AG12754">
        <v>1</v>
      </c>
      <c r="AH12754">
        <v>1</v>
      </c>
      <c r="AI12754">
        <v>1</v>
      </c>
      <c r="AJ12754">
        <v>1</v>
      </c>
      <c r="AK12754">
        <v>1</v>
      </c>
      <c r="AL12754">
        <v>1</v>
      </c>
      <c r="AM12754">
        <v>1</v>
      </c>
    </row>
    <row r="12755" spans="1:39" x14ac:dyDescent="0.2">
      <c r="A12755" t="str">
        <f>"12751"</f>
        <v>12751</v>
      </c>
      <c r="B12755" t="str">
        <f t="shared" si="708"/>
        <v>1</v>
      </c>
      <c r="C12755" t="str">
        <f t="shared" ref="C12755:C12786" si="710">"256"</f>
        <v>256</v>
      </c>
      <c r="D12755" t="str">
        <f>"40"</f>
        <v>40</v>
      </c>
      <c r="E12755" t="str">
        <f>"1-256-40"</f>
        <v>1-256-40</v>
      </c>
      <c r="F12755" t="s">
        <v>65</v>
      </c>
      <c r="G12755" t="s">
        <v>66</v>
      </c>
      <c r="H12755" t="s">
        <v>67</v>
      </c>
      <c r="S12755">
        <v>1</v>
      </c>
      <c r="T12755">
        <v>0</v>
      </c>
      <c r="U12755">
        <v>0</v>
      </c>
      <c r="V12755">
        <v>0</v>
      </c>
      <c r="W12755">
        <v>1</v>
      </c>
      <c r="X12755">
        <v>0</v>
      </c>
      <c r="Y12755">
        <v>1</v>
      </c>
      <c r="Z12755">
        <v>0</v>
      </c>
      <c r="AA12755">
        <v>0</v>
      </c>
      <c r="AB12755">
        <v>0</v>
      </c>
      <c r="AC12755">
        <v>1</v>
      </c>
      <c r="AD12755">
        <v>1</v>
      </c>
      <c r="AE12755">
        <v>1</v>
      </c>
      <c r="AF12755">
        <v>1</v>
      </c>
      <c r="AG12755">
        <v>1</v>
      </c>
      <c r="AH12755">
        <v>1</v>
      </c>
      <c r="AI12755">
        <v>1</v>
      </c>
      <c r="AJ12755">
        <v>1</v>
      </c>
      <c r="AK12755">
        <v>1</v>
      </c>
      <c r="AL12755">
        <v>1</v>
      </c>
      <c r="AM12755">
        <v>1</v>
      </c>
    </row>
    <row r="12756" spans="1:39" x14ac:dyDescent="0.2">
      <c r="A12756" t="str">
        <f>"12752"</f>
        <v>12752</v>
      </c>
      <c r="B12756" t="str">
        <f t="shared" si="708"/>
        <v>1</v>
      </c>
      <c r="C12756" t="str">
        <f t="shared" si="710"/>
        <v>256</v>
      </c>
      <c r="D12756" t="str">
        <f>"39"</f>
        <v>39</v>
      </c>
      <c r="E12756" t="str">
        <f>"1-256-39"</f>
        <v>1-256-39</v>
      </c>
      <c r="F12756" t="s">
        <v>65</v>
      </c>
      <c r="G12756" t="s">
        <v>66</v>
      </c>
      <c r="H12756" t="s">
        <v>67</v>
      </c>
      <c r="S12756">
        <v>1</v>
      </c>
      <c r="T12756">
        <v>0</v>
      </c>
      <c r="U12756">
        <v>0</v>
      </c>
      <c r="V12756">
        <v>0</v>
      </c>
      <c r="W12756">
        <v>1</v>
      </c>
      <c r="X12756">
        <v>0</v>
      </c>
      <c r="Y12756">
        <v>1</v>
      </c>
      <c r="Z12756">
        <v>0</v>
      </c>
      <c r="AA12756">
        <v>0</v>
      </c>
      <c r="AB12756">
        <v>0</v>
      </c>
      <c r="AC12756">
        <v>1</v>
      </c>
      <c r="AD12756">
        <v>1</v>
      </c>
      <c r="AE12756">
        <v>1</v>
      </c>
      <c r="AF12756">
        <v>1</v>
      </c>
      <c r="AG12756">
        <v>1</v>
      </c>
      <c r="AH12756">
        <v>1</v>
      </c>
      <c r="AI12756">
        <v>1</v>
      </c>
      <c r="AJ12756">
        <v>1</v>
      </c>
      <c r="AK12756">
        <v>1</v>
      </c>
      <c r="AL12756">
        <v>1</v>
      </c>
      <c r="AM12756">
        <v>1</v>
      </c>
    </row>
    <row r="12757" spans="1:39" x14ac:dyDescent="0.2">
      <c r="A12757" t="str">
        <f>"12753"</f>
        <v>12753</v>
      </c>
      <c r="B12757" t="str">
        <f t="shared" si="708"/>
        <v>1</v>
      </c>
      <c r="C12757" t="str">
        <f t="shared" si="710"/>
        <v>256</v>
      </c>
      <c r="D12757" t="str">
        <f>"24"</f>
        <v>24</v>
      </c>
      <c r="E12757" t="str">
        <f>"1-256-24"</f>
        <v>1-256-24</v>
      </c>
      <c r="F12757" t="s">
        <v>65</v>
      </c>
      <c r="G12757" t="s">
        <v>66</v>
      </c>
      <c r="H12757" t="s">
        <v>67</v>
      </c>
      <c r="S12757">
        <v>0</v>
      </c>
      <c r="T12757">
        <v>1</v>
      </c>
      <c r="U12757">
        <v>0</v>
      </c>
      <c r="V12757">
        <v>0</v>
      </c>
      <c r="W12757">
        <v>0</v>
      </c>
      <c r="X12757">
        <v>1</v>
      </c>
      <c r="Y12757">
        <v>0</v>
      </c>
      <c r="Z12757">
        <v>1</v>
      </c>
      <c r="AA12757">
        <v>0</v>
      </c>
      <c r="AB12757">
        <v>0</v>
      </c>
      <c r="AC12757">
        <v>1</v>
      </c>
      <c r="AD12757">
        <v>1</v>
      </c>
      <c r="AE12757">
        <v>1</v>
      </c>
      <c r="AF12757">
        <v>1</v>
      </c>
      <c r="AG12757">
        <v>1</v>
      </c>
      <c r="AH12757">
        <v>1</v>
      </c>
      <c r="AI12757">
        <v>1</v>
      </c>
      <c r="AJ12757">
        <v>1</v>
      </c>
      <c r="AK12757">
        <v>1</v>
      </c>
      <c r="AL12757">
        <v>1</v>
      </c>
      <c r="AM12757">
        <v>1</v>
      </c>
    </row>
    <row r="12758" spans="1:39" x14ac:dyDescent="0.2">
      <c r="A12758" t="str">
        <f>"12754"</f>
        <v>12754</v>
      </c>
      <c r="B12758" t="str">
        <f t="shared" si="708"/>
        <v>1</v>
      </c>
      <c r="C12758" t="str">
        <f t="shared" si="710"/>
        <v>256</v>
      </c>
      <c r="D12758" t="str">
        <f>"23"</f>
        <v>23</v>
      </c>
      <c r="E12758" t="str">
        <f>"1-256-23"</f>
        <v>1-256-23</v>
      </c>
      <c r="F12758" t="s">
        <v>65</v>
      </c>
      <c r="G12758" t="s">
        <v>66</v>
      </c>
      <c r="H12758" t="s">
        <v>67</v>
      </c>
      <c r="S12758">
        <v>1</v>
      </c>
      <c r="T12758">
        <v>0</v>
      </c>
      <c r="U12758">
        <v>0</v>
      </c>
      <c r="V12758">
        <v>0</v>
      </c>
      <c r="W12758">
        <v>1</v>
      </c>
      <c r="X12758">
        <v>0</v>
      </c>
      <c r="Y12758">
        <v>0</v>
      </c>
      <c r="Z12758">
        <v>1</v>
      </c>
      <c r="AA12758">
        <v>1</v>
      </c>
      <c r="AB12758">
        <v>0</v>
      </c>
      <c r="AC12758">
        <v>0</v>
      </c>
      <c r="AD12758">
        <v>1</v>
      </c>
      <c r="AE12758">
        <v>1</v>
      </c>
      <c r="AF12758">
        <v>1</v>
      </c>
      <c r="AG12758">
        <v>1</v>
      </c>
      <c r="AH12758">
        <v>1</v>
      </c>
      <c r="AI12758">
        <v>1</v>
      </c>
      <c r="AJ12758">
        <v>1</v>
      </c>
      <c r="AK12758">
        <v>1</v>
      </c>
      <c r="AL12758">
        <v>1</v>
      </c>
      <c r="AM12758">
        <v>0</v>
      </c>
    </row>
    <row r="12759" spans="1:39" x14ac:dyDescent="0.2">
      <c r="A12759" t="str">
        <f>"12755"</f>
        <v>12755</v>
      </c>
      <c r="B12759" t="str">
        <f t="shared" si="708"/>
        <v>1</v>
      </c>
      <c r="C12759" t="str">
        <f t="shared" si="710"/>
        <v>256</v>
      </c>
      <c r="D12759" t="str">
        <f>"18"</f>
        <v>18</v>
      </c>
      <c r="E12759" t="str">
        <f>"1-256-18"</f>
        <v>1-256-18</v>
      </c>
      <c r="F12759" t="s">
        <v>65</v>
      </c>
      <c r="G12759" t="s">
        <v>66</v>
      </c>
      <c r="H12759" t="s">
        <v>67</v>
      </c>
      <c r="S12759">
        <v>1</v>
      </c>
      <c r="T12759">
        <v>0</v>
      </c>
      <c r="U12759">
        <v>0</v>
      </c>
      <c r="V12759">
        <v>0</v>
      </c>
      <c r="W12759">
        <v>1</v>
      </c>
      <c r="X12759">
        <v>0</v>
      </c>
      <c r="Y12759">
        <v>1</v>
      </c>
      <c r="Z12759">
        <v>0</v>
      </c>
      <c r="AA12759">
        <v>1</v>
      </c>
      <c r="AB12759">
        <v>0</v>
      </c>
      <c r="AC12759">
        <v>0</v>
      </c>
      <c r="AD12759">
        <v>0</v>
      </c>
      <c r="AE12759">
        <v>0</v>
      </c>
      <c r="AF12759">
        <v>0</v>
      </c>
      <c r="AG12759">
        <v>0</v>
      </c>
      <c r="AH12759">
        <v>0</v>
      </c>
      <c r="AI12759">
        <v>0</v>
      </c>
      <c r="AJ12759">
        <v>0</v>
      </c>
      <c r="AK12759">
        <v>0</v>
      </c>
      <c r="AL12759">
        <v>0</v>
      </c>
      <c r="AM12759">
        <v>0</v>
      </c>
    </row>
    <row r="12760" spans="1:39" x14ac:dyDescent="0.2">
      <c r="A12760" t="str">
        <f>"12756"</f>
        <v>12756</v>
      </c>
      <c r="B12760" t="str">
        <f t="shared" si="708"/>
        <v>1</v>
      </c>
      <c r="C12760" t="str">
        <f t="shared" si="710"/>
        <v>256</v>
      </c>
      <c r="D12760" t="str">
        <f>"15"</f>
        <v>15</v>
      </c>
      <c r="E12760" t="str">
        <f>"1-256-15"</f>
        <v>1-256-15</v>
      </c>
      <c r="F12760" t="s">
        <v>65</v>
      </c>
      <c r="G12760" t="s">
        <v>66</v>
      </c>
      <c r="H12760" t="s">
        <v>67</v>
      </c>
      <c r="S12760">
        <v>0</v>
      </c>
      <c r="T12760">
        <v>1</v>
      </c>
      <c r="U12760">
        <v>0</v>
      </c>
      <c r="V12760">
        <v>0</v>
      </c>
      <c r="W12760">
        <v>0</v>
      </c>
      <c r="X12760">
        <v>1</v>
      </c>
      <c r="Y12760">
        <v>0</v>
      </c>
      <c r="Z12760">
        <v>1</v>
      </c>
      <c r="AA12760">
        <v>0</v>
      </c>
      <c r="AB12760">
        <v>0</v>
      </c>
      <c r="AC12760">
        <v>1</v>
      </c>
      <c r="AD12760">
        <v>0</v>
      </c>
      <c r="AE12760">
        <v>0</v>
      </c>
      <c r="AF12760">
        <v>0</v>
      </c>
      <c r="AG12760">
        <v>0</v>
      </c>
      <c r="AH12760">
        <v>0</v>
      </c>
      <c r="AI12760">
        <v>0</v>
      </c>
      <c r="AJ12760">
        <v>0</v>
      </c>
      <c r="AK12760">
        <v>0</v>
      </c>
      <c r="AL12760">
        <v>0</v>
      </c>
      <c r="AM12760">
        <v>0</v>
      </c>
    </row>
    <row r="12761" spans="1:39" x14ac:dyDescent="0.2">
      <c r="A12761" t="str">
        <f>"12757"</f>
        <v>12757</v>
      </c>
      <c r="B12761" t="str">
        <f t="shared" si="708"/>
        <v>1</v>
      </c>
      <c r="C12761" t="str">
        <f t="shared" si="710"/>
        <v>256</v>
      </c>
      <c r="D12761" t="str">
        <f>"2"</f>
        <v>2</v>
      </c>
      <c r="E12761" t="str">
        <f>"1-256-2"</f>
        <v>1-256-2</v>
      </c>
      <c r="F12761" t="s">
        <v>65</v>
      </c>
      <c r="G12761" t="s">
        <v>66</v>
      </c>
      <c r="H12761" t="s">
        <v>68</v>
      </c>
      <c r="I12761">
        <v>1</v>
      </c>
      <c r="J12761">
        <v>1</v>
      </c>
      <c r="K12761">
        <v>0</v>
      </c>
      <c r="L12761">
        <v>0</v>
      </c>
      <c r="M12761">
        <v>1</v>
      </c>
      <c r="N12761">
        <v>1</v>
      </c>
      <c r="O12761">
        <v>1</v>
      </c>
      <c r="P12761">
        <v>1</v>
      </c>
      <c r="Q12761">
        <v>1</v>
      </c>
      <c r="R12761">
        <v>1</v>
      </c>
    </row>
    <row r="12762" spans="1:39" x14ac:dyDescent="0.2">
      <c r="A12762" t="str">
        <f>"12758"</f>
        <v>12758</v>
      </c>
      <c r="B12762" t="str">
        <f t="shared" si="708"/>
        <v>1</v>
      </c>
      <c r="C12762" t="str">
        <f t="shared" si="710"/>
        <v>256</v>
      </c>
      <c r="D12762" t="str">
        <f>"35"</f>
        <v>35</v>
      </c>
      <c r="E12762" t="str">
        <f>"1-256-35"</f>
        <v>1-256-35</v>
      </c>
      <c r="F12762" t="s">
        <v>65</v>
      </c>
      <c r="G12762" t="s">
        <v>66</v>
      </c>
      <c r="H12762" t="s">
        <v>67</v>
      </c>
      <c r="S12762">
        <v>0</v>
      </c>
      <c r="T12762">
        <v>1</v>
      </c>
      <c r="U12762">
        <v>0</v>
      </c>
      <c r="V12762">
        <v>0</v>
      </c>
      <c r="W12762">
        <v>1</v>
      </c>
      <c r="X12762">
        <v>0</v>
      </c>
      <c r="Y12762">
        <v>0</v>
      </c>
      <c r="Z12762">
        <v>1</v>
      </c>
      <c r="AA12762">
        <v>0</v>
      </c>
      <c r="AB12762">
        <v>0</v>
      </c>
      <c r="AC12762">
        <v>1</v>
      </c>
      <c r="AD12762">
        <v>1</v>
      </c>
      <c r="AE12762">
        <v>1</v>
      </c>
      <c r="AF12762">
        <v>1</v>
      </c>
      <c r="AG12762">
        <v>1</v>
      </c>
      <c r="AH12762">
        <v>1</v>
      </c>
      <c r="AI12762">
        <v>1</v>
      </c>
      <c r="AJ12762">
        <v>1</v>
      </c>
      <c r="AK12762">
        <v>1</v>
      </c>
      <c r="AL12762">
        <v>1</v>
      </c>
      <c r="AM12762">
        <v>1</v>
      </c>
    </row>
    <row r="12763" spans="1:39" x14ac:dyDescent="0.2">
      <c r="A12763" t="str">
        <f>"12759"</f>
        <v>12759</v>
      </c>
      <c r="B12763" t="str">
        <f t="shared" si="708"/>
        <v>1</v>
      </c>
      <c r="C12763" t="str">
        <f t="shared" si="710"/>
        <v>256</v>
      </c>
      <c r="D12763" t="str">
        <f>"34"</f>
        <v>34</v>
      </c>
      <c r="E12763" t="str">
        <f>"1-256-34"</f>
        <v>1-256-34</v>
      </c>
      <c r="F12763" t="s">
        <v>65</v>
      </c>
      <c r="G12763" t="s">
        <v>66</v>
      </c>
      <c r="H12763" t="s">
        <v>67</v>
      </c>
      <c r="S12763">
        <v>1</v>
      </c>
      <c r="T12763">
        <v>0</v>
      </c>
      <c r="U12763">
        <v>0</v>
      </c>
      <c r="V12763">
        <v>0</v>
      </c>
      <c r="W12763">
        <v>1</v>
      </c>
      <c r="X12763">
        <v>0</v>
      </c>
      <c r="Y12763">
        <v>1</v>
      </c>
      <c r="Z12763">
        <v>0</v>
      </c>
      <c r="AA12763">
        <v>1</v>
      </c>
      <c r="AB12763">
        <v>0</v>
      </c>
      <c r="AC12763">
        <v>0</v>
      </c>
      <c r="AD12763">
        <v>1</v>
      </c>
      <c r="AE12763">
        <v>1</v>
      </c>
      <c r="AF12763">
        <v>1</v>
      </c>
      <c r="AG12763">
        <v>1</v>
      </c>
      <c r="AH12763">
        <v>1</v>
      </c>
      <c r="AI12763">
        <v>1</v>
      </c>
      <c r="AJ12763">
        <v>1</v>
      </c>
      <c r="AK12763">
        <v>1</v>
      </c>
      <c r="AL12763">
        <v>1</v>
      </c>
      <c r="AM12763">
        <v>1</v>
      </c>
    </row>
    <row r="12764" spans="1:39" x14ac:dyDescent="0.2">
      <c r="A12764" t="str">
        <f>"12760"</f>
        <v>12760</v>
      </c>
      <c r="B12764" t="str">
        <f t="shared" si="708"/>
        <v>1</v>
      </c>
      <c r="C12764" t="str">
        <f t="shared" si="710"/>
        <v>256</v>
      </c>
      <c r="D12764" t="str">
        <f>"22"</f>
        <v>22</v>
      </c>
      <c r="E12764" t="str">
        <f>"1-256-22"</f>
        <v>1-256-22</v>
      </c>
      <c r="F12764" t="s">
        <v>65</v>
      </c>
      <c r="G12764" t="s">
        <v>66</v>
      </c>
      <c r="H12764" t="s">
        <v>67</v>
      </c>
      <c r="S12764">
        <v>0</v>
      </c>
      <c r="T12764">
        <v>0</v>
      </c>
      <c r="U12764">
        <v>0</v>
      </c>
      <c r="V12764">
        <v>0</v>
      </c>
      <c r="W12764">
        <v>0</v>
      </c>
      <c r="X12764">
        <v>1</v>
      </c>
      <c r="Y12764">
        <v>0</v>
      </c>
      <c r="Z12764">
        <v>0</v>
      </c>
      <c r="AA12764">
        <v>0</v>
      </c>
      <c r="AB12764">
        <v>0</v>
      </c>
      <c r="AC12764">
        <v>0</v>
      </c>
      <c r="AD12764">
        <v>0</v>
      </c>
      <c r="AE12764">
        <v>0</v>
      </c>
      <c r="AF12764">
        <v>0</v>
      </c>
      <c r="AG12764">
        <v>0</v>
      </c>
      <c r="AH12764">
        <v>0</v>
      </c>
      <c r="AI12764">
        <v>0</v>
      </c>
      <c r="AJ12764">
        <v>0</v>
      </c>
      <c r="AK12764">
        <v>0</v>
      </c>
      <c r="AL12764">
        <v>0</v>
      </c>
      <c r="AM12764">
        <v>0</v>
      </c>
    </row>
    <row r="12765" spans="1:39" x14ac:dyDescent="0.2">
      <c r="A12765" t="str">
        <f>"12761"</f>
        <v>12761</v>
      </c>
      <c r="B12765" t="str">
        <f t="shared" si="708"/>
        <v>1</v>
      </c>
      <c r="C12765" t="str">
        <f t="shared" si="710"/>
        <v>256</v>
      </c>
      <c r="D12765" t="str">
        <f>"16"</f>
        <v>16</v>
      </c>
      <c r="E12765" t="str">
        <f>"1-256-16"</f>
        <v>1-256-16</v>
      </c>
      <c r="F12765" t="s">
        <v>65</v>
      </c>
      <c r="G12765" t="s">
        <v>66</v>
      </c>
      <c r="H12765" t="s">
        <v>67</v>
      </c>
      <c r="S12765">
        <v>0</v>
      </c>
      <c r="T12765">
        <v>0</v>
      </c>
      <c r="U12765">
        <v>0</v>
      </c>
      <c r="V12765">
        <v>0</v>
      </c>
      <c r="W12765">
        <v>0</v>
      </c>
      <c r="X12765">
        <v>1</v>
      </c>
      <c r="Y12765">
        <v>0</v>
      </c>
      <c r="Z12765">
        <v>1</v>
      </c>
      <c r="AA12765">
        <v>0</v>
      </c>
      <c r="AB12765">
        <v>0</v>
      </c>
      <c r="AC12765">
        <v>0</v>
      </c>
      <c r="AD12765">
        <v>0</v>
      </c>
      <c r="AE12765">
        <v>0</v>
      </c>
      <c r="AF12765">
        <v>0</v>
      </c>
      <c r="AG12765">
        <v>0</v>
      </c>
      <c r="AH12765">
        <v>0</v>
      </c>
      <c r="AI12765">
        <v>0</v>
      </c>
      <c r="AJ12765">
        <v>0</v>
      </c>
      <c r="AK12765">
        <v>0</v>
      </c>
      <c r="AL12765">
        <v>1</v>
      </c>
      <c r="AM12765">
        <v>0</v>
      </c>
    </row>
    <row r="12766" spans="1:39" x14ac:dyDescent="0.2">
      <c r="A12766" t="str">
        <f>"12762"</f>
        <v>12762</v>
      </c>
      <c r="B12766" t="str">
        <f t="shared" si="708"/>
        <v>1</v>
      </c>
      <c r="C12766" t="str">
        <f t="shared" si="710"/>
        <v>256</v>
      </c>
      <c r="D12766" t="str">
        <f>"1"</f>
        <v>1</v>
      </c>
      <c r="E12766" t="str">
        <f>"1-256-1"</f>
        <v>1-256-1</v>
      </c>
      <c r="F12766" t="s">
        <v>65</v>
      </c>
      <c r="G12766" t="s">
        <v>66</v>
      </c>
      <c r="H12766" t="s">
        <v>68</v>
      </c>
      <c r="I12766">
        <v>1</v>
      </c>
      <c r="J12766">
        <v>1</v>
      </c>
      <c r="K12766">
        <v>0</v>
      </c>
      <c r="L12766">
        <v>0</v>
      </c>
      <c r="M12766">
        <v>1</v>
      </c>
      <c r="N12766">
        <v>1</v>
      </c>
      <c r="O12766">
        <v>1</v>
      </c>
      <c r="P12766">
        <v>1</v>
      </c>
      <c r="Q12766">
        <v>1</v>
      </c>
      <c r="R12766">
        <v>1</v>
      </c>
    </row>
    <row r="12767" spans="1:39" x14ac:dyDescent="0.2">
      <c r="A12767" t="str">
        <f>"12763"</f>
        <v>12763</v>
      </c>
      <c r="B12767" t="str">
        <f t="shared" si="708"/>
        <v>1</v>
      </c>
      <c r="C12767" t="str">
        <f t="shared" si="710"/>
        <v>256</v>
      </c>
      <c r="D12767" t="str">
        <f>"44"</f>
        <v>44</v>
      </c>
      <c r="E12767" t="str">
        <f>"1-256-44"</f>
        <v>1-256-44</v>
      </c>
      <c r="F12767" t="s">
        <v>65</v>
      </c>
      <c r="G12767" t="s">
        <v>66</v>
      </c>
      <c r="H12767" t="s">
        <v>68</v>
      </c>
      <c r="I12767">
        <v>1</v>
      </c>
      <c r="J12767">
        <v>1</v>
      </c>
      <c r="K12767">
        <v>0</v>
      </c>
      <c r="L12767">
        <v>0</v>
      </c>
      <c r="M12767">
        <v>1</v>
      </c>
      <c r="N12767">
        <v>1</v>
      </c>
      <c r="O12767">
        <v>1</v>
      </c>
      <c r="P12767">
        <v>1</v>
      </c>
      <c r="Q12767">
        <v>1</v>
      </c>
      <c r="R12767">
        <v>1</v>
      </c>
    </row>
    <row r="12768" spans="1:39" x14ac:dyDescent="0.2">
      <c r="A12768" t="str">
        <f>"12764"</f>
        <v>12764</v>
      </c>
      <c r="B12768" t="str">
        <f t="shared" si="708"/>
        <v>1</v>
      </c>
      <c r="C12768" t="str">
        <f t="shared" si="710"/>
        <v>256</v>
      </c>
      <c r="D12768" t="str">
        <f>"43"</f>
        <v>43</v>
      </c>
      <c r="E12768" t="str">
        <f>"1-256-43"</f>
        <v>1-256-43</v>
      </c>
      <c r="F12768" t="s">
        <v>65</v>
      </c>
      <c r="G12768" t="s">
        <v>66</v>
      </c>
      <c r="H12768" t="s">
        <v>68</v>
      </c>
      <c r="I12768">
        <v>1</v>
      </c>
      <c r="J12768">
        <v>1</v>
      </c>
      <c r="K12768">
        <v>0</v>
      </c>
      <c r="L12768">
        <v>0</v>
      </c>
      <c r="M12768">
        <v>1</v>
      </c>
      <c r="N12768">
        <v>1</v>
      </c>
      <c r="O12768">
        <v>1</v>
      </c>
      <c r="P12768">
        <v>1</v>
      </c>
      <c r="Q12768">
        <v>0</v>
      </c>
      <c r="R12768">
        <v>0</v>
      </c>
    </row>
    <row r="12769" spans="1:39" x14ac:dyDescent="0.2">
      <c r="A12769" t="str">
        <f>"12765"</f>
        <v>12765</v>
      </c>
      <c r="B12769" t="str">
        <f t="shared" si="708"/>
        <v>1</v>
      </c>
      <c r="C12769" t="str">
        <f t="shared" si="710"/>
        <v>256</v>
      </c>
      <c r="D12769" t="str">
        <f>"33"</f>
        <v>33</v>
      </c>
      <c r="E12769" t="str">
        <f>"1-256-33"</f>
        <v>1-256-33</v>
      </c>
      <c r="F12769" t="s">
        <v>65</v>
      </c>
      <c r="G12769" t="s">
        <v>66</v>
      </c>
      <c r="H12769" t="s">
        <v>67</v>
      </c>
      <c r="S12769">
        <v>0</v>
      </c>
      <c r="T12769">
        <v>1</v>
      </c>
      <c r="U12769">
        <v>0</v>
      </c>
      <c r="V12769">
        <v>0</v>
      </c>
      <c r="W12769">
        <v>0</v>
      </c>
      <c r="X12769">
        <v>1</v>
      </c>
      <c r="Y12769">
        <v>0</v>
      </c>
      <c r="Z12769">
        <v>1</v>
      </c>
      <c r="AA12769">
        <v>0</v>
      </c>
      <c r="AB12769">
        <v>0</v>
      </c>
      <c r="AC12769">
        <v>1</v>
      </c>
      <c r="AD12769">
        <v>1</v>
      </c>
      <c r="AE12769">
        <v>1</v>
      </c>
      <c r="AF12769">
        <v>1</v>
      </c>
      <c r="AG12769">
        <v>1</v>
      </c>
      <c r="AH12769">
        <v>1</v>
      </c>
      <c r="AI12769">
        <v>1</v>
      </c>
      <c r="AJ12769">
        <v>1</v>
      </c>
      <c r="AK12769">
        <v>1</v>
      </c>
      <c r="AL12769">
        <v>1</v>
      </c>
      <c r="AM12769">
        <v>1</v>
      </c>
    </row>
    <row r="12770" spans="1:39" x14ac:dyDescent="0.2">
      <c r="A12770" t="str">
        <f>"12766"</f>
        <v>12766</v>
      </c>
      <c r="B12770" t="str">
        <f t="shared" si="708"/>
        <v>1</v>
      </c>
      <c r="C12770" t="str">
        <f t="shared" si="710"/>
        <v>256</v>
      </c>
      <c r="D12770" t="str">
        <f>"17"</f>
        <v>17</v>
      </c>
      <c r="E12770" t="str">
        <f>"1-256-17"</f>
        <v>1-256-17</v>
      </c>
      <c r="F12770" t="s">
        <v>65</v>
      </c>
      <c r="G12770" t="s">
        <v>66</v>
      </c>
      <c r="H12770" t="s">
        <v>67</v>
      </c>
      <c r="S12770">
        <v>1</v>
      </c>
      <c r="T12770">
        <v>0</v>
      </c>
      <c r="U12770">
        <v>0</v>
      </c>
      <c r="V12770">
        <v>0</v>
      </c>
      <c r="W12770">
        <v>1</v>
      </c>
      <c r="X12770">
        <v>0</v>
      </c>
      <c r="Y12770">
        <v>0</v>
      </c>
      <c r="Z12770">
        <v>1</v>
      </c>
      <c r="AA12770">
        <v>1</v>
      </c>
      <c r="AB12770">
        <v>0</v>
      </c>
      <c r="AC12770">
        <v>0</v>
      </c>
      <c r="AD12770">
        <v>1</v>
      </c>
      <c r="AE12770">
        <v>1</v>
      </c>
      <c r="AF12770">
        <v>1</v>
      </c>
      <c r="AG12770">
        <v>1</v>
      </c>
      <c r="AH12770">
        <v>1</v>
      </c>
      <c r="AI12770">
        <v>1</v>
      </c>
      <c r="AJ12770">
        <v>1</v>
      </c>
      <c r="AK12770">
        <v>1</v>
      </c>
      <c r="AL12770">
        <v>1</v>
      </c>
      <c r="AM12770">
        <v>1</v>
      </c>
    </row>
    <row r="12771" spans="1:39" x14ac:dyDescent="0.2">
      <c r="A12771" t="str">
        <f>"12767"</f>
        <v>12767</v>
      </c>
      <c r="B12771" t="str">
        <f t="shared" si="708"/>
        <v>1</v>
      </c>
      <c r="C12771" t="str">
        <f t="shared" si="710"/>
        <v>256</v>
      </c>
      <c r="D12771" t="str">
        <f>"3"</f>
        <v>3</v>
      </c>
      <c r="E12771" t="str">
        <f>"1-256-3"</f>
        <v>1-256-3</v>
      </c>
      <c r="F12771" t="s">
        <v>65</v>
      </c>
      <c r="G12771" t="s">
        <v>66</v>
      </c>
      <c r="H12771" t="s">
        <v>68</v>
      </c>
      <c r="I12771">
        <v>1</v>
      </c>
      <c r="J12771">
        <v>0</v>
      </c>
      <c r="K12771">
        <v>0</v>
      </c>
      <c r="L12771">
        <v>1</v>
      </c>
      <c r="M12771">
        <v>1</v>
      </c>
      <c r="N12771">
        <v>1</v>
      </c>
      <c r="O12771">
        <v>1</v>
      </c>
      <c r="P12771">
        <v>1</v>
      </c>
      <c r="Q12771">
        <v>1</v>
      </c>
      <c r="R12771">
        <v>0</v>
      </c>
    </row>
    <row r="12772" spans="1:39" x14ac:dyDescent="0.2">
      <c r="A12772" t="str">
        <f>"12768"</f>
        <v>12768</v>
      </c>
      <c r="B12772" t="str">
        <f t="shared" si="708"/>
        <v>1</v>
      </c>
      <c r="C12772" t="str">
        <f t="shared" si="710"/>
        <v>256</v>
      </c>
      <c r="D12772" t="str">
        <f>"36"</f>
        <v>36</v>
      </c>
      <c r="E12772" t="str">
        <f>"1-256-36"</f>
        <v>1-256-36</v>
      </c>
      <c r="F12772" t="s">
        <v>65</v>
      </c>
      <c r="G12772" t="s">
        <v>66</v>
      </c>
      <c r="H12772" t="s">
        <v>67</v>
      </c>
      <c r="S12772">
        <v>1</v>
      </c>
      <c r="T12772">
        <v>0</v>
      </c>
      <c r="U12772">
        <v>0</v>
      </c>
      <c r="V12772">
        <v>0</v>
      </c>
      <c r="W12772">
        <v>0</v>
      </c>
      <c r="X12772">
        <v>1</v>
      </c>
      <c r="Y12772">
        <v>1</v>
      </c>
      <c r="Z12772">
        <v>0</v>
      </c>
      <c r="AA12772">
        <v>0</v>
      </c>
      <c r="AB12772">
        <v>1</v>
      </c>
      <c r="AC12772">
        <v>0</v>
      </c>
      <c r="AD12772">
        <v>1</v>
      </c>
      <c r="AE12772">
        <v>1</v>
      </c>
      <c r="AF12772">
        <v>1</v>
      </c>
      <c r="AG12772">
        <v>1</v>
      </c>
      <c r="AH12772">
        <v>1</v>
      </c>
      <c r="AI12772">
        <v>1</v>
      </c>
      <c r="AJ12772">
        <v>1</v>
      </c>
      <c r="AK12772">
        <v>1</v>
      </c>
      <c r="AL12772">
        <v>1</v>
      </c>
      <c r="AM12772">
        <v>1</v>
      </c>
    </row>
    <row r="12773" spans="1:39" x14ac:dyDescent="0.2">
      <c r="A12773" t="str">
        <f>"12769"</f>
        <v>12769</v>
      </c>
      <c r="B12773" t="str">
        <f t="shared" si="708"/>
        <v>1</v>
      </c>
      <c r="C12773" t="str">
        <f t="shared" si="710"/>
        <v>256</v>
      </c>
      <c r="D12773" t="str">
        <f>"19"</f>
        <v>19</v>
      </c>
      <c r="E12773" t="str">
        <f>"1-256-19"</f>
        <v>1-256-19</v>
      </c>
      <c r="F12773" t="s">
        <v>65</v>
      </c>
      <c r="G12773" t="s">
        <v>66</v>
      </c>
      <c r="H12773" t="s">
        <v>67</v>
      </c>
      <c r="S12773">
        <v>0</v>
      </c>
      <c r="T12773">
        <v>0</v>
      </c>
      <c r="U12773">
        <v>0</v>
      </c>
      <c r="V12773">
        <v>0</v>
      </c>
      <c r="W12773">
        <v>0</v>
      </c>
      <c r="X12773">
        <v>1</v>
      </c>
      <c r="Y12773">
        <v>0</v>
      </c>
      <c r="Z12773">
        <v>0</v>
      </c>
      <c r="AA12773">
        <v>0</v>
      </c>
      <c r="AB12773">
        <v>0</v>
      </c>
      <c r="AC12773">
        <v>0</v>
      </c>
      <c r="AD12773">
        <v>0</v>
      </c>
      <c r="AE12773">
        <v>0</v>
      </c>
      <c r="AF12773">
        <v>0</v>
      </c>
      <c r="AG12773">
        <v>0</v>
      </c>
      <c r="AH12773">
        <v>0</v>
      </c>
      <c r="AI12773">
        <v>0</v>
      </c>
      <c r="AJ12773">
        <v>0</v>
      </c>
      <c r="AK12773">
        <v>0</v>
      </c>
      <c r="AL12773">
        <v>0</v>
      </c>
      <c r="AM12773">
        <v>0</v>
      </c>
    </row>
    <row r="12774" spans="1:39" x14ac:dyDescent="0.2">
      <c r="A12774" t="str">
        <f>"12770"</f>
        <v>12770</v>
      </c>
      <c r="B12774" t="str">
        <f t="shared" si="708"/>
        <v>1</v>
      </c>
      <c r="C12774" t="str">
        <f t="shared" si="710"/>
        <v>256</v>
      </c>
      <c r="D12774" t="str">
        <f>"13"</f>
        <v>13</v>
      </c>
      <c r="E12774" t="str">
        <f>"1-256-13"</f>
        <v>1-256-13</v>
      </c>
      <c r="F12774" t="s">
        <v>65</v>
      </c>
      <c r="G12774" t="s">
        <v>66</v>
      </c>
      <c r="H12774" t="s">
        <v>67</v>
      </c>
      <c r="S12774">
        <v>0</v>
      </c>
      <c r="T12774">
        <v>1</v>
      </c>
      <c r="U12774">
        <v>0</v>
      </c>
      <c r="V12774">
        <v>0</v>
      </c>
      <c r="W12774">
        <v>0</v>
      </c>
      <c r="X12774">
        <v>1</v>
      </c>
      <c r="Y12774">
        <v>1</v>
      </c>
      <c r="Z12774">
        <v>0</v>
      </c>
      <c r="AA12774">
        <v>0</v>
      </c>
      <c r="AB12774">
        <v>0</v>
      </c>
      <c r="AC12774">
        <v>1</v>
      </c>
      <c r="AD12774">
        <v>1</v>
      </c>
      <c r="AE12774">
        <v>1</v>
      </c>
      <c r="AF12774">
        <v>1</v>
      </c>
      <c r="AG12774">
        <v>1</v>
      </c>
      <c r="AH12774">
        <v>1</v>
      </c>
      <c r="AI12774">
        <v>1</v>
      </c>
      <c r="AJ12774">
        <v>1</v>
      </c>
      <c r="AK12774">
        <v>1</v>
      </c>
      <c r="AL12774">
        <v>1</v>
      </c>
      <c r="AM12774">
        <v>1</v>
      </c>
    </row>
    <row r="12775" spans="1:39" x14ac:dyDescent="0.2">
      <c r="A12775" t="str">
        <f>"12771"</f>
        <v>12771</v>
      </c>
      <c r="B12775" t="str">
        <f t="shared" si="708"/>
        <v>1</v>
      </c>
      <c r="C12775" t="str">
        <f t="shared" si="710"/>
        <v>256</v>
      </c>
      <c r="D12775" t="str">
        <f>"38"</f>
        <v>38</v>
      </c>
      <c r="E12775" t="str">
        <f>"1-256-38"</f>
        <v>1-256-38</v>
      </c>
      <c r="F12775" t="s">
        <v>65</v>
      </c>
      <c r="G12775" t="s">
        <v>66</v>
      </c>
      <c r="H12775" t="s">
        <v>67</v>
      </c>
      <c r="S12775">
        <v>0</v>
      </c>
      <c r="T12775">
        <v>1</v>
      </c>
      <c r="U12775">
        <v>0</v>
      </c>
      <c r="V12775">
        <v>0</v>
      </c>
      <c r="W12775">
        <v>1</v>
      </c>
      <c r="X12775">
        <v>0</v>
      </c>
      <c r="Y12775">
        <v>1</v>
      </c>
      <c r="Z12775">
        <v>0</v>
      </c>
      <c r="AA12775">
        <v>1</v>
      </c>
      <c r="AB12775">
        <v>0</v>
      </c>
      <c r="AC12775">
        <v>0</v>
      </c>
      <c r="AD12775">
        <v>0</v>
      </c>
      <c r="AE12775">
        <v>0</v>
      </c>
      <c r="AF12775">
        <v>0</v>
      </c>
      <c r="AG12775">
        <v>0</v>
      </c>
      <c r="AH12775">
        <v>0</v>
      </c>
      <c r="AI12775">
        <v>0</v>
      </c>
      <c r="AJ12775">
        <v>0</v>
      </c>
      <c r="AK12775">
        <v>0</v>
      </c>
      <c r="AL12775">
        <v>0</v>
      </c>
      <c r="AM12775">
        <v>0</v>
      </c>
    </row>
    <row r="12776" spans="1:39" x14ac:dyDescent="0.2">
      <c r="A12776" t="str">
        <f>"12772"</f>
        <v>12772</v>
      </c>
      <c r="B12776" t="str">
        <f t="shared" si="708"/>
        <v>1</v>
      </c>
      <c r="C12776" t="str">
        <f t="shared" si="710"/>
        <v>256</v>
      </c>
      <c r="D12776" t="str">
        <f>"20"</f>
        <v>20</v>
      </c>
      <c r="E12776" t="str">
        <f>"1-256-20"</f>
        <v>1-256-20</v>
      </c>
      <c r="F12776" t="s">
        <v>65</v>
      </c>
      <c r="G12776" t="s">
        <v>66</v>
      </c>
      <c r="H12776" t="s">
        <v>67</v>
      </c>
      <c r="S12776">
        <v>0</v>
      </c>
      <c r="T12776">
        <v>0</v>
      </c>
      <c r="U12776">
        <v>0</v>
      </c>
      <c r="V12776">
        <v>0</v>
      </c>
      <c r="W12776">
        <v>1</v>
      </c>
      <c r="X12776">
        <v>0</v>
      </c>
      <c r="Y12776">
        <v>0</v>
      </c>
      <c r="Z12776">
        <v>0</v>
      </c>
      <c r="AA12776">
        <v>0</v>
      </c>
      <c r="AB12776">
        <v>0</v>
      </c>
      <c r="AC12776">
        <v>0</v>
      </c>
      <c r="AD12776">
        <v>0</v>
      </c>
      <c r="AE12776">
        <v>0</v>
      </c>
      <c r="AF12776">
        <v>0</v>
      </c>
      <c r="AG12776">
        <v>0</v>
      </c>
      <c r="AH12776">
        <v>0</v>
      </c>
      <c r="AI12776">
        <v>0</v>
      </c>
      <c r="AJ12776">
        <v>0</v>
      </c>
      <c r="AK12776">
        <v>0</v>
      </c>
      <c r="AL12776">
        <v>0</v>
      </c>
      <c r="AM12776">
        <v>0</v>
      </c>
    </row>
    <row r="12777" spans="1:39" x14ac:dyDescent="0.2">
      <c r="A12777" t="str">
        <f>"12773"</f>
        <v>12773</v>
      </c>
      <c r="B12777" t="str">
        <f t="shared" si="708"/>
        <v>1</v>
      </c>
      <c r="C12777" t="str">
        <f t="shared" si="710"/>
        <v>256</v>
      </c>
      <c r="D12777" t="str">
        <f>"5"</f>
        <v>5</v>
      </c>
      <c r="E12777" t="str">
        <f>"1-256-5"</f>
        <v>1-256-5</v>
      </c>
      <c r="F12777" t="s">
        <v>65</v>
      </c>
      <c r="G12777" t="s">
        <v>66</v>
      </c>
      <c r="H12777" t="s">
        <v>68</v>
      </c>
      <c r="I12777">
        <v>1</v>
      </c>
      <c r="J12777">
        <v>0</v>
      </c>
      <c r="K12777">
        <v>0</v>
      </c>
      <c r="L12777">
        <v>1</v>
      </c>
      <c r="M12777">
        <v>1</v>
      </c>
      <c r="N12777">
        <v>1</v>
      </c>
      <c r="O12777">
        <v>1</v>
      </c>
      <c r="P12777">
        <v>1</v>
      </c>
      <c r="Q12777">
        <v>1</v>
      </c>
      <c r="R12777">
        <v>1</v>
      </c>
    </row>
    <row r="12778" spans="1:39" x14ac:dyDescent="0.2">
      <c r="A12778" t="str">
        <f>"12774"</f>
        <v>12774</v>
      </c>
      <c r="B12778" t="str">
        <f t="shared" si="708"/>
        <v>1</v>
      </c>
      <c r="C12778" t="str">
        <f t="shared" si="710"/>
        <v>256</v>
      </c>
      <c r="D12778" t="str">
        <f>"37"</f>
        <v>37</v>
      </c>
      <c r="E12778" t="str">
        <f>"1-256-37"</f>
        <v>1-256-37</v>
      </c>
      <c r="F12778" t="s">
        <v>65</v>
      </c>
      <c r="G12778" t="s">
        <v>66</v>
      </c>
      <c r="H12778" t="s">
        <v>67</v>
      </c>
      <c r="S12778">
        <v>0</v>
      </c>
      <c r="T12778">
        <v>1</v>
      </c>
      <c r="U12778">
        <v>0</v>
      </c>
      <c r="V12778">
        <v>0</v>
      </c>
      <c r="W12778">
        <v>1</v>
      </c>
      <c r="X12778">
        <v>0</v>
      </c>
      <c r="Y12778">
        <v>0</v>
      </c>
      <c r="Z12778">
        <v>1</v>
      </c>
      <c r="AA12778">
        <v>0</v>
      </c>
      <c r="AB12778">
        <v>0</v>
      </c>
      <c r="AC12778">
        <v>1</v>
      </c>
      <c r="AD12778">
        <v>0</v>
      </c>
      <c r="AE12778">
        <v>0</v>
      </c>
      <c r="AF12778">
        <v>0</v>
      </c>
      <c r="AG12778">
        <v>0</v>
      </c>
      <c r="AH12778">
        <v>0</v>
      </c>
      <c r="AI12778">
        <v>0</v>
      </c>
      <c r="AJ12778">
        <v>0</v>
      </c>
      <c r="AK12778">
        <v>0</v>
      </c>
      <c r="AL12778">
        <v>0</v>
      </c>
      <c r="AM12778">
        <v>0</v>
      </c>
    </row>
    <row r="12779" spans="1:39" x14ac:dyDescent="0.2">
      <c r="A12779" t="str">
        <f>"12775"</f>
        <v>12775</v>
      </c>
      <c r="B12779" t="str">
        <f t="shared" si="708"/>
        <v>1</v>
      </c>
      <c r="C12779" t="str">
        <f t="shared" si="710"/>
        <v>256</v>
      </c>
      <c r="D12779" t="str">
        <f>"21"</f>
        <v>21</v>
      </c>
      <c r="E12779" t="str">
        <f>"1-256-21"</f>
        <v>1-256-21</v>
      </c>
      <c r="F12779" t="s">
        <v>65</v>
      </c>
      <c r="G12779" t="s">
        <v>66</v>
      </c>
      <c r="H12779" t="s">
        <v>67</v>
      </c>
      <c r="S12779">
        <v>0</v>
      </c>
      <c r="T12779">
        <v>0</v>
      </c>
      <c r="U12779">
        <v>0</v>
      </c>
      <c r="V12779">
        <v>0</v>
      </c>
      <c r="W12779">
        <v>0</v>
      </c>
      <c r="X12779">
        <v>1</v>
      </c>
      <c r="Y12779">
        <v>0</v>
      </c>
      <c r="Z12779">
        <v>0</v>
      </c>
      <c r="AA12779">
        <v>0</v>
      </c>
      <c r="AB12779">
        <v>0</v>
      </c>
      <c r="AC12779">
        <v>0</v>
      </c>
      <c r="AD12779">
        <v>1</v>
      </c>
      <c r="AE12779">
        <v>1</v>
      </c>
      <c r="AF12779">
        <v>1</v>
      </c>
      <c r="AG12779">
        <v>1</v>
      </c>
      <c r="AH12779">
        <v>1</v>
      </c>
      <c r="AI12779">
        <v>1</v>
      </c>
      <c r="AJ12779">
        <v>1</v>
      </c>
      <c r="AK12779">
        <v>1</v>
      </c>
      <c r="AL12779">
        <v>1</v>
      </c>
      <c r="AM12779">
        <v>1</v>
      </c>
    </row>
    <row r="12780" spans="1:39" x14ac:dyDescent="0.2">
      <c r="A12780" t="str">
        <f>"12776"</f>
        <v>12776</v>
      </c>
      <c r="B12780" t="str">
        <f t="shared" si="708"/>
        <v>1</v>
      </c>
      <c r="C12780" t="str">
        <f t="shared" si="710"/>
        <v>256</v>
      </c>
      <c r="D12780" t="str">
        <f>"4"</f>
        <v>4</v>
      </c>
      <c r="E12780" t="str">
        <f>"1-256-4"</f>
        <v>1-256-4</v>
      </c>
      <c r="F12780" t="s">
        <v>65</v>
      </c>
      <c r="G12780" t="s">
        <v>66</v>
      </c>
      <c r="H12780" t="s">
        <v>68</v>
      </c>
      <c r="I12780">
        <v>1</v>
      </c>
      <c r="J12780">
        <v>0</v>
      </c>
      <c r="K12780">
        <v>1</v>
      </c>
      <c r="L12780">
        <v>0</v>
      </c>
      <c r="M12780">
        <v>1</v>
      </c>
      <c r="N12780">
        <v>1</v>
      </c>
      <c r="O12780">
        <v>1</v>
      </c>
      <c r="P12780">
        <v>1</v>
      </c>
      <c r="Q12780">
        <v>1</v>
      </c>
      <c r="R12780">
        <v>1</v>
      </c>
    </row>
    <row r="12781" spans="1:39" x14ac:dyDescent="0.2">
      <c r="A12781" t="str">
        <f>"12777"</f>
        <v>12777</v>
      </c>
      <c r="B12781" t="str">
        <f t="shared" si="708"/>
        <v>1</v>
      </c>
      <c r="C12781" t="str">
        <f t="shared" si="710"/>
        <v>256</v>
      </c>
      <c r="D12781" t="str">
        <f>"42"</f>
        <v>42</v>
      </c>
      <c r="E12781" t="str">
        <f>"1-256-42"</f>
        <v>1-256-42</v>
      </c>
      <c r="F12781" t="s">
        <v>65</v>
      </c>
      <c r="G12781" t="s">
        <v>66</v>
      </c>
      <c r="H12781" t="s">
        <v>68</v>
      </c>
      <c r="I12781">
        <v>1</v>
      </c>
      <c r="J12781">
        <v>0</v>
      </c>
      <c r="K12781">
        <v>0</v>
      </c>
      <c r="L12781">
        <v>1</v>
      </c>
      <c r="M12781">
        <v>1</v>
      </c>
      <c r="N12781">
        <v>1</v>
      </c>
      <c r="O12781">
        <v>1</v>
      </c>
      <c r="P12781">
        <v>1</v>
      </c>
      <c r="Q12781">
        <v>1</v>
      </c>
      <c r="R12781">
        <v>1</v>
      </c>
    </row>
    <row r="12782" spans="1:39" x14ac:dyDescent="0.2">
      <c r="A12782" t="str">
        <f>"12778"</f>
        <v>12778</v>
      </c>
      <c r="B12782" t="str">
        <f t="shared" si="708"/>
        <v>1</v>
      </c>
      <c r="C12782" t="str">
        <f t="shared" si="710"/>
        <v>256</v>
      </c>
      <c r="D12782" t="str">
        <f>"25"</f>
        <v>25</v>
      </c>
      <c r="E12782" t="str">
        <f>"1-256-25"</f>
        <v>1-256-25</v>
      </c>
      <c r="F12782" t="s">
        <v>65</v>
      </c>
      <c r="G12782" t="s">
        <v>66</v>
      </c>
      <c r="H12782" t="s">
        <v>67</v>
      </c>
      <c r="S12782">
        <v>1</v>
      </c>
      <c r="T12782">
        <v>0</v>
      </c>
      <c r="U12782">
        <v>0</v>
      </c>
      <c r="V12782">
        <v>0</v>
      </c>
      <c r="W12782">
        <v>1</v>
      </c>
      <c r="X12782">
        <v>0</v>
      </c>
      <c r="Y12782">
        <v>1</v>
      </c>
      <c r="Z12782">
        <v>0</v>
      </c>
      <c r="AA12782">
        <v>1</v>
      </c>
      <c r="AB12782">
        <v>0</v>
      </c>
      <c r="AC12782">
        <v>0</v>
      </c>
      <c r="AD12782">
        <v>1</v>
      </c>
      <c r="AE12782">
        <v>1</v>
      </c>
      <c r="AF12782">
        <v>1</v>
      </c>
      <c r="AG12782">
        <v>1</v>
      </c>
      <c r="AH12782">
        <v>1</v>
      </c>
      <c r="AI12782">
        <v>1</v>
      </c>
      <c r="AJ12782">
        <v>1</v>
      </c>
      <c r="AK12782">
        <v>1</v>
      </c>
      <c r="AL12782">
        <v>1</v>
      </c>
      <c r="AM12782">
        <v>1</v>
      </c>
    </row>
    <row r="12783" spans="1:39" x14ac:dyDescent="0.2">
      <c r="A12783" t="str">
        <f>"12779"</f>
        <v>12779</v>
      </c>
      <c r="B12783" t="str">
        <f t="shared" si="708"/>
        <v>1</v>
      </c>
      <c r="C12783" t="str">
        <f t="shared" si="710"/>
        <v>256</v>
      </c>
      <c r="D12783" t="str">
        <f>"12"</f>
        <v>12</v>
      </c>
      <c r="E12783" t="str">
        <f>"1-256-12"</f>
        <v>1-256-12</v>
      </c>
      <c r="F12783" t="s">
        <v>65</v>
      </c>
      <c r="G12783" t="s">
        <v>66</v>
      </c>
      <c r="H12783" t="s">
        <v>67</v>
      </c>
      <c r="S12783">
        <v>0</v>
      </c>
      <c r="T12783">
        <v>1</v>
      </c>
      <c r="U12783">
        <v>0</v>
      </c>
      <c r="V12783">
        <v>0</v>
      </c>
      <c r="W12783">
        <v>0</v>
      </c>
      <c r="X12783">
        <v>1</v>
      </c>
      <c r="Y12783">
        <v>0</v>
      </c>
      <c r="Z12783">
        <v>1</v>
      </c>
      <c r="AA12783">
        <v>0</v>
      </c>
      <c r="AB12783">
        <v>0</v>
      </c>
      <c r="AC12783">
        <v>1</v>
      </c>
      <c r="AD12783">
        <v>0</v>
      </c>
      <c r="AE12783">
        <v>0</v>
      </c>
      <c r="AF12783">
        <v>0</v>
      </c>
      <c r="AG12783">
        <v>0</v>
      </c>
      <c r="AH12783">
        <v>0</v>
      </c>
      <c r="AI12783">
        <v>0</v>
      </c>
      <c r="AJ12783">
        <v>0</v>
      </c>
      <c r="AK12783">
        <v>0</v>
      </c>
      <c r="AL12783">
        <v>0</v>
      </c>
      <c r="AM12783">
        <v>0</v>
      </c>
    </row>
    <row r="12784" spans="1:39" x14ac:dyDescent="0.2">
      <c r="A12784" t="str">
        <f>"12780"</f>
        <v>12780</v>
      </c>
      <c r="B12784" t="str">
        <f t="shared" si="708"/>
        <v>1</v>
      </c>
      <c r="C12784" t="str">
        <f t="shared" si="710"/>
        <v>256</v>
      </c>
      <c r="D12784" t="str">
        <f>"41"</f>
        <v>41</v>
      </c>
      <c r="E12784" t="str">
        <f>"1-256-41"</f>
        <v>1-256-41</v>
      </c>
      <c r="F12784" t="s">
        <v>65</v>
      </c>
      <c r="G12784" t="s">
        <v>66</v>
      </c>
      <c r="H12784" t="s">
        <v>67</v>
      </c>
      <c r="S12784">
        <v>0</v>
      </c>
      <c r="T12784">
        <v>1</v>
      </c>
      <c r="U12784">
        <v>0</v>
      </c>
      <c r="V12784">
        <v>0</v>
      </c>
      <c r="W12784">
        <v>1</v>
      </c>
      <c r="X12784">
        <v>0</v>
      </c>
      <c r="Y12784">
        <v>1</v>
      </c>
      <c r="Z12784">
        <v>0</v>
      </c>
      <c r="AA12784">
        <v>1</v>
      </c>
      <c r="AB12784">
        <v>0</v>
      </c>
      <c r="AC12784">
        <v>0</v>
      </c>
      <c r="AD12784">
        <v>1</v>
      </c>
      <c r="AE12784">
        <v>1</v>
      </c>
      <c r="AF12784">
        <v>1</v>
      </c>
      <c r="AG12784">
        <v>1</v>
      </c>
      <c r="AH12784">
        <v>1</v>
      </c>
      <c r="AI12784">
        <v>1</v>
      </c>
      <c r="AJ12784">
        <v>1</v>
      </c>
      <c r="AK12784">
        <v>1</v>
      </c>
      <c r="AL12784">
        <v>1</v>
      </c>
      <c r="AM12784">
        <v>1</v>
      </c>
    </row>
    <row r="12785" spans="1:39" x14ac:dyDescent="0.2">
      <c r="A12785" t="str">
        <f>"12781"</f>
        <v>12781</v>
      </c>
      <c r="B12785" t="str">
        <f t="shared" si="708"/>
        <v>1</v>
      </c>
      <c r="C12785" t="str">
        <f t="shared" si="710"/>
        <v>256</v>
      </c>
      <c r="D12785" t="str">
        <f>"26"</f>
        <v>26</v>
      </c>
      <c r="E12785" t="str">
        <f>"1-256-26"</f>
        <v>1-256-26</v>
      </c>
      <c r="F12785" t="s">
        <v>65</v>
      </c>
      <c r="G12785" t="s">
        <v>66</v>
      </c>
      <c r="H12785" t="s">
        <v>67</v>
      </c>
      <c r="S12785">
        <v>1</v>
      </c>
      <c r="T12785">
        <v>0</v>
      </c>
      <c r="U12785">
        <v>0</v>
      </c>
      <c r="V12785">
        <v>0</v>
      </c>
      <c r="W12785">
        <v>1</v>
      </c>
      <c r="X12785">
        <v>0</v>
      </c>
      <c r="Y12785">
        <v>1</v>
      </c>
      <c r="Z12785">
        <v>0</v>
      </c>
      <c r="AA12785">
        <v>1</v>
      </c>
      <c r="AB12785">
        <v>0</v>
      </c>
      <c r="AC12785">
        <v>0</v>
      </c>
      <c r="AD12785">
        <v>1</v>
      </c>
      <c r="AE12785">
        <v>1</v>
      </c>
      <c r="AF12785">
        <v>1</v>
      </c>
      <c r="AG12785">
        <v>1</v>
      </c>
      <c r="AH12785">
        <v>1</v>
      </c>
      <c r="AI12785">
        <v>1</v>
      </c>
      <c r="AJ12785">
        <v>1</v>
      </c>
      <c r="AK12785">
        <v>1</v>
      </c>
      <c r="AL12785">
        <v>1</v>
      </c>
      <c r="AM12785">
        <v>1</v>
      </c>
    </row>
    <row r="12786" spans="1:39" x14ac:dyDescent="0.2">
      <c r="A12786" t="str">
        <f>"12782"</f>
        <v>12782</v>
      </c>
      <c r="B12786" t="str">
        <f t="shared" si="708"/>
        <v>1</v>
      </c>
      <c r="C12786" t="str">
        <f t="shared" si="710"/>
        <v>256</v>
      </c>
      <c r="D12786" t="str">
        <f>"7"</f>
        <v>7</v>
      </c>
      <c r="E12786" t="str">
        <f>"1-256-7"</f>
        <v>1-256-7</v>
      </c>
      <c r="F12786" t="s">
        <v>65</v>
      </c>
      <c r="G12786" t="s">
        <v>66</v>
      </c>
      <c r="H12786" t="s">
        <v>67</v>
      </c>
      <c r="S12786">
        <v>0</v>
      </c>
      <c r="T12786">
        <v>1</v>
      </c>
      <c r="U12786">
        <v>0</v>
      </c>
      <c r="V12786">
        <v>0</v>
      </c>
      <c r="W12786">
        <v>0</v>
      </c>
      <c r="X12786">
        <v>1</v>
      </c>
      <c r="Y12786">
        <v>0</v>
      </c>
      <c r="Z12786">
        <v>1</v>
      </c>
      <c r="AA12786">
        <v>0</v>
      </c>
      <c r="AB12786">
        <v>0</v>
      </c>
      <c r="AC12786">
        <v>1</v>
      </c>
      <c r="AD12786">
        <v>1</v>
      </c>
      <c r="AE12786">
        <v>1</v>
      </c>
      <c r="AF12786">
        <v>1</v>
      </c>
      <c r="AG12786">
        <v>1</v>
      </c>
      <c r="AH12786">
        <v>1</v>
      </c>
      <c r="AI12786">
        <v>1</v>
      </c>
      <c r="AJ12786">
        <v>1</v>
      </c>
      <c r="AK12786">
        <v>1</v>
      </c>
      <c r="AL12786">
        <v>1</v>
      </c>
      <c r="AM12786">
        <v>1</v>
      </c>
    </row>
    <row r="12787" spans="1:39" x14ac:dyDescent="0.2">
      <c r="A12787" t="str">
        <f>"12783"</f>
        <v>12783</v>
      </c>
      <c r="B12787" t="str">
        <f t="shared" si="708"/>
        <v>1</v>
      </c>
      <c r="C12787" t="str">
        <f t="shared" ref="C12787:C12804" si="711">"256"</f>
        <v>256</v>
      </c>
      <c r="D12787" t="str">
        <f>"45"</f>
        <v>45</v>
      </c>
      <c r="E12787" t="str">
        <f>"1-256-45"</f>
        <v>1-256-45</v>
      </c>
      <c r="F12787" t="s">
        <v>65</v>
      </c>
      <c r="G12787" t="s">
        <v>66</v>
      </c>
      <c r="H12787" t="s">
        <v>68</v>
      </c>
      <c r="I12787">
        <v>1</v>
      </c>
      <c r="J12787">
        <v>1</v>
      </c>
      <c r="K12787">
        <v>0</v>
      </c>
      <c r="L12787">
        <v>0</v>
      </c>
      <c r="M12787">
        <v>1</v>
      </c>
      <c r="N12787">
        <v>1</v>
      </c>
      <c r="O12787">
        <v>1</v>
      </c>
      <c r="P12787">
        <v>1</v>
      </c>
      <c r="Q12787">
        <v>1</v>
      </c>
      <c r="R12787">
        <v>1</v>
      </c>
    </row>
    <row r="12788" spans="1:39" x14ac:dyDescent="0.2">
      <c r="A12788" t="str">
        <f>"12784"</f>
        <v>12784</v>
      </c>
      <c r="B12788" t="str">
        <f t="shared" si="708"/>
        <v>1</v>
      </c>
      <c r="C12788" t="str">
        <f t="shared" si="711"/>
        <v>256</v>
      </c>
      <c r="D12788" t="str">
        <f>"27"</f>
        <v>27</v>
      </c>
      <c r="E12788" t="str">
        <f>"1-256-27"</f>
        <v>1-256-27</v>
      </c>
      <c r="F12788" t="s">
        <v>65</v>
      </c>
      <c r="G12788" t="s">
        <v>66</v>
      </c>
      <c r="H12788" t="s">
        <v>67</v>
      </c>
      <c r="S12788">
        <v>0</v>
      </c>
      <c r="T12788">
        <v>1</v>
      </c>
      <c r="U12788">
        <v>0</v>
      </c>
      <c r="V12788">
        <v>0</v>
      </c>
      <c r="W12788">
        <v>0</v>
      </c>
      <c r="X12788">
        <v>1</v>
      </c>
      <c r="Y12788">
        <v>0</v>
      </c>
      <c r="Z12788">
        <v>0</v>
      </c>
      <c r="AA12788">
        <v>0</v>
      </c>
      <c r="AB12788">
        <v>0</v>
      </c>
      <c r="AC12788">
        <v>0</v>
      </c>
      <c r="AD12788">
        <v>0</v>
      </c>
      <c r="AE12788">
        <v>0</v>
      </c>
      <c r="AF12788">
        <v>0</v>
      </c>
      <c r="AG12788">
        <v>0</v>
      </c>
      <c r="AH12788">
        <v>0</v>
      </c>
      <c r="AI12788">
        <v>0</v>
      </c>
      <c r="AJ12788">
        <v>0</v>
      </c>
      <c r="AK12788">
        <v>0</v>
      </c>
      <c r="AL12788">
        <v>0</v>
      </c>
      <c r="AM12788">
        <v>0</v>
      </c>
    </row>
    <row r="12789" spans="1:39" x14ac:dyDescent="0.2">
      <c r="A12789" t="str">
        <f>"12785"</f>
        <v>12785</v>
      </c>
      <c r="B12789" t="str">
        <f t="shared" si="708"/>
        <v>1</v>
      </c>
      <c r="C12789" t="str">
        <f t="shared" si="711"/>
        <v>256</v>
      </c>
      <c r="D12789" t="str">
        <f>"9"</f>
        <v>9</v>
      </c>
      <c r="E12789" t="str">
        <f>"1-256-9"</f>
        <v>1-256-9</v>
      </c>
      <c r="F12789" t="s">
        <v>65</v>
      </c>
      <c r="G12789" t="s">
        <v>66</v>
      </c>
      <c r="H12789" t="s">
        <v>67</v>
      </c>
      <c r="S12789">
        <v>0</v>
      </c>
      <c r="T12789">
        <v>0</v>
      </c>
      <c r="U12789">
        <v>0</v>
      </c>
      <c r="V12789">
        <v>0</v>
      </c>
      <c r="W12789">
        <v>0</v>
      </c>
      <c r="X12789">
        <v>1</v>
      </c>
      <c r="Y12789">
        <v>0</v>
      </c>
      <c r="Z12789">
        <v>0</v>
      </c>
      <c r="AA12789">
        <v>0</v>
      </c>
      <c r="AB12789">
        <v>1</v>
      </c>
      <c r="AC12789">
        <v>0</v>
      </c>
      <c r="AD12789">
        <v>0</v>
      </c>
      <c r="AE12789">
        <v>0</v>
      </c>
      <c r="AF12789">
        <v>0</v>
      </c>
      <c r="AG12789">
        <v>0</v>
      </c>
      <c r="AH12789">
        <v>0</v>
      </c>
      <c r="AI12789">
        <v>0</v>
      </c>
      <c r="AJ12789">
        <v>0</v>
      </c>
      <c r="AK12789">
        <v>0</v>
      </c>
      <c r="AL12789">
        <v>0</v>
      </c>
      <c r="AM12789">
        <v>0</v>
      </c>
    </row>
    <row r="12790" spans="1:39" x14ac:dyDescent="0.2">
      <c r="A12790" t="str">
        <f>"12786"</f>
        <v>12786</v>
      </c>
      <c r="B12790" t="str">
        <f t="shared" si="708"/>
        <v>1</v>
      </c>
      <c r="C12790" t="str">
        <f t="shared" si="711"/>
        <v>256</v>
      </c>
      <c r="D12790" t="str">
        <f>"47"</f>
        <v>47</v>
      </c>
      <c r="E12790" t="str">
        <f>"1-256-47"</f>
        <v>1-256-47</v>
      </c>
      <c r="F12790" t="s">
        <v>65</v>
      </c>
      <c r="G12790" t="s">
        <v>66</v>
      </c>
      <c r="H12790" t="s">
        <v>68</v>
      </c>
      <c r="I12790">
        <v>1</v>
      </c>
      <c r="J12790">
        <v>1</v>
      </c>
      <c r="K12790">
        <v>0</v>
      </c>
      <c r="L12790">
        <v>0</v>
      </c>
      <c r="M12790">
        <v>1</v>
      </c>
      <c r="N12790">
        <v>1</v>
      </c>
      <c r="O12790">
        <v>0</v>
      </c>
      <c r="P12790">
        <v>1</v>
      </c>
      <c r="Q12790">
        <v>1</v>
      </c>
      <c r="R12790">
        <v>1</v>
      </c>
    </row>
    <row r="12791" spans="1:39" x14ac:dyDescent="0.2">
      <c r="A12791" t="str">
        <f>"12787"</f>
        <v>12787</v>
      </c>
      <c r="B12791" t="str">
        <f t="shared" ref="B12791:B12854" si="712">"1"</f>
        <v>1</v>
      </c>
      <c r="C12791" t="str">
        <f t="shared" si="711"/>
        <v>256</v>
      </c>
      <c r="D12791" t="str">
        <f>"28"</f>
        <v>28</v>
      </c>
      <c r="E12791" t="str">
        <f>"1-256-28"</f>
        <v>1-256-28</v>
      </c>
      <c r="F12791" t="s">
        <v>65</v>
      </c>
      <c r="G12791" t="s">
        <v>66</v>
      </c>
      <c r="H12791" t="s">
        <v>67</v>
      </c>
      <c r="S12791">
        <v>1</v>
      </c>
      <c r="T12791">
        <v>0</v>
      </c>
      <c r="U12791">
        <v>0</v>
      </c>
      <c r="V12791">
        <v>0</v>
      </c>
      <c r="W12791">
        <v>1</v>
      </c>
      <c r="X12791">
        <v>0</v>
      </c>
      <c r="Y12791">
        <v>0</v>
      </c>
      <c r="Z12791">
        <v>1</v>
      </c>
      <c r="AA12791">
        <v>0</v>
      </c>
      <c r="AB12791">
        <v>0</v>
      </c>
      <c r="AC12791">
        <v>1</v>
      </c>
      <c r="AD12791">
        <v>1</v>
      </c>
      <c r="AE12791">
        <v>1</v>
      </c>
      <c r="AF12791">
        <v>1</v>
      </c>
      <c r="AG12791">
        <v>1</v>
      </c>
      <c r="AH12791">
        <v>1</v>
      </c>
      <c r="AI12791">
        <v>1</v>
      </c>
      <c r="AJ12791">
        <v>1</v>
      </c>
      <c r="AK12791">
        <v>1</v>
      </c>
      <c r="AL12791">
        <v>1</v>
      </c>
      <c r="AM12791">
        <v>1</v>
      </c>
    </row>
    <row r="12792" spans="1:39" x14ac:dyDescent="0.2">
      <c r="A12792" t="str">
        <f>"12788"</f>
        <v>12788</v>
      </c>
      <c r="B12792" t="str">
        <f t="shared" si="712"/>
        <v>1</v>
      </c>
      <c r="C12792" t="str">
        <f t="shared" si="711"/>
        <v>256</v>
      </c>
      <c r="D12792" t="str">
        <f>"8"</f>
        <v>8</v>
      </c>
      <c r="E12792" t="str">
        <f>"1-256-8"</f>
        <v>1-256-8</v>
      </c>
      <c r="F12792" t="s">
        <v>65</v>
      </c>
      <c r="G12792" t="s">
        <v>66</v>
      </c>
      <c r="H12792" t="s">
        <v>67</v>
      </c>
      <c r="S12792">
        <v>0</v>
      </c>
      <c r="T12792">
        <v>1</v>
      </c>
      <c r="U12792">
        <v>0</v>
      </c>
      <c r="V12792">
        <v>0</v>
      </c>
      <c r="W12792">
        <v>0</v>
      </c>
      <c r="X12792">
        <v>1</v>
      </c>
      <c r="Y12792">
        <v>0</v>
      </c>
      <c r="Z12792">
        <v>1</v>
      </c>
      <c r="AA12792">
        <v>0</v>
      </c>
      <c r="AB12792">
        <v>0</v>
      </c>
      <c r="AC12792">
        <v>1</v>
      </c>
      <c r="AD12792">
        <v>1</v>
      </c>
      <c r="AE12792">
        <v>1</v>
      </c>
      <c r="AF12792">
        <v>1</v>
      </c>
      <c r="AG12792">
        <v>1</v>
      </c>
      <c r="AH12792">
        <v>1</v>
      </c>
      <c r="AI12792">
        <v>1</v>
      </c>
      <c r="AJ12792">
        <v>1</v>
      </c>
      <c r="AK12792">
        <v>1</v>
      </c>
      <c r="AL12792">
        <v>1</v>
      </c>
      <c r="AM12792">
        <v>1</v>
      </c>
    </row>
    <row r="12793" spans="1:39" x14ac:dyDescent="0.2">
      <c r="A12793" t="str">
        <f>"12789"</f>
        <v>12789</v>
      </c>
      <c r="B12793" t="str">
        <f t="shared" si="712"/>
        <v>1</v>
      </c>
      <c r="C12793" t="str">
        <f t="shared" si="711"/>
        <v>256</v>
      </c>
      <c r="D12793" t="str">
        <f>"46"</f>
        <v>46</v>
      </c>
      <c r="E12793" t="str">
        <f>"1-256-46"</f>
        <v>1-256-46</v>
      </c>
      <c r="F12793" t="s">
        <v>65</v>
      </c>
      <c r="G12793" t="s">
        <v>66</v>
      </c>
      <c r="H12793" t="s">
        <v>68</v>
      </c>
      <c r="I12793">
        <v>1</v>
      </c>
      <c r="J12793">
        <v>0</v>
      </c>
      <c r="K12793">
        <v>0</v>
      </c>
      <c r="L12793">
        <v>1</v>
      </c>
      <c r="M12793">
        <v>1</v>
      </c>
      <c r="N12793">
        <v>1</v>
      </c>
      <c r="O12793">
        <v>1</v>
      </c>
      <c r="P12793">
        <v>1</v>
      </c>
      <c r="Q12793">
        <v>1</v>
      </c>
      <c r="R12793">
        <v>1</v>
      </c>
    </row>
    <row r="12794" spans="1:39" x14ac:dyDescent="0.2">
      <c r="A12794" t="str">
        <f>"12790"</f>
        <v>12790</v>
      </c>
      <c r="B12794" t="str">
        <f t="shared" si="712"/>
        <v>1</v>
      </c>
      <c r="C12794" t="str">
        <f t="shared" si="711"/>
        <v>256</v>
      </c>
      <c r="D12794" t="str">
        <f>"29"</f>
        <v>29</v>
      </c>
      <c r="E12794" t="str">
        <f>"1-256-29"</f>
        <v>1-256-29</v>
      </c>
      <c r="F12794" t="s">
        <v>65</v>
      </c>
      <c r="G12794" t="s">
        <v>66</v>
      </c>
      <c r="H12794" t="s">
        <v>67</v>
      </c>
      <c r="S12794">
        <v>0</v>
      </c>
      <c r="T12794">
        <v>1</v>
      </c>
      <c r="U12794">
        <v>0</v>
      </c>
      <c r="V12794">
        <v>0</v>
      </c>
      <c r="W12794">
        <v>0</v>
      </c>
      <c r="X12794">
        <v>1</v>
      </c>
      <c r="Y12794">
        <v>1</v>
      </c>
      <c r="Z12794">
        <v>0</v>
      </c>
      <c r="AA12794">
        <v>0</v>
      </c>
      <c r="AB12794">
        <v>0</v>
      </c>
      <c r="AC12794">
        <v>1</v>
      </c>
      <c r="AD12794">
        <v>0</v>
      </c>
      <c r="AE12794">
        <v>0</v>
      </c>
      <c r="AF12794">
        <v>0</v>
      </c>
      <c r="AG12794">
        <v>0</v>
      </c>
      <c r="AH12794">
        <v>1</v>
      </c>
      <c r="AI12794">
        <v>1</v>
      </c>
      <c r="AJ12794">
        <v>0</v>
      </c>
      <c r="AK12794">
        <v>0</v>
      </c>
      <c r="AL12794">
        <v>1</v>
      </c>
      <c r="AM12794">
        <v>1</v>
      </c>
    </row>
    <row r="12795" spans="1:39" x14ac:dyDescent="0.2">
      <c r="A12795" t="str">
        <f>"12791"</f>
        <v>12791</v>
      </c>
      <c r="B12795" t="str">
        <f t="shared" si="712"/>
        <v>1</v>
      </c>
      <c r="C12795" t="str">
        <f t="shared" si="711"/>
        <v>256</v>
      </c>
      <c r="D12795" t="str">
        <f>"10"</f>
        <v>10</v>
      </c>
      <c r="E12795" t="str">
        <f>"1-256-10"</f>
        <v>1-256-10</v>
      </c>
      <c r="F12795" t="s">
        <v>65</v>
      </c>
      <c r="G12795" t="s">
        <v>66</v>
      </c>
      <c r="H12795" t="s">
        <v>67</v>
      </c>
      <c r="S12795">
        <v>0</v>
      </c>
      <c r="T12795">
        <v>1</v>
      </c>
      <c r="U12795">
        <v>0</v>
      </c>
      <c r="V12795">
        <v>0</v>
      </c>
      <c r="W12795">
        <v>1</v>
      </c>
      <c r="X12795">
        <v>0</v>
      </c>
      <c r="Y12795">
        <v>0</v>
      </c>
      <c r="Z12795">
        <v>1</v>
      </c>
      <c r="AA12795">
        <v>0</v>
      </c>
      <c r="AB12795">
        <v>0</v>
      </c>
      <c r="AC12795">
        <v>1</v>
      </c>
      <c r="AD12795">
        <v>0</v>
      </c>
      <c r="AE12795">
        <v>0</v>
      </c>
      <c r="AF12795">
        <v>0</v>
      </c>
      <c r="AG12795">
        <v>0</v>
      </c>
      <c r="AH12795">
        <v>0</v>
      </c>
      <c r="AI12795">
        <v>0</v>
      </c>
      <c r="AJ12795">
        <v>0</v>
      </c>
      <c r="AK12795">
        <v>0</v>
      </c>
      <c r="AL12795">
        <v>0</v>
      </c>
      <c r="AM12795">
        <v>0</v>
      </c>
    </row>
    <row r="12796" spans="1:39" x14ac:dyDescent="0.2">
      <c r="A12796" t="str">
        <f>"12792"</f>
        <v>12792</v>
      </c>
      <c r="B12796" t="str">
        <f t="shared" si="712"/>
        <v>1</v>
      </c>
      <c r="C12796" t="str">
        <f t="shared" si="711"/>
        <v>256</v>
      </c>
      <c r="D12796" t="str">
        <f>"50"</f>
        <v>50</v>
      </c>
      <c r="E12796" t="str">
        <f>"1-256-50"</f>
        <v>1-256-50</v>
      </c>
      <c r="F12796" t="s">
        <v>65</v>
      </c>
      <c r="G12796" t="s">
        <v>66</v>
      </c>
      <c r="H12796" t="s">
        <v>68</v>
      </c>
      <c r="I12796">
        <v>1</v>
      </c>
      <c r="J12796">
        <v>0</v>
      </c>
      <c r="K12796">
        <v>0</v>
      </c>
      <c r="L12796">
        <v>1</v>
      </c>
      <c r="M12796">
        <v>1</v>
      </c>
      <c r="N12796">
        <v>1</v>
      </c>
      <c r="O12796">
        <v>1</v>
      </c>
      <c r="P12796">
        <v>1</v>
      </c>
      <c r="Q12796">
        <v>1</v>
      </c>
      <c r="R12796">
        <v>1</v>
      </c>
    </row>
    <row r="12797" spans="1:39" x14ac:dyDescent="0.2">
      <c r="A12797" t="str">
        <f>"12793"</f>
        <v>12793</v>
      </c>
      <c r="B12797" t="str">
        <f t="shared" si="712"/>
        <v>1</v>
      </c>
      <c r="C12797" t="str">
        <f t="shared" si="711"/>
        <v>256</v>
      </c>
      <c r="D12797" t="str">
        <f>"30"</f>
        <v>30</v>
      </c>
      <c r="E12797" t="str">
        <f>"1-256-30"</f>
        <v>1-256-30</v>
      </c>
      <c r="F12797" t="s">
        <v>65</v>
      </c>
      <c r="G12797" t="s">
        <v>66</v>
      </c>
      <c r="H12797" t="s">
        <v>67</v>
      </c>
      <c r="S12797">
        <v>1</v>
      </c>
      <c r="T12797">
        <v>0</v>
      </c>
      <c r="U12797">
        <v>0</v>
      </c>
      <c r="V12797">
        <v>0</v>
      </c>
      <c r="W12797">
        <v>0</v>
      </c>
      <c r="X12797">
        <v>1</v>
      </c>
      <c r="Y12797">
        <v>1</v>
      </c>
      <c r="Z12797">
        <v>0</v>
      </c>
      <c r="AA12797">
        <v>0</v>
      </c>
      <c r="AB12797">
        <v>1</v>
      </c>
      <c r="AC12797">
        <v>0</v>
      </c>
      <c r="AD12797">
        <v>0</v>
      </c>
      <c r="AE12797">
        <v>0</v>
      </c>
      <c r="AF12797">
        <v>0</v>
      </c>
      <c r="AG12797">
        <v>0</v>
      </c>
      <c r="AH12797">
        <v>0</v>
      </c>
      <c r="AI12797">
        <v>0</v>
      </c>
      <c r="AJ12797">
        <v>0</v>
      </c>
      <c r="AK12797">
        <v>0</v>
      </c>
      <c r="AL12797">
        <v>0</v>
      </c>
      <c r="AM12797">
        <v>0</v>
      </c>
    </row>
    <row r="12798" spans="1:39" x14ac:dyDescent="0.2">
      <c r="A12798" t="str">
        <f>"12794"</f>
        <v>12794</v>
      </c>
      <c r="B12798" t="str">
        <f t="shared" si="712"/>
        <v>1</v>
      </c>
      <c r="C12798" t="str">
        <f t="shared" si="711"/>
        <v>256</v>
      </c>
      <c r="D12798" t="str">
        <f>"6"</f>
        <v>6</v>
      </c>
      <c r="E12798" t="str">
        <f>"1-256-6"</f>
        <v>1-256-6</v>
      </c>
      <c r="F12798" t="s">
        <v>65</v>
      </c>
      <c r="G12798" t="s">
        <v>66</v>
      </c>
      <c r="H12798" t="s">
        <v>67</v>
      </c>
      <c r="S12798">
        <v>1</v>
      </c>
      <c r="T12798">
        <v>0</v>
      </c>
      <c r="U12798">
        <v>0</v>
      </c>
      <c r="V12798">
        <v>0</v>
      </c>
      <c r="W12798">
        <v>1</v>
      </c>
      <c r="X12798">
        <v>0</v>
      </c>
      <c r="Y12798">
        <v>1</v>
      </c>
      <c r="Z12798">
        <v>0</v>
      </c>
      <c r="AA12798">
        <v>1</v>
      </c>
      <c r="AB12798">
        <v>0</v>
      </c>
      <c r="AC12798">
        <v>0</v>
      </c>
      <c r="AD12798">
        <v>1</v>
      </c>
      <c r="AE12798">
        <v>1</v>
      </c>
      <c r="AF12798">
        <v>1</v>
      </c>
      <c r="AG12798">
        <v>1</v>
      </c>
      <c r="AH12798">
        <v>1</v>
      </c>
      <c r="AI12798">
        <v>1</v>
      </c>
      <c r="AJ12798">
        <v>1</v>
      </c>
      <c r="AK12798">
        <v>1</v>
      </c>
      <c r="AL12798">
        <v>1</v>
      </c>
      <c r="AM12798">
        <v>1</v>
      </c>
    </row>
    <row r="12799" spans="1:39" x14ac:dyDescent="0.2">
      <c r="A12799" t="str">
        <f>"12795"</f>
        <v>12795</v>
      </c>
      <c r="B12799" t="str">
        <f t="shared" si="712"/>
        <v>1</v>
      </c>
      <c r="C12799" t="str">
        <f t="shared" si="711"/>
        <v>256</v>
      </c>
      <c r="D12799" t="str">
        <f>"48"</f>
        <v>48</v>
      </c>
      <c r="E12799" t="str">
        <f>"1-256-48"</f>
        <v>1-256-48</v>
      </c>
      <c r="F12799" t="s">
        <v>65</v>
      </c>
      <c r="G12799" t="s">
        <v>66</v>
      </c>
      <c r="H12799" t="s">
        <v>68</v>
      </c>
      <c r="I12799">
        <v>1</v>
      </c>
      <c r="J12799">
        <v>0</v>
      </c>
      <c r="K12799">
        <v>0</v>
      </c>
      <c r="L12799">
        <v>1</v>
      </c>
      <c r="M12799">
        <v>1</v>
      </c>
      <c r="N12799">
        <v>1</v>
      </c>
      <c r="O12799">
        <v>1</v>
      </c>
      <c r="P12799">
        <v>1</v>
      </c>
      <c r="Q12799">
        <v>1</v>
      </c>
      <c r="R12799">
        <v>1</v>
      </c>
    </row>
    <row r="12800" spans="1:39" x14ac:dyDescent="0.2">
      <c r="A12800" t="str">
        <f>"12796"</f>
        <v>12796</v>
      </c>
      <c r="B12800" t="str">
        <f t="shared" si="712"/>
        <v>1</v>
      </c>
      <c r="C12800" t="str">
        <f t="shared" si="711"/>
        <v>256</v>
      </c>
      <c r="D12800" t="str">
        <f>"31"</f>
        <v>31</v>
      </c>
      <c r="E12800" t="str">
        <f>"1-256-31"</f>
        <v>1-256-31</v>
      </c>
      <c r="F12800" t="s">
        <v>65</v>
      </c>
      <c r="G12800" t="s">
        <v>66</v>
      </c>
      <c r="H12800" t="s">
        <v>67</v>
      </c>
      <c r="S12800">
        <v>0</v>
      </c>
      <c r="T12800">
        <v>0</v>
      </c>
      <c r="U12800">
        <v>0</v>
      </c>
      <c r="V12800">
        <v>0</v>
      </c>
      <c r="W12800">
        <v>0</v>
      </c>
      <c r="X12800">
        <v>1</v>
      </c>
      <c r="Y12800">
        <v>0</v>
      </c>
      <c r="Z12800">
        <v>0</v>
      </c>
      <c r="AA12800">
        <v>0</v>
      </c>
      <c r="AB12800">
        <v>1</v>
      </c>
      <c r="AC12800">
        <v>0</v>
      </c>
      <c r="AD12800">
        <v>0</v>
      </c>
      <c r="AE12800">
        <v>0</v>
      </c>
      <c r="AF12800">
        <v>0</v>
      </c>
      <c r="AG12800">
        <v>0</v>
      </c>
      <c r="AH12800">
        <v>1</v>
      </c>
      <c r="AI12800">
        <v>0</v>
      </c>
      <c r="AJ12800">
        <v>0</v>
      </c>
      <c r="AK12800">
        <v>0</v>
      </c>
      <c r="AL12800">
        <v>0</v>
      </c>
      <c r="AM12800">
        <v>0</v>
      </c>
    </row>
    <row r="12801" spans="1:39" x14ac:dyDescent="0.2">
      <c r="A12801" t="str">
        <f>"12797"</f>
        <v>12797</v>
      </c>
      <c r="B12801" t="str">
        <f t="shared" si="712"/>
        <v>1</v>
      </c>
      <c r="C12801" t="str">
        <f t="shared" si="711"/>
        <v>256</v>
      </c>
      <c r="D12801" t="str">
        <f>"11"</f>
        <v>11</v>
      </c>
      <c r="E12801" t="str">
        <f>"1-256-11"</f>
        <v>1-256-11</v>
      </c>
      <c r="F12801" t="s">
        <v>65</v>
      </c>
      <c r="G12801" t="s">
        <v>66</v>
      </c>
      <c r="H12801" t="s">
        <v>67</v>
      </c>
      <c r="S12801">
        <v>0</v>
      </c>
      <c r="T12801">
        <v>0</v>
      </c>
      <c r="U12801">
        <v>0</v>
      </c>
      <c r="V12801">
        <v>0</v>
      </c>
      <c r="W12801">
        <v>0</v>
      </c>
      <c r="X12801">
        <v>1</v>
      </c>
      <c r="Y12801">
        <v>0</v>
      </c>
      <c r="Z12801">
        <v>0</v>
      </c>
      <c r="AA12801">
        <v>0</v>
      </c>
      <c r="AB12801">
        <v>0</v>
      </c>
      <c r="AC12801">
        <v>0</v>
      </c>
      <c r="AD12801">
        <v>0</v>
      </c>
      <c r="AE12801">
        <v>0</v>
      </c>
      <c r="AF12801">
        <v>0</v>
      </c>
      <c r="AG12801">
        <v>0</v>
      </c>
      <c r="AH12801">
        <v>0</v>
      </c>
      <c r="AI12801">
        <v>0</v>
      </c>
      <c r="AJ12801">
        <v>0</v>
      </c>
      <c r="AK12801">
        <v>0</v>
      </c>
      <c r="AL12801">
        <v>0</v>
      </c>
      <c r="AM12801">
        <v>0</v>
      </c>
    </row>
    <row r="12802" spans="1:39" x14ac:dyDescent="0.2">
      <c r="A12802" t="str">
        <f>"12798"</f>
        <v>12798</v>
      </c>
      <c r="B12802" t="str">
        <f t="shared" si="712"/>
        <v>1</v>
      </c>
      <c r="C12802" t="str">
        <f t="shared" si="711"/>
        <v>256</v>
      </c>
      <c r="D12802" t="str">
        <f>"49"</f>
        <v>49</v>
      </c>
      <c r="E12802" t="str">
        <f>"1-256-49"</f>
        <v>1-256-49</v>
      </c>
      <c r="F12802" t="s">
        <v>65</v>
      </c>
      <c r="G12802" t="s">
        <v>66</v>
      </c>
      <c r="H12802" t="s">
        <v>68</v>
      </c>
      <c r="I12802">
        <v>1</v>
      </c>
      <c r="J12802">
        <v>0</v>
      </c>
      <c r="K12802">
        <v>0</v>
      </c>
      <c r="L12802">
        <v>1</v>
      </c>
      <c r="M12802">
        <v>1</v>
      </c>
      <c r="N12802">
        <v>1</v>
      </c>
      <c r="O12802">
        <v>1</v>
      </c>
      <c r="P12802">
        <v>1</v>
      </c>
      <c r="Q12802">
        <v>1</v>
      </c>
      <c r="R12802">
        <v>1</v>
      </c>
    </row>
    <row r="12803" spans="1:39" x14ac:dyDescent="0.2">
      <c r="A12803" t="str">
        <f>"12799"</f>
        <v>12799</v>
      </c>
      <c r="B12803" t="str">
        <f t="shared" si="712"/>
        <v>1</v>
      </c>
      <c r="C12803" t="str">
        <f t="shared" si="711"/>
        <v>256</v>
      </c>
      <c r="D12803" t="str">
        <f>"32"</f>
        <v>32</v>
      </c>
      <c r="E12803" t="str">
        <f>"1-256-32"</f>
        <v>1-256-32</v>
      </c>
      <c r="F12803" t="s">
        <v>65</v>
      </c>
      <c r="G12803" t="s">
        <v>66</v>
      </c>
      <c r="H12803" t="s">
        <v>67</v>
      </c>
      <c r="S12803">
        <v>0</v>
      </c>
      <c r="T12803">
        <v>0</v>
      </c>
      <c r="U12803">
        <v>0</v>
      </c>
      <c r="V12803">
        <v>0</v>
      </c>
      <c r="W12803">
        <v>1</v>
      </c>
      <c r="X12803">
        <v>0</v>
      </c>
      <c r="Y12803">
        <v>0</v>
      </c>
      <c r="Z12803">
        <v>0</v>
      </c>
      <c r="AA12803">
        <v>0</v>
      </c>
      <c r="AB12803">
        <v>0</v>
      </c>
      <c r="AC12803">
        <v>0</v>
      </c>
      <c r="AD12803">
        <v>0</v>
      </c>
      <c r="AE12803">
        <v>0</v>
      </c>
      <c r="AF12803">
        <v>0</v>
      </c>
      <c r="AG12803">
        <v>1</v>
      </c>
      <c r="AH12803">
        <v>0</v>
      </c>
      <c r="AI12803">
        <v>1</v>
      </c>
      <c r="AJ12803">
        <v>1</v>
      </c>
      <c r="AK12803">
        <v>1</v>
      </c>
      <c r="AL12803">
        <v>0</v>
      </c>
      <c r="AM12803">
        <v>0</v>
      </c>
    </row>
    <row r="12804" spans="1:39" x14ac:dyDescent="0.2">
      <c r="A12804" t="str">
        <f>"12800"</f>
        <v>12800</v>
      </c>
      <c r="B12804" t="str">
        <f t="shared" si="712"/>
        <v>1</v>
      </c>
      <c r="C12804" t="str">
        <f t="shared" si="711"/>
        <v>256</v>
      </c>
      <c r="D12804" t="str">
        <f>"14"</f>
        <v>14</v>
      </c>
      <c r="E12804" t="str">
        <f>"1-256-14"</f>
        <v>1-256-14</v>
      </c>
      <c r="F12804" t="s">
        <v>65</v>
      </c>
      <c r="G12804" t="s">
        <v>66</v>
      </c>
      <c r="H12804" t="s">
        <v>67</v>
      </c>
      <c r="S12804">
        <v>0</v>
      </c>
      <c r="T12804">
        <v>1</v>
      </c>
      <c r="U12804">
        <v>0</v>
      </c>
      <c r="V12804">
        <v>0</v>
      </c>
      <c r="W12804">
        <v>1</v>
      </c>
      <c r="X12804">
        <v>0</v>
      </c>
      <c r="Y12804">
        <v>0</v>
      </c>
      <c r="Z12804">
        <v>1</v>
      </c>
      <c r="AA12804">
        <v>0</v>
      </c>
      <c r="AB12804">
        <v>1</v>
      </c>
      <c r="AC12804">
        <v>0</v>
      </c>
      <c r="AD12804">
        <v>1</v>
      </c>
      <c r="AE12804">
        <v>1</v>
      </c>
      <c r="AF12804">
        <v>1</v>
      </c>
      <c r="AG12804">
        <v>1</v>
      </c>
      <c r="AH12804">
        <v>1</v>
      </c>
      <c r="AI12804">
        <v>1</v>
      </c>
      <c r="AJ12804">
        <v>1</v>
      </c>
      <c r="AK12804">
        <v>1</v>
      </c>
      <c r="AL12804">
        <v>1</v>
      </c>
      <c r="AM12804">
        <v>1</v>
      </c>
    </row>
    <row r="12805" spans="1:39" x14ac:dyDescent="0.2">
      <c r="A12805" t="str">
        <f>"12801"</f>
        <v>12801</v>
      </c>
      <c r="B12805" t="str">
        <f t="shared" si="712"/>
        <v>1</v>
      </c>
      <c r="C12805" t="str">
        <f t="shared" ref="C12805:C12836" si="713">"257"</f>
        <v>257</v>
      </c>
      <c r="D12805" t="str">
        <f>"34"</f>
        <v>34</v>
      </c>
      <c r="E12805" t="str">
        <f>"1-257-34"</f>
        <v>1-257-34</v>
      </c>
      <c r="F12805" t="s">
        <v>65</v>
      </c>
      <c r="G12805" t="s">
        <v>66</v>
      </c>
      <c r="H12805" t="s">
        <v>67</v>
      </c>
      <c r="S12805">
        <v>1</v>
      </c>
      <c r="T12805">
        <v>0</v>
      </c>
      <c r="U12805">
        <v>0</v>
      </c>
      <c r="V12805">
        <v>0</v>
      </c>
      <c r="W12805">
        <v>1</v>
      </c>
      <c r="X12805">
        <v>0</v>
      </c>
      <c r="Y12805">
        <v>1</v>
      </c>
      <c r="Z12805">
        <v>0</v>
      </c>
      <c r="AA12805">
        <v>1</v>
      </c>
      <c r="AB12805">
        <v>0</v>
      </c>
      <c r="AC12805">
        <v>0</v>
      </c>
      <c r="AD12805">
        <v>1</v>
      </c>
      <c r="AE12805">
        <v>1</v>
      </c>
      <c r="AF12805">
        <v>1</v>
      </c>
      <c r="AG12805">
        <v>1</v>
      </c>
      <c r="AH12805">
        <v>1</v>
      </c>
      <c r="AI12805">
        <v>1</v>
      </c>
      <c r="AJ12805">
        <v>1</v>
      </c>
      <c r="AK12805">
        <v>1</v>
      </c>
      <c r="AL12805">
        <v>1</v>
      </c>
      <c r="AM12805">
        <v>1</v>
      </c>
    </row>
    <row r="12806" spans="1:39" x14ac:dyDescent="0.2">
      <c r="A12806" t="str">
        <f>"12802"</f>
        <v>12802</v>
      </c>
      <c r="B12806" t="str">
        <f t="shared" si="712"/>
        <v>1</v>
      </c>
      <c r="C12806" t="str">
        <f t="shared" si="713"/>
        <v>257</v>
      </c>
      <c r="D12806" t="str">
        <f>"33"</f>
        <v>33</v>
      </c>
      <c r="E12806" t="str">
        <f>"1-257-33"</f>
        <v>1-257-33</v>
      </c>
      <c r="F12806" t="s">
        <v>65</v>
      </c>
      <c r="G12806" t="s">
        <v>66</v>
      </c>
      <c r="H12806" t="s">
        <v>67</v>
      </c>
      <c r="S12806">
        <v>1</v>
      </c>
      <c r="T12806">
        <v>0</v>
      </c>
      <c r="U12806">
        <v>0</v>
      </c>
      <c r="V12806">
        <v>0</v>
      </c>
      <c r="W12806">
        <v>1</v>
      </c>
      <c r="X12806">
        <v>0</v>
      </c>
      <c r="Y12806">
        <v>0</v>
      </c>
      <c r="Z12806">
        <v>1</v>
      </c>
      <c r="AA12806">
        <v>1</v>
      </c>
      <c r="AB12806">
        <v>0</v>
      </c>
      <c r="AC12806">
        <v>0</v>
      </c>
      <c r="AD12806">
        <v>1</v>
      </c>
      <c r="AE12806">
        <v>1</v>
      </c>
      <c r="AF12806">
        <v>1</v>
      </c>
      <c r="AG12806">
        <v>1</v>
      </c>
      <c r="AH12806">
        <v>1</v>
      </c>
      <c r="AI12806">
        <v>1</v>
      </c>
      <c r="AJ12806">
        <v>1</v>
      </c>
      <c r="AK12806">
        <v>1</v>
      </c>
      <c r="AL12806">
        <v>1</v>
      </c>
      <c r="AM12806">
        <v>1</v>
      </c>
    </row>
    <row r="12807" spans="1:39" x14ac:dyDescent="0.2">
      <c r="A12807" t="str">
        <f>"12803"</f>
        <v>12803</v>
      </c>
      <c r="B12807" t="str">
        <f t="shared" si="712"/>
        <v>1</v>
      </c>
      <c r="C12807" t="str">
        <f t="shared" si="713"/>
        <v>257</v>
      </c>
      <c r="D12807" t="str">
        <f>"22"</f>
        <v>22</v>
      </c>
      <c r="E12807" t="str">
        <f>"1-257-22"</f>
        <v>1-257-22</v>
      </c>
      <c r="F12807" t="s">
        <v>65</v>
      </c>
      <c r="G12807" t="s">
        <v>66</v>
      </c>
      <c r="H12807" t="s">
        <v>67</v>
      </c>
      <c r="S12807">
        <v>0</v>
      </c>
      <c r="T12807">
        <v>1</v>
      </c>
      <c r="U12807">
        <v>0</v>
      </c>
      <c r="V12807">
        <v>0</v>
      </c>
      <c r="W12807">
        <v>1</v>
      </c>
      <c r="X12807">
        <v>0</v>
      </c>
      <c r="Y12807">
        <v>1</v>
      </c>
      <c r="Z12807">
        <v>0</v>
      </c>
      <c r="AA12807">
        <v>0</v>
      </c>
      <c r="AB12807">
        <v>1</v>
      </c>
      <c r="AC12807">
        <v>0</v>
      </c>
      <c r="AD12807">
        <v>0</v>
      </c>
      <c r="AE12807">
        <v>0</v>
      </c>
      <c r="AF12807">
        <v>0</v>
      </c>
      <c r="AG12807">
        <v>0</v>
      </c>
      <c r="AH12807">
        <v>1</v>
      </c>
      <c r="AI12807">
        <v>1</v>
      </c>
      <c r="AJ12807">
        <v>1</v>
      </c>
      <c r="AK12807">
        <v>0</v>
      </c>
      <c r="AL12807">
        <v>1</v>
      </c>
      <c r="AM12807">
        <v>0</v>
      </c>
    </row>
    <row r="12808" spans="1:39" x14ac:dyDescent="0.2">
      <c r="A12808" t="str">
        <f>"12804"</f>
        <v>12804</v>
      </c>
      <c r="B12808" t="str">
        <f t="shared" si="712"/>
        <v>1</v>
      </c>
      <c r="C12808" t="str">
        <f t="shared" si="713"/>
        <v>257</v>
      </c>
      <c r="D12808" t="str">
        <f>"15"</f>
        <v>15</v>
      </c>
      <c r="E12808" t="str">
        <f>"1-257-15"</f>
        <v>1-257-15</v>
      </c>
      <c r="F12808" t="s">
        <v>65</v>
      </c>
      <c r="G12808" t="s">
        <v>66</v>
      </c>
      <c r="H12808" t="s">
        <v>67</v>
      </c>
      <c r="S12808">
        <v>0</v>
      </c>
      <c r="T12808">
        <v>1</v>
      </c>
      <c r="U12808">
        <v>0</v>
      </c>
      <c r="V12808">
        <v>0</v>
      </c>
      <c r="W12808">
        <v>1</v>
      </c>
      <c r="X12808">
        <v>0</v>
      </c>
      <c r="Y12808">
        <v>0</v>
      </c>
      <c r="Z12808">
        <v>1</v>
      </c>
      <c r="AA12808">
        <v>1</v>
      </c>
      <c r="AB12808">
        <v>0</v>
      </c>
      <c r="AC12808">
        <v>0</v>
      </c>
      <c r="AD12808">
        <v>1</v>
      </c>
      <c r="AE12808">
        <v>1</v>
      </c>
      <c r="AF12808">
        <v>1</v>
      </c>
      <c r="AG12808">
        <v>1</v>
      </c>
      <c r="AH12808">
        <v>1</v>
      </c>
      <c r="AI12808">
        <v>1</v>
      </c>
      <c r="AJ12808">
        <v>1</v>
      </c>
      <c r="AK12808">
        <v>1</v>
      </c>
      <c r="AL12808">
        <v>1</v>
      </c>
      <c r="AM12808">
        <v>1</v>
      </c>
    </row>
    <row r="12809" spans="1:39" x14ac:dyDescent="0.2">
      <c r="A12809" t="str">
        <f>"12805"</f>
        <v>12805</v>
      </c>
      <c r="B12809" t="str">
        <f t="shared" si="712"/>
        <v>1</v>
      </c>
      <c r="C12809" t="str">
        <f t="shared" si="713"/>
        <v>257</v>
      </c>
      <c r="D12809" t="str">
        <f>"2"</f>
        <v>2</v>
      </c>
      <c r="E12809" t="str">
        <f>"1-257-2"</f>
        <v>1-257-2</v>
      </c>
      <c r="F12809" t="s">
        <v>65</v>
      </c>
      <c r="G12809" t="s">
        <v>66</v>
      </c>
      <c r="H12809" t="s">
        <v>68</v>
      </c>
      <c r="I12809">
        <v>1</v>
      </c>
      <c r="J12809">
        <v>0</v>
      </c>
      <c r="K12809">
        <v>0</v>
      </c>
      <c r="L12809">
        <v>1</v>
      </c>
      <c r="M12809">
        <v>1</v>
      </c>
      <c r="N12809">
        <v>1</v>
      </c>
      <c r="O12809">
        <v>1</v>
      </c>
      <c r="P12809">
        <v>1</v>
      </c>
      <c r="Q12809">
        <v>1</v>
      </c>
      <c r="R12809">
        <v>1</v>
      </c>
    </row>
    <row r="12810" spans="1:39" x14ac:dyDescent="0.2">
      <c r="A12810" t="str">
        <f>"12806"</f>
        <v>12806</v>
      </c>
      <c r="B12810" t="str">
        <f t="shared" si="712"/>
        <v>1</v>
      </c>
      <c r="C12810" t="str">
        <f t="shared" si="713"/>
        <v>257</v>
      </c>
      <c r="D12810" t="str">
        <f>"37"</f>
        <v>37</v>
      </c>
      <c r="E12810" t="str">
        <f>"1-257-37"</f>
        <v>1-257-37</v>
      </c>
      <c r="F12810" t="s">
        <v>65</v>
      </c>
      <c r="G12810" t="s">
        <v>66</v>
      </c>
      <c r="H12810" t="s">
        <v>67</v>
      </c>
      <c r="S12810">
        <v>0</v>
      </c>
      <c r="T12810">
        <v>0</v>
      </c>
      <c r="U12810">
        <v>0</v>
      </c>
      <c r="V12810">
        <v>0</v>
      </c>
      <c r="W12810">
        <v>0</v>
      </c>
      <c r="X12810">
        <v>1</v>
      </c>
      <c r="Y12810">
        <v>0</v>
      </c>
      <c r="Z12810">
        <v>0</v>
      </c>
      <c r="AA12810">
        <v>0</v>
      </c>
      <c r="AB12810">
        <v>0</v>
      </c>
      <c r="AC12810">
        <v>0</v>
      </c>
      <c r="AD12810">
        <v>0</v>
      </c>
      <c r="AE12810">
        <v>0</v>
      </c>
      <c r="AF12810">
        <v>0</v>
      </c>
      <c r="AG12810">
        <v>0</v>
      </c>
      <c r="AH12810">
        <v>0</v>
      </c>
      <c r="AI12810">
        <v>0</v>
      </c>
      <c r="AJ12810">
        <v>0</v>
      </c>
      <c r="AK12810">
        <v>0</v>
      </c>
      <c r="AL12810">
        <v>0</v>
      </c>
      <c r="AM12810">
        <v>0</v>
      </c>
    </row>
    <row r="12811" spans="1:39" x14ac:dyDescent="0.2">
      <c r="A12811" t="str">
        <f>"12807"</f>
        <v>12807</v>
      </c>
      <c r="B12811" t="str">
        <f t="shared" si="712"/>
        <v>1</v>
      </c>
      <c r="C12811" t="str">
        <f t="shared" si="713"/>
        <v>257</v>
      </c>
      <c r="D12811" t="str">
        <f>"36"</f>
        <v>36</v>
      </c>
      <c r="E12811" t="str">
        <f>"1-257-36"</f>
        <v>1-257-36</v>
      </c>
      <c r="F12811" t="s">
        <v>65</v>
      </c>
      <c r="G12811" t="s">
        <v>66</v>
      </c>
      <c r="H12811" t="s">
        <v>67</v>
      </c>
      <c r="S12811">
        <v>0</v>
      </c>
      <c r="T12811">
        <v>0</v>
      </c>
      <c r="U12811">
        <v>0</v>
      </c>
      <c r="V12811">
        <v>0</v>
      </c>
      <c r="W12811">
        <v>0</v>
      </c>
      <c r="X12811">
        <v>1</v>
      </c>
      <c r="Y12811">
        <v>0</v>
      </c>
      <c r="Z12811">
        <v>1</v>
      </c>
      <c r="AA12811">
        <v>0</v>
      </c>
      <c r="AB12811">
        <v>0</v>
      </c>
      <c r="AC12811">
        <v>0</v>
      </c>
      <c r="AD12811">
        <v>0</v>
      </c>
      <c r="AE12811">
        <v>0</v>
      </c>
      <c r="AF12811">
        <v>0</v>
      </c>
      <c r="AG12811">
        <v>0</v>
      </c>
      <c r="AH12811">
        <v>0</v>
      </c>
      <c r="AI12811">
        <v>0</v>
      </c>
      <c r="AJ12811">
        <v>0</v>
      </c>
      <c r="AK12811">
        <v>0</v>
      </c>
      <c r="AL12811">
        <v>0</v>
      </c>
      <c r="AM12811">
        <v>0</v>
      </c>
    </row>
    <row r="12812" spans="1:39" x14ac:dyDescent="0.2">
      <c r="A12812" t="str">
        <f>"12808"</f>
        <v>12808</v>
      </c>
      <c r="B12812" t="str">
        <f t="shared" si="712"/>
        <v>1</v>
      </c>
      <c r="C12812" t="str">
        <f t="shared" si="713"/>
        <v>257</v>
      </c>
      <c r="D12812" t="str">
        <f>"28"</f>
        <v>28</v>
      </c>
      <c r="E12812" t="str">
        <f>"1-257-28"</f>
        <v>1-257-28</v>
      </c>
      <c r="F12812" t="s">
        <v>65</v>
      </c>
      <c r="G12812" t="s">
        <v>66</v>
      </c>
      <c r="H12812" t="s">
        <v>67</v>
      </c>
      <c r="S12812">
        <v>0</v>
      </c>
      <c r="T12812">
        <v>0</v>
      </c>
      <c r="U12812">
        <v>0</v>
      </c>
      <c r="V12812">
        <v>0</v>
      </c>
      <c r="W12812">
        <v>0</v>
      </c>
      <c r="X12812">
        <v>1</v>
      </c>
      <c r="Y12812">
        <v>0</v>
      </c>
      <c r="Z12812">
        <v>0</v>
      </c>
      <c r="AA12812">
        <v>0</v>
      </c>
      <c r="AB12812">
        <v>0</v>
      </c>
      <c r="AC12812">
        <v>0</v>
      </c>
      <c r="AD12812">
        <v>0</v>
      </c>
      <c r="AE12812">
        <v>0</v>
      </c>
      <c r="AF12812">
        <v>0</v>
      </c>
      <c r="AG12812">
        <v>0</v>
      </c>
      <c r="AH12812">
        <v>0</v>
      </c>
      <c r="AI12812">
        <v>0</v>
      </c>
      <c r="AJ12812">
        <v>0</v>
      </c>
      <c r="AK12812">
        <v>0</v>
      </c>
      <c r="AL12812">
        <v>0</v>
      </c>
      <c r="AM12812">
        <v>0</v>
      </c>
    </row>
    <row r="12813" spans="1:39" x14ac:dyDescent="0.2">
      <c r="A12813" t="str">
        <f>"12809"</f>
        <v>12809</v>
      </c>
      <c r="B12813" t="str">
        <f t="shared" si="712"/>
        <v>1</v>
      </c>
      <c r="C12813" t="str">
        <f t="shared" si="713"/>
        <v>257</v>
      </c>
      <c r="D12813" t="str">
        <f>"7"</f>
        <v>7</v>
      </c>
      <c r="E12813" t="str">
        <f>"1-257-7"</f>
        <v>1-257-7</v>
      </c>
      <c r="F12813" t="s">
        <v>65</v>
      </c>
      <c r="G12813" t="s">
        <v>66</v>
      </c>
      <c r="H12813" t="s">
        <v>67</v>
      </c>
      <c r="S12813">
        <v>1</v>
      </c>
      <c r="T12813">
        <v>0</v>
      </c>
      <c r="U12813">
        <v>0</v>
      </c>
      <c r="V12813">
        <v>0</v>
      </c>
      <c r="W12813">
        <v>1</v>
      </c>
      <c r="X12813">
        <v>0</v>
      </c>
      <c r="Y12813">
        <v>1</v>
      </c>
      <c r="Z12813">
        <v>0</v>
      </c>
      <c r="AA12813">
        <v>1</v>
      </c>
      <c r="AB12813">
        <v>0</v>
      </c>
      <c r="AC12813">
        <v>0</v>
      </c>
      <c r="AD12813">
        <v>1</v>
      </c>
      <c r="AE12813">
        <v>1</v>
      </c>
      <c r="AF12813">
        <v>1</v>
      </c>
      <c r="AG12813">
        <v>0</v>
      </c>
      <c r="AH12813">
        <v>1</v>
      </c>
      <c r="AI12813">
        <v>1</v>
      </c>
      <c r="AJ12813">
        <v>1</v>
      </c>
      <c r="AK12813">
        <v>1</v>
      </c>
      <c r="AL12813">
        <v>1</v>
      </c>
      <c r="AM12813">
        <v>1</v>
      </c>
    </row>
    <row r="12814" spans="1:39" x14ac:dyDescent="0.2">
      <c r="A12814" t="str">
        <f>"12810"</f>
        <v>12810</v>
      </c>
      <c r="B12814" t="str">
        <f t="shared" si="712"/>
        <v>1</v>
      </c>
      <c r="C12814" t="str">
        <f t="shared" si="713"/>
        <v>257</v>
      </c>
      <c r="D12814" t="str">
        <f>"47"</f>
        <v>47</v>
      </c>
      <c r="E12814" t="str">
        <f>"1-257-47"</f>
        <v>1-257-47</v>
      </c>
      <c r="F12814" t="s">
        <v>65</v>
      </c>
      <c r="G12814" t="s">
        <v>66</v>
      </c>
      <c r="H12814" t="s">
        <v>68</v>
      </c>
      <c r="I12814">
        <v>1</v>
      </c>
      <c r="J12814">
        <v>0</v>
      </c>
      <c r="K12814">
        <v>1</v>
      </c>
      <c r="L12814">
        <v>0</v>
      </c>
      <c r="M12814">
        <v>1</v>
      </c>
      <c r="N12814">
        <v>1</v>
      </c>
      <c r="O12814">
        <v>1</v>
      </c>
      <c r="P12814">
        <v>1</v>
      </c>
      <c r="Q12814">
        <v>1</v>
      </c>
      <c r="R12814">
        <v>1</v>
      </c>
    </row>
    <row r="12815" spans="1:39" x14ac:dyDescent="0.2">
      <c r="A12815" t="str">
        <f>"12811"</f>
        <v>12811</v>
      </c>
      <c r="B12815" t="str">
        <f t="shared" si="712"/>
        <v>1</v>
      </c>
      <c r="C12815" t="str">
        <f t="shared" si="713"/>
        <v>257</v>
      </c>
      <c r="D12815" t="str">
        <f>"46"</f>
        <v>46</v>
      </c>
      <c r="E12815" t="str">
        <f>"1-257-46"</f>
        <v>1-257-46</v>
      </c>
      <c r="F12815" t="s">
        <v>65</v>
      </c>
      <c r="G12815" t="s">
        <v>66</v>
      </c>
      <c r="H12815" t="s">
        <v>68</v>
      </c>
      <c r="I12815">
        <v>1</v>
      </c>
      <c r="J12815">
        <v>1</v>
      </c>
      <c r="K12815">
        <v>0</v>
      </c>
      <c r="L12815">
        <v>0</v>
      </c>
      <c r="M12815">
        <v>1</v>
      </c>
      <c r="N12815">
        <v>1</v>
      </c>
      <c r="O12815">
        <v>1</v>
      </c>
      <c r="P12815">
        <v>1</v>
      </c>
      <c r="Q12815">
        <v>1</v>
      </c>
      <c r="R12815">
        <v>1</v>
      </c>
    </row>
    <row r="12816" spans="1:39" x14ac:dyDescent="0.2">
      <c r="A12816" t="str">
        <f>"12812"</f>
        <v>12812</v>
      </c>
      <c r="B12816" t="str">
        <f t="shared" si="712"/>
        <v>1</v>
      </c>
      <c r="C12816" t="str">
        <f t="shared" si="713"/>
        <v>257</v>
      </c>
      <c r="D12816" t="str">
        <f>"31"</f>
        <v>31</v>
      </c>
      <c r="E12816" t="str">
        <f>"1-257-31"</f>
        <v>1-257-31</v>
      </c>
      <c r="F12816" t="s">
        <v>65</v>
      </c>
      <c r="G12816" t="s">
        <v>66</v>
      </c>
      <c r="H12816" t="s">
        <v>67</v>
      </c>
      <c r="S12816">
        <v>1</v>
      </c>
      <c r="T12816">
        <v>0</v>
      </c>
      <c r="U12816">
        <v>0</v>
      </c>
      <c r="V12816">
        <v>0</v>
      </c>
      <c r="W12816">
        <v>1</v>
      </c>
      <c r="X12816">
        <v>0</v>
      </c>
      <c r="Y12816">
        <v>1</v>
      </c>
      <c r="Z12816">
        <v>0</v>
      </c>
      <c r="AA12816">
        <v>1</v>
      </c>
      <c r="AB12816">
        <v>0</v>
      </c>
      <c r="AC12816">
        <v>0</v>
      </c>
      <c r="AD12816">
        <v>1</v>
      </c>
      <c r="AE12816">
        <v>1</v>
      </c>
      <c r="AF12816">
        <v>1</v>
      </c>
      <c r="AG12816">
        <v>1</v>
      </c>
      <c r="AH12816">
        <v>1</v>
      </c>
      <c r="AI12816">
        <v>1</v>
      </c>
      <c r="AJ12816">
        <v>1</v>
      </c>
      <c r="AK12816">
        <v>1</v>
      </c>
      <c r="AL12816">
        <v>1</v>
      </c>
      <c r="AM12816">
        <v>0</v>
      </c>
    </row>
    <row r="12817" spans="1:39" x14ac:dyDescent="0.2">
      <c r="A12817" t="str">
        <f>"12813"</f>
        <v>12813</v>
      </c>
      <c r="B12817" t="str">
        <f t="shared" si="712"/>
        <v>1</v>
      </c>
      <c r="C12817" t="str">
        <f t="shared" si="713"/>
        <v>257</v>
      </c>
      <c r="D12817" t="str">
        <f>"17"</f>
        <v>17</v>
      </c>
      <c r="E12817" t="str">
        <f>"1-257-17"</f>
        <v>1-257-17</v>
      </c>
      <c r="F12817" t="s">
        <v>65</v>
      </c>
      <c r="G12817" t="s">
        <v>66</v>
      </c>
      <c r="H12817" t="s">
        <v>67</v>
      </c>
      <c r="S12817">
        <v>0</v>
      </c>
      <c r="T12817">
        <v>1</v>
      </c>
      <c r="U12817">
        <v>0</v>
      </c>
      <c r="V12817">
        <v>0</v>
      </c>
      <c r="W12817">
        <v>1</v>
      </c>
      <c r="X12817">
        <v>0</v>
      </c>
      <c r="Y12817">
        <v>1</v>
      </c>
      <c r="Z12817">
        <v>0</v>
      </c>
      <c r="AA12817">
        <v>1</v>
      </c>
      <c r="AB12817">
        <v>0</v>
      </c>
      <c r="AC12817">
        <v>0</v>
      </c>
      <c r="AD12817">
        <v>0</v>
      </c>
      <c r="AE12817">
        <v>0</v>
      </c>
      <c r="AF12817">
        <v>0</v>
      </c>
      <c r="AG12817">
        <v>0</v>
      </c>
      <c r="AH12817">
        <v>0</v>
      </c>
      <c r="AI12817">
        <v>0</v>
      </c>
      <c r="AJ12817">
        <v>0</v>
      </c>
      <c r="AK12817">
        <v>0</v>
      </c>
      <c r="AL12817">
        <v>0</v>
      </c>
      <c r="AM12817">
        <v>0</v>
      </c>
    </row>
    <row r="12818" spans="1:39" x14ac:dyDescent="0.2">
      <c r="A12818" t="str">
        <f>"12814"</f>
        <v>12814</v>
      </c>
      <c r="B12818" t="str">
        <f t="shared" si="712"/>
        <v>1</v>
      </c>
      <c r="C12818" t="str">
        <f t="shared" si="713"/>
        <v>257</v>
      </c>
      <c r="D12818" t="str">
        <f>"8"</f>
        <v>8</v>
      </c>
      <c r="E12818" t="str">
        <f>"1-257-8"</f>
        <v>1-257-8</v>
      </c>
      <c r="F12818" t="s">
        <v>65</v>
      </c>
      <c r="G12818" t="s">
        <v>66</v>
      </c>
      <c r="H12818" t="s">
        <v>67</v>
      </c>
      <c r="S12818">
        <v>0</v>
      </c>
      <c r="T12818">
        <v>1</v>
      </c>
      <c r="U12818">
        <v>0</v>
      </c>
      <c r="V12818">
        <v>0</v>
      </c>
      <c r="W12818">
        <v>0</v>
      </c>
      <c r="X12818">
        <v>1</v>
      </c>
      <c r="Y12818">
        <v>0</v>
      </c>
      <c r="Z12818">
        <v>1</v>
      </c>
      <c r="AA12818">
        <v>0</v>
      </c>
      <c r="AB12818">
        <v>0</v>
      </c>
      <c r="AC12818">
        <v>1</v>
      </c>
      <c r="AD12818">
        <v>1</v>
      </c>
      <c r="AE12818">
        <v>1</v>
      </c>
      <c r="AF12818">
        <v>1</v>
      </c>
      <c r="AG12818">
        <v>1</v>
      </c>
      <c r="AH12818">
        <v>1</v>
      </c>
      <c r="AI12818">
        <v>1</v>
      </c>
      <c r="AJ12818">
        <v>1</v>
      </c>
      <c r="AK12818">
        <v>1</v>
      </c>
      <c r="AL12818">
        <v>1</v>
      </c>
      <c r="AM12818">
        <v>1</v>
      </c>
    </row>
    <row r="12819" spans="1:39" x14ac:dyDescent="0.2">
      <c r="A12819" t="str">
        <f>"12815"</f>
        <v>12815</v>
      </c>
      <c r="B12819" t="str">
        <f t="shared" si="712"/>
        <v>1</v>
      </c>
      <c r="C12819" t="str">
        <f t="shared" si="713"/>
        <v>257</v>
      </c>
      <c r="D12819" t="str">
        <f>"45"</f>
        <v>45</v>
      </c>
      <c r="E12819" t="str">
        <f>"1-257-45"</f>
        <v>1-257-45</v>
      </c>
      <c r="F12819" t="s">
        <v>65</v>
      </c>
      <c r="G12819" t="s">
        <v>66</v>
      </c>
      <c r="H12819" t="s">
        <v>68</v>
      </c>
      <c r="I12819">
        <v>1</v>
      </c>
      <c r="J12819">
        <v>0</v>
      </c>
      <c r="K12819">
        <v>0</v>
      </c>
      <c r="L12819">
        <v>1</v>
      </c>
      <c r="M12819">
        <v>1</v>
      </c>
      <c r="N12819">
        <v>1</v>
      </c>
      <c r="O12819">
        <v>1</v>
      </c>
      <c r="P12819">
        <v>1</v>
      </c>
      <c r="Q12819">
        <v>1</v>
      </c>
      <c r="R12819">
        <v>1</v>
      </c>
    </row>
    <row r="12820" spans="1:39" x14ac:dyDescent="0.2">
      <c r="A12820" t="str">
        <f>"12816"</f>
        <v>12816</v>
      </c>
      <c r="B12820" t="str">
        <f t="shared" si="712"/>
        <v>1</v>
      </c>
      <c r="C12820" t="str">
        <f t="shared" si="713"/>
        <v>257</v>
      </c>
      <c r="D12820" t="str">
        <f>"44"</f>
        <v>44</v>
      </c>
      <c r="E12820" t="str">
        <f>"1-257-44"</f>
        <v>1-257-44</v>
      </c>
      <c r="F12820" t="s">
        <v>65</v>
      </c>
      <c r="G12820" t="s">
        <v>66</v>
      </c>
      <c r="H12820" t="s">
        <v>68</v>
      </c>
      <c r="I12820">
        <v>1</v>
      </c>
      <c r="J12820">
        <v>1</v>
      </c>
      <c r="K12820">
        <v>0</v>
      </c>
      <c r="L12820">
        <v>0</v>
      </c>
      <c r="M12820">
        <v>1</v>
      </c>
      <c r="N12820">
        <v>1</v>
      </c>
      <c r="O12820">
        <v>1</v>
      </c>
      <c r="P12820">
        <v>1</v>
      </c>
      <c r="Q12820">
        <v>1</v>
      </c>
      <c r="R12820">
        <v>1</v>
      </c>
    </row>
    <row r="12821" spans="1:39" x14ac:dyDescent="0.2">
      <c r="A12821" t="str">
        <f>"12817"</f>
        <v>12817</v>
      </c>
      <c r="B12821" t="str">
        <f t="shared" si="712"/>
        <v>1</v>
      </c>
      <c r="C12821" t="str">
        <f t="shared" si="713"/>
        <v>257</v>
      </c>
      <c r="D12821" t="str">
        <f>"32"</f>
        <v>32</v>
      </c>
      <c r="E12821" t="str">
        <f>"1-257-32"</f>
        <v>1-257-32</v>
      </c>
      <c r="F12821" t="s">
        <v>65</v>
      </c>
      <c r="G12821" t="s">
        <v>66</v>
      </c>
      <c r="H12821" t="s">
        <v>67</v>
      </c>
      <c r="S12821">
        <v>0</v>
      </c>
      <c r="T12821">
        <v>1</v>
      </c>
      <c r="U12821">
        <v>0</v>
      </c>
      <c r="V12821">
        <v>0</v>
      </c>
      <c r="W12821">
        <v>0</v>
      </c>
      <c r="X12821">
        <v>1</v>
      </c>
      <c r="Y12821">
        <v>0</v>
      </c>
      <c r="Z12821">
        <v>1</v>
      </c>
      <c r="AA12821">
        <v>0</v>
      </c>
      <c r="AB12821">
        <v>0</v>
      </c>
      <c r="AC12821">
        <v>1</v>
      </c>
      <c r="AD12821">
        <v>0</v>
      </c>
      <c r="AE12821">
        <v>0</v>
      </c>
      <c r="AF12821">
        <v>0</v>
      </c>
      <c r="AG12821">
        <v>0</v>
      </c>
      <c r="AH12821">
        <v>0</v>
      </c>
      <c r="AI12821">
        <v>0</v>
      </c>
      <c r="AJ12821">
        <v>0</v>
      </c>
      <c r="AK12821">
        <v>0</v>
      </c>
      <c r="AL12821">
        <v>0</v>
      </c>
      <c r="AM12821">
        <v>0</v>
      </c>
    </row>
    <row r="12822" spans="1:39" x14ac:dyDescent="0.2">
      <c r="A12822" t="str">
        <f>"12818"</f>
        <v>12818</v>
      </c>
      <c r="B12822" t="str">
        <f t="shared" si="712"/>
        <v>1</v>
      </c>
      <c r="C12822" t="str">
        <f t="shared" si="713"/>
        <v>257</v>
      </c>
      <c r="D12822" t="str">
        <f>"18"</f>
        <v>18</v>
      </c>
      <c r="E12822" t="str">
        <f>"1-257-18"</f>
        <v>1-257-18</v>
      </c>
      <c r="F12822" t="s">
        <v>65</v>
      </c>
      <c r="G12822" t="s">
        <v>66</v>
      </c>
      <c r="H12822" t="s">
        <v>67</v>
      </c>
      <c r="S12822">
        <v>1</v>
      </c>
      <c r="T12822">
        <v>0</v>
      </c>
      <c r="U12822">
        <v>0</v>
      </c>
      <c r="V12822">
        <v>0</v>
      </c>
      <c r="W12822">
        <v>1</v>
      </c>
      <c r="X12822">
        <v>0</v>
      </c>
      <c r="Y12822">
        <v>0</v>
      </c>
      <c r="Z12822">
        <v>0</v>
      </c>
      <c r="AA12822">
        <v>1</v>
      </c>
      <c r="AB12822">
        <v>0</v>
      </c>
      <c r="AC12822">
        <v>0</v>
      </c>
      <c r="AD12822">
        <v>0</v>
      </c>
      <c r="AE12822">
        <v>0</v>
      </c>
      <c r="AF12822">
        <v>0</v>
      </c>
      <c r="AG12822">
        <v>0</v>
      </c>
      <c r="AH12822">
        <v>0</v>
      </c>
      <c r="AI12822">
        <v>1</v>
      </c>
      <c r="AJ12822">
        <v>1</v>
      </c>
      <c r="AK12822">
        <v>0</v>
      </c>
      <c r="AL12822">
        <v>1</v>
      </c>
      <c r="AM12822">
        <v>0</v>
      </c>
    </row>
    <row r="12823" spans="1:39" x14ac:dyDescent="0.2">
      <c r="A12823" t="str">
        <f>"12819"</f>
        <v>12819</v>
      </c>
      <c r="B12823" t="str">
        <f t="shared" si="712"/>
        <v>1</v>
      </c>
      <c r="C12823" t="str">
        <f t="shared" si="713"/>
        <v>257</v>
      </c>
      <c r="D12823" t="str">
        <f>"11"</f>
        <v>11</v>
      </c>
      <c r="E12823" t="str">
        <f>"1-257-11"</f>
        <v>1-257-11</v>
      </c>
      <c r="F12823" t="s">
        <v>65</v>
      </c>
      <c r="G12823" t="s">
        <v>66</v>
      </c>
      <c r="H12823" t="s">
        <v>67</v>
      </c>
      <c r="S12823">
        <v>0</v>
      </c>
      <c r="T12823">
        <v>0</v>
      </c>
      <c r="U12823">
        <v>0</v>
      </c>
      <c r="V12823">
        <v>0</v>
      </c>
      <c r="W12823">
        <v>0</v>
      </c>
      <c r="X12823">
        <v>1</v>
      </c>
      <c r="Y12823">
        <v>0</v>
      </c>
      <c r="Z12823">
        <v>0</v>
      </c>
      <c r="AA12823">
        <v>0</v>
      </c>
      <c r="AB12823">
        <v>0</v>
      </c>
      <c r="AC12823">
        <v>0</v>
      </c>
      <c r="AD12823">
        <v>1</v>
      </c>
      <c r="AE12823">
        <v>1</v>
      </c>
      <c r="AF12823">
        <v>1</v>
      </c>
      <c r="AG12823">
        <v>1</v>
      </c>
      <c r="AH12823">
        <v>0</v>
      </c>
      <c r="AI12823">
        <v>1</v>
      </c>
      <c r="AJ12823">
        <v>1</v>
      </c>
      <c r="AK12823">
        <v>1</v>
      </c>
      <c r="AL12823">
        <v>1</v>
      </c>
      <c r="AM12823">
        <v>1</v>
      </c>
    </row>
    <row r="12824" spans="1:39" x14ac:dyDescent="0.2">
      <c r="A12824" t="str">
        <f>"12820"</f>
        <v>12820</v>
      </c>
      <c r="B12824" t="str">
        <f t="shared" si="712"/>
        <v>1</v>
      </c>
      <c r="C12824" t="str">
        <f t="shared" si="713"/>
        <v>257</v>
      </c>
      <c r="D12824" t="str">
        <f>"38"</f>
        <v>38</v>
      </c>
      <c r="E12824" t="str">
        <f>"1-257-38"</f>
        <v>1-257-38</v>
      </c>
      <c r="F12824" t="s">
        <v>65</v>
      </c>
      <c r="G12824" t="s">
        <v>66</v>
      </c>
      <c r="H12824" t="s">
        <v>67</v>
      </c>
      <c r="S12824">
        <v>0</v>
      </c>
      <c r="T12824">
        <v>0</v>
      </c>
      <c r="U12824">
        <v>0</v>
      </c>
      <c r="V12824">
        <v>0</v>
      </c>
      <c r="W12824">
        <v>0</v>
      </c>
      <c r="X12824">
        <v>1</v>
      </c>
      <c r="Y12824">
        <v>0</v>
      </c>
      <c r="Z12824">
        <v>0</v>
      </c>
      <c r="AA12824">
        <v>0</v>
      </c>
      <c r="AB12824">
        <v>0</v>
      </c>
      <c r="AC12824">
        <v>0</v>
      </c>
      <c r="AD12824">
        <v>0</v>
      </c>
      <c r="AE12824">
        <v>0</v>
      </c>
      <c r="AF12824">
        <v>0</v>
      </c>
      <c r="AG12824">
        <v>0</v>
      </c>
      <c r="AH12824">
        <v>0</v>
      </c>
      <c r="AI12824">
        <v>0</v>
      </c>
      <c r="AJ12824">
        <v>0</v>
      </c>
      <c r="AK12824">
        <v>0</v>
      </c>
      <c r="AL12824">
        <v>0</v>
      </c>
      <c r="AM12824">
        <v>0</v>
      </c>
    </row>
    <row r="12825" spans="1:39" x14ac:dyDescent="0.2">
      <c r="A12825" t="str">
        <f>"12821"</f>
        <v>12821</v>
      </c>
      <c r="B12825" t="str">
        <f t="shared" si="712"/>
        <v>1</v>
      </c>
      <c r="C12825" t="str">
        <f t="shared" si="713"/>
        <v>257</v>
      </c>
      <c r="D12825" t="str">
        <f>"19"</f>
        <v>19</v>
      </c>
      <c r="E12825" t="str">
        <f>"1-257-19"</f>
        <v>1-257-19</v>
      </c>
      <c r="F12825" t="s">
        <v>65</v>
      </c>
      <c r="G12825" t="s">
        <v>66</v>
      </c>
      <c r="H12825" t="s">
        <v>67</v>
      </c>
      <c r="S12825">
        <v>0</v>
      </c>
      <c r="T12825">
        <v>1</v>
      </c>
      <c r="U12825">
        <v>0</v>
      </c>
      <c r="V12825">
        <v>0</v>
      </c>
      <c r="W12825">
        <v>0</v>
      </c>
      <c r="X12825">
        <v>1</v>
      </c>
      <c r="Y12825">
        <v>0</v>
      </c>
      <c r="Z12825">
        <v>1</v>
      </c>
      <c r="AA12825">
        <v>0</v>
      </c>
      <c r="AB12825">
        <v>0</v>
      </c>
      <c r="AC12825">
        <v>1</v>
      </c>
      <c r="AD12825">
        <v>1</v>
      </c>
      <c r="AE12825">
        <v>1</v>
      </c>
      <c r="AF12825">
        <v>1</v>
      </c>
      <c r="AG12825">
        <v>1</v>
      </c>
      <c r="AH12825">
        <v>1</v>
      </c>
      <c r="AI12825">
        <v>1</v>
      </c>
      <c r="AJ12825">
        <v>1</v>
      </c>
      <c r="AK12825">
        <v>1</v>
      </c>
      <c r="AL12825">
        <v>1</v>
      </c>
      <c r="AM12825">
        <v>1</v>
      </c>
    </row>
    <row r="12826" spans="1:39" x14ac:dyDescent="0.2">
      <c r="A12826" t="str">
        <f>"12822"</f>
        <v>12822</v>
      </c>
      <c r="B12826" t="str">
        <f t="shared" si="712"/>
        <v>1</v>
      </c>
      <c r="C12826" t="str">
        <f t="shared" si="713"/>
        <v>257</v>
      </c>
      <c r="D12826" t="str">
        <f>"1"</f>
        <v>1</v>
      </c>
      <c r="E12826" t="str">
        <f>"1-257-1"</f>
        <v>1-257-1</v>
      </c>
      <c r="F12826" t="s">
        <v>65</v>
      </c>
      <c r="G12826" t="s">
        <v>66</v>
      </c>
      <c r="H12826" t="s">
        <v>68</v>
      </c>
      <c r="I12826">
        <v>1</v>
      </c>
      <c r="J12826">
        <v>1</v>
      </c>
      <c r="K12826">
        <v>0</v>
      </c>
      <c r="L12826">
        <v>0</v>
      </c>
      <c r="M12826">
        <v>1</v>
      </c>
      <c r="N12826">
        <v>1</v>
      </c>
      <c r="O12826">
        <v>1</v>
      </c>
      <c r="P12826">
        <v>1</v>
      </c>
      <c r="Q12826">
        <v>1</v>
      </c>
      <c r="R12826">
        <v>1</v>
      </c>
    </row>
    <row r="12827" spans="1:39" x14ac:dyDescent="0.2">
      <c r="A12827" t="str">
        <f>"12823"</f>
        <v>12823</v>
      </c>
      <c r="B12827" t="str">
        <f t="shared" si="712"/>
        <v>1</v>
      </c>
      <c r="C12827" t="str">
        <f t="shared" si="713"/>
        <v>257</v>
      </c>
      <c r="D12827" t="str">
        <f>"35"</f>
        <v>35</v>
      </c>
      <c r="E12827" t="str">
        <f>"1-257-35"</f>
        <v>1-257-35</v>
      </c>
      <c r="F12827" t="s">
        <v>65</v>
      </c>
      <c r="G12827" t="s">
        <v>66</v>
      </c>
      <c r="H12827" t="s">
        <v>67</v>
      </c>
      <c r="S12827">
        <v>1</v>
      </c>
      <c r="T12827">
        <v>0</v>
      </c>
      <c r="U12827">
        <v>0</v>
      </c>
      <c r="V12827">
        <v>0</v>
      </c>
      <c r="W12827">
        <v>1</v>
      </c>
      <c r="X12827">
        <v>0</v>
      </c>
      <c r="Y12827">
        <v>0</v>
      </c>
      <c r="Z12827">
        <v>1</v>
      </c>
      <c r="AA12827">
        <v>0</v>
      </c>
      <c r="AB12827">
        <v>1</v>
      </c>
      <c r="AC12827">
        <v>0</v>
      </c>
      <c r="AD12827">
        <v>1</v>
      </c>
      <c r="AE12827">
        <v>1</v>
      </c>
      <c r="AF12827">
        <v>1</v>
      </c>
      <c r="AG12827">
        <v>1</v>
      </c>
      <c r="AH12827">
        <v>1</v>
      </c>
      <c r="AI12827">
        <v>1</v>
      </c>
      <c r="AJ12827">
        <v>1</v>
      </c>
      <c r="AK12827">
        <v>1</v>
      </c>
      <c r="AL12827">
        <v>1</v>
      </c>
      <c r="AM12827">
        <v>1</v>
      </c>
    </row>
    <row r="12828" spans="1:39" x14ac:dyDescent="0.2">
      <c r="A12828" t="str">
        <f>"12824"</f>
        <v>12824</v>
      </c>
      <c r="B12828" t="str">
        <f t="shared" si="712"/>
        <v>1</v>
      </c>
      <c r="C12828" t="str">
        <f t="shared" si="713"/>
        <v>257</v>
      </c>
      <c r="D12828" t="str">
        <f>"20"</f>
        <v>20</v>
      </c>
      <c r="E12828" t="str">
        <f>"1-257-20"</f>
        <v>1-257-20</v>
      </c>
      <c r="F12828" t="s">
        <v>65</v>
      </c>
      <c r="G12828" t="s">
        <v>66</v>
      </c>
      <c r="H12828" t="s">
        <v>67</v>
      </c>
      <c r="S12828">
        <v>1</v>
      </c>
      <c r="T12828">
        <v>0</v>
      </c>
      <c r="U12828">
        <v>0</v>
      </c>
      <c r="V12828">
        <v>0</v>
      </c>
      <c r="W12828">
        <v>1</v>
      </c>
      <c r="X12828">
        <v>0</v>
      </c>
      <c r="Y12828">
        <v>0</v>
      </c>
      <c r="Z12828">
        <v>1</v>
      </c>
      <c r="AA12828">
        <v>0</v>
      </c>
      <c r="AB12828">
        <v>1</v>
      </c>
      <c r="AC12828">
        <v>0</v>
      </c>
      <c r="AD12828">
        <v>1</v>
      </c>
      <c r="AE12828">
        <v>1</v>
      </c>
      <c r="AF12828">
        <v>1</v>
      </c>
      <c r="AG12828">
        <v>1</v>
      </c>
      <c r="AH12828">
        <v>1</v>
      </c>
      <c r="AI12828">
        <v>1</v>
      </c>
      <c r="AJ12828">
        <v>1</v>
      </c>
      <c r="AK12828">
        <v>1</v>
      </c>
      <c r="AL12828">
        <v>1</v>
      </c>
      <c r="AM12828">
        <v>1</v>
      </c>
    </row>
    <row r="12829" spans="1:39" x14ac:dyDescent="0.2">
      <c r="A12829" t="str">
        <f>"12825"</f>
        <v>12825</v>
      </c>
      <c r="B12829" t="str">
        <f t="shared" si="712"/>
        <v>1</v>
      </c>
      <c r="C12829" t="str">
        <f t="shared" si="713"/>
        <v>257</v>
      </c>
      <c r="D12829" t="str">
        <f>"10"</f>
        <v>10</v>
      </c>
      <c r="E12829" t="str">
        <f>"1-257-10"</f>
        <v>1-257-10</v>
      </c>
      <c r="F12829" t="s">
        <v>65</v>
      </c>
      <c r="G12829" t="s">
        <v>66</v>
      </c>
      <c r="H12829" t="s">
        <v>67</v>
      </c>
      <c r="S12829">
        <v>0</v>
      </c>
      <c r="T12829">
        <v>0</v>
      </c>
      <c r="U12829">
        <v>0</v>
      </c>
      <c r="V12829">
        <v>0</v>
      </c>
      <c r="W12829">
        <v>0</v>
      </c>
      <c r="X12829">
        <v>1</v>
      </c>
      <c r="Y12829">
        <v>0</v>
      </c>
      <c r="Z12829">
        <v>0</v>
      </c>
      <c r="AA12829">
        <v>0</v>
      </c>
      <c r="AB12829">
        <v>0</v>
      </c>
      <c r="AC12829">
        <v>0</v>
      </c>
      <c r="AD12829">
        <v>1</v>
      </c>
      <c r="AE12829">
        <v>1</v>
      </c>
      <c r="AF12829">
        <v>1</v>
      </c>
      <c r="AG12829">
        <v>1</v>
      </c>
      <c r="AH12829">
        <v>0</v>
      </c>
      <c r="AI12829">
        <v>1</v>
      </c>
      <c r="AJ12829">
        <v>1</v>
      </c>
      <c r="AK12829">
        <v>1</v>
      </c>
      <c r="AL12829">
        <v>1</v>
      </c>
      <c r="AM12829">
        <v>1</v>
      </c>
    </row>
    <row r="12830" spans="1:39" x14ac:dyDescent="0.2">
      <c r="A12830" t="str">
        <f>"12826"</f>
        <v>12826</v>
      </c>
      <c r="B12830" t="str">
        <f t="shared" si="712"/>
        <v>1</v>
      </c>
      <c r="C12830" t="str">
        <f t="shared" si="713"/>
        <v>257</v>
      </c>
      <c r="D12830" t="str">
        <f>"21"</f>
        <v>21</v>
      </c>
      <c r="E12830" t="str">
        <f>"1-257-21"</f>
        <v>1-257-21</v>
      </c>
      <c r="F12830" t="s">
        <v>65</v>
      </c>
      <c r="G12830" t="s">
        <v>66</v>
      </c>
      <c r="H12830" t="s">
        <v>67</v>
      </c>
      <c r="S12830">
        <v>1</v>
      </c>
      <c r="T12830">
        <v>0</v>
      </c>
      <c r="U12830">
        <v>0</v>
      </c>
      <c r="V12830">
        <v>0</v>
      </c>
      <c r="W12830">
        <v>1</v>
      </c>
      <c r="X12830">
        <v>0</v>
      </c>
      <c r="Y12830">
        <v>0</v>
      </c>
      <c r="Z12830">
        <v>1</v>
      </c>
      <c r="AA12830">
        <v>1</v>
      </c>
      <c r="AB12830">
        <v>0</v>
      </c>
      <c r="AC12830">
        <v>0</v>
      </c>
      <c r="AD12830">
        <v>1</v>
      </c>
      <c r="AE12830">
        <v>1</v>
      </c>
      <c r="AF12830">
        <v>1</v>
      </c>
      <c r="AG12830">
        <v>1</v>
      </c>
      <c r="AH12830">
        <v>1</v>
      </c>
      <c r="AI12830">
        <v>1</v>
      </c>
      <c r="AJ12830">
        <v>1</v>
      </c>
      <c r="AK12830">
        <v>1</v>
      </c>
      <c r="AL12830">
        <v>1</v>
      </c>
      <c r="AM12830">
        <v>1</v>
      </c>
    </row>
    <row r="12831" spans="1:39" x14ac:dyDescent="0.2">
      <c r="A12831" t="str">
        <f>"12827"</f>
        <v>12827</v>
      </c>
      <c r="B12831" t="str">
        <f t="shared" si="712"/>
        <v>1</v>
      </c>
      <c r="C12831" t="str">
        <f t="shared" si="713"/>
        <v>257</v>
      </c>
      <c r="D12831" t="str">
        <f>"3"</f>
        <v>3</v>
      </c>
      <c r="E12831" t="str">
        <f>"1-257-3"</f>
        <v>1-257-3</v>
      </c>
      <c r="F12831" t="s">
        <v>65</v>
      </c>
      <c r="G12831" t="s">
        <v>66</v>
      </c>
      <c r="H12831" t="s">
        <v>68</v>
      </c>
      <c r="I12831">
        <v>1</v>
      </c>
      <c r="J12831">
        <v>1</v>
      </c>
      <c r="K12831">
        <v>0</v>
      </c>
      <c r="L12831">
        <v>0</v>
      </c>
      <c r="M12831">
        <v>1</v>
      </c>
      <c r="N12831">
        <v>1</v>
      </c>
      <c r="O12831">
        <v>1</v>
      </c>
      <c r="P12831">
        <v>1</v>
      </c>
      <c r="Q12831">
        <v>1</v>
      </c>
      <c r="R12831">
        <v>1</v>
      </c>
    </row>
    <row r="12832" spans="1:39" x14ac:dyDescent="0.2">
      <c r="A12832" t="str">
        <f>"12828"</f>
        <v>12828</v>
      </c>
      <c r="B12832" t="str">
        <f t="shared" si="712"/>
        <v>1</v>
      </c>
      <c r="C12832" t="str">
        <f t="shared" si="713"/>
        <v>257</v>
      </c>
      <c r="D12832" t="str">
        <f>"41"</f>
        <v>41</v>
      </c>
      <c r="E12832" t="str">
        <f>"1-257-41"</f>
        <v>1-257-41</v>
      </c>
      <c r="F12832" t="s">
        <v>65</v>
      </c>
      <c r="G12832" t="s">
        <v>66</v>
      </c>
      <c r="H12832" t="s">
        <v>67</v>
      </c>
      <c r="S12832">
        <v>0</v>
      </c>
      <c r="T12832">
        <v>1</v>
      </c>
      <c r="U12832">
        <v>0</v>
      </c>
      <c r="V12832">
        <v>0</v>
      </c>
      <c r="W12832">
        <v>1</v>
      </c>
      <c r="X12832">
        <v>0</v>
      </c>
      <c r="Y12832">
        <v>0</v>
      </c>
      <c r="Z12832">
        <v>1</v>
      </c>
      <c r="AA12832">
        <v>0</v>
      </c>
      <c r="AB12832">
        <v>1</v>
      </c>
      <c r="AC12832">
        <v>0</v>
      </c>
      <c r="AD12832">
        <v>1</v>
      </c>
      <c r="AE12832">
        <v>1</v>
      </c>
      <c r="AF12832">
        <v>1</v>
      </c>
      <c r="AG12832">
        <v>1</v>
      </c>
      <c r="AH12832">
        <v>1</v>
      </c>
      <c r="AI12832">
        <v>1</v>
      </c>
      <c r="AJ12832">
        <v>1</v>
      </c>
      <c r="AK12832">
        <v>1</v>
      </c>
      <c r="AL12832">
        <v>1</v>
      </c>
      <c r="AM12832">
        <v>1</v>
      </c>
    </row>
    <row r="12833" spans="1:39" x14ac:dyDescent="0.2">
      <c r="A12833" t="str">
        <f>"12829"</f>
        <v>12829</v>
      </c>
      <c r="B12833" t="str">
        <f t="shared" si="712"/>
        <v>1</v>
      </c>
      <c r="C12833" t="str">
        <f t="shared" si="713"/>
        <v>257</v>
      </c>
      <c r="D12833" t="str">
        <f>"23"</f>
        <v>23</v>
      </c>
      <c r="E12833" t="str">
        <f>"1-257-23"</f>
        <v>1-257-23</v>
      </c>
      <c r="F12833" t="s">
        <v>65</v>
      </c>
      <c r="G12833" t="s">
        <v>66</v>
      </c>
      <c r="H12833" t="s">
        <v>67</v>
      </c>
      <c r="S12833">
        <v>0</v>
      </c>
      <c r="T12833">
        <v>1</v>
      </c>
      <c r="U12833">
        <v>0</v>
      </c>
      <c r="V12833">
        <v>0</v>
      </c>
      <c r="W12833">
        <v>0</v>
      </c>
      <c r="X12833">
        <v>1</v>
      </c>
      <c r="Y12833">
        <v>0</v>
      </c>
      <c r="Z12833">
        <v>1</v>
      </c>
      <c r="AA12833">
        <v>0</v>
      </c>
      <c r="AB12833">
        <v>1</v>
      </c>
      <c r="AC12833">
        <v>0</v>
      </c>
      <c r="AD12833">
        <v>0</v>
      </c>
      <c r="AE12833">
        <v>0</v>
      </c>
      <c r="AF12833">
        <v>0</v>
      </c>
      <c r="AG12833">
        <v>0</v>
      </c>
      <c r="AH12833">
        <v>0</v>
      </c>
      <c r="AI12833">
        <v>0</v>
      </c>
      <c r="AJ12833">
        <v>0</v>
      </c>
      <c r="AK12833">
        <v>0</v>
      </c>
      <c r="AL12833">
        <v>0</v>
      </c>
      <c r="AM12833">
        <v>0</v>
      </c>
    </row>
    <row r="12834" spans="1:39" x14ac:dyDescent="0.2">
      <c r="A12834" t="str">
        <f>"12830"</f>
        <v>12830</v>
      </c>
      <c r="B12834" t="str">
        <f t="shared" si="712"/>
        <v>1</v>
      </c>
      <c r="C12834" t="str">
        <f t="shared" si="713"/>
        <v>257</v>
      </c>
      <c r="D12834" t="str">
        <f>"4"</f>
        <v>4</v>
      </c>
      <c r="E12834" t="str">
        <f>"1-257-4"</f>
        <v>1-257-4</v>
      </c>
      <c r="F12834" t="s">
        <v>65</v>
      </c>
      <c r="G12834" t="s">
        <v>66</v>
      </c>
      <c r="H12834" t="s">
        <v>67</v>
      </c>
      <c r="S12834">
        <v>0</v>
      </c>
      <c r="T12834">
        <v>1</v>
      </c>
      <c r="U12834">
        <v>0</v>
      </c>
      <c r="V12834">
        <v>0</v>
      </c>
      <c r="W12834">
        <v>1</v>
      </c>
      <c r="X12834">
        <v>0</v>
      </c>
      <c r="Y12834">
        <v>0</v>
      </c>
      <c r="Z12834">
        <v>1</v>
      </c>
      <c r="AA12834">
        <v>1</v>
      </c>
      <c r="AB12834">
        <v>0</v>
      </c>
      <c r="AC12834">
        <v>0</v>
      </c>
      <c r="AD12834">
        <v>0</v>
      </c>
      <c r="AE12834">
        <v>0</v>
      </c>
      <c r="AF12834">
        <v>0</v>
      </c>
      <c r="AG12834">
        <v>0</v>
      </c>
      <c r="AH12834">
        <v>0</v>
      </c>
      <c r="AI12834">
        <v>0</v>
      </c>
      <c r="AJ12834">
        <v>0</v>
      </c>
      <c r="AK12834">
        <v>0</v>
      </c>
      <c r="AL12834">
        <v>0</v>
      </c>
      <c r="AM12834">
        <v>0</v>
      </c>
    </row>
    <row r="12835" spans="1:39" x14ac:dyDescent="0.2">
      <c r="A12835" t="str">
        <f>"12831"</f>
        <v>12831</v>
      </c>
      <c r="B12835" t="str">
        <f t="shared" si="712"/>
        <v>1</v>
      </c>
      <c r="C12835" t="str">
        <f t="shared" si="713"/>
        <v>257</v>
      </c>
      <c r="D12835" t="str">
        <f>"42"</f>
        <v>42</v>
      </c>
      <c r="E12835" t="str">
        <f>"1-257-42"</f>
        <v>1-257-42</v>
      </c>
      <c r="F12835" t="s">
        <v>65</v>
      </c>
      <c r="G12835" t="s">
        <v>66</v>
      </c>
      <c r="H12835" t="s">
        <v>68</v>
      </c>
      <c r="I12835">
        <v>1</v>
      </c>
      <c r="J12835">
        <v>0</v>
      </c>
      <c r="K12835">
        <v>0</v>
      </c>
      <c r="L12835">
        <v>1</v>
      </c>
      <c r="M12835">
        <v>1</v>
      </c>
      <c r="N12835">
        <v>1</v>
      </c>
      <c r="O12835">
        <v>1</v>
      </c>
      <c r="P12835">
        <v>1</v>
      </c>
      <c r="Q12835">
        <v>1</v>
      </c>
      <c r="R12835">
        <v>1</v>
      </c>
    </row>
    <row r="12836" spans="1:39" x14ac:dyDescent="0.2">
      <c r="A12836" t="str">
        <f>"12832"</f>
        <v>12832</v>
      </c>
      <c r="B12836" t="str">
        <f t="shared" si="712"/>
        <v>1</v>
      </c>
      <c r="C12836" t="str">
        <f t="shared" si="713"/>
        <v>257</v>
      </c>
      <c r="D12836" t="str">
        <f>"24"</f>
        <v>24</v>
      </c>
      <c r="E12836" t="str">
        <f>"1-257-24"</f>
        <v>1-257-24</v>
      </c>
      <c r="F12836" t="s">
        <v>65</v>
      </c>
      <c r="G12836" t="s">
        <v>66</v>
      </c>
      <c r="H12836" t="s">
        <v>67</v>
      </c>
      <c r="S12836">
        <v>0</v>
      </c>
      <c r="T12836">
        <v>1</v>
      </c>
      <c r="U12836">
        <v>0</v>
      </c>
      <c r="V12836">
        <v>0</v>
      </c>
      <c r="W12836">
        <v>0</v>
      </c>
      <c r="X12836">
        <v>1</v>
      </c>
      <c r="Y12836">
        <v>0</v>
      </c>
      <c r="Z12836">
        <v>1</v>
      </c>
      <c r="AA12836">
        <v>0</v>
      </c>
      <c r="AB12836">
        <v>1</v>
      </c>
      <c r="AC12836">
        <v>0</v>
      </c>
      <c r="AD12836">
        <v>1</v>
      </c>
      <c r="AE12836">
        <v>1</v>
      </c>
      <c r="AF12836">
        <v>1</v>
      </c>
      <c r="AG12836">
        <v>1</v>
      </c>
      <c r="AH12836">
        <v>1</v>
      </c>
      <c r="AI12836">
        <v>1</v>
      </c>
      <c r="AJ12836">
        <v>1</v>
      </c>
      <c r="AK12836">
        <v>1</v>
      </c>
      <c r="AL12836">
        <v>1</v>
      </c>
      <c r="AM12836">
        <v>1</v>
      </c>
    </row>
    <row r="12837" spans="1:39" x14ac:dyDescent="0.2">
      <c r="A12837" t="str">
        <f>"12833"</f>
        <v>12833</v>
      </c>
      <c r="B12837" t="str">
        <f t="shared" si="712"/>
        <v>1</v>
      </c>
      <c r="C12837" t="str">
        <f t="shared" ref="C12837:C12854" si="714">"257"</f>
        <v>257</v>
      </c>
      <c r="D12837" t="str">
        <f>"12"</f>
        <v>12</v>
      </c>
      <c r="E12837" t="str">
        <f>"1-257-12"</f>
        <v>1-257-12</v>
      </c>
      <c r="F12837" t="s">
        <v>65</v>
      </c>
      <c r="G12837" t="s">
        <v>66</v>
      </c>
      <c r="H12837" t="s">
        <v>67</v>
      </c>
      <c r="S12837">
        <v>0</v>
      </c>
      <c r="T12837">
        <v>0</v>
      </c>
      <c r="U12837">
        <v>0</v>
      </c>
      <c r="V12837">
        <v>0</v>
      </c>
      <c r="W12837">
        <v>0</v>
      </c>
      <c r="X12837">
        <v>1</v>
      </c>
      <c r="Y12837">
        <v>0</v>
      </c>
      <c r="Z12837">
        <v>0</v>
      </c>
      <c r="AA12837">
        <v>0</v>
      </c>
      <c r="AB12837">
        <v>0</v>
      </c>
      <c r="AC12837">
        <v>0</v>
      </c>
      <c r="AD12837">
        <v>0</v>
      </c>
      <c r="AE12837">
        <v>0</v>
      </c>
      <c r="AF12837">
        <v>0</v>
      </c>
      <c r="AG12837">
        <v>0</v>
      </c>
      <c r="AH12837">
        <v>0</v>
      </c>
      <c r="AI12837">
        <v>0</v>
      </c>
      <c r="AJ12837">
        <v>0</v>
      </c>
      <c r="AK12837">
        <v>0</v>
      </c>
      <c r="AL12837">
        <v>0</v>
      </c>
      <c r="AM12837">
        <v>0</v>
      </c>
    </row>
    <row r="12838" spans="1:39" x14ac:dyDescent="0.2">
      <c r="A12838" t="str">
        <f>"12834"</f>
        <v>12834</v>
      </c>
      <c r="B12838" t="str">
        <f t="shared" si="712"/>
        <v>1</v>
      </c>
      <c r="C12838" t="str">
        <f t="shared" si="714"/>
        <v>257</v>
      </c>
      <c r="D12838" t="str">
        <f>"25"</f>
        <v>25</v>
      </c>
      <c r="E12838" t="str">
        <f>"1-257-25"</f>
        <v>1-257-25</v>
      </c>
      <c r="F12838" t="s">
        <v>65</v>
      </c>
      <c r="G12838" t="s">
        <v>66</v>
      </c>
      <c r="H12838" t="s">
        <v>67</v>
      </c>
      <c r="S12838">
        <v>1</v>
      </c>
      <c r="T12838">
        <v>0</v>
      </c>
      <c r="U12838">
        <v>0</v>
      </c>
      <c r="V12838">
        <v>0</v>
      </c>
      <c r="W12838">
        <v>1</v>
      </c>
      <c r="X12838">
        <v>0</v>
      </c>
      <c r="Y12838">
        <v>1</v>
      </c>
      <c r="Z12838">
        <v>0</v>
      </c>
      <c r="AA12838">
        <v>1</v>
      </c>
      <c r="AB12838">
        <v>0</v>
      </c>
      <c r="AC12838">
        <v>0</v>
      </c>
      <c r="AD12838">
        <v>1</v>
      </c>
      <c r="AE12838">
        <v>1</v>
      </c>
      <c r="AF12838">
        <v>1</v>
      </c>
      <c r="AG12838">
        <v>1</v>
      </c>
      <c r="AH12838">
        <v>1</v>
      </c>
      <c r="AI12838">
        <v>1</v>
      </c>
      <c r="AJ12838">
        <v>1</v>
      </c>
      <c r="AK12838">
        <v>1</v>
      </c>
      <c r="AL12838">
        <v>0</v>
      </c>
      <c r="AM12838">
        <v>1</v>
      </c>
    </row>
    <row r="12839" spans="1:39" x14ac:dyDescent="0.2">
      <c r="A12839" t="str">
        <f>"12835"</f>
        <v>12835</v>
      </c>
      <c r="B12839" t="str">
        <f t="shared" si="712"/>
        <v>1</v>
      </c>
      <c r="C12839" t="str">
        <f t="shared" si="714"/>
        <v>257</v>
      </c>
      <c r="D12839" t="str">
        <f>"5"</f>
        <v>5</v>
      </c>
      <c r="E12839" t="str">
        <f>"1-257-5"</f>
        <v>1-257-5</v>
      </c>
      <c r="F12839" t="s">
        <v>65</v>
      </c>
      <c r="G12839" t="s">
        <v>66</v>
      </c>
      <c r="H12839" t="s">
        <v>67</v>
      </c>
      <c r="S12839">
        <v>0</v>
      </c>
      <c r="T12839">
        <v>1</v>
      </c>
      <c r="U12839">
        <v>0</v>
      </c>
      <c r="V12839">
        <v>0</v>
      </c>
      <c r="W12839">
        <v>1</v>
      </c>
      <c r="X12839">
        <v>0</v>
      </c>
      <c r="Y12839">
        <v>0</v>
      </c>
      <c r="Z12839">
        <v>1</v>
      </c>
      <c r="AA12839">
        <v>1</v>
      </c>
      <c r="AB12839">
        <v>0</v>
      </c>
      <c r="AC12839">
        <v>0</v>
      </c>
      <c r="AD12839">
        <v>1</v>
      </c>
      <c r="AE12839">
        <v>1</v>
      </c>
      <c r="AF12839">
        <v>1</v>
      </c>
      <c r="AG12839">
        <v>1</v>
      </c>
      <c r="AH12839">
        <v>1</v>
      </c>
      <c r="AI12839">
        <v>1</v>
      </c>
      <c r="AJ12839">
        <v>1</v>
      </c>
      <c r="AK12839">
        <v>1</v>
      </c>
      <c r="AL12839">
        <v>1</v>
      </c>
      <c r="AM12839">
        <v>1</v>
      </c>
    </row>
    <row r="12840" spans="1:39" x14ac:dyDescent="0.2">
      <c r="A12840" t="str">
        <f>"12836"</f>
        <v>12836</v>
      </c>
      <c r="B12840" t="str">
        <f t="shared" si="712"/>
        <v>1</v>
      </c>
      <c r="C12840" t="str">
        <f t="shared" si="714"/>
        <v>257</v>
      </c>
      <c r="D12840" t="str">
        <f>"43"</f>
        <v>43</v>
      </c>
      <c r="E12840" t="str">
        <f>"1-257-43"</f>
        <v>1-257-43</v>
      </c>
      <c r="F12840" t="s">
        <v>65</v>
      </c>
      <c r="G12840" t="s">
        <v>66</v>
      </c>
      <c r="H12840" t="s">
        <v>68</v>
      </c>
      <c r="I12840">
        <v>1</v>
      </c>
      <c r="J12840">
        <v>0</v>
      </c>
      <c r="K12840">
        <v>0</v>
      </c>
      <c r="L12840">
        <v>0</v>
      </c>
      <c r="M12840">
        <v>1</v>
      </c>
      <c r="N12840">
        <v>1</v>
      </c>
      <c r="O12840">
        <v>1</v>
      </c>
      <c r="P12840">
        <v>1</v>
      </c>
      <c r="Q12840">
        <v>1</v>
      </c>
      <c r="R12840">
        <v>1</v>
      </c>
    </row>
    <row r="12841" spans="1:39" x14ac:dyDescent="0.2">
      <c r="A12841" t="str">
        <f>"12837"</f>
        <v>12837</v>
      </c>
      <c r="B12841" t="str">
        <f t="shared" si="712"/>
        <v>1</v>
      </c>
      <c r="C12841" t="str">
        <f t="shared" si="714"/>
        <v>257</v>
      </c>
      <c r="D12841" t="str">
        <f>"26"</f>
        <v>26</v>
      </c>
      <c r="E12841" t="str">
        <f>"1-257-26"</f>
        <v>1-257-26</v>
      </c>
      <c r="F12841" t="s">
        <v>65</v>
      </c>
      <c r="G12841" t="s">
        <v>66</v>
      </c>
      <c r="H12841" t="s">
        <v>67</v>
      </c>
      <c r="S12841">
        <v>0</v>
      </c>
      <c r="T12841">
        <v>1</v>
      </c>
      <c r="U12841">
        <v>0</v>
      </c>
      <c r="V12841">
        <v>0</v>
      </c>
      <c r="W12841">
        <v>0</v>
      </c>
      <c r="X12841">
        <v>1</v>
      </c>
      <c r="Y12841">
        <v>0</v>
      </c>
      <c r="Z12841">
        <v>1</v>
      </c>
      <c r="AA12841">
        <v>0</v>
      </c>
      <c r="AB12841">
        <v>0</v>
      </c>
      <c r="AC12841">
        <v>1</v>
      </c>
      <c r="AD12841">
        <v>0</v>
      </c>
      <c r="AE12841">
        <v>0</v>
      </c>
      <c r="AF12841">
        <v>0</v>
      </c>
      <c r="AG12841">
        <v>1</v>
      </c>
      <c r="AH12841">
        <v>1</v>
      </c>
      <c r="AI12841">
        <v>0</v>
      </c>
      <c r="AJ12841">
        <v>1</v>
      </c>
      <c r="AK12841">
        <v>1</v>
      </c>
      <c r="AL12841">
        <v>1</v>
      </c>
      <c r="AM12841">
        <v>1</v>
      </c>
    </row>
    <row r="12842" spans="1:39" x14ac:dyDescent="0.2">
      <c r="A12842" t="str">
        <f>"12838"</f>
        <v>12838</v>
      </c>
      <c r="B12842" t="str">
        <f t="shared" si="712"/>
        <v>1</v>
      </c>
      <c r="C12842" t="str">
        <f t="shared" si="714"/>
        <v>257</v>
      </c>
      <c r="D12842" t="str">
        <f>"14"</f>
        <v>14</v>
      </c>
      <c r="E12842" t="str">
        <f>"1-257-14"</f>
        <v>1-257-14</v>
      </c>
      <c r="F12842" t="s">
        <v>65</v>
      </c>
      <c r="G12842" t="s">
        <v>66</v>
      </c>
      <c r="H12842" t="s">
        <v>67</v>
      </c>
      <c r="S12842">
        <v>0</v>
      </c>
      <c r="T12842">
        <v>0</v>
      </c>
      <c r="U12842">
        <v>0</v>
      </c>
      <c r="V12842">
        <v>0</v>
      </c>
      <c r="W12842">
        <v>0</v>
      </c>
      <c r="X12842">
        <v>1</v>
      </c>
      <c r="Y12842">
        <v>0</v>
      </c>
      <c r="Z12842">
        <v>0</v>
      </c>
      <c r="AA12842">
        <v>0</v>
      </c>
      <c r="AB12842">
        <v>0</v>
      </c>
      <c r="AC12842">
        <v>1</v>
      </c>
      <c r="AD12842">
        <v>0</v>
      </c>
      <c r="AE12842">
        <v>0</v>
      </c>
      <c r="AF12842">
        <v>0</v>
      </c>
      <c r="AG12842">
        <v>0</v>
      </c>
      <c r="AH12842">
        <v>0</v>
      </c>
      <c r="AI12842">
        <v>0</v>
      </c>
      <c r="AJ12842">
        <v>0</v>
      </c>
      <c r="AK12842">
        <v>0</v>
      </c>
      <c r="AL12842">
        <v>0</v>
      </c>
      <c r="AM12842">
        <v>0</v>
      </c>
    </row>
    <row r="12843" spans="1:39" x14ac:dyDescent="0.2">
      <c r="A12843" t="str">
        <f>"12839"</f>
        <v>12839</v>
      </c>
      <c r="B12843" t="str">
        <f t="shared" si="712"/>
        <v>1</v>
      </c>
      <c r="C12843" t="str">
        <f t="shared" si="714"/>
        <v>257</v>
      </c>
      <c r="D12843" t="str">
        <f>"48"</f>
        <v>48</v>
      </c>
      <c r="E12843" t="str">
        <f>"1-257-48"</f>
        <v>1-257-48</v>
      </c>
      <c r="F12843" t="s">
        <v>65</v>
      </c>
      <c r="G12843" t="s">
        <v>66</v>
      </c>
      <c r="H12843" t="s">
        <v>68</v>
      </c>
      <c r="I12843">
        <v>1</v>
      </c>
      <c r="J12843">
        <v>1</v>
      </c>
      <c r="K12843">
        <v>0</v>
      </c>
      <c r="L12843">
        <v>0</v>
      </c>
      <c r="M12843">
        <v>1</v>
      </c>
      <c r="N12843">
        <v>1</v>
      </c>
      <c r="O12843">
        <v>1</v>
      </c>
      <c r="P12843">
        <v>1</v>
      </c>
      <c r="Q12843">
        <v>1</v>
      </c>
      <c r="R12843">
        <v>1</v>
      </c>
    </row>
    <row r="12844" spans="1:39" x14ac:dyDescent="0.2">
      <c r="A12844" t="str">
        <f>"12840"</f>
        <v>12840</v>
      </c>
      <c r="B12844" t="str">
        <f t="shared" si="712"/>
        <v>1</v>
      </c>
      <c r="C12844" t="str">
        <f t="shared" si="714"/>
        <v>257</v>
      </c>
      <c r="D12844" t="str">
        <f>"27"</f>
        <v>27</v>
      </c>
      <c r="E12844" t="str">
        <f>"1-257-27"</f>
        <v>1-257-27</v>
      </c>
      <c r="F12844" t="s">
        <v>65</v>
      </c>
      <c r="G12844" t="s">
        <v>66</v>
      </c>
      <c r="H12844" t="s">
        <v>67</v>
      </c>
      <c r="S12844">
        <v>0</v>
      </c>
      <c r="T12844">
        <v>0</v>
      </c>
      <c r="U12844">
        <v>0</v>
      </c>
      <c r="V12844">
        <v>0</v>
      </c>
      <c r="W12844">
        <v>0</v>
      </c>
      <c r="X12844">
        <v>1</v>
      </c>
      <c r="Y12844">
        <v>0</v>
      </c>
      <c r="Z12844">
        <v>0</v>
      </c>
      <c r="AA12844">
        <v>0</v>
      </c>
      <c r="AB12844">
        <v>0</v>
      </c>
      <c r="AC12844">
        <v>0</v>
      </c>
      <c r="AD12844">
        <v>0</v>
      </c>
      <c r="AE12844">
        <v>0</v>
      </c>
      <c r="AF12844">
        <v>0</v>
      </c>
      <c r="AG12844">
        <v>0</v>
      </c>
      <c r="AH12844">
        <v>0</v>
      </c>
      <c r="AI12844">
        <v>0</v>
      </c>
      <c r="AJ12844">
        <v>0</v>
      </c>
      <c r="AK12844">
        <v>0</v>
      </c>
      <c r="AL12844">
        <v>0</v>
      </c>
      <c r="AM12844">
        <v>0</v>
      </c>
    </row>
    <row r="12845" spans="1:39" x14ac:dyDescent="0.2">
      <c r="A12845" t="str">
        <f>"12841"</f>
        <v>12841</v>
      </c>
      <c r="B12845" t="str">
        <f t="shared" si="712"/>
        <v>1</v>
      </c>
      <c r="C12845" t="str">
        <f t="shared" si="714"/>
        <v>257</v>
      </c>
      <c r="D12845" t="str">
        <f>"13"</f>
        <v>13</v>
      </c>
      <c r="E12845" t="str">
        <f>"1-257-13"</f>
        <v>1-257-13</v>
      </c>
      <c r="F12845" t="s">
        <v>65</v>
      </c>
      <c r="G12845" t="s">
        <v>66</v>
      </c>
      <c r="H12845" t="s">
        <v>67</v>
      </c>
      <c r="S12845">
        <v>0</v>
      </c>
      <c r="T12845">
        <v>1</v>
      </c>
      <c r="U12845">
        <v>0</v>
      </c>
      <c r="V12845">
        <v>0</v>
      </c>
      <c r="W12845">
        <v>0</v>
      </c>
      <c r="X12845">
        <v>1</v>
      </c>
      <c r="Y12845">
        <v>0</v>
      </c>
      <c r="Z12845">
        <v>1</v>
      </c>
      <c r="AA12845">
        <v>0</v>
      </c>
      <c r="AB12845">
        <v>0</v>
      </c>
      <c r="AC12845">
        <v>1</v>
      </c>
      <c r="AD12845">
        <v>0</v>
      </c>
      <c r="AE12845">
        <v>0</v>
      </c>
      <c r="AF12845">
        <v>0</v>
      </c>
      <c r="AG12845">
        <v>0</v>
      </c>
      <c r="AH12845">
        <v>0</v>
      </c>
      <c r="AI12845">
        <v>0</v>
      </c>
      <c r="AJ12845">
        <v>0</v>
      </c>
      <c r="AK12845">
        <v>0</v>
      </c>
      <c r="AL12845">
        <v>0</v>
      </c>
      <c r="AM12845">
        <v>0</v>
      </c>
    </row>
    <row r="12846" spans="1:39" x14ac:dyDescent="0.2">
      <c r="A12846" t="str">
        <f>"12842"</f>
        <v>12842</v>
      </c>
      <c r="B12846" t="str">
        <f t="shared" si="712"/>
        <v>1</v>
      </c>
      <c r="C12846" t="str">
        <f t="shared" si="714"/>
        <v>257</v>
      </c>
      <c r="D12846" t="str">
        <f>"40"</f>
        <v>40</v>
      </c>
      <c r="E12846" t="str">
        <f>"1-257-40"</f>
        <v>1-257-40</v>
      </c>
      <c r="F12846" t="s">
        <v>65</v>
      </c>
      <c r="G12846" t="s">
        <v>66</v>
      </c>
      <c r="H12846" t="s">
        <v>67</v>
      </c>
      <c r="S12846">
        <v>0</v>
      </c>
      <c r="T12846">
        <v>1</v>
      </c>
      <c r="U12846">
        <v>0</v>
      </c>
      <c r="V12846">
        <v>0</v>
      </c>
      <c r="W12846">
        <v>0</v>
      </c>
      <c r="X12846">
        <v>1</v>
      </c>
      <c r="Y12846">
        <v>0</v>
      </c>
      <c r="Z12846">
        <v>1</v>
      </c>
      <c r="AA12846">
        <v>0</v>
      </c>
      <c r="AB12846">
        <v>0</v>
      </c>
      <c r="AC12846">
        <v>1</v>
      </c>
      <c r="AD12846">
        <v>1</v>
      </c>
      <c r="AE12846">
        <v>1</v>
      </c>
      <c r="AF12846">
        <v>1</v>
      </c>
      <c r="AG12846">
        <v>1</v>
      </c>
      <c r="AH12846">
        <v>1</v>
      </c>
      <c r="AI12846">
        <v>1</v>
      </c>
      <c r="AJ12846">
        <v>1</v>
      </c>
      <c r="AK12846">
        <v>1</v>
      </c>
      <c r="AL12846">
        <v>1</v>
      </c>
      <c r="AM12846">
        <v>1</v>
      </c>
    </row>
    <row r="12847" spans="1:39" x14ac:dyDescent="0.2">
      <c r="A12847" t="str">
        <f>"12843"</f>
        <v>12843</v>
      </c>
      <c r="B12847" t="str">
        <f t="shared" si="712"/>
        <v>1</v>
      </c>
      <c r="C12847" t="str">
        <f t="shared" si="714"/>
        <v>257</v>
      </c>
      <c r="D12847" t="str">
        <f>"29"</f>
        <v>29</v>
      </c>
      <c r="E12847" t="str">
        <f>"1-257-29"</f>
        <v>1-257-29</v>
      </c>
      <c r="F12847" t="s">
        <v>65</v>
      </c>
      <c r="G12847" t="s">
        <v>66</v>
      </c>
      <c r="H12847" t="s">
        <v>67</v>
      </c>
      <c r="S12847">
        <v>1</v>
      </c>
      <c r="T12847">
        <v>0</v>
      </c>
      <c r="U12847">
        <v>0</v>
      </c>
      <c r="V12847">
        <v>0</v>
      </c>
      <c r="W12847">
        <v>1</v>
      </c>
      <c r="X12847">
        <v>0</v>
      </c>
      <c r="Y12847">
        <v>0</v>
      </c>
      <c r="Z12847">
        <v>1</v>
      </c>
      <c r="AA12847">
        <v>1</v>
      </c>
      <c r="AB12847">
        <v>0</v>
      </c>
      <c r="AC12847">
        <v>0</v>
      </c>
      <c r="AD12847">
        <v>1</v>
      </c>
      <c r="AE12847">
        <v>1</v>
      </c>
      <c r="AF12847">
        <v>1</v>
      </c>
      <c r="AG12847">
        <v>1</v>
      </c>
      <c r="AH12847">
        <v>1</v>
      </c>
      <c r="AI12847">
        <v>1</v>
      </c>
      <c r="AJ12847">
        <v>1</v>
      </c>
      <c r="AK12847">
        <v>1</v>
      </c>
      <c r="AL12847">
        <v>1</v>
      </c>
      <c r="AM12847">
        <v>1</v>
      </c>
    </row>
    <row r="12848" spans="1:39" x14ac:dyDescent="0.2">
      <c r="A12848" t="str">
        <f>"12844"</f>
        <v>12844</v>
      </c>
      <c r="B12848" t="str">
        <f t="shared" si="712"/>
        <v>1</v>
      </c>
      <c r="C12848" t="str">
        <f t="shared" si="714"/>
        <v>257</v>
      </c>
      <c r="D12848" t="str">
        <f>"6"</f>
        <v>6</v>
      </c>
      <c r="E12848" t="str">
        <f>"1-257-6"</f>
        <v>1-257-6</v>
      </c>
      <c r="F12848" t="s">
        <v>65</v>
      </c>
      <c r="G12848" t="s">
        <v>66</v>
      </c>
      <c r="H12848" t="s">
        <v>67</v>
      </c>
      <c r="S12848">
        <v>0</v>
      </c>
      <c r="T12848">
        <v>0</v>
      </c>
      <c r="U12848">
        <v>0</v>
      </c>
      <c r="V12848">
        <v>0</v>
      </c>
      <c r="W12848">
        <v>0</v>
      </c>
      <c r="X12848">
        <v>1</v>
      </c>
      <c r="Y12848">
        <v>0</v>
      </c>
      <c r="Z12848">
        <v>0</v>
      </c>
      <c r="AA12848">
        <v>0</v>
      </c>
      <c r="AB12848">
        <v>0</v>
      </c>
      <c r="AC12848">
        <v>0</v>
      </c>
      <c r="AD12848">
        <v>0</v>
      </c>
      <c r="AE12848">
        <v>0</v>
      </c>
      <c r="AF12848">
        <v>0</v>
      </c>
      <c r="AG12848">
        <v>0</v>
      </c>
      <c r="AH12848">
        <v>0</v>
      </c>
      <c r="AI12848">
        <v>0</v>
      </c>
      <c r="AJ12848">
        <v>0</v>
      </c>
      <c r="AK12848">
        <v>0</v>
      </c>
      <c r="AL12848">
        <v>0</v>
      </c>
      <c r="AM12848">
        <v>0</v>
      </c>
    </row>
    <row r="12849" spans="1:39" x14ac:dyDescent="0.2">
      <c r="A12849" t="str">
        <f>"12845"</f>
        <v>12845</v>
      </c>
      <c r="B12849" t="str">
        <f t="shared" si="712"/>
        <v>1</v>
      </c>
      <c r="C12849" t="str">
        <f t="shared" si="714"/>
        <v>257</v>
      </c>
      <c r="D12849" t="str">
        <f>"30"</f>
        <v>30</v>
      </c>
      <c r="E12849" t="str">
        <f>"1-257-30"</f>
        <v>1-257-30</v>
      </c>
      <c r="F12849" t="s">
        <v>65</v>
      </c>
      <c r="G12849" t="s">
        <v>66</v>
      </c>
      <c r="H12849" t="s">
        <v>67</v>
      </c>
      <c r="S12849">
        <v>0</v>
      </c>
      <c r="T12849">
        <v>1</v>
      </c>
      <c r="U12849">
        <v>0</v>
      </c>
      <c r="V12849">
        <v>0</v>
      </c>
      <c r="W12849">
        <v>0</v>
      </c>
      <c r="X12849">
        <v>1</v>
      </c>
      <c r="Y12849">
        <v>0</v>
      </c>
      <c r="Z12849">
        <v>1</v>
      </c>
      <c r="AA12849">
        <v>0</v>
      </c>
      <c r="AB12849">
        <v>1</v>
      </c>
      <c r="AC12849">
        <v>0</v>
      </c>
      <c r="AD12849">
        <v>1</v>
      </c>
      <c r="AE12849">
        <v>1</v>
      </c>
      <c r="AF12849">
        <v>1</v>
      </c>
      <c r="AG12849">
        <v>1</v>
      </c>
      <c r="AH12849">
        <v>1</v>
      </c>
      <c r="AI12849">
        <v>1</v>
      </c>
      <c r="AJ12849">
        <v>1</v>
      </c>
      <c r="AK12849">
        <v>1</v>
      </c>
      <c r="AL12849">
        <v>1</v>
      </c>
      <c r="AM12849">
        <v>1</v>
      </c>
    </row>
    <row r="12850" spans="1:39" x14ac:dyDescent="0.2">
      <c r="A12850" t="str">
        <f>"12846"</f>
        <v>12846</v>
      </c>
      <c r="B12850" t="str">
        <f t="shared" si="712"/>
        <v>1</v>
      </c>
      <c r="C12850" t="str">
        <f t="shared" si="714"/>
        <v>257</v>
      </c>
      <c r="D12850" t="str">
        <f>"9"</f>
        <v>9</v>
      </c>
      <c r="E12850" t="str">
        <f>"1-257-9"</f>
        <v>1-257-9</v>
      </c>
      <c r="F12850" t="s">
        <v>65</v>
      </c>
      <c r="G12850" t="s">
        <v>66</v>
      </c>
      <c r="H12850" t="s">
        <v>67</v>
      </c>
      <c r="S12850">
        <v>1</v>
      </c>
      <c r="T12850">
        <v>0</v>
      </c>
      <c r="U12850">
        <v>0</v>
      </c>
      <c r="V12850">
        <v>0</v>
      </c>
      <c r="W12850">
        <v>1</v>
      </c>
      <c r="X12850">
        <v>0</v>
      </c>
      <c r="Y12850">
        <v>1</v>
      </c>
      <c r="Z12850">
        <v>0</v>
      </c>
      <c r="AA12850">
        <v>1</v>
      </c>
      <c r="AB12850">
        <v>0</v>
      </c>
      <c r="AC12850">
        <v>0</v>
      </c>
      <c r="AD12850">
        <v>0</v>
      </c>
      <c r="AE12850">
        <v>0</v>
      </c>
      <c r="AF12850">
        <v>0</v>
      </c>
      <c r="AG12850">
        <v>0</v>
      </c>
      <c r="AH12850">
        <v>0</v>
      </c>
      <c r="AI12850">
        <v>0</v>
      </c>
      <c r="AJ12850">
        <v>0</v>
      </c>
      <c r="AK12850">
        <v>0</v>
      </c>
      <c r="AL12850">
        <v>0</v>
      </c>
      <c r="AM12850">
        <v>0</v>
      </c>
    </row>
    <row r="12851" spans="1:39" x14ac:dyDescent="0.2">
      <c r="A12851" t="str">
        <f>"12847"</f>
        <v>12847</v>
      </c>
      <c r="B12851" t="str">
        <f t="shared" si="712"/>
        <v>1</v>
      </c>
      <c r="C12851" t="str">
        <f t="shared" si="714"/>
        <v>257</v>
      </c>
      <c r="D12851" t="str">
        <f>"39"</f>
        <v>39</v>
      </c>
      <c r="E12851" t="str">
        <f>"1-257-39"</f>
        <v>1-257-39</v>
      </c>
      <c r="F12851" t="s">
        <v>65</v>
      </c>
      <c r="G12851" t="s">
        <v>66</v>
      </c>
      <c r="H12851" t="s">
        <v>67</v>
      </c>
      <c r="S12851">
        <v>0</v>
      </c>
      <c r="T12851">
        <v>1</v>
      </c>
      <c r="U12851">
        <v>0</v>
      </c>
      <c r="V12851">
        <v>0</v>
      </c>
      <c r="W12851">
        <v>1</v>
      </c>
      <c r="X12851">
        <v>0</v>
      </c>
      <c r="Y12851">
        <v>0</v>
      </c>
      <c r="Z12851">
        <v>1</v>
      </c>
      <c r="AA12851">
        <v>0</v>
      </c>
      <c r="AB12851">
        <v>0</v>
      </c>
      <c r="AC12851">
        <v>1</v>
      </c>
      <c r="AD12851">
        <v>1</v>
      </c>
      <c r="AE12851">
        <v>1</v>
      </c>
      <c r="AF12851">
        <v>1</v>
      </c>
      <c r="AG12851">
        <v>1</v>
      </c>
      <c r="AH12851">
        <v>1</v>
      </c>
      <c r="AI12851">
        <v>0</v>
      </c>
      <c r="AJ12851">
        <v>1</v>
      </c>
      <c r="AK12851">
        <v>1</v>
      </c>
      <c r="AL12851">
        <v>1</v>
      </c>
      <c r="AM12851">
        <v>1</v>
      </c>
    </row>
    <row r="12852" spans="1:39" x14ac:dyDescent="0.2">
      <c r="A12852" t="str">
        <f>"12848"</f>
        <v>12848</v>
      </c>
      <c r="B12852" t="str">
        <f t="shared" si="712"/>
        <v>1</v>
      </c>
      <c r="C12852" t="str">
        <f t="shared" si="714"/>
        <v>257</v>
      </c>
      <c r="D12852" t="str">
        <f>"16"</f>
        <v>16</v>
      </c>
      <c r="E12852" t="str">
        <f>"1-257-16"</f>
        <v>1-257-16</v>
      </c>
      <c r="F12852" t="s">
        <v>65</v>
      </c>
      <c r="G12852" t="s">
        <v>66</v>
      </c>
      <c r="H12852" t="s">
        <v>67</v>
      </c>
      <c r="S12852">
        <v>0</v>
      </c>
      <c r="T12852">
        <v>1</v>
      </c>
      <c r="U12852">
        <v>0</v>
      </c>
      <c r="V12852">
        <v>0</v>
      </c>
      <c r="W12852">
        <v>1</v>
      </c>
      <c r="X12852">
        <v>0</v>
      </c>
      <c r="Y12852">
        <v>1</v>
      </c>
      <c r="Z12852">
        <v>0</v>
      </c>
      <c r="AA12852">
        <v>1</v>
      </c>
      <c r="AB12852">
        <v>0</v>
      </c>
      <c r="AC12852">
        <v>0</v>
      </c>
      <c r="AD12852">
        <v>1</v>
      </c>
      <c r="AE12852">
        <v>1</v>
      </c>
      <c r="AF12852">
        <v>1</v>
      </c>
      <c r="AG12852">
        <v>1</v>
      </c>
      <c r="AH12852">
        <v>1</v>
      </c>
      <c r="AI12852">
        <v>1</v>
      </c>
      <c r="AJ12852">
        <v>1</v>
      </c>
      <c r="AK12852">
        <v>1</v>
      </c>
      <c r="AL12852">
        <v>1</v>
      </c>
      <c r="AM12852">
        <v>1</v>
      </c>
    </row>
    <row r="12853" spans="1:39" x14ac:dyDescent="0.2">
      <c r="A12853" t="str">
        <f>"12849"</f>
        <v>12849</v>
      </c>
      <c r="B12853" t="str">
        <f t="shared" si="712"/>
        <v>1</v>
      </c>
      <c r="C12853" t="str">
        <f t="shared" si="714"/>
        <v>257</v>
      </c>
      <c r="D12853" t="str">
        <f>"50"</f>
        <v>50</v>
      </c>
      <c r="E12853" t="str">
        <f>"1-257-50"</f>
        <v>1-257-50</v>
      </c>
      <c r="F12853" t="s">
        <v>65</v>
      </c>
      <c r="G12853" t="s">
        <v>66</v>
      </c>
      <c r="H12853" t="s">
        <v>67</v>
      </c>
      <c r="S12853">
        <v>0</v>
      </c>
      <c r="T12853">
        <v>0</v>
      </c>
      <c r="U12853">
        <v>0</v>
      </c>
      <c r="V12853">
        <v>0</v>
      </c>
      <c r="W12853">
        <v>1</v>
      </c>
      <c r="X12853">
        <v>0</v>
      </c>
      <c r="Y12853">
        <v>0</v>
      </c>
      <c r="Z12853">
        <v>1</v>
      </c>
      <c r="AA12853">
        <v>1</v>
      </c>
      <c r="AB12853">
        <v>0</v>
      </c>
      <c r="AC12853">
        <v>0</v>
      </c>
      <c r="AD12853">
        <v>1</v>
      </c>
      <c r="AE12853">
        <v>1</v>
      </c>
      <c r="AF12853">
        <v>1</v>
      </c>
      <c r="AG12853">
        <v>1</v>
      </c>
      <c r="AH12853">
        <v>1</v>
      </c>
      <c r="AI12853">
        <v>1</v>
      </c>
      <c r="AJ12853">
        <v>1</v>
      </c>
      <c r="AK12853">
        <v>1</v>
      </c>
      <c r="AL12853">
        <v>1</v>
      </c>
      <c r="AM12853">
        <v>1</v>
      </c>
    </row>
    <row r="12854" spans="1:39" x14ac:dyDescent="0.2">
      <c r="A12854" t="str">
        <f>"12850"</f>
        <v>12850</v>
      </c>
      <c r="B12854" t="str">
        <f t="shared" si="712"/>
        <v>1</v>
      </c>
      <c r="C12854" t="str">
        <f t="shared" si="714"/>
        <v>257</v>
      </c>
      <c r="D12854" t="str">
        <f>"49"</f>
        <v>49</v>
      </c>
      <c r="E12854" t="str">
        <f>"1-257-49"</f>
        <v>1-257-49</v>
      </c>
      <c r="F12854" t="s">
        <v>65</v>
      </c>
      <c r="G12854" t="s">
        <v>66</v>
      </c>
      <c r="H12854" t="s">
        <v>67</v>
      </c>
      <c r="S12854">
        <v>1</v>
      </c>
      <c r="T12854">
        <v>0</v>
      </c>
      <c r="U12854">
        <v>0</v>
      </c>
      <c r="V12854">
        <v>0</v>
      </c>
      <c r="W12854">
        <v>1</v>
      </c>
      <c r="X12854">
        <v>0</v>
      </c>
      <c r="Y12854">
        <v>0</v>
      </c>
      <c r="Z12854">
        <v>1</v>
      </c>
      <c r="AA12854">
        <v>0</v>
      </c>
      <c r="AB12854">
        <v>1</v>
      </c>
      <c r="AC12854">
        <v>0</v>
      </c>
      <c r="AD12854">
        <v>1</v>
      </c>
      <c r="AE12854">
        <v>1</v>
      </c>
      <c r="AF12854">
        <v>1</v>
      </c>
      <c r="AG12854">
        <v>1</v>
      </c>
      <c r="AH12854">
        <v>1</v>
      </c>
      <c r="AI12854">
        <v>1</v>
      </c>
      <c r="AJ12854">
        <v>1</v>
      </c>
      <c r="AK12854">
        <v>1</v>
      </c>
      <c r="AL12854">
        <v>1</v>
      </c>
      <c r="AM12854">
        <v>0</v>
      </c>
    </row>
    <row r="12855" spans="1:39" x14ac:dyDescent="0.2">
      <c r="A12855" t="str">
        <f>"12851"</f>
        <v>12851</v>
      </c>
      <c r="B12855" t="str">
        <f t="shared" ref="B12855:B12918" si="715">"1"</f>
        <v>1</v>
      </c>
      <c r="C12855" t="str">
        <f t="shared" ref="C12855:C12886" si="716">"258"</f>
        <v>258</v>
      </c>
      <c r="D12855" t="str">
        <f>"41"</f>
        <v>41</v>
      </c>
      <c r="E12855" t="str">
        <f>"1-258-41"</f>
        <v>1-258-41</v>
      </c>
      <c r="F12855" t="s">
        <v>65</v>
      </c>
      <c r="G12855" t="s">
        <v>66</v>
      </c>
      <c r="H12855" t="s">
        <v>67</v>
      </c>
      <c r="S12855">
        <v>1</v>
      </c>
      <c r="T12855">
        <v>0</v>
      </c>
      <c r="U12855">
        <v>0</v>
      </c>
      <c r="V12855">
        <v>0</v>
      </c>
      <c r="W12855">
        <v>1</v>
      </c>
      <c r="X12855">
        <v>0</v>
      </c>
      <c r="Y12855">
        <v>0</v>
      </c>
      <c r="Z12855">
        <v>1</v>
      </c>
      <c r="AA12855">
        <v>0</v>
      </c>
      <c r="AB12855">
        <v>1</v>
      </c>
      <c r="AC12855">
        <v>0</v>
      </c>
      <c r="AD12855">
        <v>1</v>
      </c>
      <c r="AE12855">
        <v>1</v>
      </c>
      <c r="AF12855">
        <v>1</v>
      </c>
      <c r="AG12855">
        <v>1</v>
      </c>
      <c r="AH12855">
        <v>1</v>
      </c>
      <c r="AI12855">
        <v>1</v>
      </c>
      <c r="AJ12855">
        <v>1</v>
      </c>
      <c r="AK12855">
        <v>1</v>
      </c>
      <c r="AL12855">
        <v>1</v>
      </c>
      <c r="AM12855">
        <v>1</v>
      </c>
    </row>
    <row r="12856" spans="1:39" x14ac:dyDescent="0.2">
      <c r="A12856" t="str">
        <f>"12852"</f>
        <v>12852</v>
      </c>
      <c r="B12856" t="str">
        <f t="shared" si="715"/>
        <v>1</v>
      </c>
      <c r="C12856" t="str">
        <f t="shared" si="716"/>
        <v>258</v>
      </c>
      <c r="D12856" t="str">
        <f>"40"</f>
        <v>40</v>
      </c>
      <c r="E12856" t="str">
        <f>"1-258-40"</f>
        <v>1-258-40</v>
      </c>
      <c r="F12856" t="s">
        <v>65</v>
      </c>
      <c r="G12856" t="s">
        <v>66</v>
      </c>
      <c r="H12856" t="s">
        <v>67</v>
      </c>
      <c r="S12856">
        <v>0</v>
      </c>
      <c r="T12856">
        <v>0</v>
      </c>
      <c r="U12856">
        <v>0</v>
      </c>
      <c r="V12856">
        <v>0</v>
      </c>
      <c r="W12856">
        <v>0</v>
      </c>
      <c r="X12856">
        <v>1</v>
      </c>
      <c r="Y12856">
        <v>0</v>
      </c>
      <c r="Z12856">
        <v>0</v>
      </c>
      <c r="AA12856">
        <v>0</v>
      </c>
      <c r="AB12856">
        <v>0</v>
      </c>
      <c r="AC12856">
        <v>0</v>
      </c>
      <c r="AD12856">
        <v>0</v>
      </c>
      <c r="AE12856">
        <v>0</v>
      </c>
      <c r="AF12856">
        <v>0</v>
      </c>
      <c r="AG12856">
        <v>0</v>
      </c>
      <c r="AH12856">
        <v>0</v>
      </c>
      <c r="AI12856">
        <v>0</v>
      </c>
      <c r="AJ12856">
        <v>0</v>
      </c>
      <c r="AK12856">
        <v>0</v>
      </c>
      <c r="AL12856">
        <v>0</v>
      </c>
      <c r="AM12856">
        <v>0</v>
      </c>
    </row>
    <row r="12857" spans="1:39" x14ac:dyDescent="0.2">
      <c r="A12857" t="str">
        <f>"12853"</f>
        <v>12853</v>
      </c>
      <c r="B12857" t="str">
        <f t="shared" si="715"/>
        <v>1</v>
      </c>
      <c r="C12857" t="str">
        <f t="shared" si="716"/>
        <v>258</v>
      </c>
      <c r="D12857" t="str">
        <f>"28"</f>
        <v>28</v>
      </c>
      <c r="E12857" t="str">
        <f>"1-258-28"</f>
        <v>1-258-28</v>
      </c>
      <c r="F12857" t="s">
        <v>65</v>
      </c>
      <c r="G12857" t="s">
        <v>66</v>
      </c>
      <c r="H12857" t="s">
        <v>67</v>
      </c>
      <c r="S12857">
        <v>0</v>
      </c>
      <c r="T12857">
        <v>1</v>
      </c>
      <c r="U12857">
        <v>0</v>
      </c>
      <c r="V12857">
        <v>0</v>
      </c>
      <c r="W12857">
        <v>1</v>
      </c>
      <c r="X12857">
        <v>0</v>
      </c>
      <c r="Y12857">
        <v>0</v>
      </c>
      <c r="Z12857">
        <v>1</v>
      </c>
      <c r="AA12857">
        <v>0</v>
      </c>
      <c r="AB12857">
        <v>1</v>
      </c>
      <c r="AC12857">
        <v>0</v>
      </c>
      <c r="AD12857">
        <v>1</v>
      </c>
      <c r="AE12857">
        <v>1</v>
      </c>
      <c r="AF12857">
        <v>1</v>
      </c>
      <c r="AG12857">
        <v>1</v>
      </c>
      <c r="AH12857">
        <v>1</v>
      </c>
      <c r="AI12857">
        <v>1</v>
      </c>
      <c r="AJ12857">
        <v>1</v>
      </c>
      <c r="AK12857">
        <v>1</v>
      </c>
      <c r="AL12857">
        <v>1</v>
      </c>
      <c r="AM12857">
        <v>1</v>
      </c>
    </row>
    <row r="12858" spans="1:39" x14ac:dyDescent="0.2">
      <c r="A12858" t="str">
        <f>"12854"</f>
        <v>12854</v>
      </c>
      <c r="B12858" t="str">
        <f t="shared" si="715"/>
        <v>1</v>
      </c>
      <c r="C12858" t="str">
        <f t="shared" si="716"/>
        <v>258</v>
      </c>
      <c r="D12858" t="str">
        <f>"27"</f>
        <v>27</v>
      </c>
      <c r="E12858" t="str">
        <f>"1-258-27"</f>
        <v>1-258-27</v>
      </c>
      <c r="F12858" t="s">
        <v>65</v>
      </c>
      <c r="G12858" t="s">
        <v>66</v>
      </c>
      <c r="H12858" t="s">
        <v>67</v>
      </c>
      <c r="S12858">
        <v>0</v>
      </c>
      <c r="T12858">
        <v>1</v>
      </c>
      <c r="U12858">
        <v>0</v>
      </c>
      <c r="V12858">
        <v>0</v>
      </c>
      <c r="W12858">
        <v>1</v>
      </c>
      <c r="X12858">
        <v>0</v>
      </c>
      <c r="Y12858">
        <v>1</v>
      </c>
      <c r="Z12858">
        <v>0</v>
      </c>
      <c r="AA12858">
        <v>1</v>
      </c>
      <c r="AB12858">
        <v>0</v>
      </c>
      <c r="AC12858">
        <v>0</v>
      </c>
      <c r="AD12858">
        <v>1</v>
      </c>
      <c r="AE12858">
        <v>1</v>
      </c>
      <c r="AF12858">
        <v>1</v>
      </c>
      <c r="AG12858">
        <v>1</v>
      </c>
      <c r="AH12858">
        <v>1</v>
      </c>
      <c r="AI12858">
        <v>1</v>
      </c>
      <c r="AJ12858">
        <v>1</v>
      </c>
      <c r="AK12858">
        <v>1</v>
      </c>
      <c r="AL12858">
        <v>1</v>
      </c>
      <c r="AM12858">
        <v>1</v>
      </c>
    </row>
    <row r="12859" spans="1:39" x14ac:dyDescent="0.2">
      <c r="A12859" t="str">
        <f>"12855"</f>
        <v>12855</v>
      </c>
      <c r="B12859" t="str">
        <f t="shared" si="715"/>
        <v>1</v>
      </c>
      <c r="C12859" t="str">
        <f t="shared" si="716"/>
        <v>258</v>
      </c>
      <c r="D12859" t="str">
        <f>"18"</f>
        <v>18</v>
      </c>
      <c r="E12859" t="str">
        <f>"1-258-18"</f>
        <v>1-258-18</v>
      </c>
      <c r="F12859" t="s">
        <v>65</v>
      </c>
      <c r="G12859" t="s">
        <v>66</v>
      </c>
      <c r="H12859" t="s">
        <v>67</v>
      </c>
      <c r="S12859">
        <v>0</v>
      </c>
      <c r="T12859">
        <v>1</v>
      </c>
      <c r="U12859">
        <v>0</v>
      </c>
      <c r="V12859">
        <v>0</v>
      </c>
      <c r="W12859">
        <v>0</v>
      </c>
      <c r="X12859">
        <v>1</v>
      </c>
      <c r="Y12859">
        <v>0</v>
      </c>
      <c r="Z12859">
        <v>1</v>
      </c>
      <c r="AA12859">
        <v>0</v>
      </c>
      <c r="AB12859">
        <v>0</v>
      </c>
      <c r="AC12859">
        <v>1</v>
      </c>
      <c r="AD12859">
        <v>1</v>
      </c>
      <c r="AE12859">
        <v>1</v>
      </c>
      <c r="AF12859">
        <v>1</v>
      </c>
      <c r="AG12859">
        <v>1</v>
      </c>
      <c r="AH12859">
        <v>1</v>
      </c>
      <c r="AI12859">
        <v>1</v>
      </c>
      <c r="AJ12859">
        <v>1</v>
      </c>
      <c r="AK12859">
        <v>1</v>
      </c>
      <c r="AL12859">
        <v>1</v>
      </c>
      <c r="AM12859">
        <v>1</v>
      </c>
    </row>
    <row r="12860" spans="1:39" x14ac:dyDescent="0.2">
      <c r="A12860" t="str">
        <f>"12856"</f>
        <v>12856</v>
      </c>
      <c r="B12860" t="str">
        <f t="shared" si="715"/>
        <v>1</v>
      </c>
      <c r="C12860" t="str">
        <f t="shared" si="716"/>
        <v>258</v>
      </c>
      <c r="D12860" t="str">
        <f>"15"</f>
        <v>15</v>
      </c>
      <c r="E12860" t="str">
        <f>"1-258-15"</f>
        <v>1-258-15</v>
      </c>
      <c r="F12860" t="s">
        <v>65</v>
      </c>
      <c r="G12860" t="s">
        <v>66</v>
      </c>
      <c r="H12860" t="s">
        <v>67</v>
      </c>
      <c r="S12860">
        <v>1</v>
      </c>
      <c r="T12860">
        <v>0</v>
      </c>
      <c r="U12860">
        <v>0</v>
      </c>
      <c r="V12860">
        <v>0</v>
      </c>
      <c r="W12860">
        <v>0</v>
      </c>
      <c r="X12860">
        <v>1</v>
      </c>
      <c r="Y12860">
        <v>0</v>
      </c>
      <c r="Z12860">
        <v>1</v>
      </c>
      <c r="AA12860">
        <v>0</v>
      </c>
      <c r="AB12860">
        <v>0</v>
      </c>
      <c r="AC12860">
        <v>1</v>
      </c>
      <c r="AD12860">
        <v>1</v>
      </c>
      <c r="AE12860">
        <v>1</v>
      </c>
      <c r="AF12860">
        <v>1</v>
      </c>
      <c r="AG12860">
        <v>1</v>
      </c>
      <c r="AH12860">
        <v>1</v>
      </c>
      <c r="AI12860">
        <v>1</v>
      </c>
      <c r="AJ12860">
        <v>1</v>
      </c>
      <c r="AK12860">
        <v>1</v>
      </c>
      <c r="AL12860">
        <v>1</v>
      </c>
      <c r="AM12860">
        <v>1</v>
      </c>
    </row>
    <row r="12861" spans="1:39" x14ac:dyDescent="0.2">
      <c r="A12861" t="str">
        <f>"12857"</f>
        <v>12857</v>
      </c>
      <c r="B12861" t="str">
        <f t="shared" si="715"/>
        <v>1</v>
      </c>
      <c r="C12861" t="str">
        <f t="shared" si="716"/>
        <v>258</v>
      </c>
      <c r="D12861" t="str">
        <f>"3"</f>
        <v>3</v>
      </c>
      <c r="E12861" t="str">
        <f>"1-258-3"</f>
        <v>1-258-3</v>
      </c>
      <c r="F12861" t="s">
        <v>65</v>
      </c>
      <c r="G12861" t="s">
        <v>66</v>
      </c>
      <c r="H12861" t="s">
        <v>68</v>
      </c>
      <c r="I12861">
        <v>1</v>
      </c>
      <c r="J12861">
        <v>0</v>
      </c>
      <c r="K12861">
        <v>0</v>
      </c>
      <c r="L12861">
        <v>1</v>
      </c>
      <c r="M12861">
        <v>1</v>
      </c>
      <c r="N12861">
        <v>1</v>
      </c>
      <c r="O12861">
        <v>1</v>
      </c>
      <c r="P12861">
        <v>1</v>
      </c>
      <c r="Q12861">
        <v>1</v>
      </c>
      <c r="R12861">
        <v>1</v>
      </c>
    </row>
    <row r="12862" spans="1:39" x14ac:dyDescent="0.2">
      <c r="A12862" t="str">
        <f>"12858"</f>
        <v>12858</v>
      </c>
      <c r="B12862" t="str">
        <f t="shared" si="715"/>
        <v>1</v>
      </c>
      <c r="C12862" t="str">
        <f t="shared" si="716"/>
        <v>258</v>
      </c>
      <c r="D12862" t="str">
        <f>"36"</f>
        <v>36</v>
      </c>
      <c r="E12862" t="str">
        <f>"1-258-36"</f>
        <v>1-258-36</v>
      </c>
      <c r="F12862" t="s">
        <v>65</v>
      </c>
      <c r="G12862" t="s">
        <v>66</v>
      </c>
      <c r="H12862" t="s">
        <v>67</v>
      </c>
      <c r="S12862">
        <v>0</v>
      </c>
      <c r="T12862">
        <v>0</v>
      </c>
      <c r="U12862">
        <v>0</v>
      </c>
      <c r="V12862">
        <v>0</v>
      </c>
      <c r="W12862">
        <v>0</v>
      </c>
      <c r="X12862">
        <v>1</v>
      </c>
      <c r="Y12862">
        <v>0</v>
      </c>
      <c r="Z12862">
        <v>1</v>
      </c>
      <c r="AA12862">
        <v>0</v>
      </c>
      <c r="AB12862">
        <v>0</v>
      </c>
      <c r="AC12862">
        <v>1</v>
      </c>
      <c r="AD12862">
        <v>1</v>
      </c>
      <c r="AE12862">
        <v>1</v>
      </c>
      <c r="AF12862">
        <v>1</v>
      </c>
      <c r="AG12862">
        <v>1</v>
      </c>
      <c r="AH12862">
        <v>1</v>
      </c>
      <c r="AI12862">
        <v>1</v>
      </c>
      <c r="AJ12862">
        <v>1</v>
      </c>
      <c r="AK12862">
        <v>1</v>
      </c>
      <c r="AL12862">
        <v>1</v>
      </c>
      <c r="AM12862">
        <v>1</v>
      </c>
    </row>
    <row r="12863" spans="1:39" x14ac:dyDescent="0.2">
      <c r="A12863" t="str">
        <f>"12859"</f>
        <v>12859</v>
      </c>
      <c r="B12863" t="str">
        <f t="shared" si="715"/>
        <v>1</v>
      </c>
      <c r="C12863" t="str">
        <f t="shared" si="716"/>
        <v>258</v>
      </c>
      <c r="D12863" t="str">
        <f>"35"</f>
        <v>35</v>
      </c>
      <c r="E12863" t="str">
        <f>"1-258-35"</f>
        <v>1-258-35</v>
      </c>
      <c r="F12863" t="s">
        <v>65</v>
      </c>
      <c r="G12863" t="s">
        <v>66</v>
      </c>
      <c r="H12863" t="s">
        <v>67</v>
      </c>
      <c r="S12863">
        <v>1</v>
      </c>
      <c r="T12863">
        <v>0</v>
      </c>
      <c r="U12863">
        <v>0</v>
      </c>
      <c r="V12863">
        <v>0</v>
      </c>
      <c r="W12863">
        <v>0</v>
      </c>
      <c r="X12863">
        <v>1</v>
      </c>
      <c r="Y12863">
        <v>0</v>
      </c>
      <c r="Z12863">
        <v>1</v>
      </c>
      <c r="AA12863">
        <v>0</v>
      </c>
      <c r="AB12863">
        <v>0</v>
      </c>
      <c r="AC12863">
        <v>1</v>
      </c>
      <c r="AD12863">
        <v>1</v>
      </c>
      <c r="AE12863">
        <v>1</v>
      </c>
      <c r="AF12863">
        <v>1</v>
      </c>
      <c r="AG12863">
        <v>1</v>
      </c>
      <c r="AH12863">
        <v>1</v>
      </c>
      <c r="AI12863">
        <v>1</v>
      </c>
      <c r="AJ12863">
        <v>1</v>
      </c>
      <c r="AK12863">
        <v>1</v>
      </c>
      <c r="AL12863">
        <v>1</v>
      </c>
      <c r="AM12863">
        <v>1</v>
      </c>
    </row>
    <row r="12864" spans="1:39" x14ac:dyDescent="0.2">
      <c r="A12864" t="str">
        <f>"12860"</f>
        <v>12860</v>
      </c>
      <c r="B12864" t="str">
        <f t="shared" si="715"/>
        <v>1</v>
      </c>
      <c r="C12864" t="str">
        <f t="shared" si="716"/>
        <v>258</v>
      </c>
      <c r="D12864" t="str">
        <f>"31"</f>
        <v>31</v>
      </c>
      <c r="E12864" t="str">
        <f>"1-258-31"</f>
        <v>1-258-31</v>
      </c>
      <c r="F12864" t="s">
        <v>65</v>
      </c>
      <c r="G12864" t="s">
        <v>66</v>
      </c>
      <c r="H12864" t="s">
        <v>67</v>
      </c>
      <c r="S12864">
        <v>0</v>
      </c>
      <c r="T12864">
        <v>1</v>
      </c>
      <c r="U12864">
        <v>0</v>
      </c>
      <c r="V12864">
        <v>0</v>
      </c>
      <c r="W12864">
        <v>1</v>
      </c>
      <c r="X12864">
        <v>0</v>
      </c>
      <c r="Y12864">
        <v>0</v>
      </c>
      <c r="Z12864">
        <v>1</v>
      </c>
      <c r="AA12864">
        <v>0</v>
      </c>
      <c r="AB12864">
        <v>0</v>
      </c>
      <c r="AC12864">
        <v>1</v>
      </c>
      <c r="AD12864">
        <v>1</v>
      </c>
      <c r="AE12864">
        <v>1</v>
      </c>
      <c r="AF12864">
        <v>1</v>
      </c>
      <c r="AG12864">
        <v>1</v>
      </c>
      <c r="AH12864">
        <v>1</v>
      </c>
      <c r="AI12864">
        <v>1</v>
      </c>
      <c r="AJ12864">
        <v>1</v>
      </c>
      <c r="AK12864">
        <v>1</v>
      </c>
      <c r="AL12864">
        <v>1</v>
      </c>
      <c r="AM12864">
        <v>1</v>
      </c>
    </row>
    <row r="12865" spans="1:39" x14ac:dyDescent="0.2">
      <c r="A12865" t="str">
        <f>"12861"</f>
        <v>12861</v>
      </c>
      <c r="B12865" t="str">
        <f t="shared" si="715"/>
        <v>1</v>
      </c>
      <c r="C12865" t="str">
        <f t="shared" si="716"/>
        <v>258</v>
      </c>
      <c r="D12865" t="str">
        <f>"16"</f>
        <v>16</v>
      </c>
      <c r="E12865" t="str">
        <f>"1-258-16"</f>
        <v>1-258-16</v>
      </c>
      <c r="F12865" t="s">
        <v>65</v>
      </c>
      <c r="G12865" t="s">
        <v>66</v>
      </c>
      <c r="H12865" t="s">
        <v>67</v>
      </c>
      <c r="S12865">
        <v>0</v>
      </c>
      <c r="T12865">
        <v>1</v>
      </c>
      <c r="U12865">
        <v>0</v>
      </c>
      <c r="V12865">
        <v>0</v>
      </c>
      <c r="W12865">
        <v>1</v>
      </c>
      <c r="X12865">
        <v>0</v>
      </c>
      <c r="Y12865">
        <v>1</v>
      </c>
      <c r="Z12865">
        <v>0</v>
      </c>
      <c r="AA12865">
        <v>1</v>
      </c>
      <c r="AB12865">
        <v>0</v>
      </c>
      <c r="AC12865">
        <v>0</v>
      </c>
      <c r="AD12865">
        <v>0</v>
      </c>
      <c r="AE12865">
        <v>0</v>
      </c>
      <c r="AF12865">
        <v>0</v>
      </c>
      <c r="AG12865">
        <v>0</v>
      </c>
      <c r="AH12865">
        <v>0</v>
      </c>
      <c r="AI12865">
        <v>0</v>
      </c>
      <c r="AJ12865">
        <v>0</v>
      </c>
      <c r="AK12865">
        <v>0</v>
      </c>
      <c r="AL12865">
        <v>0</v>
      </c>
      <c r="AM12865">
        <v>0</v>
      </c>
    </row>
    <row r="12866" spans="1:39" x14ac:dyDescent="0.2">
      <c r="A12866" t="str">
        <f>"12862"</f>
        <v>12862</v>
      </c>
      <c r="B12866" t="str">
        <f t="shared" si="715"/>
        <v>1</v>
      </c>
      <c r="C12866" t="str">
        <f t="shared" si="716"/>
        <v>258</v>
      </c>
      <c r="D12866" t="str">
        <f>"7"</f>
        <v>7</v>
      </c>
      <c r="E12866" t="str">
        <f>"1-258-7"</f>
        <v>1-258-7</v>
      </c>
      <c r="F12866" t="s">
        <v>65</v>
      </c>
      <c r="G12866" t="s">
        <v>66</v>
      </c>
      <c r="H12866" t="s">
        <v>68</v>
      </c>
      <c r="I12866">
        <v>1</v>
      </c>
      <c r="J12866">
        <v>1</v>
      </c>
      <c r="K12866">
        <v>0</v>
      </c>
      <c r="L12866">
        <v>0</v>
      </c>
      <c r="M12866">
        <v>1</v>
      </c>
      <c r="N12866">
        <v>1</v>
      </c>
      <c r="O12866">
        <v>1</v>
      </c>
      <c r="P12866">
        <v>1</v>
      </c>
      <c r="Q12866">
        <v>1</v>
      </c>
      <c r="R12866">
        <v>1</v>
      </c>
    </row>
    <row r="12867" spans="1:39" x14ac:dyDescent="0.2">
      <c r="A12867" t="str">
        <f>"12863"</f>
        <v>12863</v>
      </c>
      <c r="B12867" t="str">
        <f t="shared" si="715"/>
        <v>1</v>
      </c>
      <c r="C12867" t="str">
        <f t="shared" si="716"/>
        <v>258</v>
      </c>
      <c r="D12867" t="str">
        <f>"43"</f>
        <v>43</v>
      </c>
      <c r="E12867" t="str">
        <f>"1-258-43"</f>
        <v>1-258-43</v>
      </c>
      <c r="F12867" t="s">
        <v>65</v>
      </c>
      <c r="G12867" t="s">
        <v>66</v>
      </c>
      <c r="H12867" t="s">
        <v>67</v>
      </c>
      <c r="S12867">
        <v>0</v>
      </c>
      <c r="T12867">
        <v>0</v>
      </c>
      <c r="U12867">
        <v>0</v>
      </c>
      <c r="V12867">
        <v>0</v>
      </c>
      <c r="W12867">
        <v>0</v>
      </c>
      <c r="X12867">
        <v>1</v>
      </c>
      <c r="Y12867">
        <v>0</v>
      </c>
      <c r="Z12867">
        <v>0</v>
      </c>
      <c r="AA12867">
        <v>0</v>
      </c>
      <c r="AB12867">
        <v>1</v>
      </c>
      <c r="AC12867">
        <v>0</v>
      </c>
      <c r="AD12867">
        <v>0</v>
      </c>
      <c r="AE12867">
        <v>0</v>
      </c>
      <c r="AF12867">
        <v>0</v>
      </c>
      <c r="AG12867">
        <v>1</v>
      </c>
      <c r="AH12867">
        <v>1</v>
      </c>
      <c r="AI12867">
        <v>1</v>
      </c>
      <c r="AJ12867">
        <v>1</v>
      </c>
      <c r="AK12867">
        <v>1</v>
      </c>
      <c r="AL12867">
        <v>1</v>
      </c>
      <c r="AM12867">
        <v>0</v>
      </c>
    </row>
    <row r="12868" spans="1:39" x14ac:dyDescent="0.2">
      <c r="A12868" t="str">
        <f>"12864"</f>
        <v>12864</v>
      </c>
      <c r="B12868" t="str">
        <f t="shared" si="715"/>
        <v>1</v>
      </c>
      <c r="C12868" t="str">
        <f t="shared" si="716"/>
        <v>258</v>
      </c>
      <c r="D12868" t="str">
        <f>"42"</f>
        <v>42</v>
      </c>
      <c r="E12868" t="str">
        <f>"1-258-42"</f>
        <v>1-258-42</v>
      </c>
      <c r="F12868" t="s">
        <v>65</v>
      </c>
      <c r="G12868" t="s">
        <v>66</v>
      </c>
      <c r="H12868" t="s">
        <v>67</v>
      </c>
      <c r="S12868">
        <v>1</v>
      </c>
      <c r="T12868">
        <v>0</v>
      </c>
      <c r="U12868">
        <v>0</v>
      </c>
      <c r="V12868">
        <v>0</v>
      </c>
      <c r="W12868">
        <v>1</v>
      </c>
      <c r="X12868">
        <v>0</v>
      </c>
      <c r="Y12868">
        <v>0</v>
      </c>
      <c r="Z12868">
        <v>1</v>
      </c>
      <c r="AA12868">
        <v>0</v>
      </c>
      <c r="AB12868">
        <v>1</v>
      </c>
      <c r="AC12868">
        <v>0</v>
      </c>
      <c r="AD12868">
        <v>1</v>
      </c>
      <c r="AE12868">
        <v>1</v>
      </c>
      <c r="AF12868">
        <v>1</v>
      </c>
      <c r="AG12868">
        <v>1</v>
      </c>
      <c r="AH12868">
        <v>1</v>
      </c>
      <c r="AI12868">
        <v>1</v>
      </c>
      <c r="AJ12868">
        <v>1</v>
      </c>
      <c r="AK12868">
        <v>1</v>
      </c>
      <c r="AL12868">
        <v>1</v>
      </c>
      <c r="AM12868">
        <v>1</v>
      </c>
    </row>
    <row r="12869" spans="1:39" x14ac:dyDescent="0.2">
      <c r="A12869" t="str">
        <f>"12865"</f>
        <v>12865</v>
      </c>
      <c r="B12869" t="str">
        <f t="shared" si="715"/>
        <v>1</v>
      </c>
      <c r="C12869" t="str">
        <f t="shared" si="716"/>
        <v>258</v>
      </c>
      <c r="D12869" t="str">
        <f>"33"</f>
        <v>33</v>
      </c>
      <c r="E12869" t="str">
        <f>"1-258-33"</f>
        <v>1-258-33</v>
      </c>
      <c r="F12869" t="s">
        <v>65</v>
      </c>
      <c r="G12869" t="s">
        <v>66</v>
      </c>
      <c r="H12869" t="s">
        <v>67</v>
      </c>
      <c r="S12869">
        <v>0</v>
      </c>
      <c r="T12869">
        <v>1</v>
      </c>
      <c r="U12869">
        <v>0</v>
      </c>
      <c r="V12869">
        <v>0</v>
      </c>
      <c r="W12869">
        <v>1</v>
      </c>
      <c r="X12869">
        <v>0</v>
      </c>
      <c r="Y12869">
        <v>1</v>
      </c>
      <c r="Z12869">
        <v>0</v>
      </c>
      <c r="AA12869">
        <v>1</v>
      </c>
      <c r="AB12869">
        <v>0</v>
      </c>
      <c r="AC12869">
        <v>0</v>
      </c>
      <c r="AD12869">
        <v>1</v>
      </c>
      <c r="AE12869">
        <v>1</v>
      </c>
      <c r="AF12869">
        <v>1</v>
      </c>
      <c r="AG12869">
        <v>1</v>
      </c>
      <c r="AH12869">
        <v>1</v>
      </c>
      <c r="AI12869">
        <v>1</v>
      </c>
      <c r="AJ12869">
        <v>1</v>
      </c>
      <c r="AK12869">
        <v>1</v>
      </c>
      <c r="AL12869">
        <v>1</v>
      </c>
      <c r="AM12869">
        <v>1</v>
      </c>
    </row>
    <row r="12870" spans="1:39" x14ac:dyDescent="0.2">
      <c r="A12870" t="str">
        <f>"12866"</f>
        <v>12866</v>
      </c>
      <c r="B12870" t="str">
        <f t="shared" si="715"/>
        <v>1</v>
      </c>
      <c r="C12870" t="str">
        <f t="shared" si="716"/>
        <v>258</v>
      </c>
      <c r="D12870" t="str">
        <f>"17"</f>
        <v>17</v>
      </c>
      <c r="E12870" t="str">
        <f>"1-258-17"</f>
        <v>1-258-17</v>
      </c>
      <c r="F12870" t="s">
        <v>65</v>
      </c>
      <c r="G12870" t="s">
        <v>66</v>
      </c>
      <c r="H12870" t="s">
        <v>67</v>
      </c>
      <c r="S12870">
        <v>0</v>
      </c>
      <c r="T12870">
        <v>1</v>
      </c>
      <c r="U12870">
        <v>0</v>
      </c>
      <c r="V12870">
        <v>0</v>
      </c>
      <c r="W12870">
        <v>1</v>
      </c>
      <c r="X12870">
        <v>0</v>
      </c>
      <c r="Y12870">
        <v>0</v>
      </c>
      <c r="Z12870">
        <v>1</v>
      </c>
      <c r="AA12870">
        <v>0</v>
      </c>
      <c r="AB12870">
        <v>0</v>
      </c>
      <c r="AC12870">
        <v>1</v>
      </c>
      <c r="AD12870">
        <v>1</v>
      </c>
      <c r="AE12870">
        <v>1</v>
      </c>
      <c r="AF12870">
        <v>1</v>
      </c>
      <c r="AG12870">
        <v>1</v>
      </c>
      <c r="AH12870">
        <v>1</v>
      </c>
      <c r="AI12870">
        <v>1</v>
      </c>
      <c r="AJ12870">
        <v>1</v>
      </c>
      <c r="AK12870">
        <v>1</v>
      </c>
      <c r="AL12870">
        <v>1</v>
      </c>
      <c r="AM12870">
        <v>1</v>
      </c>
    </row>
    <row r="12871" spans="1:39" x14ac:dyDescent="0.2">
      <c r="A12871" t="str">
        <f>"12867"</f>
        <v>12867</v>
      </c>
      <c r="B12871" t="str">
        <f t="shared" si="715"/>
        <v>1</v>
      </c>
      <c r="C12871" t="str">
        <f t="shared" si="716"/>
        <v>258</v>
      </c>
      <c r="D12871" t="str">
        <f>"8"</f>
        <v>8</v>
      </c>
      <c r="E12871" t="str">
        <f>"1-258-8"</f>
        <v>1-258-8</v>
      </c>
      <c r="F12871" t="s">
        <v>65</v>
      </c>
      <c r="G12871" t="s">
        <v>66</v>
      </c>
      <c r="H12871" t="s">
        <v>68</v>
      </c>
      <c r="I12871">
        <v>0</v>
      </c>
      <c r="J12871">
        <v>1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39" x14ac:dyDescent="0.2">
      <c r="A12872" t="str">
        <f>"12868"</f>
        <v>12868</v>
      </c>
      <c r="B12872" t="str">
        <f t="shared" si="715"/>
        <v>1</v>
      </c>
      <c r="C12872" t="str">
        <f t="shared" si="716"/>
        <v>258</v>
      </c>
      <c r="D12872" t="str">
        <f>"49"</f>
        <v>49</v>
      </c>
      <c r="E12872" t="str">
        <f>"1-258-49"</f>
        <v>1-258-49</v>
      </c>
      <c r="F12872" t="s">
        <v>65</v>
      </c>
      <c r="G12872" t="s">
        <v>66</v>
      </c>
      <c r="H12872" t="s">
        <v>67</v>
      </c>
      <c r="S12872">
        <v>0</v>
      </c>
      <c r="T12872">
        <v>1</v>
      </c>
      <c r="U12872">
        <v>0</v>
      </c>
      <c r="V12872">
        <v>0</v>
      </c>
      <c r="W12872">
        <v>0</v>
      </c>
      <c r="X12872">
        <v>1</v>
      </c>
      <c r="Y12872">
        <v>0</v>
      </c>
      <c r="Z12872">
        <v>1</v>
      </c>
      <c r="AA12872">
        <v>0</v>
      </c>
      <c r="AB12872">
        <v>0</v>
      </c>
      <c r="AC12872">
        <v>1</v>
      </c>
      <c r="AD12872">
        <v>1</v>
      </c>
      <c r="AE12872">
        <v>1</v>
      </c>
      <c r="AF12872">
        <v>1</v>
      </c>
      <c r="AG12872">
        <v>1</v>
      </c>
      <c r="AH12872">
        <v>1</v>
      </c>
      <c r="AI12872">
        <v>1</v>
      </c>
      <c r="AJ12872">
        <v>1</v>
      </c>
      <c r="AK12872">
        <v>1</v>
      </c>
      <c r="AL12872">
        <v>1</v>
      </c>
      <c r="AM12872">
        <v>1</v>
      </c>
    </row>
    <row r="12873" spans="1:39" x14ac:dyDescent="0.2">
      <c r="A12873" t="str">
        <f>"12869"</f>
        <v>12869</v>
      </c>
      <c r="B12873" t="str">
        <f t="shared" si="715"/>
        <v>1</v>
      </c>
      <c r="C12873" t="str">
        <f t="shared" si="716"/>
        <v>258</v>
      </c>
      <c r="D12873" t="str">
        <f>"34"</f>
        <v>34</v>
      </c>
      <c r="E12873" t="str">
        <f>"1-258-34"</f>
        <v>1-258-34</v>
      </c>
      <c r="F12873" t="s">
        <v>65</v>
      </c>
      <c r="G12873" t="s">
        <v>66</v>
      </c>
      <c r="H12873" t="s">
        <v>67</v>
      </c>
      <c r="S12873">
        <v>1</v>
      </c>
      <c r="T12873">
        <v>0</v>
      </c>
      <c r="U12873">
        <v>0</v>
      </c>
      <c r="V12873">
        <v>0</v>
      </c>
      <c r="W12873">
        <v>1</v>
      </c>
      <c r="X12873">
        <v>0</v>
      </c>
      <c r="Y12873">
        <v>0</v>
      </c>
      <c r="Z12873">
        <v>1</v>
      </c>
      <c r="AA12873">
        <v>0</v>
      </c>
      <c r="AB12873">
        <v>0</v>
      </c>
      <c r="AC12873">
        <v>1</v>
      </c>
      <c r="AD12873">
        <v>1</v>
      </c>
      <c r="AE12873">
        <v>1</v>
      </c>
      <c r="AF12873">
        <v>1</v>
      </c>
      <c r="AG12873">
        <v>1</v>
      </c>
      <c r="AH12873">
        <v>1</v>
      </c>
      <c r="AI12873">
        <v>1</v>
      </c>
      <c r="AJ12873">
        <v>1</v>
      </c>
      <c r="AK12873">
        <v>1</v>
      </c>
      <c r="AL12873">
        <v>1</v>
      </c>
      <c r="AM12873">
        <v>1</v>
      </c>
    </row>
    <row r="12874" spans="1:39" x14ac:dyDescent="0.2">
      <c r="A12874" t="str">
        <f>"12870"</f>
        <v>12870</v>
      </c>
      <c r="B12874" t="str">
        <f t="shared" si="715"/>
        <v>1</v>
      </c>
      <c r="C12874" t="str">
        <f t="shared" si="716"/>
        <v>258</v>
      </c>
      <c r="D12874" t="str">
        <f>"19"</f>
        <v>19</v>
      </c>
      <c r="E12874" t="str">
        <f>"1-258-19"</f>
        <v>1-258-19</v>
      </c>
      <c r="F12874" t="s">
        <v>65</v>
      </c>
      <c r="G12874" t="s">
        <v>66</v>
      </c>
      <c r="H12874" t="s">
        <v>67</v>
      </c>
      <c r="S12874">
        <v>1</v>
      </c>
      <c r="T12874">
        <v>0</v>
      </c>
      <c r="U12874">
        <v>0</v>
      </c>
      <c r="V12874">
        <v>0</v>
      </c>
      <c r="W12874">
        <v>1</v>
      </c>
      <c r="X12874">
        <v>0</v>
      </c>
      <c r="Y12874">
        <v>0</v>
      </c>
      <c r="Z12874">
        <v>0</v>
      </c>
      <c r="AA12874">
        <v>0</v>
      </c>
      <c r="AB12874">
        <v>0</v>
      </c>
      <c r="AC12874">
        <v>1</v>
      </c>
      <c r="AD12874">
        <v>0</v>
      </c>
      <c r="AE12874">
        <v>0</v>
      </c>
      <c r="AF12874">
        <v>0</v>
      </c>
      <c r="AG12874">
        <v>0</v>
      </c>
      <c r="AH12874">
        <v>0</v>
      </c>
      <c r="AI12874">
        <v>0</v>
      </c>
      <c r="AJ12874">
        <v>0</v>
      </c>
      <c r="AK12874">
        <v>0</v>
      </c>
      <c r="AL12874">
        <v>0</v>
      </c>
      <c r="AM12874">
        <v>0</v>
      </c>
    </row>
    <row r="12875" spans="1:39" x14ac:dyDescent="0.2">
      <c r="A12875" t="str">
        <f>"12871"</f>
        <v>12871</v>
      </c>
      <c r="B12875" t="str">
        <f t="shared" si="715"/>
        <v>1</v>
      </c>
      <c r="C12875" t="str">
        <f t="shared" si="716"/>
        <v>258</v>
      </c>
      <c r="D12875" t="str">
        <f>"12"</f>
        <v>12</v>
      </c>
      <c r="E12875" t="str">
        <f>"1-258-12"</f>
        <v>1-258-12</v>
      </c>
      <c r="F12875" t="s">
        <v>65</v>
      </c>
      <c r="G12875" t="s">
        <v>66</v>
      </c>
      <c r="H12875" t="s">
        <v>67</v>
      </c>
      <c r="S12875">
        <v>1</v>
      </c>
      <c r="T12875">
        <v>0</v>
      </c>
      <c r="U12875">
        <v>0</v>
      </c>
      <c r="V12875">
        <v>0</v>
      </c>
      <c r="W12875">
        <v>1</v>
      </c>
      <c r="X12875">
        <v>0</v>
      </c>
      <c r="Y12875">
        <v>1</v>
      </c>
      <c r="Z12875">
        <v>0</v>
      </c>
      <c r="AA12875">
        <v>0</v>
      </c>
      <c r="AB12875">
        <v>1</v>
      </c>
      <c r="AC12875">
        <v>0</v>
      </c>
      <c r="AD12875">
        <v>1</v>
      </c>
      <c r="AE12875">
        <v>1</v>
      </c>
      <c r="AF12875">
        <v>1</v>
      </c>
      <c r="AG12875">
        <v>1</v>
      </c>
      <c r="AH12875">
        <v>1</v>
      </c>
      <c r="AI12875">
        <v>1</v>
      </c>
      <c r="AJ12875">
        <v>1</v>
      </c>
      <c r="AK12875">
        <v>1</v>
      </c>
      <c r="AL12875">
        <v>1</v>
      </c>
      <c r="AM12875">
        <v>1</v>
      </c>
    </row>
    <row r="12876" spans="1:39" x14ac:dyDescent="0.2">
      <c r="A12876" t="str">
        <f>"12872"</f>
        <v>12872</v>
      </c>
      <c r="B12876" t="str">
        <f t="shared" si="715"/>
        <v>1</v>
      </c>
      <c r="C12876" t="str">
        <f t="shared" si="716"/>
        <v>258</v>
      </c>
      <c r="D12876" t="str">
        <f>"37"</f>
        <v>37</v>
      </c>
      <c r="E12876" t="str">
        <f>"1-258-37"</f>
        <v>1-258-37</v>
      </c>
      <c r="F12876" t="s">
        <v>65</v>
      </c>
      <c r="G12876" t="s">
        <v>66</v>
      </c>
      <c r="H12876" t="s">
        <v>67</v>
      </c>
      <c r="S12876">
        <v>0</v>
      </c>
      <c r="T12876">
        <v>1</v>
      </c>
      <c r="U12876">
        <v>0</v>
      </c>
      <c r="V12876">
        <v>0</v>
      </c>
      <c r="W12876">
        <v>1</v>
      </c>
      <c r="X12876">
        <v>0</v>
      </c>
      <c r="Y12876">
        <v>0</v>
      </c>
      <c r="Z12876">
        <v>1</v>
      </c>
      <c r="AA12876">
        <v>1</v>
      </c>
      <c r="AB12876">
        <v>0</v>
      </c>
      <c r="AC12876">
        <v>0</v>
      </c>
      <c r="AD12876">
        <v>1</v>
      </c>
      <c r="AE12876">
        <v>1</v>
      </c>
      <c r="AF12876">
        <v>1</v>
      </c>
      <c r="AG12876">
        <v>1</v>
      </c>
      <c r="AH12876">
        <v>1</v>
      </c>
      <c r="AI12876">
        <v>1</v>
      </c>
      <c r="AJ12876">
        <v>1</v>
      </c>
      <c r="AK12876">
        <v>1</v>
      </c>
      <c r="AL12876">
        <v>1</v>
      </c>
      <c r="AM12876">
        <v>1</v>
      </c>
    </row>
    <row r="12877" spans="1:39" x14ac:dyDescent="0.2">
      <c r="A12877" t="str">
        <f>"12873"</f>
        <v>12873</v>
      </c>
      <c r="B12877" t="str">
        <f t="shared" si="715"/>
        <v>1</v>
      </c>
      <c r="C12877" t="str">
        <f t="shared" si="716"/>
        <v>258</v>
      </c>
      <c r="D12877" t="str">
        <f>"20"</f>
        <v>20</v>
      </c>
      <c r="E12877" t="str">
        <f>"1-258-20"</f>
        <v>1-258-20</v>
      </c>
      <c r="F12877" t="s">
        <v>65</v>
      </c>
      <c r="G12877" t="s">
        <v>66</v>
      </c>
      <c r="H12877" t="s">
        <v>67</v>
      </c>
      <c r="S12877">
        <v>1</v>
      </c>
      <c r="T12877">
        <v>0</v>
      </c>
      <c r="U12877">
        <v>0</v>
      </c>
      <c r="V12877">
        <v>0</v>
      </c>
      <c r="W12877">
        <v>1</v>
      </c>
      <c r="X12877">
        <v>0</v>
      </c>
      <c r="Y12877">
        <v>1</v>
      </c>
      <c r="Z12877">
        <v>0</v>
      </c>
      <c r="AA12877">
        <v>0</v>
      </c>
      <c r="AB12877">
        <v>1</v>
      </c>
      <c r="AC12877">
        <v>0</v>
      </c>
      <c r="AD12877">
        <v>0</v>
      </c>
      <c r="AE12877">
        <v>0</v>
      </c>
      <c r="AF12877">
        <v>0</v>
      </c>
      <c r="AG12877">
        <v>0</v>
      </c>
      <c r="AH12877">
        <v>0</v>
      </c>
      <c r="AI12877">
        <v>0</v>
      </c>
      <c r="AJ12877">
        <v>0</v>
      </c>
      <c r="AK12877">
        <v>0</v>
      </c>
      <c r="AL12877">
        <v>0</v>
      </c>
      <c r="AM12877">
        <v>0</v>
      </c>
    </row>
    <row r="12878" spans="1:39" x14ac:dyDescent="0.2">
      <c r="A12878" t="str">
        <f>"12874"</f>
        <v>12874</v>
      </c>
      <c r="B12878" t="str">
        <f t="shared" si="715"/>
        <v>1</v>
      </c>
      <c r="C12878" t="str">
        <f t="shared" si="716"/>
        <v>258</v>
      </c>
      <c r="D12878" t="str">
        <f>"4"</f>
        <v>4</v>
      </c>
      <c r="E12878" t="str">
        <f>"1-258-4"</f>
        <v>1-258-4</v>
      </c>
      <c r="F12878" t="s">
        <v>65</v>
      </c>
      <c r="G12878" t="s">
        <v>66</v>
      </c>
      <c r="H12878" t="s">
        <v>68</v>
      </c>
      <c r="I12878">
        <v>1</v>
      </c>
      <c r="J12878">
        <v>1</v>
      </c>
      <c r="K12878">
        <v>0</v>
      </c>
      <c r="L12878">
        <v>0</v>
      </c>
      <c r="M12878">
        <v>1</v>
      </c>
      <c r="N12878">
        <v>1</v>
      </c>
      <c r="O12878">
        <v>1</v>
      </c>
      <c r="P12878">
        <v>1</v>
      </c>
      <c r="Q12878">
        <v>1</v>
      </c>
      <c r="R12878">
        <v>1</v>
      </c>
    </row>
    <row r="12879" spans="1:39" x14ac:dyDescent="0.2">
      <c r="A12879" t="str">
        <f>"12875"</f>
        <v>12875</v>
      </c>
      <c r="B12879" t="str">
        <f t="shared" si="715"/>
        <v>1</v>
      </c>
      <c r="C12879" t="str">
        <f t="shared" si="716"/>
        <v>258</v>
      </c>
      <c r="D12879" t="str">
        <f>"38"</f>
        <v>38</v>
      </c>
      <c r="E12879" t="str">
        <f>"1-258-38"</f>
        <v>1-258-38</v>
      </c>
      <c r="F12879" t="s">
        <v>65</v>
      </c>
      <c r="G12879" t="s">
        <v>66</v>
      </c>
      <c r="H12879" t="s">
        <v>67</v>
      </c>
      <c r="S12879">
        <v>0</v>
      </c>
      <c r="T12879">
        <v>1</v>
      </c>
      <c r="U12879">
        <v>0</v>
      </c>
      <c r="V12879">
        <v>0</v>
      </c>
      <c r="W12879">
        <v>1</v>
      </c>
      <c r="X12879">
        <v>0</v>
      </c>
      <c r="Y12879">
        <v>1</v>
      </c>
      <c r="Z12879">
        <v>0</v>
      </c>
      <c r="AA12879">
        <v>0</v>
      </c>
      <c r="AB12879">
        <v>0</v>
      </c>
      <c r="AC12879">
        <v>1</v>
      </c>
      <c r="AD12879">
        <v>1</v>
      </c>
      <c r="AE12879">
        <v>1</v>
      </c>
      <c r="AF12879">
        <v>1</v>
      </c>
      <c r="AG12879">
        <v>1</v>
      </c>
      <c r="AH12879">
        <v>0</v>
      </c>
      <c r="AI12879">
        <v>1</v>
      </c>
      <c r="AJ12879">
        <v>1</v>
      </c>
      <c r="AK12879">
        <v>1</v>
      </c>
      <c r="AL12879">
        <v>1</v>
      </c>
      <c r="AM12879">
        <v>1</v>
      </c>
    </row>
    <row r="12880" spans="1:39" x14ac:dyDescent="0.2">
      <c r="A12880" t="str">
        <f>"12876"</f>
        <v>12876</v>
      </c>
      <c r="B12880" t="str">
        <f t="shared" si="715"/>
        <v>1</v>
      </c>
      <c r="C12880" t="str">
        <f t="shared" si="716"/>
        <v>258</v>
      </c>
      <c r="D12880" t="str">
        <f>"21"</f>
        <v>21</v>
      </c>
      <c r="E12880" t="str">
        <f>"1-258-21"</f>
        <v>1-258-21</v>
      </c>
      <c r="F12880" t="s">
        <v>65</v>
      </c>
      <c r="G12880" t="s">
        <v>66</v>
      </c>
      <c r="H12880" t="s">
        <v>67</v>
      </c>
      <c r="S12880">
        <v>1</v>
      </c>
      <c r="T12880">
        <v>0</v>
      </c>
      <c r="U12880">
        <v>0</v>
      </c>
      <c r="V12880">
        <v>0</v>
      </c>
      <c r="W12880">
        <v>1</v>
      </c>
      <c r="X12880">
        <v>0</v>
      </c>
      <c r="Y12880">
        <v>0</v>
      </c>
      <c r="Z12880">
        <v>1</v>
      </c>
      <c r="AA12880">
        <v>1</v>
      </c>
      <c r="AB12880">
        <v>0</v>
      </c>
      <c r="AC12880">
        <v>0</v>
      </c>
      <c r="AD12880">
        <v>1</v>
      </c>
      <c r="AE12880">
        <v>1</v>
      </c>
      <c r="AF12880">
        <v>1</v>
      </c>
      <c r="AG12880">
        <v>1</v>
      </c>
      <c r="AH12880">
        <v>1</v>
      </c>
      <c r="AI12880">
        <v>1</v>
      </c>
      <c r="AJ12880">
        <v>1</v>
      </c>
      <c r="AK12880">
        <v>1</v>
      </c>
      <c r="AL12880">
        <v>1</v>
      </c>
      <c r="AM12880">
        <v>1</v>
      </c>
    </row>
    <row r="12881" spans="1:39" x14ac:dyDescent="0.2">
      <c r="A12881" t="str">
        <f>"12877"</f>
        <v>12877</v>
      </c>
      <c r="B12881" t="str">
        <f t="shared" si="715"/>
        <v>1</v>
      </c>
      <c r="C12881" t="str">
        <f t="shared" si="716"/>
        <v>258</v>
      </c>
      <c r="D12881" t="str">
        <f>"5"</f>
        <v>5</v>
      </c>
      <c r="E12881" t="str">
        <f>"1-258-5"</f>
        <v>1-258-5</v>
      </c>
      <c r="F12881" t="s">
        <v>65</v>
      </c>
      <c r="G12881" t="s">
        <v>66</v>
      </c>
      <c r="H12881" t="s">
        <v>68</v>
      </c>
      <c r="I12881">
        <v>1</v>
      </c>
      <c r="J12881">
        <v>0</v>
      </c>
      <c r="K12881">
        <v>0</v>
      </c>
      <c r="L12881">
        <v>1</v>
      </c>
      <c r="M12881">
        <v>1</v>
      </c>
      <c r="N12881">
        <v>1</v>
      </c>
      <c r="O12881">
        <v>1</v>
      </c>
      <c r="P12881">
        <v>1</v>
      </c>
      <c r="Q12881">
        <v>1</v>
      </c>
      <c r="R12881">
        <v>1</v>
      </c>
    </row>
    <row r="12882" spans="1:39" x14ac:dyDescent="0.2">
      <c r="A12882" t="str">
        <f>"12878"</f>
        <v>12878</v>
      </c>
      <c r="B12882" t="str">
        <f t="shared" si="715"/>
        <v>1</v>
      </c>
      <c r="C12882" t="str">
        <f t="shared" si="716"/>
        <v>258</v>
      </c>
      <c r="D12882" t="str">
        <f>"44"</f>
        <v>44</v>
      </c>
      <c r="E12882" t="str">
        <f>"1-258-44"</f>
        <v>1-258-44</v>
      </c>
      <c r="F12882" t="s">
        <v>65</v>
      </c>
      <c r="G12882" t="s">
        <v>66</v>
      </c>
      <c r="H12882" t="s">
        <v>67</v>
      </c>
      <c r="S12882">
        <v>0</v>
      </c>
      <c r="T12882">
        <v>1</v>
      </c>
      <c r="U12882">
        <v>0</v>
      </c>
      <c r="V12882">
        <v>0</v>
      </c>
      <c r="W12882">
        <v>0</v>
      </c>
      <c r="X12882">
        <v>1</v>
      </c>
      <c r="Y12882">
        <v>0</v>
      </c>
      <c r="Z12882">
        <v>1</v>
      </c>
      <c r="AA12882">
        <v>0</v>
      </c>
      <c r="AB12882">
        <v>0</v>
      </c>
      <c r="AC12882">
        <v>1</v>
      </c>
      <c r="AD12882">
        <v>0</v>
      </c>
      <c r="AE12882">
        <v>0</v>
      </c>
      <c r="AF12882">
        <v>0</v>
      </c>
      <c r="AG12882">
        <v>0</v>
      </c>
      <c r="AH12882">
        <v>1</v>
      </c>
      <c r="AI12882">
        <v>1</v>
      </c>
      <c r="AJ12882">
        <v>0</v>
      </c>
      <c r="AK12882">
        <v>0</v>
      </c>
      <c r="AL12882">
        <v>1</v>
      </c>
      <c r="AM12882">
        <v>1</v>
      </c>
    </row>
    <row r="12883" spans="1:39" x14ac:dyDescent="0.2">
      <c r="A12883" t="str">
        <f>"12879"</f>
        <v>12879</v>
      </c>
      <c r="B12883" t="str">
        <f t="shared" si="715"/>
        <v>1</v>
      </c>
      <c r="C12883" t="str">
        <f t="shared" si="716"/>
        <v>258</v>
      </c>
      <c r="D12883" t="str">
        <f>"22"</f>
        <v>22</v>
      </c>
      <c r="E12883" t="str">
        <f>"1-258-22"</f>
        <v>1-258-22</v>
      </c>
      <c r="F12883" t="s">
        <v>65</v>
      </c>
      <c r="G12883" t="s">
        <v>66</v>
      </c>
      <c r="H12883" t="s">
        <v>67</v>
      </c>
      <c r="S12883">
        <v>0</v>
      </c>
      <c r="T12883">
        <v>1</v>
      </c>
      <c r="U12883">
        <v>0</v>
      </c>
      <c r="V12883">
        <v>0</v>
      </c>
      <c r="W12883">
        <v>1</v>
      </c>
      <c r="X12883">
        <v>0</v>
      </c>
      <c r="Y12883">
        <v>0</v>
      </c>
      <c r="Z12883">
        <v>1</v>
      </c>
      <c r="AA12883">
        <v>1</v>
      </c>
      <c r="AB12883">
        <v>0</v>
      </c>
      <c r="AC12883">
        <v>0</v>
      </c>
      <c r="AD12883">
        <v>0</v>
      </c>
      <c r="AE12883">
        <v>0</v>
      </c>
      <c r="AF12883">
        <v>0</v>
      </c>
      <c r="AG12883">
        <v>0</v>
      </c>
      <c r="AH12883">
        <v>0</v>
      </c>
      <c r="AI12883">
        <v>0</v>
      </c>
      <c r="AJ12883">
        <v>0</v>
      </c>
      <c r="AK12883">
        <v>0</v>
      </c>
      <c r="AL12883">
        <v>0</v>
      </c>
      <c r="AM12883">
        <v>0</v>
      </c>
    </row>
    <row r="12884" spans="1:39" x14ac:dyDescent="0.2">
      <c r="A12884" t="str">
        <f>"12880"</f>
        <v>12880</v>
      </c>
      <c r="B12884" t="str">
        <f t="shared" si="715"/>
        <v>1</v>
      </c>
      <c r="C12884" t="str">
        <f t="shared" si="716"/>
        <v>258</v>
      </c>
      <c r="D12884" t="str">
        <f>"6"</f>
        <v>6</v>
      </c>
      <c r="E12884" t="str">
        <f>"1-258-6"</f>
        <v>1-258-6</v>
      </c>
      <c r="F12884" t="s">
        <v>65</v>
      </c>
      <c r="G12884" t="s">
        <v>66</v>
      </c>
      <c r="H12884" t="s">
        <v>68</v>
      </c>
      <c r="I12884">
        <v>0</v>
      </c>
      <c r="J12884">
        <v>0</v>
      </c>
      <c r="K12884">
        <v>1</v>
      </c>
      <c r="L12884">
        <v>0</v>
      </c>
      <c r="M12884">
        <v>0</v>
      </c>
      <c r="N12884">
        <v>1</v>
      </c>
      <c r="O12884">
        <v>0</v>
      </c>
      <c r="P12884">
        <v>0</v>
      </c>
      <c r="Q12884">
        <v>0</v>
      </c>
      <c r="R12884">
        <v>0</v>
      </c>
    </row>
    <row r="12885" spans="1:39" x14ac:dyDescent="0.2">
      <c r="A12885" t="str">
        <f>"12881"</f>
        <v>12881</v>
      </c>
      <c r="B12885" t="str">
        <f t="shared" si="715"/>
        <v>1</v>
      </c>
      <c r="C12885" t="str">
        <f t="shared" si="716"/>
        <v>258</v>
      </c>
      <c r="D12885" t="str">
        <f>"39"</f>
        <v>39</v>
      </c>
      <c r="E12885" t="str">
        <f>"1-258-39"</f>
        <v>1-258-39</v>
      </c>
      <c r="F12885" t="s">
        <v>65</v>
      </c>
      <c r="G12885" t="s">
        <v>66</v>
      </c>
      <c r="H12885" t="s">
        <v>67</v>
      </c>
      <c r="S12885">
        <v>1</v>
      </c>
      <c r="T12885">
        <v>0</v>
      </c>
      <c r="U12885">
        <v>0</v>
      </c>
      <c r="V12885">
        <v>0</v>
      </c>
      <c r="W12885">
        <v>1</v>
      </c>
      <c r="X12885">
        <v>0</v>
      </c>
      <c r="Y12885">
        <v>0</v>
      </c>
      <c r="Z12885">
        <v>1</v>
      </c>
      <c r="AA12885">
        <v>1</v>
      </c>
      <c r="AB12885">
        <v>0</v>
      </c>
      <c r="AC12885">
        <v>0</v>
      </c>
      <c r="AD12885">
        <v>1</v>
      </c>
      <c r="AE12885">
        <v>1</v>
      </c>
      <c r="AF12885">
        <v>1</v>
      </c>
      <c r="AG12885">
        <v>1</v>
      </c>
      <c r="AH12885">
        <v>1</v>
      </c>
      <c r="AI12885">
        <v>1</v>
      </c>
      <c r="AJ12885">
        <v>1</v>
      </c>
      <c r="AK12885">
        <v>1</v>
      </c>
      <c r="AL12885">
        <v>1</v>
      </c>
      <c r="AM12885">
        <v>1</v>
      </c>
    </row>
    <row r="12886" spans="1:39" x14ac:dyDescent="0.2">
      <c r="A12886" t="str">
        <f>"12882"</f>
        <v>12882</v>
      </c>
      <c r="B12886" t="str">
        <f t="shared" si="715"/>
        <v>1</v>
      </c>
      <c r="C12886" t="str">
        <f t="shared" si="716"/>
        <v>258</v>
      </c>
      <c r="D12886" t="str">
        <f>"23"</f>
        <v>23</v>
      </c>
      <c r="E12886" t="str">
        <f>"1-258-23"</f>
        <v>1-258-23</v>
      </c>
      <c r="F12886" t="s">
        <v>65</v>
      </c>
      <c r="G12886" t="s">
        <v>66</v>
      </c>
      <c r="H12886" t="s">
        <v>67</v>
      </c>
      <c r="S12886">
        <v>0</v>
      </c>
      <c r="T12886">
        <v>0</v>
      </c>
      <c r="U12886">
        <v>0</v>
      </c>
      <c r="V12886">
        <v>0</v>
      </c>
      <c r="W12886">
        <v>0</v>
      </c>
      <c r="X12886">
        <v>1</v>
      </c>
      <c r="Y12886">
        <v>1</v>
      </c>
      <c r="Z12886">
        <v>0</v>
      </c>
      <c r="AA12886">
        <v>0</v>
      </c>
      <c r="AB12886">
        <v>0</v>
      </c>
      <c r="AC12886">
        <v>1</v>
      </c>
      <c r="AD12886">
        <v>0</v>
      </c>
      <c r="AE12886">
        <v>0</v>
      </c>
      <c r="AF12886">
        <v>0</v>
      </c>
      <c r="AG12886">
        <v>0</v>
      </c>
      <c r="AH12886">
        <v>0</v>
      </c>
      <c r="AI12886">
        <v>0</v>
      </c>
      <c r="AJ12886">
        <v>0</v>
      </c>
      <c r="AK12886">
        <v>0</v>
      </c>
      <c r="AL12886">
        <v>0</v>
      </c>
      <c r="AM12886">
        <v>0</v>
      </c>
    </row>
    <row r="12887" spans="1:39" x14ac:dyDescent="0.2">
      <c r="A12887" t="str">
        <f>"12883"</f>
        <v>12883</v>
      </c>
      <c r="B12887" t="str">
        <f t="shared" si="715"/>
        <v>1</v>
      </c>
      <c r="C12887" t="str">
        <f t="shared" ref="C12887:C12904" si="717">"258"</f>
        <v>258</v>
      </c>
      <c r="D12887" t="str">
        <f>"9"</f>
        <v>9</v>
      </c>
      <c r="E12887" t="str">
        <f>"1-258-9"</f>
        <v>1-258-9</v>
      </c>
      <c r="F12887" t="s">
        <v>65</v>
      </c>
      <c r="G12887" t="s">
        <v>66</v>
      </c>
      <c r="H12887" t="s">
        <v>68</v>
      </c>
      <c r="I12887">
        <v>1</v>
      </c>
      <c r="J12887">
        <v>0</v>
      </c>
      <c r="K12887">
        <v>0</v>
      </c>
      <c r="L12887">
        <v>1</v>
      </c>
      <c r="M12887">
        <v>1</v>
      </c>
      <c r="N12887">
        <v>1</v>
      </c>
      <c r="O12887">
        <v>1</v>
      </c>
      <c r="P12887">
        <v>1</v>
      </c>
      <c r="Q12887">
        <v>1</v>
      </c>
      <c r="R12887">
        <v>1</v>
      </c>
    </row>
    <row r="12888" spans="1:39" x14ac:dyDescent="0.2">
      <c r="A12888" t="str">
        <f>"12884"</f>
        <v>12884</v>
      </c>
      <c r="B12888" t="str">
        <f t="shared" si="715"/>
        <v>1</v>
      </c>
      <c r="C12888" t="str">
        <f t="shared" si="717"/>
        <v>258</v>
      </c>
      <c r="D12888" t="str">
        <f>"45"</f>
        <v>45</v>
      </c>
      <c r="E12888" t="str">
        <f>"1-258-45"</f>
        <v>1-258-45</v>
      </c>
      <c r="F12888" t="s">
        <v>65</v>
      </c>
      <c r="G12888" t="s">
        <v>66</v>
      </c>
      <c r="H12888" t="s">
        <v>67</v>
      </c>
      <c r="S12888">
        <v>1</v>
      </c>
      <c r="T12888">
        <v>0</v>
      </c>
      <c r="U12888">
        <v>0</v>
      </c>
      <c r="V12888">
        <v>0</v>
      </c>
      <c r="W12888">
        <v>1</v>
      </c>
      <c r="X12888">
        <v>0</v>
      </c>
      <c r="Y12888">
        <v>0</v>
      </c>
      <c r="Z12888">
        <v>1</v>
      </c>
      <c r="AA12888">
        <v>1</v>
      </c>
      <c r="AB12888">
        <v>0</v>
      </c>
      <c r="AC12888">
        <v>0</v>
      </c>
      <c r="AD12888">
        <v>1</v>
      </c>
      <c r="AE12888">
        <v>1</v>
      </c>
      <c r="AF12888">
        <v>1</v>
      </c>
      <c r="AG12888">
        <v>1</v>
      </c>
      <c r="AH12888">
        <v>1</v>
      </c>
      <c r="AI12888">
        <v>1</v>
      </c>
      <c r="AJ12888">
        <v>1</v>
      </c>
      <c r="AK12888">
        <v>1</v>
      </c>
      <c r="AL12888">
        <v>1</v>
      </c>
      <c r="AM12888">
        <v>1</v>
      </c>
    </row>
    <row r="12889" spans="1:39" x14ac:dyDescent="0.2">
      <c r="A12889" t="str">
        <f>"12885"</f>
        <v>12885</v>
      </c>
      <c r="B12889" t="str">
        <f t="shared" si="715"/>
        <v>1</v>
      </c>
      <c r="C12889" t="str">
        <f t="shared" si="717"/>
        <v>258</v>
      </c>
      <c r="D12889" t="str">
        <f>"24"</f>
        <v>24</v>
      </c>
      <c r="E12889" t="str">
        <f>"1-258-24"</f>
        <v>1-258-24</v>
      </c>
      <c r="F12889" t="s">
        <v>65</v>
      </c>
      <c r="G12889" t="s">
        <v>66</v>
      </c>
      <c r="H12889" t="s">
        <v>67</v>
      </c>
      <c r="S12889">
        <v>0</v>
      </c>
      <c r="T12889">
        <v>1</v>
      </c>
      <c r="U12889">
        <v>0</v>
      </c>
      <c r="V12889">
        <v>0</v>
      </c>
      <c r="W12889">
        <v>1</v>
      </c>
      <c r="X12889">
        <v>0</v>
      </c>
      <c r="Y12889">
        <v>1</v>
      </c>
      <c r="Z12889">
        <v>0</v>
      </c>
      <c r="AA12889">
        <v>0</v>
      </c>
      <c r="AB12889">
        <v>0</v>
      </c>
      <c r="AC12889">
        <v>1</v>
      </c>
      <c r="AD12889">
        <v>1</v>
      </c>
      <c r="AE12889">
        <v>1</v>
      </c>
      <c r="AF12889">
        <v>1</v>
      </c>
      <c r="AG12889">
        <v>1</v>
      </c>
      <c r="AH12889">
        <v>1</v>
      </c>
      <c r="AI12889">
        <v>1</v>
      </c>
      <c r="AJ12889">
        <v>1</v>
      </c>
      <c r="AK12889">
        <v>1</v>
      </c>
      <c r="AL12889">
        <v>1</v>
      </c>
      <c r="AM12889">
        <v>1</v>
      </c>
    </row>
    <row r="12890" spans="1:39" x14ac:dyDescent="0.2">
      <c r="A12890" t="str">
        <f>"12886"</f>
        <v>12886</v>
      </c>
      <c r="B12890" t="str">
        <f t="shared" si="715"/>
        <v>1</v>
      </c>
      <c r="C12890" t="str">
        <f t="shared" si="717"/>
        <v>258</v>
      </c>
      <c r="D12890" t="str">
        <f>"10"</f>
        <v>10</v>
      </c>
      <c r="E12890" t="str">
        <f>"1-258-10"</f>
        <v>1-258-10</v>
      </c>
      <c r="F12890" t="s">
        <v>65</v>
      </c>
      <c r="G12890" t="s">
        <v>66</v>
      </c>
      <c r="H12890" t="s">
        <v>67</v>
      </c>
      <c r="S12890">
        <v>1</v>
      </c>
      <c r="T12890">
        <v>0</v>
      </c>
      <c r="U12890">
        <v>0</v>
      </c>
      <c r="V12890">
        <v>0</v>
      </c>
      <c r="W12890">
        <v>1</v>
      </c>
      <c r="X12890">
        <v>0</v>
      </c>
      <c r="Y12890">
        <v>0</v>
      </c>
      <c r="Z12890">
        <v>1</v>
      </c>
      <c r="AA12890">
        <v>1</v>
      </c>
      <c r="AB12890">
        <v>0</v>
      </c>
      <c r="AC12890">
        <v>0</v>
      </c>
      <c r="AD12890">
        <v>1</v>
      </c>
      <c r="AE12890">
        <v>1</v>
      </c>
      <c r="AF12890">
        <v>1</v>
      </c>
      <c r="AG12890">
        <v>1</v>
      </c>
      <c r="AH12890">
        <v>1</v>
      </c>
      <c r="AI12890">
        <v>1</v>
      </c>
      <c r="AJ12890">
        <v>1</v>
      </c>
      <c r="AK12890">
        <v>1</v>
      </c>
      <c r="AL12890">
        <v>1</v>
      </c>
      <c r="AM12890">
        <v>1</v>
      </c>
    </row>
    <row r="12891" spans="1:39" x14ac:dyDescent="0.2">
      <c r="A12891" t="str">
        <f>"12887"</f>
        <v>12887</v>
      </c>
      <c r="B12891" t="str">
        <f t="shared" si="715"/>
        <v>1</v>
      </c>
      <c r="C12891" t="str">
        <f t="shared" si="717"/>
        <v>258</v>
      </c>
      <c r="D12891" t="str">
        <f>"46"</f>
        <v>46</v>
      </c>
      <c r="E12891" t="str">
        <f>"1-258-46"</f>
        <v>1-258-46</v>
      </c>
      <c r="F12891" t="s">
        <v>65</v>
      </c>
      <c r="G12891" t="s">
        <v>66</v>
      </c>
      <c r="H12891" t="s">
        <v>67</v>
      </c>
      <c r="S12891">
        <v>1</v>
      </c>
      <c r="T12891">
        <v>0</v>
      </c>
      <c r="U12891">
        <v>0</v>
      </c>
      <c r="V12891">
        <v>0</v>
      </c>
      <c r="W12891">
        <v>1</v>
      </c>
      <c r="X12891">
        <v>0</v>
      </c>
      <c r="Y12891">
        <v>0</v>
      </c>
      <c r="Z12891">
        <v>1</v>
      </c>
      <c r="AA12891">
        <v>1</v>
      </c>
      <c r="AB12891">
        <v>0</v>
      </c>
      <c r="AC12891">
        <v>0</v>
      </c>
      <c r="AD12891">
        <v>1</v>
      </c>
      <c r="AE12891">
        <v>1</v>
      </c>
      <c r="AF12891">
        <v>1</v>
      </c>
      <c r="AG12891">
        <v>1</v>
      </c>
      <c r="AH12891">
        <v>1</v>
      </c>
      <c r="AI12891">
        <v>1</v>
      </c>
      <c r="AJ12891">
        <v>1</v>
      </c>
      <c r="AK12891">
        <v>1</v>
      </c>
      <c r="AL12891">
        <v>1</v>
      </c>
      <c r="AM12891">
        <v>1</v>
      </c>
    </row>
    <row r="12892" spans="1:39" x14ac:dyDescent="0.2">
      <c r="A12892" t="str">
        <f>"12888"</f>
        <v>12888</v>
      </c>
      <c r="B12892" t="str">
        <f t="shared" si="715"/>
        <v>1</v>
      </c>
      <c r="C12892" t="str">
        <f t="shared" si="717"/>
        <v>258</v>
      </c>
      <c r="D12892" t="str">
        <f>"25"</f>
        <v>25</v>
      </c>
      <c r="E12892" t="str">
        <f>"1-258-25"</f>
        <v>1-258-25</v>
      </c>
      <c r="F12892" t="s">
        <v>65</v>
      </c>
      <c r="G12892" t="s">
        <v>66</v>
      </c>
      <c r="H12892" t="s">
        <v>67</v>
      </c>
      <c r="S12892">
        <v>0</v>
      </c>
      <c r="T12892">
        <v>0</v>
      </c>
      <c r="U12892">
        <v>0</v>
      </c>
      <c r="V12892">
        <v>0</v>
      </c>
      <c r="W12892">
        <v>0</v>
      </c>
      <c r="X12892">
        <v>1</v>
      </c>
      <c r="Y12892">
        <v>0</v>
      </c>
      <c r="Z12892">
        <v>0</v>
      </c>
      <c r="AA12892">
        <v>0</v>
      </c>
      <c r="AB12892">
        <v>0</v>
      </c>
      <c r="AC12892">
        <v>0</v>
      </c>
      <c r="AD12892">
        <v>0</v>
      </c>
      <c r="AE12892">
        <v>0</v>
      </c>
      <c r="AF12892">
        <v>0</v>
      </c>
      <c r="AG12892">
        <v>0</v>
      </c>
      <c r="AH12892">
        <v>0</v>
      </c>
      <c r="AI12892">
        <v>0</v>
      </c>
      <c r="AJ12892">
        <v>0</v>
      </c>
      <c r="AK12892">
        <v>0</v>
      </c>
      <c r="AL12892">
        <v>0</v>
      </c>
      <c r="AM12892">
        <v>0</v>
      </c>
    </row>
    <row r="12893" spans="1:39" x14ac:dyDescent="0.2">
      <c r="A12893" t="str">
        <f>"12889"</f>
        <v>12889</v>
      </c>
      <c r="B12893" t="str">
        <f t="shared" si="715"/>
        <v>1</v>
      </c>
      <c r="C12893" t="str">
        <f t="shared" si="717"/>
        <v>258</v>
      </c>
      <c r="D12893" t="str">
        <f>"13"</f>
        <v>13</v>
      </c>
      <c r="E12893" t="str">
        <f>"1-258-13"</f>
        <v>1-258-13</v>
      </c>
      <c r="F12893" t="s">
        <v>65</v>
      </c>
      <c r="G12893" t="s">
        <v>66</v>
      </c>
      <c r="H12893" t="s">
        <v>67</v>
      </c>
      <c r="S12893">
        <v>0</v>
      </c>
      <c r="T12893">
        <v>0</v>
      </c>
      <c r="U12893">
        <v>0</v>
      </c>
      <c r="V12893">
        <v>0</v>
      </c>
      <c r="W12893">
        <v>0</v>
      </c>
      <c r="X12893">
        <v>1</v>
      </c>
      <c r="Y12893">
        <v>0</v>
      </c>
      <c r="Z12893">
        <v>0</v>
      </c>
      <c r="AA12893">
        <v>0</v>
      </c>
      <c r="AB12893">
        <v>0</v>
      </c>
      <c r="AC12893">
        <v>0</v>
      </c>
      <c r="AD12893">
        <v>0</v>
      </c>
      <c r="AE12893">
        <v>0</v>
      </c>
      <c r="AF12893">
        <v>0</v>
      </c>
      <c r="AG12893">
        <v>1</v>
      </c>
      <c r="AH12893">
        <v>0</v>
      </c>
      <c r="AI12893">
        <v>0</v>
      </c>
      <c r="AJ12893">
        <v>1</v>
      </c>
      <c r="AK12893">
        <v>0</v>
      </c>
      <c r="AL12893">
        <v>0</v>
      </c>
      <c r="AM12893">
        <v>0</v>
      </c>
    </row>
    <row r="12894" spans="1:39" x14ac:dyDescent="0.2">
      <c r="A12894" t="str">
        <f>"12890"</f>
        <v>12890</v>
      </c>
      <c r="B12894" t="str">
        <f t="shared" si="715"/>
        <v>1</v>
      </c>
      <c r="C12894" t="str">
        <f t="shared" si="717"/>
        <v>258</v>
      </c>
      <c r="D12894" t="str">
        <f>"48"</f>
        <v>48</v>
      </c>
      <c r="E12894" t="str">
        <f>"1-258-48"</f>
        <v>1-258-48</v>
      </c>
      <c r="F12894" t="s">
        <v>65</v>
      </c>
      <c r="G12894" t="s">
        <v>66</v>
      </c>
      <c r="H12894" t="s">
        <v>67</v>
      </c>
      <c r="S12894">
        <v>0</v>
      </c>
      <c r="T12894">
        <v>1</v>
      </c>
      <c r="U12894">
        <v>0</v>
      </c>
      <c r="V12894">
        <v>0</v>
      </c>
      <c r="W12894">
        <v>0</v>
      </c>
      <c r="X12894">
        <v>1</v>
      </c>
      <c r="Y12894">
        <v>0</v>
      </c>
      <c r="Z12894">
        <v>1</v>
      </c>
      <c r="AA12894">
        <v>0</v>
      </c>
      <c r="AB12894">
        <v>0</v>
      </c>
      <c r="AC12894">
        <v>1</v>
      </c>
      <c r="AD12894">
        <v>1</v>
      </c>
      <c r="AE12894">
        <v>1</v>
      </c>
      <c r="AF12894">
        <v>1</v>
      </c>
      <c r="AG12894">
        <v>1</v>
      </c>
      <c r="AH12894">
        <v>1</v>
      </c>
      <c r="AI12894">
        <v>1</v>
      </c>
      <c r="AJ12894">
        <v>1</v>
      </c>
      <c r="AK12894">
        <v>1</v>
      </c>
      <c r="AL12894">
        <v>1</v>
      </c>
      <c r="AM12894">
        <v>1</v>
      </c>
    </row>
    <row r="12895" spans="1:39" x14ac:dyDescent="0.2">
      <c r="A12895" t="str">
        <f>"12891"</f>
        <v>12891</v>
      </c>
      <c r="B12895" t="str">
        <f t="shared" si="715"/>
        <v>1</v>
      </c>
      <c r="C12895" t="str">
        <f t="shared" si="717"/>
        <v>258</v>
      </c>
      <c r="D12895" t="str">
        <f>"26"</f>
        <v>26</v>
      </c>
      <c r="E12895" t="str">
        <f>"1-258-26"</f>
        <v>1-258-26</v>
      </c>
      <c r="F12895" t="s">
        <v>65</v>
      </c>
      <c r="G12895" t="s">
        <v>66</v>
      </c>
      <c r="H12895" t="s">
        <v>67</v>
      </c>
      <c r="S12895">
        <v>0</v>
      </c>
      <c r="T12895">
        <v>0</v>
      </c>
      <c r="U12895">
        <v>0</v>
      </c>
      <c r="V12895">
        <v>0</v>
      </c>
      <c r="W12895">
        <v>0</v>
      </c>
      <c r="X12895">
        <v>1</v>
      </c>
      <c r="Y12895">
        <v>0</v>
      </c>
      <c r="Z12895">
        <v>0</v>
      </c>
      <c r="AA12895">
        <v>0</v>
      </c>
      <c r="AB12895">
        <v>0</v>
      </c>
      <c r="AC12895">
        <v>1</v>
      </c>
      <c r="AD12895">
        <v>0</v>
      </c>
      <c r="AE12895">
        <v>0</v>
      </c>
      <c r="AF12895">
        <v>0</v>
      </c>
      <c r="AG12895">
        <v>0</v>
      </c>
      <c r="AH12895">
        <v>0</v>
      </c>
      <c r="AI12895">
        <v>0</v>
      </c>
      <c r="AJ12895">
        <v>0</v>
      </c>
      <c r="AK12895">
        <v>0</v>
      </c>
      <c r="AL12895">
        <v>0</v>
      </c>
      <c r="AM12895">
        <v>0</v>
      </c>
    </row>
    <row r="12896" spans="1:39" x14ac:dyDescent="0.2">
      <c r="A12896" t="str">
        <f>"12892"</f>
        <v>12892</v>
      </c>
      <c r="B12896" t="str">
        <f t="shared" si="715"/>
        <v>1</v>
      </c>
      <c r="C12896" t="str">
        <f t="shared" si="717"/>
        <v>258</v>
      </c>
      <c r="D12896" t="str">
        <f>"14"</f>
        <v>14</v>
      </c>
      <c r="E12896" t="str">
        <f>"1-258-14"</f>
        <v>1-258-14</v>
      </c>
      <c r="F12896" t="s">
        <v>65</v>
      </c>
      <c r="G12896" t="s">
        <v>66</v>
      </c>
      <c r="H12896" t="s">
        <v>67</v>
      </c>
      <c r="S12896">
        <v>0</v>
      </c>
      <c r="T12896">
        <v>1</v>
      </c>
      <c r="U12896">
        <v>0</v>
      </c>
      <c r="V12896">
        <v>0</v>
      </c>
      <c r="W12896">
        <v>1</v>
      </c>
      <c r="X12896">
        <v>0</v>
      </c>
      <c r="Y12896">
        <v>1</v>
      </c>
      <c r="Z12896">
        <v>0</v>
      </c>
      <c r="AA12896">
        <v>1</v>
      </c>
      <c r="AB12896">
        <v>0</v>
      </c>
      <c r="AC12896">
        <v>0</v>
      </c>
      <c r="AD12896">
        <v>1</v>
      </c>
      <c r="AE12896">
        <v>1</v>
      </c>
      <c r="AF12896">
        <v>1</v>
      </c>
      <c r="AG12896">
        <v>1</v>
      </c>
      <c r="AH12896">
        <v>1</v>
      </c>
      <c r="AI12896">
        <v>1</v>
      </c>
      <c r="AJ12896">
        <v>1</v>
      </c>
      <c r="AK12896">
        <v>1</v>
      </c>
      <c r="AL12896">
        <v>1</v>
      </c>
      <c r="AM12896">
        <v>1</v>
      </c>
    </row>
    <row r="12897" spans="1:39" x14ac:dyDescent="0.2">
      <c r="A12897" t="str">
        <f>"12893"</f>
        <v>12893</v>
      </c>
      <c r="B12897" t="str">
        <f t="shared" si="715"/>
        <v>1</v>
      </c>
      <c r="C12897" t="str">
        <f t="shared" si="717"/>
        <v>258</v>
      </c>
      <c r="D12897" t="str">
        <f>"47"</f>
        <v>47</v>
      </c>
      <c r="E12897" t="str">
        <f>"1-258-47"</f>
        <v>1-258-47</v>
      </c>
      <c r="F12897" t="s">
        <v>65</v>
      </c>
      <c r="G12897" t="s">
        <v>66</v>
      </c>
      <c r="H12897" t="s">
        <v>67</v>
      </c>
      <c r="S12897">
        <v>0</v>
      </c>
      <c r="T12897">
        <v>0</v>
      </c>
      <c r="U12897">
        <v>0</v>
      </c>
      <c r="V12897">
        <v>0</v>
      </c>
      <c r="W12897">
        <v>0</v>
      </c>
      <c r="X12897">
        <v>1</v>
      </c>
      <c r="Y12897">
        <v>1</v>
      </c>
      <c r="Z12897">
        <v>0</v>
      </c>
      <c r="AA12897">
        <v>0</v>
      </c>
      <c r="AB12897">
        <v>0</v>
      </c>
      <c r="AC12897">
        <v>0</v>
      </c>
      <c r="AD12897">
        <v>0</v>
      </c>
      <c r="AE12897">
        <v>0</v>
      </c>
      <c r="AF12897">
        <v>0</v>
      </c>
      <c r="AG12897">
        <v>0</v>
      </c>
      <c r="AH12897">
        <v>0</v>
      </c>
      <c r="AI12897">
        <v>0</v>
      </c>
      <c r="AJ12897">
        <v>0</v>
      </c>
      <c r="AK12897">
        <v>0</v>
      </c>
      <c r="AL12897">
        <v>0</v>
      </c>
      <c r="AM12897">
        <v>0</v>
      </c>
    </row>
    <row r="12898" spans="1:39" x14ac:dyDescent="0.2">
      <c r="A12898" t="str">
        <f>"12894"</f>
        <v>12894</v>
      </c>
      <c r="B12898" t="str">
        <f t="shared" si="715"/>
        <v>1</v>
      </c>
      <c r="C12898" t="str">
        <f t="shared" si="717"/>
        <v>258</v>
      </c>
      <c r="D12898" t="str">
        <f>"29"</f>
        <v>29</v>
      </c>
      <c r="E12898" t="str">
        <f>"1-258-29"</f>
        <v>1-258-29</v>
      </c>
      <c r="F12898" t="s">
        <v>65</v>
      </c>
      <c r="G12898" t="s">
        <v>66</v>
      </c>
      <c r="H12898" t="s">
        <v>67</v>
      </c>
      <c r="S12898">
        <v>0</v>
      </c>
      <c r="T12898">
        <v>0</v>
      </c>
      <c r="U12898">
        <v>0</v>
      </c>
      <c r="V12898">
        <v>0</v>
      </c>
      <c r="W12898">
        <v>0</v>
      </c>
      <c r="X12898">
        <v>1</v>
      </c>
      <c r="Y12898">
        <v>0</v>
      </c>
      <c r="Z12898">
        <v>1</v>
      </c>
      <c r="AA12898">
        <v>0</v>
      </c>
      <c r="AB12898">
        <v>0</v>
      </c>
      <c r="AC12898">
        <v>1</v>
      </c>
      <c r="AD12898">
        <v>0</v>
      </c>
      <c r="AE12898">
        <v>0</v>
      </c>
      <c r="AF12898">
        <v>0</v>
      </c>
      <c r="AG12898">
        <v>0</v>
      </c>
      <c r="AH12898">
        <v>0</v>
      </c>
      <c r="AI12898">
        <v>0</v>
      </c>
      <c r="AJ12898">
        <v>0</v>
      </c>
      <c r="AK12898">
        <v>0</v>
      </c>
      <c r="AL12898">
        <v>0</v>
      </c>
      <c r="AM12898">
        <v>0</v>
      </c>
    </row>
    <row r="12899" spans="1:39" x14ac:dyDescent="0.2">
      <c r="A12899" t="str">
        <f>"12895"</f>
        <v>12895</v>
      </c>
      <c r="B12899" t="str">
        <f t="shared" si="715"/>
        <v>1</v>
      </c>
      <c r="C12899" t="str">
        <f t="shared" si="717"/>
        <v>258</v>
      </c>
      <c r="D12899" t="str">
        <f>"11"</f>
        <v>11</v>
      </c>
      <c r="E12899" t="str">
        <f>"1-258-11"</f>
        <v>1-258-11</v>
      </c>
      <c r="F12899" t="s">
        <v>65</v>
      </c>
      <c r="G12899" t="s">
        <v>66</v>
      </c>
      <c r="H12899" t="s">
        <v>67</v>
      </c>
      <c r="S12899">
        <v>0</v>
      </c>
      <c r="T12899">
        <v>1</v>
      </c>
      <c r="U12899">
        <v>0</v>
      </c>
      <c r="V12899">
        <v>0</v>
      </c>
      <c r="W12899">
        <v>0</v>
      </c>
      <c r="X12899">
        <v>1</v>
      </c>
      <c r="Y12899">
        <v>0</v>
      </c>
      <c r="Z12899">
        <v>1</v>
      </c>
      <c r="AA12899">
        <v>0</v>
      </c>
      <c r="AB12899">
        <v>0</v>
      </c>
      <c r="AC12899">
        <v>1</v>
      </c>
      <c r="AD12899">
        <v>1</v>
      </c>
      <c r="AE12899">
        <v>1</v>
      </c>
      <c r="AF12899">
        <v>1</v>
      </c>
      <c r="AG12899">
        <v>1</v>
      </c>
      <c r="AH12899">
        <v>1</v>
      </c>
      <c r="AI12899">
        <v>1</v>
      </c>
      <c r="AJ12899">
        <v>1</v>
      </c>
      <c r="AK12899">
        <v>1</v>
      </c>
      <c r="AL12899">
        <v>1</v>
      </c>
      <c r="AM12899">
        <v>1</v>
      </c>
    </row>
    <row r="12900" spans="1:39" x14ac:dyDescent="0.2">
      <c r="A12900" t="str">
        <f>"12896"</f>
        <v>12896</v>
      </c>
      <c r="B12900" t="str">
        <f t="shared" si="715"/>
        <v>1</v>
      </c>
      <c r="C12900" t="str">
        <f t="shared" si="717"/>
        <v>258</v>
      </c>
      <c r="D12900" t="str">
        <f>"30"</f>
        <v>30</v>
      </c>
      <c r="E12900" t="str">
        <f>"1-258-30"</f>
        <v>1-258-30</v>
      </c>
      <c r="F12900" t="s">
        <v>65</v>
      </c>
      <c r="G12900" t="s">
        <v>66</v>
      </c>
      <c r="H12900" t="s">
        <v>67</v>
      </c>
      <c r="S12900">
        <v>0</v>
      </c>
      <c r="T12900">
        <v>1</v>
      </c>
      <c r="U12900">
        <v>0</v>
      </c>
      <c r="V12900">
        <v>0</v>
      </c>
      <c r="W12900">
        <v>0</v>
      </c>
      <c r="X12900">
        <v>1</v>
      </c>
      <c r="Y12900">
        <v>0</v>
      </c>
      <c r="Z12900">
        <v>1</v>
      </c>
      <c r="AA12900">
        <v>0</v>
      </c>
      <c r="AB12900">
        <v>0</v>
      </c>
      <c r="AC12900">
        <v>1</v>
      </c>
      <c r="AD12900">
        <v>0</v>
      </c>
      <c r="AE12900">
        <v>0</v>
      </c>
      <c r="AF12900">
        <v>0</v>
      </c>
      <c r="AG12900">
        <v>0</v>
      </c>
      <c r="AH12900">
        <v>0</v>
      </c>
      <c r="AI12900">
        <v>0</v>
      </c>
      <c r="AJ12900">
        <v>0</v>
      </c>
      <c r="AK12900">
        <v>0</v>
      </c>
      <c r="AL12900">
        <v>0</v>
      </c>
      <c r="AM12900">
        <v>0</v>
      </c>
    </row>
    <row r="12901" spans="1:39" x14ac:dyDescent="0.2">
      <c r="A12901" t="str">
        <f>"12897"</f>
        <v>12897</v>
      </c>
      <c r="B12901" t="str">
        <f t="shared" si="715"/>
        <v>1</v>
      </c>
      <c r="C12901" t="str">
        <f t="shared" si="717"/>
        <v>258</v>
      </c>
      <c r="D12901" t="str">
        <f>"2"</f>
        <v>2</v>
      </c>
      <c r="E12901" t="str">
        <f>"1-258-2"</f>
        <v>1-258-2</v>
      </c>
      <c r="F12901" t="s">
        <v>65</v>
      </c>
      <c r="G12901" t="s">
        <v>66</v>
      </c>
      <c r="H12901" t="s">
        <v>67</v>
      </c>
      <c r="S12901">
        <v>1</v>
      </c>
      <c r="T12901">
        <v>0</v>
      </c>
      <c r="U12901">
        <v>0</v>
      </c>
      <c r="V12901">
        <v>0</v>
      </c>
      <c r="W12901">
        <v>1</v>
      </c>
      <c r="X12901">
        <v>0</v>
      </c>
      <c r="Y12901">
        <v>0</v>
      </c>
      <c r="Z12901">
        <v>1</v>
      </c>
      <c r="AA12901">
        <v>0</v>
      </c>
      <c r="AB12901">
        <v>1</v>
      </c>
      <c r="AC12901">
        <v>0</v>
      </c>
      <c r="AD12901">
        <v>1</v>
      </c>
      <c r="AE12901">
        <v>1</v>
      </c>
      <c r="AF12901">
        <v>1</v>
      </c>
      <c r="AG12901">
        <v>1</v>
      </c>
      <c r="AH12901">
        <v>1</v>
      </c>
      <c r="AI12901">
        <v>1</v>
      </c>
      <c r="AJ12901">
        <v>1</v>
      </c>
      <c r="AK12901">
        <v>1</v>
      </c>
      <c r="AL12901">
        <v>1</v>
      </c>
      <c r="AM12901">
        <v>1</v>
      </c>
    </row>
    <row r="12902" spans="1:39" x14ac:dyDescent="0.2">
      <c r="A12902" t="str">
        <f>"12898"</f>
        <v>12898</v>
      </c>
      <c r="B12902" t="str">
        <f t="shared" si="715"/>
        <v>1</v>
      </c>
      <c r="C12902" t="str">
        <f t="shared" si="717"/>
        <v>258</v>
      </c>
      <c r="D12902" t="str">
        <f>"32"</f>
        <v>32</v>
      </c>
      <c r="E12902" t="str">
        <f>"1-258-32"</f>
        <v>1-258-32</v>
      </c>
      <c r="F12902" t="s">
        <v>65</v>
      </c>
      <c r="G12902" t="s">
        <v>66</v>
      </c>
      <c r="H12902" t="s">
        <v>67</v>
      </c>
      <c r="S12902">
        <v>1</v>
      </c>
      <c r="T12902">
        <v>0</v>
      </c>
      <c r="U12902">
        <v>0</v>
      </c>
      <c r="V12902">
        <v>0</v>
      </c>
      <c r="W12902">
        <v>1</v>
      </c>
      <c r="X12902">
        <v>0</v>
      </c>
      <c r="Y12902">
        <v>1</v>
      </c>
      <c r="Z12902">
        <v>0</v>
      </c>
      <c r="AA12902">
        <v>1</v>
      </c>
      <c r="AB12902">
        <v>0</v>
      </c>
      <c r="AC12902">
        <v>0</v>
      </c>
      <c r="AD12902">
        <v>1</v>
      </c>
      <c r="AE12902">
        <v>1</v>
      </c>
      <c r="AF12902">
        <v>1</v>
      </c>
      <c r="AG12902">
        <v>1</v>
      </c>
      <c r="AH12902">
        <v>1</v>
      </c>
      <c r="AI12902">
        <v>1</v>
      </c>
      <c r="AJ12902">
        <v>1</v>
      </c>
      <c r="AK12902">
        <v>1</v>
      </c>
      <c r="AL12902">
        <v>1</v>
      </c>
      <c r="AM12902">
        <v>1</v>
      </c>
    </row>
    <row r="12903" spans="1:39" x14ac:dyDescent="0.2">
      <c r="A12903" t="str">
        <f>"12899"</f>
        <v>12899</v>
      </c>
      <c r="B12903" t="str">
        <f t="shared" si="715"/>
        <v>1</v>
      </c>
      <c r="C12903" t="str">
        <f t="shared" si="717"/>
        <v>258</v>
      </c>
      <c r="D12903" t="str">
        <f>"1"</f>
        <v>1</v>
      </c>
      <c r="E12903" t="str">
        <f>"1-258-1"</f>
        <v>1-258-1</v>
      </c>
      <c r="F12903" t="s">
        <v>65</v>
      </c>
      <c r="G12903" t="s">
        <v>66</v>
      </c>
      <c r="H12903" t="s">
        <v>67</v>
      </c>
      <c r="S12903">
        <v>0</v>
      </c>
      <c r="T12903">
        <v>0</v>
      </c>
      <c r="U12903">
        <v>0</v>
      </c>
      <c r="V12903">
        <v>0</v>
      </c>
      <c r="W12903">
        <v>1</v>
      </c>
      <c r="X12903">
        <v>0</v>
      </c>
      <c r="Y12903">
        <v>1</v>
      </c>
      <c r="Z12903">
        <v>0</v>
      </c>
      <c r="AA12903">
        <v>0</v>
      </c>
      <c r="AB12903">
        <v>1</v>
      </c>
      <c r="AC12903">
        <v>0</v>
      </c>
      <c r="AD12903">
        <v>1</v>
      </c>
      <c r="AE12903">
        <v>1</v>
      </c>
      <c r="AF12903">
        <v>1</v>
      </c>
      <c r="AG12903">
        <v>1</v>
      </c>
      <c r="AH12903">
        <v>1</v>
      </c>
      <c r="AI12903">
        <v>1</v>
      </c>
      <c r="AJ12903">
        <v>1</v>
      </c>
      <c r="AK12903">
        <v>1</v>
      </c>
      <c r="AL12903">
        <v>1</v>
      </c>
      <c r="AM12903">
        <v>1</v>
      </c>
    </row>
    <row r="12904" spans="1:39" x14ac:dyDescent="0.2">
      <c r="A12904" t="str">
        <f>"12900"</f>
        <v>12900</v>
      </c>
      <c r="B12904" t="str">
        <f t="shared" si="715"/>
        <v>1</v>
      </c>
      <c r="C12904" t="str">
        <f t="shared" si="717"/>
        <v>258</v>
      </c>
      <c r="D12904" t="str">
        <f>"50"</f>
        <v>50</v>
      </c>
      <c r="E12904" t="str">
        <f>"1-258-50"</f>
        <v>1-258-50</v>
      </c>
      <c r="F12904" t="s">
        <v>65</v>
      </c>
      <c r="G12904" t="s">
        <v>66</v>
      </c>
      <c r="H12904" t="s">
        <v>67</v>
      </c>
      <c r="S12904">
        <v>0</v>
      </c>
      <c r="T12904">
        <v>1</v>
      </c>
      <c r="U12904">
        <v>0</v>
      </c>
      <c r="V12904">
        <v>0</v>
      </c>
      <c r="W12904">
        <v>0</v>
      </c>
      <c r="X12904">
        <v>1</v>
      </c>
      <c r="Y12904">
        <v>0</v>
      </c>
      <c r="Z12904">
        <v>1</v>
      </c>
      <c r="AA12904">
        <v>0</v>
      </c>
      <c r="AB12904">
        <v>1</v>
      </c>
      <c r="AC12904">
        <v>0</v>
      </c>
      <c r="AD12904">
        <v>0</v>
      </c>
      <c r="AE12904">
        <v>0</v>
      </c>
      <c r="AF12904">
        <v>0</v>
      </c>
      <c r="AG12904">
        <v>0</v>
      </c>
      <c r="AH12904">
        <v>0</v>
      </c>
      <c r="AI12904">
        <v>0</v>
      </c>
      <c r="AJ12904">
        <v>0</v>
      </c>
      <c r="AK12904">
        <v>0</v>
      </c>
      <c r="AL12904">
        <v>0</v>
      </c>
      <c r="AM12904">
        <v>0</v>
      </c>
    </row>
    <row r="12905" spans="1:39" x14ac:dyDescent="0.2">
      <c r="A12905" t="str">
        <f>"12901"</f>
        <v>12901</v>
      </c>
      <c r="B12905" t="str">
        <f t="shared" si="715"/>
        <v>1</v>
      </c>
      <c r="C12905" t="str">
        <f t="shared" ref="C12905:C12936" si="718">"259"</f>
        <v>259</v>
      </c>
      <c r="D12905" t="str">
        <f>"34"</f>
        <v>34</v>
      </c>
      <c r="E12905" t="str">
        <f>"1-259-34"</f>
        <v>1-259-34</v>
      </c>
      <c r="F12905" t="s">
        <v>65</v>
      </c>
      <c r="G12905" t="s">
        <v>66</v>
      </c>
      <c r="H12905" t="s">
        <v>68</v>
      </c>
      <c r="I12905">
        <v>1</v>
      </c>
      <c r="J12905">
        <v>1</v>
      </c>
      <c r="K12905">
        <v>0</v>
      </c>
      <c r="L12905">
        <v>0</v>
      </c>
      <c r="M12905">
        <v>1</v>
      </c>
      <c r="N12905">
        <v>1</v>
      </c>
      <c r="O12905">
        <v>1</v>
      </c>
      <c r="P12905">
        <v>1</v>
      </c>
      <c r="Q12905">
        <v>1</v>
      </c>
      <c r="R12905">
        <v>1</v>
      </c>
    </row>
    <row r="12906" spans="1:39" x14ac:dyDescent="0.2">
      <c r="A12906" t="str">
        <f>"12902"</f>
        <v>12902</v>
      </c>
      <c r="B12906" t="str">
        <f t="shared" si="715"/>
        <v>1</v>
      </c>
      <c r="C12906" t="str">
        <f t="shared" si="718"/>
        <v>259</v>
      </c>
      <c r="D12906" t="str">
        <f>"33"</f>
        <v>33</v>
      </c>
      <c r="E12906" t="str">
        <f>"1-259-33"</f>
        <v>1-259-33</v>
      </c>
      <c r="F12906" t="s">
        <v>65</v>
      </c>
      <c r="G12906" t="s">
        <v>66</v>
      </c>
      <c r="H12906" t="s">
        <v>67</v>
      </c>
      <c r="S12906">
        <v>1</v>
      </c>
      <c r="T12906">
        <v>0</v>
      </c>
      <c r="U12906">
        <v>0</v>
      </c>
      <c r="V12906">
        <v>0</v>
      </c>
      <c r="W12906">
        <v>1</v>
      </c>
      <c r="X12906">
        <v>0</v>
      </c>
      <c r="Y12906">
        <v>1</v>
      </c>
      <c r="Z12906">
        <v>0</v>
      </c>
      <c r="AA12906">
        <v>1</v>
      </c>
      <c r="AB12906">
        <v>0</v>
      </c>
      <c r="AC12906">
        <v>0</v>
      </c>
      <c r="AD12906">
        <v>1</v>
      </c>
      <c r="AE12906">
        <v>1</v>
      </c>
      <c r="AF12906">
        <v>1</v>
      </c>
      <c r="AG12906">
        <v>1</v>
      </c>
      <c r="AH12906">
        <v>1</v>
      </c>
      <c r="AI12906">
        <v>1</v>
      </c>
      <c r="AJ12906">
        <v>1</v>
      </c>
      <c r="AK12906">
        <v>1</v>
      </c>
      <c r="AL12906">
        <v>1</v>
      </c>
      <c r="AM12906">
        <v>1</v>
      </c>
    </row>
    <row r="12907" spans="1:39" x14ac:dyDescent="0.2">
      <c r="A12907" t="str">
        <f>"12903"</f>
        <v>12903</v>
      </c>
      <c r="B12907" t="str">
        <f t="shared" si="715"/>
        <v>1</v>
      </c>
      <c r="C12907" t="str">
        <f t="shared" si="718"/>
        <v>259</v>
      </c>
      <c r="D12907" t="str">
        <f>"15"</f>
        <v>15</v>
      </c>
      <c r="E12907" t="str">
        <f>"1-259-15"</f>
        <v>1-259-15</v>
      </c>
      <c r="F12907" t="s">
        <v>65</v>
      </c>
      <c r="G12907" t="s">
        <v>66</v>
      </c>
      <c r="H12907" t="s">
        <v>68</v>
      </c>
      <c r="I12907">
        <v>1</v>
      </c>
      <c r="J12907">
        <v>0</v>
      </c>
      <c r="K12907">
        <v>1</v>
      </c>
      <c r="L12907">
        <v>0</v>
      </c>
      <c r="M12907">
        <v>1</v>
      </c>
      <c r="N12907">
        <v>1</v>
      </c>
      <c r="O12907">
        <v>1</v>
      </c>
      <c r="P12907">
        <v>1</v>
      </c>
      <c r="Q12907">
        <v>1</v>
      </c>
      <c r="R12907">
        <v>1</v>
      </c>
    </row>
    <row r="12908" spans="1:39" x14ac:dyDescent="0.2">
      <c r="A12908" t="str">
        <f>"12904"</f>
        <v>12904</v>
      </c>
      <c r="B12908" t="str">
        <f t="shared" si="715"/>
        <v>1</v>
      </c>
      <c r="C12908" t="str">
        <f t="shared" si="718"/>
        <v>259</v>
      </c>
      <c r="D12908" t="str">
        <f>"1"</f>
        <v>1</v>
      </c>
      <c r="E12908" t="str">
        <f>"1-259-1"</f>
        <v>1-259-1</v>
      </c>
      <c r="F12908" t="s">
        <v>65</v>
      </c>
      <c r="G12908" t="s">
        <v>66</v>
      </c>
      <c r="H12908" t="s">
        <v>67</v>
      </c>
      <c r="S12908">
        <v>0</v>
      </c>
      <c r="T12908">
        <v>1</v>
      </c>
      <c r="U12908">
        <v>0</v>
      </c>
      <c r="V12908">
        <v>0</v>
      </c>
      <c r="W12908">
        <v>1</v>
      </c>
      <c r="X12908">
        <v>0</v>
      </c>
      <c r="Y12908">
        <v>1</v>
      </c>
      <c r="Z12908">
        <v>0</v>
      </c>
      <c r="AA12908">
        <v>1</v>
      </c>
      <c r="AB12908">
        <v>0</v>
      </c>
      <c r="AC12908">
        <v>0</v>
      </c>
      <c r="AD12908">
        <v>1</v>
      </c>
      <c r="AE12908">
        <v>1</v>
      </c>
      <c r="AF12908">
        <v>1</v>
      </c>
      <c r="AG12908">
        <v>1</v>
      </c>
      <c r="AH12908">
        <v>1</v>
      </c>
      <c r="AI12908">
        <v>1</v>
      </c>
      <c r="AJ12908">
        <v>1</v>
      </c>
      <c r="AK12908">
        <v>1</v>
      </c>
      <c r="AL12908">
        <v>1</v>
      </c>
      <c r="AM12908">
        <v>1</v>
      </c>
    </row>
    <row r="12909" spans="1:39" x14ac:dyDescent="0.2">
      <c r="A12909" t="str">
        <f>"12905"</f>
        <v>12905</v>
      </c>
      <c r="B12909" t="str">
        <f t="shared" si="715"/>
        <v>1</v>
      </c>
      <c r="C12909" t="str">
        <f t="shared" si="718"/>
        <v>259</v>
      </c>
      <c r="D12909" t="str">
        <f>"38"</f>
        <v>38</v>
      </c>
      <c r="E12909" t="str">
        <f>"1-259-38"</f>
        <v>1-259-38</v>
      </c>
      <c r="F12909" t="s">
        <v>65</v>
      </c>
      <c r="G12909" t="s">
        <v>66</v>
      </c>
      <c r="H12909" t="s">
        <v>67</v>
      </c>
      <c r="S12909">
        <v>0</v>
      </c>
      <c r="T12909">
        <v>1</v>
      </c>
      <c r="U12909">
        <v>0</v>
      </c>
      <c r="V12909">
        <v>0</v>
      </c>
      <c r="W12909">
        <v>1</v>
      </c>
      <c r="X12909">
        <v>0</v>
      </c>
      <c r="Y12909">
        <v>1</v>
      </c>
      <c r="Z12909">
        <v>0</v>
      </c>
      <c r="AA12909">
        <v>0</v>
      </c>
      <c r="AB12909">
        <v>1</v>
      </c>
      <c r="AC12909">
        <v>0</v>
      </c>
      <c r="AD12909">
        <v>1</v>
      </c>
      <c r="AE12909">
        <v>1</v>
      </c>
      <c r="AF12909">
        <v>1</v>
      </c>
      <c r="AG12909">
        <v>1</v>
      </c>
      <c r="AH12909">
        <v>1</v>
      </c>
      <c r="AI12909">
        <v>1</v>
      </c>
      <c r="AJ12909">
        <v>1</v>
      </c>
      <c r="AK12909">
        <v>1</v>
      </c>
      <c r="AL12909">
        <v>1</v>
      </c>
      <c r="AM12909">
        <v>1</v>
      </c>
    </row>
    <row r="12910" spans="1:39" x14ac:dyDescent="0.2">
      <c r="A12910" t="str">
        <f>"12906"</f>
        <v>12906</v>
      </c>
      <c r="B12910" t="str">
        <f t="shared" si="715"/>
        <v>1</v>
      </c>
      <c r="C12910" t="str">
        <f t="shared" si="718"/>
        <v>259</v>
      </c>
      <c r="D12910" t="str">
        <f>"37"</f>
        <v>37</v>
      </c>
      <c r="E12910" t="str">
        <f>"1-259-37"</f>
        <v>1-259-37</v>
      </c>
      <c r="F12910" t="s">
        <v>65</v>
      </c>
      <c r="G12910" t="s">
        <v>66</v>
      </c>
      <c r="H12910" t="s">
        <v>67</v>
      </c>
      <c r="S12910">
        <v>0</v>
      </c>
      <c r="T12910">
        <v>1</v>
      </c>
      <c r="U12910">
        <v>0</v>
      </c>
      <c r="V12910">
        <v>0</v>
      </c>
      <c r="W12910">
        <v>1</v>
      </c>
      <c r="X12910">
        <v>0</v>
      </c>
      <c r="Y12910">
        <v>0</v>
      </c>
      <c r="Z12910">
        <v>0</v>
      </c>
      <c r="AA12910">
        <v>0</v>
      </c>
      <c r="AB12910">
        <v>0</v>
      </c>
      <c r="AC12910">
        <v>0</v>
      </c>
      <c r="AD12910">
        <v>0</v>
      </c>
      <c r="AE12910">
        <v>0</v>
      </c>
      <c r="AF12910">
        <v>0</v>
      </c>
      <c r="AG12910">
        <v>0</v>
      </c>
      <c r="AH12910">
        <v>0</v>
      </c>
      <c r="AI12910">
        <v>1</v>
      </c>
      <c r="AJ12910">
        <v>1</v>
      </c>
      <c r="AK12910">
        <v>1</v>
      </c>
      <c r="AL12910">
        <v>0</v>
      </c>
      <c r="AM12910">
        <v>1</v>
      </c>
    </row>
    <row r="12911" spans="1:39" x14ac:dyDescent="0.2">
      <c r="A12911" t="str">
        <f>"12907"</f>
        <v>12907</v>
      </c>
      <c r="B12911" t="str">
        <f t="shared" si="715"/>
        <v>1</v>
      </c>
      <c r="C12911" t="str">
        <f t="shared" si="718"/>
        <v>259</v>
      </c>
      <c r="D12911" t="str">
        <f>"27"</f>
        <v>27</v>
      </c>
      <c r="E12911" t="str">
        <f>"1-259-27"</f>
        <v>1-259-27</v>
      </c>
      <c r="F12911" t="s">
        <v>65</v>
      </c>
      <c r="G12911" t="s">
        <v>66</v>
      </c>
      <c r="H12911" t="s">
        <v>67</v>
      </c>
      <c r="S12911">
        <v>1</v>
      </c>
      <c r="T12911">
        <v>0</v>
      </c>
      <c r="U12911">
        <v>0</v>
      </c>
      <c r="V12911">
        <v>0</v>
      </c>
      <c r="W12911">
        <v>1</v>
      </c>
      <c r="X12911">
        <v>0</v>
      </c>
      <c r="Y12911">
        <v>0</v>
      </c>
      <c r="Z12911">
        <v>1</v>
      </c>
      <c r="AA12911">
        <v>1</v>
      </c>
      <c r="AB12911">
        <v>0</v>
      </c>
      <c r="AC12911">
        <v>0</v>
      </c>
      <c r="AD12911">
        <v>1</v>
      </c>
      <c r="AE12911">
        <v>1</v>
      </c>
      <c r="AF12911">
        <v>1</v>
      </c>
      <c r="AG12911">
        <v>1</v>
      </c>
      <c r="AH12911">
        <v>1</v>
      </c>
      <c r="AI12911">
        <v>1</v>
      </c>
      <c r="AJ12911">
        <v>1</v>
      </c>
      <c r="AK12911">
        <v>1</v>
      </c>
      <c r="AL12911">
        <v>1</v>
      </c>
      <c r="AM12911">
        <v>1</v>
      </c>
    </row>
    <row r="12912" spans="1:39" x14ac:dyDescent="0.2">
      <c r="A12912" t="str">
        <f>"12908"</f>
        <v>12908</v>
      </c>
      <c r="B12912" t="str">
        <f t="shared" si="715"/>
        <v>1</v>
      </c>
      <c r="C12912" t="str">
        <f t="shared" si="718"/>
        <v>259</v>
      </c>
      <c r="D12912" t="str">
        <f>"16"</f>
        <v>16</v>
      </c>
      <c r="E12912" t="str">
        <f>"1-259-16"</f>
        <v>1-259-16</v>
      </c>
      <c r="F12912" t="s">
        <v>65</v>
      </c>
      <c r="G12912" t="s">
        <v>66</v>
      </c>
      <c r="H12912" t="s">
        <v>67</v>
      </c>
      <c r="S12912">
        <v>0</v>
      </c>
      <c r="T12912">
        <v>1</v>
      </c>
      <c r="U12912">
        <v>0</v>
      </c>
      <c r="V12912">
        <v>0</v>
      </c>
      <c r="W12912">
        <v>0</v>
      </c>
      <c r="X12912">
        <v>1</v>
      </c>
      <c r="Y12912">
        <v>0</v>
      </c>
      <c r="Z12912">
        <v>1</v>
      </c>
      <c r="AA12912">
        <v>0</v>
      </c>
      <c r="AB12912">
        <v>0</v>
      </c>
      <c r="AC12912">
        <v>1</v>
      </c>
      <c r="AD12912">
        <v>1</v>
      </c>
      <c r="AE12912">
        <v>1</v>
      </c>
      <c r="AF12912">
        <v>1</v>
      </c>
      <c r="AG12912">
        <v>1</v>
      </c>
      <c r="AH12912">
        <v>1</v>
      </c>
      <c r="AI12912">
        <v>1</v>
      </c>
      <c r="AJ12912">
        <v>1</v>
      </c>
      <c r="AK12912">
        <v>1</v>
      </c>
      <c r="AL12912">
        <v>1</v>
      </c>
      <c r="AM12912">
        <v>1</v>
      </c>
    </row>
    <row r="12913" spans="1:39" x14ac:dyDescent="0.2">
      <c r="A12913" t="str">
        <f>"12909"</f>
        <v>12909</v>
      </c>
      <c r="B12913" t="str">
        <f t="shared" si="715"/>
        <v>1</v>
      </c>
      <c r="C12913" t="str">
        <f t="shared" si="718"/>
        <v>259</v>
      </c>
      <c r="D12913" t="str">
        <f>"2"</f>
        <v>2</v>
      </c>
      <c r="E12913" t="str">
        <f>"1-259-2"</f>
        <v>1-259-2</v>
      </c>
      <c r="F12913" t="s">
        <v>65</v>
      </c>
      <c r="G12913" t="s">
        <v>66</v>
      </c>
      <c r="H12913" t="s">
        <v>67</v>
      </c>
      <c r="S12913">
        <v>0</v>
      </c>
      <c r="T12913">
        <v>1</v>
      </c>
      <c r="U12913">
        <v>0</v>
      </c>
      <c r="V12913">
        <v>0</v>
      </c>
      <c r="W12913">
        <v>1</v>
      </c>
      <c r="X12913">
        <v>0</v>
      </c>
      <c r="Y12913">
        <v>0</v>
      </c>
      <c r="Z12913">
        <v>1</v>
      </c>
      <c r="AA12913">
        <v>1</v>
      </c>
      <c r="AB12913">
        <v>0</v>
      </c>
      <c r="AC12913">
        <v>0</v>
      </c>
      <c r="AD12913">
        <v>1</v>
      </c>
      <c r="AE12913">
        <v>1</v>
      </c>
      <c r="AF12913">
        <v>1</v>
      </c>
      <c r="AG12913">
        <v>1</v>
      </c>
      <c r="AH12913">
        <v>1</v>
      </c>
      <c r="AI12913">
        <v>1</v>
      </c>
      <c r="AJ12913">
        <v>1</v>
      </c>
      <c r="AK12913">
        <v>1</v>
      </c>
      <c r="AL12913">
        <v>1</v>
      </c>
      <c r="AM12913">
        <v>1</v>
      </c>
    </row>
    <row r="12914" spans="1:39" x14ac:dyDescent="0.2">
      <c r="A12914" t="str">
        <f>"12910"</f>
        <v>12910</v>
      </c>
      <c r="B12914" t="str">
        <f t="shared" si="715"/>
        <v>1</v>
      </c>
      <c r="C12914" t="str">
        <f t="shared" si="718"/>
        <v>259</v>
      </c>
      <c r="D12914" t="str">
        <f>"42"</f>
        <v>42</v>
      </c>
      <c r="E12914" t="str">
        <f>"1-259-42"</f>
        <v>1-259-42</v>
      </c>
      <c r="F12914" t="s">
        <v>65</v>
      </c>
      <c r="G12914" t="s">
        <v>66</v>
      </c>
      <c r="H12914" t="s">
        <v>67</v>
      </c>
      <c r="S12914">
        <v>1</v>
      </c>
      <c r="T12914">
        <v>0</v>
      </c>
      <c r="U12914">
        <v>0</v>
      </c>
      <c r="V12914">
        <v>0</v>
      </c>
      <c r="W12914">
        <v>1</v>
      </c>
      <c r="X12914">
        <v>0</v>
      </c>
      <c r="Y12914">
        <v>0</v>
      </c>
      <c r="Z12914">
        <v>1</v>
      </c>
      <c r="AA12914">
        <v>0</v>
      </c>
      <c r="AB12914">
        <v>1</v>
      </c>
      <c r="AC12914">
        <v>0</v>
      </c>
      <c r="AD12914">
        <v>1</v>
      </c>
      <c r="AE12914">
        <v>1</v>
      </c>
      <c r="AF12914">
        <v>1</v>
      </c>
      <c r="AG12914">
        <v>1</v>
      </c>
      <c r="AH12914">
        <v>1</v>
      </c>
      <c r="AI12914">
        <v>1</v>
      </c>
      <c r="AJ12914">
        <v>1</v>
      </c>
      <c r="AK12914">
        <v>1</v>
      </c>
      <c r="AL12914">
        <v>1</v>
      </c>
      <c r="AM12914">
        <v>1</v>
      </c>
    </row>
    <row r="12915" spans="1:39" x14ac:dyDescent="0.2">
      <c r="A12915" t="str">
        <f>"12911"</f>
        <v>12911</v>
      </c>
      <c r="B12915" t="str">
        <f t="shared" si="715"/>
        <v>1</v>
      </c>
      <c r="C12915" t="str">
        <f t="shared" si="718"/>
        <v>259</v>
      </c>
      <c r="D12915" t="str">
        <f>"41"</f>
        <v>41</v>
      </c>
      <c r="E12915" t="str">
        <f>"1-259-41"</f>
        <v>1-259-41</v>
      </c>
      <c r="F12915" t="s">
        <v>65</v>
      </c>
      <c r="G12915" t="s">
        <v>66</v>
      </c>
      <c r="H12915" t="s">
        <v>67</v>
      </c>
      <c r="S12915">
        <v>1</v>
      </c>
      <c r="T12915">
        <v>0</v>
      </c>
      <c r="U12915">
        <v>0</v>
      </c>
      <c r="V12915">
        <v>0</v>
      </c>
      <c r="W12915">
        <v>1</v>
      </c>
      <c r="X12915">
        <v>0</v>
      </c>
      <c r="Y12915">
        <v>0</v>
      </c>
      <c r="Z12915">
        <v>1</v>
      </c>
      <c r="AA12915">
        <v>0</v>
      </c>
      <c r="AB12915">
        <v>1</v>
      </c>
      <c r="AC12915">
        <v>0</v>
      </c>
      <c r="AD12915">
        <v>1</v>
      </c>
      <c r="AE12915">
        <v>1</v>
      </c>
      <c r="AF12915">
        <v>1</v>
      </c>
      <c r="AG12915">
        <v>1</v>
      </c>
      <c r="AH12915">
        <v>1</v>
      </c>
      <c r="AI12915">
        <v>1</v>
      </c>
      <c r="AJ12915">
        <v>1</v>
      </c>
      <c r="AK12915">
        <v>1</v>
      </c>
      <c r="AL12915">
        <v>1</v>
      </c>
      <c r="AM12915">
        <v>1</v>
      </c>
    </row>
    <row r="12916" spans="1:39" x14ac:dyDescent="0.2">
      <c r="A12916" t="str">
        <f>"12912"</f>
        <v>12912</v>
      </c>
      <c r="B12916" t="str">
        <f t="shared" si="715"/>
        <v>1</v>
      </c>
      <c r="C12916" t="str">
        <f t="shared" si="718"/>
        <v>259</v>
      </c>
      <c r="D12916" t="str">
        <f>"31"</f>
        <v>31</v>
      </c>
      <c r="E12916" t="str">
        <f>"1-259-31"</f>
        <v>1-259-31</v>
      </c>
      <c r="F12916" t="s">
        <v>65</v>
      </c>
      <c r="G12916" t="s">
        <v>66</v>
      </c>
      <c r="H12916" t="s">
        <v>68</v>
      </c>
      <c r="I12916">
        <v>1</v>
      </c>
      <c r="J12916">
        <v>0</v>
      </c>
      <c r="K12916">
        <v>1</v>
      </c>
      <c r="L12916">
        <v>0</v>
      </c>
      <c r="M12916">
        <v>1</v>
      </c>
      <c r="N12916">
        <v>1</v>
      </c>
      <c r="O12916">
        <v>1</v>
      </c>
      <c r="P12916">
        <v>1</v>
      </c>
      <c r="Q12916">
        <v>1</v>
      </c>
      <c r="R12916">
        <v>1</v>
      </c>
    </row>
    <row r="12917" spans="1:39" x14ac:dyDescent="0.2">
      <c r="A12917" t="str">
        <f>"12913"</f>
        <v>12913</v>
      </c>
      <c r="B12917" t="str">
        <f t="shared" si="715"/>
        <v>1</v>
      </c>
      <c r="C12917" t="str">
        <f t="shared" si="718"/>
        <v>259</v>
      </c>
      <c r="D12917" t="str">
        <f>"17"</f>
        <v>17</v>
      </c>
      <c r="E12917" t="str">
        <f>"1-259-17"</f>
        <v>1-259-17</v>
      </c>
      <c r="F12917" t="s">
        <v>65</v>
      </c>
      <c r="G12917" t="s">
        <v>66</v>
      </c>
      <c r="H12917" t="s">
        <v>67</v>
      </c>
      <c r="S12917">
        <v>1</v>
      </c>
      <c r="T12917">
        <v>0</v>
      </c>
      <c r="U12917">
        <v>0</v>
      </c>
      <c r="V12917">
        <v>0</v>
      </c>
      <c r="W12917">
        <v>1</v>
      </c>
      <c r="X12917">
        <v>0</v>
      </c>
      <c r="Y12917">
        <v>0</v>
      </c>
      <c r="Z12917">
        <v>1</v>
      </c>
      <c r="AA12917">
        <v>1</v>
      </c>
      <c r="AB12917">
        <v>0</v>
      </c>
      <c r="AC12917">
        <v>0</v>
      </c>
      <c r="AD12917">
        <v>0</v>
      </c>
      <c r="AE12917">
        <v>0</v>
      </c>
      <c r="AF12917">
        <v>0</v>
      </c>
      <c r="AG12917">
        <v>0</v>
      </c>
      <c r="AH12917">
        <v>0</v>
      </c>
      <c r="AI12917">
        <v>0</v>
      </c>
      <c r="AJ12917">
        <v>0</v>
      </c>
      <c r="AK12917">
        <v>0</v>
      </c>
      <c r="AL12917">
        <v>0</v>
      </c>
      <c r="AM12917">
        <v>0</v>
      </c>
    </row>
    <row r="12918" spans="1:39" x14ac:dyDescent="0.2">
      <c r="A12918" t="str">
        <f>"12914"</f>
        <v>12914</v>
      </c>
      <c r="B12918" t="str">
        <f t="shared" si="715"/>
        <v>1</v>
      </c>
      <c r="C12918" t="str">
        <f t="shared" si="718"/>
        <v>259</v>
      </c>
      <c r="D12918" t="str">
        <f>"12"</f>
        <v>12</v>
      </c>
      <c r="E12918" t="str">
        <f>"1-259-12"</f>
        <v>1-259-12</v>
      </c>
      <c r="F12918" t="s">
        <v>65</v>
      </c>
      <c r="G12918" t="s">
        <v>66</v>
      </c>
      <c r="H12918" t="s">
        <v>67</v>
      </c>
      <c r="S12918">
        <v>0</v>
      </c>
      <c r="T12918">
        <v>1</v>
      </c>
      <c r="U12918">
        <v>0</v>
      </c>
      <c r="V12918">
        <v>0</v>
      </c>
      <c r="W12918">
        <v>1</v>
      </c>
      <c r="X12918">
        <v>0</v>
      </c>
      <c r="Y12918">
        <v>1</v>
      </c>
      <c r="Z12918">
        <v>0</v>
      </c>
      <c r="AA12918">
        <v>1</v>
      </c>
      <c r="AB12918">
        <v>0</v>
      </c>
      <c r="AC12918">
        <v>0</v>
      </c>
      <c r="AD12918">
        <v>1</v>
      </c>
      <c r="AE12918">
        <v>1</v>
      </c>
      <c r="AF12918">
        <v>1</v>
      </c>
      <c r="AG12918">
        <v>1</v>
      </c>
      <c r="AH12918">
        <v>1</v>
      </c>
      <c r="AI12918">
        <v>1</v>
      </c>
      <c r="AJ12918">
        <v>1</v>
      </c>
      <c r="AK12918">
        <v>1</v>
      </c>
      <c r="AL12918">
        <v>1</v>
      </c>
      <c r="AM12918">
        <v>1</v>
      </c>
    </row>
    <row r="12919" spans="1:39" x14ac:dyDescent="0.2">
      <c r="A12919" t="str">
        <f>"12915"</f>
        <v>12915</v>
      </c>
      <c r="B12919" t="str">
        <f t="shared" ref="B12919:B12982" si="719">"1"</f>
        <v>1</v>
      </c>
      <c r="C12919" t="str">
        <f t="shared" si="718"/>
        <v>259</v>
      </c>
      <c r="D12919" t="str">
        <f>"40"</f>
        <v>40</v>
      </c>
      <c r="E12919" t="str">
        <f>"1-259-40"</f>
        <v>1-259-40</v>
      </c>
      <c r="F12919" t="s">
        <v>65</v>
      </c>
      <c r="G12919" t="s">
        <v>66</v>
      </c>
      <c r="H12919" t="s">
        <v>67</v>
      </c>
      <c r="S12919">
        <v>0</v>
      </c>
      <c r="T12919">
        <v>1</v>
      </c>
      <c r="U12919">
        <v>0</v>
      </c>
      <c r="V12919">
        <v>0</v>
      </c>
      <c r="W12919">
        <v>1</v>
      </c>
      <c r="X12919">
        <v>0</v>
      </c>
      <c r="Y12919">
        <v>0</v>
      </c>
      <c r="Z12919">
        <v>1</v>
      </c>
      <c r="AA12919">
        <v>1</v>
      </c>
      <c r="AB12919">
        <v>0</v>
      </c>
      <c r="AC12919">
        <v>0</v>
      </c>
      <c r="AD12919">
        <v>1</v>
      </c>
      <c r="AE12919">
        <v>1</v>
      </c>
      <c r="AF12919">
        <v>1</v>
      </c>
      <c r="AG12919">
        <v>1</v>
      </c>
      <c r="AH12919">
        <v>1</v>
      </c>
      <c r="AI12919">
        <v>1</v>
      </c>
      <c r="AJ12919">
        <v>1</v>
      </c>
      <c r="AK12919">
        <v>1</v>
      </c>
      <c r="AL12919">
        <v>1</v>
      </c>
      <c r="AM12919">
        <v>1</v>
      </c>
    </row>
    <row r="12920" spans="1:39" x14ac:dyDescent="0.2">
      <c r="A12920" t="str">
        <f>"12916"</f>
        <v>12916</v>
      </c>
      <c r="B12920" t="str">
        <f t="shared" si="719"/>
        <v>1</v>
      </c>
      <c r="C12920" t="str">
        <f t="shared" si="718"/>
        <v>259</v>
      </c>
      <c r="D12920" t="str">
        <f>"39"</f>
        <v>39</v>
      </c>
      <c r="E12920" t="str">
        <f>"1-259-39"</f>
        <v>1-259-39</v>
      </c>
      <c r="F12920" t="s">
        <v>65</v>
      </c>
      <c r="G12920" t="s">
        <v>66</v>
      </c>
      <c r="H12920" t="s">
        <v>67</v>
      </c>
      <c r="S12920">
        <v>0</v>
      </c>
      <c r="T12920">
        <v>1</v>
      </c>
      <c r="U12920">
        <v>0</v>
      </c>
      <c r="V12920">
        <v>0</v>
      </c>
      <c r="W12920">
        <v>1</v>
      </c>
      <c r="X12920">
        <v>0</v>
      </c>
      <c r="Y12920">
        <v>0</v>
      </c>
      <c r="Z12920">
        <v>1</v>
      </c>
      <c r="AA12920">
        <v>0</v>
      </c>
      <c r="AB12920">
        <v>1</v>
      </c>
      <c r="AC12920">
        <v>0</v>
      </c>
      <c r="AD12920">
        <v>1</v>
      </c>
      <c r="AE12920">
        <v>1</v>
      </c>
      <c r="AF12920">
        <v>1</v>
      </c>
      <c r="AG12920">
        <v>1</v>
      </c>
      <c r="AH12920">
        <v>1</v>
      </c>
      <c r="AI12920">
        <v>1</v>
      </c>
      <c r="AJ12920">
        <v>1</v>
      </c>
      <c r="AK12920">
        <v>1</v>
      </c>
      <c r="AL12920">
        <v>1</v>
      </c>
      <c r="AM12920">
        <v>1</v>
      </c>
    </row>
    <row r="12921" spans="1:39" x14ac:dyDescent="0.2">
      <c r="A12921" t="str">
        <f>"12917"</f>
        <v>12917</v>
      </c>
      <c r="B12921" t="str">
        <f t="shared" si="719"/>
        <v>1</v>
      </c>
      <c r="C12921" t="str">
        <f t="shared" si="718"/>
        <v>259</v>
      </c>
      <c r="D12921" t="str">
        <f>"32"</f>
        <v>32</v>
      </c>
      <c r="E12921" t="str">
        <f>"1-259-32"</f>
        <v>1-259-32</v>
      </c>
      <c r="F12921" t="s">
        <v>65</v>
      </c>
      <c r="G12921" t="s">
        <v>66</v>
      </c>
      <c r="H12921" t="s">
        <v>68</v>
      </c>
      <c r="I12921">
        <v>1</v>
      </c>
      <c r="J12921">
        <v>0</v>
      </c>
      <c r="K12921">
        <v>1</v>
      </c>
      <c r="L12921">
        <v>0</v>
      </c>
      <c r="M12921">
        <v>1</v>
      </c>
      <c r="N12921">
        <v>1</v>
      </c>
      <c r="O12921">
        <v>1</v>
      </c>
      <c r="P12921">
        <v>1</v>
      </c>
      <c r="Q12921">
        <v>1</v>
      </c>
      <c r="R12921">
        <v>1</v>
      </c>
    </row>
    <row r="12922" spans="1:39" x14ac:dyDescent="0.2">
      <c r="A12922" t="str">
        <f>"12918"</f>
        <v>12918</v>
      </c>
      <c r="B12922" t="str">
        <f t="shared" si="719"/>
        <v>1</v>
      </c>
      <c r="C12922" t="str">
        <f t="shared" si="718"/>
        <v>259</v>
      </c>
      <c r="D12922" t="str">
        <f>"18"</f>
        <v>18</v>
      </c>
      <c r="E12922" t="str">
        <f>"1-259-18"</f>
        <v>1-259-18</v>
      </c>
      <c r="F12922" t="s">
        <v>65</v>
      </c>
      <c r="G12922" t="s">
        <v>66</v>
      </c>
      <c r="H12922" t="s">
        <v>67</v>
      </c>
      <c r="S12922">
        <v>1</v>
      </c>
      <c r="T12922">
        <v>0</v>
      </c>
      <c r="U12922">
        <v>0</v>
      </c>
      <c r="V12922">
        <v>0</v>
      </c>
      <c r="W12922">
        <v>1</v>
      </c>
      <c r="X12922">
        <v>0</v>
      </c>
      <c r="Y12922">
        <v>1</v>
      </c>
      <c r="Z12922">
        <v>0</v>
      </c>
      <c r="AA12922">
        <v>0</v>
      </c>
      <c r="AB12922">
        <v>0</v>
      </c>
      <c r="AC12922">
        <v>1</v>
      </c>
      <c r="AD12922">
        <v>1</v>
      </c>
      <c r="AE12922">
        <v>1</v>
      </c>
      <c r="AF12922">
        <v>1</v>
      </c>
      <c r="AG12922">
        <v>1</v>
      </c>
      <c r="AH12922">
        <v>1</v>
      </c>
      <c r="AI12922">
        <v>1</v>
      </c>
      <c r="AJ12922">
        <v>1</v>
      </c>
      <c r="AK12922">
        <v>1</v>
      </c>
      <c r="AL12922">
        <v>1</v>
      </c>
      <c r="AM12922">
        <v>1</v>
      </c>
    </row>
    <row r="12923" spans="1:39" x14ac:dyDescent="0.2">
      <c r="A12923" t="str">
        <f>"12919"</f>
        <v>12919</v>
      </c>
      <c r="B12923" t="str">
        <f t="shared" si="719"/>
        <v>1</v>
      </c>
      <c r="C12923" t="str">
        <f t="shared" si="718"/>
        <v>259</v>
      </c>
      <c r="D12923" t="str">
        <f>"8"</f>
        <v>8</v>
      </c>
      <c r="E12923" t="str">
        <f>"1-259-8"</f>
        <v>1-259-8</v>
      </c>
      <c r="F12923" t="s">
        <v>65</v>
      </c>
      <c r="G12923" t="s">
        <v>66</v>
      </c>
      <c r="H12923" t="s">
        <v>67</v>
      </c>
      <c r="S12923">
        <v>0</v>
      </c>
      <c r="T12923">
        <v>1</v>
      </c>
      <c r="U12923">
        <v>0</v>
      </c>
      <c r="V12923">
        <v>0</v>
      </c>
      <c r="W12923">
        <v>1</v>
      </c>
      <c r="X12923">
        <v>0</v>
      </c>
      <c r="Y12923">
        <v>1</v>
      </c>
      <c r="Z12923">
        <v>0</v>
      </c>
      <c r="AA12923">
        <v>0</v>
      </c>
      <c r="AB12923">
        <v>0</v>
      </c>
      <c r="AC12923">
        <v>1</v>
      </c>
      <c r="AD12923">
        <v>1</v>
      </c>
      <c r="AE12923">
        <v>1</v>
      </c>
      <c r="AF12923">
        <v>1</v>
      </c>
      <c r="AG12923">
        <v>1</v>
      </c>
      <c r="AH12923">
        <v>1</v>
      </c>
      <c r="AI12923">
        <v>1</v>
      </c>
      <c r="AJ12923">
        <v>1</v>
      </c>
      <c r="AK12923">
        <v>1</v>
      </c>
      <c r="AL12923">
        <v>1</v>
      </c>
      <c r="AM12923">
        <v>1</v>
      </c>
    </row>
    <row r="12924" spans="1:39" x14ac:dyDescent="0.2">
      <c r="A12924" t="str">
        <f>"12920"</f>
        <v>12920</v>
      </c>
      <c r="B12924" t="str">
        <f t="shared" si="719"/>
        <v>1</v>
      </c>
      <c r="C12924" t="str">
        <f t="shared" si="718"/>
        <v>259</v>
      </c>
      <c r="D12924" t="str">
        <f>"36"</f>
        <v>36</v>
      </c>
      <c r="E12924" t="str">
        <f>"1-259-36"</f>
        <v>1-259-36</v>
      </c>
      <c r="F12924" t="s">
        <v>65</v>
      </c>
      <c r="G12924" t="s">
        <v>66</v>
      </c>
      <c r="H12924" t="s">
        <v>67</v>
      </c>
      <c r="S12924">
        <v>1</v>
      </c>
      <c r="T12924">
        <v>0</v>
      </c>
      <c r="U12924">
        <v>0</v>
      </c>
      <c r="V12924">
        <v>0</v>
      </c>
      <c r="W12924">
        <v>1</v>
      </c>
      <c r="X12924">
        <v>0</v>
      </c>
      <c r="Y12924">
        <v>1</v>
      </c>
      <c r="Z12924">
        <v>0</v>
      </c>
      <c r="AA12924">
        <v>1</v>
      </c>
      <c r="AB12924">
        <v>0</v>
      </c>
      <c r="AC12924">
        <v>0</v>
      </c>
      <c r="AD12924">
        <v>1</v>
      </c>
      <c r="AE12924">
        <v>1</v>
      </c>
      <c r="AF12924">
        <v>1</v>
      </c>
      <c r="AG12924">
        <v>1</v>
      </c>
      <c r="AH12924">
        <v>1</v>
      </c>
      <c r="AI12924">
        <v>1</v>
      </c>
      <c r="AJ12924">
        <v>1</v>
      </c>
      <c r="AK12924">
        <v>1</v>
      </c>
      <c r="AL12924">
        <v>1</v>
      </c>
      <c r="AM12924">
        <v>1</v>
      </c>
    </row>
    <row r="12925" spans="1:39" x14ac:dyDescent="0.2">
      <c r="A12925" t="str">
        <f>"12921"</f>
        <v>12921</v>
      </c>
      <c r="B12925" t="str">
        <f t="shared" si="719"/>
        <v>1</v>
      </c>
      <c r="C12925" t="str">
        <f t="shared" si="718"/>
        <v>259</v>
      </c>
      <c r="D12925" t="str">
        <f>"19"</f>
        <v>19</v>
      </c>
      <c r="E12925" t="str">
        <f>"1-259-19"</f>
        <v>1-259-19</v>
      </c>
      <c r="F12925" t="s">
        <v>65</v>
      </c>
      <c r="G12925" t="s">
        <v>66</v>
      </c>
      <c r="H12925" t="s">
        <v>67</v>
      </c>
      <c r="S12925">
        <v>0</v>
      </c>
      <c r="T12925">
        <v>1</v>
      </c>
      <c r="U12925">
        <v>0</v>
      </c>
      <c r="V12925">
        <v>0</v>
      </c>
      <c r="W12925">
        <v>1</v>
      </c>
      <c r="X12925">
        <v>0</v>
      </c>
      <c r="Y12925">
        <v>1</v>
      </c>
      <c r="Z12925">
        <v>0</v>
      </c>
      <c r="AA12925">
        <v>0</v>
      </c>
      <c r="AB12925">
        <v>1</v>
      </c>
      <c r="AC12925">
        <v>0</v>
      </c>
      <c r="AD12925">
        <v>1</v>
      </c>
      <c r="AE12925">
        <v>1</v>
      </c>
      <c r="AF12925">
        <v>1</v>
      </c>
      <c r="AG12925">
        <v>1</v>
      </c>
      <c r="AH12925">
        <v>1</v>
      </c>
      <c r="AI12925">
        <v>1</v>
      </c>
      <c r="AJ12925">
        <v>1</v>
      </c>
      <c r="AK12925">
        <v>1</v>
      </c>
      <c r="AL12925">
        <v>1</v>
      </c>
      <c r="AM12925">
        <v>1</v>
      </c>
    </row>
    <row r="12926" spans="1:39" x14ac:dyDescent="0.2">
      <c r="A12926" t="str">
        <f>"12922"</f>
        <v>12922</v>
      </c>
      <c r="B12926" t="str">
        <f t="shared" si="719"/>
        <v>1</v>
      </c>
      <c r="C12926" t="str">
        <f t="shared" si="718"/>
        <v>259</v>
      </c>
      <c r="D12926" t="str">
        <f>"4"</f>
        <v>4</v>
      </c>
      <c r="E12926" t="str">
        <f>"1-259-4"</f>
        <v>1-259-4</v>
      </c>
      <c r="F12926" t="s">
        <v>65</v>
      </c>
      <c r="G12926" t="s">
        <v>66</v>
      </c>
      <c r="H12926" t="s">
        <v>67</v>
      </c>
      <c r="S12926">
        <v>0</v>
      </c>
      <c r="T12926">
        <v>1</v>
      </c>
      <c r="U12926">
        <v>0</v>
      </c>
      <c r="V12926">
        <v>0</v>
      </c>
      <c r="W12926">
        <v>0</v>
      </c>
      <c r="X12926">
        <v>1</v>
      </c>
      <c r="Y12926">
        <v>0</v>
      </c>
      <c r="Z12926">
        <v>1</v>
      </c>
      <c r="AA12926">
        <v>0</v>
      </c>
      <c r="AB12926">
        <v>1</v>
      </c>
      <c r="AC12926">
        <v>0</v>
      </c>
      <c r="AD12926">
        <v>1</v>
      </c>
      <c r="AE12926">
        <v>1</v>
      </c>
      <c r="AF12926">
        <v>1</v>
      </c>
      <c r="AG12926">
        <v>1</v>
      </c>
      <c r="AH12926">
        <v>1</v>
      </c>
      <c r="AI12926">
        <v>1</v>
      </c>
      <c r="AJ12926">
        <v>1</v>
      </c>
      <c r="AK12926">
        <v>1</v>
      </c>
      <c r="AL12926">
        <v>1</v>
      </c>
      <c r="AM12926">
        <v>1</v>
      </c>
    </row>
    <row r="12927" spans="1:39" x14ac:dyDescent="0.2">
      <c r="A12927" t="str">
        <f>"12923"</f>
        <v>12923</v>
      </c>
      <c r="B12927" t="str">
        <f t="shared" si="719"/>
        <v>1</v>
      </c>
      <c r="C12927" t="str">
        <f t="shared" si="718"/>
        <v>259</v>
      </c>
      <c r="D12927" t="str">
        <f>"35"</f>
        <v>35</v>
      </c>
      <c r="E12927" t="str">
        <f>"1-259-35"</f>
        <v>1-259-35</v>
      </c>
      <c r="F12927" t="s">
        <v>65</v>
      </c>
      <c r="G12927" t="s">
        <v>66</v>
      </c>
      <c r="H12927" t="s">
        <v>67</v>
      </c>
      <c r="S12927">
        <v>1</v>
      </c>
      <c r="T12927">
        <v>0</v>
      </c>
      <c r="U12927">
        <v>0</v>
      </c>
      <c r="V12927">
        <v>0</v>
      </c>
      <c r="W12927">
        <v>1</v>
      </c>
      <c r="X12927">
        <v>0</v>
      </c>
      <c r="Y12927">
        <v>1</v>
      </c>
      <c r="Z12927">
        <v>0</v>
      </c>
      <c r="AA12927">
        <v>1</v>
      </c>
      <c r="AB12927">
        <v>0</v>
      </c>
      <c r="AC12927">
        <v>0</v>
      </c>
      <c r="AD12927">
        <v>1</v>
      </c>
      <c r="AE12927">
        <v>1</v>
      </c>
      <c r="AF12927">
        <v>1</v>
      </c>
      <c r="AG12927">
        <v>1</v>
      </c>
      <c r="AH12927">
        <v>1</v>
      </c>
      <c r="AI12927">
        <v>1</v>
      </c>
      <c r="AJ12927">
        <v>1</v>
      </c>
      <c r="AK12927">
        <v>1</v>
      </c>
      <c r="AL12927">
        <v>1</v>
      </c>
      <c r="AM12927">
        <v>1</v>
      </c>
    </row>
    <row r="12928" spans="1:39" x14ac:dyDescent="0.2">
      <c r="A12928" t="str">
        <f>"12924"</f>
        <v>12924</v>
      </c>
      <c r="B12928" t="str">
        <f t="shared" si="719"/>
        <v>1</v>
      </c>
      <c r="C12928" t="str">
        <f t="shared" si="718"/>
        <v>259</v>
      </c>
      <c r="D12928" t="str">
        <f>"20"</f>
        <v>20</v>
      </c>
      <c r="E12928" t="str">
        <f>"1-259-20"</f>
        <v>1-259-20</v>
      </c>
      <c r="F12928" t="s">
        <v>65</v>
      </c>
      <c r="G12928" t="s">
        <v>66</v>
      </c>
      <c r="H12928" t="s">
        <v>67</v>
      </c>
      <c r="S12928">
        <v>1</v>
      </c>
      <c r="T12928">
        <v>0</v>
      </c>
      <c r="U12928">
        <v>0</v>
      </c>
      <c r="V12928">
        <v>0</v>
      </c>
      <c r="W12928">
        <v>0</v>
      </c>
      <c r="X12928">
        <v>1</v>
      </c>
      <c r="Y12928">
        <v>0</v>
      </c>
      <c r="Z12928">
        <v>1</v>
      </c>
      <c r="AA12928">
        <v>0</v>
      </c>
      <c r="AB12928">
        <v>0</v>
      </c>
      <c r="AC12928">
        <v>1</v>
      </c>
      <c r="AD12928">
        <v>1</v>
      </c>
      <c r="AE12928">
        <v>1</v>
      </c>
      <c r="AF12928">
        <v>1</v>
      </c>
      <c r="AG12928">
        <v>1</v>
      </c>
      <c r="AH12928">
        <v>0</v>
      </c>
      <c r="AI12928">
        <v>1</v>
      </c>
      <c r="AJ12928">
        <v>1</v>
      </c>
      <c r="AK12928">
        <v>1</v>
      </c>
      <c r="AL12928">
        <v>1</v>
      </c>
      <c r="AM12928">
        <v>1</v>
      </c>
    </row>
    <row r="12929" spans="1:39" x14ac:dyDescent="0.2">
      <c r="A12929" t="str">
        <f>"12925"</f>
        <v>12925</v>
      </c>
      <c r="B12929" t="str">
        <f t="shared" si="719"/>
        <v>1</v>
      </c>
      <c r="C12929" t="str">
        <f t="shared" si="718"/>
        <v>259</v>
      </c>
      <c r="D12929" t="str">
        <f>"13"</f>
        <v>13</v>
      </c>
      <c r="E12929" t="str">
        <f>"1-259-13"</f>
        <v>1-259-13</v>
      </c>
      <c r="F12929" t="s">
        <v>65</v>
      </c>
      <c r="G12929" t="s">
        <v>66</v>
      </c>
      <c r="H12929" t="s">
        <v>67</v>
      </c>
      <c r="S12929">
        <v>0</v>
      </c>
      <c r="T12929">
        <v>1</v>
      </c>
      <c r="U12929">
        <v>0</v>
      </c>
      <c r="V12929">
        <v>0</v>
      </c>
      <c r="W12929">
        <v>1</v>
      </c>
      <c r="X12929">
        <v>0</v>
      </c>
      <c r="Y12929">
        <v>1</v>
      </c>
      <c r="Z12929">
        <v>0</v>
      </c>
      <c r="AA12929">
        <v>0</v>
      </c>
      <c r="AB12929">
        <v>0</v>
      </c>
      <c r="AC12929">
        <v>1</v>
      </c>
      <c r="AD12929">
        <v>1</v>
      </c>
      <c r="AE12929">
        <v>1</v>
      </c>
      <c r="AF12929">
        <v>1</v>
      </c>
      <c r="AG12929">
        <v>1</v>
      </c>
      <c r="AH12929">
        <v>1</v>
      </c>
      <c r="AI12929">
        <v>1</v>
      </c>
      <c r="AJ12929">
        <v>1</v>
      </c>
      <c r="AK12929">
        <v>1</v>
      </c>
      <c r="AL12929">
        <v>1</v>
      </c>
      <c r="AM12929">
        <v>1</v>
      </c>
    </row>
    <row r="12930" spans="1:39" x14ac:dyDescent="0.2">
      <c r="A12930" t="str">
        <f>"12926"</f>
        <v>12926</v>
      </c>
      <c r="B12930" t="str">
        <f t="shared" si="719"/>
        <v>1</v>
      </c>
      <c r="C12930" t="str">
        <f t="shared" si="718"/>
        <v>259</v>
      </c>
      <c r="D12930" t="str">
        <f>"43"</f>
        <v>43</v>
      </c>
      <c r="E12930" t="str">
        <f>"1-259-43"</f>
        <v>1-259-43</v>
      </c>
      <c r="F12930" t="s">
        <v>65</v>
      </c>
      <c r="G12930" t="s">
        <v>66</v>
      </c>
      <c r="H12930" t="s">
        <v>67</v>
      </c>
      <c r="S12930">
        <v>1</v>
      </c>
      <c r="T12930">
        <v>0</v>
      </c>
      <c r="U12930">
        <v>0</v>
      </c>
      <c r="V12930">
        <v>0</v>
      </c>
      <c r="W12930">
        <v>1</v>
      </c>
      <c r="X12930">
        <v>0</v>
      </c>
      <c r="Y12930">
        <v>1</v>
      </c>
      <c r="Z12930">
        <v>0</v>
      </c>
      <c r="AA12930">
        <v>0</v>
      </c>
      <c r="AB12930">
        <v>1</v>
      </c>
      <c r="AC12930">
        <v>0</v>
      </c>
      <c r="AD12930">
        <v>1</v>
      </c>
      <c r="AE12930">
        <v>1</v>
      </c>
      <c r="AF12930">
        <v>1</v>
      </c>
      <c r="AG12930">
        <v>1</v>
      </c>
      <c r="AH12930">
        <v>1</v>
      </c>
      <c r="AI12930">
        <v>1</v>
      </c>
      <c r="AJ12930">
        <v>1</v>
      </c>
      <c r="AK12930">
        <v>1</v>
      </c>
      <c r="AL12930">
        <v>1</v>
      </c>
      <c r="AM12930">
        <v>1</v>
      </c>
    </row>
    <row r="12931" spans="1:39" x14ac:dyDescent="0.2">
      <c r="A12931" t="str">
        <f>"12927"</f>
        <v>12927</v>
      </c>
      <c r="B12931" t="str">
        <f t="shared" si="719"/>
        <v>1</v>
      </c>
      <c r="C12931" t="str">
        <f t="shared" si="718"/>
        <v>259</v>
      </c>
      <c r="D12931" t="str">
        <f>"22"</f>
        <v>22</v>
      </c>
      <c r="E12931" t="str">
        <f>"1-259-22"</f>
        <v>1-259-22</v>
      </c>
      <c r="F12931" t="s">
        <v>65</v>
      </c>
      <c r="G12931" t="s">
        <v>66</v>
      </c>
      <c r="H12931" t="s">
        <v>67</v>
      </c>
      <c r="S12931">
        <v>1</v>
      </c>
      <c r="T12931">
        <v>0</v>
      </c>
      <c r="U12931">
        <v>0</v>
      </c>
      <c r="V12931">
        <v>0</v>
      </c>
      <c r="W12931">
        <v>1</v>
      </c>
      <c r="X12931">
        <v>0</v>
      </c>
      <c r="Y12931">
        <v>1</v>
      </c>
      <c r="Z12931">
        <v>0</v>
      </c>
      <c r="AA12931">
        <v>1</v>
      </c>
      <c r="AB12931">
        <v>0</v>
      </c>
      <c r="AC12931">
        <v>0</v>
      </c>
      <c r="AD12931">
        <v>1</v>
      </c>
      <c r="AE12931">
        <v>1</v>
      </c>
      <c r="AF12931">
        <v>1</v>
      </c>
      <c r="AG12931">
        <v>1</v>
      </c>
      <c r="AH12931">
        <v>1</v>
      </c>
      <c r="AI12931">
        <v>1</v>
      </c>
      <c r="AJ12931">
        <v>1</v>
      </c>
      <c r="AK12931">
        <v>1</v>
      </c>
      <c r="AL12931">
        <v>1</v>
      </c>
      <c r="AM12931">
        <v>1</v>
      </c>
    </row>
    <row r="12932" spans="1:39" x14ac:dyDescent="0.2">
      <c r="A12932" t="str">
        <f>"12928"</f>
        <v>12928</v>
      </c>
      <c r="B12932" t="str">
        <f t="shared" si="719"/>
        <v>1</v>
      </c>
      <c r="C12932" t="str">
        <f t="shared" si="718"/>
        <v>259</v>
      </c>
      <c r="D12932" t="str">
        <f>"3"</f>
        <v>3</v>
      </c>
      <c r="E12932" t="str">
        <f>"1-259-3"</f>
        <v>1-259-3</v>
      </c>
      <c r="F12932" t="s">
        <v>65</v>
      </c>
      <c r="G12932" t="s">
        <v>66</v>
      </c>
      <c r="H12932" t="s">
        <v>67</v>
      </c>
      <c r="S12932">
        <v>0</v>
      </c>
      <c r="T12932">
        <v>1</v>
      </c>
      <c r="U12932">
        <v>0</v>
      </c>
      <c r="V12932">
        <v>0</v>
      </c>
      <c r="W12932">
        <v>0</v>
      </c>
      <c r="X12932">
        <v>1</v>
      </c>
      <c r="Y12932">
        <v>0</v>
      </c>
      <c r="Z12932">
        <v>0</v>
      </c>
      <c r="AA12932">
        <v>0</v>
      </c>
      <c r="AB12932">
        <v>0</v>
      </c>
      <c r="AC12932">
        <v>0</v>
      </c>
      <c r="AD12932">
        <v>0</v>
      </c>
      <c r="AE12932">
        <v>0</v>
      </c>
      <c r="AF12932">
        <v>0</v>
      </c>
      <c r="AG12932">
        <v>0</v>
      </c>
      <c r="AH12932">
        <v>0</v>
      </c>
      <c r="AI12932">
        <v>0</v>
      </c>
      <c r="AJ12932">
        <v>0</v>
      </c>
      <c r="AK12932">
        <v>0</v>
      </c>
      <c r="AL12932">
        <v>0</v>
      </c>
      <c r="AM12932">
        <v>0</v>
      </c>
    </row>
    <row r="12933" spans="1:39" x14ac:dyDescent="0.2">
      <c r="A12933" t="str">
        <f>"12929"</f>
        <v>12929</v>
      </c>
      <c r="B12933" t="str">
        <f t="shared" si="719"/>
        <v>1</v>
      </c>
      <c r="C12933" t="str">
        <f t="shared" si="718"/>
        <v>259</v>
      </c>
      <c r="D12933" t="str">
        <f>"44"</f>
        <v>44</v>
      </c>
      <c r="E12933" t="str">
        <f>"1-259-44"</f>
        <v>1-259-44</v>
      </c>
      <c r="F12933" t="s">
        <v>65</v>
      </c>
      <c r="G12933" t="s">
        <v>66</v>
      </c>
      <c r="H12933" t="s">
        <v>67</v>
      </c>
      <c r="S12933">
        <v>1</v>
      </c>
      <c r="T12933">
        <v>0</v>
      </c>
      <c r="U12933">
        <v>0</v>
      </c>
      <c r="V12933">
        <v>0</v>
      </c>
      <c r="W12933">
        <v>1</v>
      </c>
      <c r="X12933">
        <v>0</v>
      </c>
      <c r="Y12933">
        <v>1</v>
      </c>
      <c r="Z12933">
        <v>0</v>
      </c>
      <c r="AA12933">
        <v>1</v>
      </c>
      <c r="AB12933">
        <v>0</v>
      </c>
      <c r="AC12933">
        <v>0</v>
      </c>
      <c r="AD12933">
        <v>1</v>
      </c>
      <c r="AE12933">
        <v>1</v>
      </c>
      <c r="AF12933">
        <v>1</v>
      </c>
      <c r="AG12933">
        <v>1</v>
      </c>
      <c r="AH12933">
        <v>1</v>
      </c>
      <c r="AI12933">
        <v>1</v>
      </c>
      <c r="AJ12933">
        <v>1</v>
      </c>
      <c r="AK12933">
        <v>1</v>
      </c>
      <c r="AL12933">
        <v>1</v>
      </c>
      <c r="AM12933">
        <v>1</v>
      </c>
    </row>
    <row r="12934" spans="1:39" x14ac:dyDescent="0.2">
      <c r="A12934" t="str">
        <f>"12930"</f>
        <v>12930</v>
      </c>
      <c r="B12934" t="str">
        <f t="shared" si="719"/>
        <v>1</v>
      </c>
      <c r="C12934" t="str">
        <f t="shared" si="718"/>
        <v>259</v>
      </c>
      <c r="D12934" t="str">
        <f>"23"</f>
        <v>23</v>
      </c>
      <c r="E12934" t="str">
        <f>"1-259-23"</f>
        <v>1-259-23</v>
      </c>
      <c r="F12934" t="s">
        <v>65</v>
      </c>
      <c r="G12934" t="s">
        <v>66</v>
      </c>
      <c r="H12934" t="s">
        <v>67</v>
      </c>
      <c r="S12934">
        <v>1</v>
      </c>
      <c r="T12934">
        <v>0</v>
      </c>
      <c r="U12934">
        <v>0</v>
      </c>
      <c r="V12934">
        <v>0</v>
      </c>
      <c r="W12934">
        <v>1</v>
      </c>
      <c r="X12934">
        <v>0</v>
      </c>
      <c r="Y12934">
        <v>0</v>
      </c>
      <c r="Z12934">
        <v>1</v>
      </c>
      <c r="AA12934">
        <v>0</v>
      </c>
      <c r="AB12934">
        <v>1</v>
      </c>
      <c r="AC12934">
        <v>0</v>
      </c>
      <c r="AD12934">
        <v>1</v>
      </c>
      <c r="AE12934">
        <v>1</v>
      </c>
      <c r="AF12934">
        <v>1</v>
      </c>
      <c r="AG12934">
        <v>1</v>
      </c>
      <c r="AH12934">
        <v>1</v>
      </c>
      <c r="AI12934">
        <v>1</v>
      </c>
      <c r="AJ12934">
        <v>1</v>
      </c>
      <c r="AK12934">
        <v>1</v>
      </c>
      <c r="AL12934">
        <v>1</v>
      </c>
      <c r="AM12934">
        <v>1</v>
      </c>
    </row>
    <row r="12935" spans="1:39" x14ac:dyDescent="0.2">
      <c r="A12935" t="str">
        <f>"12931"</f>
        <v>12931</v>
      </c>
      <c r="B12935" t="str">
        <f t="shared" si="719"/>
        <v>1</v>
      </c>
      <c r="C12935" t="str">
        <f t="shared" si="718"/>
        <v>259</v>
      </c>
      <c r="D12935" t="str">
        <f>"10"</f>
        <v>10</v>
      </c>
      <c r="E12935" t="str">
        <f>"1-259-10"</f>
        <v>1-259-10</v>
      </c>
      <c r="F12935" t="s">
        <v>65</v>
      </c>
      <c r="G12935" t="s">
        <v>66</v>
      </c>
      <c r="H12935" t="s">
        <v>67</v>
      </c>
      <c r="S12935">
        <v>1</v>
      </c>
      <c r="T12935">
        <v>0</v>
      </c>
      <c r="U12935">
        <v>0</v>
      </c>
      <c r="V12935">
        <v>0</v>
      </c>
      <c r="W12935">
        <v>1</v>
      </c>
      <c r="X12935">
        <v>0</v>
      </c>
      <c r="Y12935">
        <v>1</v>
      </c>
      <c r="Z12935">
        <v>0</v>
      </c>
      <c r="AA12935">
        <v>1</v>
      </c>
      <c r="AB12935">
        <v>0</v>
      </c>
      <c r="AC12935">
        <v>0</v>
      </c>
      <c r="AD12935">
        <v>0</v>
      </c>
      <c r="AE12935">
        <v>0</v>
      </c>
      <c r="AF12935">
        <v>0</v>
      </c>
      <c r="AG12935">
        <v>0</v>
      </c>
      <c r="AH12935">
        <v>0</v>
      </c>
      <c r="AI12935">
        <v>0</v>
      </c>
      <c r="AJ12935">
        <v>0</v>
      </c>
      <c r="AK12935">
        <v>0</v>
      </c>
      <c r="AL12935">
        <v>1</v>
      </c>
      <c r="AM12935">
        <v>0</v>
      </c>
    </row>
    <row r="12936" spans="1:39" x14ac:dyDescent="0.2">
      <c r="A12936" t="str">
        <f>"12932"</f>
        <v>12932</v>
      </c>
      <c r="B12936" t="str">
        <f t="shared" si="719"/>
        <v>1</v>
      </c>
      <c r="C12936" t="str">
        <f t="shared" si="718"/>
        <v>259</v>
      </c>
      <c r="D12936" t="str">
        <f>"47"</f>
        <v>47</v>
      </c>
      <c r="E12936" t="str">
        <f>"1-259-47"</f>
        <v>1-259-47</v>
      </c>
      <c r="F12936" t="s">
        <v>65</v>
      </c>
      <c r="G12936" t="s">
        <v>66</v>
      </c>
      <c r="H12936" t="s">
        <v>67</v>
      </c>
      <c r="S12936">
        <v>0</v>
      </c>
      <c r="T12936">
        <v>0</v>
      </c>
      <c r="U12936">
        <v>0</v>
      </c>
      <c r="V12936">
        <v>0</v>
      </c>
      <c r="W12936">
        <v>1</v>
      </c>
      <c r="X12936">
        <v>0</v>
      </c>
      <c r="Y12936">
        <v>0</v>
      </c>
      <c r="Z12936">
        <v>0</v>
      </c>
      <c r="AA12936">
        <v>0</v>
      </c>
      <c r="AB12936">
        <v>0</v>
      </c>
      <c r="AC12936">
        <v>0</v>
      </c>
      <c r="AD12936">
        <v>0</v>
      </c>
      <c r="AE12936">
        <v>0</v>
      </c>
      <c r="AF12936">
        <v>0</v>
      </c>
      <c r="AG12936">
        <v>0</v>
      </c>
      <c r="AH12936">
        <v>0</v>
      </c>
      <c r="AI12936">
        <v>0</v>
      </c>
      <c r="AJ12936">
        <v>0</v>
      </c>
      <c r="AK12936">
        <v>0</v>
      </c>
      <c r="AL12936">
        <v>0</v>
      </c>
      <c r="AM12936">
        <v>0</v>
      </c>
    </row>
    <row r="12937" spans="1:39" x14ac:dyDescent="0.2">
      <c r="A12937" t="str">
        <f>"12933"</f>
        <v>12933</v>
      </c>
      <c r="B12937" t="str">
        <f t="shared" si="719"/>
        <v>1</v>
      </c>
      <c r="C12937" t="str">
        <f t="shared" ref="C12937:C12954" si="720">"259"</f>
        <v>259</v>
      </c>
      <c r="D12937" t="str">
        <f>"24"</f>
        <v>24</v>
      </c>
      <c r="E12937" t="str">
        <f>"1-259-24"</f>
        <v>1-259-24</v>
      </c>
      <c r="F12937" t="s">
        <v>65</v>
      </c>
      <c r="G12937" t="s">
        <v>66</v>
      </c>
      <c r="H12937" t="s">
        <v>67</v>
      </c>
      <c r="S12937">
        <v>1</v>
      </c>
      <c r="T12937">
        <v>0</v>
      </c>
      <c r="U12937">
        <v>0</v>
      </c>
      <c r="V12937">
        <v>0</v>
      </c>
      <c r="W12937">
        <v>1</v>
      </c>
      <c r="X12937">
        <v>0</v>
      </c>
      <c r="Y12937">
        <v>1</v>
      </c>
      <c r="Z12937">
        <v>0</v>
      </c>
      <c r="AA12937">
        <v>1</v>
      </c>
      <c r="AB12937">
        <v>0</v>
      </c>
      <c r="AC12937">
        <v>0</v>
      </c>
      <c r="AD12937">
        <v>1</v>
      </c>
      <c r="AE12937">
        <v>1</v>
      </c>
      <c r="AF12937">
        <v>1</v>
      </c>
      <c r="AG12937">
        <v>1</v>
      </c>
      <c r="AH12937">
        <v>1</v>
      </c>
      <c r="AI12937">
        <v>1</v>
      </c>
      <c r="AJ12937">
        <v>1</v>
      </c>
      <c r="AK12937">
        <v>1</v>
      </c>
      <c r="AL12937">
        <v>1</v>
      </c>
      <c r="AM12937">
        <v>1</v>
      </c>
    </row>
    <row r="12938" spans="1:39" x14ac:dyDescent="0.2">
      <c r="A12938" t="str">
        <f>"12934"</f>
        <v>12934</v>
      </c>
      <c r="B12938" t="str">
        <f t="shared" si="719"/>
        <v>1</v>
      </c>
      <c r="C12938" t="str">
        <f t="shared" si="720"/>
        <v>259</v>
      </c>
      <c r="D12938" t="str">
        <f>"7"</f>
        <v>7</v>
      </c>
      <c r="E12938" t="str">
        <f>"1-259-7"</f>
        <v>1-259-7</v>
      </c>
      <c r="F12938" t="s">
        <v>65</v>
      </c>
      <c r="G12938" t="s">
        <v>66</v>
      </c>
      <c r="H12938" t="s">
        <v>67</v>
      </c>
      <c r="S12938">
        <v>1</v>
      </c>
      <c r="T12938">
        <v>0</v>
      </c>
      <c r="U12938">
        <v>0</v>
      </c>
      <c r="V12938">
        <v>0</v>
      </c>
      <c r="W12938">
        <v>1</v>
      </c>
      <c r="X12938">
        <v>0</v>
      </c>
      <c r="Y12938">
        <v>1</v>
      </c>
      <c r="Z12938">
        <v>0</v>
      </c>
      <c r="AA12938">
        <v>1</v>
      </c>
      <c r="AB12938">
        <v>0</v>
      </c>
      <c r="AC12938">
        <v>0</v>
      </c>
      <c r="AD12938">
        <v>1</v>
      </c>
      <c r="AE12938">
        <v>1</v>
      </c>
      <c r="AF12938">
        <v>0</v>
      </c>
      <c r="AG12938">
        <v>0</v>
      </c>
      <c r="AH12938">
        <v>0</v>
      </c>
      <c r="AI12938">
        <v>1</v>
      </c>
      <c r="AJ12938">
        <v>1</v>
      </c>
      <c r="AK12938">
        <v>1</v>
      </c>
      <c r="AL12938">
        <v>1</v>
      </c>
      <c r="AM12938">
        <v>1</v>
      </c>
    </row>
    <row r="12939" spans="1:39" x14ac:dyDescent="0.2">
      <c r="A12939" t="str">
        <f>"12935"</f>
        <v>12935</v>
      </c>
      <c r="B12939" t="str">
        <f t="shared" si="719"/>
        <v>1</v>
      </c>
      <c r="C12939" t="str">
        <f t="shared" si="720"/>
        <v>259</v>
      </c>
      <c r="D12939" t="str">
        <f>"45"</f>
        <v>45</v>
      </c>
      <c r="E12939" t="str">
        <f>"1-259-45"</f>
        <v>1-259-45</v>
      </c>
      <c r="F12939" t="s">
        <v>65</v>
      </c>
      <c r="G12939" t="s">
        <v>66</v>
      </c>
      <c r="H12939" t="s">
        <v>68</v>
      </c>
      <c r="I12939">
        <v>1</v>
      </c>
      <c r="J12939">
        <v>0</v>
      </c>
      <c r="K12939">
        <v>1</v>
      </c>
      <c r="L12939">
        <v>0</v>
      </c>
      <c r="M12939">
        <v>1</v>
      </c>
      <c r="N12939">
        <v>1</v>
      </c>
      <c r="O12939">
        <v>1</v>
      </c>
      <c r="P12939">
        <v>1</v>
      </c>
      <c r="Q12939">
        <v>1</v>
      </c>
      <c r="R12939">
        <v>1</v>
      </c>
    </row>
    <row r="12940" spans="1:39" x14ac:dyDescent="0.2">
      <c r="A12940" t="str">
        <f>"12936"</f>
        <v>12936</v>
      </c>
      <c r="B12940" t="str">
        <f t="shared" si="719"/>
        <v>1</v>
      </c>
      <c r="C12940" t="str">
        <f t="shared" si="720"/>
        <v>259</v>
      </c>
      <c r="D12940" t="str">
        <f>"25"</f>
        <v>25</v>
      </c>
      <c r="E12940" t="str">
        <f>"1-259-25"</f>
        <v>1-259-25</v>
      </c>
      <c r="F12940" t="s">
        <v>65</v>
      </c>
      <c r="G12940" t="s">
        <v>66</v>
      </c>
      <c r="H12940" t="s">
        <v>67</v>
      </c>
      <c r="S12940">
        <v>1</v>
      </c>
      <c r="T12940">
        <v>0</v>
      </c>
      <c r="U12940">
        <v>0</v>
      </c>
      <c r="V12940">
        <v>0</v>
      </c>
      <c r="W12940">
        <v>1</v>
      </c>
      <c r="X12940">
        <v>0</v>
      </c>
      <c r="Y12940">
        <v>0</v>
      </c>
      <c r="Z12940">
        <v>1</v>
      </c>
      <c r="AA12940">
        <v>0</v>
      </c>
      <c r="AB12940">
        <v>1</v>
      </c>
      <c r="AC12940">
        <v>0</v>
      </c>
      <c r="AD12940">
        <v>1</v>
      </c>
      <c r="AE12940">
        <v>1</v>
      </c>
      <c r="AF12940">
        <v>1</v>
      </c>
      <c r="AG12940">
        <v>1</v>
      </c>
      <c r="AH12940">
        <v>1</v>
      </c>
      <c r="AI12940">
        <v>1</v>
      </c>
      <c r="AJ12940">
        <v>1</v>
      </c>
      <c r="AK12940">
        <v>1</v>
      </c>
      <c r="AL12940">
        <v>1</v>
      </c>
      <c r="AM12940">
        <v>1</v>
      </c>
    </row>
    <row r="12941" spans="1:39" x14ac:dyDescent="0.2">
      <c r="A12941" t="str">
        <f>"12937"</f>
        <v>12937</v>
      </c>
      <c r="B12941" t="str">
        <f t="shared" si="719"/>
        <v>1</v>
      </c>
      <c r="C12941" t="str">
        <f t="shared" si="720"/>
        <v>259</v>
      </c>
      <c r="D12941" t="str">
        <f>"5"</f>
        <v>5</v>
      </c>
      <c r="E12941" t="str">
        <f>"1-259-5"</f>
        <v>1-259-5</v>
      </c>
      <c r="F12941" t="s">
        <v>65</v>
      </c>
      <c r="G12941" t="s">
        <v>66</v>
      </c>
      <c r="H12941" t="s">
        <v>67</v>
      </c>
      <c r="S12941">
        <v>1</v>
      </c>
      <c r="T12941">
        <v>0</v>
      </c>
      <c r="U12941">
        <v>0</v>
      </c>
      <c r="V12941">
        <v>0</v>
      </c>
      <c r="W12941">
        <v>1</v>
      </c>
      <c r="X12941">
        <v>0</v>
      </c>
      <c r="Y12941">
        <v>1</v>
      </c>
      <c r="Z12941">
        <v>0</v>
      </c>
      <c r="AA12941">
        <v>1</v>
      </c>
      <c r="AB12941">
        <v>0</v>
      </c>
      <c r="AC12941">
        <v>0</v>
      </c>
      <c r="AD12941">
        <v>1</v>
      </c>
      <c r="AE12941">
        <v>1</v>
      </c>
      <c r="AF12941">
        <v>1</v>
      </c>
      <c r="AG12941">
        <v>1</v>
      </c>
      <c r="AH12941">
        <v>1</v>
      </c>
      <c r="AI12941">
        <v>1</v>
      </c>
      <c r="AJ12941">
        <v>1</v>
      </c>
      <c r="AK12941">
        <v>1</v>
      </c>
      <c r="AL12941">
        <v>1</v>
      </c>
      <c r="AM12941">
        <v>1</v>
      </c>
    </row>
    <row r="12942" spans="1:39" x14ac:dyDescent="0.2">
      <c r="A12942" t="str">
        <f>"12938"</f>
        <v>12938</v>
      </c>
      <c r="B12942" t="str">
        <f t="shared" si="719"/>
        <v>1</v>
      </c>
      <c r="C12942" t="str">
        <f t="shared" si="720"/>
        <v>259</v>
      </c>
      <c r="D12942" t="str">
        <f>"48"</f>
        <v>48</v>
      </c>
      <c r="E12942" t="str">
        <f>"1-259-48"</f>
        <v>1-259-48</v>
      </c>
      <c r="F12942" t="s">
        <v>65</v>
      </c>
      <c r="G12942" t="s">
        <v>66</v>
      </c>
      <c r="H12942" t="s">
        <v>67</v>
      </c>
      <c r="S12942">
        <v>0</v>
      </c>
      <c r="T12942">
        <v>1</v>
      </c>
      <c r="U12942">
        <v>0</v>
      </c>
      <c r="V12942">
        <v>0</v>
      </c>
      <c r="W12942">
        <v>0</v>
      </c>
      <c r="X12942">
        <v>1</v>
      </c>
      <c r="Y12942">
        <v>0</v>
      </c>
      <c r="Z12942">
        <v>1</v>
      </c>
      <c r="AA12942">
        <v>0</v>
      </c>
      <c r="AB12942">
        <v>0</v>
      </c>
      <c r="AC12942">
        <v>1</v>
      </c>
      <c r="AD12942">
        <v>0</v>
      </c>
      <c r="AE12942">
        <v>0</v>
      </c>
      <c r="AF12942">
        <v>0</v>
      </c>
      <c r="AG12942">
        <v>0</v>
      </c>
      <c r="AH12942">
        <v>0</v>
      </c>
      <c r="AI12942">
        <v>1</v>
      </c>
      <c r="AJ12942">
        <v>0</v>
      </c>
      <c r="AK12942">
        <v>0</v>
      </c>
      <c r="AL12942">
        <v>1</v>
      </c>
      <c r="AM12942">
        <v>0</v>
      </c>
    </row>
    <row r="12943" spans="1:39" x14ac:dyDescent="0.2">
      <c r="A12943" t="str">
        <f>"12939"</f>
        <v>12939</v>
      </c>
      <c r="B12943" t="str">
        <f t="shared" si="719"/>
        <v>1</v>
      </c>
      <c r="C12943" t="str">
        <f t="shared" si="720"/>
        <v>259</v>
      </c>
      <c r="D12943" t="str">
        <f>"26"</f>
        <v>26</v>
      </c>
      <c r="E12943" t="str">
        <f>"1-259-26"</f>
        <v>1-259-26</v>
      </c>
      <c r="F12943" t="s">
        <v>65</v>
      </c>
      <c r="G12943" t="s">
        <v>66</v>
      </c>
      <c r="H12943" t="s">
        <v>67</v>
      </c>
      <c r="S12943">
        <v>1</v>
      </c>
      <c r="T12943">
        <v>0</v>
      </c>
      <c r="U12943">
        <v>0</v>
      </c>
      <c r="V12943">
        <v>0</v>
      </c>
      <c r="W12943">
        <v>1</v>
      </c>
      <c r="X12943">
        <v>0</v>
      </c>
      <c r="Y12943">
        <v>1</v>
      </c>
      <c r="Z12943">
        <v>0</v>
      </c>
      <c r="AA12943">
        <v>1</v>
      </c>
      <c r="AB12943">
        <v>0</v>
      </c>
      <c r="AC12943">
        <v>0</v>
      </c>
      <c r="AD12943">
        <v>1</v>
      </c>
      <c r="AE12943">
        <v>1</v>
      </c>
      <c r="AF12943">
        <v>1</v>
      </c>
      <c r="AG12943">
        <v>1</v>
      </c>
      <c r="AH12943">
        <v>1</v>
      </c>
      <c r="AI12943">
        <v>1</v>
      </c>
      <c r="AJ12943">
        <v>1</v>
      </c>
      <c r="AK12943">
        <v>1</v>
      </c>
      <c r="AL12943">
        <v>1</v>
      </c>
      <c r="AM12943">
        <v>1</v>
      </c>
    </row>
    <row r="12944" spans="1:39" x14ac:dyDescent="0.2">
      <c r="A12944" t="str">
        <f>"12940"</f>
        <v>12940</v>
      </c>
      <c r="B12944" t="str">
        <f t="shared" si="719"/>
        <v>1</v>
      </c>
      <c r="C12944" t="str">
        <f t="shared" si="720"/>
        <v>259</v>
      </c>
      <c r="D12944" t="str">
        <f>"9"</f>
        <v>9</v>
      </c>
      <c r="E12944" t="str">
        <f>"1-259-9"</f>
        <v>1-259-9</v>
      </c>
      <c r="F12944" t="s">
        <v>65</v>
      </c>
      <c r="G12944" t="s">
        <v>66</v>
      </c>
      <c r="H12944" t="s">
        <v>67</v>
      </c>
      <c r="S12944">
        <v>1</v>
      </c>
      <c r="T12944">
        <v>0</v>
      </c>
      <c r="U12944">
        <v>0</v>
      </c>
      <c r="V12944">
        <v>0</v>
      </c>
      <c r="W12944">
        <v>1</v>
      </c>
      <c r="X12944">
        <v>0</v>
      </c>
      <c r="Y12944">
        <v>1</v>
      </c>
      <c r="Z12944">
        <v>0</v>
      </c>
      <c r="AA12944">
        <v>0</v>
      </c>
      <c r="AB12944">
        <v>0</v>
      </c>
      <c r="AC12944">
        <v>1</v>
      </c>
      <c r="AD12944">
        <v>1</v>
      </c>
      <c r="AE12944">
        <v>1</v>
      </c>
      <c r="AF12944">
        <v>1</v>
      </c>
      <c r="AG12944">
        <v>1</v>
      </c>
      <c r="AH12944">
        <v>1</v>
      </c>
      <c r="AI12944">
        <v>1</v>
      </c>
      <c r="AJ12944">
        <v>1</v>
      </c>
      <c r="AK12944">
        <v>1</v>
      </c>
      <c r="AL12944">
        <v>1</v>
      </c>
      <c r="AM12944">
        <v>1</v>
      </c>
    </row>
    <row r="12945" spans="1:39" x14ac:dyDescent="0.2">
      <c r="A12945" t="str">
        <f>"12941"</f>
        <v>12941</v>
      </c>
      <c r="B12945" t="str">
        <f t="shared" si="719"/>
        <v>1</v>
      </c>
      <c r="C12945" t="str">
        <f t="shared" si="720"/>
        <v>259</v>
      </c>
      <c r="D12945" t="str">
        <f>"46"</f>
        <v>46</v>
      </c>
      <c r="E12945" t="str">
        <f>"1-259-46"</f>
        <v>1-259-46</v>
      </c>
      <c r="F12945" t="s">
        <v>65</v>
      </c>
      <c r="G12945" t="s">
        <v>66</v>
      </c>
      <c r="H12945" t="s">
        <v>67</v>
      </c>
      <c r="S12945">
        <v>0</v>
      </c>
      <c r="T12945">
        <v>1</v>
      </c>
      <c r="U12945">
        <v>0</v>
      </c>
      <c r="V12945">
        <v>0</v>
      </c>
      <c r="W12945">
        <v>0</v>
      </c>
      <c r="X12945">
        <v>1</v>
      </c>
      <c r="Y12945">
        <v>0</v>
      </c>
      <c r="Z12945">
        <v>1</v>
      </c>
      <c r="AA12945">
        <v>0</v>
      </c>
      <c r="AB12945">
        <v>0</v>
      </c>
      <c r="AC12945">
        <v>1</v>
      </c>
      <c r="AD12945">
        <v>1</v>
      </c>
      <c r="AE12945">
        <v>1</v>
      </c>
      <c r="AF12945">
        <v>1</v>
      </c>
      <c r="AG12945">
        <v>1</v>
      </c>
      <c r="AH12945">
        <v>1</v>
      </c>
      <c r="AI12945">
        <v>1</v>
      </c>
      <c r="AJ12945">
        <v>1</v>
      </c>
      <c r="AK12945">
        <v>1</v>
      </c>
      <c r="AL12945">
        <v>1</v>
      </c>
      <c r="AM12945">
        <v>1</v>
      </c>
    </row>
    <row r="12946" spans="1:39" x14ac:dyDescent="0.2">
      <c r="A12946" t="str">
        <f>"12942"</f>
        <v>12942</v>
      </c>
      <c r="B12946" t="str">
        <f t="shared" si="719"/>
        <v>1</v>
      </c>
      <c r="C12946" t="str">
        <f t="shared" si="720"/>
        <v>259</v>
      </c>
      <c r="D12946" t="str">
        <f>"28"</f>
        <v>28</v>
      </c>
      <c r="E12946" t="str">
        <f>"1-259-28"</f>
        <v>1-259-28</v>
      </c>
      <c r="F12946" t="s">
        <v>65</v>
      </c>
      <c r="G12946" t="s">
        <v>66</v>
      </c>
      <c r="H12946" t="s">
        <v>67</v>
      </c>
      <c r="S12946">
        <v>0</v>
      </c>
      <c r="T12946">
        <v>1</v>
      </c>
      <c r="U12946">
        <v>0</v>
      </c>
      <c r="V12946">
        <v>0</v>
      </c>
      <c r="W12946">
        <v>1</v>
      </c>
      <c r="X12946">
        <v>0</v>
      </c>
      <c r="Y12946">
        <v>1</v>
      </c>
      <c r="Z12946">
        <v>0</v>
      </c>
      <c r="AA12946">
        <v>0</v>
      </c>
      <c r="AB12946">
        <v>0</v>
      </c>
      <c r="AC12946">
        <v>1</v>
      </c>
      <c r="AD12946">
        <v>1</v>
      </c>
      <c r="AE12946">
        <v>1</v>
      </c>
      <c r="AF12946">
        <v>1</v>
      </c>
      <c r="AG12946">
        <v>1</v>
      </c>
      <c r="AH12946">
        <v>1</v>
      </c>
      <c r="AI12946">
        <v>1</v>
      </c>
      <c r="AJ12946">
        <v>1</v>
      </c>
      <c r="AK12946">
        <v>1</v>
      </c>
      <c r="AL12946">
        <v>1</v>
      </c>
      <c r="AM12946">
        <v>1</v>
      </c>
    </row>
    <row r="12947" spans="1:39" x14ac:dyDescent="0.2">
      <c r="A12947" t="str">
        <f>"12943"</f>
        <v>12943</v>
      </c>
      <c r="B12947" t="str">
        <f t="shared" si="719"/>
        <v>1</v>
      </c>
      <c r="C12947" t="str">
        <f t="shared" si="720"/>
        <v>259</v>
      </c>
      <c r="D12947" t="str">
        <f>"14"</f>
        <v>14</v>
      </c>
      <c r="E12947" t="str">
        <f>"1-259-14"</f>
        <v>1-259-14</v>
      </c>
      <c r="F12947" t="s">
        <v>65</v>
      </c>
      <c r="G12947" t="s">
        <v>66</v>
      </c>
      <c r="H12947" t="s">
        <v>67</v>
      </c>
      <c r="S12947">
        <v>1</v>
      </c>
      <c r="T12947">
        <v>0</v>
      </c>
      <c r="U12947">
        <v>0</v>
      </c>
      <c r="V12947">
        <v>0</v>
      </c>
      <c r="W12947">
        <v>0</v>
      </c>
      <c r="X12947">
        <v>1</v>
      </c>
      <c r="Y12947">
        <v>0</v>
      </c>
      <c r="Z12947">
        <v>1</v>
      </c>
      <c r="AA12947">
        <v>0</v>
      </c>
      <c r="AB12947">
        <v>0</v>
      </c>
      <c r="AC12947">
        <v>1</v>
      </c>
      <c r="AD12947">
        <v>0</v>
      </c>
      <c r="AE12947">
        <v>0</v>
      </c>
      <c r="AF12947">
        <v>0</v>
      </c>
      <c r="AG12947">
        <v>0</v>
      </c>
      <c r="AH12947">
        <v>0</v>
      </c>
      <c r="AI12947">
        <v>0</v>
      </c>
      <c r="AJ12947">
        <v>0</v>
      </c>
      <c r="AK12947">
        <v>0</v>
      </c>
      <c r="AL12947">
        <v>0</v>
      </c>
      <c r="AM12947">
        <v>0</v>
      </c>
    </row>
    <row r="12948" spans="1:39" x14ac:dyDescent="0.2">
      <c r="A12948" t="str">
        <f>"12944"</f>
        <v>12944</v>
      </c>
      <c r="B12948" t="str">
        <f t="shared" si="719"/>
        <v>1</v>
      </c>
      <c r="C12948" t="str">
        <f t="shared" si="720"/>
        <v>259</v>
      </c>
      <c r="D12948" t="str">
        <f>"50"</f>
        <v>50</v>
      </c>
      <c r="E12948" t="str">
        <f>"1-259-50"</f>
        <v>1-259-50</v>
      </c>
      <c r="F12948" t="s">
        <v>65</v>
      </c>
      <c r="G12948" t="s">
        <v>66</v>
      </c>
      <c r="H12948" t="s">
        <v>67</v>
      </c>
      <c r="S12948">
        <v>1</v>
      </c>
      <c r="T12948">
        <v>0</v>
      </c>
      <c r="U12948">
        <v>0</v>
      </c>
      <c r="V12948">
        <v>0</v>
      </c>
      <c r="W12948">
        <v>1</v>
      </c>
      <c r="X12948">
        <v>0</v>
      </c>
      <c r="Y12948">
        <v>0</v>
      </c>
      <c r="Z12948">
        <v>1</v>
      </c>
      <c r="AA12948">
        <v>1</v>
      </c>
      <c r="AB12948">
        <v>0</v>
      </c>
      <c r="AC12948">
        <v>0</v>
      </c>
      <c r="AD12948">
        <v>1</v>
      </c>
      <c r="AE12948">
        <v>1</v>
      </c>
      <c r="AF12948">
        <v>1</v>
      </c>
      <c r="AG12948">
        <v>1</v>
      </c>
      <c r="AH12948">
        <v>1</v>
      </c>
      <c r="AI12948">
        <v>1</v>
      </c>
      <c r="AJ12948">
        <v>1</v>
      </c>
      <c r="AK12948">
        <v>1</v>
      </c>
      <c r="AL12948">
        <v>1</v>
      </c>
      <c r="AM12948">
        <v>1</v>
      </c>
    </row>
    <row r="12949" spans="1:39" x14ac:dyDescent="0.2">
      <c r="A12949" t="str">
        <f>"12945"</f>
        <v>12945</v>
      </c>
      <c r="B12949" t="str">
        <f t="shared" si="719"/>
        <v>1</v>
      </c>
      <c r="C12949" t="str">
        <f t="shared" si="720"/>
        <v>259</v>
      </c>
      <c r="D12949" t="str">
        <f>"29"</f>
        <v>29</v>
      </c>
      <c r="E12949" t="str">
        <f>"1-259-29"</f>
        <v>1-259-29</v>
      </c>
      <c r="F12949" t="s">
        <v>65</v>
      </c>
      <c r="G12949" t="s">
        <v>66</v>
      </c>
      <c r="H12949" t="s">
        <v>67</v>
      </c>
      <c r="S12949">
        <v>0</v>
      </c>
      <c r="T12949">
        <v>0</v>
      </c>
      <c r="U12949">
        <v>0</v>
      </c>
      <c r="V12949">
        <v>0</v>
      </c>
      <c r="W12949">
        <v>1</v>
      </c>
      <c r="X12949">
        <v>0</v>
      </c>
      <c r="Y12949">
        <v>0</v>
      </c>
      <c r="Z12949">
        <v>0</v>
      </c>
      <c r="AA12949">
        <v>0</v>
      </c>
      <c r="AB12949">
        <v>0</v>
      </c>
      <c r="AC12949">
        <v>0</v>
      </c>
      <c r="AD12949">
        <v>0</v>
      </c>
      <c r="AE12949">
        <v>1</v>
      </c>
      <c r="AF12949">
        <v>1</v>
      </c>
      <c r="AG12949">
        <v>1</v>
      </c>
      <c r="AH12949">
        <v>1</v>
      </c>
      <c r="AI12949">
        <v>1</v>
      </c>
      <c r="AJ12949">
        <v>1</v>
      </c>
      <c r="AK12949">
        <v>1</v>
      </c>
      <c r="AL12949">
        <v>1</v>
      </c>
      <c r="AM12949">
        <v>1</v>
      </c>
    </row>
    <row r="12950" spans="1:39" x14ac:dyDescent="0.2">
      <c r="A12950" t="str">
        <f>"12946"</f>
        <v>12946</v>
      </c>
      <c r="B12950" t="str">
        <f t="shared" si="719"/>
        <v>1</v>
      </c>
      <c r="C12950" t="str">
        <f t="shared" si="720"/>
        <v>259</v>
      </c>
      <c r="D12950" t="str">
        <f>"11"</f>
        <v>11</v>
      </c>
      <c r="E12950" t="str">
        <f>"1-259-11"</f>
        <v>1-259-11</v>
      </c>
      <c r="F12950" t="s">
        <v>65</v>
      </c>
      <c r="G12950" t="s">
        <v>66</v>
      </c>
      <c r="H12950" t="s">
        <v>67</v>
      </c>
      <c r="S12950">
        <v>0</v>
      </c>
      <c r="T12950">
        <v>1</v>
      </c>
      <c r="U12950">
        <v>0</v>
      </c>
      <c r="V12950">
        <v>0</v>
      </c>
      <c r="W12950">
        <v>1</v>
      </c>
      <c r="X12950">
        <v>0</v>
      </c>
      <c r="Y12950">
        <v>1</v>
      </c>
      <c r="Z12950">
        <v>0</v>
      </c>
      <c r="AA12950">
        <v>0</v>
      </c>
      <c r="AB12950">
        <v>1</v>
      </c>
      <c r="AC12950">
        <v>0</v>
      </c>
      <c r="AD12950">
        <v>1</v>
      </c>
      <c r="AE12950">
        <v>1</v>
      </c>
      <c r="AF12950">
        <v>1</v>
      </c>
      <c r="AG12950">
        <v>1</v>
      </c>
      <c r="AH12950">
        <v>1</v>
      </c>
      <c r="AI12950">
        <v>1</v>
      </c>
      <c r="AJ12950">
        <v>1</v>
      </c>
      <c r="AK12950">
        <v>1</v>
      </c>
      <c r="AL12950">
        <v>1</v>
      </c>
      <c r="AM12950">
        <v>1</v>
      </c>
    </row>
    <row r="12951" spans="1:39" x14ac:dyDescent="0.2">
      <c r="A12951" t="str">
        <f>"12947"</f>
        <v>12947</v>
      </c>
      <c r="B12951" t="str">
        <f t="shared" si="719"/>
        <v>1</v>
      </c>
      <c r="C12951" t="str">
        <f t="shared" si="720"/>
        <v>259</v>
      </c>
      <c r="D12951" t="str">
        <f>"49"</f>
        <v>49</v>
      </c>
      <c r="E12951" t="str">
        <f>"1-259-49"</f>
        <v>1-259-49</v>
      </c>
      <c r="F12951" t="s">
        <v>65</v>
      </c>
      <c r="G12951" t="s">
        <v>66</v>
      </c>
      <c r="H12951" t="s">
        <v>67</v>
      </c>
      <c r="S12951">
        <v>0</v>
      </c>
      <c r="T12951">
        <v>0</v>
      </c>
      <c r="U12951">
        <v>0</v>
      </c>
      <c r="V12951">
        <v>0</v>
      </c>
      <c r="W12951">
        <v>0</v>
      </c>
      <c r="X12951">
        <v>1</v>
      </c>
      <c r="Y12951">
        <v>0</v>
      </c>
      <c r="Z12951">
        <v>0</v>
      </c>
      <c r="AA12951">
        <v>0</v>
      </c>
      <c r="AB12951">
        <v>0</v>
      </c>
      <c r="AC12951">
        <v>0</v>
      </c>
      <c r="AD12951">
        <v>0</v>
      </c>
      <c r="AE12951">
        <v>0</v>
      </c>
      <c r="AF12951">
        <v>0</v>
      </c>
      <c r="AG12951">
        <v>0</v>
      </c>
      <c r="AH12951">
        <v>0</v>
      </c>
      <c r="AI12951">
        <v>0</v>
      </c>
      <c r="AJ12951">
        <v>0</v>
      </c>
      <c r="AK12951">
        <v>0</v>
      </c>
      <c r="AL12951">
        <v>0</v>
      </c>
      <c r="AM12951">
        <v>0</v>
      </c>
    </row>
    <row r="12952" spans="1:39" x14ac:dyDescent="0.2">
      <c r="A12952" t="str">
        <f>"12948"</f>
        <v>12948</v>
      </c>
      <c r="B12952" t="str">
        <f t="shared" si="719"/>
        <v>1</v>
      </c>
      <c r="C12952" t="str">
        <f t="shared" si="720"/>
        <v>259</v>
      </c>
      <c r="D12952" t="str">
        <f>"30"</f>
        <v>30</v>
      </c>
      <c r="E12952" t="str">
        <f>"1-259-30"</f>
        <v>1-259-30</v>
      </c>
      <c r="F12952" t="s">
        <v>65</v>
      </c>
      <c r="G12952" t="s">
        <v>66</v>
      </c>
      <c r="H12952" t="s">
        <v>67</v>
      </c>
      <c r="S12952">
        <v>0</v>
      </c>
      <c r="T12952">
        <v>1</v>
      </c>
      <c r="U12952">
        <v>0</v>
      </c>
      <c r="V12952">
        <v>0</v>
      </c>
      <c r="W12952">
        <v>1</v>
      </c>
      <c r="X12952">
        <v>0</v>
      </c>
      <c r="Y12952">
        <v>1</v>
      </c>
      <c r="Z12952">
        <v>0</v>
      </c>
      <c r="AA12952">
        <v>0</v>
      </c>
      <c r="AB12952">
        <v>1</v>
      </c>
      <c r="AC12952">
        <v>0</v>
      </c>
      <c r="AD12952">
        <v>1</v>
      </c>
      <c r="AE12952">
        <v>1</v>
      </c>
      <c r="AF12952">
        <v>1</v>
      </c>
      <c r="AG12952">
        <v>1</v>
      </c>
      <c r="AH12952">
        <v>1</v>
      </c>
      <c r="AI12952">
        <v>1</v>
      </c>
      <c r="AJ12952">
        <v>1</v>
      </c>
      <c r="AK12952">
        <v>1</v>
      </c>
      <c r="AL12952">
        <v>1</v>
      </c>
      <c r="AM12952">
        <v>1</v>
      </c>
    </row>
    <row r="12953" spans="1:39" x14ac:dyDescent="0.2">
      <c r="A12953" t="str">
        <f>"12949"</f>
        <v>12949</v>
      </c>
      <c r="B12953" t="str">
        <f t="shared" si="719"/>
        <v>1</v>
      </c>
      <c r="C12953" t="str">
        <f t="shared" si="720"/>
        <v>259</v>
      </c>
      <c r="D12953" t="str">
        <f>"6"</f>
        <v>6</v>
      </c>
      <c r="E12953" t="str">
        <f>"1-259-6"</f>
        <v>1-259-6</v>
      </c>
      <c r="F12953" t="s">
        <v>65</v>
      </c>
      <c r="G12953" t="s">
        <v>66</v>
      </c>
      <c r="H12953" t="s">
        <v>67</v>
      </c>
      <c r="S12953">
        <v>1</v>
      </c>
      <c r="T12953">
        <v>0</v>
      </c>
      <c r="U12953">
        <v>0</v>
      </c>
      <c r="V12953">
        <v>0</v>
      </c>
      <c r="W12953">
        <v>1</v>
      </c>
      <c r="X12953">
        <v>0</v>
      </c>
      <c r="Y12953">
        <v>1</v>
      </c>
      <c r="Z12953">
        <v>0</v>
      </c>
      <c r="AA12953">
        <v>0</v>
      </c>
      <c r="AB12953">
        <v>1</v>
      </c>
      <c r="AC12953">
        <v>0</v>
      </c>
      <c r="AD12953">
        <v>1</v>
      </c>
      <c r="AE12953">
        <v>1</v>
      </c>
      <c r="AF12953">
        <v>1</v>
      </c>
      <c r="AG12953">
        <v>1</v>
      </c>
      <c r="AH12953">
        <v>1</v>
      </c>
      <c r="AI12953">
        <v>1</v>
      </c>
      <c r="AJ12953">
        <v>1</v>
      </c>
      <c r="AK12953">
        <v>1</v>
      </c>
      <c r="AL12953">
        <v>1</v>
      </c>
      <c r="AM12953">
        <v>1</v>
      </c>
    </row>
    <row r="12954" spans="1:39" x14ac:dyDescent="0.2">
      <c r="A12954" t="str">
        <f>"12950"</f>
        <v>12950</v>
      </c>
      <c r="B12954" t="str">
        <f t="shared" si="719"/>
        <v>1</v>
      </c>
      <c r="C12954" t="str">
        <f t="shared" si="720"/>
        <v>259</v>
      </c>
      <c r="D12954" t="str">
        <f>"21"</f>
        <v>21</v>
      </c>
      <c r="E12954" t="str">
        <f>"1-259-21"</f>
        <v>1-259-21</v>
      </c>
      <c r="F12954" t="s">
        <v>65</v>
      </c>
      <c r="G12954" t="s">
        <v>66</v>
      </c>
      <c r="H12954" t="s">
        <v>67</v>
      </c>
      <c r="S12954">
        <v>0</v>
      </c>
      <c r="T12954">
        <v>0</v>
      </c>
      <c r="U12954">
        <v>0</v>
      </c>
      <c r="V12954">
        <v>0</v>
      </c>
      <c r="W12954">
        <v>0</v>
      </c>
      <c r="X12954">
        <v>1</v>
      </c>
      <c r="Y12954">
        <v>0</v>
      </c>
      <c r="Z12954">
        <v>0</v>
      </c>
      <c r="AA12954">
        <v>0</v>
      </c>
      <c r="AB12954">
        <v>0</v>
      </c>
      <c r="AC12954">
        <v>1</v>
      </c>
      <c r="AD12954">
        <v>0</v>
      </c>
      <c r="AE12954">
        <v>0</v>
      </c>
      <c r="AF12954">
        <v>0</v>
      </c>
      <c r="AG12954">
        <v>0</v>
      </c>
      <c r="AH12954">
        <v>0</v>
      </c>
      <c r="AI12954">
        <v>0</v>
      </c>
      <c r="AJ12954">
        <v>0</v>
      </c>
      <c r="AK12954">
        <v>1</v>
      </c>
      <c r="AL12954">
        <v>0</v>
      </c>
      <c r="AM12954">
        <v>1</v>
      </c>
    </row>
    <row r="12955" spans="1:39" x14ac:dyDescent="0.2">
      <c r="A12955" t="str">
        <f>"12951"</f>
        <v>12951</v>
      </c>
      <c r="B12955" t="str">
        <f t="shared" si="719"/>
        <v>1</v>
      </c>
      <c r="C12955" t="str">
        <f t="shared" ref="C12955:C12986" si="721">"260"</f>
        <v>260</v>
      </c>
      <c r="D12955" t="str">
        <f>"50"</f>
        <v>50</v>
      </c>
      <c r="E12955" t="str">
        <f>"1-260-50"</f>
        <v>1-260-50</v>
      </c>
      <c r="F12955" t="s">
        <v>65</v>
      </c>
      <c r="G12955" t="s">
        <v>66</v>
      </c>
      <c r="H12955" t="s">
        <v>67</v>
      </c>
      <c r="S12955">
        <v>1</v>
      </c>
      <c r="T12955">
        <v>0</v>
      </c>
      <c r="U12955">
        <v>0</v>
      </c>
      <c r="V12955">
        <v>0</v>
      </c>
      <c r="W12955">
        <v>1</v>
      </c>
      <c r="X12955">
        <v>0</v>
      </c>
      <c r="Y12955">
        <v>0</v>
      </c>
      <c r="Z12955">
        <v>0</v>
      </c>
      <c r="AA12955">
        <v>1</v>
      </c>
      <c r="AB12955">
        <v>0</v>
      </c>
      <c r="AC12955">
        <v>0</v>
      </c>
      <c r="AD12955">
        <v>0</v>
      </c>
      <c r="AE12955">
        <v>0</v>
      </c>
      <c r="AF12955">
        <v>0</v>
      </c>
      <c r="AG12955">
        <v>0</v>
      </c>
      <c r="AH12955">
        <v>0</v>
      </c>
      <c r="AI12955">
        <v>0</v>
      </c>
      <c r="AJ12955">
        <v>0</v>
      </c>
      <c r="AK12955">
        <v>0</v>
      </c>
      <c r="AL12955">
        <v>1</v>
      </c>
      <c r="AM12955">
        <v>1</v>
      </c>
    </row>
    <row r="12956" spans="1:39" x14ac:dyDescent="0.2">
      <c r="A12956" t="str">
        <f>"12952"</f>
        <v>12952</v>
      </c>
      <c r="B12956" t="str">
        <f t="shared" si="719"/>
        <v>1</v>
      </c>
      <c r="C12956" t="str">
        <f t="shared" si="721"/>
        <v>260</v>
      </c>
      <c r="D12956" t="str">
        <f>"49"</f>
        <v>49</v>
      </c>
      <c r="E12956" t="str">
        <f>"1-260-49"</f>
        <v>1-260-49</v>
      </c>
      <c r="F12956" t="s">
        <v>65</v>
      </c>
      <c r="G12956" t="s">
        <v>66</v>
      </c>
      <c r="H12956" t="s">
        <v>67</v>
      </c>
      <c r="S12956">
        <v>1</v>
      </c>
      <c r="T12956">
        <v>0</v>
      </c>
      <c r="U12956">
        <v>0</v>
      </c>
      <c r="V12956">
        <v>0</v>
      </c>
      <c r="W12956">
        <v>1</v>
      </c>
      <c r="X12956">
        <v>0</v>
      </c>
      <c r="Y12956">
        <v>1</v>
      </c>
      <c r="Z12956">
        <v>0</v>
      </c>
      <c r="AA12956">
        <v>0</v>
      </c>
      <c r="AB12956">
        <v>1</v>
      </c>
      <c r="AC12956">
        <v>0</v>
      </c>
      <c r="AD12956">
        <v>1</v>
      </c>
      <c r="AE12956">
        <v>1</v>
      </c>
      <c r="AF12956">
        <v>0</v>
      </c>
      <c r="AG12956">
        <v>1</v>
      </c>
      <c r="AH12956">
        <v>1</v>
      </c>
      <c r="AI12956">
        <v>1</v>
      </c>
      <c r="AJ12956">
        <v>1</v>
      </c>
      <c r="AK12956">
        <v>1</v>
      </c>
      <c r="AL12956">
        <v>1</v>
      </c>
      <c r="AM12956">
        <v>1</v>
      </c>
    </row>
    <row r="12957" spans="1:39" x14ac:dyDescent="0.2">
      <c r="A12957" t="str">
        <f>"12953"</f>
        <v>12953</v>
      </c>
      <c r="B12957" t="str">
        <f t="shared" si="719"/>
        <v>1</v>
      </c>
      <c r="C12957" t="str">
        <f t="shared" si="721"/>
        <v>260</v>
      </c>
      <c r="D12957" t="str">
        <f>"31"</f>
        <v>31</v>
      </c>
      <c r="E12957" t="str">
        <f>"1-260-31"</f>
        <v>1-260-31</v>
      </c>
      <c r="F12957" t="s">
        <v>65</v>
      </c>
      <c r="G12957" t="s">
        <v>66</v>
      </c>
      <c r="H12957" t="s">
        <v>67</v>
      </c>
      <c r="S12957">
        <v>1</v>
      </c>
      <c r="T12957">
        <v>0</v>
      </c>
      <c r="U12957">
        <v>0</v>
      </c>
      <c r="V12957">
        <v>0</v>
      </c>
      <c r="W12957">
        <v>1</v>
      </c>
      <c r="X12957">
        <v>0</v>
      </c>
      <c r="Y12957">
        <v>1</v>
      </c>
      <c r="Z12957">
        <v>0</v>
      </c>
      <c r="AA12957">
        <v>0</v>
      </c>
      <c r="AB12957">
        <v>1</v>
      </c>
      <c r="AC12957">
        <v>0</v>
      </c>
      <c r="AD12957">
        <v>1</v>
      </c>
      <c r="AE12957">
        <v>1</v>
      </c>
      <c r="AF12957">
        <v>1</v>
      </c>
      <c r="AG12957">
        <v>1</v>
      </c>
      <c r="AH12957">
        <v>1</v>
      </c>
      <c r="AI12957">
        <v>1</v>
      </c>
      <c r="AJ12957">
        <v>1</v>
      </c>
      <c r="AK12957">
        <v>1</v>
      </c>
      <c r="AL12957">
        <v>1</v>
      </c>
      <c r="AM12957">
        <v>1</v>
      </c>
    </row>
    <row r="12958" spans="1:39" x14ac:dyDescent="0.2">
      <c r="A12958" t="str">
        <f>"12954"</f>
        <v>12954</v>
      </c>
      <c r="B12958" t="str">
        <f t="shared" si="719"/>
        <v>1</v>
      </c>
      <c r="C12958" t="str">
        <f t="shared" si="721"/>
        <v>260</v>
      </c>
      <c r="D12958" t="str">
        <f>"15"</f>
        <v>15</v>
      </c>
      <c r="E12958" t="str">
        <f>"1-260-15"</f>
        <v>1-260-15</v>
      </c>
      <c r="F12958" t="s">
        <v>65</v>
      </c>
      <c r="G12958" t="s">
        <v>66</v>
      </c>
      <c r="H12958" t="s">
        <v>67</v>
      </c>
      <c r="S12958">
        <v>1</v>
      </c>
      <c r="T12958">
        <v>0</v>
      </c>
      <c r="U12958">
        <v>0</v>
      </c>
      <c r="V12958">
        <v>0</v>
      </c>
      <c r="W12958">
        <v>1</v>
      </c>
      <c r="X12958">
        <v>0</v>
      </c>
      <c r="Y12958">
        <v>1</v>
      </c>
      <c r="Z12958">
        <v>0</v>
      </c>
      <c r="AA12958">
        <v>1</v>
      </c>
      <c r="AB12958">
        <v>0</v>
      </c>
      <c r="AC12958">
        <v>0</v>
      </c>
      <c r="AD12958">
        <v>0</v>
      </c>
      <c r="AE12958">
        <v>0</v>
      </c>
      <c r="AF12958">
        <v>0</v>
      </c>
      <c r="AG12958">
        <v>0</v>
      </c>
      <c r="AH12958">
        <v>0</v>
      </c>
      <c r="AI12958">
        <v>0</v>
      </c>
      <c r="AJ12958">
        <v>0</v>
      </c>
      <c r="AK12958">
        <v>0</v>
      </c>
      <c r="AL12958">
        <v>0</v>
      </c>
      <c r="AM12958">
        <v>0</v>
      </c>
    </row>
    <row r="12959" spans="1:39" x14ac:dyDescent="0.2">
      <c r="A12959" t="str">
        <f>"12955"</f>
        <v>12955</v>
      </c>
      <c r="B12959" t="str">
        <f t="shared" si="719"/>
        <v>1</v>
      </c>
      <c r="C12959" t="str">
        <f t="shared" si="721"/>
        <v>260</v>
      </c>
      <c r="D12959" t="str">
        <f>"8"</f>
        <v>8</v>
      </c>
      <c r="E12959" t="str">
        <f>"1-260-8"</f>
        <v>1-260-8</v>
      </c>
      <c r="F12959" t="s">
        <v>65</v>
      </c>
      <c r="G12959" t="s">
        <v>66</v>
      </c>
      <c r="H12959" t="s">
        <v>67</v>
      </c>
      <c r="S12959">
        <v>1</v>
      </c>
      <c r="T12959">
        <v>0</v>
      </c>
      <c r="U12959">
        <v>0</v>
      </c>
      <c r="V12959">
        <v>0</v>
      </c>
      <c r="W12959">
        <v>1</v>
      </c>
      <c r="X12959">
        <v>0</v>
      </c>
      <c r="Y12959">
        <v>1</v>
      </c>
      <c r="Z12959">
        <v>0</v>
      </c>
      <c r="AA12959">
        <v>1</v>
      </c>
      <c r="AB12959">
        <v>0</v>
      </c>
      <c r="AC12959">
        <v>0</v>
      </c>
      <c r="AD12959">
        <v>1</v>
      </c>
      <c r="AE12959">
        <v>1</v>
      </c>
      <c r="AF12959">
        <v>1</v>
      </c>
      <c r="AG12959">
        <v>1</v>
      </c>
      <c r="AH12959">
        <v>1</v>
      </c>
      <c r="AI12959">
        <v>1</v>
      </c>
      <c r="AJ12959">
        <v>1</v>
      </c>
      <c r="AK12959">
        <v>1</v>
      </c>
      <c r="AL12959">
        <v>1</v>
      </c>
      <c r="AM12959">
        <v>1</v>
      </c>
    </row>
    <row r="12960" spans="1:39" x14ac:dyDescent="0.2">
      <c r="A12960" t="str">
        <f>"12956"</f>
        <v>12956</v>
      </c>
      <c r="B12960" t="str">
        <f t="shared" si="719"/>
        <v>1</v>
      </c>
      <c r="C12960" t="str">
        <f t="shared" si="721"/>
        <v>260</v>
      </c>
      <c r="D12960" t="str">
        <f>"34"</f>
        <v>34</v>
      </c>
      <c r="E12960" t="str">
        <f>"1-260-34"</f>
        <v>1-260-34</v>
      </c>
      <c r="F12960" t="s">
        <v>65</v>
      </c>
      <c r="G12960" t="s">
        <v>66</v>
      </c>
      <c r="H12960" t="s">
        <v>67</v>
      </c>
      <c r="S12960">
        <v>1</v>
      </c>
      <c r="T12960">
        <v>0</v>
      </c>
      <c r="U12960">
        <v>0</v>
      </c>
      <c r="V12960">
        <v>0</v>
      </c>
      <c r="W12960">
        <v>1</v>
      </c>
      <c r="X12960">
        <v>0</v>
      </c>
      <c r="Y12960">
        <v>1</v>
      </c>
      <c r="Z12960">
        <v>0</v>
      </c>
      <c r="AA12960">
        <v>1</v>
      </c>
      <c r="AB12960">
        <v>0</v>
      </c>
      <c r="AC12960">
        <v>0</v>
      </c>
      <c r="AD12960">
        <v>1</v>
      </c>
      <c r="AE12960">
        <v>1</v>
      </c>
      <c r="AF12960">
        <v>1</v>
      </c>
      <c r="AG12960">
        <v>1</v>
      </c>
      <c r="AH12960">
        <v>1</v>
      </c>
      <c r="AI12960">
        <v>1</v>
      </c>
      <c r="AJ12960">
        <v>1</v>
      </c>
      <c r="AK12960">
        <v>1</v>
      </c>
      <c r="AL12960">
        <v>1</v>
      </c>
      <c r="AM12960">
        <v>1</v>
      </c>
    </row>
    <row r="12961" spans="1:39" x14ac:dyDescent="0.2">
      <c r="A12961" t="str">
        <f>"12957"</f>
        <v>12957</v>
      </c>
      <c r="B12961" t="str">
        <f t="shared" si="719"/>
        <v>1</v>
      </c>
      <c r="C12961" t="str">
        <f t="shared" si="721"/>
        <v>260</v>
      </c>
      <c r="D12961" t="str">
        <f>"25"</f>
        <v>25</v>
      </c>
      <c r="E12961" t="str">
        <f>"1-260-25"</f>
        <v>1-260-25</v>
      </c>
      <c r="F12961" t="s">
        <v>65</v>
      </c>
      <c r="G12961" t="s">
        <v>66</v>
      </c>
      <c r="H12961" t="s">
        <v>67</v>
      </c>
      <c r="S12961">
        <v>1</v>
      </c>
      <c r="T12961">
        <v>0</v>
      </c>
      <c r="U12961">
        <v>0</v>
      </c>
      <c r="V12961">
        <v>0</v>
      </c>
      <c r="W12961">
        <v>1</v>
      </c>
      <c r="X12961">
        <v>0</v>
      </c>
      <c r="Y12961">
        <v>1</v>
      </c>
      <c r="Z12961">
        <v>0</v>
      </c>
      <c r="AA12961">
        <v>1</v>
      </c>
      <c r="AB12961">
        <v>0</v>
      </c>
      <c r="AC12961">
        <v>0</v>
      </c>
      <c r="AD12961">
        <v>1</v>
      </c>
      <c r="AE12961">
        <v>1</v>
      </c>
      <c r="AF12961">
        <v>1</v>
      </c>
      <c r="AG12961">
        <v>1</v>
      </c>
      <c r="AH12961">
        <v>1</v>
      </c>
      <c r="AI12961">
        <v>1</v>
      </c>
      <c r="AJ12961">
        <v>1</v>
      </c>
      <c r="AK12961">
        <v>1</v>
      </c>
      <c r="AL12961">
        <v>1</v>
      </c>
      <c r="AM12961">
        <v>1</v>
      </c>
    </row>
    <row r="12962" spans="1:39" x14ac:dyDescent="0.2">
      <c r="A12962" t="str">
        <f>"12958"</f>
        <v>12958</v>
      </c>
      <c r="B12962" t="str">
        <f t="shared" si="719"/>
        <v>1</v>
      </c>
      <c r="C12962" t="str">
        <f t="shared" si="721"/>
        <v>260</v>
      </c>
      <c r="D12962" t="str">
        <f>"16"</f>
        <v>16</v>
      </c>
      <c r="E12962" t="str">
        <f>"1-260-16"</f>
        <v>1-260-16</v>
      </c>
      <c r="F12962" t="s">
        <v>65</v>
      </c>
      <c r="G12962" t="s">
        <v>66</v>
      </c>
      <c r="H12962" t="s">
        <v>67</v>
      </c>
      <c r="S12962">
        <v>1</v>
      </c>
      <c r="T12962">
        <v>0</v>
      </c>
      <c r="U12962">
        <v>0</v>
      </c>
      <c r="V12962">
        <v>0</v>
      </c>
      <c r="W12962">
        <v>1</v>
      </c>
      <c r="X12962">
        <v>0</v>
      </c>
      <c r="Y12962">
        <v>1</v>
      </c>
      <c r="Z12962">
        <v>0</v>
      </c>
      <c r="AA12962">
        <v>0</v>
      </c>
      <c r="AB12962">
        <v>1</v>
      </c>
      <c r="AC12962">
        <v>0</v>
      </c>
      <c r="AD12962">
        <v>0</v>
      </c>
      <c r="AE12962">
        <v>0</v>
      </c>
      <c r="AF12962">
        <v>0</v>
      </c>
      <c r="AG12962">
        <v>0</v>
      </c>
      <c r="AH12962">
        <v>0</v>
      </c>
      <c r="AI12962">
        <v>0</v>
      </c>
      <c r="AJ12962">
        <v>0</v>
      </c>
      <c r="AK12962">
        <v>0</v>
      </c>
      <c r="AL12962">
        <v>0</v>
      </c>
      <c r="AM12962">
        <v>0</v>
      </c>
    </row>
    <row r="12963" spans="1:39" x14ac:dyDescent="0.2">
      <c r="A12963" t="str">
        <f>"12959"</f>
        <v>12959</v>
      </c>
      <c r="B12963" t="str">
        <f t="shared" si="719"/>
        <v>1</v>
      </c>
      <c r="C12963" t="str">
        <f t="shared" si="721"/>
        <v>260</v>
      </c>
      <c r="D12963" t="str">
        <f>"4"</f>
        <v>4</v>
      </c>
      <c r="E12963" t="str">
        <f>"1-260-4"</f>
        <v>1-260-4</v>
      </c>
      <c r="F12963" t="s">
        <v>65</v>
      </c>
      <c r="G12963" t="s">
        <v>66</v>
      </c>
      <c r="H12963" t="s">
        <v>67</v>
      </c>
      <c r="S12963">
        <v>0</v>
      </c>
      <c r="T12963">
        <v>1</v>
      </c>
      <c r="U12963">
        <v>0</v>
      </c>
      <c r="V12963">
        <v>0</v>
      </c>
      <c r="W12963">
        <v>1</v>
      </c>
      <c r="X12963">
        <v>0</v>
      </c>
      <c r="Y12963">
        <v>0</v>
      </c>
      <c r="Z12963">
        <v>1</v>
      </c>
      <c r="AA12963">
        <v>1</v>
      </c>
      <c r="AB12963">
        <v>0</v>
      </c>
      <c r="AC12963">
        <v>0</v>
      </c>
      <c r="AD12963">
        <v>1</v>
      </c>
      <c r="AE12963">
        <v>1</v>
      </c>
      <c r="AF12963">
        <v>1</v>
      </c>
      <c r="AG12963">
        <v>1</v>
      </c>
      <c r="AH12963">
        <v>1</v>
      </c>
      <c r="AI12963">
        <v>1</v>
      </c>
      <c r="AJ12963">
        <v>1</v>
      </c>
      <c r="AK12963">
        <v>1</v>
      </c>
      <c r="AL12963">
        <v>1</v>
      </c>
      <c r="AM12963">
        <v>1</v>
      </c>
    </row>
    <row r="12964" spans="1:39" x14ac:dyDescent="0.2">
      <c r="A12964" t="str">
        <f>"12960"</f>
        <v>12960</v>
      </c>
      <c r="B12964" t="str">
        <f t="shared" si="719"/>
        <v>1</v>
      </c>
      <c r="C12964" t="str">
        <f t="shared" si="721"/>
        <v>260</v>
      </c>
      <c r="D12964" t="str">
        <f>"36"</f>
        <v>36</v>
      </c>
      <c r="E12964" t="str">
        <f>"1-260-36"</f>
        <v>1-260-36</v>
      </c>
      <c r="F12964" t="s">
        <v>65</v>
      </c>
      <c r="G12964" t="s">
        <v>66</v>
      </c>
      <c r="H12964" t="s">
        <v>67</v>
      </c>
      <c r="S12964">
        <v>1</v>
      </c>
      <c r="T12964">
        <v>0</v>
      </c>
      <c r="U12964">
        <v>0</v>
      </c>
      <c r="V12964">
        <v>0</v>
      </c>
      <c r="W12964">
        <v>1</v>
      </c>
      <c r="X12964">
        <v>0</v>
      </c>
      <c r="Y12964">
        <v>1</v>
      </c>
      <c r="Z12964">
        <v>0</v>
      </c>
      <c r="AA12964">
        <v>1</v>
      </c>
      <c r="AB12964">
        <v>0</v>
      </c>
      <c r="AC12964">
        <v>0</v>
      </c>
      <c r="AD12964">
        <v>1</v>
      </c>
      <c r="AE12964">
        <v>1</v>
      </c>
      <c r="AF12964">
        <v>1</v>
      </c>
      <c r="AG12964">
        <v>1</v>
      </c>
      <c r="AH12964">
        <v>1</v>
      </c>
      <c r="AI12964">
        <v>1</v>
      </c>
      <c r="AJ12964">
        <v>1</v>
      </c>
      <c r="AK12964">
        <v>1</v>
      </c>
      <c r="AL12964">
        <v>1</v>
      </c>
      <c r="AM12964">
        <v>1</v>
      </c>
    </row>
    <row r="12965" spans="1:39" x14ac:dyDescent="0.2">
      <c r="A12965" t="str">
        <f>"12961"</f>
        <v>12961</v>
      </c>
      <c r="B12965" t="str">
        <f t="shared" si="719"/>
        <v>1</v>
      </c>
      <c r="C12965" t="str">
        <f t="shared" si="721"/>
        <v>260</v>
      </c>
      <c r="D12965" t="str">
        <f>"17"</f>
        <v>17</v>
      </c>
      <c r="E12965" t="str">
        <f>"1-260-17"</f>
        <v>1-260-17</v>
      </c>
      <c r="F12965" t="s">
        <v>65</v>
      </c>
      <c r="G12965" t="s">
        <v>66</v>
      </c>
      <c r="H12965" t="s">
        <v>67</v>
      </c>
      <c r="S12965">
        <v>1</v>
      </c>
      <c r="T12965">
        <v>0</v>
      </c>
      <c r="U12965">
        <v>0</v>
      </c>
      <c r="V12965">
        <v>0</v>
      </c>
      <c r="W12965">
        <v>1</v>
      </c>
      <c r="X12965">
        <v>0</v>
      </c>
      <c r="Y12965">
        <v>0</v>
      </c>
      <c r="Z12965">
        <v>1</v>
      </c>
      <c r="AA12965">
        <v>1</v>
      </c>
      <c r="AB12965">
        <v>0</v>
      </c>
      <c r="AC12965">
        <v>0</v>
      </c>
      <c r="AD12965">
        <v>0</v>
      </c>
      <c r="AE12965">
        <v>0</v>
      </c>
      <c r="AF12965">
        <v>0</v>
      </c>
      <c r="AG12965">
        <v>0</v>
      </c>
      <c r="AH12965">
        <v>0</v>
      </c>
      <c r="AI12965">
        <v>0</v>
      </c>
      <c r="AJ12965">
        <v>0</v>
      </c>
      <c r="AK12965">
        <v>0</v>
      </c>
      <c r="AL12965">
        <v>0</v>
      </c>
      <c r="AM12965">
        <v>0</v>
      </c>
    </row>
    <row r="12966" spans="1:39" x14ac:dyDescent="0.2">
      <c r="A12966" t="str">
        <f>"12962"</f>
        <v>12962</v>
      </c>
      <c r="B12966" t="str">
        <f t="shared" si="719"/>
        <v>1</v>
      </c>
      <c r="C12966" t="str">
        <f t="shared" si="721"/>
        <v>260</v>
      </c>
      <c r="D12966" t="str">
        <f>"1"</f>
        <v>1</v>
      </c>
      <c r="E12966" t="str">
        <f>"1-260-1"</f>
        <v>1-260-1</v>
      </c>
      <c r="F12966" t="s">
        <v>65</v>
      </c>
      <c r="G12966" t="s">
        <v>66</v>
      </c>
      <c r="H12966" t="s">
        <v>67</v>
      </c>
      <c r="S12966">
        <v>1</v>
      </c>
      <c r="T12966">
        <v>0</v>
      </c>
      <c r="U12966">
        <v>0</v>
      </c>
      <c r="V12966">
        <v>0</v>
      </c>
      <c r="W12966">
        <v>1</v>
      </c>
      <c r="X12966">
        <v>0</v>
      </c>
      <c r="Y12966">
        <v>1</v>
      </c>
      <c r="Z12966">
        <v>0</v>
      </c>
      <c r="AA12966">
        <v>1</v>
      </c>
      <c r="AB12966">
        <v>0</v>
      </c>
      <c r="AC12966">
        <v>0</v>
      </c>
      <c r="AD12966">
        <v>1</v>
      </c>
      <c r="AE12966">
        <v>1</v>
      </c>
      <c r="AF12966">
        <v>1</v>
      </c>
      <c r="AG12966">
        <v>1</v>
      </c>
      <c r="AH12966">
        <v>1</v>
      </c>
      <c r="AI12966">
        <v>1</v>
      </c>
      <c r="AJ12966">
        <v>1</v>
      </c>
      <c r="AK12966">
        <v>1</v>
      </c>
      <c r="AL12966">
        <v>1</v>
      </c>
      <c r="AM12966">
        <v>1</v>
      </c>
    </row>
    <row r="12967" spans="1:39" x14ac:dyDescent="0.2">
      <c r="A12967" t="str">
        <f>"12963"</f>
        <v>12963</v>
      </c>
      <c r="B12967" t="str">
        <f t="shared" si="719"/>
        <v>1</v>
      </c>
      <c r="C12967" t="str">
        <f t="shared" si="721"/>
        <v>260</v>
      </c>
      <c r="D12967" t="str">
        <f>"45"</f>
        <v>45</v>
      </c>
      <c r="E12967" t="str">
        <f>"1-260-45"</f>
        <v>1-260-45</v>
      </c>
      <c r="F12967" t="s">
        <v>65</v>
      </c>
      <c r="G12967" t="s">
        <v>66</v>
      </c>
      <c r="H12967" t="s">
        <v>67</v>
      </c>
      <c r="S12967">
        <v>1</v>
      </c>
      <c r="T12967">
        <v>0</v>
      </c>
      <c r="U12967">
        <v>0</v>
      </c>
      <c r="V12967">
        <v>0</v>
      </c>
      <c r="W12967">
        <v>1</v>
      </c>
      <c r="X12967">
        <v>0</v>
      </c>
      <c r="Y12967">
        <v>1</v>
      </c>
      <c r="Z12967">
        <v>0</v>
      </c>
      <c r="AA12967">
        <v>0</v>
      </c>
      <c r="AB12967">
        <v>1</v>
      </c>
      <c r="AC12967">
        <v>0</v>
      </c>
      <c r="AD12967">
        <v>1</v>
      </c>
      <c r="AE12967">
        <v>1</v>
      </c>
      <c r="AF12967">
        <v>1</v>
      </c>
      <c r="AG12967">
        <v>1</v>
      </c>
      <c r="AH12967">
        <v>1</v>
      </c>
      <c r="AI12967">
        <v>1</v>
      </c>
      <c r="AJ12967">
        <v>1</v>
      </c>
      <c r="AK12967">
        <v>1</v>
      </c>
      <c r="AL12967">
        <v>1</v>
      </c>
      <c r="AM12967">
        <v>1</v>
      </c>
    </row>
    <row r="12968" spans="1:39" x14ac:dyDescent="0.2">
      <c r="A12968" t="str">
        <f>"12964"</f>
        <v>12964</v>
      </c>
      <c r="B12968" t="str">
        <f t="shared" si="719"/>
        <v>1</v>
      </c>
      <c r="C12968" t="str">
        <f t="shared" si="721"/>
        <v>260</v>
      </c>
      <c r="D12968" t="str">
        <f>"44"</f>
        <v>44</v>
      </c>
      <c r="E12968" t="str">
        <f>"1-260-44"</f>
        <v>1-260-44</v>
      </c>
      <c r="F12968" t="s">
        <v>65</v>
      </c>
      <c r="G12968" t="s">
        <v>66</v>
      </c>
      <c r="H12968" t="s">
        <v>67</v>
      </c>
      <c r="S12968">
        <v>1</v>
      </c>
      <c r="T12968">
        <v>0</v>
      </c>
      <c r="U12968">
        <v>0</v>
      </c>
      <c r="V12968">
        <v>0</v>
      </c>
      <c r="W12968">
        <v>1</v>
      </c>
      <c r="X12968">
        <v>0</v>
      </c>
      <c r="Y12968">
        <v>1</v>
      </c>
      <c r="Z12968">
        <v>0</v>
      </c>
      <c r="AA12968">
        <v>0</v>
      </c>
      <c r="AB12968">
        <v>1</v>
      </c>
      <c r="AC12968">
        <v>0</v>
      </c>
      <c r="AD12968">
        <v>1</v>
      </c>
      <c r="AE12968">
        <v>1</v>
      </c>
      <c r="AF12968">
        <v>1</v>
      </c>
      <c r="AG12968">
        <v>1</v>
      </c>
      <c r="AH12968">
        <v>1</v>
      </c>
      <c r="AI12968">
        <v>1</v>
      </c>
      <c r="AJ12968">
        <v>1</v>
      </c>
      <c r="AK12968">
        <v>1</v>
      </c>
      <c r="AL12968">
        <v>1</v>
      </c>
      <c r="AM12968">
        <v>1</v>
      </c>
    </row>
    <row r="12969" spans="1:39" x14ac:dyDescent="0.2">
      <c r="A12969" t="str">
        <f>"12965"</f>
        <v>12965</v>
      </c>
      <c r="B12969" t="str">
        <f t="shared" si="719"/>
        <v>1</v>
      </c>
      <c r="C12969" t="str">
        <f t="shared" si="721"/>
        <v>260</v>
      </c>
      <c r="D12969" t="str">
        <f>"33"</f>
        <v>33</v>
      </c>
      <c r="E12969" t="str">
        <f>"1-260-33"</f>
        <v>1-260-33</v>
      </c>
      <c r="F12969" t="s">
        <v>65</v>
      </c>
      <c r="G12969" t="s">
        <v>66</v>
      </c>
      <c r="H12969" t="s">
        <v>67</v>
      </c>
      <c r="S12969">
        <v>1</v>
      </c>
      <c r="T12969">
        <v>0</v>
      </c>
      <c r="U12969">
        <v>0</v>
      </c>
      <c r="V12969">
        <v>0</v>
      </c>
      <c r="W12969">
        <v>1</v>
      </c>
      <c r="X12969">
        <v>0</v>
      </c>
      <c r="Y12969">
        <v>1</v>
      </c>
      <c r="Z12969">
        <v>0</v>
      </c>
      <c r="AA12969">
        <v>1</v>
      </c>
      <c r="AB12969">
        <v>0</v>
      </c>
      <c r="AC12969">
        <v>0</v>
      </c>
      <c r="AD12969">
        <v>1</v>
      </c>
      <c r="AE12969">
        <v>1</v>
      </c>
      <c r="AF12969">
        <v>1</v>
      </c>
      <c r="AG12969">
        <v>1</v>
      </c>
      <c r="AH12969">
        <v>1</v>
      </c>
      <c r="AI12969">
        <v>1</v>
      </c>
      <c r="AJ12969">
        <v>1</v>
      </c>
      <c r="AK12969">
        <v>1</v>
      </c>
      <c r="AL12969">
        <v>1</v>
      </c>
      <c r="AM12969">
        <v>0</v>
      </c>
    </row>
    <row r="12970" spans="1:39" x14ac:dyDescent="0.2">
      <c r="A12970" t="str">
        <f>"12966"</f>
        <v>12966</v>
      </c>
      <c r="B12970" t="str">
        <f t="shared" si="719"/>
        <v>1</v>
      </c>
      <c r="C12970" t="str">
        <f t="shared" si="721"/>
        <v>260</v>
      </c>
      <c r="D12970" t="str">
        <f>"32"</f>
        <v>32</v>
      </c>
      <c r="E12970" t="str">
        <f>"1-260-32"</f>
        <v>1-260-32</v>
      </c>
      <c r="F12970" t="s">
        <v>65</v>
      </c>
      <c r="G12970" t="s">
        <v>66</v>
      </c>
      <c r="H12970" t="s">
        <v>67</v>
      </c>
      <c r="S12970">
        <v>1</v>
      </c>
      <c r="T12970">
        <v>0</v>
      </c>
      <c r="U12970">
        <v>0</v>
      </c>
      <c r="V12970">
        <v>0</v>
      </c>
      <c r="W12970">
        <v>1</v>
      </c>
      <c r="X12970">
        <v>0</v>
      </c>
      <c r="Y12970">
        <v>1</v>
      </c>
      <c r="Z12970">
        <v>0</v>
      </c>
      <c r="AA12970">
        <v>0</v>
      </c>
      <c r="AB12970">
        <v>1</v>
      </c>
      <c r="AC12970">
        <v>0</v>
      </c>
      <c r="AD12970">
        <v>1</v>
      </c>
      <c r="AE12970">
        <v>1</v>
      </c>
      <c r="AF12970">
        <v>1</v>
      </c>
      <c r="AG12970">
        <v>1</v>
      </c>
      <c r="AH12970">
        <v>1</v>
      </c>
      <c r="AI12970">
        <v>1</v>
      </c>
      <c r="AJ12970">
        <v>1</v>
      </c>
      <c r="AK12970">
        <v>1</v>
      </c>
      <c r="AL12970">
        <v>1</v>
      </c>
      <c r="AM12970">
        <v>1</v>
      </c>
    </row>
    <row r="12971" spans="1:39" x14ac:dyDescent="0.2">
      <c r="A12971" t="str">
        <f>"12967"</f>
        <v>12967</v>
      </c>
      <c r="B12971" t="str">
        <f t="shared" si="719"/>
        <v>1</v>
      </c>
      <c r="C12971" t="str">
        <f t="shared" si="721"/>
        <v>260</v>
      </c>
      <c r="D12971" t="str">
        <f>"26"</f>
        <v>26</v>
      </c>
      <c r="E12971" t="str">
        <f>"1-260-26"</f>
        <v>1-260-26</v>
      </c>
      <c r="F12971" t="s">
        <v>65</v>
      </c>
      <c r="G12971" t="s">
        <v>66</v>
      </c>
      <c r="H12971" t="s">
        <v>67</v>
      </c>
      <c r="S12971">
        <v>0</v>
      </c>
      <c r="T12971">
        <v>1</v>
      </c>
      <c r="U12971">
        <v>0</v>
      </c>
      <c r="V12971">
        <v>0</v>
      </c>
      <c r="W12971">
        <v>0</v>
      </c>
      <c r="X12971">
        <v>1</v>
      </c>
      <c r="Y12971">
        <v>1</v>
      </c>
      <c r="Z12971">
        <v>0</v>
      </c>
      <c r="AA12971">
        <v>0</v>
      </c>
      <c r="AB12971">
        <v>0</v>
      </c>
      <c r="AC12971">
        <v>1</v>
      </c>
      <c r="AD12971">
        <v>0</v>
      </c>
      <c r="AE12971">
        <v>0</v>
      </c>
      <c r="AF12971">
        <v>0</v>
      </c>
      <c r="AG12971">
        <v>0</v>
      </c>
      <c r="AH12971">
        <v>0</v>
      </c>
      <c r="AI12971">
        <v>0</v>
      </c>
      <c r="AJ12971">
        <v>0</v>
      </c>
      <c r="AK12971">
        <v>1</v>
      </c>
      <c r="AL12971">
        <v>0</v>
      </c>
      <c r="AM12971">
        <v>0</v>
      </c>
    </row>
    <row r="12972" spans="1:39" x14ac:dyDescent="0.2">
      <c r="A12972" t="str">
        <f>"12968"</f>
        <v>12968</v>
      </c>
      <c r="B12972" t="str">
        <f t="shared" si="719"/>
        <v>1</v>
      </c>
      <c r="C12972" t="str">
        <f t="shared" si="721"/>
        <v>260</v>
      </c>
      <c r="D12972" t="str">
        <f>"18"</f>
        <v>18</v>
      </c>
      <c r="E12972" t="str">
        <f>"1-260-18"</f>
        <v>1-260-18</v>
      </c>
      <c r="F12972" t="s">
        <v>65</v>
      </c>
      <c r="G12972" t="s">
        <v>66</v>
      </c>
      <c r="H12972" t="s">
        <v>67</v>
      </c>
      <c r="S12972">
        <v>0</v>
      </c>
      <c r="T12972">
        <v>1</v>
      </c>
      <c r="U12972">
        <v>0</v>
      </c>
      <c r="V12972">
        <v>0</v>
      </c>
      <c r="W12972">
        <v>1</v>
      </c>
      <c r="X12972">
        <v>0</v>
      </c>
      <c r="Y12972">
        <v>1</v>
      </c>
      <c r="Z12972">
        <v>0</v>
      </c>
      <c r="AA12972">
        <v>1</v>
      </c>
      <c r="AB12972">
        <v>0</v>
      </c>
      <c r="AC12972">
        <v>0</v>
      </c>
      <c r="AD12972">
        <v>1</v>
      </c>
      <c r="AE12972">
        <v>1</v>
      </c>
      <c r="AF12972">
        <v>1</v>
      </c>
      <c r="AG12972">
        <v>1</v>
      </c>
      <c r="AH12972">
        <v>1</v>
      </c>
      <c r="AI12972">
        <v>1</v>
      </c>
      <c r="AJ12972">
        <v>1</v>
      </c>
      <c r="AK12972">
        <v>1</v>
      </c>
      <c r="AL12972">
        <v>1</v>
      </c>
      <c r="AM12972">
        <v>1</v>
      </c>
    </row>
    <row r="12973" spans="1:39" x14ac:dyDescent="0.2">
      <c r="A12973" t="str">
        <f>"12969"</f>
        <v>12969</v>
      </c>
      <c r="B12973" t="str">
        <f t="shared" si="719"/>
        <v>1</v>
      </c>
      <c r="C12973" t="str">
        <f t="shared" si="721"/>
        <v>260</v>
      </c>
      <c r="D12973" t="str">
        <f>"14"</f>
        <v>14</v>
      </c>
      <c r="E12973" t="str">
        <f>"1-260-14"</f>
        <v>1-260-14</v>
      </c>
      <c r="F12973" t="s">
        <v>65</v>
      </c>
      <c r="G12973" t="s">
        <v>66</v>
      </c>
      <c r="H12973" t="s">
        <v>67</v>
      </c>
      <c r="S12973">
        <v>1</v>
      </c>
      <c r="T12973">
        <v>0</v>
      </c>
      <c r="U12973">
        <v>0</v>
      </c>
      <c r="V12973">
        <v>0</v>
      </c>
      <c r="W12973">
        <v>1</v>
      </c>
      <c r="X12973">
        <v>0</v>
      </c>
      <c r="Y12973">
        <v>1</v>
      </c>
      <c r="Z12973">
        <v>0</v>
      </c>
      <c r="AA12973">
        <v>1</v>
      </c>
      <c r="AB12973">
        <v>0</v>
      </c>
      <c r="AC12973">
        <v>0</v>
      </c>
      <c r="AD12973">
        <v>0</v>
      </c>
      <c r="AE12973">
        <v>0</v>
      </c>
      <c r="AF12973">
        <v>0</v>
      </c>
      <c r="AG12973">
        <v>0</v>
      </c>
      <c r="AH12973">
        <v>0</v>
      </c>
      <c r="AI12973">
        <v>0</v>
      </c>
      <c r="AJ12973">
        <v>0</v>
      </c>
      <c r="AK12973">
        <v>0</v>
      </c>
      <c r="AL12973">
        <v>0</v>
      </c>
      <c r="AM12973">
        <v>0</v>
      </c>
    </row>
    <row r="12974" spans="1:39" x14ac:dyDescent="0.2">
      <c r="A12974" t="str">
        <f>"12970"</f>
        <v>12970</v>
      </c>
      <c r="B12974" t="str">
        <f t="shared" si="719"/>
        <v>1</v>
      </c>
      <c r="C12974" t="str">
        <f t="shared" si="721"/>
        <v>260</v>
      </c>
      <c r="D12974" t="str">
        <f>"37"</f>
        <v>37</v>
      </c>
      <c r="E12974" t="str">
        <f>"1-260-37"</f>
        <v>1-260-37</v>
      </c>
      <c r="F12974" t="s">
        <v>65</v>
      </c>
      <c r="G12974" t="s">
        <v>66</v>
      </c>
      <c r="H12974" t="s">
        <v>67</v>
      </c>
      <c r="S12974">
        <v>1</v>
      </c>
      <c r="T12974">
        <v>0</v>
      </c>
      <c r="U12974">
        <v>0</v>
      </c>
      <c r="V12974">
        <v>0</v>
      </c>
      <c r="W12974">
        <v>1</v>
      </c>
      <c r="X12974">
        <v>0</v>
      </c>
      <c r="Y12974">
        <v>1</v>
      </c>
      <c r="Z12974">
        <v>0</v>
      </c>
      <c r="AA12974">
        <v>1</v>
      </c>
      <c r="AB12974">
        <v>0</v>
      </c>
      <c r="AC12974">
        <v>0</v>
      </c>
      <c r="AD12974">
        <v>0</v>
      </c>
      <c r="AE12974">
        <v>0</v>
      </c>
      <c r="AF12974">
        <v>0</v>
      </c>
      <c r="AG12974">
        <v>0</v>
      </c>
      <c r="AH12974">
        <v>0</v>
      </c>
      <c r="AI12974">
        <v>0</v>
      </c>
      <c r="AJ12974">
        <v>0</v>
      </c>
      <c r="AK12974">
        <v>0</v>
      </c>
      <c r="AL12974">
        <v>0</v>
      </c>
      <c r="AM12974">
        <v>0</v>
      </c>
    </row>
    <row r="12975" spans="1:39" x14ac:dyDescent="0.2">
      <c r="A12975" t="str">
        <f>"12971"</f>
        <v>12971</v>
      </c>
      <c r="B12975" t="str">
        <f t="shared" si="719"/>
        <v>1</v>
      </c>
      <c r="C12975" t="str">
        <f t="shared" si="721"/>
        <v>260</v>
      </c>
      <c r="D12975" t="str">
        <f>"19"</f>
        <v>19</v>
      </c>
      <c r="E12975" t="str">
        <f>"1-260-19"</f>
        <v>1-260-19</v>
      </c>
      <c r="F12975" t="s">
        <v>65</v>
      </c>
      <c r="G12975" t="s">
        <v>66</v>
      </c>
      <c r="H12975" t="s">
        <v>67</v>
      </c>
      <c r="S12975">
        <v>0</v>
      </c>
      <c r="T12975">
        <v>0</v>
      </c>
      <c r="U12975">
        <v>0</v>
      </c>
      <c r="V12975">
        <v>0</v>
      </c>
      <c r="W12975">
        <v>1</v>
      </c>
      <c r="X12975">
        <v>0</v>
      </c>
      <c r="Y12975">
        <v>0</v>
      </c>
      <c r="Z12975">
        <v>0</v>
      </c>
      <c r="AA12975">
        <v>0</v>
      </c>
      <c r="AB12975">
        <v>0</v>
      </c>
      <c r="AC12975">
        <v>0</v>
      </c>
      <c r="AD12975">
        <v>0</v>
      </c>
      <c r="AE12975">
        <v>0</v>
      </c>
      <c r="AF12975">
        <v>0</v>
      </c>
      <c r="AG12975">
        <v>0</v>
      </c>
      <c r="AH12975">
        <v>0</v>
      </c>
      <c r="AI12975">
        <v>0</v>
      </c>
      <c r="AJ12975">
        <v>0</v>
      </c>
      <c r="AK12975">
        <v>0</v>
      </c>
      <c r="AL12975">
        <v>0</v>
      </c>
      <c r="AM12975">
        <v>0</v>
      </c>
    </row>
    <row r="12976" spans="1:39" x14ac:dyDescent="0.2">
      <c r="A12976" t="str">
        <f>"12972"</f>
        <v>12972</v>
      </c>
      <c r="B12976" t="str">
        <f t="shared" si="719"/>
        <v>1</v>
      </c>
      <c r="C12976" t="str">
        <f t="shared" si="721"/>
        <v>260</v>
      </c>
      <c r="D12976" t="str">
        <f>"2"</f>
        <v>2</v>
      </c>
      <c r="E12976" t="str">
        <f>"1-260-2"</f>
        <v>1-260-2</v>
      </c>
      <c r="F12976" t="s">
        <v>65</v>
      </c>
      <c r="G12976" t="s">
        <v>66</v>
      </c>
      <c r="H12976" t="s">
        <v>67</v>
      </c>
      <c r="S12976">
        <v>0</v>
      </c>
      <c r="T12976">
        <v>1</v>
      </c>
      <c r="U12976">
        <v>0</v>
      </c>
      <c r="V12976">
        <v>0</v>
      </c>
      <c r="W12976">
        <v>1</v>
      </c>
      <c r="X12976">
        <v>0</v>
      </c>
      <c r="Y12976">
        <v>0</v>
      </c>
      <c r="Z12976">
        <v>1</v>
      </c>
      <c r="AA12976">
        <v>1</v>
      </c>
      <c r="AB12976">
        <v>0</v>
      </c>
      <c r="AC12976">
        <v>0</v>
      </c>
      <c r="AD12976">
        <v>1</v>
      </c>
      <c r="AE12976">
        <v>1</v>
      </c>
      <c r="AF12976">
        <v>1</v>
      </c>
      <c r="AG12976">
        <v>1</v>
      </c>
      <c r="AH12976">
        <v>1</v>
      </c>
      <c r="AI12976">
        <v>1</v>
      </c>
      <c r="AJ12976">
        <v>1</v>
      </c>
      <c r="AK12976">
        <v>1</v>
      </c>
      <c r="AL12976">
        <v>1</v>
      </c>
      <c r="AM12976">
        <v>1</v>
      </c>
    </row>
    <row r="12977" spans="1:39" x14ac:dyDescent="0.2">
      <c r="A12977" t="str">
        <f>"12973"</f>
        <v>12973</v>
      </c>
      <c r="B12977" t="str">
        <f t="shared" si="719"/>
        <v>1</v>
      </c>
      <c r="C12977" t="str">
        <f t="shared" si="721"/>
        <v>260</v>
      </c>
      <c r="D12977" t="str">
        <f>"38"</f>
        <v>38</v>
      </c>
      <c r="E12977" t="str">
        <f>"1-260-38"</f>
        <v>1-260-38</v>
      </c>
      <c r="F12977" t="s">
        <v>65</v>
      </c>
      <c r="G12977" t="s">
        <v>66</v>
      </c>
      <c r="H12977" t="s">
        <v>67</v>
      </c>
      <c r="S12977">
        <v>0</v>
      </c>
      <c r="T12977">
        <v>1</v>
      </c>
      <c r="U12977">
        <v>0</v>
      </c>
      <c r="V12977">
        <v>0</v>
      </c>
      <c r="W12977">
        <v>1</v>
      </c>
      <c r="X12977">
        <v>0</v>
      </c>
      <c r="Y12977">
        <v>1</v>
      </c>
      <c r="Z12977">
        <v>0</v>
      </c>
      <c r="AA12977">
        <v>0</v>
      </c>
      <c r="AB12977">
        <v>0</v>
      </c>
      <c r="AC12977">
        <v>1</v>
      </c>
      <c r="AD12977">
        <v>1</v>
      </c>
      <c r="AE12977">
        <v>1</v>
      </c>
      <c r="AF12977">
        <v>1</v>
      </c>
      <c r="AG12977">
        <v>1</v>
      </c>
      <c r="AH12977">
        <v>1</v>
      </c>
      <c r="AI12977">
        <v>1</v>
      </c>
      <c r="AJ12977">
        <v>1</v>
      </c>
      <c r="AK12977">
        <v>1</v>
      </c>
      <c r="AL12977">
        <v>1</v>
      </c>
      <c r="AM12977">
        <v>1</v>
      </c>
    </row>
    <row r="12978" spans="1:39" x14ac:dyDescent="0.2">
      <c r="A12978" t="str">
        <f>"12974"</f>
        <v>12974</v>
      </c>
      <c r="B12978" t="str">
        <f t="shared" si="719"/>
        <v>1</v>
      </c>
      <c r="C12978" t="str">
        <f t="shared" si="721"/>
        <v>260</v>
      </c>
      <c r="D12978" t="str">
        <f>"20"</f>
        <v>20</v>
      </c>
      <c r="E12978" t="str">
        <f>"1-260-20"</f>
        <v>1-260-20</v>
      </c>
      <c r="F12978" t="s">
        <v>65</v>
      </c>
      <c r="G12978" t="s">
        <v>66</v>
      </c>
      <c r="H12978" t="s">
        <v>67</v>
      </c>
      <c r="S12978">
        <v>0</v>
      </c>
      <c r="T12978">
        <v>1</v>
      </c>
      <c r="U12978">
        <v>0</v>
      </c>
      <c r="V12978">
        <v>0</v>
      </c>
      <c r="W12978">
        <v>1</v>
      </c>
      <c r="X12978">
        <v>0</v>
      </c>
      <c r="Y12978">
        <v>1</v>
      </c>
      <c r="Z12978">
        <v>0</v>
      </c>
      <c r="AA12978">
        <v>1</v>
      </c>
      <c r="AB12978">
        <v>0</v>
      </c>
      <c r="AC12978">
        <v>0</v>
      </c>
      <c r="AD12978">
        <v>0</v>
      </c>
      <c r="AE12978">
        <v>0</v>
      </c>
      <c r="AF12978">
        <v>0</v>
      </c>
      <c r="AG12978">
        <v>0</v>
      </c>
      <c r="AH12978">
        <v>0</v>
      </c>
      <c r="AI12978">
        <v>1</v>
      </c>
      <c r="AJ12978">
        <v>0</v>
      </c>
      <c r="AK12978">
        <v>0</v>
      </c>
      <c r="AL12978">
        <v>1</v>
      </c>
      <c r="AM12978">
        <v>0</v>
      </c>
    </row>
    <row r="12979" spans="1:39" x14ac:dyDescent="0.2">
      <c r="A12979" t="str">
        <f>"12975"</f>
        <v>12975</v>
      </c>
      <c r="B12979" t="str">
        <f t="shared" si="719"/>
        <v>1</v>
      </c>
      <c r="C12979" t="str">
        <f t="shared" si="721"/>
        <v>260</v>
      </c>
      <c r="D12979" t="str">
        <f>"13"</f>
        <v>13</v>
      </c>
      <c r="E12979" t="str">
        <f>"1-260-13"</f>
        <v>1-260-13</v>
      </c>
      <c r="F12979" t="s">
        <v>65</v>
      </c>
      <c r="G12979" t="s">
        <v>66</v>
      </c>
      <c r="H12979" t="s">
        <v>67</v>
      </c>
      <c r="S12979">
        <v>0</v>
      </c>
      <c r="T12979">
        <v>1</v>
      </c>
      <c r="U12979">
        <v>0</v>
      </c>
      <c r="V12979">
        <v>0</v>
      </c>
      <c r="W12979">
        <v>1</v>
      </c>
      <c r="X12979">
        <v>0</v>
      </c>
      <c r="Y12979">
        <v>1</v>
      </c>
      <c r="Z12979">
        <v>0</v>
      </c>
      <c r="AA12979">
        <v>1</v>
      </c>
      <c r="AB12979">
        <v>0</v>
      </c>
      <c r="AC12979">
        <v>0</v>
      </c>
      <c r="AD12979">
        <v>0</v>
      </c>
      <c r="AE12979">
        <v>1</v>
      </c>
      <c r="AF12979">
        <v>0</v>
      </c>
      <c r="AG12979">
        <v>1</v>
      </c>
      <c r="AH12979">
        <v>1</v>
      </c>
      <c r="AI12979">
        <v>1</v>
      </c>
      <c r="AJ12979">
        <v>0</v>
      </c>
      <c r="AK12979">
        <v>1</v>
      </c>
      <c r="AL12979">
        <v>1</v>
      </c>
      <c r="AM12979">
        <v>1</v>
      </c>
    </row>
    <row r="12980" spans="1:39" x14ac:dyDescent="0.2">
      <c r="A12980" t="str">
        <f>"12976"</f>
        <v>12976</v>
      </c>
      <c r="B12980" t="str">
        <f t="shared" si="719"/>
        <v>1</v>
      </c>
      <c r="C12980" t="str">
        <f t="shared" si="721"/>
        <v>260</v>
      </c>
      <c r="D12980" t="str">
        <f>"40"</f>
        <v>40</v>
      </c>
      <c r="E12980" t="str">
        <f>"1-260-40"</f>
        <v>1-260-40</v>
      </c>
      <c r="F12980" t="s">
        <v>65</v>
      </c>
      <c r="G12980" t="s">
        <v>66</v>
      </c>
      <c r="H12980" t="s">
        <v>67</v>
      </c>
      <c r="S12980">
        <v>1</v>
      </c>
      <c r="T12980">
        <v>0</v>
      </c>
      <c r="U12980">
        <v>0</v>
      </c>
      <c r="V12980">
        <v>0</v>
      </c>
      <c r="W12980">
        <v>1</v>
      </c>
      <c r="X12980">
        <v>0</v>
      </c>
      <c r="Y12980">
        <v>1</v>
      </c>
      <c r="Z12980">
        <v>0</v>
      </c>
      <c r="AA12980">
        <v>1</v>
      </c>
      <c r="AB12980">
        <v>0</v>
      </c>
      <c r="AC12980">
        <v>0</v>
      </c>
      <c r="AD12980">
        <v>0</v>
      </c>
      <c r="AE12980">
        <v>0</v>
      </c>
      <c r="AF12980">
        <v>0</v>
      </c>
      <c r="AG12980">
        <v>0</v>
      </c>
      <c r="AH12980">
        <v>1</v>
      </c>
      <c r="AI12980">
        <v>0</v>
      </c>
      <c r="AJ12980">
        <v>0</v>
      </c>
      <c r="AK12980">
        <v>0</v>
      </c>
      <c r="AL12980">
        <v>1</v>
      </c>
      <c r="AM12980">
        <v>0</v>
      </c>
    </row>
    <row r="12981" spans="1:39" x14ac:dyDescent="0.2">
      <c r="A12981" t="str">
        <f>"12977"</f>
        <v>12977</v>
      </c>
      <c r="B12981" t="str">
        <f t="shared" si="719"/>
        <v>1</v>
      </c>
      <c r="C12981" t="str">
        <f t="shared" si="721"/>
        <v>260</v>
      </c>
      <c r="D12981" t="str">
        <f>"21"</f>
        <v>21</v>
      </c>
      <c r="E12981" t="str">
        <f>"1-260-21"</f>
        <v>1-260-21</v>
      </c>
      <c r="F12981" t="s">
        <v>65</v>
      </c>
      <c r="G12981" t="s">
        <v>66</v>
      </c>
      <c r="H12981" t="s">
        <v>67</v>
      </c>
      <c r="S12981">
        <v>1</v>
      </c>
      <c r="T12981">
        <v>0</v>
      </c>
      <c r="U12981">
        <v>0</v>
      </c>
      <c r="V12981">
        <v>0</v>
      </c>
      <c r="W12981">
        <v>1</v>
      </c>
      <c r="X12981">
        <v>0</v>
      </c>
      <c r="Y12981">
        <v>0</v>
      </c>
      <c r="Z12981">
        <v>1</v>
      </c>
      <c r="AA12981">
        <v>1</v>
      </c>
      <c r="AB12981">
        <v>0</v>
      </c>
      <c r="AC12981">
        <v>0</v>
      </c>
      <c r="AD12981">
        <v>1</v>
      </c>
      <c r="AE12981">
        <v>1</v>
      </c>
      <c r="AF12981">
        <v>1</v>
      </c>
      <c r="AG12981">
        <v>1</v>
      </c>
      <c r="AH12981">
        <v>1</v>
      </c>
      <c r="AI12981">
        <v>1</v>
      </c>
      <c r="AJ12981">
        <v>1</v>
      </c>
      <c r="AK12981">
        <v>1</v>
      </c>
      <c r="AL12981">
        <v>1</v>
      </c>
      <c r="AM12981">
        <v>1</v>
      </c>
    </row>
    <row r="12982" spans="1:39" x14ac:dyDescent="0.2">
      <c r="A12982" t="str">
        <f>"12978"</f>
        <v>12978</v>
      </c>
      <c r="B12982" t="str">
        <f t="shared" si="719"/>
        <v>1</v>
      </c>
      <c r="C12982" t="str">
        <f t="shared" si="721"/>
        <v>260</v>
      </c>
      <c r="D12982" t="str">
        <f>"6"</f>
        <v>6</v>
      </c>
      <c r="E12982" t="str">
        <f>"1-260-6"</f>
        <v>1-260-6</v>
      </c>
      <c r="F12982" t="s">
        <v>65</v>
      </c>
      <c r="G12982" t="s">
        <v>66</v>
      </c>
      <c r="H12982" t="s">
        <v>67</v>
      </c>
      <c r="S12982">
        <v>0</v>
      </c>
      <c r="T12982">
        <v>0</v>
      </c>
      <c r="U12982">
        <v>0</v>
      </c>
      <c r="V12982">
        <v>0</v>
      </c>
      <c r="W12982">
        <v>0</v>
      </c>
      <c r="X12982">
        <v>1</v>
      </c>
      <c r="Y12982">
        <v>0</v>
      </c>
      <c r="Z12982">
        <v>1</v>
      </c>
      <c r="AA12982">
        <v>0</v>
      </c>
      <c r="AB12982">
        <v>0</v>
      </c>
      <c r="AC12982">
        <v>1</v>
      </c>
      <c r="AD12982">
        <v>1</v>
      </c>
      <c r="AE12982">
        <v>1</v>
      </c>
      <c r="AF12982">
        <v>1</v>
      </c>
      <c r="AG12982">
        <v>1</v>
      </c>
      <c r="AH12982">
        <v>1</v>
      </c>
      <c r="AI12982">
        <v>1</v>
      </c>
      <c r="AJ12982">
        <v>1</v>
      </c>
      <c r="AK12982">
        <v>1</v>
      </c>
      <c r="AL12982">
        <v>1</v>
      </c>
      <c r="AM12982">
        <v>1</v>
      </c>
    </row>
    <row r="12983" spans="1:39" x14ac:dyDescent="0.2">
      <c r="A12983" t="str">
        <f>"12979"</f>
        <v>12979</v>
      </c>
      <c r="B12983" t="str">
        <f t="shared" ref="B12983:B13046" si="722">"1"</f>
        <v>1</v>
      </c>
      <c r="C12983" t="str">
        <f t="shared" si="721"/>
        <v>260</v>
      </c>
      <c r="D12983" t="str">
        <f>"41"</f>
        <v>41</v>
      </c>
      <c r="E12983" t="str">
        <f>"1-260-41"</f>
        <v>1-260-41</v>
      </c>
      <c r="F12983" t="s">
        <v>65</v>
      </c>
      <c r="G12983" t="s">
        <v>66</v>
      </c>
      <c r="H12983" t="s">
        <v>67</v>
      </c>
      <c r="S12983">
        <v>0</v>
      </c>
      <c r="T12983">
        <v>1</v>
      </c>
      <c r="U12983">
        <v>0</v>
      </c>
      <c r="V12983">
        <v>0</v>
      </c>
      <c r="W12983">
        <v>1</v>
      </c>
      <c r="X12983">
        <v>0</v>
      </c>
      <c r="Y12983">
        <v>0</v>
      </c>
      <c r="Z12983">
        <v>1</v>
      </c>
      <c r="AA12983">
        <v>1</v>
      </c>
      <c r="AB12983">
        <v>0</v>
      </c>
      <c r="AC12983">
        <v>0</v>
      </c>
      <c r="AD12983">
        <v>1</v>
      </c>
      <c r="AE12983">
        <v>1</v>
      </c>
      <c r="AF12983">
        <v>1</v>
      </c>
      <c r="AG12983">
        <v>1</v>
      </c>
      <c r="AH12983">
        <v>1</v>
      </c>
      <c r="AI12983">
        <v>1</v>
      </c>
      <c r="AJ12983">
        <v>1</v>
      </c>
      <c r="AK12983">
        <v>1</v>
      </c>
      <c r="AL12983">
        <v>1</v>
      </c>
      <c r="AM12983">
        <v>1</v>
      </c>
    </row>
    <row r="12984" spans="1:39" x14ac:dyDescent="0.2">
      <c r="A12984" t="str">
        <f>"12980"</f>
        <v>12980</v>
      </c>
      <c r="B12984" t="str">
        <f t="shared" si="722"/>
        <v>1</v>
      </c>
      <c r="C12984" t="str">
        <f t="shared" si="721"/>
        <v>260</v>
      </c>
      <c r="D12984" t="str">
        <f>"22"</f>
        <v>22</v>
      </c>
      <c r="E12984" t="str">
        <f>"1-260-22"</f>
        <v>1-260-22</v>
      </c>
      <c r="F12984" t="s">
        <v>65</v>
      </c>
      <c r="G12984" t="s">
        <v>66</v>
      </c>
      <c r="H12984" t="s">
        <v>67</v>
      </c>
      <c r="S12984">
        <v>0</v>
      </c>
      <c r="T12984">
        <v>1</v>
      </c>
      <c r="U12984">
        <v>0</v>
      </c>
      <c r="V12984">
        <v>0</v>
      </c>
      <c r="W12984">
        <v>1</v>
      </c>
      <c r="X12984">
        <v>0</v>
      </c>
      <c r="Y12984">
        <v>0</v>
      </c>
      <c r="Z12984">
        <v>1</v>
      </c>
      <c r="AA12984">
        <v>0</v>
      </c>
      <c r="AB12984">
        <v>0</v>
      </c>
      <c r="AC12984">
        <v>1</v>
      </c>
      <c r="AD12984">
        <v>0</v>
      </c>
      <c r="AE12984">
        <v>0</v>
      </c>
      <c r="AF12984">
        <v>0</v>
      </c>
      <c r="AG12984">
        <v>0</v>
      </c>
      <c r="AH12984">
        <v>0</v>
      </c>
      <c r="AI12984">
        <v>0</v>
      </c>
      <c r="AJ12984">
        <v>0</v>
      </c>
      <c r="AK12984">
        <v>0</v>
      </c>
      <c r="AL12984">
        <v>0</v>
      </c>
      <c r="AM12984">
        <v>0</v>
      </c>
    </row>
    <row r="12985" spans="1:39" x14ac:dyDescent="0.2">
      <c r="A12985" t="str">
        <f>"12981"</f>
        <v>12981</v>
      </c>
      <c r="B12985" t="str">
        <f t="shared" si="722"/>
        <v>1</v>
      </c>
      <c r="C12985" t="str">
        <f t="shared" si="721"/>
        <v>260</v>
      </c>
      <c r="D12985" t="str">
        <f>"12"</f>
        <v>12</v>
      </c>
      <c r="E12985" t="str">
        <f>"1-260-12"</f>
        <v>1-260-12</v>
      </c>
      <c r="F12985" t="s">
        <v>65</v>
      </c>
      <c r="G12985" t="s">
        <v>66</v>
      </c>
      <c r="H12985" t="s">
        <v>67</v>
      </c>
      <c r="S12985">
        <v>1</v>
      </c>
      <c r="T12985">
        <v>0</v>
      </c>
      <c r="U12985">
        <v>0</v>
      </c>
      <c r="V12985">
        <v>0</v>
      </c>
      <c r="W12985">
        <v>1</v>
      </c>
      <c r="X12985">
        <v>0</v>
      </c>
      <c r="Y12985">
        <v>0</v>
      </c>
      <c r="Z12985">
        <v>1</v>
      </c>
      <c r="AA12985">
        <v>1</v>
      </c>
      <c r="AB12985">
        <v>0</v>
      </c>
      <c r="AC12985">
        <v>0</v>
      </c>
      <c r="AD12985">
        <v>1</v>
      </c>
      <c r="AE12985">
        <v>1</v>
      </c>
      <c r="AF12985">
        <v>1</v>
      </c>
      <c r="AG12985">
        <v>1</v>
      </c>
      <c r="AH12985">
        <v>1</v>
      </c>
      <c r="AI12985">
        <v>1</v>
      </c>
      <c r="AJ12985">
        <v>1</v>
      </c>
      <c r="AK12985">
        <v>1</v>
      </c>
      <c r="AL12985">
        <v>1</v>
      </c>
      <c r="AM12985">
        <v>1</v>
      </c>
    </row>
    <row r="12986" spans="1:39" x14ac:dyDescent="0.2">
      <c r="A12986" t="str">
        <f>"12982"</f>
        <v>12982</v>
      </c>
      <c r="B12986" t="str">
        <f t="shared" si="722"/>
        <v>1</v>
      </c>
      <c r="C12986" t="str">
        <f t="shared" si="721"/>
        <v>260</v>
      </c>
      <c r="D12986" t="str">
        <f>"42"</f>
        <v>42</v>
      </c>
      <c r="E12986" t="str">
        <f>"1-260-42"</f>
        <v>1-260-42</v>
      </c>
      <c r="F12986" t="s">
        <v>65</v>
      </c>
      <c r="G12986" t="s">
        <v>66</v>
      </c>
      <c r="H12986" t="s">
        <v>68</v>
      </c>
      <c r="I12986">
        <v>1</v>
      </c>
      <c r="J12986">
        <v>0</v>
      </c>
      <c r="K12986">
        <v>0</v>
      </c>
      <c r="L12986">
        <v>1</v>
      </c>
      <c r="M12986">
        <v>1</v>
      </c>
      <c r="N12986">
        <v>1</v>
      </c>
      <c r="O12986">
        <v>1</v>
      </c>
      <c r="P12986">
        <v>1</v>
      </c>
      <c r="Q12986">
        <v>1</v>
      </c>
      <c r="R12986">
        <v>1</v>
      </c>
    </row>
    <row r="12987" spans="1:39" x14ac:dyDescent="0.2">
      <c r="A12987" t="str">
        <f>"12983"</f>
        <v>12983</v>
      </c>
      <c r="B12987" t="str">
        <f t="shared" si="722"/>
        <v>1</v>
      </c>
      <c r="C12987" t="str">
        <f t="shared" ref="C12987:C13004" si="723">"260"</f>
        <v>260</v>
      </c>
      <c r="D12987" t="str">
        <f>"23"</f>
        <v>23</v>
      </c>
      <c r="E12987" t="str">
        <f>"1-260-23"</f>
        <v>1-260-23</v>
      </c>
      <c r="F12987" t="s">
        <v>65</v>
      </c>
      <c r="G12987" t="s">
        <v>66</v>
      </c>
      <c r="H12987" t="s">
        <v>67</v>
      </c>
      <c r="S12987">
        <v>1</v>
      </c>
      <c r="T12987">
        <v>0</v>
      </c>
      <c r="U12987">
        <v>0</v>
      </c>
      <c r="V12987">
        <v>0</v>
      </c>
      <c r="W12987">
        <v>1</v>
      </c>
      <c r="X12987">
        <v>0</v>
      </c>
      <c r="Y12987">
        <v>1</v>
      </c>
      <c r="Z12987">
        <v>0</v>
      </c>
      <c r="AA12987">
        <v>1</v>
      </c>
      <c r="AB12987">
        <v>0</v>
      </c>
      <c r="AC12987">
        <v>0</v>
      </c>
      <c r="AD12987">
        <v>1</v>
      </c>
      <c r="AE12987">
        <v>1</v>
      </c>
      <c r="AF12987">
        <v>1</v>
      </c>
      <c r="AG12987">
        <v>1</v>
      </c>
      <c r="AH12987">
        <v>1</v>
      </c>
      <c r="AI12987">
        <v>1</v>
      </c>
      <c r="AJ12987">
        <v>1</v>
      </c>
      <c r="AK12987">
        <v>1</v>
      </c>
      <c r="AL12987">
        <v>1</v>
      </c>
      <c r="AM12987">
        <v>1</v>
      </c>
    </row>
    <row r="12988" spans="1:39" x14ac:dyDescent="0.2">
      <c r="A12988" t="str">
        <f>"12984"</f>
        <v>12984</v>
      </c>
      <c r="B12988" t="str">
        <f t="shared" si="722"/>
        <v>1</v>
      </c>
      <c r="C12988" t="str">
        <f t="shared" si="723"/>
        <v>260</v>
      </c>
      <c r="D12988" t="str">
        <f>"7"</f>
        <v>7</v>
      </c>
      <c r="E12988" t="str">
        <f>"1-260-7"</f>
        <v>1-260-7</v>
      </c>
      <c r="F12988" t="s">
        <v>65</v>
      </c>
      <c r="G12988" t="s">
        <v>66</v>
      </c>
      <c r="H12988" t="s">
        <v>67</v>
      </c>
      <c r="S12988">
        <v>1</v>
      </c>
      <c r="T12988">
        <v>0</v>
      </c>
      <c r="U12988">
        <v>0</v>
      </c>
      <c r="V12988">
        <v>0</v>
      </c>
      <c r="W12988">
        <v>1</v>
      </c>
      <c r="X12988">
        <v>0</v>
      </c>
      <c r="Y12988">
        <v>1</v>
      </c>
      <c r="Z12988">
        <v>0</v>
      </c>
      <c r="AA12988">
        <v>1</v>
      </c>
      <c r="AB12988">
        <v>0</v>
      </c>
      <c r="AC12988">
        <v>0</v>
      </c>
      <c r="AD12988">
        <v>1</v>
      </c>
      <c r="AE12988">
        <v>1</v>
      </c>
      <c r="AF12988">
        <v>1</v>
      </c>
      <c r="AG12988">
        <v>1</v>
      </c>
      <c r="AH12988">
        <v>1</v>
      </c>
      <c r="AI12988">
        <v>1</v>
      </c>
      <c r="AJ12988">
        <v>0</v>
      </c>
      <c r="AK12988">
        <v>1</v>
      </c>
      <c r="AL12988">
        <v>1</v>
      </c>
      <c r="AM12988">
        <v>1</v>
      </c>
    </row>
    <row r="12989" spans="1:39" x14ac:dyDescent="0.2">
      <c r="A12989" t="str">
        <f>"12985"</f>
        <v>12985</v>
      </c>
      <c r="B12989" t="str">
        <f t="shared" si="722"/>
        <v>1</v>
      </c>
      <c r="C12989" t="str">
        <f t="shared" si="723"/>
        <v>260</v>
      </c>
      <c r="D12989" t="str">
        <f>"39"</f>
        <v>39</v>
      </c>
      <c r="E12989" t="str">
        <f>"1-260-39"</f>
        <v>1-260-39</v>
      </c>
      <c r="F12989" t="s">
        <v>65</v>
      </c>
      <c r="G12989" t="s">
        <v>66</v>
      </c>
      <c r="H12989" t="s">
        <v>67</v>
      </c>
      <c r="S12989">
        <v>0</v>
      </c>
      <c r="T12989">
        <v>1</v>
      </c>
      <c r="U12989">
        <v>0</v>
      </c>
      <c r="V12989">
        <v>0</v>
      </c>
      <c r="W12989">
        <v>1</v>
      </c>
      <c r="X12989">
        <v>0</v>
      </c>
      <c r="Y12989">
        <v>1</v>
      </c>
      <c r="Z12989">
        <v>0</v>
      </c>
      <c r="AA12989">
        <v>0</v>
      </c>
      <c r="AB12989">
        <v>1</v>
      </c>
      <c r="AC12989">
        <v>0</v>
      </c>
      <c r="AD12989">
        <v>1</v>
      </c>
      <c r="AE12989">
        <v>1</v>
      </c>
      <c r="AF12989">
        <v>1</v>
      </c>
      <c r="AG12989">
        <v>1</v>
      </c>
      <c r="AH12989">
        <v>1</v>
      </c>
      <c r="AI12989">
        <v>1</v>
      </c>
      <c r="AJ12989">
        <v>1</v>
      </c>
      <c r="AK12989">
        <v>1</v>
      </c>
      <c r="AL12989">
        <v>1</v>
      </c>
      <c r="AM12989">
        <v>1</v>
      </c>
    </row>
    <row r="12990" spans="1:39" x14ac:dyDescent="0.2">
      <c r="A12990" t="str">
        <f>"12986"</f>
        <v>12986</v>
      </c>
      <c r="B12990" t="str">
        <f t="shared" si="722"/>
        <v>1</v>
      </c>
      <c r="C12990" t="str">
        <f t="shared" si="723"/>
        <v>260</v>
      </c>
      <c r="D12990" t="str">
        <f>"24"</f>
        <v>24</v>
      </c>
      <c r="E12990" t="str">
        <f>"1-260-24"</f>
        <v>1-260-24</v>
      </c>
      <c r="F12990" t="s">
        <v>65</v>
      </c>
      <c r="G12990" t="s">
        <v>66</v>
      </c>
      <c r="H12990" t="s">
        <v>68</v>
      </c>
      <c r="I12990">
        <v>1</v>
      </c>
      <c r="J12990">
        <v>0</v>
      </c>
      <c r="K12990">
        <v>0</v>
      </c>
      <c r="L12990">
        <v>1</v>
      </c>
      <c r="M12990">
        <v>1</v>
      </c>
      <c r="N12990">
        <v>1</v>
      </c>
      <c r="O12990">
        <v>1</v>
      </c>
      <c r="P12990">
        <v>1</v>
      </c>
      <c r="Q12990">
        <v>1</v>
      </c>
      <c r="R12990">
        <v>1</v>
      </c>
    </row>
    <row r="12991" spans="1:39" x14ac:dyDescent="0.2">
      <c r="A12991" t="str">
        <f>"12987"</f>
        <v>12987</v>
      </c>
      <c r="B12991" t="str">
        <f t="shared" si="722"/>
        <v>1</v>
      </c>
      <c r="C12991" t="str">
        <f t="shared" si="723"/>
        <v>260</v>
      </c>
      <c r="D12991" t="str">
        <f>"5"</f>
        <v>5</v>
      </c>
      <c r="E12991" t="str">
        <f>"1-260-5"</f>
        <v>1-260-5</v>
      </c>
      <c r="F12991" t="s">
        <v>65</v>
      </c>
      <c r="G12991" t="s">
        <v>66</v>
      </c>
      <c r="H12991" t="s">
        <v>67</v>
      </c>
      <c r="S12991">
        <v>1</v>
      </c>
      <c r="T12991">
        <v>0</v>
      </c>
      <c r="U12991">
        <v>0</v>
      </c>
      <c r="V12991">
        <v>0</v>
      </c>
      <c r="W12991">
        <v>1</v>
      </c>
      <c r="X12991">
        <v>0</v>
      </c>
      <c r="Y12991">
        <v>0</v>
      </c>
      <c r="Z12991">
        <v>0</v>
      </c>
      <c r="AA12991">
        <v>1</v>
      </c>
      <c r="AB12991">
        <v>0</v>
      </c>
      <c r="AC12991">
        <v>0</v>
      </c>
      <c r="AD12991">
        <v>1</v>
      </c>
      <c r="AE12991">
        <v>1</v>
      </c>
      <c r="AF12991">
        <v>1</v>
      </c>
      <c r="AG12991">
        <v>1</v>
      </c>
      <c r="AH12991">
        <v>1</v>
      </c>
      <c r="AI12991">
        <v>1</v>
      </c>
      <c r="AJ12991">
        <v>1</v>
      </c>
      <c r="AK12991">
        <v>1</v>
      </c>
      <c r="AL12991">
        <v>1</v>
      </c>
      <c r="AM12991">
        <v>1</v>
      </c>
    </row>
    <row r="12992" spans="1:39" x14ac:dyDescent="0.2">
      <c r="A12992" t="str">
        <f>"12988"</f>
        <v>12988</v>
      </c>
      <c r="B12992" t="str">
        <f t="shared" si="722"/>
        <v>1</v>
      </c>
      <c r="C12992" t="str">
        <f t="shared" si="723"/>
        <v>260</v>
      </c>
      <c r="D12992" t="str">
        <f>"43"</f>
        <v>43</v>
      </c>
      <c r="E12992" t="str">
        <f>"1-260-43"</f>
        <v>1-260-43</v>
      </c>
      <c r="F12992" t="s">
        <v>65</v>
      </c>
      <c r="G12992" t="s">
        <v>66</v>
      </c>
      <c r="H12992" t="s">
        <v>67</v>
      </c>
      <c r="S12992">
        <v>0</v>
      </c>
      <c r="T12992">
        <v>0</v>
      </c>
      <c r="U12992">
        <v>0</v>
      </c>
      <c r="V12992">
        <v>0</v>
      </c>
      <c r="W12992">
        <v>1</v>
      </c>
      <c r="X12992">
        <v>0</v>
      </c>
      <c r="Y12992">
        <v>1</v>
      </c>
      <c r="Z12992">
        <v>0</v>
      </c>
      <c r="AA12992">
        <v>0</v>
      </c>
      <c r="AB12992">
        <v>1</v>
      </c>
      <c r="AC12992">
        <v>0</v>
      </c>
      <c r="AD12992">
        <v>1</v>
      </c>
      <c r="AE12992">
        <v>0</v>
      </c>
      <c r="AF12992">
        <v>1</v>
      </c>
      <c r="AG12992">
        <v>1</v>
      </c>
      <c r="AH12992">
        <v>1</v>
      </c>
      <c r="AI12992">
        <v>1</v>
      </c>
      <c r="AJ12992">
        <v>1</v>
      </c>
      <c r="AK12992">
        <v>1</v>
      </c>
      <c r="AL12992">
        <v>1</v>
      </c>
      <c r="AM12992">
        <v>1</v>
      </c>
    </row>
    <row r="12993" spans="1:39" x14ac:dyDescent="0.2">
      <c r="A12993" t="str">
        <f>"12989"</f>
        <v>12989</v>
      </c>
      <c r="B12993" t="str">
        <f t="shared" si="722"/>
        <v>1</v>
      </c>
      <c r="C12993" t="str">
        <f t="shared" si="723"/>
        <v>260</v>
      </c>
      <c r="D12993" t="str">
        <f>"27"</f>
        <v>27</v>
      </c>
      <c r="E12993" t="str">
        <f>"1-260-27"</f>
        <v>1-260-27</v>
      </c>
      <c r="F12993" t="s">
        <v>65</v>
      </c>
      <c r="G12993" t="s">
        <v>66</v>
      </c>
      <c r="H12993" t="s">
        <v>67</v>
      </c>
      <c r="S12993">
        <v>0</v>
      </c>
      <c r="T12993">
        <v>1</v>
      </c>
      <c r="U12993">
        <v>0</v>
      </c>
      <c r="V12993">
        <v>0</v>
      </c>
      <c r="W12993">
        <v>0</v>
      </c>
      <c r="X12993">
        <v>1</v>
      </c>
      <c r="Y12993">
        <v>1</v>
      </c>
      <c r="Z12993">
        <v>0</v>
      </c>
      <c r="AA12993">
        <v>1</v>
      </c>
      <c r="AB12993">
        <v>0</v>
      </c>
      <c r="AC12993">
        <v>0</v>
      </c>
      <c r="AD12993">
        <v>1</v>
      </c>
      <c r="AE12993">
        <v>1</v>
      </c>
      <c r="AF12993">
        <v>1</v>
      </c>
      <c r="AG12993">
        <v>1</v>
      </c>
      <c r="AH12993">
        <v>0</v>
      </c>
      <c r="AI12993">
        <v>0</v>
      </c>
      <c r="AJ12993">
        <v>1</v>
      </c>
      <c r="AK12993">
        <v>1</v>
      </c>
      <c r="AL12993">
        <v>1</v>
      </c>
      <c r="AM12993">
        <v>1</v>
      </c>
    </row>
    <row r="12994" spans="1:39" x14ac:dyDescent="0.2">
      <c r="A12994" t="str">
        <f>"12990"</f>
        <v>12990</v>
      </c>
      <c r="B12994" t="str">
        <f t="shared" si="722"/>
        <v>1</v>
      </c>
      <c r="C12994" t="str">
        <f t="shared" si="723"/>
        <v>260</v>
      </c>
      <c r="D12994" t="str">
        <f>"11"</f>
        <v>11</v>
      </c>
      <c r="E12994" t="str">
        <f>"1-260-11"</f>
        <v>1-260-11</v>
      </c>
      <c r="F12994" t="s">
        <v>65</v>
      </c>
      <c r="G12994" t="s">
        <v>66</v>
      </c>
      <c r="H12994" t="s">
        <v>67</v>
      </c>
      <c r="S12994">
        <v>1</v>
      </c>
      <c r="T12994">
        <v>0</v>
      </c>
      <c r="U12994">
        <v>0</v>
      </c>
      <c r="V12994">
        <v>0</v>
      </c>
      <c r="W12994">
        <v>1</v>
      </c>
      <c r="X12994">
        <v>0</v>
      </c>
      <c r="Y12994">
        <v>1</v>
      </c>
      <c r="Z12994">
        <v>0</v>
      </c>
      <c r="AA12994">
        <v>1</v>
      </c>
      <c r="AB12994">
        <v>0</v>
      </c>
      <c r="AC12994">
        <v>0</v>
      </c>
      <c r="AD12994">
        <v>1</v>
      </c>
      <c r="AE12994">
        <v>1</v>
      </c>
      <c r="AF12994">
        <v>1</v>
      </c>
      <c r="AG12994">
        <v>1</v>
      </c>
      <c r="AH12994">
        <v>1</v>
      </c>
      <c r="AI12994">
        <v>1</v>
      </c>
      <c r="AJ12994">
        <v>1</v>
      </c>
      <c r="AK12994">
        <v>1</v>
      </c>
      <c r="AL12994">
        <v>1</v>
      </c>
      <c r="AM12994">
        <v>1</v>
      </c>
    </row>
    <row r="12995" spans="1:39" x14ac:dyDescent="0.2">
      <c r="A12995" t="str">
        <f>"12991"</f>
        <v>12991</v>
      </c>
      <c r="B12995" t="str">
        <f t="shared" si="722"/>
        <v>1</v>
      </c>
      <c r="C12995" t="str">
        <f t="shared" si="723"/>
        <v>260</v>
      </c>
      <c r="D12995" t="str">
        <f>"46"</f>
        <v>46</v>
      </c>
      <c r="E12995" t="str">
        <f>"1-260-46"</f>
        <v>1-260-46</v>
      </c>
      <c r="F12995" t="s">
        <v>65</v>
      </c>
      <c r="G12995" t="s">
        <v>66</v>
      </c>
      <c r="H12995" t="s">
        <v>67</v>
      </c>
      <c r="S12995">
        <v>1</v>
      </c>
      <c r="T12995">
        <v>0</v>
      </c>
      <c r="U12995">
        <v>0</v>
      </c>
      <c r="V12995">
        <v>0</v>
      </c>
      <c r="W12995">
        <v>1</v>
      </c>
      <c r="X12995">
        <v>0</v>
      </c>
      <c r="Y12995">
        <v>1</v>
      </c>
      <c r="Z12995">
        <v>0</v>
      </c>
      <c r="AA12995">
        <v>1</v>
      </c>
      <c r="AB12995">
        <v>0</v>
      </c>
      <c r="AC12995">
        <v>0</v>
      </c>
      <c r="AD12995">
        <v>1</v>
      </c>
      <c r="AE12995">
        <v>1</v>
      </c>
      <c r="AF12995">
        <v>1</v>
      </c>
      <c r="AG12995">
        <v>1</v>
      </c>
      <c r="AH12995">
        <v>1</v>
      </c>
      <c r="AI12995">
        <v>1</v>
      </c>
      <c r="AJ12995">
        <v>1</v>
      </c>
      <c r="AK12995">
        <v>1</v>
      </c>
      <c r="AL12995">
        <v>1</v>
      </c>
      <c r="AM12995">
        <v>1</v>
      </c>
    </row>
    <row r="12996" spans="1:39" x14ac:dyDescent="0.2">
      <c r="A12996" t="str">
        <f>"12992"</f>
        <v>12992</v>
      </c>
      <c r="B12996" t="str">
        <f t="shared" si="722"/>
        <v>1</v>
      </c>
      <c r="C12996" t="str">
        <f t="shared" si="723"/>
        <v>260</v>
      </c>
      <c r="D12996" t="str">
        <f>"28"</f>
        <v>28</v>
      </c>
      <c r="E12996" t="str">
        <f>"1-260-28"</f>
        <v>1-260-28</v>
      </c>
      <c r="F12996" t="s">
        <v>65</v>
      </c>
      <c r="G12996" t="s">
        <v>66</v>
      </c>
      <c r="H12996" t="s">
        <v>67</v>
      </c>
      <c r="S12996">
        <v>1</v>
      </c>
      <c r="T12996">
        <v>0</v>
      </c>
      <c r="U12996">
        <v>0</v>
      </c>
      <c r="V12996">
        <v>0</v>
      </c>
      <c r="W12996">
        <v>1</v>
      </c>
      <c r="X12996">
        <v>0</v>
      </c>
      <c r="Y12996">
        <v>1</v>
      </c>
      <c r="Z12996">
        <v>0</v>
      </c>
      <c r="AA12996">
        <v>1</v>
      </c>
      <c r="AB12996">
        <v>0</v>
      </c>
      <c r="AC12996">
        <v>0</v>
      </c>
      <c r="AD12996">
        <v>1</v>
      </c>
      <c r="AE12996">
        <v>1</v>
      </c>
      <c r="AF12996">
        <v>1</v>
      </c>
      <c r="AG12996">
        <v>1</v>
      </c>
      <c r="AH12996">
        <v>1</v>
      </c>
      <c r="AI12996">
        <v>1</v>
      </c>
      <c r="AJ12996">
        <v>1</v>
      </c>
      <c r="AK12996">
        <v>1</v>
      </c>
      <c r="AL12996">
        <v>1</v>
      </c>
      <c r="AM12996">
        <v>1</v>
      </c>
    </row>
    <row r="12997" spans="1:39" x14ac:dyDescent="0.2">
      <c r="A12997" t="str">
        <f>"12993"</f>
        <v>12993</v>
      </c>
      <c r="B12997" t="str">
        <f t="shared" si="722"/>
        <v>1</v>
      </c>
      <c r="C12997" t="str">
        <f t="shared" si="723"/>
        <v>260</v>
      </c>
      <c r="D12997" t="str">
        <f>"3"</f>
        <v>3</v>
      </c>
      <c r="E12997" t="str">
        <f>"1-260-3"</f>
        <v>1-260-3</v>
      </c>
      <c r="F12997" t="s">
        <v>65</v>
      </c>
      <c r="G12997" t="s">
        <v>66</v>
      </c>
      <c r="H12997" t="s">
        <v>67</v>
      </c>
      <c r="S12997">
        <v>1</v>
      </c>
      <c r="T12997">
        <v>0</v>
      </c>
      <c r="U12997">
        <v>0</v>
      </c>
      <c r="V12997">
        <v>0</v>
      </c>
      <c r="W12997">
        <v>1</v>
      </c>
      <c r="X12997">
        <v>0</v>
      </c>
      <c r="Y12997">
        <v>0</v>
      </c>
      <c r="Z12997">
        <v>1</v>
      </c>
      <c r="AA12997">
        <v>1</v>
      </c>
      <c r="AB12997">
        <v>0</v>
      </c>
      <c r="AC12997">
        <v>0</v>
      </c>
      <c r="AD12997">
        <v>1</v>
      </c>
      <c r="AE12997">
        <v>1</v>
      </c>
      <c r="AF12997">
        <v>1</v>
      </c>
      <c r="AG12997">
        <v>1</v>
      </c>
      <c r="AH12997">
        <v>1</v>
      </c>
      <c r="AI12997">
        <v>1</v>
      </c>
      <c r="AJ12997">
        <v>1</v>
      </c>
      <c r="AK12997">
        <v>1</v>
      </c>
      <c r="AL12997">
        <v>1</v>
      </c>
      <c r="AM12997">
        <v>1</v>
      </c>
    </row>
    <row r="12998" spans="1:39" x14ac:dyDescent="0.2">
      <c r="A12998" t="str">
        <f>"12994"</f>
        <v>12994</v>
      </c>
      <c r="B12998" t="str">
        <f t="shared" si="722"/>
        <v>1</v>
      </c>
      <c r="C12998" t="str">
        <f t="shared" si="723"/>
        <v>260</v>
      </c>
      <c r="D12998" t="str">
        <f>"48"</f>
        <v>48</v>
      </c>
      <c r="E12998" t="str">
        <f>"1-260-48"</f>
        <v>1-260-48</v>
      </c>
      <c r="F12998" t="s">
        <v>65</v>
      </c>
      <c r="G12998" t="s">
        <v>66</v>
      </c>
      <c r="H12998" t="s">
        <v>67</v>
      </c>
      <c r="S12998">
        <v>0</v>
      </c>
      <c r="T12998">
        <v>1</v>
      </c>
      <c r="U12998">
        <v>0</v>
      </c>
      <c r="V12998">
        <v>0</v>
      </c>
      <c r="W12998">
        <v>1</v>
      </c>
      <c r="X12998">
        <v>0</v>
      </c>
      <c r="Y12998">
        <v>1</v>
      </c>
      <c r="Z12998">
        <v>0</v>
      </c>
      <c r="AA12998">
        <v>1</v>
      </c>
      <c r="AB12998">
        <v>0</v>
      </c>
      <c r="AC12998">
        <v>0</v>
      </c>
      <c r="AD12998">
        <v>1</v>
      </c>
      <c r="AE12998">
        <v>1</v>
      </c>
      <c r="AF12998">
        <v>1</v>
      </c>
      <c r="AG12998">
        <v>1</v>
      </c>
      <c r="AH12998">
        <v>1</v>
      </c>
      <c r="AI12998">
        <v>1</v>
      </c>
      <c r="AJ12998">
        <v>1</v>
      </c>
      <c r="AK12998">
        <v>1</v>
      </c>
      <c r="AL12998">
        <v>1</v>
      </c>
      <c r="AM12998">
        <v>1</v>
      </c>
    </row>
    <row r="12999" spans="1:39" x14ac:dyDescent="0.2">
      <c r="A12999" t="str">
        <f>"12995"</f>
        <v>12995</v>
      </c>
      <c r="B12999" t="str">
        <f t="shared" si="722"/>
        <v>1</v>
      </c>
      <c r="C12999" t="str">
        <f t="shared" si="723"/>
        <v>260</v>
      </c>
      <c r="D12999" t="str">
        <f>"29"</f>
        <v>29</v>
      </c>
      <c r="E12999" t="str">
        <f>"1-260-29"</f>
        <v>1-260-29</v>
      </c>
      <c r="F12999" t="s">
        <v>65</v>
      </c>
      <c r="G12999" t="s">
        <v>66</v>
      </c>
      <c r="H12999" t="s">
        <v>67</v>
      </c>
      <c r="S12999">
        <v>1</v>
      </c>
      <c r="T12999">
        <v>0</v>
      </c>
      <c r="U12999">
        <v>0</v>
      </c>
      <c r="V12999">
        <v>0</v>
      </c>
      <c r="W12999">
        <v>1</v>
      </c>
      <c r="X12999">
        <v>0</v>
      </c>
      <c r="Y12999">
        <v>1</v>
      </c>
      <c r="Z12999">
        <v>0</v>
      </c>
      <c r="AA12999">
        <v>1</v>
      </c>
      <c r="AB12999">
        <v>0</v>
      </c>
      <c r="AC12999">
        <v>0</v>
      </c>
      <c r="AD12999">
        <v>1</v>
      </c>
      <c r="AE12999">
        <v>1</v>
      </c>
      <c r="AF12999">
        <v>1</v>
      </c>
      <c r="AG12999">
        <v>1</v>
      </c>
      <c r="AH12999">
        <v>1</v>
      </c>
      <c r="AI12999">
        <v>1</v>
      </c>
      <c r="AJ12999">
        <v>1</v>
      </c>
      <c r="AK12999">
        <v>1</v>
      </c>
      <c r="AL12999">
        <v>1</v>
      </c>
      <c r="AM12999">
        <v>1</v>
      </c>
    </row>
    <row r="13000" spans="1:39" x14ac:dyDescent="0.2">
      <c r="A13000" t="str">
        <f>"12996"</f>
        <v>12996</v>
      </c>
      <c r="B13000" t="str">
        <f t="shared" si="722"/>
        <v>1</v>
      </c>
      <c r="C13000" t="str">
        <f t="shared" si="723"/>
        <v>260</v>
      </c>
      <c r="D13000" t="str">
        <f>"10"</f>
        <v>10</v>
      </c>
      <c r="E13000" t="str">
        <f>"1-260-10"</f>
        <v>1-260-10</v>
      </c>
      <c r="F13000" t="s">
        <v>65</v>
      </c>
      <c r="G13000" t="s">
        <v>66</v>
      </c>
      <c r="H13000" t="s">
        <v>67</v>
      </c>
      <c r="S13000">
        <v>1</v>
      </c>
      <c r="T13000">
        <v>0</v>
      </c>
      <c r="U13000">
        <v>0</v>
      </c>
      <c r="V13000">
        <v>0</v>
      </c>
      <c r="W13000">
        <v>1</v>
      </c>
      <c r="X13000">
        <v>0</v>
      </c>
      <c r="Y13000">
        <v>0</v>
      </c>
      <c r="Z13000">
        <v>0</v>
      </c>
      <c r="AA13000">
        <v>1</v>
      </c>
      <c r="AB13000">
        <v>0</v>
      </c>
      <c r="AC13000">
        <v>0</v>
      </c>
      <c r="AD13000">
        <v>0</v>
      </c>
      <c r="AE13000">
        <v>0</v>
      </c>
      <c r="AF13000">
        <v>1</v>
      </c>
      <c r="AG13000">
        <v>0</v>
      </c>
      <c r="AH13000">
        <v>0</v>
      </c>
      <c r="AI13000">
        <v>0</v>
      </c>
      <c r="AJ13000">
        <v>0</v>
      </c>
      <c r="AK13000">
        <v>1</v>
      </c>
      <c r="AL13000">
        <v>0</v>
      </c>
      <c r="AM13000">
        <v>0</v>
      </c>
    </row>
    <row r="13001" spans="1:39" x14ac:dyDescent="0.2">
      <c r="A13001" t="str">
        <f>"12997"</f>
        <v>12997</v>
      </c>
      <c r="B13001" t="str">
        <f t="shared" si="722"/>
        <v>1</v>
      </c>
      <c r="C13001" t="str">
        <f t="shared" si="723"/>
        <v>260</v>
      </c>
      <c r="D13001" t="str">
        <f>"47"</f>
        <v>47</v>
      </c>
      <c r="E13001" t="str">
        <f>"1-260-47"</f>
        <v>1-260-47</v>
      </c>
      <c r="F13001" t="s">
        <v>65</v>
      </c>
      <c r="G13001" t="s">
        <v>66</v>
      </c>
      <c r="H13001" t="s">
        <v>67</v>
      </c>
      <c r="S13001">
        <v>0</v>
      </c>
      <c r="T13001">
        <v>1</v>
      </c>
      <c r="U13001">
        <v>0</v>
      </c>
      <c r="V13001">
        <v>0</v>
      </c>
      <c r="W13001">
        <v>1</v>
      </c>
      <c r="X13001">
        <v>0</v>
      </c>
      <c r="Y13001">
        <v>1</v>
      </c>
      <c r="Z13001">
        <v>0</v>
      </c>
      <c r="AA13001">
        <v>1</v>
      </c>
      <c r="AB13001">
        <v>0</v>
      </c>
      <c r="AC13001">
        <v>0</v>
      </c>
      <c r="AD13001">
        <v>1</v>
      </c>
      <c r="AE13001">
        <v>1</v>
      </c>
      <c r="AF13001">
        <v>1</v>
      </c>
      <c r="AG13001">
        <v>1</v>
      </c>
      <c r="AH13001">
        <v>1</v>
      </c>
      <c r="AI13001">
        <v>1</v>
      </c>
      <c r="AJ13001">
        <v>1</v>
      </c>
      <c r="AK13001">
        <v>1</v>
      </c>
      <c r="AL13001">
        <v>1</v>
      </c>
      <c r="AM13001">
        <v>1</v>
      </c>
    </row>
    <row r="13002" spans="1:39" x14ac:dyDescent="0.2">
      <c r="A13002" t="str">
        <f>"12998"</f>
        <v>12998</v>
      </c>
      <c r="B13002" t="str">
        <f t="shared" si="722"/>
        <v>1</v>
      </c>
      <c r="C13002" t="str">
        <f t="shared" si="723"/>
        <v>260</v>
      </c>
      <c r="D13002" t="str">
        <f>"30"</f>
        <v>30</v>
      </c>
      <c r="E13002" t="str">
        <f>"1-260-30"</f>
        <v>1-260-30</v>
      </c>
      <c r="F13002" t="s">
        <v>65</v>
      </c>
      <c r="G13002" t="s">
        <v>66</v>
      </c>
      <c r="H13002" t="s">
        <v>67</v>
      </c>
      <c r="S13002">
        <v>1</v>
      </c>
      <c r="T13002">
        <v>0</v>
      </c>
      <c r="U13002">
        <v>0</v>
      </c>
      <c r="V13002">
        <v>0</v>
      </c>
      <c r="W13002">
        <v>0</v>
      </c>
      <c r="X13002">
        <v>1</v>
      </c>
      <c r="Y13002">
        <v>0</v>
      </c>
      <c r="Z13002">
        <v>1</v>
      </c>
      <c r="AA13002">
        <v>0</v>
      </c>
      <c r="AB13002">
        <v>0</v>
      </c>
      <c r="AC13002">
        <v>1</v>
      </c>
      <c r="AD13002">
        <v>0</v>
      </c>
      <c r="AE13002">
        <v>0</v>
      </c>
      <c r="AF13002">
        <v>0</v>
      </c>
      <c r="AG13002">
        <v>0</v>
      </c>
      <c r="AH13002">
        <v>0</v>
      </c>
      <c r="AI13002">
        <v>0</v>
      </c>
      <c r="AJ13002">
        <v>0</v>
      </c>
      <c r="AK13002">
        <v>0</v>
      </c>
      <c r="AL13002">
        <v>0</v>
      </c>
      <c r="AM13002">
        <v>0</v>
      </c>
    </row>
    <row r="13003" spans="1:39" x14ac:dyDescent="0.2">
      <c r="A13003" t="str">
        <f>"12999"</f>
        <v>12999</v>
      </c>
      <c r="B13003" t="str">
        <f t="shared" si="722"/>
        <v>1</v>
      </c>
      <c r="C13003" t="str">
        <f t="shared" si="723"/>
        <v>260</v>
      </c>
      <c r="D13003" t="str">
        <f>"9"</f>
        <v>9</v>
      </c>
      <c r="E13003" t="str">
        <f>"1-260-9"</f>
        <v>1-260-9</v>
      </c>
      <c r="F13003" t="s">
        <v>65</v>
      </c>
      <c r="G13003" t="s">
        <v>66</v>
      </c>
      <c r="H13003" t="s">
        <v>67</v>
      </c>
      <c r="S13003">
        <v>1</v>
      </c>
      <c r="T13003">
        <v>0</v>
      </c>
      <c r="U13003">
        <v>0</v>
      </c>
      <c r="V13003">
        <v>0</v>
      </c>
      <c r="W13003">
        <v>1</v>
      </c>
      <c r="X13003">
        <v>0</v>
      </c>
      <c r="Y13003">
        <v>1</v>
      </c>
      <c r="Z13003">
        <v>0</v>
      </c>
      <c r="AA13003">
        <v>1</v>
      </c>
      <c r="AB13003">
        <v>0</v>
      </c>
      <c r="AC13003">
        <v>0</v>
      </c>
      <c r="AD13003">
        <v>1</v>
      </c>
      <c r="AE13003">
        <v>1</v>
      </c>
      <c r="AF13003">
        <v>1</v>
      </c>
      <c r="AG13003">
        <v>1</v>
      </c>
      <c r="AH13003">
        <v>1</v>
      </c>
      <c r="AI13003">
        <v>1</v>
      </c>
      <c r="AJ13003">
        <v>0</v>
      </c>
      <c r="AK13003">
        <v>1</v>
      </c>
      <c r="AL13003">
        <v>1</v>
      </c>
      <c r="AM13003">
        <v>1</v>
      </c>
    </row>
    <row r="13004" spans="1:39" x14ac:dyDescent="0.2">
      <c r="A13004" t="str">
        <f>"13000"</f>
        <v>13000</v>
      </c>
      <c r="B13004" t="str">
        <f t="shared" si="722"/>
        <v>1</v>
      </c>
      <c r="C13004" t="str">
        <f t="shared" si="723"/>
        <v>260</v>
      </c>
      <c r="D13004" t="str">
        <f>"35"</f>
        <v>35</v>
      </c>
      <c r="E13004" t="str">
        <f>"1-260-35"</f>
        <v>1-260-35</v>
      </c>
      <c r="F13004" t="s">
        <v>65</v>
      </c>
      <c r="G13004" t="s">
        <v>66</v>
      </c>
      <c r="H13004" t="s">
        <v>67</v>
      </c>
      <c r="S13004">
        <v>1</v>
      </c>
      <c r="T13004">
        <v>0</v>
      </c>
      <c r="U13004">
        <v>0</v>
      </c>
      <c r="V13004">
        <v>0</v>
      </c>
      <c r="W13004">
        <v>1</v>
      </c>
      <c r="X13004">
        <v>0</v>
      </c>
      <c r="Y13004">
        <v>1</v>
      </c>
      <c r="Z13004">
        <v>0</v>
      </c>
      <c r="AA13004">
        <v>0</v>
      </c>
      <c r="AB13004">
        <v>0</v>
      </c>
      <c r="AC13004">
        <v>1</v>
      </c>
      <c r="AD13004">
        <v>1</v>
      </c>
      <c r="AE13004">
        <v>1</v>
      </c>
      <c r="AF13004">
        <v>1</v>
      </c>
      <c r="AG13004">
        <v>1</v>
      </c>
      <c r="AH13004">
        <v>1</v>
      </c>
      <c r="AI13004">
        <v>1</v>
      </c>
      <c r="AJ13004">
        <v>1</v>
      </c>
      <c r="AK13004">
        <v>1</v>
      </c>
      <c r="AL13004">
        <v>1</v>
      </c>
      <c r="AM13004">
        <v>1</v>
      </c>
    </row>
    <row r="13005" spans="1:39" x14ac:dyDescent="0.2">
      <c r="A13005" t="str">
        <f>"13001"</f>
        <v>13001</v>
      </c>
      <c r="B13005" t="str">
        <f t="shared" si="722"/>
        <v>1</v>
      </c>
      <c r="C13005" t="str">
        <f t="shared" ref="C13005:C13036" si="724">"261"</f>
        <v>261</v>
      </c>
      <c r="D13005" t="str">
        <f>"32"</f>
        <v>32</v>
      </c>
      <c r="E13005" t="str">
        <f>"1-261-32"</f>
        <v>1-261-32</v>
      </c>
      <c r="F13005" t="s">
        <v>65</v>
      </c>
      <c r="G13005" t="s">
        <v>66</v>
      </c>
      <c r="H13005" t="s">
        <v>67</v>
      </c>
      <c r="S13005">
        <v>1</v>
      </c>
      <c r="T13005">
        <v>0</v>
      </c>
      <c r="U13005">
        <v>0</v>
      </c>
      <c r="V13005">
        <v>0</v>
      </c>
      <c r="W13005">
        <v>1</v>
      </c>
      <c r="X13005">
        <v>0</v>
      </c>
      <c r="Y13005">
        <v>0</v>
      </c>
      <c r="Z13005">
        <v>1</v>
      </c>
      <c r="AA13005">
        <v>1</v>
      </c>
      <c r="AB13005">
        <v>0</v>
      </c>
      <c r="AC13005">
        <v>0</v>
      </c>
      <c r="AD13005">
        <v>1</v>
      </c>
      <c r="AE13005">
        <v>1</v>
      </c>
      <c r="AF13005">
        <v>1</v>
      </c>
      <c r="AG13005">
        <v>1</v>
      </c>
      <c r="AH13005">
        <v>1</v>
      </c>
      <c r="AI13005">
        <v>1</v>
      </c>
      <c r="AJ13005">
        <v>1</v>
      </c>
      <c r="AK13005">
        <v>1</v>
      </c>
      <c r="AL13005">
        <v>1</v>
      </c>
      <c r="AM13005">
        <v>1</v>
      </c>
    </row>
    <row r="13006" spans="1:39" x14ac:dyDescent="0.2">
      <c r="A13006" t="str">
        <f>"13002"</f>
        <v>13002</v>
      </c>
      <c r="B13006" t="str">
        <f t="shared" si="722"/>
        <v>1</v>
      </c>
      <c r="C13006" t="str">
        <f t="shared" si="724"/>
        <v>261</v>
      </c>
      <c r="D13006" t="str">
        <f>"31"</f>
        <v>31</v>
      </c>
      <c r="E13006" t="str">
        <f>"1-261-31"</f>
        <v>1-261-31</v>
      </c>
      <c r="F13006" t="s">
        <v>65</v>
      </c>
      <c r="G13006" t="s">
        <v>66</v>
      </c>
      <c r="H13006" t="s">
        <v>67</v>
      </c>
      <c r="S13006">
        <v>1</v>
      </c>
      <c r="T13006">
        <v>0</v>
      </c>
      <c r="U13006">
        <v>0</v>
      </c>
      <c r="V13006">
        <v>0</v>
      </c>
      <c r="W13006">
        <v>1</v>
      </c>
      <c r="X13006">
        <v>0</v>
      </c>
      <c r="Y13006">
        <v>0</v>
      </c>
      <c r="Z13006">
        <v>1</v>
      </c>
      <c r="AA13006">
        <v>0</v>
      </c>
      <c r="AB13006">
        <v>1</v>
      </c>
      <c r="AC13006">
        <v>0</v>
      </c>
      <c r="AD13006">
        <v>1</v>
      </c>
      <c r="AE13006">
        <v>1</v>
      </c>
      <c r="AF13006">
        <v>1</v>
      </c>
      <c r="AG13006">
        <v>1</v>
      </c>
      <c r="AH13006">
        <v>1</v>
      </c>
      <c r="AI13006">
        <v>1</v>
      </c>
      <c r="AJ13006">
        <v>1</v>
      </c>
      <c r="AK13006">
        <v>1</v>
      </c>
      <c r="AL13006">
        <v>1</v>
      </c>
      <c r="AM13006">
        <v>1</v>
      </c>
    </row>
    <row r="13007" spans="1:39" x14ac:dyDescent="0.2">
      <c r="A13007" t="str">
        <f>"13003"</f>
        <v>13003</v>
      </c>
      <c r="B13007" t="str">
        <f t="shared" si="722"/>
        <v>1</v>
      </c>
      <c r="C13007" t="str">
        <f t="shared" si="724"/>
        <v>261</v>
      </c>
      <c r="D13007" t="str">
        <f>"23"</f>
        <v>23</v>
      </c>
      <c r="E13007" t="str">
        <f>"1-261-23"</f>
        <v>1-261-23</v>
      </c>
      <c r="F13007" t="s">
        <v>65</v>
      </c>
      <c r="G13007" t="s">
        <v>66</v>
      </c>
      <c r="H13007" t="s">
        <v>67</v>
      </c>
      <c r="S13007">
        <v>1</v>
      </c>
      <c r="T13007">
        <v>0</v>
      </c>
      <c r="U13007">
        <v>0</v>
      </c>
      <c r="V13007">
        <v>0</v>
      </c>
      <c r="W13007">
        <v>1</v>
      </c>
      <c r="X13007">
        <v>0</v>
      </c>
      <c r="Y13007">
        <v>0</v>
      </c>
      <c r="Z13007">
        <v>1</v>
      </c>
      <c r="AA13007">
        <v>1</v>
      </c>
      <c r="AB13007">
        <v>0</v>
      </c>
      <c r="AC13007">
        <v>0</v>
      </c>
      <c r="AD13007">
        <v>1</v>
      </c>
      <c r="AE13007">
        <v>1</v>
      </c>
      <c r="AF13007">
        <v>1</v>
      </c>
      <c r="AG13007">
        <v>1</v>
      </c>
      <c r="AH13007">
        <v>1</v>
      </c>
      <c r="AI13007">
        <v>1</v>
      </c>
      <c r="AJ13007">
        <v>1</v>
      </c>
      <c r="AK13007">
        <v>1</v>
      </c>
      <c r="AL13007">
        <v>1</v>
      </c>
      <c r="AM13007">
        <v>1</v>
      </c>
    </row>
    <row r="13008" spans="1:39" x14ac:dyDescent="0.2">
      <c r="A13008" t="str">
        <f>"13004"</f>
        <v>13004</v>
      </c>
      <c r="B13008" t="str">
        <f t="shared" si="722"/>
        <v>1</v>
      </c>
      <c r="C13008" t="str">
        <f t="shared" si="724"/>
        <v>261</v>
      </c>
      <c r="D13008" t="str">
        <f>"15"</f>
        <v>15</v>
      </c>
      <c r="E13008" t="str">
        <f>"1-261-15"</f>
        <v>1-261-15</v>
      </c>
      <c r="F13008" t="s">
        <v>65</v>
      </c>
      <c r="G13008" t="s">
        <v>66</v>
      </c>
      <c r="H13008" t="s">
        <v>67</v>
      </c>
      <c r="S13008">
        <v>1</v>
      </c>
      <c r="T13008">
        <v>0</v>
      </c>
      <c r="U13008">
        <v>0</v>
      </c>
      <c r="V13008">
        <v>0</v>
      </c>
      <c r="W13008">
        <v>0</v>
      </c>
      <c r="X13008">
        <v>1</v>
      </c>
      <c r="Y13008">
        <v>0</v>
      </c>
      <c r="Z13008">
        <v>1</v>
      </c>
      <c r="AA13008">
        <v>0</v>
      </c>
      <c r="AB13008">
        <v>1</v>
      </c>
      <c r="AC13008">
        <v>0</v>
      </c>
      <c r="AD13008">
        <v>0</v>
      </c>
      <c r="AE13008">
        <v>0</v>
      </c>
      <c r="AF13008">
        <v>0</v>
      </c>
      <c r="AG13008">
        <v>0</v>
      </c>
      <c r="AH13008">
        <v>0</v>
      </c>
      <c r="AI13008">
        <v>0</v>
      </c>
      <c r="AJ13008">
        <v>0</v>
      </c>
      <c r="AK13008">
        <v>0</v>
      </c>
      <c r="AL13008">
        <v>0</v>
      </c>
      <c r="AM13008">
        <v>0</v>
      </c>
    </row>
    <row r="13009" spans="1:39" x14ac:dyDescent="0.2">
      <c r="A13009" t="str">
        <f>"13005"</f>
        <v>13005</v>
      </c>
      <c r="B13009" t="str">
        <f t="shared" si="722"/>
        <v>1</v>
      </c>
      <c r="C13009" t="str">
        <f t="shared" si="724"/>
        <v>261</v>
      </c>
      <c r="D13009" t="str">
        <f>"3"</f>
        <v>3</v>
      </c>
      <c r="E13009" t="str">
        <f>"1-261-3"</f>
        <v>1-261-3</v>
      </c>
      <c r="F13009" t="s">
        <v>65</v>
      </c>
      <c r="G13009" t="s">
        <v>66</v>
      </c>
      <c r="H13009" t="s">
        <v>67</v>
      </c>
      <c r="S13009">
        <v>1</v>
      </c>
      <c r="T13009">
        <v>0</v>
      </c>
      <c r="U13009">
        <v>0</v>
      </c>
      <c r="V13009">
        <v>0</v>
      </c>
      <c r="W13009">
        <v>1</v>
      </c>
      <c r="X13009">
        <v>0</v>
      </c>
      <c r="Y13009">
        <v>1</v>
      </c>
      <c r="Z13009">
        <v>0</v>
      </c>
      <c r="AA13009">
        <v>0</v>
      </c>
      <c r="AB13009">
        <v>0</v>
      </c>
      <c r="AC13009">
        <v>1</v>
      </c>
      <c r="AD13009">
        <v>1</v>
      </c>
      <c r="AE13009">
        <v>1</v>
      </c>
      <c r="AF13009">
        <v>1</v>
      </c>
      <c r="AG13009">
        <v>1</v>
      </c>
      <c r="AH13009">
        <v>1</v>
      </c>
      <c r="AI13009">
        <v>1</v>
      </c>
      <c r="AJ13009">
        <v>1</v>
      </c>
      <c r="AK13009">
        <v>1</v>
      </c>
      <c r="AL13009">
        <v>1</v>
      </c>
      <c r="AM13009">
        <v>1</v>
      </c>
    </row>
    <row r="13010" spans="1:39" x14ac:dyDescent="0.2">
      <c r="A13010" t="str">
        <f>"13006"</f>
        <v>13006</v>
      </c>
      <c r="B13010" t="str">
        <f t="shared" si="722"/>
        <v>1</v>
      </c>
      <c r="C13010" t="str">
        <f t="shared" si="724"/>
        <v>261</v>
      </c>
      <c r="D13010" t="str">
        <f>"36"</f>
        <v>36</v>
      </c>
      <c r="E13010" t="str">
        <f>"1-261-36"</f>
        <v>1-261-36</v>
      </c>
      <c r="F13010" t="s">
        <v>65</v>
      </c>
      <c r="G13010" t="s">
        <v>66</v>
      </c>
      <c r="H13010" t="s">
        <v>67</v>
      </c>
      <c r="S13010">
        <v>0</v>
      </c>
      <c r="T13010">
        <v>1</v>
      </c>
      <c r="U13010">
        <v>0</v>
      </c>
      <c r="V13010">
        <v>0</v>
      </c>
      <c r="W13010">
        <v>1</v>
      </c>
      <c r="X13010">
        <v>0</v>
      </c>
      <c r="Y13010">
        <v>1</v>
      </c>
      <c r="Z13010">
        <v>0</v>
      </c>
      <c r="AA13010">
        <v>1</v>
      </c>
      <c r="AB13010">
        <v>0</v>
      </c>
      <c r="AC13010">
        <v>0</v>
      </c>
      <c r="AD13010">
        <v>1</v>
      </c>
      <c r="AE13010">
        <v>1</v>
      </c>
      <c r="AF13010">
        <v>1</v>
      </c>
      <c r="AG13010">
        <v>1</v>
      </c>
      <c r="AH13010">
        <v>1</v>
      </c>
      <c r="AI13010">
        <v>1</v>
      </c>
      <c r="AJ13010">
        <v>1</v>
      </c>
      <c r="AK13010">
        <v>1</v>
      </c>
      <c r="AL13010">
        <v>1</v>
      </c>
      <c r="AM13010">
        <v>1</v>
      </c>
    </row>
    <row r="13011" spans="1:39" x14ac:dyDescent="0.2">
      <c r="A13011" t="str">
        <f>"13007"</f>
        <v>13007</v>
      </c>
      <c r="B13011" t="str">
        <f t="shared" si="722"/>
        <v>1</v>
      </c>
      <c r="C13011" t="str">
        <f t="shared" si="724"/>
        <v>261</v>
      </c>
      <c r="D13011" t="str">
        <f>"35"</f>
        <v>35</v>
      </c>
      <c r="E13011" t="str">
        <f>"1-261-35"</f>
        <v>1-261-35</v>
      </c>
      <c r="F13011" t="s">
        <v>65</v>
      </c>
      <c r="G13011" t="s">
        <v>66</v>
      </c>
      <c r="H13011" t="s">
        <v>67</v>
      </c>
      <c r="S13011">
        <v>0</v>
      </c>
      <c r="T13011">
        <v>0</v>
      </c>
      <c r="U13011">
        <v>0</v>
      </c>
      <c r="V13011">
        <v>0</v>
      </c>
      <c r="W13011">
        <v>0</v>
      </c>
      <c r="X13011">
        <v>1</v>
      </c>
      <c r="Y13011">
        <v>1</v>
      </c>
      <c r="Z13011">
        <v>0</v>
      </c>
      <c r="AA13011">
        <v>0</v>
      </c>
      <c r="AB13011">
        <v>0</v>
      </c>
      <c r="AC13011">
        <v>0</v>
      </c>
      <c r="AD13011">
        <v>0</v>
      </c>
      <c r="AE13011">
        <v>1</v>
      </c>
      <c r="AF13011">
        <v>1</v>
      </c>
      <c r="AG13011">
        <v>1</v>
      </c>
      <c r="AH13011">
        <v>0</v>
      </c>
      <c r="AI13011">
        <v>1</v>
      </c>
      <c r="AJ13011">
        <v>1</v>
      </c>
      <c r="AK13011">
        <v>1</v>
      </c>
      <c r="AL13011">
        <v>1</v>
      </c>
      <c r="AM13011">
        <v>1</v>
      </c>
    </row>
    <row r="13012" spans="1:39" x14ac:dyDescent="0.2">
      <c r="A13012" t="str">
        <f>"13008"</f>
        <v>13008</v>
      </c>
      <c r="B13012" t="str">
        <f t="shared" si="722"/>
        <v>1</v>
      </c>
      <c r="C13012" t="str">
        <f t="shared" si="724"/>
        <v>261</v>
      </c>
      <c r="D13012" t="str">
        <f>"26"</f>
        <v>26</v>
      </c>
      <c r="E13012" t="str">
        <f>"1-261-26"</f>
        <v>1-261-26</v>
      </c>
      <c r="F13012" t="s">
        <v>65</v>
      </c>
      <c r="G13012" t="s">
        <v>66</v>
      </c>
      <c r="H13012" t="s">
        <v>67</v>
      </c>
      <c r="S13012">
        <v>1</v>
      </c>
      <c r="T13012">
        <v>0</v>
      </c>
      <c r="U13012">
        <v>0</v>
      </c>
      <c r="V13012">
        <v>0</v>
      </c>
      <c r="W13012">
        <v>1</v>
      </c>
      <c r="X13012">
        <v>0</v>
      </c>
      <c r="Y13012">
        <v>1</v>
      </c>
      <c r="Z13012">
        <v>0</v>
      </c>
      <c r="AA13012">
        <v>1</v>
      </c>
      <c r="AB13012">
        <v>0</v>
      </c>
      <c r="AC13012">
        <v>0</v>
      </c>
      <c r="AD13012">
        <v>0</v>
      </c>
      <c r="AE13012">
        <v>0</v>
      </c>
      <c r="AF13012">
        <v>0</v>
      </c>
      <c r="AG13012">
        <v>0</v>
      </c>
      <c r="AH13012">
        <v>0</v>
      </c>
      <c r="AI13012">
        <v>0</v>
      </c>
      <c r="AJ13012">
        <v>0</v>
      </c>
      <c r="AK13012">
        <v>0</v>
      </c>
      <c r="AL13012">
        <v>0</v>
      </c>
      <c r="AM13012">
        <v>0</v>
      </c>
    </row>
    <row r="13013" spans="1:39" x14ac:dyDescent="0.2">
      <c r="A13013" t="str">
        <f>"13009"</f>
        <v>13009</v>
      </c>
      <c r="B13013" t="str">
        <f t="shared" si="722"/>
        <v>1</v>
      </c>
      <c r="C13013" t="str">
        <f t="shared" si="724"/>
        <v>261</v>
      </c>
      <c r="D13013" t="str">
        <f>"16"</f>
        <v>16</v>
      </c>
      <c r="E13013" t="str">
        <f>"1-261-16"</f>
        <v>1-261-16</v>
      </c>
      <c r="F13013" t="s">
        <v>65</v>
      </c>
      <c r="G13013" t="s">
        <v>66</v>
      </c>
      <c r="H13013" t="s">
        <v>67</v>
      </c>
      <c r="S13013">
        <v>0</v>
      </c>
      <c r="T13013">
        <v>1</v>
      </c>
      <c r="U13013">
        <v>0</v>
      </c>
      <c r="V13013">
        <v>0</v>
      </c>
      <c r="W13013">
        <v>0</v>
      </c>
      <c r="X13013">
        <v>1</v>
      </c>
      <c r="Y13013">
        <v>0</v>
      </c>
      <c r="Z13013">
        <v>1</v>
      </c>
      <c r="AA13013">
        <v>0</v>
      </c>
      <c r="AB13013">
        <v>1</v>
      </c>
      <c r="AC13013">
        <v>0</v>
      </c>
      <c r="AD13013">
        <v>1</v>
      </c>
      <c r="AE13013">
        <v>1</v>
      </c>
      <c r="AF13013">
        <v>1</v>
      </c>
      <c r="AG13013">
        <v>1</v>
      </c>
      <c r="AH13013">
        <v>1</v>
      </c>
      <c r="AI13013">
        <v>1</v>
      </c>
      <c r="AJ13013">
        <v>1</v>
      </c>
      <c r="AK13013">
        <v>1</v>
      </c>
      <c r="AL13013">
        <v>1</v>
      </c>
      <c r="AM13013">
        <v>1</v>
      </c>
    </row>
    <row r="13014" spans="1:39" x14ac:dyDescent="0.2">
      <c r="A13014" t="str">
        <f>"13010"</f>
        <v>13010</v>
      </c>
      <c r="B13014" t="str">
        <f t="shared" si="722"/>
        <v>1</v>
      </c>
      <c r="C13014" t="str">
        <f t="shared" si="724"/>
        <v>261</v>
      </c>
      <c r="D13014" t="str">
        <f>"9"</f>
        <v>9</v>
      </c>
      <c r="E13014" t="str">
        <f>"1-261-9"</f>
        <v>1-261-9</v>
      </c>
      <c r="F13014" t="s">
        <v>65</v>
      </c>
      <c r="G13014" t="s">
        <v>66</v>
      </c>
      <c r="H13014" t="s">
        <v>67</v>
      </c>
      <c r="S13014">
        <v>1</v>
      </c>
      <c r="T13014">
        <v>0</v>
      </c>
      <c r="U13014">
        <v>0</v>
      </c>
      <c r="V13014">
        <v>0</v>
      </c>
      <c r="W13014">
        <v>1</v>
      </c>
      <c r="X13014">
        <v>0</v>
      </c>
      <c r="Y13014">
        <v>0</v>
      </c>
      <c r="Z13014">
        <v>1</v>
      </c>
      <c r="AA13014">
        <v>1</v>
      </c>
      <c r="AB13014">
        <v>0</v>
      </c>
      <c r="AC13014">
        <v>0</v>
      </c>
      <c r="AD13014">
        <v>0</v>
      </c>
      <c r="AE13014">
        <v>0</v>
      </c>
      <c r="AF13014">
        <v>0</v>
      </c>
      <c r="AG13014">
        <v>0</v>
      </c>
      <c r="AH13014">
        <v>1</v>
      </c>
      <c r="AI13014">
        <v>0</v>
      </c>
      <c r="AJ13014">
        <v>1</v>
      </c>
      <c r="AK13014">
        <v>0</v>
      </c>
      <c r="AL13014">
        <v>0</v>
      </c>
      <c r="AM13014">
        <v>0</v>
      </c>
    </row>
    <row r="13015" spans="1:39" x14ac:dyDescent="0.2">
      <c r="A13015" t="str">
        <f>"13011"</f>
        <v>13011</v>
      </c>
      <c r="B13015" t="str">
        <f t="shared" si="722"/>
        <v>1</v>
      </c>
      <c r="C13015" t="str">
        <f t="shared" si="724"/>
        <v>261</v>
      </c>
      <c r="D13015" t="str">
        <f>"47"</f>
        <v>47</v>
      </c>
      <c r="E13015" t="str">
        <f>"1-261-47"</f>
        <v>1-261-47</v>
      </c>
      <c r="F13015" t="s">
        <v>65</v>
      </c>
      <c r="G13015" t="s">
        <v>66</v>
      </c>
      <c r="H13015" t="s">
        <v>67</v>
      </c>
      <c r="S13015">
        <v>0</v>
      </c>
      <c r="T13015">
        <v>1</v>
      </c>
      <c r="U13015">
        <v>0</v>
      </c>
      <c r="V13015">
        <v>0</v>
      </c>
      <c r="W13015">
        <v>0</v>
      </c>
      <c r="X13015">
        <v>1</v>
      </c>
      <c r="Y13015">
        <v>0</v>
      </c>
      <c r="Z13015">
        <v>1</v>
      </c>
      <c r="AA13015">
        <v>0</v>
      </c>
      <c r="AB13015">
        <v>0</v>
      </c>
      <c r="AC13015">
        <v>1</v>
      </c>
      <c r="AD13015">
        <v>1</v>
      </c>
      <c r="AE13015">
        <v>1</v>
      </c>
      <c r="AF13015">
        <v>1</v>
      </c>
      <c r="AG13015">
        <v>1</v>
      </c>
      <c r="AH13015">
        <v>1</v>
      </c>
      <c r="AI13015">
        <v>1</v>
      </c>
      <c r="AJ13015">
        <v>1</v>
      </c>
      <c r="AK13015">
        <v>1</v>
      </c>
      <c r="AL13015">
        <v>1</v>
      </c>
      <c r="AM13015">
        <v>1</v>
      </c>
    </row>
    <row r="13016" spans="1:39" x14ac:dyDescent="0.2">
      <c r="A13016" t="str">
        <f>"13012"</f>
        <v>13012</v>
      </c>
      <c r="B13016" t="str">
        <f t="shared" si="722"/>
        <v>1</v>
      </c>
      <c r="C13016" t="str">
        <f t="shared" si="724"/>
        <v>261</v>
      </c>
      <c r="D13016" t="str">
        <f>"46"</f>
        <v>46</v>
      </c>
      <c r="E13016" t="str">
        <f>"1-261-46"</f>
        <v>1-261-46</v>
      </c>
      <c r="F13016" t="s">
        <v>65</v>
      </c>
      <c r="G13016" t="s">
        <v>66</v>
      </c>
      <c r="H13016" t="s">
        <v>67</v>
      </c>
      <c r="S13016">
        <v>0</v>
      </c>
      <c r="T13016">
        <v>1</v>
      </c>
      <c r="U13016">
        <v>0</v>
      </c>
      <c r="V13016">
        <v>0</v>
      </c>
      <c r="W13016">
        <v>1</v>
      </c>
      <c r="X13016">
        <v>0</v>
      </c>
      <c r="Y13016">
        <v>0</v>
      </c>
      <c r="Z13016">
        <v>1</v>
      </c>
      <c r="AA13016">
        <v>0</v>
      </c>
      <c r="AB13016">
        <v>1</v>
      </c>
      <c r="AC13016">
        <v>0</v>
      </c>
      <c r="AD13016">
        <v>1</v>
      </c>
      <c r="AE13016">
        <v>1</v>
      </c>
      <c r="AF13016">
        <v>1</v>
      </c>
      <c r="AG13016">
        <v>1</v>
      </c>
      <c r="AH13016">
        <v>1</v>
      </c>
      <c r="AI13016">
        <v>1</v>
      </c>
      <c r="AJ13016">
        <v>1</v>
      </c>
      <c r="AK13016">
        <v>1</v>
      </c>
      <c r="AL13016">
        <v>1</v>
      </c>
      <c r="AM13016">
        <v>1</v>
      </c>
    </row>
    <row r="13017" spans="1:39" x14ac:dyDescent="0.2">
      <c r="A13017" t="str">
        <f>"13013"</f>
        <v>13013</v>
      </c>
      <c r="B13017" t="str">
        <f t="shared" si="722"/>
        <v>1</v>
      </c>
      <c r="C13017" t="str">
        <f t="shared" si="724"/>
        <v>261</v>
      </c>
      <c r="D13017" t="str">
        <f>"33"</f>
        <v>33</v>
      </c>
      <c r="E13017" t="str">
        <f>"1-261-33"</f>
        <v>1-261-33</v>
      </c>
      <c r="F13017" t="s">
        <v>65</v>
      </c>
      <c r="G13017" t="s">
        <v>66</v>
      </c>
      <c r="H13017" t="s">
        <v>67</v>
      </c>
      <c r="S13017">
        <v>1</v>
      </c>
      <c r="T13017">
        <v>0</v>
      </c>
      <c r="U13017">
        <v>0</v>
      </c>
      <c r="V13017">
        <v>0</v>
      </c>
      <c r="W13017">
        <v>1</v>
      </c>
      <c r="X13017">
        <v>0</v>
      </c>
      <c r="Y13017">
        <v>1</v>
      </c>
      <c r="Z13017">
        <v>0</v>
      </c>
      <c r="AA13017">
        <v>1</v>
      </c>
      <c r="AB13017">
        <v>0</v>
      </c>
      <c r="AC13017">
        <v>0</v>
      </c>
      <c r="AD13017">
        <v>1</v>
      </c>
      <c r="AE13017">
        <v>1</v>
      </c>
      <c r="AF13017">
        <v>1</v>
      </c>
      <c r="AG13017">
        <v>1</v>
      </c>
      <c r="AH13017">
        <v>1</v>
      </c>
      <c r="AI13017">
        <v>1</v>
      </c>
      <c r="AJ13017">
        <v>1</v>
      </c>
      <c r="AK13017">
        <v>1</v>
      </c>
      <c r="AL13017">
        <v>1</v>
      </c>
      <c r="AM13017">
        <v>1</v>
      </c>
    </row>
    <row r="13018" spans="1:39" x14ac:dyDescent="0.2">
      <c r="A13018" t="str">
        <f>"13014"</f>
        <v>13014</v>
      </c>
      <c r="B13018" t="str">
        <f t="shared" si="722"/>
        <v>1</v>
      </c>
      <c r="C13018" t="str">
        <f t="shared" si="724"/>
        <v>261</v>
      </c>
      <c r="D13018" t="str">
        <f>"17"</f>
        <v>17</v>
      </c>
      <c r="E13018" t="str">
        <f>"1-261-17"</f>
        <v>1-261-17</v>
      </c>
      <c r="F13018" t="s">
        <v>65</v>
      </c>
      <c r="G13018" t="s">
        <v>66</v>
      </c>
      <c r="H13018" t="s">
        <v>67</v>
      </c>
      <c r="S13018">
        <v>1</v>
      </c>
      <c r="T13018">
        <v>0</v>
      </c>
      <c r="U13018">
        <v>0</v>
      </c>
      <c r="V13018">
        <v>0</v>
      </c>
      <c r="W13018">
        <v>1</v>
      </c>
      <c r="X13018">
        <v>0</v>
      </c>
      <c r="Y13018">
        <v>1</v>
      </c>
      <c r="Z13018">
        <v>0</v>
      </c>
      <c r="AA13018">
        <v>1</v>
      </c>
      <c r="AB13018">
        <v>0</v>
      </c>
      <c r="AC13018">
        <v>0</v>
      </c>
      <c r="AD13018">
        <v>1</v>
      </c>
      <c r="AE13018">
        <v>1</v>
      </c>
      <c r="AF13018">
        <v>1</v>
      </c>
      <c r="AG13018">
        <v>1</v>
      </c>
      <c r="AH13018">
        <v>1</v>
      </c>
      <c r="AI13018">
        <v>1</v>
      </c>
      <c r="AJ13018">
        <v>1</v>
      </c>
      <c r="AK13018">
        <v>1</v>
      </c>
      <c r="AL13018">
        <v>1</v>
      </c>
      <c r="AM13018">
        <v>1</v>
      </c>
    </row>
    <row r="13019" spans="1:39" x14ac:dyDescent="0.2">
      <c r="A13019" t="str">
        <f>"13015"</f>
        <v>13015</v>
      </c>
      <c r="B13019" t="str">
        <f t="shared" si="722"/>
        <v>1</v>
      </c>
      <c r="C13019" t="str">
        <f t="shared" si="724"/>
        <v>261</v>
      </c>
      <c r="D13019" t="str">
        <f>"1"</f>
        <v>1</v>
      </c>
      <c r="E13019" t="str">
        <f>"1-261-1"</f>
        <v>1-261-1</v>
      </c>
      <c r="F13019" t="s">
        <v>65</v>
      </c>
      <c r="G13019" t="s">
        <v>66</v>
      </c>
      <c r="H13019" t="s">
        <v>67</v>
      </c>
      <c r="S13019">
        <v>0</v>
      </c>
      <c r="T13019">
        <v>1</v>
      </c>
      <c r="U13019">
        <v>0</v>
      </c>
      <c r="V13019">
        <v>0</v>
      </c>
      <c r="W13019">
        <v>1</v>
      </c>
      <c r="X13019">
        <v>0</v>
      </c>
      <c r="Y13019">
        <v>1</v>
      </c>
      <c r="Z13019">
        <v>0</v>
      </c>
      <c r="AA13019">
        <v>0</v>
      </c>
      <c r="AB13019">
        <v>1</v>
      </c>
      <c r="AC13019">
        <v>0</v>
      </c>
      <c r="AD13019">
        <v>1</v>
      </c>
      <c r="AE13019">
        <v>1</v>
      </c>
      <c r="AF13019">
        <v>1</v>
      </c>
      <c r="AG13019">
        <v>1</v>
      </c>
      <c r="AH13019">
        <v>1</v>
      </c>
      <c r="AI13019">
        <v>1</v>
      </c>
      <c r="AJ13019">
        <v>1</v>
      </c>
      <c r="AK13019">
        <v>1</v>
      </c>
      <c r="AL13019">
        <v>1</v>
      </c>
      <c r="AM13019">
        <v>1</v>
      </c>
    </row>
    <row r="13020" spans="1:39" x14ac:dyDescent="0.2">
      <c r="A13020" t="str">
        <f>"13016"</f>
        <v>13016</v>
      </c>
      <c r="B13020" t="str">
        <f t="shared" si="722"/>
        <v>1</v>
      </c>
      <c r="C13020" t="str">
        <f t="shared" si="724"/>
        <v>261</v>
      </c>
      <c r="D13020" t="str">
        <f>"49"</f>
        <v>49</v>
      </c>
      <c r="E13020" t="str">
        <f>"1-261-49"</f>
        <v>1-261-49</v>
      </c>
      <c r="F13020" t="s">
        <v>65</v>
      </c>
      <c r="G13020" t="s">
        <v>66</v>
      </c>
      <c r="H13020" t="s">
        <v>67</v>
      </c>
      <c r="S13020">
        <v>0</v>
      </c>
      <c r="T13020">
        <v>1</v>
      </c>
      <c r="U13020">
        <v>0</v>
      </c>
      <c r="V13020">
        <v>0</v>
      </c>
      <c r="W13020">
        <v>0</v>
      </c>
      <c r="X13020">
        <v>1</v>
      </c>
      <c r="Y13020">
        <v>0</v>
      </c>
      <c r="Z13020">
        <v>1</v>
      </c>
      <c r="AA13020">
        <v>0</v>
      </c>
      <c r="AB13020">
        <v>0</v>
      </c>
      <c r="AC13020">
        <v>1</v>
      </c>
      <c r="AD13020">
        <v>1</v>
      </c>
      <c r="AE13020">
        <v>1</v>
      </c>
      <c r="AF13020">
        <v>1</v>
      </c>
      <c r="AG13020">
        <v>1</v>
      </c>
      <c r="AH13020">
        <v>1</v>
      </c>
      <c r="AI13020">
        <v>0</v>
      </c>
      <c r="AJ13020">
        <v>0</v>
      </c>
      <c r="AK13020">
        <v>0</v>
      </c>
      <c r="AL13020">
        <v>1</v>
      </c>
      <c r="AM13020">
        <v>1</v>
      </c>
    </row>
    <row r="13021" spans="1:39" x14ac:dyDescent="0.2">
      <c r="A13021" t="str">
        <f>"13017"</f>
        <v>13017</v>
      </c>
      <c r="B13021" t="str">
        <f t="shared" si="722"/>
        <v>1</v>
      </c>
      <c r="C13021" t="str">
        <f t="shared" si="724"/>
        <v>261</v>
      </c>
      <c r="D13021" t="str">
        <f>"48"</f>
        <v>48</v>
      </c>
      <c r="E13021" t="str">
        <f>"1-261-48"</f>
        <v>1-261-48</v>
      </c>
      <c r="F13021" t="s">
        <v>65</v>
      </c>
      <c r="G13021" t="s">
        <v>66</v>
      </c>
      <c r="H13021" t="s">
        <v>67</v>
      </c>
      <c r="S13021">
        <v>1</v>
      </c>
      <c r="T13021">
        <v>0</v>
      </c>
      <c r="U13021">
        <v>0</v>
      </c>
      <c r="V13021">
        <v>0</v>
      </c>
      <c r="W13021">
        <v>1</v>
      </c>
      <c r="X13021">
        <v>0</v>
      </c>
      <c r="Y13021">
        <v>0</v>
      </c>
      <c r="Z13021">
        <v>1</v>
      </c>
      <c r="AA13021">
        <v>1</v>
      </c>
      <c r="AB13021">
        <v>0</v>
      </c>
      <c r="AC13021">
        <v>0</v>
      </c>
      <c r="AD13021">
        <v>1</v>
      </c>
      <c r="AE13021">
        <v>1</v>
      </c>
      <c r="AF13021">
        <v>1</v>
      </c>
      <c r="AG13021">
        <v>1</v>
      </c>
      <c r="AH13021">
        <v>1</v>
      </c>
      <c r="AI13021">
        <v>1</v>
      </c>
      <c r="AJ13021">
        <v>1</v>
      </c>
      <c r="AK13021">
        <v>1</v>
      </c>
      <c r="AL13021">
        <v>1</v>
      </c>
      <c r="AM13021">
        <v>1</v>
      </c>
    </row>
    <row r="13022" spans="1:39" x14ac:dyDescent="0.2">
      <c r="A13022" t="str">
        <f>"13018"</f>
        <v>13018</v>
      </c>
      <c r="B13022" t="str">
        <f t="shared" si="722"/>
        <v>1</v>
      </c>
      <c r="C13022" t="str">
        <f t="shared" si="724"/>
        <v>261</v>
      </c>
      <c r="D13022" t="str">
        <f>"34"</f>
        <v>34</v>
      </c>
      <c r="E13022" t="str">
        <f>"1-261-34"</f>
        <v>1-261-34</v>
      </c>
      <c r="F13022" t="s">
        <v>65</v>
      </c>
      <c r="G13022" t="s">
        <v>66</v>
      </c>
      <c r="H13022" t="s">
        <v>67</v>
      </c>
      <c r="S13022">
        <v>0</v>
      </c>
      <c r="T13022">
        <v>1</v>
      </c>
      <c r="U13022">
        <v>0</v>
      </c>
      <c r="V13022">
        <v>0</v>
      </c>
      <c r="W13022">
        <v>0</v>
      </c>
      <c r="X13022">
        <v>1</v>
      </c>
      <c r="Y13022">
        <v>1</v>
      </c>
      <c r="Z13022">
        <v>0</v>
      </c>
      <c r="AA13022">
        <v>0</v>
      </c>
      <c r="AB13022">
        <v>0</v>
      </c>
      <c r="AC13022">
        <v>1</v>
      </c>
      <c r="AD13022">
        <v>1</v>
      </c>
      <c r="AE13022">
        <v>1</v>
      </c>
      <c r="AF13022">
        <v>1</v>
      </c>
      <c r="AG13022">
        <v>1</v>
      </c>
      <c r="AH13022">
        <v>1</v>
      </c>
      <c r="AI13022">
        <v>1</v>
      </c>
      <c r="AJ13022">
        <v>1</v>
      </c>
      <c r="AK13022">
        <v>1</v>
      </c>
      <c r="AL13022">
        <v>1</v>
      </c>
      <c r="AM13022">
        <v>1</v>
      </c>
    </row>
    <row r="13023" spans="1:39" x14ac:dyDescent="0.2">
      <c r="A13023" t="str">
        <f>"13019"</f>
        <v>13019</v>
      </c>
      <c r="B13023" t="str">
        <f t="shared" si="722"/>
        <v>1</v>
      </c>
      <c r="C13023" t="str">
        <f t="shared" si="724"/>
        <v>261</v>
      </c>
      <c r="D13023" t="str">
        <f>"18"</f>
        <v>18</v>
      </c>
      <c r="E13023" t="str">
        <f>"1-261-18"</f>
        <v>1-261-18</v>
      </c>
      <c r="F13023" t="s">
        <v>65</v>
      </c>
      <c r="G13023" t="s">
        <v>66</v>
      </c>
      <c r="H13023" t="s">
        <v>67</v>
      </c>
      <c r="S13023">
        <v>0</v>
      </c>
      <c r="T13023">
        <v>0</v>
      </c>
      <c r="U13023">
        <v>0</v>
      </c>
      <c r="V13023">
        <v>0</v>
      </c>
      <c r="W13023">
        <v>0</v>
      </c>
      <c r="X13023">
        <v>1</v>
      </c>
      <c r="Y13023">
        <v>1</v>
      </c>
      <c r="Z13023">
        <v>0</v>
      </c>
      <c r="AA13023">
        <v>0</v>
      </c>
      <c r="AB13023">
        <v>1</v>
      </c>
      <c r="AC13023">
        <v>0</v>
      </c>
      <c r="AD13023">
        <v>0</v>
      </c>
      <c r="AE13023">
        <v>0</v>
      </c>
      <c r="AF13023">
        <v>0</v>
      </c>
      <c r="AG13023">
        <v>0</v>
      </c>
      <c r="AH13023">
        <v>0</v>
      </c>
      <c r="AI13023">
        <v>0</v>
      </c>
      <c r="AJ13023">
        <v>0</v>
      </c>
      <c r="AK13023">
        <v>0</v>
      </c>
      <c r="AL13023">
        <v>0</v>
      </c>
      <c r="AM13023">
        <v>0</v>
      </c>
    </row>
    <row r="13024" spans="1:39" x14ac:dyDescent="0.2">
      <c r="A13024" t="str">
        <f>"13020"</f>
        <v>13020</v>
      </c>
      <c r="B13024" t="str">
        <f t="shared" si="722"/>
        <v>1</v>
      </c>
      <c r="C13024" t="str">
        <f t="shared" si="724"/>
        <v>261</v>
      </c>
      <c r="D13024" t="str">
        <f>"12"</f>
        <v>12</v>
      </c>
      <c r="E13024" t="str">
        <f>"1-261-12"</f>
        <v>1-261-12</v>
      </c>
      <c r="F13024" t="s">
        <v>65</v>
      </c>
      <c r="G13024" t="s">
        <v>66</v>
      </c>
      <c r="H13024" t="s">
        <v>67</v>
      </c>
      <c r="S13024">
        <v>1</v>
      </c>
      <c r="T13024">
        <v>0</v>
      </c>
      <c r="U13024">
        <v>0</v>
      </c>
      <c r="V13024">
        <v>0</v>
      </c>
      <c r="W13024">
        <v>1</v>
      </c>
      <c r="X13024">
        <v>0</v>
      </c>
      <c r="Y13024">
        <v>1</v>
      </c>
      <c r="Z13024">
        <v>0</v>
      </c>
      <c r="AA13024">
        <v>1</v>
      </c>
      <c r="AB13024">
        <v>0</v>
      </c>
      <c r="AC13024">
        <v>0</v>
      </c>
      <c r="AD13024">
        <v>0</v>
      </c>
      <c r="AE13024">
        <v>0</v>
      </c>
      <c r="AF13024">
        <v>0</v>
      </c>
      <c r="AG13024">
        <v>1</v>
      </c>
      <c r="AH13024">
        <v>1</v>
      </c>
      <c r="AI13024">
        <v>1</v>
      </c>
      <c r="AJ13024">
        <v>0</v>
      </c>
      <c r="AK13024">
        <v>0</v>
      </c>
      <c r="AL13024">
        <v>1</v>
      </c>
      <c r="AM13024">
        <v>1</v>
      </c>
    </row>
    <row r="13025" spans="1:39" x14ac:dyDescent="0.2">
      <c r="A13025" t="str">
        <f>"13021"</f>
        <v>13021</v>
      </c>
      <c r="B13025" t="str">
        <f t="shared" si="722"/>
        <v>1</v>
      </c>
      <c r="C13025" t="str">
        <f t="shared" si="724"/>
        <v>261</v>
      </c>
      <c r="D13025" t="str">
        <f>"45"</f>
        <v>45</v>
      </c>
      <c r="E13025" t="str">
        <f>"1-261-45"</f>
        <v>1-261-45</v>
      </c>
      <c r="F13025" t="s">
        <v>65</v>
      </c>
      <c r="G13025" t="s">
        <v>66</v>
      </c>
      <c r="H13025" t="s">
        <v>68</v>
      </c>
      <c r="I13025">
        <v>1</v>
      </c>
      <c r="J13025">
        <v>0</v>
      </c>
      <c r="K13025">
        <v>0</v>
      </c>
      <c r="L13025">
        <v>1</v>
      </c>
      <c r="M13025">
        <v>1</v>
      </c>
      <c r="N13025">
        <v>1</v>
      </c>
      <c r="O13025">
        <v>1</v>
      </c>
      <c r="P13025">
        <v>1</v>
      </c>
      <c r="Q13025">
        <v>1</v>
      </c>
      <c r="R13025">
        <v>1</v>
      </c>
    </row>
    <row r="13026" spans="1:39" x14ac:dyDescent="0.2">
      <c r="A13026" t="str">
        <f>"13022"</f>
        <v>13022</v>
      </c>
      <c r="B13026" t="str">
        <f t="shared" si="722"/>
        <v>1</v>
      </c>
      <c r="C13026" t="str">
        <f t="shared" si="724"/>
        <v>261</v>
      </c>
      <c r="D13026" t="str">
        <f>"19"</f>
        <v>19</v>
      </c>
      <c r="E13026" t="str">
        <f>"1-261-19"</f>
        <v>1-261-19</v>
      </c>
      <c r="F13026" t="s">
        <v>65</v>
      </c>
      <c r="G13026" t="s">
        <v>66</v>
      </c>
      <c r="H13026" t="s">
        <v>67</v>
      </c>
      <c r="S13026">
        <v>0</v>
      </c>
      <c r="T13026">
        <v>1</v>
      </c>
      <c r="U13026">
        <v>0</v>
      </c>
      <c r="V13026">
        <v>0</v>
      </c>
      <c r="W13026">
        <v>1</v>
      </c>
      <c r="X13026">
        <v>0</v>
      </c>
      <c r="Y13026">
        <v>0</v>
      </c>
      <c r="Z13026">
        <v>1</v>
      </c>
      <c r="AA13026">
        <v>1</v>
      </c>
      <c r="AB13026">
        <v>0</v>
      </c>
      <c r="AC13026">
        <v>0</v>
      </c>
      <c r="AD13026">
        <v>1</v>
      </c>
      <c r="AE13026">
        <v>1</v>
      </c>
      <c r="AF13026">
        <v>1</v>
      </c>
      <c r="AG13026">
        <v>1</v>
      </c>
      <c r="AH13026">
        <v>1</v>
      </c>
      <c r="AI13026">
        <v>1</v>
      </c>
      <c r="AJ13026">
        <v>1</v>
      </c>
      <c r="AK13026">
        <v>1</v>
      </c>
      <c r="AL13026">
        <v>1</v>
      </c>
      <c r="AM13026">
        <v>1</v>
      </c>
    </row>
    <row r="13027" spans="1:39" x14ac:dyDescent="0.2">
      <c r="A13027" t="str">
        <f>"13023"</f>
        <v>13023</v>
      </c>
      <c r="B13027" t="str">
        <f t="shared" si="722"/>
        <v>1</v>
      </c>
      <c r="C13027" t="str">
        <f t="shared" si="724"/>
        <v>261</v>
      </c>
      <c r="D13027" t="str">
        <f>"7"</f>
        <v>7</v>
      </c>
      <c r="E13027" t="str">
        <f>"1-261-7"</f>
        <v>1-261-7</v>
      </c>
      <c r="F13027" t="s">
        <v>65</v>
      </c>
      <c r="G13027" t="s">
        <v>66</v>
      </c>
      <c r="H13027" t="s">
        <v>68</v>
      </c>
      <c r="I13027">
        <v>1</v>
      </c>
      <c r="J13027">
        <v>1</v>
      </c>
      <c r="K13027">
        <v>0</v>
      </c>
      <c r="L13027">
        <v>0</v>
      </c>
      <c r="M13027">
        <v>1</v>
      </c>
      <c r="N13027">
        <v>1</v>
      </c>
      <c r="O13027">
        <v>1</v>
      </c>
      <c r="P13027">
        <v>0</v>
      </c>
      <c r="Q13027">
        <v>1</v>
      </c>
      <c r="R13027">
        <v>1</v>
      </c>
    </row>
    <row r="13028" spans="1:39" x14ac:dyDescent="0.2">
      <c r="A13028" t="str">
        <f>"13024"</f>
        <v>13024</v>
      </c>
      <c r="B13028" t="str">
        <f t="shared" si="722"/>
        <v>1</v>
      </c>
      <c r="C13028" t="str">
        <f t="shared" si="724"/>
        <v>261</v>
      </c>
      <c r="D13028" t="str">
        <f>"37"</f>
        <v>37</v>
      </c>
      <c r="E13028" t="str">
        <f>"1-261-37"</f>
        <v>1-261-37</v>
      </c>
      <c r="F13028" t="s">
        <v>65</v>
      </c>
      <c r="G13028" t="s">
        <v>66</v>
      </c>
      <c r="H13028" t="s">
        <v>68</v>
      </c>
      <c r="I13028">
        <v>1</v>
      </c>
      <c r="J13028">
        <v>0</v>
      </c>
      <c r="K13028">
        <v>0</v>
      </c>
      <c r="L13028">
        <v>1</v>
      </c>
      <c r="M13028">
        <v>1</v>
      </c>
      <c r="N13028">
        <v>1</v>
      </c>
      <c r="O13028">
        <v>1</v>
      </c>
      <c r="P13028">
        <v>1</v>
      </c>
      <c r="Q13028">
        <v>1</v>
      </c>
      <c r="R13028">
        <v>1</v>
      </c>
    </row>
    <row r="13029" spans="1:39" x14ac:dyDescent="0.2">
      <c r="A13029" t="str">
        <f>"13025"</f>
        <v>13025</v>
      </c>
      <c r="B13029" t="str">
        <f t="shared" si="722"/>
        <v>1</v>
      </c>
      <c r="C13029" t="str">
        <f t="shared" si="724"/>
        <v>261</v>
      </c>
      <c r="D13029" t="str">
        <f>"20"</f>
        <v>20</v>
      </c>
      <c r="E13029" t="str">
        <f>"1-261-20"</f>
        <v>1-261-20</v>
      </c>
      <c r="F13029" t="s">
        <v>65</v>
      </c>
      <c r="G13029" t="s">
        <v>66</v>
      </c>
      <c r="H13029" t="s">
        <v>68</v>
      </c>
      <c r="I13029">
        <v>1</v>
      </c>
      <c r="J13029">
        <v>0</v>
      </c>
      <c r="K13029">
        <v>1</v>
      </c>
      <c r="L13029">
        <v>0</v>
      </c>
      <c r="M13029">
        <v>1</v>
      </c>
      <c r="N13029">
        <v>1</v>
      </c>
      <c r="O13029">
        <v>1</v>
      </c>
      <c r="P13029">
        <v>1</v>
      </c>
      <c r="Q13029">
        <v>1</v>
      </c>
      <c r="R13029">
        <v>1</v>
      </c>
    </row>
    <row r="13030" spans="1:39" x14ac:dyDescent="0.2">
      <c r="A13030" t="str">
        <f>"13026"</f>
        <v>13026</v>
      </c>
      <c r="B13030" t="str">
        <f t="shared" si="722"/>
        <v>1</v>
      </c>
      <c r="C13030" t="str">
        <f t="shared" si="724"/>
        <v>261</v>
      </c>
      <c r="D13030" t="str">
        <f>"14"</f>
        <v>14</v>
      </c>
      <c r="E13030" t="str">
        <f>"1-261-14"</f>
        <v>1-261-14</v>
      </c>
      <c r="F13030" t="s">
        <v>65</v>
      </c>
      <c r="G13030" t="s">
        <v>66</v>
      </c>
      <c r="H13030" t="s">
        <v>68</v>
      </c>
      <c r="I13030">
        <v>0</v>
      </c>
      <c r="J13030">
        <v>0</v>
      </c>
      <c r="K13030">
        <v>0</v>
      </c>
      <c r="L13030">
        <v>1</v>
      </c>
      <c r="M13030">
        <v>1</v>
      </c>
      <c r="N13030">
        <v>0</v>
      </c>
      <c r="O13030">
        <v>0</v>
      </c>
      <c r="P13030">
        <v>0</v>
      </c>
      <c r="Q13030">
        <v>1</v>
      </c>
      <c r="R13030">
        <v>1</v>
      </c>
    </row>
    <row r="13031" spans="1:39" x14ac:dyDescent="0.2">
      <c r="A13031" t="str">
        <f>"13027"</f>
        <v>13027</v>
      </c>
      <c r="B13031" t="str">
        <f t="shared" si="722"/>
        <v>1</v>
      </c>
      <c r="C13031" t="str">
        <f t="shared" si="724"/>
        <v>261</v>
      </c>
      <c r="D13031" t="str">
        <f>"44"</f>
        <v>44</v>
      </c>
      <c r="E13031" t="str">
        <f>"1-261-44"</f>
        <v>1-261-44</v>
      </c>
      <c r="F13031" t="s">
        <v>65</v>
      </c>
      <c r="G13031" t="s">
        <v>66</v>
      </c>
      <c r="H13031" t="s">
        <v>67</v>
      </c>
      <c r="S13031">
        <v>1</v>
      </c>
      <c r="T13031">
        <v>0</v>
      </c>
      <c r="U13031">
        <v>0</v>
      </c>
      <c r="V13031">
        <v>0</v>
      </c>
      <c r="W13031">
        <v>1</v>
      </c>
      <c r="X13031">
        <v>0</v>
      </c>
      <c r="Y13031">
        <v>1</v>
      </c>
      <c r="Z13031">
        <v>0</v>
      </c>
      <c r="AA13031">
        <v>1</v>
      </c>
      <c r="AB13031">
        <v>0</v>
      </c>
      <c r="AC13031">
        <v>0</v>
      </c>
      <c r="AD13031">
        <v>1</v>
      </c>
      <c r="AE13031">
        <v>1</v>
      </c>
      <c r="AF13031">
        <v>1</v>
      </c>
      <c r="AG13031">
        <v>1</v>
      </c>
      <c r="AH13031">
        <v>1</v>
      </c>
      <c r="AI13031">
        <v>1</v>
      </c>
      <c r="AJ13031">
        <v>1</v>
      </c>
      <c r="AK13031">
        <v>1</v>
      </c>
      <c r="AL13031">
        <v>1</v>
      </c>
      <c r="AM13031">
        <v>1</v>
      </c>
    </row>
    <row r="13032" spans="1:39" x14ac:dyDescent="0.2">
      <c r="A13032" t="str">
        <f>"13028"</f>
        <v>13028</v>
      </c>
      <c r="B13032" t="str">
        <f t="shared" si="722"/>
        <v>1</v>
      </c>
      <c r="C13032" t="str">
        <f t="shared" si="724"/>
        <v>261</v>
      </c>
      <c r="D13032" t="str">
        <f>"21"</f>
        <v>21</v>
      </c>
      <c r="E13032" t="str">
        <f>"1-261-21"</f>
        <v>1-261-21</v>
      </c>
      <c r="F13032" t="s">
        <v>65</v>
      </c>
      <c r="G13032" t="s">
        <v>66</v>
      </c>
      <c r="H13032" t="s">
        <v>67</v>
      </c>
      <c r="S13032">
        <v>1</v>
      </c>
      <c r="T13032">
        <v>0</v>
      </c>
      <c r="U13032">
        <v>0</v>
      </c>
      <c r="V13032">
        <v>0</v>
      </c>
      <c r="W13032">
        <v>1</v>
      </c>
      <c r="X13032">
        <v>0</v>
      </c>
      <c r="Y13032">
        <v>0</v>
      </c>
      <c r="Z13032">
        <v>1</v>
      </c>
      <c r="AA13032">
        <v>0</v>
      </c>
      <c r="AB13032">
        <v>1</v>
      </c>
      <c r="AC13032">
        <v>0</v>
      </c>
      <c r="AD13032">
        <v>1</v>
      </c>
      <c r="AE13032">
        <v>1</v>
      </c>
      <c r="AF13032">
        <v>1</v>
      </c>
      <c r="AG13032">
        <v>1</v>
      </c>
      <c r="AH13032">
        <v>1</v>
      </c>
      <c r="AI13032">
        <v>1</v>
      </c>
      <c r="AJ13032">
        <v>1</v>
      </c>
      <c r="AK13032">
        <v>1</v>
      </c>
      <c r="AL13032">
        <v>1</v>
      </c>
      <c r="AM13032">
        <v>1</v>
      </c>
    </row>
    <row r="13033" spans="1:39" x14ac:dyDescent="0.2">
      <c r="A13033" t="str">
        <f>"13029"</f>
        <v>13029</v>
      </c>
      <c r="B13033" t="str">
        <f t="shared" si="722"/>
        <v>1</v>
      </c>
      <c r="C13033" t="str">
        <f t="shared" si="724"/>
        <v>261</v>
      </c>
      <c r="D13033" t="str">
        <f>"4"</f>
        <v>4</v>
      </c>
      <c r="E13033" t="str">
        <f>"1-261-4"</f>
        <v>1-261-4</v>
      </c>
      <c r="F13033" t="s">
        <v>65</v>
      </c>
      <c r="G13033" t="s">
        <v>66</v>
      </c>
      <c r="H13033" t="s">
        <v>68</v>
      </c>
      <c r="I13033">
        <v>1</v>
      </c>
      <c r="J13033">
        <v>0</v>
      </c>
      <c r="K13033">
        <v>0</v>
      </c>
      <c r="L13033">
        <v>1</v>
      </c>
      <c r="M13033">
        <v>1</v>
      </c>
      <c r="N13033">
        <v>1</v>
      </c>
      <c r="O13033">
        <v>1</v>
      </c>
      <c r="P13033">
        <v>1</v>
      </c>
      <c r="Q13033">
        <v>1</v>
      </c>
      <c r="R13033">
        <v>1</v>
      </c>
    </row>
    <row r="13034" spans="1:39" x14ac:dyDescent="0.2">
      <c r="A13034" t="str">
        <f>"13030"</f>
        <v>13030</v>
      </c>
      <c r="B13034" t="str">
        <f t="shared" si="722"/>
        <v>1</v>
      </c>
      <c r="C13034" t="str">
        <f t="shared" si="724"/>
        <v>261</v>
      </c>
      <c r="D13034" t="str">
        <f>"38"</f>
        <v>38</v>
      </c>
      <c r="E13034" t="str">
        <f>"1-261-38"</f>
        <v>1-261-38</v>
      </c>
      <c r="F13034" t="s">
        <v>65</v>
      </c>
      <c r="G13034" t="s">
        <v>66</v>
      </c>
      <c r="H13034" t="s">
        <v>68</v>
      </c>
      <c r="I13034">
        <v>1</v>
      </c>
      <c r="J13034">
        <v>1</v>
      </c>
      <c r="K13034">
        <v>0</v>
      </c>
      <c r="L13034">
        <v>0</v>
      </c>
      <c r="M13034">
        <v>1</v>
      </c>
      <c r="N13034">
        <v>1</v>
      </c>
      <c r="O13034">
        <v>1</v>
      </c>
      <c r="P13034">
        <v>1</v>
      </c>
      <c r="Q13034">
        <v>1</v>
      </c>
      <c r="R13034">
        <v>1</v>
      </c>
    </row>
    <row r="13035" spans="1:39" x14ac:dyDescent="0.2">
      <c r="A13035" t="str">
        <f>"13031"</f>
        <v>13031</v>
      </c>
      <c r="B13035" t="str">
        <f t="shared" si="722"/>
        <v>1</v>
      </c>
      <c r="C13035" t="str">
        <f t="shared" si="724"/>
        <v>261</v>
      </c>
      <c r="D13035" t="str">
        <f>"22"</f>
        <v>22</v>
      </c>
      <c r="E13035" t="str">
        <f>"1-261-22"</f>
        <v>1-261-22</v>
      </c>
      <c r="F13035" t="s">
        <v>65</v>
      </c>
      <c r="G13035" t="s">
        <v>66</v>
      </c>
      <c r="H13035" t="s">
        <v>67</v>
      </c>
      <c r="S13035">
        <v>1</v>
      </c>
      <c r="T13035">
        <v>0</v>
      </c>
      <c r="U13035">
        <v>0</v>
      </c>
      <c r="V13035">
        <v>0</v>
      </c>
      <c r="W13035">
        <v>1</v>
      </c>
      <c r="X13035">
        <v>0</v>
      </c>
      <c r="Y13035">
        <v>1</v>
      </c>
      <c r="Z13035">
        <v>0</v>
      </c>
      <c r="AA13035">
        <v>1</v>
      </c>
      <c r="AB13035">
        <v>0</v>
      </c>
      <c r="AC13035">
        <v>0</v>
      </c>
      <c r="AD13035">
        <v>1</v>
      </c>
      <c r="AE13035">
        <v>1</v>
      </c>
      <c r="AF13035">
        <v>1</v>
      </c>
      <c r="AG13035">
        <v>1</v>
      </c>
      <c r="AH13035">
        <v>1</v>
      </c>
      <c r="AI13035">
        <v>1</v>
      </c>
      <c r="AJ13035">
        <v>1</v>
      </c>
      <c r="AK13035">
        <v>1</v>
      </c>
      <c r="AL13035">
        <v>1</v>
      </c>
      <c r="AM13035">
        <v>0</v>
      </c>
    </row>
    <row r="13036" spans="1:39" x14ac:dyDescent="0.2">
      <c r="A13036" t="str">
        <f>"13032"</f>
        <v>13032</v>
      </c>
      <c r="B13036" t="str">
        <f t="shared" si="722"/>
        <v>1</v>
      </c>
      <c r="C13036" t="str">
        <f t="shared" si="724"/>
        <v>261</v>
      </c>
      <c r="D13036" t="str">
        <f>"2"</f>
        <v>2</v>
      </c>
      <c r="E13036" t="str">
        <f>"1-261-2"</f>
        <v>1-261-2</v>
      </c>
      <c r="F13036" t="s">
        <v>65</v>
      </c>
      <c r="G13036" t="s">
        <v>66</v>
      </c>
      <c r="H13036" t="s">
        <v>68</v>
      </c>
      <c r="I13036">
        <v>1</v>
      </c>
      <c r="J13036">
        <v>1</v>
      </c>
      <c r="K13036">
        <v>0</v>
      </c>
      <c r="L13036">
        <v>0</v>
      </c>
      <c r="M13036">
        <v>1</v>
      </c>
      <c r="N13036">
        <v>1</v>
      </c>
      <c r="O13036">
        <v>1</v>
      </c>
      <c r="P13036">
        <v>1</v>
      </c>
      <c r="Q13036">
        <v>1</v>
      </c>
      <c r="R13036">
        <v>1</v>
      </c>
    </row>
    <row r="13037" spans="1:39" x14ac:dyDescent="0.2">
      <c r="A13037" t="str">
        <f>"13033"</f>
        <v>13033</v>
      </c>
      <c r="B13037" t="str">
        <f t="shared" si="722"/>
        <v>1</v>
      </c>
      <c r="C13037" t="str">
        <f t="shared" ref="C13037:C13054" si="725">"261"</f>
        <v>261</v>
      </c>
      <c r="D13037" t="str">
        <f>"40"</f>
        <v>40</v>
      </c>
      <c r="E13037" t="str">
        <f>"1-261-40"</f>
        <v>1-261-40</v>
      </c>
      <c r="F13037" t="s">
        <v>65</v>
      </c>
      <c r="G13037" t="s">
        <v>66</v>
      </c>
      <c r="H13037" t="s">
        <v>67</v>
      </c>
      <c r="S13037">
        <v>1</v>
      </c>
      <c r="T13037">
        <v>0</v>
      </c>
      <c r="U13037">
        <v>0</v>
      </c>
      <c r="V13037">
        <v>0</v>
      </c>
      <c r="W13037">
        <v>1</v>
      </c>
      <c r="X13037">
        <v>0</v>
      </c>
      <c r="Y13037">
        <v>0</v>
      </c>
      <c r="Z13037">
        <v>1</v>
      </c>
      <c r="AA13037">
        <v>1</v>
      </c>
      <c r="AB13037">
        <v>0</v>
      </c>
      <c r="AC13037">
        <v>0</v>
      </c>
      <c r="AD13037">
        <v>1</v>
      </c>
      <c r="AE13037">
        <v>1</v>
      </c>
      <c r="AF13037">
        <v>1</v>
      </c>
      <c r="AG13037">
        <v>1</v>
      </c>
      <c r="AH13037">
        <v>1</v>
      </c>
      <c r="AI13037">
        <v>1</v>
      </c>
      <c r="AJ13037">
        <v>1</v>
      </c>
      <c r="AK13037">
        <v>1</v>
      </c>
      <c r="AL13037">
        <v>1</v>
      </c>
      <c r="AM13037">
        <v>1</v>
      </c>
    </row>
    <row r="13038" spans="1:39" x14ac:dyDescent="0.2">
      <c r="A13038" t="str">
        <f>"13034"</f>
        <v>13034</v>
      </c>
      <c r="B13038" t="str">
        <f t="shared" si="722"/>
        <v>1</v>
      </c>
      <c r="C13038" t="str">
        <f t="shared" si="725"/>
        <v>261</v>
      </c>
      <c r="D13038" t="str">
        <f>"24"</f>
        <v>24</v>
      </c>
      <c r="E13038" t="str">
        <f>"1-261-24"</f>
        <v>1-261-24</v>
      </c>
      <c r="F13038" t="s">
        <v>65</v>
      </c>
      <c r="G13038" t="s">
        <v>66</v>
      </c>
      <c r="H13038" t="s">
        <v>67</v>
      </c>
      <c r="S13038">
        <v>0</v>
      </c>
      <c r="T13038">
        <v>1</v>
      </c>
      <c r="U13038">
        <v>0</v>
      </c>
      <c r="V13038">
        <v>0</v>
      </c>
      <c r="W13038">
        <v>0</v>
      </c>
      <c r="X13038">
        <v>1</v>
      </c>
      <c r="Y13038">
        <v>0</v>
      </c>
      <c r="Z13038">
        <v>1</v>
      </c>
      <c r="AA13038">
        <v>0</v>
      </c>
      <c r="AB13038">
        <v>0</v>
      </c>
      <c r="AC13038">
        <v>1</v>
      </c>
      <c r="AD13038">
        <v>1</v>
      </c>
      <c r="AE13038">
        <v>1</v>
      </c>
      <c r="AF13038">
        <v>1</v>
      </c>
      <c r="AG13038">
        <v>1</v>
      </c>
      <c r="AH13038">
        <v>1</v>
      </c>
      <c r="AI13038">
        <v>1</v>
      </c>
      <c r="AJ13038">
        <v>1</v>
      </c>
      <c r="AK13038">
        <v>1</v>
      </c>
      <c r="AL13038">
        <v>1</v>
      </c>
      <c r="AM13038">
        <v>1</v>
      </c>
    </row>
    <row r="13039" spans="1:39" x14ac:dyDescent="0.2">
      <c r="A13039" t="str">
        <f>"13035"</f>
        <v>13035</v>
      </c>
      <c r="B13039" t="str">
        <f t="shared" si="722"/>
        <v>1</v>
      </c>
      <c r="C13039" t="str">
        <f t="shared" si="725"/>
        <v>261</v>
      </c>
      <c r="D13039" t="str">
        <f>"13"</f>
        <v>13</v>
      </c>
      <c r="E13039" t="str">
        <f>"1-261-13"</f>
        <v>1-261-13</v>
      </c>
      <c r="F13039" t="s">
        <v>65</v>
      </c>
      <c r="G13039" t="s">
        <v>66</v>
      </c>
      <c r="H13039" t="s">
        <v>68</v>
      </c>
      <c r="I13039">
        <v>1</v>
      </c>
      <c r="J13039">
        <v>0</v>
      </c>
      <c r="K13039">
        <v>0</v>
      </c>
      <c r="L13039">
        <v>1</v>
      </c>
      <c r="M13039">
        <v>1</v>
      </c>
      <c r="N13039">
        <v>1</v>
      </c>
      <c r="O13039">
        <v>1</v>
      </c>
      <c r="P13039">
        <v>1</v>
      </c>
      <c r="Q13039">
        <v>1</v>
      </c>
      <c r="R13039">
        <v>1</v>
      </c>
    </row>
    <row r="13040" spans="1:39" x14ac:dyDescent="0.2">
      <c r="A13040" t="str">
        <f>"13036"</f>
        <v>13036</v>
      </c>
      <c r="B13040" t="str">
        <f t="shared" si="722"/>
        <v>1</v>
      </c>
      <c r="C13040" t="str">
        <f t="shared" si="725"/>
        <v>261</v>
      </c>
      <c r="D13040" t="str">
        <f>"42"</f>
        <v>42</v>
      </c>
      <c r="E13040" t="str">
        <f>"1-261-42"</f>
        <v>1-261-42</v>
      </c>
      <c r="F13040" t="s">
        <v>65</v>
      </c>
      <c r="G13040" t="s">
        <v>66</v>
      </c>
      <c r="H13040" t="s">
        <v>67</v>
      </c>
      <c r="S13040">
        <v>1</v>
      </c>
      <c r="T13040">
        <v>0</v>
      </c>
      <c r="U13040">
        <v>0</v>
      </c>
      <c r="V13040">
        <v>0</v>
      </c>
      <c r="W13040">
        <v>1</v>
      </c>
      <c r="X13040">
        <v>0</v>
      </c>
      <c r="Y13040">
        <v>1</v>
      </c>
      <c r="Z13040">
        <v>0</v>
      </c>
      <c r="AA13040">
        <v>1</v>
      </c>
      <c r="AB13040">
        <v>0</v>
      </c>
      <c r="AC13040">
        <v>0</v>
      </c>
      <c r="AD13040">
        <v>1</v>
      </c>
      <c r="AE13040">
        <v>1</v>
      </c>
      <c r="AF13040">
        <v>1</v>
      </c>
      <c r="AG13040">
        <v>1</v>
      </c>
      <c r="AH13040">
        <v>1</v>
      </c>
      <c r="AI13040">
        <v>1</v>
      </c>
      <c r="AJ13040">
        <v>1</v>
      </c>
      <c r="AK13040">
        <v>1</v>
      </c>
      <c r="AL13040">
        <v>1</v>
      </c>
      <c r="AM13040">
        <v>1</v>
      </c>
    </row>
    <row r="13041" spans="1:39" x14ac:dyDescent="0.2">
      <c r="A13041" t="str">
        <f>"13037"</f>
        <v>13037</v>
      </c>
      <c r="B13041" t="str">
        <f t="shared" si="722"/>
        <v>1</v>
      </c>
      <c r="C13041" t="str">
        <f t="shared" si="725"/>
        <v>261</v>
      </c>
      <c r="D13041" t="str">
        <f>"25"</f>
        <v>25</v>
      </c>
      <c r="E13041" t="str">
        <f>"1-261-25"</f>
        <v>1-261-25</v>
      </c>
      <c r="F13041" t="s">
        <v>65</v>
      </c>
      <c r="G13041" t="s">
        <v>66</v>
      </c>
      <c r="H13041" t="s">
        <v>68</v>
      </c>
      <c r="I13041">
        <v>1</v>
      </c>
      <c r="J13041">
        <v>1</v>
      </c>
      <c r="K13041">
        <v>0</v>
      </c>
      <c r="L13041">
        <v>0</v>
      </c>
      <c r="M13041">
        <v>1</v>
      </c>
      <c r="N13041">
        <v>1</v>
      </c>
      <c r="O13041">
        <v>1</v>
      </c>
      <c r="P13041">
        <v>1</v>
      </c>
      <c r="Q13041">
        <v>1</v>
      </c>
      <c r="R13041">
        <v>1</v>
      </c>
    </row>
    <row r="13042" spans="1:39" x14ac:dyDescent="0.2">
      <c r="A13042" t="str">
        <f>"13038"</f>
        <v>13038</v>
      </c>
      <c r="B13042" t="str">
        <f t="shared" si="722"/>
        <v>1</v>
      </c>
      <c r="C13042" t="str">
        <f t="shared" si="725"/>
        <v>261</v>
      </c>
      <c r="D13042" t="str">
        <f>"5"</f>
        <v>5</v>
      </c>
      <c r="E13042" t="str">
        <f>"1-261-5"</f>
        <v>1-261-5</v>
      </c>
      <c r="F13042" t="s">
        <v>65</v>
      </c>
      <c r="G13042" t="s">
        <v>66</v>
      </c>
      <c r="H13042" t="s">
        <v>67</v>
      </c>
      <c r="S13042">
        <v>0</v>
      </c>
      <c r="T13042">
        <v>1</v>
      </c>
      <c r="U13042">
        <v>0</v>
      </c>
      <c r="V13042">
        <v>0</v>
      </c>
      <c r="W13042">
        <v>0</v>
      </c>
      <c r="X13042">
        <v>1</v>
      </c>
      <c r="Y13042">
        <v>0</v>
      </c>
      <c r="Z13042">
        <v>1</v>
      </c>
      <c r="AA13042">
        <v>0</v>
      </c>
      <c r="AB13042">
        <v>1</v>
      </c>
      <c r="AC13042">
        <v>0</v>
      </c>
      <c r="AD13042">
        <v>0</v>
      </c>
      <c r="AE13042">
        <v>0</v>
      </c>
      <c r="AF13042">
        <v>0</v>
      </c>
      <c r="AG13042">
        <v>0</v>
      </c>
      <c r="AH13042">
        <v>0</v>
      </c>
      <c r="AI13042">
        <v>0</v>
      </c>
      <c r="AJ13042">
        <v>0</v>
      </c>
      <c r="AK13042">
        <v>0</v>
      </c>
      <c r="AL13042">
        <v>0</v>
      </c>
      <c r="AM13042">
        <v>1</v>
      </c>
    </row>
    <row r="13043" spans="1:39" x14ac:dyDescent="0.2">
      <c r="A13043" t="str">
        <f>"13039"</f>
        <v>13039</v>
      </c>
      <c r="B13043" t="str">
        <f t="shared" si="722"/>
        <v>1</v>
      </c>
      <c r="C13043" t="str">
        <f t="shared" si="725"/>
        <v>261</v>
      </c>
      <c r="D13043" t="str">
        <f>"41"</f>
        <v>41</v>
      </c>
      <c r="E13043" t="str">
        <f>"1-261-41"</f>
        <v>1-261-41</v>
      </c>
      <c r="F13043" t="s">
        <v>65</v>
      </c>
      <c r="G13043" t="s">
        <v>66</v>
      </c>
      <c r="H13043" t="s">
        <v>67</v>
      </c>
      <c r="S13043">
        <v>1</v>
      </c>
      <c r="T13043">
        <v>0</v>
      </c>
      <c r="U13043">
        <v>0</v>
      </c>
      <c r="V13043">
        <v>0</v>
      </c>
      <c r="W13043">
        <v>1</v>
      </c>
      <c r="X13043">
        <v>0</v>
      </c>
      <c r="Y13043">
        <v>0</v>
      </c>
      <c r="Z13043">
        <v>1</v>
      </c>
      <c r="AA13043">
        <v>1</v>
      </c>
      <c r="AB13043">
        <v>0</v>
      </c>
      <c r="AC13043">
        <v>0</v>
      </c>
      <c r="AD13043">
        <v>1</v>
      </c>
      <c r="AE13043">
        <v>1</v>
      </c>
      <c r="AF13043">
        <v>1</v>
      </c>
      <c r="AG13043">
        <v>1</v>
      </c>
      <c r="AH13043">
        <v>1</v>
      </c>
      <c r="AI13043">
        <v>1</v>
      </c>
      <c r="AJ13043">
        <v>1</v>
      </c>
      <c r="AK13043">
        <v>1</v>
      </c>
      <c r="AL13043">
        <v>1</v>
      </c>
      <c r="AM13043">
        <v>1</v>
      </c>
    </row>
    <row r="13044" spans="1:39" x14ac:dyDescent="0.2">
      <c r="A13044" t="str">
        <f>"13040"</f>
        <v>13040</v>
      </c>
      <c r="B13044" t="str">
        <f t="shared" si="722"/>
        <v>1</v>
      </c>
      <c r="C13044" t="str">
        <f t="shared" si="725"/>
        <v>261</v>
      </c>
      <c r="D13044" t="str">
        <f>"27"</f>
        <v>27</v>
      </c>
      <c r="E13044" t="str">
        <f>"1-261-27"</f>
        <v>1-261-27</v>
      </c>
      <c r="F13044" t="s">
        <v>65</v>
      </c>
      <c r="G13044" t="s">
        <v>66</v>
      </c>
      <c r="H13044" t="s">
        <v>68</v>
      </c>
      <c r="I13044">
        <v>1</v>
      </c>
      <c r="J13044">
        <v>0</v>
      </c>
      <c r="K13044">
        <v>0</v>
      </c>
      <c r="L13044">
        <v>1</v>
      </c>
      <c r="M13044">
        <v>1</v>
      </c>
      <c r="N13044">
        <v>1</v>
      </c>
      <c r="O13044">
        <v>1</v>
      </c>
      <c r="P13044">
        <v>1</v>
      </c>
      <c r="Q13044">
        <v>1</v>
      </c>
      <c r="R13044">
        <v>1</v>
      </c>
    </row>
    <row r="13045" spans="1:39" x14ac:dyDescent="0.2">
      <c r="A13045" t="str">
        <f>"13041"</f>
        <v>13041</v>
      </c>
      <c r="B13045" t="str">
        <f t="shared" si="722"/>
        <v>1</v>
      </c>
      <c r="C13045" t="str">
        <f t="shared" si="725"/>
        <v>261</v>
      </c>
      <c r="D13045" t="str">
        <f>"10"</f>
        <v>10</v>
      </c>
      <c r="E13045" t="str">
        <f>"1-261-10"</f>
        <v>1-261-10</v>
      </c>
      <c r="F13045" t="s">
        <v>65</v>
      </c>
      <c r="G13045" t="s">
        <v>66</v>
      </c>
      <c r="H13045" t="s">
        <v>67</v>
      </c>
      <c r="S13045">
        <v>0</v>
      </c>
      <c r="T13045">
        <v>1</v>
      </c>
      <c r="U13045">
        <v>0</v>
      </c>
      <c r="V13045">
        <v>0</v>
      </c>
      <c r="W13045">
        <v>1</v>
      </c>
      <c r="X13045">
        <v>0</v>
      </c>
      <c r="Y13045">
        <v>0</v>
      </c>
      <c r="Z13045">
        <v>1</v>
      </c>
      <c r="AA13045">
        <v>1</v>
      </c>
      <c r="AB13045">
        <v>0</v>
      </c>
      <c r="AC13045">
        <v>0</v>
      </c>
      <c r="AD13045">
        <v>1</v>
      </c>
      <c r="AE13045">
        <v>1</v>
      </c>
      <c r="AF13045">
        <v>1</v>
      </c>
      <c r="AG13045">
        <v>1</v>
      </c>
      <c r="AH13045">
        <v>1</v>
      </c>
      <c r="AI13045">
        <v>1</v>
      </c>
      <c r="AJ13045">
        <v>1</v>
      </c>
      <c r="AK13045">
        <v>1</v>
      </c>
      <c r="AL13045">
        <v>1</v>
      </c>
      <c r="AM13045">
        <v>1</v>
      </c>
    </row>
    <row r="13046" spans="1:39" x14ac:dyDescent="0.2">
      <c r="A13046" t="str">
        <f>"13042"</f>
        <v>13042</v>
      </c>
      <c r="B13046" t="str">
        <f t="shared" si="722"/>
        <v>1</v>
      </c>
      <c r="C13046" t="str">
        <f t="shared" si="725"/>
        <v>261</v>
      </c>
      <c r="D13046" t="str">
        <f>"43"</f>
        <v>43</v>
      </c>
      <c r="E13046" t="str">
        <f>"1-261-43"</f>
        <v>1-261-43</v>
      </c>
      <c r="F13046" t="s">
        <v>65</v>
      </c>
      <c r="G13046" t="s">
        <v>66</v>
      </c>
      <c r="H13046" t="s">
        <v>67</v>
      </c>
      <c r="S13046">
        <v>1</v>
      </c>
      <c r="T13046">
        <v>0</v>
      </c>
      <c r="U13046">
        <v>0</v>
      </c>
      <c r="V13046">
        <v>0</v>
      </c>
      <c r="W13046">
        <v>1</v>
      </c>
      <c r="X13046">
        <v>0</v>
      </c>
      <c r="Y13046">
        <v>0</v>
      </c>
      <c r="Z13046">
        <v>1</v>
      </c>
      <c r="AA13046">
        <v>0</v>
      </c>
      <c r="AB13046">
        <v>0</v>
      </c>
      <c r="AC13046">
        <v>1</v>
      </c>
      <c r="AD13046">
        <v>1</v>
      </c>
      <c r="AE13046">
        <v>1</v>
      </c>
      <c r="AF13046">
        <v>1</v>
      </c>
      <c r="AG13046">
        <v>1</v>
      </c>
      <c r="AH13046">
        <v>1</v>
      </c>
      <c r="AI13046">
        <v>1</v>
      </c>
      <c r="AJ13046">
        <v>1</v>
      </c>
      <c r="AK13046">
        <v>1</v>
      </c>
      <c r="AL13046">
        <v>1</v>
      </c>
      <c r="AM13046">
        <v>1</v>
      </c>
    </row>
    <row r="13047" spans="1:39" x14ac:dyDescent="0.2">
      <c r="A13047" t="str">
        <f>"13043"</f>
        <v>13043</v>
      </c>
      <c r="B13047" t="str">
        <f t="shared" ref="B13047:B13110" si="726">"1"</f>
        <v>1</v>
      </c>
      <c r="C13047" t="str">
        <f t="shared" si="725"/>
        <v>261</v>
      </c>
      <c r="D13047" t="str">
        <f>"28"</f>
        <v>28</v>
      </c>
      <c r="E13047" t="str">
        <f>"1-261-28"</f>
        <v>1-261-28</v>
      </c>
      <c r="F13047" t="s">
        <v>65</v>
      </c>
      <c r="G13047" t="s">
        <v>66</v>
      </c>
      <c r="H13047" t="s">
        <v>68</v>
      </c>
      <c r="I13047">
        <v>1</v>
      </c>
      <c r="J13047">
        <v>0</v>
      </c>
      <c r="K13047">
        <v>0</v>
      </c>
      <c r="L13047">
        <v>1</v>
      </c>
      <c r="M13047">
        <v>1</v>
      </c>
      <c r="N13047">
        <v>1</v>
      </c>
      <c r="O13047">
        <v>1</v>
      </c>
      <c r="P13047">
        <v>1</v>
      </c>
      <c r="Q13047">
        <v>1</v>
      </c>
      <c r="R13047">
        <v>1</v>
      </c>
    </row>
    <row r="13048" spans="1:39" x14ac:dyDescent="0.2">
      <c r="A13048" t="str">
        <f>"13044"</f>
        <v>13044</v>
      </c>
      <c r="B13048" t="str">
        <f t="shared" si="726"/>
        <v>1</v>
      </c>
      <c r="C13048" t="str">
        <f t="shared" si="725"/>
        <v>261</v>
      </c>
      <c r="D13048" t="str">
        <f>"11"</f>
        <v>11</v>
      </c>
      <c r="E13048" t="str">
        <f>"1-261-11"</f>
        <v>1-261-11</v>
      </c>
      <c r="F13048" t="s">
        <v>65</v>
      </c>
      <c r="G13048" t="s">
        <v>66</v>
      </c>
      <c r="H13048" t="s">
        <v>67</v>
      </c>
      <c r="S13048">
        <v>1</v>
      </c>
      <c r="T13048">
        <v>0</v>
      </c>
      <c r="U13048">
        <v>0</v>
      </c>
      <c r="V13048">
        <v>0</v>
      </c>
      <c r="W13048">
        <v>1</v>
      </c>
      <c r="X13048">
        <v>0</v>
      </c>
      <c r="Y13048">
        <v>1</v>
      </c>
      <c r="Z13048">
        <v>0</v>
      </c>
      <c r="AA13048">
        <v>0</v>
      </c>
      <c r="AB13048">
        <v>1</v>
      </c>
      <c r="AC13048">
        <v>0</v>
      </c>
      <c r="AD13048">
        <v>1</v>
      </c>
      <c r="AE13048">
        <v>1</v>
      </c>
      <c r="AF13048">
        <v>1</v>
      </c>
      <c r="AG13048">
        <v>1</v>
      </c>
      <c r="AH13048">
        <v>1</v>
      </c>
      <c r="AI13048">
        <v>0</v>
      </c>
      <c r="AJ13048">
        <v>1</v>
      </c>
      <c r="AK13048">
        <v>1</v>
      </c>
      <c r="AL13048">
        <v>1</v>
      </c>
      <c r="AM13048">
        <v>0</v>
      </c>
    </row>
    <row r="13049" spans="1:39" x14ac:dyDescent="0.2">
      <c r="A13049" t="str">
        <f>"13045"</f>
        <v>13045</v>
      </c>
      <c r="B13049" t="str">
        <f t="shared" si="726"/>
        <v>1</v>
      </c>
      <c r="C13049" t="str">
        <f t="shared" si="725"/>
        <v>261</v>
      </c>
      <c r="D13049" t="str">
        <f>"39"</f>
        <v>39</v>
      </c>
      <c r="E13049" t="str">
        <f>"1-261-39"</f>
        <v>1-261-39</v>
      </c>
      <c r="F13049" t="s">
        <v>65</v>
      </c>
      <c r="G13049" t="s">
        <v>66</v>
      </c>
      <c r="H13049" t="s">
        <v>68</v>
      </c>
      <c r="I13049">
        <v>1</v>
      </c>
      <c r="J13049">
        <v>0</v>
      </c>
      <c r="K13049">
        <v>0</v>
      </c>
      <c r="L13049">
        <v>1</v>
      </c>
      <c r="M13049">
        <v>1</v>
      </c>
      <c r="N13049">
        <v>1</v>
      </c>
      <c r="O13049">
        <v>1</v>
      </c>
      <c r="P13049">
        <v>1</v>
      </c>
      <c r="Q13049">
        <v>1</v>
      </c>
      <c r="R13049">
        <v>1</v>
      </c>
    </row>
    <row r="13050" spans="1:39" x14ac:dyDescent="0.2">
      <c r="A13050" t="str">
        <f>"13046"</f>
        <v>13046</v>
      </c>
      <c r="B13050" t="str">
        <f t="shared" si="726"/>
        <v>1</v>
      </c>
      <c r="C13050" t="str">
        <f t="shared" si="725"/>
        <v>261</v>
      </c>
      <c r="D13050" t="str">
        <f>"29"</f>
        <v>29</v>
      </c>
      <c r="E13050" t="str">
        <f>"1-261-29"</f>
        <v>1-261-29</v>
      </c>
      <c r="F13050" t="s">
        <v>65</v>
      </c>
      <c r="G13050" t="s">
        <v>66</v>
      </c>
      <c r="H13050" t="s">
        <v>68</v>
      </c>
      <c r="I13050">
        <v>1</v>
      </c>
      <c r="J13050">
        <v>1</v>
      </c>
      <c r="K13050">
        <v>0</v>
      </c>
      <c r="L13050">
        <v>0</v>
      </c>
      <c r="M13050">
        <v>1</v>
      </c>
      <c r="N13050">
        <v>1</v>
      </c>
      <c r="O13050">
        <v>1</v>
      </c>
      <c r="P13050">
        <v>1</v>
      </c>
      <c r="Q13050">
        <v>1</v>
      </c>
      <c r="R13050">
        <v>1</v>
      </c>
    </row>
    <row r="13051" spans="1:39" x14ac:dyDescent="0.2">
      <c r="A13051" t="str">
        <f>"13047"</f>
        <v>13047</v>
      </c>
      <c r="B13051" t="str">
        <f t="shared" si="726"/>
        <v>1</v>
      </c>
      <c r="C13051" t="str">
        <f t="shared" si="725"/>
        <v>261</v>
      </c>
      <c r="D13051" t="str">
        <f>"6"</f>
        <v>6</v>
      </c>
      <c r="E13051" t="str">
        <f>"1-261-6"</f>
        <v>1-261-6</v>
      </c>
      <c r="F13051" t="s">
        <v>65</v>
      </c>
      <c r="G13051" t="s">
        <v>66</v>
      </c>
      <c r="H13051" t="s">
        <v>67</v>
      </c>
      <c r="S13051">
        <v>1</v>
      </c>
      <c r="T13051">
        <v>0</v>
      </c>
      <c r="U13051">
        <v>0</v>
      </c>
      <c r="V13051">
        <v>0</v>
      </c>
      <c r="W13051">
        <v>0</v>
      </c>
      <c r="X13051">
        <v>1</v>
      </c>
      <c r="Y13051">
        <v>0</v>
      </c>
      <c r="Z13051">
        <v>1</v>
      </c>
      <c r="AA13051">
        <v>1</v>
      </c>
      <c r="AB13051">
        <v>0</v>
      </c>
      <c r="AC13051">
        <v>0</v>
      </c>
      <c r="AD13051">
        <v>1</v>
      </c>
      <c r="AE13051">
        <v>1</v>
      </c>
      <c r="AF13051">
        <v>1</v>
      </c>
      <c r="AG13051">
        <v>1</v>
      </c>
      <c r="AH13051">
        <v>1</v>
      </c>
      <c r="AI13051">
        <v>1</v>
      </c>
      <c r="AJ13051">
        <v>1</v>
      </c>
      <c r="AK13051">
        <v>1</v>
      </c>
      <c r="AL13051">
        <v>1</v>
      </c>
      <c r="AM13051">
        <v>1</v>
      </c>
    </row>
    <row r="13052" spans="1:39" x14ac:dyDescent="0.2">
      <c r="A13052" t="str">
        <f>"13048"</f>
        <v>13048</v>
      </c>
      <c r="B13052" t="str">
        <f t="shared" si="726"/>
        <v>1</v>
      </c>
      <c r="C13052" t="str">
        <f t="shared" si="725"/>
        <v>261</v>
      </c>
      <c r="D13052" t="str">
        <f>"50"</f>
        <v>50</v>
      </c>
      <c r="E13052" t="str">
        <f>"1-261-50"</f>
        <v>1-261-50</v>
      </c>
      <c r="F13052" t="s">
        <v>65</v>
      </c>
      <c r="G13052" t="s">
        <v>66</v>
      </c>
      <c r="H13052" t="s">
        <v>67</v>
      </c>
      <c r="S13052">
        <v>1</v>
      </c>
      <c r="T13052">
        <v>0</v>
      </c>
      <c r="U13052">
        <v>0</v>
      </c>
      <c r="V13052">
        <v>0</v>
      </c>
      <c r="W13052">
        <v>1</v>
      </c>
      <c r="X13052">
        <v>0</v>
      </c>
      <c r="Y13052">
        <v>1</v>
      </c>
      <c r="Z13052">
        <v>0</v>
      </c>
      <c r="AA13052">
        <v>0</v>
      </c>
      <c r="AB13052">
        <v>1</v>
      </c>
      <c r="AC13052">
        <v>0</v>
      </c>
      <c r="AD13052">
        <v>1</v>
      </c>
      <c r="AE13052">
        <v>1</v>
      </c>
      <c r="AF13052">
        <v>1</v>
      </c>
      <c r="AG13052">
        <v>1</v>
      </c>
      <c r="AH13052">
        <v>1</v>
      </c>
      <c r="AI13052">
        <v>1</v>
      </c>
      <c r="AJ13052">
        <v>1</v>
      </c>
      <c r="AK13052">
        <v>1</v>
      </c>
      <c r="AL13052">
        <v>1</v>
      </c>
      <c r="AM13052">
        <v>1</v>
      </c>
    </row>
    <row r="13053" spans="1:39" x14ac:dyDescent="0.2">
      <c r="A13053" t="str">
        <f>"13049"</f>
        <v>13049</v>
      </c>
      <c r="B13053" t="str">
        <f t="shared" si="726"/>
        <v>1</v>
      </c>
      <c r="C13053" t="str">
        <f t="shared" si="725"/>
        <v>261</v>
      </c>
      <c r="D13053" t="str">
        <f>"30"</f>
        <v>30</v>
      </c>
      <c r="E13053" t="str">
        <f>"1-261-30"</f>
        <v>1-261-30</v>
      </c>
      <c r="F13053" t="s">
        <v>65</v>
      </c>
      <c r="G13053" t="s">
        <v>66</v>
      </c>
      <c r="H13053" t="s">
        <v>67</v>
      </c>
      <c r="S13053">
        <v>1</v>
      </c>
      <c r="T13053">
        <v>0</v>
      </c>
      <c r="U13053">
        <v>0</v>
      </c>
      <c r="V13053">
        <v>0</v>
      </c>
      <c r="W13053">
        <v>1</v>
      </c>
      <c r="X13053">
        <v>0</v>
      </c>
      <c r="Y13053">
        <v>0</v>
      </c>
      <c r="Z13053">
        <v>1</v>
      </c>
      <c r="AA13053">
        <v>0</v>
      </c>
      <c r="AB13053">
        <v>0</v>
      </c>
      <c r="AC13053">
        <v>1</v>
      </c>
      <c r="AD13053">
        <v>1</v>
      </c>
      <c r="AE13053">
        <v>1</v>
      </c>
      <c r="AF13053">
        <v>1</v>
      </c>
      <c r="AG13053">
        <v>1</v>
      </c>
      <c r="AH13053">
        <v>1</v>
      </c>
      <c r="AI13053">
        <v>1</v>
      </c>
      <c r="AJ13053">
        <v>1</v>
      </c>
      <c r="AK13053">
        <v>1</v>
      </c>
      <c r="AL13053">
        <v>1</v>
      </c>
      <c r="AM13053">
        <v>1</v>
      </c>
    </row>
    <row r="13054" spans="1:39" x14ac:dyDescent="0.2">
      <c r="A13054" t="str">
        <f>"13050"</f>
        <v>13050</v>
      </c>
      <c r="B13054" t="str">
        <f t="shared" si="726"/>
        <v>1</v>
      </c>
      <c r="C13054" t="str">
        <f t="shared" si="725"/>
        <v>261</v>
      </c>
      <c r="D13054" t="str">
        <f>"8"</f>
        <v>8</v>
      </c>
      <c r="E13054" t="str">
        <f>"1-261-8"</f>
        <v>1-261-8</v>
      </c>
      <c r="F13054" t="s">
        <v>65</v>
      </c>
      <c r="G13054" t="s">
        <v>66</v>
      </c>
      <c r="H13054" t="s">
        <v>67</v>
      </c>
      <c r="S13054">
        <v>0</v>
      </c>
      <c r="T13054">
        <v>1</v>
      </c>
      <c r="U13054">
        <v>0</v>
      </c>
      <c r="V13054">
        <v>0</v>
      </c>
      <c r="W13054">
        <v>0</v>
      </c>
      <c r="X13054">
        <v>1</v>
      </c>
      <c r="Y13054">
        <v>0</v>
      </c>
      <c r="Z13054">
        <v>0</v>
      </c>
      <c r="AA13054">
        <v>0</v>
      </c>
      <c r="AB13054">
        <v>0</v>
      </c>
      <c r="AC13054">
        <v>1</v>
      </c>
      <c r="AD13054">
        <v>0</v>
      </c>
      <c r="AE13054">
        <v>0</v>
      </c>
      <c r="AF13054">
        <v>0</v>
      </c>
      <c r="AG13054">
        <v>0</v>
      </c>
      <c r="AH13054">
        <v>0</v>
      </c>
      <c r="AI13054">
        <v>0</v>
      </c>
      <c r="AJ13054">
        <v>1</v>
      </c>
      <c r="AK13054">
        <v>0</v>
      </c>
      <c r="AL13054">
        <v>0</v>
      </c>
      <c r="AM13054">
        <v>1</v>
      </c>
    </row>
    <row r="13055" spans="1:39" x14ac:dyDescent="0.2">
      <c r="A13055" t="str">
        <f>"13051"</f>
        <v>13051</v>
      </c>
      <c r="B13055" t="str">
        <f t="shared" si="726"/>
        <v>1</v>
      </c>
      <c r="C13055" t="str">
        <f t="shared" ref="C13055:C13086" si="727">"262"</f>
        <v>262</v>
      </c>
      <c r="D13055" t="str">
        <f>"39"</f>
        <v>39</v>
      </c>
      <c r="E13055" t="str">
        <f>"1-262-39"</f>
        <v>1-262-39</v>
      </c>
      <c r="F13055" t="s">
        <v>65</v>
      </c>
      <c r="G13055" t="s">
        <v>66</v>
      </c>
      <c r="H13055" t="s">
        <v>67</v>
      </c>
      <c r="S13055">
        <v>1</v>
      </c>
      <c r="T13055">
        <v>0</v>
      </c>
      <c r="U13055">
        <v>0</v>
      </c>
      <c r="V13055">
        <v>0</v>
      </c>
      <c r="W13055">
        <v>1</v>
      </c>
      <c r="X13055">
        <v>0</v>
      </c>
      <c r="Y13055">
        <v>0</v>
      </c>
      <c r="Z13055">
        <v>1</v>
      </c>
      <c r="AA13055">
        <v>1</v>
      </c>
      <c r="AB13055">
        <v>0</v>
      </c>
      <c r="AC13055">
        <v>0</v>
      </c>
      <c r="AD13055">
        <v>1</v>
      </c>
      <c r="AE13055">
        <v>1</v>
      </c>
      <c r="AF13055">
        <v>1</v>
      </c>
      <c r="AG13055">
        <v>1</v>
      </c>
      <c r="AH13055">
        <v>1</v>
      </c>
      <c r="AI13055">
        <v>1</v>
      </c>
      <c r="AJ13055">
        <v>1</v>
      </c>
      <c r="AK13055">
        <v>1</v>
      </c>
      <c r="AL13055">
        <v>1</v>
      </c>
      <c r="AM13055">
        <v>1</v>
      </c>
    </row>
    <row r="13056" spans="1:39" x14ac:dyDescent="0.2">
      <c r="A13056" t="str">
        <f>"13052"</f>
        <v>13052</v>
      </c>
      <c r="B13056" t="str">
        <f t="shared" si="726"/>
        <v>1</v>
      </c>
      <c r="C13056" t="str">
        <f t="shared" si="727"/>
        <v>262</v>
      </c>
      <c r="D13056" t="str">
        <f>"38"</f>
        <v>38</v>
      </c>
      <c r="E13056" t="str">
        <f>"1-262-38"</f>
        <v>1-262-38</v>
      </c>
      <c r="F13056" t="s">
        <v>65</v>
      </c>
      <c r="G13056" t="s">
        <v>66</v>
      </c>
      <c r="H13056" t="s">
        <v>67</v>
      </c>
      <c r="S13056">
        <v>1</v>
      </c>
      <c r="T13056">
        <v>0</v>
      </c>
      <c r="U13056">
        <v>0</v>
      </c>
      <c r="V13056">
        <v>0</v>
      </c>
      <c r="W13056">
        <v>1</v>
      </c>
      <c r="X13056">
        <v>0</v>
      </c>
      <c r="Y13056">
        <v>1</v>
      </c>
      <c r="Z13056">
        <v>0</v>
      </c>
      <c r="AA13056">
        <v>0</v>
      </c>
      <c r="AB13056">
        <v>1</v>
      </c>
      <c r="AC13056">
        <v>0</v>
      </c>
      <c r="AD13056">
        <v>1</v>
      </c>
      <c r="AE13056">
        <v>1</v>
      </c>
      <c r="AF13056">
        <v>1</v>
      </c>
      <c r="AG13056">
        <v>1</v>
      </c>
      <c r="AH13056">
        <v>1</v>
      </c>
      <c r="AI13056">
        <v>1</v>
      </c>
      <c r="AJ13056">
        <v>1</v>
      </c>
      <c r="AK13056">
        <v>1</v>
      </c>
      <c r="AL13056">
        <v>1</v>
      </c>
      <c r="AM13056">
        <v>1</v>
      </c>
    </row>
    <row r="13057" spans="1:39" x14ac:dyDescent="0.2">
      <c r="A13057" t="str">
        <f>"13053"</f>
        <v>13053</v>
      </c>
      <c r="B13057" t="str">
        <f t="shared" si="726"/>
        <v>1</v>
      </c>
      <c r="C13057" t="str">
        <f t="shared" si="727"/>
        <v>262</v>
      </c>
      <c r="D13057" t="str">
        <f>"26"</f>
        <v>26</v>
      </c>
      <c r="E13057" t="str">
        <f>"1-262-26"</f>
        <v>1-262-26</v>
      </c>
      <c r="F13057" t="s">
        <v>65</v>
      </c>
      <c r="G13057" t="s">
        <v>66</v>
      </c>
      <c r="H13057" t="s">
        <v>67</v>
      </c>
      <c r="S13057">
        <v>1</v>
      </c>
      <c r="T13057">
        <v>0</v>
      </c>
      <c r="U13057">
        <v>0</v>
      </c>
      <c r="V13057">
        <v>0</v>
      </c>
      <c r="W13057">
        <v>1</v>
      </c>
      <c r="X13057">
        <v>0</v>
      </c>
      <c r="Y13057">
        <v>1</v>
      </c>
      <c r="Z13057">
        <v>0</v>
      </c>
      <c r="AA13057">
        <v>1</v>
      </c>
      <c r="AB13057">
        <v>0</v>
      </c>
      <c r="AC13057">
        <v>0</v>
      </c>
      <c r="AD13057">
        <v>0</v>
      </c>
      <c r="AE13057">
        <v>0</v>
      </c>
      <c r="AF13057">
        <v>0</v>
      </c>
      <c r="AG13057">
        <v>0</v>
      </c>
      <c r="AH13057">
        <v>0</v>
      </c>
      <c r="AI13057">
        <v>0</v>
      </c>
      <c r="AJ13057">
        <v>0</v>
      </c>
      <c r="AK13057">
        <v>0</v>
      </c>
      <c r="AL13057">
        <v>0</v>
      </c>
      <c r="AM13057">
        <v>0</v>
      </c>
    </row>
    <row r="13058" spans="1:39" x14ac:dyDescent="0.2">
      <c r="A13058" t="str">
        <f>"13054"</f>
        <v>13054</v>
      </c>
      <c r="B13058" t="str">
        <f t="shared" si="726"/>
        <v>1</v>
      </c>
      <c r="C13058" t="str">
        <f t="shared" si="727"/>
        <v>262</v>
      </c>
      <c r="D13058" t="str">
        <f>"25"</f>
        <v>25</v>
      </c>
      <c r="E13058" t="str">
        <f>"1-262-25"</f>
        <v>1-262-25</v>
      </c>
      <c r="F13058" t="s">
        <v>65</v>
      </c>
      <c r="G13058" t="s">
        <v>66</v>
      </c>
      <c r="H13058" t="s">
        <v>67</v>
      </c>
      <c r="S13058">
        <v>0</v>
      </c>
      <c r="T13058">
        <v>1</v>
      </c>
      <c r="U13058">
        <v>0</v>
      </c>
      <c r="V13058">
        <v>0</v>
      </c>
      <c r="W13058">
        <v>1</v>
      </c>
      <c r="X13058">
        <v>0</v>
      </c>
      <c r="Y13058">
        <v>1</v>
      </c>
      <c r="Z13058">
        <v>0</v>
      </c>
      <c r="AA13058">
        <v>0</v>
      </c>
      <c r="AB13058">
        <v>1</v>
      </c>
      <c r="AC13058">
        <v>0</v>
      </c>
      <c r="AD13058">
        <v>1</v>
      </c>
      <c r="AE13058">
        <v>1</v>
      </c>
      <c r="AF13058">
        <v>1</v>
      </c>
      <c r="AG13058">
        <v>1</v>
      </c>
      <c r="AH13058">
        <v>1</v>
      </c>
      <c r="AI13058">
        <v>1</v>
      </c>
      <c r="AJ13058">
        <v>1</v>
      </c>
      <c r="AK13058">
        <v>1</v>
      </c>
      <c r="AL13058">
        <v>1</v>
      </c>
      <c r="AM13058">
        <v>1</v>
      </c>
    </row>
    <row r="13059" spans="1:39" x14ac:dyDescent="0.2">
      <c r="A13059" t="str">
        <f>"13055"</f>
        <v>13055</v>
      </c>
      <c r="B13059" t="str">
        <f t="shared" si="726"/>
        <v>1</v>
      </c>
      <c r="C13059" t="str">
        <f t="shared" si="727"/>
        <v>262</v>
      </c>
      <c r="D13059" t="str">
        <f>"17"</f>
        <v>17</v>
      </c>
      <c r="E13059" t="str">
        <f>"1-262-17"</f>
        <v>1-262-17</v>
      </c>
      <c r="F13059" t="s">
        <v>65</v>
      </c>
      <c r="G13059" t="s">
        <v>66</v>
      </c>
      <c r="H13059" t="s">
        <v>68</v>
      </c>
      <c r="I13059">
        <v>1</v>
      </c>
      <c r="J13059">
        <v>0</v>
      </c>
      <c r="K13059">
        <v>0</v>
      </c>
      <c r="L13059">
        <v>1</v>
      </c>
      <c r="M13059">
        <v>1</v>
      </c>
      <c r="N13059">
        <v>1</v>
      </c>
      <c r="O13059">
        <v>1</v>
      </c>
      <c r="P13059">
        <v>1</v>
      </c>
      <c r="Q13059">
        <v>1</v>
      </c>
      <c r="R13059">
        <v>1</v>
      </c>
    </row>
    <row r="13060" spans="1:39" x14ac:dyDescent="0.2">
      <c r="A13060" t="str">
        <f>"13056"</f>
        <v>13056</v>
      </c>
      <c r="B13060" t="str">
        <f t="shared" si="726"/>
        <v>1</v>
      </c>
      <c r="C13060" t="str">
        <f t="shared" si="727"/>
        <v>262</v>
      </c>
      <c r="D13060" t="str">
        <f>"15"</f>
        <v>15</v>
      </c>
      <c r="E13060" t="str">
        <f>"1-262-15"</f>
        <v>1-262-15</v>
      </c>
      <c r="F13060" t="s">
        <v>65</v>
      </c>
      <c r="G13060" t="s">
        <v>66</v>
      </c>
      <c r="H13060" t="s">
        <v>67</v>
      </c>
      <c r="S13060">
        <v>1</v>
      </c>
      <c r="T13060">
        <v>0</v>
      </c>
      <c r="U13060">
        <v>0</v>
      </c>
      <c r="V13060">
        <v>0</v>
      </c>
      <c r="W13060">
        <v>1</v>
      </c>
      <c r="X13060">
        <v>0</v>
      </c>
      <c r="Y13060">
        <v>0</v>
      </c>
      <c r="Z13060">
        <v>1</v>
      </c>
      <c r="AA13060">
        <v>0</v>
      </c>
      <c r="AB13060">
        <v>1</v>
      </c>
      <c r="AC13060">
        <v>0</v>
      </c>
      <c r="AD13060">
        <v>1</v>
      </c>
      <c r="AE13060">
        <v>1</v>
      </c>
      <c r="AF13060">
        <v>1</v>
      </c>
      <c r="AG13060">
        <v>1</v>
      </c>
      <c r="AH13060">
        <v>1</v>
      </c>
      <c r="AI13060">
        <v>1</v>
      </c>
      <c r="AJ13060">
        <v>1</v>
      </c>
      <c r="AK13060">
        <v>1</v>
      </c>
      <c r="AL13060">
        <v>1</v>
      </c>
      <c r="AM13060">
        <v>1</v>
      </c>
    </row>
    <row r="13061" spans="1:39" x14ac:dyDescent="0.2">
      <c r="A13061" t="str">
        <f>"13057"</f>
        <v>13057</v>
      </c>
      <c r="B13061" t="str">
        <f t="shared" si="726"/>
        <v>1</v>
      </c>
      <c r="C13061" t="str">
        <f t="shared" si="727"/>
        <v>262</v>
      </c>
      <c r="D13061" t="str">
        <f>"1"</f>
        <v>1</v>
      </c>
      <c r="E13061" t="str">
        <f>"1-262-1"</f>
        <v>1-262-1</v>
      </c>
      <c r="F13061" t="s">
        <v>65</v>
      </c>
      <c r="G13061" t="s">
        <v>66</v>
      </c>
      <c r="H13061" t="s">
        <v>67</v>
      </c>
      <c r="S13061">
        <v>0</v>
      </c>
      <c r="T13061">
        <v>1</v>
      </c>
      <c r="U13061">
        <v>0</v>
      </c>
      <c r="V13061">
        <v>0</v>
      </c>
      <c r="W13061">
        <v>0</v>
      </c>
      <c r="X13061">
        <v>1</v>
      </c>
      <c r="Y13061">
        <v>0</v>
      </c>
      <c r="Z13061">
        <v>1</v>
      </c>
      <c r="AA13061">
        <v>0</v>
      </c>
      <c r="AB13061">
        <v>0</v>
      </c>
      <c r="AC13061">
        <v>1</v>
      </c>
      <c r="AD13061">
        <v>1</v>
      </c>
      <c r="AE13061">
        <v>1</v>
      </c>
      <c r="AF13061">
        <v>1</v>
      </c>
      <c r="AG13061">
        <v>1</v>
      </c>
      <c r="AH13061">
        <v>0</v>
      </c>
      <c r="AI13061">
        <v>1</v>
      </c>
      <c r="AJ13061">
        <v>1</v>
      </c>
      <c r="AK13061">
        <v>1</v>
      </c>
      <c r="AL13061">
        <v>1</v>
      </c>
      <c r="AM13061">
        <v>1</v>
      </c>
    </row>
    <row r="13062" spans="1:39" x14ac:dyDescent="0.2">
      <c r="A13062" t="str">
        <f>"13058"</f>
        <v>13058</v>
      </c>
      <c r="B13062" t="str">
        <f t="shared" si="726"/>
        <v>1</v>
      </c>
      <c r="C13062" t="str">
        <f t="shared" si="727"/>
        <v>262</v>
      </c>
      <c r="D13062" t="str">
        <f>"46"</f>
        <v>46</v>
      </c>
      <c r="E13062" t="str">
        <f>"1-262-46"</f>
        <v>1-262-46</v>
      </c>
      <c r="F13062" t="s">
        <v>65</v>
      </c>
      <c r="G13062" t="s">
        <v>66</v>
      </c>
      <c r="H13062" t="s">
        <v>67</v>
      </c>
      <c r="S13062">
        <v>1</v>
      </c>
      <c r="T13062">
        <v>0</v>
      </c>
      <c r="U13062">
        <v>0</v>
      </c>
      <c r="V13062">
        <v>0</v>
      </c>
      <c r="W13062">
        <v>1</v>
      </c>
      <c r="X13062">
        <v>0</v>
      </c>
      <c r="Y13062">
        <v>0</v>
      </c>
      <c r="Z13062">
        <v>1</v>
      </c>
      <c r="AA13062">
        <v>1</v>
      </c>
      <c r="AB13062">
        <v>0</v>
      </c>
      <c r="AC13062">
        <v>0</v>
      </c>
      <c r="AD13062">
        <v>1</v>
      </c>
      <c r="AE13062">
        <v>1</v>
      </c>
      <c r="AF13062">
        <v>1</v>
      </c>
      <c r="AG13062">
        <v>1</v>
      </c>
      <c r="AH13062">
        <v>1</v>
      </c>
      <c r="AI13062">
        <v>1</v>
      </c>
      <c r="AJ13062">
        <v>1</v>
      </c>
      <c r="AK13062">
        <v>1</v>
      </c>
      <c r="AL13062">
        <v>1</v>
      </c>
      <c r="AM13062">
        <v>1</v>
      </c>
    </row>
    <row r="13063" spans="1:39" x14ac:dyDescent="0.2">
      <c r="A13063" t="str">
        <f>"13059"</f>
        <v>13059</v>
      </c>
      <c r="B13063" t="str">
        <f t="shared" si="726"/>
        <v>1</v>
      </c>
      <c r="C13063" t="str">
        <f t="shared" si="727"/>
        <v>262</v>
      </c>
      <c r="D13063" t="str">
        <f>"45"</f>
        <v>45</v>
      </c>
      <c r="E13063" t="str">
        <f>"1-262-45"</f>
        <v>1-262-45</v>
      </c>
      <c r="F13063" t="s">
        <v>65</v>
      </c>
      <c r="G13063" t="s">
        <v>66</v>
      </c>
      <c r="H13063" t="s">
        <v>67</v>
      </c>
      <c r="S13063">
        <v>0</v>
      </c>
      <c r="T13063">
        <v>1</v>
      </c>
      <c r="U13063">
        <v>0</v>
      </c>
      <c r="V13063">
        <v>0</v>
      </c>
      <c r="W13063">
        <v>1</v>
      </c>
      <c r="X13063">
        <v>0</v>
      </c>
      <c r="Y13063">
        <v>0</v>
      </c>
      <c r="Z13063">
        <v>1</v>
      </c>
      <c r="AA13063">
        <v>1</v>
      </c>
      <c r="AB13063">
        <v>0</v>
      </c>
      <c r="AC13063">
        <v>0</v>
      </c>
      <c r="AD13063">
        <v>1</v>
      </c>
      <c r="AE13063">
        <v>1</v>
      </c>
      <c r="AF13063">
        <v>1</v>
      </c>
      <c r="AG13063">
        <v>1</v>
      </c>
      <c r="AH13063">
        <v>1</v>
      </c>
      <c r="AI13063">
        <v>1</v>
      </c>
      <c r="AJ13063">
        <v>1</v>
      </c>
      <c r="AK13063">
        <v>1</v>
      </c>
      <c r="AL13063">
        <v>1</v>
      </c>
      <c r="AM13063">
        <v>1</v>
      </c>
    </row>
    <row r="13064" spans="1:39" x14ac:dyDescent="0.2">
      <c r="A13064" t="str">
        <f>"13060"</f>
        <v>13060</v>
      </c>
      <c r="B13064" t="str">
        <f t="shared" si="726"/>
        <v>1</v>
      </c>
      <c r="C13064" t="str">
        <f t="shared" si="727"/>
        <v>262</v>
      </c>
      <c r="D13064" t="str">
        <f>"32"</f>
        <v>32</v>
      </c>
      <c r="E13064" t="str">
        <f>"1-262-32"</f>
        <v>1-262-32</v>
      </c>
      <c r="F13064" t="s">
        <v>65</v>
      </c>
      <c r="G13064" t="s">
        <v>66</v>
      </c>
      <c r="H13064" t="s">
        <v>67</v>
      </c>
      <c r="S13064">
        <v>1</v>
      </c>
      <c r="T13064">
        <v>0</v>
      </c>
      <c r="U13064">
        <v>0</v>
      </c>
      <c r="V13064">
        <v>0</v>
      </c>
      <c r="W13064">
        <v>1</v>
      </c>
      <c r="X13064">
        <v>0</v>
      </c>
      <c r="Y13064">
        <v>0</v>
      </c>
      <c r="Z13064">
        <v>1</v>
      </c>
      <c r="AA13064">
        <v>1</v>
      </c>
      <c r="AB13064">
        <v>0</v>
      </c>
      <c r="AC13064">
        <v>0</v>
      </c>
      <c r="AD13064">
        <v>1</v>
      </c>
      <c r="AE13064">
        <v>1</v>
      </c>
      <c r="AF13064">
        <v>1</v>
      </c>
      <c r="AG13064">
        <v>1</v>
      </c>
      <c r="AH13064">
        <v>1</v>
      </c>
      <c r="AI13064">
        <v>1</v>
      </c>
      <c r="AJ13064">
        <v>1</v>
      </c>
      <c r="AK13064">
        <v>1</v>
      </c>
      <c r="AL13064">
        <v>1</v>
      </c>
      <c r="AM13064">
        <v>1</v>
      </c>
    </row>
    <row r="13065" spans="1:39" x14ac:dyDescent="0.2">
      <c r="A13065" t="str">
        <f>"13061"</f>
        <v>13061</v>
      </c>
      <c r="B13065" t="str">
        <f t="shared" si="726"/>
        <v>1</v>
      </c>
      <c r="C13065" t="str">
        <f t="shared" si="727"/>
        <v>262</v>
      </c>
      <c r="D13065" t="str">
        <f>"31"</f>
        <v>31</v>
      </c>
      <c r="E13065" t="str">
        <f>"1-262-31"</f>
        <v>1-262-31</v>
      </c>
      <c r="F13065" t="s">
        <v>65</v>
      </c>
      <c r="G13065" t="s">
        <v>66</v>
      </c>
      <c r="H13065" t="s">
        <v>67</v>
      </c>
      <c r="S13065">
        <v>0</v>
      </c>
      <c r="T13065">
        <v>1</v>
      </c>
      <c r="U13065">
        <v>0</v>
      </c>
      <c r="V13065">
        <v>0</v>
      </c>
      <c r="W13065">
        <v>0</v>
      </c>
      <c r="X13065">
        <v>1</v>
      </c>
      <c r="Y13065">
        <v>0</v>
      </c>
      <c r="Z13065">
        <v>1</v>
      </c>
      <c r="AA13065">
        <v>0</v>
      </c>
      <c r="AB13065">
        <v>0</v>
      </c>
      <c r="AC13065">
        <v>1</v>
      </c>
      <c r="AD13065">
        <v>1</v>
      </c>
      <c r="AE13065">
        <v>1</v>
      </c>
      <c r="AF13065">
        <v>1</v>
      </c>
      <c r="AG13065">
        <v>1</v>
      </c>
      <c r="AH13065">
        <v>1</v>
      </c>
      <c r="AI13065">
        <v>1</v>
      </c>
      <c r="AJ13065">
        <v>1</v>
      </c>
      <c r="AK13065">
        <v>1</v>
      </c>
      <c r="AL13065">
        <v>1</v>
      </c>
      <c r="AM13065">
        <v>1</v>
      </c>
    </row>
    <row r="13066" spans="1:39" x14ac:dyDescent="0.2">
      <c r="A13066" t="str">
        <f>"13062"</f>
        <v>13062</v>
      </c>
      <c r="B13066" t="str">
        <f t="shared" si="726"/>
        <v>1</v>
      </c>
      <c r="C13066" t="str">
        <f t="shared" si="727"/>
        <v>262</v>
      </c>
      <c r="D13066" t="str">
        <f>"19"</f>
        <v>19</v>
      </c>
      <c r="E13066" t="str">
        <f>"1-262-19"</f>
        <v>1-262-19</v>
      </c>
      <c r="F13066" t="s">
        <v>65</v>
      </c>
      <c r="G13066" t="s">
        <v>66</v>
      </c>
      <c r="H13066" t="s">
        <v>68</v>
      </c>
      <c r="I13066">
        <v>1</v>
      </c>
      <c r="J13066">
        <v>0</v>
      </c>
      <c r="K13066">
        <v>0</v>
      </c>
      <c r="L13066">
        <v>1</v>
      </c>
      <c r="M13066">
        <v>1</v>
      </c>
      <c r="N13066">
        <v>1</v>
      </c>
      <c r="O13066">
        <v>1</v>
      </c>
      <c r="P13066">
        <v>1</v>
      </c>
      <c r="Q13066">
        <v>1</v>
      </c>
      <c r="R13066">
        <v>1</v>
      </c>
    </row>
    <row r="13067" spans="1:39" x14ac:dyDescent="0.2">
      <c r="A13067" t="str">
        <f>"13063"</f>
        <v>13063</v>
      </c>
      <c r="B13067" t="str">
        <f t="shared" si="726"/>
        <v>1</v>
      </c>
      <c r="C13067" t="str">
        <f t="shared" si="727"/>
        <v>262</v>
      </c>
      <c r="D13067" t="str">
        <f>"16"</f>
        <v>16</v>
      </c>
      <c r="E13067" t="str">
        <f>"1-262-16"</f>
        <v>1-262-16</v>
      </c>
      <c r="F13067" t="s">
        <v>65</v>
      </c>
      <c r="G13067" t="s">
        <v>66</v>
      </c>
      <c r="H13067" t="s">
        <v>68</v>
      </c>
      <c r="I13067">
        <v>1</v>
      </c>
      <c r="J13067">
        <v>1</v>
      </c>
      <c r="K13067">
        <v>0</v>
      </c>
      <c r="L13067">
        <v>0</v>
      </c>
      <c r="M13067">
        <v>1</v>
      </c>
      <c r="N13067">
        <v>1</v>
      </c>
      <c r="O13067">
        <v>1</v>
      </c>
      <c r="P13067">
        <v>1</v>
      </c>
      <c r="Q13067">
        <v>1</v>
      </c>
      <c r="R13067">
        <v>1</v>
      </c>
    </row>
    <row r="13068" spans="1:39" x14ac:dyDescent="0.2">
      <c r="A13068" t="str">
        <f>"13064"</f>
        <v>13064</v>
      </c>
      <c r="B13068" t="str">
        <f t="shared" si="726"/>
        <v>1</v>
      </c>
      <c r="C13068" t="str">
        <f t="shared" si="727"/>
        <v>262</v>
      </c>
      <c r="D13068" t="str">
        <f>"5"</f>
        <v>5</v>
      </c>
      <c r="E13068" t="str">
        <f>"1-262-5"</f>
        <v>1-262-5</v>
      </c>
      <c r="F13068" t="s">
        <v>65</v>
      </c>
      <c r="G13068" t="s">
        <v>66</v>
      </c>
      <c r="H13068" t="s">
        <v>67</v>
      </c>
      <c r="S13068">
        <v>1</v>
      </c>
      <c r="T13068">
        <v>0</v>
      </c>
      <c r="U13068">
        <v>0</v>
      </c>
      <c r="V13068">
        <v>0</v>
      </c>
      <c r="W13068">
        <v>1</v>
      </c>
      <c r="X13068">
        <v>0</v>
      </c>
      <c r="Y13068">
        <v>0</v>
      </c>
      <c r="Z13068">
        <v>1</v>
      </c>
      <c r="AA13068">
        <v>1</v>
      </c>
      <c r="AB13068">
        <v>0</v>
      </c>
      <c r="AC13068">
        <v>0</v>
      </c>
      <c r="AD13068">
        <v>1</v>
      </c>
      <c r="AE13068">
        <v>1</v>
      </c>
      <c r="AF13068">
        <v>1</v>
      </c>
      <c r="AG13068">
        <v>1</v>
      </c>
      <c r="AH13068">
        <v>1</v>
      </c>
      <c r="AI13068">
        <v>1</v>
      </c>
      <c r="AJ13068">
        <v>1</v>
      </c>
      <c r="AK13068">
        <v>1</v>
      </c>
      <c r="AL13068">
        <v>1</v>
      </c>
      <c r="AM13068">
        <v>1</v>
      </c>
    </row>
    <row r="13069" spans="1:39" x14ac:dyDescent="0.2">
      <c r="A13069" t="str">
        <f>"13065"</f>
        <v>13065</v>
      </c>
      <c r="B13069" t="str">
        <f t="shared" si="726"/>
        <v>1</v>
      </c>
      <c r="C13069" t="str">
        <f t="shared" si="727"/>
        <v>262</v>
      </c>
      <c r="D13069" t="str">
        <f>"35"</f>
        <v>35</v>
      </c>
      <c r="E13069" t="str">
        <f>"1-262-35"</f>
        <v>1-262-35</v>
      </c>
      <c r="F13069" t="s">
        <v>65</v>
      </c>
      <c r="G13069" t="s">
        <v>66</v>
      </c>
      <c r="H13069" t="s">
        <v>67</v>
      </c>
      <c r="S13069">
        <v>1</v>
      </c>
      <c r="T13069">
        <v>0</v>
      </c>
      <c r="U13069">
        <v>0</v>
      </c>
      <c r="V13069">
        <v>0</v>
      </c>
      <c r="W13069">
        <v>0</v>
      </c>
      <c r="X13069">
        <v>1</v>
      </c>
      <c r="Y13069">
        <v>1</v>
      </c>
      <c r="Z13069">
        <v>0</v>
      </c>
      <c r="AA13069">
        <v>0</v>
      </c>
      <c r="AB13069">
        <v>1</v>
      </c>
      <c r="AC13069">
        <v>0</v>
      </c>
      <c r="AD13069">
        <v>1</v>
      </c>
      <c r="AE13069">
        <v>1</v>
      </c>
      <c r="AF13069">
        <v>1</v>
      </c>
      <c r="AG13069">
        <v>1</v>
      </c>
      <c r="AH13069">
        <v>1</v>
      </c>
      <c r="AI13069">
        <v>1</v>
      </c>
      <c r="AJ13069">
        <v>1</v>
      </c>
      <c r="AK13069">
        <v>1</v>
      </c>
      <c r="AL13069">
        <v>1</v>
      </c>
      <c r="AM13069">
        <v>1</v>
      </c>
    </row>
    <row r="13070" spans="1:39" x14ac:dyDescent="0.2">
      <c r="A13070" t="str">
        <f>"13066"</f>
        <v>13066</v>
      </c>
      <c r="B13070" t="str">
        <f t="shared" si="726"/>
        <v>1</v>
      </c>
      <c r="C13070" t="str">
        <f t="shared" si="727"/>
        <v>262</v>
      </c>
      <c r="D13070" t="str">
        <f>"18"</f>
        <v>18</v>
      </c>
      <c r="E13070" t="str">
        <f>"1-262-18"</f>
        <v>1-262-18</v>
      </c>
      <c r="F13070" t="s">
        <v>65</v>
      </c>
      <c r="G13070" t="s">
        <v>66</v>
      </c>
      <c r="H13070" t="s">
        <v>68</v>
      </c>
      <c r="I13070">
        <v>1</v>
      </c>
      <c r="J13070">
        <v>0</v>
      </c>
      <c r="K13070">
        <v>1</v>
      </c>
      <c r="L13070">
        <v>0</v>
      </c>
      <c r="M13070">
        <v>1</v>
      </c>
      <c r="N13070">
        <v>1</v>
      </c>
      <c r="O13070">
        <v>1</v>
      </c>
      <c r="P13070">
        <v>1</v>
      </c>
      <c r="Q13070">
        <v>1</v>
      </c>
      <c r="R13070">
        <v>1</v>
      </c>
    </row>
    <row r="13071" spans="1:39" x14ac:dyDescent="0.2">
      <c r="A13071" t="str">
        <f>"13067"</f>
        <v>13067</v>
      </c>
      <c r="B13071" t="str">
        <f t="shared" si="726"/>
        <v>1</v>
      </c>
      <c r="C13071" t="str">
        <f t="shared" si="727"/>
        <v>262</v>
      </c>
      <c r="D13071" t="str">
        <f>"9"</f>
        <v>9</v>
      </c>
      <c r="E13071" t="str">
        <f>"1-262-9"</f>
        <v>1-262-9</v>
      </c>
      <c r="F13071" t="s">
        <v>65</v>
      </c>
      <c r="G13071" t="s">
        <v>66</v>
      </c>
      <c r="H13071" t="s">
        <v>68</v>
      </c>
      <c r="I13071">
        <v>1</v>
      </c>
      <c r="J13071">
        <v>0</v>
      </c>
      <c r="K13071">
        <v>0</v>
      </c>
      <c r="L13071">
        <v>1</v>
      </c>
      <c r="M13071">
        <v>1</v>
      </c>
      <c r="N13071">
        <v>1</v>
      </c>
      <c r="O13071">
        <v>1</v>
      </c>
      <c r="P13071">
        <v>1</v>
      </c>
      <c r="Q13071">
        <v>1</v>
      </c>
      <c r="R13071">
        <v>1</v>
      </c>
    </row>
    <row r="13072" spans="1:39" x14ac:dyDescent="0.2">
      <c r="A13072" t="str">
        <f>"13068"</f>
        <v>13068</v>
      </c>
      <c r="B13072" t="str">
        <f t="shared" si="726"/>
        <v>1</v>
      </c>
      <c r="C13072" t="str">
        <f t="shared" si="727"/>
        <v>262</v>
      </c>
      <c r="D13072" t="str">
        <f>"36"</f>
        <v>36</v>
      </c>
      <c r="E13072" t="str">
        <f>"1-262-36"</f>
        <v>1-262-36</v>
      </c>
      <c r="F13072" t="s">
        <v>65</v>
      </c>
      <c r="G13072" t="s">
        <v>66</v>
      </c>
      <c r="H13072" t="s">
        <v>67</v>
      </c>
      <c r="S13072">
        <v>1</v>
      </c>
      <c r="T13072">
        <v>0</v>
      </c>
      <c r="U13072">
        <v>0</v>
      </c>
      <c r="V13072">
        <v>0</v>
      </c>
      <c r="W13072">
        <v>1</v>
      </c>
      <c r="X13072">
        <v>0</v>
      </c>
      <c r="Y13072">
        <v>0</v>
      </c>
      <c r="Z13072">
        <v>1</v>
      </c>
      <c r="AA13072">
        <v>0</v>
      </c>
      <c r="AB13072">
        <v>1</v>
      </c>
      <c r="AC13072">
        <v>0</v>
      </c>
      <c r="AD13072">
        <v>1</v>
      </c>
      <c r="AE13072">
        <v>1</v>
      </c>
      <c r="AF13072">
        <v>1</v>
      </c>
      <c r="AG13072">
        <v>1</v>
      </c>
      <c r="AH13072">
        <v>1</v>
      </c>
      <c r="AI13072">
        <v>1</v>
      </c>
      <c r="AJ13072">
        <v>1</v>
      </c>
      <c r="AK13072">
        <v>1</v>
      </c>
      <c r="AL13072">
        <v>1</v>
      </c>
      <c r="AM13072">
        <v>1</v>
      </c>
    </row>
    <row r="13073" spans="1:39" x14ac:dyDescent="0.2">
      <c r="A13073" t="str">
        <f>"13069"</f>
        <v>13069</v>
      </c>
      <c r="B13073" t="str">
        <f t="shared" si="726"/>
        <v>1</v>
      </c>
      <c r="C13073" t="str">
        <f t="shared" si="727"/>
        <v>262</v>
      </c>
      <c r="D13073" t="str">
        <f>"20"</f>
        <v>20</v>
      </c>
      <c r="E13073" t="str">
        <f>"1-262-20"</f>
        <v>1-262-20</v>
      </c>
      <c r="F13073" t="s">
        <v>65</v>
      </c>
      <c r="G13073" t="s">
        <v>66</v>
      </c>
      <c r="H13073" t="s">
        <v>67</v>
      </c>
      <c r="S13073">
        <v>1</v>
      </c>
      <c r="T13073">
        <v>0</v>
      </c>
      <c r="U13073">
        <v>0</v>
      </c>
      <c r="V13073">
        <v>0</v>
      </c>
      <c r="W13073">
        <v>1</v>
      </c>
      <c r="X13073">
        <v>0</v>
      </c>
      <c r="Y13073">
        <v>0</v>
      </c>
      <c r="Z13073">
        <v>1</v>
      </c>
      <c r="AA13073">
        <v>1</v>
      </c>
      <c r="AB13073">
        <v>0</v>
      </c>
      <c r="AC13073">
        <v>0</v>
      </c>
      <c r="AD13073">
        <v>0</v>
      </c>
      <c r="AE13073">
        <v>1</v>
      </c>
      <c r="AF13073">
        <v>1</v>
      </c>
      <c r="AG13073">
        <v>1</v>
      </c>
      <c r="AH13073">
        <v>1</v>
      </c>
      <c r="AI13073">
        <v>1</v>
      </c>
      <c r="AJ13073">
        <v>1</v>
      </c>
      <c r="AK13073">
        <v>1</v>
      </c>
      <c r="AL13073">
        <v>1</v>
      </c>
      <c r="AM13073">
        <v>1</v>
      </c>
    </row>
    <row r="13074" spans="1:39" x14ac:dyDescent="0.2">
      <c r="A13074" t="str">
        <f>"13070"</f>
        <v>13070</v>
      </c>
      <c r="B13074" t="str">
        <f t="shared" si="726"/>
        <v>1</v>
      </c>
      <c r="C13074" t="str">
        <f t="shared" si="727"/>
        <v>262</v>
      </c>
      <c r="D13074" t="str">
        <f>"6"</f>
        <v>6</v>
      </c>
      <c r="E13074" t="str">
        <f>"1-262-6"</f>
        <v>1-262-6</v>
      </c>
      <c r="F13074" t="s">
        <v>65</v>
      </c>
      <c r="G13074" t="s">
        <v>66</v>
      </c>
      <c r="H13074" t="s">
        <v>68</v>
      </c>
      <c r="I13074">
        <v>1</v>
      </c>
      <c r="J13074">
        <v>1</v>
      </c>
      <c r="K13074">
        <v>0</v>
      </c>
      <c r="L13074">
        <v>0</v>
      </c>
      <c r="M13074">
        <v>1</v>
      </c>
      <c r="N13074">
        <v>1</v>
      </c>
      <c r="O13074">
        <v>1</v>
      </c>
      <c r="P13074">
        <v>1</v>
      </c>
      <c r="Q13074">
        <v>1</v>
      </c>
      <c r="R13074">
        <v>1</v>
      </c>
    </row>
    <row r="13075" spans="1:39" x14ac:dyDescent="0.2">
      <c r="A13075" t="str">
        <f>"13071"</f>
        <v>13071</v>
      </c>
      <c r="B13075" t="str">
        <f t="shared" si="726"/>
        <v>1</v>
      </c>
      <c r="C13075" t="str">
        <f t="shared" si="727"/>
        <v>262</v>
      </c>
      <c r="D13075" t="str">
        <f>"37"</f>
        <v>37</v>
      </c>
      <c r="E13075" t="str">
        <f>"1-262-37"</f>
        <v>1-262-37</v>
      </c>
      <c r="F13075" t="s">
        <v>65</v>
      </c>
      <c r="G13075" t="s">
        <v>66</v>
      </c>
      <c r="H13075" t="s">
        <v>67</v>
      </c>
      <c r="S13075">
        <v>0</v>
      </c>
      <c r="T13075">
        <v>1</v>
      </c>
      <c r="U13075">
        <v>0</v>
      </c>
      <c r="V13075">
        <v>0</v>
      </c>
      <c r="W13075">
        <v>0</v>
      </c>
      <c r="X13075">
        <v>1</v>
      </c>
      <c r="Y13075">
        <v>0</v>
      </c>
      <c r="Z13075">
        <v>1</v>
      </c>
      <c r="AA13075">
        <v>0</v>
      </c>
      <c r="AB13075">
        <v>0</v>
      </c>
      <c r="AC13075">
        <v>1</v>
      </c>
      <c r="AD13075">
        <v>1</v>
      </c>
      <c r="AE13075">
        <v>1</v>
      </c>
      <c r="AF13075">
        <v>1</v>
      </c>
      <c r="AG13075">
        <v>1</v>
      </c>
      <c r="AH13075">
        <v>1</v>
      </c>
      <c r="AI13075">
        <v>1</v>
      </c>
      <c r="AJ13075">
        <v>1</v>
      </c>
      <c r="AK13075">
        <v>1</v>
      </c>
      <c r="AL13075">
        <v>1</v>
      </c>
      <c r="AM13075">
        <v>1</v>
      </c>
    </row>
    <row r="13076" spans="1:39" x14ac:dyDescent="0.2">
      <c r="A13076" t="str">
        <f>"13072"</f>
        <v>13072</v>
      </c>
      <c r="B13076" t="str">
        <f t="shared" si="726"/>
        <v>1</v>
      </c>
      <c r="C13076" t="str">
        <f t="shared" si="727"/>
        <v>262</v>
      </c>
      <c r="D13076" t="str">
        <f>"21"</f>
        <v>21</v>
      </c>
      <c r="E13076" t="str">
        <f>"1-262-21"</f>
        <v>1-262-21</v>
      </c>
      <c r="F13076" t="s">
        <v>65</v>
      </c>
      <c r="G13076" t="s">
        <v>66</v>
      </c>
      <c r="H13076" t="s">
        <v>67</v>
      </c>
      <c r="S13076">
        <v>1</v>
      </c>
      <c r="T13076">
        <v>0</v>
      </c>
      <c r="U13076">
        <v>0</v>
      </c>
      <c r="V13076">
        <v>0</v>
      </c>
      <c r="W13076">
        <v>1</v>
      </c>
      <c r="X13076">
        <v>0</v>
      </c>
      <c r="Y13076">
        <v>1</v>
      </c>
      <c r="Z13076">
        <v>0</v>
      </c>
      <c r="AA13076">
        <v>1</v>
      </c>
      <c r="AB13076">
        <v>0</v>
      </c>
      <c r="AC13076">
        <v>0</v>
      </c>
      <c r="AD13076">
        <v>1</v>
      </c>
      <c r="AE13076">
        <v>1</v>
      </c>
      <c r="AF13076">
        <v>1</v>
      </c>
      <c r="AG13076">
        <v>1</v>
      </c>
      <c r="AH13076">
        <v>1</v>
      </c>
      <c r="AI13076">
        <v>1</v>
      </c>
      <c r="AJ13076">
        <v>1</v>
      </c>
      <c r="AK13076">
        <v>1</v>
      </c>
      <c r="AL13076">
        <v>1</v>
      </c>
      <c r="AM13076">
        <v>1</v>
      </c>
    </row>
    <row r="13077" spans="1:39" x14ac:dyDescent="0.2">
      <c r="A13077" t="str">
        <f>"13073"</f>
        <v>13073</v>
      </c>
      <c r="B13077" t="str">
        <f t="shared" si="726"/>
        <v>1</v>
      </c>
      <c r="C13077" t="str">
        <f t="shared" si="727"/>
        <v>262</v>
      </c>
      <c r="D13077" t="str">
        <f>"10"</f>
        <v>10</v>
      </c>
      <c r="E13077" t="str">
        <f>"1-262-10"</f>
        <v>1-262-10</v>
      </c>
      <c r="F13077" t="s">
        <v>65</v>
      </c>
      <c r="G13077" t="s">
        <v>66</v>
      </c>
      <c r="H13077" t="s">
        <v>68</v>
      </c>
      <c r="I13077">
        <v>1</v>
      </c>
      <c r="J13077">
        <v>1</v>
      </c>
      <c r="K13077">
        <v>0</v>
      </c>
      <c r="L13077">
        <v>0</v>
      </c>
      <c r="M13077">
        <v>1</v>
      </c>
      <c r="N13077">
        <v>1</v>
      </c>
      <c r="O13077">
        <v>1</v>
      </c>
      <c r="P13077">
        <v>1</v>
      </c>
      <c r="Q13077">
        <v>1</v>
      </c>
      <c r="R13077">
        <v>1</v>
      </c>
    </row>
    <row r="13078" spans="1:39" x14ac:dyDescent="0.2">
      <c r="A13078" t="str">
        <f>"13074"</f>
        <v>13074</v>
      </c>
      <c r="B13078" t="str">
        <f t="shared" si="726"/>
        <v>1</v>
      </c>
      <c r="C13078" t="str">
        <f t="shared" si="727"/>
        <v>262</v>
      </c>
      <c r="D13078" t="str">
        <f>"40"</f>
        <v>40</v>
      </c>
      <c r="E13078" t="str">
        <f>"1-262-40"</f>
        <v>1-262-40</v>
      </c>
      <c r="F13078" t="s">
        <v>65</v>
      </c>
      <c r="G13078" t="s">
        <v>66</v>
      </c>
      <c r="H13078" t="s">
        <v>67</v>
      </c>
      <c r="S13078">
        <v>1</v>
      </c>
      <c r="T13078">
        <v>0</v>
      </c>
      <c r="U13078">
        <v>0</v>
      </c>
      <c r="V13078">
        <v>0</v>
      </c>
      <c r="W13078">
        <v>1</v>
      </c>
      <c r="X13078">
        <v>0</v>
      </c>
      <c r="Y13078">
        <v>0</v>
      </c>
      <c r="Z13078">
        <v>1</v>
      </c>
      <c r="AA13078">
        <v>1</v>
      </c>
      <c r="AB13078">
        <v>0</v>
      </c>
      <c r="AC13078">
        <v>0</v>
      </c>
      <c r="AD13078">
        <v>1</v>
      </c>
      <c r="AE13078">
        <v>1</v>
      </c>
      <c r="AF13078">
        <v>1</v>
      </c>
      <c r="AG13078">
        <v>1</v>
      </c>
      <c r="AH13078">
        <v>1</v>
      </c>
      <c r="AI13078">
        <v>1</v>
      </c>
      <c r="AJ13078">
        <v>1</v>
      </c>
      <c r="AK13078">
        <v>1</v>
      </c>
      <c r="AL13078">
        <v>1</v>
      </c>
      <c r="AM13078">
        <v>1</v>
      </c>
    </row>
    <row r="13079" spans="1:39" x14ac:dyDescent="0.2">
      <c r="A13079" t="str">
        <f>"13075"</f>
        <v>13075</v>
      </c>
      <c r="B13079" t="str">
        <f t="shared" si="726"/>
        <v>1</v>
      </c>
      <c r="C13079" t="str">
        <f t="shared" si="727"/>
        <v>262</v>
      </c>
      <c r="D13079" t="str">
        <f>"22"</f>
        <v>22</v>
      </c>
      <c r="E13079" t="str">
        <f>"1-262-22"</f>
        <v>1-262-22</v>
      </c>
      <c r="F13079" t="s">
        <v>65</v>
      </c>
      <c r="G13079" t="s">
        <v>66</v>
      </c>
      <c r="H13079" t="s">
        <v>67</v>
      </c>
      <c r="S13079">
        <v>1</v>
      </c>
      <c r="T13079">
        <v>0</v>
      </c>
      <c r="U13079">
        <v>0</v>
      </c>
      <c r="V13079">
        <v>0</v>
      </c>
      <c r="W13079">
        <v>1</v>
      </c>
      <c r="X13079">
        <v>0</v>
      </c>
      <c r="Y13079">
        <v>1</v>
      </c>
      <c r="Z13079">
        <v>0</v>
      </c>
      <c r="AA13079">
        <v>0</v>
      </c>
      <c r="AB13079">
        <v>0</v>
      </c>
      <c r="AC13079">
        <v>1</v>
      </c>
      <c r="AD13079">
        <v>1</v>
      </c>
      <c r="AE13079">
        <v>1</v>
      </c>
      <c r="AF13079">
        <v>1</v>
      </c>
      <c r="AG13079">
        <v>1</v>
      </c>
      <c r="AH13079">
        <v>1</v>
      </c>
      <c r="AI13079">
        <v>1</v>
      </c>
      <c r="AJ13079">
        <v>1</v>
      </c>
      <c r="AK13079">
        <v>1</v>
      </c>
      <c r="AL13079">
        <v>1</v>
      </c>
      <c r="AM13079">
        <v>1</v>
      </c>
    </row>
    <row r="13080" spans="1:39" x14ac:dyDescent="0.2">
      <c r="A13080" t="str">
        <f>"13076"</f>
        <v>13076</v>
      </c>
      <c r="B13080" t="str">
        <f t="shared" si="726"/>
        <v>1</v>
      </c>
      <c r="C13080" t="str">
        <f t="shared" si="727"/>
        <v>262</v>
      </c>
      <c r="D13080" t="str">
        <f>"2"</f>
        <v>2</v>
      </c>
      <c r="E13080" t="str">
        <f>"1-262-2"</f>
        <v>1-262-2</v>
      </c>
      <c r="F13080" t="s">
        <v>65</v>
      </c>
      <c r="G13080" t="s">
        <v>66</v>
      </c>
      <c r="H13080" t="s">
        <v>67</v>
      </c>
      <c r="S13080">
        <v>1</v>
      </c>
      <c r="T13080">
        <v>0</v>
      </c>
      <c r="U13080">
        <v>0</v>
      </c>
      <c r="V13080">
        <v>0</v>
      </c>
      <c r="W13080">
        <v>1</v>
      </c>
      <c r="X13080">
        <v>0</v>
      </c>
      <c r="Y13080">
        <v>0</v>
      </c>
      <c r="Z13080">
        <v>1</v>
      </c>
      <c r="AA13080">
        <v>1</v>
      </c>
      <c r="AB13080">
        <v>0</v>
      </c>
      <c r="AC13080">
        <v>0</v>
      </c>
      <c r="AD13080">
        <v>1</v>
      </c>
      <c r="AE13080">
        <v>1</v>
      </c>
      <c r="AF13080">
        <v>1</v>
      </c>
      <c r="AG13080">
        <v>1</v>
      </c>
      <c r="AH13080">
        <v>1</v>
      </c>
      <c r="AI13080">
        <v>1</v>
      </c>
      <c r="AJ13080">
        <v>1</v>
      </c>
      <c r="AK13080">
        <v>1</v>
      </c>
      <c r="AL13080">
        <v>1</v>
      </c>
      <c r="AM13080">
        <v>1</v>
      </c>
    </row>
    <row r="13081" spans="1:39" x14ac:dyDescent="0.2">
      <c r="A13081" t="str">
        <f>"13077"</f>
        <v>13077</v>
      </c>
      <c r="B13081" t="str">
        <f t="shared" si="726"/>
        <v>1</v>
      </c>
      <c r="C13081" t="str">
        <f t="shared" si="727"/>
        <v>262</v>
      </c>
      <c r="D13081" t="str">
        <f>"42"</f>
        <v>42</v>
      </c>
      <c r="E13081" t="str">
        <f>"1-262-42"</f>
        <v>1-262-42</v>
      </c>
      <c r="F13081" t="s">
        <v>65</v>
      </c>
      <c r="G13081" t="s">
        <v>66</v>
      </c>
      <c r="H13081" t="s">
        <v>67</v>
      </c>
      <c r="S13081">
        <v>1</v>
      </c>
      <c r="T13081">
        <v>0</v>
      </c>
      <c r="U13081">
        <v>0</v>
      </c>
      <c r="V13081">
        <v>0</v>
      </c>
      <c r="W13081">
        <v>1</v>
      </c>
      <c r="X13081">
        <v>0</v>
      </c>
      <c r="Y13081">
        <v>1</v>
      </c>
      <c r="Z13081">
        <v>0</v>
      </c>
      <c r="AA13081">
        <v>1</v>
      </c>
      <c r="AB13081">
        <v>0</v>
      </c>
      <c r="AC13081">
        <v>0</v>
      </c>
      <c r="AD13081">
        <v>1</v>
      </c>
      <c r="AE13081">
        <v>1</v>
      </c>
      <c r="AF13081">
        <v>1</v>
      </c>
      <c r="AG13081">
        <v>1</v>
      </c>
      <c r="AH13081">
        <v>1</v>
      </c>
      <c r="AI13081">
        <v>1</v>
      </c>
      <c r="AJ13081">
        <v>1</v>
      </c>
      <c r="AK13081">
        <v>1</v>
      </c>
      <c r="AL13081">
        <v>1</v>
      </c>
      <c r="AM13081">
        <v>1</v>
      </c>
    </row>
    <row r="13082" spans="1:39" x14ac:dyDescent="0.2">
      <c r="A13082" t="str">
        <f>"13078"</f>
        <v>13078</v>
      </c>
      <c r="B13082" t="str">
        <f t="shared" si="726"/>
        <v>1</v>
      </c>
      <c r="C13082" t="str">
        <f t="shared" si="727"/>
        <v>262</v>
      </c>
      <c r="D13082" t="str">
        <f>"23"</f>
        <v>23</v>
      </c>
      <c r="E13082" t="str">
        <f>"1-262-23"</f>
        <v>1-262-23</v>
      </c>
      <c r="F13082" t="s">
        <v>65</v>
      </c>
      <c r="G13082" t="s">
        <v>66</v>
      </c>
      <c r="H13082" t="s">
        <v>67</v>
      </c>
      <c r="S13082">
        <v>1</v>
      </c>
      <c r="T13082">
        <v>0</v>
      </c>
      <c r="U13082">
        <v>0</v>
      </c>
      <c r="V13082">
        <v>0</v>
      </c>
      <c r="W13082">
        <v>1</v>
      </c>
      <c r="X13082">
        <v>0</v>
      </c>
      <c r="Y13082">
        <v>0</v>
      </c>
      <c r="Z13082">
        <v>0</v>
      </c>
      <c r="AA13082">
        <v>1</v>
      </c>
      <c r="AB13082">
        <v>0</v>
      </c>
      <c r="AC13082">
        <v>0</v>
      </c>
      <c r="AD13082">
        <v>0</v>
      </c>
      <c r="AE13082">
        <v>1</v>
      </c>
      <c r="AF13082">
        <v>1</v>
      </c>
      <c r="AG13082">
        <v>1</v>
      </c>
      <c r="AH13082">
        <v>1</v>
      </c>
      <c r="AI13082">
        <v>1</v>
      </c>
      <c r="AJ13082">
        <v>1</v>
      </c>
      <c r="AK13082">
        <v>1</v>
      </c>
      <c r="AL13082">
        <v>1</v>
      </c>
      <c r="AM13082">
        <v>1</v>
      </c>
    </row>
    <row r="13083" spans="1:39" x14ac:dyDescent="0.2">
      <c r="A13083" t="str">
        <f>"13079"</f>
        <v>13079</v>
      </c>
      <c r="B13083" t="str">
        <f t="shared" si="726"/>
        <v>1</v>
      </c>
      <c r="C13083" t="str">
        <f t="shared" si="727"/>
        <v>262</v>
      </c>
      <c r="D13083" t="str">
        <f>"8"</f>
        <v>8</v>
      </c>
      <c r="E13083" t="str">
        <f>"1-262-8"</f>
        <v>1-262-8</v>
      </c>
      <c r="F13083" t="s">
        <v>65</v>
      </c>
      <c r="G13083" t="s">
        <v>66</v>
      </c>
      <c r="H13083" t="s">
        <v>67</v>
      </c>
      <c r="S13083">
        <v>1</v>
      </c>
      <c r="T13083">
        <v>0</v>
      </c>
      <c r="U13083">
        <v>0</v>
      </c>
      <c r="V13083">
        <v>0</v>
      </c>
      <c r="W13083">
        <v>1</v>
      </c>
      <c r="X13083">
        <v>0</v>
      </c>
      <c r="Y13083">
        <v>0</v>
      </c>
      <c r="Z13083">
        <v>1</v>
      </c>
      <c r="AA13083">
        <v>0</v>
      </c>
      <c r="AB13083">
        <v>1</v>
      </c>
      <c r="AC13083">
        <v>0</v>
      </c>
      <c r="AD13083">
        <v>1</v>
      </c>
      <c r="AE13083">
        <v>1</v>
      </c>
      <c r="AF13083">
        <v>1</v>
      </c>
      <c r="AG13083">
        <v>1</v>
      </c>
      <c r="AH13083">
        <v>1</v>
      </c>
      <c r="AI13083">
        <v>1</v>
      </c>
      <c r="AJ13083">
        <v>1</v>
      </c>
      <c r="AK13083">
        <v>1</v>
      </c>
      <c r="AL13083">
        <v>1</v>
      </c>
      <c r="AM13083">
        <v>1</v>
      </c>
    </row>
    <row r="13084" spans="1:39" x14ac:dyDescent="0.2">
      <c r="A13084" t="str">
        <f>"13080"</f>
        <v>13080</v>
      </c>
      <c r="B13084" t="str">
        <f t="shared" si="726"/>
        <v>1</v>
      </c>
      <c r="C13084" t="str">
        <f t="shared" si="727"/>
        <v>262</v>
      </c>
      <c r="D13084" t="str">
        <f>"41"</f>
        <v>41</v>
      </c>
      <c r="E13084" t="str">
        <f>"1-262-41"</f>
        <v>1-262-41</v>
      </c>
      <c r="F13084" t="s">
        <v>65</v>
      </c>
      <c r="G13084" t="s">
        <v>66</v>
      </c>
      <c r="H13084" t="s">
        <v>67</v>
      </c>
      <c r="S13084">
        <v>0</v>
      </c>
      <c r="T13084">
        <v>1</v>
      </c>
      <c r="U13084">
        <v>0</v>
      </c>
      <c r="V13084">
        <v>0</v>
      </c>
      <c r="W13084">
        <v>1</v>
      </c>
      <c r="X13084">
        <v>0</v>
      </c>
      <c r="Y13084">
        <v>0</v>
      </c>
      <c r="Z13084">
        <v>1</v>
      </c>
      <c r="AA13084">
        <v>1</v>
      </c>
      <c r="AB13084">
        <v>0</v>
      </c>
      <c r="AC13084">
        <v>0</v>
      </c>
      <c r="AD13084">
        <v>1</v>
      </c>
      <c r="AE13084">
        <v>0</v>
      </c>
      <c r="AF13084">
        <v>0</v>
      </c>
      <c r="AG13084">
        <v>1</v>
      </c>
      <c r="AH13084">
        <v>1</v>
      </c>
      <c r="AI13084">
        <v>1</v>
      </c>
      <c r="AJ13084">
        <v>1</v>
      </c>
      <c r="AK13084">
        <v>1</v>
      </c>
      <c r="AL13084">
        <v>1</v>
      </c>
      <c r="AM13084">
        <v>1</v>
      </c>
    </row>
    <row r="13085" spans="1:39" x14ac:dyDescent="0.2">
      <c r="A13085" t="str">
        <f>"13081"</f>
        <v>13081</v>
      </c>
      <c r="B13085" t="str">
        <f t="shared" si="726"/>
        <v>1</v>
      </c>
      <c r="C13085" t="str">
        <f t="shared" si="727"/>
        <v>262</v>
      </c>
      <c r="D13085" t="str">
        <f>"24"</f>
        <v>24</v>
      </c>
      <c r="E13085" t="str">
        <f>"1-262-24"</f>
        <v>1-262-24</v>
      </c>
      <c r="F13085" t="s">
        <v>65</v>
      </c>
      <c r="G13085" t="s">
        <v>66</v>
      </c>
      <c r="H13085" t="s">
        <v>67</v>
      </c>
      <c r="S13085">
        <v>1</v>
      </c>
      <c r="T13085">
        <v>0</v>
      </c>
      <c r="U13085">
        <v>0</v>
      </c>
      <c r="V13085">
        <v>0</v>
      </c>
      <c r="W13085">
        <v>1</v>
      </c>
      <c r="X13085">
        <v>0</v>
      </c>
      <c r="Y13085">
        <v>1</v>
      </c>
      <c r="Z13085">
        <v>0</v>
      </c>
      <c r="AA13085">
        <v>1</v>
      </c>
      <c r="AB13085">
        <v>0</v>
      </c>
      <c r="AC13085">
        <v>0</v>
      </c>
      <c r="AD13085">
        <v>1</v>
      </c>
      <c r="AE13085">
        <v>1</v>
      </c>
      <c r="AF13085">
        <v>1</v>
      </c>
      <c r="AG13085">
        <v>1</v>
      </c>
      <c r="AH13085">
        <v>1</v>
      </c>
      <c r="AI13085">
        <v>1</v>
      </c>
      <c r="AJ13085">
        <v>1</v>
      </c>
      <c r="AK13085">
        <v>1</v>
      </c>
      <c r="AL13085">
        <v>1</v>
      </c>
      <c r="AM13085">
        <v>1</v>
      </c>
    </row>
    <row r="13086" spans="1:39" x14ac:dyDescent="0.2">
      <c r="A13086" t="str">
        <f>"13082"</f>
        <v>13082</v>
      </c>
      <c r="B13086" t="str">
        <f t="shared" si="726"/>
        <v>1</v>
      </c>
      <c r="C13086" t="str">
        <f t="shared" si="727"/>
        <v>262</v>
      </c>
      <c r="D13086" t="str">
        <f>"7"</f>
        <v>7</v>
      </c>
      <c r="E13086" t="str">
        <f>"1-262-7"</f>
        <v>1-262-7</v>
      </c>
      <c r="F13086" t="s">
        <v>65</v>
      </c>
      <c r="G13086" t="s">
        <v>66</v>
      </c>
      <c r="H13086" t="s">
        <v>67</v>
      </c>
      <c r="S13086">
        <v>1</v>
      </c>
      <c r="T13086">
        <v>0</v>
      </c>
      <c r="U13086">
        <v>0</v>
      </c>
      <c r="V13086">
        <v>0</v>
      </c>
      <c r="W13086">
        <v>0</v>
      </c>
      <c r="X13086">
        <v>1</v>
      </c>
      <c r="Y13086">
        <v>0</v>
      </c>
      <c r="Z13086">
        <v>1</v>
      </c>
      <c r="AA13086">
        <v>0</v>
      </c>
      <c r="AB13086">
        <v>1</v>
      </c>
      <c r="AC13086">
        <v>0</v>
      </c>
      <c r="AD13086">
        <v>1</v>
      </c>
      <c r="AE13086">
        <v>1</v>
      </c>
      <c r="AF13086">
        <v>0</v>
      </c>
      <c r="AG13086">
        <v>1</v>
      </c>
      <c r="AH13086">
        <v>1</v>
      </c>
      <c r="AI13086">
        <v>1</v>
      </c>
      <c r="AJ13086">
        <v>1</v>
      </c>
      <c r="AK13086">
        <v>1</v>
      </c>
      <c r="AL13086">
        <v>1</v>
      </c>
      <c r="AM13086">
        <v>0</v>
      </c>
    </row>
    <row r="13087" spans="1:39" x14ac:dyDescent="0.2">
      <c r="A13087" t="str">
        <f>"13083"</f>
        <v>13083</v>
      </c>
      <c r="B13087" t="str">
        <f t="shared" si="726"/>
        <v>1</v>
      </c>
      <c r="C13087" t="str">
        <f t="shared" ref="C13087:C13104" si="728">"262"</f>
        <v>262</v>
      </c>
      <c r="D13087" t="str">
        <f>"48"</f>
        <v>48</v>
      </c>
      <c r="E13087" t="str">
        <f>"1-262-48"</f>
        <v>1-262-48</v>
      </c>
      <c r="F13087" t="s">
        <v>65</v>
      </c>
      <c r="G13087" t="s">
        <v>66</v>
      </c>
      <c r="H13087" t="s">
        <v>67</v>
      </c>
      <c r="S13087">
        <v>1</v>
      </c>
      <c r="T13087">
        <v>0</v>
      </c>
      <c r="U13087">
        <v>0</v>
      </c>
      <c r="V13087">
        <v>0</v>
      </c>
      <c r="W13087">
        <v>1</v>
      </c>
      <c r="X13087">
        <v>0</v>
      </c>
      <c r="Y13087">
        <v>1</v>
      </c>
      <c r="Z13087">
        <v>0</v>
      </c>
      <c r="AA13087">
        <v>1</v>
      </c>
      <c r="AB13087">
        <v>0</v>
      </c>
      <c r="AC13087">
        <v>0</v>
      </c>
      <c r="AD13087">
        <v>1</v>
      </c>
      <c r="AE13087">
        <v>1</v>
      </c>
      <c r="AF13087">
        <v>1</v>
      </c>
      <c r="AG13087">
        <v>1</v>
      </c>
      <c r="AH13087">
        <v>1</v>
      </c>
      <c r="AI13087">
        <v>1</v>
      </c>
      <c r="AJ13087">
        <v>1</v>
      </c>
      <c r="AK13087">
        <v>1</v>
      </c>
      <c r="AL13087">
        <v>1</v>
      </c>
      <c r="AM13087">
        <v>1</v>
      </c>
    </row>
    <row r="13088" spans="1:39" x14ac:dyDescent="0.2">
      <c r="A13088" t="str">
        <f>"13084"</f>
        <v>13084</v>
      </c>
      <c r="B13088" t="str">
        <f t="shared" si="726"/>
        <v>1</v>
      </c>
      <c r="C13088" t="str">
        <f t="shared" si="728"/>
        <v>262</v>
      </c>
      <c r="D13088" t="str">
        <f>"27"</f>
        <v>27</v>
      </c>
      <c r="E13088" t="str">
        <f>"1-262-27"</f>
        <v>1-262-27</v>
      </c>
      <c r="F13088" t="s">
        <v>65</v>
      </c>
      <c r="G13088" t="s">
        <v>66</v>
      </c>
      <c r="H13088" t="s">
        <v>67</v>
      </c>
      <c r="S13088">
        <v>1</v>
      </c>
      <c r="T13088">
        <v>0</v>
      </c>
      <c r="U13088">
        <v>0</v>
      </c>
      <c r="V13088">
        <v>0</v>
      </c>
      <c r="W13088">
        <v>1</v>
      </c>
      <c r="X13088">
        <v>0</v>
      </c>
      <c r="Y13088">
        <v>1</v>
      </c>
      <c r="Z13088">
        <v>0</v>
      </c>
      <c r="AA13088">
        <v>1</v>
      </c>
      <c r="AB13088">
        <v>0</v>
      </c>
      <c r="AC13088">
        <v>0</v>
      </c>
      <c r="AD13088">
        <v>1</v>
      </c>
      <c r="AE13088">
        <v>1</v>
      </c>
      <c r="AF13088">
        <v>1</v>
      </c>
      <c r="AG13088">
        <v>1</v>
      </c>
      <c r="AH13088">
        <v>0</v>
      </c>
      <c r="AI13088">
        <v>1</v>
      </c>
      <c r="AJ13088">
        <v>1</v>
      </c>
      <c r="AK13088">
        <v>0</v>
      </c>
      <c r="AL13088">
        <v>1</v>
      </c>
      <c r="AM13088">
        <v>1</v>
      </c>
    </row>
    <row r="13089" spans="1:39" x14ac:dyDescent="0.2">
      <c r="A13089" t="str">
        <f>"13085"</f>
        <v>13085</v>
      </c>
      <c r="B13089" t="str">
        <f t="shared" si="726"/>
        <v>1</v>
      </c>
      <c r="C13089" t="str">
        <f t="shared" si="728"/>
        <v>262</v>
      </c>
      <c r="D13089" t="str">
        <f>"3"</f>
        <v>3</v>
      </c>
      <c r="E13089" t="str">
        <f>"1-262-3"</f>
        <v>1-262-3</v>
      </c>
      <c r="F13089" t="s">
        <v>65</v>
      </c>
      <c r="G13089" t="s">
        <v>66</v>
      </c>
      <c r="H13089" t="s">
        <v>67</v>
      </c>
      <c r="S13089">
        <v>1</v>
      </c>
      <c r="T13089">
        <v>0</v>
      </c>
      <c r="U13089">
        <v>0</v>
      </c>
      <c r="V13089">
        <v>0</v>
      </c>
      <c r="W13089">
        <v>1</v>
      </c>
      <c r="X13089">
        <v>0</v>
      </c>
      <c r="Y13089">
        <v>1</v>
      </c>
      <c r="Z13089">
        <v>0</v>
      </c>
      <c r="AA13089">
        <v>0</v>
      </c>
      <c r="AB13089">
        <v>1</v>
      </c>
      <c r="AC13089">
        <v>0</v>
      </c>
      <c r="AD13089">
        <v>1</v>
      </c>
      <c r="AE13089">
        <v>1</v>
      </c>
      <c r="AF13089">
        <v>1</v>
      </c>
      <c r="AG13089">
        <v>1</v>
      </c>
      <c r="AH13089">
        <v>1</v>
      </c>
      <c r="AI13089">
        <v>1</v>
      </c>
      <c r="AJ13089">
        <v>1</v>
      </c>
      <c r="AK13089">
        <v>1</v>
      </c>
      <c r="AL13089">
        <v>1</v>
      </c>
      <c r="AM13089">
        <v>1</v>
      </c>
    </row>
    <row r="13090" spans="1:39" x14ac:dyDescent="0.2">
      <c r="A13090" t="str">
        <f>"13086"</f>
        <v>13086</v>
      </c>
      <c r="B13090" t="str">
        <f t="shared" si="726"/>
        <v>1</v>
      </c>
      <c r="C13090" t="str">
        <f t="shared" si="728"/>
        <v>262</v>
      </c>
      <c r="D13090" t="str">
        <f>"49"</f>
        <v>49</v>
      </c>
      <c r="E13090" t="str">
        <f>"1-262-49"</f>
        <v>1-262-49</v>
      </c>
      <c r="F13090" t="s">
        <v>65</v>
      </c>
      <c r="G13090" t="s">
        <v>66</v>
      </c>
      <c r="H13090" t="s">
        <v>67</v>
      </c>
      <c r="S13090">
        <v>0</v>
      </c>
      <c r="T13090">
        <v>1</v>
      </c>
      <c r="U13090">
        <v>0</v>
      </c>
      <c r="V13090">
        <v>0</v>
      </c>
      <c r="W13090">
        <v>1</v>
      </c>
      <c r="X13090">
        <v>0</v>
      </c>
      <c r="Y13090">
        <v>1</v>
      </c>
      <c r="Z13090">
        <v>0</v>
      </c>
      <c r="AA13090">
        <v>0</v>
      </c>
      <c r="AB13090">
        <v>0</v>
      </c>
      <c r="AC13090">
        <v>1</v>
      </c>
      <c r="AD13090">
        <v>1</v>
      </c>
      <c r="AE13090">
        <v>1</v>
      </c>
      <c r="AF13090">
        <v>1</v>
      </c>
      <c r="AG13090">
        <v>1</v>
      </c>
      <c r="AH13090">
        <v>1</v>
      </c>
      <c r="AI13090">
        <v>1</v>
      </c>
      <c r="AJ13090">
        <v>1</v>
      </c>
      <c r="AK13090">
        <v>1</v>
      </c>
      <c r="AL13090">
        <v>1</v>
      </c>
      <c r="AM13090">
        <v>1</v>
      </c>
    </row>
    <row r="13091" spans="1:39" x14ac:dyDescent="0.2">
      <c r="A13091" t="str">
        <f>"13087"</f>
        <v>13087</v>
      </c>
      <c r="B13091" t="str">
        <f t="shared" si="726"/>
        <v>1</v>
      </c>
      <c r="C13091" t="str">
        <f t="shared" si="728"/>
        <v>262</v>
      </c>
      <c r="D13091" t="str">
        <f>"28"</f>
        <v>28</v>
      </c>
      <c r="E13091" t="str">
        <f>"1-262-28"</f>
        <v>1-262-28</v>
      </c>
      <c r="F13091" t="s">
        <v>65</v>
      </c>
      <c r="G13091" t="s">
        <v>66</v>
      </c>
      <c r="H13091" t="s">
        <v>67</v>
      </c>
      <c r="S13091">
        <v>1</v>
      </c>
      <c r="T13091">
        <v>0</v>
      </c>
      <c r="U13091">
        <v>0</v>
      </c>
      <c r="V13091">
        <v>0</v>
      </c>
      <c r="W13091">
        <v>1</v>
      </c>
      <c r="X13091">
        <v>0</v>
      </c>
      <c r="Y13091">
        <v>1</v>
      </c>
      <c r="Z13091">
        <v>0</v>
      </c>
      <c r="AA13091">
        <v>0</v>
      </c>
      <c r="AB13091">
        <v>0</v>
      </c>
      <c r="AC13091">
        <v>1</v>
      </c>
      <c r="AD13091">
        <v>1</v>
      </c>
      <c r="AE13091">
        <v>1</v>
      </c>
      <c r="AF13091">
        <v>1</v>
      </c>
      <c r="AG13091">
        <v>1</v>
      </c>
      <c r="AH13091">
        <v>1</v>
      </c>
      <c r="AI13091">
        <v>1</v>
      </c>
      <c r="AJ13091">
        <v>1</v>
      </c>
      <c r="AK13091">
        <v>1</v>
      </c>
      <c r="AL13091">
        <v>1</v>
      </c>
      <c r="AM13091">
        <v>1</v>
      </c>
    </row>
    <row r="13092" spans="1:39" x14ac:dyDescent="0.2">
      <c r="A13092" t="str">
        <f>"13088"</f>
        <v>13088</v>
      </c>
      <c r="B13092" t="str">
        <f t="shared" si="726"/>
        <v>1</v>
      </c>
      <c r="C13092" t="str">
        <f t="shared" si="728"/>
        <v>262</v>
      </c>
      <c r="D13092" t="str">
        <f>"14"</f>
        <v>14</v>
      </c>
      <c r="E13092" t="str">
        <f>"1-262-14"</f>
        <v>1-262-14</v>
      </c>
      <c r="F13092" t="s">
        <v>65</v>
      </c>
      <c r="G13092" t="s">
        <v>66</v>
      </c>
      <c r="H13092" t="s">
        <v>67</v>
      </c>
      <c r="S13092">
        <v>1</v>
      </c>
      <c r="T13092">
        <v>0</v>
      </c>
      <c r="U13092">
        <v>0</v>
      </c>
      <c r="V13092">
        <v>0</v>
      </c>
      <c r="W13092">
        <v>1</v>
      </c>
      <c r="X13092">
        <v>0</v>
      </c>
      <c r="Y13092">
        <v>0</v>
      </c>
      <c r="Z13092">
        <v>1</v>
      </c>
      <c r="AA13092">
        <v>1</v>
      </c>
      <c r="AB13092">
        <v>0</v>
      </c>
      <c r="AC13092">
        <v>0</v>
      </c>
      <c r="AD13092">
        <v>1</v>
      </c>
      <c r="AE13092">
        <v>1</v>
      </c>
      <c r="AF13092">
        <v>1</v>
      </c>
      <c r="AG13092">
        <v>1</v>
      </c>
      <c r="AH13092">
        <v>1</v>
      </c>
      <c r="AI13092">
        <v>1</v>
      </c>
      <c r="AJ13092">
        <v>1</v>
      </c>
      <c r="AK13092">
        <v>1</v>
      </c>
      <c r="AL13092">
        <v>1</v>
      </c>
      <c r="AM13092">
        <v>1</v>
      </c>
    </row>
    <row r="13093" spans="1:39" x14ac:dyDescent="0.2">
      <c r="A13093" t="str">
        <f>"13089"</f>
        <v>13089</v>
      </c>
      <c r="B13093" t="str">
        <f t="shared" si="726"/>
        <v>1</v>
      </c>
      <c r="C13093" t="str">
        <f t="shared" si="728"/>
        <v>262</v>
      </c>
      <c r="D13093" t="str">
        <f>"47"</f>
        <v>47</v>
      </c>
      <c r="E13093" t="str">
        <f>"1-262-47"</f>
        <v>1-262-47</v>
      </c>
      <c r="F13093" t="s">
        <v>65</v>
      </c>
      <c r="G13093" t="s">
        <v>66</v>
      </c>
      <c r="H13093" t="s">
        <v>67</v>
      </c>
      <c r="S13093">
        <v>1</v>
      </c>
      <c r="T13093">
        <v>0</v>
      </c>
      <c r="U13093">
        <v>0</v>
      </c>
      <c r="V13093">
        <v>0</v>
      </c>
      <c r="W13093">
        <v>1</v>
      </c>
      <c r="X13093">
        <v>0</v>
      </c>
      <c r="Y13093">
        <v>1</v>
      </c>
      <c r="Z13093">
        <v>0</v>
      </c>
      <c r="AA13093">
        <v>1</v>
      </c>
      <c r="AB13093">
        <v>0</v>
      </c>
      <c r="AC13093">
        <v>0</v>
      </c>
      <c r="AD13093">
        <v>1</v>
      </c>
      <c r="AE13093">
        <v>1</v>
      </c>
      <c r="AF13093">
        <v>1</v>
      </c>
      <c r="AG13093">
        <v>1</v>
      </c>
      <c r="AH13093">
        <v>1</v>
      </c>
      <c r="AI13093">
        <v>1</v>
      </c>
      <c r="AJ13093">
        <v>1</v>
      </c>
      <c r="AK13093">
        <v>1</v>
      </c>
      <c r="AL13093">
        <v>1</v>
      </c>
      <c r="AM13093">
        <v>1</v>
      </c>
    </row>
    <row r="13094" spans="1:39" x14ac:dyDescent="0.2">
      <c r="A13094" t="str">
        <f>"13090"</f>
        <v>13090</v>
      </c>
      <c r="B13094" t="str">
        <f t="shared" si="726"/>
        <v>1</v>
      </c>
      <c r="C13094" t="str">
        <f t="shared" si="728"/>
        <v>262</v>
      </c>
      <c r="D13094" t="str">
        <f>"29"</f>
        <v>29</v>
      </c>
      <c r="E13094" t="str">
        <f>"1-262-29"</f>
        <v>1-262-29</v>
      </c>
      <c r="F13094" t="s">
        <v>65</v>
      </c>
      <c r="G13094" t="s">
        <v>66</v>
      </c>
      <c r="H13094" t="s">
        <v>67</v>
      </c>
      <c r="S13094">
        <v>1</v>
      </c>
      <c r="T13094">
        <v>0</v>
      </c>
      <c r="U13094">
        <v>0</v>
      </c>
      <c r="V13094">
        <v>0</v>
      </c>
      <c r="W13094">
        <v>1</v>
      </c>
      <c r="X13094">
        <v>0</v>
      </c>
      <c r="Y13094">
        <v>1</v>
      </c>
      <c r="Z13094">
        <v>0</v>
      </c>
      <c r="AA13094">
        <v>1</v>
      </c>
      <c r="AB13094">
        <v>0</v>
      </c>
      <c r="AC13094">
        <v>0</v>
      </c>
      <c r="AD13094">
        <v>1</v>
      </c>
      <c r="AE13094">
        <v>1</v>
      </c>
      <c r="AF13094">
        <v>1</v>
      </c>
      <c r="AG13094">
        <v>1</v>
      </c>
      <c r="AH13094">
        <v>1</v>
      </c>
      <c r="AI13094">
        <v>1</v>
      </c>
      <c r="AJ13094">
        <v>1</v>
      </c>
      <c r="AK13094">
        <v>1</v>
      </c>
      <c r="AL13094">
        <v>1</v>
      </c>
      <c r="AM13094">
        <v>1</v>
      </c>
    </row>
    <row r="13095" spans="1:39" x14ac:dyDescent="0.2">
      <c r="A13095" t="str">
        <f>"13091"</f>
        <v>13091</v>
      </c>
      <c r="B13095" t="str">
        <f t="shared" si="726"/>
        <v>1</v>
      </c>
      <c r="C13095" t="str">
        <f t="shared" si="728"/>
        <v>262</v>
      </c>
      <c r="D13095" t="str">
        <f>"11"</f>
        <v>11</v>
      </c>
      <c r="E13095" t="str">
        <f>"1-262-11"</f>
        <v>1-262-11</v>
      </c>
      <c r="F13095" t="s">
        <v>65</v>
      </c>
      <c r="G13095" t="s">
        <v>66</v>
      </c>
      <c r="H13095" t="s">
        <v>67</v>
      </c>
      <c r="S13095">
        <v>1</v>
      </c>
      <c r="T13095">
        <v>0</v>
      </c>
      <c r="U13095">
        <v>0</v>
      </c>
      <c r="V13095">
        <v>0</v>
      </c>
      <c r="W13095">
        <v>1</v>
      </c>
      <c r="X13095">
        <v>0</v>
      </c>
      <c r="Y13095">
        <v>0</v>
      </c>
      <c r="Z13095">
        <v>1</v>
      </c>
      <c r="AA13095">
        <v>0</v>
      </c>
      <c r="AB13095">
        <v>0</v>
      </c>
      <c r="AC13095">
        <v>1</v>
      </c>
      <c r="AD13095">
        <v>1</v>
      </c>
      <c r="AE13095">
        <v>1</v>
      </c>
      <c r="AF13095">
        <v>1</v>
      </c>
      <c r="AG13095">
        <v>1</v>
      </c>
      <c r="AH13095">
        <v>1</v>
      </c>
      <c r="AI13095">
        <v>1</v>
      </c>
      <c r="AJ13095">
        <v>1</v>
      </c>
      <c r="AK13095">
        <v>1</v>
      </c>
      <c r="AL13095">
        <v>1</v>
      </c>
      <c r="AM13095">
        <v>1</v>
      </c>
    </row>
    <row r="13096" spans="1:39" x14ac:dyDescent="0.2">
      <c r="A13096" t="str">
        <f>"13092"</f>
        <v>13092</v>
      </c>
      <c r="B13096" t="str">
        <f t="shared" si="726"/>
        <v>1</v>
      </c>
      <c r="C13096" t="str">
        <f t="shared" si="728"/>
        <v>262</v>
      </c>
      <c r="D13096" t="str">
        <f>"44"</f>
        <v>44</v>
      </c>
      <c r="E13096" t="str">
        <f>"1-262-44"</f>
        <v>1-262-44</v>
      </c>
      <c r="F13096" t="s">
        <v>65</v>
      </c>
      <c r="G13096" t="s">
        <v>66</v>
      </c>
      <c r="H13096" t="s">
        <v>67</v>
      </c>
      <c r="S13096">
        <v>0</v>
      </c>
      <c r="T13096">
        <v>1</v>
      </c>
      <c r="U13096">
        <v>0</v>
      </c>
      <c r="V13096">
        <v>0</v>
      </c>
      <c r="W13096">
        <v>1</v>
      </c>
      <c r="X13096">
        <v>0</v>
      </c>
      <c r="Y13096">
        <v>0</v>
      </c>
      <c r="Z13096">
        <v>1</v>
      </c>
      <c r="AA13096">
        <v>1</v>
      </c>
      <c r="AB13096">
        <v>0</v>
      </c>
      <c r="AC13096">
        <v>0</v>
      </c>
      <c r="AD13096">
        <v>1</v>
      </c>
      <c r="AE13096">
        <v>1</v>
      </c>
      <c r="AF13096">
        <v>1</v>
      </c>
      <c r="AG13096">
        <v>1</v>
      </c>
      <c r="AH13096">
        <v>1</v>
      </c>
      <c r="AI13096">
        <v>1</v>
      </c>
      <c r="AJ13096">
        <v>1</v>
      </c>
      <c r="AK13096">
        <v>1</v>
      </c>
      <c r="AL13096">
        <v>1</v>
      </c>
      <c r="AM13096">
        <v>1</v>
      </c>
    </row>
    <row r="13097" spans="1:39" x14ac:dyDescent="0.2">
      <c r="A13097" t="str">
        <f>"13093"</f>
        <v>13093</v>
      </c>
      <c r="B13097" t="str">
        <f t="shared" si="726"/>
        <v>1</v>
      </c>
      <c r="C13097" t="str">
        <f t="shared" si="728"/>
        <v>262</v>
      </c>
      <c r="D13097" t="str">
        <f>"30"</f>
        <v>30</v>
      </c>
      <c r="E13097" t="str">
        <f>"1-262-30"</f>
        <v>1-262-30</v>
      </c>
      <c r="F13097" t="s">
        <v>65</v>
      </c>
      <c r="G13097" t="s">
        <v>66</v>
      </c>
      <c r="H13097" t="s">
        <v>67</v>
      </c>
      <c r="S13097">
        <v>0</v>
      </c>
      <c r="T13097">
        <v>1</v>
      </c>
      <c r="U13097">
        <v>0</v>
      </c>
      <c r="V13097">
        <v>0</v>
      </c>
      <c r="W13097">
        <v>1</v>
      </c>
      <c r="X13097">
        <v>0</v>
      </c>
      <c r="Y13097">
        <v>0</v>
      </c>
      <c r="Z13097">
        <v>1</v>
      </c>
      <c r="AA13097">
        <v>0</v>
      </c>
      <c r="AB13097">
        <v>1</v>
      </c>
      <c r="AC13097">
        <v>0</v>
      </c>
      <c r="AD13097">
        <v>1</v>
      </c>
      <c r="AE13097">
        <v>1</v>
      </c>
      <c r="AF13097">
        <v>1</v>
      </c>
      <c r="AG13097">
        <v>1</v>
      </c>
      <c r="AH13097">
        <v>1</v>
      </c>
      <c r="AI13097">
        <v>1</v>
      </c>
      <c r="AJ13097">
        <v>1</v>
      </c>
      <c r="AK13097">
        <v>0</v>
      </c>
      <c r="AL13097">
        <v>1</v>
      </c>
      <c r="AM13097">
        <v>1</v>
      </c>
    </row>
    <row r="13098" spans="1:39" x14ac:dyDescent="0.2">
      <c r="A13098" t="str">
        <f>"13094"</f>
        <v>13094</v>
      </c>
      <c r="B13098" t="str">
        <f t="shared" si="726"/>
        <v>1</v>
      </c>
      <c r="C13098" t="str">
        <f t="shared" si="728"/>
        <v>262</v>
      </c>
      <c r="D13098" t="str">
        <f>"13"</f>
        <v>13</v>
      </c>
      <c r="E13098" t="str">
        <f>"1-262-13"</f>
        <v>1-262-13</v>
      </c>
      <c r="F13098" t="s">
        <v>65</v>
      </c>
      <c r="G13098" t="s">
        <v>66</v>
      </c>
      <c r="H13098" t="s">
        <v>67</v>
      </c>
      <c r="S13098">
        <v>1</v>
      </c>
      <c r="T13098">
        <v>0</v>
      </c>
      <c r="U13098">
        <v>0</v>
      </c>
      <c r="V13098">
        <v>0</v>
      </c>
      <c r="W13098">
        <v>1</v>
      </c>
      <c r="X13098">
        <v>0</v>
      </c>
      <c r="Y13098">
        <v>1</v>
      </c>
      <c r="Z13098">
        <v>0</v>
      </c>
      <c r="AA13098">
        <v>1</v>
      </c>
      <c r="AB13098">
        <v>0</v>
      </c>
      <c r="AC13098">
        <v>0</v>
      </c>
      <c r="AD13098">
        <v>1</v>
      </c>
      <c r="AE13098">
        <v>1</v>
      </c>
      <c r="AF13098">
        <v>1</v>
      </c>
      <c r="AG13098">
        <v>1</v>
      </c>
      <c r="AH13098">
        <v>1</v>
      </c>
      <c r="AI13098">
        <v>1</v>
      </c>
      <c r="AJ13098">
        <v>1</v>
      </c>
      <c r="AK13098">
        <v>1</v>
      </c>
      <c r="AL13098">
        <v>1</v>
      </c>
      <c r="AM13098">
        <v>1</v>
      </c>
    </row>
    <row r="13099" spans="1:39" x14ac:dyDescent="0.2">
      <c r="A13099" t="str">
        <f>"13095"</f>
        <v>13095</v>
      </c>
      <c r="B13099" t="str">
        <f t="shared" si="726"/>
        <v>1</v>
      </c>
      <c r="C13099" t="str">
        <f t="shared" si="728"/>
        <v>262</v>
      </c>
      <c r="D13099" t="str">
        <f>"50"</f>
        <v>50</v>
      </c>
      <c r="E13099" t="str">
        <f>"1-262-50"</f>
        <v>1-262-50</v>
      </c>
      <c r="F13099" t="s">
        <v>65</v>
      </c>
      <c r="G13099" t="s">
        <v>66</v>
      </c>
      <c r="H13099" t="s">
        <v>67</v>
      </c>
      <c r="S13099">
        <v>0</v>
      </c>
      <c r="T13099">
        <v>1</v>
      </c>
      <c r="U13099">
        <v>0</v>
      </c>
      <c r="V13099">
        <v>0</v>
      </c>
      <c r="W13099">
        <v>0</v>
      </c>
      <c r="X13099">
        <v>1</v>
      </c>
      <c r="Y13099">
        <v>0</v>
      </c>
      <c r="Z13099">
        <v>1</v>
      </c>
      <c r="AA13099">
        <v>0</v>
      </c>
      <c r="AB13099">
        <v>0</v>
      </c>
      <c r="AC13099">
        <v>1</v>
      </c>
      <c r="AD13099">
        <v>1</v>
      </c>
      <c r="AE13099">
        <v>1</v>
      </c>
      <c r="AF13099">
        <v>1</v>
      </c>
      <c r="AG13099">
        <v>1</v>
      </c>
      <c r="AH13099">
        <v>1</v>
      </c>
      <c r="AI13099">
        <v>1</v>
      </c>
      <c r="AJ13099">
        <v>1</v>
      </c>
      <c r="AK13099">
        <v>1</v>
      </c>
      <c r="AL13099">
        <v>1</v>
      </c>
      <c r="AM13099">
        <v>1</v>
      </c>
    </row>
    <row r="13100" spans="1:39" x14ac:dyDescent="0.2">
      <c r="A13100" t="str">
        <f>"13096"</f>
        <v>13096</v>
      </c>
      <c r="B13100" t="str">
        <f t="shared" si="726"/>
        <v>1</v>
      </c>
      <c r="C13100" t="str">
        <f t="shared" si="728"/>
        <v>262</v>
      </c>
      <c r="D13100" t="str">
        <f>"33"</f>
        <v>33</v>
      </c>
      <c r="E13100" t="str">
        <f>"1-262-33"</f>
        <v>1-262-33</v>
      </c>
      <c r="F13100" t="s">
        <v>65</v>
      </c>
      <c r="G13100" t="s">
        <v>66</v>
      </c>
      <c r="H13100" t="s">
        <v>67</v>
      </c>
      <c r="S13100">
        <v>0</v>
      </c>
      <c r="T13100">
        <v>1</v>
      </c>
      <c r="U13100">
        <v>0</v>
      </c>
      <c r="V13100">
        <v>0</v>
      </c>
      <c r="W13100">
        <v>1</v>
      </c>
      <c r="X13100">
        <v>0</v>
      </c>
      <c r="Y13100">
        <v>0</v>
      </c>
      <c r="Z13100">
        <v>1</v>
      </c>
      <c r="AA13100">
        <v>0</v>
      </c>
      <c r="AB13100">
        <v>1</v>
      </c>
      <c r="AC13100">
        <v>0</v>
      </c>
      <c r="AD13100">
        <v>1</v>
      </c>
      <c r="AE13100">
        <v>1</v>
      </c>
      <c r="AF13100">
        <v>1</v>
      </c>
      <c r="AG13100">
        <v>1</v>
      </c>
      <c r="AH13100">
        <v>1</v>
      </c>
      <c r="AI13100">
        <v>1</v>
      </c>
      <c r="AJ13100">
        <v>1</v>
      </c>
      <c r="AK13100">
        <v>1</v>
      </c>
      <c r="AL13100">
        <v>1</v>
      </c>
      <c r="AM13100">
        <v>1</v>
      </c>
    </row>
    <row r="13101" spans="1:39" x14ac:dyDescent="0.2">
      <c r="A13101" t="str">
        <f>"13097"</f>
        <v>13097</v>
      </c>
      <c r="B13101" t="str">
        <f t="shared" si="726"/>
        <v>1</v>
      </c>
      <c r="C13101" t="str">
        <f t="shared" si="728"/>
        <v>262</v>
      </c>
      <c r="D13101" t="str">
        <f>"12"</f>
        <v>12</v>
      </c>
      <c r="E13101" t="str">
        <f>"1-262-12"</f>
        <v>1-262-12</v>
      </c>
      <c r="F13101" t="s">
        <v>65</v>
      </c>
      <c r="G13101" t="s">
        <v>66</v>
      </c>
      <c r="H13101" t="s">
        <v>67</v>
      </c>
      <c r="S13101">
        <v>1</v>
      </c>
      <c r="T13101">
        <v>0</v>
      </c>
      <c r="U13101">
        <v>0</v>
      </c>
      <c r="V13101">
        <v>0</v>
      </c>
      <c r="W13101">
        <v>1</v>
      </c>
      <c r="X13101">
        <v>0</v>
      </c>
      <c r="Y13101">
        <v>1</v>
      </c>
      <c r="Z13101">
        <v>0</v>
      </c>
      <c r="AA13101">
        <v>1</v>
      </c>
      <c r="AB13101">
        <v>0</v>
      </c>
      <c r="AC13101">
        <v>0</v>
      </c>
      <c r="AD13101">
        <v>1</v>
      </c>
      <c r="AE13101">
        <v>1</v>
      </c>
      <c r="AF13101">
        <v>1</v>
      </c>
      <c r="AG13101">
        <v>1</v>
      </c>
      <c r="AH13101">
        <v>1</v>
      </c>
      <c r="AI13101">
        <v>1</v>
      </c>
      <c r="AJ13101">
        <v>1</v>
      </c>
      <c r="AK13101">
        <v>1</v>
      </c>
      <c r="AL13101">
        <v>1</v>
      </c>
      <c r="AM13101">
        <v>1</v>
      </c>
    </row>
    <row r="13102" spans="1:39" x14ac:dyDescent="0.2">
      <c r="A13102" t="str">
        <f>"13098"</f>
        <v>13098</v>
      </c>
      <c r="B13102" t="str">
        <f t="shared" si="726"/>
        <v>1</v>
      </c>
      <c r="C13102" t="str">
        <f t="shared" si="728"/>
        <v>262</v>
      </c>
      <c r="D13102" t="str">
        <f>"43"</f>
        <v>43</v>
      </c>
      <c r="E13102" t="str">
        <f>"1-262-43"</f>
        <v>1-262-43</v>
      </c>
      <c r="F13102" t="s">
        <v>65</v>
      </c>
      <c r="G13102" t="s">
        <v>66</v>
      </c>
      <c r="H13102" t="s">
        <v>67</v>
      </c>
      <c r="S13102">
        <v>1</v>
      </c>
      <c r="T13102">
        <v>0</v>
      </c>
      <c r="U13102">
        <v>0</v>
      </c>
      <c r="V13102">
        <v>0</v>
      </c>
      <c r="W13102">
        <v>1</v>
      </c>
      <c r="X13102">
        <v>0</v>
      </c>
      <c r="Y13102">
        <v>1</v>
      </c>
      <c r="Z13102">
        <v>0</v>
      </c>
      <c r="AA13102">
        <v>1</v>
      </c>
      <c r="AB13102">
        <v>0</v>
      </c>
      <c r="AC13102">
        <v>0</v>
      </c>
      <c r="AD13102">
        <v>1</v>
      </c>
      <c r="AE13102">
        <v>1</v>
      </c>
      <c r="AF13102">
        <v>1</v>
      </c>
      <c r="AG13102">
        <v>0</v>
      </c>
      <c r="AH13102">
        <v>0</v>
      </c>
      <c r="AI13102">
        <v>1</v>
      </c>
      <c r="AJ13102">
        <v>1</v>
      </c>
      <c r="AK13102">
        <v>1</v>
      </c>
      <c r="AL13102">
        <v>1</v>
      </c>
      <c r="AM13102">
        <v>1</v>
      </c>
    </row>
    <row r="13103" spans="1:39" x14ac:dyDescent="0.2">
      <c r="A13103" t="str">
        <f>"13099"</f>
        <v>13099</v>
      </c>
      <c r="B13103" t="str">
        <f t="shared" si="726"/>
        <v>1</v>
      </c>
      <c r="C13103" t="str">
        <f t="shared" si="728"/>
        <v>262</v>
      </c>
      <c r="D13103" t="str">
        <f>"34"</f>
        <v>34</v>
      </c>
      <c r="E13103" t="str">
        <f>"1-262-34"</f>
        <v>1-262-34</v>
      </c>
      <c r="F13103" t="s">
        <v>65</v>
      </c>
      <c r="G13103" t="s">
        <v>66</v>
      </c>
      <c r="H13103" t="s">
        <v>68</v>
      </c>
      <c r="I13103">
        <v>1</v>
      </c>
      <c r="J13103">
        <v>0</v>
      </c>
      <c r="K13103">
        <v>1</v>
      </c>
      <c r="L13103">
        <v>0</v>
      </c>
      <c r="M13103">
        <v>1</v>
      </c>
      <c r="N13103">
        <v>1</v>
      </c>
      <c r="O13103">
        <v>1</v>
      </c>
      <c r="P13103">
        <v>1</v>
      </c>
      <c r="Q13103">
        <v>1</v>
      </c>
      <c r="R13103">
        <v>1</v>
      </c>
    </row>
    <row r="13104" spans="1:39" x14ac:dyDescent="0.2">
      <c r="A13104" t="str">
        <f>"13100"</f>
        <v>13100</v>
      </c>
      <c r="B13104" t="str">
        <f t="shared" si="726"/>
        <v>1</v>
      </c>
      <c r="C13104" t="str">
        <f t="shared" si="728"/>
        <v>262</v>
      </c>
      <c r="D13104" t="str">
        <f>"4"</f>
        <v>4</v>
      </c>
      <c r="E13104" t="str">
        <f>"1-262-4"</f>
        <v>1-262-4</v>
      </c>
      <c r="F13104" t="s">
        <v>65</v>
      </c>
      <c r="G13104" t="s">
        <v>66</v>
      </c>
      <c r="H13104" t="s">
        <v>67</v>
      </c>
      <c r="S13104">
        <v>1</v>
      </c>
      <c r="T13104">
        <v>0</v>
      </c>
      <c r="U13104">
        <v>0</v>
      </c>
      <c r="V13104">
        <v>0</v>
      </c>
      <c r="W13104">
        <v>1</v>
      </c>
      <c r="X13104">
        <v>0</v>
      </c>
      <c r="Y13104">
        <v>1</v>
      </c>
      <c r="Z13104">
        <v>0</v>
      </c>
      <c r="AA13104">
        <v>1</v>
      </c>
      <c r="AB13104">
        <v>0</v>
      </c>
      <c r="AC13104">
        <v>0</v>
      </c>
      <c r="AD13104">
        <v>1</v>
      </c>
      <c r="AE13104">
        <v>1</v>
      </c>
      <c r="AF13104">
        <v>1</v>
      </c>
      <c r="AG13104">
        <v>1</v>
      </c>
      <c r="AH13104">
        <v>1</v>
      </c>
      <c r="AI13104">
        <v>1</v>
      </c>
      <c r="AJ13104">
        <v>1</v>
      </c>
      <c r="AK13104">
        <v>1</v>
      </c>
      <c r="AL13104">
        <v>1</v>
      </c>
      <c r="AM13104">
        <v>1</v>
      </c>
    </row>
    <row r="13105" spans="1:39" x14ac:dyDescent="0.2">
      <c r="A13105" t="str">
        <f>"13101"</f>
        <v>13101</v>
      </c>
      <c r="B13105" t="str">
        <f t="shared" si="726"/>
        <v>1</v>
      </c>
      <c r="C13105" t="str">
        <f t="shared" ref="C13105:C13136" si="729">"263"</f>
        <v>263</v>
      </c>
      <c r="D13105" t="str">
        <f>"34"</f>
        <v>34</v>
      </c>
      <c r="E13105" t="str">
        <f>"1-263-34"</f>
        <v>1-263-34</v>
      </c>
      <c r="F13105" t="s">
        <v>65</v>
      </c>
      <c r="G13105" t="s">
        <v>66</v>
      </c>
      <c r="H13105" t="s">
        <v>67</v>
      </c>
      <c r="S13105">
        <v>1</v>
      </c>
      <c r="T13105">
        <v>0</v>
      </c>
      <c r="U13105">
        <v>0</v>
      </c>
      <c r="V13105">
        <v>0</v>
      </c>
      <c r="W13105">
        <v>1</v>
      </c>
      <c r="X13105">
        <v>0</v>
      </c>
      <c r="Y13105">
        <v>1</v>
      </c>
      <c r="Z13105">
        <v>0</v>
      </c>
      <c r="AA13105">
        <v>1</v>
      </c>
      <c r="AB13105">
        <v>0</v>
      </c>
      <c r="AC13105">
        <v>0</v>
      </c>
      <c r="AD13105">
        <v>0</v>
      </c>
      <c r="AE13105">
        <v>0</v>
      </c>
      <c r="AF13105">
        <v>0</v>
      </c>
      <c r="AG13105">
        <v>0</v>
      </c>
      <c r="AH13105">
        <v>0</v>
      </c>
      <c r="AI13105">
        <v>0</v>
      </c>
      <c r="AJ13105">
        <v>0</v>
      </c>
      <c r="AK13105">
        <v>0</v>
      </c>
      <c r="AL13105">
        <v>0</v>
      </c>
      <c r="AM13105">
        <v>0</v>
      </c>
    </row>
    <row r="13106" spans="1:39" x14ac:dyDescent="0.2">
      <c r="A13106" t="str">
        <f>"13102"</f>
        <v>13102</v>
      </c>
      <c r="B13106" t="str">
        <f t="shared" si="726"/>
        <v>1</v>
      </c>
      <c r="C13106" t="str">
        <f t="shared" si="729"/>
        <v>263</v>
      </c>
      <c r="D13106" t="str">
        <f>"33"</f>
        <v>33</v>
      </c>
      <c r="E13106" t="str">
        <f>"1-263-33"</f>
        <v>1-263-33</v>
      </c>
      <c r="F13106" t="s">
        <v>65</v>
      </c>
      <c r="G13106" t="s">
        <v>66</v>
      </c>
      <c r="H13106" t="s">
        <v>67</v>
      </c>
      <c r="S13106">
        <v>0</v>
      </c>
      <c r="T13106">
        <v>1</v>
      </c>
      <c r="U13106">
        <v>0</v>
      </c>
      <c r="V13106">
        <v>0</v>
      </c>
      <c r="W13106">
        <v>0</v>
      </c>
      <c r="X13106">
        <v>1</v>
      </c>
      <c r="Y13106">
        <v>1</v>
      </c>
      <c r="Z13106">
        <v>0</v>
      </c>
      <c r="AA13106">
        <v>0</v>
      </c>
      <c r="AB13106">
        <v>1</v>
      </c>
      <c r="AC13106">
        <v>0</v>
      </c>
      <c r="AD13106">
        <v>1</v>
      </c>
      <c r="AE13106">
        <v>1</v>
      </c>
      <c r="AF13106">
        <v>1</v>
      </c>
      <c r="AG13106">
        <v>1</v>
      </c>
      <c r="AH13106">
        <v>1</v>
      </c>
      <c r="AI13106">
        <v>1</v>
      </c>
      <c r="AJ13106">
        <v>1</v>
      </c>
      <c r="AK13106">
        <v>1</v>
      </c>
      <c r="AL13106">
        <v>1</v>
      </c>
      <c r="AM13106">
        <v>1</v>
      </c>
    </row>
    <row r="13107" spans="1:39" x14ac:dyDescent="0.2">
      <c r="A13107" t="str">
        <f>"13103"</f>
        <v>13103</v>
      </c>
      <c r="B13107" t="str">
        <f t="shared" si="726"/>
        <v>1</v>
      </c>
      <c r="C13107" t="str">
        <f t="shared" si="729"/>
        <v>263</v>
      </c>
      <c r="D13107" t="str">
        <f>"23"</f>
        <v>23</v>
      </c>
      <c r="E13107" t="str">
        <f>"1-263-23"</f>
        <v>1-263-23</v>
      </c>
      <c r="F13107" t="s">
        <v>65</v>
      </c>
      <c r="G13107" t="s">
        <v>66</v>
      </c>
      <c r="H13107" t="s">
        <v>67</v>
      </c>
      <c r="S13107">
        <v>0</v>
      </c>
      <c r="T13107">
        <v>1</v>
      </c>
      <c r="U13107">
        <v>0</v>
      </c>
      <c r="V13107">
        <v>0</v>
      </c>
      <c r="W13107">
        <v>1</v>
      </c>
      <c r="X13107">
        <v>0</v>
      </c>
      <c r="Y13107">
        <v>0</v>
      </c>
      <c r="Z13107">
        <v>1</v>
      </c>
      <c r="AA13107">
        <v>0</v>
      </c>
      <c r="AB13107">
        <v>0</v>
      </c>
      <c r="AC13107">
        <v>0</v>
      </c>
      <c r="AD13107">
        <v>1</v>
      </c>
      <c r="AE13107">
        <v>0</v>
      </c>
      <c r="AF13107">
        <v>0</v>
      </c>
      <c r="AG13107">
        <v>1</v>
      </c>
      <c r="AH13107">
        <v>1</v>
      </c>
      <c r="AI13107">
        <v>1</v>
      </c>
      <c r="AJ13107">
        <v>1</v>
      </c>
      <c r="AK13107">
        <v>1</v>
      </c>
      <c r="AL13107">
        <v>1</v>
      </c>
      <c r="AM13107">
        <v>1</v>
      </c>
    </row>
    <row r="13108" spans="1:39" x14ac:dyDescent="0.2">
      <c r="A13108" t="str">
        <f>"13104"</f>
        <v>13104</v>
      </c>
      <c r="B13108" t="str">
        <f t="shared" si="726"/>
        <v>1</v>
      </c>
      <c r="C13108" t="str">
        <f t="shared" si="729"/>
        <v>263</v>
      </c>
      <c r="D13108" t="str">
        <f>"15"</f>
        <v>15</v>
      </c>
      <c r="E13108" t="str">
        <f>"1-263-15"</f>
        <v>1-263-15</v>
      </c>
      <c r="F13108" t="s">
        <v>65</v>
      </c>
      <c r="G13108" t="s">
        <v>66</v>
      </c>
      <c r="H13108" t="s">
        <v>67</v>
      </c>
      <c r="S13108">
        <v>1</v>
      </c>
      <c r="T13108">
        <v>0</v>
      </c>
      <c r="U13108">
        <v>0</v>
      </c>
      <c r="V13108">
        <v>0</v>
      </c>
      <c r="W13108">
        <v>0</v>
      </c>
      <c r="X13108">
        <v>1</v>
      </c>
      <c r="Y13108">
        <v>1</v>
      </c>
      <c r="Z13108">
        <v>0</v>
      </c>
      <c r="AA13108">
        <v>1</v>
      </c>
      <c r="AB13108">
        <v>0</v>
      </c>
      <c r="AC13108">
        <v>0</v>
      </c>
      <c r="AD13108">
        <v>1</v>
      </c>
      <c r="AE13108">
        <v>0</v>
      </c>
      <c r="AF13108">
        <v>1</v>
      </c>
      <c r="AG13108">
        <v>1</v>
      </c>
      <c r="AH13108">
        <v>1</v>
      </c>
      <c r="AI13108">
        <v>1</v>
      </c>
      <c r="AJ13108">
        <v>1</v>
      </c>
      <c r="AK13108">
        <v>1</v>
      </c>
      <c r="AL13108">
        <v>1</v>
      </c>
      <c r="AM13108">
        <v>1</v>
      </c>
    </row>
    <row r="13109" spans="1:39" x14ac:dyDescent="0.2">
      <c r="A13109" t="str">
        <f>"13105"</f>
        <v>13105</v>
      </c>
      <c r="B13109" t="str">
        <f t="shared" si="726"/>
        <v>1</v>
      </c>
      <c r="C13109" t="str">
        <f t="shared" si="729"/>
        <v>263</v>
      </c>
      <c r="D13109" t="str">
        <f>"2"</f>
        <v>2</v>
      </c>
      <c r="E13109" t="str">
        <f>"1-263-2"</f>
        <v>1-263-2</v>
      </c>
      <c r="F13109" t="s">
        <v>65</v>
      </c>
      <c r="G13109" t="s">
        <v>66</v>
      </c>
      <c r="H13109" t="s">
        <v>67</v>
      </c>
      <c r="S13109">
        <v>1</v>
      </c>
      <c r="T13109">
        <v>0</v>
      </c>
      <c r="U13109">
        <v>0</v>
      </c>
      <c r="V13109">
        <v>0</v>
      </c>
      <c r="W13109">
        <v>1</v>
      </c>
      <c r="X13109">
        <v>0</v>
      </c>
      <c r="Y13109">
        <v>1</v>
      </c>
      <c r="Z13109">
        <v>0</v>
      </c>
      <c r="AA13109">
        <v>1</v>
      </c>
      <c r="AB13109">
        <v>0</v>
      </c>
      <c r="AC13109">
        <v>0</v>
      </c>
      <c r="AD13109">
        <v>1</v>
      </c>
      <c r="AE13109">
        <v>1</v>
      </c>
      <c r="AF13109">
        <v>1</v>
      </c>
      <c r="AG13109">
        <v>1</v>
      </c>
      <c r="AH13109">
        <v>1</v>
      </c>
      <c r="AI13109">
        <v>1</v>
      </c>
      <c r="AJ13109">
        <v>1</v>
      </c>
      <c r="AK13109">
        <v>1</v>
      </c>
      <c r="AL13109">
        <v>1</v>
      </c>
      <c r="AM13109">
        <v>0</v>
      </c>
    </row>
    <row r="13110" spans="1:39" x14ac:dyDescent="0.2">
      <c r="A13110" t="str">
        <f>"13106"</f>
        <v>13106</v>
      </c>
      <c r="B13110" t="str">
        <f t="shared" si="726"/>
        <v>1</v>
      </c>
      <c r="C13110" t="str">
        <f t="shared" si="729"/>
        <v>263</v>
      </c>
      <c r="D13110" t="str">
        <f>"36"</f>
        <v>36</v>
      </c>
      <c r="E13110" t="str">
        <f>"1-263-36"</f>
        <v>1-263-36</v>
      </c>
      <c r="F13110" t="s">
        <v>65</v>
      </c>
      <c r="G13110" t="s">
        <v>66</v>
      </c>
      <c r="H13110" t="s">
        <v>67</v>
      </c>
      <c r="S13110">
        <v>0</v>
      </c>
      <c r="T13110">
        <v>0</v>
      </c>
      <c r="U13110">
        <v>0</v>
      </c>
      <c r="V13110">
        <v>0</v>
      </c>
      <c r="W13110">
        <v>1</v>
      </c>
      <c r="X13110">
        <v>0</v>
      </c>
      <c r="Y13110">
        <v>0</v>
      </c>
      <c r="Z13110">
        <v>0</v>
      </c>
      <c r="AA13110">
        <v>0</v>
      </c>
      <c r="AB13110">
        <v>0</v>
      </c>
      <c r="AC13110">
        <v>0</v>
      </c>
      <c r="AD13110">
        <v>0</v>
      </c>
      <c r="AE13110">
        <v>0</v>
      </c>
      <c r="AF13110">
        <v>0</v>
      </c>
      <c r="AG13110">
        <v>0</v>
      </c>
      <c r="AH13110">
        <v>0</v>
      </c>
      <c r="AI13110">
        <v>0</v>
      </c>
      <c r="AJ13110">
        <v>0</v>
      </c>
      <c r="AK13110">
        <v>0</v>
      </c>
      <c r="AL13110">
        <v>0</v>
      </c>
      <c r="AM13110">
        <v>0</v>
      </c>
    </row>
    <row r="13111" spans="1:39" x14ac:dyDescent="0.2">
      <c r="A13111" t="str">
        <f>"13107"</f>
        <v>13107</v>
      </c>
      <c r="B13111" t="str">
        <f t="shared" ref="B13111:B13174" si="730">"1"</f>
        <v>1</v>
      </c>
      <c r="C13111" t="str">
        <f t="shared" si="729"/>
        <v>263</v>
      </c>
      <c r="D13111" t="str">
        <f>"35"</f>
        <v>35</v>
      </c>
      <c r="E13111" t="str">
        <f>"1-263-35"</f>
        <v>1-263-35</v>
      </c>
      <c r="F13111" t="s">
        <v>65</v>
      </c>
      <c r="G13111" t="s">
        <v>66</v>
      </c>
      <c r="H13111" t="s">
        <v>67</v>
      </c>
      <c r="S13111">
        <v>1</v>
      </c>
      <c r="T13111">
        <v>0</v>
      </c>
      <c r="U13111">
        <v>0</v>
      </c>
      <c r="V13111">
        <v>0</v>
      </c>
      <c r="W13111">
        <v>1</v>
      </c>
      <c r="X13111">
        <v>0</v>
      </c>
      <c r="Y13111">
        <v>0</v>
      </c>
      <c r="Z13111">
        <v>1</v>
      </c>
      <c r="AA13111">
        <v>1</v>
      </c>
      <c r="AB13111">
        <v>0</v>
      </c>
      <c r="AC13111">
        <v>0</v>
      </c>
      <c r="AD13111">
        <v>0</v>
      </c>
      <c r="AE13111">
        <v>0</v>
      </c>
      <c r="AF13111">
        <v>0</v>
      </c>
      <c r="AG13111">
        <v>0</v>
      </c>
      <c r="AH13111">
        <v>0</v>
      </c>
      <c r="AI13111">
        <v>0</v>
      </c>
      <c r="AJ13111">
        <v>0</v>
      </c>
      <c r="AK13111">
        <v>0</v>
      </c>
      <c r="AL13111">
        <v>0</v>
      </c>
      <c r="AM13111">
        <v>0</v>
      </c>
    </row>
    <row r="13112" spans="1:39" x14ac:dyDescent="0.2">
      <c r="A13112" t="str">
        <f>"13108"</f>
        <v>13108</v>
      </c>
      <c r="B13112" t="str">
        <f t="shared" si="730"/>
        <v>1</v>
      </c>
      <c r="C13112" t="str">
        <f t="shared" si="729"/>
        <v>263</v>
      </c>
      <c r="D13112" t="str">
        <f>"28"</f>
        <v>28</v>
      </c>
      <c r="E13112" t="str">
        <f>"1-263-28"</f>
        <v>1-263-28</v>
      </c>
      <c r="F13112" t="s">
        <v>65</v>
      </c>
      <c r="G13112" t="s">
        <v>66</v>
      </c>
      <c r="H13112" t="s">
        <v>67</v>
      </c>
      <c r="S13112">
        <v>0</v>
      </c>
      <c r="T13112">
        <v>1</v>
      </c>
      <c r="U13112">
        <v>0</v>
      </c>
      <c r="V13112">
        <v>0</v>
      </c>
      <c r="W13112">
        <v>1</v>
      </c>
      <c r="X13112">
        <v>0</v>
      </c>
      <c r="Y13112">
        <v>1</v>
      </c>
      <c r="Z13112">
        <v>0</v>
      </c>
      <c r="AA13112">
        <v>0</v>
      </c>
      <c r="AB13112">
        <v>1</v>
      </c>
      <c r="AC13112">
        <v>0</v>
      </c>
      <c r="AD13112">
        <v>1</v>
      </c>
      <c r="AE13112">
        <v>1</v>
      </c>
      <c r="AF13112">
        <v>1</v>
      </c>
      <c r="AG13112">
        <v>1</v>
      </c>
      <c r="AH13112">
        <v>1</v>
      </c>
      <c r="AI13112">
        <v>1</v>
      </c>
      <c r="AJ13112">
        <v>1</v>
      </c>
      <c r="AK13112">
        <v>1</v>
      </c>
      <c r="AL13112">
        <v>1</v>
      </c>
      <c r="AM13112">
        <v>1</v>
      </c>
    </row>
    <row r="13113" spans="1:39" x14ac:dyDescent="0.2">
      <c r="A13113" t="str">
        <f>"13109"</f>
        <v>13109</v>
      </c>
      <c r="B13113" t="str">
        <f t="shared" si="730"/>
        <v>1</v>
      </c>
      <c r="C13113" t="str">
        <f t="shared" si="729"/>
        <v>263</v>
      </c>
      <c r="D13113" t="str">
        <f>"16"</f>
        <v>16</v>
      </c>
      <c r="E13113" t="str">
        <f>"1-263-16"</f>
        <v>1-263-16</v>
      </c>
      <c r="F13113" t="s">
        <v>65</v>
      </c>
      <c r="G13113" t="s">
        <v>66</v>
      </c>
      <c r="H13113" t="s">
        <v>67</v>
      </c>
      <c r="S13113">
        <v>0</v>
      </c>
      <c r="T13113">
        <v>1</v>
      </c>
      <c r="U13113">
        <v>0</v>
      </c>
      <c r="V13113">
        <v>0</v>
      </c>
      <c r="W13113">
        <v>1</v>
      </c>
      <c r="X13113">
        <v>0</v>
      </c>
      <c r="Y13113">
        <v>0</v>
      </c>
      <c r="Z13113">
        <v>1</v>
      </c>
      <c r="AA13113">
        <v>0</v>
      </c>
      <c r="AB13113">
        <v>0</v>
      </c>
      <c r="AC13113">
        <v>1</v>
      </c>
      <c r="AD13113">
        <v>0</v>
      </c>
      <c r="AE13113">
        <v>0</v>
      </c>
      <c r="AF13113">
        <v>0</v>
      </c>
      <c r="AG13113">
        <v>0</v>
      </c>
      <c r="AH13113">
        <v>0</v>
      </c>
      <c r="AI13113">
        <v>0</v>
      </c>
      <c r="AJ13113">
        <v>0</v>
      </c>
      <c r="AK13113">
        <v>0</v>
      </c>
      <c r="AL13113">
        <v>0</v>
      </c>
      <c r="AM13113">
        <v>0</v>
      </c>
    </row>
    <row r="13114" spans="1:39" x14ac:dyDescent="0.2">
      <c r="A13114" t="str">
        <f>"13110"</f>
        <v>13110</v>
      </c>
      <c r="B13114" t="str">
        <f t="shared" si="730"/>
        <v>1</v>
      </c>
      <c r="C13114" t="str">
        <f t="shared" si="729"/>
        <v>263</v>
      </c>
      <c r="D13114" t="str">
        <f>"7"</f>
        <v>7</v>
      </c>
      <c r="E13114" t="str">
        <f>"1-263-7"</f>
        <v>1-263-7</v>
      </c>
      <c r="F13114" t="s">
        <v>65</v>
      </c>
      <c r="G13114" t="s">
        <v>66</v>
      </c>
      <c r="H13114" t="s">
        <v>67</v>
      </c>
      <c r="S13114">
        <v>1</v>
      </c>
      <c r="T13114">
        <v>0</v>
      </c>
      <c r="U13114">
        <v>0</v>
      </c>
      <c r="V13114">
        <v>0</v>
      </c>
      <c r="W13114">
        <v>1</v>
      </c>
      <c r="X13114">
        <v>0</v>
      </c>
      <c r="Y13114">
        <v>1</v>
      </c>
      <c r="Z13114">
        <v>0</v>
      </c>
      <c r="AA13114">
        <v>0</v>
      </c>
      <c r="AB13114">
        <v>1</v>
      </c>
      <c r="AC13114">
        <v>0</v>
      </c>
      <c r="AD13114">
        <v>1</v>
      </c>
      <c r="AE13114">
        <v>1</v>
      </c>
      <c r="AF13114">
        <v>1</v>
      </c>
      <c r="AG13114">
        <v>1</v>
      </c>
      <c r="AH13114">
        <v>1</v>
      </c>
      <c r="AI13114">
        <v>1</v>
      </c>
      <c r="AJ13114">
        <v>1</v>
      </c>
      <c r="AK13114">
        <v>1</v>
      </c>
      <c r="AL13114">
        <v>1</v>
      </c>
      <c r="AM13114">
        <v>1</v>
      </c>
    </row>
    <row r="13115" spans="1:39" x14ac:dyDescent="0.2">
      <c r="A13115" t="str">
        <f>"13111"</f>
        <v>13111</v>
      </c>
      <c r="B13115" t="str">
        <f t="shared" si="730"/>
        <v>1</v>
      </c>
      <c r="C13115" t="str">
        <f t="shared" si="729"/>
        <v>263</v>
      </c>
      <c r="D13115" t="str">
        <f>"44"</f>
        <v>44</v>
      </c>
      <c r="E13115" t="str">
        <f>"1-263-44"</f>
        <v>1-263-44</v>
      </c>
      <c r="F13115" t="s">
        <v>65</v>
      </c>
      <c r="G13115" t="s">
        <v>66</v>
      </c>
      <c r="H13115" t="s">
        <v>67</v>
      </c>
      <c r="S13115">
        <v>1</v>
      </c>
      <c r="T13115">
        <v>0</v>
      </c>
      <c r="U13115">
        <v>0</v>
      </c>
      <c r="V13115">
        <v>0</v>
      </c>
      <c r="W13115">
        <v>1</v>
      </c>
      <c r="X13115">
        <v>0</v>
      </c>
      <c r="Y13115">
        <v>1</v>
      </c>
      <c r="Z13115">
        <v>0</v>
      </c>
      <c r="AA13115">
        <v>1</v>
      </c>
      <c r="AB13115">
        <v>0</v>
      </c>
      <c r="AC13115">
        <v>0</v>
      </c>
      <c r="AD13115">
        <v>1</v>
      </c>
      <c r="AE13115">
        <v>1</v>
      </c>
      <c r="AF13115">
        <v>1</v>
      </c>
      <c r="AG13115">
        <v>1</v>
      </c>
      <c r="AH13115">
        <v>1</v>
      </c>
      <c r="AI13115">
        <v>1</v>
      </c>
      <c r="AJ13115">
        <v>1</v>
      </c>
      <c r="AK13115">
        <v>1</v>
      </c>
      <c r="AL13115">
        <v>1</v>
      </c>
      <c r="AM13115">
        <v>1</v>
      </c>
    </row>
    <row r="13116" spans="1:39" x14ac:dyDescent="0.2">
      <c r="A13116" t="str">
        <f>"13112"</f>
        <v>13112</v>
      </c>
      <c r="B13116" t="str">
        <f t="shared" si="730"/>
        <v>1</v>
      </c>
      <c r="C13116" t="str">
        <f t="shared" si="729"/>
        <v>263</v>
      </c>
      <c r="D13116" t="str">
        <f>"43"</f>
        <v>43</v>
      </c>
      <c r="E13116" t="str">
        <f>"1-263-43"</f>
        <v>1-263-43</v>
      </c>
      <c r="F13116" t="s">
        <v>65</v>
      </c>
      <c r="G13116" t="s">
        <v>66</v>
      </c>
      <c r="H13116" t="s">
        <v>67</v>
      </c>
      <c r="S13116">
        <v>0</v>
      </c>
      <c r="T13116">
        <v>0</v>
      </c>
      <c r="U13116">
        <v>0</v>
      </c>
      <c r="V13116">
        <v>0</v>
      </c>
      <c r="W13116">
        <v>0</v>
      </c>
      <c r="X13116">
        <v>1</v>
      </c>
      <c r="Y13116">
        <v>0</v>
      </c>
      <c r="Z13116">
        <v>0</v>
      </c>
      <c r="AA13116">
        <v>0</v>
      </c>
      <c r="AB13116">
        <v>0</v>
      </c>
      <c r="AC13116">
        <v>0</v>
      </c>
      <c r="AD13116">
        <v>0</v>
      </c>
      <c r="AE13116">
        <v>0</v>
      </c>
      <c r="AF13116">
        <v>0</v>
      </c>
      <c r="AG13116">
        <v>0</v>
      </c>
      <c r="AH13116">
        <v>0</v>
      </c>
      <c r="AI13116">
        <v>0</v>
      </c>
      <c r="AJ13116">
        <v>0</v>
      </c>
      <c r="AK13116">
        <v>0</v>
      </c>
      <c r="AL13116">
        <v>0</v>
      </c>
      <c r="AM13116">
        <v>0</v>
      </c>
    </row>
    <row r="13117" spans="1:39" x14ac:dyDescent="0.2">
      <c r="A13117" t="str">
        <f>"13113"</f>
        <v>13113</v>
      </c>
      <c r="B13117" t="str">
        <f t="shared" si="730"/>
        <v>1</v>
      </c>
      <c r="C13117" t="str">
        <f t="shared" si="729"/>
        <v>263</v>
      </c>
      <c r="D13117" t="str">
        <f>"31"</f>
        <v>31</v>
      </c>
      <c r="E13117" t="str">
        <f>"1-263-31"</f>
        <v>1-263-31</v>
      </c>
      <c r="F13117" t="s">
        <v>65</v>
      </c>
      <c r="G13117" t="s">
        <v>66</v>
      </c>
      <c r="H13117" t="s">
        <v>67</v>
      </c>
      <c r="S13117">
        <v>1</v>
      </c>
      <c r="T13117">
        <v>0</v>
      </c>
      <c r="U13117">
        <v>0</v>
      </c>
      <c r="V13117">
        <v>0</v>
      </c>
      <c r="W13117">
        <v>1</v>
      </c>
      <c r="X13117">
        <v>0</v>
      </c>
      <c r="Y13117">
        <v>0</v>
      </c>
      <c r="Z13117">
        <v>1</v>
      </c>
      <c r="AA13117">
        <v>1</v>
      </c>
      <c r="AB13117">
        <v>0</v>
      </c>
      <c r="AC13117">
        <v>0</v>
      </c>
      <c r="AD13117">
        <v>1</v>
      </c>
      <c r="AE13117">
        <v>1</v>
      </c>
      <c r="AF13117">
        <v>1</v>
      </c>
      <c r="AG13117">
        <v>1</v>
      </c>
      <c r="AH13117">
        <v>1</v>
      </c>
      <c r="AI13117">
        <v>1</v>
      </c>
      <c r="AJ13117">
        <v>1</v>
      </c>
      <c r="AK13117">
        <v>1</v>
      </c>
      <c r="AL13117">
        <v>1</v>
      </c>
      <c r="AM13117">
        <v>1</v>
      </c>
    </row>
    <row r="13118" spans="1:39" x14ac:dyDescent="0.2">
      <c r="A13118" t="str">
        <f>"13114"</f>
        <v>13114</v>
      </c>
      <c r="B13118" t="str">
        <f t="shared" si="730"/>
        <v>1</v>
      </c>
      <c r="C13118" t="str">
        <f t="shared" si="729"/>
        <v>263</v>
      </c>
      <c r="D13118" t="str">
        <f>"17"</f>
        <v>17</v>
      </c>
      <c r="E13118" t="str">
        <f>"1-263-17"</f>
        <v>1-263-17</v>
      </c>
      <c r="F13118" t="s">
        <v>65</v>
      </c>
      <c r="G13118" t="s">
        <v>66</v>
      </c>
      <c r="H13118" t="s">
        <v>67</v>
      </c>
      <c r="S13118">
        <v>1</v>
      </c>
      <c r="T13118">
        <v>0</v>
      </c>
      <c r="U13118">
        <v>0</v>
      </c>
      <c r="V13118">
        <v>0</v>
      </c>
      <c r="W13118">
        <v>1</v>
      </c>
      <c r="X13118">
        <v>0</v>
      </c>
      <c r="Y13118">
        <v>1</v>
      </c>
      <c r="Z13118">
        <v>0</v>
      </c>
      <c r="AA13118">
        <v>1</v>
      </c>
      <c r="AB13118">
        <v>0</v>
      </c>
      <c r="AC13118">
        <v>0</v>
      </c>
      <c r="AD13118">
        <v>1</v>
      </c>
      <c r="AE13118">
        <v>1</v>
      </c>
      <c r="AF13118">
        <v>1</v>
      </c>
      <c r="AG13118">
        <v>1</v>
      </c>
      <c r="AH13118">
        <v>1</v>
      </c>
      <c r="AI13118">
        <v>1</v>
      </c>
      <c r="AJ13118">
        <v>1</v>
      </c>
      <c r="AK13118">
        <v>1</v>
      </c>
      <c r="AL13118">
        <v>1</v>
      </c>
      <c r="AM13118">
        <v>1</v>
      </c>
    </row>
    <row r="13119" spans="1:39" x14ac:dyDescent="0.2">
      <c r="A13119" t="str">
        <f>"13115"</f>
        <v>13115</v>
      </c>
      <c r="B13119" t="str">
        <f t="shared" si="730"/>
        <v>1</v>
      </c>
      <c r="C13119" t="str">
        <f t="shared" si="729"/>
        <v>263</v>
      </c>
      <c r="D13119" t="str">
        <f>"1"</f>
        <v>1</v>
      </c>
      <c r="E13119" t="str">
        <f>"1-263-1"</f>
        <v>1-263-1</v>
      </c>
      <c r="F13119" t="s">
        <v>65</v>
      </c>
      <c r="G13119" t="s">
        <v>66</v>
      </c>
      <c r="H13119" t="s">
        <v>67</v>
      </c>
      <c r="S13119">
        <v>0</v>
      </c>
      <c r="T13119">
        <v>1</v>
      </c>
      <c r="U13119">
        <v>0</v>
      </c>
      <c r="V13119">
        <v>0</v>
      </c>
      <c r="W13119">
        <v>1</v>
      </c>
      <c r="X13119">
        <v>0</v>
      </c>
      <c r="Y13119">
        <v>1</v>
      </c>
      <c r="Z13119">
        <v>0</v>
      </c>
      <c r="AA13119">
        <v>0</v>
      </c>
      <c r="AB13119">
        <v>1</v>
      </c>
      <c r="AC13119">
        <v>0</v>
      </c>
      <c r="AD13119">
        <v>1</v>
      </c>
      <c r="AE13119">
        <v>1</v>
      </c>
      <c r="AF13119">
        <v>1</v>
      </c>
      <c r="AG13119">
        <v>1</v>
      </c>
      <c r="AH13119">
        <v>1</v>
      </c>
      <c r="AI13119">
        <v>1</v>
      </c>
      <c r="AJ13119">
        <v>1</v>
      </c>
      <c r="AK13119">
        <v>1</v>
      </c>
      <c r="AL13119">
        <v>1</v>
      </c>
      <c r="AM13119">
        <v>1</v>
      </c>
    </row>
    <row r="13120" spans="1:39" x14ac:dyDescent="0.2">
      <c r="A13120" t="str">
        <f>"13116"</f>
        <v>13116</v>
      </c>
      <c r="B13120" t="str">
        <f t="shared" si="730"/>
        <v>1</v>
      </c>
      <c r="C13120" t="str">
        <f t="shared" si="729"/>
        <v>263</v>
      </c>
      <c r="D13120" t="str">
        <f>"32"</f>
        <v>32</v>
      </c>
      <c r="E13120" t="str">
        <f>"1-263-32"</f>
        <v>1-263-32</v>
      </c>
      <c r="F13120" t="s">
        <v>65</v>
      </c>
      <c r="G13120" t="s">
        <v>66</v>
      </c>
      <c r="H13120" t="s">
        <v>67</v>
      </c>
      <c r="S13120">
        <v>0</v>
      </c>
      <c r="T13120">
        <v>1</v>
      </c>
      <c r="U13120">
        <v>0</v>
      </c>
      <c r="V13120">
        <v>0</v>
      </c>
      <c r="W13120">
        <v>1</v>
      </c>
      <c r="X13120">
        <v>0</v>
      </c>
      <c r="Y13120">
        <v>1</v>
      </c>
      <c r="Z13120">
        <v>0</v>
      </c>
      <c r="AA13120">
        <v>0</v>
      </c>
      <c r="AB13120">
        <v>0</v>
      </c>
      <c r="AC13120">
        <v>1</v>
      </c>
      <c r="AD13120">
        <v>1</v>
      </c>
      <c r="AE13120">
        <v>1</v>
      </c>
      <c r="AF13120">
        <v>1</v>
      </c>
      <c r="AG13120">
        <v>1</v>
      </c>
      <c r="AH13120">
        <v>1</v>
      </c>
      <c r="AI13120">
        <v>1</v>
      </c>
      <c r="AJ13120">
        <v>1</v>
      </c>
      <c r="AK13120">
        <v>1</v>
      </c>
      <c r="AL13120">
        <v>1</v>
      </c>
      <c r="AM13120">
        <v>1</v>
      </c>
    </row>
    <row r="13121" spans="1:39" x14ac:dyDescent="0.2">
      <c r="A13121" t="str">
        <f>"13117"</f>
        <v>13117</v>
      </c>
      <c r="B13121" t="str">
        <f t="shared" si="730"/>
        <v>1</v>
      </c>
      <c r="C13121" t="str">
        <f t="shared" si="729"/>
        <v>263</v>
      </c>
      <c r="D13121" t="str">
        <f>"18"</f>
        <v>18</v>
      </c>
      <c r="E13121" t="str">
        <f>"1-263-18"</f>
        <v>1-263-18</v>
      </c>
      <c r="F13121" t="s">
        <v>65</v>
      </c>
      <c r="G13121" t="s">
        <v>66</v>
      </c>
      <c r="H13121" t="s">
        <v>67</v>
      </c>
      <c r="S13121">
        <v>0</v>
      </c>
      <c r="T13121">
        <v>0</v>
      </c>
      <c r="U13121">
        <v>0</v>
      </c>
      <c r="V13121">
        <v>0</v>
      </c>
      <c r="W13121">
        <v>0</v>
      </c>
      <c r="X13121">
        <v>1</v>
      </c>
      <c r="Y13121">
        <v>0</v>
      </c>
      <c r="Z13121">
        <v>0</v>
      </c>
      <c r="AA13121">
        <v>0</v>
      </c>
      <c r="AB13121">
        <v>0</v>
      </c>
      <c r="AC13121">
        <v>0</v>
      </c>
      <c r="AD13121">
        <v>0</v>
      </c>
      <c r="AE13121">
        <v>0</v>
      </c>
      <c r="AF13121">
        <v>0</v>
      </c>
      <c r="AG13121">
        <v>0</v>
      </c>
      <c r="AH13121">
        <v>0</v>
      </c>
      <c r="AI13121">
        <v>0</v>
      </c>
      <c r="AJ13121">
        <v>0</v>
      </c>
      <c r="AK13121">
        <v>0</v>
      </c>
      <c r="AL13121">
        <v>0</v>
      </c>
      <c r="AM13121">
        <v>0</v>
      </c>
    </row>
    <row r="13122" spans="1:39" x14ac:dyDescent="0.2">
      <c r="A13122" t="str">
        <f>"13118"</f>
        <v>13118</v>
      </c>
      <c r="B13122" t="str">
        <f t="shared" si="730"/>
        <v>1</v>
      </c>
      <c r="C13122" t="str">
        <f t="shared" si="729"/>
        <v>263</v>
      </c>
      <c r="D13122" t="str">
        <f>"12"</f>
        <v>12</v>
      </c>
      <c r="E13122" t="str">
        <f>"1-263-12"</f>
        <v>1-263-12</v>
      </c>
      <c r="F13122" t="s">
        <v>65</v>
      </c>
      <c r="G13122" t="s">
        <v>66</v>
      </c>
      <c r="H13122" t="s">
        <v>67</v>
      </c>
      <c r="S13122">
        <v>0</v>
      </c>
      <c r="T13122">
        <v>1</v>
      </c>
      <c r="U13122">
        <v>0</v>
      </c>
      <c r="V13122">
        <v>0</v>
      </c>
      <c r="W13122">
        <v>1</v>
      </c>
      <c r="X13122">
        <v>0</v>
      </c>
      <c r="Y13122">
        <v>1</v>
      </c>
      <c r="Z13122">
        <v>0</v>
      </c>
      <c r="AA13122">
        <v>1</v>
      </c>
      <c r="AB13122">
        <v>0</v>
      </c>
      <c r="AC13122">
        <v>0</v>
      </c>
      <c r="AD13122">
        <v>0</v>
      </c>
      <c r="AE13122">
        <v>0</v>
      </c>
      <c r="AF13122">
        <v>0</v>
      </c>
      <c r="AG13122">
        <v>0</v>
      </c>
      <c r="AH13122">
        <v>0</v>
      </c>
      <c r="AI13122">
        <v>0</v>
      </c>
      <c r="AJ13122">
        <v>0</v>
      </c>
      <c r="AK13122">
        <v>0</v>
      </c>
      <c r="AL13122">
        <v>0</v>
      </c>
      <c r="AM13122">
        <v>0</v>
      </c>
    </row>
    <row r="13123" spans="1:39" x14ac:dyDescent="0.2">
      <c r="A13123" t="str">
        <f>"13119"</f>
        <v>13119</v>
      </c>
      <c r="B13123" t="str">
        <f t="shared" si="730"/>
        <v>1</v>
      </c>
      <c r="C13123" t="str">
        <f t="shared" si="729"/>
        <v>263</v>
      </c>
      <c r="D13123" t="str">
        <f>"38"</f>
        <v>38</v>
      </c>
      <c r="E13123" t="str">
        <f>"1-263-38"</f>
        <v>1-263-38</v>
      </c>
      <c r="F13123" t="s">
        <v>65</v>
      </c>
      <c r="G13123" t="s">
        <v>66</v>
      </c>
      <c r="H13123" t="s">
        <v>67</v>
      </c>
      <c r="S13123">
        <v>0</v>
      </c>
      <c r="T13123">
        <v>0</v>
      </c>
      <c r="U13123">
        <v>0</v>
      </c>
      <c r="V13123">
        <v>0</v>
      </c>
      <c r="W13123">
        <v>1</v>
      </c>
      <c r="X13123">
        <v>0</v>
      </c>
      <c r="Y13123">
        <v>0</v>
      </c>
      <c r="Z13123">
        <v>1</v>
      </c>
      <c r="AA13123">
        <v>1</v>
      </c>
      <c r="AB13123">
        <v>0</v>
      </c>
      <c r="AC13123">
        <v>0</v>
      </c>
      <c r="AD13123">
        <v>0</v>
      </c>
      <c r="AE13123">
        <v>0</v>
      </c>
      <c r="AF13123">
        <v>0</v>
      </c>
      <c r="AG13123">
        <v>0</v>
      </c>
      <c r="AH13123">
        <v>0</v>
      </c>
      <c r="AI13123">
        <v>0</v>
      </c>
      <c r="AJ13123">
        <v>0</v>
      </c>
      <c r="AK13123">
        <v>0</v>
      </c>
      <c r="AL13123">
        <v>1</v>
      </c>
      <c r="AM13123">
        <v>0</v>
      </c>
    </row>
    <row r="13124" spans="1:39" x14ac:dyDescent="0.2">
      <c r="A13124" t="str">
        <f>"13120"</f>
        <v>13120</v>
      </c>
      <c r="B13124" t="str">
        <f t="shared" si="730"/>
        <v>1</v>
      </c>
      <c r="C13124" t="str">
        <f t="shared" si="729"/>
        <v>263</v>
      </c>
      <c r="D13124" t="str">
        <f>"19"</f>
        <v>19</v>
      </c>
      <c r="E13124" t="str">
        <f>"1-263-19"</f>
        <v>1-263-19</v>
      </c>
      <c r="F13124" t="s">
        <v>65</v>
      </c>
      <c r="G13124" t="s">
        <v>66</v>
      </c>
      <c r="H13124" t="s">
        <v>67</v>
      </c>
      <c r="S13124">
        <v>0</v>
      </c>
      <c r="T13124">
        <v>1</v>
      </c>
      <c r="U13124">
        <v>0</v>
      </c>
      <c r="V13124">
        <v>0</v>
      </c>
      <c r="W13124">
        <v>1</v>
      </c>
      <c r="X13124">
        <v>0</v>
      </c>
      <c r="Y13124">
        <v>0</v>
      </c>
      <c r="Z13124">
        <v>1</v>
      </c>
      <c r="AA13124">
        <v>0</v>
      </c>
      <c r="AB13124">
        <v>0</v>
      </c>
      <c r="AC13124">
        <v>1</v>
      </c>
      <c r="AD13124">
        <v>1</v>
      </c>
      <c r="AE13124">
        <v>1</v>
      </c>
      <c r="AF13124">
        <v>1</v>
      </c>
      <c r="AG13124">
        <v>1</v>
      </c>
      <c r="AH13124">
        <v>1</v>
      </c>
      <c r="AI13124">
        <v>1</v>
      </c>
      <c r="AJ13124">
        <v>1</v>
      </c>
      <c r="AK13124">
        <v>1</v>
      </c>
      <c r="AL13124">
        <v>1</v>
      </c>
      <c r="AM13124">
        <v>1</v>
      </c>
    </row>
    <row r="13125" spans="1:39" x14ac:dyDescent="0.2">
      <c r="A13125" t="str">
        <f>"13121"</f>
        <v>13121</v>
      </c>
      <c r="B13125" t="str">
        <f t="shared" si="730"/>
        <v>1</v>
      </c>
      <c r="C13125" t="str">
        <f t="shared" si="729"/>
        <v>263</v>
      </c>
      <c r="D13125" t="str">
        <f>"8"</f>
        <v>8</v>
      </c>
      <c r="E13125" t="str">
        <f>"1-263-8"</f>
        <v>1-263-8</v>
      </c>
      <c r="F13125" t="s">
        <v>65</v>
      </c>
      <c r="G13125" t="s">
        <v>66</v>
      </c>
      <c r="H13125" t="s">
        <v>67</v>
      </c>
      <c r="S13125">
        <v>1</v>
      </c>
      <c r="T13125">
        <v>0</v>
      </c>
      <c r="U13125">
        <v>0</v>
      </c>
      <c r="V13125">
        <v>0</v>
      </c>
      <c r="W13125">
        <v>1</v>
      </c>
      <c r="X13125">
        <v>0</v>
      </c>
      <c r="Y13125">
        <v>1</v>
      </c>
      <c r="Z13125">
        <v>0</v>
      </c>
      <c r="AA13125">
        <v>0</v>
      </c>
      <c r="AB13125">
        <v>0</v>
      </c>
      <c r="AC13125">
        <v>1</v>
      </c>
      <c r="AD13125">
        <v>0</v>
      </c>
      <c r="AE13125">
        <v>0</v>
      </c>
      <c r="AF13125">
        <v>0</v>
      </c>
      <c r="AG13125">
        <v>0</v>
      </c>
      <c r="AH13125">
        <v>0</v>
      </c>
      <c r="AI13125">
        <v>0</v>
      </c>
      <c r="AJ13125">
        <v>1</v>
      </c>
      <c r="AK13125">
        <v>0</v>
      </c>
      <c r="AL13125">
        <v>0</v>
      </c>
      <c r="AM13125">
        <v>0</v>
      </c>
    </row>
    <row r="13126" spans="1:39" x14ac:dyDescent="0.2">
      <c r="A13126" t="str">
        <f>"13122"</f>
        <v>13122</v>
      </c>
      <c r="B13126" t="str">
        <f t="shared" si="730"/>
        <v>1</v>
      </c>
      <c r="C13126" t="str">
        <f t="shared" si="729"/>
        <v>263</v>
      </c>
      <c r="D13126" t="str">
        <f>"37"</f>
        <v>37</v>
      </c>
      <c r="E13126" t="str">
        <f>"1-263-37"</f>
        <v>1-263-37</v>
      </c>
      <c r="F13126" t="s">
        <v>65</v>
      </c>
      <c r="G13126" t="s">
        <v>66</v>
      </c>
      <c r="H13126" t="s">
        <v>67</v>
      </c>
      <c r="S13126">
        <v>0</v>
      </c>
      <c r="T13126">
        <v>1</v>
      </c>
      <c r="U13126">
        <v>0</v>
      </c>
      <c r="V13126">
        <v>0</v>
      </c>
      <c r="W13126">
        <v>1</v>
      </c>
      <c r="X13126">
        <v>0</v>
      </c>
      <c r="Y13126">
        <v>0</v>
      </c>
      <c r="Z13126">
        <v>1</v>
      </c>
      <c r="AA13126">
        <v>1</v>
      </c>
      <c r="AB13126">
        <v>0</v>
      </c>
      <c r="AC13126">
        <v>0</v>
      </c>
      <c r="AD13126">
        <v>1</v>
      </c>
      <c r="AE13126">
        <v>1</v>
      </c>
      <c r="AF13126">
        <v>1</v>
      </c>
      <c r="AG13126">
        <v>1</v>
      </c>
      <c r="AH13126">
        <v>1</v>
      </c>
      <c r="AI13126">
        <v>1</v>
      </c>
      <c r="AJ13126">
        <v>1</v>
      </c>
      <c r="AK13126">
        <v>1</v>
      </c>
      <c r="AL13126">
        <v>1</v>
      </c>
      <c r="AM13126">
        <v>1</v>
      </c>
    </row>
    <row r="13127" spans="1:39" x14ac:dyDescent="0.2">
      <c r="A13127" t="str">
        <f>"13123"</f>
        <v>13123</v>
      </c>
      <c r="B13127" t="str">
        <f t="shared" si="730"/>
        <v>1</v>
      </c>
      <c r="C13127" t="str">
        <f t="shared" si="729"/>
        <v>263</v>
      </c>
      <c r="D13127" t="str">
        <f>"20"</f>
        <v>20</v>
      </c>
      <c r="E13127" t="str">
        <f>"1-263-20"</f>
        <v>1-263-20</v>
      </c>
      <c r="F13127" t="s">
        <v>65</v>
      </c>
      <c r="G13127" t="s">
        <v>66</v>
      </c>
      <c r="H13127" t="s">
        <v>67</v>
      </c>
      <c r="S13127">
        <v>1</v>
      </c>
      <c r="T13127">
        <v>0</v>
      </c>
      <c r="U13127">
        <v>0</v>
      </c>
      <c r="V13127">
        <v>0</v>
      </c>
      <c r="W13127">
        <v>1</v>
      </c>
      <c r="X13127">
        <v>0</v>
      </c>
      <c r="Y13127">
        <v>0</v>
      </c>
      <c r="Z13127">
        <v>0</v>
      </c>
      <c r="AA13127">
        <v>0</v>
      </c>
      <c r="AB13127">
        <v>0</v>
      </c>
      <c r="AC13127">
        <v>0</v>
      </c>
      <c r="AD13127">
        <v>0</v>
      </c>
      <c r="AE13127">
        <v>0</v>
      </c>
      <c r="AF13127">
        <v>0</v>
      </c>
      <c r="AG13127">
        <v>0</v>
      </c>
      <c r="AH13127">
        <v>0</v>
      </c>
      <c r="AI13127">
        <v>0</v>
      </c>
      <c r="AJ13127">
        <v>0</v>
      </c>
      <c r="AK13127">
        <v>0</v>
      </c>
      <c r="AL13127">
        <v>0</v>
      </c>
      <c r="AM13127">
        <v>0</v>
      </c>
    </row>
    <row r="13128" spans="1:39" x14ac:dyDescent="0.2">
      <c r="A13128" t="str">
        <f>"13124"</f>
        <v>13124</v>
      </c>
      <c r="B13128" t="str">
        <f t="shared" si="730"/>
        <v>1</v>
      </c>
      <c r="C13128" t="str">
        <f t="shared" si="729"/>
        <v>263</v>
      </c>
      <c r="D13128" t="str">
        <f>"10"</f>
        <v>10</v>
      </c>
      <c r="E13128" t="str">
        <f>"1-263-10"</f>
        <v>1-263-10</v>
      </c>
      <c r="F13128" t="s">
        <v>65</v>
      </c>
      <c r="G13128" t="s">
        <v>66</v>
      </c>
      <c r="H13128" t="s">
        <v>67</v>
      </c>
      <c r="S13128">
        <v>1</v>
      </c>
      <c r="T13128">
        <v>0</v>
      </c>
      <c r="U13128">
        <v>0</v>
      </c>
      <c r="V13128">
        <v>0</v>
      </c>
      <c r="W13128">
        <v>1</v>
      </c>
      <c r="X13128">
        <v>0</v>
      </c>
      <c r="Y13128">
        <v>1</v>
      </c>
      <c r="Z13128">
        <v>0</v>
      </c>
      <c r="AA13128">
        <v>1</v>
      </c>
      <c r="AB13128">
        <v>0</v>
      </c>
      <c r="AC13128">
        <v>0</v>
      </c>
      <c r="AD13128">
        <v>1</v>
      </c>
      <c r="AE13128">
        <v>1</v>
      </c>
      <c r="AF13128">
        <v>1</v>
      </c>
      <c r="AG13128">
        <v>1</v>
      </c>
      <c r="AH13128">
        <v>1</v>
      </c>
      <c r="AI13128">
        <v>1</v>
      </c>
      <c r="AJ13128">
        <v>1</v>
      </c>
      <c r="AK13128">
        <v>1</v>
      </c>
      <c r="AL13128">
        <v>1</v>
      </c>
      <c r="AM13128">
        <v>1</v>
      </c>
    </row>
    <row r="13129" spans="1:39" x14ac:dyDescent="0.2">
      <c r="A13129" t="str">
        <f>"13125"</f>
        <v>13125</v>
      </c>
      <c r="B13129" t="str">
        <f t="shared" si="730"/>
        <v>1</v>
      </c>
      <c r="C13129" t="str">
        <f t="shared" si="729"/>
        <v>263</v>
      </c>
      <c r="D13129" t="str">
        <f>"40"</f>
        <v>40</v>
      </c>
      <c r="E13129" t="str">
        <f>"1-263-40"</f>
        <v>1-263-40</v>
      </c>
      <c r="F13129" t="s">
        <v>65</v>
      </c>
      <c r="G13129" t="s">
        <v>66</v>
      </c>
      <c r="H13129" t="s">
        <v>67</v>
      </c>
      <c r="S13129">
        <v>1</v>
      </c>
      <c r="T13129">
        <v>0</v>
      </c>
      <c r="U13129">
        <v>0</v>
      </c>
      <c r="V13129">
        <v>0</v>
      </c>
      <c r="W13129">
        <v>1</v>
      </c>
      <c r="X13129">
        <v>0</v>
      </c>
      <c r="Y13129">
        <v>1</v>
      </c>
      <c r="Z13129">
        <v>0</v>
      </c>
      <c r="AA13129">
        <v>1</v>
      </c>
      <c r="AB13129">
        <v>0</v>
      </c>
      <c r="AC13129">
        <v>0</v>
      </c>
      <c r="AD13129">
        <v>0</v>
      </c>
      <c r="AE13129">
        <v>0</v>
      </c>
      <c r="AF13129">
        <v>0</v>
      </c>
      <c r="AG13129">
        <v>0</v>
      </c>
      <c r="AH13129">
        <v>0</v>
      </c>
      <c r="AI13129">
        <v>0</v>
      </c>
      <c r="AJ13129">
        <v>0</v>
      </c>
      <c r="AK13129">
        <v>0</v>
      </c>
      <c r="AL13129">
        <v>1</v>
      </c>
      <c r="AM13129">
        <v>0</v>
      </c>
    </row>
    <row r="13130" spans="1:39" x14ac:dyDescent="0.2">
      <c r="A13130" t="str">
        <f>"13126"</f>
        <v>13126</v>
      </c>
      <c r="B13130" t="str">
        <f t="shared" si="730"/>
        <v>1</v>
      </c>
      <c r="C13130" t="str">
        <f t="shared" si="729"/>
        <v>263</v>
      </c>
      <c r="D13130" t="str">
        <f>"21"</f>
        <v>21</v>
      </c>
      <c r="E13130" t="str">
        <f>"1-263-21"</f>
        <v>1-263-21</v>
      </c>
      <c r="F13130" t="s">
        <v>65</v>
      </c>
      <c r="G13130" t="s">
        <v>66</v>
      </c>
      <c r="H13130" t="s">
        <v>67</v>
      </c>
      <c r="S13130">
        <v>1</v>
      </c>
      <c r="T13130">
        <v>0</v>
      </c>
      <c r="U13130">
        <v>0</v>
      </c>
      <c r="V13130">
        <v>0</v>
      </c>
      <c r="W13130">
        <v>1</v>
      </c>
      <c r="X13130">
        <v>0</v>
      </c>
      <c r="Y13130">
        <v>1</v>
      </c>
      <c r="Z13130">
        <v>0</v>
      </c>
      <c r="AA13130">
        <v>0</v>
      </c>
      <c r="AB13130">
        <v>1</v>
      </c>
      <c r="AC13130">
        <v>0</v>
      </c>
      <c r="AD13130">
        <v>1</v>
      </c>
      <c r="AE13130">
        <v>1</v>
      </c>
      <c r="AF13130">
        <v>1</v>
      </c>
      <c r="AG13130">
        <v>1</v>
      </c>
      <c r="AH13130">
        <v>1</v>
      </c>
      <c r="AI13130">
        <v>1</v>
      </c>
      <c r="AJ13130">
        <v>1</v>
      </c>
      <c r="AK13130">
        <v>1</v>
      </c>
      <c r="AL13130">
        <v>1</v>
      </c>
      <c r="AM13130">
        <v>1</v>
      </c>
    </row>
    <row r="13131" spans="1:39" x14ac:dyDescent="0.2">
      <c r="A13131" t="str">
        <f>"13127"</f>
        <v>13127</v>
      </c>
      <c r="B13131" t="str">
        <f t="shared" si="730"/>
        <v>1</v>
      </c>
      <c r="C13131" t="str">
        <f t="shared" si="729"/>
        <v>263</v>
      </c>
      <c r="D13131" t="str">
        <f>"3"</f>
        <v>3</v>
      </c>
      <c r="E13131" t="str">
        <f>"1-263-3"</f>
        <v>1-263-3</v>
      </c>
      <c r="F13131" t="s">
        <v>65</v>
      </c>
      <c r="G13131" t="s">
        <v>66</v>
      </c>
      <c r="H13131" t="s">
        <v>67</v>
      </c>
      <c r="S13131">
        <v>1</v>
      </c>
      <c r="T13131">
        <v>0</v>
      </c>
      <c r="U13131">
        <v>0</v>
      </c>
      <c r="V13131">
        <v>0</v>
      </c>
      <c r="W13131">
        <v>1</v>
      </c>
      <c r="X13131">
        <v>0</v>
      </c>
      <c r="Y13131">
        <v>0</v>
      </c>
      <c r="Z13131">
        <v>1</v>
      </c>
      <c r="AA13131">
        <v>1</v>
      </c>
      <c r="AB13131">
        <v>0</v>
      </c>
      <c r="AC13131">
        <v>0</v>
      </c>
      <c r="AD13131">
        <v>1</v>
      </c>
      <c r="AE13131">
        <v>1</v>
      </c>
      <c r="AF13131">
        <v>1</v>
      </c>
      <c r="AG13131">
        <v>1</v>
      </c>
      <c r="AH13131">
        <v>1</v>
      </c>
      <c r="AI13131">
        <v>1</v>
      </c>
      <c r="AJ13131">
        <v>1</v>
      </c>
      <c r="AK13131">
        <v>1</v>
      </c>
      <c r="AL13131">
        <v>1</v>
      </c>
      <c r="AM13131">
        <v>1</v>
      </c>
    </row>
    <row r="13132" spans="1:39" x14ac:dyDescent="0.2">
      <c r="A13132" t="str">
        <f>"13128"</f>
        <v>13128</v>
      </c>
      <c r="B13132" t="str">
        <f t="shared" si="730"/>
        <v>1</v>
      </c>
      <c r="C13132" t="str">
        <f t="shared" si="729"/>
        <v>263</v>
      </c>
      <c r="D13132" t="str">
        <f>"46"</f>
        <v>46</v>
      </c>
      <c r="E13132" t="str">
        <f>"1-263-46"</f>
        <v>1-263-46</v>
      </c>
      <c r="F13132" t="s">
        <v>65</v>
      </c>
      <c r="G13132" t="s">
        <v>66</v>
      </c>
      <c r="H13132" t="s">
        <v>67</v>
      </c>
      <c r="S13132">
        <v>1</v>
      </c>
      <c r="T13132">
        <v>0</v>
      </c>
      <c r="U13132">
        <v>0</v>
      </c>
      <c r="V13132">
        <v>0</v>
      </c>
      <c r="W13132">
        <v>0</v>
      </c>
      <c r="X13132">
        <v>1</v>
      </c>
      <c r="Y13132">
        <v>1</v>
      </c>
      <c r="Z13132">
        <v>0</v>
      </c>
      <c r="AA13132">
        <v>1</v>
      </c>
      <c r="AB13132">
        <v>0</v>
      </c>
      <c r="AC13132">
        <v>0</v>
      </c>
      <c r="AD13132">
        <v>1</v>
      </c>
      <c r="AE13132">
        <v>1</v>
      </c>
      <c r="AF13132">
        <v>1</v>
      </c>
      <c r="AG13132">
        <v>1</v>
      </c>
      <c r="AH13132">
        <v>1</v>
      </c>
      <c r="AI13132">
        <v>1</v>
      </c>
      <c r="AJ13132">
        <v>1</v>
      </c>
      <c r="AK13132">
        <v>1</v>
      </c>
      <c r="AL13132">
        <v>1</v>
      </c>
      <c r="AM13132">
        <v>1</v>
      </c>
    </row>
    <row r="13133" spans="1:39" x14ac:dyDescent="0.2">
      <c r="A13133" t="str">
        <f>"13129"</f>
        <v>13129</v>
      </c>
      <c r="B13133" t="str">
        <f t="shared" si="730"/>
        <v>1</v>
      </c>
      <c r="C13133" t="str">
        <f t="shared" si="729"/>
        <v>263</v>
      </c>
      <c r="D13133" t="str">
        <f>"22"</f>
        <v>22</v>
      </c>
      <c r="E13133" t="str">
        <f>"1-263-22"</f>
        <v>1-263-22</v>
      </c>
      <c r="F13133" t="s">
        <v>65</v>
      </c>
      <c r="G13133" t="s">
        <v>66</v>
      </c>
      <c r="H13133" t="s">
        <v>67</v>
      </c>
      <c r="S13133">
        <v>1</v>
      </c>
      <c r="T13133">
        <v>0</v>
      </c>
      <c r="U13133">
        <v>0</v>
      </c>
      <c r="V13133">
        <v>0</v>
      </c>
      <c r="W13133">
        <v>1</v>
      </c>
      <c r="X13133">
        <v>0</v>
      </c>
      <c r="Y13133">
        <v>1</v>
      </c>
      <c r="Z13133">
        <v>0</v>
      </c>
      <c r="AA13133">
        <v>1</v>
      </c>
      <c r="AB13133">
        <v>0</v>
      </c>
      <c r="AC13133">
        <v>0</v>
      </c>
      <c r="AD13133">
        <v>1</v>
      </c>
      <c r="AE13133">
        <v>1</v>
      </c>
      <c r="AF13133">
        <v>1</v>
      </c>
      <c r="AG13133">
        <v>1</v>
      </c>
      <c r="AH13133">
        <v>1</v>
      </c>
      <c r="AI13133">
        <v>1</v>
      </c>
      <c r="AJ13133">
        <v>1</v>
      </c>
      <c r="AK13133">
        <v>1</v>
      </c>
      <c r="AL13133">
        <v>1</v>
      </c>
      <c r="AM13133">
        <v>1</v>
      </c>
    </row>
    <row r="13134" spans="1:39" x14ac:dyDescent="0.2">
      <c r="A13134" t="str">
        <f>"13130"</f>
        <v>13130</v>
      </c>
      <c r="B13134" t="str">
        <f t="shared" si="730"/>
        <v>1</v>
      </c>
      <c r="C13134" t="str">
        <f t="shared" si="729"/>
        <v>263</v>
      </c>
      <c r="D13134" t="str">
        <f>"14"</f>
        <v>14</v>
      </c>
      <c r="E13134" t="str">
        <f>"1-263-14"</f>
        <v>1-263-14</v>
      </c>
      <c r="F13134" t="s">
        <v>65</v>
      </c>
      <c r="G13134" t="s">
        <v>66</v>
      </c>
      <c r="H13134" t="s">
        <v>67</v>
      </c>
      <c r="S13134">
        <v>0</v>
      </c>
      <c r="T13134">
        <v>1</v>
      </c>
      <c r="U13134">
        <v>0</v>
      </c>
      <c r="V13134">
        <v>0</v>
      </c>
      <c r="W13134">
        <v>1</v>
      </c>
      <c r="X13134">
        <v>0</v>
      </c>
      <c r="Y13134">
        <v>0</v>
      </c>
      <c r="Z13134">
        <v>1</v>
      </c>
      <c r="AA13134">
        <v>0</v>
      </c>
      <c r="AB13134">
        <v>1</v>
      </c>
      <c r="AC13134">
        <v>0</v>
      </c>
      <c r="AD13134">
        <v>1</v>
      </c>
      <c r="AE13134">
        <v>1</v>
      </c>
      <c r="AF13134">
        <v>1</v>
      </c>
      <c r="AG13134">
        <v>1</v>
      </c>
      <c r="AH13134">
        <v>1</v>
      </c>
      <c r="AI13134">
        <v>1</v>
      </c>
      <c r="AJ13134">
        <v>1</v>
      </c>
      <c r="AK13134">
        <v>1</v>
      </c>
      <c r="AL13134">
        <v>1</v>
      </c>
      <c r="AM13134">
        <v>1</v>
      </c>
    </row>
    <row r="13135" spans="1:39" x14ac:dyDescent="0.2">
      <c r="A13135" t="str">
        <f>"13131"</f>
        <v>13131</v>
      </c>
      <c r="B13135" t="str">
        <f t="shared" si="730"/>
        <v>1</v>
      </c>
      <c r="C13135" t="str">
        <f t="shared" si="729"/>
        <v>263</v>
      </c>
      <c r="D13135" t="str">
        <f>"39"</f>
        <v>39</v>
      </c>
      <c r="E13135" t="str">
        <f>"1-263-39"</f>
        <v>1-263-39</v>
      </c>
      <c r="F13135" t="s">
        <v>65</v>
      </c>
      <c r="G13135" t="s">
        <v>66</v>
      </c>
      <c r="H13135" t="s">
        <v>67</v>
      </c>
      <c r="S13135">
        <v>1</v>
      </c>
      <c r="T13135">
        <v>0</v>
      </c>
      <c r="U13135">
        <v>0</v>
      </c>
      <c r="V13135">
        <v>0</v>
      </c>
      <c r="W13135">
        <v>1</v>
      </c>
      <c r="X13135">
        <v>0</v>
      </c>
      <c r="Y13135">
        <v>1</v>
      </c>
      <c r="Z13135">
        <v>0</v>
      </c>
      <c r="AA13135">
        <v>1</v>
      </c>
      <c r="AB13135">
        <v>0</v>
      </c>
      <c r="AC13135">
        <v>0</v>
      </c>
      <c r="AD13135">
        <v>0</v>
      </c>
      <c r="AE13135">
        <v>0</v>
      </c>
      <c r="AF13135">
        <v>0</v>
      </c>
      <c r="AG13135">
        <v>0</v>
      </c>
      <c r="AH13135">
        <v>0</v>
      </c>
      <c r="AI13135">
        <v>0</v>
      </c>
      <c r="AJ13135">
        <v>0</v>
      </c>
      <c r="AK13135">
        <v>0</v>
      </c>
      <c r="AL13135">
        <v>0</v>
      </c>
      <c r="AM13135">
        <v>0</v>
      </c>
    </row>
    <row r="13136" spans="1:39" x14ac:dyDescent="0.2">
      <c r="A13136" t="str">
        <f>"13132"</f>
        <v>13132</v>
      </c>
      <c r="B13136" t="str">
        <f t="shared" si="730"/>
        <v>1</v>
      </c>
      <c r="C13136" t="str">
        <f t="shared" si="729"/>
        <v>263</v>
      </c>
      <c r="D13136" t="str">
        <f>"24"</f>
        <v>24</v>
      </c>
      <c r="E13136" t="str">
        <f>"1-263-24"</f>
        <v>1-263-24</v>
      </c>
      <c r="F13136" t="s">
        <v>65</v>
      </c>
      <c r="G13136" t="s">
        <v>66</v>
      </c>
      <c r="H13136" t="s">
        <v>67</v>
      </c>
      <c r="S13136">
        <v>1</v>
      </c>
      <c r="T13136">
        <v>0</v>
      </c>
      <c r="U13136">
        <v>0</v>
      </c>
      <c r="V13136">
        <v>0</v>
      </c>
      <c r="W13136">
        <v>1</v>
      </c>
      <c r="X13136">
        <v>0</v>
      </c>
      <c r="Y13136">
        <v>1</v>
      </c>
      <c r="Z13136">
        <v>0</v>
      </c>
      <c r="AA13136">
        <v>0</v>
      </c>
      <c r="AB13136">
        <v>0</v>
      </c>
      <c r="AC13136">
        <v>1</v>
      </c>
      <c r="AD13136">
        <v>1</v>
      </c>
      <c r="AE13136">
        <v>1</v>
      </c>
      <c r="AF13136">
        <v>1</v>
      </c>
      <c r="AG13136">
        <v>1</v>
      </c>
      <c r="AH13136">
        <v>1</v>
      </c>
      <c r="AI13136">
        <v>1</v>
      </c>
      <c r="AJ13136">
        <v>1</v>
      </c>
      <c r="AK13136">
        <v>1</v>
      </c>
      <c r="AL13136">
        <v>1</v>
      </c>
      <c r="AM13136">
        <v>1</v>
      </c>
    </row>
    <row r="13137" spans="1:39" x14ac:dyDescent="0.2">
      <c r="A13137" t="str">
        <f>"13133"</f>
        <v>13133</v>
      </c>
      <c r="B13137" t="str">
        <f t="shared" si="730"/>
        <v>1</v>
      </c>
      <c r="C13137" t="str">
        <f t="shared" ref="C13137:C13154" si="731">"263"</f>
        <v>263</v>
      </c>
      <c r="D13137" t="str">
        <f>"5"</f>
        <v>5</v>
      </c>
      <c r="E13137" t="str">
        <f>"1-263-5"</f>
        <v>1-263-5</v>
      </c>
      <c r="F13137" t="s">
        <v>65</v>
      </c>
      <c r="G13137" t="s">
        <v>66</v>
      </c>
      <c r="H13137" t="s">
        <v>67</v>
      </c>
      <c r="S13137">
        <v>1</v>
      </c>
      <c r="T13137">
        <v>0</v>
      </c>
      <c r="U13137">
        <v>0</v>
      </c>
      <c r="V13137">
        <v>0</v>
      </c>
      <c r="W13137">
        <v>1</v>
      </c>
      <c r="X13137">
        <v>0</v>
      </c>
      <c r="Y13137">
        <v>0</v>
      </c>
      <c r="Z13137">
        <v>1</v>
      </c>
      <c r="AA13137">
        <v>0</v>
      </c>
      <c r="AB13137">
        <v>1</v>
      </c>
      <c r="AC13137">
        <v>0</v>
      </c>
      <c r="AD13137">
        <v>1</v>
      </c>
      <c r="AE13137">
        <v>1</v>
      </c>
      <c r="AF13137">
        <v>1</v>
      </c>
      <c r="AG13137">
        <v>1</v>
      </c>
      <c r="AH13137">
        <v>1</v>
      </c>
      <c r="AI13137">
        <v>1</v>
      </c>
      <c r="AJ13137">
        <v>1</v>
      </c>
      <c r="AK13137">
        <v>1</v>
      </c>
      <c r="AL13137">
        <v>1</v>
      </c>
      <c r="AM13137">
        <v>1</v>
      </c>
    </row>
    <row r="13138" spans="1:39" x14ac:dyDescent="0.2">
      <c r="A13138" t="str">
        <f>"13134"</f>
        <v>13134</v>
      </c>
      <c r="B13138" t="str">
        <f t="shared" si="730"/>
        <v>1</v>
      </c>
      <c r="C13138" t="str">
        <f t="shared" si="731"/>
        <v>263</v>
      </c>
      <c r="D13138" t="str">
        <f>"25"</f>
        <v>25</v>
      </c>
      <c r="E13138" t="str">
        <f>"1-263-25"</f>
        <v>1-263-25</v>
      </c>
      <c r="F13138" t="s">
        <v>65</v>
      </c>
      <c r="G13138" t="s">
        <v>66</v>
      </c>
      <c r="H13138" t="s">
        <v>67</v>
      </c>
      <c r="S13138">
        <v>1</v>
      </c>
      <c r="T13138">
        <v>0</v>
      </c>
      <c r="U13138">
        <v>0</v>
      </c>
      <c r="V13138">
        <v>0</v>
      </c>
      <c r="W13138">
        <v>1</v>
      </c>
      <c r="X13138">
        <v>0</v>
      </c>
      <c r="Y13138">
        <v>1</v>
      </c>
      <c r="Z13138">
        <v>0</v>
      </c>
      <c r="AA13138">
        <v>0</v>
      </c>
      <c r="AB13138">
        <v>0</v>
      </c>
      <c r="AC13138">
        <v>1</v>
      </c>
      <c r="AD13138">
        <v>1</v>
      </c>
      <c r="AE13138">
        <v>1</v>
      </c>
      <c r="AF13138">
        <v>1</v>
      </c>
      <c r="AG13138">
        <v>1</v>
      </c>
      <c r="AH13138">
        <v>1</v>
      </c>
      <c r="AI13138">
        <v>1</v>
      </c>
      <c r="AJ13138">
        <v>1</v>
      </c>
      <c r="AK13138">
        <v>1</v>
      </c>
      <c r="AL13138">
        <v>1</v>
      </c>
      <c r="AM13138">
        <v>1</v>
      </c>
    </row>
    <row r="13139" spans="1:39" x14ac:dyDescent="0.2">
      <c r="A13139" t="str">
        <f>"13135"</f>
        <v>13135</v>
      </c>
      <c r="B13139" t="str">
        <f t="shared" si="730"/>
        <v>1</v>
      </c>
      <c r="C13139" t="str">
        <f t="shared" si="731"/>
        <v>263</v>
      </c>
      <c r="D13139" t="str">
        <f>"9"</f>
        <v>9</v>
      </c>
      <c r="E13139" t="str">
        <f>"1-263-9"</f>
        <v>1-263-9</v>
      </c>
      <c r="F13139" t="s">
        <v>65</v>
      </c>
      <c r="G13139" t="s">
        <v>66</v>
      </c>
      <c r="H13139" t="s">
        <v>67</v>
      </c>
      <c r="S13139">
        <v>1</v>
      </c>
      <c r="T13139">
        <v>0</v>
      </c>
      <c r="U13139">
        <v>0</v>
      </c>
      <c r="V13139">
        <v>0</v>
      </c>
      <c r="W13139">
        <v>1</v>
      </c>
      <c r="X13139">
        <v>0</v>
      </c>
      <c r="Y13139">
        <v>1</v>
      </c>
      <c r="Z13139">
        <v>0</v>
      </c>
      <c r="AA13139">
        <v>1</v>
      </c>
      <c r="AB13139">
        <v>0</v>
      </c>
      <c r="AC13139">
        <v>0</v>
      </c>
      <c r="AD13139">
        <v>1</v>
      </c>
      <c r="AE13139">
        <v>1</v>
      </c>
      <c r="AF13139">
        <v>1</v>
      </c>
      <c r="AG13139">
        <v>1</v>
      </c>
      <c r="AH13139">
        <v>1</v>
      </c>
      <c r="AI13139">
        <v>1</v>
      </c>
      <c r="AJ13139">
        <v>1</v>
      </c>
      <c r="AK13139">
        <v>1</v>
      </c>
      <c r="AL13139">
        <v>1</v>
      </c>
      <c r="AM13139">
        <v>1</v>
      </c>
    </row>
    <row r="13140" spans="1:39" x14ac:dyDescent="0.2">
      <c r="A13140" t="str">
        <f>"13136"</f>
        <v>13136</v>
      </c>
      <c r="B13140" t="str">
        <f t="shared" si="730"/>
        <v>1</v>
      </c>
      <c r="C13140" t="str">
        <f t="shared" si="731"/>
        <v>263</v>
      </c>
      <c r="D13140" t="str">
        <f>"41"</f>
        <v>41</v>
      </c>
      <c r="E13140" t="str">
        <f>"1-263-41"</f>
        <v>1-263-41</v>
      </c>
      <c r="F13140" t="s">
        <v>65</v>
      </c>
      <c r="G13140" t="s">
        <v>66</v>
      </c>
      <c r="H13140" t="s">
        <v>67</v>
      </c>
      <c r="S13140">
        <v>0</v>
      </c>
      <c r="T13140">
        <v>0</v>
      </c>
      <c r="U13140">
        <v>0</v>
      </c>
      <c r="V13140">
        <v>0</v>
      </c>
      <c r="W13140">
        <v>1</v>
      </c>
      <c r="X13140">
        <v>0</v>
      </c>
      <c r="Y13140">
        <v>0</v>
      </c>
      <c r="Z13140">
        <v>1</v>
      </c>
      <c r="AA13140">
        <v>1</v>
      </c>
      <c r="AB13140">
        <v>0</v>
      </c>
      <c r="AC13140">
        <v>0</v>
      </c>
      <c r="AD13140">
        <v>1</v>
      </c>
      <c r="AE13140">
        <v>1</v>
      </c>
      <c r="AF13140">
        <v>1</v>
      </c>
      <c r="AG13140">
        <v>1</v>
      </c>
      <c r="AH13140">
        <v>1</v>
      </c>
      <c r="AI13140">
        <v>1</v>
      </c>
      <c r="AJ13140">
        <v>1</v>
      </c>
      <c r="AK13140">
        <v>1</v>
      </c>
      <c r="AL13140">
        <v>1</v>
      </c>
      <c r="AM13140">
        <v>1</v>
      </c>
    </row>
    <row r="13141" spans="1:39" x14ac:dyDescent="0.2">
      <c r="A13141" t="str">
        <f>"13137"</f>
        <v>13137</v>
      </c>
      <c r="B13141" t="str">
        <f t="shared" si="730"/>
        <v>1</v>
      </c>
      <c r="C13141" t="str">
        <f t="shared" si="731"/>
        <v>263</v>
      </c>
      <c r="D13141" t="str">
        <f>"26"</f>
        <v>26</v>
      </c>
      <c r="E13141" t="str">
        <f>"1-263-26"</f>
        <v>1-263-26</v>
      </c>
      <c r="F13141" t="s">
        <v>65</v>
      </c>
      <c r="G13141" t="s">
        <v>66</v>
      </c>
      <c r="H13141" t="s">
        <v>67</v>
      </c>
      <c r="S13141">
        <v>1</v>
      </c>
      <c r="T13141">
        <v>0</v>
      </c>
      <c r="U13141">
        <v>0</v>
      </c>
      <c r="V13141">
        <v>0</v>
      </c>
      <c r="W13141">
        <v>1</v>
      </c>
      <c r="X13141">
        <v>0</v>
      </c>
      <c r="Y13141">
        <v>0</v>
      </c>
      <c r="Z13141">
        <v>1</v>
      </c>
      <c r="AA13141">
        <v>1</v>
      </c>
      <c r="AB13141">
        <v>0</v>
      </c>
      <c r="AC13141">
        <v>0</v>
      </c>
      <c r="AD13141">
        <v>0</v>
      </c>
      <c r="AE13141">
        <v>0</v>
      </c>
      <c r="AF13141">
        <v>0</v>
      </c>
      <c r="AG13141">
        <v>1</v>
      </c>
      <c r="AH13141">
        <v>1</v>
      </c>
      <c r="AI13141">
        <v>1</v>
      </c>
      <c r="AJ13141">
        <v>1</v>
      </c>
      <c r="AK13141">
        <v>1</v>
      </c>
      <c r="AL13141">
        <v>1</v>
      </c>
      <c r="AM13141">
        <v>1</v>
      </c>
    </row>
    <row r="13142" spans="1:39" x14ac:dyDescent="0.2">
      <c r="A13142" t="str">
        <f>"13138"</f>
        <v>13138</v>
      </c>
      <c r="B13142" t="str">
        <f t="shared" si="730"/>
        <v>1</v>
      </c>
      <c r="C13142" t="str">
        <f t="shared" si="731"/>
        <v>263</v>
      </c>
      <c r="D13142" t="str">
        <f>"4"</f>
        <v>4</v>
      </c>
      <c r="E13142" t="str">
        <f>"1-263-4"</f>
        <v>1-263-4</v>
      </c>
      <c r="F13142" t="s">
        <v>65</v>
      </c>
      <c r="G13142" t="s">
        <v>66</v>
      </c>
      <c r="H13142" t="s">
        <v>67</v>
      </c>
      <c r="S13142">
        <v>0</v>
      </c>
      <c r="T13142">
        <v>1</v>
      </c>
      <c r="U13142">
        <v>0</v>
      </c>
      <c r="V13142">
        <v>0</v>
      </c>
      <c r="W13142">
        <v>1</v>
      </c>
      <c r="X13142">
        <v>0</v>
      </c>
      <c r="Y13142">
        <v>1</v>
      </c>
      <c r="Z13142">
        <v>0</v>
      </c>
      <c r="AA13142">
        <v>0</v>
      </c>
      <c r="AB13142">
        <v>1</v>
      </c>
      <c r="AC13142">
        <v>0</v>
      </c>
      <c r="AD13142">
        <v>1</v>
      </c>
      <c r="AE13142">
        <v>1</v>
      </c>
      <c r="AF13142">
        <v>1</v>
      </c>
      <c r="AG13142">
        <v>1</v>
      </c>
      <c r="AH13142">
        <v>1</v>
      </c>
      <c r="AI13142">
        <v>1</v>
      </c>
      <c r="AJ13142">
        <v>1</v>
      </c>
      <c r="AK13142">
        <v>1</v>
      </c>
      <c r="AL13142">
        <v>1</v>
      </c>
      <c r="AM13142">
        <v>1</v>
      </c>
    </row>
    <row r="13143" spans="1:39" x14ac:dyDescent="0.2">
      <c r="A13143" t="str">
        <f>"13139"</f>
        <v>13139</v>
      </c>
      <c r="B13143" t="str">
        <f t="shared" si="730"/>
        <v>1</v>
      </c>
      <c r="C13143" t="str">
        <f t="shared" si="731"/>
        <v>263</v>
      </c>
      <c r="D13143" t="str">
        <f>"45"</f>
        <v>45</v>
      </c>
      <c r="E13143" t="str">
        <f>"1-263-45"</f>
        <v>1-263-45</v>
      </c>
      <c r="F13143" t="s">
        <v>65</v>
      </c>
      <c r="G13143" t="s">
        <v>66</v>
      </c>
      <c r="H13143" t="s">
        <v>67</v>
      </c>
      <c r="S13143">
        <v>0</v>
      </c>
      <c r="T13143">
        <v>1</v>
      </c>
      <c r="U13143">
        <v>0</v>
      </c>
      <c r="V13143">
        <v>0</v>
      </c>
      <c r="W13143">
        <v>1</v>
      </c>
      <c r="X13143">
        <v>0</v>
      </c>
      <c r="Y13143">
        <v>1</v>
      </c>
      <c r="Z13143">
        <v>0</v>
      </c>
      <c r="AA13143">
        <v>1</v>
      </c>
      <c r="AB13143">
        <v>0</v>
      </c>
      <c r="AC13143">
        <v>0</v>
      </c>
      <c r="AD13143">
        <v>1</v>
      </c>
      <c r="AE13143">
        <v>1</v>
      </c>
      <c r="AF13143">
        <v>1</v>
      </c>
      <c r="AG13143">
        <v>1</v>
      </c>
      <c r="AH13143">
        <v>1</v>
      </c>
      <c r="AI13143">
        <v>1</v>
      </c>
      <c r="AJ13143">
        <v>1</v>
      </c>
      <c r="AK13143">
        <v>1</v>
      </c>
      <c r="AL13143">
        <v>1</v>
      </c>
      <c r="AM13143">
        <v>1</v>
      </c>
    </row>
    <row r="13144" spans="1:39" x14ac:dyDescent="0.2">
      <c r="A13144" t="str">
        <f>"13140"</f>
        <v>13140</v>
      </c>
      <c r="B13144" t="str">
        <f t="shared" si="730"/>
        <v>1</v>
      </c>
      <c r="C13144" t="str">
        <f t="shared" si="731"/>
        <v>263</v>
      </c>
      <c r="D13144" t="str">
        <f>"27"</f>
        <v>27</v>
      </c>
      <c r="E13144" t="str">
        <f>"1-263-27"</f>
        <v>1-263-27</v>
      </c>
      <c r="F13144" t="s">
        <v>65</v>
      </c>
      <c r="G13144" t="s">
        <v>66</v>
      </c>
      <c r="H13144" t="s">
        <v>67</v>
      </c>
      <c r="S13144">
        <v>1</v>
      </c>
      <c r="T13144">
        <v>0</v>
      </c>
      <c r="U13144">
        <v>0</v>
      </c>
      <c r="V13144">
        <v>0</v>
      </c>
      <c r="W13144">
        <v>1</v>
      </c>
      <c r="X13144">
        <v>0</v>
      </c>
      <c r="Y13144">
        <v>1</v>
      </c>
      <c r="Z13144">
        <v>0</v>
      </c>
      <c r="AA13144">
        <v>0</v>
      </c>
      <c r="AB13144">
        <v>0</v>
      </c>
      <c r="AC13144">
        <v>1</v>
      </c>
      <c r="AD13144">
        <v>1</v>
      </c>
      <c r="AE13144">
        <v>1</v>
      </c>
      <c r="AF13144">
        <v>1</v>
      </c>
      <c r="AG13144">
        <v>1</v>
      </c>
      <c r="AH13144">
        <v>1</v>
      </c>
      <c r="AI13144">
        <v>1</v>
      </c>
      <c r="AJ13144">
        <v>1</v>
      </c>
      <c r="AK13144">
        <v>1</v>
      </c>
      <c r="AL13144">
        <v>1</v>
      </c>
      <c r="AM13144">
        <v>1</v>
      </c>
    </row>
    <row r="13145" spans="1:39" x14ac:dyDescent="0.2">
      <c r="A13145" t="str">
        <f>"13141"</f>
        <v>13141</v>
      </c>
      <c r="B13145" t="str">
        <f t="shared" si="730"/>
        <v>1</v>
      </c>
      <c r="C13145" t="str">
        <f t="shared" si="731"/>
        <v>263</v>
      </c>
      <c r="D13145" t="str">
        <f>"13"</f>
        <v>13</v>
      </c>
      <c r="E13145" t="str">
        <f>"1-263-13"</f>
        <v>1-263-13</v>
      </c>
      <c r="F13145" t="s">
        <v>65</v>
      </c>
      <c r="G13145" t="s">
        <v>66</v>
      </c>
      <c r="H13145" t="s">
        <v>67</v>
      </c>
      <c r="S13145">
        <v>0</v>
      </c>
      <c r="T13145">
        <v>0</v>
      </c>
      <c r="U13145">
        <v>0</v>
      </c>
      <c r="V13145">
        <v>0</v>
      </c>
      <c r="W13145">
        <v>1</v>
      </c>
      <c r="X13145">
        <v>0</v>
      </c>
      <c r="Y13145">
        <v>0</v>
      </c>
      <c r="Z13145">
        <v>1</v>
      </c>
      <c r="AA13145">
        <v>1</v>
      </c>
      <c r="AB13145">
        <v>0</v>
      </c>
      <c r="AC13145">
        <v>0</v>
      </c>
      <c r="AD13145">
        <v>1</v>
      </c>
      <c r="AE13145">
        <v>1</v>
      </c>
      <c r="AF13145">
        <v>1</v>
      </c>
      <c r="AG13145">
        <v>1</v>
      </c>
      <c r="AH13145">
        <v>1</v>
      </c>
      <c r="AI13145">
        <v>0</v>
      </c>
      <c r="AJ13145">
        <v>1</v>
      </c>
      <c r="AK13145">
        <v>1</v>
      </c>
      <c r="AL13145">
        <v>1</v>
      </c>
      <c r="AM13145">
        <v>1</v>
      </c>
    </row>
    <row r="13146" spans="1:39" x14ac:dyDescent="0.2">
      <c r="A13146" t="str">
        <f>"13142"</f>
        <v>13142</v>
      </c>
      <c r="B13146" t="str">
        <f t="shared" si="730"/>
        <v>1</v>
      </c>
      <c r="C13146" t="str">
        <f t="shared" si="731"/>
        <v>263</v>
      </c>
      <c r="D13146" t="str">
        <f>"42"</f>
        <v>42</v>
      </c>
      <c r="E13146" t="str">
        <f>"1-263-42"</f>
        <v>1-263-42</v>
      </c>
      <c r="F13146" t="s">
        <v>65</v>
      </c>
      <c r="G13146" t="s">
        <v>66</v>
      </c>
      <c r="H13146" t="s">
        <v>67</v>
      </c>
      <c r="S13146">
        <v>1</v>
      </c>
      <c r="T13146">
        <v>0</v>
      </c>
      <c r="U13146">
        <v>0</v>
      </c>
      <c r="V13146">
        <v>0</v>
      </c>
      <c r="W13146">
        <v>1</v>
      </c>
      <c r="X13146">
        <v>0</v>
      </c>
      <c r="Y13146">
        <v>1</v>
      </c>
      <c r="Z13146">
        <v>0</v>
      </c>
      <c r="AA13146">
        <v>1</v>
      </c>
      <c r="AB13146">
        <v>0</v>
      </c>
      <c r="AC13146">
        <v>0</v>
      </c>
      <c r="AD13146">
        <v>0</v>
      </c>
      <c r="AE13146">
        <v>0</v>
      </c>
      <c r="AF13146">
        <v>0</v>
      </c>
      <c r="AG13146">
        <v>0</v>
      </c>
      <c r="AH13146">
        <v>0</v>
      </c>
      <c r="AI13146">
        <v>0</v>
      </c>
      <c r="AJ13146">
        <v>0</v>
      </c>
      <c r="AK13146">
        <v>0</v>
      </c>
      <c r="AL13146">
        <v>0</v>
      </c>
      <c r="AM13146">
        <v>0</v>
      </c>
    </row>
    <row r="13147" spans="1:39" x14ac:dyDescent="0.2">
      <c r="A13147" t="str">
        <f>"13143"</f>
        <v>13143</v>
      </c>
      <c r="B13147" t="str">
        <f t="shared" si="730"/>
        <v>1</v>
      </c>
      <c r="C13147" t="str">
        <f t="shared" si="731"/>
        <v>263</v>
      </c>
      <c r="D13147" t="str">
        <f>"29"</f>
        <v>29</v>
      </c>
      <c r="E13147" t="str">
        <f>"1-263-29"</f>
        <v>1-263-29</v>
      </c>
      <c r="F13147" t="s">
        <v>65</v>
      </c>
      <c r="G13147" t="s">
        <v>66</v>
      </c>
      <c r="H13147" t="s">
        <v>67</v>
      </c>
      <c r="S13147">
        <v>1</v>
      </c>
      <c r="T13147">
        <v>0</v>
      </c>
      <c r="U13147">
        <v>0</v>
      </c>
      <c r="V13147">
        <v>0</v>
      </c>
      <c r="W13147">
        <v>1</v>
      </c>
      <c r="X13147">
        <v>0</v>
      </c>
      <c r="Y13147">
        <v>1</v>
      </c>
      <c r="Z13147">
        <v>0</v>
      </c>
      <c r="AA13147">
        <v>0</v>
      </c>
      <c r="AB13147">
        <v>0</v>
      </c>
      <c r="AC13147">
        <v>0</v>
      </c>
      <c r="AD13147">
        <v>0</v>
      </c>
      <c r="AE13147">
        <v>0</v>
      </c>
      <c r="AF13147">
        <v>0</v>
      </c>
      <c r="AG13147">
        <v>1</v>
      </c>
      <c r="AH13147">
        <v>1</v>
      </c>
      <c r="AI13147">
        <v>0</v>
      </c>
      <c r="AJ13147">
        <v>0</v>
      </c>
      <c r="AK13147">
        <v>0</v>
      </c>
      <c r="AL13147">
        <v>1</v>
      </c>
      <c r="AM13147">
        <v>1</v>
      </c>
    </row>
    <row r="13148" spans="1:39" x14ac:dyDescent="0.2">
      <c r="A13148" t="str">
        <f>"13144"</f>
        <v>13144</v>
      </c>
      <c r="B13148" t="str">
        <f t="shared" si="730"/>
        <v>1</v>
      </c>
      <c r="C13148" t="str">
        <f t="shared" si="731"/>
        <v>263</v>
      </c>
      <c r="D13148" t="str">
        <f>"6"</f>
        <v>6</v>
      </c>
      <c r="E13148" t="str">
        <f>"1-263-6"</f>
        <v>1-263-6</v>
      </c>
      <c r="F13148" t="s">
        <v>65</v>
      </c>
      <c r="G13148" t="s">
        <v>66</v>
      </c>
      <c r="H13148" t="s">
        <v>67</v>
      </c>
      <c r="S13148">
        <v>0</v>
      </c>
      <c r="T13148">
        <v>1</v>
      </c>
      <c r="U13148">
        <v>0</v>
      </c>
      <c r="V13148">
        <v>0</v>
      </c>
      <c r="W13148">
        <v>1</v>
      </c>
      <c r="X13148">
        <v>0</v>
      </c>
      <c r="Y13148">
        <v>0</v>
      </c>
      <c r="Z13148">
        <v>1</v>
      </c>
      <c r="AA13148">
        <v>1</v>
      </c>
      <c r="AB13148">
        <v>0</v>
      </c>
      <c r="AC13148">
        <v>0</v>
      </c>
      <c r="AD13148">
        <v>1</v>
      </c>
      <c r="AE13148">
        <v>1</v>
      </c>
      <c r="AF13148">
        <v>1</v>
      </c>
      <c r="AG13148">
        <v>1</v>
      </c>
      <c r="AH13148">
        <v>1</v>
      </c>
      <c r="AI13148">
        <v>1</v>
      </c>
      <c r="AJ13148">
        <v>1</v>
      </c>
      <c r="AK13148">
        <v>1</v>
      </c>
      <c r="AL13148">
        <v>1</v>
      </c>
      <c r="AM13148">
        <v>1</v>
      </c>
    </row>
    <row r="13149" spans="1:39" x14ac:dyDescent="0.2">
      <c r="A13149" t="str">
        <f>"13145"</f>
        <v>13145</v>
      </c>
      <c r="B13149" t="str">
        <f t="shared" si="730"/>
        <v>1</v>
      </c>
      <c r="C13149" t="str">
        <f t="shared" si="731"/>
        <v>263</v>
      </c>
      <c r="D13149" t="str">
        <f>"30"</f>
        <v>30</v>
      </c>
      <c r="E13149" t="str">
        <f>"1-263-30"</f>
        <v>1-263-30</v>
      </c>
      <c r="F13149" t="s">
        <v>65</v>
      </c>
      <c r="G13149" t="s">
        <v>66</v>
      </c>
      <c r="H13149" t="s">
        <v>67</v>
      </c>
      <c r="S13149">
        <v>1</v>
      </c>
      <c r="T13149">
        <v>0</v>
      </c>
      <c r="U13149">
        <v>0</v>
      </c>
      <c r="V13149">
        <v>0</v>
      </c>
      <c r="W13149">
        <v>1</v>
      </c>
      <c r="X13149">
        <v>0</v>
      </c>
      <c r="Y13149">
        <v>0</v>
      </c>
      <c r="Z13149">
        <v>1</v>
      </c>
      <c r="AA13149">
        <v>0</v>
      </c>
      <c r="AB13149">
        <v>0</v>
      </c>
      <c r="AC13149">
        <v>1</v>
      </c>
      <c r="AD13149">
        <v>1</v>
      </c>
      <c r="AE13149">
        <v>1</v>
      </c>
      <c r="AF13149">
        <v>1</v>
      </c>
      <c r="AG13149">
        <v>1</v>
      </c>
      <c r="AH13149">
        <v>1</v>
      </c>
      <c r="AI13149">
        <v>1</v>
      </c>
      <c r="AJ13149">
        <v>1</v>
      </c>
      <c r="AK13149">
        <v>1</v>
      </c>
      <c r="AL13149">
        <v>1</v>
      </c>
      <c r="AM13149">
        <v>1</v>
      </c>
    </row>
    <row r="13150" spans="1:39" x14ac:dyDescent="0.2">
      <c r="A13150" t="str">
        <f>"13146"</f>
        <v>13146</v>
      </c>
      <c r="B13150" t="str">
        <f t="shared" si="730"/>
        <v>1</v>
      </c>
      <c r="C13150" t="str">
        <f t="shared" si="731"/>
        <v>263</v>
      </c>
      <c r="D13150" t="str">
        <f>"11"</f>
        <v>11</v>
      </c>
      <c r="E13150" t="str">
        <f>"1-263-11"</f>
        <v>1-263-11</v>
      </c>
      <c r="F13150" t="s">
        <v>65</v>
      </c>
      <c r="G13150" t="s">
        <v>66</v>
      </c>
      <c r="H13150" t="s">
        <v>67</v>
      </c>
      <c r="S13150">
        <v>1</v>
      </c>
      <c r="T13150">
        <v>0</v>
      </c>
      <c r="U13150">
        <v>0</v>
      </c>
      <c r="V13150">
        <v>0</v>
      </c>
      <c r="W13150">
        <v>1</v>
      </c>
      <c r="X13150">
        <v>0</v>
      </c>
      <c r="Y13150">
        <v>0</v>
      </c>
      <c r="Z13150">
        <v>0</v>
      </c>
      <c r="AA13150">
        <v>1</v>
      </c>
      <c r="AB13150">
        <v>0</v>
      </c>
      <c r="AC13150">
        <v>0</v>
      </c>
      <c r="AD13150">
        <v>1</v>
      </c>
      <c r="AE13150">
        <v>1</v>
      </c>
      <c r="AF13150">
        <v>1</v>
      </c>
      <c r="AG13150">
        <v>1</v>
      </c>
      <c r="AH13150">
        <v>1</v>
      </c>
      <c r="AI13150">
        <v>1</v>
      </c>
      <c r="AJ13150">
        <v>1</v>
      </c>
      <c r="AK13150">
        <v>1</v>
      </c>
      <c r="AL13150">
        <v>1</v>
      </c>
      <c r="AM13150">
        <v>1</v>
      </c>
    </row>
    <row r="13151" spans="1:39" x14ac:dyDescent="0.2">
      <c r="A13151" t="str">
        <f>"13147"</f>
        <v>13147</v>
      </c>
      <c r="B13151" t="str">
        <f t="shared" si="730"/>
        <v>1</v>
      </c>
      <c r="C13151" t="str">
        <f t="shared" si="731"/>
        <v>263</v>
      </c>
      <c r="D13151" t="str">
        <f>"49"</f>
        <v>49</v>
      </c>
      <c r="E13151" t="str">
        <f>"1-263-49"</f>
        <v>1-263-49</v>
      </c>
      <c r="F13151" t="s">
        <v>65</v>
      </c>
      <c r="G13151" t="s">
        <v>66</v>
      </c>
      <c r="H13151" t="s">
        <v>67</v>
      </c>
      <c r="S13151">
        <v>0</v>
      </c>
      <c r="T13151">
        <v>1</v>
      </c>
      <c r="U13151">
        <v>0</v>
      </c>
      <c r="V13151">
        <v>0</v>
      </c>
      <c r="W13151">
        <v>0</v>
      </c>
      <c r="X13151">
        <v>1</v>
      </c>
      <c r="Y13151">
        <v>0</v>
      </c>
      <c r="Z13151">
        <v>1</v>
      </c>
      <c r="AA13151">
        <v>0</v>
      </c>
      <c r="AB13151">
        <v>0</v>
      </c>
      <c r="AC13151">
        <v>1</v>
      </c>
      <c r="AD13151">
        <v>0</v>
      </c>
      <c r="AE13151">
        <v>0</v>
      </c>
      <c r="AF13151">
        <v>0</v>
      </c>
      <c r="AG13151">
        <v>1</v>
      </c>
      <c r="AH13151">
        <v>1</v>
      </c>
      <c r="AI13151">
        <v>0</v>
      </c>
      <c r="AJ13151">
        <v>1</v>
      </c>
      <c r="AK13151">
        <v>1</v>
      </c>
      <c r="AL13151">
        <v>0</v>
      </c>
      <c r="AM13151">
        <v>0</v>
      </c>
    </row>
    <row r="13152" spans="1:39" x14ac:dyDescent="0.2">
      <c r="A13152" t="str">
        <f>"13148"</f>
        <v>13148</v>
      </c>
      <c r="B13152" t="str">
        <f t="shared" si="730"/>
        <v>1</v>
      </c>
      <c r="C13152" t="str">
        <f t="shared" si="731"/>
        <v>263</v>
      </c>
      <c r="D13152" t="str">
        <f>"50"</f>
        <v>50</v>
      </c>
      <c r="E13152" t="str">
        <f>"1-263-50"</f>
        <v>1-263-50</v>
      </c>
      <c r="F13152" t="s">
        <v>65</v>
      </c>
      <c r="G13152" t="s">
        <v>66</v>
      </c>
      <c r="H13152" t="s">
        <v>67</v>
      </c>
      <c r="S13152">
        <v>0</v>
      </c>
      <c r="T13152">
        <v>0</v>
      </c>
      <c r="U13152">
        <v>0</v>
      </c>
      <c r="V13152">
        <v>0</v>
      </c>
      <c r="W13152">
        <v>0</v>
      </c>
      <c r="X13152">
        <v>1</v>
      </c>
      <c r="Y13152">
        <v>0</v>
      </c>
      <c r="Z13152">
        <v>1</v>
      </c>
      <c r="AA13152">
        <v>0</v>
      </c>
      <c r="AB13152">
        <v>0</v>
      </c>
      <c r="AC13152">
        <v>1</v>
      </c>
      <c r="AD13152">
        <v>1</v>
      </c>
      <c r="AE13152">
        <v>1</v>
      </c>
      <c r="AF13152">
        <v>1</v>
      </c>
      <c r="AG13152">
        <v>1</v>
      </c>
      <c r="AH13152">
        <v>1</v>
      </c>
      <c r="AI13152">
        <v>1</v>
      </c>
      <c r="AJ13152">
        <v>1</v>
      </c>
      <c r="AK13152">
        <v>1</v>
      </c>
      <c r="AL13152">
        <v>1</v>
      </c>
      <c r="AM13152">
        <v>1</v>
      </c>
    </row>
    <row r="13153" spans="1:39" x14ac:dyDescent="0.2">
      <c r="A13153" t="str">
        <f>"13149"</f>
        <v>13149</v>
      </c>
      <c r="B13153" t="str">
        <f t="shared" si="730"/>
        <v>1</v>
      </c>
      <c r="C13153" t="str">
        <f t="shared" si="731"/>
        <v>263</v>
      </c>
      <c r="D13153" t="str">
        <f>"48"</f>
        <v>48</v>
      </c>
      <c r="E13153" t="str">
        <f>"1-263-48"</f>
        <v>1-263-48</v>
      </c>
      <c r="F13153" t="s">
        <v>65</v>
      </c>
      <c r="G13153" t="s">
        <v>66</v>
      </c>
      <c r="H13153" t="s">
        <v>67</v>
      </c>
      <c r="S13153">
        <v>0</v>
      </c>
      <c r="T13153">
        <v>1</v>
      </c>
      <c r="U13153">
        <v>0</v>
      </c>
      <c r="V13153">
        <v>0</v>
      </c>
      <c r="W13153">
        <v>0</v>
      </c>
      <c r="X13153">
        <v>0</v>
      </c>
      <c r="Y13153">
        <v>1</v>
      </c>
      <c r="Z13153">
        <v>0</v>
      </c>
      <c r="AA13153">
        <v>0</v>
      </c>
      <c r="AB13153">
        <v>0</v>
      </c>
      <c r="AC13153">
        <v>1</v>
      </c>
      <c r="AD13153">
        <v>1</v>
      </c>
      <c r="AE13153">
        <v>1</v>
      </c>
      <c r="AF13153">
        <v>1</v>
      </c>
      <c r="AG13153">
        <v>1</v>
      </c>
      <c r="AH13153">
        <v>1</v>
      </c>
      <c r="AI13153">
        <v>1</v>
      </c>
      <c r="AJ13153">
        <v>1</v>
      </c>
      <c r="AK13153">
        <v>1</v>
      </c>
      <c r="AL13153">
        <v>1</v>
      </c>
      <c r="AM13153">
        <v>1</v>
      </c>
    </row>
    <row r="13154" spans="1:39" x14ac:dyDescent="0.2">
      <c r="A13154" t="str">
        <f>"13150"</f>
        <v>13150</v>
      </c>
      <c r="B13154" t="str">
        <f t="shared" si="730"/>
        <v>1</v>
      </c>
      <c r="C13154" t="str">
        <f t="shared" si="731"/>
        <v>263</v>
      </c>
      <c r="D13154" t="str">
        <f>"47"</f>
        <v>47</v>
      </c>
      <c r="E13154" t="str">
        <f>"1-263-47"</f>
        <v>1-263-47</v>
      </c>
      <c r="F13154" t="s">
        <v>65</v>
      </c>
      <c r="G13154" t="s">
        <v>66</v>
      </c>
      <c r="H13154" t="s">
        <v>67</v>
      </c>
      <c r="S13154">
        <v>1</v>
      </c>
      <c r="T13154">
        <v>0</v>
      </c>
      <c r="U13154">
        <v>0</v>
      </c>
      <c r="V13154">
        <v>0</v>
      </c>
      <c r="W13154">
        <v>1</v>
      </c>
      <c r="X13154">
        <v>0</v>
      </c>
      <c r="Y13154">
        <v>0</v>
      </c>
      <c r="Z13154">
        <v>1</v>
      </c>
      <c r="AA13154">
        <v>0</v>
      </c>
      <c r="AB13154">
        <v>1</v>
      </c>
      <c r="AC13154">
        <v>0</v>
      </c>
      <c r="AD13154">
        <v>1</v>
      </c>
      <c r="AE13154">
        <v>1</v>
      </c>
      <c r="AF13154">
        <v>1</v>
      </c>
      <c r="AG13154">
        <v>1</v>
      </c>
      <c r="AH13154">
        <v>1</v>
      </c>
      <c r="AI13154">
        <v>1</v>
      </c>
      <c r="AJ13154">
        <v>1</v>
      </c>
      <c r="AK13154">
        <v>1</v>
      </c>
      <c r="AL13154">
        <v>1</v>
      </c>
      <c r="AM13154">
        <v>1</v>
      </c>
    </row>
    <row r="13155" spans="1:39" x14ac:dyDescent="0.2">
      <c r="A13155" t="str">
        <f>"13151"</f>
        <v>13151</v>
      </c>
      <c r="B13155" t="str">
        <f t="shared" si="730"/>
        <v>1</v>
      </c>
      <c r="C13155" t="str">
        <f t="shared" ref="C13155:C13186" si="732">"264"</f>
        <v>264</v>
      </c>
      <c r="D13155" t="str">
        <f>"36"</f>
        <v>36</v>
      </c>
      <c r="E13155" t="str">
        <f>"1-264-36"</f>
        <v>1-264-36</v>
      </c>
      <c r="F13155" t="s">
        <v>65</v>
      </c>
      <c r="G13155" t="s">
        <v>66</v>
      </c>
      <c r="H13155" t="s">
        <v>67</v>
      </c>
      <c r="S13155">
        <v>0</v>
      </c>
      <c r="T13155">
        <v>1</v>
      </c>
      <c r="U13155">
        <v>0</v>
      </c>
      <c r="V13155">
        <v>0</v>
      </c>
      <c r="W13155">
        <v>1</v>
      </c>
      <c r="X13155">
        <v>0</v>
      </c>
      <c r="Y13155">
        <v>0</v>
      </c>
      <c r="Z13155">
        <v>1</v>
      </c>
      <c r="AA13155">
        <v>1</v>
      </c>
      <c r="AB13155">
        <v>0</v>
      </c>
      <c r="AC13155">
        <v>0</v>
      </c>
      <c r="AD13155">
        <v>1</v>
      </c>
      <c r="AE13155">
        <v>1</v>
      </c>
      <c r="AF13155">
        <v>1</v>
      </c>
      <c r="AG13155">
        <v>1</v>
      </c>
      <c r="AH13155">
        <v>1</v>
      </c>
      <c r="AI13155">
        <v>1</v>
      </c>
      <c r="AJ13155">
        <v>1</v>
      </c>
      <c r="AK13155">
        <v>1</v>
      </c>
      <c r="AL13155">
        <v>1</v>
      </c>
      <c r="AM13155">
        <v>1</v>
      </c>
    </row>
    <row r="13156" spans="1:39" x14ac:dyDescent="0.2">
      <c r="A13156" t="str">
        <f>"13152"</f>
        <v>13152</v>
      </c>
      <c r="B13156" t="str">
        <f t="shared" si="730"/>
        <v>1</v>
      </c>
      <c r="C13156" t="str">
        <f t="shared" si="732"/>
        <v>264</v>
      </c>
      <c r="D13156" t="str">
        <f>"35"</f>
        <v>35</v>
      </c>
      <c r="E13156" t="str">
        <f>"1-264-35"</f>
        <v>1-264-35</v>
      </c>
      <c r="F13156" t="s">
        <v>65</v>
      </c>
      <c r="G13156" t="s">
        <v>66</v>
      </c>
      <c r="H13156" t="s">
        <v>67</v>
      </c>
      <c r="S13156">
        <v>0</v>
      </c>
      <c r="T13156">
        <v>1</v>
      </c>
      <c r="U13156">
        <v>0</v>
      </c>
      <c r="V13156">
        <v>0</v>
      </c>
      <c r="W13156">
        <v>1</v>
      </c>
      <c r="X13156">
        <v>0</v>
      </c>
      <c r="Y13156">
        <v>0</v>
      </c>
      <c r="Z13156">
        <v>1</v>
      </c>
      <c r="AA13156">
        <v>0</v>
      </c>
      <c r="AB13156">
        <v>0</v>
      </c>
      <c r="AC13156">
        <v>1</v>
      </c>
      <c r="AD13156">
        <v>1</v>
      </c>
      <c r="AE13156">
        <v>1</v>
      </c>
      <c r="AF13156">
        <v>1</v>
      </c>
      <c r="AG13156">
        <v>1</v>
      </c>
      <c r="AH13156">
        <v>1</v>
      </c>
      <c r="AI13156">
        <v>1</v>
      </c>
      <c r="AJ13156">
        <v>1</v>
      </c>
      <c r="AK13156">
        <v>1</v>
      </c>
      <c r="AL13156">
        <v>1</v>
      </c>
      <c r="AM13156">
        <v>1</v>
      </c>
    </row>
    <row r="13157" spans="1:39" x14ac:dyDescent="0.2">
      <c r="A13157" t="str">
        <f>"13153"</f>
        <v>13153</v>
      </c>
      <c r="B13157" t="str">
        <f t="shared" si="730"/>
        <v>1</v>
      </c>
      <c r="C13157" t="str">
        <f t="shared" si="732"/>
        <v>264</v>
      </c>
      <c r="D13157" t="str">
        <f>"27"</f>
        <v>27</v>
      </c>
      <c r="E13157" t="str">
        <f>"1-264-27"</f>
        <v>1-264-27</v>
      </c>
      <c r="F13157" t="s">
        <v>65</v>
      </c>
      <c r="G13157" t="s">
        <v>66</v>
      </c>
      <c r="H13157" t="s">
        <v>67</v>
      </c>
      <c r="S13157">
        <v>0</v>
      </c>
      <c r="T13157">
        <v>1</v>
      </c>
      <c r="U13157">
        <v>0</v>
      </c>
      <c r="V13157">
        <v>0</v>
      </c>
      <c r="W13157">
        <v>0</v>
      </c>
      <c r="X13157">
        <v>1</v>
      </c>
      <c r="Y13157">
        <v>0</v>
      </c>
      <c r="Z13157">
        <v>1</v>
      </c>
      <c r="AA13157">
        <v>0</v>
      </c>
      <c r="AB13157">
        <v>0</v>
      </c>
      <c r="AC13157">
        <v>1</v>
      </c>
      <c r="AD13157">
        <v>1</v>
      </c>
      <c r="AE13157">
        <v>1</v>
      </c>
      <c r="AF13157">
        <v>1</v>
      </c>
      <c r="AG13157">
        <v>1</v>
      </c>
      <c r="AH13157">
        <v>1</v>
      </c>
      <c r="AI13157">
        <v>1</v>
      </c>
      <c r="AJ13157">
        <v>1</v>
      </c>
      <c r="AK13157">
        <v>1</v>
      </c>
      <c r="AL13157">
        <v>1</v>
      </c>
      <c r="AM13157">
        <v>1</v>
      </c>
    </row>
    <row r="13158" spans="1:39" x14ac:dyDescent="0.2">
      <c r="A13158" t="str">
        <f>"13154"</f>
        <v>13154</v>
      </c>
      <c r="B13158" t="str">
        <f t="shared" si="730"/>
        <v>1</v>
      </c>
      <c r="C13158" t="str">
        <f t="shared" si="732"/>
        <v>264</v>
      </c>
      <c r="D13158" t="str">
        <f>"15"</f>
        <v>15</v>
      </c>
      <c r="E13158" t="str">
        <f>"1-264-15"</f>
        <v>1-264-15</v>
      </c>
      <c r="F13158" t="s">
        <v>65</v>
      </c>
      <c r="G13158" t="s">
        <v>66</v>
      </c>
      <c r="H13158" t="s">
        <v>67</v>
      </c>
      <c r="S13158">
        <v>1</v>
      </c>
      <c r="T13158">
        <v>0</v>
      </c>
      <c r="U13158">
        <v>0</v>
      </c>
      <c r="V13158">
        <v>0</v>
      </c>
      <c r="W13158">
        <v>1</v>
      </c>
      <c r="X13158">
        <v>0</v>
      </c>
      <c r="Y13158">
        <v>1</v>
      </c>
      <c r="Z13158">
        <v>0</v>
      </c>
      <c r="AA13158">
        <v>1</v>
      </c>
      <c r="AB13158">
        <v>0</v>
      </c>
      <c r="AC13158">
        <v>0</v>
      </c>
      <c r="AD13158">
        <v>1</v>
      </c>
      <c r="AE13158">
        <v>1</v>
      </c>
      <c r="AF13158">
        <v>1</v>
      </c>
      <c r="AG13158">
        <v>1</v>
      </c>
      <c r="AH13158">
        <v>1</v>
      </c>
      <c r="AI13158">
        <v>1</v>
      </c>
      <c r="AJ13158">
        <v>1</v>
      </c>
      <c r="AK13158">
        <v>1</v>
      </c>
      <c r="AL13158">
        <v>1</v>
      </c>
      <c r="AM13158">
        <v>1</v>
      </c>
    </row>
    <row r="13159" spans="1:39" x14ac:dyDescent="0.2">
      <c r="A13159" t="str">
        <f>"13155"</f>
        <v>13155</v>
      </c>
      <c r="B13159" t="str">
        <f t="shared" si="730"/>
        <v>1</v>
      </c>
      <c r="C13159" t="str">
        <f t="shared" si="732"/>
        <v>264</v>
      </c>
      <c r="D13159" t="str">
        <f>"2"</f>
        <v>2</v>
      </c>
      <c r="E13159" t="str">
        <f>"1-264-2"</f>
        <v>1-264-2</v>
      </c>
      <c r="F13159" t="s">
        <v>65</v>
      </c>
      <c r="G13159" t="s">
        <v>66</v>
      </c>
      <c r="H13159" t="s">
        <v>68</v>
      </c>
      <c r="I13159">
        <v>1</v>
      </c>
      <c r="J13159">
        <v>1</v>
      </c>
      <c r="K13159">
        <v>0</v>
      </c>
      <c r="L13159">
        <v>0</v>
      </c>
      <c r="M13159">
        <v>1</v>
      </c>
      <c r="N13159">
        <v>1</v>
      </c>
      <c r="O13159">
        <v>1</v>
      </c>
      <c r="P13159">
        <v>1</v>
      </c>
      <c r="Q13159">
        <v>1</v>
      </c>
      <c r="R13159">
        <v>1</v>
      </c>
    </row>
    <row r="13160" spans="1:39" x14ac:dyDescent="0.2">
      <c r="A13160" t="str">
        <f>"13156"</f>
        <v>13156</v>
      </c>
      <c r="B13160" t="str">
        <f t="shared" si="730"/>
        <v>1</v>
      </c>
      <c r="C13160" t="str">
        <f t="shared" si="732"/>
        <v>264</v>
      </c>
      <c r="D13160" t="str">
        <f>"33"</f>
        <v>33</v>
      </c>
      <c r="E13160" t="str">
        <f>"1-264-33"</f>
        <v>1-264-33</v>
      </c>
      <c r="F13160" t="s">
        <v>65</v>
      </c>
      <c r="G13160" t="s">
        <v>66</v>
      </c>
      <c r="H13160" t="s">
        <v>67</v>
      </c>
      <c r="S13160">
        <v>1</v>
      </c>
      <c r="T13160">
        <v>0</v>
      </c>
      <c r="U13160">
        <v>0</v>
      </c>
      <c r="V13160">
        <v>0</v>
      </c>
      <c r="W13160">
        <v>1</v>
      </c>
      <c r="X13160">
        <v>0</v>
      </c>
      <c r="Y13160">
        <v>1</v>
      </c>
      <c r="Z13160">
        <v>0</v>
      </c>
      <c r="AA13160">
        <v>1</v>
      </c>
      <c r="AB13160">
        <v>0</v>
      </c>
      <c r="AC13160">
        <v>0</v>
      </c>
      <c r="AD13160">
        <v>1</v>
      </c>
      <c r="AE13160">
        <v>1</v>
      </c>
      <c r="AF13160">
        <v>1</v>
      </c>
      <c r="AG13160">
        <v>1</v>
      </c>
      <c r="AH13160">
        <v>1</v>
      </c>
      <c r="AI13160">
        <v>1</v>
      </c>
      <c r="AJ13160">
        <v>1</v>
      </c>
      <c r="AK13160">
        <v>1</v>
      </c>
      <c r="AL13160">
        <v>1</v>
      </c>
      <c r="AM13160">
        <v>1</v>
      </c>
    </row>
    <row r="13161" spans="1:39" x14ac:dyDescent="0.2">
      <c r="A13161" t="str">
        <f>"13157"</f>
        <v>13157</v>
      </c>
      <c r="B13161" t="str">
        <f t="shared" si="730"/>
        <v>1</v>
      </c>
      <c r="C13161" t="str">
        <f t="shared" si="732"/>
        <v>264</v>
      </c>
      <c r="D13161" t="str">
        <f>"32"</f>
        <v>32</v>
      </c>
      <c r="E13161" t="str">
        <f>"1-264-32"</f>
        <v>1-264-32</v>
      </c>
      <c r="F13161" t="s">
        <v>65</v>
      </c>
      <c r="G13161" t="s">
        <v>66</v>
      </c>
      <c r="H13161" t="s">
        <v>67</v>
      </c>
      <c r="S13161">
        <v>1</v>
      </c>
      <c r="T13161">
        <v>0</v>
      </c>
      <c r="U13161">
        <v>0</v>
      </c>
      <c r="V13161">
        <v>0</v>
      </c>
      <c r="W13161">
        <v>1</v>
      </c>
      <c r="X13161">
        <v>0</v>
      </c>
      <c r="Y13161">
        <v>1</v>
      </c>
      <c r="Z13161">
        <v>0</v>
      </c>
      <c r="AA13161">
        <v>1</v>
      </c>
      <c r="AB13161">
        <v>0</v>
      </c>
      <c r="AC13161">
        <v>0</v>
      </c>
      <c r="AD13161">
        <v>1</v>
      </c>
      <c r="AE13161">
        <v>1</v>
      </c>
      <c r="AF13161">
        <v>1</v>
      </c>
      <c r="AG13161">
        <v>1</v>
      </c>
      <c r="AH13161">
        <v>1</v>
      </c>
      <c r="AI13161">
        <v>1</v>
      </c>
      <c r="AJ13161">
        <v>1</v>
      </c>
      <c r="AK13161">
        <v>1</v>
      </c>
      <c r="AL13161">
        <v>1</v>
      </c>
      <c r="AM13161">
        <v>1</v>
      </c>
    </row>
    <row r="13162" spans="1:39" x14ac:dyDescent="0.2">
      <c r="A13162" t="str">
        <f>"13158"</f>
        <v>13158</v>
      </c>
      <c r="B13162" t="str">
        <f t="shared" si="730"/>
        <v>1</v>
      </c>
      <c r="C13162" t="str">
        <f t="shared" si="732"/>
        <v>264</v>
      </c>
      <c r="D13162" t="str">
        <f>"26"</f>
        <v>26</v>
      </c>
      <c r="E13162" t="str">
        <f>"1-264-26"</f>
        <v>1-264-26</v>
      </c>
      <c r="F13162" t="s">
        <v>65</v>
      </c>
      <c r="G13162" t="s">
        <v>66</v>
      </c>
      <c r="H13162" t="s">
        <v>67</v>
      </c>
      <c r="S13162">
        <v>0</v>
      </c>
      <c r="T13162">
        <v>1</v>
      </c>
      <c r="U13162">
        <v>0</v>
      </c>
      <c r="V13162">
        <v>0</v>
      </c>
      <c r="W13162">
        <v>1</v>
      </c>
      <c r="X13162">
        <v>0</v>
      </c>
      <c r="Y13162">
        <v>0</v>
      </c>
      <c r="Z13162">
        <v>1</v>
      </c>
      <c r="AA13162">
        <v>1</v>
      </c>
      <c r="AB13162">
        <v>0</v>
      </c>
      <c r="AC13162">
        <v>0</v>
      </c>
      <c r="AD13162">
        <v>1</v>
      </c>
      <c r="AE13162">
        <v>1</v>
      </c>
      <c r="AF13162">
        <v>1</v>
      </c>
      <c r="AG13162">
        <v>1</v>
      </c>
      <c r="AH13162">
        <v>1</v>
      </c>
      <c r="AI13162">
        <v>1</v>
      </c>
      <c r="AJ13162">
        <v>1</v>
      </c>
      <c r="AK13162">
        <v>1</v>
      </c>
      <c r="AL13162">
        <v>1</v>
      </c>
      <c r="AM13162">
        <v>1</v>
      </c>
    </row>
    <row r="13163" spans="1:39" x14ac:dyDescent="0.2">
      <c r="A13163" t="str">
        <f>"13159"</f>
        <v>13159</v>
      </c>
      <c r="B13163" t="str">
        <f t="shared" si="730"/>
        <v>1</v>
      </c>
      <c r="C13163" t="str">
        <f t="shared" si="732"/>
        <v>264</v>
      </c>
      <c r="D13163" t="str">
        <f>"16"</f>
        <v>16</v>
      </c>
      <c r="E13163" t="str">
        <f>"1-264-16"</f>
        <v>1-264-16</v>
      </c>
      <c r="F13163" t="s">
        <v>65</v>
      </c>
      <c r="G13163" t="s">
        <v>66</v>
      </c>
      <c r="H13163" t="s">
        <v>67</v>
      </c>
      <c r="S13163">
        <v>1</v>
      </c>
      <c r="T13163">
        <v>0</v>
      </c>
      <c r="U13163">
        <v>0</v>
      </c>
      <c r="V13163">
        <v>0</v>
      </c>
      <c r="W13163">
        <v>1</v>
      </c>
      <c r="X13163">
        <v>0</v>
      </c>
      <c r="Y13163">
        <v>0</v>
      </c>
      <c r="Z13163">
        <v>1</v>
      </c>
      <c r="AA13163">
        <v>0</v>
      </c>
      <c r="AB13163">
        <v>0</v>
      </c>
      <c r="AC13163">
        <v>1</v>
      </c>
      <c r="AD13163">
        <v>1</v>
      </c>
      <c r="AE13163">
        <v>1</v>
      </c>
      <c r="AF13163">
        <v>1</v>
      </c>
      <c r="AG13163">
        <v>1</v>
      </c>
      <c r="AH13163">
        <v>1</v>
      </c>
      <c r="AI13163">
        <v>1</v>
      </c>
      <c r="AJ13163">
        <v>1</v>
      </c>
      <c r="AK13163">
        <v>1</v>
      </c>
      <c r="AL13163">
        <v>1</v>
      </c>
      <c r="AM13163">
        <v>1</v>
      </c>
    </row>
    <row r="13164" spans="1:39" x14ac:dyDescent="0.2">
      <c r="A13164" t="str">
        <f>"13160"</f>
        <v>13160</v>
      </c>
      <c r="B13164" t="str">
        <f t="shared" si="730"/>
        <v>1</v>
      </c>
      <c r="C13164" t="str">
        <f t="shared" si="732"/>
        <v>264</v>
      </c>
      <c r="D13164" t="str">
        <f>"4"</f>
        <v>4</v>
      </c>
      <c r="E13164" t="str">
        <f>"1-264-4"</f>
        <v>1-264-4</v>
      </c>
      <c r="F13164" t="s">
        <v>65</v>
      </c>
      <c r="G13164" t="s">
        <v>66</v>
      </c>
      <c r="H13164" t="s">
        <v>67</v>
      </c>
      <c r="S13164">
        <v>1</v>
      </c>
      <c r="T13164">
        <v>0</v>
      </c>
      <c r="U13164">
        <v>0</v>
      </c>
      <c r="V13164">
        <v>0</v>
      </c>
      <c r="W13164">
        <v>1</v>
      </c>
      <c r="X13164">
        <v>0</v>
      </c>
      <c r="Y13164">
        <v>1</v>
      </c>
      <c r="Z13164">
        <v>0</v>
      </c>
      <c r="AA13164">
        <v>0</v>
      </c>
      <c r="AB13164">
        <v>0</v>
      </c>
      <c r="AC13164">
        <v>1</v>
      </c>
      <c r="AD13164">
        <v>1</v>
      </c>
      <c r="AE13164">
        <v>1</v>
      </c>
      <c r="AF13164">
        <v>1</v>
      </c>
      <c r="AG13164">
        <v>1</v>
      </c>
      <c r="AH13164">
        <v>1</v>
      </c>
      <c r="AI13164">
        <v>1</v>
      </c>
      <c r="AJ13164">
        <v>1</v>
      </c>
      <c r="AK13164">
        <v>1</v>
      </c>
      <c r="AL13164">
        <v>1</v>
      </c>
      <c r="AM13164">
        <v>1</v>
      </c>
    </row>
    <row r="13165" spans="1:39" x14ac:dyDescent="0.2">
      <c r="A13165" t="str">
        <f>"13161"</f>
        <v>13161</v>
      </c>
      <c r="B13165" t="str">
        <f t="shared" si="730"/>
        <v>1</v>
      </c>
      <c r="C13165" t="str">
        <f t="shared" si="732"/>
        <v>264</v>
      </c>
      <c r="D13165" t="str">
        <f>"46"</f>
        <v>46</v>
      </c>
      <c r="E13165" t="str">
        <f>"1-264-46"</f>
        <v>1-264-46</v>
      </c>
      <c r="F13165" t="s">
        <v>65</v>
      </c>
      <c r="G13165" t="s">
        <v>66</v>
      </c>
      <c r="H13165" t="s">
        <v>67</v>
      </c>
      <c r="S13165">
        <v>1</v>
      </c>
      <c r="T13165">
        <v>0</v>
      </c>
      <c r="U13165">
        <v>0</v>
      </c>
      <c r="V13165">
        <v>0</v>
      </c>
      <c r="W13165">
        <v>1</v>
      </c>
      <c r="X13165">
        <v>0</v>
      </c>
      <c r="Y13165">
        <v>0</v>
      </c>
      <c r="Z13165">
        <v>1</v>
      </c>
      <c r="AA13165">
        <v>1</v>
      </c>
      <c r="AB13165">
        <v>0</v>
      </c>
      <c r="AC13165">
        <v>0</v>
      </c>
      <c r="AD13165">
        <v>1</v>
      </c>
      <c r="AE13165">
        <v>1</v>
      </c>
      <c r="AF13165">
        <v>1</v>
      </c>
      <c r="AG13165">
        <v>1</v>
      </c>
      <c r="AH13165">
        <v>1</v>
      </c>
      <c r="AI13165">
        <v>1</v>
      </c>
      <c r="AJ13165">
        <v>1</v>
      </c>
      <c r="AK13165">
        <v>1</v>
      </c>
      <c r="AL13165">
        <v>1</v>
      </c>
      <c r="AM13165">
        <v>1</v>
      </c>
    </row>
    <row r="13166" spans="1:39" x14ac:dyDescent="0.2">
      <c r="A13166" t="str">
        <f>"13162"</f>
        <v>13162</v>
      </c>
      <c r="B13166" t="str">
        <f t="shared" si="730"/>
        <v>1</v>
      </c>
      <c r="C13166" t="str">
        <f t="shared" si="732"/>
        <v>264</v>
      </c>
      <c r="D13166" t="str">
        <f>"45"</f>
        <v>45</v>
      </c>
      <c r="E13166" t="str">
        <f>"1-264-45"</f>
        <v>1-264-45</v>
      </c>
      <c r="F13166" t="s">
        <v>65</v>
      </c>
      <c r="G13166" t="s">
        <v>66</v>
      </c>
      <c r="H13166" t="s">
        <v>67</v>
      </c>
      <c r="S13166">
        <v>1</v>
      </c>
      <c r="T13166">
        <v>0</v>
      </c>
      <c r="U13166">
        <v>0</v>
      </c>
      <c r="V13166">
        <v>0</v>
      </c>
      <c r="W13166">
        <v>1</v>
      </c>
      <c r="X13166">
        <v>0</v>
      </c>
      <c r="Y13166">
        <v>0</v>
      </c>
      <c r="Z13166">
        <v>1</v>
      </c>
      <c r="AA13166">
        <v>0</v>
      </c>
      <c r="AB13166">
        <v>0</v>
      </c>
      <c r="AC13166">
        <v>1</v>
      </c>
      <c r="AD13166">
        <v>1</v>
      </c>
      <c r="AE13166">
        <v>1</v>
      </c>
      <c r="AF13166">
        <v>1</v>
      </c>
      <c r="AG13166">
        <v>1</v>
      </c>
      <c r="AH13166">
        <v>1</v>
      </c>
      <c r="AI13166">
        <v>1</v>
      </c>
      <c r="AJ13166">
        <v>1</v>
      </c>
      <c r="AK13166">
        <v>1</v>
      </c>
      <c r="AL13166">
        <v>1</v>
      </c>
      <c r="AM13166">
        <v>1</v>
      </c>
    </row>
    <row r="13167" spans="1:39" x14ac:dyDescent="0.2">
      <c r="A13167" t="str">
        <f>"13163"</f>
        <v>13163</v>
      </c>
      <c r="B13167" t="str">
        <f t="shared" si="730"/>
        <v>1</v>
      </c>
      <c r="C13167" t="str">
        <f t="shared" si="732"/>
        <v>264</v>
      </c>
      <c r="D13167" t="str">
        <f>"31"</f>
        <v>31</v>
      </c>
      <c r="E13167" t="str">
        <f>"1-264-31"</f>
        <v>1-264-31</v>
      </c>
      <c r="F13167" t="s">
        <v>65</v>
      </c>
      <c r="G13167" t="s">
        <v>66</v>
      </c>
      <c r="H13167" t="s">
        <v>67</v>
      </c>
      <c r="S13167">
        <v>1</v>
      </c>
      <c r="T13167">
        <v>0</v>
      </c>
      <c r="U13167">
        <v>0</v>
      </c>
      <c r="V13167">
        <v>0</v>
      </c>
      <c r="W13167">
        <v>1</v>
      </c>
      <c r="X13167">
        <v>0</v>
      </c>
      <c r="Y13167">
        <v>1</v>
      </c>
      <c r="Z13167">
        <v>0</v>
      </c>
      <c r="AA13167">
        <v>1</v>
      </c>
      <c r="AB13167">
        <v>0</v>
      </c>
      <c r="AC13167">
        <v>0</v>
      </c>
      <c r="AD13167">
        <v>1</v>
      </c>
      <c r="AE13167">
        <v>1</v>
      </c>
      <c r="AF13167">
        <v>1</v>
      </c>
      <c r="AG13167">
        <v>1</v>
      </c>
      <c r="AH13167">
        <v>1</v>
      </c>
      <c r="AI13167">
        <v>1</v>
      </c>
      <c r="AJ13167">
        <v>1</v>
      </c>
      <c r="AK13167">
        <v>1</v>
      </c>
      <c r="AL13167">
        <v>1</v>
      </c>
      <c r="AM13167">
        <v>1</v>
      </c>
    </row>
    <row r="13168" spans="1:39" x14ac:dyDescent="0.2">
      <c r="A13168" t="str">
        <f>"13164"</f>
        <v>13164</v>
      </c>
      <c r="B13168" t="str">
        <f t="shared" si="730"/>
        <v>1</v>
      </c>
      <c r="C13168" t="str">
        <f t="shared" si="732"/>
        <v>264</v>
      </c>
      <c r="D13168" t="str">
        <f>"17"</f>
        <v>17</v>
      </c>
      <c r="E13168" t="str">
        <f>"1-264-17"</f>
        <v>1-264-17</v>
      </c>
      <c r="F13168" t="s">
        <v>65</v>
      </c>
      <c r="G13168" t="s">
        <v>66</v>
      </c>
      <c r="H13168" t="s">
        <v>67</v>
      </c>
      <c r="S13168">
        <v>1</v>
      </c>
      <c r="T13168">
        <v>0</v>
      </c>
      <c r="U13168">
        <v>0</v>
      </c>
      <c r="V13168">
        <v>0</v>
      </c>
      <c r="W13168">
        <v>1</v>
      </c>
      <c r="X13168">
        <v>0</v>
      </c>
      <c r="Y13168">
        <v>1</v>
      </c>
      <c r="Z13168">
        <v>0</v>
      </c>
      <c r="AA13168">
        <v>1</v>
      </c>
      <c r="AB13168">
        <v>0</v>
      </c>
      <c r="AC13168">
        <v>0</v>
      </c>
      <c r="AD13168">
        <v>1</v>
      </c>
      <c r="AE13168">
        <v>1</v>
      </c>
      <c r="AF13168">
        <v>1</v>
      </c>
      <c r="AG13168">
        <v>1</v>
      </c>
      <c r="AH13168">
        <v>1</v>
      </c>
      <c r="AI13168">
        <v>1</v>
      </c>
      <c r="AJ13168">
        <v>1</v>
      </c>
      <c r="AK13168">
        <v>1</v>
      </c>
      <c r="AL13168">
        <v>1</v>
      </c>
      <c r="AM13168">
        <v>1</v>
      </c>
    </row>
    <row r="13169" spans="1:39" x14ac:dyDescent="0.2">
      <c r="A13169" t="str">
        <f>"13165"</f>
        <v>13165</v>
      </c>
      <c r="B13169" t="str">
        <f t="shared" si="730"/>
        <v>1</v>
      </c>
      <c r="C13169" t="str">
        <f t="shared" si="732"/>
        <v>264</v>
      </c>
      <c r="D13169" t="str">
        <f>"11"</f>
        <v>11</v>
      </c>
      <c r="E13169" t="str">
        <f>"1-264-11"</f>
        <v>1-264-11</v>
      </c>
      <c r="F13169" t="s">
        <v>65</v>
      </c>
      <c r="G13169" t="s">
        <v>66</v>
      </c>
      <c r="H13169" t="s">
        <v>67</v>
      </c>
      <c r="S13169">
        <v>0</v>
      </c>
      <c r="T13169">
        <v>0</v>
      </c>
      <c r="U13169">
        <v>0</v>
      </c>
      <c r="V13169">
        <v>0</v>
      </c>
      <c r="W13169">
        <v>0</v>
      </c>
      <c r="X13169">
        <v>1</v>
      </c>
      <c r="Y13169">
        <v>1</v>
      </c>
      <c r="Z13169">
        <v>0</v>
      </c>
      <c r="AA13169">
        <v>0</v>
      </c>
      <c r="AB13169">
        <v>0</v>
      </c>
      <c r="AC13169">
        <v>1</v>
      </c>
      <c r="AD13169">
        <v>0</v>
      </c>
      <c r="AE13169">
        <v>0</v>
      </c>
      <c r="AF13169">
        <v>1</v>
      </c>
      <c r="AG13169">
        <v>0</v>
      </c>
      <c r="AH13169">
        <v>1</v>
      </c>
      <c r="AI13169">
        <v>0</v>
      </c>
      <c r="AJ13169">
        <v>0</v>
      </c>
      <c r="AK13169">
        <v>0</v>
      </c>
      <c r="AL13169">
        <v>0</v>
      </c>
      <c r="AM13169">
        <v>0</v>
      </c>
    </row>
    <row r="13170" spans="1:39" x14ac:dyDescent="0.2">
      <c r="A13170" t="str">
        <f>"13166"</f>
        <v>13166</v>
      </c>
      <c r="B13170" t="str">
        <f t="shared" si="730"/>
        <v>1</v>
      </c>
      <c r="C13170" t="str">
        <f t="shared" si="732"/>
        <v>264</v>
      </c>
      <c r="D13170" t="str">
        <f>"37"</f>
        <v>37</v>
      </c>
      <c r="E13170" t="str">
        <f>"1-264-37"</f>
        <v>1-264-37</v>
      </c>
      <c r="F13170" t="s">
        <v>65</v>
      </c>
      <c r="G13170" t="s">
        <v>66</v>
      </c>
      <c r="H13170" t="s">
        <v>67</v>
      </c>
      <c r="S13170">
        <v>1</v>
      </c>
      <c r="T13170">
        <v>0</v>
      </c>
      <c r="U13170">
        <v>0</v>
      </c>
      <c r="V13170">
        <v>0</v>
      </c>
      <c r="W13170">
        <v>1</v>
      </c>
      <c r="X13170">
        <v>0</v>
      </c>
      <c r="Y13170">
        <v>1</v>
      </c>
      <c r="Z13170">
        <v>0</v>
      </c>
      <c r="AA13170">
        <v>1</v>
      </c>
      <c r="AB13170">
        <v>0</v>
      </c>
      <c r="AC13170">
        <v>0</v>
      </c>
      <c r="AD13170">
        <v>1</v>
      </c>
      <c r="AE13170">
        <v>1</v>
      </c>
      <c r="AF13170">
        <v>1</v>
      </c>
      <c r="AG13170">
        <v>1</v>
      </c>
      <c r="AH13170">
        <v>1</v>
      </c>
      <c r="AI13170">
        <v>1</v>
      </c>
      <c r="AJ13170">
        <v>1</v>
      </c>
      <c r="AK13170">
        <v>1</v>
      </c>
      <c r="AL13170">
        <v>1</v>
      </c>
      <c r="AM13170">
        <v>1</v>
      </c>
    </row>
    <row r="13171" spans="1:39" x14ac:dyDescent="0.2">
      <c r="A13171" t="str">
        <f>"13167"</f>
        <v>13167</v>
      </c>
      <c r="B13171" t="str">
        <f t="shared" si="730"/>
        <v>1</v>
      </c>
      <c r="C13171" t="str">
        <f t="shared" si="732"/>
        <v>264</v>
      </c>
      <c r="D13171" t="str">
        <f>"18"</f>
        <v>18</v>
      </c>
      <c r="E13171" t="str">
        <f>"1-264-18"</f>
        <v>1-264-18</v>
      </c>
      <c r="F13171" t="s">
        <v>65</v>
      </c>
      <c r="G13171" t="s">
        <v>66</v>
      </c>
      <c r="H13171" t="s">
        <v>67</v>
      </c>
      <c r="S13171">
        <v>0</v>
      </c>
      <c r="T13171">
        <v>1</v>
      </c>
      <c r="U13171">
        <v>0</v>
      </c>
      <c r="V13171">
        <v>0</v>
      </c>
      <c r="W13171">
        <v>1</v>
      </c>
      <c r="X13171">
        <v>0</v>
      </c>
      <c r="Y13171">
        <v>0</v>
      </c>
      <c r="Z13171">
        <v>1</v>
      </c>
      <c r="AA13171">
        <v>1</v>
      </c>
      <c r="AB13171">
        <v>0</v>
      </c>
      <c r="AC13171">
        <v>0</v>
      </c>
      <c r="AD13171">
        <v>0</v>
      </c>
      <c r="AE13171">
        <v>0</v>
      </c>
      <c r="AF13171">
        <v>0</v>
      </c>
      <c r="AG13171">
        <v>1</v>
      </c>
      <c r="AH13171">
        <v>0</v>
      </c>
      <c r="AI13171">
        <v>1</v>
      </c>
      <c r="AJ13171">
        <v>1</v>
      </c>
      <c r="AK13171">
        <v>1</v>
      </c>
      <c r="AL13171">
        <v>1</v>
      </c>
      <c r="AM13171">
        <v>1</v>
      </c>
    </row>
    <row r="13172" spans="1:39" x14ac:dyDescent="0.2">
      <c r="A13172" t="str">
        <f>"13168"</f>
        <v>13168</v>
      </c>
      <c r="B13172" t="str">
        <f t="shared" si="730"/>
        <v>1</v>
      </c>
      <c r="C13172" t="str">
        <f t="shared" si="732"/>
        <v>264</v>
      </c>
      <c r="D13172" t="str">
        <f>"1"</f>
        <v>1</v>
      </c>
      <c r="E13172" t="str">
        <f>"1-264-1"</f>
        <v>1-264-1</v>
      </c>
      <c r="F13172" t="s">
        <v>65</v>
      </c>
      <c r="G13172" t="s">
        <v>66</v>
      </c>
      <c r="H13172" t="s">
        <v>68</v>
      </c>
      <c r="I13172">
        <v>1</v>
      </c>
      <c r="J13172">
        <v>0</v>
      </c>
      <c r="K13172">
        <v>1</v>
      </c>
      <c r="L13172">
        <v>0</v>
      </c>
      <c r="M13172">
        <v>1</v>
      </c>
      <c r="N13172">
        <v>1</v>
      </c>
      <c r="O13172">
        <v>1</v>
      </c>
      <c r="P13172">
        <v>1</v>
      </c>
      <c r="Q13172">
        <v>1</v>
      </c>
      <c r="R13172">
        <v>1</v>
      </c>
    </row>
    <row r="13173" spans="1:39" x14ac:dyDescent="0.2">
      <c r="A13173" t="str">
        <f>"13169"</f>
        <v>13169</v>
      </c>
      <c r="B13173" t="str">
        <f t="shared" si="730"/>
        <v>1</v>
      </c>
      <c r="C13173" t="str">
        <f t="shared" si="732"/>
        <v>264</v>
      </c>
      <c r="D13173" t="str">
        <f>"50"</f>
        <v>50</v>
      </c>
      <c r="E13173" t="str">
        <f>"1-264-50"</f>
        <v>1-264-50</v>
      </c>
      <c r="F13173" t="s">
        <v>65</v>
      </c>
      <c r="G13173" t="s">
        <v>66</v>
      </c>
      <c r="H13173" t="s">
        <v>67</v>
      </c>
      <c r="S13173">
        <v>0</v>
      </c>
      <c r="T13173">
        <v>1</v>
      </c>
      <c r="U13173">
        <v>0</v>
      </c>
      <c r="V13173">
        <v>0</v>
      </c>
      <c r="W13173">
        <v>1</v>
      </c>
      <c r="X13173">
        <v>0</v>
      </c>
      <c r="Y13173">
        <v>0</v>
      </c>
      <c r="Z13173">
        <v>1</v>
      </c>
      <c r="AA13173">
        <v>0</v>
      </c>
      <c r="AB13173">
        <v>0</v>
      </c>
      <c r="AC13173">
        <v>1</v>
      </c>
      <c r="AD13173">
        <v>1</v>
      </c>
      <c r="AE13173">
        <v>1</v>
      </c>
      <c r="AF13173">
        <v>1</v>
      </c>
      <c r="AG13173">
        <v>1</v>
      </c>
      <c r="AH13173">
        <v>1</v>
      </c>
      <c r="AI13173">
        <v>1</v>
      </c>
      <c r="AJ13173">
        <v>1</v>
      </c>
      <c r="AK13173">
        <v>1</v>
      </c>
      <c r="AL13173">
        <v>1</v>
      </c>
      <c r="AM13173">
        <v>1</v>
      </c>
    </row>
    <row r="13174" spans="1:39" x14ac:dyDescent="0.2">
      <c r="A13174" t="str">
        <f>"13170"</f>
        <v>13170</v>
      </c>
      <c r="B13174" t="str">
        <f t="shared" si="730"/>
        <v>1</v>
      </c>
      <c r="C13174" t="str">
        <f t="shared" si="732"/>
        <v>264</v>
      </c>
      <c r="D13174" t="str">
        <f>"49"</f>
        <v>49</v>
      </c>
      <c r="E13174" t="str">
        <f>"1-264-49"</f>
        <v>1-264-49</v>
      </c>
      <c r="F13174" t="s">
        <v>65</v>
      </c>
      <c r="G13174" t="s">
        <v>66</v>
      </c>
      <c r="H13174" t="s">
        <v>67</v>
      </c>
      <c r="S13174">
        <v>0</v>
      </c>
      <c r="T13174">
        <v>1</v>
      </c>
      <c r="U13174">
        <v>0</v>
      </c>
      <c r="V13174">
        <v>0</v>
      </c>
      <c r="W13174">
        <v>0</v>
      </c>
      <c r="X13174">
        <v>1</v>
      </c>
      <c r="Y13174">
        <v>0</v>
      </c>
      <c r="Z13174">
        <v>1</v>
      </c>
      <c r="AA13174">
        <v>0</v>
      </c>
      <c r="AB13174">
        <v>0</v>
      </c>
      <c r="AC13174">
        <v>1</v>
      </c>
      <c r="AD13174">
        <v>0</v>
      </c>
      <c r="AE13174">
        <v>0</v>
      </c>
      <c r="AF13174">
        <v>0</v>
      </c>
      <c r="AG13174">
        <v>1</v>
      </c>
      <c r="AH13174">
        <v>1</v>
      </c>
      <c r="AI13174">
        <v>0</v>
      </c>
      <c r="AJ13174">
        <v>0</v>
      </c>
      <c r="AK13174">
        <v>1</v>
      </c>
      <c r="AL13174">
        <v>0</v>
      </c>
      <c r="AM13174">
        <v>0</v>
      </c>
    </row>
    <row r="13175" spans="1:39" x14ac:dyDescent="0.2">
      <c r="A13175" t="str">
        <f>"13171"</f>
        <v>13171</v>
      </c>
      <c r="B13175" t="str">
        <f t="shared" ref="B13175:B13238" si="733">"1"</f>
        <v>1</v>
      </c>
      <c r="C13175" t="str">
        <f t="shared" si="732"/>
        <v>264</v>
      </c>
      <c r="D13175" t="str">
        <f>"34"</f>
        <v>34</v>
      </c>
      <c r="E13175" t="str">
        <f>"1-264-34"</f>
        <v>1-264-34</v>
      </c>
      <c r="F13175" t="s">
        <v>65</v>
      </c>
      <c r="G13175" t="s">
        <v>66</v>
      </c>
      <c r="H13175" t="s">
        <v>67</v>
      </c>
      <c r="S13175">
        <v>1</v>
      </c>
      <c r="T13175">
        <v>0</v>
      </c>
      <c r="U13175">
        <v>0</v>
      </c>
      <c r="V13175">
        <v>0</v>
      </c>
      <c r="W13175">
        <v>1</v>
      </c>
      <c r="X13175">
        <v>0</v>
      </c>
      <c r="Y13175">
        <v>0</v>
      </c>
      <c r="Z13175">
        <v>1</v>
      </c>
      <c r="AA13175">
        <v>1</v>
      </c>
      <c r="AB13175">
        <v>0</v>
      </c>
      <c r="AC13175">
        <v>0</v>
      </c>
      <c r="AD13175">
        <v>1</v>
      </c>
      <c r="AE13175">
        <v>1</v>
      </c>
      <c r="AF13175">
        <v>1</v>
      </c>
      <c r="AG13175">
        <v>1</v>
      </c>
      <c r="AH13175">
        <v>1</v>
      </c>
      <c r="AI13175">
        <v>1</v>
      </c>
      <c r="AJ13175">
        <v>1</v>
      </c>
      <c r="AK13175">
        <v>1</v>
      </c>
      <c r="AL13175">
        <v>1</v>
      </c>
      <c r="AM13175">
        <v>1</v>
      </c>
    </row>
    <row r="13176" spans="1:39" x14ac:dyDescent="0.2">
      <c r="A13176" t="str">
        <f>"13172"</f>
        <v>13172</v>
      </c>
      <c r="B13176" t="str">
        <f t="shared" si="733"/>
        <v>1</v>
      </c>
      <c r="C13176" t="str">
        <f t="shared" si="732"/>
        <v>264</v>
      </c>
      <c r="D13176" t="str">
        <f>"19"</f>
        <v>19</v>
      </c>
      <c r="E13176" t="str">
        <f>"1-264-19"</f>
        <v>1-264-19</v>
      </c>
      <c r="F13176" t="s">
        <v>65</v>
      </c>
      <c r="G13176" t="s">
        <v>66</v>
      </c>
      <c r="H13176" t="s">
        <v>67</v>
      </c>
      <c r="S13176">
        <v>1</v>
      </c>
      <c r="T13176">
        <v>0</v>
      </c>
      <c r="U13176">
        <v>0</v>
      </c>
      <c r="V13176">
        <v>0</v>
      </c>
      <c r="W13176">
        <v>1</v>
      </c>
      <c r="X13176">
        <v>0</v>
      </c>
      <c r="Y13176">
        <v>1</v>
      </c>
      <c r="Z13176">
        <v>0</v>
      </c>
      <c r="AA13176">
        <v>1</v>
      </c>
      <c r="AB13176">
        <v>0</v>
      </c>
      <c r="AC13176">
        <v>0</v>
      </c>
      <c r="AD13176">
        <v>1</v>
      </c>
      <c r="AE13176">
        <v>1</v>
      </c>
      <c r="AF13176">
        <v>1</v>
      </c>
      <c r="AG13176">
        <v>1</v>
      </c>
      <c r="AH13176">
        <v>1</v>
      </c>
      <c r="AI13176">
        <v>1</v>
      </c>
      <c r="AJ13176">
        <v>1</v>
      </c>
      <c r="AK13176">
        <v>1</v>
      </c>
      <c r="AL13176">
        <v>1</v>
      </c>
      <c r="AM13176">
        <v>1</v>
      </c>
    </row>
    <row r="13177" spans="1:39" x14ac:dyDescent="0.2">
      <c r="A13177" t="str">
        <f>"13173"</f>
        <v>13173</v>
      </c>
      <c r="B13177" t="str">
        <f t="shared" si="733"/>
        <v>1</v>
      </c>
      <c r="C13177" t="str">
        <f t="shared" si="732"/>
        <v>264</v>
      </c>
      <c r="D13177" t="str">
        <f>"6"</f>
        <v>6</v>
      </c>
      <c r="E13177" t="str">
        <f>"1-264-6"</f>
        <v>1-264-6</v>
      </c>
      <c r="F13177" t="s">
        <v>65</v>
      </c>
      <c r="G13177" t="s">
        <v>66</v>
      </c>
      <c r="H13177" t="s">
        <v>67</v>
      </c>
      <c r="S13177">
        <v>1</v>
      </c>
      <c r="T13177">
        <v>0</v>
      </c>
      <c r="U13177">
        <v>0</v>
      </c>
      <c r="V13177">
        <v>0</v>
      </c>
      <c r="W13177">
        <v>1</v>
      </c>
      <c r="X13177">
        <v>0</v>
      </c>
      <c r="Y13177">
        <v>1</v>
      </c>
      <c r="Z13177">
        <v>0</v>
      </c>
      <c r="AA13177">
        <v>1</v>
      </c>
      <c r="AB13177">
        <v>0</v>
      </c>
      <c r="AC13177">
        <v>0</v>
      </c>
      <c r="AD13177">
        <v>1</v>
      </c>
      <c r="AE13177">
        <v>1</v>
      </c>
      <c r="AF13177">
        <v>1</v>
      </c>
      <c r="AG13177">
        <v>1</v>
      </c>
      <c r="AH13177">
        <v>1</v>
      </c>
      <c r="AI13177">
        <v>1</v>
      </c>
      <c r="AJ13177">
        <v>1</v>
      </c>
      <c r="AK13177">
        <v>1</v>
      </c>
      <c r="AL13177">
        <v>1</v>
      </c>
      <c r="AM13177">
        <v>1</v>
      </c>
    </row>
    <row r="13178" spans="1:39" x14ac:dyDescent="0.2">
      <c r="A13178" t="str">
        <f>"13174"</f>
        <v>13174</v>
      </c>
      <c r="B13178" t="str">
        <f t="shared" si="733"/>
        <v>1</v>
      </c>
      <c r="C13178" t="str">
        <f t="shared" si="732"/>
        <v>264</v>
      </c>
      <c r="D13178" t="str">
        <f>"38"</f>
        <v>38</v>
      </c>
      <c r="E13178" t="str">
        <f>"1-264-38"</f>
        <v>1-264-38</v>
      </c>
      <c r="F13178" t="s">
        <v>65</v>
      </c>
      <c r="G13178" t="s">
        <v>66</v>
      </c>
      <c r="H13178" t="s">
        <v>67</v>
      </c>
      <c r="S13178">
        <v>1</v>
      </c>
      <c r="T13178">
        <v>0</v>
      </c>
      <c r="U13178">
        <v>0</v>
      </c>
      <c r="V13178">
        <v>0</v>
      </c>
      <c r="W13178">
        <v>1</v>
      </c>
      <c r="X13178">
        <v>0</v>
      </c>
      <c r="Y13178">
        <v>1</v>
      </c>
      <c r="Z13178">
        <v>0</v>
      </c>
      <c r="AA13178">
        <v>1</v>
      </c>
      <c r="AB13178">
        <v>0</v>
      </c>
      <c r="AC13178">
        <v>0</v>
      </c>
      <c r="AD13178">
        <v>1</v>
      </c>
      <c r="AE13178">
        <v>1</v>
      </c>
      <c r="AF13178">
        <v>1</v>
      </c>
      <c r="AG13178">
        <v>1</v>
      </c>
      <c r="AH13178">
        <v>1</v>
      </c>
      <c r="AI13178">
        <v>1</v>
      </c>
      <c r="AJ13178">
        <v>1</v>
      </c>
      <c r="AK13178">
        <v>1</v>
      </c>
      <c r="AL13178">
        <v>1</v>
      </c>
      <c r="AM13178">
        <v>1</v>
      </c>
    </row>
    <row r="13179" spans="1:39" x14ac:dyDescent="0.2">
      <c r="A13179" t="str">
        <f>"13175"</f>
        <v>13175</v>
      </c>
      <c r="B13179" t="str">
        <f t="shared" si="733"/>
        <v>1</v>
      </c>
      <c r="C13179" t="str">
        <f t="shared" si="732"/>
        <v>264</v>
      </c>
      <c r="D13179" t="str">
        <f>"20"</f>
        <v>20</v>
      </c>
      <c r="E13179" t="str">
        <f>"1-264-20"</f>
        <v>1-264-20</v>
      </c>
      <c r="F13179" t="s">
        <v>65</v>
      </c>
      <c r="G13179" t="s">
        <v>66</v>
      </c>
      <c r="H13179" t="s">
        <v>67</v>
      </c>
      <c r="S13179">
        <v>0</v>
      </c>
      <c r="T13179">
        <v>1</v>
      </c>
      <c r="U13179">
        <v>0</v>
      </c>
      <c r="V13179">
        <v>0</v>
      </c>
      <c r="W13179">
        <v>1</v>
      </c>
      <c r="X13179">
        <v>0</v>
      </c>
      <c r="Y13179">
        <v>0</v>
      </c>
      <c r="Z13179">
        <v>1</v>
      </c>
      <c r="AA13179">
        <v>1</v>
      </c>
      <c r="AB13179">
        <v>0</v>
      </c>
      <c r="AC13179">
        <v>0</v>
      </c>
      <c r="AD13179">
        <v>1</v>
      </c>
      <c r="AE13179">
        <v>1</v>
      </c>
      <c r="AF13179">
        <v>1</v>
      </c>
      <c r="AG13179">
        <v>1</v>
      </c>
      <c r="AH13179">
        <v>1</v>
      </c>
      <c r="AI13179">
        <v>1</v>
      </c>
      <c r="AJ13179">
        <v>1</v>
      </c>
      <c r="AK13179">
        <v>1</v>
      </c>
      <c r="AL13179">
        <v>1</v>
      </c>
      <c r="AM13179">
        <v>1</v>
      </c>
    </row>
    <row r="13180" spans="1:39" x14ac:dyDescent="0.2">
      <c r="A13180" t="str">
        <f>"13176"</f>
        <v>13176</v>
      </c>
      <c r="B13180" t="str">
        <f t="shared" si="733"/>
        <v>1</v>
      </c>
      <c r="C13180" t="str">
        <f t="shared" si="732"/>
        <v>264</v>
      </c>
      <c r="D13180" t="str">
        <f>"8"</f>
        <v>8</v>
      </c>
      <c r="E13180" t="str">
        <f>"1-264-8"</f>
        <v>1-264-8</v>
      </c>
      <c r="F13180" t="s">
        <v>65</v>
      </c>
      <c r="G13180" t="s">
        <v>66</v>
      </c>
      <c r="H13180" t="s">
        <v>67</v>
      </c>
      <c r="S13180">
        <v>0</v>
      </c>
      <c r="T13180">
        <v>1</v>
      </c>
      <c r="U13180">
        <v>0</v>
      </c>
      <c r="V13180">
        <v>0</v>
      </c>
      <c r="W13180">
        <v>1</v>
      </c>
      <c r="X13180">
        <v>0</v>
      </c>
      <c r="Y13180">
        <v>0</v>
      </c>
      <c r="Z13180">
        <v>1</v>
      </c>
      <c r="AA13180">
        <v>0</v>
      </c>
      <c r="AB13180">
        <v>0</v>
      </c>
      <c r="AC13180">
        <v>1</v>
      </c>
      <c r="AD13180">
        <v>1</v>
      </c>
      <c r="AE13180">
        <v>1</v>
      </c>
      <c r="AF13180">
        <v>1</v>
      </c>
      <c r="AG13180">
        <v>1</v>
      </c>
      <c r="AH13180">
        <v>1</v>
      </c>
      <c r="AI13180">
        <v>1</v>
      </c>
      <c r="AJ13180">
        <v>1</v>
      </c>
      <c r="AK13180">
        <v>1</v>
      </c>
      <c r="AL13180">
        <v>1</v>
      </c>
      <c r="AM13180">
        <v>0</v>
      </c>
    </row>
    <row r="13181" spans="1:39" x14ac:dyDescent="0.2">
      <c r="A13181" t="str">
        <f>"13177"</f>
        <v>13177</v>
      </c>
      <c r="B13181" t="str">
        <f t="shared" si="733"/>
        <v>1</v>
      </c>
      <c r="C13181" t="str">
        <f t="shared" si="732"/>
        <v>264</v>
      </c>
      <c r="D13181" t="str">
        <f>"39"</f>
        <v>39</v>
      </c>
      <c r="E13181" t="str">
        <f>"1-264-39"</f>
        <v>1-264-39</v>
      </c>
      <c r="F13181" t="s">
        <v>65</v>
      </c>
      <c r="G13181" t="s">
        <v>66</v>
      </c>
      <c r="H13181" t="s">
        <v>67</v>
      </c>
      <c r="S13181">
        <v>0</v>
      </c>
      <c r="T13181">
        <v>1</v>
      </c>
      <c r="U13181">
        <v>0</v>
      </c>
      <c r="V13181">
        <v>0</v>
      </c>
      <c r="W13181">
        <v>1</v>
      </c>
      <c r="X13181">
        <v>0</v>
      </c>
      <c r="Y13181">
        <v>0</v>
      </c>
      <c r="Z13181">
        <v>1</v>
      </c>
      <c r="AA13181">
        <v>1</v>
      </c>
      <c r="AB13181">
        <v>0</v>
      </c>
      <c r="AC13181">
        <v>0</v>
      </c>
      <c r="AD13181">
        <v>0</v>
      </c>
      <c r="AE13181">
        <v>0</v>
      </c>
      <c r="AF13181">
        <v>0</v>
      </c>
      <c r="AG13181">
        <v>0</v>
      </c>
      <c r="AH13181">
        <v>0</v>
      </c>
      <c r="AI13181">
        <v>0</v>
      </c>
      <c r="AJ13181">
        <v>0</v>
      </c>
      <c r="AK13181">
        <v>0</v>
      </c>
      <c r="AL13181">
        <v>0</v>
      </c>
      <c r="AM13181">
        <v>0</v>
      </c>
    </row>
    <row r="13182" spans="1:39" x14ac:dyDescent="0.2">
      <c r="A13182" t="str">
        <f>"13178"</f>
        <v>13178</v>
      </c>
      <c r="B13182" t="str">
        <f t="shared" si="733"/>
        <v>1</v>
      </c>
      <c r="C13182" t="str">
        <f t="shared" si="732"/>
        <v>264</v>
      </c>
      <c r="D13182" t="str">
        <f>"21"</f>
        <v>21</v>
      </c>
      <c r="E13182" t="str">
        <f>"1-264-21"</f>
        <v>1-264-21</v>
      </c>
      <c r="F13182" t="s">
        <v>65</v>
      </c>
      <c r="G13182" t="s">
        <v>66</v>
      </c>
      <c r="H13182" t="s">
        <v>67</v>
      </c>
      <c r="S13182">
        <v>1</v>
      </c>
      <c r="T13182">
        <v>0</v>
      </c>
      <c r="U13182">
        <v>0</v>
      </c>
      <c r="V13182">
        <v>0</v>
      </c>
      <c r="W13182">
        <v>1</v>
      </c>
      <c r="X13182">
        <v>0</v>
      </c>
      <c r="Y13182">
        <v>1</v>
      </c>
      <c r="Z13182">
        <v>0</v>
      </c>
      <c r="AA13182">
        <v>0</v>
      </c>
      <c r="AB13182">
        <v>0</v>
      </c>
      <c r="AC13182">
        <v>1</v>
      </c>
      <c r="AD13182">
        <v>1</v>
      </c>
      <c r="AE13182">
        <v>1</v>
      </c>
      <c r="AF13182">
        <v>1</v>
      </c>
      <c r="AG13182">
        <v>1</v>
      </c>
      <c r="AH13182">
        <v>1</v>
      </c>
      <c r="AI13182">
        <v>1</v>
      </c>
      <c r="AJ13182">
        <v>1</v>
      </c>
      <c r="AK13182">
        <v>1</v>
      </c>
      <c r="AL13182">
        <v>1</v>
      </c>
      <c r="AM13182">
        <v>1</v>
      </c>
    </row>
    <row r="13183" spans="1:39" x14ac:dyDescent="0.2">
      <c r="A13183" t="str">
        <f>"13179"</f>
        <v>13179</v>
      </c>
      <c r="B13183" t="str">
        <f t="shared" si="733"/>
        <v>1</v>
      </c>
      <c r="C13183" t="str">
        <f t="shared" si="732"/>
        <v>264</v>
      </c>
      <c r="D13183" t="str">
        <f>"10"</f>
        <v>10</v>
      </c>
      <c r="E13183" t="str">
        <f>"1-264-10"</f>
        <v>1-264-10</v>
      </c>
      <c r="F13183" t="s">
        <v>65</v>
      </c>
      <c r="G13183" t="s">
        <v>66</v>
      </c>
      <c r="H13183" t="s">
        <v>67</v>
      </c>
      <c r="S13183">
        <v>1</v>
      </c>
      <c r="T13183">
        <v>0</v>
      </c>
      <c r="U13183">
        <v>0</v>
      </c>
      <c r="V13183">
        <v>0</v>
      </c>
      <c r="W13183">
        <v>1</v>
      </c>
      <c r="X13183">
        <v>0</v>
      </c>
      <c r="Y13183">
        <v>1</v>
      </c>
      <c r="Z13183">
        <v>0</v>
      </c>
      <c r="AA13183">
        <v>1</v>
      </c>
      <c r="AB13183">
        <v>0</v>
      </c>
      <c r="AC13183">
        <v>0</v>
      </c>
      <c r="AD13183">
        <v>1</v>
      </c>
      <c r="AE13183">
        <v>1</v>
      </c>
      <c r="AF13183">
        <v>1</v>
      </c>
      <c r="AG13183">
        <v>1</v>
      </c>
      <c r="AH13183">
        <v>1</v>
      </c>
      <c r="AI13183">
        <v>1</v>
      </c>
      <c r="AJ13183">
        <v>1</v>
      </c>
      <c r="AK13183">
        <v>1</v>
      </c>
      <c r="AL13183">
        <v>1</v>
      </c>
      <c r="AM13183">
        <v>1</v>
      </c>
    </row>
    <row r="13184" spans="1:39" x14ac:dyDescent="0.2">
      <c r="A13184" t="str">
        <f>"13180"</f>
        <v>13180</v>
      </c>
      <c r="B13184" t="str">
        <f t="shared" si="733"/>
        <v>1</v>
      </c>
      <c r="C13184" t="str">
        <f t="shared" si="732"/>
        <v>264</v>
      </c>
      <c r="D13184" t="str">
        <f>"40"</f>
        <v>40</v>
      </c>
      <c r="E13184" t="str">
        <f>"1-264-40"</f>
        <v>1-264-40</v>
      </c>
      <c r="F13184" t="s">
        <v>65</v>
      </c>
      <c r="G13184" t="s">
        <v>66</v>
      </c>
      <c r="H13184" t="s">
        <v>67</v>
      </c>
      <c r="S13184">
        <v>1</v>
      </c>
      <c r="T13184">
        <v>0</v>
      </c>
      <c r="U13184">
        <v>0</v>
      </c>
      <c r="V13184">
        <v>0</v>
      </c>
      <c r="W13184">
        <v>1</v>
      </c>
      <c r="X13184">
        <v>0</v>
      </c>
      <c r="Y13184">
        <v>0</v>
      </c>
      <c r="Z13184">
        <v>1</v>
      </c>
      <c r="AA13184">
        <v>1</v>
      </c>
      <c r="AB13184">
        <v>0</v>
      </c>
      <c r="AC13184">
        <v>0</v>
      </c>
      <c r="AD13184">
        <v>1</v>
      </c>
      <c r="AE13184">
        <v>1</v>
      </c>
      <c r="AF13184">
        <v>1</v>
      </c>
      <c r="AG13184">
        <v>1</v>
      </c>
      <c r="AH13184">
        <v>1</v>
      </c>
      <c r="AI13184">
        <v>1</v>
      </c>
      <c r="AJ13184">
        <v>1</v>
      </c>
      <c r="AK13184">
        <v>1</v>
      </c>
      <c r="AL13184">
        <v>1</v>
      </c>
      <c r="AM13184">
        <v>1</v>
      </c>
    </row>
    <row r="13185" spans="1:39" x14ac:dyDescent="0.2">
      <c r="A13185" t="str">
        <f>"13181"</f>
        <v>13181</v>
      </c>
      <c r="B13185" t="str">
        <f t="shared" si="733"/>
        <v>1</v>
      </c>
      <c r="C13185" t="str">
        <f t="shared" si="732"/>
        <v>264</v>
      </c>
      <c r="D13185" t="str">
        <f>"22"</f>
        <v>22</v>
      </c>
      <c r="E13185" t="str">
        <f>"1-264-22"</f>
        <v>1-264-22</v>
      </c>
      <c r="F13185" t="s">
        <v>65</v>
      </c>
      <c r="G13185" t="s">
        <v>66</v>
      </c>
      <c r="H13185" t="s">
        <v>67</v>
      </c>
      <c r="S13185">
        <v>1</v>
      </c>
      <c r="T13185">
        <v>0</v>
      </c>
      <c r="U13185">
        <v>0</v>
      </c>
      <c r="V13185">
        <v>0</v>
      </c>
      <c r="W13185">
        <v>1</v>
      </c>
      <c r="X13185">
        <v>0</v>
      </c>
      <c r="Y13185">
        <v>1</v>
      </c>
      <c r="Z13185">
        <v>0</v>
      </c>
      <c r="AA13185">
        <v>1</v>
      </c>
      <c r="AB13185">
        <v>0</v>
      </c>
      <c r="AC13185">
        <v>0</v>
      </c>
      <c r="AD13185">
        <v>1</v>
      </c>
      <c r="AE13185">
        <v>1</v>
      </c>
      <c r="AF13185">
        <v>1</v>
      </c>
      <c r="AG13185">
        <v>1</v>
      </c>
      <c r="AH13185">
        <v>1</v>
      </c>
      <c r="AI13185">
        <v>1</v>
      </c>
      <c r="AJ13185">
        <v>1</v>
      </c>
      <c r="AK13185">
        <v>1</v>
      </c>
      <c r="AL13185">
        <v>1</v>
      </c>
      <c r="AM13185">
        <v>1</v>
      </c>
    </row>
    <row r="13186" spans="1:39" x14ac:dyDescent="0.2">
      <c r="A13186" t="str">
        <f>"13182"</f>
        <v>13182</v>
      </c>
      <c r="B13186" t="str">
        <f t="shared" si="733"/>
        <v>1</v>
      </c>
      <c r="C13186" t="str">
        <f t="shared" si="732"/>
        <v>264</v>
      </c>
      <c r="D13186" t="str">
        <f>"5"</f>
        <v>5</v>
      </c>
      <c r="E13186" t="str">
        <f>"1-264-5"</f>
        <v>1-264-5</v>
      </c>
      <c r="F13186" t="s">
        <v>65</v>
      </c>
      <c r="G13186" t="s">
        <v>66</v>
      </c>
      <c r="H13186" t="s">
        <v>67</v>
      </c>
      <c r="S13186">
        <v>1</v>
      </c>
      <c r="T13186">
        <v>0</v>
      </c>
      <c r="U13186">
        <v>0</v>
      </c>
      <c r="V13186">
        <v>0</v>
      </c>
      <c r="W13186">
        <v>1</v>
      </c>
      <c r="X13186">
        <v>0</v>
      </c>
      <c r="Y13186">
        <v>1</v>
      </c>
      <c r="Z13186">
        <v>0</v>
      </c>
      <c r="AA13186">
        <v>1</v>
      </c>
      <c r="AB13186">
        <v>0</v>
      </c>
      <c r="AC13186">
        <v>0</v>
      </c>
      <c r="AD13186">
        <v>1</v>
      </c>
      <c r="AE13186">
        <v>1</v>
      </c>
      <c r="AF13186">
        <v>1</v>
      </c>
      <c r="AG13186">
        <v>1</v>
      </c>
      <c r="AH13186">
        <v>1</v>
      </c>
      <c r="AI13186">
        <v>1</v>
      </c>
      <c r="AJ13186">
        <v>1</v>
      </c>
      <c r="AK13186">
        <v>1</v>
      </c>
      <c r="AL13186">
        <v>1</v>
      </c>
      <c r="AM13186">
        <v>1</v>
      </c>
    </row>
    <row r="13187" spans="1:39" x14ac:dyDescent="0.2">
      <c r="A13187" t="str">
        <f>"13183"</f>
        <v>13183</v>
      </c>
      <c r="B13187" t="str">
        <f t="shared" si="733"/>
        <v>1</v>
      </c>
      <c r="C13187" t="str">
        <f t="shared" ref="C13187:C13204" si="734">"264"</f>
        <v>264</v>
      </c>
      <c r="D13187" t="str">
        <f>"41"</f>
        <v>41</v>
      </c>
      <c r="E13187" t="str">
        <f>"1-264-41"</f>
        <v>1-264-41</v>
      </c>
      <c r="F13187" t="s">
        <v>65</v>
      </c>
      <c r="G13187" t="s">
        <v>66</v>
      </c>
      <c r="H13187" t="s">
        <v>67</v>
      </c>
      <c r="S13187">
        <v>0</v>
      </c>
      <c r="T13187">
        <v>1</v>
      </c>
      <c r="U13187">
        <v>0</v>
      </c>
      <c r="V13187">
        <v>0</v>
      </c>
      <c r="W13187">
        <v>1</v>
      </c>
      <c r="X13187">
        <v>0</v>
      </c>
      <c r="Y13187">
        <v>0</v>
      </c>
      <c r="Z13187">
        <v>1</v>
      </c>
      <c r="AA13187">
        <v>0</v>
      </c>
      <c r="AB13187">
        <v>0</v>
      </c>
      <c r="AC13187">
        <v>1</v>
      </c>
      <c r="AD13187">
        <v>1</v>
      </c>
      <c r="AE13187">
        <v>1</v>
      </c>
      <c r="AF13187">
        <v>1</v>
      </c>
      <c r="AG13187">
        <v>1</v>
      </c>
      <c r="AH13187">
        <v>1</v>
      </c>
      <c r="AI13187">
        <v>1</v>
      </c>
      <c r="AJ13187">
        <v>1</v>
      </c>
      <c r="AK13187">
        <v>1</v>
      </c>
      <c r="AL13187">
        <v>1</v>
      </c>
      <c r="AM13187">
        <v>1</v>
      </c>
    </row>
    <row r="13188" spans="1:39" x14ac:dyDescent="0.2">
      <c r="A13188" t="str">
        <f>"13184"</f>
        <v>13184</v>
      </c>
      <c r="B13188" t="str">
        <f t="shared" si="733"/>
        <v>1</v>
      </c>
      <c r="C13188" t="str">
        <f t="shared" si="734"/>
        <v>264</v>
      </c>
      <c r="D13188" t="str">
        <f>"23"</f>
        <v>23</v>
      </c>
      <c r="E13188" t="str">
        <f>"1-264-23"</f>
        <v>1-264-23</v>
      </c>
      <c r="F13188" t="s">
        <v>65</v>
      </c>
      <c r="G13188" t="s">
        <v>66</v>
      </c>
      <c r="H13188" t="s">
        <v>67</v>
      </c>
      <c r="S13188">
        <v>1</v>
      </c>
      <c r="T13188">
        <v>0</v>
      </c>
      <c r="U13188">
        <v>0</v>
      </c>
      <c r="V13188">
        <v>0</v>
      </c>
      <c r="W13188">
        <v>1</v>
      </c>
      <c r="X13188">
        <v>0</v>
      </c>
      <c r="Y13188">
        <v>1</v>
      </c>
      <c r="Z13188">
        <v>0</v>
      </c>
      <c r="AA13188">
        <v>1</v>
      </c>
      <c r="AB13188">
        <v>0</v>
      </c>
      <c r="AC13188">
        <v>0</v>
      </c>
      <c r="AD13188">
        <v>1</v>
      </c>
      <c r="AE13188">
        <v>1</v>
      </c>
      <c r="AF13188">
        <v>1</v>
      </c>
      <c r="AG13188">
        <v>1</v>
      </c>
      <c r="AH13188">
        <v>1</v>
      </c>
      <c r="AI13188">
        <v>1</v>
      </c>
      <c r="AJ13188">
        <v>1</v>
      </c>
      <c r="AK13188">
        <v>1</v>
      </c>
      <c r="AL13188">
        <v>1</v>
      </c>
      <c r="AM13188">
        <v>1</v>
      </c>
    </row>
    <row r="13189" spans="1:39" x14ac:dyDescent="0.2">
      <c r="A13189" t="str">
        <f>"13185"</f>
        <v>13185</v>
      </c>
      <c r="B13189" t="str">
        <f t="shared" si="733"/>
        <v>1</v>
      </c>
      <c r="C13189" t="str">
        <f t="shared" si="734"/>
        <v>264</v>
      </c>
      <c r="D13189" t="str">
        <f>"13"</f>
        <v>13</v>
      </c>
      <c r="E13189" t="str">
        <f>"1-264-13"</f>
        <v>1-264-13</v>
      </c>
      <c r="F13189" t="s">
        <v>65</v>
      </c>
      <c r="G13189" t="s">
        <v>66</v>
      </c>
      <c r="H13189" t="s">
        <v>67</v>
      </c>
      <c r="S13189">
        <v>1</v>
      </c>
      <c r="T13189">
        <v>0</v>
      </c>
      <c r="U13189">
        <v>0</v>
      </c>
      <c r="V13189">
        <v>0</v>
      </c>
      <c r="W13189">
        <v>1</v>
      </c>
      <c r="X13189">
        <v>0</v>
      </c>
      <c r="Y13189">
        <v>1</v>
      </c>
      <c r="Z13189">
        <v>0</v>
      </c>
      <c r="AA13189">
        <v>0</v>
      </c>
      <c r="AB13189">
        <v>1</v>
      </c>
      <c r="AC13189">
        <v>0</v>
      </c>
      <c r="AD13189">
        <v>1</v>
      </c>
      <c r="AE13189">
        <v>1</v>
      </c>
      <c r="AF13189">
        <v>1</v>
      </c>
      <c r="AG13189">
        <v>1</v>
      </c>
      <c r="AH13189">
        <v>1</v>
      </c>
      <c r="AI13189">
        <v>1</v>
      </c>
      <c r="AJ13189">
        <v>1</v>
      </c>
      <c r="AK13189">
        <v>1</v>
      </c>
      <c r="AL13189">
        <v>1</v>
      </c>
      <c r="AM13189">
        <v>1</v>
      </c>
    </row>
    <row r="13190" spans="1:39" x14ac:dyDescent="0.2">
      <c r="A13190" t="str">
        <f>"13186"</f>
        <v>13186</v>
      </c>
      <c r="B13190" t="str">
        <f t="shared" si="733"/>
        <v>1</v>
      </c>
      <c r="C13190" t="str">
        <f t="shared" si="734"/>
        <v>264</v>
      </c>
      <c r="D13190" t="str">
        <f>"42"</f>
        <v>42</v>
      </c>
      <c r="E13190" t="str">
        <f>"1-264-42"</f>
        <v>1-264-42</v>
      </c>
      <c r="F13190" t="s">
        <v>65</v>
      </c>
      <c r="G13190" t="s">
        <v>66</v>
      </c>
      <c r="H13190" t="s">
        <v>67</v>
      </c>
      <c r="S13190">
        <v>1</v>
      </c>
      <c r="T13190">
        <v>0</v>
      </c>
      <c r="U13190">
        <v>0</v>
      </c>
      <c r="V13190">
        <v>0</v>
      </c>
      <c r="W13190">
        <v>1</v>
      </c>
      <c r="X13190">
        <v>0</v>
      </c>
      <c r="Y13190">
        <v>1</v>
      </c>
      <c r="Z13190">
        <v>0</v>
      </c>
      <c r="AA13190">
        <v>1</v>
      </c>
      <c r="AB13190">
        <v>0</v>
      </c>
      <c r="AC13190">
        <v>0</v>
      </c>
      <c r="AD13190">
        <v>1</v>
      </c>
      <c r="AE13190">
        <v>1</v>
      </c>
      <c r="AF13190">
        <v>1</v>
      </c>
      <c r="AG13190">
        <v>1</v>
      </c>
      <c r="AH13190">
        <v>1</v>
      </c>
      <c r="AI13190">
        <v>1</v>
      </c>
      <c r="AJ13190">
        <v>1</v>
      </c>
      <c r="AK13190">
        <v>1</v>
      </c>
      <c r="AL13190">
        <v>1</v>
      </c>
      <c r="AM13190">
        <v>1</v>
      </c>
    </row>
    <row r="13191" spans="1:39" x14ac:dyDescent="0.2">
      <c r="A13191" t="str">
        <f>"13187"</f>
        <v>13187</v>
      </c>
      <c r="B13191" t="str">
        <f t="shared" si="733"/>
        <v>1</v>
      </c>
      <c r="C13191" t="str">
        <f t="shared" si="734"/>
        <v>264</v>
      </c>
      <c r="D13191" t="str">
        <f>"24"</f>
        <v>24</v>
      </c>
      <c r="E13191" t="str">
        <f>"1-264-24"</f>
        <v>1-264-24</v>
      </c>
      <c r="F13191" t="s">
        <v>65</v>
      </c>
      <c r="G13191" t="s">
        <v>66</v>
      </c>
      <c r="H13191" t="s">
        <v>67</v>
      </c>
      <c r="S13191">
        <v>1</v>
      </c>
      <c r="T13191">
        <v>0</v>
      </c>
      <c r="U13191">
        <v>0</v>
      </c>
      <c r="V13191">
        <v>0</v>
      </c>
      <c r="W13191">
        <v>1</v>
      </c>
      <c r="X13191">
        <v>0</v>
      </c>
      <c r="Y13191">
        <v>1</v>
      </c>
      <c r="Z13191">
        <v>0</v>
      </c>
      <c r="AA13191">
        <v>1</v>
      </c>
      <c r="AB13191">
        <v>0</v>
      </c>
      <c r="AC13191">
        <v>0</v>
      </c>
      <c r="AD13191">
        <v>0</v>
      </c>
      <c r="AE13191">
        <v>0</v>
      </c>
      <c r="AF13191">
        <v>0</v>
      </c>
      <c r="AG13191">
        <v>0</v>
      </c>
      <c r="AH13191">
        <v>0</v>
      </c>
      <c r="AI13191">
        <v>0</v>
      </c>
      <c r="AJ13191">
        <v>0</v>
      </c>
      <c r="AK13191">
        <v>0</v>
      </c>
      <c r="AL13191">
        <v>0</v>
      </c>
      <c r="AM13191">
        <v>0</v>
      </c>
    </row>
    <row r="13192" spans="1:39" x14ac:dyDescent="0.2">
      <c r="A13192" t="str">
        <f>"13188"</f>
        <v>13188</v>
      </c>
      <c r="B13192" t="str">
        <f t="shared" si="733"/>
        <v>1</v>
      </c>
      <c r="C13192" t="str">
        <f t="shared" si="734"/>
        <v>264</v>
      </c>
      <c r="D13192" t="str">
        <f>"3"</f>
        <v>3</v>
      </c>
      <c r="E13192" t="str">
        <f>"1-264-3"</f>
        <v>1-264-3</v>
      </c>
      <c r="F13192" t="s">
        <v>65</v>
      </c>
      <c r="G13192" t="s">
        <v>66</v>
      </c>
      <c r="H13192" t="s">
        <v>67</v>
      </c>
      <c r="S13192">
        <v>1</v>
      </c>
      <c r="T13192">
        <v>0</v>
      </c>
      <c r="U13192">
        <v>0</v>
      </c>
      <c r="V13192">
        <v>0</v>
      </c>
      <c r="W13192">
        <v>1</v>
      </c>
      <c r="X13192">
        <v>0</v>
      </c>
      <c r="Y13192">
        <v>1</v>
      </c>
      <c r="Z13192">
        <v>0</v>
      </c>
      <c r="AA13192">
        <v>0</v>
      </c>
      <c r="AB13192">
        <v>1</v>
      </c>
      <c r="AC13192">
        <v>0</v>
      </c>
      <c r="AD13192">
        <v>0</v>
      </c>
      <c r="AE13192">
        <v>0</v>
      </c>
      <c r="AF13192">
        <v>0</v>
      </c>
      <c r="AG13192">
        <v>0</v>
      </c>
      <c r="AH13192">
        <v>0</v>
      </c>
      <c r="AI13192">
        <v>0</v>
      </c>
      <c r="AJ13192">
        <v>0</v>
      </c>
      <c r="AK13192">
        <v>0</v>
      </c>
      <c r="AL13192">
        <v>1</v>
      </c>
      <c r="AM13192">
        <v>0</v>
      </c>
    </row>
    <row r="13193" spans="1:39" x14ac:dyDescent="0.2">
      <c r="A13193" t="str">
        <f>"13189"</f>
        <v>13189</v>
      </c>
      <c r="B13193" t="str">
        <f t="shared" si="733"/>
        <v>1</v>
      </c>
      <c r="C13193" t="str">
        <f t="shared" si="734"/>
        <v>264</v>
      </c>
      <c r="D13193" t="str">
        <f>"43"</f>
        <v>43</v>
      </c>
      <c r="E13193" t="str">
        <f>"1-264-43"</f>
        <v>1-264-43</v>
      </c>
      <c r="F13193" t="s">
        <v>65</v>
      </c>
      <c r="G13193" t="s">
        <v>66</v>
      </c>
      <c r="H13193" t="s">
        <v>67</v>
      </c>
      <c r="S13193">
        <v>1</v>
      </c>
      <c r="T13193">
        <v>0</v>
      </c>
      <c r="U13193">
        <v>0</v>
      </c>
      <c r="V13193">
        <v>0</v>
      </c>
      <c r="W13193">
        <v>1</v>
      </c>
      <c r="X13193">
        <v>0</v>
      </c>
      <c r="Y13193">
        <v>1</v>
      </c>
      <c r="Z13193">
        <v>0</v>
      </c>
      <c r="AA13193">
        <v>0</v>
      </c>
      <c r="AB13193">
        <v>0</v>
      </c>
      <c r="AC13193">
        <v>1</v>
      </c>
      <c r="AD13193">
        <v>0</v>
      </c>
      <c r="AE13193">
        <v>0</v>
      </c>
      <c r="AF13193">
        <v>0</v>
      </c>
      <c r="AG13193">
        <v>0</v>
      </c>
      <c r="AH13193">
        <v>0</v>
      </c>
      <c r="AI13193">
        <v>0</v>
      </c>
      <c r="AJ13193">
        <v>0</v>
      </c>
      <c r="AK13193">
        <v>0</v>
      </c>
      <c r="AL13193">
        <v>0</v>
      </c>
      <c r="AM13193">
        <v>0</v>
      </c>
    </row>
    <row r="13194" spans="1:39" x14ac:dyDescent="0.2">
      <c r="A13194" t="str">
        <f>"13190"</f>
        <v>13190</v>
      </c>
      <c r="B13194" t="str">
        <f t="shared" si="733"/>
        <v>1</v>
      </c>
      <c r="C13194" t="str">
        <f t="shared" si="734"/>
        <v>264</v>
      </c>
      <c r="D13194" t="str">
        <f>"25"</f>
        <v>25</v>
      </c>
      <c r="E13194" t="str">
        <f>"1-264-25"</f>
        <v>1-264-25</v>
      </c>
      <c r="F13194" t="s">
        <v>65</v>
      </c>
      <c r="G13194" t="s">
        <v>66</v>
      </c>
      <c r="H13194" t="s">
        <v>67</v>
      </c>
      <c r="S13194">
        <v>0</v>
      </c>
      <c r="T13194">
        <v>1</v>
      </c>
      <c r="U13194">
        <v>0</v>
      </c>
      <c r="V13194">
        <v>0</v>
      </c>
      <c r="W13194">
        <v>0</v>
      </c>
      <c r="X13194">
        <v>1</v>
      </c>
      <c r="Y13194">
        <v>0</v>
      </c>
      <c r="Z13194">
        <v>1</v>
      </c>
      <c r="AA13194">
        <v>0</v>
      </c>
      <c r="AB13194">
        <v>1</v>
      </c>
      <c r="AC13194">
        <v>0</v>
      </c>
      <c r="AD13194">
        <v>1</v>
      </c>
      <c r="AE13194">
        <v>1</v>
      </c>
      <c r="AF13194">
        <v>1</v>
      </c>
      <c r="AG13194">
        <v>1</v>
      </c>
      <c r="AH13194">
        <v>1</v>
      </c>
      <c r="AI13194">
        <v>1</v>
      </c>
      <c r="AJ13194">
        <v>1</v>
      </c>
      <c r="AK13194">
        <v>1</v>
      </c>
      <c r="AL13194">
        <v>1</v>
      </c>
      <c r="AM13194">
        <v>1</v>
      </c>
    </row>
    <row r="13195" spans="1:39" x14ac:dyDescent="0.2">
      <c r="A13195" t="str">
        <f>"13191"</f>
        <v>13191</v>
      </c>
      <c r="B13195" t="str">
        <f t="shared" si="733"/>
        <v>1</v>
      </c>
      <c r="C13195" t="str">
        <f t="shared" si="734"/>
        <v>264</v>
      </c>
      <c r="D13195" t="str">
        <f>"7"</f>
        <v>7</v>
      </c>
      <c r="E13195" t="str">
        <f>"1-264-7"</f>
        <v>1-264-7</v>
      </c>
      <c r="F13195" t="s">
        <v>65</v>
      </c>
      <c r="G13195" t="s">
        <v>66</v>
      </c>
      <c r="H13195" t="s">
        <v>67</v>
      </c>
      <c r="S13195">
        <v>1</v>
      </c>
      <c r="T13195">
        <v>0</v>
      </c>
      <c r="U13195">
        <v>0</v>
      </c>
      <c r="V13195">
        <v>0</v>
      </c>
      <c r="W13195">
        <v>1</v>
      </c>
      <c r="X13195">
        <v>0</v>
      </c>
      <c r="Y13195">
        <v>1</v>
      </c>
      <c r="Z13195">
        <v>0</v>
      </c>
      <c r="AA13195">
        <v>1</v>
      </c>
      <c r="AB13195">
        <v>0</v>
      </c>
      <c r="AC13195">
        <v>0</v>
      </c>
      <c r="AD13195">
        <v>1</v>
      </c>
      <c r="AE13195">
        <v>1</v>
      </c>
      <c r="AF13195">
        <v>1</v>
      </c>
      <c r="AG13195">
        <v>1</v>
      </c>
      <c r="AH13195">
        <v>1</v>
      </c>
      <c r="AI13195">
        <v>1</v>
      </c>
      <c r="AJ13195">
        <v>1</v>
      </c>
      <c r="AK13195">
        <v>1</v>
      </c>
      <c r="AL13195">
        <v>1</v>
      </c>
      <c r="AM13195">
        <v>1</v>
      </c>
    </row>
    <row r="13196" spans="1:39" x14ac:dyDescent="0.2">
      <c r="A13196" t="str">
        <f>"13192"</f>
        <v>13192</v>
      </c>
      <c r="B13196" t="str">
        <f t="shared" si="733"/>
        <v>1</v>
      </c>
      <c r="C13196" t="str">
        <f t="shared" si="734"/>
        <v>264</v>
      </c>
      <c r="D13196" t="str">
        <f>"44"</f>
        <v>44</v>
      </c>
      <c r="E13196" t="str">
        <f>"1-264-44"</f>
        <v>1-264-44</v>
      </c>
      <c r="F13196" t="s">
        <v>65</v>
      </c>
      <c r="G13196" t="s">
        <v>66</v>
      </c>
      <c r="H13196" t="s">
        <v>67</v>
      </c>
      <c r="S13196">
        <v>0</v>
      </c>
      <c r="T13196">
        <v>1</v>
      </c>
      <c r="U13196">
        <v>0</v>
      </c>
      <c r="V13196">
        <v>0</v>
      </c>
      <c r="W13196">
        <v>1</v>
      </c>
      <c r="X13196">
        <v>0</v>
      </c>
      <c r="Y13196">
        <v>1</v>
      </c>
      <c r="Z13196">
        <v>0</v>
      </c>
      <c r="AA13196">
        <v>0</v>
      </c>
      <c r="AB13196">
        <v>1</v>
      </c>
      <c r="AC13196">
        <v>0</v>
      </c>
      <c r="AD13196">
        <v>0</v>
      </c>
      <c r="AE13196">
        <v>0</v>
      </c>
      <c r="AF13196">
        <v>0</v>
      </c>
      <c r="AG13196">
        <v>0</v>
      </c>
      <c r="AH13196">
        <v>0</v>
      </c>
      <c r="AI13196">
        <v>0</v>
      </c>
      <c r="AJ13196">
        <v>0</v>
      </c>
      <c r="AK13196">
        <v>0</v>
      </c>
      <c r="AL13196">
        <v>1</v>
      </c>
      <c r="AM13196">
        <v>0</v>
      </c>
    </row>
    <row r="13197" spans="1:39" x14ac:dyDescent="0.2">
      <c r="A13197" t="str">
        <f>"13193"</f>
        <v>13193</v>
      </c>
      <c r="B13197" t="str">
        <f t="shared" si="733"/>
        <v>1</v>
      </c>
      <c r="C13197" t="str">
        <f t="shared" si="734"/>
        <v>264</v>
      </c>
      <c r="D13197" t="str">
        <f>"28"</f>
        <v>28</v>
      </c>
      <c r="E13197" t="str">
        <f>"1-264-28"</f>
        <v>1-264-28</v>
      </c>
      <c r="F13197" t="s">
        <v>65</v>
      </c>
      <c r="G13197" t="s">
        <v>66</v>
      </c>
      <c r="H13197" t="s">
        <v>67</v>
      </c>
      <c r="S13197">
        <v>1</v>
      </c>
      <c r="T13197">
        <v>0</v>
      </c>
      <c r="U13197">
        <v>0</v>
      </c>
      <c r="V13197">
        <v>0</v>
      </c>
      <c r="W13197">
        <v>1</v>
      </c>
      <c r="X13197">
        <v>0</v>
      </c>
      <c r="Y13197">
        <v>1</v>
      </c>
      <c r="Z13197">
        <v>0</v>
      </c>
      <c r="AA13197">
        <v>1</v>
      </c>
      <c r="AB13197">
        <v>0</v>
      </c>
      <c r="AC13197">
        <v>0</v>
      </c>
      <c r="AD13197">
        <v>1</v>
      </c>
      <c r="AE13197">
        <v>0</v>
      </c>
      <c r="AF13197">
        <v>1</v>
      </c>
      <c r="AG13197">
        <v>1</v>
      </c>
      <c r="AH13197">
        <v>1</v>
      </c>
      <c r="AI13197">
        <v>1</v>
      </c>
      <c r="AJ13197">
        <v>1</v>
      </c>
      <c r="AK13197">
        <v>1</v>
      </c>
      <c r="AL13197">
        <v>1</v>
      </c>
      <c r="AM13197">
        <v>1</v>
      </c>
    </row>
    <row r="13198" spans="1:39" x14ac:dyDescent="0.2">
      <c r="A13198" t="str">
        <f>"13194"</f>
        <v>13194</v>
      </c>
      <c r="B13198" t="str">
        <f t="shared" si="733"/>
        <v>1</v>
      </c>
      <c r="C13198" t="str">
        <f t="shared" si="734"/>
        <v>264</v>
      </c>
      <c r="D13198" t="str">
        <f>"14"</f>
        <v>14</v>
      </c>
      <c r="E13198" t="str">
        <f>"1-264-14"</f>
        <v>1-264-14</v>
      </c>
      <c r="F13198" t="s">
        <v>65</v>
      </c>
      <c r="G13198" t="s">
        <v>66</v>
      </c>
      <c r="H13198" t="s">
        <v>67</v>
      </c>
      <c r="S13198">
        <v>0</v>
      </c>
      <c r="T13198">
        <v>1</v>
      </c>
      <c r="U13198">
        <v>0</v>
      </c>
      <c r="V13198">
        <v>0</v>
      </c>
      <c r="W13198">
        <v>1</v>
      </c>
      <c r="X13198">
        <v>0</v>
      </c>
      <c r="Y13198">
        <v>1</v>
      </c>
      <c r="Z13198">
        <v>0</v>
      </c>
      <c r="AA13198">
        <v>0</v>
      </c>
      <c r="AB13198">
        <v>1</v>
      </c>
      <c r="AC13198">
        <v>0</v>
      </c>
      <c r="AD13198">
        <v>1</v>
      </c>
      <c r="AE13198">
        <v>1</v>
      </c>
      <c r="AF13198">
        <v>1</v>
      </c>
      <c r="AG13198">
        <v>1</v>
      </c>
      <c r="AH13198">
        <v>1</v>
      </c>
      <c r="AI13198">
        <v>1</v>
      </c>
      <c r="AJ13198">
        <v>1</v>
      </c>
      <c r="AK13198">
        <v>1</v>
      </c>
      <c r="AL13198">
        <v>1</v>
      </c>
      <c r="AM13198">
        <v>1</v>
      </c>
    </row>
    <row r="13199" spans="1:39" x14ac:dyDescent="0.2">
      <c r="A13199" t="str">
        <f>"13195"</f>
        <v>13195</v>
      </c>
      <c r="B13199" t="str">
        <f t="shared" si="733"/>
        <v>1</v>
      </c>
      <c r="C13199" t="str">
        <f t="shared" si="734"/>
        <v>264</v>
      </c>
      <c r="D13199" t="str">
        <f>"48"</f>
        <v>48</v>
      </c>
      <c r="E13199" t="str">
        <f>"1-264-48"</f>
        <v>1-264-48</v>
      </c>
      <c r="F13199" t="s">
        <v>65</v>
      </c>
      <c r="G13199" t="s">
        <v>66</v>
      </c>
      <c r="H13199" t="s">
        <v>67</v>
      </c>
      <c r="S13199">
        <v>1</v>
      </c>
      <c r="T13199">
        <v>0</v>
      </c>
      <c r="U13199">
        <v>0</v>
      </c>
      <c r="V13199">
        <v>0</v>
      </c>
      <c r="W13199">
        <v>0</v>
      </c>
      <c r="X13199">
        <v>1</v>
      </c>
      <c r="Y13199">
        <v>0</v>
      </c>
      <c r="Z13199">
        <v>1</v>
      </c>
      <c r="AA13199">
        <v>1</v>
      </c>
      <c r="AB13199">
        <v>0</v>
      </c>
      <c r="AC13199">
        <v>0</v>
      </c>
      <c r="AD13199">
        <v>1</v>
      </c>
      <c r="AE13199">
        <v>1</v>
      </c>
      <c r="AF13199">
        <v>1</v>
      </c>
      <c r="AG13199">
        <v>1</v>
      </c>
      <c r="AH13199">
        <v>1</v>
      </c>
      <c r="AI13199">
        <v>1</v>
      </c>
      <c r="AJ13199">
        <v>1</v>
      </c>
      <c r="AK13199">
        <v>1</v>
      </c>
      <c r="AL13199">
        <v>1</v>
      </c>
      <c r="AM13199">
        <v>1</v>
      </c>
    </row>
    <row r="13200" spans="1:39" x14ac:dyDescent="0.2">
      <c r="A13200" t="str">
        <f>"13196"</f>
        <v>13196</v>
      </c>
      <c r="B13200" t="str">
        <f t="shared" si="733"/>
        <v>1</v>
      </c>
      <c r="C13200" t="str">
        <f t="shared" si="734"/>
        <v>264</v>
      </c>
      <c r="D13200" t="str">
        <f>"29"</f>
        <v>29</v>
      </c>
      <c r="E13200" t="str">
        <f>"1-264-29"</f>
        <v>1-264-29</v>
      </c>
      <c r="F13200" t="s">
        <v>65</v>
      </c>
      <c r="G13200" t="s">
        <v>66</v>
      </c>
      <c r="H13200" t="s">
        <v>67</v>
      </c>
      <c r="S13200">
        <v>1</v>
      </c>
      <c r="T13200">
        <v>0</v>
      </c>
      <c r="U13200">
        <v>0</v>
      </c>
      <c r="V13200">
        <v>0</v>
      </c>
      <c r="W13200">
        <v>1</v>
      </c>
      <c r="X13200">
        <v>0</v>
      </c>
      <c r="Y13200">
        <v>1</v>
      </c>
      <c r="Z13200">
        <v>0</v>
      </c>
      <c r="AA13200">
        <v>1</v>
      </c>
      <c r="AB13200">
        <v>0</v>
      </c>
      <c r="AC13200">
        <v>0</v>
      </c>
      <c r="AD13200">
        <v>1</v>
      </c>
      <c r="AE13200">
        <v>0</v>
      </c>
      <c r="AF13200">
        <v>1</v>
      </c>
      <c r="AG13200">
        <v>1</v>
      </c>
      <c r="AH13200">
        <v>1</v>
      </c>
      <c r="AI13200">
        <v>1</v>
      </c>
      <c r="AJ13200">
        <v>1</v>
      </c>
      <c r="AK13200">
        <v>1</v>
      </c>
      <c r="AL13200">
        <v>1</v>
      </c>
      <c r="AM13200">
        <v>1</v>
      </c>
    </row>
    <row r="13201" spans="1:39" x14ac:dyDescent="0.2">
      <c r="A13201" t="str">
        <f>"13197"</f>
        <v>13197</v>
      </c>
      <c r="B13201" t="str">
        <f t="shared" si="733"/>
        <v>1</v>
      </c>
      <c r="C13201" t="str">
        <f t="shared" si="734"/>
        <v>264</v>
      </c>
      <c r="D13201" t="str">
        <f>"12"</f>
        <v>12</v>
      </c>
      <c r="E13201" t="str">
        <f>"1-264-12"</f>
        <v>1-264-12</v>
      </c>
      <c r="F13201" t="s">
        <v>65</v>
      </c>
      <c r="G13201" t="s">
        <v>66</v>
      </c>
      <c r="H13201" t="s">
        <v>67</v>
      </c>
      <c r="S13201">
        <v>0</v>
      </c>
      <c r="T13201">
        <v>1</v>
      </c>
      <c r="U13201">
        <v>0</v>
      </c>
      <c r="V13201">
        <v>0</v>
      </c>
      <c r="W13201">
        <v>1</v>
      </c>
      <c r="X13201">
        <v>0</v>
      </c>
      <c r="Y13201">
        <v>0</v>
      </c>
      <c r="Z13201">
        <v>1</v>
      </c>
      <c r="AA13201">
        <v>0</v>
      </c>
      <c r="AB13201">
        <v>0</v>
      </c>
      <c r="AC13201">
        <v>1</v>
      </c>
      <c r="AD13201">
        <v>1</v>
      </c>
      <c r="AE13201">
        <v>1</v>
      </c>
      <c r="AF13201">
        <v>0</v>
      </c>
      <c r="AG13201">
        <v>1</v>
      </c>
      <c r="AH13201">
        <v>1</v>
      </c>
      <c r="AI13201">
        <v>1</v>
      </c>
      <c r="AJ13201">
        <v>1</v>
      </c>
      <c r="AK13201">
        <v>1</v>
      </c>
      <c r="AL13201">
        <v>1</v>
      </c>
      <c r="AM13201">
        <v>0</v>
      </c>
    </row>
    <row r="13202" spans="1:39" x14ac:dyDescent="0.2">
      <c r="A13202" t="str">
        <f>"13198"</f>
        <v>13198</v>
      </c>
      <c r="B13202" t="str">
        <f t="shared" si="733"/>
        <v>1</v>
      </c>
      <c r="C13202" t="str">
        <f t="shared" si="734"/>
        <v>264</v>
      </c>
      <c r="D13202" t="str">
        <f>"47"</f>
        <v>47</v>
      </c>
      <c r="E13202" t="str">
        <f>"1-264-47"</f>
        <v>1-264-47</v>
      </c>
      <c r="F13202" t="s">
        <v>65</v>
      </c>
      <c r="G13202" t="s">
        <v>66</v>
      </c>
      <c r="H13202" t="s">
        <v>67</v>
      </c>
      <c r="S13202">
        <v>1</v>
      </c>
      <c r="T13202">
        <v>0</v>
      </c>
      <c r="U13202">
        <v>0</v>
      </c>
      <c r="V13202">
        <v>0</v>
      </c>
      <c r="W13202">
        <v>1</v>
      </c>
      <c r="X13202">
        <v>0</v>
      </c>
      <c r="Y13202">
        <v>0</v>
      </c>
      <c r="Z13202">
        <v>1</v>
      </c>
      <c r="AA13202">
        <v>1</v>
      </c>
      <c r="AB13202">
        <v>0</v>
      </c>
      <c r="AC13202">
        <v>0</v>
      </c>
      <c r="AD13202">
        <v>1</v>
      </c>
      <c r="AE13202">
        <v>1</v>
      </c>
      <c r="AF13202">
        <v>1</v>
      </c>
      <c r="AG13202">
        <v>1</v>
      </c>
      <c r="AH13202">
        <v>1</v>
      </c>
      <c r="AI13202">
        <v>1</v>
      </c>
      <c r="AJ13202">
        <v>1</v>
      </c>
      <c r="AK13202">
        <v>1</v>
      </c>
      <c r="AL13202">
        <v>1</v>
      </c>
      <c r="AM13202">
        <v>1</v>
      </c>
    </row>
    <row r="13203" spans="1:39" x14ac:dyDescent="0.2">
      <c r="A13203" t="str">
        <f>"13199"</f>
        <v>13199</v>
      </c>
      <c r="B13203" t="str">
        <f t="shared" si="733"/>
        <v>1</v>
      </c>
      <c r="C13203" t="str">
        <f t="shared" si="734"/>
        <v>264</v>
      </c>
      <c r="D13203" t="str">
        <f>"30"</f>
        <v>30</v>
      </c>
      <c r="E13203" t="str">
        <f>"1-264-30"</f>
        <v>1-264-30</v>
      </c>
      <c r="F13203" t="s">
        <v>65</v>
      </c>
      <c r="G13203" t="s">
        <v>66</v>
      </c>
      <c r="H13203" t="s">
        <v>67</v>
      </c>
      <c r="S13203">
        <v>1</v>
      </c>
      <c r="T13203">
        <v>0</v>
      </c>
      <c r="U13203">
        <v>0</v>
      </c>
      <c r="V13203">
        <v>0</v>
      </c>
      <c r="W13203">
        <v>1</v>
      </c>
      <c r="X13203">
        <v>0</v>
      </c>
      <c r="Y13203">
        <v>1</v>
      </c>
      <c r="Z13203">
        <v>0</v>
      </c>
      <c r="AA13203">
        <v>1</v>
      </c>
      <c r="AB13203">
        <v>0</v>
      </c>
      <c r="AC13203">
        <v>0</v>
      </c>
      <c r="AD13203">
        <v>1</v>
      </c>
      <c r="AE13203">
        <v>1</v>
      </c>
      <c r="AF13203">
        <v>1</v>
      </c>
      <c r="AG13203">
        <v>1</v>
      </c>
      <c r="AH13203">
        <v>1</v>
      </c>
      <c r="AI13203">
        <v>1</v>
      </c>
      <c r="AJ13203">
        <v>1</v>
      </c>
      <c r="AK13203">
        <v>1</v>
      </c>
      <c r="AL13203">
        <v>1</v>
      </c>
      <c r="AM13203">
        <v>1</v>
      </c>
    </row>
    <row r="13204" spans="1:39" x14ac:dyDescent="0.2">
      <c r="A13204" t="str">
        <f>"13200"</f>
        <v>13200</v>
      </c>
      <c r="B13204" t="str">
        <f t="shared" si="733"/>
        <v>1</v>
      </c>
      <c r="C13204" t="str">
        <f t="shared" si="734"/>
        <v>264</v>
      </c>
      <c r="D13204" t="str">
        <f>"9"</f>
        <v>9</v>
      </c>
      <c r="E13204" t="str">
        <f>"1-264-9"</f>
        <v>1-264-9</v>
      </c>
      <c r="F13204" t="s">
        <v>65</v>
      </c>
      <c r="G13204" t="s">
        <v>66</v>
      </c>
      <c r="H13204" t="s">
        <v>67</v>
      </c>
      <c r="S13204">
        <v>1</v>
      </c>
      <c r="T13204">
        <v>0</v>
      </c>
      <c r="U13204">
        <v>0</v>
      </c>
      <c r="V13204">
        <v>0</v>
      </c>
      <c r="W13204">
        <v>0</v>
      </c>
      <c r="X13204">
        <v>1</v>
      </c>
      <c r="Y13204">
        <v>1</v>
      </c>
      <c r="Z13204">
        <v>0</v>
      </c>
      <c r="AA13204">
        <v>1</v>
      </c>
      <c r="AB13204">
        <v>0</v>
      </c>
      <c r="AC13204">
        <v>0</v>
      </c>
      <c r="AD13204">
        <v>1</v>
      </c>
      <c r="AE13204">
        <v>1</v>
      </c>
      <c r="AF13204">
        <v>1</v>
      </c>
      <c r="AG13204">
        <v>1</v>
      </c>
      <c r="AH13204">
        <v>1</v>
      </c>
      <c r="AI13204">
        <v>1</v>
      </c>
      <c r="AJ13204">
        <v>1</v>
      </c>
      <c r="AK13204">
        <v>1</v>
      </c>
      <c r="AL13204">
        <v>1</v>
      </c>
      <c r="AM13204">
        <v>1</v>
      </c>
    </row>
    <row r="13205" spans="1:39" x14ac:dyDescent="0.2">
      <c r="A13205" t="str">
        <f>"13201"</f>
        <v>13201</v>
      </c>
      <c r="B13205" t="str">
        <f t="shared" si="733"/>
        <v>1</v>
      </c>
      <c r="C13205" t="str">
        <f t="shared" ref="C13205:C13236" si="735">"265"</f>
        <v>265</v>
      </c>
      <c r="D13205" t="str">
        <f>"34"</f>
        <v>34</v>
      </c>
      <c r="E13205" t="str">
        <f>"1-265-34"</f>
        <v>1-265-34</v>
      </c>
      <c r="F13205" t="s">
        <v>65</v>
      </c>
      <c r="G13205" t="s">
        <v>66</v>
      </c>
      <c r="H13205" t="s">
        <v>67</v>
      </c>
      <c r="S13205">
        <v>0</v>
      </c>
      <c r="T13205">
        <v>0</v>
      </c>
      <c r="U13205">
        <v>0</v>
      </c>
      <c r="V13205">
        <v>0</v>
      </c>
      <c r="W13205">
        <v>0</v>
      </c>
      <c r="X13205">
        <v>1</v>
      </c>
      <c r="Y13205">
        <v>0</v>
      </c>
      <c r="Z13205">
        <v>1</v>
      </c>
      <c r="AA13205">
        <v>0</v>
      </c>
      <c r="AB13205">
        <v>0</v>
      </c>
      <c r="AC13205">
        <v>0</v>
      </c>
      <c r="AD13205">
        <v>1</v>
      </c>
      <c r="AE13205">
        <v>1</v>
      </c>
      <c r="AF13205">
        <v>1</v>
      </c>
      <c r="AG13205">
        <v>1</v>
      </c>
      <c r="AH13205">
        <v>1</v>
      </c>
      <c r="AI13205">
        <v>1</v>
      </c>
      <c r="AJ13205">
        <v>1</v>
      </c>
      <c r="AK13205">
        <v>1</v>
      </c>
      <c r="AL13205">
        <v>1</v>
      </c>
      <c r="AM13205">
        <v>1</v>
      </c>
    </row>
    <row r="13206" spans="1:39" x14ac:dyDescent="0.2">
      <c r="A13206" t="str">
        <f>"13202"</f>
        <v>13202</v>
      </c>
      <c r="B13206" t="str">
        <f t="shared" si="733"/>
        <v>1</v>
      </c>
      <c r="C13206" t="str">
        <f t="shared" si="735"/>
        <v>265</v>
      </c>
      <c r="D13206" t="str">
        <f>"33"</f>
        <v>33</v>
      </c>
      <c r="E13206" t="str">
        <f>"1-265-33"</f>
        <v>1-265-33</v>
      </c>
      <c r="F13206" t="s">
        <v>65</v>
      </c>
      <c r="G13206" t="s">
        <v>66</v>
      </c>
      <c r="H13206" t="s">
        <v>67</v>
      </c>
      <c r="S13206">
        <v>1</v>
      </c>
      <c r="T13206">
        <v>0</v>
      </c>
      <c r="U13206">
        <v>0</v>
      </c>
      <c r="V13206">
        <v>0</v>
      </c>
      <c r="W13206">
        <v>1</v>
      </c>
      <c r="X13206">
        <v>0</v>
      </c>
      <c r="Y13206">
        <v>0</v>
      </c>
      <c r="Z13206">
        <v>1</v>
      </c>
      <c r="AA13206">
        <v>1</v>
      </c>
      <c r="AB13206">
        <v>0</v>
      </c>
      <c r="AC13206">
        <v>0</v>
      </c>
      <c r="AD13206">
        <v>1</v>
      </c>
      <c r="AE13206">
        <v>1</v>
      </c>
      <c r="AF13206">
        <v>1</v>
      </c>
      <c r="AG13206">
        <v>1</v>
      </c>
      <c r="AH13206">
        <v>1</v>
      </c>
      <c r="AI13206">
        <v>1</v>
      </c>
      <c r="AJ13206">
        <v>1</v>
      </c>
      <c r="AK13206">
        <v>1</v>
      </c>
      <c r="AL13206">
        <v>1</v>
      </c>
      <c r="AM13206">
        <v>1</v>
      </c>
    </row>
    <row r="13207" spans="1:39" x14ac:dyDescent="0.2">
      <c r="A13207" t="str">
        <f>"13203"</f>
        <v>13203</v>
      </c>
      <c r="B13207" t="str">
        <f t="shared" si="733"/>
        <v>1</v>
      </c>
      <c r="C13207" t="str">
        <f t="shared" si="735"/>
        <v>265</v>
      </c>
      <c r="D13207" t="str">
        <f>"24"</f>
        <v>24</v>
      </c>
      <c r="E13207" t="str">
        <f>"1-265-24"</f>
        <v>1-265-24</v>
      </c>
      <c r="F13207" t="s">
        <v>65</v>
      </c>
      <c r="G13207" t="s">
        <v>66</v>
      </c>
      <c r="H13207" t="s">
        <v>67</v>
      </c>
      <c r="S13207">
        <v>1</v>
      </c>
      <c r="T13207">
        <v>0</v>
      </c>
      <c r="U13207">
        <v>0</v>
      </c>
      <c r="V13207">
        <v>0</v>
      </c>
      <c r="W13207">
        <v>1</v>
      </c>
      <c r="X13207">
        <v>0</v>
      </c>
      <c r="Y13207">
        <v>0</v>
      </c>
      <c r="Z13207">
        <v>1</v>
      </c>
      <c r="AA13207">
        <v>1</v>
      </c>
      <c r="AB13207">
        <v>0</v>
      </c>
      <c r="AC13207">
        <v>0</v>
      </c>
      <c r="AD13207">
        <v>1</v>
      </c>
      <c r="AE13207">
        <v>1</v>
      </c>
      <c r="AF13207">
        <v>1</v>
      </c>
      <c r="AG13207">
        <v>1</v>
      </c>
      <c r="AH13207">
        <v>1</v>
      </c>
      <c r="AI13207">
        <v>1</v>
      </c>
      <c r="AJ13207">
        <v>1</v>
      </c>
      <c r="AK13207">
        <v>1</v>
      </c>
      <c r="AL13207">
        <v>1</v>
      </c>
      <c r="AM13207">
        <v>1</v>
      </c>
    </row>
    <row r="13208" spans="1:39" x14ac:dyDescent="0.2">
      <c r="A13208" t="str">
        <f>"13204"</f>
        <v>13204</v>
      </c>
      <c r="B13208" t="str">
        <f t="shared" si="733"/>
        <v>1</v>
      </c>
      <c r="C13208" t="str">
        <f t="shared" si="735"/>
        <v>265</v>
      </c>
      <c r="D13208" t="str">
        <f>"15"</f>
        <v>15</v>
      </c>
      <c r="E13208" t="str">
        <f>"1-265-15"</f>
        <v>1-265-15</v>
      </c>
      <c r="F13208" t="s">
        <v>65</v>
      </c>
      <c r="G13208" t="s">
        <v>66</v>
      </c>
      <c r="H13208" t="s">
        <v>67</v>
      </c>
      <c r="S13208">
        <v>0</v>
      </c>
      <c r="T13208">
        <v>1</v>
      </c>
      <c r="U13208">
        <v>0</v>
      </c>
      <c r="V13208">
        <v>0</v>
      </c>
      <c r="W13208">
        <v>1</v>
      </c>
      <c r="X13208">
        <v>0</v>
      </c>
      <c r="Y13208">
        <v>1</v>
      </c>
      <c r="Z13208">
        <v>0</v>
      </c>
      <c r="AA13208">
        <v>1</v>
      </c>
      <c r="AB13208">
        <v>0</v>
      </c>
      <c r="AC13208">
        <v>0</v>
      </c>
      <c r="AD13208">
        <v>1</v>
      </c>
      <c r="AE13208">
        <v>1</v>
      </c>
      <c r="AF13208">
        <v>1</v>
      </c>
      <c r="AG13208">
        <v>1</v>
      </c>
      <c r="AH13208">
        <v>1</v>
      </c>
      <c r="AI13208">
        <v>1</v>
      </c>
      <c r="AJ13208">
        <v>1</v>
      </c>
      <c r="AK13208">
        <v>1</v>
      </c>
      <c r="AL13208">
        <v>1</v>
      </c>
      <c r="AM13208">
        <v>1</v>
      </c>
    </row>
    <row r="13209" spans="1:39" x14ac:dyDescent="0.2">
      <c r="A13209" t="str">
        <f>"13205"</f>
        <v>13205</v>
      </c>
      <c r="B13209" t="str">
        <f t="shared" si="733"/>
        <v>1</v>
      </c>
      <c r="C13209" t="str">
        <f t="shared" si="735"/>
        <v>265</v>
      </c>
      <c r="D13209" t="str">
        <f>"5"</f>
        <v>5</v>
      </c>
      <c r="E13209" t="str">
        <f>"1-265-5"</f>
        <v>1-265-5</v>
      </c>
      <c r="F13209" t="s">
        <v>65</v>
      </c>
      <c r="G13209" t="s">
        <v>66</v>
      </c>
      <c r="H13209" t="s">
        <v>67</v>
      </c>
      <c r="S13209">
        <v>0</v>
      </c>
      <c r="T13209">
        <v>1</v>
      </c>
      <c r="U13209">
        <v>0</v>
      </c>
      <c r="V13209">
        <v>0</v>
      </c>
      <c r="W13209">
        <v>0</v>
      </c>
      <c r="X13209">
        <v>1</v>
      </c>
      <c r="Y13209">
        <v>1</v>
      </c>
      <c r="Z13209">
        <v>0</v>
      </c>
      <c r="AA13209">
        <v>0</v>
      </c>
      <c r="AB13209">
        <v>0</v>
      </c>
      <c r="AC13209">
        <v>1</v>
      </c>
      <c r="AD13209">
        <v>1</v>
      </c>
      <c r="AE13209">
        <v>1</v>
      </c>
      <c r="AF13209">
        <v>1</v>
      </c>
      <c r="AG13209">
        <v>1</v>
      </c>
      <c r="AH13209">
        <v>1</v>
      </c>
      <c r="AI13209">
        <v>1</v>
      </c>
      <c r="AJ13209">
        <v>1</v>
      </c>
      <c r="AK13209">
        <v>1</v>
      </c>
      <c r="AL13209">
        <v>1</v>
      </c>
      <c r="AM13209">
        <v>1</v>
      </c>
    </row>
    <row r="13210" spans="1:39" x14ac:dyDescent="0.2">
      <c r="A13210" t="str">
        <f>"13206"</f>
        <v>13206</v>
      </c>
      <c r="B13210" t="str">
        <f t="shared" si="733"/>
        <v>1</v>
      </c>
      <c r="C13210" t="str">
        <f t="shared" si="735"/>
        <v>265</v>
      </c>
      <c r="D13210" t="str">
        <f>"36"</f>
        <v>36</v>
      </c>
      <c r="E13210" t="str">
        <f>"1-265-36"</f>
        <v>1-265-36</v>
      </c>
      <c r="F13210" t="s">
        <v>65</v>
      </c>
      <c r="G13210" t="s">
        <v>66</v>
      </c>
      <c r="H13210" t="s">
        <v>67</v>
      </c>
      <c r="S13210">
        <v>0</v>
      </c>
      <c r="T13210">
        <v>0</v>
      </c>
      <c r="U13210">
        <v>0</v>
      </c>
      <c r="V13210">
        <v>0</v>
      </c>
      <c r="W13210">
        <v>1</v>
      </c>
      <c r="X13210">
        <v>0</v>
      </c>
      <c r="Y13210">
        <v>1</v>
      </c>
      <c r="Z13210">
        <v>0</v>
      </c>
      <c r="AA13210">
        <v>0</v>
      </c>
      <c r="AB13210">
        <v>0</v>
      </c>
      <c r="AC13210">
        <v>0</v>
      </c>
      <c r="AD13210">
        <v>1</v>
      </c>
      <c r="AE13210">
        <v>1</v>
      </c>
      <c r="AF13210">
        <v>1</v>
      </c>
      <c r="AG13210">
        <v>1</v>
      </c>
      <c r="AH13210">
        <v>1</v>
      </c>
      <c r="AI13210">
        <v>1</v>
      </c>
      <c r="AJ13210">
        <v>1</v>
      </c>
      <c r="AK13210">
        <v>1</v>
      </c>
      <c r="AL13210">
        <v>1</v>
      </c>
      <c r="AM13210">
        <v>1</v>
      </c>
    </row>
    <row r="13211" spans="1:39" x14ac:dyDescent="0.2">
      <c r="A13211" t="str">
        <f>"13207"</f>
        <v>13207</v>
      </c>
      <c r="B13211" t="str">
        <f t="shared" si="733"/>
        <v>1</v>
      </c>
      <c r="C13211" t="str">
        <f t="shared" si="735"/>
        <v>265</v>
      </c>
      <c r="D13211" t="str">
        <f>"35"</f>
        <v>35</v>
      </c>
      <c r="E13211" t="str">
        <f>"1-265-35"</f>
        <v>1-265-35</v>
      </c>
      <c r="F13211" t="s">
        <v>65</v>
      </c>
      <c r="G13211" t="s">
        <v>66</v>
      </c>
      <c r="H13211" t="s">
        <v>67</v>
      </c>
      <c r="S13211">
        <v>1</v>
      </c>
      <c r="T13211">
        <v>0</v>
      </c>
      <c r="U13211">
        <v>0</v>
      </c>
      <c r="V13211">
        <v>0</v>
      </c>
      <c r="W13211">
        <v>1</v>
      </c>
      <c r="X13211">
        <v>0</v>
      </c>
      <c r="Y13211">
        <v>0</v>
      </c>
      <c r="Z13211">
        <v>1</v>
      </c>
      <c r="AA13211">
        <v>1</v>
      </c>
      <c r="AB13211">
        <v>0</v>
      </c>
      <c r="AC13211">
        <v>0</v>
      </c>
      <c r="AD13211">
        <v>1</v>
      </c>
      <c r="AE13211">
        <v>1</v>
      </c>
      <c r="AF13211">
        <v>1</v>
      </c>
      <c r="AG13211">
        <v>1</v>
      </c>
      <c r="AH13211">
        <v>1</v>
      </c>
      <c r="AI13211">
        <v>1</v>
      </c>
      <c r="AJ13211">
        <v>1</v>
      </c>
      <c r="AK13211">
        <v>1</v>
      </c>
      <c r="AL13211">
        <v>1</v>
      </c>
      <c r="AM13211">
        <v>1</v>
      </c>
    </row>
    <row r="13212" spans="1:39" x14ac:dyDescent="0.2">
      <c r="A13212" t="str">
        <f>"13208"</f>
        <v>13208</v>
      </c>
      <c r="B13212" t="str">
        <f t="shared" si="733"/>
        <v>1</v>
      </c>
      <c r="C13212" t="str">
        <f t="shared" si="735"/>
        <v>265</v>
      </c>
      <c r="D13212" t="str">
        <f>"23"</f>
        <v>23</v>
      </c>
      <c r="E13212" t="str">
        <f>"1-265-23"</f>
        <v>1-265-23</v>
      </c>
      <c r="F13212" t="s">
        <v>65</v>
      </c>
      <c r="G13212" t="s">
        <v>66</v>
      </c>
      <c r="H13212" t="s">
        <v>67</v>
      </c>
      <c r="S13212">
        <v>1</v>
      </c>
      <c r="T13212">
        <v>0</v>
      </c>
      <c r="U13212">
        <v>0</v>
      </c>
      <c r="V13212">
        <v>0</v>
      </c>
      <c r="W13212">
        <v>1</v>
      </c>
      <c r="X13212">
        <v>0</v>
      </c>
      <c r="Y13212">
        <v>0</v>
      </c>
      <c r="Z13212">
        <v>1</v>
      </c>
      <c r="AA13212">
        <v>1</v>
      </c>
      <c r="AB13212">
        <v>0</v>
      </c>
      <c r="AC13212">
        <v>0</v>
      </c>
      <c r="AD13212">
        <v>1</v>
      </c>
      <c r="AE13212">
        <v>1</v>
      </c>
      <c r="AF13212">
        <v>1</v>
      </c>
      <c r="AG13212">
        <v>1</v>
      </c>
      <c r="AH13212">
        <v>1</v>
      </c>
      <c r="AI13212">
        <v>1</v>
      </c>
      <c r="AJ13212">
        <v>1</v>
      </c>
      <c r="AK13212">
        <v>1</v>
      </c>
      <c r="AL13212">
        <v>1</v>
      </c>
      <c r="AM13212">
        <v>1</v>
      </c>
    </row>
    <row r="13213" spans="1:39" x14ac:dyDescent="0.2">
      <c r="A13213" t="str">
        <f>"13209"</f>
        <v>13209</v>
      </c>
      <c r="B13213" t="str">
        <f t="shared" si="733"/>
        <v>1</v>
      </c>
      <c r="C13213" t="str">
        <f t="shared" si="735"/>
        <v>265</v>
      </c>
      <c r="D13213" t="str">
        <f>"16"</f>
        <v>16</v>
      </c>
      <c r="E13213" t="str">
        <f>"1-265-16"</f>
        <v>1-265-16</v>
      </c>
      <c r="F13213" t="s">
        <v>65</v>
      </c>
      <c r="G13213" t="s">
        <v>66</v>
      </c>
      <c r="H13213" t="s">
        <v>67</v>
      </c>
      <c r="S13213">
        <v>1</v>
      </c>
      <c r="T13213">
        <v>0</v>
      </c>
      <c r="U13213">
        <v>0</v>
      </c>
      <c r="V13213">
        <v>0</v>
      </c>
      <c r="W13213">
        <v>1</v>
      </c>
      <c r="X13213">
        <v>0</v>
      </c>
      <c r="Y13213">
        <v>1</v>
      </c>
      <c r="Z13213">
        <v>0</v>
      </c>
      <c r="AA13213">
        <v>0</v>
      </c>
      <c r="AB13213">
        <v>1</v>
      </c>
      <c r="AC13213">
        <v>0</v>
      </c>
      <c r="AD13213">
        <v>1</v>
      </c>
      <c r="AE13213">
        <v>1</v>
      </c>
      <c r="AF13213">
        <v>1</v>
      </c>
      <c r="AG13213">
        <v>1</v>
      </c>
      <c r="AH13213">
        <v>0</v>
      </c>
      <c r="AI13213">
        <v>0</v>
      </c>
      <c r="AJ13213">
        <v>1</v>
      </c>
      <c r="AK13213">
        <v>1</v>
      </c>
      <c r="AL13213">
        <v>1</v>
      </c>
      <c r="AM13213">
        <v>1</v>
      </c>
    </row>
    <row r="13214" spans="1:39" x14ac:dyDescent="0.2">
      <c r="A13214" t="str">
        <f>"13210"</f>
        <v>13210</v>
      </c>
      <c r="B13214" t="str">
        <f t="shared" si="733"/>
        <v>1</v>
      </c>
      <c r="C13214" t="str">
        <f t="shared" si="735"/>
        <v>265</v>
      </c>
      <c r="D13214" t="str">
        <f>"3"</f>
        <v>3</v>
      </c>
      <c r="E13214" t="str">
        <f>"1-265-3"</f>
        <v>1-265-3</v>
      </c>
      <c r="F13214" t="s">
        <v>65</v>
      </c>
      <c r="G13214" t="s">
        <v>66</v>
      </c>
      <c r="H13214" t="s">
        <v>67</v>
      </c>
      <c r="S13214">
        <v>1</v>
      </c>
      <c r="T13214">
        <v>0</v>
      </c>
      <c r="U13214">
        <v>0</v>
      </c>
      <c r="V13214">
        <v>0</v>
      </c>
      <c r="W13214">
        <v>1</v>
      </c>
      <c r="X13214">
        <v>0</v>
      </c>
      <c r="Y13214">
        <v>1</v>
      </c>
      <c r="Z13214">
        <v>0</v>
      </c>
      <c r="AA13214">
        <v>1</v>
      </c>
      <c r="AB13214">
        <v>0</v>
      </c>
      <c r="AC13214">
        <v>0</v>
      </c>
      <c r="AD13214">
        <v>1</v>
      </c>
      <c r="AE13214">
        <v>0</v>
      </c>
      <c r="AF13214">
        <v>1</v>
      </c>
      <c r="AG13214">
        <v>1</v>
      </c>
      <c r="AH13214">
        <v>1</v>
      </c>
      <c r="AI13214">
        <v>1</v>
      </c>
      <c r="AJ13214">
        <v>1</v>
      </c>
      <c r="AK13214">
        <v>1</v>
      </c>
      <c r="AL13214">
        <v>1</v>
      </c>
      <c r="AM13214">
        <v>1</v>
      </c>
    </row>
    <row r="13215" spans="1:39" x14ac:dyDescent="0.2">
      <c r="A13215" t="str">
        <f>"13211"</f>
        <v>13211</v>
      </c>
      <c r="B13215" t="str">
        <f t="shared" si="733"/>
        <v>1</v>
      </c>
      <c r="C13215" t="str">
        <f t="shared" si="735"/>
        <v>265</v>
      </c>
      <c r="D13215" t="str">
        <f>"45"</f>
        <v>45</v>
      </c>
      <c r="E13215" t="str">
        <f>"1-265-45"</f>
        <v>1-265-45</v>
      </c>
      <c r="F13215" t="s">
        <v>65</v>
      </c>
      <c r="G13215" t="s">
        <v>66</v>
      </c>
      <c r="H13215" t="s">
        <v>67</v>
      </c>
      <c r="S13215">
        <v>1</v>
      </c>
      <c r="T13215">
        <v>0</v>
      </c>
      <c r="U13215">
        <v>0</v>
      </c>
      <c r="V13215">
        <v>0</v>
      </c>
      <c r="W13215">
        <v>1</v>
      </c>
      <c r="X13215">
        <v>0</v>
      </c>
      <c r="Y13215">
        <v>1</v>
      </c>
      <c r="Z13215">
        <v>0</v>
      </c>
      <c r="AA13215">
        <v>1</v>
      </c>
      <c r="AB13215">
        <v>0</v>
      </c>
      <c r="AC13215">
        <v>0</v>
      </c>
      <c r="AD13215">
        <v>1</v>
      </c>
      <c r="AE13215">
        <v>1</v>
      </c>
      <c r="AF13215">
        <v>1</v>
      </c>
      <c r="AG13215">
        <v>1</v>
      </c>
      <c r="AH13215">
        <v>1</v>
      </c>
      <c r="AI13215">
        <v>1</v>
      </c>
      <c r="AJ13215">
        <v>1</v>
      </c>
      <c r="AK13215">
        <v>1</v>
      </c>
      <c r="AL13215">
        <v>1</v>
      </c>
      <c r="AM13215">
        <v>1</v>
      </c>
    </row>
    <row r="13216" spans="1:39" x14ac:dyDescent="0.2">
      <c r="A13216" t="str">
        <f>"13212"</f>
        <v>13212</v>
      </c>
      <c r="B13216" t="str">
        <f t="shared" si="733"/>
        <v>1</v>
      </c>
      <c r="C13216" t="str">
        <f t="shared" si="735"/>
        <v>265</v>
      </c>
      <c r="D13216" t="str">
        <f>"44"</f>
        <v>44</v>
      </c>
      <c r="E13216" t="str">
        <f>"1-265-44"</f>
        <v>1-265-44</v>
      </c>
      <c r="F13216" t="s">
        <v>65</v>
      </c>
      <c r="G13216" t="s">
        <v>66</v>
      </c>
      <c r="H13216" t="s">
        <v>67</v>
      </c>
      <c r="S13216">
        <v>1</v>
      </c>
      <c r="T13216">
        <v>0</v>
      </c>
      <c r="U13216">
        <v>0</v>
      </c>
      <c r="V13216">
        <v>0</v>
      </c>
      <c r="W13216">
        <v>1</v>
      </c>
      <c r="X13216">
        <v>0</v>
      </c>
      <c r="Y13216">
        <v>1</v>
      </c>
      <c r="Z13216">
        <v>0</v>
      </c>
      <c r="AA13216">
        <v>1</v>
      </c>
      <c r="AB13216">
        <v>0</v>
      </c>
      <c r="AC13216">
        <v>0</v>
      </c>
      <c r="AD13216">
        <v>0</v>
      </c>
      <c r="AE13216">
        <v>0</v>
      </c>
      <c r="AF13216">
        <v>0</v>
      </c>
      <c r="AG13216">
        <v>0</v>
      </c>
      <c r="AH13216">
        <v>0</v>
      </c>
      <c r="AI13216">
        <v>0</v>
      </c>
      <c r="AJ13216">
        <v>0</v>
      </c>
      <c r="AK13216">
        <v>0</v>
      </c>
      <c r="AL13216">
        <v>0</v>
      </c>
      <c r="AM13216">
        <v>0</v>
      </c>
    </row>
    <row r="13217" spans="1:39" x14ac:dyDescent="0.2">
      <c r="A13217" t="str">
        <f>"13213"</f>
        <v>13213</v>
      </c>
      <c r="B13217" t="str">
        <f t="shared" si="733"/>
        <v>1</v>
      </c>
      <c r="C13217" t="str">
        <f t="shared" si="735"/>
        <v>265</v>
      </c>
      <c r="D13217" t="str">
        <f>"31"</f>
        <v>31</v>
      </c>
      <c r="E13217" t="str">
        <f>"1-265-31"</f>
        <v>1-265-31</v>
      </c>
      <c r="F13217" t="s">
        <v>65</v>
      </c>
      <c r="G13217" t="s">
        <v>66</v>
      </c>
      <c r="H13217" t="s">
        <v>67</v>
      </c>
      <c r="S13217">
        <v>0</v>
      </c>
      <c r="T13217">
        <v>1</v>
      </c>
      <c r="U13217">
        <v>0</v>
      </c>
      <c r="V13217">
        <v>0</v>
      </c>
      <c r="W13217">
        <v>1</v>
      </c>
      <c r="X13217">
        <v>0</v>
      </c>
      <c r="Y13217">
        <v>1</v>
      </c>
      <c r="Z13217">
        <v>0</v>
      </c>
      <c r="AA13217">
        <v>0</v>
      </c>
      <c r="AB13217">
        <v>1</v>
      </c>
      <c r="AC13217">
        <v>0</v>
      </c>
      <c r="AD13217">
        <v>1</v>
      </c>
      <c r="AE13217">
        <v>1</v>
      </c>
      <c r="AF13217">
        <v>0</v>
      </c>
      <c r="AG13217">
        <v>0</v>
      </c>
      <c r="AH13217">
        <v>0</v>
      </c>
      <c r="AI13217">
        <v>1</v>
      </c>
      <c r="AJ13217">
        <v>1</v>
      </c>
      <c r="AK13217">
        <v>0</v>
      </c>
      <c r="AL13217">
        <v>0</v>
      </c>
      <c r="AM13217">
        <v>0</v>
      </c>
    </row>
    <row r="13218" spans="1:39" x14ac:dyDescent="0.2">
      <c r="A13218" t="str">
        <f>"13214"</f>
        <v>13214</v>
      </c>
      <c r="B13218" t="str">
        <f t="shared" si="733"/>
        <v>1</v>
      </c>
      <c r="C13218" t="str">
        <f t="shared" si="735"/>
        <v>265</v>
      </c>
      <c r="D13218" t="str">
        <f>"17"</f>
        <v>17</v>
      </c>
      <c r="E13218" t="str">
        <f>"1-265-17"</f>
        <v>1-265-17</v>
      </c>
      <c r="F13218" t="s">
        <v>65</v>
      </c>
      <c r="G13218" t="s">
        <v>66</v>
      </c>
      <c r="H13218" t="s">
        <v>67</v>
      </c>
      <c r="S13218">
        <v>1</v>
      </c>
      <c r="T13218">
        <v>0</v>
      </c>
      <c r="U13218">
        <v>0</v>
      </c>
      <c r="V13218">
        <v>0</v>
      </c>
      <c r="W13218">
        <v>1</v>
      </c>
      <c r="X13218">
        <v>0</v>
      </c>
      <c r="Y13218">
        <v>1</v>
      </c>
      <c r="Z13218">
        <v>0</v>
      </c>
      <c r="AA13218">
        <v>0</v>
      </c>
      <c r="AB13218">
        <v>0</v>
      </c>
      <c r="AC13218">
        <v>1</v>
      </c>
      <c r="AD13218">
        <v>1</v>
      </c>
      <c r="AE13218">
        <v>1</v>
      </c>
      <c r="AF13218">
        <v>1</v>
      </c>
      <c r="AG13218">
        <v>1</v>
      </c>
      <c r="AH13218">
        <v>1</v>
      </c>
      <c r="AI13218">
        <v>1</v>
      </c>
      <c r="AJ13218">
        <v>1</v>
      </c>
      <c r="AK13218">
        <v>1</v>
      </c>
      <c r="AL13218">
        <v>1</v>
      </c>
      <c r="AM13218">
        <v>1</v>
      </c>
    </row>
    <row r="13219" spans="1:39" x14ac:dyDescent="0.2">
      <c r="A13219" t="str">
        <f>"13215"</f>
        <v>13215</v>
      </c>
      <c r="B13219" t="str">
        <f t="shared" si="733"/>
        <v>1</v>
      </c>
      <c r="C13219" t="str">
        <f t="shared" si="735"/>
        <v>265</v>
      </c>
      <c r="D13219" t="str">
        <f>"2"</f>
        <v>2</v>
      </c>
      <c r="E13219" t="str">
        <f>"1-265-2"</f>
        <v>1-265-2</v>
      </c>
      <c r="F13219" t="s">
        <v>65</v>
      </c>
      <c r="G13219" t="s">
        <v>66</v>
      </c>
      <c r="H13219" t="s">
        <v>67</v>
      </c>
      <c r="S13219">
        <v>1</v>
      </c>
      <c r="T13219">
        <v>0</v>
      </c>
      <c r="U13219">
        <v>0</v>
      </c>
      <c r="V13219">
        <v>0</v>
      </c>
      <c r="W13219">
        <v>1</v>
      </c>
      <c r="X13219">
        <v>0</v>
      </c>
      <c r="Y13219">
        <v>1</v>
      </c>
      <c r="Z13219">
        <v>0</v>
      </c>
      <c r="AA13219">
        <v>0</v>
      </c>
      <c r="AB13219">
        <v>1</v>
      </c>
      <c r="AC13219">
        <v>0</v>
      </c>
      <c r="AD13219">
        <v>0</v>
      </c>
      <c r="AE13219">
        <v>1</v>
      </c>
      <c r="AF13219">
        <v>1</v>
      </c>
      <c r="AG13219">
        <v>1</v>
      </c>
      <c r="AH13219">
        <v>1</v>
      </c>
      <c r="AI13219">
        <v>1</v>
      </c>
      <c r="AJ13219">
        <v>1</v>
      </c>
      <c r="AK13219">
        <v>1</v>
      </c>
      <c r="AL13219">
        <v>1</v>
      </c>
      <c r="AM13219">
        <v>1</v>
      </c>
    </row>
    <row r="13220" spans="1:39" x14ac:dyDescent="0.2">
      <c r="A13220" t="str">
        <f>"13216"</f>
        <v>13216</v>
      </c>
      <c r="B13220" t="str">
        <f t="shared" si="733"/>
        <v>1</v>
      </c>
      <c r="C13220" t="str">
        <f t="shared" si="735"/>
        <v>265</v>
      </c>
      <c r="D13220" t="str">
        <f>"43"</f>
        <v>43</v>
      </c>
      <c r="E13220" t="str">
        <f>"1-265-43"</f>
        <v>1-265-43</v>
      </c>
      <c r="F13220" t="s">
        <v>65</v>
      </c>
      <c r="G13220" t="s">
        <v>66</v>
      </c>
      <c r="H13220" t="s">
        <v>67</v>
      </c>
      <c r="S13220">
        <v>1</v>
      </c>
      <c r="T13220">
        <v>0</v>
      </c>
      <c r="U13220">
        <v>0</v>
      </c>
      <c r="V13220">
        <v>0</v>
      </c>
      <c r="W13220">
        <v>1</v>
      </c>
      <c r="X13220">
        <v>0</v>
      </c>
      <c r="Y13220">
        <v>1</v>
      </c>
      <c r="Z13220">
        <v>0</v>
      </c>
      <c r="AA13220">
        <v>0</v>
      </c>
      <c r="AB13220">
        <v>0</v>
      </c>
      <c r="AC13220">
        <v>1</v>
      </c>
      <c r="AD13220">
        <v>0</v>
      </c>
      <c r="AE13220">
        <v>0</v>
      </c>
      <c r="AF13220">
        <v>0</v>
      </c>
      <c r="AG13220">
        <v>0</v>
      </c>
      <c r="AH13220">
        <v>0</v>
      </c>
      <c r="AI13220">
        <v>0</v>
      </c>
      <c r="AJ13220">
        <v>0</v>
      </c>
      <c r="AK13220">
        <v>0</v>
      </c>
      <c r="AL13220">
        <v>0</v>
      </c>
      <c r="AM13220">
        <v>0</v>
      </c>
    </row>
    <row r="13221" spans="1:39" x14ac:dyDescent="0.2">
      <c r="A13221" t="str">
        <f>"13217"</f>
        <v>13217</v>
      </c>
      <c r="B13221" t="str">
        <f t="shared" si="733"/>
        <v>1</v>
      </c>
      <c r="C13221" t="str">
        <f t="shared" si="735"/>
        <v>265</v>
      </c>
      <c r="D13221" t="str">
        <f>"32"</f>
        <v>32</v>
      </c>
      <c r="E13221" t="str">
        <f>"1-265-32"</f>
        <v>1-265-32</v>
      </c>
      <c r="F13221" t="s">
        <v>65</v>
      </c>
      <c r="G13221" t="s">
        <v>66</v>
      </c>
      <c r="H13221" t="s">
        <v>67</v>
      </c>
      <c r="S13221">
        <v>1</v>
      </c>
      <c r="T13221">
        <v>0</v>
      </c>
      <c r="U13221">
        <v>0</v>
      </c>
      <c r="V13221">
        <v>0</v>
      </c>
      <c r="W13221">
        <v>1</v>
      </c>
      <c r="X13221">
        <v>0</v>
      </c>
      <c r="Y13221">
        <v>1</v>
      </c>
      <c r="Z13221">
        <v>0</v>
      </c>
      <c r="AA13221">
        <v>1</v>
      </c>
      <c r="AB13221">
        <v>0</v>
      </c>
      <c r="AC13221">
        <v>0</v>
      </c>
      <c r="AD13221">
        <v>1</v>
      </c>
      <c r="AE13221">
        <v>1</v>
      </c>
      <c r="AF13221">
        <v>1</v>
      </c>
      <c r="AG13221">
        <v>1</v>
      </c>
      <c r="AH13221">
        <v>1</v>
      </c>
      <c r="AI13221">
        <v>1</v>
      </c>
      <c r="AJ13221">
        <v>1</v>
      </c>
      <c r="AK13221">
        <v>1</v>
      </c>
      <c r="AL13221">
        <v>1</v>
      </c>
      <c r="AM13221">
        <v>1</v>
      </c>
    </row>
    <row r="13222" spans="1:39" x14ac:dyDescent="0.2">
      <c r="A13222" t="str">
        <f>"13218"</f>
        <v>13218</v>
      </c>
      <c r="B13222" t="str">
        <f t="shared" si="733"/>
        <v>1</v>
      </c>
      <c r="C13222" t="str">
        <f t="shared" si="735"/>
        <v>265</v>
      </c>
      <c r="D13222" t="str">
        <f>"18"</f>
        <v>18</v>
      </c>
      <c r="E13222" t="str">
        <f>"1-265-18"</f>
        <v>1-265-18</v>
      </c>
      <c r="F13222" t="s">
        <v>65</v>
      </c>
      <c r="G13222" t="s">
        <v>66</v>
      </c>
      <c r="H13222" t="s">
        <v>67</v>
      </c>
      <c r="S13222">
        <v>0</v>
      </c>
      <c r="T13222">
        <v>1</v>
      </c>
      <c r="U13222">
        <v>0</v>
      </c>
      <c r="V13222">
        <v>0</v>
      </c>
      <c r="W13222">
        <v>1</v>
      </c>
      <c r="X13222">
        <v>0</v>
      </c>
      <c r="Y13222">
        <v>0</v>
      </c>
      <c r="Z13222">
        <v>1</v>
      </c>
      <c r="AA13222">
        <v>0</v>
      </c>
      <c r="AB13222">
        <v>0</v>
      </c>
      <c r="AC13222">
        <v>1</v>
      </c>
      <c r="AD13222">
        <v>1</v>
      </c>
      <c r="AE13222">
        <v>1</v>
      </c>
      <c r="AF13222">
        <v>1</v>
      </c>
      <c r="AG13222">
        <v>1</v>
      </c>
      <c r="AH13222">
        <v>1</v>
      </c>
      <c r="AI13222">
        <v>1</v>
      </c>
      <c r="AJ13222">
        <v>1</v>
      </c>
      <c r="AK13222">
        <v>1</v>
      </c>
      <c r="AL13222">
        <v>1</v>
      </c>
      <c r="AM13222">
        <v>1</v>
      </c>
    </row>
    <row r="13223" spans="1:39" x14ac:dyDescent="0.2">
      <c r="A13223" t="str">
        <f>"13219"</f>
        <v>13219</v>
      </c>
      <c r="B13223" t="str">
        <f t="shared" si="733"/>
        <v>1</v>
      </c>
      <c r="C13223" t="str">
        <f t="shared" si="735"/>
        <v>265</v>
      </c>
      <c r="D13223" t="str">
        <f>"12"</f>
        <v>12</v>
      </c>
      <c r="E13223" t="str">
        <f>"1-265-12"</f>
        <v>1-265-12</v>
      </c>
      <c r="F13223" t="s">
        <v>65</v>
      </c>
      <c r="G13223" t="s">
        <v>66</v>
      </c>
      <c r="H13223" t="s">
        <v>67</v>
      </c>
      <c r="S13223">
        <v>0</v>
      </c>
      <c r="T13223">
        <v>0</v>
      </c>
      <c r="U13223">
        <v>0</v>
      </c>
      <c r="V13223">
        <v>0</v>
      </c>
      <c r="W13223">
        <v>0</v>
      </c>
      <c r="X13223">
        <v>1</v>
      </c>
      <c r="Y13223">
        <v>0</v>
      </c>
      <c r="Z13223">
        <v>0</v>
      </c>
      <c r="AA13223">
        <v>0</v>
      </c>
      <c r="AB13223">
        <v>0</v>
      </c>
      <c r="AC13223">
        <v>1</v>
      </c>
      <c r="AD13223">
        <v>0</v>
      </c>
      <c r="AE13223">
        <v>0</v>
      </c>
      <c r="AF13223">
        <v>0</v>
      </c>
      <c r="AG13223">
        <v>0</v>
      </c>
      <c r="AH13223">
        <v>1</v>
      </c>
      <c r="AI13223">
        <v>0</v>
      </c>
      <c r="AJ13223">
        <v>0</v>
      </c>
      <c r="AK13223">
        <v>0</v>
      </c>
      <c r="AL13223">
        <v>0</v>
      </c>
      <c r="AM13223">
        <v>0</v>
      </c>
    </row>
    <row r="13224" spans="1:39" x14ac:dyDescent="0.2">
      <c r="A13224" t="str">
        <f>"13220"</f>
        <v>13220</v>
      </c>
      <c r="B13224" t="str">
        <f t="shared" si="733"/>
        <v>1</v>
      </c>
      <c r="C13224" t="str">
        <f t="shared" si="735"/>
        <v>265</v>
      </c>
      <c r="D13224" t="str">
        <f>"37"</f>
        <v>37</v>
      </c>
      <c r="E13224" t="str">
        <f>"1-265-37"</f>
        <v>1-265-37</v>
      </c>
      <c r="F13224" t="s">
        <v>65</v>
      </c>
      <c r="G13224" t="s">
        <v>66</v>
      </c>
      <c r="H13224" t="s">
        <v>67</v>
      </c>
      <c r="S13224">
        <v>0</v>
      </c>
      <c r="T13224">
        <v>0</v>
      </c>
      <c r="U13224">
        <v>0</v>
      </c>
      <c r="V13224">
        <v>0</v>
      </c>
      <c r="W13224">
        <v>1</v>
      </c>
      <c r="X13224">
        <v>0</v>
      </c>
      <c r="Y13224">
        <v>1</v>
      </c>
      <c r="Z13224">
        <v>0</v>
      </c>
      <c r="AA13224">
        <v>0</v>
      </c>
      <c r="AB13224">
        <v>0</v>
      </c>
      <c r="AC13224">
        <v>0</v>
      </c>
      <c r="AD13224">
        <v>1</v>
      </c>
      <c r="AE13224">
        <v>1</v>
      </c>
      <c r="AF13224">
        <v>1</v>
      </c>
      <c r="AG13224">
        <v>1</v>
      </c>
      <c r="AH13224">
        <v>1</v>
      </c>
      <c r="AI13224">
        <v>1</v>
      </c>
      <c r="AJ13224">
        <v>1</v>
      </c>
      <c r="AK13224">
        <v>1</v>
      </c>
      <c r="AL13224">
        <v>1</v>
      </c>
      <c r="AM13224">
        <v>1</v>
      </c>
    </row>
    <row r="13225" spans="1:39" x14ac:dyDescent="0.2">
      <c r="A13225" t="str">
        <f>"13221"</f>
        <v>13221</v>
      </c>
      <c r="B13225" t="str">
        <f t="shared" si="733"/>
        <v>1</v>
      </c>
      <c r="C13225" t="str">
        <f t="shared" si="735"/>
        <v>265</v>
      </c>
      <c r="D13225" t="str">
        <f>"19"</f>
        <v>19</v>
      </c>
      <c r="E13225" t="str">
        <f>"1-265-19"</f>
        <v>1-265-19</v>
      </c>
      <c r="F13225" t="s">
        <v>65</v>
      </c>
      <c r="G13225" t="s">
        <v>66</v>
      </c>
      <c r="H13225" t="s">
        <v>67</v>
      </c>
      <c r="S13225">
        <v>0</v>
      </c>
      <c r="T13225">
        <v>1</v>
      </c>
      <c r="U13225">
        <v>0</v>
      </c>
      <c r="V13225">
        <v>0</v>
      </c>
      <c r="W13225">
        <v>1</v>
      </c>
      <c r="X13225">
        <v>0</v>
      </c>
      <c r="Y13225">
        <v>0</v>
      </c>
      <c r="Z13225">
        <v>1</v>
      </c>
      <c r="AA13225">
        <v>1</v>
      </c>
      <c r="AB13225">
        <v>0</v>
      </c>
      <c r="AC13225">
        <v>0</v>
      </c>
      <c r="AD13225">
        <v>1</v>
      </c>
      <c r="AE13225">
        <v>1</v>
      </c>
      <c r="AF13225">
        <v>1</v>
      </c>
      <c r="AG13225">
        <v>1</v>
      </c>
      <c r="AH13225">
        <v>1</v>
      </c>
      <c r="AI13225">
        <v>1</v>
      </c>
      <c r="AJ13225">
        <v>1</v>
      </c>
      <c r="AK13225">
        <v>1</v>
      </c>
      <c r="AL13225">
        <v>1</v>
      </c>
      <c r="AM13225">
        <v>1</v>
      </c>
    </row>
    <row r="13226" spans="1:39" x14ac:dyDescent="0.2">
      <c r="A13226" t="str">
        <f>"13222"</f>
        <v>13222</v>
      </c>
      <c r="B13226" t="str">
        <f t="shared" si="733"/>
        <v>1</v>
      </c>
      <c r="C13226" t="str">
        <f t="shared" si="735"/>
        <v>265</v>
      </c>
      <c r="D13226" t="str">
        <f>"7"</f>
        <v>7</v>
      </c>
      <c r="E13226" t="str">
        <f>"1-265-7"</f>
        <v>1-265-7</v>
      </c>
      <c r="F13226" t="s">
        <v>65</v>
      </c>
      <c r="G13226" t="s">
        <v>66</v>
      </c>
      <c r="H13226" t="s">
        <v>67</v>
      </c>
      <c r="S13226">
        <v>0</v>
      </c>
      <c r="T13226">
        <v>1</v>
      </c>
      <c r="U13226">
        <v>0</v>
      </c>
      <c r="V13226">
        <v>0</v>
      </c>
      <c r="W13226">
        <v>1</v>
      </c>
      <c r="X13226">
        <v>0</v>
      </c>
      <c r="Y13226">
        <v>1</v>
      </c>
      <c r="Z13226">
        <v>0</v>
      </c>
      <c r="AA13226">
        <v>0</v>
      </c>
      <c r="AB13226">
        <v>0</v>
      </c>
      <c r="AC13226">
        <v>1</v>
      </c>
      <c r="AD13226">
        <v>1</v>
      </c>
      <c r="AE13226">
        <v>1</v>
      </c>
      <c r="AF13226">
        <v>1</v>
      </c>
      <c r="AG13226">
        <v>1</v>
      </c>
      <c r="AH13226">
        <v>1</v>
      </c>
      <c r="AI13226">
        <v>1</v>
      </c>
      <c r="AJ13226">
        <v>1</v>
      </c>
      <c r="AK13226">
        <v>1</v>
      </c>
      <c r="AL13226">
        <v>1</v>
      </c>
      <c r="AM13226">
        <v>1</v>
      </c>
    </row>
    <row r="13227" spans="1:39" x14ac:dyDescent="0.2">
      <c r="A13227" t="str">
        <f>"13223"</f>
        <v>13223</v>
      </c>
      <c r="B13227" t="str">
        <f t="shared" si="733"/>
        <v>1</v>
      </c>
      <c r="C13227" t="str">
        <f t="shared" si="735"/>
        <v>265</v>
      </c>
      <c r="D13227" t="str">
        <f>"38"</f>
        <v>38</v>
      </c>
      <c r="E13227" t="str">
        <f>"1-265-38"</f>
        <v>1-265-38</v>
      </c>
      <c r="F13227" t="s">
        <v>65</v>
      </c>
      <c r="G13227" t="s">
        <v>66</v>
      </c>
      <c r="H13227" t="s">
        <v>67</v>
      </c>
      <c r="S13227">
        <v>0</v>
      </c>
      <c r="T13227">
        <v>1</v>
      </c>
      <c r="U13227">
        <v>0</v>
      </c>
      <c r="V13227">
        <v>0</v>
      </c>
      <c r="W13227">
        <v>0</v>
      </c>
      <c r="X13227">
        <v>1</v>
      </c>
      <c r="Y13227">
        <v>0</v>
      </c>
      <c r="Z13227">
        <v>0</v>
      </c>
      <c r="AA13227">
        <v>0</v>
      </c>
      <c r="AB13227">
        <v>0</v>
      </c>
      <c r="AC13227">
        <v>0</v>
      </c>
      <c r="AD13227">
        <v>1</v>
      </c>
      <c r="AE13227">
        <v>1</v>
      </c>
      <c r="AF13227">
        <v>1</v>
      </c>
      <c r="AG13227">
        <v>1</v>
      </c>
      <c r="AH13227">
        <v>1</v>
      </c>
      <c r="AI13227">
        <v>1</v>
      </c>
      <c r="AJ13227">
        <v>1</v>
      </c>
      <c r="AK13227">
        <v>1</v>
      </c>
      <c r="AL13227">
        <v>1</v>
      </c>
      <c r="AM13227">
        <v>1</v>
      </c>
    </row>
    <row r="13228" spans="1:39" x14ac:dyDescent="0.2">
      <c r="A13228" t="str">
        <f>"13224"</f>
        <v>13224</v>
      </c>
      <c r="B13228" t="str">
        <f t="shared" si="733"/>
        <v>1</v>
      </c>
      <c r="C13228" t="str">
        <f t="shared" si="735"/>
        <v>265</v>
      </c>
      <c r="D13228" t="str">
        <f>"20"</f>
        <v>20</v>
      </c>
      <c r="E13228" t="str">
        <f>"1-265-20"</f>
        <v>1-265-20</v>
      </c>
      <c r="F13228" t="s">
        <v>65</v>
      </c>
      <c r="G13228" t="s">
        <v>66</v>
      </c>
      <c r="H13228" t="s">
        <v>67</v>
      </c>
      <c r="S13228">
        <v>1</v>
      </c>
      <c r="T13228">
        <v>0</v>
      </c>
      <c r="U13228">
        <v>0</v>
      </c>
      <c r="V13228">
        <v>0</v>
      </c>
      <c r="W13228">
        <v>0</v>
      </c>
      <c r="X13228">
        <v>1</v>
      </c>
      <c r="Y13228">
        <v>1</v>
      </c>
      <c r="Z13228">
        <v>0</v>
      </c>
      <c r="AA13228">
        <v>0</v>
      </c>
      <c r="AB13228">
        <v>1</v>
      </c>
      <c r="AC13228">
        <v>0</v>
      </c>
      <c r="AD13228">
        <v>1</v>
      </c>
      <c r="AE13228">
        <v>1</v>
      </c>
      <c r="AF13228">
        <v>1</v>
      </c>
      <c r="AG13228">
        <v>1</v>
      </c>
      <c r="AH13228">
        <v>1</v>
      </c>
      <c r="AI13228">
        <v>1</v>
      </c>
      <c r="AJ13228">
        <v>1</v>
      </c>
      <c r="AK13228">
        <v>1</v>
      </c>
      <c r="AL13228">
        <v>1</v>
      </c>
      <c r="AM13228">
        <v>1</v>
      </c>
    </row>
    <row r="13229" spans="1:39" x14ac:dyDescent="0.2">
      <c r="A13229" t="str">
        <f>"13225"</f>
        <v>13225</v>
      </c>
      <c r="B13229" t="str">
        <f t="shared" si="733"/>
        <v>1</v>
      </c>
      <c r="C13229" t="str">
        <f t="shared" si="735"/>
        <v>265</v>
      </c>
      <c r="D13229" t="str">
        <f>"13"</f>
        <v>13</v>
      </c>
      <c r="E13229" t="str">
        <f>"1-265-13"</f>
        <v>1-265-13</v>
      </c>
      <c r="F13229" t="s">
        <v>65</v>
      </c>
      <c r="G13229" t="s">
        <v>66</v>
      </c>
      <c r="H13229" t="s">
        <v>67</v>
      </c>
      <c r="S13229">
        <v>1</v>
      </c>
      <c r="T13229">
        <v>0</v>
      </c>
      <c r="U13229">
        <v>0</v>
      </c>
      <c r="V13229">
        <v>0</v>
      </c>
      <c r="W13229">
        <v>1</v>
      </c>
      <c r="X13229">
        <v>0</v>
      </c>
      <c r="Y13229">
        <v>1</v>
      </c>
      <c r="Z13229">
        <v>0</v>
      </c>
      <c r="AA13229">
        <v>1</v>
      </c>
      <c r="AB13229">
        <v>0</v>
      </c>
      <c r="AC13229">
        <v>0</v>
      </c>
      <c r="AD13229">
        <v>0</v>
      </c>
      <c r="AE13229">
        <v>0</v>
      </c>
      <c r="AF13229">
        <v>0</v>
      </c>
      <c r="AG13229">
        <v>0</v>
      </c>
      <c r="AH13229">
        <v>0</v>
      </c>
      <c r="AI13229">
        <v>0</v>
      </c>
      <c r="AJ13229">
        <v>0</v>
      </c>
      <c r="AK13229">
        <v>0</v>
      </c>
      <c r="AL13229">
        <v>0</v>
      </c>
      <c r="AM13229">
        <v>0</v>
      </c>
    </row>
    <row r="13230" spans="1:39" x14ac:dyDescent="0.2">
      <c r="A13230" t="str">
        <f>"13226"</f>
        <v>13226</v>
      </c>
      <c r="B13230" t="str">
        <f t="shared" si="733"/>
        <v>1</v>
      </c>
      <c r="C13230" t="str">
        <f t="shared" si="735"/>
        <v>265</v>
      </c>
      <c r="D13230" t="str">
        <f>"40"</f>
        <v>40</v>
      </c>
      <c r="E13230" t="str">
        <f>"1-265-40"</f>
        <v>1-265-40</v>
      </c>
      <c r="F13230" t="s">
        <v>65</v>
      </c>
      <c r="G13230" t="s">
        <v>66</v>
      </c>
      <c r="H13230" t="s">
        <v>67</v>
      </c>
      <c r="S13230">
        <v>1</v>
      </c>
      <c r="T13230">
        <v>0</v>
      </c>
      <c r="U13230">
        <v>0</v>
      </c>
      <c r="V13230">
        <v>0</v>
      </c>
      <c r="W13230">
        <v>1</v>
      </c>
      <c r="X13230">
        <v>0</v>
      </c>
      <c r="Y13230">
        <v>1</v>
      </c>
      <c r="Z13230">
        <v>0</v>
      </c>
      <c r="AA13230">
        <v>1</v>
      </c>
      <c r="AB13230">
        <v>0</v>
      </c>
      <c r="AC13230">
        <v>0</v>
      </c>
      <c r="AD13230">
        <v>0</v>
      </c>
      <c r="AE13230">
        <v>0</v>
      </c>
      <c r="AF13230">
        <v>0</v>
      </c>
      <c r="AG13230">
        <v>0</v>
      </c>
      <c r="AH13230">
        <v>0</v>
      </c>
      <c r="AI13230">
        <v>0</v>
      </c>
      <c r="AJ13230">
        <v>0</v>
      </c>
      <c r="AK13230">
        <v>0</v>
      </c>
      <c r="AL13230">
        <v>0</v>
      </c>
      <c r="AM13230">
        <v>0</v>
      </c>
    </row>
    <row r="13231" spans="1:39" x14ac:dyDescent="0.2">
      <c r="A13231" t="str">
        <f>"13227"</f>
        <v>13227</v>
      </c>
      <c r="B13231" t="str">
        <f t="shared" si="733"/>
        <v>1</v>
      </c>
      <c r="C13231" t="str">
        <f t="shared" si="735"/>
        <v>265</v>
      </c>
      <c r="D13231" t="str">
        <f>"1"</f>
        <v>1</v>
      </c>
      <c r="E13231" t="str">
        <f>"1-265-1"</f>
        <v>1-265-1</v>
      </c>
      <c r="F13231" t="s">
        <v>65</v>
      </c>
      <c r="G13231" t="s">
        <v>66</v>
      </c>
      <c r="H13231" t="s">
        <v>67</v>
      </c>
      <c r="S13231">
        <v>0</v>
      </c>
      <c r="T13231">
        <v>1</v>
      </c>
      <c r="U13231">
        <v>0</v>
      </c>
      <c r="V13231">
        <v>0</v>
      </c>
      <c r="W13231">
        <v>1</v>
      </c>
      <c r="X13231">
        <v>0</v>
      </c>
      <c r="Y13231">
        <v>0</v>
      </c>
      <c r="Z13231">
        <v>1</v>
      </c>
      <c r="AA13231">
        <v>1</v>
      </c>
      <c r="AB13231">
        <v>0</v>
      </c>
      <c r="AC13231">
        <v>0</v>
      </c>
      <c r="AD13231">
        <v>0</v>
      </c>
      <c r="AE13231">
        <v>0</v>
      </c>
      <c r="AF13231">
        <v>0</v>
      </c>
      <c r="AG13231">
        <v>1</v>
      </c>
      <c r="AH13231">
        <v>0</v>
      </c>
      <c r="AI13231">
        <v>1</v>
      </c>
      <c r="AJ13231">
        <v>1</v>
      </c>
      <c r="AK13231">
        <v>1</v>
      </c>
      <c r="AL13231">
        <v>1</v>
      </c>
      <c r="AM13231">
        <v>1</v>
      </c>
    </row>
    <row r="13232" spans="1:39" x14ac:dyDescent="0.2">
      <c r="A13232" t="str">
        <f>"13228"</f>
        <v>13228</v>
      </c>
      <c r="B13232" t="str">
        <f t="shared" si="733"/>
        <v>1</v>
      </c>
      <c r="C13232" t="str">
        <f t="shared" si="735"/>
        <v>265</v>
      </c>
      <c r="D13232" t="str">
        <f>"39"</f>
        <v>39</v>
      </c>
      <c r="E13232" t="str">
        <f>"1-265-39"</f>
        <v>1-265-39</v>
      </c>
      <c r="F13232" t="s">
        <v>65</v>
      </c>
      <c r="G13232" t="s">
        <v>66</v>
      </c>
      <c r="H13232" t="s">
        <v>67</v>
      </c>
      <c r="S13232">
        <v>0</v>
      </c>
      <c r="T13232">
        <v>0</v>
      </c>
      <c r="U13232">
        <v>0</v>
      </c>
      <c r="V13232">
        <v>0</v>
      </c>
      <c r="W13232">
        <v>0</v>
      </c>
      <c r="X13232">
        <v>1</v>
      </c>
      <c r="Y13232">
        <v>0</v>
      </c>
      <c r="Z13232">
        <v>1</v>
      </c>
      <c r="AA13232">
        <v>0</v>
      </c>
      <c r="AB13232">
        <v>0</v>
      </c>
      <c r="AC13232">
        <v>0</v>
      </c>
      <c r="AD13232">
        <v>0</v>
      </c>
      <c r="AE13232">
        <v>1</v>
      </c>
      <c r="AF13232">
        <v>1</v>
      </c>
      <c r="AG13232">
        <v>1</v>
      </c>
      <c r="AH13232">
        <v>1</v>
      </c>
      <c r="AI13232">
        <v>0</v>
      </c>
      <c r="AJ13232">
        <v>0</v>
      </c>
      <c r="AK13232">
        <v>0</v>
      </c>
      <c r="AL13232">
        <v>0</v>
      </c>
      <c r="AM13232">
        <v>0</v>
      </c>
    </row>
    <row r="13233" spans="1:39" x14ac:dyDescent="0.2">
      <c r="A13233" t="str">
        <f>"13229"</f>
        <v>13229</v>
      </c>
      <c r="B13233" t="str">
        <f t="shared" si="733"/>
        <v>1</v>
      </c>
      <c r="C13233" t="str">
        <f t="shared" si="735"/>
        <v>265</v>
      </c>
      <c r="D13233" t="str">
        <f>"22"</f>
        <v>22</v>
      </c>
      <c r="E13233" t="str">
        <f>"1-265-22"</f>
        <v>1-265-22</v>
      </c>
      <c r="F13233" t="s">
        <v>65</v>
      </c>
      <c r="G13233" t="s">
        <v>66</v>
      </c>
      <c r="H13233" t="s">
        <v>67</v>
      </c>
      <c r="S13233">
        <v>1</v>
      </c>
      <c r="T13233">
        <v>0</v>
      </c>
      <c r="U13233">
        <v>0</v>
      </c>
      <c r="V13233">
        <v>0</v>
      </c>
      <c r="W13233">
        <v>1</v>
      </c>
      <c r="X13233">
        <v>0</v>
      </c>
      <c r="Y13233">
        <v>1</v>
      </c>
      <c r="Z13233">
        <v>0</v>
      </c>
      <c r="AA13233">
        <v>1</v>
      </c>
      <c r="AB13233">
        <v>0</v>
      </c>
      <c r="AC13233">
        <v>0</v>
      </c>
      <c r="AD13233">
        <v>0</v>
      </c>
      <c r="AE13233">
        <v>0</v>
      </c>
      <c r="AF13233">
        <v>0</v>
      </c>
      <c r="AG13233">
        <v>0</v>
      </c>
      <c r="AH13233">
        <v>0</v>
      </c>
      <c r="AI13233">
        <v>0</v>
      </c>
      <c r="AJ13233">
        <v>0</v>
      </c>
      <c r="AK13233">
        <v>0</v>
      </c>
      <c r="AL13233">
        <v>0</v>
      </c>
      <c r="AM13233">
        <v>0</v>
      </c>
    </row>
    <row r="13234" spans="1:39" x14ac:dyDescent="0.2">
      <c r="A13234" t="str">
        <f>"13230"</f>
        <v>13230</v>
      </c>
      <c r="B13234" t="str">
        <f t="shared" si="733"/>
        <v>1</v>
      </c>
      <c r="C13234" t="str">
        <f t="shared" si="735"/>
        <v>265</v>
      </c>
      <c r="D13234" t="str">
        <f>"9"</f>
        <v>9</v>
      </c>
      <c r="E13234" t="str">
        <f>"1-265-9"</f>
        <v>1-265-9</v>
      </c>
      <c r="F13234" t="s">
        <v>65</v>
      </c>
      <c r="G13234" t="s">
        <v>66</v>
      </c>
      <c r="H13234" t="s">
        <v>67</v>
      </c>
      <c r="S13234">
        <v>1</v>
      </c>
      <c r="T13234">
        <v>0</v>
      </c>
      <c r="U13234">
        <v>0</v>
      </c>
      <c r="V13234">
        <v>0</v>
      </c>
      <c r="W13234">
        <v>1</v>
      </c>
      <c r="X13234">
        <v>0</v>
      </c>
      <c r="Y13234">
        <v>0</v>
      </c>
      <c r="Z13234">
        <v>1</v>
      </c>
      <c r="AA13234">
        <v>0</v>
      </c>
      <c r="AB13234">
        <v>1</v>
      </c>
      <c r="AC13234">
        <v>0</v>
      </c>
      <c r="AD13234">
        <v>1</v>
      </c>
      <c r="AE13234">
        <v>1</v>
      </c>
      <c r="AF13234">
        <v>1</v>
      </c>
      <c r="AG13234">
        <v>1</v>
      </c>
      <c r="AH13234">
        <v>1</v>
      </c>
      <c r="AI13234">
        <v>1</v>
      </c>
      <c r="AJ13234">
        <v>1</v>
      </c>
      <c r="AK13234">
        <v>1</v>
      </c>
      <c r="AL13234">
        <v>1</v>
      </c>
      <c r="AM13234">
        <v>1</v>
      </c>
    </row>
    <row r="13235" spans="1:39" x14ac:dyDescent="0.2">
      <c r="A13235" t="str">
        <f>"13231"</f>
        <v>13231</v>
      </c>
      <c r="B13235" t="str">
        <f t="shared" si="733"/>
        <v>1</v>
      </c>
      <c r="C13235" t="str">
        <f t="shared" si="735"/>
        <v>265</v>
      </c>
      <c r="D13235" t="str">
        <f>"49"</f>
        <v>49</v>
      </c>
      <c r="E13235" t="str">
        <f>"1-265-49"</f>
        <v>1-265-49</v>
      </c>
      <c r="F13235" t="s">
        <v>65</v>
      </c>
      <c r="G13235" t="s">
        <v>66</v>
      </c>
      <c r="H13235" t="s">
        <v>67</v>
      </c>
      <c r="S13235">
        <v>1</v>
      </c>
      <c r="T13235">
        <v>0</v>
      </c>
      <c r="U13235">
        <v>0</v>
      </c>
      <c r="V13235">
        <v>0</v>
      </c>
      <c r="W13235">
        <v>1</v>
      </c>
      <c r="X13235">
        <v>0</v>
      </c>
      <c r="Y13235">
        <v>1</v>
      </c>
      <c r="Z13235">
        <v>0</v>
      </c>
      <c r="AA13235">
        <v>1</v>
      </c>
      <c r="AB13235">
        <v>0</v>
      </c>
      <c r="AC13235">
        <v>0</v>
      </c>
      <c r="AD13235">
        <v>0</v>
      </c>
      <c r="AE13235">
        <v>0</v>
      </c>
      <c r="AF13235">
        <v>0</v>
      </c>
      <c r="AG13235">
        <v>0</v>
      </c>
      <c r="AH13235">
        <v>0</v>
      </c>
      <c r="AI13235">
        <v>0</v>
      </c>
      <c r="AJ13235">
        <v>0</v>
      </c>
      <c r="AK13235">
        <v>0</v>
      </c>
      <c r="AL13235">
        <v>0</v>
      </c>
      <c r="AM13235">
        <v>0</v>
      </c>
    </row>
    <row r="13236" spans="1:39" x14ac:dyDescent="0.2">
      <c r="A13236" t="str">
        <f>"13232"</f>
        <v>13232</v>
      </c>
      <c r="B13236" t="str">
        <f t="shared" si="733"/>
        <v>1</v>
      </c>
      <c r="C13236" t="str">
        <f t="shared" si="735"/>
        <v>265</v>
      </c>
      <c r="D13236" t="str">
        <f>"25"</f>
        <v>25</v>
      </c>
      <c r="E13236" t="str">
        <f>"1-265-25"</f>
        <v>1-265-25</v>
      </c>
      <c r="F13236" t="s">
        <v>65</v>
      </c>
      <c r="G13236" t="s">
        <v>66</v>
      </c>
      <c r="H13236" t="s">
        <v>67</v>
      </c>
      <c r="S13236">
        <v>1</v>
      </c>
      <c r="T13236">
        <v>0</v>
      </c>
      <c r="U13236">
        <v>0</v>
      </c>
      <c r="V13236">
        <v>0</v>
      </c>
      <c r="W13236">
        <v>0</v>
      </c>
      <c r="X13236">
        <v>1</v>
      </c>
      <c r="Y13236">
        <v>0</v>
      </c>
      <c r="Z13236">
        <v>1</v>
      </c>
      <c r="AA13236">
        <v>0</v>
      </c>
      <c r="AB13236">
        <v>0</v>
      </c>
      <c r="AC13236">
        <v>1</v>
      </c>
      <c r="AD13236">
        <v>1</v>
      </c>
      <c r="AE13236">
        <v>1</v>
      </c>
      <c r="AF13236">
        <v>1</v>
      </c>
      <c r="AG13236">
        <v>1</v>
      </c>
      <c r="AH13236">
        <v>1</v>
      </c>
      <c r="AI13236">
        <v>1</v>
      </c>
      <c r="AJ13236">
        <v>1</v>
      </c>
      <c r="AK13236">
        <v>1</v>
      </c>
      <c r="AL13236">
        <v>1</v>
      </c>
      <c r="AM13236">
        <v>1</v>
      </c>
    </row>
    <row r="13237" spans="1:39" x14ac:dyDescent="0.2">
      <c r="A13237" t="str">
        <f>"13233"</f>
        <v>13233</v>
      </c>
      <c r="B13237" t="str">
        <f t="shared" si="733"/>
        <v>1</v>
      </c>
      <c r="C13237" t="str">
        <f t="shared" ref="C13237:C13254" si="736">"265"</f>
        <v>265</v>
      </c>
      <c r="D13237" t="str">
        <f>"10"</f>
        <v>10</v>
      </c>
      <c r="E13237" t="str">
        <f>"1-265-10"</f>
        <v>1-265-10</v>
      </c>
      <c r="F13237" t="s">
        <v>65</v>
      </c>
      <c r="G13237" t="s">
        <v>66</v>
      </c>
      <c r="H13237" t="s">
        <v>67</v>
      </c>
      <c r="S13237">
        <v>0</v>
      </c>
      <c r="T13237">
        <v>1</v>
      </c>
      <c r="U13237">
        <v>0</v>
      </c>
      <c r="V13237">
        <v>0</v>
      </c>
      <c r="W13237">
        <v>1</v>
      </c>
      <c r="X13237">
        <v>0</v>
      </c>
      <c r="Y13237">
        <v>1</v>
      </c>
      <c r="Z13237">
        <v>0</v>
      </c>
      <c r="AA13237">
        <v>1</v>
      </c>
      <c r="AB13237">
        <v>0</v>
      </c>
      <c r="AC13237">
        <v>0</v>
      </c>
      <c r="AD13237">
        <v>0</v>
      </c>
      <c r="AE13237">
        <v>1</v>
      </c>
      <c r="AF13237">
        <v>0</v>
      </c>
      <c r="AG13237">
        <v>0</v>
      </c>
      <c r="AH13237">
        <v>0</v>
      </c>
      <c r="AI13237">
        <v>1</v>
      </c>
      <c r="AJ13237">
        <v>0</v>
      </c>
      <c r="AK13237">
        <v>0</v>
      </c>
      <c r="AL13237">
        <v>0</v>
      </c>
      <c r="AM13237">
        <v>1</v>
      </c>
    </row>
    <row r="13238" spans="1:39" x14ac:dyDescent="0.2">
      <c r="A13238" t="str">
        <f>"13234"</f>
        <v>13234</v>
      </c>
      <c r="B13238" t="str">
        <f t="shared" si="733"/>
        <v>1</v>
      </c>
      <c r="C13238" t="str">
        <f t="shared" si="736"/>
        <v>265</v>
      </c>
      <c r="D13238" t="str">
        <f>"41"</f>
        <v>41</v>
      </c>
      <c r="E13238" t="str">
        <f>"1-265-41"</f>
        <v>1-265-41</v>
      </c>
      <c r="F13238" t="s">
        <v>65</v>
      </c>
      <c r="G13238" t="s">
        <v>66</v>
      </c>
      <c r="H13238" t="s">
        <v>67</v>
      </c>
      <c r="S13238">
        <v>1</v>
      </c>
      <c r="T13238">
        <v>0</v>
      </c>
      <c r="U13238">
        <v>0</v>
      </c>
      <c r="V13238">
        <v>0</v>
      </c>
      <c r="W13238">
        <v>1</v>
      </c>
      <c r="X13238">
        <v>0</v>
      </c>
      <c r="Y13238">
        <v>0</v>
      </c>
      <c r="Z13238">
        <v>1</v>
      </c>
      <c r="AA13238">
        <v>1</v>
      </c>
      <c r="AB13238">
        <v>0</v>
      </c>
      <c r="AC13238">
        <v>0</v>
      </c>
      <c r="AD13238">
        <v>1</v>
      </c>
      <c r="AE13238">
        <v>1</v>
      </c>
      <c r="AF13238">
        <v>1</v>
      </c>
      <c r="AG13238">
        <v>1</v>
      </c>
      <c r="AH13238">
        <v>1</v>
      </c>
      <c r="AI13238">
        <v>1</v>
      </c>
      <c r="AJ13238">
        <v>1</v>
      </c>
      <c r="AK13238">
        <v>1</v>
      </c>
      <c r="AL13238">
        <v>1</v>
      </c>
      <c r="AM13238">
        <v>1</v>
      </c>
    </row>
    <row r="13239" spans="1:39" x14ac:dyDescent="0.2">
      <c r="A13239" t="str">
        <f>"13235"</f>
        <v>13235</v>
      </c>
      <c r="B13239" t="str">
        <f t="shared" ref="B13239:B13302" si="737">"1"</f>
        <v>1</v>
      </c>
      <c r="C13239" t="str">
        <f t="shared" si="736"/>
        <v>265</v>
      </c>
      <c r="D13239" t="str">
        <f>"26"</f>
        <v>26</v>
      </c>
      <c r="E13239" t="str">
        <f>"1-265-26"</f>
        <v>1-265-26</v>
      </c>
      <c r="F13239" t="s">
        <v>65</v>
      </c>
      <c r="G13239" t="s">
        <v>66</v>
      </c>
      <c r="H13239" t="s">
        <v>67</v>
      </c>
      <c r="S13239">
        <v>0</v>
      </c>
      <c r="T13239">
        <v>1</v>
      </c>
      <c r="U13239">
        <v>0</v>
      </c>
      <c r="V13239">
        <v>0</v>
      </c>
      <c r="W13239">
        <v>1</v>
      </c>
      <c r="X13239">
        <v>0</v>
      </c>
      <c r="Y13239">
        <v>0</v>
      </c>
      <c r="Z13239">
        <v>1</v>
      </c>
      <c r="AA13239">
        <v>0</v>
      </c>
      <c r="AB13239">
        <v>1</v>
      </c>
      <c r="AC13239">
        <v>0</v>
      </c>
      <c r="AD13239">
        <v>0</v>
      </c>
      <c r="AE13239">
        <v>0</v>
      </c>
      <c r="AF13239">
        <v>0</v>
      </c>
      <c r="AG13239">
        <v>0</v>
      </c>
      <c r="AH13239">
        <v>0</v>
      </c>
      <c r="AI13239">
        <v>0</v>
      </c>
      <c r="AJ13239">
        <v>0</v>
      </c>
      <c r="AK13239">
        <v>0</v>
      </c>
      <c r="AL13239">
        <v>0</v>
      </c>
      <c r="AM13239">
        <v>0</v>
      </c>
    </row>
    <row r="13240" spans="1:39" x14ac:dyDescent="0.2">
      <c r="A13240" t="str">
        <f>"13236"</f>
        <v>13236</v>
      </c>
      <c r="B13240" t="str">
        <f t="shared" si="737"/>
        <v>1</v>
      </c>
      <c r="C13240" t="str">
        <f t="shared" si="736"/>
        <v>265</v>
      </c>
      <c r="D13240" t="str">
        <f>"11"</f>
        <v>11</v>
      </c>
      <c r="E13240" t="str">
        <f>"1-265-11"</f>
        <v>1-265-11</v>
      </c>
      <c r="F13240" t="s">
        <v>65</v>
      </c>
      <c r="G13240" t="s">
        <v>66</v>
      </c>
      <c r="H13240" t="s">
        <v>67</v>
      </c>
      <c r="S13240">
        <v>0</v>
      </c>
      <c r="T13240">
        <v>1</v>
      </c>
      <c r="U13240">
        <v>0</v>
      </c>
      <c r="V13240">
        <v>0</v>
      </c>
      <c r="W13240">
        <v>1</v>
      </c>
      <c r="X13240">
        <v>0</v>
      </c>
      <c r="Y13240">
        <v>1</v>
      </c>
      <c r="Z13240">
        <v>0</v>
      </c>
      <c r="AA13240">
        <v>1</v>
      </c>
      <c r="AB13240">
        <v>0</v>
      </c>
      <c r="AC13240">
        <v>0</v>
      </c>
      <c r="AD13240">
        <v>0</v>
      </c>
      <c r="AE13240">
        <v>1</v>
      </c>
      <c r="AF13240">
        <v>0</v>
      </c>
      <c r="AG13240">
        <v>0</v>
      </c>
      <c r="AH13240">
        <v>0</v>
      </c>
      <c r="AI13240">
        <v>1</v>
      </c>
      <c r="AJ13240">
        <v>0</v>
      </c>
      <c r="AK13240">
        <v>0</v>
      </c>
      <c r="AL13240">
        <v>0</v>
      </c>
      <c r="AM13240">
        <v>1</v>
      </c>
    </row>
    <row r="13241" spans="1:39" x14ac:dyDescent="0.2">
      <c r="A13241" t="str">
        <f>"13237"</f>
        <v>13237</v>
      </c>
      <c r="B13241" t="str">
        <f t="shared" si="737"/>
        <v>1</v>
      </c>
      <c r="C13241" t="str">
        <f t="shared" si="736"/>
        <v>265</v>
      </c>
      <c r="D13241" t="str">
        <f>"46"</f>
        <v>46</v>
      </c>
      <c r="E13241" t="str">
        <f>"1-265-46"</f>
        <v>1-265-46</v>
      </c>
      <c r="F13241" t="s">
        <v>65</v>
      </c>
      <c r="G13241" t="s">
        <v>66</v>
      </c>
      <c r="H13241" t="s">
        <v>67</v>
      </c>
      <c r="S13241">
        <v>1</v>
      </c>
      <c r="T13241">
        <v>0</v>
      </c>
      <c r="U13241">
        <v>0</v>
      </c>
      <c r="V13241">
        <v>0</v>
      </c>
      <c r="W13241">
        <v>1</v>
      </c>
      <c r="X13241">
        <v>0</v>
      </c>
      <c r="Y13241">
        <v>1</v>
      </c>
      <c r="Z13241">
        <v>0</v>
      </c>
      <c r="AA13241">
        <v>1</v>
      </c>
      <c r="AB13241">
        <v>0</v>
      </c>
      <c r="AC13241">
        <v>0</v>
      </c>
      <c r="AD13241">
        <v>0</v>
      </c>
      <c r="AE13241">
        <v>0</v>
      </c>
      <c r="AF13241">
        <v>0</v>
      </c>
      <c r="AG13241">
        <v>0</v>
      </c>
      <c r="AH13241">
        <v>0</v>
      </c>
      <c r="AI13241">
        <v>0</v>
      </c>
      <c r="AJ13241">
        <v>0</v>
      </c>
      <c r="AK13241">
        <v>0</v>
      </c>
      <c r="AL13241">
        <v>0</v>
      </c>
      <c r="AM13241">
        <v>0</v>
      </c>
    </row>
    <row r="13242" spans="1:39" x14ac:dyDescent="0.2">
      <c r="A13242" t="str">
        <f>"13238"</f>
        <v>13238</v>
      </c>
      <c r="B13242" t="str">
        <f t="shared" si="737"/>
        <v>1</v>
      </c>
      <c r="C13242" t="str">
        <f t="shared" si="736"/>
        <v>265</v>
      </c>
      <c r="D13242" t="str">
        <f>"27"</f>
        <v>27</v>
      </c>
      <c r="E13242" t="str">
        <f>"1-265-27"</f>
        <v>1-265-27</v>
      </c>
      <c r="F13242" t="s">
        <v>65</v>
      </c>
      <c r="G13242" t="s">
        <v>66</v>
      </c>
      <c r="H13242" t="s">
        <v>67</v>
      </c>
      <c r="S13242">
        <v>1</v>
      </c>
      <c r="T13242">
        <v>0</v>
      </c>
      <c r="U13242">
        <v>0</v>
      </c>
      <c r="V13242">
        <v>0</v>
      </c>
      <c r="W13242">
        <v>1</v>
      </c>
      <c r="X13242">
        <v>0</v>
      </c>
      <c r="Y13242">
        <v>0</v>
      </c>
      <c r="Z13242">
        <v>1</v>
      </c>
      <c r="AA13242">
        <v>1</v>
      </c>
      <c r="AB13242">
        <v>0</v>
      </c>
      <c r="AC13242">
        <v>0</v>
      </c>
      <c r="AD13242">
        <v>0</v>
      </c>
      <c r="AE13242">
        <v>0</v>
      </c>
      <c r="AF13242">
        <v>0</v>
      </c>
      <c r="AG13242">
        <v>0</v>
      </c>
      <c r="AH13242">
        <v>0</v>
      </c>
      <c r="AI13242">
        <v>0</v>
      </c>
      <c r="AJ13242">
        <v>0</v>
      </c>
      <c r="AK13242">
        <v>0</v>
      </c>
      <c r="AL13242">
        <v>0</v>
      </c>
      <c r="AM13242">
        <v>0</v>
      </c>
    </row>
    <row r="13243" spans="1:39" x14ac:dyDescent="0.2">
      <c r="A13243" t="str">
        <f>"13239"</f>
        <v>13239</v>
      </c>
      <c r="B13243" t="str">
        <f t="shared" si="737"/>
        <v>1</v>
      </c>
      <c r="C13243" t="str">
        <f t="shared" si="736"/>
        <v>265</v>
      </c>
      <c r="D13243" t="str">
        <f>"4"</f>
        <v>4</v>
      </c>
      <c r="E13243" t="str">
        <f>"1-265-4"</f>
        <v>1-265-4</v>
      </c>
      <c r="F13243" t="s">
        <v>65</v>
      </c>
      <c r="G13243" t="s">
        <v>66</v>
      </c>
      <c r="H13243" t="s">
        <v>67</v>
      </c>
      <c r="S13243">
        <v>1</v>
      </c>
      <c r="T13243">
        <v>0</v>
      </c>
      <c r="U13243">
        <v>0</v>
      </c>
      <c r="V13243">
        <v>0</v>
      </c>
      <c r="W13243">
        <v>1</v>
      </c>
      <c r="X13243">
        <v>0</v>
      </c>
      <c r="Y13243">
        <v>1</v>
      </c>
      <c r="Z13243">
        <v>0</v>
      </c>
      <c r="AA13243">
        <v>1</v>
      </c>
      <c r="AB13243">
        <v>0</v>
      </c>
      <c r="AC13243">
        <v>0</v>
      </c>
      <c r="AD13243">
        <v>1</v>
      </c>
      <c r="AE13243">
        <v>1</v>
      </c>
      <c r="AF13243">
        <v>1</v>
      </c>
      <c r="AG13243">
        <v>1</v>
      </c>
      <c r="AH13243">
        <v>1</v>
      </c>
      <c r="AI13243">
        <v>1</v>
      </c>
      <c r="AJ13243">
        <v>1</v>
      </c>
      <c r="AK13243">
        <v>1</v>
      </c>
      <c r="AL13243">
        <v>1</v>
      </c>
      <c r="AM13243">
        <v>1</v>
      </c>
    </row>
    <row r="13244" spans="1:39" x14ac:dyDescent="0.2">
      <c r="A13244" t="str">
        <f>"13240"</f>
        <v>13240</v>
      </c>
      <c r="B13244" t="str">
        <f t="shared" si="737"/>
        <v>1</v>
      </c>
      <c r="C13244" t="str">
        <f t="shared" si="736"/>
        <v>265</v>
      </c>
      <c r="D13244" t="str">
        <f>"47"</f>
        <v>47</v>
      </c>
      <c r="E13244" t="str">
        <f>"1-265-47"</f>
        <v>1-265-47</v>
      </c>
      <c r="F13244" t="s">
        <v>65</v>
      </c>
      <c r="G13244" t="s">
        <v>66</v>
      </c>
      <c r="H13244" t="s">
        <v>67</v>
      </c>
      <c r="S13244">
        <v>1</v>
      </c>
      <c r="T13244">
        <v>0</v>
      </c>
      <c r="U13244">
        <v>0</v>
      </c>
      <c r="V13244">
        <v>0</v>
      </c>
      <c r="W13244">
        <v>1</v>
      </c>
      <c r="X13244">
        <v>0</v>
      </c>
      <c r="Y13244">
        <v>1</v>
      </c>
      <c r="Z13244">
        <v>0</v>
      </c>
      <c r="AA13244">
        <v>1</v>
      </c>
      <c r="AB13244">
        <v>0</v>
      </c>
      <c r="AC13244">
        <v>0</v>
      </c>
      <c r="AD13244">
        <v>1</v>
      </c>
      <c r="AE13244">
        <v>1</v>
      </c>
      <c r="AF13244">
        <v>1</v>
      </c>
      <c r="AG13244">
        <v>1</v>
      </c>
      <c r="AH13244">
        <v>1</v>
      </c>
      <c r="AI13244">
        <v>1</v>
      </c>
      <c r="AJ13244">
        <v>1</v>
      </c>
      <c r="AK13244">
        <v>1</v>
      </c>
      <c r="AL13244">
        <v>1</v>
      </c>
      <c r="AM13244">
        <v>1</v>
      </c>
    </row>
    <row r="13245" spans="1:39" x14ac:dyDescent="0.2">
      <c r="A13245" t="str">
        <f>"13241"</f>
        <v>13241</v>
      </c>
      <c r="B13245" t="str">
        <f t="shared" si="737"/>
        <v>1</v>
      </c>
      <c r="C13245" t="str">
        <f t="shared" si="736"/>
        <v>265</v>
      </c>
      <c r="D13245" t="str">
        <f>"28"</f>
        <v>28</v>
      </c>
      <c r="E13245" t="str">
        <f>"1-265-28"</f>
        <v>1-265-28</v>
      </c>
      <c r="F13245" t="s">
        <v>65</v>
      </c>
      <c r="G13245" t="s">
        <v>66</v>
      </c>
      <c r="H13245" t="s">
        <v>67</v>
      </c>
      <c r="S13245">
        <v>1</v>
      </c>
      <c r="T13245">
        <v>0</v>
      </c>
      <c r="U13245">
        <v>0</v>
      </c>
      <c r="V13245">
        <v>0</v>
      </c>
      <c r="W13245">
        <v>1</v>
      </c>
      <c r="X13245">
        <v>0</v>
      </c>
      <c r="Y13245">
        <v>1</v>
      </c>
      <c r="Z13245">
        <v>0</v>
      </c>
      <c r="AA13245">
        <v>0</v>
      </c>
      <c r="AB13245">
        <v>1</v>
      </c>
      <c r="AC13245">
        <v>0</v>
      </c>
      <c r="AD13245">
        <v>1</v>
      </c>
      <c r="AE13245">
        <v>1</v>
      </c>
      <c r="AF13245">
        <v>1</v>
      </c>
      <c r="AG13245">
        <v>1</v>
      </c>
      <c r="AH13245">
        <v>1</v>
      </c>
      <c r="AI13245">
        <v>1</v>
      </c>
      <c r="AJ13245">
        <v>0</v>
      </c>
      <c r="AK13245">
        <v>1</v>
      </c>
      <c r="AL13245">
        <v>1</v>
      </c>
      <c r="AM13245">
        <v>1</v>
      </c>
    </row>
    <row r="13246" spans="1:39" x14ac:dyDescent="0.2">
      <c r="A13246" t="str">
        <f>"13242"</f>
        <v>13242</v>
      </c>
      <c r="B13246" t="str">
        <f t="shared" si="737"/>
        <v>1</v>
      </c>
      <c r="C13246" t="str">
        <f t="shared" si="736"/>
        <v>265</v>
      </c>
      <c r="D13246" t="str">
        <f>"6"</f>
        <v>6</v>
      </c>
      <c r="E13246" t="str">
        <f>"1-265-6"</f>
        <v>1-265-6</v>
      </c>
      <c r="F13246" t="s">
        <v>65</v>
      </c>
      <c r="G13246" t="s">
        <v>66</v>
      </c>
      <c r="H13246" t="s">
        <v>67</v>
      </c>
      <c r="S13246">
        <v>1</v>
      </c>
      <c r="T13246">
        <v>0</v>
      </c>
      <c r="U13246">
        <v>0</v>
      </c>
      <c r="V13246">
        <v>0</v>
      </c>
      <c r="W13246">
        <v>1</v>
      </c>
      <c r="X13246">
        <v>0</v>
      </c>
      <c r="Y13246">
        <v>1</v>
      </c>
      <c r="Z13246">
        <v>0</v>
      </c>
      <c r="AA13246">
        <v>1</v>
      </c>
      <c r="AB13246">
        <v>0</v>
      </c>
      <c r="AC13246">
        <v>0</v>
      </c>
      <c r="AD13246">
        <v>1</v>
      </c>
      <c r="AE13246">
        <v>1</v>
      </c>
      <c r="AF13246">
        <v>1</v>
      </c>
      <c r="AG13246">
        <v>1</v>
      </c>
      <c r="AH13246">
        <v>1</v>
      </c>
      <c r="AI13246">
        <v>1</v>
      </c>
      <c r="AJ13246">
        <v>1</v>
      </c>
      <c r="AK13246">
        <v>1</v>
      </c>
      <c r="AL13246">
        <v>1</v>
      </c>
      <c r="AM13246">
        <v>1</v>
      </c>
    </row>
    <row r="13247" spans="1:39" x14ac:dyDescent="0.2">
      <c r="A13247" t="str">
        <f>"13243"</f>
        <v>13243</v>
      </c>
      <c r="B13247" t="str">
        <f t="shared" si="737"/>
        <v>1</v>
      </c>
      <c r="C13247" t="str">
        <f t="shared" si="736"/>
        <v>265</v>
      </c>
      <c r="D13247" t="str">
        <f>"50"</f>
        <v>50</v>
      </c>
      <c r="E13247" t="str">
        <f>"1-265-50"</f>
        <v>1-265-50</v>
      </c>
      <c r="F13247" t="s">
        <v>65</v>
      </c>
      <c r="G13247" t="s">
        <v>66</v>
      </c>
      <c r="H13247" t="s">
        <v>67</v>
      </c>
      <c r="S13247">
        <v>1</v>
      </c>
      <c r="T13247">
        <v>0</v>
      </c>
      <c r="U13247">
        <v>0</v>
      </c>
      <c r="V13247">
        <v>0</v>
      </c>
      <c r="W13247">
        <v>1</v>
      </c>
      <c r="X13247">
        <v>0</v>
      </c>
      <c r="Y13247">
        <v>1</v>
      </c>
      <c r="Z13247">
        <v>0</v>
      </c>
      <c r="AA13247">
        <v>1</v>
      </c>
      <c r="AB13247">
        <v>0</v>
      </c>
      <c r="AC13247">
        <v>0</v>
      </c>
      <c r="AD13247">
        <v>0</v>
      </c>
      <c r="AE13247">
        <v>0</v>
      </c>
      <c r="AF13247">
        <v>0</v>
      </c>
      <c r="AG13247">
        <v>0</v>
      </c>
      <c r="AH13247">
        <v>0</v>
      </c>
      <c r="AI13247">
        <v>0</v>
      </c>
      <c r="AJ13247">
        <v>0</v>
      </c>
      <c r="AK13247">
        <v>0</v>
      </c>
      <c r="AL13247">
        <v>0</v>
      </c>
      <c r="AM13247">
        <v>0</v>
      </c>
    </row>
    <row r="13248" spans="1:39" x14ac:dyDescent="0.2">
      <c r="A13248" t="str">
        <f>"13244"</f>
        <v>13244</v>
      </c>
      <c r="B13248" t="str">
        <f t="shared" si="737"/>
        <v>1</v>
      </c>
      <c r="C13248" t="str">
        <f t="shared" si="736"/>
        <v>265</v>
      </c>
      <c r="D13248" t="str">
        <f>"29"</f>
        <v>29</v>
      </c>
      <c r="E13248" t="str">
        <f>"1-265-29"</f>
        <v>1-265-29</v>
      </c>
      <c r="F13248" t="s">
        <v>65</v>
      </c>
      <c r="G13248" t="s">
        <v>66</v>
      </c>
      <c r="H13248" t="s">
        <v>67</v>
      </c>
      <c r="S13248">
        <v>1</v>
      </c>
      <c r="T13248">
        <v>0</v>
      </c>
      <c r="U13248">
        <v>0</v>
      </c>
      <c r="V13248">
        <v>0</v>
      </c>
      <c r="W13248">
        <v>1</v>
      </c>
      <c r="X13248">
        <v>0</v>
      </c>
      <c r="Y13248">
        <v>1</v>
      </c>
      <c r="Z13248">
        <v>0</v>
      </c>
      <c r="AA13248">
        <v>0</v>
      </c>
      <c r="AB13248">
        <v>1</v>
      </c>
      <c r="AC13248">
        <v>0</v>
      </c>
      <c r="AD13248">
        <v>1</v>
      </c>
      <c r="AE13248">
        <v>1</v>
      </c>
      <c r="AF13248">
        <v>1</v>
      </c>
      <c r="AG13248">
        <v>1</v>
      </c>
      <c r="AH13248">
        <v>1</v>
      </c>
      <c r="AI13248">
        <v>1</v>
      </c>
      <c r="AJ13248">
        <v>1</v>
      </c>
      <c r="AK13248">
        <v>1</v>
      </c>
      <c r="AL13248">
        <v>1</v>
      </c>
      <c r="AM13248">
        <v>1</v>
      </c>
    </row>
    <row r="13249" spans="1:39" x14ac:dyDescent="0.2">
      <c r="A13249" t="str">
        <f>"13245"</f>
        <v>13245</v>
      </c>
      <c r="B13249" t="str">
        <f t="shared" si="737"/>
        <v>1</v>
      </c>
      <c r="C13249" t="str">
        <f t="shared" si="736"/>
        <v>265</v>
      </c>
      <c r="D13249" t="str">
        <f>"8"</f>
        <v>8</v>
      </c>
      <c r="E13249" t="str">
        <f>"1-265-8"</f>
        <v>1-265-8</v>
      </c>
      <c r="F13249" t="s">
        <v>65</v>
      </c>
      <c r="G13249" t="s">
        <v>66</v>
      </c>
      <c r="H13249" t="s">
        <v>67</v>
      </c>
      <c r="S13249">
        <v>0</v>
      </c>
      <c r="T13249">
        <v>1</v>
      </c>
      <c r="U13249">
        <v>0</v>
      </c>
      <c r="V13249">
        <v>0</v>
      </c>
      <c r="W13249">
        <v>1</v>
      </c>
      <c r="X13249">
        <v>0</v>
      </c>
      <c r="Y13249">
        <v>1</v>
      </c>
      <c r="Z13249">
        <v>0</v>
      </c>
      <c r="AA13249">
        <v>0</v>
      </c>
      <c r="AB13249">
        <v>1</v>
      </c>
      <c r="AC13249">
        <v>0</v>
      </c>
      <c r="AD13249">
        <v>1</v>
      </c>
      <c r="AE13249">
        <v>1</v>
      </c>
      <c r="AF13249">
        <v>1</v>
      </c>
      <c r="AG13249">
        <v>1</v>
      </c>
      <c r="AH13249">
        <v>1</v>
      </c>
      <c r="AI13249">
        <v>1</v>
      </c>
      <c r="AJ13249">
        <v>1</v>
      </c>
      <c r="AK13249">
        <v>1</v>
      </c>
      <c r="AL13249">
        <v>1</v>
      </c>
      <c r="AM13249">
        <v>1</v>
      </c>
    </row>
    <row r="13250" spans="1:39" x14ac:dyDescent="0.2">
      <c r="A13250" t="str">
        <f>"13246"</f>
        <v>13246</v>
      </c>
      <c r="B13250" t="str">
        <f t="shared" si="737"/>
        <v>1</v>
      </c>
      <c r="C13250" t="str">
        <f t="shared" si="736"/>
        <v>265</v>
      </c>
      <c r="D13250" t="str">
        <f>"48"</f>
        <v>48</v>
      </c>
      <c r="E13250" t="str">
        <f>"1-265-48"</f>
        <v>1-265-48</v>
      </c>
      <c r="F13250" t="s">
        <v>65</v>
      </c>
      <c r="G13250" t="s">
        <v>66</v>
      </c>
      <c r="H13250" t="s">
        <v>67</v>
      </c>
      <c r="S13250">
        <v>1</v>
      </c>
      <c r="T13250">
        <v>0</v>
      </c>
      <c r="U13250">
        <v>0</v>
      </c>
      <c r="V13250">
        <v>0</v>
      </c>
      <c r="W13250">
        <v>1</v>
      </c>
      <c r="X13250">
        <v>0</v>
      </c>
      <c r="Y13250">
        <v>0</v>
      </c>
      <c r="Z13250">
        <v>1</v>
      </c>
      <c r="AA13250">
        <v>0</v>
      </c>
      <c r="AB13250">
        <v>1</v>
      </c>
      <c r="AC13250">
        <v>0</v>
      </c>
      <c r="AD13250">
        <v>1</v>
      </c>
      <c r="AE13250">
        <v>1</v>
      </c>
      <c r="AF13250">
        <v>1</v>
      </c>
      <c r="AG13250">
        <v>1</v>
      </c>
      <c r="AH13250">
        <v>1</v>
      </c>
      <c r="AI13250">
        <v>1</v>
      </c>
      <c r="AJ13250">
        <v>1</v>
      </c>
      <c r="AK13250">
        <v>1</v>
      </c>
      <c r="AL13250">
        <v>1</v>
      </c>
      <c r="AM13250">
        <v>1</v>
      </c>
    </row>
    <row r="13251" spans="1:39" x14ac:dyDescent="0.2">
      <c r="A13251" t="str">
        <f>"13247"</f>
        <v>13247</v>
      </c>
      <c r="B13251" t="str">
        <f t="shared" si="737"/>
        <v>1</v>
      </c>
      <c r="C13251" t="str">
        <f t="shared" si="736"/>
        <v>265</v>
      </c>
      <c r="D13251" t="str">
        <f>"30"</f>
        <v>30</v>
      </c>
      <c r="E13251" t="str">
        <f>"1-265-30"</f>
        <v>1-265-30</v>
      </c>
      <c r="F13251" t="s">
        <v>65</v>
      </c>
      <c r="G13251" t="s">
        <v>66</v>
      </c>
      <c r="H13251" t="s">
        <v>67</v>
      </c>
      <c r="S13251">
        <v>1</v>
      </c>
      <c r="T13251">
        <v>0</v>
      </c>
      <c r="U13251">
        <v>0</v>
      </c>
      <c r="V13251">
        <v>0</v>
      </c>
      <c r="W13251">
        <v>1</v>
      </c>
      <c r="X13251">
        <v>0</v>
      </c>
      <c r="Y13251">
        <v>1</v>
      </c>
      <c r="Z13251">
        <v>0</v>
      </c>
      <c r="AA13251">
        <v>1</v>
      </c>
      <c r="AB13251">
        <v>0</v>
      </c>
      <c r="AC13251">
        <v>0</v>
      </c>
      <c r="AD13251">
        <v>1</v>
      </c>
      <c r="AE13251">
        <v>1</v>
      </c>
      <c r="AF13251">
        <v>1</v>
      </c>
      <c r="AG13251">
        <v>1</v>
      </c>
      <c r="AH13251">
        <v>1</v>
      </c>
      <c r="AI13251">
        <v>1</v>
      </c>
      <c r="AJ13251">
        <v>1</v>
      </c>
      <c r="AK13251">
        <v>1</v>
      </c>
      <c r="AL13251">
        <v>1</v>
      </c>
      <c r="AM13251">
        <v>1</v>
      </c>
    </row>
    <row r="13252" spans="1:39" x14ac:dyDescent="0.2">
      <c r="A13252" t="str">
        <f>"13248"</f>
        <v>13248</v>
      </c>
      <c r="B13252" t="str">
        <f t="shared" si="737"/>
        <v>1</v>
      </c>
      <c r="C13252" t="str">
        <f t="shared" si="736"/>
        <v>265</v>
      </c>
      <c r="D13252" t="str">
        <f>"14"</f>
        <v>14</v>
      </c>
      <c r="E13252" t="str">
        <f>"1-265-14"</f>
        <v>1-265-14</v>
      </c>
      <c r="F13252" t="s">
        <v>65</v>
      </c>
      <c r="G13252" t="s">
        <v>66</v>
      </c>
      <c r="H13252" t="s">
        <v>67</v>
      </c>
      <c r="S13252">
        <v>0</v>
      </c>
      <c r="T13252">
        <v>1</v>
      </c>
      <c r="U13252">
        <v>0</v>
      </c>
      <c r="V13252">
        <v>0</v>
      </c>
      <c r="W13252">
        <v>1</v>
      </c>
      <c r="X13252">
        <v>0</v>
      </c>
      <c r="Y13252">
        <v>1</v>
      </c>
      <c r="Z13252">
        <v>0</v>
      </c>
      <c r="AA13252">
        <v>0</v>
      </c>
      <c r="AB13252">
        <v>1</v>
      </c>
      <c r="AC13252">
        <v>0</v>
      </c>
      <c r="AD13252">
        <v>1</v>
      </c>
      <c r="AE13252">
        <v>1</v>
      </c>
      <c r="AF13252">
        <v>1</v>
      </c>
      <c r="AG13252">
        <v>1</v>
      </c>
      <c r="AH13252">
        <v>1</v>
      </c>
      <c r="AI13252">
        <v>1</v>
      </c>
      <c r="AJ13252">
        <v>1</v>
      </c>
      <c r="AK13252">
        <v>1</v>
      </c>
      <c r="AL13252">
        <v>1</v>
      </c>
      <c r="AM13252">
        <v>1</v>
      </c>
    </row>
    <row r="13253" spans="1:39" x14ac:dyDescent="0.2">
      <c r="A13253" t="str">
        <f>"13249"</f>
        <v>13249</v>
      </c>
      <c r="B13253" t="str">
        <f t="shared" si="737"/>
        <v>1</v>
      </c>
      <c r="C13253" t="str">
        <f t="shared" si="736"/>
        <v>265</v>
      </c>
      <c r="D13253" t="str">
        <f>"42"</f>
        <v>42</v>
      </c>
      <c r="E13253" t="str">
        <f>"1-265-42"</f>
        <v>1-265-42</v>
      </c>
      <c r="F13253" t="s">
        <v>65</v>
      </c>
      <c r="G13253" t="s">
        <v>66</v>
      </c>
      <c r="H13253" t="s">
        <v>67</v>
      </c>
      <c r="S13253">
        <v>1</v>
      </c>
      <c r="T13253">
        <v>0</v>
      </c>
      <c r="U13253">
        <v>0</v>
      </c>
      <c r="V13253">
        <v>0</v>
      </c>
      <c r="W13253">
        <v>1</v>
      </c>
      <c r="X13253">
        <v>0</v>
      </c>
      <c r="Y13253">
        <v>0</v>
      </c>
      <c r="Z13253">
        <v>1</v>
      </c>
      <c r="AA13253">
        <v>0</v>
      </c>
      <c r="AB13253">
        <v>1</v>
      </c>
      <c r="AC13253">
        <v>0</v>
      </c>
      <c r="AD13253">
        <v>1</v>
      </c>
      <c r="AE13253">
        <v>1</v>
      </c>
      <c r="AF13253">
        <v>1</v>
      </c>
      <c r="AG13253">
        <v>1</v>
      </c>
      <c r="AH13253">
        <v>1</v>
      </c>
      <c r="AI13253">
        <v>1</v>
      </c>
      <c r="AJ13253">
        <v>1</v>
      </c>
      <c r="AK13253">
        <v>1</v>
      </c>
      <c r="AL13253">
        <v>1</v>
      </c>
      <c r="AM13253">
        <v>1</v>
      </c>
    </row>
    <row r="13254" spans="1:39" x14ac:dyDescent="0.2">
      <c r="A13254" t="str">
        <f>"13250"</f>
        <v>13250</v>
      </c>
      <c r="B13254" t="str">
        <f t="shared" si="737"/>
        <v>1</v>
      </c>
      <c r="C13254" t="str">
        <f t="shared" si="736"/>
        <v>265</v>
      </c>
      <c r="D13254" t="str">
        <f>"21"</f>
        <v>21</v>
      </c>
      <c r="E13254" t="str">
        <f>"1-265-21"</f>
        <v>1-265-21</v>
      </c>
      <c r="F13254" t="s">
        <v>65</v>
      </c>
      <c r="G13254" t="s">
        <v>66</v>
      </c>
      <c r="H13254" t="s">
        <v>67</v>
      </c>
      <c r="S13254">
        <v>1</v>
      </c>
      <c r="T13254">
        <v>0</v>
      </c>
      <c r="U13254">
        <v>0</v>
      </c>
      <c r="V13254">
        <v>0</v>
      </c>
      <c r="W13254">
        <v>1</v>
      </c>
      <c r="X13254">
        <v>0</v>
      </c>
      <c r="Y13254">
        <v>1</v>
      </c>
      <c r="Z13254">
        <v>0</v>
      </c>
      <c r="AA13254">
        <v>0</v>
      </c>
      <c r="AB13254">
        <v>1</v>
      </c>
      <c r="AC13254">
        <v>0</v>
      </c>
      <c r="AD13254">
        <v>1</v>
      </c>
      <c r="AE13254">
        <v>1</v>
      </c>
      <c r="AF13254">
        <v>1</v>
      </c>
      <c r="AG13254">
        <v>1</v>
      </c>
      <c r="AH13254">
        <v>1</v>
      </c>
      <c r="AI13254">
        <v>1</v>
      </c>
      <c r="AJ13254">
        <v>1</v>
      </c>
      <c r="AK13254">
        <v>1</v>
      </c>
      <c r="AL13254">
        <v>1</v>
      </c>
      <c r="AM13254">
        <v>1</v>
      </c>
    </row>
    <row r="13255" spans="1:39" x14ac:dyDescent="0.2">
      <c r="A13255" t="str">
        <f>"13251"</f>
        <v>13251</v>
      </c>
      <c r="B13255" t="str">
        <f t="shared" si="737"/>
        <v>1</v>
      </c>
      <c r="C13255" t="str">
        <f t="shared" ref="C13255:C13286" si="738">"266"</f>
        <v>266</v>
      </c>
      <c r="D13255" t="str">
        <f>"34"</f>
        <v>34</v>
      </c>
      <c r="E13255" t="str">
        <f>"1-266-34"</f>
        <v>1-266-34</v>
      </c>
      <c r="F13255" t="s">
        <v>65</v>
      </c>
      <c r="G13255" t="s">
        <v>66</v>
      </c>
      <c r="H13255" t="s">
        <v>67</v>
      </c>
      <c r="S13255">
        <v>0</v>
      </c>
      <c r="T13255">
        <v>1</v>
      </c>
      <c r="U13255">
        <v>0</v>
      </c>
      <c r="V13255">
        <v>0</v>
      </c>
      <c r="W13255">
        <v>1</v>
      </c>
      <c r="X13255">
        <v>0</v>
      </c>
      <c r="Y13255">
        <v>0</v>
      </c>
      <c r="Z13255">
        <v>1</v>
      </c>
      <c r="AA13255">
        <v>1</v>
      </c>
      <c r="AB13255">
        <v>0</v>
      </c>
      <c r="AC13255">
        <v>0</v>
      </c>
      <c r="AD13255">
        <v>1</v>
      </c>
      <c r="AE13255">
        <v>0</v>
      </c>
      <c r="AF13255">
        <v>0</v>
      </c>
      <c r="AG13255">
        <v>1</v>
      </c>
      <c r="AH13255">
        <v>1</v>
      </c>
      <c r="AI13255">
        <v>1</v>
      </c>
      <c r="AJ13255">
        <v>1</v>
      </c>
      <c r="AK13255">
        <v>1</v>
      </c>
      <c r="AL13255">
        <v>1</v>
      </c>
      <c r="AM13255">
        <v>1</v>
      </c>
    </row>
    <row r="13256" spans="1:39" x14ac:dyDescent="0.2">
      <c r="A13256" t="str">
        <f>"13252"</f>
        <v>13252</v>
      </c>
      <c r="B13256" t="str">
        <f t="shared" si="737"/>
        <v>1</v>
      </c>
      <c r="C13256" t="str">
        <f t="shared" si="738"/>
        <v>266</v>
      </c>
      <c r="D13256" t="str">
        <f>"33"</f>
        <v>33</v>
      </c>
      <c r="E13256" t="str">
        <f>"1-266-33"</f>
        <v>1-266-33</v>
      </c>
      <c r="F13256" t="s">
        <v>65</v>
      </c>
      <c r="G13256" t="s">
        <v>66</v>
      </c>
      <c r="H13256" t="s">
        <v>67</v>
      </c>
      <c r="S13256">
        <v>1</v>
      </c>
      <c r="T13256">
        <v>0</v>
      </c>
      <c r="U13256">
        <v>0</v>
      </c>
      <c r="V13256">
        <v>0</v>
      </c>
      <c r="W13256">
        <v>1</v>
      </c>
      <c r="X13256">
        <v>0</v>
      </c>
      <c r="Y13256">
        <v>0</v>
      </c>
      <c r="Z13256">
        <v>1</v>
      </c>
      <c r="AA13256">
        <v>1</v>
      </c>
      <c r="AB13256">
        <v>0</v>
      </c>
      <c r="AC13256">
        <v>0</v>
      </c>
      <c r="AD13256">
        <v>1</v>
      </c>
      <c r="AE13256">
        <v>1</v>
      </c>
      <c r="AF13256">
        <v>1</v>
      </c>
      <c r="AG13256">
        <v>1</v>
      </c>
      <c r="AH13256">
        <v>1</v>
      </c>
      <c r="AI13256">
        <v>1</v>
      </c>
      <c r="AJ13256">
        <v>1</v>
      </c>
      <c r="AK13256">
        <v>1</v>
      </c>
      <c r="AL13256">
        <v>1</v>
      </c>
      <c r="AM13256">
        <v>1</v>
      </c>
    </row>
    <row r="13257" spans="1:39" x14ac:dyDescent="0.2">
      <c r="A13257" t="str">
        <f>"13253"</f>
        <v>13253</v>
      </c>
      <c r="B13257" t="str">
        <f t="shared" si="737"/>
        <v>1</v>
      </c>
      <c r="C13257" t="str">
        <f t="shared" si="738"/>
        <v>266</v>
      </c>
      <c r="D13257" t="str">
        <f>"23"</f>
        <v>23</v>
      </c>
      <c r="E13257" t="str">
        <f>"1-266-23"</f>
        <v>1-266-23</v>
      </c>
      <c r="F13257" t="s">
        <v>65</v>
      </c>
      <c r="G13257" t="s">
        <v>66</v>
      </c>
      <c r="H13257" t="s">
        <v>67</v>
      </c>
      <c r="S13257">
        <v>1</v>
      </c>
      <c r="T13257">
        <v>0</v>
      </c>
      <c r="U13257">
        <v>0</v>
      </c>
      <c r="V13257">
        <v>0</v>
      </c>
      <c r="W13257">
        <v>1</v>
      </c>
      <c r="X13257">
        <v>0</v>
      </c>
      <c r="Y13257">
        <v>1</v>
      </c>
      <c r="Z13257">
        <v>0</v>
      </c>
      <c r="AA13257">
        <v>0</v>
      </c>
      <c r="AB13257">
        <v>0</v>
      </c>
      <c r="AC13257">
        <v>0</v>
      </c>
      <c r="AD13257">
        <v>1</v>
      </c>
      <c r="AE13257">
        <v>1</v>
      </c>
      <c r="AF13257">
        <v>1</v>
      </c>
      <c r="AG13257">
        <v>1</v>
      </c>
      <c r="AH13257">
        <v>1</v>
      </c>
      <c r="AI13257">
        <v>1</v>
      </c>
      <c r="AJ13257">
        <v>1</v>
      </c>
      <c r="AK13257">
        <v>1</v>
      </c>
      <c r="AL13257">
        <v>1</v>
      </c>
      <c r="AM13257">
        <v>1</v>
      </c>
    </row>
    <row r="13258" spans="1:39" x14ac:dyDescent="0.2">
      <c r="A13258" t="str">
        <f>"13254"</f>
        <v>13254</v>
      </c>
      <c r="B13258" t="str">
        <f t="shared" si="737"/>
        <v>1</v>
      </c>
      <c r="C13258" t="str">
        <f t="shared" si="738"/>
        <v>266</v>
      </c>
      <c r="D13258" t="str">
        <f>"15"</f>
        <v>15</v>
      </c>
      <c r="E13258" t="str">
        <f>"1-266-15"</f>
        <v>1-266-15</v>
      </c>
      <c r="F13258" t="s">
        <v>65</v>
      </c>
      <c r="G13258" t="s">
        <v>66</v>
      </c>
      <c r="H13258" t="s">
        <v>68</v>
      </c>
      <c r="I13258">
        <v>1</v>
      </c>
      <c r="J13258">
        <v>0</v>
      </c>
      <c r="K13258">
        <v>0</v>
      </c>
      <c r="L13258">
        <v>1</v>
      </c>
      <c r="M13258">
        <v>1</v>
      </c>
      <c r="N13258">
        <v>1</v>
      </c>
      <c r="O13258">
        <v>1</v>
      </c>
      <c r="P13258">
        <v>1</v>
      </c>
      <c r="Q13258">
        <v>1</v>
      </c>
      <c r="R13258">
        <v>1</v>
      </c>
    </row>
    <row r="13259" spans="1:39" x14ac:dyDescent="0.2">
      <c r="A13259" t="str">
        <f>"13255"</f>
        <v>13255</v>
      </c>
      <c r="B13259" t="str">
        <f t="shared" si="737"/>
        <v>1</v>
      </c>
      <c r="C13259" t="str">
        <f t="shared" si="738"/>
        <v>266</v>
      </c>
      <c r="D13259" t="str">
        <f>"2"</f>
        <v>2</v>
      </c>
      <c r="E13259" t="str">
        <f>"1-266-2"</f>
        <v>1-266-2</v>
      </c>
      <c r="F13259" t="s">
        <v>65</v>
      </c>
      <c r="G13259" t="s">
        <v>66</v>
      </c>
      <c r="H13259" t="s">
        <v>68</v>
      </c>
      <c r="I13259">
        <v>1</v>
      </c>
      <c r="J13259">
        <v>0</v>
      </c>
      <c r="K13259">
        <v>0</v>
      </c>
      <c r="L13259">
        <v>1</v>
      </c>
      <c r="M13259">
        <v>1</v>
      </c>
      <c r="N13259">
        <v>1</v>
      </c>
      <c r="O13259">
        <v>0</v>
      </c>
      <c r="P13259">
        <v>0</v>
      </c>
      <c r="Q13259">
        <v>1</v>
      </c>
      <c r="R13259">
        <v>0</v>
      </c>
    </row>
    <row r="13260" spans="1:39" x14ac:dyDescent="0.2">
      <c r="A13260" t="str">
        <f>"13256"</f>
        <v>13256</v>
      </c>
      <c r="B13260" t="str">
        <f t="shared" si="737"/>
        <v>1</v>
      </c>
      <c r="C13260" t="str">
        <f t="shared" si="738"/>
        <v>266</v>
      </c>
      <c r="D13260" t="str">
        <f>"37"</f>
        <v>37</v>
      </c>
      <c r="E13260" t="str">
        <f>"1-266-37"</f>
        <v>1-266-37</v>
      </c>
      <c r="F13260" t="s">
        <v>65</v>
      </c>
      <c r="G13260" t="s">
        <v>66</v>
      </c>
      <c r="H13260" t="s">
        <v>67</v>
      </c>
      <c r="S13260">
        <v>0</v>
      </c>
      <c r="T13260">
        <v>1</v>
      </c>
      <c r="U13260">
        <v>0</v>
      </c>
      <c r="V13260">
        <v>0</v>
      </c>
      <c r="W13260">
        <v>0</v>
      </c>
      <c r="X13260">
        <v>1</v>
      </c>
      <c r="Y13260">
        <v>0</v>
      </c>
      <c r="Z13260">
        <v>1</v>
      </c>
      <c r="AA13260">
        <v>1</v>
      </c>
      <c r="AB13260">
        <v>0</v>
      </c>
      <c r="AC13260">
        <v>0</v>
      </c>
      <c r="AD13260">
        <v>1</v>
      </c>
      <c r="AE13260">
        <v>1</v>
      </c>
      <c r="AF13260">
        <v>1</v>
      </c>
      <c r="AG13260">
        <v>1</v>
      </c>
      <c r="AH13260">
        <v>1</v>
      </c>
      <c r="AI13260">
        <v>1</v>
      </c>
      <c r="AJ13260">
        <v>1</v>
      </c>
      <c r="AK13260">
        <v>1</v>
      </c>
      <c r="AL13260">
        <v>1</v>
      </c>
      <c r="AM13260">
        <v>1</v>
      </c>
    </row>
    <row r="13261" spans="1:39" x14ac:dyDescent="0.2">
      <c r="A13261" t="str">
        <f>"13257"</f>
        <v>13257</v>
      </c>
      <c r="B13261" t="str">
        <f t="shared" si="737"/>
        <v>1</v>
      </c>
      <c r="C13261" t="str">
        <f t="shared" si="738"/>
        <v>266</v>
      </c>
      <c r="D13261" t="str">
        <f>"28"</f>
        <v>28</v>
      </c>
      <c r="E13261" t="str">
        <f>"1-266-28"</f>
        <v>1-266-28</v>
      </c>
      <c r="F13261" t="s">
        <v>65</v>
      </c>
      <c r="G13261" t="s">
        <v>66</v>
      </c>
      <c r="H13261" t="s">
        <v>68</v>
      </c>
      <c r="I13261">
        <v>0</v>
      </c>
      <c r="J13261">
        <v>0</v>
      </c>
      <c r="K13261">
        <v>1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</row>
    <row r="13262" spans="1:39" x14ac:dyDescent="0.2">
      <c r="A13262" t="str">
        <f>"13258"</f>
        <v>13258</v>
      </c>
      <c r="B13262" t="str">
        <f t="shared" si="737"/>
        <v>1</v>
      </c>
      <c r="C13262" t="str">
        <f t="shared" si="738"/>
        <v>266</v>
      </c>
      <c r="D13262" t="str">
        <f>"16"</f>
        <v>16</v>
      </c>
      <c r="E13262" t="str">
        <f>"1-266-16"</f>
        <v>1-266-16</v>
      </c>
      <c r="F13262" t="s">
        <v>65</v>
      </c>
      <c r="G13262" t="s">
        <v>66</v>
      </c>
      <c r="H13262" t="s">
        <v>68</v>
      </c>
      <c r="I13262">
        <v>1</v>
      </c>
      <c r="J13262">
        <v>1</v>
      </c>
      <c r="K13262">
        <v>0</v>
      </c>
      <c r="L13262">
        <v>0</v>
      </c>
      <c r="M13262">
        <v>1</v>
      </c>
      <c r="N13262">
        <v>1</v>
      </c>
      <c r="O13262">
        <v>1</v>
      </c>
      <c r="P13262">
        <v>1</v>
      </c>
      <c r="Q13262">
        <v>1</v>
      </c>
      <c r="R13262">
        <v>1</v>
      </c>
    </row>
    <row r="13263" spans="1:39" x14ac:dyDescent="0.2">
      <c r="A13263" t="str">
        <f>"13259"</f>
        <v>13259</v>
      </c>
      <c r="B13263" t="str">
        <f t="shared" si="737"/>
        <v>1</v>
      </c>
      <c r="C13263" t="str">
        <f t="shared" si="738"/>
        <v>266</v>
      </c>
      <c r="D13263" t="str">
        <f>"9"</f>
        <v>9</v>
      </c>
      <c r="E13263" t="str">
        <f>"1-266-9"</f>
        <v>1-266-9</v>
      </c>
      <c r="F13263" t="s">
        <v>65</v>
      </c>
      <c r="G13263" t="s">
        <v>66</v>
      </c>
      <c r="H13263" t="s">
        <v>68</v>
      </c>
      <c r="I13263">
        <v>1</v>
      </c>
      <c r="J13263">
        <v>0</v>
      </c>
      <c r="K13263">
        <v>1</v>
      </c>
      <c r="L13263">
        <v>0</v>
      </c>
      <c r="M13263">
        <v>1</v>
      </c>
      <c r="N13263">
        <v>1</v>
      </c>
      <c r="O13263">
        <v>1</v>
      </c>
      <c r="P13263">
        <v>1</v>
      </c>
      <c r="Q13263">
        <v>1</v>
      </c>
      <c r="R13263">
        <v>1</v>
      </c>
    </row>
    <row r="13264" spans="1:39" x14ac:dyDescent="0.2">
      <c r="A13264" t="str">
        <f>"13260"</f>
        <v>13260</v>
      </c>
      <c r="B13264" t="str">
        <f t="shared" si="737"/>
        <v>1</v>
      </c>
      <c r="C13264" t="str">
        <f t="shared" si="738"/>
        <v>266</v>
      </c>
      <c r="D13264" t="str">
        <f>"43"</f>
        <v>43</v>
      </c>
      <c r="E13264" t="str">
        <f>"1-266-43"</f>
        <v>1-266-43</v>
      </c>
      <c r="F13264" t="s">
        <v>65</v>
      </c>
      <c r="G13264" t="s">
        <v>66</v>
      </c>
      <c r="H13264" t="s">
        <v>67</v>
      </c>
      <c r="S13264">
        <v>0</v>
      </c>
      <c r="T13264">
        <v>1</v>
      </c>
      <c r="U13264">
        <v>0</v>
      </c>
      <c r="V13264">
        <v>0</v>
      </c>
      <c r="W13264">
        <v>0</v>
      </c>
      <c r="X13264">
        <v>1</v>
      </c>
      <c r="Y13264">
        <v>0</v>
      </c>
      <c r="Z13264">
        <v>0</v>
      </c>
      <c r="AA13264">
        <v>0</v>
      </c>
      <c r="AB13264">
        <v>0</v>
      </c>
      <c r="AC13264">
        <v>1</v>
      </c>
      <c r="AD13264">
        <v>1</v>
      </c>
      <c r="AE13264">
        <v>1</v>
      </c>
      <c r="AF13264">
        <v>0</v>
      </c>
      <c r="AG13264">
        <v>1</v>
      </c>
      <c r="AH13264">
        <v>0</v>
      </c>
      <c r="AI13264">
        <v>1</v>
      </c>
      <c r="AJ13264">
        <v>0</v>
      </c>
      <c r="AK13264">
        <v>0</v>
      </c>
      <c r="AL13264">
        <v>0</v>
      </c>
      <c r="AM13264">
        <v>0</v>
      </c>
    </row>
    <row r="13265" spans="1:39" x14ac:dyDescent="0.2">
      <c r="A13265" t="str">
        <f>"13261"</f>
        <v>13261</v>
      </c>
      <c r="B13265" t="str">
        <f t="shared" si="737"/>
        <v>1</v>
      </c>
      <c r="C13265" t="str">
        <f t="shared" si="738"/>
        <v>266</v>
      </c>
      <c r="D13265" t="str">
        <f>"42"</f>
        <v>42</v>
      </c>
      <c r="E13265" t="str">
        <f>"1-266-42"</f>
        <v>1-266-42</v>
      </c>
      <c r="F13265" t="s">
        <v>65</v>
      </c>
      <c r="G13265" t="s">
        <v>66</v>
      </c>
      <c r="H13265" t="s">
        <v>68</v>
      </c>
      <c r="I13265">
        <v>1</v>
      </c>
      <c r="J13265">
        <v>1</v>
      </c>
      <c r="K13265">
        <v>0</v>
      </c>
      <c r="L13265">
        <v>0</v>
      </c>
      <c r="M13265">
        <v>1</v>
      </c>
      <c r="N13265">
        <v>1</v>
      </c>
      <c r="O13265">
        <v>1</v>
      </c>
      <c r="P13265">
        <v>1</v>
      </c>
      <c r="Q13265">
        <v>1</v>
      </c>
      <c r="R13265">
        <v>1</v>
      </c>
    </row>
    <row r="13266" spans="1:39" x14ac:dyDescent="0.2">
      <c r="A13266" t="str">
        <f>"13262"</f>
        <v>13262</v>
      </c>
      <c r="B13266" t="str">
        <f t="shared" si="737"/>
        <v>1</v>
      </c>
      <c r="C13266" t="str">
        <f t="shared" si="738"/>
        <v>266</v>
      </c>
      <c r="D13266" t="str">
        <f>"32"</f>
        <v>32</v>
      </c>
      <c r="E13266" t="str">
        <f>"1-266-32"</f>
        <v>1-266-32</v>
      </c>
      <c r="F13266" t="s">
        <v>65</v>
      </c>
      <c r="G13266" t="s">
        <v>66</v>
      </c>
      <c r="H13266" t="s">
        <v>67</v>
      </c>
      <c r="S13266">
        <v>0</v>
      </c>
      <c r="T13266">
        <v>1</v>
      </c>
      <c r="U13266">
        <v>0</v>
      </c>
      <c r="V13266">
        <v>0</v>
      </c>
      <c r="W13266">
        <v>0</v>
      </c>
      <c r="X13266">
        <v>1</v>
      </c>
      <c r="Y13266">
        <v>0</v>
      </c>
      <c r="Z13266">
        <v>1</v>
      </c>
      <c r="AA13266">
        <v>0</v>
      </c>
      <c r="AB13266">
        <v>0</v>
      </c>
      <c r="AC13266">
        <v>1</v>
      </c>
      <c r="AD13266">
        <v>1</v>
      </c>
      <c r="AE13266">
        <v>1</v>
      </c>
      <c r="AF13266">
        <v>1</v>
      </c>
      <c r="AG13266">
        <v>1</v>
      </c>
      <c r="AH13266">
        <v>1</v>
      </c>
      <c r="AI13266">
        <v>1</v>
      </c>
      <c r="AJ13266">
        <v>1</v>
      </c>
      <c r="AK13266">
        <v>1</v>
      </c>
      <c r="AL13266">
        <v>1</v>
      </c>
      <c r="AM13266">
        <v>1</v>
      </c>
    </row>
    <row r="13267" spans="1:39" x14ac:dyDescent="0.2">
      <c r="A13267" t="str">
        <f>"13263"</f>
        <v>13263</v>
      </c>
      <c r="B13267" t="str">
        <f t="shared" si="737"/>
        <v>1</v>
      </c>
      <c r="C13267" t="str">
        <f t="shared" si="738"/>
        <v>266</v>
      </c>
      <c r="D13267" t="str">
        <f>"17"</f>
        <v>17</v>
      </c>
      <c r="E13267" t="str">
        <f>"1-266-17"</f>
        <v>1-266-17</v>
      </c>
      <c r="F13267" t="s">
        <v>65</v>
      </c>
      <c r="G13267" t="s">
        <v>66</v>
      </c>
      <c r="H13267" t="s">
        <v>68</v>
      </c>
      <c r="I13267">
        <v>1</v>
      </c>
      <c r="J13267">
        <v>1</v>
      </c>
      <c r="K13267">
        <v>0</v>
      </c>
      <c r="L13267">
        <v>0</v>
      </c>
      <c r="M13267">
        <v>1</v>
      </c>
      <c r="N13267">
        <v>1</v>
      </c>
      <c r="O13267">
        <v>1</v>
      </c>
      <c r="P13267">
        <v>1</v>
      </c>
      <c r="Q13267">
        <v>1</v>
      </c>
      <c r="R13267">
        <v>1</v>
      </c>
    </row>
    <row r="13268" spans="1:39" x14ac:dyDescent="0.2">
      <c r="A13268" t="str">
        <f>"13264"</f>
        <v>13264</v>
      </c>
      <c r="B13268" t="str">
        <f t="shared" si="737"/>
        <v>1</v>
      </c>
      <c r="C13268" t="str">
        <f t="shared" si="738"/>
        <v>266</v>
      </c>
      <c r="D13268" t="str">
        <f>"8"</f>
        <v>8</v>
      </c>
      <c r="E13268" t="str">
        <f>"1-266-8"</f>
        <v>1-266-8</v>
      </c>
      <c r="F13268" t="s">
        <v>65</v>
      </c>
      <c r="G13268" t="s">
        <v>66</v>
      </c>
      <c r="H13268" t="s">
        <v>68</v>
      </c>
      <c r="I13268">
        <v>1</v>
      </c>
      <c r="J13268">
        <v>1</v>
      </c>
      <c r="K13268">
        <v>0</v>
      </c>
      <c r="L13268">
        <v>0</v>
      </c>
      <c r="M13268">
        <v>1</v>
      </c>
      <c r="N13268">
        <v>1</v>
      </c>
      <c r="O13268">
        <v>1</v>
      </c>
      <c r="P13268">
        <v>1</v>
      </c>
      <c r="Q13268">
        <v>1</v>
      </c>
      <c r="R13268">
        <v>1</v>
      </c>
    </row>
    <row r="13269" spans="1:39" x14ac:dyDescent="0.2">
      <c r="A13269" t="str">
        <f>"13265"</f>
        <v>13265</v>
      </c>
      <c r="B13269" t="str">
        <f t="shared" si="737"/>
        <v>1</v>
      </c>
      <c r="C13269" t="str">
        <f t="shared" si="738"/>
        <v>266</v>
      </c>
      <c r="D13269" t="str">
        <f>"48"</f>
        <v>48</v>
      </c>
      <c r="E13269" t="str">
        <f>"1-266-48"</f>
        <v>1-266-48</v>
      </c>
      <c r="F13269" t="s">
        <v>65</v>
      </c>
      <c r="G13269" t="s">
        <v>66</v>
      </c>
      <c r="H13269" t="s">
        <v>67</v>
      </c>
      <c r="S13269">
        <v>0</v>
      </c>
      <c r="T13269">
        <v>0</v>
      </c>
      <c r="U13269">
        <v>0</v>
      </c>
      <c r="V13269">
        <v>0</v>
      </c>
      <c r="W13269">
        <v>0</v>
      </c>
      <c r="X13269">
        <v>1</v>
      </c>
      <c r="Y13269">
        <v>0</v>
      </c>
      <c r="Z13269">
        <v>1</v>
      </c>
      <c r="AA13269">
        <v>0</v>
      </c>
      <c r="AB13269">
        <v>0</v>
      </c>
      <c r="AC13269">
        <v>0</v>
      </c>
      <c r="AD13269">
        <v>0</v>
      </c>
      <c r="AE13269">
        <v>0</v>
      </c>
      <c r="AF13269">
        <v>0</v>
      </c>
      <c r="AG13269">
        <v>0</v>
      </c>
      <c r="AH13269">
        <v>1</v>
      </c>
      <c r="AI13269">
        <v>1</v>
      </c>
      <c r="AJ13269">
        <v>1</v>
      </c>
      <c r="AK13269">
        <v>0</v>
      </c>
      <c r="AL13269">
        <v>1</v>
      </c>
      <c r="AM13269">
        <v>0</v>
      </c>
    </row>
    <row r="13270" spans="1:39" x14ac:dyDescent="0.2">
      <c r="A13270" t="str">
        <f>"13266"</f>
        <v>13266</v>
      </c>
      <c r="B13270" t="str">
        <f t="shared" si="737"/>
        <v>1</v>
      </c>
      <c r="C13270" t="str">
        <f t="shared" si="738"/>
        <v>266</v>
      </c>
      <c r="D13270" t="str">
        <f>"47"</f>
        <v>47</v>
      </c>
      <c r="E13270" t="str">
        <f>"1-266-47"</f>
        <v>1-266-47</v>
      </c>
      <c r="F13270" t="s">
        <v>65</v>
      </c>
      <c r="G13270" t="s">
        <v>66</v>
      </c>
      <c r="H13270" t="s">
        <v>67</v>
      </c>
      <c r="S13270">
        <v>0</v>
      </c>
      <c r="T13270">
        <v>1</v>
      </c>
      <c r="U13270">
        <v>0</v>
      </c>
      <c r="V13270">
        <v>0</v>
      </c>
      <c r="W13270">
        <v>0</v>
      </c>
      <c r="X13270">
        <v>1</v>
      </c>
      <c r="Y13270">
        <v>0</v>
      </c>
      <c r="Z13270">
        <v>1</v>
      </c>
      <c r="AA13270">
        <v>0</v>
      </c>
      <c r="AB13270">
        <v>0</v>
      </c>
      <c r="AC13270">
        <v>1</v>
      </c>
      <c r="AD13270">
        <v>0</v>
      </c>
      <c r="AE13270">
        <v>0</v>
      </c>
      <c r="AF13270">
        <v>0</v>
      </c>
      <c r="AG13270">
        <v>0</v>
      </c>
      <c r="AH13270">
        <v>0</v>
      </c>
      <c r="AI13270">
        <v>0</v>
      </c>
      <c r="AJ13270">
        <v>0</v>
      </c>
      <c r="AK13270">
        <v>0</v>
      </c>
      <c r="AL13270">
        <v>0</v>
      </c>
      <c r="AM13270">
        <v>0</v>
      </c>
    </row>
    <row r="13271" spans="1:39" x14ac:dyDescent="0.2">
      <c r="A13271" t="str">
        <f>"13267"</f>
        <v>13267</v>
      </c>
      <c r="B13271" t="str">
        <f t="shared" si="737"/>
        <v>1</v>
      </c>
      <c r="C13271" t="str">
        <f t="shared" si="738"/>
        <v>266</v>
      </c>
      <c r="D13271" t="str">
        <f>"31"</f>
        <v>31</v>
      </c>
      <c r="E13271" t="str">
        <f>"1-266-31"</f>
        <v>1-266-31</v>
      </c>
      <c r="F13271" t="s">
        <v>65</v>
      </c>
      <c r="G13271" t="s">
        <v>66</v>
      </c>
      <c r="H13271" t="s">
        <v>67</v>
      </c>
      <c r="S13271">
        <v>1</v>
      </c>
      <c r="T13271">
        <v>0</v>
      </c>
      <c r="U13271">
        <v>0</v>
      </c>
      <c r="V13271">
        <v>0</v>
      </c>
      <c r="W13271">
        <v>1</v>
      </c>
      <c r="X13271">
        <v>0</v>
      </c>
      <c r="Y13271">
        <v>0</v>
      </c>
      <c r="Z13271">
        <v>1</v>
      </c>
      <c r="AA13271">
        <v>0</v>
      </c>
      <c r="AB13271">
        <v>1</v>
      </c>
      <c r="AC13271">
        <v>0</v>
      </c>
      <c r="AD13271">
        <v>1</v>
      </c>
      <c r="AE13271">
        <v>1</v>
      </c>
      <c r="AF13271">
        <v>1</v>
      </c>
      <c r="AG13271">
        <v>1</v>
      </c>
      <c r="AH13271">
        <v>1</v>
      </c>
      <c r="AI13271">
        <v>1</v>
      </c>
      <c r="AJ13271">
        <v>1</v>
      </c>
      <c r="AK13271">
        <v>1</v>
      </c>
      <c r="AL13271">
        <v>1</v>
      </c>
      <c r="AM13271">
        <v>1</v>
      </c>
    </row>
    <row r="13272" spans="1:39" x14ac:dyDescent="0.2">
      <c r="A13272" t="str">
        <f>"13268"</f>
        <v>13268</v>
      </c>
      <c r="B13272" t="str">
        <f t="shared" si="737"/>
        <v>1</v>
      </c>
      <c r="C13272" t="str">
        <f t="shared" si="738"/>
        <v>266</v>
      </c>
      <c r="D13272" t="str">
        <f>"18"</f>
        <v>18</v>
      </c>
      <c r="E13272" t="str">
        <f>"1-266-18"</f>
        <v>1-266-18</v>
      </c>
      <c r="F13272" t="s">
        <v>65</v>
      </c>
      <c r="G13272" t="s">
        <v>66</v>
      </c>
      <c r="H13272" t="s">
        <v>68</v>
      </c>
      <c r="I13272">
        <v>1</v>
      </c>
      <c r="J13272">
        <v>0</v>
      </c>
      <c r="K13272">
        <v>0</v>
      </c>
      <c r="L13272">
        <v>1</v>
      </c>
      <c r="M13272">
        <v>1</v>
      </c>
      <c r="N13272">
        <v>1</v>
      </c>
      <c r="O13272">
        <v>1</v>
      </c>
      <c r="P13272">
        <v>1</v>
      </c>
      <c r="Q13272">
        <v>1</v>
      </c>
      <c r="R13272">
        <v>1</v>
      </c>
    </row>
    <row r="13273" spans="1:39" x14ac:dyDescent="0.2">
      <c r="A13273" t="str">
        <f>"13269"</f>
        <v>13269</v>
      </c>
      <c r="B13273" t="str">
        <f t="shared" si="737"/>
        <v>1</v>
      </c>
      <c r="C13273" t="str">
        <f t="shared" si="738"/>
        <v>266</v>
      </c>
      <c r="D13273" t="str">
        <f>"6"</f>
        <v>6</v>
      </c>
      <c r="E13273" t="str">
        <f>"1-266-6"</f>
        <v>1-266-6</v>
      </c>
      <c r="F13273" t="s">
        <v>65</v>
      </c>
      <c r="G13273" t="s">
        <v>66</v>
      </c>
      <c r="H13273" t="s">
        <v>68</v>
      </c>
      <c r="I13273">
        <v>1</v>
      </c>
      <c r="J13273">
        <v>0</v>
      </c>
      <c r="K13273">
        <v>1</v>
      </c>
      <c r="L13273">
        <v>0</v>
      </c>
      <c r="M13273">
        <v>1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39" x14ac:dyDescent="0.2">
      <c r="A13274" t="str">
        <f>"13270"</f>
        <v>13270</v>
      </c>
      <c r="B13274" t="str">
        <f t="shared" si="737"/>
        <v>1</v>
      </c>
      <c r="C13274" t="str">
        <f t="shared" si="738"/>
        <v>266</v>
      </c>
      <c r="D13274" t="str">
        <f>"35"</f>
        <v>35</v>
      </c>
      <c r="E13274" t="str">
        <f>"1-266-35"</f>
        <v>1-266-35</v>
      </c>
      <c r="F13274" t="s">
        <v>65</v>
      </c>
      <c r="G13274" t="s">
        <v>66</v>
      </c>
      <c r="H13274" t="s">
        <v>67</v>
      </c>
      <c r="S13274">
        <v>0</v>
      </c>
      <c r="T13274">
        <v>1</v>
      </c>
      <c r="U13274">
        <v>0</v>
      </c>
      <c r="V13274">
        <v>0</v>
      </c>
      <c r="W13274">
        <v>1</v>
      </c>
      <c r="X13274">
        <v>0</v>
      </c>
      <c r="Y13274">
        <v>0</v>
      </c>
      <c r="Z13274">
        <v>1</v>
      </c>
      <c r="AA13274">
        <v>1</v>
      </c>
      <c r="AB13274">
        <v>0</v>
      </c>
      <c r="AC13274">
        <v>0</v>
      </c>
      <c r="AD13274">
        <v>1</v>
      </c>
      <c r="AE13274">
        <v>1</v>
      </c>
      <c r="AF13274">
        <v>1</v>
      </c>
      <c r="AG13274">
        <v>1</v>
      </c>
      <c r="AH13274">
        <v>1</v>
      </c>
      <c r="AI13274">
        <v>1</v>
      </c>
      <c r="AJ13274">
        <v>1</v>
      </c>
      <c r="AK13274">
        <v>1</v>
      </c>
      <c r="AL13274">
        <v>1</v>
      </c>
      <c r="AM13274">
        <v>1</v>
      </c>
    </row>
    <row r="13275" spans="1:39" x14ac:dyDescent="0.2">
      <c r="A13275" t="str">
        <f>"13271"</f>
        <v>13271</v>
      </c>
      <c r="B13275" t="str">
        <f t="shared" si="737"/>
        <v>1</v>
      </c>
      <c r="C13275" t="str">
        <f t="shared" si="738"/>
        <v>266</v>
      </c>
      <c r="D13275" t="str">
        <f>"19"</f>
        <v>19</v>
      </c>
      <c r="E13275" t="str">
        <f>"1-266-19"</f>
        <v>1-266-19</v>
      </c>
      <c r="F13275" t="s">
        <v>65</v>
      </c>
      <c r="G13275" t="s">
        <v>66</v>
      </c>
      <c r="H13275" t="s">
        <v>68</v>
      </c>
      <c r="I13275">
        <v>1</v>
      </c>
      <c r="J13275">
        <v>1</v>
      </c>
      <c r="K13275">
        <v>0</v>
      </c>
      <c r="L13275">
        <v>0</v>
      </c>
      <c r="M13275">
        <v>1</v>
      </c>
      <c r="N13275">
        <v>1</v>
      </c>
      <c r="O13275">
        <v>1</v>
      </c>
      <c r="P13275">
        <v>1</v>
      </c>
      <c r="Q13275">
        <v>1</v>
      </c>
      <c r="R13275">
        <v>1</v>
      </c>
    </row>
    <row r="13276" spans="1:39" x14ac:dyDescent="0.2">
      <c r="A13276" t="str">
        <f>"13272"</f>
        <v>13272</v>
      </c>
      <c r="B13276" t="str">
        <f t="shared" si="737"/>
        <v>1</v>
      </c>
      <c r="C13276" t="str">
        <f t="shared" si="738"/>
        <v>266</v>
      </c>
      <c r="D13276" t="str">
        <f>"11"</f>
        <v>11</v>
      </c>
      <c r="E13276" t="str">
        <f>"1-266-11"</f>
        <v>1-266-11</v>
      </c>
      <c r="F13276" t="s">
        <v>65</v>
      </c>
      <c r="G13276" t="s">
        <v>66</v>
      </c>
      <c r="H13276" t="s">
        <v>68</v>
      </c>
      <c r="I13276">
        <v>1</v>
      </c>
      <c r="J13276">
        <v>1</v>
      </c>
      <c r="K13276">
        <v>0</v>
      </c>
      <c r="L13276">
        <v>0</v>
      </c>
      <c r="M13276">
        <v>1</v>
      </c>
      <c r="N13276">
        <v>1</v>
      </c>
      <c r="O13276">
        <v>1</v>
      </c>
      <c r="P13276">
        <v>1</v>
      </c>
      <c r="Q13276">
        <v>1</v>
      </c>
      <c r="R13276">
        <v>1</v>
      </c>
    </row>
    <row r="13277" spans="1:39" x14ac:dyDescent="0.2">
      <c r="A13277" t="str">
        <f>"13273"</f>
        <v>13273</v>
      </c>
      <c r="B13277" t="str">
        <f t="shared" si="737"/>
        <v>1</v>
      </c>
      <c r="C13277" t="str">
        <f t="shared" si="738"/>
        <v>266</v>
      </c>
      <c r="D13277" t="str">
        <f>"36"</f>
        <v>36</v>
      </c>
      <c r="E13277" t="str">
        <f>"1-266-36"</f>
        <v>1-266-36</v>
      </c>
      <c r="F13277" t="s">
        <v>65</v>
      </c>
      <c r="G13277" t="s">
        <v>66</v>
      </c>
      <c r="H13277" t="s">
        <v>67</v>
      </c>
      <c r="S13277">
        <v>0</v>
      </c>
      <c r="T13277">
        <v>1</v>
      </c>
      <c r="U13277">
        <v>0</v>
      </c>
      <c r="V13277">
        <v>0</v>
      </c>
      <c r="W13277">
        <v>0</v>
      </c>
      <c r="X13277">
        <v>1</v>
      </c>
      <c r="Y13277">
        <v>1</v>
      </c>
      <c r="Z13277">
        <v>0</v>
      </c>
      <c r="AA13277">
        <v>0</v>
      </c>
      <c r="AB13277">
        <v>1</v>
      </c>
      <c r="AC13277">
        <v>0</v>
      </c>
      <c r="AD13277">
        <v>1</v>
      </c>
      <c r="AE13277">
        <v>1</v>
      </c>
      <c r="AF13277">
        <v>1</v>
      </c>
      <c r="AG13277">
        <v>1</v>
      </c>
      <c r="AH13277">
        <v>1</v>
      </c>
      <c r="AI13277">
        <v>1</v>
      </c>
      <c r="AJ13277">
        <v>1</v>
      </c>
      <c r="AK13277">
        <v>1</v>
      </c>
      <c r="AL13277">
        <v>1</v>
      </c>
      <c r="AM13277">
        <v>1</v>
      </c>
    </row>
    <row r="13278" spans="1:39" x14ac:dyDescent="0.2">
      <c r="A13278" t="str">
        <f>"13274"</f>
        <v>13274</v>
      </c>
      <c r="B13278" t="str">
        <f t="shared" si="737"/>
        <v>1</v>
      </c>
      <c r="C13278" t="str">
        <f t="shared" si="738"/>
        <v>266</v>
      </c>
      <c r="D13278" t="str">
        <f>"20"</f>
        <v>20</v>
      </c>
      <c r="E13278" t="str">
        <f>"1-266-20"</f>
        <v>1-266-20</v>
      </c>
      <c r="F13278" t="s">
        <v>65</v>
      </c>
      <c r="G13278" t="s">
        <v>66</v>
      </c>
      <c r="H13278" t="s">
        <v>68</v>
      </c>
      <c r="I13278">
        <v>1</v>
      </c>
      <c r="J13278">
        <v>0</v>
      </c>
      <c r="K13278">
        <v>0</v>
      </c>
      <c r="L13278">
        <v>1</v>
      </c>
      <c r="M13278">
        <v>1</v>
      </c>
      <c r="N13278">
        <v>1</v>
      </c>
      <c r="O13278">
        <v>1</v>
      </c>
      <c r="P13278">
        <v>1</v>
      </c>
      <c r="Q13278">
        <v>1</v>
      </c>
      <c r="R13278">
        <v>1</v>
      </c>
    </row>
    <row r="13279" spans="1:39" x14ac:dyDescent="0.2">
      <c r="A13279" t="str">
        <f>"13275"</f>
        <v>13275</v>
      </c>
      <c r="B13279" t="str">
        <f t="shared" si="737"/>
        <v>1</v>
      </c>
      <c r="C13279" t="str">
        <f t="shared" si="738"/>
        <v>266</v>
      </c>
      <c r="D13279" t="str">
        <f>"7"</f>
        <v>7</v>
      </c>
      <c r="E13279" t="str">
        <f>"1-266-7"</f>
        <v>1-266-7</v>
      </c>
      <c r="F13279" t="s">
        <v>65</v>
      </c>
      <c r="G13279" t="s">
        <v>66</v>
      </c>
      <c r="H13279" t="s">
        <v>68</v>
      </c>
      <c r="I13279">
        <v>1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  <c r="Q13279">
        <v>0</v>
      </c>
      <c r="R13279">
        <v>0</v>
      </c>
    </row>
    <row r="13280" spans="1:39" x14ac:dyDescent="0.2">
      <c r="A13280" t="str">
        <f>"13276"</f>
        <v>13276</v>
      </c>
      <c r="B13280" t="str">
        <f t="shared" si="737"/>
        <v>1</v>
      </c>
      <c r="C13280" t="str">
        <f t="shared" si="738"/>
        <v>266</v>
      </c>
      <c r="D13280" t="str">
        <f>"39"</f>
        <v>39</v>
      </c>
      <c r="E13280" t="str">
        <f>"1-266-39"</f>
        <v>1-266-39</v>
      </c>
      <c r="F13280" t="s">
        <v>65</v>
      </c>
      <c r="G13280" t="s">
        <v>66</v>
      </c>
      <c r="H13280" t="s">
        <v>67</v>
      </c>
      <c r="S13280">
        <v>0</v>
      </c>
      <c r="T13280">
        <v>1</v>
      </c>
      <c r="U13280">
        <v>0</v>
      </c>
      <c r="V13280">
        <v>0</v>
      </c>
      <c r="W13280">
        <v>0</v>
      </c>
      <c r="X13280">
        <v>1</v>
      </c>
      <c r="Y13280">
        <v>0</v>
      </c>
      <c r="Z13280">
        <v>1</v>
      </c>
      <c r="AA13280">
        <v>0</v>
      </c>
      <c r="AB13280">
        <v>0</v>
      </c>
      <c r="AC13280">
        <v>1</v>
      </c>
      <c r="AD13280">
        <v>1</v>
      </c>
      <c r="AE13280">
        <v>1</v>
      </c>
      <c r="AF13280">
        <v>1</v>
      </c>
      <c r="AG13280">
        <v>1</v>
      </c>
      <c r="AH13280">
        <v>1</v>
      </c>
      <c r="AI13280">
        <v>1</v>
      </c>
      <c r="AJ13280">
        <v>1</v>
      </c>
      <c r="AK13280">
        <v>1</v>
      </c>
      <c r="AL13280">
        <v>1</v>
      </c>
      <c r="AM13280">
        <v>1</v>
      </c>
    </row>
    <row r="13281" spans="1:39" x14ac:dyDescent="0.2">
      <c r="A13281" t="str">
        <f>"13277"</f>
        <v>13277</v>
      </c>
      <c r="B13281" t="str">
        <f t="shared" si="737"/>
        <v>1</v>
      </c>
      <c r="C13281" t="str">
        <f t="shared" si="738"/>
        <v>266</v>
      </c>
      <c r="D13281" t="str">
        <f>"21"</f>
        <v>21</v>
      </c>
      <c r="E13281" t="str">
        <f>"1-266-21"</f>
        <v>1-266-21</v>
      </c>
      <c r="F13281" t="s">
        <v>65</v>
      </c>
      <c r="G13281" t="s">
        <v>66</v>
      </c>
      <c r="H13281" t="s">
        <v>67</v>
      </c>
      <c r="S13281">
        <v>1</v>
      </c>
      <c r="T13281">
        <v>0</v>
      </c>
      <c r="U13281">
        <v>0</v>
      </c>
      <c r="V13281">
        <v>0</v>
      </c>
      <c r="W13281">
        <v>0</v>
      </c>
      <c r="X13281">
        <v>1</v>
      </c>
      <c r="Y13281">
        <v>0</v>
      </c>
      <c r="Z13281">
        <v>1</v>
      </c>
      <c r="AA13281">
        <v>0</v>
      </c>
      <c r="AB13281">
        <v>0</v>
      </c>
      <c r="AC13281">
        <v>1</v>
      </c>
      <c r="AD13281">
        <v>1</v>
      </c>
      <c r="AE13281">
        <v>0</v>
      </c>
      <c r="AF13281">
        <v>1</v>
      </c>
      <c r="AG13281">
        <v>0</v>
      </c>
      <c r="AH13281">
        <v>1</v>
      </c>
      <c r="AI13281">
        <v>1</v>
      </c>
      <c r="AJ13281">
        <v>0</v>
      </c>
      <c r="AK13281">
        <v>0</v>
      </c>
      <c r="AL13281">
        <v>0</v>
      </c>
      <c r="AM13281">
        <v>0</v>
      </c>
    </row>
    <row r="13282" spans="1:39" x14ac:dyDescent="0.2">
      <c r="A13282" t="str">
        <f>"13278"</f>
        <v>13278</v>
      </c>
      <c r="B13282" t="str">
        <f t="shared" si="737"/>
        <v>1</v>
      </c>
      <c r="C13282" t="str">
        <f t="shared" si="738"/>
        <v>266</v>
      </c>
      <c r="D13282" t="str">
        <f>"1"</f>
        <v>1</v>
      </c>
      <c r="E13282" t="str">
        <f>"1-266-1"</f>
        <v>1-266-1</v>
      </c>
      <c r="F13282" t="s">
        <v>65</v>
      </c>
      <c r="G13282" t="s">
        <v>66</v>
      </c>
      <c r="H13282" t="s">
        <v>68</v>
      </c>
      <c r="I13282">
        <v>0</v>
      </c>
      <c r="J13282">
        <v>0</v>
      </c>
      <c r="K13282">
        <v>1</v>
      </c>
      <c r="L13282">
        <v>0</v>
      </c>
      <c r="M13282">
        <v>1</v>
      </c>
      <c r="N13282">
        <v>0</v>
      </c>
      <c r="O13282">
        <v>0</v>
      </c>
      <c r="P13282">
        <v>0</v>
      </c>
      <c r="Q13282">
        <v>0</v>
      </c>
      <c r="R13282">
        <v>0</v>
      </c>
    </row>
    <row r="13283" spans="1:39" x14ac:dyDescent="0.2">
      <c r="A13283" t="str">
        <f>"13279"</f>
        <v>13279</v>
      </c>
      <c r="B13283" t="str">
        <f t="shared" si="737"/>
        <v>1</v>
      </c>
      <c r="C13283" t="str">
        <f t="shared" si="738"/>
        <v>266</v>
      </c>
      <c r="D13283" t="str">
        <f>"40"</f>
        <v>40</v>
      </c>
      <c r="E13283" t="str">
        <f>"1-266-40"</f>
        <v>1-266-40</v>
      </c>
      <c r="F13283" t="s">
        <v>65</v>
      </c>
      <c r="G13283" t="s">
        <v>66</v>
      </c>
      <c r="H13283" t="s">
        <v>68</v>
      </c>
      <c r="I13283">
        <v>0</v>
      </c>
      <c r="J13283">
        <v>1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  <c r="Q13283">
        <v>0</v>
      </c>
      <c r="R13283">
        <v>0</v>
      </c>
    </row>
    <row r="13284" spans="1:39" x14ac:dyDescent="0.2">
      <c r="A13284" t="str">
        <f>"13280"</f>
        <v>13280</v>
      </c>
      <c r="B13284" t="str">
        <f t="shared" si="737"/>
        <v>1</v>
      </c>
      <c r="C13284" t="str">
        <f t="shared" si="738"/>
        <v>266</v>
      </c>
      <c r="D13284" t="str">
        <f>"22"</f>
        <v>22</v>
      </c>
      <c r="E13284" t="str">
        <f>"1-266-22"</f>
        <v>1-266-22</v>
      </c>
      <c r="F13284" t="s">
        <v>65</v>
      </c>
      <c r="G13284" t="s">
        <v>66</v>
      </c>
      <c r="H13284" t="s">
        <v>67</v>
      </c>
      <c r="S13284">
        <v>0</v>
      </c>
      <c r="T13284">
        <v>0</v>
      </c>
      <c r="U13284">
        <v>0</v>
      </c>
      <c r="V13284">
        <v>0</v>
      </c>
      <c r="W13284">
        <v>0</v>
      </c>
      <c r="X13284">
        <v>1</v>
      </c>
      <c r="Y13284">
        <v>0</v>
      </c>
      <c r="Z13284">
        <v>0</v>
      </c>
      <c r="AA13284">
        <v>0</v>
      </c>
      <c r="AB13284">
        <v>0</v>
      </c>
      <c r="AC13284">
        <v>1</v>
      </c>
      <c r="AD13284">
        <v>0</v>
      </c>
      <c r="AE13284">
        <v>0</v>
      </c>
      <c r="AF13284">
        <v>0</v>
      </c>
      <c r="AG13284">
        <v>0</v>
      </c>
      <c r="AH13284">
        <v>0</v>
      </c>
      <c r="AI13284">
        <v>0</v>
      </c>
      <c r="AJ13284">
        <v>0</v>
      </c>
      <c r="AK13284">
        <v>0</v>
      </c>
      <c r="AL13284">
        <v>0</v>
      </c>
      <c r="AM13284">
        <v>0</v>
      </c>
    </row>
    <row r="13285" spans="1:39" x14ac:dyDescent="0.2">
      <c r="A13285" t="str">
        <f>"13281"</f>
        <v>13281</v>
      </c>
      <c r="B13285" t="str">
        <f t="shared" si="737"/>
        <v>1</v>
      </c>
      <c r="C13285" t="str">
        <f t="shared" si="738"/>
        <v>266</v>
      </c>
      <c r="D13285" t="str">
        <f>"3"</f>
        <v>3</v>
      </c>
      <c r="E13285" t="str">
        <f>"1-266-3"</f>
        <v>1-266-3</v>
      </c>
      <c r="F13285" t="s">
        <v>65</v>
      </c>
      <c r="G13285" t="s">
        <v>66</v>
      </c>
      <c r="H13285" t="s">
        <v>68</v>
      </c>
      <c r="I13285">
        <v>1</v>
      </c>
      <c r="J13285">
        <v>0</v>
      </c>
      <c r="K13285">
        <v>0</v>
      </c>
      <c r="L13285">
        <v>1</v>
      </c>
      <c r="M13285">
        <v>1</v>
      </c>
      <c r="N13285">
        <v>1</v>
      </c>
      <c r="O13285">
        <v>1</v>
      </c>
      <c r="P13285">
        <v>1</v>
      </c>
      <c r="Q13285">
        <v>1</v>
      </c>
      <c r="R13285">
        <v>1</v>
      </c>
    </row>
    <row r="13286" spans="1:39" x14ac:dyDescent="0.2">
      <c r="A13286" t="str">
        <f>"13282"</f>
        <v>13282</v>
      </c>
      <c r="B13286" t="str">
        <f t="shared" si="737"/>
        <v>1</v>
      </c>
      <c r="C13286" t="str">
        <f t="shared" si="738"/>
        <v>266</v>
      </c>
      <c r="D13286" t="str">
        <f>"50"</f>
        <v>50</v>
      </c>
      <c r="E13286" t="str">
        <f>"1-266-50"</f>
        <v>1-266-50</v>
      </c>
      <c r="F13286" t="s">
        <v>65</v>
      </c>
      <c r="G13286" t="s">
        <v>66</v>
      </c>
      <c r="H13286" t="s">
        <v>68</v>
      </c>
      <c r="I13286">
        <v>1</v>
      </c>
      <c r="J13286">
        <v>1</v>
      </c>
      <c r="K13286">
        <v>0</v>
      </c>
      <c r="L13286">
        <v>0</v>
      </c>
      <c r="M13286">
        <v>1</v>
      </c>
      <c r="N13286">
        <v>1</v>
      </c>
      <c r="O13286">
        <v>1</v>
      </c>
      <c r="P13286">
        <v>1</v>
      </c>
      <c r="Q13286">
        <v>1</v>
      </c>
      <c r="R13286">
        <v>1</v>
      </c>
    </row>
    <row r="13287" spans="1:39" x14ac:dyDescent="0.2">
      <c r="A13287" t="str">
        <f>"13283"</f>
        <v>13283</v>
      </c>
      <c r="B13287" t="str">
        <f t="shared" si="737"/>
        <v>1</v>
      </c>
      <c r="C13287" t="str">
        <f t="shared" ref="C13287:C13304" si="739">"266"</f>
        <v>266</v>
      </c>
      <c r="D13287" t="str">
        <f>"24"</f>
        <v>24</v>
      </c>
      <c r="E13287" t="str">
        <f>"1-266-24"</f>
        <v>1-266-24</v>
      </c>
      <c r="F13287" t="s">
        <v>65</v>
      </c>
      <c r="G13287" t="s">
        <v>66</v>
      </c>
      <c r="H13287" t="s">
        <v>67</v>
      </c>
      <c r="S13287">
        <v>0</v>
      </c>
      <c r="T13287">
        <v>1</v>
      </c>
      <c r="U13287">
        <v>0</v>
      </c>
      <c r="V13287">
        <v>0</v>
      </c>
      <c r="W13287">
        <v>0</v>
      </c>
      <c r="X13287">
        <v>1</v>
      </c>
      <c r="Y13287">
        <v>0</v>
      </c>
      <c r="Z13287">
        <v>0</v>
      </c>
      <c r="AA13287">
        <v>0</v>
      </c>
      <c r="AB13287">
        <v>0</v>
      </c>
      <c r="AC13287">
        <v>0</v>
      </c>
      <c r="AD13287">
        <v>0</v>
      </c>
      <c r="AE13287">
        <v>0</v>
      </c>
      <c r="AF13287">
        <v>0</v>
      </c>
      <c r="AG13287">
        <v>0</v>
      </c>
      <c r="AH13287">
        <v>0</v>
      </c>
      <c r="AI13287">
        <v>1</v>
      </c>
      <c r="AJ13287">
        <v>0</v>
      </c>
      <c r="AK13287">
        <v>0</v>
      </c>
      <c r="AL13287">
        <v>0</v>
      </c>
      <c r="AM13287">
        <v>0</v>
      </c>
    </row>
    <row r="13288" spans="1:39" x14ac:dyDescent="0.2">
      <c r="A13288" t="str">
        <f>"13284"</f>
        <v>13284</v>
      </c>
      <c r="B13288" t="str">
        <f t="shared" si="737"/>
        <v>1</v>
      </c>
      <c r="C13288" t="str">
        <f t="shared" si="739"/>
        <v>266</v>
      </c>
      <c r="D13288" t="str">
        <f>"5"</f>
        <v>5</v>
      </c>
      <c r="E13288" t="str">
        <f>"1-266-5"</f>
        <v>1-266-5</v>
      </c>
      <c r="F13288" t="s">
        <v>65</v>
      </c>
      <c r="G13288" t="s">
        <v>66</v>
      </c>
      <c r="H13288" t="s">
        <v>68</v>
      </c>
      <c r="I13288">
        <v>1</v>
      </c>
      <c r="J13288">
        <v>1</v>
      </c>
      <c r="K13288">
        <v>0</v>
      </c>
      <c r="L13288">
        <v>0</v>
      </c>
      <c r="M13288">
        <v>1</v>
      </c>
      <c r="N13288">
        <v>1</v>
      </c>
      <c r="O13288">
        <v>1</v>
      </c>
      <c r="P13288">
        <v>1</v>
      </c>
      <c r="Q13288">
        <v>1</v>
      </c>
      <c r="R13288">
        <v>1</v>
      </c>
    </row>
    <row r="13289" spans="1:39" x14ac:dyDescent="0.2">
      <c r="A13289" t="str">
        <f>"13285"</f>
        <v>13285</v>
      </c>
      <c r="B13289" t="str">
        <f t="shared" si="737"/>
        <v>1</v>
      </c>
      <c r="C13289" t="str">
        <f t="shared" si="739"/>
        <v>266</v>
      </c>
      <c r="D13289" t="str">
        <f>"41"</f>
        <v>41</v>
      </c>
      <c r="E13289" t="str">
        <f>"1-266-41"</f>
        <v>1-266-41</v>
      </c>
      <c r="F13289" t="s">
        <v>65</v>
      </c>
      <c r="G13289" t="s">
        <v>66</v>
      </c>
      <c r="H13289" t="s">
        <v>68</v>
      </c>
      <c r="I13289">
        <v>1</v>
      </c>
      <c r="J13289">
        <v>0</v>
      </c>
      <c r="K13289">
        <v>0</v>
      </c>
      <c r="L13289">
        <v>0</v>
      </c>
      <c r="M13289">
        <v>1</v>
      </c>
      <c r="N13289">
        <v>1</v>
      </c>
      <c r="O13289">
        <v>1</v>
      </c>
      <c r="P13289">
        <v>1</v>
      </c>
      <c r="Q13289">
        <v>1</v>
      </c>
      <c r="R13289">
        <v>1</v>
      </c>
    </row>
    <row r="13290" spans="1:39" x14ac:dyDescent="0.2">
      <c r="A13290" t="str">
        <f>"13286"</f>
        <v>13286</v>
      </c>
      <c r="B13290" t="str">
        <f t="shared" si="737"/>
        <v>1</v>
      </c>
      <c r="C13290" t="str">
        <f t="shared" si="739"/>
        <v>266</v>
      </c>
      <c r="D13290" t="str">
        <f>"25"</f>
        <v>25</v>
      </c>
      <c r="E13290" t="str">
        <f>"1-266-25"</f>
        <v>1-266-25</v>
      </c>
      <c r="F13290" t="s">
        <v>65</v>
      </c>
      <c r="G13290" t="s">
        <v>66</v>
      </c>
      <c r="H13290" t="s">
        <v>67</v>
      </c>
      <c r="S13290">
        <v>1</v>
      </c>
      <c r="T13290">
        <v>0</v>
      </c>
      <c r="U13290">
        <v>0</v>
      </c>
      <c r="V13290">
        <v>0</v>
      </c>
      <c r="W13290">
        <v>0</v>
      </c>
      <c r="X13290">
        <v>1</v>
      </c>
      <c r="Y13290">
        <v>1</v>
      </c>
      <c r="Z13290">
        <v>0</v>
      </c>
      <c r="AA13290">
        <v>1</v>
      </c>
      <c r="AB13290">
        <v>0</v>
      </c>
      <c r="AC13290">
        <v>0</v>
      </c>
      <c r="AD13290">
        <v>0</v>
      </c>
      <c r="AE13290">
        <v>0</v>
      </c>
      <c r="AF13290">
        <v>0</v>
      </c>
      <c r="AG13290">
        <v>0</v>
      </c>
      <c r="AH13290">
        <v>1</v>
      </c>
      <c r="AI13290">
        <v>0</v>
      </c>
      <c r="AJ13290">
        <v>0</v>
      </c>
      <c r="AK13290">
        <v>0</v>
      </c>
      <c r="AL13290">
        <v>0</v>
      </c>
      <c r="AM13290">
        <v>0</v>
      </c>
    </row>
    <row r="13291" spans="1:39" x14ac:dyDescent="0.2">
      <c r="A13291" t="str">
        <f>"13287"</f>
        <v>13287</v>
      </c>
      <c r="B13291" t="str">
        <f t="shared" si="737"/>
        <v>1</v>
      </c>
      <c r="C13291" t="str">
        <f t="shared" si="739"/>
        <v>266</v>
      </c>
      <c r="D13291" t="str">
        <f>"10"</f>
        <v>10</v>
      </c>
      <c r="E13291" t="str">
        <f>"1-266-10"</f>
        <v>1-266-10</v>
      </c>
      <c r="F13291" t="s">
        <v>65</v>
      </c>
      <c r="G13291" t="s">
        <v>66</v>
      </c>
      <c r="H13291" t="s">
        <v>68</v>
      </c>
      <c r="I13291">
        <v>1</v>
      </c>
      <c r="J13291">
        <v>1</v>
      </c>
      <c r="K13291">
        <v>0</v>
      </c>
      <c r="L13291">
        <v>0</v>
      </c>
      <c r="M13291">
        <v>1</v>
      </c>
      <c r="N13291">
        <v>1</v>
      </c>
      <c r="O13291">
        <v>1</v>
      </c>
      <c r="P13291">
        <v>1</v>
      </c>
      <c r="Q13291">
        <v>1</v>
      </c>
      <c r="R13291">
        <v>1</v>
      </c>
    </row>
    <row r="13292" spans="1:39" x14ac:dyDescent="0.2">
      <c r="A13292" t="str">
        <f>"13288"</f>
        <v>13288</v>
      </c>
      <c r="B13292" t="str">
        <f t="shared" si="737"/>
        <v>1</v>
      </c>
      <c r="C13292" t="str">
        <f t="shared" si="739"/>
        <v>266</v>
      </c>
      <c r="D13292" t="str">
        <f>"45"</f>
        <v>45</v>
      </c>
      <c r="E13292" t="str">
        <f>"1-266-45"</f>
        <v>1-266-45</v>
      </c>
      <c r="F13292" t="s">
        <v>65</v>
      </c>
      <c r="G13292" t="s">
        <v>66</v>
      </c>
      <c r="H13292" t="s">
        <v>67</v>
      </c>
      <c r="S13292">
        <v>0</v>
      </c>
      <c r="T13292">
        <v>1</v>
      </c>
      <c r="U13292">
        <v>0</v>
      </c>
      <c r="V13292">
        <v>0</v>
      </c>
      <c r="W13292">
        <v>1</v>
      </c>
      <c r="X13292">
        <v>0</v>
      </c>
      <c r="Y13292">
        <v>1</v>
      </c>
      <c r="Z13292">
        <v>0</v>
      </c>
      <c r="AA13292">
        <v>1</v>
      </c>
      <c r="AB13292">
        <v>0</v>
      </c>
      <c r="AC13292">
        <v>0</v>
      </c>
      <c r="AD13292">
        <v>1</v>
      </c>
      <c r="AE13292">
        <v>1</v>
      </c>
      <c r="AF13292">
        <v>1</v>
      </c>
      <c r="AG13292">
        <v>1</v>
      </c>
      <c r="AH13292">
        <v>1</v>
      </c>
      <c r="AI13292">
        <v>1</v>
      </c>
      <c r="AJ13292">
        <v>1</v>
      </c>
      <c r="AK13292">
        <v>1</v>
      </c>
      <c r="AL13292">
        <v>1</v>
      </c>
      <c r="AM13292">
        <v>1</v>
      </c>
    </row>
    <row r="13293" spans="1:39" x14ac:dyDescent="0.2">
      <c r="A13293" t="str">
        <f>"13289"</f>
        <v>13289</v>
      </c>
      <c r="B13293" t="str">
        <f t="shared" si="737"/>
        <v>1</v>
      </c>
      <c r="C13293" t="str">
        <f t="shared" si="739"/>
        <v>266</v>
      </c>
      <c r="D13293" t="str">
        <f>"26"</f>
        <v>26</v>
      </c>
      <c r="E13293" t="str">
        <f>"1-266-26"</f>
        <v>1-266-26</v>
      </c>
      <c r="F13293" t="s">
        <v>65</v>
      </c>
      <c r="G13293" t="s">
        <v>66</v>
      </c>
      <c r="H13293" t="s">
        <v>67</v>
      </c>
      <c r="S13293">
        <v>1</v>
      </c>
      <c r="T13293">
        <v>0</v>
      </c>
      <c r="U13293">
        <v>0</v>
      </c>
      <c r="V13293">
        <v>0</v>
      </c>
      <c r="W13293">
        <v>1</v>
      </c>
      <c r="X13293">
        <v>0</v>
      </c>
      <c r="Y13293">
        <v>0</v>
      </c>
      <c r="Z13293">
        <v>1</v>
      </c>
      <c r="AA13293">
        <v>0</v>
      </c>
      <c r="AB13293">
        <v>0</v>
      </c>
      <c r="AC13293">
        <v>1</v>
      </c>
      <c r="AD13293">
        <v>1</v>
      </c>
      <c r="AE13293">
        <v>1</v>
      </c>
      <c r="AF13293">
        <v>1</v>
      </c>
      <c r="AG13293">
        <v>1</v>
      </c>
      <c r="AH13293">
        <v>0</v>
      </c>
      <c r="AI13293">
        <v>1</v>
      </c>
      <c r="AJ13293">
        <v>1</v>
      </c>
      <c r="AK13293">
        <v>1</v>
      </c>
      <c r="AL13293">
        <v>1</v>
      </c>
      <c r="AM13293">
        <v>1</v>
      </c>
    </row>
    <row r="13294" spans="1:39" x14ac:dyDescent="0.2">
      <c r="A13294" t="str">
        <f>"13290"</f>
        <v>13290</v>
      </c>
      <c r="B13294" t="str">
        <f t="shared" si="737"/>
        <v>1</v>
      </c>
      <c r="C13294" t="str">
        <f t="shared" si="739"/>
        <v>266</v>
      </c>
      <c r="D13294" t="str">
        <f>"14"</f>
        <v>14</v>
      </c>
      <c r="E13294" t="str">
        <f>"1-266-14"</f>
        <v>1-266-14</v>
      </c>
      <c r="F13294" t="s">
        <v>65</v>
      </c>
      <c r="G13294" t="s">
        <v>66</v>
      </c>
      <c r="H13294" t="s">
        <v>68</v>
      </c>
      <c r="I13294">
        <v>0</v>
      </c>
      <c r="J13294">
        <v>0</v>
      </c>
      <c r="K13294">
        <v>0</v>
      </c>
      <c r="L13294">
        <v>1</v>
      </c>
      <c r="M13294">
        <v>1</v>
      </c>
      <c r="N13294">
        <v>1</v>
      </c>
      <c r="O13294">
        <v>1</v>
      </c>
      <c r="P13294">
        <v>0</v>
      </c>
      <c r="Q13294">
        <v>1</v>
      </c>
      <c r="R13294">
        <v>1</v>
      </c>
    </row>
    <row r="13295" spans="1:39" x14ac:dyDescent="0.2">
      <c r="A13295" t="str">
        <f>"13291"</f>
        <v>13291</v>
      </c>
      <c r="B13295" t="str">
        <f t="shared" si="737"/>
        <v>1</v>
      </c>
      <c r="C13295" t="str">
        <f t="shared" si="739"/>
        <v>266</v>
      </c>
      <c r="D13295" t="str">
        <f>"44"</f>
        <v>44</v>
      </c>
      <c r="E13295" t="str">
        <f>"1-266-44"</f>
        <v>1-266-44</v>
      </c>
      <c r="F13295" t="s">
        <v>65</v>
      </c>
      <c r="G13295" t="s">
        <v>66</v>
      </c>
      <c r="H13295" t="s">
        <v>67</v>
      </c>
      <c r="S13295">
        <v>0</v>
      </c>
      <c r="T13295">
        <v>1</v>
      </c>
      <c r="U13295">
        <v>0</v>
      </c>
      <c r="V13295">
        <v>0</v>
      </c>
      <c r="W13295">
        <v>1</v>
      </c>
      <c r="X13295">
        <v>0</v>
      </c>
      <c r="Y13295">
        <v>1</v>
      </c>
      <c r="Z13295">
        <v>0</v>
      </c>
      <c r="AA13295">
        <v>0</v>
      </c>
      <c r="AB13295">
        <v>1</v>
      </c>
      <c r="AC13295">
        <v>0</v>
      </c>
      <c r="AD13295">
        <v>1</v>
      </c>
      <c r="AE13295">
        <v>1</v>
      </c>
      <c r="AF13295">
        <v>1</v>
      </c>
      <c r="AG13295">
        <v>1</v>
      </c>
      <c r="AH13295">
        <v>1</v>
      </c>
      <c r="AI13295">
        <v>1</v>
      </c>
      <c r="AJ13295">
        <v>1</v>
      </c>
      <c r="AK13295">
        <v>1</v>
      </c>
      <c r="AL13295">
        <v>1</v>
      </c>
      <c r="AM13295">
        <v>1</v>
      </c>
    </row>
    <row r="13296" spans="1:39" x14ac:dyDescent="0.2">
      <c r="A13296" t="str">
        <f>"13292"</f>
        <v>13292</v>
      </c>
      <c r="B13296" t="str">
        <f t="shared" si="737"/>
        <v>1</v>
      </c>
      <c r="C13296" t="str">
        <f t="shared" si="739"/>
        <v>266</v>
      </c>
      <c r="D13296" t="str">
        <f>"27"</f>
        <v>27</v>
      </c>
      <c r="E13296" t="str">
        <f>"1-266-27"</f>
        <v>1-266-27</v>
      </c>
      <c r="F13296" t="s">
        <v>65</v>
      </c>
      <c r="G13296" t="s">
        <v>66</v>
      </c>
      <c r="H13296" t="s">
        <v>67</v>
      </c>
      <c r="S13296">
        <v>0</v>
      </c>
      <c r="T13296">
        <v>0</v>
      </c>
      <c r="U13296">
        <v>0</v>
      </c>
      <c r="V13296">
        <v>0</v>
      </c>
      <c r="W13296">
        <v>0</v>
      </c>
      <c r="X13296">
        <v>1</v>
      </c>
      <c r="Y13296">
        <v>0</v>
      </c>
      <c r="Z13296">
        <v>0</v>
      </c>
      <c r="AA13296">
        <v>0</v>
      </c>
      <c r="AB13296">
        <v>0</v>
      </c>
      <c r="AC13296">
        <v>0</v>
      </c>
      <c r="AD13296">
        <v>0</v>
      </c>
      <c r="AE13296">
        <v>0</v>
      </c>
      <c r="AF13296">
        <v>0</v>
      </c>
      <c r="AG13296">
        <v>0</v>
      </c>
      <c r="AH13296">
        <v>0</v>
      </c>
      <c r="AI13296">
        <v>0</v>
      </c>
      <c r="AJ13296">
        <v>0</v>
      </c>
      <c r="AK13296">
        <v>0</v>
      </c>
      <c r="AL13296">
        <v>0</v>
      </c>
      <c r="AM13296">
        <v>0</v>
      </c>
    </row>
    <row r="13297" spans="1:39" x14ac:dyDescent="0.2">
      <c r="A13297" t="str">
        <f>"13293"</f>
        <v>13293</v>
      </c>
      <c r="B13297" t="str">
        <f t="shared" si="737"/>
        <v>1</v>
      </c>
      <c r="C13297" t="str">
        <f t="shared" si="739"/>
        <v>266</v>
      </c>
      <c r="D13297" t="str">
        <f>"4"</f>
        <v>4</v>
      </c>
      <c r="E13297" t="str">
        <f>"1-266-4"</f>
        <v>1-266-4</v>
      </c>
      <c r="F13297" t="s">
        <v>65</v>
      </c>
      <c r="G13297" t="s">
        <v>66</v>
      </c>
      <c r="H13297" t="s">
        <v>68</v>
      </c>
      <c r="I13297">
        <v>1</v>
      </c>
      <c r="J13297">
        <v>1</v>
      </c>
      <c r="K13297">
        <v>0</v>
      </c>
      <c r="L13297">
        <v>0</v>
      </c>
      <c r="M13297">
        <v>1</v>
      </c>
      <c r="N13297">
        <v>1</v>
      </c>
      <c r="O13297">
        <v>1</v>
      </c>
      <c r="P13297">
        <v>1</v>
      </c>
      <c r="Q13297">
        <v>0</v>
      </c>
      <c r="R13297">
        <v>1</v>
      </c>
    </row>
    <row r="13298" spans="1:39" x14ac:dyDescent="0.2">
      <c r="A13298" t="str">
        <f>"13294"</f>
        <v>13294</v>
      </c>
      <c r="B13298" t="str">
        <f t="shared" si="737"/>
        <v>1</v>
      </c>
      <c r="C13298" t="str">
        <f t="shared" si="739"/>
        <v>266</v>
      </c>
      <c r="D13298" t="str">
        <f>"46"</f>
        <v>46</v>
      </c>
      <c r="E13298" t="str">
        <f>"1-266-46"</f>
        <v>1-266-46</v>
      </c>
      <c r="F13298" t="s">
        <v>65</v>
      </c>
      <c r="G13298" t="s">
        <v>66</v>
      </c>
      <c r="H13298" t="s">
        <v>67</v>
      </c>
      <c r="S13298">
        <v>1</v>
      </c>
      <c r="T13298">
        <v>0</v>
      </c>
      <c r="U13298">
        <v>0</v>
      </c>
      <c r="V13298">
        <v>0</v>
      </c>
      <c r="W13298">
        <v>1</v>
      </c>
      <c r="X13298">
        <v>0</v>
      </c>
      <c r="Y13298">
        <v>0</v>
      </c>
      <c r="Z13298">
        <v>0</v>
      </c>
      <c r="AA13298">
        <v>1</v>
      </c>
      <c r="AB13298">
        <v>0</v>
      </c>
      <c r="AC13298">
        <v>0</v>
      </c>
      <c r="AD13298">
        <v>1</v>
      </c>
      <c r="AE13298">
        <v>1</v>
      </c>
      <c r="AF13298">
        <v>1</v>
      </c>
      <c r="AG13298">
        <v>1</v>
      </c>
      <c r="AH13298">
        <v>1</v>
      </c>
      <c r="AI13298">
        <v>1</v>
      </c>
      <c r="AJ13298">
        <v>1</v>
      </c>
      <c r="AK13298">
        <v>1</v>
      </c>
      <c r="AL13298">
        <v>1</v>
      </c>
      <c r="AM13298">
        <v>1</v>
      </c>
    </row>
    <row r="13299" spans="1:39" x14ac:dyDescent="0.2">
      <c r="A13299" t="str">
        <f>"13295"</f>
        <v>13295</v>
      </c>
      <c r="B13299" t="str">
        <f t="shared" si="737"/>
        <v>1</v>
      </c>
      <c r="C13299" t="str">
        <f t="shared" si="739"/>
        <v>266</v>
      </c>
      <c r="D13299" t="str">
        <f>"29"</f>
        <v>29</v>
      </c>
      <c r="E13299" t="str">
        <f>"1-266-29"</f>
        <v>1-266-29</v>
      </c>
      <c r="F13299" t="s">
        <v>65</v>
      </c>
      <c r="G13299" t="s">
        <v>66</v>
      </c>
      <c r="H13299" t="s">
        <v>67</v>
      </c>
      <c r="S13299">
        <v>0</v>
      </c>
      <c r="T13299">
        <v>0</v>
      </c>
      <c r="U13299">
        <v>0</v>
      </c>
      <c r="V13299">
        <v>0</v>
      </c>
      <c r="W13299">
        <v>0</v>
      </c>
      <c r="X13299">
        <v>1</v>
      </c>
      <c r="Y13299">
        <v>0</v>
      </c>
      <c r="Z13299">
        <v>0</v>
      </c>
      <c r="AA13299">
        <v>0</v>
      </c>
      <c r="AB13299">
        <v>1</v>
      </c>
      <c r="AC13299">
        <v>0</v>
      </c>
      <c r="AD13299">
        <v>0</v>
      </c>
      <c r="AE13299">
        <v>0</v>
      </c>
      <c r="AF13299">
        <v>0</v>
      </c>
      <c r="AG13299">
        <v>0</v>
      </c>
      <c r="AH13299">
        <v>0</v>
      </c>
      <c r="AI13299">
        <v>0</v>
      </c>
      <c r="AJ13299">
        <v>0</v>
      </c>
      <c r="AK13299">
        <v>0</v>
      </c>
      <c r="AL13299">
        <v>0</v>
      </c>
      <c r="AM13299">
        <v>0</v>
      </c>
    </row>
    <row r="13300" spans="1:39" x14ac:dyDescent="0.2">
      <c r="A13300" t="str">
        <f>"13296"</f>
        <v>13296</v>
      </c>
      <c r="B13300" t="str">
        <f t="shared" si="737"/>
        <v>1</v>
      </c>
      <c r="C13300" t="str">
        <f t="shared" si="739"/>
        <v>266</v>
      </c>
      <c r="D13300" t="str">
        <f>"12"</f>
        <v>12</v>
      </c>
      <c r="E13300" t="str">
        <f>"1-266-12"</f>
        <v>1-266-12</v>
      </c>
      <c r="F13300" t="s">
        <v>65</v>
      </c>
      <c r="G13300" t="s">
        <v>66</v>
      </c>
      <c r="H13300" t="s">
        <v>68</v>
      </c>
      <c r="I13300">
        <v>1</v>
      </c>
      <c r="J13300">
        <v>0</v>
      </c>
      <c r="K13300">
        <v>1</v>
      </c>
      <c r="L13300">
        <v>0</v>
      </c>
      <c r="M13300">
        <v>1</v>
      </c>
      <c r="N13300">
        <v>1</v>
      </c>
      <c r="O13300">
        <v>1</v>
      </c>
      <c r="P13300">
        <v>1</v>
      </c>
      <c r="Q13300">
        <v>1</v>
      </c>
      <c r="R13300">
        <v>1</v>
      </c>
    </row>
    <row r="13301" spans="1:39" x14ac:dyDescent="0.2">
      <c r="A13301" t="str">
        <f>"13297"</f>
        <v>13297</v>
      </c>
      <c r="B13301" t="str">
        <f t="shared" si="737"/>
        <v>1</v>
      </c>
      <c r="C13301" t="str">
        <f t="shared" si="739"/>
        <v>266</v>
      </c>
      <c r="D13301" t="str">
        <f>"49"</f>
        <v>49</v>
      </c>
      <c r="E13301" t="str">
        <f>"1-266-49"</f>
        <v>1-266-49</v>
      </c>
      <c r="F13301" t="s">
        <v>65</v>
      </c>
      <c r="G13301" t="s">
        <v>66</v>
      </c>
      <c r="H13301" t="s">
        <v>67</v>
      </c>
      <c r="S13301">
        <v>0</v>
      </c>
      <c r="T13301">
        <v>1</v>
      </c>
      <c r="U13301">
        <v>0</v>
      </c>
      <c r="V13301">
        <v>0</v>
      </c>
      <c r="W13301">
        <v>0</v>
      </c>
      <c r="X13301">
        <v>1</v>
      </c>
      <c r="Y13301">
        <v>1</v>
      </c>
      <c r="Z13301">
        <v>0</v>
      </c>
      <c r="AA13301">
        <v>0</v>
      </c>
      <c r="AB13301">
        <v>0</v>
      </c>
      <c r="AC13301">
        <v>1</v>
      </c>
      <c r="AD13301">
        <v>0</v>
      </c>
      <c r="AE13301">
        <v>0</v>
      </c>
      <c r="AF13301">
        <v>0</v>
      </c>
      <c r="AG13301">
        <v>1</v>
      </c>
      <c r="AH13301">
        <v>1</v>
      </c>
      <c r="AI13301">
        <v>1</v>
      </c>
      <c r="AJ13301">
        <v>1</v>
      </c>
      <c r="AK13301">
        <v>1</v>
      </c>
      <c r="AL13301">
        <v>1</v>
      </c>
      <c r="AM13301">
        <v>0</v>
      </c>
    </row>
    <row r="13302" spans="1:39" x14ac:dyDescent="0.2">
      <c r="A13302" t="str">
        <f>"13298"</f>
        <v>13298</v>
      </c>
      <c r="B13302" t="str">
        <f t="shared" si="737"/>
        <v>1</v>
      </c>
      <c r="C13302" t="str">
        <f t="shared" si="739"/>
        <v>266</v>
      </c>
      <c r="D13302" t="str">
        <f>"30"</f>
        <v>30</v>
      </c>
      <c r="E13302" t="str">
        <f>"1-266-30"</f>
        <v>1-266-30</v>
      </c>
      <c r="F13302" t="s">
        <v>65</v>
      </c>
      <c r="G13302" t="s">
        <v>66</v>
      </c>
      <c r="H13302" t="s">
        <v>67</v>
      </c>
      <c r="S13302">
        <v>1</v>
      </c>
      <c r="T13302">
        <v>0</v>
      </c>
      <c r="U13302">
        <v>0</v>
      </c>
      <c r="V13302">
        <v>0</v>
      </c>
      <c r="W13302">
        <v>1</v>
      </c>
      <c r="X13302">
        <v>0</v>
      </c>
      <c r="Y13302">
        <v>0</v>
      </c>
      <c r="Z13302">
        <v>1</v>
      </c>
      <c r="AA13302">
        <v>0</v>
      </c>
      <c r="AB13302">
        <v>1</v>
      </c>
      <c r="AC13302">
        <v>0</v>
      </c>
      <c r="AD13302">
        <v>1</v>
      </c>
      <c r="AE13302">
        <v>1</v>
      </c>
      <c r="AF13302">
        <v>1</v>
      </c>
      <c r="AG13302">
        <v>1</v>
      </c>
      <c r="AH13302">
        <v>1</v>
      </c>
      <c r="AI13302">
        <v>1</v>
      </c>
      <c r="AJ13302">
        <v>1</v>
      </c>
      <c r="AK13302">
        <v>1</v>
      </c>
      <c r="AL13302">
        <v>1</v>
      </c>
      <c r="AM13302">
        <v>1</v>
      </c>
    </row>
    <row r="13303" spans="1:39" x14ac:dyDescent="0.2">
      <c r="A13303" t="str">
        <f>"13299"</f>
        <v>13299</v>
      </c>
      <c r="B13303" t="str">
        <f t="shared" ref="B13303:B13366" si="740">"1"</f>
        <v>1</v>
      </c>
      <c r="C13303" t="str">
        <f t="shared" si="739"/>
        <v>266</v>
      </c>
      <c r="D13303" t="str">
        <f>"13"</f>
        <v>13</v>
      </c>
      <c r="E13303" t="str">
        <f>"1-266-13"</f>
        <v>1-266-13</v>
      </c>
      <c r="F13303" t="s">
        <v>65</v>
      </c>
      <c r="G13303" t="s">
        <v>66</v>
      </c>
      <c r="H13303" t="s">
        <v>68</v>
      </c>
      <c r="I13303">
        <v>0</v>
      </c>
      <c r="J13303">
        <v>0</v>
      </c>
      <c r="K13303">
        <v>0</v>
      </c>
      <c r="L13303">
        <v>1</v>
      </c>
      <c r="M13303">
        <v>1</v>
      </c>
      <c r="N13303">
        <v>1</v>
      </c>
      <c r="O13303">
        <v>1</v>
      </c>
      <c r="P13303">
        <v>0</v>
      </c>
      <c r="Q13303">
        <v>1</v>
      </c>
      <c r="R13303">
        <v>1</v>
      </c>
    </row>
    <row r="13304" spans="1:39" x14ac:dyDescent="0.2">
      <c r="A13304" t="str">
        <f>"13300"</f>
        <v>13300</v>
      </c>
      <c r="B13304" t="str">
        <f t="shared" si="740"/>
        <v>1</v>
      </c>
      <c r="C13304" t="str">
        <f t="shared" si="739"/>
        <v>266</v>
      </c>
      <c r="D13304" t="str">
        <f>"38"</f>
        <v>38</v>
      </c>
      <c r="E13304" t="str">
        <f>"1-266-38"</f>
        <v>1-266-38</v>
      </c>
      <c r="F13304" t="s">
        <v>65</v>
      </c>
      <c r="G13304" t="s">
        <v>66</v>
      </c>
      <c r="H13304" t="s">
        <v>67</v>
      </c>
      <c r="S13304">
        <v>0</v>
      </c>
      <c r="T13304">
        <v>0</v>
      </c>
      <c r="U13304">
        <v>0</v>
      </c>
      <c r="V13304">
        <v>0</v>
      </c>
      <c r="W13304">
        <v>0</v>
      </c>
      <c r="X13304">
        <v>1</v>
      </c>
      <c r="Y13304">
        <v>0</v>
      </c>
      <c r="Z13304">
        <v>0</v>
      </c>
      <c r="AA13304">
        <v>0</v>
      </c>
      <c r="AB13304">
        <v>1</v>
      </c>
      <c r="AC13304">
        <v>0</v>
      </c>
      <c r="AD13304">
        <v>1</v>
      </c>
      <c r="AE13304">
        <v>1</v>
      </c>
      <c r="AF13304">
        <v>1</v>
      </c>
      <c r="AG13304">
        <v>1</v>
      </c>
      <c r="AH13304">
        <v>1</v>
      </c>
      <c r="AI13304">
        <v>1</v>
      </c>
      <c r="AJ13304">
        <v>1</v>
      </c>
      <c r="AK13304">
        <v>1</v>
      </c>
      <c r="AL13304">
        <v>1</v>
      </c>
      <c r="AM13304">
        <v>1</v>
      </c>
    </row>
    <row r="13305" spans="1:39" x14ac:dyDescent="0.2">
      <c r="A13305" t="str">
        <f>"13301"</f>
        <v>13301</v>
      </c>
      <c r="B13305" t="str">
        <f t="shared" si="740"/>
        <v>1</v>
      </c>
      <c r="C13305" t="str">
        <f t="shared" ref="C13305:C13336" si="741">"267"</f>
        <v>267</v>
      </c>
      <c r="D13305" t="str">
        <f>"39"</f>
        <v>39</v>
      </c>
      <c r="E13305" t="str">
        <f>"1-267-39"</f>
        <v>1-267-39</v>
      </c>
      <c r="F13305" t="s">
        <v>65</v>
      </c>
      <c r="G13305" t="s">
        <v>66</v>
      </c>
      <c r="H13305" t="s">
        <v>67</v>
      </c>
      <c r="S13305">
        <v>1</v>
      </c>
      <c r="T13305">
        <v>0</v>
      </c>
      <c r="U13305">
        <v>0</v>
      </c>
      <c r="V13305">
        <v>0</v>
      </c>
      <c r="W13305">
        <v>1</v>
      </c>
      <c r="X13305">
        <v>0</v>
      </c>
      <c r="Y13305">
        <v>1</v>
      </c>
      <c r="Z13305">
        <v>0</v>
      </c>
      <c r="AA13305">
        <v>1</v>
      </c>
      <c r="AB13305">
        <v>0</v>
      </c>
      <c r="AC13305">
        <v>0</v>
      </c>
      <c r="AD13305">
        <v>1</v>
      </c>
      <c r="AE13305">
        <v>1</v>
      </c>
      <c r="AF13305">
        <v>1</v>
      </c>
      <c r="AG13305">
        <v>1</v>
      </c>
      <c r="AH13305">
        <v>1</v>
      </c>
      <c r="AI13305">
        <v>1</v>
      </c>
      <c r="AJ13305">
        <v>1</v>
      </c>
      <c r="AK13305">
        <v>1</v>
      </c>
      <c r="AL13305">
        <v>1</v>
      </c>
      <c r="AM13305">
        <v>1</v>
      </c>
    </row>
    <row r="13306" spans="1:39" x14ac:dyDescent="0.2">
      <c r="A13306" t="str">
        <f>"13302"</f>
        <v>13302</v>
      </c>
      <c r="B13306" t="str">
        <f t="shared" si="740"/>
        <v>1</v>
      </c>
      <c r="C13306" t="str">
        <f t="shared" si="741"/>
        <v>267</v>
      </c>
      <c r="D13306" t="str">
        <f>"38"</f>
        <v>38</v>
      </c>
      <c r="E13306" t="str">
        <f>"1-267-38"</f>
        <v>1-267-38</v>
      </c>
      <c r="F13306" t="s">
        <v>65</v>
      </c>
      <c r="G13306" t="s">
        <v>66</v>
      </c>
      <c r="H13306" t="s">
        <v>67</v>
      </c>
      <c r="S13306">
        <v>1</v>
      </c>
      <c r="T13306">
        <v>0</v>
      </c>
      <c r="U13306">
        <v>0</v>
      </c>
      <c r="V13306">
        <v>0</v>
      </c>
      <c r="W13306">
        <v>1</v>
      </c>
      <c r="X13306">
        <v>0</v>
      </c>
      <c r="Y13306">
        <v>0</v>
      </c>
      <c r="Z13306">
        <v>1</v>
      </c>
      <c r="AA13306">
        <v>0</v>
      </c>
      <c r="AB13306">
        <v>0</v>
      </c>
      <c r="AC13306">
        <v>1</v>
      </c>
      <c r="AD13306">
        <v>1</v>
      </c>
      <c r="AE13306">
        <v>1</v>
      </c>
      <c r="AF13306">
        <v>1</v>
      </c>
      <c r="AG13306">
        <v>1</v>
      </c>
      <c r="AH13306">
        <v>1</v>
      </c>
      <c r="AI13306">
        <v>0</v>
      </c>
      <c r="AJ13306">
        <v>1</v>
      </c>
      <c r="AK13306">
        <v>1</v>
      </c>
      <c r="AL13306">
        <v>1</v>
      </c>
      <c r="AM13306">
        <v>1</v>
      </c>
    </row>
    <row r="13307" spans="1:39" x14ac:dyDescent="0.2">
      <c r="A13307" t="str">
        <f>"13303"</f>
        <v>13303</v>
      </c>
      <c r="B13307" t="str">
        <f t="shared" si="740"/>
        <v>1</v>
      </c>
      <c r="C13307" t="str">
        <f t="shared" si="741"/>
        <v>267</v>
      </c>
      <c r="D13307" t="str">
        <f>"27"</f>
        <v>27</v>
      </c>
      <c r="E13307" t="str">
        <f>"1-267-27"</f>
        <v>1-267-27</v>
      </c>
      <c r="F13307" t="s">
        <v>65</v>
      </c>
      <c r="G13307" t="s">
        <v>66</v>
      </c>
      <c r="H13307" t="s">
        <v>67</v>
      </c>
      <c r="S13307">
        <v>0</v>
      </c>
      <c r="T13307">
        <v>1</v>
      </c>
      <c r="U13307">
        <v>0</v>
      </c>
      <c r="V13307">
        <v>0</v>
      </c>
      <c r="W13307">
        <v>1</v>
      </c>
      <c r="X13307">
        <v>0</v>
      </c>
      <c r="Y13307">
        <v>0</v>
      </c>
      <c r="Z13307">
        <v>1</v>
      </c>
      <c r="AA13307">
        <v>0</v>
      </c>
      <c r="AB13307">
        <v>0</v>
      </c>
      <c r="AC13307">
        <v>1</v>
      </c>
      <c r="AD13307">
        <v>1</v>
      </c>
      <c r="AE13307">
        <v>1</v>
      </c>
      <c r="AF13307">
        <v>1</v>
      </c>
      <c r="AG13307">
        <v>1</v>
      </c>
      <c r="AH13307">
        <v>1</v>
      </c>
      <c r="AI13307">
        <v>1</v>
      </c>
      <c r="AJ13307">
        <v>1</v>
      </c>
      <c r="AK13307">
        <v>1</v>
      </c>
      <c r="AL13307">
        <v>1</v>
      </c>
      <c r="AM13307">
        <v>1</v>
      </c>
    </row>
    <row r="13308" spans="1:39" x14ac:dyDescent="0.2">
      <c r="A13308" t="str">
        <f>"13304"</f>
        <v>13304</v>
      </c>
      <c r="B13308" t="str">
        <f t="shared" si="740"/>
        <v>1</v>
      </c>
      <c r="C13308" t="str">
        <f t="shared" si="741"/>
        <v>267</v>
      </c>
      <c r="D13308" t="str">
        <f>"26"</f>
        <v>26</v>
      </c>
      <c r="E13308" t="str">
        <f>"1-267-26"</f>
        <v>1-267-26</v>
      </c>
      <c r="F13308" t="s">
        <v>65</v>
      </c>
      <c r="G13308" t="s">
        <v>66</v>
      </c>
      <c r="H13308" t="s">
        <v>67</v>
      </c>
      <c r="S13308">
        <v>0</v>
      </c>
      <c r="T13308">
        <v>1</v>
      </c>
      <c r="U13308">
        <v>0</v>
      </c>
      <c r="V13308">
        <v>0</v>
      </c>
      <c r="W13308">
        <v>0</v>
      </c>
      <c r="X13308">
        <v>1</v>
      </c>
      <c r="Y13308">
        <v>0</v>
      </c>
      <c r="Z13308">
        <v>1</v>
      </c>
      <c r="AA13308">
        <v>0</v>
      </c>
      <c r="AB13308">
        <v>1</v>
      </c>
      <c r="AC13308">
        <v>0</v>
      </c>
      <c r="AD13308">
        <v>1</v>
      </c>
      <c r="AE13308">
        <v>1</v>
      </c>
      <c r="AF13308">
        <v>1</v>
      </c>
      <c r="AG13308">
        <v>1</v>
      </c>
      <c r="AH13308">
        <v>1</v>
      </c>
      <c r="AI13308">
        <v>1</v>
      </c>
      <c r="AJ13308">
        <v>1</v>
      </c>
      <c r="AK13308">
        <v>1</v>
      </c>
      <c r="AL13308">
        <v>1</v>
      </c>
      <c r="AM13308">
        <v>1</v>
      </c>
    </row>
    <row r="13309" spans="1:39" x14ac:dyDescent="0.2">
      <c r="A13309" t="str">
        <f>"13305"</f>
        <v>13305</v>
      </c>
      <c r="B13309" t="str">
        <f t="shared" si="740"/>
        <v>1</v>
      </c>
      <c r="C13309" t="str">
        <f t="shared" si="741"/>
        <v>267</v>
      </c>
      <c r="D13309" t="str">
        <f>"17"</f>
        <v>17</v>
      </c>
      <c r="E13309" t="str">
        <f>"1-267-17"</f>
        <v>1-267-17</v>
      </c>
      <c r="F13309" t="s">
        <v>65</v>
      </c>
      <c r="G13309" t="s">
        <v>66</v>
      </c>
      <c r="H13309" t="s">
        <v>67</v>
      </c>
      <c r="S13309">
        <v>1</v>
      </c>
      <c r="T13309">
        <v>0</v>
      </c>
      <c r="U13309">
        <v>0</v>
      </c>
      <c r="V13309">
        <v>0</v>
      </c>
      <c r="W13309">
        <v>1</v>
      </c>
      <c r="X13309">
        <v>0</v>
      </c>
      <c r="Y13309">
        <v>1</v>
      </c>
      <c r="Z13309">
        <v>0</v>
      </c>
      <c r="AA13309">
        <v>1</v>
      </c>
      <c r="AB13309">
        <v>0</v>
      </c>
      <c r="AC13309">
        <v>0</v>
      </c>
      <c r="AD13309">
        <v>1</v>
      </c>
      <c r="AE13309">
        <v>1</v>
      </c>
      <c r="AF13309">
        <v>1</v>
      </c>
      <c r="AG13309">
        <v>1</v>
      </c>
      <c r="AH13309">
        <v>1</v>
      </c>
      <c r="AI13309">
        <v>1</v>
      </c>
      <c r="AJ13309">
        <v>1</v>
      </c>
      <c r="AK13309">
        <v>1</v>
      </c>
      <c r="AL13309">
        <v>1</v>
      </c>
      <c r="AM13309">
        <v>1</v>
      </c>
    </row>
    <row r="13310" spans="1:39" x14ac:dyDescent="0.2">
      <c r="A13310" t="str">
        <f>"13306"</f>
        <v>13306</v>
      </c>
      <c r="B13310" t="str">
        <f t="shared" si="740"/>
        <v>1</v>
      </c>
      <c r="C13310" t="str">
        <f t="shared" si="741"/>
        <v>267</v>
      </c>
      <c r="D13310" t="str">
        <f>"15"</f>
        <v>15</v>
      </c>
      <c r="E13310" t="str">
        <f>"1-267-15"</f>
        <v>1-267-15</v>
      </c>
      <c r="F13310" t="s">
        <v>65</v>
      </c>
      <c r="G13310" t="s">
        <v>66</v>
      </c>
      <c r="H13310" t="s">
        <v>67</v>
      </c>
      <c r="S13310">
        <v>0</v>
      </c>
      <c r="T13310">
        <v>1</v>
      </c>
      <c r="U13310">
        <v>0</v>
      </c>
      <c r="V13310">
        <v>0</v>
      </c>
      <c r="W13310">
        <v>1</v>
      </c>
      <c r="X13310">
        <v>0</v>
      </c>
      <c r="Y13310">
        <v>1</v>
      </c>
      <c r="Z13310">
        <v>0</v>
      </c>
      <c r="AA13310">
        <v>1</v>
      </c>
      <c r="AB13310">
        <v>0</v>
      </c>
      <c r="AC13310">
        <v>0</v>
      </c>
      <c r="AD13310">
        <v>1</v>
      </c>
      <c r="AE13310">
        <v>1</v>
      </c>
      <c r="AF13310">
        <v>1</v>
      </c>
      <c r="AG13310">
        <v>1</v>
      </c>
      <c r="AH13310">
        <v>1</v>
      </c>
      <c r="AI13310">
        <v>1</v>
      </c>
      <c r="AJ13310">
        <v>1</v>
      </c>
      <c r="AK13310">
        <v>1</v>
      </c>
      <c r="AL13310">
        <v>1</v>
      </c>
      <c r="AM13310">
        <v>1</v>
      </c>
    </row>
    <row r="13311" spans="1:39" x14ac:dyDescent="0.2">
      <c r="A13311" t="str">
        <f>"13307"</f>
        <v>13307</v>
      </c>
      <c r="B13311" t="str">
        <f t="shared" si="740"/>
        <v>1</v>
      </c>
      <c r="C13311" t="str">
        <f t="shared" si="741"/>
        <v>267</v>
      </c>
      <c r="D13311" t="str">
        <f>"7"</f>
        <v>7</v>
      </c>
      <c r="E13311" t="str">
        <f>"1-267-7"</f>
        <v>1-267-7</v>
      </c>
      <c r="F13311" t="s">
        <v>65</v>
      </c>
      <c r="G13311" t="s">
        <v>66</v>
      </c>
      <c r="H13311" t="s">
        <v>67</v>
      </c>
      <c r="S13311">
        <v>0</v>
      </c>
      <c r="T13311">
        <v>1</v>
      </c>
      <c r="U13311">
        <v>0</v>
      </c>
      <c r="V13311">
        <v>0</v>
      </c>
      <c r="W13311">
        <v>1</v>
      </c>
      <c r="X13311">
        <v>0</v>
      </c>
      <c r="Y13311">
        <v>0</v>
      </c>
      <c r="Z13311">
        <v>1</v>
      </c>
      <c r="AA13311">
        <v>1</v>
      </c>
      <c r="AB13311">
        <v>0</v>
      </c>
      <c r="AC13311">
        <v>0</v>
      </c>
      <c r="AD13311">
        <v>1</v>
      </c>
      <c r="AE13311">
        <v>1</v>
      </c>
      <c r="AF13311">
        <v>1</v>
      </c>
      <c r="AG13311">
        <v>1</v>
      </c>
      <c r="AH13311">
        <v>1</v>
      </c>
      <c r="AI13311">
        <v>1</v>
      </c>
      <c r="AJ13311">
        <v>1</v>
      </c>
      <c r="AK13311">
        <v>1</v>
      </c>
      <c r="AL13311">
        <v>1</v>
      </c>
      <c r="AM13311">
        <v>1</v>
      </c>
    </row>
    <row r="13312" spans="1:39" x14ac:dyDescent="0.2">
      <c r="A13312" t="str">
        <f>"13308"</f>
        <v>13308</v>
      </c>
      <c r="B13312" t="str">
        <f t="shared" si="740"/>
        <v>1</v>
      </c>
      <c r="C13312" t="str">
        <f t="shared" si="741"/>
        <v>267</v>
      </c>
      <c r="D13312" t="str">
        <f>"34"</f>
        <v>34</v>
      </c>
      <c r="E13312" t="str">
        <f>"1-267-34"</f>
        <v>1-267-34</v>
      </c>
      <c r="F13312" t="s">
        <v>65</v>
      </c>
      <c r="G13312" t="s">
        <v>66</v>
      </c>
      <c r="H13312" t="s">
        <v>67</v>
      </c>
      <c r="S13312">
        <v>1</v>
      </c>
      <c r="T13312">
        <v>0</v>
      </c>
      <c r="U13312">
        <v>0</v>
      </c>
      <c r="V13312">
        <v>0</v>
      </c>
      <c r="W13312">
        <v>1</v>
      </c>
      <c r="X13312">
        <v>0</v>
      </c>
      <c r="Y13312">
        <v>0</v>
      </c>
      <c r="Z13312">
        <v>1</v>
      </c>
      <c r="AA13312">
        <v>1</v>
      </c>
      <c r="AB13312">
        <v>0</v>
      </c>
      <c r="AC13312">
        <v>0</v>
      </c>
      <c r="AD13312">
        <v>1</v>
      </c>
      <c r="AE13312">
        <v>1</v>
      </c>
      <c r="AF13312">
        <v>1</v>
      </c>
      <c r="AG13312">
        <v>1</v>
      </c>
      <c r="AH13312">
        <v>1</v>
      </c>
      <c r="AI13312">
        <v>1</v>
      </c>
      <c r="AJ13312">
        <v>1</v>
      </c>
      <c r="AK13312">
        <v>1</v>
      </c>
      <c r="AL13312">
        <v>1</v>
      </c>
      <c r="AM13312">
        <v>1</v>
      </c>
    </row>
    <row r="13313" spans="1:39" x14ac:dyDescent="0.2">
      <c r="A13313" t="str">
        <f>"13309"</f>
        <v>13309</v>
      </c>
      <c r="B13313" t="str">
        <f t="shared" si="740"/>
        <v>1</v>
      </c>
      <c r="C13313" t="str">
        <f t="shared" si="741"/>
        <v>267</v>
      </c>
      <c r="D13313" t="str">
        <f>"33"</f>
        <v>33</v>
      </c>
      <c r="E13313" t="str">
        <f>"1-267-33"</f>
        <v>1-267-33</v>
      </c>
      <c r="F13313" t="s">
        <v>65</v>
      </c>
      <c r="G13313" t="s">
        <v>66</v>
      </c>
      <c r="H13313" t="s">
        <v>67</v>
      </c>
      <c r="S13313">
        <v>0</v>
      </c>
      <c r="T13313">
        <v>1</v>
      </c>
      <c r="U13313">
        <v>0</v>
      </c>
      <c r="V13313">
        <v>0</v>
      </c>
      <c r="W13313">
        <v>1</v>
      </c>
      <c r="X13313">
        <v>0</v>
      </c>
      <c r="Y13313">
        <v>0</v>
      </c>
      <c r="Z13313">
        <v>1</v>
      </c>
      <c r="AA13313">
        <v>0</v>
      </c>
      <c r="AB13313">
        <v>0</v>
      </c>
      <c r="AC13313">
        <v>1</v>
      </c>
      <c r="AD13313">
        <v>1</v>
      </c>
      <c r="AE13313">
        <v>1</v>
      </c>
      <c r="AF13313">
        <v>1</v>
      </c>
      <c r="AG13313">
        <v>1</v>
      </c>
      <c r="AH13313">
        <v>1</v>
      </c>
      <c r="AI13313">
        <v>1</v>
      </c>
      <c r="AJ13313">
        <v>1</v>
      </c>
      <c r="AK13313">
        <v>1</v>
      </c>
      <c r="AL13313">
        <v>1</v>
      </c>
      <c r="AM13313">
        <v>1</v>
      </c>
    </row>
    <row r="13314" spans="1:39" x14ac:dyDescent="0.2">
      <c r="A13314" t="str">
        <f>"13310"</f>
        <v>13310</v>
      </c>
      <c r="B13314" t="str">
        <f t="shared" si="740"/>
        <v>1</v>
      </c>
      <c r="C13314" t="str">
        <f t="shared" si="741"/>
        <v>267</v>
      </c>
      <c r="D13314" t="str">
        <f>"24"</f>
        <v>24</v>
      </c>
      <c r="E13314" t="str">
        <f>"1-267-24"</f>
        <v>1-267-24</v>
      </c>
      <c r="F13314" t="s">
        <v>65</v>
      </c>
      <c r="G13314" t="s">
        <v>66</v>
      </c>
      <c r="H13314" t="s">
        <v>67</v>
      </c>
      <c r="S13314">
        <v>0</v>
      </c>
      <c r="T13314">
        <v>1</v>
      </c>
      <c r="U13314">
        <v>0</v>
      </c>
      <c r="V13314">
        <v>0</v>
      </c>
      <c r="W13314">
        <v>1</v>
      </c>
      <c r="X13314">
        <v>0</v>
      </c>
      <c r="Y13314">
        <v>1</v>
      </c>
      <c r="Z13314">
        <v>0</v>
      </c>
      <c r="AA13314">
        <v>1</v>
      </c>
      <c r="AB13314">
        <v>0</v>
      </c>
      <c r="AC13314">
        <v>0</v>
      </c>
      <c r="AD13314">
        <v>0</v>
      </c>
      <c r="AE13314">
        <v>0</v>
      </c>
      <c r="AF13314">
        <v>0</v>
      </c>
      <c r="AG13314">
        <v>0</v>
      </c>
      <c r="AH13314">
        <v>0</v>
      </c>
      <c r="AI13314">
        <v>0</v>
      </c>
      <c r="AJ13314">
        <v>0</v>
      </c>
      <c r="AK13314">
        <v>0</v>
      </c>
      <c r="AL13314">
        <v>0</v>
      </c>
      <c r="AM13314">
        <v>0</v>
      </c>
    </row>
    <row r="13315" spans="1:39" x14ac:dyDescent="0.2">
      <c r="A13315" t="str">
        <f>"13311"</f>
        <v>13311</v>
      </c>
      <c r="B13315" t="str">
        <f t="shared" si="740"/>
        <v>1</v>
      </c>
      <c r="C13315" t="str">
        <f t="shared" si="741"/>
        <v>267</v>
      </c>
      <c r="D13315" t="str">
        <f>"16"</f>
        <v>16</v>
      </c>
      <c r="E13315" t="str">
        <f>"1-267-16"</f>
        <v>1-267-16</v>
      </c>
      <c r="F13315" t="s">
        <v>65</v>
      </c>
      <c r="G13315" t="s">
        <v>66</v>
      </c>
      <c r="H13315" t="s">
        <v>67</v>
      </c>
      <c r="S13315">
        <v>0</v>
      </c>
      <c r="T13315">
        <v>1</v>
      </c>
      <c r="U13315">
        <v>0</v>
      </c>
      <c r="V13315">
        <v>0</v>
      </c>
      <c r="W13315">
        <v>0</v>
      </c>
      <c r="X13315">
        <v>1</v>
      </c>
      <c r="Y13315">
        <v>0</v>
      </c>
      <c r="Z13315">
        <v>1</v>
      </c>
      <c r="AA13315">
        <v>0</v>
      </c>
      <c r="AB13315">
        <v>0</v>
      </c>
      <c r="AC13315">
        <v>1</v>
      </c>
      <c r="AD13315">
        <v>1</v>
      </c>
      <c r="AE13315">
        <v>1</v>
      </c>
      <c r="AF13315">
        <v>1</v>
      </c>
      <c r="AG13315">
        <v>1</v>
      </c>
      <c r="AH13315">
        <v>1</v>
      </c>
      <c r="AI13315">
        <v>1</v>
      </c>
      <c r="AJ13315">
        <v>1</v>
      </c>
      <c r="AK13315">
        <v>1</v>
      </c>
      <c r="AL13315">
        <v>1</v>
      </c>
      <c r="AM13315">
        <v>1</v>
      </c>
    </row>
    <row r="13316" spans="1:39" x14ac:dyDescent="0.2">
      <c r="A13316" t="str">
        <f>"13312"</f>
        <v>13312</v>
      </c>
      <c r="B13316" t="str">
        <f t="shared" si="740"/>
        <v>1</v>
      </c>
      <c r="C13316" t="str">
        <f t="shared" si="741"/>
        <v>267</v>
      </c>
      <c r="D13316" t="str">
        <f>"4"</f>
        <v>4</v>
      </c>
      <c r="E13316" t="str">
        <f>"1-267-4"</f>
        <v>1-267-4</v>
      </c>
      <c r="F13316" t="s">
        <v>65</v>
      </c>
      <c r="G13316" t="s">
        <v>66</v>
      </c>
      <c r="H13316" t="s">
        <v>67</v>
      </c>
      <c r="S13316">
        <v>0</v>
      </c>
      <c r="T13316">
        <v>1</v>
      </c>
      <c r="U13316">
        <v>0</v>
      </c>
      <c r="V13316">
        <v>0</v>
      </c>
      <c r="W13316">
        <v>1</v>
      </c>
      <c r="X13316">
        <v>0</v>
      </c>
      <c r="Y13316">
        <v>0</v>
      </c>
      <c r="Z13316">
        <v>0</v>
      </c>
      <c r="AA13316">
        <v>1</v>
      </c>
      <c r="AB13316">
        <v>0</v>
      </c>
      <c r="AC13316">
        <v>0</v>
      </c>
      <c r="AD13316">
        <v>1</v>
      </c>
      <c r="AE13316">
        <v>1</v>
      </c>
      <c r="AF13316">
        <v>1</v>
      </c>
      <c r="AG13316">
        <v>1</v>
      </c>
      <c r="AH13316">
        <v>1</v>
      </c>
      <c r="AI13316">
        <v>1</v>
      </c>
      <c r="AJ13316">
        <v>1</v>
      </c>
      <c r="AK13316">
        <v>1</v>
      </c>
      <c r="AL13316">
        <v>1</v>
      </c>
      <c r="AM13316">
        <v>1</v>
      </c>
    </row>
    <row r="13317" spans="1:39" x14ac:dyDescent="0.2">
      <c r="A13317" t="str">
        <f>"13313"</f>
        <v>13313</v>
      </c>
      <c r="B13317" t="str">
        <f t="shared" si="740"/>
        <v>1</v>
      </c>
      <c r="C13317" t="str">
        <f t="shared" si="741"/>
        <v>267</v>
      </c>
      <c r="D13317" t="str">
        <f>"36"</f>
        <v>36</v>
      </c>
      <c r="E13317" t="str">
        <f>"1-267-36"</f>
        <v>1-267-36</v>
      </c>
      <c r="F13317" t="s">
        <v>65</v>
      </c>
      <c r="G13317" t="s">
        <v>66</v>
      </c>
      <c r="H13317" t="s">
        <v>67</v>
      </c>
      <c r="S13317">
        <v>1</v>
      </c>
      <c r="T13317">
        <v>0</v>
      </c>
      <c r="U13317">
        <v>0</v>
      </c>
      <c r="V13317">
        <v>0</v>
      </c>
      <c r="W13317">
        <v>0</v>
      </c>
      <c r="X13317">
        <v>1</v>
      </c>
      <c r="Y13317">
        <v>1</v>
      </c>
      <c r="Z13317">
        <v>0</v>
      </c>
      <c r="AA13317">
        <v>1</v>
      </c>
      <c r="AB13317">
        <v>0</v>
      </c>
      <c r="AC13317">
        <v>0</v>
      </c>
      <c r="AD13317">
        <v>1</v>
      </c>
      <c r="AE13317">
        <v>1</v>
      </c>
      <c r="AF13317">
        <v>1</v>
      </c>
      <c r="AG13317">
        <v>1</v>
      </c>
      <c r="AH13317">
        <v>1</v>
      </c>
      <c r="AI13317">
        <v>1</v>
      </c>
      <c r="AJ13317">
        <v>1</v>
      </c>
      <c r="AK13317">
        <v>1</v>
      </c>
      <c r="AL13317">
        <v>1</v>
      </c>
      <c r="AM13317">
        <v>1</v>
      </c>
    </row>
    <row r="13318" spans="1:39" x14ac:dyDescent="0.2">
      <c r="A13318" t="str">
        <f>"13314"</f>
        <v>13314</v>
      </c>
      <c r="B13318" t="str">
        <f t="shared" si="740"/>
        <v>1</v>
      </c>
      <c r="C13318" t="str">
        <f t="shared" si="741"/>
        <v>267</v>
      </c>
      <c r="D13318" t="str">
        <f>"18"</f>
        <v>18</v>
      </c>
      <c r="E13318" t="str">
        <f>"1-267-18"</f>
        <v>1-267-18</v>
      </c>
      <c r="F13318" t="s">
        <v>65</v>
      </c>
      <c r="G13318" t="s">
        <v>66</v>
      </c>
      <c r="H13318" t="s">
        <v>67</v>
      </c>
      <c r="S13318">
        <v>0</v>
      </c>
      <c r="T13318">
        <v>1</v>
      </c>
      <c r="U13318">
        <v>0</v>
      </c>
      <c r="V13318">
        <v>0</v>
      </c>
      <c r="W13318">
        <v>1</v>
      </c>
      <c r="X13318">
        <v>0</v>
      </c>
      <c r="Y13318">
        <v>0</v>
      </c>
      <c r="Z13318">
        <v>1</v>
      </c>
      <c r="AA13318">
        <v>0</v>
      </c>
      <c r="AB13318">
        <v>0</v>
      </c>
      <c r="AC13318">
        <v>1</v>
      </c>
      <c r="AD13318">
        <v>1</v>
      </c>
      <c r="AE13318">
        <v>1</v>
      </c>
      <c r="AF13318">
        <v>1</v>
      </c>
      <c r="AG13318">
        <v>1</v>
      </c>
      <c r="AH13318">
        <v>1</v>
      </c>
      <c r="AI13318">
        <v>1</v>
      </c>
      <c r="AJ13318">
        <v>1</v>
      </c>
      <c r="AK13318">
        <v>1</v>
      </c>
      <c r="AL13318">
        <v>1</v>
      </c>
      <c r="AM13318">
        <v>1</v>
      </c>
    </row>
    <row r="13319" spans="1:39" x14ac:dyDescent="0.2">
      <c r="A13319" t="str">
        <f>"13315"</f>
        <v>13315</v>
      </c>
      <c r="B13319" t="str">
        <f t="shared" si="740"/>
        <v>1</v>
      </c>
      <c r="C13319" t="str">
        <f t="shared" si="741"/>
        <v>267</v>
      </c>
      <c r="D13319" t="str">
        <f>"2"</f>
        <v>2</v>
      </c>
      <c r="E13319" t="str">
        <f>"1-267-2"</f>
        <v>1-267-2</v>
      </c>
      <c r="F13319" t="s">
        <v>65</v>
      </c>
      <c r="G13319" t="s">
        <v>66</v>
      </c>
      <c r="H13319" t="s">
        <v>68</v>
      </c>
      <c r="I13319">
        <v>1</v>
      </c>
      <c r="J13319">
        <v>1</v>
      </c>
      <c r="K13319">
        <v>0</v>
      </c>
      <c r="L13319">
        <v>0</v>
      </c>
      <c r="M13319">
        <v>1</v>
      </c>
      <c r="N13319">
        <v>1</v>
      </c>
      <c r="O13319">
        <v>1</v>
      </c>
      <c r="P13319">
        <v>1</v>
      </c>
      <c r="Q13319">
        <v>1</v>
      </c>
      <c r="R13319">
        <v>1</v>
      </c>
    </row>
    <row r="13320" spans="1:39" x14ac:dyDescent="0.2">
      <c r="A13320" t="str">
        <f>"13316"</f>
        <v>13316</v>
      </c>
      <c r="B13320" t="str">
        <f t="shared" si="740"/>
        <v>1</v>
      </c>
      <c r="C13320" t="str">
        <f t="shared" si="741"/>
        <v>267</v>
      </c>
      <c r="D13320" t="str">
        <f>"49"</f>
        <v>49</v>
      </c>
      <c r="E13320" t="str">
        <f>"1-267-49"</f>
        <v>1-267-49</v>
      </c>
      <c r="F13320" t="s">
        <v>65</v>
      </c>
      <c r="G13320" t="s">
        <v>66</v>
      </c>
      <c r="H13320" t="s">
        <v>67</v>
      </c>
      <c r="S13320">
        <v>0</v>
      </c>
      <c r="T13320">
        <v>1</v>
      </c>
      <c r="U13320">
        <v>0</v>
      </c>
      <c r="V13320">
        <v>0</v>
      </c>
      <c r="W13320">
        <v>0</v>
      </c>
      <c r="X13320">
        <v>1</v>
      </c>
      <c r="Y13320">
        <v>0</v>
      </c>
      <c r="Z13320">
        <v>1</v>
      </c>
      <c r="AA13320">
        <v>0</v>
      </c>
      <c r="AB13320">
        <v>1</v>
      </c>
      <c r="AC13320">
        <v>0</v>
      </c>
      <c r="AD13320">
        <v>1</v>
      </c>
      <c r="AE13320">
        <v>1</v>
      </c>
      <c r="AF13320">
        <v>1</v>
      </c>
      <c r="AG13320">
        <v>1</v>
      </c>
      <c r="AH13320">
        <v>1</v>
      </c>
      <c r="AI13320">
        <v>1</v>
      </c>
      <c r="AJ13320">
        <v>1</v>
      </c>
      <c r="AK13320">
        <v>1</v>
      </c>
      <c r="AL13320">
        <v>1</v>
      </c>
      <c r="AM13320">
        <v>1</v>
      </c>
    </row>
    <row r="13321" spans="1:39" x14ac:dyDescent="0.2">
      <c r="A13321" t="str">
        <f>"13317"</f>
        <v>13317</v>
      </c>
      <c r="B13321" t="str">
        <f t="shared" si="740"/>
        <v>1</v>
      </c>
      <c r="C13321" t="str">
        <f t="shared" si="741"/>
        <v>267</v>
      </c>
      <c r="D13321" t="str">
        <f>"48"</f>
        <v>48</v>
      </c>
      <c r="E13321" t="str">
        <f>"1-267-48"</f>
        <v>1-267-48</v>
      </c>
      <c r="F13321" t="s">
        <v>65</v>
      </c>
      <c r="G13321" t="s">
        <v>66</v>
      </c>
      <c r="H13321" t="s">
        <v>67</v>
      </c>
      <c r="S13321">
        <v>0</v>
      </c>
      <c r="T13321">
        <v>1</v>
      </c>
      <c r="U13321">
        <v>0</v>
      </c>
      <c r="V13321">
        <v>0</v>
      </c>
      <c r="W13321">
        <v>0</v>
      </c>
      <c r="X13321">
        <v>1</v>
      </c>
      <c r="Y13321">
        <v>0</v>
      </c>
      <c r="Z13321">
        <v>1</v>
      </c>
      <c r="AA13321">
        <v>0</v>
      </c>
      <c r="AB13321">
        <v>1</v>
      </c>
      <c r="AC13321">
        <v>0</v>
      </c>
      <c r="AD13321">
        <v>1</v>
      </c>
      <c r="AE13321">
        <v>1</v>
      </c>
      <c r="AF13321">
        <v>1</v>
      </c>
      <c r="AG13321">
        <v>1</v>
      </c>
      <c r="AH13321">
        <v>1</v>
      </c>
      <c r="AI13321">
        <v>1</v>
      </c>
      <c r="AJ13321">
        <v>1</v>
      </c>
      <c r="AK13321">
        <v>1</v>
      </c>
      <c r="AL13321">
        <v>1</v>
      </c>
      <c r="AM13321">
        <v>1</v>
      </c>
    </row>
    <row r="13322" spans="1:39" x14ac:dyDescent="0.2">
      <c r="A13322" t="str">
        <f>"13318"</f>
        <v>13318</v>
      </c>
      <c r="B13322" t="str">
        <f t="shared" si="740"/>
        <v>1</v>
      </c>
      <c r="C13322" t="str">
        <f t="shared" si="741"/>
        <v>267</v>
      </c>
      <c r="D13322" t="str">
        <f>"35"</f>
        <v>35</v>
      </c>
      <c r="E13322" t="str">
        <f>"1-267-35"</f>
        <v>1-267-35</v>
      </c>
      <c r="F13322" t="s">
        <v>65</v>
      </c>
      <c r="G13322" t="s">
        <v>66</v>
      </c>
      <c r="H13322" t="s">
        <v>67</v>
      </c>
      <c r="S13322">
        <v>1</v>
      </c>
      <c r="T13322">
        <v>0</v>
      </c>
      <c r="U13322">
        <v>0</v>
      </c>
      <c r="V13322">
        <v>0</v>
      </c>
      <c r="W13322">
        <v>1</v>
      </c>
      <c r="X13322">
        <v>0</v>
      </c>
      <c r="Y13322">
        <v>1</v>
      </c>
      <c r="Z13322">
        <v>0</v>
      </c>
      <c r="AA13322">
        <v>1</v>
      </c>
      <c r="AB13322">
        <v>0</v>
      </c>
      <c r="AC13322">
        <v>0</v>
      </c>
      <c r="AD13322">
        <v>1</v>
      </c>
      <c r="AE13322">
        <v>1</v>
      </c>
      <c r="AF13322">
        <v>1</v>
      </c>
      <c r="AG13322">
        <v>1</v>
      </c>
      <c r="AH13322">
        <v>1</v>
      </c>
      <c r="AI13322">
        <v>1</v>
      </c>
      <c r="AJ13322">
        <v>1</v>
      </c>
      <c r="AK13322">
        <v>1</v>
      </c>
      <c r="AL13322">
        <v>1</v>
      </c>
      <c r="AM13322">
        <v>1</v>
      </c>
    </row>
    <row r="13323" spans="1:39" x14ac:dyDescent="0.2">
      <c r="A13323" t="str">
        <f>"13319"</f>
        <v>13319</v>
      </c>
      <c r="B13323" t="str">
        <f t="shared" si="740"/>
        <v>1</v>
      </c>
      <c r="C13323" t="str">
        <f t="shared" si="741"/>
        <v>267</v>
      </c>
      <c r="D13323" t="str">
        <f>"19"</f>
        <v>19</v>
      </c>
      <c r="E13323" t="str">
        <f>"1-267-19"</f>
        <v>1-267-19</v>
      </c>
      <c r="F13323" t="s">
        <v>65</v>
      </c>
      <c r="G13323" t="s">
        <v>66</v>
      </c>
      <c r="H13323" t="s">
        <v>68</v>
      </c>
      <c r="I13323">
        <v>1</v>
      </c>
      <c r="J13323">
        <v>0</v>
      </c>
      <c r="K13323">
        <v>0</v>
      </c>
      <c r="L13323">
        <v>1</v>
      </c>
      <c r="M13323">
        <v>1</v>
      </c>
      <c r="N13323">
        <v>1</v>
      </c>
      <c r="O13323">
        <v>1</v>
      </c>
      <c r="P13323">
        <v>1</v>
      </c>
      <c r="Q13323">
        <v>1</v>
      </c>
      <c r="R13323">
        <v>1</v>
      </c>
    </row>
    <row r="13324" spans="1:39" x14ac:dyDescent="0.2">
      <c r="A13324" t="str">
        <f>"13320"</f>
        <v>13320</v>
      </c>
      <c r="B13324" t="str">
        <f t="shared" si="740"/>
        <v>1</v>
      </c>
      <c r="C13324" t="str">
        <f t="shared" si="741"/>
        <v>267</v>
      </c>
      <c r="D13324" t="str">
        <f>"6"</f>
        <v>6</v>
      </c>
      <c r="E13324" t="str">
        <f>"1-267-6"</f>
        <v>1-267-6</v>
      </c>
      <c r="F13324" t="s">
        <v>65</v>
      </c>
      <c r="G13324" t="s">
        <v>66</v>
      </c>
      <c r="H13324" t="s">
        <v>67</v>
      </c>
      <c r="S13324">
        <v>0</v>
      </c>
      <c r="T13324">
        <v>1</v>
      </c>
      <c r="U13324">
        <v>0</v>
      </c>
      <c r="V13324">
        <v>0</v>
      </c>
      <c r="W13324">
        <v>1</v>
      </c>
      <c r="X13324">
        <v>0</v>
      </c>
      <c r="Y13324">
        <v>0</v>
      </c>
      <c r="Z13324">
        <v>1</v>
      </c>
      <c r="AA13324">
        <v>1</v>
      </c>
      <c r="AB13324">
        <v>0</v>
      </c>
      <c r="AC13324">
        <v>0</v>
      </c>
      <c r="AD13324">
        <v>0</v>
      </c>
      <c r="AE13324">
        <v>0</v>
      </c>
      <c r="AF13324">
        <v>0</v>
      </c>
      <c r="AG13324">
        <v>1</v>
      </c>
      <c r="AH13324">
        <v>0</v>
      </c>
      <c r="AI13324">
        <v>0</v>
      </c>
      <c r="AJ13324">
        <v>0</v>
      </c>
      <c r="AK13324">
        <v>0</v>
      </c>
      <c r="AL13324">
        <v>0</v>
      </c>
      <c r="AM13324">
        <v>0</v>
      </c>
    </row>
    <row r="13325" spans="1:39" x14ac:dyDescent="0.2">
      <c r="A13325" t="str">
        <f>"13321"</f>
        <v>13321</v>
      </c>
      <c r="B13325" t="str">
        <f t="shared" si="740"/>
        <v>1</v>
      </c>
      <c r="C13325" t="str">
        <f t="shared" si="741"/>
        <v>267</v>
      </c>
      <c r="D13325" t="str">
        <f>"37"</f>
        <v>37</v>
      </c>
      <c r="E13325" t="str">
        <f>"1-267-37"</f>
        <v>1-267-37</v>
      </c>
      <c r="F13325" t="s">
        <v>65</v>
      </c>
      <c r="G13325" t="s">
        <v>66</v>
      </c>
      <c r="H13325" t="s">
        <v>67</v>
      </c>
      <c r="S13325">
        <v>1</v>
      </c>
      <c r="T13325">
        <v>0</v>
      </c>
      <c r="U13325">
        <v>0</v>
      </c>
      <c r="V13325">
        <v>0</v>
      </c>
      <c r="W13325">
        <v>1</v>
      </c>
      <c r="X13325">
        <v>0</v>
      </c>
      <c r="Y13325">
        <v>1</v>
      </c>
      <c r="Z13325">
        <v>0</v>
      </c>
      <c r="AA13325">
        <v>0</v>
      </c>
      <c r="AB13325">
        <v>1</v>
      </c>
      <c r="AC13325">
        <v>0</v>
      </c>
      <c r="AD13325">
        <v>0</v>
      </c>
      <c r="AE13325">
        <v>1</v>
      </c>
      <c r="AF13325">
        <v>1</v>
      </c>
      <c r="AG13325">
        <v>1</v>
      </c>
      <c r="AH13325">
        <v>1</v>
      </c>
      <c r="AI13325">
        <v>1</v>
      </c>
      <c r="AJ13325">
        <v>1</v>
      </c>
      <c r="AK13325">
        <v>1</v>
      </c>
      <c r="AL13325">
        <v>1</v>
      </c>
      <c r="AM13325">
        <v>1</v>
      </c>
    </row>
    <row r="13326" spans="1:39" x14ac:dyDescent="0.2">
      <c r="A13326" t="str">
        <f>"13322"</f>
        <v>13322</v>
      </c>
      <c r="B13326" t="str">
        <f t="shared" si="740"/>
        <v>1</v>
      </c>
      <c r="C13326" t="str">
        <f t="shared" si="741"/>
        <v>267</v>
      </c>
      <c r="D13326" t="str">
        <f>"20"</f>
        <v>20</v>
      </c>
      <c r="E13326" t="str">
        <f>"1-267-20"</f>
        <v>1-267-20</v>
      </c>
      <c r="F13326" t="s">
        <v>65</v>
      </c>
      <c r="G13326" t="s">
        <v>66</v>
      </c>
      <c r="H13326" t="s">
        <v>67</v>
      </c>
      <c r="S13326">
        <v>1</v>
      </c>
      <c r="T13326">
        <v>0</v>
      </c>
      <c r="U13326">
        <v>0</v>
      </c>
      <c r="V13326">
        <v>0</v>
      </c>
      <c r="W13326">
        <v>1</v>
      </c>
      <c r="X13326">
        <v>0</v>
      </c>
      <c r="Y13326">
        <v>0</v>
      </c>
      <c r="Z13326">
        <v>1</v>
      </c>
      <c r="AA13326">
        <v>1</v>
      </c>
      <c r="AB13326">
        <v>0</v>
      </c>
      <c r="AC13326">
        <v>0</v>
      </c>
      <c r="AD13326">
        <v>1</v>
      </c>
      <c r="AE13326">
        <v>0</v>
      </c>
      <c r="AF13326">
        <v>1</v>
      </c>
      <c r="AG13326">
        <v>1</v>
      </c>
      <c r="AH13326">
        <v>1</v>
      </c>
      <c r="AI13326">
        <v>1</v>
      </c>
      <c r="AJ13326">
        <v>1</v>
      </c>
      <c r="AK13326">
        <v>1</v>
      </c>
      <c r="AL13326">
        <v>1</v>
      </c>
      <c r="AM13326">
        <v>1</v>
      </c>
    </row>
    <row r="13327" spans="1:39" x14ac:dyDescent="0.2">
      <c r="A13327" t="str">
        <f>"13323"</f>
        <v>13323</v>
      </c>
      <c r="B13327" t="str">
        <f t="shared" si="740"/>
        <v>1</v>
      </c>
      <c r="C13327" t="str">
        <f t="shared" si="741"/>
        <v>267</v>
      </c>
      <c r="D13327" t="str">
        <f>"11"</f>
        <v>11</v>
      </c>
      <c r="E13327" t="str">
        <f>"1-267-11"</f>
        <v>1-267-11</v>
      </c>
      <c r="F13327" t="s">
        <v>65</v>
      </c>
      <c r="G13327" t="s">
        <v>66</v>
      </c>
      <c r="H13327" t="s">
        <v>67</v>
      </c>
      <c r="S13327">
        <v>1</v>
      </c>
      <c r="T13327">
        <v>0</v>
      </c>
      <c r="U13327">
        <v>0</v>
      </c>
      <c r="V13327">
        <v>0</v>
      </c>
      <c r="W13327">
        <v>1</v>
      </c>
      <c r="X13327">
        <v>0</v>
      </c>
      <c r="Y13327">
        <v>0</v>
      </c>
      <c r="Z13327">
        <v>0</v>
      </c>
      <c r="AA13327">
        <v>1</v>
      </c>
      <c r="AB13327">
        <v>0</v>
      </c>
      <c r="AC13327">
        <v>0</v>
      </c>
      <c r="AD13327">
        <v>1</v>
      </c>
      <c r="AE13327">
        <v>1</v>
      </c>
      <c r="AF13327">
        <v>1</v>
      </c>
      <c r="AG13327">
        <v>1</v>
      </c>
      <c r="AH13327">
        <v>1</v>
      </c>
      <c r="AI13327">
        <v>1</v>
      </c>
      <c r="AJ13327">
        <v>1</v>
      </c>
      <c r="AK13327">
        <v>1</v>
      </c>
      <c r="AL13327">
        <v>1</v>
      </c>
      <c r="AM13327">
        <v>1</v>
      </c>
    </row>
    <row r="13328" spans="1:39" x14ac:dyDescent="0.2">
      <c r="A13328" t="str">
        <f>"13324"</f>
        <v>13324</v>
      </c>
      <c r="B13328" t="str">
        <f t="shared" si="740"/>
        <v>1</v>
      </c>
      <c r="C13328" t="str">
        <f t="shared" si="741"/>
        <v>267</v>
      </c>
      <c r="D13328" t="str">
        <f>"40"</f>
        <v>40</v>
      </c>
      <c r="E13328" t="str">
        <f>"1-267-40"</f>
        <v>1-267-40</v>
      </c>
      <c r="F13328" t="s">
        <v>65</v>
      </c>
      <c r="G13328" t="s">
        <v>66</v>
      </c>
      <c r="H13328" t="s">
        <v>67</v>
      </c>
      <c r="S13328">
        <v>1</v>
      </c>
      <c r="T13328">
        <v>0</v>
      </c>
      <c r="U13328">
        <v>0</v>
      </c>
      <c r="V13328">
        <v>0</v>
      </c>
      <c r="W13328">
        <v>1</v>
      </c>
      <c r="X13328">
        <v>0</v>
      </c>
      <c r="Y13328">
        <v>1</v>
      </c>
      <c r="Z13328">
        <v>0</v>
      </c>
      <c r="AA13328">
        <v>1</v>
      </c>
      <c r="AB13328">
        <v>0</v>
      </c>
      <c r="AC13328">
        <v>0</v>
      </c>
      <c r="AD13328">
        <v>1</v>
      </c>
      <c r="AE13328">
        <v>1</v>
      </c>
      <c r="AF13328">
        <v>1</v>
      </c>
      <c r="AG13328">
        <v>1</v>
      </c>
      <c r="AH13328">
        <v>1</v>
      </c>
      <c r="AI13328">
        <v>1</v>
      </c>
      <c r="AJ13328">
        <v>1</v>
      </c>
      <c r="AK13328">
        <v>1</v>
      </c>
      <c r="AL13328">
        <v>1</v>
      </c>
      <c r="AM13328">
        <v>1</v>
      </c>
    </row>
    <row r="13329" spans="1:39" x14ac:dyDescent="0.2">
      <c r="A13329" t="str">
        <f>"13325"</f>
        <v>13325</v>
      </c>
      <c r="B13329" t="str">
        <f t="shared" si="740"/>
        <v>1</v>
      </c>
      <c r="C13329" t="str">
        <f t="shared" si="741"/>
        <v>267</v>
      </c>
      <c r="D13329" t="str">
        <f>"21"</f>
        <v>21</v>
      </c>
      <c r="E13329" t="str">
        <f>"1-267-21"</f>
        <v>1-267-21</v>
      </c>
      <c r="F13329" t="s">
        <v>65</v>
      </c>
      <c r="G13329" t="s">
        <v>66</v>
      </c>
      <c r="H13329" t="s">
        <v>67</v>
      </c>
      <c r="S13329">
        <v>1</v>
      </c>
      <c r="T13329">
        <v>0</v>
      </c>
      <c r="U13329">
        <v>0</v>
      </c>
      <c r="V13329">
        <v>0</v>
      </c>
      <c r="W13329">
        <v>1</v>
      </c>
      <c r="X13329">
        <v>0</v>
      </c>
      <c r="Y13329">
        <v>0</v>
      </c>
      <c r="Z13329">
        <v>1</v>
      </c>
      <c r="AA13329">
        <v>1</v>
      </c>
      <c r="AB13329">
        <v>0</v>
      </c>
      <c r="AC13329">
        <v>0</v>
      </c>
      <c r="AD13329">
        <v>1</v>
      </c>
      <c r="AE13329">
        <v>1</v>
      </c>
      <c r="AF13329">
        <v>1</v>
      </c>
      <c r="AG13329">
        <v>1</v>
      </c>
      <c r="AH13329">
        <v>1</v>
      </c>
      <c r="AI13329">
        <v>1</v>
      </c>
      <c r="AJ13329">
        <v>1</v>
      </c>
      <c r="AK13329">
        <v>1</v>
      </c>
      <c r="AL13329">
        <v>1</v>
      </c>
      <c r="AM13329">
        <v>1</v>
      </c>
    </row>
    <row r="13330" spans="1:39" x14ac:dyDescent="0.2">
      <c r="A13330" t="str">
        <f>"13326"</f>
        <v>13326</v>
      </c>
      <c r="B13330" t="str">
        <f t="shared" si="740"/>
        <v>1</v>
      </c>
      <c r="C13330" t="str">
        <f t="shared" si="741"/>
        <v>267</v>
      </c>
      <c r="D13330" t="str">
        <f>"1"</f>
        <v>1</v>
      </c>
      <c r="E13330" t="str">
        <f>"1-267-1"</f>
        <v>1-267-1</v>
      </c>
      <c r="F13330" t="s">
        <v>65</v>
      </c>
      <c r="G13330" t="s">
        <v>66</v>
      </c>
      <c r="H13330" t="s">
        <v>67</v>
      </c>
      <c r="S13330">
        <v>0</v>
      </c>
      <c r="T13330">
        <v>1</v>
      </c>
      <c r="U13330">
        <v>0</v>
      </c>
      <c r="V13330">
        <v>0</v>
      </c>
      <c r="W13330">
        <v>1</v>
      </c>
      <c r="X13330">
        <v>0</v>
      </c>
      <c r="Y13330">
        <v>0</v>
      </c>
      <c r="Z13330">
        <v>1</v>
      </c>
      <c r="AA13330">
        <v>0</v>
      </c>
      <c r="AB13330">
        <v>0</v>
      </c>
      <c r="AC13330">
        <v>1</v>
      </c>
      <c r="AD13330">
        <v>1</v>
      </c>
      <c r="AE13330">
        <v>1</v>
      </c>
      <c r="AF13330">
        <v>1</v>
      </c>
      <c r="AG13330">
        <v>1</v>
      </c>
      <c r="AH13330">
        <v>1</v>
      </c>
      <c r="AI13330">
        <v>1</v>
      </c>
      <c r="AJ13330">
        <v>1</v>
      </c>
      <c r="AK13330">
        <v>1</v>
      </c>
      <c r="AL13330">
        <v>1</v>
      </c>
      <c r="AM13330">
        <v>1</v>
      </c>
    </row>
    <row r="13331" spans="1:39" x14ac:dyDescent="0.2">
      <c r="A13331" t="str">
        <f>"13327"</f>
        <v>13327</v>
      </c>
      <c r="B13331" t="str">
        <f t="shared" si="740"/>
        <v>1</v>
      </c>
      <c r="C13331" t="str">
        <f t="shared" si="741"/>
        <v>267</v>
      </c>
      <c r="D13331" t="str">
        <f>"47"</f>
        <v>47</v>
      </c>
      <c r="E13331" t="str">
        <f>"1-267-47"</f>
        <v>1-267-47</v>
      </c>
      <c r="F13331" t="s">
        <v>65</v>
      </c>
      <c r="G13331" t="s">
        <v>66</v>
      </c>
      <c r="H13331" t="s">
        <v>67</v>
      </c>
      <c r="S13331">
        <v>0</v>
      </c>
      <c r="T13331">
        <v>1</v>
      </c>
      <c r="U13331">
        <v>0</v>
      </c>
      <c r="V13331">
        <v>0</v>
      </c>
      <c r="W13331">
        <v>0</v>
      </c>
      <c r="X13331">
        <v>1</v>
      </c>
      <c r="Y13331">
        <v>0</v>
      </c>
      <c r="Z13331">
        <v>1</v>
      </c>
      <c r="AA13331">
        <v>0</v>
      </c>
      <c r="AB13331">
        <v>1</v>
      </c>
      <c r="AC13331">
        <v>0</v>
      </c>
      <c r="AD13331">
        <v>1</v>
      </c>
      <c r="AE13331">
        <v>1</v>
      </c>
      <c r="AF13331">
        <v>1</v>
      </c>
      <c r="AG13331">
        <v>1</v>
      </c>
      <c r="AH13331">
        <v>1</v>
      </c>
      <c r="AI13331">
        <v>1</v>
      </c>
      <c r="AJ13331">
        <v>1</v>
      </c>
      <c r="AK13331">
        <v>1</v>
      </c>
      <c r="AL13331">
        <v>1</v>
      </c>
      <c r="AM13331">
        <v>1</v>
      </c>
    </row>
    <row r="13332" spans="1:39" x14ac:dyDescent="0.2">
      <c r="A13332" t="str">
        <f>"13328"</f>
        <v>13328</v>
      </c>
      <c r="B13332" t="str">
        <f t="shared" si="740"/>
        <v>1</v>
      </c>
      <c r="C13332" t="str">
        <f t="shared" si="741"/>
        <v>267</v>
      </c>
      <c r="D13332" t="str">
        <f>"22"</f>
        <v>22</v>
      </c>
      <c r="E13332" t="str">
        <f>"1-267-22"</f>
        <v>1-267-22</v>
      </c>
      <c r="F13332" t="s">
        <v>65</v>
      </c>
      <c r="G13332" t="s">
        <v>66</v>
      </c>
      <c r="H13332" t="s">
        <v>67</v>
      </c>
      <c r="S13332">
        <v>0</v>
      </c>
      <c r="T13332">
        <v>0</v>
      </c>
      <c r="U13332">
        <v>0</v>
      </c>
      <c r="V13332">
        <v>0</v>
      </c>
      <c r="W13332">
        <v>0</v>
      </c>
      <c r="X13332">
        <v>1</v>
      </c>
      <c r="Y13332">
        <v>1</v>
      </c>
      <c r="Z13332">
        <v>0</v>
      </c>
      <c r="AA13332">
        <v>0</v>
      </c>
      <c r="AB13332">
        <v>0</v>
      </c>
      <c r="AC13332">
        <v>0</v>
      </c>
      <c r="AD13332">
        <v>0</v>
      </c>
      <c r="AE13332">
        <v>0</v>
      </c>
      <c r="AF13332">
        <v>0</v>
      </c>
      <c r="AG13332">
        <v>0</v>
      </c>
      <c r="AH13332">
        <v>0</v>
      </c>
      <c r="AI13332">
        <v>0</v>
      </c>
      <c r="AJ13332">
        <v>0</v>
      </c>
      <c r="AK13332">
        <v>0</v>
      </c>
      <c r="AL13332">
        <v>0</v>
      </c>
      <c r="AM13332">
        <v>0</v>
      </c>
    </row>
    <row r="13333" spans="1:39" x14ac:dyDescent="0.2">
      <c r="A13333" t="str">
        <f>"13329"</f>
        <v>13329</v>
      </c>
      <c r="B13333" t="str">
        <f t="shared" si="740"/>
        <v>1</v>
      </c>
      <c r="C13333" t="str">
        <f t="shared" si="741"/>
        <v>267</v>
      </c>
      <c r="D13333" t="str">
        <f>"8"</f>
        <v>8</v>
      </c>
      <c r="E13333" t="str">
        <f>"1-267-8"</f>
        <v>1-267-8</v>
      </c>
      <c r="F13333" t="s">
        <v>65</v>
      </c>
      <c r="G13333" t="s">
        <v>66</v>
      </c>
      <c r="H13333" t="s">
        <v>67</v>
      </c>
      <c r="S13333">
        <v>0</v>
      </c>
      <c r="T13333">
        <v>1</v>
      </c>
      <c r="U13333">
        <v>0</v>
      </c>
      <c r="V13333">
        <v>0</v>
      </c>
      <c r="W13333">
        <v>1</v>
      </c>
      <c r="X13333">
        <v>0</v>
      </c>
      <c r="Y13333">
        <v>0</v>
      </c>
      <c r="Z13333">
        <v>1</v>
      </c>
      <c r="AA13333">
        <v>1</v>
      </c>
      <c r="AB13333">
        <v>0</v>
      </c>
      <c r="AC13333">
        <v>0</v>
      </c>
      <c r="AD13333">
        <v>0</v>
      </c>
      <c r="AE13333">
        <v>0</v>
      </c>
      <c r="AF13333">
        <v>0</v>
      </c>
      <c r="AG13333">
        <v>1</v>
      </c>
      <c r="AH13333">
        <v>0</v>
      </c>
      <c r="AI13333">
        <v>0</v>
      </c>
      <c r="AJ13333">
        <v>0</v>
      </c>
      <c r="AK13333">
        <v>0</v>
      </c>
      <c r="AL13333">
        <v>0</v>
      </c>
      <c r="AM13333">
        <v>0</v>
      </c>
    </row>
    <row r="13334" spans="1:39" x14ac:dyDescent="0.2">
      <c r="A13334" t="str">
        <f>"13330"</f>
        <v>13330</v>
      </c>
      <c r="B13334" t="str">
        <f t="shared" si="740"/>
        <v>1</v>
      </c>
      <c r="C13334" t="str">
        <f t="shared" si="741"/>
        <v>267</v>
      </c>
      <c r="D13334" t="str">
        <f>"42"</f>
        <v>42</v>
      </c>
      <c r="E13334" t="str">
        <f>"1-267-42"</f>
        <v>1-267-42</v>
      </c>
      <c r="F13334" t="s">
        <v>65</v>
      </c>
      <c r="G13334" t="s">
        <v>66</v>
      </c>
      <c r="H13334" t="s">
        <v>67</v>
      </c>
      <c r="S13334">
        <v>1</v>
      </c>
      <c r="T13334">
        <v>0</v>
      </c>
      <c r="U13334">
        <v>0</v>
      </c>
      <c r="V13334">
        <v>0</v>
      </c>
      <c r="W13334">
        <v>1</v>
      </c>
      <c r="X13334">
        <v>0</v>
      </c>
      <c r="Y13334">
        <v>1</v>
      </c>
      <c r="Z13334">
        <v>0</v>
      </c>
      <c r="AA13334">
        <v>1</v>
      </c>
      <c r="AB13334">
        <v>0</v>
      </c>
      <c r="AC13334">
        <v>0</v>
      </c>
      <c r="AD13334">
        <v>1</v>
      </c>
      <c r="AE13334">
        <v>1</v>
      </c>
      <c r="AF13334">
        <v>1</v>
      </c>
      <c r="AG13334">
        <v>1</v>
      </c>
      <c r="AH13334">
        <v>1</v>
      </c>
      <c r="AI13334">
        <v>1</v>
      </c>
      <c r="AJ13334">
        <v>1</v>
      </c>
      <c r="AK13334">
        <v>1</v>
      </c>
      <c r="AL13334">
        <v>1</v>
      </c>
      <c r="AM13334">
        <v>1</v>
      </c>
    </row>
    <row r="13335" spans="1:39" x14ac:dyDescent="0.2">
      <c r="A13335" t="str">
        <f>"13331"</f>
        <v>13331</v>
      </c>
      <c r="B13335" t="str">
        <f t="shared" si="740"/>
        <v>1</v>
      </c>
      <c r="C13335" t="str">
        <f t="shared" si="741"/>
        <v>267</v>
      </c>
      <c r="D13335" t="str">
        <f>"23"</f>
        <v>23</v>
      </c>
      <c r="E13335" t="str">
        <f>"1-267-23"</f>
        <v>1-267-23</v>
      </c>
      <c r="F13335" t="s">
        <v>65</v>
      </c>
      <c r="G13335" t="s">
        <v>66</v>
      </c>
      <c r="H13335" t="s">
        <v>67</v>
      </c>
      <c r="S13335">
        <v>1</v>
      </c>
      <c r="T13335">
        <v>0</v>
      </c>
      <c r="U13335">
        <v>0</v>
      </c>
      <c r="V13335">
        <v>0</v>
      </c>
      <c r="W13335">
        <v>1</v>
      </c>
      <c r="X13335">
        <v>0</v>
      </c>
      <c r="Y13335">
        <v>0</v>
      </c>
      <c r="Z13335">
        <v>1</v>
      </c>
      <c r="AA13335">
        <v>0</v>
      </c>
      <c r="AB13335">
        <v>0</v>
      </c>
      <c r="AC13335">
        <v>1</v>
      </c>
      <c r="AD13335">
        <v>0</v>
      </c>
      <c r="AE13335">
        <v>0</v>
      </c>
      <c r="AF13335">
        <v>0</v>
      </c>
      <c r="AG13335">
        <v>0</v>
      </c>
      <c r="AH13335">
        <v>0</v>
      </c>
      <c r="AI13335">
        <v>0</v>
      </c>
      <c r="AJ13335">
        <v>0</v>
      </c>
      <c r="AK13335">
        <v>0</v>
      </c>
      <c r="AL13335">
        <v>0</v>
      </c>
      <c r="AM13335">
        <v>0</v>
      </c>
    </row>
    <row r="13336" spans="1:39" x14ac:dyDescent="0.2">
      <c r="A13336" t="str">
        <f>"13332"</f>
        <v>13332</v>
      </c>
      <c r="B13336" t="str">
        <f t="shared" si="740"/>
        <v>1</v>
      </c>
      <c r="C13336" t="str">
        <f t="shared" si="741"/>
        <v>267</v>
      </c>
      <c r="D13336" t="str">
        <f>"5"</f>
        <v>5</v>
      </c>
      <c r="E13336" t="str">
        <f>"1-267-5"</f>
        <v>1-267-5</v>
      </c>
      <c r="F13336" t="s">
        <v>65</v>
      </c>
      <c r="G13336" t="s">
        <v>66</v>
      </c>
      <c r="H13336" t="s">
        <v>67</v>
      </c>
      <c r="S13336">
        <v>1</v>
      </c>
      <c r="T13336">
        <v>0</v>
      </c>
      <c r="U13336">
        <v>0</v>
      </c>
      <c r="V13336">
        <v>0</v>
      </c>
      <c r="W13336">
        <v>1</v>
      </c>
      <c r="X13336">
        <v>0</v>
      </c>
      <c r="Y13336">
        <v>0</v>
      </c>
      <c r="Z13336">
        <v>1</v>
      </c>
      <c r="AA13336">
        <v>1</v>
      </c>
      <c r="AB13336">
        <v>0</v>
      </c>
      <c r="AC13336">
        <v>0</v>
      </c>
      <c r="AD13336">
        <v>1</v>
      </c>
      <c r="AE13336">
        <v>1</v>
      </c>
      <c r="AF13336">
        <v>1</v>
      </c>
      <c r="AG13336">
        <v>1</v>
      </c>
      <c r="AH13336">
        <v>1</v>
      </c>
      <c r="AI13336">
        <v>1</v>
      </c>
      <c r="AJ13336">
        <v>1</v>
      </c>
      <c r="AK13336">
        <v>1</v>
      </c>
      <c r="AL13336">
        <v>1</v>
      </c>
      <c r="AM13336">
        <v>1</v>
      </c>
    </row>
    <row r="13337" spans="1:39" x14ac:dyDescent="0.2">
      <c r="A13337" t="str">
        <f>"13333"</f>
        <v>13333</v>
      </c>
      <c r="B13337" t="str">
        <f t="shared" si="740"/>
        <v>1</v>
      </c>
      <c r="C13337" t="str">
        <f t="shared" ref="C13337:C13354" si="742">"267"</f>
        <v>267</v>
      </c>
      <c r="D13337" t="str">
        <f>"43"</f>
        <v>43</v>
      </c>
      <c r="E13337" t="str">
        <f>"1-267-43"</f>
        <v>1-267-43</v>
      </c>
      <c r="F13337" t="s">
        <v>65</v>
      </c>
      <c r="G13337" t="s">
        <v>66</v>
      </c>
      <c r="H13337" t="s">
        <v>67</v>
      </c>
      <c r="S13337">
        <v>1</v>
      </c>
      <c r="T13337">
        <v>0</v>
      </c>
      <c r="U13337">
        <v>0</v>
      </c>
      <c r="V13337">
        <v>0</v>
      </c>
      <c r="W13337">
        <v>1</v>
      </c>
      <c r="X13337">
        <v>0</v>
      </c>
      <c r="Y13337">
        <v>1</v>
      </c>
      <c r="Z13337">
        <v>0</v>
      </c>
      <c r="AA13337">
        <v>1</v>
      </c>
      <c r="AB13337">
        <v>0</v>
      </c>
      <c r="AC13337">
        <v>0</v>
      </c>
      <c r="AD13337">
        <v>1</v>
      </c>
      <c r="AE13337">
        <v>1</v>
      </c>
      <c r="AF13337">
        <v>1</v>
      </c>
      <c r="AG13337">
        <v>1</v>
      </c>
      <c r="AH13337">
        <v>1</v>
      </c>
      <c r="AI13337">
        <v>1</v>
      </c>
      <c r="AJ13337">
        <v>1</v>
      </c>
      <c r="AK13337">
        <v>1</v>
      </c>
      <c r="AL13337">
        <v>1</v>
      </c>
      <c r="AM13337">
        <v>1</v>
      </c>
    </row>
    <row r="13338" spans="1:39" x14ac:dyDescent="0.2">
      <c r="A13338" t="str">
        <f>"13334"</f>
        <v>13334</v>
      </c>
      <c r="B13338" t="str">
        <f t="shared" si="740"/>
        <v>1</v>
      </c>
      <c r="C13338" t="str">
        <f t="shared" si="742"/>
        <v>267</v>
      </c>
      <c r="D13338" t="str">
        <f>"25"</f>
        <v>25</v>
      </c>
      <c r="E13338" t="str">
        <f>"1-267-25"</f>
        <v>1-267-25</v>
      </c>
      <c r="F13338" t="s">
        <v>65</v>
      </c>
      <c r="G13338" t="s">
        <v>66</v>
      </c>
      <c r="H13338" t="s">
        <v>67</v>
      </c>
      <c r="S13338">
        <v>1</v>
      </c>
      <c r="T13338">
        <v>0</v>
      </c>
      <c r="U13338">
        <v>0</v>
      </c>
      <c r="V13338">
        <v>0</v>
      </c>
      <c r="W13338">
        <v>1</v>
      </c>
      <c r="X13338">
        <v>0</v>
      </c>
      <c r="Y13338">
        <v>0</v>
      </c>
      <c r="Z13338">
        <v>1</v>
      </c>
      <c r="AA13338">
        <v>0</v>
      </c>
      <c r="AB13338">
        <v>1</v>
      </c>
      <c r="AC13338">
        <v>0</v>
      </c>
      <c r="AD13338">
        <v>1</v>
      </c>
      <c r="AE13338">
        <v>1</v>
      </c>
      <c r="AF13338">
        <v>1</v>
      </c>
      <c r="AG13338">
        <v>1</v>
      </c>
      <c r="AH13338">
        <v>1</v>
      </c>
      <c r="AI13338">
        <v>1</v>
      </c>
      <c r="AJ13338">
        <v>1</v>
      </c>
      <c r="AK13338">
        <v>1</v>
      </c>
      <c r="AL13338">
        <v>1</v>
      </c>
      <c r="AM13338">
        <v>1</v>
      </c>
    </row>
    <row r="13339" spans="1:39" x14ac:dyDescent="0.2">
      <c r="A13339" t="str">
        <f>"13335"</f>
        <v>13335</v>
      </c>
      <c r="B13339" t="str">
        <f t="shared" si="740"/>
        <v>1</v>
      </c>
      <c r="C13339" t="str">
        <f t="shared" si="742"/>
        <v>267</v>
      </c>
      <c r="D13339" t="str">
        <f>"3"</f>
        <v>3</v>
      </c>
      <c r="E13339" t="str">
        <f>"1-267-3"</f>
        <v>1-267-3</v>
      </c>
      <c r="F13339" t="s">
        <v>65</v>
      </c>
      <c r="G13339" t="s">
        <v>66</v>
      </c>
      <c r="H13339" t="s">
        <v>67</v>
      </c>
      <c r="S13339">
        <v>0</v>
      </c>
      <c r="T13339">
        <v>1</v>
      </c>
      <c r="U13339">
        <v>0</v>
      </c>
      <c r="V13339">
        <v>0</v>
      </c>
      <c r="W13339">
        <v>1</v>
      </c>
      <c r="X13339">
        <v>0</v>
      </c>
      <c r="Y13339">
        <v>1</v>
      </c>
      <c r="Z13339">
        <v>0</v>
      </c>
      <c r="AA13339">
        <v>1</v>
      </c>
      <c r="AB13339">
        <v>0</v>
      </c>
      <c r="AC13339">
        <v>0</v>
      </c>
      <c r="AD13339">
        <v>0</v>
      </c>
      <c r="AE13339">
        <v>0</v>
      </c>
      <c r="AF13339">
        <v>0</v>
      </c>
      <c r="AG13339">
        <v>0</v>
      </c>
      <c r="AH13339">
        <v>0</v>
      </c>
      <c r="AI13339">
        <v>0</v>
      </c>
      <c r="AJ13339">
        <v>0</v>
      </c>
      <c r="AK13339">
        <v>0</v>
      </c>
      <c r="AL13339">
        <v>1</v>
      </c>
      <c r="AM13339">
        <v>0</v>
      </c>
    </row>
    <row r="13340" spans="1:39" x14ac:dyDescent="0.2">
      <c r="A13340" t="str">
        <f>"13336"</f>
        <v>13336</v>
      </c>
      <c r="B13340" t="str">
        <f t="shared" si="740"/>
        <v>1</v>
      </c>
      <c r="C13340" t="str">
        <f t="shared" si="742"/>
        <v>267</v>
      </c>
      <c r="D13340" t="str">
        <f>"41"</f>
        <v>41</v>
      </c>
      <c r="E13340" t="str">
        <f>"1-267-41"</f>
        <v>1-267-41</v>
      </c>
      <c r="F13340" t="s">
        <v>65</v>
      </c>
      <c r="G13340" t="s">
        <v>66</v>
      </c>
      <c r="H13340" t="s">
        <v>67</v>
      </c>
      <c r="S13340">
        <v>1</v>
      </c>
      <c r="T13340">
        <v>0</v>
      </c>
      <c r="U13340">
        <v>0</v>
      </c>
      <c r="V13340">
        <v>0</v>
      </c>
      <c r="W13340">
        <v>1</v>
      </c>
      <c r="X13340">
        <v>0</v>
      </c>
      <c r="Y13340">
        <v>1</v>
      </c>
      <c r="Z13340">
        <v>0</v>
      </c>
      <c r="AA13340">
        <v>1</v>
      </c>
      <c r="AB13340">
        <v>0</v>
      </c>
      <c r="AC13340">
        <v>0</v>
      </c>
      <c r="AD13340">
        <v>1</v>
      </c>
      <c r="AE13340">
        <v>1</v>
      </c>
      <c r="AF13340">
        <v>1</v>
      </c>
      <c r="AG13340">
        <v>1</v>
      </c>
      <c r="AH13340">
        <v>1</v>
      </c>
      <c r="AI13340">
        <v>1</v>
      </c>
      <c r="AJ13340">
        <v>1</v>
      </c>
      <c r="AK13340">
        <v>1</v>
      </c>
      <c r="AL13340">
        <v>1</v>
      </c>
      <c r="AM13340">
        <v>1</v>
      </c>
    </row>
    <row r="13341" spans="1:39" x14ac:dyDescent="0.2">
      <c r="A13341" t="str">
        <f>"13337"</f>
        <v>13337</v>
      </c>
      <c r="B13341" t="str">
        <f t="shared" si="740"/>
        <v>1</v>
      </c>
      <c r="C13341" t="str">
        <f t="shared" si="742"/>
        <v>267</v>
      </c>
      <c r="D13341" t="str">
        <f>"28"</f>
        <v>28</v>
      </c>
      <c r="E13341" t="str">
        <f>"1-267-28"</f>
        <v>1-267-28</v>
      </c>
      <c r="F13341" t="s">
        <v>65</v>
      </c>
      <c r="G13341" t="s">
        <v>66</v>
      </c>
      <c r="H13341" t="s">
        <v>67</v>
      </c>
      <c r="S13341">
        <v>0</v>
      </c>
      <c r="T13341">
        <v>1</v>
      </c>
      <c r="U13341">
        <v>0</v>
      </c>
      <c r="V13341">
        <v>0</v>
      </c>
      <c r="W13341">
        <v>1</v>
      </c>
      <c r="X13341">
        <v>0</v>
      </c>
      <c r="Y13341">
        <v>1</v>
      </c>
      <c r="Z13341">
        <v>0</v>
      </c>
      <c r="AA13341">
        <v>0</v>
      </c>
      <c r="AB13341">
        <v>0</v>
      </c>
      <c r="AC13341">
        <v>1</v>
      </c>
      <c r="AD13341">
        <v>1</v>
      </c>
      <c r="AE13341">
        <v>1</v>
      </c>
      <c r="AF13341">
        <v>1</v>
      </c>
      <c r="AG13341">
        <v>1</v>
      </c>
      <c r="AH13341">
        <v>1</v>
      </c>
      <c r="AI13341">
        <v>1</v>
      </c>
      <c r="AJ13341">
        <v>1</v>
      </c>
      <c r="AK13341">
        <v>1</v>
      </c>
      <c r="AL13341">
        <v>1</v>
      </c>
      <c r="AM13341">
        <v>1</v>
      </c>
    </row>
    <row r="13342" spans="1:39" x14ac:dyDescent="0.2">
      <c r="A13342" t="str">
        <f>"13338"</f>
        <v>13338</v>
      </c>
      <c r="B13342" t="str">
        <f t="shared" si="740"/>
        <v>1</v>
      </c>
      <c r="C13342" t="str">
        <f t="shared" si="742"/>
        <v>267</v>
      </c>
      <c r="D13342" t="str">
        <f>"9"</f>
        <v>9</v>
      </c>
      <c r="E13342" t="str">
        <f>"1-267-9"</f>
        <v>1-267-9</v>
      </c>
      <c r="F13342" t="s">
        <v>65</v>
      </c>
      <c r="G13342" t="s">
        <v>66</v>
      </c>
      <c r="H13342" t="s">
        <v>67</v>
      </c>
      <c r="S13342">
        <v>1</v>
      </c>
      <c r="T13342">
        <v>0</v>
      </c>
      <c r="U13342">
        <v>0</v>
      </c>
      <c r="V13342">
        <v>0</v>
      </c>
      <c r="W13342">
        <v>1</v>
      </c>
      <c r="X13342">
        <v>0</v>
      </c>
      <c r="Y13342">
        <v>0</v>
      </c>
      <c r="Z13342">
        <v>1</v>
      </c>
      <c r="AA13342">
        <v>0</v>
      </c>
      <c r="AB13342">
        <v>0</v>
      </c>
      <c r="AC13342">
        <v>1</v>
      </c>
      <c r="AD13342">
        <v>0</v>
      </c>
      <c r="AE13342">
        <v>0</v>
      </c>
      <c r="AF13342">
        <v>0</v>
      </c>
      <c r="AG13342">
        <v>1</v>
      </c>
      <c r="AH13342">
        <v>0</v>
      </c>
      <c r="AI13342">
        <v>0</v>
      </c>
      <c r="AJ13342">
        <v>0</v>
      </c>
      <c r="AK13342">
        <v>0</v>
      </c>
      <c r="AL13342">
        <v>0</v>
      </c>
      <c r="AM13342">
        <v>1</v>
      </c>
    </row>
    <row r="13343" spans="1:39" x14ac:dyDescent="0.2">
      <c r="A13343" t="str">
        <f>"13339"</f>
        <v>13339</v>
      </c>
      <c r="B13343" t="str">
        <f t="shared" si="740"/>
        <v>1</v>
      </c>
      <c r="C13343" t="str">
        <f t="shared" si="742"/>
        <v>267</v>
      </c>
      <c r="D13343" t="str">
        <f>"44"</f>
        <v>44</v>
      </c>
      <c r="E13343" t="str">
        <f>"1-267-44"</f>
        <v>1-267-44</v>
      </c>
      <c r="F13343" t="s">
        <v>65</v>
      </c>
      <c r="G13343" t="s">
        <v>66</v>
      </c>
      <c r="H13343" t="s">
        <v>67</v>
      </c>
      <c r="S13343">
        <v>1</v>
      </c>
      <c r="T13343">
        <v>0</v>
      </c>
      <c r="U13343">
        <v>0</v>
      </c>
      <c r="V13343">
        <v>0</v>
      </c>
      <c r="W13343">
        <v>1</v>
      </c>
      <c r="X13343">
        <v>0</v>
      </c>
      <c r="Y13343">
        <v>0</v>
      </c>
      <c r="Z13343">
        <v>1</v>
      </c>
      <c r="AA13343">
        <v>0</v>
      </c>
      <c r="AB13343">
        <v>0</v>
      </c>
      <c r="AC13343">
        <v>1</v>
      </c>
      <c r="AD13343">
        <v>1</v>
      </c>
      <c r="AE13343">
        <v>1</v>
      </c>
      <c r="AF13343">
        <v>1</v>
      </c>
      <c r="AG13343">
        <v>1</v>
      </c>
      <c r="AH13343">
        <v>1</v>
      </c>
      <c r="AI13343">
        <v>1</v>
      </c>
      <c r="AJ13343">
        <v>1</v>
      </c>
      <c r="AK13343">
        <v>1</v>
      </c>
      <c r="AL13343">
        <v>1</v>
      </c>
      <c r="AM13343">
        <v>1</v>
      </c>
    </row>
    <row r="13344" spans="1:39" x14ac:dyDescent="0.2">
      <c r="A13344" t="str">
        <f>"13340"</f>
        <v>13340</v>
      </c>
      <c r="B13344" t="str">
        <f t="shared" si="740"/>
        <v>1</v>
      </c>
      <c r="C13344" t="str">
        <f t="shared" si="742"/>
        <v>267</v>
      </c>
      <c r="D13344" t="str">
        <f>"29"</f>
        <v>29</v>
      </c>
      <c r="E13344" t="str">
        <f>"1-267-29"</f>
        <v>1-267-29</v>
      </c>
      <c r="F13344" t="s">
        <v>65</v>
      </c>
      <c r="G13344" t="s">
        <v>66</v>
      </c>
      <c r="H13344" t="s">
        <v>67</v>
      </c>
      <c r="S13344">
        <v>1</v>
      </c>
      <c r="T13344">
        <v>0</v>
      </c>
      <c r="U13344">
        <v>0</v>
      </c>
      <c r="V13344">
        <v>0</v>
      </c>
      <c r="W13344">
        <v>1</v>
      </c>
      <c r="X13344">
        <v>0</v>
      </c>
      <c r="Y13344">
        <v>0</v>
      </c>
      <c r="Z13344">
        <v>1</v>
      </c>
      <c r="AA13344">
        <v>0</v>
      </c>
      <c r="AB13344">
        <v>0</v>
      </c>
      <c r="AC13344">
        <v>1</v>
      </c>
      <c r="AD13344">
        <v>0</v>
      </c>
      <c r="AE13344">
        <v>0</v>
      </c>
      <c r="AF13344">
        <v>0</v>
      </c>
      <c r="AG13344">
        <v>1</v>
      </c>
      <c r="AH13344">
        <v>0</v>
      </c>
      <c r="AI13344">
        <v>0</v>
      </c>
      <c r="AJ13344">
        <v>0</v>
      </c>
      <c r="AK13344">
        <v>0</v>
      </c>
      <c r="AL13344">
        <v>0</v>
      </c>
      <c r="AM13344">
        <v>0</v>
      </c>
    </row>
    <row r="13345" spans="1:39" x14ac:dyDescent="0.2">
      <c r="A13345" t="str">
        <f>"13341"</f>
        <v>13341</v>
      </c>
      <c r="B13345" t="str">
        <f t="shared" si="740"/>
        <v>1</v>
      </c>
      <c r="C13345" t="str">
        <f t="shared" si="742"/>
        <v>267</v>
      </c>
      <c r="D13345" t="str">
        <f>"12"</f>
        <v>12</v>
      </c>
      <c r="E13345" t="str">
        <f>"1-267-12"</f>
        <v>1-267-12</v>
      </c>
      <c r="F13345" t="s">
        <v>65</v>
      </c>
      <c r="G13345" t="s">
        <v>66</v>
      </c>
      <c r="H13345" t="s">
        <v>67</v>
      </c>
      <c r="S13345">
        <v>0</v>
      </c>
      <c r="T13345">
        <v>1</v>
      </c>
      <c r="U13345">
        <v>0</v>
      </c>
      <c r="V13345">
        <v>0</v>
      </c>
      <c r="W13345">
        <v>1</v>
      </c>
      <c r="X13345">
        <v>0</v>
      </c>
      <c r="Y13345">
        <v>0</v>
      </c>
      <c r="Z13345">
        <v>1</v>
      </c>
      <c r="AA13345">
        <v>0</v>
      </c>
      <c r="AB13345">
        <v>0</v>
      </c>
      <c r="AC13345">
        <v>0</v>
      </c>
      <c r="AD13345">
        <v>1</v>
      </c>
      <c r="AE13345">
        <v>1</v>
      </c>
      <c r="AF13345">
        <v>1</v>
      </c>
      <c r="AG13345">
        <v>1</v>
      </c>
      <c r="AH13345">
        <v>1</v>
      </c>
      <c r="AI13345">
        <v>1</v>
      </c>
      <c r="AJ13345">
        <v>1</v>
      </c>
      <c r="AK13345">
        <v>1</v>
      </c>
      <c r="AL13345">
        <v>1</v>
      </c>
      <c r="AM13345">
        <v>0</v>
      </c>
    </row>
    <row r="13346" spans="1:39" x14ac:dyDescent="0.2">
      <c r="A13346" t="str">
        <f>"13342"</f>
        <v>13342</v>
      </c>
      <c r="B13346" t="str">
        <f t="shared" si="740"/>
        <v>1</v>
      </c>
      <c r="C13346" t="str">
        <f t="shared" si="742"/>
        <v>267</v>
      </c>
      <c r="D13346" t="str">
        <f>"45"</f>
        <v>45</v>
      </c>
      <c r="E13346" t="str">
        <f>"1-267-45"</f>
        <v>1-267-45</v>
      </c>
      <c r="F13346" t="s">
        <v>65</v>
      </c>
      <c r="G13346" t="s">
        <v>66</v>
      </c>
      <c r="H13346" t="s">
        <v>67</v>
      </c>
      <c r="S13346">
        <v>1</v>
      </c>
      <c r="T13346">
        <v>0</v>
      </c>
      <c r="U13346">
        <v>0</v>
      </c>
      <c r="V13346">
        <v>0</v>
      </c>
      <c r="W13346">
        <v>1</v>
      </c>
      <c r="X13346">
        <v>0</v>
      </c>
      <c r="Y13346">
        <v>0</v>
      </c>
      <c r="Z13346">
        <v>1</v>
      </c>
      <c r="AA13346">
        <v>1</v>
      </c>
      <c r="AB13346">
        <v>0</v>
      </c>
      <c r="AC13346">
        <v>0</v>
      </c>
      <c r="AD13346">
        <v>0</v>
      </c>
      <c r="AE13346">
        <v>0</v>
      </c>
      <c r="AF13346">
        <v>0</v>
      </c>
      <c r="AG13346">
        <v>0</v>
      </c>
      <c r="AH13346">
        <v>0</v>
      </c>
      <c r="AI13346">
        <v>0</v>
      </c>
      <c r="AJ13346">
        <v>0</v>
      </c>
      <c r="AK13346">
        <v>0</v>
      </c>
      <c r="AL13346">
        <v>0</v>
      </c>
      <c r="AM13346">
        <v>0</v>
      </c>
    </row>
    <row r="13347" spans="1:39" x14ac:dyDescent="0.2">
      <c r="A13347" t="str">
        <f>"13343"</f>
        <v>13343</v>
      </c>
      <c r="B13347" t="str">
        <f t="shared" si="740"/>
        <v>1</v>
      </c>
      <c r="C13347" t="str">
        <f t="shared" si="742"/>
        <v>267</v>
      </c>
      <c r="D13347" t="str">
        <f>"30"</f>
        <v>30</v>
      </c>
      <c r="E13347" t="str">
        <f>"1-267-30"</f>
        <v>1-267-30</v>
      </c>
      <c r="F13347" t="s">
        <v>65</v>
      </c>
      <c r="G13347" t="s">
        <v>66</v>
      </c>
      <c r="H13347" t="s">
        <v>67</v>
      </c>
      <c r="S13347">
        <v>1</v>
      </c>
      <c r="T13347">
        <v>0</v>
      </c>
      <c r="U13347">
        <v>0</v>
      </c>
      <c r="V13347">
        <v>0</v>
      </c>
      <c r="W13347">
        <v>1</v>
      </c>
      <c r="X13347">
        <v>0</v>
      </c>
      <c r="Y13347">
        <v>1</v>
      </c>
      <c r="Z13347">
        <v>0</v>
      </c>
      <c r="AA13347">
        <v>1</v>
      </c>
      <c r="AB13347">
        <v>0</v>
      </c>
      <c r="AC13347">
        <v>0</v>
      </c>
      <c r="AD13347">
        <v>1</v>
      </c>
      <c r="AE13347">
        <v>1</v>
      </c>
      <c r="AF13347">
        <v>1</v>
      </c>
      <c r="AG13347">
        <v>1</v>
      </c>
      <c r="AH13347">
        <v>1</v>
      </c>
      <c r="AI13347">
        <v>1</v>
      </c>
      <c r="AJ13347">
        <v>1</v>
      </c>
      <c r="AK13347">
        <v>1</v>
      </c>
      <c r="AL13347">
        <v>1</v>
      </c>
      <c r="AM13347">
        <v>1</v>
      </c>
    </row>
    <row r="13348" spans="1:39" x14ac:dyDescent="0.2">
      <c r="A13348" t="str">
        <f>"13344"</f>
        <v>13344</v>
      </c>
      <c r="B13348" t="str">
        <f t="shared" si="740"/>
        <v>1</v>
      </c>
      <c r="C13348" t="str">
        <f t="shared" si="742"/>
        <v>267</v>
      </c>
      <c r="D13348" t="str">
        <f>"14"</f>
        <v>14</v>
      </c>
      <c r="E13348" t="str">
        <f>"1-267-14"</f>
        <v>1-267-14</v>
      </c>
      <c r="F13348" t="s">
        <v>65</v>
      </c>
      <c r="G13348" t="s">
        <v>66</v>
      </c>
      <c r="H13348" t="s">
        <v>67</v>
      </c>
      <c r="S13348">
        <v>0</v>
      </c>
      <c r="T13348">
        <v>1</v>
      </c>
      <c r="U13348">
        <v>0</v>
      </c>
      <c r="V13348">
        <v>0</v>
      </c>
      <c r="W13348">
        <v>1</v>
      </c>
      <c r="X13348">
        <v>0</v>
      </c>
      <c r="Y13348">
        <v>0</v>
      </c>
      <c r="Z13348">
        <v>1</v>
      </c>
      <c r="AA13348">
        <v>1</v>
      </c>
      <c r="AB13348">
        <v>0</v>
      </c>
      <c r="AC13348">
        <v>0</v>
      </c>
      <c r="AD13348">
        <v>0</v>
      </c>
      <c r="AE13348">
        <v>0</v>
      </c>
      <c r="AF13348">
        <v>0</v>
      </c>
      <c r="AG13348">
        <v>0</v>
      </c>
      <c r="AH13348">
        <v>0</v>
      </c>
      <c r="AI13348">
        <v>0</v>
      </c>
      <c r="AJ13348">
        <v>0</v>
      </c>
      <c r="AK13348">
        <v>0</v>
      </c>
      <c r="AL13348">
        <v>0</v>
      </c>
      <c r="AM13348">
        <v>0</v>
      </c>
    </row>
    <row r="13349" spans="1:39" x14ac:dyDescent="0.2">
      <c r="A13349" t="str">
        <f>"13345"</f>
        <v>13345</v>
      </c>
      <c r="B13349" t="str">
        <f t="shared" si="740"/>
        <v>1</v>
      </c>
      <c r="C13349" t="str">
        <f t="shared" si="742"/>
        <v>267</v>
      </c>
      <c r="D13349" t="str">
        <f>"50"</f>
        <v>50</v>
      </c>
      <c r="E13349" t="str">
        <f>"1-267-50"</f>
        <v>1-267-50</v>
      </c>
      <c r="F13349" t="s">
        <v>65</v>
      </c>
      <c r="G13349" t="s">
        <v>66</v>
      </c>
      <c r="H13349" t="s">
        <v>67</v>
      </c>
      <c r="S13349">
        <v>1</v>
      </c>
      <c r="T13349">
        <v>0</v>
      </c>
      <c r="U13349">
        <v>0</v>
      </c>
      <c r="V13349">
        <v>0</v>
      </c>
      <c r="W13349">
        <v>1</v>
      </c>
      <c r="X13349">
        <v>0</v>
      </c>
      <c r="Y13349">
        <v>1</v>
      </c>
      <c r="Z13349">
        <v>0</v>
      </c>
      <c r="AA13349">
        <v>0</v>
      </c>
      <c r="AB13349">
        <v>0</v>
      </c>
      <c r="AC13349">
        <v>1</v>
      </c>
      <c r="AD13349">
        <v>1</v>
      </c>
      <c r="AE13349">
        <v>1</v>
      </c>
      <c r="AF13349">
        <v>1</v>
      </c>
      <c r="AG13349">
        <v>1</v>
      </c>
      <c r="AH13349">
        <v>1</v>
      </c>
      <c r="AI13349">
        <v>1</v>
      </c>
      <c r="AJ13349">
        <v>1</v>
      </c>
      <c r="AK13349">
        <v>1</v>
      </c>
      <c r="AL13349">
        <v>1</v>
      </c>
      <c r="AM13349">
        <v>1</v>
      </c>
    </row>
    <row r="13350" spans="1:39" x14ac:dyDescent="0.2">
      <c r="A13350" t="str">
        <f>"13346"</f>
        <v>13346</v>
      </c>
      <c r="B13350" t="str">
        <f t="shared" si="740"/>
        <v>1</v>
      </c>
      <c r="C13350" t="str">
        <f t="shared" si="742"/>
        <v>267</v>
      </c>
      <c r="D13350" t="str">
        <f>"31"</f>
        <v>31</v>
      </c>
      <c r="E13350" t="str">
        <f>"1-267-31"</f>
        <v>1-267-31</v>
      </c>
      <c r="F13350" t="s">
        <v>65</v>
      </c>
      <c r="G13350" t="s">
        <v>66</v>
      </c>
      <c r="H13350" t="s">
        <v>67</v>
      </c>
      <c r="S13350">
        <v>1</v>
      </c>
      <c r="T13350">
        <v>0</v>
      </c>
      <c r="U13350">
        <v>0</v>
      </c>
      <c r="V13350">
        <v>0</v>
      </c>
      <c r="W13350">
        <v>1</v>
      </c>
      <c r="X13350">
        <v>0</v>
      </c>
      <c r="Y13350">
        <v>1</v>
      </c>
      <c r="Z13350">
        <v>0</v>
      </c>
      <c r="AA13350">
        <v>1</v>
      </c>
      <c r="AB13350">
        <v>0</v>
      </c>
      <c r="AC13350">
        <v>0</v>
      </c>
      <c r="AD13350">
        <v>1</v>
      </c>
      <c r="AE13350">
        <v>1</v>
      </c>
      <c r="AF13350">
        <v>1</v>
      </c>
      <c r="AG13350">
        <v>1</v>
      </c>
      <c r="AH13350">
        <v>1</v>
      </c>
      <c r="AI13350">
        <v>1</v>
      </c>
      <c r="AJ13350">
        <v>1</v>
      </c>
      <c r="AK13350">
        <v>1</v>
      </c>
      <c r="AL13350">
        <v>1</v>
      </c>
      <c r="AM13350">
        <v>1</v>
      </c>
    </row>
    <row r="13351" spans="1:39" x14ac:dyDescent="0.2">
      <c r="A13351" t="str">
        <f>"13347"</f>
        <v>13347</v>
      </c>
      <c r="B13351" t="str">
        <f t="shared" si="740"/>
        <v>1</v>
      </c>
      <c r="C13351" t="str">
        <f t="shared" si="742"/>
        <v>267</v>
      </c>
      <c r="D13351" t="str">
        <f>"13"</f>
        <v>13</v>
      </c>
      <c r="E13351" t="str">
        <f>"1-267-13"</f>
        <v>1-267-13</v>
      </c>
      <c r="F13351" t="s">
        <v>65</v>
      </c>
      <c r="G13351" t="s">
        <v>66</v>
      </c>
      <c r="H13351" t="s">
        <v>67</v>
      </c>
      <c r="S13351">
        <v>1</v>
      </c>
      <c r="T13351">
        <v>0</v>
      </c>
      <c r="U13351">
        <v>0</v>
      </c>
      <c r="V13351">
        <v>0</v>
      </c>
      <c r="W13351">
        <v>1</v>
      </c>
      <c r="X13351">
        <v>0</v>
      </c>
      <c r="Y13351">
        <v>0</v>
      </c>
      <c r="Z13351">
        <v>1</v>
      </c>
      <c r="AA13351">
        <v>1</v>
      </c>
      <c r="AB13351">
        <v>0</v>
      </c>
      <c r="AC13351">
        <v>0</v>
      </c>
      <c r="AD13351">
        <v>1</v>
      </c>
      <c r="AE13351">
        <v>1</v>
      </c>
      <c r="AF13351">
        <v>1</v>
      </c>
      <c r="AG13351">
        <v>1</v>
      </c>
      <c r="AH13351">
        <v>1</v>
      </c>
      <c r="AI13351">
        <v>1</v>
      </c>
      <c r="AJ13351">
        <v>1</v>
      </c>
      <c r="AK13351">
        <v>1</v>
      </c>
      <c r="AL13351">
        <v>1</v>
      </c>
      <c r="AM13351">
        <v>1</v>
      </c>
    </row>
    <row r="13352" spans="1:39" x14ac:dyDescent="0.2">
      <c r="A13352" t="str">
        <f>"13348"</f>
        <v>13348</v>
      </c>
      <c r="B13352" t="str">
        <f t="shared" si="740"/>
        <v>1</v>
      </c>
      <c r="C13352" t="str">
        <f t="shared" si="742"/>
        <v>267</v>
      </c>
      <c r="D13352" t="str">
        <f>"46"</f>
        <v>46</v>
      </c>
      <c r="E13352" t="str">
        <f>"1-267-46"</f>
        <v>1-267-46</v>
      </c>
      <c r="F13352" t="s">
        <v>65</v>
      </c>
      <c r="G13352" t="s">
        <v>66</v>
      </c>
      <c r="H13352" t="s">
        <v>67</v>
      </c>
      <c r="S13352">
        <v>1</v>
      </c>
      <c r="T13352">
        <v>0</v>
      </c>
      <c r="U13352">
        <v>0</v>
      </c>
      <c r="V13352">
        <v>0</v>
      </c>
      <c r="W13352">
        <v>1</v>
      </c>
      <c r="X13352">
        <v>0</v>
      </c>
      <c r="Y13352">
        <v>0</v>
      </c>
      <c r="Z13352">
        <v>1</v>
      </c>
      <c r="AA13352">
        <v>1</v>
      </c>
      <c r="AB13352">
        <v>0</v>
      </c>
      <c r="AC13352">
        <v>0</v>
      </c>
      <c r="AD13352">
        <v>0</v>
      </c>
      <c r="AE13352">
        <v>0</v>
      </c>
      <c r="AF13352">
        <v>0</v>
      </c>
      <c r="AG13352">
        <v>0</v>
      </c>
      <c r="AH13352">
        <v>0</v>
      </c>
      <c r="AI13352">
        <v>0</v>
      </c>
      <c r="AJ13352">
        <v>0</v>
      </c>
      <c r="AK13352">
        <v>0</v>
      </c>
      <c r="AL13352">
        <v>0</v>
      </c>
      <c r="AM13352">
        <v>0</v>
      </c>
    </row>
    <row r="13353" spans="1:39" x14ac:dyDescent="0.2">
      <c r="A13353" t="str">
        <f>"13349"</f>
        <v>13349</v>
      </c>
      <c r="B13353" t="str">
        <f t="shared" si="740"/>
        <v>1</v>
      </c>
      <c r="C13353" t="str">
        <f t="shared" si="742"/>
        <v>267</v>
      </c>
      <c r="D13353" t="str">
        <f>"32"</f>
        <v>32</v>
      </c>
      <c r="E13353" t="str">
        <f>"1-267-32"</f>
        <v>1-267-32</v>
      </c>
      <c r="F13353" t="s">
        <v>65</v>
      </c>
      <c r="G13353" t="s">
        <v>66</v>
      </c>
      <c r="H13353" t="s">
        <v>67</v>
      </c>
      <c r="S13353">
        <v>0</v>
      </c>
      <c r="T13353">
        <v>0</v>
      </c>
      <c r="U13353">
        <v>0</v>
      </c>
      <c r="V13353">
        <v>0</v>
      </c>
      <c r="W13353">
        <v>0</v>
      </c>
      <c r="X13353">
        <v>1</v>
      </c>
      <c r="Y13353">
        <v>0</v>
      </c>
      <c r="Z13353">
        <v>0</v>
      </c>
      <c r="AA13353">
        <v>0</v>
      </c>
      <c r="AB13353">
        <v>0</v>
      </c>
      <c r="AC13353">
        <v>0</v>
      </c>
      <c r="AD13353">
        <v>1</v>
      </c>
      <c r="AE13353">
        <v>1</v>
      </c>
      <c r="AF13353">
        <v>1</v>
      </c>
      <c r="AG13353">
        <v>1</v>
      </c>
      <c r="AH13353">
        <v>1</v>
      </c>
      <c r="AI13353">
        <v>1</v>
      </c>
      <c r="AJ13353">
        <v>1</v>
      </c>
      <c r="AK13353">
        <v>1</v>
      </c>
      <c r="AL13353">
        <v>1</v>
      </c>
      <c r="AM13353">
        <v>1</v>
      </c>
    </row>
    <row r="13354" spans="1:39" x14ac:dyDescent="0.2">
      <c r="A13354" t="str">
        <f>"13350"</f>
        <v>13350</v>
      </c>
      <c r="B13354" t="str">
        <f t="shared" si="740"/>
        <v>1</v>
      </c>
      <c r="C13354" t="str">
        <f t="shared" si="742"/>
        <v>267</v>
      </c>
      <c r="D13354" t="str">
        <f>"10"</f>
        <v>10</v>
      </c>
      <c r="E13354" t="str">
        <f>"1-267-10"</f>
        <v>1-267-10</v>
      </c>
      <c r="F13354" t="s">
        <v>65</v>
      </c>
      <c r="G13354" t="s">
        <v>66</v>
      </c>
      <c r="H13354" t="s">
        <v>67</v>
      </c>
      <c r="S13354">
        <v>1</v>
      </c>
      <c r="T13354">
        <v>0</v>
      </c>
      <c r="U13354">
        <v>0</v>
      </c>
      <c r="V13354">
        <v>0</v>
      </c>
      <c r="W13354">
        <v>1</v>
      </c>
      <c r="X13354">
        <v>0</v>
      </c>
      <c r="Y13354">
        <v>1</v>
      </c>
      <c r="Z13354">
        <v>0</v>
      </c>
      <c r="AA13354">
        <v>0</v>
      </c>
      <c r="AB13354">
        <v>1</v>
      </c>
      <c r="AC13354">
        <v>0</v>
      </c>
      <c r="AD13354">
        <v>1</v>
      </c>
      <c r="AE13354">
        <v>1</v>
      </c>
      <c r="AF13354">
        <v>1</v>
      </c>
      <c r="AG13354">
        <v>1</v>
      </c>
      <c r="AH13354">
        <v>1</v>
      </c>
      <c r="AI13354">
        <v>1</v>
      </c>
      <c r="AJ13354">
        <v>1</v>
      </c>
      <c r="AK13354">
        <v>1</v>
      </c>
      <c r="AL13354">
        <v>1</v>
      </c>
      <c r="AM13354">
        <v>1</v>
      </c>
    </row>
    <row r="13355" spans="1:39" x14ac:dyDescent="0.2">
      <c r="A13355" t="str">
        <f>"13351"</f>
        <v>13351</v>
      </c>
      <c r="B13355" t="str">
        <f t="shared" si="740"/>
        <v>1</v>
      </c>
      <c r="C13355" t="str">
        <f t="shared" ref="C13355:C13386" si="743">"268"</f>
        <v>268</v>
      </c>
      <c r="D13355" t="str">
        <f>"38"</f>
        <v>38</v>
      </c>
      <c r="E13355" t="str">
        <f>"1-268-38"</f>
        <v>1-268-38</v>
      </c>
      <c r="F13355" t="s">
        <v>65</v>
      </c>
      <c r="G13355" t="s">
        <v>66</v>
      </c>
      <c r="H13355" t="s">
        <v>67</v>
      </c>
      <c r="S13355">
        <v>1</v>
      </c>
      <c r="T13355">
        <v>0</v>
      </c>
      <c r="U13355">
        <v>0</v>
      </c>
      <c r="V13355">
        <v>0</v>
      </c>
      <c r="W13355">
        <v>0</v>
      </c>
      <c r="X13355">
        <v>1</v>
      </c>
      <c r="Y13355">
        <v>1</v>
      </c>
      <c r="Z13355">
        <v>0</v>
      </c>
      <c r="AA13355">
        <v>1</v>
      </c>
      <c r="AB13355">
        <v>0</v>
      </c>
      <c r="AC13355">
        <v>0</v>
      </c>
      <c r="AD13355">
        <v>1</v>
      </c>
      <c r="AE13355">
        <v>1</v>
      </c>
      <c r="AF13355">
        <v>1</v>
      </c>
      <c r="AG13355">
        <v>1</v>
      </c>
      <c r="AH13355">
        <v>1</v>
      </c>
      <c r="AI13355">
        <v>1</v>
      </c>
      <c r="AJ13355">
        <v>1</v>
      </c>
      <c r="AK13355">
        <v>1</v>
      </c>
      <c r="AL13355">
        <v>1</v>
      </c>
      <c r="AM13355">
        <v>1</v>
      </c>
    </row>
    <row r="13356" spans="1:39" x14ac:dyDescent="0.2">
      <c r="A13356" t="str">
        <f>"13352"</f>
        <v>13352</v>
      </c>
      <c r="B13356" t="str">
        <f t="shared" si="740"/>
        <v>1</v>
      </c>
      <c r="C13356" t="str">
        <f t="shared" si="743"/>
        <v>268</v>
      </c>
      <c r="D13356" t="str">
        <f>"37"</f>
        <v>37</v>
      </c>
      <c r="E13356" t="str">
        <f>"1-268-37"</f>
        <v>1-268-37</v>
      </c>
      <c r="F13356" t="s">
        <v>65</v>
      </c>
      <c r="G13356" t="s">
        <v>66</v>
      </c>
      <c r="H13356" t="s">
        <v>67</v>
      </c>
      <c r="S13356">
        <v>0</v>
      </c>
      <c r="T13356">
        <v>1</v>
      </c>
      <c r="U13356">
        <v>0</v>
      </c>
      <c r="V13356">
        <v>0</v>
      </c>
      <c r="W13356">
        <v>1</v>
      </c>
      <c r="X13356">
        <v>0</v>
      </c>
      <c r="Y13356">
        <v>1</v>
      </c>
      <c r="Z13356">
        <v>0</v>
      </c>
      <c r="AA13356">
        <v>1</v>
      </c>
      <c r="AB13356">
        <v>0</v>
      </c>
      <c r="AC13356">
        <v>0</v>
      </c>
      <c r="AD13356">
        <v>1</v>
      </c>
      <c r="AE13356">
        <v>1</v>
      </c>
      <c r="AF13356">
        <v>1</v>
      </c>
      <c r="AG13356">
        <v>1</v>
      </c>
      <c r="AH13356">
        <v>0</v>
      </c>
      <c r="AI13356">
        <v>1</v>
      </c>
      <c r="AJ13356">
        <v>1</v>
      </c>
      <c r="AK13356">
        <v>1</v>
      </c>
      <c r="AL13356">
        <v>1</v>
      </c>
      <c r="AM13356">
        <v>1</v>
      </c>
    </row>
    <row r="13357" spans="1:39" x14ac:dyDescent="0.2">
      <c r="A13357" t="str">
        <f>"13353"</f>
        <v>13353</v>
      </c>
      <c r="B13357" t="str">
        <f t="shared" si="740"/>
        <v>1</v>
      </c>
      <c r="C13357" t="str">
        <f t="shared" si="743"/>
        <v>268</v>
      </c>
      <c r="D13357" t="str">
        <f>"28"</f>
        <v>28</v>
      </c>
      <c r="E13357" t="str">
        <f>"1-268-28"</f>
        <v>1-268-28</v>
      </c>
      <c r="F13357" t="s">
        <v>65</v>
      </c>
      <c r="G13357" t="s">
        <v>66</v>
      </c>
      <c r="H13357" t="s">
        <v>67</v>
      </c>
      <c r="S13357">
        <v>0</v>
      </c>
      <c r="T13357">
        <v>0</v>
      </c>
      <c r="U13357">
        <v>0</v>
      </c>
      <c r="V13357">
        <v>0</v>
      </c>
      <c r="W13357">
        <v>1</v>
      </c>
      <c r="X13357">
        <v>0</v>
      </c>
      <c r="Y13357">
        <v>0</v>
      </c>
      <c r="Z13357">
        <v>0</v>
      </c>
      <c r="AA13357">
        <v>0</v>
      </c>
      <c r="AB13357">
        <v>0</v>
      </c>
      <c r="AC13357">
        <v>0</v>
      </c>
      <c r="AD13357">
        <v>0</v>
      </c>
      <c r="AE13357">
        <v>0</v>
      </c>
      <c r="AF13357">
        <v>0</v>
      </c>
      <c r="AG13357">
        <v>0</v>
      </c>
      <c r="AH13357">
        <v>1</v>
      </c>
      <c r="AI13357">
        <v>1</v>
      </c>
      <c r="AJ13357">
        <v>0</v>
      </c>
      <c r="AK13357">
        <v>0</v>
      </c>
      <c r="AL13357">
        <v>1</v>
      </c>
      <c r="AM13357">
        <v>1</v>
      </c>
    </row>
    <row r="13358" spans="1:39" x14ac:dyDescent="0.2">
      <c r="A13358" t="str">
        <f>"13354"</f>
        <v>13354</v>
      </c>
      <c r="B13358" t="str">
        <f t="shared" si="740"/>
        <v>1</v>
      </c>
      <c r="C13358" t="str">
        <f t="shared" si="743"/>
        <v>268</v>
      </c>
      <c r="D13358" t="str">
        <f>"27"</f>
        <v>27</v>
      </c>
      <c r="E13358" t="str">
        <f>"1-268-27"</f>
        <v>1-268-27</v>
      </c>
      <c r="F13358" t="s">
        <v>65</v>
      </c>
      <c r="G13358" t="s">
        <v>66</v>
      </c>
      <c r="H13358" t="s">
        <v>67</v>
      </c>
      <c r="S13358">
        <v>1</v>
      </c>
      <c r="T13358">
        <v>0</v>
      </c>
      <c r="U13358">
        <v>0</v>
      </c>
      <c r="V13358">
        <v>0</v>
      </c>
      <c r="W13358">
        <v>1</v>
      </c>
      <c r="X13358">
        <v>0</v>
      </c>
      <c r="Y13358">
        <v>0</v>
      </c>
      <c r="Z13358">
        <v>1</v>
      </c>
      <c r="AA13358">
        <v>0</v>
      </c>
      <c r="AB13358">
        <v>1</v>
      </c>
      <c r="AC13358">
        <v>0</v>
      </c>
      <c r="AD13358">
        <v>1</v>
      </c>
      <c r="AE13358">
        <v>1</v>
      </c>
      <c r="AF13358">
        <v>1</v>
      </c>
      <c r="AG13358">
        <v>1</v>
      </c>
      <c r="AH13358">
        <v>1</v>
      </c>
      <c r="AI13358">
        <v>1</v>
      </c>
      <c r="AJ13358">
        <v>1</v>
      </c>
      <c r="AK13358">
        <v>1</v>
      </c>
      <c r="AL13358">
        <v>1</v>
      </c>
      <c r="AM13358">
        <v>1</v>
      </c>
    </row>
    <row r="13359" spans="1:39" x14ac:dyDescent="0.2">
      <c r="A13359" t="str">
        <f>"13355"</f>
        <v>13355</v>
      </c>
      <c r="B13359" t="str">
        <f t="shared" si="740"/>
        <v>1</v>
      </c>
      <c r="C13359" t="str">
        <f t="shared" si="743"/>
        <v>268</v>
      </c>
      <c r="D13359" t="str">
        <f>"17"</f>
        <v>17</v>
      </c>
      <c r="E13359" t="str">
        <f>"1-268-17"</f>
        <v>1-268-17</v>
      </c>
      <c r="F13359" t="s">
        <v>65</v>
      </c>
      <c r="G13359" t="s">
        <v>66</v>
      </c>
      <c r="H13359" t="s">
        <v>67</v>
      </c>
      <c r="S13359">
        <v>1</v>
      </c>
      <c r="T13359">
        <v>0</v>
      </c>
      <c r="U13359">
        <v>0</v>
      </c>
      <c r="V13359">
        <v>0</v>
      </c>
      <c r="W13359">
        <v>1</v>
      </c>
      <c r="X13359">
        <v>0</v>
      </c>
      <c r="Y13359">
        <v>0</v>
      </c>
      <c r="Z13359">
        <v>1</v>
      </c>
      <c r="AA13359">
        <v>1</v>
      </c>
      <c r="AB13359">
        <v>0</v>
      </c>
      <c r="AC13359">
        <v>0</v>
      </c>
      <c r="AD13359">
        <v>1</v>
      </c>
      <c r="AE13359">
        <v>1</v>
      </c>
      <c r="AF13359">
        <v>1</v>
      </c>
      <c r="AG13359">
        <v>1</v>
      </c>
      <c r="AH13359">
        <v>1</v>
      </c>
      <c r="AI13359">
        <v>1</v>
      </c>
      <c r="AJ13359">
        <v>1</v>
      </c>
      <c r="AK13359">
        <v>1</v>
      </c>
      <c r="AL13359">
        <v>1</v>
      </c>
      <c r="AM13359">
        <v>1</v>
      </c>
    </row>
    <row r="13360" spans="1:39" x14ac:dyDescent="0.2">
      <c r="A13360" t="str">
        <f>"13356"</f>
        <v>13356</v>
      </c>
      <c r="B13360" t="str">
        <f t="shared" si="740"/>
        <v>1</v>
      </c>
      <c r="C13360" t="str">
        <f t="shared" si="743"/>
        <v>268</v>
      </c>
      <c r="D13360" t="str">
        <f>"15"</f>
        <v>15</v>
      </c>
      <c r="E13360" t="str">
        <f>"1-268-15"</f>
        <v>1-268-15</v>
      </c>
      <c r="F13360" t="s">
        <v>65</v>
      </c>
      <c r="G13360" t="s">
        <v>66</v>
      </c>
      <c r="H13360" t="s">
        <v>67</v>
      </c>
      <c r="S13360">
        <v>1</v>
      </c>
      <c r="T13360">
        <v>0</v>
      </c>
      <c r="U13360">
        <v>0</v>
      </c>
      <c r="V13360">
        <v>0</v>
      </c>
      <c r="W13360">
        <v>1</v>
      </c>
      <c r="X13360">
        <v>0</v>
      </c>
      <c r="Y13360">
        <v>0</v>
      </c>
      <c r="Z13360">
        <v>1</v>
      </c>
      <c r="AA13360">
        <v>1</v>
      </c>
      <c r="AB13360">
        <v>0</v>
      </c>
      <c r="AC13360">
        <v>0</v>
      </c>
      <c r="AD13360">
        <v>1</v>
      </c>
      <c r="AE13360">
        <v>1</v>
      </c>
      <c r="AF13360">
        <v>1</v>
      </c>
      <c r="AG13360">
        <v>1</v>
      </c>
      <c r="AH13360">
        <v>1</v>
      </c>
      <c r="AI13360">
        <v>1</v>
      </c>
      <c r="AJ13360">
        <v>1</v>
      </c>
      <c r="AK13360">
        <v>1</v>
      </c>
      <c r="AL13360">
        <v>1</v>
      </c>
      <c r="AM13360">
        <v>1</v>
      </c>
    </row>
    <row r="13361" spans="1:39" x14ac:dyDescent="0.2">
      <c r="A13361" t="str">
        <f>"13357"</f>
        <v>13357</v>
      </c>
      <c r="B13361" t="str">
        <f t="shared" si="740"/>
        <v>1</v>
      </c>
      <c r="C13361" t="str">
        <f t="shared" si="743"/>
        <v>268</v>
      </c>
      <c r="D13361" t="str">
        <f>"6"</f>
        <v>6</v>
      </c>
      <c r="E13361" t="str">
        <f>"1-268-6"</f>
        <v>1-268-6</v>
      </c>
      <c r="F13361" t="s">
        <v>65</v>
      </c>
      <c r="G13361" t="s">
        <v>66</v>
      </c>
      <c r="H13361" t="s">
        <v>67</v>
      </c>
      <c r="S13361">
        <v>0</v>
      </c>
      <c r="T13361">
        <v>1</v>
      </c>
      <c r="U13361">
        <v>0</v>
      </c>
      <c r="V13361">
        <v>0</v>
      </c>
      <c r="W13361">
        <v>1</v>
      </c>
      <c r="X13361">
        <v>0</v>
      </c>
      <c r="Y13361">
        <v>1</v>
      </c>
      <c r="Z13361">
        <v>0</v>
      </c>
      <c r="AA13361">
        <v>0</v>
      </c>
      <c r="AB13361">
        <v>1</v>
      </c>
      <c r="AC13361">
        <v>0</v>
      </c>
      <c r="AD13361">
        <v>0</v>
      </c>
      <c r="AE13361">
        <v>0</v>
      </c>
      <c r="AF13361">
        <v>0</v>
      </c>
      <c r="AG13361">
        <v>0</v>
      </c>
      <c r="AH13361">
        <v>0</v>
      </c>
      <c r="AI13361">
        <v>0</v>
      </c>
      <c r="AJ13361">
        <v>0</v>
      </c>
      <c r="AK13361">
        <v>0</v>
      </c>
      <c r="AL13361">
        <v>0</v>
      </c>
      <c r="AM13361">
        <v>0</v>
      </c>
    </row>
    <row r="13362" spans="1:39" x14ac:dyDescent="0.2">
      <c r="A13362" t="str">
        <f>"13358"</f>
        <v>13358</v>
      </c>
      <c r="B13362" t="str">
        <f t="shared" si="740"/>
        <v>1</v>
      </c>
      <c r="C13362" t="str">
        <f t="shared" si="743"/>
        <v>268</v>
      </c>
      <c r="D13362" t="str">
        <f>"50"</f>
        <v>50</v>
      </c>
      <c r="E13362" t="str">
        <f>"1-268-50"</f>
        <v>1-268-50</v>
      </c>
      <c r="F13362" t="s">
        <v>65</v>
      </c>
      <c r="G13362" t="s">
        <v>66</v>
      </c>
      <c r="H13362" t="s">
        <v>67</v>
      </c>
      <c r="S13362">
        <v>1</v>
      </c>
      <c r="T13362">
        <v>0</v>
      </c>
      <c r="U13362">
        <v>0</v>
      </c>
      <c r="V13362">
        <v>0</v>
      </c>
      <c r="W13362">
        <v>1</v>
      </c>
      <c r="X13362">
        <v>0</v>
      </c>
      <c r="Y13362">
        <v>0</v>
      </c>
      <c r="Z13362">
        <v>1</v>
      </c>
      <c r="AA13362">
        <v>1</v>
      </c>
      <c r="AB13362">
        <v>0</v>
      </c>
      <c r="AC13362">
        <v>0</v>
      </c>
      <c r="AD13362">
        <v>1</v>
      </c>
      <c r="AE13362">
        <v>1</v>
      </c>
      <c r="AF13362">
        <v>1</v>
      </c>
      <c r="AG13362">
        <v>1</v>
      </c>
      <c r="AH13362">
        <v>0</v>
      </c>
      <c r="AI13362">
        <v>1</v>
      </c>
      <c r="AJ13362">
        <v>1</v>
      </c>
      <c r="AK13362">
        <v>1</v>
      </c>
      <c r="AL13362">
        <v>0</v>
      </c>
      <c r="AM13362">
        <v>1</v>
      </c>
    </row>
    <row r="13363" spans="1:39" x14ac:dyDescent="0.2">
      <c r="A13363" t="str">
        <f>"13359"</f>
        <v>13359</v>
      </c>
      <c r="B13363" t="str">
        <f t="shared" si="740"/>
        <v>1</v>
      </c>
      <c r="C13363" t="str">
        <f t="shared" si="743"/>
        <v>268</v>
      </c>
      <c r="D13363" t="str">
        <f>"49"</f>
        <v>49</v>
      </c>
      <c r="E13363" t="str">
        <f>"1-268-49"</f>
        <v>1-268-49</v>
      </c>
      <c r="F13363" t="s">
        <v>65</v>
      </c>
      <c r="G13363" t="s">
        <v>66</v>
      </c>
      <c r="H13363" t="s">
        <v>67</v>
      </c>
      <c r="S13363">
        <v>1</v>
      </c>
      <c r="T13363">
        <v>0</v>
      </c>
      <c r="U13363">
        <v>0</v>
      </c>
      <c r="V13363">
        <v>0</v>
      </c>
      <c r="W13363">
        <v>1</v>
      </c>
      <c r="X13363">
        <v>0</v>
      </c>
      <c r="Y13363">
        <v>1</v>
      </c>
      <c r="Z13363">
        <v>0</v>
      </c>
      <c r="AA13363">
        <v>1</v>
      </c>
      <c r="AB13363">
        <v>0</v>
      </c>
      <c r="AC13363">
        <v>0</v>
      </c>
      <c r="AD13363">
        <v>1</v>
      </c>
      <c r="AE13363">
        <v>1</v>
      </c>
      <c r="AF13363">
        <v>1</v>
      </c>
      <c r="AG13363">
        <v>1</v>
      </c>
      <c r="AH13363">
        <v>1</v>
      </c>
      <c r="AI13363">
        <v>1</v>
      </c>
      <c r="AJ13363">
        <v>1</v>
      </c>
      <c r="AK13363">
        <v>1</v>
      </c>
      <c r="AL13363">
        <v>1</v>
      </c>
      <c r="AM13363">
        <v>1</v>
      </c>
    </row>
    <row r="13364" spans="1:39" x14ac:dyDescent="0.2">
      <c r="A13364" t="str">
        <f>"13360"</f>
        <v>13360</v>
      </c>
      <c r="B13364" t="str">
        <f t="shared" si="740"/>
        <v>1</v>
      </c>
      <c r="C13364" t="str">
        <f t="shared" si="743"/>
        <v>268</v>
      </c>
      <c r="D13364" t="str">
        <f>"34"</f>
        <v>34</v>
      </c>
      <c r="E13364" t="str">
        <f>"1-268-34"</f>
        <v>1-268-34</v>
      </c>
      <c r="F13364" t="s">
        <v>65</v>
      </c>
      <c r="G13364" t="s">
        <v>66</v>
      </c>
      <c r="H13364" t="s">
        <v>67</v>
      </c>
      <c r="S13364">
        <v>0</v>
      </c>
      <c r="T13364">
        <v>1</v>
      </c>
      <c r="U13364">
        <v>0</v>
      </c>
      <c r="V13364">
        <v>0</v>
      </c>
      <c r="W13364">
        <v>0</v>
      </c>
      <c r="X13364">
        <v>1</v>
      </c>
      <c r="Y13364">
        <v>1</v>
      </c>
      <c r="Z13364">
        <v>0</v>
      </c>
      <c r="AA13364">
        <v>0</v>
      </c>
      <c r="AB13364">
        <v>1</v>
      </c>
      <c r="AC13364">
        <v>0</v>
      </c>
      <c r="AD13364">
        <v>1</v>
      </c>
      <c r="AE13364">
        <v>1</v>
      </c>
      <c r="AF13364">
        <v>1</v>
      </c>
      <c r="AG13364">
        <v>1</v>
      </c>
      <c r="AH13364">
        <v>1</v>
      </c>
      <c r="AI13364">
        <v>1</v>
      </c>
      <c r="AJ13364">
        <v>1</v>
      </c>
      <c r="AK13364">
        <v>1</v>
      </c>
      <c r="AL13364">
        <v>1</v>
      </c>
      <c r="AM13364">
        <v>1</v>
      </c>
    </row>
    <row r="13365" spans="1:39" x14ac:dyDescent="0.2">
      <c r="A13365" t="str">
        <f>"13361"</f>
        <v>13361</v>
      </c>
      <c r="B13365" t="str">
        <f t="shared" si="740"/>
        <v>1</v>
      </c>
      <c r="C13365" t="str">
        <f t="shared" si="743"/>
        <v>268</v>
      </c>
      <c r="D13365" t="str">
        <f>"33"</f>
        <v>33</v>
      </c>
      <c r="E13365" t="str">
        <f>"1-268-33"</f>
        <v>1-268-33</v>
      </c>
      <c r="F13365" t="s">
        <v>65</v>
      </c>
      <c r="G13365" t="s">
        <v>66</v>
      </c>
      <c r="H13365" t="s">
        <v>67</v>
      </c>
      <c r="S13365">
        <v>1</v>
      </c>
      <c r="T13365">
        <v>0</v>
      </c>
      <c r="U13365">
        <v>0</v>
      </c>
      <c r="V13365">
        <v>0</v>
      </c>
      <c r="W13365">
        <v>1</v>
      </c>
      <c r="X13365">
        <v>0</v>
      </c>
      <c r="Y13365">
        <v>0</v>
      </c>
      <c r="Z13365">
        <v>1</v>
      </c>
      <c r="AA13365">
        <v>0</v>
      </c>
      <c r="AB13365">
        <v>0</v>
      </c>
      <c r="AC13365">
        <v>1</v>
      </c>
      <c r="AD13365">
        <v>1</v>
      </c>
      <c r="AE13365">
        <v>1</v>
      </c>
      <c r="AF13365">
        <v>1</v>
      </c>
      <c r="AG13365">
        <v>1</v>
      </c>
      <c r="AH13365">
        <v>1</v>
      </c>
      <c r="AI13365">
        <v>1</v>
      </c>
      <c r="AJ13365">
        <v>1</v>
      </c>
      <c r="AK13365">
        <v>1</v>
      </c>
      <c r="AL13365">
        <v>1</v>
      </c>
      <c r="AM13365">
        <v>1</v>
      </c>
    </row>
    <row r="13366" spans="1:39" x14ac:dyDescent="0.2">
      <c r="A13366" t="str">
        <f>"13362"</f>
        <v>13362</v>
      </c>
      <c r="B13366" t="str">
        <f t="shared" si="740"/>
        <v>1</v>
      </c>
      <c r="C13366" t="str">
        <f t="shared" si="743"/>
        <v>268</v>
      </c>
      <c r="D13366" t="str">
        <f>"25"</f>
        <v>25</v>
      </c>
      <c r="E13366" t="str">
        <f>"1-268-25"</f>
        <v>1-268-25</v>
      </c>
      <c r="F13366" t="s">
        <v>65</v>
      </c>
      <c r="G13366" t="s">
        <v>66</v>
      </c>
      <c r="H13366" t="s">
        <v>67</v>
      </c>
      <c r="S13366">
        <v>1</v>
      </c>
      <c r="T13366">
        <v>0</v>
      </c>
      <c r="U13366">
        <v>0</v>
      </c>
      <c r="V13366">
        <v>0</v>
      </c>
      <c r="W13366">
        <v>1</v>
      </c>
      <c r="X13366">
        <v>0</v>
      </c>
      <c r="Y13366">
        <v>0</v>
      </c>
      <c r="Z13366">
        <v>1</v>
      </c>
      <c r="AA13366">
        <v>0</v>
      </c>
      <c r="AB13366">
        <v>1</v>
      </c>
      <c r="AC13366">
        <v>0</v>
      </c>
      <c r="AD13366">
        <v>1</v>
      </c>
      <c r="AE13366">
        <v>1</v>
      </c>
      <c r="AF13366">
        <v>1</v>
      </c>
      <c r="AG13366">
        <v>1</v>
      </c>
      <c r="AH13366">
        <v>1</v>
      </c>
      <c r="AI13366">
        <v>1</v>
      </c>
      <c r="AJ13366">
        <v>1</v>
      </c>
      <c r="AK13366">
        <v>1</v>
      </c>
      <c r="AL13366">
        <v>1</v>
      </c>
      <c r="AM13366">
        <v>1</v>
      </c>
    </row>
    <row r="13367" spans="1:39" x14ac:dyDescent="0.2">
      <c r="A13367" t="str">
        <f>"13363"</f>
        <v>13363</v>
      </c>
      <c r="B13367" t="str">
        <f t="shared" ref="B13367:B13430" si="744">"1"</f>
        <v>1</v>
      </c>
      <c r="C13367" t="str">
        <f t="shared" si="743"/>
        <v>268</v>
      </c>
      <c r="D13367" t="str">
        <f>"16"</f>
        <v>16</v>
      </c>
      <c r="E13367" t="str">
        <f>"1-268-16"</f>
        <v>1-268-16</v>
      </c>
      <c r="F13367" t="s">
        <v>65</v>
      </c>
      <c r="G13367" t="s">
        <v>66</v>
      </c>
      <c r="H13367" t="s">
        <v>67</v>
      </c>
      <c r="S13367">
        <v>1</v>
      </c>
      <c r="T13367">
        <v>0</v>
      </c>
      <c r="U13367">
        <v>0</v>
      </c>
      <c r="V13367">
        <v>0</v>
      </c>
      <c r="W13367">
        <v>1</v>
      </c>
      <c r="X13367">
        <v>0</v>
      </c>
      <c r="Y13367">
        <v>1</v>
      </c>
      <c r="Z13367">
        <v>0</v>
      </c>
      <c r="AA13367">
        <v>1</v>
      </c>
      <c r="AB13367">
        <v>0</v>
      </c>
      <c r="AC13367">
        <v>0</v>
      </c>
      <c r="AD13367">
        <v>1</v>
      </c>
      <c r="AE13367">
        <v>1</v>
      </c>
      <c r="AF13367">
        <v>1</v>
      </c>
      <c r="AG13367">
        <v>1</v>
      </c>
      <c r="AH13367">
        <v>1</v>
      </c>
      <c r="AI13367">
        <v>1</v>
      </c>
      <c r="AJ13367">
        <v>1</v>
      </c>
      <c r="AK13367">
        <v>1</v>
      </c>
      <c r="AL13367">
        <v>1</v>
      </c>
      <c r="AM13367">
        <v>1</v>
      </c>
    </row>
    <row r="13368" spans="1:39" x14ac:dyDescent="0.2">
      <c r="A13368" t="str">
        <f>"13364"</f>
        <v>13364</v>
      </c>
      <c r="B13368" t="str">
        <f t="shared" si="744"/>
        <v>1</v>
      </c>
      <c r="C13368" t="str">
        <f t="shared" si="743"/>
        <v>268</v>
      </c>
      <c r="D13368" t="str">
        <f>"2"</f>
        <v>2</v>
      </c>
      <c r="E13368" t="str">
        <f>"1-268-2"</f>
        <v>1-268-2</v>
      </c>
      <c r="F13368" t="s">
        <v>65</v>
      </c>
      <c r="G13368" t="s">
        <v>66</v>
      </c>
      <c r="H13368" t="s">
        <v>67</v>
      </c>
      <c r="S13368">
        <v>0</v>
      </c>
      <c r="T13368">
        <v>1</v>
      </c>
      <c r="U13368">
        <v>0</v>
      </c>
      <c r="V13368">
        <v>0</v>
      </c>
      <c r="W13368">
        <v>1</v>
      </c>
      <c r="X13368">
        <v>0</v>
      </c>
      <c r="Y13368">
        <v>1</v>
      </c>
      <c r="Z13368">
        <v>0</v>
      </c>
      <c r="AA13368">
        <v>1</v>
      </c>
      <c r="AB13368">
        <v>0</v>
      </c>
      <c r="AC13368">
        <v>0</v>
      </c>
      <c r="AD13368">
        <v>1</v>
      </c>
      <c r="AE13368">
        <v>1</v>
      </c>
      <c r="AF13368">
        <v>1</v>
      </c>
      <c r="AG13368">
        <v>1</v>
      </c>
      <c r="AH13368">
        <v>1</v>
      </c>
      <c r="AI13368">
        <v>1</v>
      </c>
      <c r="AJ13368">
        <v>1</v>
      </c>
      <c r="AK13368">
        <v>1</v>
      </c>
      <c r="AL13368">
        <v>1</v>
      </c>
      <c r="AM13368">
        <v>1</v>
      </c>
    </row>
    <row r="13369" spans="1:39" x14ac:dyDescent="0.2">
      <c r="A13369" t="str">
        <f>"13365"</f>
        <v>13365</v>
      </c>
      <c r="B13369" t="str">
        <f t="shared" si="744"/>
        <v>1</v>
      </c>
      <c r="C13369" t="str">
        <f t="shared" si="743"/>
        <v>268</v>
      </c>
      <c r="D13369" t="str">
        <f>"36"</f>
        <v>36</v>
      </c>
      <c r="E13369" t="str">
        <f>"1-268-36"</f>
        <v>1-268-36</v>
      </c>
      <c r="F13369" t="s">
        <v>65</v>
      </c>
      <c r="G13369" t="s">
        <v>66</v>
      </c>
      <c r="H13369" t="s">
        <v>67</v>
      </c>
      <c r="S13369">
        <v>1</v>
      </c>
      <c r="T13369">
        <v>0</v>
      </c>
      <c r="U13369">
        <v>0</v>
      </c>
      <c r="V13369">
        <v>0</v>
      </c>
      <c r="W13369">
        <v>1</v>
      </c>
      <c r="X13369">
        <v>0</v>
      </c>
      <c r="Y13369">
        <v>0</v>
      </c>
      <c r="Z13369">
        <v>1</v>
      </c>
      <c r="AA13369">
        <v>1</v>
      </c>
      <c r="AB13369">
        <v>0</v>
      </c>
      <c r="AC13369">
        <v>0</v>
      </c>
      <c r="AD13369">
        <v>1</v>
      </c>
      <c r="AE13369">
        <v>1</v>
      </c>
      <c r="AF13369">
        <v>1</v>
      </c>
      <c r="AG13369">
        <v>1</v>
      </c>
      <c r="AH13369">
        <v>1</v>
      </c>
      <c r="AI13369">
        <v>1</v>
      </c>
      <c r="AJ13369">
        <v>1</v>
      </c>
      <c r="AK13369">
        <v>1</v>
      </c>
      <c r="AL13369">
        <v>1</v>
      </c>
      <c r="AM13369">
        <v>1</v>
      </c>
    </row>
    <row r="13370" spans="1:39" x14ac:dyDescent="0.2">
      <c r="A13370" t="str">
        <f>"13366"</f>
        <v>13366</v>
      </c>
      <c r="B13370" t="str">
        <f t="shared" si="744"/>
        <v>1</v>
      </c>
      <c r="C13370" t="str">
        <f t="shared" si="743"/>
        <v>268</v>
      </c>
      <c r="D13370" t="str">
        <f>"4"</f>
        <v>4</v>
      </c>
      <c r="E13370" t="str">
        <f>"1-268-4"</f>
        <v>1-268-4</v>
      </c>
      <c r="F13370" t="s">
        <v>65</v>
      </c>
      <c r="G13370" t="s">
        <v>66</v>
      </c>
      <c r="H13370" t="s">
        <v>67</v>
      </c>
      <c r="S13370">
        <v>0</v>
      </c>
      <c r="T13370">
        <v>1</v>
      </c>
      <c r="U13370">
        <v>0</v>
      </c>
      <c r="V13370">
        <v>0</v>
      </c>
      <c r="W13370">
        <v>1</v>
      </c>
      <c r="X13370">
        <v>0</v>
      </c>
      <c r="Y13370">
        <v>1</v>
      </c>
      <c r="Z13370">
        <v>0</v>
      </c>
      <c r="AA13370">
        <v>1</v>
      </c>
      <c r="AB13370">
        <v>0</v>
      </c>
      <c r="AC13370">
        <v>0</v>
      </c>
      <c r="AD13370">
        <v>1</v>
      </c>
      <c r="AE13370">
        <v>1</v>
      </c>
      <c r="AF13370">
        <v>1</v>
      </c>
      <c r="AG13370">
        <v>1</v>
      </c>
      <c r="AH13370">
        <v>1</v>
      </c>
      <c r="AI13370">
        <v>1</v>
      </c>
      <c r="AJ13370">
        <v>1</v>
      </c>
      <c r="AK13370">
        <v>1</v>
      </c>
      <c r="AL13370">
        <v>1</v>
      </c>
      <c r="AM13370">
        <v>1</v>
      </c>
    </row>
    <row r="13371" spans="1:39" x14ac:dyDescent="0.2">
      <c r="A13371" t="str">
        <f>"13367"</f>
        <v>13367</v>
      </c>
      <c r="B13371" t="str">
        <f t="shared" si="744"/>
        <v>1</v>
      </c>
      <c r="C13371" t="str">
        <f t="shared" si="743"/>
        <v>268</v>
      </c>
      <c r="D13371" t="str">
        <f>"35"</f>
        <v>35</v>
      </c>
      <c r="E13371" t="str">
        <f>"1-268-35"</f>
        <v>1-268-35</v>
      </c>
      <c r="F13371" t="s">
        <v>65</v>
      </c>
      <c r="G13371" t="s">
        <v>66</v>
      </c>
      <c r="H13371" t="s">
        <v>67</v>
      </c>
      <c r="S13371">
        <v>0</v>
      </c>
      <c r="T13371">
        <v>0</v>
      </c>
      <c r="U13371">
        <v>0</v>
      </c>
      <c r="V13371">
        <v>0</v>
      </c>
      <c r="W13371">
        <v>0</v>
      </c>
      <c r="X13371">
        <v>1</v>
      </c>
      <c r="Y13371">
        <v>0</v>
      </c>
      <c r="Z13371">
        <v>0</v>
      </c>
      <c r="AA13371">
        <v>0</v>
      </c>
      <c r="AB13371">
        <v>0</v>
      </c>
      <c r="AC13371">
        <v>0</v>
      </c>
      <c r="AD13371">
        <v>0</v>
      </c>
      <c r="AE13371">
        <v>0</v>
      </c>
      <c r="AF13371">
        <v>0</v>
      </c>
      <c r="AG13371">
        <v>0</v>
      </c>
      <c r="AH13371">
        <v>0</v>
      </c>
      <c r="AI13371">
        <v>0</v>
      </c>
      <c r="AJ13371">
        <v>0</v>
      </c>
      <c r="AK13371">
        <v>0</v>
      </c>
      <c r="AL13371">
        <v>0</v>
      </c>
      <c r="AM13371">
        <v>0</v>
      </c>
    </row>
    <row r="13372" spans="1:39" x14ac:dyDescent="0.2">
      <c r="A13372" t="str">
        <f>"13368"</f>
        <v>13368</v>
      </c>
      <c r="B13372" t="str">
        <f t="shared" si="744"/>
        <v>1</v>
      </c>
      <c r="C13372" t="str">
        <f t="shared" si="743"/>
        <v>268</v>
      </c>
      <c r="D13372" t="str">
        <f>"19"</f>
        <v>19</v>
      </c>
      <c r="E13372" t="str">
        <f>"1-268-19"</f>
        <v>1-268-19</v>
      </c>
      <c r="F13372" t="s">
        <v>65</v>
      </c>
      <c r="G13372" t="s">
        <v>66</v>
      </c>
      <c r="H13372" t="s">
        <v>67</v>
      </c>
      <c r="S13372">
        <v>0</v>
      </c>
      <c r="T13372">
        <v>0</v>
      </c>
      <c r="U13372">
        <v>0</v>
      </c>
      <c r="V13372">
        <v>0</v>
      </c>
      <c r="W13372">
        <v>0</v>
      </c>
      <c r="X13372">
        <v>1</v>
      </c>
      <c r="Y13372">
        <v>1</v>
      </c>
      <c r="Z13372">
        <v>0</v>
      </c>
      <c r="AA13372">
        <v>1</v>
      </c>
      <c r="AB13372">
        <v>0</v>
      </c>
      <c r="AC13372">
        <v>0</v>
      </c>
      <c r="AD13372">
        <v>1</v>
      </c>
      <c r="AE13372">
        <v>1</v>
      </c>
      <c r="AF13372">
        <v>1</v>
      </c>
      <c r="AG13372">
        <v>0</v>
      </c>
      <c r="AH13372">
        <v>1</v>
      </c>
      <c r="AI13372">
        <v>1</v>
      </c>
      <c r="AJ13372">
        <v>1</v>
      </c>
      <c r="AK13372">
        <v>1</v>
      </c>
      <c r="AL13372">
        <v>1</v>
      </c>
      <c r="AM13372">
        <v>1</v>
      </c>
    </row>
    <row r="13373" spans="1:39" x14ac:dyDescent="0.2">
      <c r="A13373" t="str">
        <f>"13369"</f>
        <v>13369</v>
      </c>
      <c r="B13373" t="str">
        <f t="shared" si="744"/>
        <v>1</v>
      </c>
      <c r="C13373" t="str">
        <f t="shared" si="743"/>
        <v>268</v>
      </c>
      <c r="D13373" t="str">
        <f>"14"</f>
        <v>14</v>
      </c>
      <c r="E13373" t="str">
        <f>"1-268-14"</f>
        <v>1-268-14</v>
      </c>
      <c r="F13373" t="s">
        <v>65</v>
      </c>
      <c r="G13373" t="s">
        <v>66</v>
      </c>
      <c r="H13373" t="s">
        <v>67</v>
      </c>
      <c r="S13373">
        <v>0</v>
      </c>
      <c r="T13373">
        <v>1</v>
      </c>
      <c r="U13373">
        <v>0</v>
      </c>
      <c r="V13373">
        <v>0</v>
      </c>
      <c r="W13373">
        <v>1</v>
      </c>
      <c r="X13373">
        <v>0</v>
      </c>
      <c r="Y13373">
        <v>0</v>
      </c>
      <c r="Z13373">
        <v>1</v>
      </c>
      <c r="AA13373">
        <v>0</v>
      </c>
      <c r="AB13373">
        <v>0</v>
      </c>
      <c r="AC13373">
        <v>1</v>
      </c>
      <c r="AD13373">
        <v>1</v>
      </c>
      <c r="AE13373">
        <v>1</v>
      </c>
      <c r="AF13373">
        <v>1</v>
      </c>
      <c r="AG13373">
        <v>1</v>
      </c>
      <c r="AH13373">
        <v>1</v>
      </c>
      <c r="AI13373">
        <v>1</v>
      </c>
      <c r="AJ13373">
        <v>1</v>
      </c>
      <c r="AK13373">
        <v>1</v>
      </c>
      <c r="AL13373">
        <v>1</v>
      </c>
      <c r="AM13373">
        <v>1</v>
      </c>
    </row>
    <row r="13374" spans="1:39" x14ac:dyDescent="0.2">
      <c r="A13374" t="str">
        <f>"13370"</f>
        <v>13370</v>
      </c>
      <c r="B13374" t="str">
        <f t="shared" si="744"/>
        <v>1</v>
      </c>
      <c r="C13374" t="str">
        <f t="shared" si="743"/>
        <v>268</v>
      </c>
      <c r="D13374" t="str">
        <f>"45"</f>
        <v>45</v>
      </c>
      <c r="E13374" t="str">
        <f>"1-268-45"</f>
        <v>1-268-45</v>
      </c>
      <c r="F13374" t="s">
        <v>65</v>
      </c>
      <c r="G13374" t="s">
        <v>66</v>
      </c>
      <c r="H13374" t="s">
        <v>67</v>
      </c>
      <c r="S13374">
        <v>1</v>
      </c>
      <c r="T13374">
        <v>0</v>
      </c>
      <c r="U13374">
        <v>0</v>
      </c>
      <c r="V13374">
        <v>0</v>
      </c>
      <c r="W13374">
        <v>1</v>
      </c>
      <c r="X13374">
        <v>0</v>
      </c>
      <c r="Y13374">
        <v>1</v>
      </c>
      <c r="Z13374">
        <v>0</v>
      </c>
      <c r="AA13374">
        <v>0</v>
      </c>
      <c r="AB13374">
        <v>0</v>
      </c>
      <c r="AC13374">
        <v>1</v>
      </c>
      <c r="AD13374">
        <v>1</v>
      </c>
      <c r="AE13374">
        <v>1</v>
      </c>
      <c r="AF13374">
        <v>1</v>
      </c>
      <c r="AG13374">
        <v>1</v>
      </c>
      <c r="AH13374">
        <v>1</v>
      </c>
      <c r="AI13374">
        <v>1</v>
      </c>
      <c r="AJ13374">
        <v>1</v>
      </c>
      <c r="AK13374">
        <v>1</v>
      </c>
      <c r="AL13374">
        <v>1</v>
      </c>
      <c r="AM13374">
        <v>1</v>
      </c>
    </row>
    <row r="13375" spans="1:39" x14ac:dyDescent="0.2">
      <c r="A13375" t="str">
        <f>"13371"</f>
        <v>13371</v>
      </c>
      <c r="B13375" t="str">
        <f t="shared" si="744"/>
        <v>1</v>
      </c>
      <c r="C13375" t="str">
        <f t="shared" si="743"/>
        <v>268</v>
      </c>
      <c r="D13375" t="str">
        <f>"20"</f>
        <v>20</v>
      </c>
      <c r="E13375" t="str">
        <f>"1-268-20"</f>
        <v>1-268-20</v>
      </c>
      <c r="F13375" t="s">
        <v>65</v>
      </c>
      <c r="G13375" t="s">
        <v>66</v>
      </c>
      <c r="H13375" t="s">
        <v>67</v>
      </c>
      <c r="S13375">
        <v>1</v>
      </c>
      <c r="T13375">
        <v>0</v>
      </c>
      <c r="U13375">
        <v>0</v>
      </c>
      <c r="V13375">
        <v>0</v>
      </c>
      <c r="W13375">
        <v>1</v>
      </c>
      <c r="X13375">
        <v>0</v>
      </c>
      <c r="Y13375">
        <v>1</v>
      </c>
      <c r="Z13375">
        <v>0</v>
      </c>
      <c r="AA13375">
        <v>1</v>
      </c>
      <c r="AB13375">
        <v>0</v>
      </c>
      <c r="AC13375">
        <v>0</v>
      </c>
      <c r="AD13375">
        <v>1</v>
      </c>
      <c r="AE13375">
        <v>1</v>
      </c>
      <c r="AF13375">
        <v>1</v>
      </c>
      <c r="AG13375">
        <v>1</v>
      </c>
      <c r="AH13375">
        <v>1</v>
      </c>
      <c r="AI13375">
        <v>1</v>
      </c>
      <c r="AJ13375">
        <v>1</v>
      </c>
      <c r="AK13375">
        <v>1</v>
      </c>
      <c r="AL13375">
        <v>1</v>
      </c>
      <c r="AM13375">
        <v>1</v>
      </c>
    </row>
    <row r="13376" spans="1:39" x14ac:dyDescent="0.2">
      <c r="A13376" t="str">
        <f>"13372"</f>
        <v>13372</v>
      </c>
      <c r="B13376" t="str">
        <f t="shared" si="744"/>
        <v>1</v>
      </c>
      <c r="C13376" t="str">
        <f t="shared" si="743"/>
        <v>268</v>
      </c>
      <c r="D13376" t="str">
        <f>"11"</f>
        <v>11</v>
      </c>
      <c r="E13376" t="str">
        <f>"1-268-11"</f>
        <v>1-268-11</v>
      </c>
      <c r="F13376" t="s">
        <v>65</v>
      </c>
      <c r="G13376" t="s">
        <v>66</v>
      </c>
      <c r="H13376" t="s">
        <v>67</v>
      </c>
      <c r="S13376">
        <v>1</v>
      </c>
      <c r="T13376">
        <v>0</v>
      </c>
      <c r="U13376">
        <v>0</v>
      </c>
      <c r="V13376">
        <v>0</v>
      </c>
      <c r="W13376">
        <v>1</v>
      </c>
      <c r="X13376">
        <v>0</v>
      </c>
      <c r="Y13376">
        <v>0</v>
      </c>
      <c r="Z13376">
        <v>1</v>
      </c>
      <c r="AA13376">
        <v>1</v>
      </c>
      <c r="AB13376">
        <v>0</v>
      </c>
      <c r="AC13376">
        <v>0</v>
      </c>
      <c r="AD13376">
        <v>1</v>
      </c>
      <c r="AE13376">
        <v>1</v>
      </c>
      <c r="AF13376">
        <v>1</v>
      </c>
      <c r="AG13376">
        <v>1</v>
      </c>
      <c r="AH13376">
        <v>1</v>
      </c>
      <c r="AI13376">
        <v>1</v>
      </c>
      <c r="AJ13376">
        <v>1</v>
      </c>
      <c r="AK13376">
        <v>1</v>
      </c>
      <c r="AL13376">
        <v>1</v>
      </c>
      <c r="AM13376">
        <v>1</v>
      </c>
    </row>
    <row r="13377" spans="1:39" x14ac:dyDescent="0.2">
      <c r="A13377" t="str">
        <f>"13373"</f>
        <v>13373</v>
      </c>
      <c r="B13377" t="str">
        <f t="shared" si="744"/>
        <v>1</v>
      </c>
      <c r="C13377" t="str">
        <f t="shared" si="743"/>
        <v>268</v>
      </c>
      <c r="D13377" t="str">
        <f>"39"</f>
        <v>39</v>
      </c>
      <c r="E13377" t="str">
        <f>"1-268-39"</f>
        <v>1-268-39</v>
      </c>
      <c r="F13377" t="s">
        <v>65</v>
      </c>
      <c r="G13377" t="s">
        <v>66</v>
      </c>
      <c r="H13377" t="s">
        <v>67</v>
      </c>
      <c r="S13377">
        <v>0</v>
      </c>
      <c r="T13377">
        <v>1</v>
      </c>
      <c r="U13377">
        <v>0</v>
      </c>
      <c r="V13377">
        <v>0</v>
      </c>
      <c r="W13377">
        <v>0</v>
      </c>
      <c r="X13377">
        <v>1</v>
      </c>
      <c r="Y13377">
        <v>0</v>
      </c>
      <c r="Z13377">
        <v>0</v>
      </c>
      <c r="AA13377">
        <v>0</v>
      </c>
      <c r="AB13377">
        <v>1</v>
      </c>
      <c r="AC13377">
        <v>0</v>
      </c>
      <c r="AD13377">
        <v>1</v>
      </c>
      <c r="AE13377">
        <v>1</v>
      </c>
      <c r="AF13377">
        <v>1</v>
      </c>
      <c r="AG13377">
        <v>1</v>
      </c>
      <c r="AH13377">
        <v>1</v>
      </c>
      <c r="AI13377">
        <v>1</v>
      </c>
      <c r="AJ13377">
        <v>1</v>
      </c>
      <c r="AK13377">
        <v>1</v>
      </c>
      <c r="AL13377">
        <v>1</v>
      </c>
      <c r="AM13377">
        <v>1</v>
      </c>
    </row>
    <row r="13378" spans="1:39" x14ac:dyDescent="0.2">
      <c r="A13378" t="str">
        <f>"13374"</f>
        <v>13374</v>
      </c>
      <c r="B13378" t="str">
        <f t="shared" si="744"/>
        <v>1</v>
      </c>
      <c r="C13378" t="str">
        <f t="shared" si="743"/>
        <v>268</v>
      </c>
      <c r="D13378" t="str">
        <f>"21"</f>
        <v>21</v>
      </c>
      <c r="E13378" t="str">
        <f>"1-268-21"</f>
        <v>1-268-21</v>
      </c>
      <c r="F13378" t="s">
        <v>65</v>
      </c>
      <c r="G13378" t="s">
        <v>66</v>
      </c>
      <c r="H13378" t="s">
        <v>67</v>
      </c>
      <c r="S13378">
        <v>1</v>
      </c>
      <c r="T13378">
        <v>0</v>
      </c>
      <c r="U13378">
        <v>0</v>
      </c>
      <c r="V13378">
        <v>0</v>
      </c>
      <c r="W13378">
        <v>1</v>
      </c>
      <c r="X13378">
        <v>0</v>
      </c>
      <c r="Y13378">
        <v>1</v>
      </c>
      <c r="Z13378">
        <v>0</v>
      </c>
      <c r="AA13378">
        <v>0</v>
      </c>
      <c r="AB13378">
        <v>0</v>
      </c>
      <c r="AC13378">
        <v>1</v>
      </c>
      <c r="AD13378">
        <v>1</v>
      </c>
      <c r="AE13378">
        <v>1</v>
      </c>
      <c r="AF13378">
        <v>1</v>
      </c>
      <c r="AG13378">
        <v>1</v>
      </c>
      <c r="AH13378">
        <v>1</v>
      </c>
      <c r="AI13378">
        <v>1</v>
      </c>
      <c r="AJ13378">
        <v>1</v>
      </c>
      <c r="AK13378">
        <v>1</v>
      </c>
      <c r="AL13378">
        <v>1</v>
      </c>
      <c r="AM13378">
        <v>1</v>
      </c>
    </row>
    <row r="13379" spans="1:39" x14ac:dyDescent="0.2">
      <c r="A13379" t="str">
        <f>"13375"</f>
        <v>13375</v>
      </c>
      <c r="B13379" t="str">
        <f t="shared" si="744"/>
        <v>1</v>
      </c>
      <c r="C13379" t="str">
        <f t="shared" si="743"/>
        <v>268</v>
      </c>
      <c r="D13379" t="str">
        <f>"13"</f>
        <v>13</v>
      </c>
      <c r="E13379" t="str">
        <f>"1-268-13"</f>
        <v>1-268-13</v>
      </c>
      <c r="F13379" t="s">
        <v>65</v>
      </c>
      <c r="G13379" t="s">
        <v>66</v>
      </c>
      <c r="H13379" t="s">
        <v>67</v>
      </c>
      <c r="S13379">
        <v>1</v>
      </c>
      <c r="T13379">
        <v>0</v>
      </c>
      <c r="U13379">
        <v>0</v>
      </c>
      <c r="V13379">
        <v>0</v>
      </c>
      <c r="W13379">
        <v>1</v>
      </c>
      <c r="X13379">
        <v>0</v>
      </c>
      <c r="Y13379">
        <v>1</v>
      </c>
      <c r="Z13379">
        <v>0</v>
      </c>
      <c r="AA13379">
        <v>1</v>
      </c>
      <c r="AB13379">
        <v>0</v>
      </c>
      <c r="AC13379">
        <v>0</v>
      </c>
      <c r="AD13379">
        <v>1</v>
      </c>
      <c r="AE13379">
        <v>1</v>
      </c>
      <c r="AF13379">
        <v>1</v>
      </c>
      <c r="AG13379">
        <v>1</v>
      </c>
      <c r="AH13379">
        <v>0</v>
      </c>
      <c r="AI13379">
        <v>1</v>
      </c>
      <c r="AJ13379">
        <v>1</v>
      </c>
      <c r="AK13379">
        <v>1</v>
      </c>
      <c r="AL13379">
        <v>1</v>
      </c>
      <c r="AM13379">
        <v>1</v>
      </c>
    </row>
    <row r="13380" spans="1:39" x14ac:dyDescent="0.2">
      <c r="A13380" t="str">
        <f>"13376"</f>
        <v>13376</v>
      </c>
      <c r="B13380" t="str">
        <f t="shared" si="744"/>
        <v>1</v>
      </c>
      <c r="C13380" t="str">
        <f t="shared" si="743"/>
        <v>268</v>
      </c>
      <c r="D13380" t="str">
        <f>"41"</f>
        <v>41</v>
      </c>
      <c r="E13380" t="str">
        <f>"1-268-41"</f>
        <v>1-268-41</v>
      </c>
      <c r="F13380" t="s">
        <v>65</v>
      </c>
      <c r="G13380" t="s">
        <v>66</v>
      </c>
      <c r="H13380" t="s">
        <v>67</v>
      </c>
      <c r="S13380">
        <v>1</v>
      </c>
      <c r="T13380">
        <v>0</v>
      </c>
      <c r="U13380">
        <v>0</v>
      </c>
      <c r="V13380">
        <v>0</v>
      </c>
      <c r="W13380">
        <v>1</v>
      </c>
      <c r="X13380">
        <v>0</v>
      </c>
      <c r="Y13380">
        <v>1</v>
      </c>
      <c r="Z13380">
        <v>0</v>
      </c>
      <c r="AA13380">
        <v>0</v>
      </c>
      <c r="AB13380">
        <v>0</v>
      </c>
      <c r="AC13380">
        <v>1</v>
      </c>
      <c r="AD13380">
        <v>1</v>
      </c>
      <c r="AE13380">
        <v>1</v>
      </c>
      <c r="AF13380">
        <v>1</v>
      </c>
      <c r="AG13380">
        <v>1</v>
      </c>
      <c r="AH13380">
        <v>1</v>
      </c>
      <c r="AI13380">
        <v>1</v>
      </c>
      <c r="AJ13380">
        <v>1</v>
      </c>
      <c r="AK13380">
        <v>1</v>
      </c>
      <c r="AL13380">
        <v>1</v>
      </c>
      <c r="AM13380">
        <v>1</v>
      </c>
    </row>
    <row r="13381" spans="1:39" x14ac:dyDescent="0.2">
      <c r="A13381" t="str">
        <f>"13377"</f>
        <v>13377</v>
      </c>
      <c r="B13381" t="str">
        <f t="shared" si="744"/>
        <v>1</v>
      </c>
      <c r="C13381" t="str">
        <f t="shared" si="743"/>
        <v>268</v>
      </c>
      <c r="D13381" t="str">
        <f>"22"</f>
        <v>22</v>
      </c>
      <c r="E13381" t="str">
        <f>"1-268-22"</f>
        <v>1-268-22</v>
      </c>
      <c r="F13381" t="s">
        <v>65</v>
      </c>
      <c r="G13381" t="s">
        <v>66</v>
      </c>
      <c r="H13381" t="s">
        <v>67</v>
      </c>
      <c r="S13381">
        <v>1</v>
      </c>
      <c r="T13381">
        <v>0</v>
      </c>
      <c r="U13381">
        <v>0</v>
      </c>
      <c r="V13381">
        <v>0</v>
      </c>
      <c r="W13381">
        <v>1</v>
      </c>
      <c r="X13381">
        <v>0</v>
      </c>
      <c r="Y13381">
        <v>1</v>
      </c>
      <c r="Z13381">
        <v>0</v>
      </c>
      <c r="AA13381">
        <v>1</v>
      </c>
      <c r="AB13381">
        <v>0</v>
      </c>
      <c r="AC13381">
        <v>0</v>
      </c>
      <c r="AD13381">
        <v>1</v>
      </c>
      <c r="AE13381">
        <v>1</v>
      </c>
      <c r="AF13381">
        <v>1</v>
      </c>
      <c r="AG13381">
        <v>1</v>
      </c>
      <c r="AH13381">
        <v>1</v>
      </c>
      <c r="AI13381">
        <v>1</v>
      </c>
      <c r="AJ13381">
        <v>1</v>
      </c>
      <c r="AK13381">
        <v>1</v>
      </c>
      <c r="AL13381">
        <v>1</v>
      </c>
      <c r="AM13381">
        <v>1</v>
      </c>
    </row>
    <row r="13382" spans="1:39" x14ac:dyDescent="0.2">
      <c r="A13382" t="str">
        <f>"13378"</f>
        <v>13378</v>
      </c>
      <c r="B13382" t="str">
        <f t="shared" si="744"/>
        <v>1</v>
      </c>
      <c r="C13382" t="str">
        <f t="shared" si="743"/>
        <v>268</v>
      </c>
      <c r="D13382" t="str">
        <f>"12"</f>
        <v>12</v>
      </c>
      <c r="E13382" t="str">
        <f>"1-268-12"</f>
        <v>1-268-12</v>
      </c>
      <c r="F13382" t="s">
        <v>65</v>
      </c>
      <c r="G13382" t="s">
        <v>66</v>
      </c>
      <c r="H13382" t="s">
        <v>67</v>
      </c>
      <c r="S13382">
        <v>0</v>
      </c>
      <c r="T13382">
        <v>1</v>
      </c>
      <c r="U13382">
        <v>0</v>
      </c>
      <c r="V13382">
        <v>0</v>
      </c>
      <c r="W13382">
        <v>1</v>
      </c>
      <c r="X13382">
        <v>0</v>
      </c>
      <c r="Y13382">
        <v>0</v>
      </c>
      <c r="Z13382">
        <v>1</v>
      </c>
      <c r="AA13382">
        <v>0</v>
      </c>
      <c r="AB13382">
        <v>0</v>
      </c>
      <c r="AC13382">
        <v>1</v>
      </c>
      <c r="AD13382">
        <v>1</v>
      </c>
      <c r="AE13382">
        <v>1</v>
      </c>
      <c r="AF13382">
        <v>1</v>
      </c>
      <c r="AG13382">
        <v>1</v>
      </c>
      <c r="AH13382">
        <v>1</v>
      </c>
      <c r="AI13382">
        <v>1</v>
      </c>
      <c r="AJ13382">
        <v>1</v>
      </c>
      <c r="AK13382">
        <v>1</v>
      </c>
      <c r="AL13382">
        <v>1</v>
      </c>
      <c r="AM13382">
        <v>1</v>
      </c>
    </row>
    <row r="13383" spans="1:39" x14ac:dyDescent="0.2">
      <c r="A13383" t="str">
        <f>"13379"</f>
        <v>13379</v>
      </c>
      <c r="B13383" t="str">
        <f t="shared" si="744"/>
        <v>1</v>
      </c>
      <c r="C13383" t="str">
        <f t="shared" si="743"/>
        <v>268</v>
      </c>
      <c r="D13383" t="str">
        <f>"47"</f>
        <v>47</v>
      </c>
      <c r="E13383" t="str">
        <f>"1-268-47"</f>
        <v>1-268-47</v>
      </c>
      <c r="F13383" t="s">
        <v>65</v>
      </c>
      <c r="G13383" t="s">
        <v>66</v>
      </c>
      <c r="H13383" t="s">
        <v>67</v>
      </c>
      <c r="S13383">
        <v>1</v>
      </c>
      <c r="T13383">
        <v>0</v>
      </c>
      <c r="U13383">
        <v>0</v>
      </c>
      <c r="V13383">
        <v>0</v>
      </c>
      <c r="W13383">
        <v>1</v>
      </c>
      <c r="X13383">
        <v>0</v>
      </c>
      <c r="Y13383">
        <v>1</v>
      </c>
      <c r="Z13383">
        <v>0</v>
      </c>
      <c r="AA13383">
        <v>1</v>
      </c>
      <c r="AB13383">
        <v>0</v>
      </c>
      <c r="AC13383">
        <v>0</v>
      </c>
      <c r="AD13383">
        <v>1</v>
      </c>
      <c r="AE13383">
        <v>1</v>
      </c>
      <c r="AF13383">
        <v>1</v>
      </c>
      <c r="AG13383">
        <v>1</v>
      </c>
      <c r="AH13383">
        <v>1</v>
      </c>
      <c r="AI13383">
        <v>1</v>
      </c>
      <c r="AJ13383">
        <v>0</v>
      </c>
      <c r="AK13383">
        <v>0</v>
      </c>
      <c r="AL13383">
        <v>0</v>
      </c>
      <c r="AM13383">
        <v>0</v>
      </c>
    </row>
    <row r="13384" spans="1:39" x14ac:dyDescent="0.2">
      <c r="A13384" t="str">
        <f>"13380"</f>
        <v>13380</v>
      </c>
      <c r="B13384" t="str">
        <f t="shared" si="744"/>
        <v>1</v>
      </c>
      <c r="C13384" t="str">
        <f t="shared" si="743"/>
        <v>268</v>
      </c>
      <c r="D13384" t="str">
        <f>"23"</f>
        <v>23</v>
      </c>
      <c r="E13384" t="str">
        <f>"1-268-23"</f>
        <v>1-268-23</v>
      </c>
      <c r="F13384" t="s">
        <v>65</v>
      </c>
      <c r="G13384" t="s">
        <v>66</v>
      </c>
      <c r="H13384" t="s">
        <v>67</v>
      </c>
      <c r="S13384">
        <v>0</v>
      </c>
      <c r="T13384">
        <v>1</v>
      </c>
      <c r="U13384">
        <v>0</v>
      </c>
      <c r="V13384">
        <v>0</v>
      </c>
      <c r="W13384">
        <v>1</v>
      </c>
      <c r="X13384">
        <v>0</v>
      </c>
      <c r="Y13384">
        <v>1</v>
      </c>
      <c r="Z13384">
        <v>0</v>
      </c>
      <c r="AA13384">
        <v>0</v>
      </c>
      <c r="AB13384">
        <v>1</v>
      </c>
      <c r="AC13384">
        <v>0</v>
      </c>
      <c r="AD13384">
        <v>0</v>
      </c>
      <c r="AE13384">
        <v>0</v>
      </c>
      <c r="AF13384">
        <v>0</v>
      </c>
      <c r="AG13384">
        <v>0</v>
      </c>
      <c r="AH13384">
        <v>0</v>
      </c>
      <c r="AI13384">
        <v>0</v>
      </c>
      <c r="AJ13384">
        <v>0</v>
      </c>
      <c r="AK13384">
        <v>0</v>
      </c>
      <c r="AL13384">
        <v>0</v>
      </c>
      <c r="AM13384">
        <v>0</v>
      </c>
    </row>
    <row r="13385" spans="1:39" x14ac:dyDescent="0.2">
      <c r="A13385" t="str">
        <f>"13381"</f>
        <v>13381</v>
      </c>
      <c r="B13385" t="str">
        <f t="shared" si="744"/>
        <v>1</v>
      </c>
      <c r="C13385" t="str">
        <f t="shared" si="743"/>
        <v>268</v>
      </c>
      <c r="D13385" t="str">
        <f>"8"</f>
        <v>8</v>
      </c>
      <c r="E13385" t="str">
        <f>"1-268-8"</f>
        <v>1-268-8</v>
      </c>
      <c r="F13385" t="s">
        <v>65</v>
      </c>
      <c r="G13385" t="s">
        <v>66</v>
      </c>
      <c r="H13385" t="s">
        <v>67</v>
      </c>
      <c r="S13385">
        <v>1</v>
      </c>
      <c r="T13385">
        <v>0</v>
      </c>
      <c r="U13385">
        <v>0</v>
      </c>
      <c r="V13385">
        <v>0</v>
      </c>
      <c r="W13385">
        <v>1</v>
      </c>
      <c r="X13385">
        <v>0</v>
      </c>
      <c r="Y13385">
        <v>1</v>
      </c>
      <c r="Z13385">
        <v>0</v>
      </c>
      <c r="AA13385">
        <v>0</v>
      </c>
      <c r="AB13385">
        <v>1</v>
      </c>
      <c r="AC13385">
        <v>0</v>
      </c>
      <c r="AD13385">
        <v>1</v>
      </c>
      <c r="AE13385">
        <v>1</v>
      </c>
      <c r="AF13385">
        <v>1</v>
      </c>
      <c r="AG13385">
        <v>1</v>
      </c>
      <c r="AH13385">
        <v>1</v>
      </c>
      <c r="AI13385">
        <v>1</v>
      </c>
      <c r="AJ13385">
        <v>1</v>
      </c>
      <c r="AK13385">
        <v>1</v>
      </c>
      <c r="AL13385">
        <v>1</v>
      </c>
      <c r="AM13385">
        <v>1</v>
      </c>
    </row>
    <row r="13386" spans="1:39" x14ac:dyDescent="0.2">
      <c r="A13386" t="str">
        <f>"13382"</f>
        <v>13382</v>
      </c>
      <c r="B13386" t="str">
        <f t="shared" si="744"/>
        <v>1</v>
      </c>
      <c r="C13386" t="str">
        <f t="shared" si="743"/>
        <v>268</v>
      </c>
      <c r="D13386" t="str">
        <f>"46"</f>
        <v>46</v>
      </c>
      <c r="E13386" t="str">
        <f>"1-268-46"</f>
        <v>1-268-46</v>
      </c>
      <c r="F13386" t="s">
        <v>65</v>
      </c>
      <c r="G13386" t="s">
        <v>66</v>
      </c>
      <c r="H13386" t="s">
        <v>67</v>
      </c>
      <c r="S13386">
        <v>0</v>
      </c>
      <c r="T13386">
        <v>0</v>
      </c>
      <c r="U13386">
        <v>0</v>
      </c>
      <c r="V13386">
        <v>0</v>
      </c>
      <c r="W13386">
        <v>0</v>
      </c>
      <c r="X13386">
        <v>0</v>
      </c>
      <c r="Y13386">
        <v>1</v>
      </c>
      <c r="Z13386">
        <v>0</v>
      </c>
      <c r="AA13386">
        <v>0</v>
      </c>
      <c r="AB13386">
        <v>0</v>
      </c>
      <c r="AC13386">
        <v>0</v>
      </c>
      <c r="AD13386">
        <v>0</v>
      </c>
      <c r="AE13386">
        <v>0</v>
      </c>
      <c r="AF13386">
        <v>0</v>
      </c>
      <c r="AG13386">
        <v>0</v>
      </c>
      <c r="AH13386">
        <v>0</v>
      </c>
      <c r="AI13386">
        <v>0</v>
      </c>
      <c r="AJ13386">
        <v>0</v>
      </c>
      <c r="AK13386">
        <v>0</v>
      </c>
      <c r="AL13386">
        <v>0</v>
      </c>
      <c r="AM13386">
        <v>0</v>
      </c>
    </row>
    <row r="13387" spans="1:39" x14ac:dyDescent="0.2">
      <c r="A13387" t="str">
        <f>"13383"</f>
        <v>13383</v>
      </c>
      <c r="B13387" t="str">
        <f t="shared" si="744"/>
        <v>1</v>
      </c>
      <c r="C13387" t="str">
        <f t="shared" ref="C13387:C13404" si="745">"268"</f>
        <v>268</v>
      </c>
      <c r="D13387" t="str">
        <f>"24"</f>
        <v>24</v>
      </c>
      <c r="E13387" t="str">
        <f>"1-268-24"</f>
        <v>1-268-24</v>
      </c>
      <c r="F13387" t="s">
        <v>65</v>
      </c>
      <c r="G13387" t="s">
        <v>66</v>
      </c>
      <c r="H13387" t="s">
        <v>67</v>
      </c>
      <c r="S13387">
        <v>1</v>
      </c>
      <c r="T13387">
        <v>0</v>
      </c>
      <c r="U13387">
        <v>0</v>
      </c>
      <c r="V13387">
        <v>0</v>
      </c>
      <c r="W13387">
        <v>1</v>
      </c>
      <c r="X13387">
        <v>0</v>
      </c>
      <c r="Y13387">
        <v>0</v>
      </c>
      <c r="Z13387">
        <v>1</v>
      </c>
      <c r="AA13387">
        <v>0</v>
      </c>
      <c r="AB13387">
        <v>1</v>
      </c>
      <c r="AC13387">
        <v>0</v>
      </c>
      <c r="AD13387">
        <v>1</v>
      </c>
      <c r="AE13387">
        <v>1</v>
      </c>
      <c r="AF13387">
        <v>1</v>
      </c>
      <c r="AG13387">
        <v>1</v>
      </c>
      <c r="AH13387">
        <v>1</v>
      </c>
      <c r="AI13387">
        <v>1</v>
      </c>
      <c r="AJ13387">
        <v>1</v>
      </c>
      <c r="AK13387">
        <v>1</v>
      </c>
      <c r="AL13387">
        <v>1</v>
      </c>
      <c r="AM13387">
        <v>1</v>
      </c>
    </row>
    <row r="13388" spans="1:39" x14ac:dyDescent="0.2">
      <c r="A13388" t="str">
        <f>"13384"</f>
        <v>13384</v>
      </c>
      <c r="B13388" t="str">
        <f t="shared" si="744"/>
        <v>1</v>
      </c>
      <c r="C13388" t="str">
        <f t="shared" si="745"/>
        <v>268</v>
      </c>
      <c r="D13388" t="str">
        <f>"9"</f>
        <v>9</v>
      </c>
      <c r="E13388" t="str">
        <f>"1-268-9"</f>
        <v>1-268-9</v>
      </c>
      <c r="F13388" t="s">
        <v>65</v>
      </c>
      <c r="G13388" t="s">
        <v>66</v>
      </c>
      <c r="H13388" t="s">
        <v>67</v>
      </c>
      <c r="S13388">
        <v>0</v>
      </c>
      <c r="T13388">
        <v>1</v>
      </c>
      <c r="U13388">
        <v>0</v>
      </c>
      <c r="V13388">
        <v>0</v>
      </c>
      <c r="W13388">
        <v>1</v>
      </c>
      <c r="X13388">
        <v>0</v>
      </c>
      <c r="Y13388">
        <v>0</v>
      </c>
      <c r="Z13388">
        <v>1</v>
      </c>
      <c r="AA13388">
        <v>0</v>
      </c>
      <c r="AB13388">
        <v>0</v>
      </c>
      <c r="AC13388">
        <v>1</v>
      </c>
      <c r="AD13388">
        <v>1</v>
      </c>
      <c r="AE13388">
        <v>1</v>
      </c>
      <c r="AF13388">
        <v>1</v>
      </c>
      <c r="AG13388">
        <v>1</v>
      </c>
      <c r="AH13388">
        <v>1</v>
      </c>
      <c r="AI13388">
        <v>1</v>
      </c>
      <c r="AJ13388">
        <v>1</v>
      </c>
      <c r="AK13388">
        <v>1</v>
      </c>
      <c r="AL13388">
        <v>1</v>
      </c>
      <c r="AM13388">
        <v>1</v>
      </c>
    </row>
    <row r="13389" spans="1:39" x14ac:dyDescent="0.2">
      <c r="A13389" t="str">
        <f>"13385"</f>
        <v>13385</v>
      </c>
      <c r="B13389" t="str">
        <f t="shared" si="744"/>
        <v>1</v>
      </c>
      <c r="C13389" t="str">
        <f t="shared" si="745"/>
        <v>268</v>
      </c>
      <c r="D13389" t="str">
        <f>"40"</f>
        <v>40</v>
      </c>
      <c r="E13389" t="str">
        <f>"1-268-40"</f>
        <v>1-268-40</v>
      </c>
      <c r="F13389" t="s">
        <v>65</v>
      </c>
      <c r="G13389" t="s">
        <v>66</v>
      </c>
      <c r="H13389" t="s">
        <v>67</v>
      </c>
      <c r="S13389">
        <v>1</v>
      </c>
      <c r="T13389">
        <v>0</v>
      </c>
      <c r="U13389">
        <v>0</v>
      </c>
      <c r="V13389">
        <v>0</v>
      </c>
      <c r="W13389">
        <v>1</v>
      </c>
      <c r="X13389">
        <v>0</v>
      </c>
      <c r="Y13389">
        <v>1</v>
      </c>
      <c r="Z13389">
        <v>0</v>
      </c>
      <c r="AA13389">
        <v>1</v>
      </c>
      <c r="AB13389">
        <v>0</v>
      </c>
      <c r="AC13389">
        <v>0</v>
      </c>
      <c r="AD13389">
        <v>1</v>
      </c>
      <c r="AE13389">
        <v>1</v>
      </c>
      <c r="AF13389">
        <v>1</v>
      </c>
      <c r="AG13389">
        <v>1</v>
      </c>
      <c r="AH13389">
        <v>1</v>
      </c>
      <c r="AI13389">
        <v>1</v>
      </c>
      <c r="AJ13389">
        <v>1</v>
      </c>
      <c r="AK13389">
        <v>1</v>
      </c>
      <c r="AL13389">
        <v>1</v>
      </c>
      <c r="AM13389">
        <v>1</v>
      </c>
    </row>
    <row r="13390" spans="1:39" x14ac:dyDescent="0.2">
      <c r="A13390" t="str">
        <f>"13386"</f>
        <v>13386</v>
      </c>
      <c r="B13390" t="str">
        <f t="shared" si="744"/>
        <v>1</v>
      </c>
      <c r="C13390" t="str">
        <f t="shared" si="745"/>
        <v>268</v>
      </c>
      <c r="D13390" t="str">
        <f>"26"</f>
        <v>26</v>
      </c>
      <c r="E13390" t="str">
        <f>"1-268-26"</f>
        <v>1-268-26</v>
      </c>
      <c r="F13390" t="s">
        <v>65</v>
      </c>
      <c r="G13390" t="s">
        <v>66</v>
      </c>
      <c r="H13390" t="s">
        <v>67</v>
      </c>
      <c r="S13390">
        <v>1</v>
      </c>
      <c r="T13390">
        <v>0</v>
      </c>
      <c r="U13390">
        <v>0</v>
      </c>
      <c r="V13390">
        <v>0</v>
      </c>
      <c r="W13390">
        <v>0</v>
      </c>
      <c r="X13390">
        <v>1</v>
      </c>
      <c r="Y13390">
        <v>0</v>
      </c>
      <c r="Z13390">
        <v>1</v>
      </c>
      <c r="AA13390">
        <v>0</v>
      </c>
      <c r="AB13390">
        <v>1</v>
      </c>
      <c r="AC13390">
        <v>0</v>
      </c>
      <c r="AD13390">
        <v>1</v>
      </c>
      <c r="AE13390">
        <v>1</v>
      </c>
      <c r="AF13390">
        <v>1</v>
      </c>
      <c r="AG13390">
        <v>1</v>
      </c>
      <c r="AH13390">
        <v>1</v>
      </c>
      <c r="AI13390">
        <v>1</v>
      </c>
      <c r="AJ13390">
        <v>1</v>
      </c>
      <c r="AK13390">
        <v>1</v>
      </c>
      <c r="AL13390">
        <v>1</v>
      </c>
      <c r="AM13390">
        <v>1</v>
      </c>
    </row>
    <row r="13391" spans="1:39" x14ac:dyDescent="0.2">
      <c r="A13391" t="str">
        <f>"13387"</f>
        <v>13387</v>
      </c>
      <c r="B13391" t="str">
        <f t="shared" si="744"/>
        <v>1</v>
      </c>
      <c r="C13391" t="str">
        <f t="shared" si="745"/>
        <v>268</v>
      </c>
      <c r="D13391" t="str">
        <f>"10"</f>
        <v>10</v>
      </c>
      <c r="E13391" t="str">
        <f>"1-268-10"</f>
        <v>1-268-10</v>
      </c>
      <c r="F13391" t="s">
        <v>65</v>
      </c>
      <c r="G13391" t="s">
        <v>66</v>
      </c>
      <c r="H13391" t="s">
        <v>67</v>
      </c>
      <c r="S13391">
        <v>1</v>
      </c>
      <c r="T13391">
        <v>0</v>
      </c>
      <c r="U13391">
        <v>0</v>
      </c>
      <c r="V13391">
        <v>0</v>
      </c>
      <c r="W13391">
        <v>1</v>
      </c>
      <c r="X13391">
        <v>0</v>
      </c>
      <c r="Y13391">
        <v>1</v>
      </c>
      <c r="Z13391">
        <v>0</v>
      </c>
      <c r="AA13391">
        <v>0</v>
      </c>
      <c r="AB13391">
        <v>1</v>
      </c>
      <c r="AC13391">
        <v>0</v>
      </c>
      <c r="AD13391">
        <v>1</v>
      </c>
      <c r="AE13391">
        <v>1</v>
      </c>
      <c r="AF13391">
        <v>1</v>
      </c>
      <c r="AG13391">
        <v>1</v>
      </c>
      <c r="AH13391">
        <v>1</v>
      </c>
      <c r="AI13391">
        <v>1</v>
      </c>
      <c r="AJ13391">
        <v>1</v>
      </c>
      <c r="AK13391">
        <v>1</v>
      </c>
      <c r="AL13391">
        <v>1</v>
      </c>
      <c r="AM13391">
        <v>1</v>
      </c>
    </row>
    <row r="13392" spans="1:39" x14ac:dyDescent="0.2">
      <c r="A13392" t="str">
        <f>"13388"</f>
        <v>13388</v>
      </c>
      <c r="B13392" t="str">
        <f t="shared" si="744"/>
        <v>1</v>
      </c>
      <c r="C13392" t="str">
        <f t="shared" si="745"/>
        <v>268</v>
      </c>
      <c r="D13392" t="str">
        <f>"44"</f>
        <v>44</v>
      </c>
      <c r="E13392" t="str">
        <f>"1-268-44"</f>
        <v>1-268-44</v>
      </c>
      <c r="F13392" t="s">
        <v>65</v>
      </c>
      <c r="G13392" t="s">
        <v>66</v>
      </c>
      <c r="H13392" t="s">
        <v>67</v>
      </c>
      <c r="S13392">
        <v>1</v>
      </c>
      <c r="T13392">
        <v>0</v>
      </c>
      <c r="U13392">
        <v>0</v>
      </c>
      <c r="V13392">
        <v>0</v>
      </c>
      <c r="W13392">
        <v>1</v>
      </c>
      <c r="X13392">
        <v>0</v>
      </c>
      <c r="Y13392">
        <v>0</v>
      </c>
      <c r="Z13392">
        <v>1</v>
      </c>
      <c r="AA13392">
        <v>1</v>
      </c>
      <c r="AB13392">
        <v>0</v>
      </c>
      <c r="AC13392">
        <v>0</v>
      </c>
      <c r="AD13392">
        <v>1</v>
      </c>
      <c r="AE13392">
        <v>1</v>
      </c>
      <c r="AF13392">
        <v>1</v>
      </c>
      <c r="AG13392">
        <v>1</v>
      </c>
      <c r="AH13392">
        <v>1</v>
      </c>
      <c r="AI13392">
        <v>1</v>
      </c>
      <c r="AJ13392">
        <v>1</v>
      </c>
      <c r="AK13392">
        <v>1</v>
      </c>
      <c r="AL13392">
        <v>1</v>
      </c>
      <c r="AM13392">
        <v>1</v>
      </c>
    </row>
    <row r="13393" spans="1:39" x14ac:dyDescent="0.2">
      <c r="A13393" t="str">
        <f>"13389"</f>
        <v>13389</v>
      </c>
      <c r="B13393" t="str">
        <f t="shared" si="744"/>
        <v>1</v>
      </c>
      <c r="C13393" t="str">
        <f t="shared" si="745"/>
        <v>268</v>
      </c>
      <c r="D13393" t="str">
        <f>"29"</f>
        <v>29</v>
      </c>
      <c r="E13393" t="str">
        <f>"1-268-29"</f>
        <v>1-268-29</v>
      </c>
      <c r="F13393" t="s">
        <v>65</v>
      </c>
      <c r="G13393" t="s">
        <v>66</v>
      </c>
      <c r="H13393" t="s">
        <v>67</v>
      </c>
      <c r="S13393">
        <v>1</v>
      </c>
      <c r="T13393">
        <v>0</v>
      </c>
      <c r="U13393">
        <v>0</v>
      </c>
      <c r="V13393">
        <v>0</v>
      </c>
      <c r="W13393">
        <v>1</v>
      </c>
      <c r="X13393">
        <v>0</v>
      </c>
      <c r="Y13393">
        <v>1</v>
      </c>
      <c r="Z13393">
        <v>0</v>
      </c>
      <c r="AA13393">
        <v>1</v>
      </c>
      <c r="AB13393">
        <v>0</v>
      </c>
      <c r="AC13393">
        <v>0</v>
      </c>
      <c r="AD13393">
        <v>1</v>
      </c>
      <c r="AE13393">
        <v>1</v>
      </c>
      <c r="AF13393">
        <v>1</v>
      </c>
      <c r="AG13393">
        <v>1</v>
      </c>
      <c r="AH13393">
        <v>0</v>
      </c>
      <c r="AI13393">
        <v>1</v>
      </c>
      <c r="AJ13393">
        <v>1</v>
      </c>
      <c r="AK13393">
        <v>1</v>
      </c>
      <c r="AL13393">
        <v>1</v>
      </c>
      <c r="AM13393">
        <v>1</v>
      </c>
    </row>
    <row r="13394" spans="1:39" x14ac:dyDescent="0.2">
      <c r="A13394" t="str">
        <f>"13390"</f>
        <v>13390</v>
      </c>
      <c r="B13394" t="str">
        <f t="shared" si="744"/>
        <v>1</v>
      </c>
      <c r="C13394" t="str">
        <f t="shared" si="745"/>
        <v>268</v>
      </c>
      <c r="D13394" t="str">
        <f>"7"</f>
        <v>7</v>
      </c>
      <c r="E13394" t="str">
        <f>"1-268-7"</f>
        <v>1-268-7</v>
      </c>
      <c r="F13394" t="s">
        <v>65</v>
      </c>
      <c r="G13394" t="s">
        <v>66</v>
      </c>
      <c r="H13394" t="s">
        <v>67</v>
      </c>
      <c r="S13394">
        <v>0</v>
      </c>
      <c r="T13394">
        <v>1</v>
      </c>
      <c r="U13394">
        <v>0</v>
      </c>
      <c r="V13394">
        <v>0</v>
      </c>
      <c r="W13394">
        <v>1</v>
      </c>
      <c r="X13394">
        <v>0</v>
      </c>
      <c r="Y13394">
        <v>1</v>
      </c>
      <c r="Z13394">
        <v>0</v>
      </c>
      <c r="AA13394">
        <v>1</v>
      </c>
      <c r="AB13394">
        <v>0</v>
      </c>
      <c r="AC13394">
        <v>0</v>
      </c>
      <c r="AD13394">
        <v>1</v>
      </c>
      <c r="AE13394">
        <v>1</v>
      </c>
      <c r="AF13394">
        <v>1</v>
      </c>
      <c r="AG13394">
        <v>1</v>
      </c>
      <c r="AH13394">
        <v>1</v>
      </c>
      <c r="AI13394">
        <v>1</v>
      </c>
      <c r="AJ13394">
        <v>1</v>
      </c>
      <c r="AK13394">
        <v>1</v>
      </c>
      <c r="AL13394">
        <v>1</v>
      </c>
      <c r="AM13394">
        <v>1</v>
      </c>
    </row>
    <row r="13395" spans="1:39" x14ac:dyDescent="0.2">
      <c r="A13395" t="str">
        <f>"13391"</f>
        <v>13391</v>
      </c>
      <c r="B13395" t="str">
        <f t="shared" si="744"/>
        <v>1</v>
      </c>
      <c r="C13395" t="str">
        <f t="shared" si="745"/>
        <v>268</v>
      </c>
      <c r="D13395" t="str">
        <f>"42"</f>
        <v>42</v>
      </c>
      <c r="E13395" t="str">
        <f>"1-268-42"</f>
        <v>1-268-42</v>
      </c>
      <c r="F13395" t="s">
        <v>65</v>
      </c>
      <c r="G13395" t="s">
        <v>66</v>
      </c>
      <c r="H13395" t="s">
        <v>67</v>
      </c>
      <c r="S13395">
        <v>0</v>
      </c>
      <c r="T13395">
        <v>1</v>
      </c>
      <c r="U13395">
        <v>0</v>
      </c>
      <c r="V13395">
        <v>0</v>
      </c>
      <c r="W13395">
        <v>1</v>
      </c>
      <c r="X13395">
        <v>0</v>
      </c>
      <c r="Y13395">
        <v>1</v>
      </c>
      <c r="Z13395">
        <v>0</v>
      </c>
      <c r="AA13395">
        <v>0</v>
      </c>
      <c r="AB13395">
        <v>0</v>
      </c>
      <c r="AC13395">
        <v>0</v>
      </c>
      <c r="AD13395">
        <v>1</v>
      </c>
      <c r="AE13395">
        <v>1</v>
      </c>
      <c r="AF13395">
        <v>1</v>
      </c>
      <c r="AG13395">
        <v>1</v>
      </c>
      <c r="AH13395">
        <v>1</v>
      </c>
      <c r="AI13395">
        <v>1</v>
      </c>
      <c r="AJ13395">
        <v>1</v>
      </c>
      <c r="AK13395">
        <v>1</v>
      </c>
      <c r="AL13395">
        <v>1</v>
      </c>
      <c r="AM13395">
        <v>1</v>
      </c>
    </row>
    <row r="13396" spans="1:39" x14ac:dyDescent="0.2">
      <c r="A13396" t="str">
        <f>"13392"</f>
        <v>13392</v>
      </c>
      <c r="B13396" t="str">
        <f t="shared" si="744"/>
        <v>1</v>
      </c>
      <c r="C13396" t="str">
        <f t="shared" si="745"/>
        <v>268</v>
      </c>
      <c r="D13396" t="str">
        <f>"30"</f>
        <v>30</v>
      </c>
      <c r="E13396" t="str">
        <f>"1-268-30"</f>
        <v>1-268-30</v>
      </c>
      <c r="F13396" t="s">
        <v>65</v>
      </c>
      <c r="G13396" t="s">
        <v>66</v>
      </c>
      <c r="H13396" t="s">
        <v>67</v>
      </c>
      <c r="S13396">
        <v>0</v>
      </c>
      <c r="T13396">
        <v>1</v>
      </c>
      <c r="U13396">
        <v>0</v>
      </c>
      <c r="V13396">
        <v>0</v>
      </c>
      <c r="W13396">
        <v>1</v>
      </c>
      <c r="X13396">
        <v>0</v>
      </c>
      <c r="Y13396">
        <v>1</v>
      </c>
      <c r="Z13396">
        <v>0</v>
      </c>
      <c r="AA13396">
        <v>0</v>
      </c>
      <c r="AB13396">
        <v>1</v>
      </c>
      <c r="AC13396">
        <v>0</v>
      </c>
      <c r="AD13396">
        <v>1</v>
      </c>
      <c r="AE13396">
        <v>1</v>
      </c>
      <c r="AF13396">
        <v>1</v>
      </c>
      <c r="AG13396">
        <v>1</v>
      </c>
      <c r="AH13396">
        <v>1</v>
      </c>
      <c r="AI13396">
        <v>1</v>
      </c>
      <c r="AJ13396">
        <v>1</v>
      </c>
      <c r="AK13396">
        <v>1</v>
      </c>
      <c r="AL13396">
        <v>1</v>
      </c>
      <c r="AM13396">
        <v>1</v>
      </c>
    </row>
    <row r="13397" spans="1:39" x14ac:dyDescent="0.2">
      <c r="A13397" t="str">
        <f>"13393"</f>
        <v>13393</v>
      </c>
      <c r="B13397" t="str">
        <f t="shared" si="744"/>
        <v>1</v>
      </c>
      <c r="C13397" t="str">
        <f t="shared" si="745"/>
        <v>268</v>
      </c>
      <c r="D13397" t="str">
        <f>"3"</f>
        <v>3</v>
      </c>
      <c r="E13397" t="str">
        <f>"1-268-3"</f>
        <v>1-268-3</v>
      </c>
      <c r="F13397" t="s">
        <v>65</v>
      </c>
      <c r="G13397" t="s">
        <v>66</v>
      </c>
      <c r="H13397" t="s">
        <v>67</v>
      </c>
      <c r="S13397">
        <v>1</v>
      </c>
      <c r="T13397">
        <v>0</v>
      </c>
      <c r="U13397">
        <v>0</v>
      </c>
      <c r="V13397">
        <v>0</v>
      </c>
      <c r="W13397">
        <v>1</v>
      </c>
      <c r="X13397">
        <v>0</v>
      </c>
      <c r="Y13397">
        <v>0</v>
      </c>
      <c r="Z13397">
        <v>1</v>
      </c>
      <c r="AA13397">
        <v>1</v>
      </c>
      <c r="AB13397">
        <v>0</v>
      </c>
      <c r="AC13397">
        <v>0</v>
      </c>
      <c r="AD13397">
        <v>1</v>
      </c>
      <c r="AE13397">
        <v>1</v>
      </c>
      <c r="AF13397">
        <v>1</v>
      </c>
      <c r="AG13397">
        <v>1</v>
      </c>
      <c r="AH13397">
        <v>1</v>
      </c>
      <c r="AI13397">
        <v>1</v>
      </c>
      <c r="AJ13397">
        <v>1</v>
      </c>
      <c r="AK13397">
        <v>1</v>
      </c>
      <c r="AL13397">
        <v>1</v>
      </c>
      <c r="AM13397">
        <v>1</v>
      </c>
    </row>
    <row r="13398" spans="1:39" x14ac:dyDescent="0.2">
      <c r="A13398" t="str">
        <f>"13394"</f>
        <v>13394</v>
      </c>
      <c r="B13398" t="str">
        <f t="shared" si="744"/>
        <v>1</v>
      </c>
      <c r="C13398" t="str">
        <f t="shared" si="745"/>
        <v>268</v>
      </c>
      <c r="D13398" t="str">
        <f>"43"</f>
        <v>43</v>
      </c>
      <c r="E13398" t="str">
        <f>"1-268-43"</f>
        <v>1-268-43</v>
      </c>
      <c r="F13398" t="s">
        <v>65</v>
      </c>
      <c r="G13398" t="s">
        <v>66</v>
      </c>
      <c r="H13398" t="s">
        <v>67</v>
      </c>
      <c r="S13398">
        <v>1</v>
      </c>
      <c r="T13398">
        <v>0</v>
      </c>
      <c r="U13398">
        <v>0</v>
      </c>
      <c r="V13398">
        <v>0</v>
      </c>
      <c r="W13398">
        <v>1</v>
      </c>
      <c r="X13398">
        <v>0</v>
      </c>
      <c r="Y13398">
        <v>1</v>
      </c>
      <c r="Z13398">
        <v>0</v>
      </c>
      <c r="AA13398">
        <v>1</v>
      </c>
      <c r="AB13398">
        <v>0</v>
      </c>
      <c r="AC13398">
        <v>0</v>
      </c>
      <c r="AD13398">
        <v>1</v>
      </c>
      <c r="AE13398">
        <v>1</v>
      </c>
      <c r="AF13398">
        <v>1</v>
      </c>
      <c r="AG13398">
        <v>1</v>
      </c>
      <c r="AH13398">
        <v>1</v>
      </c>
      <c r="AI13398">
        <v>1</v>
      </c>
      <c r="AJ13398">
        <v>1</v>
      </c>
      <c r="AK13398">
        <v>1</v>
      </c>
      <c r="AL13398">
        <v>1</v>
      </c>
      <c r="AM13398">
        <v>1</v>
      </c>
    </row>
    <row r="13399" spans="1:39" x14ac:dyDescent="0.2">
      <c r="A13399" t="str">
        <f>"13395"</f>
        <v>13395</v>
      </c>
      <c r="B13399" t="str">
        <f t="shared" si="744"/>
        <v>1</v>
      </c>
      <c r="C13399" t="str">
        <f t="shared" si="745"/>
        <v>268</v>
      </c>
      <c r="D13399" t="str">
        <f>"31"</f>
        <v>31</v>
      </c>
      <c r="E13399" t="str">
        <f>"1-268-31"</f>
        <v>1-268-31</v>
      </c>
      <c r="F13399" t="s">
        <v>65</v>
      </c>
      <c r="G13399" t="s">
        <v>66</v>
      </c>
      <c r="H13399" t="s">
        <v>67</v>
      </c>
      <c r="S13399">
        <v>0</v>
      </c>
      <c r="T13399">
        <v>1</v>
      </c>
      <c r="U13399">
        <v>0</v>
      </c>
      <c r="V13399">
        <v>0</v>
      </c>
      <c r="W13399">
        <v>1</v>
      </c>
      <c r="X13399">
        <v>0</v>
      </c>
      <c r="Y13399">
        <v>1</v>
      </c>
      <c r="Z13399">
        <v>0</v>
      </c>
      <c r="AA13399">
        <v>1</v>
      </c>
      <c r="AB13399">
        <v>0</v>
      </c>
      <c r="AC13399">
        <v>0</v>
      </c>
      <c r="AD13399">
        <v>1</v>
      </c>
      <c r="AE13399">
        <v>1</v>
      </c>
      <c r="AF13399">
        <v>1</v>
      </c>
      <c r="AG13399">
        <v>1</v>
      </c>
      <c r="AH13399">
        <v>1</v>
      </c>
      <c r="AI13399">
        <v>1</v>
      </c>
      <c r="AJ13399">
        <v>1</v>
      </c>
      <c r="AK13399">
        <v>1</v>
      </c>
      <c r="AL13399">
        <v>1</v>
      </c>
      <c r="AM13399">
        <v>1</v>
      </c>
    </row>
    <row r="13400" spans="1:39" x14ac:dyDescent="0.2">
      <c r="A13400" t="str">
        <f>"13396"</f>
        <v>13396</v>
      </c>
      <c r="B13400" t="str">
        <f t="shared" si="744"/>
        <v>1</v>
      </c>
      <c r="C13400" t="str">
        <f t="shared" si="745"/>
        <v>268</v>
      </c>
      <c r="D13400" t="str">
        <f>"1"</f>
        <v>1</v>
      </c>
      <c r="E13400" t="str">
        <f>"1-268-1"</f>
        <v>1-268-1</v>
      </c>
      <c r="F13400" t="s">
        <v>65</v>
      </c>
      <c r="G13400" t="s">
        <v>66</v>
      </c>
      <c r="H13400" t="s">
        <v>67</v>
      </c>
      <c r="S13400">
        <v>0</v>
      </c>
      <c r="T13400">
        <v>1</v>
      </c>
      <c r="U13400">
        <v>0</v>
      </c>
      <c r="V13400">
        <v>0</v>
      </c>
      <c r="W13400">
        <v>1</v>
      </c>
      <c r="X13400">
        <v>0</v>
      </c>
      <c r="Y13400">
        <v>0</v>
      </c>
      <c r="Z13400">
        <v>1</v>
      </c>
      <c r="AA13400">
        <v>0</v>
      </c>
      <c r="AB13400">
        <v>0</v>
      </c>
      <c r="AC13400">
        <v>1</v>
      </c>
      <c r="AD13400">
        <v>1</v>
      </c>
      <c r="AE13400">
        <v>1</v>
      </c>
      <c r="AF13400">
        <v>1</v>
      </c>
      <c r="AG13400">
        <v>1</v>
      </c>
      <c r="AH13400">
        <v>1</v>
      </c>
      <c r="AI13400">
        <v>1</v>
      </c>
      <c r="AJ13400">
        <v>1</v>
      </c>
      <c r="AK13400">
        <v>1</v>
      </c>
      <c r="AL13400">
        <v>1</v>
      </c>
      <c r="AM13400">
        <v>1</v>
      </c>
    </row>
    <row r="13401" spans="1:39" x14ac:dyDescent="0.2">
      <c r="A13401" t="str">
        <f>"13397"</f>
        <v>13397</v>
      </c>
      <c r="B13401" t="str">
        <f t="shared" si="744"/>
        <v>1</v>
      </c>
      <c r="C13401" t="str">
        <f t="shared" si="745"/>
        <v>268</v>
      </c>
      <c r="D13401" t="str">
        <f>"48"</f>
        <v>48</v>
      </c>
      <c r="E13401" t="str">
        <f>"1-268-48"</f>
        <v>1-268-48</v>
      </c>
      <c r="F13401" t="s">
        <v>65</v>
      </c>
      <c r="G13401" t="s">
        <v>66</v>
      </c>
      <c r="H13401" t="s">
        <v>67</v>
      </c>
      <c r="S13401">
        <v>1</v>
      </c>
      <c r="T13401">
        <v>0</v>
      </c>
      <c r="U13401">
        <v>0</v>
      </c>
      <c r="V13401">
        <v>0</v>
      </c>
      <c r="W13401">
        <v>1</v>
      </c>
      <c r="X13401">
        <v>0</v>
      </c>
      <c r="Y13401">
        <v>1</v>
      </c>
      <c r="Z13401">
        <v>0</v>
      </c>
      <c r="AA13401">
        <v>1</v>
      </c>
      <c r="AB13401">
        <v>0</v>
      </c>
      <c r="AC13401">
        <v>0</v>
      </c>
      <c r="AD13401">
        <v>1</v>
      </c>
      <c r="AE13401">
        <v>1</v>
      </c>
      <c r="AF13401">
        <v>1</v>
      </c>
      <c r="AG13401">
        <v>1</v>
      </c>
      <c r="AH13401">
        <v>1</v>
      </c>
      <c r="AI13401">
        <v>1</v>
      </c>
      <c r="AJ13401">
        <v>1</v>
      </c>
      <c r="AK13401">
        <v>1</v>
      </c>
      <c r="AL13401">
        <v>1</v>
      </c>
      <c r="AM13401">
        <v>1</v>
      </c>
    </row>
    <row r="13402" spans="1:39" x14ac:dyDescent="0.2">
      <c r="A13402" t="str">
        <f>"13398"</f>
        <v>13398</v>
      </c>
      <c r="B13402" t="str">
        <f t="shared" si="744"/>
        <v>1</v>
      </c>
      <c r="C13402" t="str">
        <f t="shared" si="745"/>
        <v>268</v>
      </c>
      <c r="D13402" t="str">
        <f>"32"</f>
        <v>32</v>
      </c>
      <c r="E13402" t="str">
        <f>"1-268-32"</f>
        <v>1-268-32</v>
      </c>
      <c r="F13402" t="s">
        <v>65</v>
      </c>
      <c r="G13402" t="s">
        <v>66</v>
      </c>
      <c r="H13402" t="s">
        <v>67</v>
      </c>
      <c r="S13402">
        <v>0</v>
      </c>
      <c r="T13402">
        <v>0</v>
      </c>
      <c r="U13402">
        <v>0</v>
      </c>
      <c r="V13402">
        <v>0</v>
      </c>
      <c r="W13402">
        <v>0</v>
      </c>
      <c r="X13402">
        <v>1</v>
      </c>
      <c r="Y13402">
        <v>0</v>
      </c>
      <c r="Z13402">
        <v>0</v>
      </c>
      <c r="AA13402">
        <v>0</v>
      </c>
      <c r="AB13402">
        <v>0</v>
      </c>
      <c r="AC13402">
        <v>1</v>
      </c>
      <c r="AD13402">
        <v>0</v>
      </c>
      <c r="AE13402">
        <v>0</v>
      </c>
      <c r="AF13402">
        <v>0</v>
      </c>
      <c r="AG13402">
        <v>1</v>
      </c>
      <c r="AH13402">
        <v>1</v>
      </c>
      <c r="AI13402">
        <v>1</v>
      </c>
      <c r="AJ13402">
        <v>1</v>
      </c>
      <c r="AK13402">
        <v>1</v>
      </c>
      <c r="AL13402">
        <v>1</v>
      </c>
      <c r="AM13402">
        <v>1</v>
      </c>
    </row>
    <row r="13403" spans="1:39" x14ac:dyDescent="0.2">
      <c r="A13403" t="str">
        <f>"13399"</f>
        <v>13399</v>
      </c>
      <c r="B13403" t="str">
        <f t="shared" si="744"/>
        <v>1</v>
      </c>
      <c r="C13403" t="str">
        <f t="shared" si="745"/>
        <v>268</v>
      </c>
      <c r="D13403" t="str">
        <f>"5"</f>
        <v>5</v>
      </c>
      <c r="E13403" t="str">
        <f>"1-268-5"</f>
        <v>1-268-5</v>
      </c>
      <c r="F13403" t="s">
        <v>65</v>
      </c>
      <c r="G13403" t="s">
        <v>66</v>
      </c>
      <c r="H13403" t="s">
        <v>67</v>
      </c>
      <c r="S13403">
        <v>1</v>
      </c>
      <c r="T13403">
        <v>0</v>
      </c>
      <c r="U13403">
        <v>0</v>
      </c>
      <c r="V13403">
        <v>0</v>
      </c>
      <c r="W13403">
        <v>1</v>
      </c>
      <c r="X13403">
        <v>0</v>
      </c>
      <c r="Y13403">
        <v>1</v>
      </c>
      <c r="Z13403">
        <v>0</v>
      </c>
      <c r="AA13403">
        <v>1</v>
      </c>
      <c r="AB13403">
        <v>0</v>
      </c>
      <c r="AC13403">
        <v>0</v>
      </c>
      <c r="AD13403">
        <v>0</v>
      </c>
      <c r="AE13403">
        <v>0</v>
      </c>
      <c r="AF13403">
        <v>0</v>
      </c>
      <c r="AG13403">
        <v>0</v>
      </c>
      <c r="AH13403">
        <v>0</v>
      </c>
      <c r="AI13403">
        <v>0</v>
      </c>
      <c r="AJ13403">
        <v>0</v>
      </c>
      <c r="AK13403">
        <v>0</v>
      </c>
      <c r="AL13403">
        <v>0</v>
      </c>
      <c r="AM13403">
        <v>0</v>
      </c>
    </row>
    <row r="13404" spans="1:39" x14ac:dyDescent="0.2">
      <c r="A13404" t="str">
        <f>"13400"</f>
        <v>13400</v>
      </c>
      <c r="B13404" t="str">
        <f t="shared" si="744"/>
        <v>1</v>
      </c>
      <c r="C13404" t="str">
        <f t="shared" si="745"/>
        <v>268</v>
      </c>
      <c r="D13404" t="str">
        <f>"18"</f>
        <v>18</v>
      </c>
      <c r="E13404" t="str">
        <f>"1-268-18"</f>
        <v>1-268-18</v>
      </c>
      <c r="F13404" t="s">
        <v>65</v>
      </c>
      <c r="G13404" t="s">
        <v>66</v>
      </c>
      <c r="H13404" t="s">
        <v>67</v>
      </c>
      <c r="S13404">
        <v>1</v>
      </c>
      <c r="T13404">
        <v>0</v>
      </c>
      <c r="U13404">
        <v>0</v>
      </c>
      <c r="V13404">
        <v>0</v>
      </c>
      <c r="W13404">
        <v>1</v>
      </c>
      <c r="X13404">
        <v>0</v>
      </c>
      <c r="Y13404">
        <v>0</v>
      </c>
      <c r="Z13404">
        <v>1</v>
      </c>
      <c r="AA13404">
        <v>0</v>
      </c>
      <c r="AB13404">
        <v>0</v>
      </c>
      <c r="AC13404">
        <v>1</v>
      </c>
      <c r="AD13404">
        <v>0</v>
      </c>
      <c r="AE13404">
        <v>1</v>
      </c>
      <c r="AF13404">
        <v>1</v>
      </c>
      <c r="AG13404">
        <v>1</v>
      </c>
      <c r="AH13404">
        <v>1</v>
      </c>
      <c r="AI13404">
        <v>0</v>
      </c>
      <c r="AJ13404">
        <v>1</v>
      </c>
      <c r="AK13404">
        <v>1</v>
      </c>
      <c r="AL13404">
        <v>1</v>
      </c>
      <c r="AM13404">
        <v>1</v>
      </c>
    </row>
    <row r="13405" spans="1:39" x14ac:dyDescent="0.2">
      <c r="A13405" t="str">
        <f>"13401"</f>
        <v>13401</v>
      </c>
      <c r="B13405" t="str">
        <f t="shared" si="744"/>
        <v>1</v>
      </c>
      <c r="C13405" t="str">
        <f t="shared" ref="C13405:C13436" si="746">"269"</f>
        <v>269</v>
      </c>
      <c r="D13405" t="str">
        <f>"36"</f>
        <v>36</v>
      </c>
      <c r="E13405" t="str">
        <f>"1-269-36"</f>
        <v>1-269-36</v>
      </c>
      <c r="F13405" t="s">
        <v>65</v>
      </c>
      <c r="G13405" t="s">
        <v>66</v>
      </c>
      <c r="H13405" t="s">
        <v>67</v>
      </c>
      <c r="S13405">
        <v>1</v>
      </c>
      <c r="T13405">
        <v>0</v>
      </c>
      <c r="U13405">
        <v>0</v>
      </c>
      <c r="V13405">
        <v>0</v>
      </c>
      <c r="W13405">
        <v>1</v>
      </c>
      <c r="X13405">
        <v>0</v>
      </c>
      <c r="Y13405">
        <v>1</v>
      </c>
      <c r="Z13405">
        <v>0</v>
      </c>
      <c r="AA13405">
        <v>0</v>
      </c>
      <c r="AB13405">
        <v>1</v>
      </c>
      <c r="AC13405">
        <v>0</v>
      </c>
      <c r="AD13405">
        <v>1</v>
      </c>
      <c r="AE13405">
        <v>1</v>
      </c>
      <c r="AF13405">
        <v>1</v>
      </c>
      <c r="AG13405">
        <v>1</v>
      </c>
      <c r="AH13405">
        <v>1</v>
      </c>
      <c r="AI13405">
        <v>1</v>
      </c>
      <c r="AJ13405">
        <v>1</v>
      </c>
      <c r="AK13405">
        <v>1</v>
      </c>
      <c r="AL13405">
        <v>1</v>
      </c>
      <c r="AM13405">
        <v>1</v>
      </c>
    </row>
    <row r="13406" spans="1:39" x14ac:dyDescent="0.2">
      <c r="A13406" t="str">
        <f>"13402"</f>
        <v>13402</v>
      </c>
      <c r="B13406" t="str">
        <f t="shared" si="744"/>
        <v>1</v>
      </c>
      <c r="C13406" t="str">
        <f t="shared" si="746"/>
        <v>269</v>
      </c>
      <c r="D13406" t="str">
        <f>"35"</f>
        <v>35</v>
      </c>
      <c r="E13406" t="str">
        <f>"1-269-35"</f>
        <v>1-269-35</v>
      </c>
      <c r="F13406" t="s">
        <v>65</v>
      </c>
      <c r="G13406" t="s">
        <v>66</v>
      </c>
      <c r="H13406" t="s">
        <v>67</v>
      </c>
      <c r="S13406">
        <v>0</v>
      </c>
      <c r="T13406">
        <v>1</v>
      </c>
      <c r="U13406">
        <v>0</v>
      </c>
      <c r="V13406">
        <v>0</v>
      </c>
      <c r="W13406">
        <v>1</v>
      </c>
      <c r="X13406">
        <v>0</v>
      </c>
      <c r="Y13406">
        <v>1</v>
      </c>
      <c r="Z13406">
        <v>0</v>
      </c>
      <c r="AA13406">
        <v>0</v>
      </c>
      <c r="AB13406">
        <v>0</v>
      </c>
      <c r="AC13406">
        <v>1</v>
      </c>
      <c r="AD13406">
        <v>0</v>
      </c>
      <c r="AE13406">
        <v>0</v>
      </c>
      <c r="AF13406">
        <v>0</v>
      </c>
      <c r="AG13406">
        <v>0</v>
      </c>
      <c r="AH13406">
        <v>0</v>
      </c>
      <c r="AI13406">
        <v>0</v>
      </c>
      <c r="AJ13406">
        <v>0</v>
      </c>
      <c r="AK13406">
        <v>0</v>
      </c>
      <c r="AL13406">
        <v>0</v>
      </c>
      <c r="AM13406">
        <v>0</v>
      </c>
    </row>
    <row r="13407" spans="1:39" x14ac:dyDescent="0.2">
      <c r="A13407" t="str">
        <f>"13403"</f>
        <v>13403</v>
      </c>
      <c r="B13407" t="str">
        <f t="shared" si="744"/>
        <v>1</v>
      </c>
      <c r="C13407" t="str">
        <f t="shared" si="746"/>
        <v>269</v>
      </c>
      <c r="D13407" t="str">
        <f>"26"</f>
        <v>26</v>
      </c>
      <c r="E13407" t="str">
        <f>"1-269-26"</f>
        <v>1-269-26</v>
      </c>
      <c r="F13407" t="s">
        <v>65</v>
      </c>
      <c r="G13407" t="s">
        <v>66</v>
      </c>
      <c r="H13407" t="s">
        <v>67</v>
      </c>
      <c r="S13407">
        <v>0</v>
      </c>
      <c r="T13407">
        <v>1</v>
      </c>
      <c r="U13407">
        <v>0</v>
      </c>
      <c r="V13407">
        <v>0</v>
      </c>
      <c r="W13407">
        <v>1</v>
      </c>
      <c r="X13407">
        <v>0</v>
      </c>
      <c r="Y13407">
        <v>0</v>
      </c>
      <c r="Z13407">
        <v>1</v>
      </c>
      <c r="AA13407">
        <v>1</v>
      </c>
      <c r="AB13407">
        <v>0</v>
      </c>
      <c r="AC13407">
        <v>0</v>
      </c>
      <c r="AD13407">
        <v>1</v>
      </c>
      <c r="AE13407">
        <v>1</v>
      </c>
      <c r="AF13407">
        <v>1</v>
      </c>
      <c r="AG13407">
        <v>1</v>
      </c>
      <c r="AH13407">
        <v>1</v>
      </c>
      <c r="AI13407">
        <v>1</v>
      </c>
      <c r="AJ13407">
        <v>1</v>
      </c>
      <c r="AK13407">
        <v>1</v>
      </c>
      <c r="AL13407">
        <v>1</v>
      </c>
      <c r="AM13407">
        <v>1</v>
      </c>
    </row>
    <row r="13408" spans="1:39" x14ac:dyDescent="0.2">
      <c r="A13408" t="str">
        <f>"13404"</f>
        <v>13404</v>
      </c>
      <c r="B13408" t="str">
        <f t="shared" si="744"/>
        <v>1</v>
      </c>
      <c r="C13408" t="str">
        <f t="shared" si="746"/>
        <v>269</v>
      </c>
      <c r="D13408" t="str">
        <f>"25"</f>
        <v>25</v>
      </c>
      <c r="E13408" t="str">
        <f>"1-269-25"</f>
        <v>1-269-25</v>
      </c>
      <c r="F13408" t="s">
        <v>65</v>
      </c>
      <c r="G13408" t="s">
        <v>66</v>
      </c>
      <c r="H13408" t="s">
        <v>67</v>
      </c>
      <c r="S13408">
        <v>1</v>
      </c>
      <c r="T13408">
        <v>0</v>
      </c>
      <c r="U13408">
        <v>0</v>
      </c>
      <c r="V13408">
        <v>0</v>
      </c>
      <c r="W13408">
        <v>1</v>
      </c>
      <c r="X13408">
        <v>0</v>
      </c>
      <c r="Y13408">
        <v>1</v>
      </c>
      <c r="Z13408">
        <v>0</v>
      </c>
      <c r="AA13408">
        <v>1</v>
      </c>
      <c r="AB13408">
        <v>0</v>
      </c>
      <c r="AC13408">
        <v>0</v>
      </c>
      <c r="AD13408">
        <v>1</v>
      </c>
      <c r="AE13408">
        <v>1</v>
      </c>
      <c r="AF13408">
        <v>1</v>
      </c>
      <c r="AG13408">
        <v>1</v>
      </c>
      <c r="AH13408">
        <v>1</v>
      </c>
      <c r="AI13408">
        <v>1</v>
      </c>
      <c r="AJ13408">
        <v>1</v>
      </c>
      <c r="AK13408">
        <v>1</v>
      </c>
      <c r="AL13408">
        <v>1</v>
      </c>
      <c r="AM13408">
        <v>1</v>
      </c>
    </row>
    <row r="13409" spans="1:39" x14ac:dyDescent="0.2">
      <c r="A13409" t="str">
        <f>"13405"</f>
        <v>13405</v>
      </c>
      <c r="B13409" t="str">
        <f t="shared" si="744"/>
        <v>1</v>
      </c>
      <c r="C13409" t="str">
        <f t="shared" si="746"/>
        <v>269</v>
      </c>
      <c r="D13409" t="str">
        <f>"17"</f>
        <v>17</v>
      </c>
      <c r="E13409" t="str">
        <f>"1-269-17"</f>
        <v>1-269-17</v>
      </c>
      <c r="F13409" t="s">
        <v>65</v>
      </c>
      <c r="G13409" t="s">
        <v>66</v>
      </c>
      <c r="H13409" t="s">
        <v>67</v>
      </c>
      <c r="S13409">
        <v>1</v>
      </c>
      <c r="T13409">
        <v>0</v>
      </c>
      <c r="U13409">
        <v>0</v>
      </c>
      <c r="V13409">
        <v>0</v>
      </c>
      <c r="W13409">
        <v>0</v>
      </c>
      <c r="X13409">
        <v>1</v>
      </c>
      <c r="Y13409">
        <v>1</v>
      </c>
      <c r="Z13409">
        <v>0</v>
      </c>
      <c r="AA13409">
        <v>0</v>
      </c>
      <c r="AB13409">
        <v>0</v>
      </c>
      <c r="AC13409">
        <v>1</v>
      </c>
      <c r="AD13409">
        <v>1</v>
      </c>
      <c r="AE13409">
        <v>1</v>
      </c>
      <c r="AF13409">
        <v>1</v>
      </c>
      <c r="AG13409">
        <v>1</v>
      </c>
      <c r="AH13409">
        <v>1</v>
      </c>
      <c r="AI13409">
        <v>1</v>
      </c>
      <c r="AJ13409">
        <v>1</v>
      </c>
      <c r="AK13409">
        <v>1</v>
      </c>
      <c r="AL13409">
        <v>1</v>
      </c>
      <c r="AM13409">
        <v>1</v>
      </c>
    </row>
    <row r="13410" spans="1:39" x14ac:dyDescent="0.2">
      <c r="A13410" t="str">
        <f>"13406"</f>
        <v>13406</v>
      </c>
      <c r="B13410" t="str">
        <f t="shared" si="744"/>
        <v>1</v>
      </c>
      <c r="C13410" t="str">
        <f t="shared" si="746"/>
        <v>269</v>
      </c>
      <c r="D13410" t="str">
        <f>"15"</f>
        <v>15</v>
      </c>
      <c r="E13410" t="str">
        <f>"1-269-15"</f>
        <v>1-269-15</v>
      </c>
      <c r="F13410" t="s">
        <v>65</v>
      </c>
      <c r="G13410" t="s">
        <v>66</v>
      </c>
      <c r="H13410" t="s">
        <v>67</v>
      </c>
      <c r="S13410">
        <v>0</v>
      </c>
      <c r="T13410">
        <v>1</v>
      </c>
      <c r="U13410">
        <v>0</v>
      </c>
      <c r="V13410">
        <v>0</v>
      </c>
      <c r="W13410">
        <v>1</v>
      </c>
      <c r="X13410">
        <v>0</v>
      </c>
      <c r="Y13410">
        <v>1</v>
      </c>
      <c r="Z13410">
        <v>0</v>
      </c>
      <c r="AA13410">
        <v>1</v>
      </c>
      <c r="AB13410">
        <v>0</v>
      </c>
      <c r="AC13410">
        <v>0</v>
      </c>
      <c r="AD13410">
        <v>1</v>
      </c>
      <c r="AE13410">
        <v>1</v>
      </c>
      <c r="AF13410">
        <v>1</v>
      </c>
      <c r="AG13410">
        <v>1</v>
      </c>
      <c r="AH13410">
        <v>1</v>
      </c>
      <c r="AI13410">
        <v>1</v>
      </c>
      <c r="AJ13410">
        <v>1</v>
      </c>
      <c r="AK13410">
        <v>1</v>
      </c>
      <c r="AL13410">
        <v>1</v>
      </c>
      <c r="AM13410">
        <v>1</v>
      </c>
    </row>
    <row r="13411" spans="1:39" x14ac:dyDescent="0.2">
      <c r="A13411" t="str">
        <f>"13407"</f>
        <v>13407</v>
      </c>
      <c r="B13411" t="str">
        <f t="shared" si="744"/>
        <v>1</v>
      </c>
      <c r="C13411" t="str">
        <f t="shared" si="746"/>
        <v>269</v>
      </c>
      <c r="D13411" t="str">
        <f>"48"</f>
        <v>48</v>
      </c>
      <c r="E13411" t="str">
        <f>"1-269-48"</f>
        <v>1-269-48</v>
      </c>
      <c r="F13411" t="s">
        <v>65</v>
      </c>
      <c r="G13411" t="s">
        <v>66</v>
      </c>
      <c r="H13411" t="s">
        <v>67</v>
      </c>
      <c r="S13411">
        <v>0</v>
      </c>
      <c r="T13411">
        <v>1</v>
      </c>
      <c r="U13411">
        <v>0</v>
      </c>
      <c r="V13411">
        <v>0</v>
      </c>
      <c r="W13411">
        <v>0</v>
      </c>
      <c r="X13411">
        <v>1</v>
      </c>
      <c r="Y13411">
        <v>0</v>
      </c>
      <c r="Z13411">
        <v>1</v>
      </c>
      <c r="AA13411">
        <v>0</v>
      </c>
      <c r="AB13411">
        <v>0</v>
      </c>
      <c r="AC13411">
        <v>1</v>
      </c>
      <c r="AD13411">
        <v>1</v>
      </c>
      <c r="AE13411">
        <v>1</v>
      </c>
      <c r="AF13411">
        <v>1</v>
      </c>
      <c r="AG13411">
        <v>1</v>
      </c>
      <c r="AH13411">
        <v>1</v>
      </c>
      <c r="AI13411">
        <v>1</v>
      </c>
      <c r="AJ13411">
        <v>1</v>
      </c>
      <c r="AK13411">
        <v>1</v>
      </c>
      <c r="AL13411">
        <v>1</v>
      </c>
      <c r="AM13411">
        <v>1</v>
      </c>
    </row>
    <row r="13412" spans="1:39" x14ac:dyDescent="0.2">
      <c r="A13412" t="str">
        <f>"13408"</f>
        <v>13408</v>
      </c>
      <c r="B13412" t="str">
        <f t="shared" si="744"/>
        <v>1</v>
      </c>
      <c r="C13412" t="str">
        <f t="shared" si="746"/>
        <v>269</v>
      </c>
      <c r="D13412" t="str">
        <f>"47"</f>
        <v>47</v>
      </c>
      <c r="E13412" t="str">
        <f>"1-269-47"</f>
        <v>1-269-47</v>
      </c>
      <c r="F13412" t="s">
        <v>65</v>
      </c>
      <c r="G13412" t="s">
        <v>66</v>
      </c>
      <c r="H13412" t="s">
        <v>67</v>
      </c>
      <c r="S13412">
        <v>0</v>
      </c>
      <c r="T13412">
        <v>1</v>
      </c>
      <c r="U13412">
        <v>0</v>
      </c>
      <c r="V13412">
        <v>0</v>
      </c>
      <c r="W13412">
        <v>1</v>
      </c>
      <c r="X13412">
        <v>0</v>
      </c>
      <c r="Y13412">
        <v>1</v>
      </c>
      <c r="Z13412">
        <v>0</v>
      </c>
      <c r="AA13412">
        <v>1</v>
      </c>
      <c r="AB13412">
        <v>0</v>
      </c>
      <c r="AC13412">
        <v>0</v>
      </c>
      <c r="AD13412">
        <v>1</v>
      </c>
      <c r="AE13412">
        <v>1</v>
      </c>
      <c r="AF13412">
        <v>1</v>
      </c>
      <c r="AG13412">
        <v>1</v>
      </c>
      <c r="AH13412">
        <v>1</v>
      </c>
      <c r="AI13412">
        <v>1</v>
      </c>
      <c r="AJ13412">
        <v>1</v>
      </c>
      <c r="AK13412">
        <v>1</v>
      </c>
      <c r="AL13412">
        <v>1</v>
      </c>
      <c r="AM13412">
        <v>1</v>
      </c>
    </row>
    <row r="13413" spans="1:39" x14ac:dyDescent="0.2">
      <c r="A13413" t="str">
        <f>"13409"</f>
        <v>13409</v>
      </c>
      <c r="B13413" t="str">
        <f t="shared" si="744"/>
        <v>1</v>
      </c>
      <c r="C13413" t="str">
        <f t="shared" si="746"/>
        <v>269</v>
      </c>
      <c r="D13413" t="str">
        <f>"33"</f>
        <v>33</v>
      </c>
      <c r="E13413" t="str">
        <f>"1-269-33"</f>
        <v>1-269-33</v>
      </c>
      <c r="F13413" t="s">
        <v>65</v>
      </c>
      <c r="G13413" t="s">
        <v>66</v>
      </c>
      <c r="H13413" t="s">
        <v>67</v>
      </c>
      <c r="S13413">
        <v>1</v>
      </c>
      <c r="T13413">
        <v>0</v>
      </c>
      <c r="U13413">
        <v>0</v>
      </c>
      <c r="V13413">
        <v>0</v>
      </c>
      <c r="W13413">
        <v>1</v>
      </c>
      <c r="X13413">
        <v>0</v>
      </c>
      <c r="Y13413">
        <v>1</v>
      </c>
      <c r="Z13413">
        <v>0</v>
      </c>
      <c r="AA13413">
        <v>0</v>
      </c>
      <c r="AB13413">
        <v>0</v>
      </c>
      <c r="AC13413">
        <v>1</v>
      </c>
      <c r="AD13413">
        <v>1</v>
      </c>
      <c r="AE13413">
        <v>1</v>
      </c>
      <c r="AF13413">
        <v>1</v>
      </c>
      <c r="AG13413">
        <v>1</v>
      </c>
      <c r="AH13413">
        <v>1</v>
      </c>
      <c r="AI13413">
        <v>1</v>
      </c>
      <c r="AJ13413">
        <v>1</v>
      </c>
      <c r="AK13413">
        <v>1</v>
      </c>
      <c r="AL13413">
        <v>1</v>
      </c>
      <c r="AM13413">
        <v>1</v>
      </c>
    </row>
    <row r="13414" spans="1:39" x14ac:dyDescent="0.2">
      <c r="A13414" t="str">
        <f>"13410"</f>
        <v>13410</v>
      </c>
      <c r="B13414" t="str">
        <f t="shared" si="744"/>
        <v>1</v>
      </c>
      <c r="C13414" t="str">
        <f t="shared" si="746"/>
        <v>269</v>
      </c>
      <c r="D13414" t="str">
        <f>"32"</f>
        <v>32</v>
      </c>
      <c r="E13414" t="str">
        <f>"1-269-32"</f>
        <v>1-269-32</v>
      </c>
      <c r="F13414" t="s">
        <v>65</v>
      </c>
      <c r="G13414" t="s">
        <v>66</v>
      </c>
      <c r="H13414" t="s">
        <v>67</v>
      </c>
      <c r="S13414">
        <v>1</v>
      </c>
      <c r="T13414">
        <v>0</v>
      </c>
      <c r="U13414">
        <v>0</v>
      </c>
      <c r="V13414">
        <v>0</v>
      </c>
      <c r="W13414">
        <v>1</v>
      </c>
      <c r="X13414">
        <v>0</v>
      </c>
      <c r="Y13414">
        <v>1</v>
      </c>
      <c r="Z13414">
        <v>0</v>
      </c>
      <c r="AA13414">
        <v>1</v>
      </c>
      <c r="AB13414">
        <v>0</v>
      </c>
      <c r="AC13414">
        <v>0</v>
      </c>
      <c r="AD13414">
        <v>1</v>
      </c>
      <c r="AE13414">
        <v>1</v>
      </c>
      <c r="AF13414">
        <v>1</v>
      </c>
      <c r="AG13414">
        <v>1</v>
      </c>
      <c r="AH13414">
        <v>1</v>
      </c>
      <c r="AI13414">
        <v>1</v>
      </c>
      <c r="AJ13414">
        <v>1</v>
      </c>
      <c r="AK13414">
        <v>1</v>
      </c>
      <c r="AL13414">
        <v>1</v>
      </c>
      <c r="AM13414">
        <v>1</v>
      </c>
    </row>
    <row r="13415" spans="1:39" x14ac:dyDescent="0.2">
      <c r="A13415" t="str">
        <f>"13411"</f>
        <v>13411</v>
      </c>
      <c r="B13415" t="str">
        <f t="shared" si="744"/>
        <v>1</v>
      </c>
      <c r="C13415" t="str">
        <f t="shared" si="746"/>
        <v>269</v>
      </c>
      <c r="D13415" t="str">
        <f>"18"</f>
        <v>18</v>
      </c>
      <c r="E13415" t="str">
        <f>"1-269-18"</f>
        <v>1-269-18</v>
      </c>
      <c r="F13415" t="s">
        <v>65</v>
      </c>
      <c r="G13415" t="s">
        <v>66</v>
      </c>
      <c r="H13415" t="s">
        <v>67</v>
      </c>
      <c r="S13415">
        <v>0</v>
      </c>
      <c r="T13415">
        <v>1</v>
      </c>
      <c r="U13415">
        <v>0</v>
      </c>
      <c r="V13415">
        <v>0</v>
      </c>
      <c r="W13415">
        <v>1</v>
      </c>
      <c r="X13415">
        <v>0</v>
      </c>
      <c r="Y13415">
        <v>1</v>
      </c>
      <c r="Z13415">
        <v>0</v>
      </c>
      <c r="AA13415">
        <v>0</v>
      </c>
      <c r="AB13415">
        <v>0</v>
      </c>
      <c r="AC13415">
        <v>1</v>
      </c>
      <c r="AD13415">
        <v>1</v>
      </c>
      <c r="AE13415">
        <v>1</v>
      </c>
      <c r="AF13415">
        <v>1</v>
      </c>
      <c r="AG13415">
        <v>1</v>
      </c>
      <c r="AH13415">
        <v>1</v>
      </c>
      <c r="AI13415">
        <v>1</v>
      </c>
      <c r="AJ13415">
        <v>1</v>
      </c>
      <c r="AK13415">
        <v>1</v>
      </c>
      <c r="AL13415">
        <v>1</v>
      </c>
      <c r="AM13415">
        <v>1</v>
      </c>
    </row>
    <row r="13416" spans="1:39" x14ac:dyDescent="0.2">
      <c r="A13416" t="str">
        <f>"13412"</f>
        <v>13412</v>
      </c>
      <c r="B13416" t="str">
        <f t="shared" si="744"/>
        <v>1</v>
      </c>
      <c r="C13416" t="str">
        <f t="shared" si="746"/>
        <v>269</v>
      </c>
      <c r="D13416" t="str">
        <f>"37"</f>
        <v>37</v>
      </c>
      <c r="E13416" t="str">
        <f>"1-269-37"</f>
        <v>1-269-37</v>
      </c>
      <c r="F13416" t="s">
        <v>65</v>
      </c>
      <c r="G13416" t="s">
        <v>66</v>
      </c>
      <c r="H13416" t="s">
        <v>67</v>
      </c>
      <c r="S13416">
        <v>0</v>
      </c>
      <c r="T13416">
        <v>1</v>
      </c>
      <c r="U13416">
        <v>0</v>
      </c>
      <c r="V13416">
        <v>0</v>
      </c>
      <c r="W13416">
        <v>1</v>
      </c>
      <c r="X13416">
        <v>0</v>
      </c>
      <c r="Y13416">
        <v>1</v>
      </c>
      <c r="Z13416">
        <v>0</v>
      </c>
      <c r="AA13416">
        <v>0</v>
      </c>
      <c r="AB13416">
        <v>0</v>
      </c>
      <c r="AC13416">
        <v>1</v>
      </c>
      <c r="AD13416">
        <v>0</v>
      </c>
      <c r="AE13416">
        <v>0</v>
      </c>
      <c r="AF13416">
        <v>0</v>
      </c>
      <c r="AG13416">
        <v>0</v>
      </c>
      <c r="AH13416">
        <v>0</v>
      </c>
      <c r="AI13416">
        <v>0</v>
      </c>
      <c r="AJ13416">
        <v>0</v>
      </c>
      <c r="AK13416">
        <v>0</v>
      </c>
      <c r="AL13416">
        <v>0</v>
      </c>
      <c r="AM13416">
        <v>0</v>
      </c>
    </row>
    <row r="13417" spans="1:39" x14ac:dyDescent="0.2">
      <c r="A13417" t="str">
        <f>"13413"</f>
        <v>13413</v>
      </c>
      <c r="B13417" t="str">
        <f t="shared" si="744"/>
        <v>1</v>
      </c>
      <c r="C13417" t="str">
        <f t="shared" si="746"/>
        <v>269</v>
      </c>
      <c r="D13417" t="str">
        <f>"19"</f>
        <v>19</v>
      </c>
      <c r="E13417" t="str">
        <f>"1-269-19"</f>
        <v>1-269-19</v>
      </c>
      <c r="F13417" t="s">
        <v>65</v>
      </c>
      <c r="G13417" t="s">
        <v>66</v>
      </c>
      <c r="H13417" t="s">
        <v>67</v>
      </c>
      <c r="S13417">
        <v>1</v>
      </c>
      <c r="T13417">
        <v>0</v>
      </c>
      <c r="U13417">
        <v>0</v>
      </c>
      <c r="V13417">
        <v>0</v>
      </c>
      <c r="W13417">
        <v>1</v>
      </c>
      <c r="X13417">
        <v>0</v>
      </c>
      <c r="Y13417">
        <v>1</v>
      </c>
      <c r="Z13417">
        <v>0</v>
      </c>
      <c r="AA13417">
        <v>0</v>
      </c>
      <c r="AB13417">
        <v>1</v>
      </c>
      <c r="AC13417">
        <v>0</v>
      </c>
      <c r="AD13417">
        <v>1</v>
      </c>
      <c r="AE13417">
        <v>1</v>
      </c>
      <c r="AF13417">
        <v>1</v>
      </c>
      <c r="AG13417">
        <v>1</v>
      </c>
      <c r="AH13417">
        <v>1</v>
      </c>
      <c r="AI13417">
        <v>1</v>
      </c>
      <c r="AJ13417">
        <v>1</v>
      </c>
      <c r="AK13417">
        <v>1</v>
      </c>
      <c r="AL13417">
        <v>1</v>
      </c>
      <c r="AM13417">
        <v>1</v>
      </c>
    </row>
    <row r="13418" spans="1:39" x14ac:dyDescent="0.2">
      <c r="A13418" t="str">
        <f>"13414"</f>
        <v>13414</v>
      </c>
      <c r="B13418" t="str">
        <f t="shared" si="744"/>
        <v>1</v>
      </c>
      <c r="C13418" t="str">
        <f t="shared" si="746"/>
        <v>269</v>
      </c>
      <c r="D13418" t="str">
        <f>"10"</f>
        <v>10</v>
      </c>
      <c r="E13418" t="str">
        <f>"1-269-10"</f>
        <v>1-269-10</v>
      </c>
      <c r="F13418" t="s">
        <v>65</v>
      </c>
      <c r="G13418" t="s">
        <v>66</v>
      </c>
      <c r="H13418" t="s">
        <v>67</v>
      </c>
      <c r="S13418">
        <v>0</v>
      </c>
      <c r="T13418">
        <v>0</v>
      </c>
      <c r="U13418">
        <v>0</v>
      </c>
      <c r="V13418">
        <v>0</v>
      </c>
      <c r="W13418">
        <v>0</v>
      </c>
      <c r="X13418">
        <v>1</v>
      </c>
      <c r="Y13418">
        <v>0</v>
      </c>
      <c r="Z13418">
        <v>0</v>
      </c>
      <c r="AA13418">
        <v>0</v>
      </c>
      <c r="AB13418">
        <v>0</v>
      </c>
      <c r="AC13418">
        <v>0</v>
      </c>
      <c r="AD13418">
        <v>0</v>
      </c>
      <c r="AE13418">
        <v>0</v>
      </c>
      <c r="AF13418">
        <v>0</v>
      </c>
      <c r="AG13418">
        <v>0</v>
      </c>
      <c r="AH13418">
        <v>0</v>
      </c>
      <c r="AI13418">
        <v>0</v>
      </c>
      <c r="AJ13418">
        <v>0</v>
      </c>
      <c r="AK13418">
        <v>0</v>
      </c>
      <c r="AL13418">
        <v>0</v>
      </c>
      <c r="AM13418">
        <v>0</v>
      </c>
    </row>
    <row r="13419" spans="1:39" x14ac:dyDescent="0.2">
      <c r="A13419" t="str">
        <f>"13415"</f>
        <v>13415</v>
      </c>
      <c r="B13419" t="str">
        <f t="shared" si="744"/>
        <v>1</v>
      </c>
      <c r="C13419" t="str">
        <f t="shared" si="746"/>
        <v>269</v>
      </c>
      <c r="D13419" t="str">
        <f>"20"</f>
        <v>20</v>
      </c>
      <c r="E13419" t="str">
        <f>"1-269-20"</f>
        <v>1-269-20</v>
      </c>
      <c r="F13419" t="s">
        <v>65</v>
      </c>
      <c r="G13419" t="s">
        <v>66</v>
      </c>
      <c r="H13419" t="s">
        <v>67</v>
      </c>
      <c r="S13419">
        <v>1</v>
      </c>
      <c r="T13419">
        <v>0</v>
      </c>
      <c r="U13419">
        <v>0</v>
      </c>
      <c r="V13419">
        <v>0</v>
      </c>
      <c r="W13419">
        <v>1</v>
      </c>
      <c r="X13419">
        <v>0</v>
      </c>
      <c r="Y13419">
        <v>1</v>
      </c>
      <c r="Z13419">
        <v>0</v>
      </c>
      <c r="AA13419">
        <v>1</v>
      </c>
      <c r="AB13419">
        <v>0</v>
      </c>
      <c r="AC13419">
        <v>0</v>
      </c>
      <c r="AD13419">
        <v>1</v>
      </c>
      <c r="AE13419">
        <v>1</v>
      </c>
      <c r="AF13419">
        <v>1</v>
      </c>
      <c r="AG13419">
        <v>1</v>
      </c>
      <c r="AH13419">
        <v>1</v>
      </c>
      <c r="AI13419">
        <v>1</v>
      </c>
      <c r="AJ13419">
        <v>1</v>
      </c>
      <c r="AK13419">
        <v>1</v>
      </c>
      <c r="AL13419">
        <v>1</v>
      </c>
      <c r="AM13419">
        <v>1</v>
      </c>
    </row>
    <row r="13420" spans="1:39" x14ac:dyDescent="0.2">
      <c r="A13420" t="str">
        <f>"13416"</f>
        <v>13416</v>
      </c>
      <c r="B13420" t="str">
        <f t="shared" si="744"/>
        <v>1</v>
      </c>
      <c r="C13420" t="str">
        <f t="shared" si="746"/>
        <v>269</v>
      </c>
      <c r="D13420" t="str">
        <f>"14"</f>
        <v>14</v>
      </c>
      <c r="E13420" t="str">
        <f>"1-269-14"</f>
        <v>1-269-14</v>
      </c>
      <c r="F13420" t="s">
        <v>65</v>
      </c>
      <c r="G13420" t="s">
        <v>66</v>
      </c>
      <c r="H13420" t="s">
        <v>67</v>
      </c>
      <c r="S13420">
        <v>0</v>
      </c>
      <c r="T13420">
        <v>0</v>
      </c>
      <c r="U13420">
        <v>0</v>
      </c>
      <c r="V13420">
        <v>0</v>
      </c>
      <c r="W13420">
        <v>1</v>
      </c>
      <c r="X13420">
        <v>0</v>
      </c>
      <c r="Y13420">
        <v>0</v>
      </c>
      <c r="Z13420">
        <v>1</v>
      </c>
      <c r="AA13420">
        <v>1</v>
      </c>
      <c r="AB13420">
        <v>0</v>
      </c>
      <c r="AC13420">
        <v>0</v>
      </c>
      <c r="AD13420">
        <v>0</v>
      </c>
      <c r="AE13420">
        <v>0</v>
      </c>
      <c r="AF13420">
        <v>0</v>
      </c>
      <c r="AG13420">
        <v>0</v>
      </c>
      <c r="AH13420">
        <v>0</v>
      </c>
      <c r="AI13420">
        <v>0</v>
      </c>
      <c r="AJ13420">
        <v>0</v>
      </c>
      <c r="AK13420">
        <v>0</v>
      </c>
      <c r="AL13420">
        <v>0</v>
      </c>
      <c r="AM13420">
        <v>0</v>
      </c>
    </row>
    <row r="13421" spans="1:39" x14ac:dyDescent="0.2">
      <c r="A13421" t="str">
        <f>"13417"</f>
        <v>13417</v>
      </c>
      <c r="B13421" t="str">
        <f t="shared" si="744"/>
        <v>1</v>
      </c>
      <c r="C13421" t="str">
        <f t="shared" si="746"/>
        <v>269</v>
      </c>
      <c r="D13421" t="str">
        <f>"39"</f>
        <v>39</v>
      </c>
      <c r="E13421" t="str">
        <f>"1-269-39"</f>
        <v>1-269-39</v>
      </c>
      <c r="F13421" t="s">
        <v>65</v>
      </c>
      <c r="G13421" t="s">
        <v>66</v>
      </c>
      <c r="H13421" t="s">
        <v>67</v>
      </c>
      <c r="S13421">
        <v>1</v>
      </c>
      <c r="T13421">
        <v>0</v>
      </c>
      <c r="U13421">
        <v>0</v>
      </c>
      <c r="V13421">
        <v>0</v>
      </c>
      <c r="W13421">
        <v>1</v>
      </c>
      <c r="X13421">
        <v>0</v>
      </c>
      <c r="Y13421">
        <v>1</v>
      </c>
      <c r="Z13421">
        <v>0</v>
      </c>
      <c r="AA13421">
        <v>0</v>
      </c>
      <c r="AB13421">
        <v>1</v>
      </c>
      <c r="AC13421">
        <v>0</v>
      </c>
      <c r="AD13421">
        <v>1</v>
      </c>
      <c r="AE13421">
        <v>1</v>
      </c>
      <c r="AF13421">
        <v>1</v>
      </c>
      <c r="AG13421">
        <v>1</v>
      </c>
      <c r="AH13421">
        <v>0</v>
      </c>
      <c r="AI13421">
        <v>1</v>
      </c>
      <c r="AJ13421">
        <v>1</v>
      </c>
      <c r="AK13421">
        <v>1</v>
      </c>
      <c r="AL13421">
        <v>1</v>
      </c>
      <c r="AM13421">
        <v>1</v>
      </c>
    </row>
    <row r="13422" spans="1:39" x14ac:dyDescent="0.2">
      <c r="A13422" t="str">
        <f>"13418"</f>
        <v>13418</v>
      </c>
      <c r="B13422" t="str">
        <f t="shared" si="744"/>
        <v>1</v>
      </c>
      <c r="C13422" t="str">
        <f t="shared" si="746"/>
        <v>269</v>
      </c>
      <c r="D13422" t="str">
        <f>"21"</f>
        <v>21</v>
      </c>
      <c r="E13422" t="str">
        <f>"1-269-21"</f>
        <v>1-269-21</v>
      </c>
      <c r="F13422" t="s">
        <v>65</v>
      </c>
      <c r="G13422" t="s">
        <v>66</v>
      </c>
      <c r="H13422" t="s">
        <v>67</v>
      </c>
      <c r="S13422">
        <v>1</v>
      </c>
      <c r="T13422">
        <v>0</v>
      </c>
      <c r="U13422">
        <v>0</v>
      </c>
      <c r="V13422">
        <v>0</v>
      </c>
      <c r="W13422">
        <v>1</v>
      </c>
      <c r="X13422">
        <v>0</v>
      </c>
      <c r="Y13422">
        <v>1</v>
      </c>
      <c r="Z13422">
        <v>0</v>
      </c>
      <c r="AA13422">
        <v>1</v>
      </c>
      <c r="AB13422">
        <v>0</v>
      </c>
      <c r="AC13422">
        <v>0</v>
      </c>
      <c r="AD13422">
        <v>1</v>
      </c>
      <c r="AE13422">
        <v>1</v>
      </c>
      <c r="AF13422">
        <v>1</v>
      </c>
      <c r="AG13422">
        <v>1</v>
      </c>
      <c r="AH13422">
        <v>1</v>
      </c>
      <c r="AI13422">
        <v>1</v>
      </c>
      <c r="AJ13422">
        <v>1</v>
      </c>
      <c r="AK13422">
        <v>1</v>
      </c>
      <c r="AL13422">
        <v>1</v>
      </c>
      <c r="AM13422">
        <v>1</v>
      </c>
    </row>
    <row r="13423" spans="1:39" x14ac:dyDescent="0.2">
      <c r="A13423" t="str">
        <f>"13419"</f>
        <v>13419</v>
      </c>
      <c r="B13423" t="str">
        <f t="shared" si="744"/>
        <v>1</v>
      </c>
      <c r="C13423" t="str">
        <f t="shared" si="746"/>
        <v>269</v>
      </c>
      <c r="D13423" t="str">
        <f>"12"</f>
        <v>12</v>
      </c>
      <c r="E13423" t="str">
        <f>"1-269-12"</f>
        <v>1-269-12</v>
      </c>
      <c r="F13423" t="s">
        <v>65</v>
      </c>
      <c r="G13423" t="s">
        <v>66</v>
      </c>
      <c r="H13423" t="s">
        <v>67</v>
      </c>
      <c r="S13423">
        <v>1</v>
      </c>
      <c r="T13423">
        <v>0</v>
      </c>
      <c r="U13423">
        <v>0</v>
      </c>
      <c r="V13423">
        <v>0</v>
      </c>
      <c r="W13423">
        <v>1</v>
      </c>
      <c r="X13423">
        <v>0</v>
      </c>
      <c r="Y13423">
        <v>1</v>
      </c>
      <c r="Z13423">
        <v>0</v>
      </c>
      <c r="AA13423">
        <v>0</v>
      </c>
      <c r="AB13423">
        <v>0</v>
      </c>
      <c r="AC13423">
        <v>1</v>
      </c>
      <c r="AD13423">
        <v>1</v>
      </c>
      <c r="AE13423">
        <v>1</v>
      </c>
      <c r="AF13423">
        <v>1</v>
      </c>
      <c r="AG13423">
        <v>1</v>
      </c>
      <c r="AH13423">
        <v>1</v>
      </c>
      <c r="AI13423">
        <v>1</v>
      </c>
      <c r="AJ13423">
        <v>1</v>
      </c>
      <c r="AK13423">
        <v>1</v>
      </c>
      <c r="AL13423">
        <v>1</v>
      </c>
      <c r="AM13423">
        <v>1</v>
      </c>
    </row>
    <row r="13424" spans="1:39" x14ac:dyDescent="0.2">
      <c r="A13424" t="str">
        <f>"13420"</f>
        <v>13420</v>
      </c>
      <c r="B13424" t="str">
        <f t="shared" si="744"/>
        <v>1</v>
      </c>
      <c r="C13424" t="str">
        <f t="shared" si="746"/>
        <v>269</v>
      </c>
      <c r="D13424" t="str">
        <f>"41"</f>
        <v>41</v>
      </c>
      <c r="E13424" t="str">
        <f>"1-269-41"</f>
        <v>1-269-41</v>
      </c>
      <c r="F13424" t="s">
        <v>65</v>
      </c>
      <c r="G13424" t="s">
        <v>66</v>
      </c>
      <c r="H13424" t="s">
        <v>67</v>
      </c>
      <c r="S13424">
        <v>1</v>
      </c>
      <c r="T13424">
        <v>0</v>
      </c>
      <c r="U13424">
        <v>0</v>
      </c>
      <c r="V13424">
        <v>0</v>
      </c>
      <c r="W13424">
        <v>1</v>
      </c>
      <c r="X13424">
        <v>0</v>
      </c>
      <c r="Y13424">
        <v>0</v>
      </c>
      <c r="Z13424">
        <v>1</v>
      </c>
      <c r="AA13424">
        <v>0</v>
      </c>
      <c r="AB13424">
        <v>1</v>
      </c>
      <c r="AC13424">
        <v>0</v>
      </c>
      <c r="AD13424">
        <v>1</v>
      </c>
      <c r="AE13424">
        <v>1</v>
      </c>
      <c r="AF13424">
        <v>1</v>
      </c>
      <c r="AG13424">
        <v>1</v>
      </c>
      <c r="AH13424">
        <v>1</v>
      </c>
      <c r="AI13424">
        <v>1</v>
      </c>
      <c r="AJ13424">
        <v>1</v>
      </c>
      <c r="AK13424">
        <v>1</v>
      </c>
      <c r="AL13424">
        <v>1</v>
      </c>
      <c r="AM13424">
        <v>1</v>
      </c>
    </row>
    <row r="13425" spans="1:39" x14ac:dyDescent="0.2">
      <c r="A13425" t="str">
        <f>"13421"</f>
        <v>13421</v>
      </c>
      <c r="B13425" t="str">
        <f t="shared" si="744"/>
        <v>1</v>
      </c>
      <c r="C13425" t="str">
        <f t="shared" si="746"/>
        <v>269</v>
      </c>
      <c r="D13425" t="str">
        <f>"22"</f>
        <v>22</v>
      </c>
      <c r="E13425" t="str">
        <f>"1-269-22"</f>
        <v>1-269-22</v>
      </c>
      <c r="F13425" t="s">
        <v>65</v>
      </c>
      <c r="G13425" t="s">
        <v>66</v>
      </c>
      <c r="H13425" t="s">
        <v>67</v>
      </c>
      <c r="S13425">
        <v>0</v>
      </c>
      <c r="T13425">
        <v>1</v>
      </c>
      <c r="U13425">
        <v>0</v>
      </c>
      <c r="V13425">
        <v>0</v>
      </c>
      <c r="W13425">
        <v>0</v>
      </c>
      <c r="X13425">
        <v>1</v>
      </c>
      <c r="Y13425">
        <v>0</v>
      </c>
      <c r="Z13425">
        <v>1</v>
      </c>
      <c r="AA13425">
        <v>0</v>
      </c>
      <c r="AB13425">
        <v>0</v>
      </c>
      <c r="AC13425">
        <v>1</v>
      </c>
      <c r="AD13425">
        <v>1</v>
      </c>
      <c r="AE13425">
        <v>1</v>
      </c>
      <c r="AF13425">
        <v>1</v>
      </c>
      <c r="AG13425">
        <v>1</v>
      </c>
      <c r="AH13425">
        <v>1</v>
      </c>
      <c r="AI13425">
        <v>1</v>
      </c>
      <c r="AJ13425">
        <v>1</v>
      </c>
      <c r="AK13425">
        <v>1</v>
      </c>
      <c r="AL13425">
        <v>1</v>
      </c>
      <c r="AM13425">
        <v>1</v>
      </c>
    </row>
    <row r="13426" spans="1:39" x14ac:dyDescent="0.2">
      <c r="A13426" t="str">
        <f>"13422"</f>
        <v>13422</v>
      </c>
      <c r="B13426" t="str">
        <f t="shared" si="744"/>
        <v>1</v>
      </c>
      <c r="C13426" t="str">
        <f t="shared" si="746"/>
        <v>269</v>
      </c>
      <c r="D13426" t="str">
        <f>"2"</f>
        <v>2</v>
      </c>
      <c r="E13426" t="str">
        <f>"1-269-2"</f>
        <v>1-269-2</v>
      </c>
      <c r="F13426" t="s">
        <v>65</v>
      </c>
      <c r="G13426" t="s">
        <v>66</v>
      </c>
      <c r="H13426" t="s">
        <v>67</v>
      </c>
      <c r="S13426">
        <v>0</v>
      </c>
      <c r="T13426">
        <v>1</v>
      </c>
      <c r="U13426">
        <v>0</v>
      </c>
      <c r="V13426">
        <v>0</v>
      </c>
      <c r="W13426">
        <v>1</v>
      </c>
      <c r="X13426">
        <v>0</v>
      </c>
      <c r="Y13426">
        <v>0</v>
      </c>
      <c r="Z13426">
        <v>1</v>
      </c>
      <c r="AA13426">
        <v>0</v>
      </c>
      <c r="AB13426">
        <v>1</v>
      </c>
      <c r="AC13426">
        <v>0</v>
      </c>
      <c r="AD13426">
        <v>0</v>
      </c>
      <c r="AE13426">
        <v>0</v>
      </c>
      <c r="AF13426">
        <v>0</v>
      </c>
      <c r="AG13426">
        <v>1</v>
      </c>
      <c r="AH13426">
        <v>1</v>
      </c>
      <c r="AI13426">
        <v>0</v>
      </c>
      <c r="AJ13426">
        <v>1</v>
      </c>
      <c r="AK13426">
        <v>0</v>
      </c>
      <c r="AL13426">
        <v>1</v>
      </c>
      <c r="AM13426">
        <v>0</v>
      </c>
    </row>
    <row r="13427" spans="1:39" x14ac:dyDescent="0.2">
      <c r="A13427" t="str">
        <f>"13423"</f>
        <v>13423</v>
      </c>
      <c r="B13427" t="str">
        <f t="shared" si="744"/>
        <v>1</v>
      </c>
      <c r="C13427" t="str">
        <f t="shared" si="746"/>
        <v>269</v>
      </c>
      <c r="D13427" t="str">
        <f>"43"</f>
        <v>43</v>
      </c>
      <c r="E13427" t="str">
        <f>"1-269-43"</f>
        <v>1-269-43</v>
      </c>
      <c r="F13427" t="s">
        <v>65</v>
      </c>
      <c r="G13427" t="s">
        <v>66</v>
      </c>
      <c r="H13427" t="s">
        <v>67</v>
      </c>
      <c r="S13427">
        <v>0</v>
      </c>
      <c r="T13427">
        <v>1</v>
      </c>
      <c r="U13427">
        <v>0</v>
      </c>
      <c r="V13427">
        <v>0</v>
      </c>
      <c r="W13427">
        <v>0</v>
      </c>
      <c r="X13427">
        <v>1</v>
      </c>
      <c r="Y13427">
        <v>0</v>
      </c>
      <c r="Z13427">
        <v>1</v>
      </c>
      <c r="AA13427">
        <v>0</v>
      </c>
      <c r="AB13427">
        <v>0</v>
      </c>
      <c r="AC13427">
        <v>1</v>
      </c>
      <c r="AD13427">
        <v>1</v>
      </c>
      <c r="AE13427">
        <v>1</v>
      </c>
      <c r="AF13427">
        <v>1</v>
      </c>
      <c r="AG13427">
        <v>1</v>
      </c>
      <c r="AH13427">
        <v>1</v>
      </c>
      <c r="AI13427">
        <v>1</v>
      </c>
      <c r="AJ13427">
        <v>1</v>
      </c>
      <c r="AK13427">
        <v>1</v>
      </c>
      <c r="AL13427">
        <v>1</v>
      </c>
      <c r="AM13427">
        <v>1</v>
      </c>
    </row>
    <row r="13428" spans="1:39" x14ac:dyDescent="0.2">
      <c r="A13428" t="str">
        <f>"13424"</f>
        <v>13424</v>
      </c>
      <c r="B13428" t="str">
        <f t="shared" si="744"/>
        <v>1</v>
      </c>
      <c r="C13428" t="str">
        <f t="shared" si="746"/>
        <v>269</v>
      </c>
      <c r="D13428" t="str">
        <f>"23"</f>
        <v>23</v>
      </c>
      <c r="E13428" t="str">
        <f>"1-269-23"</f>
        <v>1-269-23</v>
      </c>
      <c r="F13428" t="s">
        <v>65</v>
      </c>
      <c r="G13428" t="s">
        <v>66</v>
      </c>
      <c r="H13428" t="s">
        <v>67</v>
      </c>
      <c r="S13428">
        <v>0</v>
      </c>
      <c r="T13428">
        <v>1</v>
      </c>
      <c r="U13428">
        <v>0</v>
      </c>
      <c r="V13428">
        <v>0</v>
      </c>
      <c r="W13428">
        <v>1</v>
      </c>
      <c r="X13428">
        <v>0</v>
      </c>
      <c r="Y13428">
        <v>1</v>
      </c>
      <c r="Z13428">
        <v>0</v>
      </c>
      <c r="AA13428">
        <v>1</v>
      </c>
      <c r="AB13428">
        <v>0</v>
      </c>
      <c r="AC13428">
        <v>0</v>
      </c>
      <c r="AD13428">
        <v>1</v>
      </c>
      <c r="AE13428">
        <v>1</v>
      </c>
      <c r="AF13428">
        <v>1</v>
      </c>
      <c r="AG13428">
        <v>1</v>
      </c>
      <c r="AH13428">
        <v>1</v>
      </c>
      <c r="AI13428">
        <v>1</v>
      </c>
      <c r="AJ13428">
        <v>1</v>
      </c>
      <c r="AK13428">
        <v>1</v>
      </c>
      <c r="AL13428">
        <v>1</v>
      </c>
      <c r="AM13428">
        <v>1</v>
      </c>
    </row>
    <row r="13429" spans="1:39" x14ac:dyDescent="0.2">
      <c r="A13429" t="str">
        <f>"13425"</f>
        <v>13425</v>
      </c>
      <c r="B13429" t="str">
        <f t="shared" si="744"/>
        <v>1</v>
      </c>
      <c r="C13429" t="str">
        <f t="shared" si="746"/>
        <v>269</v>
      </c>
      <c r="D13429" t="str">
        <f>"9"</f>
        <v>9</v>
      </c>
      <c r="E13429" t="str">
        <f>"1-269-9"</f>
        <v>1-269-9</v>
      </c>
      <c r="F13429" t="s">
        <v>65</v>
      </c>
      <c r="G13429" t="s">
        <v>66</v>
      </c>
      <c r="H13429" t="s">
        <v>67</v>
      </c>
      <c r="S13429">
        <v>0</v>
      </c>
      <c r="T13429">
        <v>0</v>
      </c>
      <c r="U13429">
        <v>0</v>
      </c>
      <c r="V13429">
        <v>0</v>
      </c>
      <c r="W13429">
        <v>0</v>
      </c>
      <c r="X13429">
        <v>1</v>
      </c>
      <c r="Y13429">
        <v>0</v>
      </c>
      <c r="Z13429">
        <v>0</v>
      </c>
      <c r="AA13429">
        <v>0</v>
      </c>
      <c r="AB13429">
        <v>0</v>
      </c>
      <c r="AC13429">
        <v>0</v>
      </c>
      <c r="AD13429">
        <v>0</v>
      </c>
      <c r="AE13429">
        <v>0</v>
      </c>
      <c r="AF13429">
        <v>0</v>
      </c>
      <c r="AG13429">
        <v>0</v>
      </c>
      <c r="AH13429">
        <v>0</v>
      </c>
      <c r="AI13429">
        <v>0</v>
      </c>
      <c r="AJ13429">
        <v>0</v>
      </c>
      <c r="AK13429">
        <v>0</v>
      </c>
      <c r="AL13429">
        <v>0</v>
      </c>
      <c r="AM13429">
        <v>0</v>
      </c>
    </row>
    <row r="13430" spans="1:39" x14ac:dyDescent="0.2">
      <c r="A13430" t="str">
        <f>"13426"</f>
        <v>13426</v>
      </c>
      <c r="B13430" t="str">
        <f t="shared" si="744"/>
        <v>1</v>
      </c>
      <c r="C13430" t="str">
        <f t="shared" si="746"/>
        <v>269</v>
      </c>
      <c r="D13430" t="str">
        <f>"40"</f>
        <v>40</v>
      </c>
      <c r="E13430" t="str">
        <f>"1-269-40"</f>
        <v>1-269-40</v>
      </c>
      <c r="F13430" t="s">
        <v>65</v>
      </c>
      <c r="G13430" t="s">
        <v>66</v>
      </c>
      <c r="H13430" t="s">
        <v>67</v>
      </c>
      <c r="S13430">
        <v>1</v>
      </c>
      <c r="T13430">
        <v>0</v>
      </c>
      <c r="U13430">
        <v>0</v>
      </c>
      <c r="V13430">
        <v>0</v>
      </c>
      <c r="W13430">
        <v>1</v>
      </c>
      <c r="X13430">
        <v>0</v>
      </c>
      <c r="Y13430">
        <v>1</v>
      </c>
      <c r="Z13430">
        <v>0</v>
      </c>
      <c r="AA13430">
        <v>0</v>
      </c>
      <c r="AB13430">
        <v>0</v>
      </c>
      <c r="AC13430">
        <v>1</v>
      </c>
      <c r="AD13430">
        <v>1</v>
      </c>
      <c r="AE13430">
        <v>1</v>
      </c>
      <c r="AF13430">
        <v>0</v>
      </c>
      <c r="AG13430">
        <v>0</v>
      </c>
      <c r="AH13430">
        <v>1</v>
      </c>
      <c r="AI13430">
        <v>0</v>
      </c>
      <c r="AJ13430">
        <v>0</v>
      </c>
      <c r="AK13430">
        <v>0</v>
      </c>
      <c r="AL13430">
        <v>1</v>
      </c>
      <c r="AM13430">
        <v>0</v>
      </c>
    </row>
    <row r="13431" spans="1:39" x14ac:dyDescent="0.2">
      <c r="A13431" t="str">
        <f>"13427"</f>
        <v>13427</v>
      </c>
      <c r="B13431" t="str">
        <f t="shared" ref="B13431:B13494" si="747">"1"</f>
        <v>1</v>
      </c>
      <c r="C13431" t="str">
        <f t="shared" si="746"/>
        <v>269</v>
      </c>
      <c r="D13431" t="str">
        <f>"24"</f>
        <v>24</v>
      </c>
      <c r="E13431" t="str">
        <f>"1-269-24"</f>
        <v>1-269-24</v>
      </c>
      <c r="F13431" t="s">
        <v>65</v>
      </c>
      <c r="G13431" t="s">
        <v>66</v>
      </c>
      <c r="H13431" t="s">
        <v>67</v>
      </c>
      <c r="S13431">
        <v>1</v>
      </c>
      <c r="T13431">
        <v>0</v>
      </c>
      <c r="U13431">
        <v>0</v>
      </c>
      <c r="V13431">
        <v>0</v>
      </c>
      <c r="W13431">
        <v>1</v>
      </c>
      <c r="X13431">
        <v>0</v>
      </c>
      <c r="Y13431">
        <v>1</v>
      </c>
      <c r="Z13431">
        <v>0</v>
      </c>
      <c r="AA13431">
        <v>1</v>
      </c>
      <c r="AB13431">
        <v>0</v>
      </c>
      <c r="AC13431">
        <v>0</v>
      </c>
      <c r="AD13431">
        <v>0</v>
      </c>
      <c r="AE13431">
        <v>0</v>
      </c>
      <c r="AF13431">
        <v>0</v>
      </c>
      <c r="AG13431">
        <v>0</v>
      </c>
      <c r="AH13431">
        <v>0</v>
      </c>
      <c r="AI13431">
        <v>0</v>
      </c>
      <c r="AJ13431">
        <v>0</v>
      </c>
      <c r="AK13431">
        <v>0</v>
      </c>
      <c r="AL13431">
        <v>0</v>
      </c>
      <c r="AM13431">
        <v>0</v>
      </c>
    </row>
    <row r="13432" spans="1:39" x14ac:dyDescent="0.2">
      <c r="A13432" t="str">
        <f>"13428"</f>
        <v>13428</v>
      </c>
      <c r="B13432" t="str">
        <f t="shared" si="747"/>
        <v>1</v>
      </c>
      <c r="C13432" t="str">
        <f t="shared" si="746"/>
        <v>269</v>
      </c>
      <c r="D13432" t="str">
        <f>"8"</f>
        <v>8</v>
      </c>
      <c r="E13432" t="str">
        <f>"1-269-8"</f>
        <v>1-269-8</v>
      </c>
      <c r="F13432" t="s">
        <v>65</v>
      </c>
      <c r="G13432" t="s">
        <v>66</v>
      </c>
      <c r="H13432" t="s">
        <v>67</v>
      </c>
      <c r="S13432">
        <v>1</v>
      </c>
      <c r="T13432">
        <v>0</v>
      </c>
      <c r="U13432">
        <v>0</v>
      </c>
      <c r="V13432">
        <v>0</v>
      </c>
      <c r="W13432">
        <v>1</v>
      </c>
      <c r="X13432">
        <v>0</v>
      </c>
      <c r="Y13432">
        <v>1</v>
      </c>
      <c r="Z13432">
        <v>0</v>
      </c>
      <c r="AA13432">
        <v>0</v>
      </c>
      <c r="AB13432">
        <v>0</v>
      </c>
      <c r="AC13432">
        <v>1</v>
      </c>
      <c r="AD13432">
        <v>1</v>
      </c>
      <c r="AE13432">
        <v>1</v>
      </c>
      <c r="AF13432">
        <v>1</v>
      </c>
      <c r="AG13432">
        <v>1</v>
      </c>
      <c r="AH13432">
        <v>1</v>
      </c>
      <c r="AI13432">
        <v>1</v>
      </c>
      <c r="AJ13432">
        <v>1</v>
      </c>
      <c r="AK13432">
        <v>1</v>
      </c>
      <c r="AL13432">
        <v>1</v>
      </c>
      <c r="AM13432">
        <v>1</v>
      </c>
    </row>
    <row r="13433" spans="1:39" x14ac:dyDescent="0.2">
      <c r="A13433" t="str">
        <f>"13429"</f>
        <v>13429</v>
      </c>
      <c r="B13433" t="str">
        <f t="shared" si="747"/>
        <v>1</v>
      </c>
      <c r="C13433" t="str">
        <f t="shared" si="746"/>
        <v>269</v>
      </c>
      <c r="D13433" t="str">
        <f>"42"</f>
        <v>42</v>
      </c>
      <c r="E13433" t="str">
        <f>"1-269-42"</f>
        <v>1-269-42</v>
      </c>
      <c r="F13433" t="s">
        <v>65</v>
      </c>
      <c r="G13433" t="s">
        <v>66</v>
      </c>
      <c r="H13433" t="s">
        <v>67</v>
      </c>
      <c r="S13433">
        <v>1</v>
      </c>
      <c r="T13433">
        <v>0</v>
      </c>
      <c r="U13433">
        <v>0</v>
      </c>
      <c r="V13433">
        <v>0</v>
      </c>
      <c r="W13433">
        <v>1</v>
      </c>
      <c r="X13433">
        <v>0</v>
      </c>
      <c r="Y13433">
        <v>1</v>
      </c>
      <c r="Z13433">
        <v>0</v>
      </c>
      <c r="AA13433">
        <v>1</v>
      </c>
      <c r="AB13433">
        <v>0</v>
      </c>
      <c r="AC13433">
        <v>0</v>
      </c>
      <c r="AD13433">
        <v>1</v>
      </c>
      <c r="AE13433">
        <v>1</v>
      </c>
      <c r="AF13433">
        <v>1</v>
      </c>
      <c r="AG13433">
        <v>1</v>
      </c>
      <c r="AH13433">
        <v>1</v>
      </c>
      <c r="AI13433">
        <v>1</v>
      </c>
      <c r="AJ13433">
        <v>1</v>
      </c>
      <c r="AK13433">
        <v>1</v>
      </c>
      <c r="AL13433">
        <v>1</v>
      </c>
      <c r="AM13433">
        <v>1</v>
      </c>
    </row>
    <row r="13434" spans="1:39" x14ac:dyDescent="0.2">
      <c r="A13434" t="str">
        <f>"13430"</f>
        <v>13430</v>
      </c>
      <c r="B13434" t="str">
        <f t="shared" si="747"/>
        <v>1</v>
      </c>
      <c r="C13434" t="str">
        <f t="shared" si="746"/>
        <v>269</v>
      </c>
      <c r="D13434" t="str">
        <f>"27"</f>
        <v>27</v>
      </c>
      <c r="E13434" t="str">
        <f>"1-269-27"</f>
        <v>1-269-27</v>
      </c>
      <c r="F13434" t="s">
        <v>65</v>
      </c>
      <c r="G13434" t="s">
        <v>66</v>
      </c>
      <c r="H13434" t="s">
        <v>67</v>
      </c>
      <c r="S13434">
        <v>0</v>
      </c>
      <c r="T13434">
        <v>1</v>
      </c>
      <c r="U13434">
        <v>0</v>
      </c>
      <c r="V13434">
        <v>0</v>
      </c>
      <c r="W13434">
        <v>1</v>
      </c>
      <c r="X13434">
        <v>0</v>
      </c>
      <c r="Y13434">
        <v>0</v>
      </c>
      <c r="Z13434">
        <v>1</v>
      </c>
      <c r="AA13434">
        <v>1</v>
      </c>
      <c r="AB13434">
        <v>0</v>
      </c>
      <c r="AC13434">
        <v>0</v>
      </c>
      <c r="AD13434">
        <v>1</v>
      </c>
      <c r="AE13434">
        <v>1</v>
      </c>
      <c r="AF13434">
        <v>1</v>
      </c>
      <c r="AG13434">
        <v>1</v>
      </c>
      <c r="AH13434">
        <v>1</v>
      </c>
      <c r="AI13434">
        <v>1</v>
      </c>
      <c r="AJ13434">
        <v>1</v>
      </c>
      <c r="AK13434">
        <v>1</v>
      </c>
      <c r="AL13434">
        <v>1</v>
      </c>
      <c r="AM13434">
        <v>1</v>
      </c>
    </row>
    <row r="13435" spans="1:39" x14ac:dyDescent="0.2">
      <c r="A13435" t="str">
        <f>"13431"</f>
        <v>13431</v>
      </c>
      <c r="B13435" t="str">
        <f t="shared" si="747"/>
        <v>1</v>
      </c>
      <c r="C13435" t="str">
        <f t="shared" si="746"/>
        <v>269</v>
      </c>
      <c r="D13435" t="str">
        <f>"44"</f>
        <v>44</v>
      </c>
      <c r="E13435" t="str">
        <f>"1-269-44"</f>
        <v>1-269-44</v>
      </c>
      <c r="F13435" t="s">
        <v>65</v>
      </c>
      <c r="G13435" t="s">
        <v>66</v>
      </c>
      <c r="H13435" t="s">
        <v>67</v>
      </c>
      <c r="S13435">
        <v>1</v>
      </c>
      <c r="T13435">
        <v>0</v>
      </c>
      <c r="U13435">
        <v>0</v>
      </c>
      <c r="V13435">
        <v>0</v>
      </c>
      <c r="W13435">
        <v>1</v>
      </c>
      <c r="X13435">
        <v>0</v>
      </c>
      <c r="Y13435">
        <v>1</v>
      </c>
      <c r="Z13435">
        <v>0</v>
      </c>
      <c r="AA13435">
        <v>0</v>
      </c>
      <c r="AB13435">
        <v>1</v>
      </c>
      <c r="AC13435">
        <v>0</v>
      </c>
      <c r="AD13435">
        <v>1</v>
      </c>
      <c r="AE13435">
        <v>1</v>
      </c>
      <c r="AF13435">
        <v>1</v>
      </c>
      <c r="AG13435">
        <v>1</v>
      </c>
      <c r="AH13435">
        <v>1</v>
      </c>
      <c r="AI13435">
        <v>1</v>
      </c>
      <c r="AJ13435">
        <v>1</v>
      </c>
      <c r="AK13435">
        <v>1</v>
      </c>
      <c r="AL13435">
        <v>1</v>
      </c>
      <c r="AM13435">
        <v>1</v>
      </c>
    </row>
    <row r="13436" spans="1:39" x14ac:dyDescent="0.2">
      <c r="A13436" t="str">
        <f>"13432"</f>
        <v>13432</v>
      </c>
      <c r="B13436" t="str">
        <f t="shared" si="747"/>
        <v>1</v>
      </c>
      <c r="C13436" t="str">
        <f t="shared" si="746"/>
        <v>269</v>
      </c>
      <c r="D13436" t="str">
        <f>"28"</f>
        <v>28</v>
      </c>
      <c r="E13436" t="str">
        <f>"1-269-28"</f>
        <v>1-269-28</v>
      </c>
      <c r="F13436" t="s">
        <v>65</v>
      </c>
      <c r="G13436" t="s">
        <v>66</v>
      </c>
      <c r="H13436" t="s">
        <v>67</v>
      </c>
      <c r="S13436">
        <v>0</v>
      </c>
      <c r="T13436">
        <v>1</v>
      </c>
      <c r="U13436">
        <v>0</v>
      </c>
      <c r="V13436">
        <v>0</v>
      </c>
      <c r="W13436">
        <v>1</v>
      </c>
      <c r="X13436">
        <v>0</v>
      </c>
      <c r="Y13436">
        <v>0</v>
      </c>
      <c r="Z13436">
        <v>1</v>
      </c>
      <c r="AA13436">
        <v>1</v>
      </c>
      <c r="AB13436">
        <v>0</v>
      </c>
      <c r="AC13436">
        <v>0</v>
      </c>
      <c r="AD13436">
        <v>1</v>
      </c>
      <c r="AE13436">
        <v>1</v>
      </c>
      <c r="AF13436">
        <v>1</v>
      </c>
      <c r="AG13436">
        <v>1</v>
      </c>
      <c r="AH13436">
        <v>1</v>
      </c>
      <c r="AI13436">
        <v>1</v>
      </c>
      <c r="AJ13436">
        <v>1</v>
      </c>
      <c r="AK13436">
        <v>1</v>
      </c>
      <c r="AL13436">
        <v>1</v>
      </c>
      <c r="AM13436">
        <v>1</v>
      </c>
    </row>
    <row r="13437" spans="1:39" x14ac:dyDescent="0.2">
      <c r="A13437" t="str">
        <f>"13433"</f>
        <v>13433</v>
      </c>
      <c r="B13437" t="str">
        <f t="shared" si="747"/>
        <v>1</v>
      </c>
      <c r="C13437" t="str">
        <f t="shared" ref="C13437:C13454" si="748">"269"</f>
        <v>269</v>
      </c>
      <c r="D13437" t="str">
        <f>"1"</f>
        <v>1</v>
      </c>
      <c r="E13437" t="str">
        <f>"1-269-1"</f>
        <v>1-269-1</v>
      </c>
      <c r="F13437" t="s">
        <v>65</v>
      </c>
      <c r="G13437" t="s">
        <v>66</v>
      </c>
      <c r="H13437" t="s">
        <v>67</v>
      </c>
      <c r="S13437">
        <v>1</v>
      </c>
      <c r="T13437">
        <v>0</v>
      </c>
      <c r="U13437">
        <v>0</v>
      </c>
      <c r="V13437">
        <v>0</v>
      </c>
      <c r="W13437">
        <v>1</v>
      </c>
      <c r="X13437">
        <v>0</v>
      </c>
      <c r="Y13437">
        <v>1</v>
      </c>
      <c r="Z13437">
        <v>0</v>
      </c>
      <c r="AA13437">
        <v>0</v>
      </c>
      <c r="AB13437">
        <v>1</v>
      </c>
      <c r="AC13437">
        <v>0</v>
      </c>
      <c r="AD13437">
        <v>1</v>
      </c>
      <c r="AE13437">
        <v>1</v>
      </c>
      <c r="AF13437">
        <v>1</v>
      </c>
      <c r="AG13437">
        <v>1</v>
      </c>
      <c r="AH13437">
        <v>1</v>
      </c>
      <c r="AI13437">
        <v>0</v>
      </c>
      <c r="AJ13437">
        <v>1</v>
      </c>
      <c r="AK13437">
        <v>1</v>
      </c>
      <c r="AL13437">
        <v>1</v>
      </c>
      <c r="AM13437">
        <v>1</v>
      </c>
    </row>
    <row r="13438" spans="1:39" x14ac:dyDescent="0.2">
      <c r="A13438" t="str">
        <f>"13434"</f>
        <v>13434</v>
      </c>
      <c r="B13438" t="str">
        <f t="shared" si="747"/>
        <v>1</v>
      </c>
      <c r="C13438" t="str">
        <f t="shared" si="748"/>
        <v>269</v>
      </c>
      <c r="D13438" t="str">
        <f>"45"</f>
        <v>45</v>
      </c>
      <c r="E13438" t="str">
        <f>"1-269-45"</f>
        <v>1-269-45</v>
      </c>
      <c r="F13438" t="s">
        <v>65</v>
      </c>
      <c r="G13438" t="s">
        <v>66</v>
      </c>
      <c r="H13438" t="s">
        <v>67</v>
      </c>
      <c r="S13438">
        <v>1</v>
      </c>
      <c r="T13438">
        <v>0</v>
      </c>
      <c r="U13438">
        <v>0</v>
      </c>
      <c r="V13438">
        <v>0</v>
      </c>
      <c r="W13438">
        <v>1</v>
      </c>
      <c r="X13438">
        <v>0</v>
      </c>
      <c r="Y13438">
        <v>0</v>
      </c>
      <c r="Z13438">
        <v>1</v>
      </c>
      <c r="AA13438">
        <v>1</v>
      </c>
      <c r="AB13438">
        <v>0</v>
      </c>
      <c r="AC13438">
        <v>0</v>
      </c>
      <c r="AD13438">
        <v>1</v>
      </c>
      <c r="AE13438">
        <v>1</v>
      </c>
      <c r="AF13438">
        <v>1</v>
      </c>
      <c r="AG13438">
        <v>1</v>
      </c>
      <c r="AH13438">
        <v>1</v>
      </c>
      <c r="AI13438">
        <v>1</v>
      </c>
      <c r="AJ13438">
        <v>1</v>
      </c>
      <c r="AK13438">
        <v>1</v>
      </c>
      <c r="AL13438">
        <v>1</v>
      </c>
      <c r="AM13438">
        <v>1</v>
      </c>
    </row>
    <row r="13439" spans="1:39" x14ac:dyDescent="0.2">
      <c r="A13439" t="str">
        <f>"13435"</f>
        <v>13435</v>
      </c>
      <c r="B13439" t="str">
        <f t="shared" si="747"/>
        <v>1</v>
      </c>
      <c r="C13439" t="str">
        <f t="shared" si="748"/>
        <v>269</v>
      </c>
      <c r="D13439" t="str">
        <f>"29"</f>
        <v>29</v>
      </c>
      <c r="E13439" t="str">
        <f>"1-269-29"</f>
        <v>1-269-29</v>
      </c>
      <c r="F13439" t="s">
        <v>65</v>
      </c>
      <c r="G13439" t="s">
        <v>66</v>
      </c>
      <c r="H13439" t="s">
        <v>67</v>
      </c>
      <c r="S13439">
        <v>1</v>
      </c>
      <c r="T13439">
        <v>0</v>
      </c>
      <c r="U13439">
        <v>0</v>
      </c>
      <c r="V13439">
        <v>0</v>
      </c>
      <c r="W13439">
        <v>1</v>
      </c>
      <c r="X13439">
        <v>0</v>
      </c>
      <c r="Y13439">
        <v>1</v>
      </c>
      <c r="Z13439">
        <v>0</v>
      </c>
      <c r="AA13439">
        <v>1</v>
      </c>
      <c r="AB13439">
        <v>0</v>
      </c>
      <c r="AC13439">
        <v>0</v>
      </c>
      <c r="AD13439">
        <v>1</v>
      </c>
      <c r="AE13439">
        <v>1</v>
      </c>
      <c r="AF13439">
        <v>1</v>
      </c>
      <c r="AG13439">
        <v>1</v>
      </c>
      <c r="AH13439">
        <v>1</v>
      </c>
      <c r="AI13439">
        <v>1</v>
      </c>
      <c r="AJ13439">
        <v>1</v>
      </c>
      <c r="AK13439">
        <v>1</v>
      </c>
      <c r="AL13439">
        <v>1</v>
      </c>
      <c r="AM13439">
        <v>1</v>
      </c>
    </row>
    <row r="13440" spans="1:39" x14ac:dyDescent="0.2">
      <c r="A13440" t="str">
        <f>"13436"</f>
        <v>13436</v>
      </c>
      <c r="B13440" t="str">
        <f t="shared" si="747"/>
        <v>1</v>
      </c>
      <c r="C13440" t="str">
        <f t="shared" si="748"/>
        <v>269</v>
      </c>
      <c r="D13440" t="str">
        <f>"7"</f>
        <v>7</v>
      </c>
      <c r="E13440" t="str">
        <f>"1-269-7"</f>
        <v>1-269-7</v>
      </c>
      <c r="F13440" t="s">
        <v>65</v>
      </c>
      <c r="G13440" t="s">
        <v>66</v>
      </c>
      <c r="H13440" t="s">
        <v>67</v>
      </c>
      <c r="S13440">
        <v>0</v>
      </c>
      <c r="T13440">
        <v>1</v>
      </c>
      <c r="U13440">
        <v>0</v>
      </c>
      <c r="V13440">
        <v>0</v>
      </c>
      <c r="W13440">
        <v>1</v>
      </c>
      <c r="X13440">
        <v>0</v>
      </c>
      <c r="Y13440">
        <v>0</v>
      </c>
      <c r="Z13440">
        <v>1</v>
      </c>
      <c r="AA13440">
        <v>0</v>
      </c>
      <c r="AB13440">
        <v>0</v>
      </c>
      <c r="AC13440">
        <v>1</v>
      </c>
      <c r="AD13440">
        <v>0</v>
      </c>
      <c r="AE13440">
        <v>0</v>
      </c>
      <c r="AF13440">
        <v>0</v>
      </c>
      <c r="AG13440">
        <v>0</v>
      </c>
      <c r="AH13440">
        <v>0</v>
      </c>
      <c r="AI13440">
        <v>0</v>
      </c>
      <c r="AJ13440">
        <v>0</v>
      </c>
      <c r="AK13440">
        <v>0</v>
      </c>
      <c r="AL13440">
        <v>0</v>
      </c>
      <c r="AM13440">
        <v>0</v>
      </c>
    </row>
    <row r="13441" spans="1:39" x14ac:dyDescent="0.2">
      <c r="A13441" t="str">
        <f>"13437"</f>
        <v>13437</v>
      </c>
      <c r="B13441" t="str">
        <f t="shared" si="747"/>
        <v>1</v>
      </c>
      <c r="C13441" t="str">
        <f t="shared" si="748"/>
        <v>269</v>
      </c>
      <c r="D13441" t="str">
        <f>"46"</f>
        <v>46</v>
      </c>
      <c r="E13441" t="str">
        <f>"1-269-46"</f>
        <v>1-269-46</v>
      </c>
      <c r="F13441" t="s">
        <v>65</v>
      </c>
      <c r="G13441" t="s">
        <v>66</v>
      </c>
      <c r="H13441" t="s">
        <v>67</v>
      </c>
      <c r="S13441">
        <v>0</v>
      </c>
      <c r="T13441">
        <v>1</v>
      </c>
      <c r="U13441">
        <v>0</v>
      </c>
      <c r="V13441">
        <v>0</v>
      </c>
      <c r="W13441">
        <v>1</v>
      </c>
      <c r="X13441">
        <v>0</v>
      </c>
      <c r="Y13441">
        <v>0</v>
      </c>
      <c r="Z13441">
        <v>1</v>
      </c>
      <c r="AA13441">
        <v>0</v>
      </c>
      <c r="AB13441">
        <v>0</v>
      </c>
      <c r="AC13441">
        <v>1</v>
      </c>
      <c r="AD13441">
        <v>1</v>
      </c>
      <c r="AE13441">
        <v>1</v>
      </c>
      <c r="AF13441">
        <v>1</v>
      </c>
      <c r="AG13441">
        <v>1</v>
      </c>
      <c r="AH13441">
        <v>1</v>
      </c>
      <c r="AI13441">
        <v>1</v>
      </c>
      <c r="AJ13441">
        <v>1</v>
      </c>
      <c r="AK13441">
        <v>1</v>
      </c>
      <c r="AL13441">
        <v>1</v>
      </c>
      <c r="AM13441">
        <v>1</v>
      </c>
    </row>
    <row r="13442" spans="1:39" x14ac:dyDescent="0.2">
      <c r="A13442" t="str">
        <f>"13438"</f>
        <v>13438</v>
      </c>
      <c r="B13442" t="str">
        <f t="shared" si="747"/>
        <v>1</v>
      </c>
      <c r="C13442" t="str">
        <f t="shared" si="748"/>
        <v>269</v>
      </c>
      <c r="D13442" t="str">
        <f>"30"</f>
        <v>30</v>
      </c>
      <c r="E13442" t="str">
        <f>"1-269-30"</f>
        <v>1-269-30</v>
      </c>
      <c r="F13442" t="s">
        <v>65</v>
      </c>
      <c r="G13442" t="s">
        <v>66</v>
      </c>
      <c r="H13442" t="s">
        <v>67</v>
      </c>
      <c r="S13442">
        <v>1</v>
      </c>
      <c r="T13442">
        <v>0</v>
      </c>
      <c r="U13442">
        <v>0</v>
      </c>
      <c r="V13442">
        <v>0</v>
      </c>
      <c r="W13442">
        <v>0</v>
      </c>
      <c r="X13442">
        <v>1</v>
      </c>
      <c r="Y13442">
        <v>1</v>
      </c>
      <c r="Z13442">
        <v>0</v>
      </c>
      <c r="AA13442">
        <v>0</v>
      </c>
      <c r="AB13442">
        <v>1</v>
      </c>
      <c r="AC13442">
        <v>0</v>
      </c>
      <c r="AD13442">
        <v>1</v>
      </c>
      <c r="AE13442">
        <v>1</v>
      </c>
      <c r="AF13442">
        <v>1</v>
      </c>
      <c r="AG13442">
        <v>1</v>
      </c>
      <c r="AH13442">
        <v>1</v>
      </c>
      <c r="AI13442">
        <v>1</v>
      </c>
      <c r="AJ13442">
        <v>1</v>
      </c>
      <c r="AK13442">
        <v>1</v>
      </c>
      <c r="AL13442">
        <v>1</v>
      </c>
      <c r="AM13442">
        <v>1</v>
      </c>
    </row>
    <row r="13443" spans="1:39" x14ac:dyDescent="0.2">
      <c r="A13443" t="str">
        <f>"13439"</f>
        <v>13439</v>
      </c>
      <c r="B13443" t="str">
        <f t="shared" si="747"/>
        <v>1</v>
      </c>
      <c r="C13443" t="str">
        <f t="shared" si="748"/>
        <v>269</v>
      </c>
      <c r="D13443" t="str">
        <f>"13"</f>
        <v>13</v>
      </c>
      <c r="E13443" t="str">
        <f>"1-269-13"</f>
        <v>1-269-13</v>
      </c>
      <c r="F13443" t="s">
        <v>65</v>
      </c>
      <c r="G13443" t="s">
        <v>66</v>
      </c>
      <c r="H13443" t="s">
        <v>67</v>
      </c>
      <c r="S13443">
        <v>1</v>
      </c>
      <c r="T13443">
        <v>0</v>
      </c>
      <c r="U13443">
        <v>0</v>
      </c>
      <c r="V13443">
        <v>0</v>
      </c>
      <c r="W13443">
        <v>1</v>
      </c>
      <c r="X13443">
        <v>0</v>
      </c>
      <c r="Y13443">
        <v>0</v>
      </c>
      <c r="Z13443">
        <v>1</v>
      </c>
      <c r="AA13443">
        <v>1</v>
      </c>
      <c r="AB13443">
        <v>0</v>
      </c>
      <c r="AC13443">
        <v>0</v>
      </c>
      <c r="AD13443">
        <v>1</v>
      </c>
      <c r="AE13443">
        <v>1</v>
      </c>
      <c r="AF13443">
        <v>1</v>
      </c>
      <c r="AG13443">
        <v>1</v>
      </c>
      <c r="AH13443">
        <v>1</v>
      </c>
      <c r="AI13443">
        <v>1</v>
      </c>
      <c r="AJ13443">
        <v>1</v>
      </c>
      <c r="AK13443">
        <v>1</v>
      </c>
      <c r="AL13443">
        <v>1</v>
      </c>
      <c r="AM13443">
        <v>1</v>
      </c>
    </row>
    <row r="13444" spans="1:39" x14ac:dyDescent="0.2">
      <c r="A13444" t="str">
        <f>"13440"</f>
        <v>13440</v>
      </c>
      <c r="B13444" t="str">
        <f t="shared" si="747"/>
        <v>1</v>
      </c>
      <c r="C13444" t="str">
        <f t="shared" si="748"/>
        <v>269</v>
      </c>
      <c r="D13444" t="str">
        <f>"49"</f>
        <v>49</v>
      </c>
      <c r="E13444" t="str">
        <f>"1-269-49"</f>
        <v>1-269-49</v>
      </c>
      <c r="F13444" t="s">
        <v>65</v>
      </c>
      <c r="G13444" t="s">
        <v>66</v>
      </c>
      <c r="H13444" t="s">
        <v>67</v>
      </c>
      <c r="S13444">
        <v>1</v>
      </c>
      <c r="T13444">
        <v>0</v>
      </c>
      <c r="U13444">
        <v>0</v>
      </c>
      <c r="V13444">
        <v>0</v>
      </c>
      <c r="W13444">
        <v>1</v>
      </c>
      <c r="X13444">
        <v>0</v>
      </c>
      <c r="Y13444">
        <v>1</v>
      </c>
      <c r="Z13444">
        <v>0</v>
      </c>
      <c r="AA13444">
        <v>0</v>
      </c>
      <c r="AB13444">
        <v>1</v>
      </c>
      <c r="AC13444">
        <v>0</v>
      </c>
      <c r="AD13444">
        <v>0</v>
      </c>
      <c r="AE13444">
        <v>0</v>
      </c>
      <c r="AF13444">
        <v>0</v>
      </c>
      <c r="AG13444">
        <v>0</v>
      </c>
      <c r="AH13444">
        <v>0</v>
      </c>
      <c r="AI13444">
        <v>0</v>
      </c>
      <c r="AJ13444">
        <v>0</v>
      </c>
      <c r="AK13444">
        <v>0</v>
      </c>
      <c r="AL13444">
        <v>0</v>
      </c>
      <c r="AM13444">
        <v>0</v>
      </c>
    </row>
    <row r="13445" spans="1:39" x14ac:dyDescent="0.2">
      <c r="A13445" t="str">
        <f>"13441"</f>
        <v>13441</v>
      </c>
      <c r="B13445" t="str">
        <f t="shared" si="747"/>
        <v>1</v>
      </c>
      <c r="C13445" t="str">
        <f t="shared" si="748"/>
        <v>269</v>
      </c>
      <c r="D13445" t="str">
        <f>"31"</f>
        <v>31</v>
      </c>
      <c r="E13445" t="str">
        <f>"1-269-31"</f>
        <v>1-269-31</v>
      </c>
      <c r="F13445" t="s">
        <v>65</v>
      </c>
      <c r="G13445" t="s">
        <v>66</v>
      </c>
      <c r="H13445" t="s">
        <v>67</v>
      </c>
      <c r="S13445">
        <v>1</v>
      </c>
      <c r="T13445">
        <v>0</v>
      </c>
      <c r="U13445">
        <v>0</v>
      </c>
      <c r="V13445">
        <v>0</v>
      </c>
      <c r="W13445">
        <v>1</v>
      </c>
      <c r="X13445">
        <v>0</v>
      </c>
      <c r="Y13445">
        <v>1</v>
      </c>
      <c r="Z13445">
        <v>0</v>
      </c>
      <c r="AA13445">
        <v>1</v>
      </c>
      <c r="AB13445">
        <v>0</v>
      </c>
      <c r="AC13445">
        <v>0</v>
      </c>
      <c r="AD13445">
        <v>1</v>
      </c>
      <c r="AE13445">
        <v>1</v>
      </c>
      <c r="AF13445">
        <v>1</v>
      </c>
      <c r="AG13445">
        <v>1</v>
      </c>
      <c r="AH13445">
        <v>1</v>
      </c>
      <c r="AI13445">
        <v>1</v>
      </c>
      <c r="AJ13445">
        <v>1</v>
      </c>
      <c r="AK13445">
        <v>1</v>
      </c>
      <c r="AL13445">
        <v>1</v>
      </c>
      <c r="AM13445">
        <v>1</v>
      </c>
    </row>
    <row r="13446" spans="1:39" x14ac:dyDescent="0.2">
      <c r="A13446" t="str">
        <f>"13442"</f>
        <v>13442</v>
      </c>
      <c r="B13446" t="str">
        <f t="shared" si="747"/>
        <v>1</v>
      </c>
      <c r="C13446" t="str">
        <f t="shared" si="748"/>
        <v>269</v>
      </c>
      <c r="D13446" t="str">
        <f>"11"</f>
        <v>11</v>
      </c>
      <c r="E13446" t="str">
        <f>"1-269-11"</f>
        <v>1-269-11</v>
      </c>
      <c r="F13446" t="s">
        <v>65</v>
      </c>
      <c r="G13446" t="s">
        <v>66</v>
      </c>
      <c r="H13446" t="s">
        <v>67</v>
      </c>
      <c r="S13446">
        <v>1</v>
      </c>
      <c r="T13446">
        <v>0</v>
      </c>
      <c r="U13446">
        <v>0</v>
      </c>
      <c r="V13446">
        <v>0</v>
      </c>
      <c r="W13446">
        <v>1</v>
      </c>
      <c r="X13446">
        <v>0</v>
      </c>
      <c r="Y13446">
        <v>0</v>
      </c>
      <c r="Z13446">
        <v>1</v>
      </c>
      <c r="AA13446">
        <v>1</v>
      </c>
      <c r="AB13446">
        <v>0</v>
      </c>
      <c r="AC13446">
        <v>0</v>
      </c>
      <c r="AD13446">
        <v>1</v>
      </c>
      <c r="AE13446">
        <v>1</v>
      </c>
      <c r="AF13446">
        <v>1</v>
      </c>
      <c r="AG13446">
        <v>1</v>
      </c>
      <c r="AH13446">
        <v>1</v>
      </c>
      <c r="AI13446">
        <v>1</v>
      </c>
      <c r="AJ13446">
        <v>1</v>
      </c>
      <c r="AK13446">
        <v>1</v>
      </c>
      <c r="AL13446">
        <v>1</v>
      </c>
      <c r="AM13446">
        <v>1</v>
      </c>
    </row>
    <row r="13447" spans="1:39" x14ac:dyDescent="0.2">
      <c r="A13447" t="str">
        <f>"13443"</f>
        <v>13443</v>
      </c>
      <c r="B13447" t="str">
        <f t="shared" si="747"/>
        <v>1</v>
      </c>
      <c r="C13447" t="str">
        <f t="shared" si="748"/>
        <v>269</v>
      </c>
      <c r="D13447" t="str">
        <f>"50"</f>
        <v>50</v>
      </c>
      <c r="E13447" t="str">
        <f>"1-269-50"</f>
        <v>1-269-50</v>
      </c>
      <c r="F13447" t="s">
        <v>65</v>
      </c>
      <c r="G13447" t="s">
        <v>66</v>
      </c>
      <c r="H13447" t="s">
        <v>67</v>
      </c>
      <c r="S13447">
        <v>0</v>
      </c>
      <c r="T13447">
        <v>1</v>
      </c>
      <c r="U13447">
        <v>0</v>
      </c>
      <c r="V13447">
        <v>0</v>
      </c>
      <c r="W13447">
        <v>1</v>
      </c>
      <c r="X13447">
        <v>0</v>
      </c>
      <c r="Y13447">
        <v>0</v>
      </c>
      <c r="Z13447">
        <v>1</v>
      </c>
      <c r="AA13447">
        <v>0</v>
      </c>
      <c r="AB13447">
        <v>0</v>
      </c>
      <c r="AC13447">
        <v>1</v>
      </c>
      <c r="AD13447">
        <v>1</v>
      </c>
      <c r="AE13447">
        <v>1</v>
      </c>
      <c r="AF13447">
        <v>1</v>
      </c>
      <c r="AG13447">
        <v>1</v>
      </c>
      <c r="AH13447">
        <v>1</v>
      </c>
      <c r="AI13447">
        <v>1</v>
      </c>
      <c r="AJ13447">
        <v>1</v>
      </c>
      <c r="AK13447">
        <v>1</v>
      </c>
      <c r="AL13447">
        <v>1</v>
      </c>
      <c r="AM13447">
        <v>1</v>
      </c>
    </row>
    <row r="13448" spans="1:39" x14ac:dyDescent="0.2">
      <c r="A13448" t="str">
        <f>"13444"</f>
        <v>13444</v>
      </c>
      <c r="B13448" t="str">
        <f t="shared" si="747"/>
        <v>1</v>
      </c>
      <c r="C13448" t="str">
        <f t="shared" si="748"/>
        <v>269</v>
      </c>
      <c r="D13448" t="str">
        <f>"34"</f>
        <v>34</v>
      </c>
      <c r="E13448" t="str">
        <f>"1-269-34"</f>
        <v>1-269-34</v>
      </c>
      <c r="F13448" t="s">
        <v>65</v>
      </c>
      <c r="G13448" t="s">
        <v>66</v>
      </c>
      <c r="H13448" t="s">
        <v>67</v>
      </c>
      <c r="S13448">
        <v>1</v>
      </c>
      <c r="T13448">
        <v>0</v>
      </c>
      <c r="U13448">
        <v>0</v>
      </c>
      <c r="V13448">
        <v>0</v>
      </c>
      <c r="W13448">
        <v>1</v>
      </c>
      <c r="X13448">
        <v>0</v>
      </c>
      <c r="Y13448">
        <v>1</v>
      </c>
      <c r="Z13448">
        <v>0</v>
      </c>
      <c r="AA13448">
        <v>0</v>
      </c>
      <c r="AB13448">
        <v>0</v>
      </c>
      <c r="AC13448">
        <v>1</v>
      </c>
      <c r="AD13448">
        <v>1</v>
      </c>
      <c r="AE13448">
        <v>1</v>
      </c>
      <c r="AF13448">
        <v>1</v>
      </c>
      <c r="AG13448">
        <v>1</v>
      </c>
      <c r="AH13448">
        <v>1</v>
      </c>
      <c r="AI13448">
        <v>1</v>
      </c>
      <c r="AJ13448">
        <v>1</v>
      </c>
      <c r="AK13448">
        <v>1</v>
      </c>
      <c r="AL13448">
        <v>1</v>
      </c>
      <c r="AM13448">
        <v>1</v>
      </c>
    </row>
    <row r="13449" spans="1:39" x14ac:dyDescent="0.2">
      <c r="A13449" t="str">
        <f>"13445"</f>
        <v>13445</v>
      </c>
      <c r="B13449" t="str">
        <f t="shared" si="747"/>
        <v>1</v>
      </c>
      <c r="C13449" t="str">
        <f t="shared" si="748"/>
        <v>269</v>
      </c>
      <c r="D13449" t="str">
        <f>"38"</f>
        <v>38</v>
      </c>
      <c r="E13449" t="str">
        <f>"1-269-38"</f>
        <v>1-269-38</v>
      </c>
      <c r="F13449" t="s">
        <v>65</v>
      </c>
      <c r="G13449" t="s">
        <v>66</v>
      </c>
      <c r="H13449" t="s">
        <v>67</v>
      </c>
      <c r="S13449">
        <v>1</v>
      </c>
      <c r="T13449">
        <v>0</v>
      </c>
      <c r="U13449">
        <v>0</v>
      </c>
      <c r="V13449">
        <v>0</v>
      </c>
      <c r="W13449">
        <v>1</v>
      </c>
      <c r="X13449">
        <v>0</v>
      </c>
      <c r="Y13449">
        <v>0</v>
      </c>
      <c r="Z13449">
        <v>1</v>
      </c>
      <c r="AA13449">
        <v>1</v>
      </c>
      <c r="AB13449">
        <v>0</v>
      </c>
      <c r="AC13449">
        <v>0</v>
      </c>
      <c r="AD13449">
        <v>1</v>
      </c>
      <c r="AE13449">
        <v>1</v>
      </c>
      <c r="AF13449">
        <v>1</v>
      </c>
      <c r="AG13449">
        <v>1</v>
      </c>
      <c r="AH13449">
        <v>1</v>
      </c>
      <c r="AI13449">
        <v>1</v>
      </c>
      <c r="AJ13449">
        <v>1</v>
      </c>
      <c r="AK13449">
        <v>1</v>
      </c>
      <c r="AL13449">
        <v>1</v>
      </c>
      <c r="AM13449">
        <v>1</v>
      </c>
    </row>
    <row r="13450" spans="1:39" x14ac:dyDescent="0.2">
      <c r="A13450" t="str">
        <f>"13446"</f>
        <v>13446</v>
      </c>
      <c r="B13450" t="str">
        <f t="shared" si="747"/>
        <v>1</v>
      </c>
      <c r="C13450" t="str">
        <f t="shared" si="748"/>
        <v>269</v>
      </c>
      <c r="D13450" t="str">
        <f>"6"</f>
        <v>6</v>
      </c>
      <c r="E13450" t="str">
        <f>"1-269-6"</f>
        <v>1-269-6</v>
      </c>
      <c r="F13450" t="s">
        <v>65</v>
      </c>
      <c r="G13450" t="s">
        <v>66</v>
      </c>
      <c r="H13450" t="s">
        <v>67</v>
      </c>
      <c r="S13450">
        <v>0</v>
      </c>
      <c r="T13450">
        <v>0</v>
      </c>
      <c r="U13450">
        <v>0</v>
      </c>
      <c r="V13450">
        <v>0</v>
      </c>
      <c r="W13450">
        <v>0</v>
      </c>
      <c r="X13450">
        <v>1</v>
      </c>
      <c r="Y13450">
        <v>0</v>
      </c>
      <c r="Z13450">
        <v>1</v>
      </c>
      <c r="AA13450">
        <v>0</v>
      </c>
      <c r="AB13450">
        <v>0</v>
      </c>
      <c r="AC13450">
        <v>1</v>
      </c>
      <c r="AD13450">
        <v>1</v>
      </c>
      <c r="AE13450">
        <v>1</v>
      </c>
      <c r="AF13450">
        <v>1</v>
      </c>
      <c r="AG13450">
        <v>1</v>
      </c>
      <c r="AH13450">
        <v>1</v>
      </c>
      <c r="AI13450">
        <v>1</v>
      </c>
      <c r="AJ13450">
        <v>1</v>
      </c>
      <c r="AK13450">
        <v>1</v>
      </c>
      <c r="AL13450">
        <v>0</v>
      </c>
      <c r="AM13450">
        <v>1</v>
      </c>
    </row>
    <row r="13451" spans="1:39" x14ac:dyDescent="0.2">
      <c r="A13451" t="str">
        <f>"13447"</f>
        <v>13447</v>
      </c>
      <c r="B13451" t="str">
        <f t="shared" si="747"/>
        <v>1</v>
      </c>
      <c r="C13451" t="str">
        <f t="shared" si="748"/>
        <v>269</v>
      </c>
      <c r="D13451" t="str">
        <f>"4"</f>
        <v>4</v>
      </c>
      <c r="E13451" t="str">
        <f>"1-269-4"</f>
        <v>1-269-4</v>
      </c>
      <c r="F13451" t="s">
        <v>65</v>
      </c>
      <c r="G13451" t="s">
        <v>66</v>
      </c>
      <c r="H13451" t="s">
        <v>67</v>
      </c>
      <c r="S13451">
        <v>1</v>
      </c>
      <c r="T13451">
        <v>0</v>
      </c>
      <c r="U13451">
        <v>0</v>
      </c>
      <c r="V13451">
        <v>0</v>
      </c>
      <c r="W13451">
        <v>1</v>
      </c>
      <c r="X13451">
        <v>0</v>
      </c>
      <c r="Y13451">
        <v>0</v>
      </c>
      <c r="Z13451">
        <v>1</v>
      </c>
      <c r="AA13451">
        <v>1</v>
      </c>
      <c r="AB13451">
        <v>0</v>
      </c>
      <c r="AC13451">
        <v>0</v>
      </c>
      <c r="AD13451">
        <v>1</v>
      </c>
      <c r="AE13451">
        <v>1</v>
      </c>
      <c r="AF13451">
        <v>1</v>
      </c>
      <c r="AG13451">
        <v>1</v>
      </c>
      <c r="AH13451">
        <v>1</v>
      </c>
      <c r="AI13451">
        <v>1</v>
      </c>
      <c r="AJ13451">
        <v>1</v>
      </c>
      <c r="AK13451">
        <v>1</v>
      </c>
      <c r="AL13451">
        <v>1</v>
      </c>
      <c r="AM13451">
        <v>1</v>
      </c>
    </row>
    <row r="13452" spans="1:39" x14ac:dyDescent="0.2">
      <c r="A13452" t="str">
        <f>"13448"</f>
        <v>13448</v>
      </c>
      <c r="B13452" t="str">
        <f t="shared" si="747"/>
        <v>1</v>
      </c>
      <c r="C13452" t="str">
        <f t="shared" si="748"/>
        <v>269</v>
      </c>
      <c r="D13452" t="str">
        <f>"5"</f>
        <v>5</v>
      </c>
      <c r="E13452" t="str">
        <f>"1-269-5"</f>
        <v>1-269-5</v>
      </c>
      <c r="F13452" t="s">
        <v>65</v>
      </c>
      <c r="G13452" t="s">
        <v>66</v>
      </c>
      <c r="H13452" t="s">
        <v>67</v>
      </c>
      <c r="S13452">
        <v>1</v>
      </c>
      <c r="T13452">
        <v>0</v>
      </c>
      <c r="U13452">
        <v>0</v>
      </c>
      <c r="V13452">
        <v>0</v>
      </c>
      <c r="W13452">
        <v>1</v>
      </c>
      <c r="X13452">
        <v>0</v>
      </c>
      <c r="Y13452">
        <v>0</v>
      </c>
      <c r="Z13452">
        <v>1</v>
      </c>
      <c r="AA13452">
        <v>1</v>
      </c>
      <c r="AB13452">
        <v>0</v>
      </c>
      <c r="AC13452">
        <v>0</v>
      </c>
      <c r="AD13452">
        <v>1</v>
      </c>
      <c r="AE13452">
        <v>1</v>
      </c>
      <c r="AF13452">
        <v>1</v>
      </c>
      <c r="AG13452">
        <v>1</v>
      </c>
      <c r="AH13452">
        <v>1</v>
      </c>
      <c r="AI13452">
        <v>1</v>
      </c>
      <c r="AJ13452">
        <v>1</v>
      </c>
      <c r="AK13452">
        <v>1</v>
      </c>
      <c r="AL13452">
        <v>1</v>
      </c>
      <c r="AM13452">
        <v>1</v>
      </c>
    </row>
    <row r="13453" spans="1:39" x14ac:dyDescent="0.2">
      <c r="A13453" t="str">
        <f>"13449"</f>
        <v>13449</v>
      </c>
      <c r="B13453" t="str">
        <f t="shared" si="747"/>
        <v>1</v>
      </c>
      <c r="C13453" t="str">
        <f t="shared" si="748"/>
        <v>269</v>
      </c>
      <c r="D13453" t="str">
        <f>"16"</f>
        <v>16</v>
      </c>
      <c r="E13453" t="str">
        <f>"1-269-16"</f>
        <v>1-269-16</v>
      </c>
      <c r="F13453" t="s">
        <v>65</v>
      </c>
      <c r="G13453" t="s">
        <v>66</v>
      </c>
      <c r="H13453" t="s">
        <v>67</v>
      </c>
      <c r="S13453">
        <v>1</v>
      </c>
      <c r="T13453">
        <v>0</v>
      </c>
      <c r="U13453">
        <v>0</v>
      </c>
      <c r="V13453">
        <v>0</v>
      </c>
      <c r="W13453">
        <v>1</v>
      </c>
      <c r="X13453">
        <v>0</v>
      </c>
      <c r="Y13453">
        <v>1</v>
      </c>
      <c r="Z13453">
        <v>0</v>
      </c>
      <c r="AA13453">
        <v>1</v>
      </c>
      <c r="AB13453">
        <v>0</v>
      </c>
      <c r="AC13453">
        <v>0</v>
      </c>
      <c r="AD13453">
        <v>1</v>
      </c>
      <c r="AE13453">
        <v>1</v>
      </c>
      <c r="AF13453">
        <v>1</v>
      </c>
      <c r="AG13453">
        <v>1</v>
      </c>
      <c r="AH13453">
        <v>1</v>
      </c>
      <c r="AI13453">
        <v>1</v>
      </c>
      <c r="AJ13453">
        <v>1</v>
      </c>
      <c r="AK13453">
        <v>1</v>
      </c>
      <c r="AL13453">
        <v>1</v>
      </c>
      <c r="AM13453">
        <v>1</v>
      </c>
    </row>
    <row r="13454" spans="1:39" x14ac:dyDescent="0.2">
      <c r="A13454" t="str">
        <f>"13450"</f>
        <v>13450</v>
      </c>
      <c r="B13454" t="str">
        <f t="shared" si="747"/>
        <v>1</v>
      </c>
      <c r="C13454" t="str">
        <f t="shared" si="748"/>
        <v>269</v>
      </c>
      <c r="D13454" t="str">
        <f>"3"</f>
        <v>3</v>
      </c>
      <c r="E13454" t="str">
        <f>"1-269-3"</f>
        <v>1-269-3</v>
      </c>
      <c r="F13454" t="s">
        <v>65</v>
      </c>
      <c r="G13454" t="s">
        <v>66</v>
      </c>
      <c r="H13454" t="s">
        <v>67</v>
      </c>
      <c r="S13454">
        <v>1</v>
      </c>
      <c r="T13454">
        <v>0</v>
      </c>
      <c r="U13454">
        <v>0</v>
      </c>
      <c r="V13454">
        <v>0</v>
      </c>
      <c r="W13454">
        <v>1</v>
      </c>
      <c r="X13454">
        <v>0</v>
      </c>
      <c r="Y13454">
        <v>0</v>
      </c>
      <c r="Z13454">
        <v>1</v>
      </c>
      <c r="AA13454">
        <v>0</v>
      </c>
      <c r="AB13454">
        <v>0</v>
      </c>
      <c r="AC13454">
        <v>1</v>
      </c>
      <c r="AD13454">
        <v>0</v>
      </c>
      <c r="AE13454">
        <v>0</v>
      </c>
      <c r="AF13454">
        <v>0</v>
      </c>
      <c r="AG13454">
        <v>1</v>
      </c>
      <c r="AH13454">
        <v>1</v>
      </c>
      <c r="AI13454">
        <v>0</v>
      </c>
      <c r="AJ13454">
        <v>1</v>
      </c>
      <c r="AK13454">
        <v>0</v>
      </c>
      <c r="AL13454">
        <v>1</v>
      </c>
      <c r="AM13454">
        <v>1</v>
      </c>
    </row>
    <row r="13455" spans="1:39" x14ac:dyDescent="0.2">
      <c r="A13455" t="str">
        <f>"13451"</f>
        <v>13451</v>
      </c>
      <c r="B13455" t="str">
        <f t="shared" si="747"/>
        <v>1</v>
      </c>
      <c r="C13455" t="str">
        <f t="shared" ref="C13455:C13486" si="749">"270"</f>
        <v>270</v>
      </c>
      <c r="D13455" t="str">
        <f>"34"</f>
        <v>34</v>
      </c>
      <c r="E13455" t="str">
        <f>"1-270-34"</f>
        <v>1-270-34</v>
      </c>
      <c r="F13455" t="s">
        <v>65</v>
      </c>
      <c r="G13455" t="s">
        <v>66</v>
      </c>
      <c r="H13455" t="s">
        <v>67</v>
      </c>
      <c r="S13455">
        <v>1</v>
      </c>
      <c r="T13455">
        <v>0</v>
      </c>
      <c r="U13455">
        <v>0</v>
      </c>
      <c r="V13455">
        <v>0</v>
      </c>
      <c r="W13455">
        <v>1</v>
      </c>
      <c r="X13455">
        <v>0</v>
      </c>
      <c r="Y13455">
        <v>0</v>
      </c>
      <c r="Z13455">
        <v>1</v>
      </c>
      <c r="AA13455">
        <v>0</v>
      </c>
      <c r="AB13455">
        <v>0</v>
      </c>
      <c r="AC13455">
        <v>1</v>
      </c>
      <c r="AD13455">
        <v>1</v>
      </c>
      <c r="AE13455">
        <v>1</v>
      </c>
      <c r="AF13455">
        <v>1</v>
      </c>
      <c r="AG13455">
        <v>1</v>
      </c>
      <c r="AH13455">
        <v>1</v>
      </c>
      <c r="AI13455">
        <v>1</v>
      </c>
      <c r="AJ13455">
        <v>1</v>
      </c>
      <c r="AK13455">
        <v>1</v>
      </c>
      <c r="AL13455">
        <v>1</v>
      </c>
      <c r="AM13455">
        <v>1</v>
      </c>
    </row>
    <row r="13456" spans="1:39" x14ac:dyDescent="0.2">
      <c r="A13456" t="str">
        <f>"13452"</f>
        <v>13452</v>
      </c>
      <c r="B13456" t="str">
        <f t="shared" si="747"/>
        <v>1</v>
      </c>
      <c r="C13456" t="str">
        <f t="shared" si="749"/>
        <v>270</v>
      </c>
      <c r="D13456" t="str">
        <f>"33"</f>
        <v>33</v>
      </c>
      <c r="E13456" t="str">
        <f>"1-270-33"</f>
        <v>1-270-33</v>
      </c>
      <c r="F13456" t="s">
        <v>65</v>
      </c>
      <c r="G13456" t="s">
        <v>66</v>
      </c>
      <c r="H13456" t="s">
        <v>67</v>
      </c>
      <c r="S13456">
        <v>1</v>
      </c>
      <c r="T13456">
        <v>0</v>
      </c>
      <c r="U13456">
        <v>0</v>
      </c>
      <c r="V13456">
        <v>0</v>
      </c>
      <c r="W13456">
        <v>1</v>
      </c>
      <c r="X13456">
        <v>0</v>
      </c>
      <c r="Y13456">
        <v>1</v>
      </c>
      <c r="Z13456">
        <v>0</v>
      </c>
      <c r="AA13456">
        <v>0</v>
      </c>
      <c r="AB13456">
        <v>1</v>
      </c>
      <c r="AC13456">
        <v>0</v>
      </c>
      <c r="AD13456">
        <v>1</v>
      </c>
      <c r="AE13456">
        <v>1</v>
      </c>
      <c r="AF13456">
        <v>1</v>
      </c>
      <c r="AG13456">
        <v>1</v>
      </c>
      <c r="AH13456">
        <v>1</v>
      </c>
      <c r="AI13456">
        <v>1</v>
      </c>
      <c r="AJ13456">
        <v>1</v>
      </c>
      <c r="AK13456">
        <v>1</v>
      </c>
      <c r="AL13456">
        <v>1</v>
      </c>
      <c r="AM13456">
        <v>1</v>
      </c>
    </row>
    <row r="13457" spans="1:39" x14ac:dyDescent="0.2">
      <c r="A13457" t="str">
        <f>"13453"</f>
        <v>13453</v>
      </c>
      <c r="B13457" t="str">
        <f t="shared" si="747"/>
        <v>1</v>
      </c>
      <c r="C13457" t="str">
        <f t="shared" si="749"/>
        <v>270</v>
      </c>
      <c r="D13457" t="str">
        <f>"22"</f>
        <v>22</v>
      </c>
      <c r="E13457" t="str">
        <f>"1-270-22"</f>
        <v>1-270-22</v>
      </c>
      <c r="F13457" t="s">
        <v>65</v>
      </c>
      <c r="G13457" t="s">
        <v>66</v>
      </c>
      <c r="H13457" t="s">
        <v>67</v>
      </c>
      <c r="S13457">
        <v>1</v>
      </c>
      <c r="T13457">
        <v>0</v>
      </c>
      <c r="U13457">
        <v>0</v>
      </c>
      <c r="V13457">
        <v>0</v>
      </c>
      <c r="W13457">
        <v>1</v>
      </c>
      <c r="X13457">
        <v>0</v>
      </c>
      <c r="Y13457">
        <v>1</v>
      </c>
      <c r="Z13457">
        <v>0</v>
      </c>
      <c r="AA13457">
        <v>1</v>
      </c>
      <c r="AB13457">
        <v>0</v>
      </c>
      <c r="AC13457">
        <v>0</v>
      </c>
      <c r="AD13457">
        <v>1</v>
      </c>
      <c r="AE13457">
        <v>1</v>
      </c>
      <c r="AF13457">
        <v>1</v>
      </c>
      <c r="AG13457">
        <v>1</v>
      </c>
      <c r="AH13457">
        <v>1</v>
      </c>
      <c r="AI13457">
        <v>1</v>
      </c>
      <c r="AJ13457">
        <v>1</v>
      </c>
      <c r="AK13457">
        <v>1</v>
      </c>
      <c r="AL13457">
        <v>1</v>
      </c>
      <c r="AM13457">
        <v>1</v>
      </c>
    </row>
    <row r="13458" spans="1:39" x14ac:dyDescent="0.2">
      <c r="A13458" t="str">
        <f>"13454"</f>
        <v>13454</v>
      </c>
      <c r="B13458" t="str">
        <f t="shared" si="747"/>
        <v>1</v>
      </c>
      <c r="C13458" t="str">
        <f t="shared" si="749"/>
        <v>270</v>
      </c>
      <c r="D13458" t="str">
        <f>"15"</f>
        <v>15</v>
      </c>
      <c r="E13458" t="str">
        <f>"1-270-15"</f>
        <v>1-270-15</v>
      </c>
      <c r="F13458" t="s">
        <v>65</v>
      </c>
      <c r="G13458" t="s">
        <v>66</v>
      </c>
      <c r="H13458" t="s">
        <v>67</v>
      </c>
      <c r="S13458">
        <v>0</v>
      </c>
      <c r="T13458">
        <v>0</v>
      </c>
      <c r="U13458">
        <v>0</v>
      </c>
      <c r="V13458">
        <v>0</v>
      </c>
      <c r="W13458">
        <v>1</v>
      </c>
      <c r="X13458">
        <v>0</v>
      </c>
      <c r="Y13458">
        <v>1</v>
      </c>
      <c r="Z13458">
        <v>0</v>
      </c>
      <c r="AA13458">
        <v>0</v>
      </c>
      <c r="AB13458">
        <v>0</v>
      </c>
      <c r="AC13458">
        <v>0</v>
      </c>
      <c r="AD13458">
        <v>0</v>
      </c>
      <c r="AE13458">
        <v>0</v>
      </c>
      <c r="AF13458">
        <v>0</v>
      </c>
      <c r="AG13458">
        <v>0</v>
      </c>
      <c r="AH13458">
        <v>0</v>
      </c>
      <c r="AI13458">
        <v>0</v>
      </c>
      <c r="AJ13458">
        <v>0</v>
      </c>
      <c r="AK13458">
        <v>0</v>
      </c>
      <c r="AL13458">
        <v>0</v>
      </c>
      <c r="AM13458">
        <v>0</v>
      </c>
    </row>
    <row r="13459" spans="1:39" x14ac:dyDescent="0.2">
      <c r="A13459" t="str">
        <f>"13455"</f>
        <v>13455</v>
      </c>
      <c r="B13459" t="str">
        <f t="shared" si="747"/>
        <v>1</v>
      </c>
      <c r="C13459" t="str">
        <f t="shared" si="749"/>
        <v>270</v>
      </c>
      <c r="D13459" t="str">
        <f>"11"</f>
        <v>11</v>
      </c>
      <c r="E13459" t="str">
        <f>"1-270-11"</f>
        <v>1-270-11</v>
      </c>
      <c r="F13459" t="s">
        <v>65</v>
      </c>
      <c r="G13459" t="s">
        <v>66</v>
      </c>
      <c r="H13459" t="s">
        <v>67</v>
      </c>
      <c r="S13459">
        <v>0</v>
      </c>
      <c r="T13459">
        <v>1</v>
      </c>
      <c r="U13459">
        <v>0</v>
      </c>
      <c r="V13459">
        <v>0</v>
      </c>
      <c r="W13459">
        <v>1</v>
      </c>
      <c r="X13459">
        <v>0</v>
      </c>
      <c r="Y13459">
        <v>1</v>
      </c>
      <c r="Z13459">
        <v>0</v>
      </c>
      <c r="AA13459">
        <v>1</v>
      </c>
      <c r="AB13459">
        <v>0</v>
      </c>
      <c r="AC13459">
        <v>0</v>
      </c>
      <c r="AD13459">
        <v>1</v>
      </c>
      <c r="AE13459">
        <v>1</v>
      </c>
      <c r="AF13459">
        <v>1</v>
      </c>
      <c r="AG13459">
        <v>1</v>
      </c>
      <c r="AH13459">
        <v>1</v>
      </c>
      <c r="AI13459">
        <v>1</v>
      </c>
      <c r="AJ13459">
        <v>1</v>
      </c>
      <c r="AK13459">
        <v>1</v>
      </c>
      <c r="AL13459">
        <v>1</v>
      </c>
      <c r="AM13459">
        <v>1</v>
      </c>
    </row>
    <row r="13460" spans="1:39" x14ac:dyDescent="0.2">
      <c r="A13460" t="str">
        <f>"13456"</f>
        <v>13456</v>
      </c>
      <c r="B13460" t="str">
        <f t="shared" si="747"/>
        <v>1</v>
      </c>
      <c r="C13460" t="str">
        <f t="shared" si="749"/>
        <v>270</v>
      </c>
      <c r="D13460" t="str">
        <f>"45"</f>
        <v>45</v>
      </c>
      <c r="E13460" t="str">
        <f>"1-270-45"</f>
        <v>1-270-45</v>
      </c>
      <c r="F13460" t="s">
        <v>65</v>
      </c>
      <c r="G13460" t="s">
        <v>66</v>
      </c>
      <c r="H13460" t="s">
        <v>67</v>
      </c>
      <c r="S13460">
        <v>0</v>
      </c>
      <c r="T13460">
        <v>1</v>
      </c>
      <c r="U13460">
        <v>0</v>
      </c>
      <c r="V13460">
        <v>0</v>
      </c>
      <c r="W13460">
        <v>1</v>
      </c>
      <c r="X13460">
        <v>0</v>
      </c>
      <c r="Y13460">
        <v>1</v>
      </c>
      <c r="Z13460">
        <v>0</v>
      </c>
      <c r="AA13460">
        <v>0</v>
      </c>
      <c r="AB13460">
        <v>1</v>
      </c>
      <c r="AC13460">
        <v>0</v>
      </c>
      <c r="AD13460">
        <v>1</v>
      </c>
      <c r="AE13460">
        <v>1</v>
      </c>
      <c r="AF13460">
        <v>1</v>
      </c>
      <c r="AG13460">
        <v>1</v>
      </c>
      <c r="AH13460">
        <v>1</v>
      </c>
      <c r="AI13460">
        <v>1</v>
      </c>
      <c r="AJ13460">
        <v>1</v>
      </c>
      <c r="AK13460">
        <v>1</v>
      </c>
      <c r="AL13460">
        <v>1</v>
      </c>
      <c r="AM13460">
        <v>1</v>
      </c>
    </row>
    <row r="13461" spans="1:39" x14ac:dyDescent="0.2">
      <c r="A13461" t="str">
        <f>"13457"</f>
        <v>13457</v>
      </c>
      <c r="B13461" t="str">
        <f t="shared" si="747"/>
        <v>1</v>
      </c>
      <c r="C13461" t="str">
        <f t="shared" si="749"/>
        <v>270</v>
      </c>
      <c r="D13461" t="str">
        <f>"44"</f>
        <v>44</v>
      </c>
      <c r="E13461" t="str">
        <f>"1-270-44"</f>
        <v>1-270-44</v>
      </c>
      <c r="F13461" t="s">
        <v>65</v>
      </c>
      <c r="G13461" t="s">
        <v>66</v>
      </c>
      <c r="H13461" t="s">
        <v>67</v>
      </c>
      <c r="S13461">
        <v>1</v>
      </c>
      <c r="T13461">
        <v>0</v>
      </c>
      <c r="U13461">
        <v>0</v>
      </c>
      <c r="V13461">
        <v>0</v>
      </c>
      <c r="W13461">
        <v>1</v>
      </c>
      <c r="X13461">
        <v>0</v>
      </c>
      <c r="Y13461">
        <v>0</v>
      </c>
      <c r="Z13461">
        <v>0</v>
      </c>
      <c r="AA13461">
        <v>1</v>
      </c>
      <c r="AB13461">
        <v>0</v>
      </c>
      <c r="AC13461">
        <v>0</v>
      </c>
      <c r="AD13461">
        <v>1</v>
      </c>
      <c r="AE13461">
        <v>1</v>
      </c>
      <c r="AF13461">
        <v>1</v>
      </c>
      <c r="AG13461">
        <v>1</v>
      </c>
      <c r="AH13461">
        <v>1</v>
      </c>
      <c r="AI13461">
        <v>1</v>
      </c>
      <c r="AJ13461">
        <v>1</v>
      </c>
      <c r="AK13461">
        <v>1</v>
      </c>
      <c r="AL13461">
        <v>1</v>
      </c>
      <c r="AM13461">
        <v>1</v>
      </c>
    </row>
    <row r="13462" spans="1:39" x14ac:dyDescent="0.2">
      <c r="A13462" t="str">
        <f>"13458"</f>
        <v>13458</v>
      </c>
      <c r="B13462" t="str">
        <f t="shared" si="747"/>
        <v>1</v>
      </c>
      <c r="C13462" t="str">
        <f t="shared" si="749"/>
        <v>270</v>
      </c>
      <c r="D13462" t="str">
        <f>"31"</f>
        <v>31</v>
      </c>
      <c r="E13462" t="str">
        <f>"1-270-31"</f>
        <v>1-270-31</v>
      </c>
      <c r="F13462" t="s">
        <v>65</v>
      </c>
      <c r="G13462" t="s">
        <v>66</v>
      </c>
      <c r="H13462" t="s">
        <v>67</v>
      </c>
      <c r="S13462">
        <v>1</v>
      </c>
      <c r="T13462">
        <v>0</v>
      </c>
      <c r="U13462">
        <v>0</v>
      </c>
      <c r="V13462">
        <v>0</v>
      </c>
      <c r="W13462">
        <v>1</v>
      </c>
      <c r="X13462">
        <v>0</v>
      </c>
      <c r="Y13462">
        <v>1</v>
      </c>
      <c r="Z13462">
        <v>0</v>
      </c>
      <c r="AA13462">
        <v>0</v>
      </c>
      <c r="AB13462">
        <v>0</v>
      </c>
      <c r="AC13462">
        <v>1</v>
      </c>
      <c r="AD13462">
        <v>1</v>
      </c>
      <c r="AE13462">
        <v>1</v>
      </c>
      <c r="AF13462">
        <v>1</v>
      </c>
      <c r="AG13462">
        <v>1</v>
      </c>
      <c r="AH13462">
        <v>1</v>
      </c>
      <c r="AI13462">
        <v>1</v>
      </c>
      <c r="AJ13462">
        <v>1</v>
      </c>
      <c r="AK13462">
        <v>1</v>
      </c>
      <c r="AL13462">
        <v>1</v>
      </c>
      <c r="AM13462">
        <v>1</v>
      </c>
    </row>
    <row r="13463" spans="1:39" x14ac:dyDescent="0.2">
      <c r="A13463" t="str">
        <f>"13459"</f>
        <v>13459</v>
      </c>
      <c r="B13463" t="str">
        <f t="shared" si="747"/>
        <v>1</v>
      </c>
      <c r="C13463" t="str">
        <f t="shared" si="749"/>
        <v>270</v>
      </c>
      <c r="D13463" t="str">
        <f>"16"</f>
        <v>16</v>
      </c>
      <c r="E13463" t="str">
        <f>"1-270-16"</f>
        <v>1-270-16</v>
      </c>
      <c r="F13463" t="s">
        <v>65</v>
      </c>
      <c r="G13463" t="s">
        <v>66</v>
      </c>
      <c r="H13463" t="s">
        <v>67</v>
      </c>
      <c r="S13463">
        <v>1</v>
      </c>
      <c r="T13463">
        <v>0</v>
      </c>
      <c r="U13463">
        <v>0</v>
      </c>
      <c r="V13463">
        <v>0</v>
      </c>
      <c r="W13463">
        <v>1</v>
      </c>
      <c r="X13463">
        <v>0</v>
      </c>
      <c r="Y13463">
        <v>1</v>
      </c>
      <c r="Z13463">
        <v>0</v>
      </c>
      <c r="AA13463">
        <v>0</v>
      </c>
      <c r="AB13463">
        <v>0</v>
      </c>
      <c r="AC13463">
        <v>1</v>
      </c>
      <c r="AD13463">
        <v>0</v>
      </c>
      <c r="AE13463">
        <v>0</v>
      </c>
      <c r="AF13463">
        <v>0</v>
      </c>
      <c r="AG13463">
        <v>0</v>
      </c>
      <c r="AH13463">
        <v>0</v>
      </c>
      <c r="AI13463">
        <v>0</v>
      </c>
      <c r="AJ13463">
        <v>0</v>
      </c>
      <c r="AK13463">
        <v>0</v>
      </c>
      <c r="AL13463">
        <v>0</v>
      </c>
      <c r="AM13463">
        <v>0</v>
      </c>
    </row>
    <row r="13464" spans="1:39" x14ac:dyDescent="0.2">
      <c r="A13464" t="str">
        <f>"13460"</f>
        <v>13460</v>
      </c>
      <c r="B13464" t="str">
        <f t="shared" si="747"/>
        <v>1</v>
      </c>
      <c r="C13464" t="str">
        <f t="shared" si="749"/>
        <v>270</v>
      </c>
      <c r="D13464" t="str">
        <f>"47"</f>
        <v>47</v>
      </c>
      <c r="E13464" t="str">
        <f>"1-270-47"</f>
        <v>1-270-47</v>
      </c>
      <c r="F13464" t="s">
        <v>65</v>
      </c>
      <c r="G13464" t="s">
        <v>66</v>
      </c>
      <c r="H13464" t="s">
        <v>67</v>
      </c>
      <c r="S13464">
        <v>0</v>
      </c>
      <c r="T13464">
        <v>1</v>
      </c>
      <c r="U13464">
        <v>0</v>
      </c>
      <c r="V13464">
        <v>0</v>
      </c>
      <c r="W13464">
        <v>1</v>
      </c>
      <c r="X13464">
        <v>0</v>
      </c>
      <c r="Y13464">
        <v>0</v>
      </c>
      <c r="Z13464">
        <v>1</v>
      </c>
      <c r="AA13464">
        <v>0</v>
      </c>
      <c r="AB13464">
        <v>0</v>
      </c>
      <c r="AC13464">
        <v>1</v>
      </c>
      <c r="AD13464">
        <v>1</v>
      </c>
      <c r="AE13464">
        <v>1</v>
      </c>
      <c r="AF13464">
        <v>1</v>
      </c>
      <c r="AG13464">
        <v>1</v>
      </c>
      <c r="AH13464">
        <v>1</v>
      </c>
      <c r="AI13464">
        <v>1</v>
      </c>
      <c r="AJ13464">
        <v>1</v>
      </c>
      <c r="AK13464">
        <v>1</v>
      </c>
      <c r="AL13464">
        <v>1</v>
      </c>
      <c r="AM13464">
        <v>1</v>
      </c>
    </row>
    <row r="13465" spans="1:39" x14ac:dyDescent="0.2">
      <c r="A13465" t="str">
        <f>"13461"</f>
        <v>13461</v>
      </c>
      <c r="B13465" t="str">
        <f t="shared" si="747"/>
        <v>1</v>
      </c>
      <c r="C13465" t="str">
        <f t="shared" si="749"/>
        <v>270</v>
      </c>
      <c r="D13465" t="str">
        <f>"46"</f>
        <v>46</v>
      </c>
      <c r="E13465" t="str">
        <f>"1-270-46"</f>
        <v>1-270-46</v>
      </c>
      <c r="F13465" t="s">
        <v>65</v>
      </c>
      <c r="G13465" t="s">
        <v>66</v>
      </c>
      <c r="H13465" t="s">
        <v>67</v>
      </c>
      <c r="S13465">
        <v>0</v>
      </c>
      <c r="T13465">
        <v>0</v>
      </c>
      <c r="U13465">
        <v>0</v>
      </c>
      <c r="V13465">
        <v>0</v>
      </c>
      <c r="W13465">
        <v>0</v>
      </c>
      <c r="X13465">
        <v>1</v>
      </c>
      <c r="Y13465">
        <v>0</v>
      </c>
      <c r="Z13465">
        <v>0</v>
      </c>
      <c r="AA13465">
        <v>0</v>
      </c>
      <c r="AB13465">
        <v>1</v>
      </c>
      <c r="AC13465">
        <v>0</v>
      </c>
      <c r="AD13465">
        <v>0</v>
      </c>
      <c r="AE13465">
        <v>0</v>
      </c>
      <c r="AF13465">
        <v>0</v>
      </c>
      <c r="AG13465">
        <v>0</v>
      </c>
      <c r="AH13465">
        <v>0</v>
      </c>
      <c r="AI13465">
        <v>0</v>
      </c>
      <c r="AJ13465">
        <v>0</v>
      </c>
      <c r="AK13465">
        <v>0</v>
      </c>
      <c r="AL13465">
        <v>0</v>
      </c>
      <c r="AM13465">
        <v>0</v>
      </c>
    </row>
    <row r="13466" spans="1:39" x14ac:dyDescent="0.2">
      <c r="A13466" t="str">
        <f>"13462"</f>
        <v>13462</v>
      </c>
      <c r="B13466" t="str">
        <f t="shared" si="747"/>
        <v>1</v>
      </c>
      <c r="C13466" t="str">
        <f t="shared" si="749"/>
        <v>270</v>
      </c>
      <c r="D13466" t="str">
        <f>"17"</f>
        <v>17</v>
      </c>
      <c r="E13466" t="str">
        <f>"1-270-17"</f>
        <v>1-270-17</v>
      </c>
      <c r="F13466" t="s">
        <v>65</v>
      </c>
      <c r="G13466" t="s">
        <v>66</v>
      </c>
      <c r="H13466" t="s">
        <v>67</v>
      </c>
      <c r="S13466">
        <v>1</v>
      </c>
      <c r="T13466">
        <v>0</v>
      </c>
      <c r="U13466">
        <v>0</v>
      </c>
      <c r="V13466">
        <v>0</v>
      </c>
      <c r="W13466">
        <v>1</v>
      </c>
      <c r="X13466">
        <v>0</v>
      </c>
      <c r="Y13466">
        <v>1</v>
      </c>
      <c r="Z13466">
        <v>0</v>
      </c>
      <c r="AA13466">
        <v>0</v>
      </c>
      <c r="AB13466">
        <v>1</v>
      </c>
      <c r="AC13466">
        <v>0</v>
      </c>
      <c r="AD13466">
        <v>0</v>
      </c>
      <c r="AE13466">
        <v>1</v>
      </c>
      <c r="AF13466">
        <v>0</v>
      </c>
      <c r="AG13466">
        <v>1</v>
      </c>
      <c r="AH13466">
        <v>0</v>
      </c>
      <c r="AI13466">
        <v>0</v>
      </c>
      <c r="AJ13466">
        <v>0</v>
      </c>
      <c r="AK13466">
        <v>1</v>
      </c>
      <c r="AL13466">
        <v>1</v>
      </c>
      <c r="AM13466">
        <v>0</v>
      </c>
    </row>
    <row r="13467" spans="1:39" x14ac:dyDescent="0.2">
      <c r="A13467" t="str">
        <f>"13463"</f>
        <v>13463</v>
      </c>
      <c r="B13467" t="str">
        <f t="shared" si="747"/>
        <v>1</v>
      </c>
      <c r="C13467" t="str">
        <f t="shared" si="749"/>
        <v>270</v>
      </c>
      <c r="D13467" t="str">
        <f>"13"</f>
        <v>13</v>
      </c>
      <c r="E13467" t="str">
        <f>"1-270-13"</f>
        <v>1-270-13</v>
      </c>
      <c r="F13467" t="s">
        <v>65</v>
      </c>
      <c r="G13467" t="s">
        <v>66</v>
      </c>
      <c r="H13467" t="s">
        <v>67</v>
      </c>
      <c r="S13467">
        <v>1</v>
      </c>
      <c r="T13467">
        <v>0</v>
      </c>
      <c r="U13467">
        <v>0</v>
      </c>
      <c r="V13467">
        <v>0</v>
      </c>
      <c r="W13467">
        <v>1</v>
      </c>
      <c r="X13467">
        <v>0</v>
      </c>
      <c r="Y13467">
        <v>0</v>
      </c>
      <c r="Z13467">
        <v>1</v>
      </c>
      <c r="AA13467">
        <v>1</v>
      </c>
      <c r="AB13467">
        <v>0</v>
      </c>
      <c r="AC13467">
        <v>0</v>
      </c>
      <c r="AD13467">
        <v>1</v>
      </c>
      <c r="AE13467">
        <v>1</v>
      </c>
      <c r="AF13467">
        <v>1</v>
      </c>
      <c r="AG13467">
        <v>1</v>
      </c>
      <c r="AH13467">
        <v>1</v>
      </c>
      <c r="AI13467">
        <v>1</v>
      </c>
      <c r="AJ13467">
        <v>1</v>
      </c>
      <c r="AK13467">
        <v>1</v>
      </c>
      <c r="AL13467">
        <v>1</v>
      </c>
      <c r="AM13467">
        <v>1</v>
      </c>
    </row>
    <row r="13468" spans="1:39" x14ac:dyDescent="0.2">
      <c r="A13468" t="str">
        <f>"13464"</f>
        <v>13464</v>
      </c>
      <c r="B13468" t="str">
        <f t="shared" si="747"/>
        <v>1</v>
      </c>
      <c r="C13468" t="str">
        <f t="shared" si="749"/>
        <v>270</v>
      </c>
      <c r="D13468" t="str">
        <f>"38"</f>
        <v>38</v>
      </c>
      <c r="E13468" t="str">
        <f>"1-270-38"</f>
        <v>1-270-38</v>
      </c>
      <c r="F13468" t="s">
        <v>65</v>
      </c>
      <c r="G13468" t="s">
        <v>66</v>
      </c>
      <c r="H13468" t="s">
        <v>67</v>
      </c>
      <c r="S13468">
        <v>1</v>
      </c>
      <c r="T13468">
        <v>0</v>
      </c>
      <c r="U13468">
        <v>0</v>
      </c>
      <c r="V13468">
        <v>0</v>
      </c>
      <c r="W13468">
        <v>0</v>
      </c>
      <c r="X13468">
        <v>1</v>
      </c>
      <c r="Y13468">
        <v>0</v>
      </c>
      <c r="Z13468">
        <v>1</v>
      </c>
      <c r="AA13468">
        <v>0</v>
      </c>
      <c r="AB13468">
        <v>1</v>
      </c>
      <c r="AC13468">
        <v>0</v>
      </c>
      <c r="AD13468">
        <v>1</v>
      </c>
      <c r="AE13468">
        <v>1</v>
      </c>
      <c r="AF13468">
        <v>1</v>
      </c>
      <c r="AG13468">
        <v>1</v>
      </c>
      <c r="AH13468">
        <v>1</v>
      </c>
      <c r="AI13468">
        <v>1</v>
      </c>
      <c r="AJ13468">
        <v>1</v>
      </c>
      <c r="AK13468">
        <v>1</v>
      </c>
      <c r="AL13468">
        <v>1</v>
      </c>
      <c r="AM13468">
        <v>1</v>
      </c>
    </row>
    <row r="13469" spans="1:39" x14ac:dyDescent="0.2">
      <c r="A13469" t="str">
        <f>"13465"</f>
        <v>13465</v>
      </c>
      <c r="B13469" t="str">
        <f t="shared" si="747"/>
        <v>1</v>
      </c>
      <c r="C13469" t="str">
        <f t="shared" si="749"/>
        <v>270</v>
      </c>
      <c r="D13469" t="str">
        <f>"37"</f>
        <v>37</v>
      </c>
      <c r="E13469" t="str">
        <f>"1-270-37"</f>
        <v>1-270-37</v>
      </c>
      <c r="F13469" t="s">
        <v>65</v>
      </c>
      <c r="G13469" t="s">
        <v>66</v>
      </c>
      <c r="H13469" t="s">
        <v>67</v>
      </c>
      <c r="S13469">
        <v>1</v>
      </c>
      <c r="T13469">
        <v>0</v>
      </c>
      <c r="U13469">
        <v>0</v>
      </c>
      <c r="V13469">
        <v>0</v>
      </c>
      <c r="W13469">
        <v>1</v>
      </c>
      <c r="X13469">
        <v>0</v>
      </c>
      <c r="Y13469">
        <v>1</v>
      </c>
      <c r="Z13469">
        <v>0</v>
      </c>
      <c r="AA13469">
        <v>1</v>
      </c>
      <c r="AB13469">
        <v>0</v>
      </c>
      <c r="AC13469">
        <v>0</v>
      </c>
      <c r="AD13469">
        <v>0</v>
      </c>
      <c r="AE13469">
        <v>0</v>
      </c>
      <c r="AF13469">
        <v>0</v>
      </c>
      <c r="AG13469">
        <v>0</v>
      </c>
      <c r="AH13469">
        <v>0</v>
      </c>
      <c r="AI13469">
        <v>0</v>
      </c>
      <c r="AJ13469">
        <v>0</v>
      </c>
      <c r="AK13469">
        <v>0</v>
      </c>
      <c r="AL13469">
        <v>0</v>
      </c>
      <c r="AM13469">
        <v>0</v>
      </c>
    </row>
    <row r="13470" spans="1:39" x14ac:dyDescent="0.2">
      <c r="A13470" t="str">
        <f>"13466"</f>
        <v>13466</v>
      </c>
      <c r="B13470" t="str">
        <f t="shared" si="747"/>
        <v>1</v>
      </c>
      <c r="C13470" t="str">
        <f t="shared" si="749"/>
        <v>270</v>
      </c>
      <c r="D13470" t="str">
        <f>"30"</f>
        <v>30</v>
      </c>
      <c r="E13470" t="str">
        <f>"1-270-30"</f>
        <v>1-270-30</v>
      </c>
      <c r="F13470" t="s">
        <v>65</v>
      </c>
      <c r="G13470" t="s">
        <v>66</v>
      </c>
      <c r="H13470" t="s">
        <v>67</v>
      </c>
      <c r="S13470">
        <v>1</v>
      </c>
      <c r="T13470">
        <v>0</v>
      </c>
      <c r="U13470">
        <v>0</v>
      </c>
      <c r="V13470">
        <v>0</v>
      </c>
      <c r="W13470">
        <v>1</v>
      </c>
      <c r="X13470">
        <v>0</v>
      </c>
      <c r="Y13470">
        <v>1</v>
      </c>
      <c r="Z13470">
        <v>0</v>
      </c>
      <c r="AA13470">
        <v>1</v>
      </c>
      <c r="AB13470">
        <v>0</v>
      </c>
      <c r="AC13470">
        <v>0</v>
      </c>
      <c r="AD13470">
        <v>0</v>
      </c>
      <c r="AE13470">
        <v>0</v>
      </c>
      <c r="AF13470">
        <v>0</v>
      </c>
      <c r="AG13470">
        <v>0</v>
      </c>
      <c r="AH13470">
        <v>0</v>
      </c>
      <c r="AI13470">
        <v>0</v>
      </c>
      <c r="AJ13470">
        <v>0</v>
      </c>
      <c r="AK13470">
        <v>0</v>
      </c>
      <c r="AL13470">
        <v>0</v>
      </c>
      <c r="AM13470">
        <v>0</v>
      </c>
    </row>
    <row r="13471" spans="1:39" x14ac:dyDescent="0.2">
      <c r="A13471" t="str">
        <f>"13467"</f>
        <v>13467</v>
      </c>
      <c r="B13471" t="str">
        <f t="shared" si="747"/>
        <v>1</v>
      </c>
      <c r="C13471" t="str">
        <f t="shared" si="749"/>
        <v>270</v>
      </c>
      <c r="D13471" t="str">
        <f>"18"</f>
        <v>18</v>
      </c>
      <c r="E13471" t="str">
        <f>"1-270-18"</f>
        <v>1-270-18</v>
      </c>
      <c r="F13471" t="s">
        <v>65</v>
      </c>
      <c r="G13471" t="s">
        <v>66</v>
      </c>
      <c r="H13471" t="s">
        <v>67</v>
      </c>
      <c r="S13471">
        <v>1</v>
      </c>
      <c r="T13471">
        <v>0</v>
      </c>
      <c r="U13471">
        <v>0</v>
      </c>
      <c r="V13471">
        <v>0</v>
      </c>
      <c r="W13471">
        <v>1</v>
      </c>
      <c r="X13471">
        <v>0</v>
      </c>
      <c r="Y13471">
        <v>0</v>
      </c>
      <c r="Z13471">
        <v>1</v>
      </c>
      <c r="AA13471">
        <v>1</v>
      </c>
      <c r="AB13471">
        <v>0</v>
      </c>
      <c r="AC13471">
        <v>0</v>
      </c>
      <c r="AD13471">
        <v>0</v>
      </c>
      <c r="AE13471">
        <v>0</v>
      </c>
      <c r="AF13471">
        <v>0</v>
      </c>
      <c r="AG13471">
        <v>1</v>
      </c>
      <c r="AH13471">
        <v>0</v>
      </c>
      <c r="AI13471">
        <v>0</v>
      </c>
      <c r="AJ13471">
        <v>0</v>
      </c>
      <c r="AK13471">
        <v>0</v>
      </c>
      <c r="AL13471">
        <v>1</v>
      </c>
      <c r="AM13471">
        <v>0</v>
      </c>
    </row>
    <row r="13472" spans="1:39" x14ac:dyDescent="0.2">
      <c r="A13472" t="str">
        <f>"13468"</f>
        <v>13468</v>
      </c>
      <c r="B13472" t="str">
        <f t="shared" si="747"/>
        <v>1</v>
      </c>
      <c r="C13472" t="str">
        <f t="shared" si="749"/>
        <v>270</v>
      </c>
      <c r="D13472" t="str">
        <f>"9"</f>
        <v>9</v>
      </c>
      <c r="E13472" t="str">
        <f>"1-270-9"</f>
        <v>1-270-9</v>
      </c>
      <c r="F13472" t="s">
        <v>65</v>
      </c>
      <c r="G13472" t="s">
        <v>66</v>
      </c>
      <c r="H13472" t="s">
        <v>67</v>
      </c>
      <c r="S13472">
        <v>1</v>
      </c>
      <c r="T13472">
        <v>0</v>
      </c>
      <c r="U13472">
        <v>0</v>
      </c>
      <c r="V13472">
        <v>0</v>
      </c>
      <c r="W13472">
        <v>1</v>
      </c>
      <c r="X13472">
        <v>0</v>
      </c>
      <c r="Y13472">
        <v>1</v>
      </c>
      <c r="Z13472">
        <v>0</v>
      </c>
      <c r="AA13472">
        <v>1</v>
      </c>
      <c r="AB13472">
        <v>0</v>
      </c>
      <c r="AC13472">
        <v>0</v>
      </c>
      <c r="AD13472">
        <v>0</v>
      </c>
      <c r="AE13472">
        <v>0</v>
      </c>
      <c r="AF13472">
        <v>0</v>
      </c>
      <c r="AG13472">
        <v>0</v>
      </c>
      <c r="AH13472">
        <v>0</v>
      </c>
      <c r="AI13472">
        <v>0</v>
      </c>
      <c r="AJ13472">
        <v>0</v>
      </c>
      <c r="AK13472">
        <v>0</v>
      </c>
      <c r="AL13472">
        <v>0</v>
      </c>
      <c r="AM13472">
        <v>0</v>
      </c>
    </row>
    <row r="13473" spans="1:39" x14ac:dyDescent="0.2">
      <c r="A13473" t="str">
        <f>"13469"</f>
        <v>13469</v>
      </c>
      <c r="B13473" t="str">
        <f t="shared" si="747"/>
        <v>1</v>
      </c>
      <c r="C13473" t="str">
        <f t="shared" si="749"/>
        <v>270</v>
      </c>
      <c r="D13473" t="str">
        <f>"36"</f>
        <v>36</v>
      </c>
      <c r="E13473" t="str">
        <f>"1-270-36"</f>
        <v>1-270-36</v>
      </c>
      <c r="F13473" t="s">
        <v>65</v>
      </c>
      <c r="G13473" t="s">
        <v>66</v>
      </c>
      <c r="H13473" t="s">
        <v>67</v>
      </c>
      <c r="S13473">
        <v>1</v>
      </c>
      <c r="T13473">
        <v>0</v>
      </c>
      <c r="U13473">
        <v>0</v>
      </c>
      <c r="V13473">
        <v>0</v>
      </c>
      <c r="W13473">
        <v>1</v>
      </c>
      <c r="X13473">
        <v>0</v>
      </c>
      <c r="Y13473">
        <v>1</v>
      </c>
      <c r="Z13473">
        <v>0</v>
      </c>
      <c r="AA13473">
        <v>1</v>
      </c>
      <c r="AB13473">
        <v>0</v>
      </c>
      <c r="AC13473">
        <v>0</v>
      </c>
      <c r="AD13473">
        <v>0</v>
      </c>
      <c r="AE13473">
        <v>0</v>
      </c>
      <c r="AF13473">
        <v>0</v>
      </c>
      <c r="AG13473">
        <v>0</v>
      </c>
      <c r="AH13473">
        <v>0</v>
      </c>
      <c r="AI13473">
        <v>0</v>
      </c>
      <c r="AJ13473">
        <v>0</v>
      </c>
      <c r="AK13473">
        <v>0</v>
      </c>
      <c r="AL13473">
        <v>0</v>
      </c>
      <c r="AM13473">
        <v>0</v>
      </c>
    </row>
    <row r="13474" spans="1:39" x14ac:dyDescent="0.2">
      <c r="A13474" t="str">
        <f>"13470"</f>
        <v>13470</v>
      </c>
      <c r="B13474" t="str">
        <f t="shared" si="747"/>
        <v>1</v>
      </c>
      <c r="C13474" t="str">
        <f t="shared" si="749"/>
        <v>270</v>
      </c>
      <c r="D13474" t="str">
        <f>"19"</f>
        <v>19</v>
      </c>
      <c r="E13474" t="str">
        <f>"1-270-19"</f>
        <v>1-270-19</v>
      </c>
      <c r="F13474" t="s">
        <v>65</v>
      </c>
      <c r="G13474" t="s">
        <v>66</v>
      </c>
      <c r="H13474" t="s">
        <v>67</v>
      </c>
      <c r="S13474">
        <v>0</v>
      </c>
      <c r="T13474">
        <v>1</v>
      </c>
      <c r="U13474">
        <v>0</v>
      </c>
      <c r="V13474">
        <v>0</v>
      </c>
      <c r="W13474">
        <v>1</v>
      </c>
      <c r="X13474">
        <v>0</v>
      </c>
      <c r="Y13474">
        <v>0</v>
      </c>
      <c r="Z13474">
        <v>1</v>
      </c>
      <c r="AA13474">
        <v>1</v>
      </c>
      <c r="AB13474">
        <v>0</v>
      </c>
      <c r="AC13474">
        <v>0</v>
      </c>
      <c r="AD13474">
        <v>1</v>
      </c>
      <c r="AE13474">
        <v>1</v>
      </c>
      <c r="AF13474">
        <v>1</v>
      </c>
      <c r="AG13474">
        <v>1</v>
      </c>
      <c r="AH13474">
        <v>1</v>
      </c>
      <c r="AI13474">
        <v>1</v>
      </c>
      <c r="AJ13474">
        <v>1</v>
      </c>
      <c r="AK13474">
        <v>1</v>
      </c>
      <c r="AL13474">
        <v>1</v>
      </c>
      <c r="AM13474">
        <v>1</v>
      </c>
    </row>
    <row r="13475" spans="1:39" x14ac:dyDescent="0.2">
      <c r="A13475" t="str">
        <f>"13471"</f>
        <v>13471</v>
      </c>
      <c r="B13475" t="str">
        <f t="shared" si="747"/>
        <v>1</v>
      </c>
      <c r="C13475" t="str">
        <f t="shared" si="749"/>
        <v>270</v>
      </c>
      <c r="D13475" t="str">
        <f>"8"</f>
        <v>8</v>
      </c>
      <c r="E13475" t="str">
        <f>"1-270-8"</f>
        <v>1-270-8</v>
      </c>
      <c r="F13475" t="s">
        <v>65</v>
      </c>
      <c r="G13475" t="s">
        <v>66</v>
      </c>
      <c r="H13475" t="s">
        <v>67</v>
      </c>
      <c r="S13475">
        <v>0</v>
      </c>
      <c r="T13475">
        <v>1</v>
      </c>
      <c r="U13475">
        <v>0</v>
      </c>
      <c r="V13475">
        <v>0</v>
      </c>
      <c r="W13475">
        <v>1</v>
      </c>
      <c r="X13475">
        <v>0</v>
      </c>
      <c r="Y13475">
        <v>1</v>
      </c>
      <c r="Z13475">
        <v>0</v>
      </c>
      <c r="AA13475">
        <v>1</v>
      </c>
      <c r="AB13475">
        <v>0</v>
      </c>
      <c r="AC13475">
        <v>0</v>
      </c>
      <c r="AD13475">
        <v>1</v>
      </c>
      <c r="AE13475">
        <v>1</v>
      </c>
      <c r="AF13475">
        <v>1</v>
      </c>
      <c r="AG13475">
        <v>1</v>
      </c>
      <c r="AH13475">
        <v>1</v>
      </c>
      <c r="AI13475">
        <v>1</v>
      </c>
      <c r="AJ13475">
        <v>1</v>
      </c>
      <c r="AK13475">
        <v>1</v>
      </c>
      <c r="AL13475">
        <v>1</v>
      </c>
      <c r="AM13475">
        <v>1</v>
      </c>
    </row>
    <row r="13476" spans="1:39" x14ac:dyDescent="0.2">
      <c r="A13476" t="str">
        <f>"13472"</f>
        <v>13472</v>
      </c>
      <c r="B13476" t="str">
        <f t="shared" si="747"/>
        <v>1</v>
      </c>
      <c r="C13476" t="str">
        <f t="shared" si="749"/>
        <v>270</v>
      </c>
      <c r="D13476" t="str">
        <f>"35"</f>
        <v>35</v>
      </c>
      <c r="E13476" t="str">
        <f>"1-270-35"</f>
        <v>1-270-35</v>
      </c>
      <c r="F13476" t="s">
        <v>65</v>
      </c>
      <c r="G13476" t="s">
        <v>66</v>
      </c>
      <c r="H13476" t="s">
        <v>67</v>
      </c>
      <c r="S13476">
        <v>0</v>
      </c>
      <c r="T13476">
        <v>1</v>
      </c>
      <c r="U13476">
        <v>0</v>
      </c>
      <c r="V13476">
        <v>0</v>
      </c>
      <c r="W13476">
        <v>1</v>
      </c>
      <c r="X13476">
        <v>0</v>
      </c>
      <c r="Y13476">
        <v>1</v>
      </c>
      <c r="Z13476">
        <v>0</v>
      </c>
      <c r="AA13476">
        <v>1</v>
      </c>
      <c r="AB13476">
        <v>0</v>
      </c>
      <c r="AC13476">
        <v>0</v>
      </c>
      <c r="AD13476">
        <v>0</v>
      </c>
      <c r="AE13476">
        <v>0</v>
      </c>
      <c r="AF13476">
        <v>0</v>
      </c>
      <c r="AG13476">
        <v>0</v>
      </c>
      <c r="AH13476">
        <v>0</v>
      </c>
      <c r="AI13476">
        <v>0</v>
      </c>
      <c r="AJ13476">
        <v>0</v>
      </c>
      <c r="AK13476">
        <v>0</v>
      </c>
      <c r="AL13476">
        <v>0</v>
      </c>
      <c r="AM13476">
        <v>0</v>
      </c>
    </row>
    <row r="13477" spans="1:39" x14ac:dyDescent="0.2">
      <c r="A13477" t="str">
        <f>"13473"</f>
        <v>13473</v>
      </c>
      <c r="B13477" t="str">
        <f t="shared" si="747"/>
        <v>1</v>
      </c>
      <c r="C13477" t="str">
        <f t="shared" si="749"/>
        <v>270</v>
      </c>
      <c r="D13477" t="str">
        <f>"20"</f>
        <v>20</v>
      </c>
      <c r="E13477" t="str">
        <f>"1-270-20"</f>
        <v>1-270-20</v>
      </c>
      <c r="F13477" t="s">
        <v>65</v>
      </c>
      <c r="G13477" t="s">
        <v>66</v>
      </c>
      <c r="H13477" t="s">
        <v>67</v>
      </c>
      <c r="S13477">
        <v>1</v>
      </c>
      <c r="T13477">
        <v>0</v>
      </c>
      <c r="U13477">
        <v>0</v>
      </c>
      <c r="V13477">
        <v>0</v>
      </c>
      <c r="W13477">
        <v>1</v>
      </c>
      <c r="X13477">
        <v>0</v>
      </c>
      <c r="Y13477">
        <v>1</v>
      </c>
      <c r="Z13477">
        <v>0</v>
      </c>
      <c r="AA13477">
        <v>1</v>
      </c>
      <c r="AB13477">
        <v>0</v>
      </c>
      <c r="AC13477">
        <v>0</v>
      </c>
      <c r="AD13477">
        <v>1</v>
      </c>
      <c r="AE13477">
        <v>1</v>
      </c>
      <c r="AF13477">
        <v>1</v>
      </c>
      <c r="AG13477">
        <v>1</v>
      </c>
      <c r="AH13477">
        <v>1</v>
      </c>
      <c r="AI13477">
        <v>1</v>
      </c>
      <c r="AJ13477">
        <v>1</v>
      </c>
      <c r="AK13477">
        <v>1</v>
      </c>
      <c r="AL13477">
        <v>1</v>
      </c>
      <c r="AM13477">
        <v>1</v>
      </c>
    </row>
    <row r="13478" spans="1:39" x14ac:dyDescent="0.2">
      <c r="A13478" t="str">
        <f>"13474"</f>
        <v>13474</v>
      </c>
      <c r="B13478" t="str">
        <f t="shared" si="747"/>
        <v>1</v>
      </c>
      <c r="C13478" t="str">
        <f t="shared" si="749"/>
        <v>270</v>
      </c>
      <c r="D13478" t="str">
        <f>"4"</f>
        <v>4</v>
      </c>
      <c r="E13478" t="str">
        <f>"1-270-4"</f>
        <v>1-270-4</v>
      </c>
      <c r="F13478" t="s">
        <v>65</v>
      </c>
      <c r="G13478" t="s">
        <v>66</v>
      </c>
      <c r="H13478" t="s">
        <v>67</v>
      </c>
      <c r="S13478">
        <v>1</v>
      </c>
      <c r="T13478">
        <v>0</v>
      </c>
      <c r="U13478">
        <v>0</v>
      </c>
      <c r="V13478">
        <v>0</v>
      </c>
      <c r="W13478">
        <v>1</v>
      </c>
      <c r="X13478">
        <v>0</v>
      </c>
      <c r="Y13478">
        <v>1</v>
      </c>
      <c r="Z13478">
        <v>0</v>
      </c>
      <c r="AA13478">
        <v>1</v>
      </c>
      <c r="AB13478">
        <v>0</v>
      </c>
      <c r="AC13478">
        <v>0</v>
      </c>
      <c r="AD13478">
        <v>1</v>
      </c>
      <c r="AE13478">
        <v>1</v>
      </c>
      <c r="AF13478">
        <v>1</v>
      </c>
      <c r="AG13478">
        <v>1</v>
      </c>
      <c r="AH13478">
        <v>1</v>
      </c>
      <c r="AI13478">
        <v>1</v>
      </c>
      <c r="AJ13478">
        <v>1</v>
      </c>
      <c r="AK13478">
        <v>1</v>
      </c>
      <c r="AL13478">
        <v>1</v>
      </c>
      <c r="AM13478">
        <v>1</v>
      </c>
    </row>
    <row r="13479" spans="1:39" x14ac:dyDescent="0.2">
      <c r="A13479" t="str">
        <f>"13475"</f>
        <v>13475</v>
      </c>
      <c r="B13479" t="str">
        <f t="shared" si="747"/>
        <v>1</v>
      </c>
      <c r="C13479" t="str">
        <f t="shared" si="749"/>
        <v>270</v>
      </c>
      <c r="D13479" t="str">
        <f>"39"</f>
        <v>39</v>
      </c>
      <c r="E13479" t="str">
        <f>"1-270-39"</f>
        <v>1-270-39</v>
      </c>
      <c r="F13479" t="s">
        <v>65</v>
      </c>
      <c r="G13479" t="s">
        <v>66</v>
      </c>
      <c r="H13479" t="s">
        <v>67</v>
      </c>
      <c r="S13479">
        <v>1</v>
      </c>
      <c r="T13479">
        <v>0</v>
      </c>
      <c r="U13479">
        <v>0</v>
      </c>
      <c r="V13479">
        <v>0</v>
      </c>
      <c r="W13479">
        <v>1</v>
      </c>
      <c r="X13479">
        <v>0</v>
      </c>
      <c r="Y13479">
        <v>0</v>
      </c>
      <c r="Z13479">
        <v>1</v>
      </c>
      <c r="AA13479">
        <v>1</v>
      </c>
      <c r="AB13479">
        <v>0</v>
      </c>
      <c r="AC13479">
        <v>0</v>
      </c>
      <c r="AD13479">
        <v>1</v>
      </c>
      <c r="AE13479">
        <v>1</v>
      </c>
      <c r="AF13479">
        <v>1</v>
      </c>
      <c r="AG13479">
        <v>1</v>
      </c>
      <c r="AH13479">
        <v>1</v>
      </c>
      <c r="AI13479">
        <v>1</v>
      </c>
      <c r="AJ13479">
        <v>1</v>
      </c>
      <c r="AK13479">
        <v>1</v>
      </c>
      <c r="AL13479">
        <v>1</v>
      </c>
      <c r="AM13479">
        <v>1</v>
      </c>
    </row>
    <row r="13480" spans="1:39" x14ac:dyDescent="0.2">
      <c r="A13480" t="str">
        <f>"13476"</f>
        <v>13476</v>
      </c>
      <c r="B13480" t="str">
        <f t="shared" si="747"/>
        <v>1</v>
      </c>
      <c r="C13480" t="str">
        <f t="shared" si="749"/>
        <v>270</v>
      </c>
      <c r="D13480" t="str">
        <f>"21"</f>
        <v>21</v>
      </c>
      <c r="E13480" t="str">
        <f>"1-270-21"</f>
        <v>1-270-21</v>
      </c>
      <c r="F13480" t="s">
        <v>65</v>
      </c>
      <c r="G13480" t="s">
        <v>66</v>
      </c>
      <c r="H13480" t="s">
        <v>67</v>
      </c>
      <c r="S13480">
        <v>0</v>
      </c>
      <c r="T13480">
        <v>1</v>
      </c>
      <c r="U13480">
        <v>0</v>
      </c>
      <c r="V13480">
        <v>0</v>
      </c>
      <c r="W13480">
        <v>1</v>
      </c>
      <c r="X13480">
        <v>0</v>
      </c>
      <c r="Y13480">
        <v>0</v>
      </c>
      <c r="Z13480">
        <v>1</v>
      </c>
      <c r="AA13480">
        <v>0</v>
      </c>
      <c r="AB13480">
        <v>1</v>
      </c>
      <c r="AC13480">
        <v>0</v>
      </c>
      <c r="AD13480">
        <v>1</v>
      </c>
      <c r="AE13480">
        <v>1</v>
      </c>
      <c r="AF13480">
        <v>1</v>
      </c>
      <c r="AG13480">
        <v>1</v>
      </c>
      <c r="AH13480">
        <v>1</v>
      </c>
      <c r="AI13480">
        <v>1</v>
      </c>
      <c r="AJ13480">
        <v>1</v>
      </c>
      <c r="AK13480">
        <v>1</v>
      </c>
      <c r="AL13480">
        <v>1</v>
      </c>
      <c r="AM13480">
        <v>1</v>
      </c>
    </row>
    <row r="13481" spans="1:39" x14ac:dyDescent="0.2">
      <c r="A13481" t="str">
        <f>"13477"</f>
        <v>13477</v>
      </c>
      <c r="B13481" t="str">
        <f t="shared" si="747"/>
        <v>1</v>
      </c>
      <c r="C13481" t="str">
        <f t="shared" si="749"/>
        <v>270</v>
      </c>
      <c r="D13481" t="str">
        <f>"2"</f>
        <v>2</v>
      </c>
      <c r="E13481" t="str">
        <f>"1-270-2"</f>
        <v>1-270-2</v>
      </c>
      <c r="F13481" t="s">
        <v>65</v>
      </c>
      <c r="G13481" t="s">
        <v>66</v>
      </c>
      <c r="H13481" t="s">
        <v>67</v>
      </c>
      <c r="S13481">
        <v>1</v>
      </c>
      <c r="T13481">
        <v>0</v>
      </c>
      <c r="U13481">
        <v>0</v>
      </c>
      <c r="V13481">
        <v>0</v>
      </c>
      <c r="W13481">
        <v>1</v>
      </c>
      <c r="X13481">
        <v>0</v>
      </c>
      <c r="Y13481">
        <v>1</v>
      </c>
      <c r="Z13481">
        <v>0</v>
      </c>
      <c r="AA13481">
        <v>0</v>
      </c>
      <c r="AB13481">
        <v>1</v>
      </c>
      <c r="AC13481">
        <v>0</v>
      </c>
      <c r="AD13481">
        <v>1</v>
      </c>
      <c r="AE13481">
        <v>1</v>
      </c>
      <c r="AF13481">
        <v>1</v>
      </c>
      <c r="AG13481">
        <v>1</v>
      </c>
      <c r="AH13481">
        <v>1</v>
      </c>
      <c r="AI13481">
        <v>1</v>
      </c>
      <c r="AJ13481">
        <v>1</v>
      </c>
      <c r="AK13481">
        <v>1</v>
      </c>
      <c r="AL13481">
        <v>1</v>
      </c>
      <c r="AM13481">
        <v>1</v>
      </c>
    </row>
    <row r="13482" spans="1:39" x14ac:dyDescent="0.2">
      <c r="A13482" t="str">
        <f>"13478"</f>
        <v>13478</v>
      </c>
      <c r="B13482" t="str">
        <f t="shared" si="747"/>
        <v>1</v>
      </c>
      <c r="C13482" t="str">
        <f t="shared" si="749"/>
        <v>270</v>
      </c>
      <c r="D13482" t="str">
        <f>"40"</f>
        <v>40</v>
      </c>
      <c r="E13482" t="str">
        <f>"1-270-40"</f>
        <v>1-270-40</v>
      </c>
      <c r="F13482" t="s">
        <v>65</v>
      </c>
      <c r="G13482" t="s">
        <v>66</v>
      </c>
      <c r="H13482" t="s">
        <v>67</v>
      </c>
      <c r="S13482">
        <v>1</v>
      </c>
      <c r="T13482">
        <v>0</v>
      </c>
      <c r="U13482">
        <v>0</v>
      </c>
      <c r="V13482">
        <v>0</v>
      </c>
      <c r="W13482">
        <v>1</v>
      </c>
      <c r="X13482">
        <v>0</v>
      </c>
      <c r="Y13482">
        <v>0</v>
      </c>
      <c r="Z13482">
        <v>1</v>
      </c>
      <c r="AA13482">
        <v>0</v>
      </c>
      <c r="AB13482">
        <v>1</v>
      </c>
      <c r="AC13482">
        <v>0</v>
      </c>
      <c r="AD13482">
        <v>1</v>
      </c>
      <c r="AE13482">
        <v>1</v>
      </c>
      <c r="AF13482">
        <v>1</v>
      </c>
      <c r="AG13482">
        <v>1</v>
      </c>
      <c r="AH13482">
        <v>1</v>
      </c>
      <c r="AI13482">
        <v>1</v>
      </c>
      <c r="AJ13482">
        <v>1</v>
      </c>
      <c r="AK13482">
        <v>1</v>
      </c>
      <c r="AL13482">
        <v>1</v>
      </c>
      <c r="AM13482">
        <v>1</v>
      </c>
    </row>
    <row r="13483" spans="1:39" x14ac:dyDescent="0.2">
      <c r="A13483" t="str">
        <f>"13479"</f>
        <v>13479</v>
      </c>
      <c r="B13483" t="str">
        <f t="shared" si="747"/>
        <v>1</v>
      </c>
      <c r="C13483" t="str">
        <f t="shared" si="749"/>
        <v>270</v>
      </c>
      <c r="D13483" t="str">
        <f>"23"</f>
        <v>23</v>
      </c>
      <c r="E13483" t="str">
        <f>"1-270-23"</f>
        <v>1-270-23</v>
      </c>
      <c r="F13483" t="s">
        <v>65</v>
      </c>
      <c r="G13483" t="s">
        <v>66</v>
      </c>
      <c r="H13483" t="s">
        <v>67</v>
      </c>
      <c r="S13483">
        <v>0</v>
      </c>
      <c r="T13483">
        <v>1</v>
      </c>
      <c r="U13483">
        <v>0</v>
      </c>
      <c r="V13483">
        <v>0</v>
      </c>
      <c r="W13483">
        <v>0</v>
      </c>
      <c r="X13483">
        <v>1</v>
      </c>
      <c r="Y13483">
        <v>1</v>
      </c>
      <c r="Z13483">
        <v>0</v>
      </c>
      <c r="AA13483">
        <v>0</v>
      </c>
      <c r="AB13483">
        <v>0</v>
      </c>
      <c r="AC13483">
        <v>1</v>
      </c>
      <c r="AD13483">
        <v>1</v>
      </c>
      <c r="AE13483">
        <v>1</v>
      </c>
      <c r="AF13483">
        <v>1</v>
      </c>
      <c r="AG13483">
        <v>1</v>
      </c>
      <c r="AH13483">
        <v>1</v>
      </c>
      <c r="AI13483">
        <v>1</v>
      </c>
      <c r="AJ13483">
        <v>1</v>
      </c>
      <c r="AK13483">
        <v>1</v>
      </c>
      <c r="AL13483">
        <v>1</v>
      </c>
      <c r="AM13483">
        <v>1</v>
      </c>
    </row>
    <row r="13484" spans="1:39" x14ac:dyDescent="0.2">
      <c r="A13484" t="str">
        <f>"13480"</f>
        <v>13480</v>
      </c>
      <c r="B13484" t="str">
        <f t="shared" si="747"/>
        <v>1</v>
      </c>
      <c r="C13484" t="str">
        <f t="shared" si="749"/>
        <v>270</v>
      </c>
      <c r="D13484" t="str">
        <f>"10"</f>
        <v>10</v>
      </c>
      <c r="E13484" t="str">
        <f>"1-270-10"</f>
        <v>1-270-10</v>
      </c>
      <c r="F13484" t="s">
        <v>65</v>
      </c>
      <c r="G13484" t="s">
        <v>66</v>
      </c>
      <c r="H13484" t="s">
        <v>67</v>
      </c>
      <c r="S13484">
        <v>0</v>
      </c>
      <c r="T13484">
        <v>1</v>
      </c>
      <c r="U13484">
        <v>0</v>
      </c>
      <c r="V13484">
        <v>0</v>
      </c>
      <c r="W13484">
        <v>1</v>
      </c>
      <c r="X13484">
        <v>0</v>
      </c>
      <c r="Y13484">
        <v>1</v>
      </c>
      <c r="Z13484">
        <v>0</v>
      </c>
      <c r="AA13484">
        <v>1</v>
      </c>
      <c r="AB13484">
        <v>0</v>
      </c>
      <c r="AC13484">
        <v>0</v>
      </c>
      <c r="AD13484">
        <v>1</v>
      </c>
      <c r="AE13484">
        <v>1</v>
      </c>
      <c r="AF13484">
        <v>1</v>
      </c>
      <c r="AG13484">
        <v>1</v>
      </c>
      <c r="AH13484">
        <v>1</v>
      </c>
      <c r="AI13484">
        <v>1</v>
      </c>
      <c r="AJ13484">
        <v>1</v>
      </c>
      <c r="AK13484">
        <v>1</v>
      </c>
      <c r="AL13484">
        <v>1</v>
      </c>
      <c r="AM13484">
        <v>1</v>
      </c>
    </row>
    <row r="13485" spans="1:39" x14ac:dyDescent="0.2">
      <c r="A13485" t="str">
        <f>"13481"</f>
        <v>13481</v>
      </c>
      <c r="B13485" t="str">
        <f t="shared" si="747"/>
        <v>1</v>
      </c>
      <c r="C13485" t="str">
        <f t="shared" si="749"/>
        <v>270</v>
      </c>
      <c r="D13485" t="str">
        <f>"43"</f>
        <v>43</v>
      </c>
      <c r="E13485" t="str">
        <f>"1-270-43"</f>
        <v>1-270-43</v>
      </c>
      <c r="F13485" t="s">
        <v>65</v>
      </c>
      <c r="G13485" t="s">
        <v>66</v>
      </c>
      <c r="H13485" t="s">
        <v>67</v>
      </c>
      <c r="S13485">
        <v>1</v>
      </c>
      <c r="T13485">
        <v>0</v>
      </c>
      <c r="U13485">
        <v>0</v>
      </c>
      <c r="V13485">
        <v>0</v>
      </c>
      <c r="W13485">
        <v>1</v>
      </c>
      <c r="X13485">
        <v>0</v>
      </c>
      <c r="Y13485">
        <v>0</v>
      </c>
      <c r="Z13485">
        <v>1</v>
      </c>
      <c r="AA13485">
        <v>1</v>
      </c>
      <c r="AB13485">
        <v>0</v>
      </c>
      <c r="AC13485">
        <v>0</v>
      </c>
      <c r="AD13485">
        <v>1</v>
      </c>
      <c r="AE13485">
        <v>1</v>
      </c>
      <c r="AF13485">
        <v>1</v>
      </c>
      <c r="AG13485">
        <v>1</v>
      </c>
      <c r="AH13485">
        <v>1</v>
      </c>
      <c r="AI13485">
        <v>1</v>
      </c>
      <c r="AJ13485">
        <v>1</v>
      </c>
      <c r="AK13485">
        <v>1</v>
      </c>
      <c r="AL13485">
        <v>1</v>
      </c>
      <c r="AM13485">
        <v>1</v>
      </c>
    </row>
    <row r="13486" spans="1:39" x14ac:dyDescent="0.2">
      <c r="A13486" t="str">
        <f>"13482"</f>
        <v>13482</v>
      </c>
      <c r="B13486" t="str">
        <f t="shared" si="747"/>
        <v>1</v>
      </c>
      <c r="C13486" t="str">
        <f t="shared" si="749"/>
        <v>270</v>
      </c>
      <c r="D13486" t="str">
        <f>"24"</f>
        <v>24</v>
      </c>
      <c r="E13486" t="str">
        <f>"1-270-24"</f>
        <v>1-270-24</v>
      </c>
      <c r="F13486" t="s">
        <v>65</v>
      </c>
      <c r="G13486" t="s">
        <v>66</v>
      </c>
      <c r="H13486" t="s">
        <v>67</v>
      </c>
      <c r="S13486">
        <v>0</v>
      </c>
      <c r="T13486">
        <v>1</v>
      </c>
      <c r="U13486">
        <v>0</v>
      </c>
      <c r="V13486">
        <v>0</v>
      </c>
      <c r="W13486">
        <v>0</v>
      </c>
      <c r="X13486">
        <v>1</v>
      </c>
      <c r="Y13486">
        <v>1</v>
      </c>
      <c r="Z13486">
        <v>0</v>
      </c>
      <c r="AA13486">
        <v>0</v>
      </c>
      <c r="AB13486">
        <v>0</v>
      </c>
      <c r="AC13486">
        <v>1</v>
      </c>
      <c r="AD13486">
        <v>1</v>
      </c>
      <c r="AE13486">
        <v>1</v>
      </c>
      <c r="AF13486">
        <v>1</v>
      </c>
      <c r="AG13486">
        <v>1</v>
      </c>
      <c r="AH13486">
        <v>1</v>
      </c>
      <c r="AI13486">
        <v>1</v>
      </c>
      <c r="AJ13486">
        <v>1</v>
      </c>
      <c r="AK13486">
        <v>1</v>
      </c>
      <c r="AL13486">
        <v>1</v>
      </c>
      <c r="AM13486">
        <v>1</v>
      </c>
    </row>
    <row r="13487" spans="1:39" x14ac:dyDescent="0.2">
      <c r="A13487" t="str">
        <f>"13483"</f>
        <v>13483</v>
      </c>
      <c r="B13487" t="str">
        <f t="shared" si="747"/>
        <v>1</v>
      </c>
      <c r="C13487" t="str">
        <f t="shared" ref="C13487:C13504" si="750">"270"</f>
        <v>270</v>
      </c>
      <c r="D13487" t="str">
        <f>"7"</f>
        <v>7</v>
      </c>
      <c r="E13487" t="str">
        <f>"1-270-7"</f>
        <v>1-270-7</v>
      </c>
      <c r="F13487" t="s">
        <v>65</v>
      </c>
      <c r="G13487" t="s">
        <v>66</v>
      </c>
      <c r="H13487" t="s">
        <v>67</v>
      </c>
      <c r="S13487">
        <v>1</v>
      </c>
      <c r="T13487">
        <v>0</v>
      </c>
      <c r="U13487">
        <v>0</v>
      </c>
      <c r="V13487">
        <v>0</v>
      </c>
      <c r="W13487">
        <v>1</v>
      </c>
      <c r="X13487">
        <v>0</v>
      </c>
      <c r="Y13487">
        <v>0</v>
      </c>
      <c r="Z13487">
        <v>0</v>
      </c>
      <c r="AA13487">
        <v>0</v>
      </c>
      <c r="AB13487">
        <v>0</v>
      </c>
      <c r="AC13487">
        <v>0</v>
      </c>
      <c r="AD13487">
        <v>0</v>
      </c>
      <c r="AE13487">
        <v>0</v>
      </c>
      <c r="AF13487">
        <v>0</v>
      </c>
      <c r="AG13487">
        <v>1</v>
      </c>
      <c r="AH13487">
        <v>1</v>
      </c>
      <c r="AI13487">
        <v>1</v>
      </c>
      <c r="AJ13487">
        <v>1</v>
      </c>
      <c r="AK13487">
        <v>0</v>
      </c>
      <c r="AL13487">
        <v>1</v>
      </c>
      <c r="AM13487">
        <v>0</v>
      </c>
    </row>
    <row r="13488" spans="1:39" x14ac:dyDescent="0.2">
      <c r="A13488" t="str">
        <f>"13484"</f>
        <v>13484</v>
      </c>
      <c r="B13488" t="str">
        <f t="shared" si="747"/>
        <v>1</v>
      </c>
      <c r="C13488" t="str">
        <f t="shared" si="750"/>
        <v>270</v>
      </c>
      <c r="D13488" t="str">
        <f>"41"</f>
        <v>41</v>
      </c>
      <c r="E13488" t="str">
        <f>"1-270-41"</f>
        <v>1-270-41</v>
      </c>
      <c r="F13488" t="s">
        <v>65</v>
      </c>
      <c r="G13488" t="s">
        <v>66</v>
      </c>
      <c r="H13488" t="s">
        <v>67</v>
      </c>
      <c r="S13488">
        <v>0</v>
      </c>
      <c r="T13488">
        <v>0</v>
      </c>
      <c r="U13488">
        <v>0</v>
      </c>
      <c r="V13488">
        <v>0</v>
      </c>
      <c r="W13488">
        <v>0</v>
      </c>
      <c r="X13488">
        <v>1</v>
      </c>
      <c r="Y13488">
        <v>0</v>
      </c>
      <c r="Z13488">
        <v>0</v>
      </c>
      <c r="AA13488">
        <v>0</v>
      </c>
      <c r="AB13488">
        <v>0</v>
      </c>
      <c r="AC13488">
        <v>0</v>
      </c>
      <c r="AD13488">
        <v>0</v>
      </c>
      <c r="AE13488">
        <v>0</v>
      </c>
      <c r="AF13488">
        <v>0</v>
      </c>
      <c r="AG13488">
        <v>0</v>
      </c>
      <c r="AH13488">
        <v>0</v>
      </c>
      <c r="AI13488">
        <v>0</v>
      </c>
      <c r="AJ13488">
        <v>0</v>
      </c>
      <c r="AK13488">
        <v>0</v>
      </c>
      <c r="AL13488">
        <v>0</v>
      </c>
      <c r="AM13488">
        <v>0</v>
      </c>
    </row>
    <row r="13489" spans="1:39" x14ac:dyDescent="0.2">
      <c r="A13489" t="str">
        <f>"13485"</f>
        <v>13485</v>
      </c>
      <c r="B13489" t="str">
        <f t="shared" si="747"/>
        <v>1</v>
      </c>
      <c r="C13489" t="str">
        <f t="shared" si="750"/>
        <v>270</v>
      </c>
      <c r="D13489" t="str">
        <f>"25"</f>
        <v>25</v>
      </c>
      <c r="E13489" t="str">
        <f>"1-270-25"</f>
        <v>1-270-25</v>
      </c>
      <c r="F13489" t="s">
        <v>65</v>
      </c>
      <c r="G13489" t="s">
        <v>66</v>
      </c>
      <c r="H13489" t="s">
        <v>67</v>
      </c>
      <c r="S13489">
        <v>1</v>
      </c>
      <c r="T13489">
        <v>0</v>
      </c>
      <c r="U13489">
        <v>0</v>
      </c>
      <c r="V13489">
        <v>0</v>
      </c>
      <c r="W13489">
        <v>1</v>
      </c>
      <c r="X13489">
        <v>0</v>
      </c>
      <c r="Y13489">
        <v>0</v>
      </c>
      <c r="Z13489">
        <v>1</v>
      </c>
      <c r="AA13489">
        <v>0</v>
      </c>
      <c r="AB13489">
        <v>1</v>
      </c>
      <c r="AC13489">
        <v>0</v>
      </c>
      <c r="AD13489">
        <v>1</v>
      </c>
      <c r="AE13489">
        <v>1</v>
      </c>
      <c r="AF13489">
        <v>1</v>
      </c>
      <c r="AG13489">
        <v>1</v>
      </c>
      <c r="AH13489">
        <v>1</v>
      </c>
      <c r="AI13489">
        <v>1</v>
      </c>
      <c r="AJ13489">
        <v>1</v>
      </c>
      <c r="AK13489">
        <v>1</v>
      </c>
      <c r="AL13489">
        <v>1</v>
      </c>
      <c r="AM13489">
        <v>1</v>
      </c>
    </row>
    <row r="13490" spans="1:39" x14ac:dyDescent="0.2">
      <c r="A13490" t="str">
        <f>"13486"</f>
        <v>13486</v>
      </c>
      <c r="B13490" t="str">
        <f t="shared" si="747"/>
        <v>1</v>
      </c>
      <c r="C13490" t="str">
        <f t="shared" si="750"/>
        <v>270</v>
      </c>
      <c r="D13490" t="str">
        <f>"12"</f>
        <v>12</v>
      </c>
      <c r="E13490" t="str">
        <f>"1-270-12"</f>
        <v>1-270-12</v>
      </c>
      <c r="F13490" t="s">
        <v>65</v>
      </c>
      <c r="G13490" t="s">
        <v>66</v>
      </c>
      <c r="H13490" t="s">
        <v>67</v>
      </c>
      <c r="S13490">
        <v>0</v>
      </c>
      <c r="T13490">
        <v>1</v>
      </c>
      <c r="U13490">
        <v>0</v>
      </c>
      <c r="V13490">
        <v>0</v>
      </c>
      <c r="W13490">
        <v>1</v>
      </c>
      <c r="X13490">
        <v>0</v>
      </c>
      <c r="Y13490">
        <v>1</v>
      </c>
      <c r="Z13490">
        <v>0</v>
      </c>
      <c r="AA13490">
        <v>1</v>
      </c>
      <c r="AB13490">
        <v>0</v>
      </c>
      <c r="AC13490">
        <v>0</v>
      </c>
      <c r="AD13490">
        <v>1</v>
      </c>
      <c r="AE13490">
        <v>1</v>
      </c>
      <c r="AF13490">
        <v>1</v>
      </c>
      <c r="AG13490">
        <v>1</v>
      </c>
      <c r="AH13490">
        <v>1</v>
      </c>
      <c r="AI13490">
        <v>1</v>
      </c>
      <c r="AJ13490">
        <v>1</v>
      </c>
      <c r="AK13490">
        <v>1</v>
      </c>
      <c r="AL13490">
        <v>1</v>
      </c>
      <c r="AM13490">
        <v>1</v>
      </c>
    </row>
    <row r="13491" spans="1:39" x14ac:dyDescent="0.2">
      <c r="A13491" t="str">
        <f>"13487"</f>
        <v>13487</v>
      </c>
      <c r="B13491" t="str">
        <f t="shared" si="747"/>
        <v>1</v>
      </c>
      <c r="C13491" t="str">
        <f t="shared" si="750"/>
        <v>270</v>
      </c>
      <c r="D13491" t="str">
        <f>"42"</f>
        <v>42</v>
      </c>
      <c r="E13491" t="str">
        <f>"1-270-42"</f>
        <v>1-270-42</v>
      </c>
      <c r="F13491" t="s">
        <v>65</v>
      </c>
      <c r="G13491" t="s">
        <v>66</v>
      </c>
      <c r="H13491" t="s">
        <v>67</v>
      </c>
      <c r="S13491">
        <v>1</v>
      </c>
      <c r="T13491">
        <v>0</v>
      </c>
      <c r="U13491">
        <v>0</v>
      </c>
      <c r="V13491">
        <v>0</v>
      </c>
      <c r="W13491">
        <v>1</v>
      </c>
      <c r="X13491">
        <v>0</v>
      </c>
      <c r="Y13491">
        <v>1</v>
      </c>
      <c r="Z13491">
        <v>0</v>
      </c>
      <c r="AA13491">
        <v>0</v>
      </c>
      <c r="AB13491">
        <v>1</v>
      </c>
      <c r="AC13491">
        <v>0</v>
      </c>
      <c r="AD13491">
        <v>1</v>
      </c>
      <c r="AE13491">
        <v>1</v>
      </c>
      <c r="AF13491">
        <v>1</v>
      </c>
      <c r="AG13491">
        <v>1</v>
      </c>
      <c r="AH13491">
        <v>1</v>
      </c>
      <c r="AI13491">
        <v>1</v>
      </c>
      <c r="AJ13491">
        <v>1</v>
      </c>
      <c r="AK13491">
        <v>1</v>
      </c>
      <c r="AL13491">
        <v>1</v>
      </c>
      <c r="AM13491">
        <v>1</v>
      </c>
    </row>
    <row r="13492" spans="1:39" x14ac:dyDescent="0.2">
      <c r="A13492" t="str">
        <f>"13488"</f>
        <v>13488</v>
      </c>
      <c r="B13492" t="str">
        <f t="shared" si="747"/>
        <v>1</v>
      </c>
      <c r="C13492" t="str">
        <f t="shared" si="750"/>
        <v>270</v>
      </c>
      <c r="D13492" t="str">
        <f>"5"</f>
        <v>5</v>
      </c>
      <c r="E13492" t="str">
        <f>"1-270-5"</f>
        <v>1-270-5</v>
      </c>
      <c r="F13492" t="s">
        <v>65</v>
      </c>
      <c r="G13492" t="s">
        <v>66</v>
      </c>
      <c r="H13492" t="s">
        <v>67</v>
      </c>
      <c r="S13492">
        <v>0</v>
      </c>
      <c r="T13492">
        <v>1</v>
      </c>
      <c r="U13492">
        <v>0</v>
      </c>
      <c r="V13492">
        <v>0</v>
      </c>
      <c r="W13492">
        <v>1</v>
      </c>
      <c r="X13492">
        <v>0</v>
      </c>
      <c r="Y13492">
        <v>1</v>
      </c>
      <c r="Z13492">
        <v>0</v>
      </c>
      <c r="AA13492">
        <v>0</v>
      </c>
      <c r="AB13492">
        <v>1</v>
      </c>
      <c r="AC13492">
        <v>0</v>
      </c>
      <c r="AD13492">
        <v>1</v>
      </c>
      <c r="AE13492">
        <v>1</v>
      </c>
      <c r="AF13492">
        <v>1</v>
      </c>
      <c r="AG13492">
        <v>1</v>
      </c>
      <c r="AH13492">
        <v>1</v>
      </c>
      <c r="AI13492">
        <v>1</v>
      </c>
      <c r="AJ13492">
        <v>1</v>
      </c>
      <c r="AK13492">
        <v>1</v>
      </c>
      <c r="AL13492">
        <v>1</v>
      </c>
      <c r="AM13492">
        <v>1</v>
      </c>
    </row>
    <row r="13493" spans="1:39" x14ac:dyDescent="0.2">
      <c r="A13493" t="str">
        <f>"13489"</f>
        <v>13489</v>
      </c>
      <c r="B13493" t="str">
        <f t="shared" si="747"/>
        <v>1</v>
      </c>
      <c r="C13493" t="str">
        <f t="shared" si="750"/>
        <v>270</v>
      </c>
      <c r="D13493" t="str">
        <f>"50"</f>
        <v>50</v>
      </c>
      <c r="E13493" t="str">
        <f>"1-270-50"</f>
        <v>1-270-50</v>
      </c>
      <c r="F13493" t="s">
        <v>65</v>
      </c>
      <c r="G13493" t="s">
        <v>66</v>
      </c>
      <c r="H13493" t="s">
        <v>67</v>
      </c>
      <c r="S13493">
        <v>1</v>
      </c>
      <c r="T13493">
        <v>0</v>
      </c>
      <c r="U13493">
        <v>0</v>
      </c>
      <c r="V13493">
        <v>0</v>
      </c>
      <c r="W13493">
        <v>1</v>
      </c>
      <c r="X13493">
        <v>0</v>
      </c>
      <c r="Y13493">
        <v>1</v>
      </c>
      <c r="Z13493">
        <v>0</v>
      </c>
      <c r="AA13493">
        <v>1</v>
      </c>
      <c r="AB13493">
        <v>0</v>
      </c>
      <c r="AC13493">
        <v>0</v>
      </c>
      <c r="AD13493">
        <v>0</v>
      </c>
      <c r="AE13493">
        <v>0</v>
      </c>
      <c r="AF13493">
        <v>0</v>
      </c>
      <c r="AG13493">
        <v>0</v>
      </c>
      <c r="AH13493">
        <v>1</v>
      </c>
      <c r="AI13493">
        <v>1</v>
      </c>
      <c r="AJ13493">
        <v>0</v>
      </c>
      <c r="AK13493">
        <v>0</v>
      </c>
      <c r="AL13493">
        <v>0</v>
      </c>
      <c r="AM13493">
        <v>0</v>
      </c>
    </row>
    <row r="13494" spans="1:39" x14ac:dyDescent="0.2">
      <c r="A13494" t="str">
        <f>"13490"</f>
        <v>13490</v>
      </c>
      <c r="B13494" t="str">
        <f t="shared" si="747"/>
        <v>1</v>
      </c>
      <c r="C13494" t="str">
        <f t="shared" si="750"/>
        <v>270</v>
      </c>
      <c r="D13494" t="str">
        <f>"27"</f>
        <v>27</v>
      </c>
      <c r="E13494" t="str">
        <f>"1-270-27"</f>
        <v>1-270-27</v>
      </c>
      <c r="F13494" t="s">
        <v>65</v>
      </c>
      <c r="G13494" t="s">
        <v>66</v>
      </c>
      <c r="H13494" t="s">
        <v>67</v>
      </c>
      <c r="S13494">
        <v>1</v>
      </c>
      <c r="T13494">
        <v>0</v>
      </c>
      <c r="U13494">
        <v>0</v>
      </c>
      <c r="V13494">
        <v>0</v>
      </c>
      <c r="W13494">
        <v>1</v>
      </c>
      <c r="X13494">
        <v>0</v>
      </c>
      <c r="Y13494">
        <v>1</v>
      </c>
      <c r="Z13494">
        <v>0</v>
      </c>
      <c r="AA13494">
        <v>1</v>
      </c>
      <c r="AB13494">
        <v>0</v>
      </c>
      <c r="AC13494">
        <v>0</v>
      </c>
      <c r="AD13494">
        <v>0</v>
      </c>
      <c r="AE13494">
        <v>1</v>
      </c>
      <c r="AF13494">
        <v>1</v>
      </c>
      <c r="AG13494">
        <v>1</v>
      </c>
      <c r="AH13494">
        <v>1</v>
      </c>
      <c r="AI13494">
        <v>1</v>
      </c>
      <c r="AJ13494">
        <v>1</v>
      </c>
      <c r="AK13494">
        <v>1</v>
      </c>
      <c r="AL13494">
        <v>1</v>
      </c>
      <c r="AM13494">
        <v>1</v>
      </c>
    </row>
    <row r="13495" spans="1:39" x14ac:dyDescent="0.2">
      <c r="A13495" t="str">
        <f>"13491"</f>
        <v>13491</v>
      </c>
      <c r="B13495" t="str">
        <f t="shared" ref="B13495:B13558" si="751">"1"</f>
        <v>1</v>
      </c>
      <c r="C13495" t="str">
        <f t="shared" si="750"/>
        <v>270</v>
      </c>
      <c r="D13495" t="str">
        <f>"1"</f>
        <v>1</v>
      </c>
      <c r="E13495" t="str">
        <f>"1-270-1"</f>
        <v>1-270-1</v>
      </c>
      <c r="F13495" t="s">
        <v>65</v>
      </c>
      <c r="G13495" t="s">
        <v>66</v>
      </c>
      <c r="H13495" t="s">
        <v>67</v>
      </c>
      <c r="S13495">
        <v>1</v>
      </c>
      <c r="T13495">
        <v>0</v>
      </c>
      <c r="U13495">
        <v>0</v>
      </c>
      <c r="V13495">
        <v>0</v>
      </c>
      <c r="W13495">
        <v>1</v>
      </c>
      <c r="X13495">
        <v>0</v>
      </c>
      <c r="Y13495">
        <v>1</v>
      </c>
      <c r="Z13495">
        <v>0</v>
      </c>
      <c r="AA13495">
        <v>1</v>
      </c>
      <c r="AB13495">
        <v>0</v>
      </c>
      <c r="AC13495">
        <v>0</v>
      </c>
      <c r="AD13495">
        <v>1</v>
      </c>
      <c r="AE13495">
        <v>1</v>
      </c>
      <c r="AF13495">
        <v>1</v>
      </c>
      <c r="AG13495">
        <v>1</v>
      </c>
      <c r="AH13495">
        <v>1</v>
      </c>
      <c r="AI13495">
        <v>1</v>
      </c>
      <c r="AJ13495">
        <v>1</v>
      </c>
      <c r="AK13495">
        <v>1</v>
      </c>
      <c r="AL13495">
        <v>1</v>
      </c>
      <c r="AM13495">
        <v>1</v>
      </c>
    </row>
    <row r="13496" spans="1:39" x14ac:dyDescent="0.2">
      <c r="A13496" t="str">
        <f>"13492"</f>
        <v>13492</v>
      </c>
      <c r="B13496" t="str">
        <f t="shared" si="751"/>
        <v>1</v>
      </c>
      <c r="C13496" t="str">
        <f t="shared" si="750"/>
        <v>270</v>
      </c>
      <c r="D13496" t="str">
        <f>"48"</f>
        <v>48</v>
      </c>
      <c r="E13496" t="str">
        <f>"1-270-48"</f>
        <v>1-270-48</v>
      </c>
      <c r="F13496" t="s">
        <v>65</v>
      </c>
      <c r="G13496" t="s">
        <v>66</v>
      </c>
      <c r="H13496" t="s">
        <v>67</v>
      </c>
      <c r="S13496">
        <v>0</v>
      </c>
      <c r="T13496">
        <v>1</v>
      </c>
      <c r="U13496">
        <v>0</v>
      </c>
      <c r="V13496">
        <v>0</v>
      </c>
      <c r="W13496">
        <v>1</v>
      </c>
      <c r="X13496">
        <v>0</v>
      </c>
      <c r="Y13496">
        <v>0</v>
      </c>
      <c r="Z13496">
        <v>1</v>
      </c>
      <c r="AA13496">
        <v>0</v>
      </c>
      <c r="AB13496">
        <v>0</v>
      </c>
      <c r="AC13496">
        <v>1</v>
      </c>
      <c r="AD13496">
        <v>1</v>
      </c>
      <c r="AE13496">
        <v>1</v>
      </c>
      <c r="AF13496">
        <v>1</v>
      </c>
      <c r="AG13496">
        <v>1</v>
      </c>
      <c r="AH13496">
        <v>1</v>
      </c>
      <c r="AI13496">
        <v>1</v>
      </c>
      <c r="AJ13496">
        <v>1</v>
      </c>
      <c r="AK13496">
        <v>1</v>
      </c>
      <c r="AL13496">
        <v>1</v>
      </c>
      <c r="AM13496">
        <v>1</v>
      </c>
    </row>
    <row r="13497" spans="1:39" x14ac:dyDescent="0.2">
      <c r="A13497" t="str">
        <f>"13493"</f>
        <v>13493</v>
      </c>
      <c r="B13497" t="str">
        <f t="shared" si="751"/>
        <v>1</v>
      </c>
      <c r="C13497" t="str">
        <f t="shared" si="750"/>
        <v>270</v>
      </c>
      <c r="D13497" t="str">
        <f>"28"</f>
        <v>28</v>
      </c>
      <c r="E13497" t="str">
        <f>"1-270-28"</f>
        <v>1-270-28</v>
      </c>
      <c r="F13497" t="s">
        <v>65</v>
      </c>
      <c r="G13497" t="s">
        <v>66</v>
      </c>
      <c r="H13497" t="s">
        <v>67</v>
      </c>
      <c r="S13497">
        <v>1</v>
      </c>
      <c r="T13497">
        <v>0</v>
      </c>
      <c r="U13497">
        <v>0</v>
      </c>
      <c r="V13497">
        <v>0</v>
      </c>
      <c r="W13497">
        <v>1</v>
      </c>
      <c r="X13497">
        <v>0</v>
      </c>
      <c r="Y13497">
        <v>1</v>
      </c>
      <c r="Z13497">
        <v>0</v>
      </c>
      <c r="AA13497">
        <v>0</v>
      </c>
      <c r="AB13497">
        <v>1</v>
      </c>
      <c r="AC13497">
        <v>0</v>
      </c>
      <c r="AD13497">
        <v>1</v>
      </c>
      <c r="AE13497">
        <v>1</v>
      </c>
      <c r="AF13497">
        <v>1</v>
      </c>
      <c r="AG13497">
        <v>1</v>
      </c>
      <c r="AH13497">
        <v>1</v>
      </c>
      <c r="AI13497">
        <v>1</v>
      </c>
      <c r="AJ13497">
        <v>1</v>
      </c>
      <c r="AK13497">
        <v>1</v>
      </c>
      <c r="AL13497">
        <v>1</v>
      </c>
      <c r="AM13497">
        <v>1</v>
      </c>
    </row>
    <row r="13498" spans="1:39" x14ac:dyDescent="0.2">
      <c r="A13498" t="str">
        <f>"13494"</f>
        <v>13494</v>
      </c>
      <c r="B13498" t="str">
        <f t="shared" si="751"/>
        <v>1</v>
      </c>
      <c r="C13498" t="str">
        <f t="shared" si="750"/>
        <v>270</v>
      </c>
      <c r="D13498" t="str">
        <f>"3"</f>
        <v>3</v>
      </c>
      <c r="E13498" t="str">
        <f>"1-270-3"</f>
        <v>1-270-3</v>
      </c>
      <c r="F13498" t="s">
        <v>65</v>
      </c>
      <c r="G13498" t="s">
        <v>66</v>
      </c>
      <c r="H13498" t="s">
        <v>67</v>
      </c>
      <c r="S13498">
        <v>1</v>
      </c>
      <c r="T13498">
        <v>0</v>
      </c>
      <c r="U13498">
        <v>0</v>
      </c>
      <c r="V13498">
        <v>0</v>
      </c>
      <c r="W13498">
        <v>1</v>
      </c>
      <c r="X13498">
        <v>0</v>
      </c>
      <c r="Y13498">
        <v>1</v>
      </c>
      <c r="Z13498">
        <v>0</v>
      </c>
      <c r="AA13498">
        <v>1</v>
      </c>
      <c r="AB13498">
        <v>0</v>
      </c>
      <c r="AC13498">
        <v>0</v>
      </c>
      <c r="AD13498">
        <v>0</v>
      </c>
      <c r="AE13498">
        <v>0</v>
      </c>
      <c r="AF13498">
        <v>0</v>
      </c>
      <c r="AG13498">
        <v>0</v>
      </c>
      <c r="AH13498">
        <v>0</v>
      </c>
      <c r="AI13498">
        <v>0</v>
      </c>
      <c r="AJ13498">
        <v>0</v>
      </c>
      <c r="AK13498">
        <v>0</v>
      </c>
      <c r="AL13498">
        <v>0</v>
      </c>
      <c r="AM13498">
        <v>0</v>
      </c>
    </row>
    <row r="13499" spans="1:39" x14ac:dyDescent="0.2">
      <c r="A13499" t="str">
        <f>"13495"</f>
        <v>13495</v>
      </c>
      <c r="B13499" t="str">
        <f t="shared" si="751"/>
        <v>1</v>
      </c>
      <c r="C13499" t="str">
        <f t="shared" si="750"/>
        <v>270</v>
      </c>
      <c r="D13499" t="str">
        <f>"49"</f>
        <v>49</v>
      </c>
      <c r="E13499" t="str">
        <f>"1-270-49"</f>
        <v>1-270-49</v>
      </c>
      <c r="F13499" t="s">
        <v>65</v>
      </c>
      <c r="G13499" t="s">
        <v>66</v>
      </c>
      <c r="H13499" t="s">
        <v>67</v>
      </c>
      <c r="S13499">
        <v>1</v>
      </c>
      <c r="T13499">
        <v>0</v>
      </c>
      <c r="U13499">
        <v>0</v>
      </c>
      <c r="V13499">
        <v>0</v>
      </c>
      <c r="W13499">
        <v>1</v>
      </c>
      <c r="X13499">
        <v>0</v>
      </c>
      <c r="Y13499">
        <v>0</v>
      </c>
      <c r="Z13499">
        <v>1</v>
      </c>
      <c r="AA13499">
        <v>0</v>
      </c>
      <c r="AB13499">
        <v>0</v>
      </c>
      <c r="AC13499">
        <v>1</v>
      </c>
      <c r="AD13499">
        <v>1</v>
      </c>
      <c r="AE13499">
        <v>1</v>
      </c>
      <c r="AF13499">
        <v>1</v>
      </c>
      <c r="AG13499">
        <v>0</v>
      </c>
      <c r="AH13499">
        <v>1</v>
      </c>
      <c r="AI13499">
        <v>1</v>
      </c>
      <c r="AJ13499">
        <v>1</v>
      </c>
      <c r="AK13499">
        <v>1</v>
      </c>
      <c r="AL13499">
        <v>1</v>
      </c>
      <c r="AM13499">
        <v>1</v>
      </c>
    </row>
    <row r="13500" spans="1:39" x14ac:dyDescent="0.2">
      <c r="A13500" t="str">
        <f>"13496"</f>
        <v>13496</v>
      </c>
      <c r="B13500" t="str">
        <f t="shared" si="751"/>
        <v>1</v>
      </c>
      <c r="C13500" t="str">
        <f t="shared" si="750"/>
        <v>270</v>
      </c>
      <c r="D13500" t="str">
        <f>"29"</f>
        <v>29</v>
      </c>
      <c r="E13500" t="str">
        <f>"1-270-29"</f>
        <v>1-270-29</v>
      </c>
      <c r="F13500" t="s">
        <v>65</v>
      </c>
      <c r="G13500" t="s">
        <v>66</v>
      </c>
      <c r="H13500" t="s">
        <v>67</v>
      </c>
      <c r="S13500">
        <v>0</v>
      </c>
      <c r="T13500">
        <v>1</v>
      </c>
      <c r="U13500">
        <v>0</v>
      </c>
      <c r="V13500">
        <v>0</v>
      </c>
      <c r="W13500">
        <v>0</v>
      </c>
      <c r="X13500">
        <v>1</v>
      </c>
      <c r="Y13500">
        <v>0</v>
      </c>
      <c r="Z13500">
        <v>1</v>
      </c>
      <c r="AA13500">
        <v>0</v>
      </c>
      <c r="AB13500">
        <v>0</v>
      </c>
      <c r="AC13500">
        <v>1</v>
      </c>
      <c r="AD13500">
        <v>1</v>
      </c>
      <c r="AE13500">
        <v>1</v>
      </c>
      <c r="AF13500">
        <v>1</v>
      </c>
      <c r="AG13500">
        <v>1</v>
      </c>
      <c r="AH13500">
        <v>1</v>
      </c>
      <c r="AI13500">
        <v>1</v>
      </c>
      <c r="AJ13500">
        <v>1</v>
      </c>
      <c r="AK13500">
        <v>1</v>
      </c>
      <c r="AL13500">
        <v>1</v>
      </c>
      <c r="AM13500">
        <v>1</v>
      </c>
    </row>
    <row r="13501" spans="1:39" x14ac:dyDescent="0.2">
      <c r="A13501" t="str">
        <f>"13497"</f>
        <v>13497</v>
      </c>
      <c r="B13501" t="str">
        <f t="shared" si="751"/>
        <v>1</v>
      </c>
      <c r="C13501" t="str">
        <f t="shared" si="750"/>
        <v>270</v>
      </c>
      <c r="D13501" t="str">
        <f>"14"</f>
        <v>14</v>
      </c>
      <c r="E13501" t="str">
        <f>"1-270-14"</f>
        <v>1-270-14</v>
      </c>
      <c r="F13501" t="s">
        <v>65</v>
      </c>
      <c r="G13501" t="s">
        <v>66</v>
      </c>
      <c r="H13501" t="s">
        <v>67</v>
      </c>
      <c r="S13501">
        <v>1</v>
      </c>
      <c r="T13501">
        <v>0</v>
      </c>
      <c r="U13501">
        <v>0</v>
      </c>
      <c r="V13501">
        <v>0</v>
      </c>
      <c r="W13501">
        <v>1</v>
      </c>
      <c r="X13501">
        <v>0</v>
      </c>
      <c r="Y13501">
        <v>1</v>
      </c>
      <c r="Z13501">
        <v>0</v>
      </c>
      <c r="AA13501">
        <v>0</v>
      </c>
      <c r="AB13501">
        <v>1</v>
      </c>
      <c r="AC13501">
        <v>0</v>
      </c>
      <c r="AD13501">
        <v>0</v>
      </c>
      <c r="AE13501">
        <v>1</v>
      </c>
      <c r="AF13501">
        <v>0</v>
      </c>
      <c r="AG13501">
        <v>1</v>
      </c>
      <c r="AH13501">
        <v>0</v>
      </c>
      <c r="AI13501">
        <v>0</v>
      </c>
      <c r="AJ13501">
        <v>0</v>
      </c>
      <c r="AK13501">
        <v>1</v>
      </c>
      <c r="AL13501">
        <v>1</v>
      </c>
      <c r="AM13501">
        <v>1</v>
      </c>
    </row>
    <row r="13502" spans="1:39" x14ac:dyDescent="0.2">
      <c r="A13502" t="str">
        <f>"13498"</f>
        <v>13498</v>
      </c>
      <c r="B13502" t="str">
        <f t="shared" si="751"/>
        <v>1</v>
      </c>
      <c r="C13502" t="str">
        <f t="shared" si="750"/>
        <v>270</v>
      </c>
      <c r="D13502" t="str">
        <f>"26"</f>
        <v>26</v>
      </c>
      <c r="E13502" t="str">
        <f>"1-270-26"</f>
        <v>1-270-26</v>
      </c>
      <c r="F13502" t="s">
        <v>65</v>
      </c>
      <c r="G13502" t="s">
        <v>66</v>
      </c>
      <c r="H13502" t="s">
        <v>67</v>
      </c>
      <c r="S13502">
        <v>0</v>
      </c>
      <c r="T13502">
        <v>1</v>
      </c>
      <c r="U13502">
        <v>0</v>
      </c>
      <c r="V13502">
        <v>0</v>
      </c>
      <c r="W13502">
        <v>1</v>
      </c>
      <c r="X13502">
        <v>0</v>
      </c>
      <c r="Y13502">
        <v>0</v>
      </c>
      <c r="Z13502">
        <v>1</v>
      </c>
      <c r="AA13502">
        <v>0</v>
      </c>
      <c r="AB13502">
        <v>1</v>
      </c>
      <c r="AC13502">
        <v>0</v>
      </c>
      <c r="AD13502">
        <v>1</v>
      </c>
      <c r="AE13502">
        <v>1</v>
      </c>
      <c r="AF13502">
        <v>1</v>
      </c>
      <c r="AG13502">
        <v>1</v>
      </c>
      <c r="AH13502">
        <v>1</v>
      </c>
      <c r="AI13502">
        <v>1</v>
      </c>
      <c r="AJ13502">
        <v>1</v>
      </c>
      <c r="AK13502">
        <v>1</v>
      </c>
      <c r="AL13502">
        <v>1</v>
      </c>
      <c r="AM13502">
        <v>1</v>
      </c>
    </row>
    <row r="13503" spans="1:39" x14ac:dyDescent="0.2">
      <c r="A13503" t="str">
        <f>"13499"</f>
        <v>13499</v>
      </c>
      <c r="B13503" t="str">
        <f t="shared" si="751"/>
        <v>1</v>
      </c>
      <c r="C13503" t="str">
        <f t="shared" si="750"/>
        <v>270</v>
      </c>
      <c r="D13503" t="str">
        <f>"32"</f>
        <v>32</v>
      </c>
      <c r="E13503" t="str">
        <f>"1-270-32"</f>
        <v>1-270-32</v>
      </c>
      <c r="F13503" t="s">
        <v>65</v>
      </c>
      <c r="G13503" t="s">
        <v>66</v>
      </c>
      <c r="H13503" t="s">
        <v>67</v>
      </c>
      <c r="S13503">
        <v>1</v>
      </c>
      <c r="T13503">
        <v>0</v>
      </c>
      <c r="U13503">
        <v>0</v>
      </c>
      <c r="V13503">
        <v>0</v>
      </c>
      <c r="W13503">
        <v>1</v>
      </c>
      <c r="X13503">
        <v>0</v>
      </c>
      <c r="Y13503">
        <v>0</v>
      </c>
      <c r="Z13503">
        <v>0</v>
      </c>
      <c r="AA13503">
        <v>0</v>
      </c>
      <c r="AB13503">
        <v>0</v>
      </c>
      <c r="AC13503">
        <v>0</v>
      </c>
      <c r="AD13503">
        <v>0</v>
      </c>
      <c r="AE13503">
        <v>0</v>
      </c>
      <c r="AF13503">
        <v>0</v>
      </c>
      <c r="AG13503">
        <v>0</v>
      </c>
      <c r="AH13503">
        <v>0</v>
      </c>
      <c r="AI13503">
        <v>0</v>
      </c>
      <c r="AJ13503">
        <v>0</v>
      </c>
      <c r="AK13503">
        <v>0</v>
      </c>
      <c r="AL13503">
        <v>1</v>
      </c>
      <c r="AM13503">
        <v>0</v>
      </c>
    </row>
    <row r="13504" spans="1:39" x14ac:dyDescent="0.2">
      <c r="A13504" t="str">
        <f>"13500"</f>
        <v>13500</v>
      </c>
      <c r="B13504" t="str">
        <f t="shared" si="751"/>
        <v>1</v>
      </c>
      <c r="C13504" t="str">
        <f t="shared" si="750"/>
        <v>270</v>
      </c>
      <c r="D13504" t="str">
        <f>"6"</f>
        <v>6</v>
      </c>
      <c r="E13504" t="str">
        <f>"1-270-6"</f>
        <v>1-270-6</v>
      </c>
      <c r="F13504" t="s">
        <v>65</v>
      </c>
      <c r="G13504" t="s">
        <v>66</v>
      </c>
      <c r="H13504" t="s">
        <v>67</v>
      </c>
      <c r="S13504">
        <v>0</v>
      </c>
      <c r="T13504">
        <v>1</v>
      </c>
      <c r="U13504">
        <v>0</v>
      </c>
      <c r="V13504">
        <v>0</v>
      </c>
      <c r="W13504">
        <v>1</v>
      </c>
      <c r="X13504">
        <v>0</v>
      </c>
      <c r="Y13504">
        <v>1</v>
      </c>
      <c r="Z13504">
        <v>0</v>
      </c>
      <c r="AA13504">
        <v>1</v>
      </c>
      <c r="AB13504">
        <v>0</v>
      </c>
      <c r="AC13504">
        <v>0</v>
      </c>
      <c r="AD13504">
        <v>1</v>
      </c>
      <c r="AE13504">
        <v>1</v>
      </c>
      <c r="AF13504">
        <v>1</v>
      </c>
      <c r="AG13504">
        <v>1</v>
      </c>
      <c r="AH13504">
        <v>1</v>
      </c>
      <c r="AI13504">
        <v>1</v>
      </c>
      <c r="AJ13504">
        <v>1</v>
      </c>
      <c r="AK13504">
        <v>1</v>
      </c>
      <c r="AL13504">
        <v>1</v>
      </c>
      <c r="AM13504">
        <v>1</v>
      </c>
    </row>
    <row r="13505" spans="1:39" x14ac:dyDescent="0.2">
      <c r="A13505" t="str">
        <f>"13501"</f>
        <v>13501</v>
      </c>
      <c r="B13505" t="str">
        <f t="shared" si="751"/>
        <v>1</v>
      </c>
      <c r="C13505" t="str">
        <f t="shared" ref="C13505:C13536" si="752">"271"</f>
        <v>271</v>
      </c>
      <c r="D13505" t="str">
        <f>"34"</f>
        <v>34</v>
      </c>
      <c r="E13505" t="str">
        <f>"1-271-34"</f>
        <v>1-271-34</v>
      </c>
      <c r="F13505" t="s">
        <v>65</v>
      </c>
      <c r="G13505" t="s">
        <v>66</v>
      </c>
      <c r="H13505" t="s">
        <v>67</v>
      </c>
      <c r="S13505">
        <v>0</v>
      </c>
      <c r="T13505">
        <v>0</v>
      </c>
      <c r="U13505">
        <v>0</v>
      </c>
      <c r="V13505">
        <v>0</v>
      </c>
      <c r="W13505">
        <v>1</v>
      </c>
      <c r="X13505">
        <v>0</v>
      </c>
      <c r="Y13505">
        <v>1</v>
      </c>
      <c r="Z13505">
        <v>0</v>
      </c>
      <c r="AA13505">
        <v>0</v>
      </c>
      <c r="AB13505">
        <v>0</v>
      </c>
      <c r="AC13505">
        <v>0</v>
      </c>
      <c r="AD13505">
        <v>0</v>
      </c>
      <c r="AE13505">
        <v>0</v>
      </c>
      <c r="AF13505">
        <v>0</v>
      </c>
      <c r="AG13505">
        <v>0</v>
      </c>
      <c r="AH13505">
        <v>0</v>
      </c>
      <c r="AI13505">
        <v>1</v>
      </c>
      <c r="AJ13505">
        <v>0</v>
      </c>
      <c r="AK13505">
        <v>0</v>
      </c>
      <c r="AL13505">
        <v>0</v>
      </c>
      <c r="AM13505">
        <v>0</v>
      </c>
    </row>
    <row r="13506" spans="1:39" x14ac:dyDescent="0.2">
      <c r="A13506" t="str">
        <f>"13502"</f>
        <v>13502</v>
      </c>
      <c r="B13506" t="str">
        <f t="shared" si="751"/>
        <v>1</v>
      </c>
      <c r="C13506" t="str">
        <f t="shared" si="752"/>
        <v>271</v>
      </c>
      <c r="D13506" t="str">
        <f>"33"</f>
        <v>33</v>
      </c>
      <c r="E13506" t="str">
        <f>"1-271-33"</f>
        <v>1-271-33</v>
      </c>
      <c r="F13506" t="s">
        <v>65</v>
      </c>
      <c r="G13506" t="s">
        <v>66</v>
      </c>
      <c r="H13506" t="s">
        <v>67</v>
      </c>
      <c r="S13506">
        <v>1</v>
      </c>
      <c r="T13506">
        <v>0</v>
      </c>
      <c r="U13506">
        <v>0</v>
      </c>
      <c r="V13506">
        <v>0</v>
      </c>
      <c r="W13506">
        <v>1</v>
      </c>
      <c r="X13506">
        <v>0</v>
      </c>
      <c r="Y13506">
        <v>1</v>
      </c>
      <c r="Z13506">
        <v>0</v>
      </c>
      <c r="AA13506">
        <v>0</v>
      </c>
      <c r="AB13506">
        <v>0</v>
      </c>
      <c r="AC13506">
        <v>1</v>
      </c>
      <c r="AD13506">
        <v>1</v>
      </c>
      <c r="AE13506">
        <v>1</v>
      </c>
      <c r="AF13506">
        <v>1</v>
      </c>
      <c r="AG13506">
        <v>1</v>
      </c>
      <c r="AH13506">
        <v>1</v>
      </c>
      <c r="AI13506">
        <v>1</v>
      </c>
      <c r="AJ13506">
        <v>1</v>
      </c>
      <c r="AK13506">
        <v>1</v>
      </c>
      <c r="AL13506">
        <v>1</v>
      </c>
      <c r="AM13506">
        <v>1</v>
      </c>
    </row>
    <row r="13507" spans="1:39" x14ac:dyDescent="0.2">
      <c r="A13507" t="str">
        <f>"13503"</f>
        <v>13503</v>
      </c>
      <c r="B13507" t="str">
        <f t="shared" si="751"/>
        <v>1</v>
      </c>
      <c r="C13507" t="str">
        <f t="shared" si="752"/>
        <v>271</v>
      </c>
      <c r="D13507" t="str">
        <f>"23"</f>
        <v>23</v>
      </c>
      <c r="E13507" t="str">
        <f>"1-271-23"</f>
        <v>1-271-23</v>
      </c>
      <c r="F13507" t="s">
        <v>65</v>
      </c>
      <c r="G13507" t="s">
        <v>66</v>
      </c>
      <c r="H13507" t="s">
        <v>67</v>
      </c>
      <c r="S13507">
        <v>1</v>
      </c>
      <c r="T13507">
        <v>0</v>
      </c>
      <c r="U13507">
        <v>0</v>
      </c>
      <c r="V13507">
        <v>0</v>
      </c>
      <c r="W13507">
        <v>1</v>
      </c>
      <c r="X13507">
        <v>0</v>
      </c>
      <c r="Y13507">
        <v>1</v>
      </c>
      <c r="Z13507">
        <v>0</v>
      </c>
      <c r="AA13507">
        <v>1</v>
      </c>
      <c r="AB13507">
        <v>0</v>
      </c>
      <c r="AC13507">
        <v>0</v>
      </c>
      <c r="AD13507">
        <v>1</v>
      </c>
      <c r="AE13507">
        <v>1</v>
      </c>
      <c r="AF13507">
        <v>1</v>
      </c>
      <c r="AG13507">
        <v>1</v>
      </c>
      <c r="AH13507">
        <v>1</v>
      </c>
      <c r="AI13507">
        <v>1</v>
      </c>
      <c r="AJ13507">
        <v>1</v>
      </c>
      <c r="AK13507">
        <v>1</v>
      </c>
      <c r="AL13507">
        <v>1</v>
      </c>
      <c r="AM13507">
        <v>1</v>
      </c>
    </row>
    <row r="13508" spans="1:39" x14ac:dyDescent="0.2">
      <c r="A13508" t="str">
        <f>"13504"</f>
        <v>13504</v>
      </c>
      <c r="B13508" t="str">
        <f t="shared" si="751"/>
        <v>1</v>
      </c>
      <c r="C13508" t="str">
        <f t="shared" si="752"/>
        <v>271</v>
      </c>
      <c r="D13508" t="str">
        <f>"15"</f>
        <v>15</v>
      </c>
      <c r="E13508" t="str">
        <f>"1-271-15"</f>
        <v>1-271-15</v>
      </c>
      <c r="F13508" t="s">
        <v>65</v>
      </c>
      <c r="G13508" t="s">
        <v>66</v>
      </c>
      <c r="H13508" t="s">
        <v>67</v>
      </c>
      <c r="S13508">
        <v>1</v>
      </c>
      <c r="T13508">
        <v>0</v>
      </c>
      <c r="U13508">
        <v>0</v>
      </c>
      <c r="V13508">
        <v>0</v>
      </c>
      <c r="W13508">
        <v>1</v>
      </c>
      <c r="X13508">
        <v>0</v>
      </c>
      <c r="Y13508">
        <v>0</v>
      </c>
      <c r="Z13508">
        <v>1</v>
      </c>
      <c r="AA13508">
        <v>1</v>
      </c>
      <c r="AB13508">
        <v>0</v>
      </c>
      <c r="AC13508">
        <v>0</v>
      </c>
      <c r="AD13508">
        <v>1</v>
      </c>
      <c r="AE13508">
        <v>1</v>
      </c>
      <c r="AF13508">
        <v>1</v>
      </c>
      <c r="AG13508">
        <v>1</v>
      </c>
      <c r="AH13508">
        <v>1</v>
      </c>
      <c r="AI13508">
        <v>1</v>
      </c>
      <c r="AJ13508">
        <v>1</v>
      </c>
      <c r="AK13508">
        <v>1</v>
      </c>
      <c r="AL13508">
        <v>1</v>
      </c>
      <c r="AM13508">
        <v>1</v>
      </c>
    </row>
    <row r="13509" spans="1:39" x14ac:dyDescent="0.2">
      <c r="A13509" t="str">
        <f>"13505"</f>
        <v>13505</v>
      </c>
      <c r="B13509" t="str">
        <f t="shared" si="751"/>
        <v>1</v>
      </c>
      <c r="C13509" t="str">
        <f t="shared" si="752"/>
        <v>271</v>
      </c>
      <c r="D13509" t="str">
        <f>"4"</f>
        <v>4</v>
      </c>
      <c r="E13509" t="str">
        <f>"1-271-4"</f>
        <v>1-271-4</v>
      </c>
      <c r="F13509" t="s">
        <v>65</v>
      </c>
      <c r="G13509" t="s">
        <v>66</v>
      </c>
      <c r="H13509" t="s">
        <v>67</v>
      </c>
      <c r="S13509">
        <v>1</v>
      </c>
      <c r="T13509">
        <v>0</v>
      </c>
      <c r="U13509">
        <v>0</v>
      </c>
      <c r="V13509">
        <v>0</v>
      </c>
      <c r="W13509">
        <v>1</v>
      </c>
      <c r="X13509">
        <v>0</v>
      </c>
      <c r="Y13509">
        <v>0</v>
      </c>
      <c r="Z13509">
        <v>1</v>
      </c>
      <c r="AA13509">
        <v>0</v>
      </c>
      <c r="AB13509">
        <v>0</v>
      </c>
      <c r="AC13509">
        <v>1</v>
      </c>
      <c r="AD13509">
        <v>1</v>
      </c>
      <c r="AE13509">
        <v>1</v>
      </c>
      <c r="AF13509">
        <v>1</v>
      </c>
      <c r="AG13509">
        <v>1</v>
      </c>
      <c r="AH13509">
        <v>1</v>
      </c>
      <c r="AI13509">
        <v>1</v>
      </c>
      <c r="AJ13509">
        <v>1</v>
      </c>
      <c r="AK13509">
        <v>1</v>
      </c>
      <c r="AL13509">
        <v>1</v>
      </c>
      <c r="AM13509">
        <v>1</v>
      </c>
    </row>
    <row r="13510" spans="1:39" x14ac:dyDescent="0.2">
      <c r="A13510" t="str">
        <f>"13506"</f>
        <v>13506</v>
      </c>
      <c r="B13510" t="str">
        <f t="shared" si="751"/>
        <v>1</v>
      </c>
      <c r="C13510" t="str">
        <f t="shared" si="752"/>
        <v>271</v>
      </c>
      <c r="D13510" t="str">
        <f>"36"</f>
        <v>36</v>
      </c>
      <c r="E13510" t="str">
        <f>"1-271-36"</f>
        <v>1-271-36</v>
      </c>
      <c r="F13510" t="s">
        <v>65</v>
      </c>
      <c r="G13510" t="s">
        <v>66</v>
      </c>
      <c r="H13510" t="s">
        <v>67</v>
      </c>
      <c r="S13510">
        <v>0</v>
      </c>
      <c r="T13510">
        <v>1</v>
      </c>
      <c r="U13510">
        <v>0</v>
      </c>
      <c r="V13510">
        <v>0</v>
      </c>
      <c r="W13510">
        <v>1</v>
      </c>
      <c r="X13510">
        <v>0</v>
      </c>
      <c r="Y13510">
        <v>1</v>
      </c>
      <c r="Z13510">
        <v>0</v>
      </c>
      <c r="AA13510">
        <v>0</v>
      </c>
      <c r="AB13510">
        <v>0</v>
      </c>
      <c r="AC13510">
        <v>1</v>
      </c>
      <c r="AD13510">
        <v>1</v>
      </c>
      <c r="AE13510">
        <v>1</v>
      </c>
      <c r="AF13510">
        <v>1</v>
      </c>
      <c r="AG13510">
        <v>1</v>
      </c>
      <c r="AH13510">
        <v>1</v>
      </c>
      <c r="AI13510">
        <v>1</v>
      </c>
      <c r="AJ13510">
        <v>1</v>
      </c>
      <c r="AK13510">
        <v>1</v>
      </c>
      <c r="AL13510">
        <v>1</v>
      </c>
      <c r="AM13510">
        <v>1</v>
      </c>
    </row>
    <row r="13511" spans="1:39" x14ac:dyDescent="0.2">
      <c r="A13511" t="str">
        <f>"13507"</f>
        <v>13507</v>
      </c>
      <c r="B13511" t="str">
        <f t="shared" si="751"/>
        <v>1</v>
      </c>
      <c r="C13511" t="str">
        <f t="shared" si="752"/>
        <v>271</v>
      </c>
      <c r="D13511" t="str">
        <f>"35"</f>
        <v>35</v>
      </c>
      <c r="E13511" t="str">
        <f>"1-271-35"</f>
        <v>1-271-35</v>
      </c>
      <c r="F13511" t="s">
        <v>65</v>
      </c>
      <c r="G13511" t="s">
        <v>66</v>
      </c>
      <c r="H13511" t="s">
        <v>67</v>
      </c>
      <c r="S13511">
        <v>0</v>
      </c>
      <c r="T13511">
        <v>0</v>
      </c>
      <c r="U13511">
        <v>0</v>
      </c>
      <c r="V13511">
        <v>0</v>
      </c>
      <c r="W13511">
        <v>1</v>
      </c>
      <c r="X13511">
        <v>0</v>
      </c>
      <c r="Y13511">
        <v>1</v>
      </c>
      <c r="Z13511">
        <v>0</v>
      </c>
      <c r="AA13511">
        <v>1</v>
      </c>
      <c r="AB13511">
        <v>0</v>
      </c>
      <c r="AC13511">
        <v>0</v>
      </c>
      <c r="AD13511">
        <v>0</v>
      </c>
      <c r="AE13511">
        <v>0</v>
      </c>
      <c r="AF13511">
        <v>0</v>
      </c>
      <c r="AG13511">
        <v>0</v>
      </c>
      <c r="AH13511">
        <v>0</v>
      </c>
      <c r="AI13511">
        <v>0</v>
      </c>
      <c r="AJ13511">
        <v>0</v>
      </c>
      <c r="AK13511">
        <v>0</v>
      </c>
      <c r="AL13511">
        <v>0</v>
      </c>
      <c r="AM13511">
        <v>0</v>
      </c>
    </row>
    <row r="13512" spans="1:39" x14ac:dyDescent="0.2">
      <c r="A13512" t="str">
        <f>"13508"</f>
        <v>13508</v>
      </c>
      <c r="B13512" t="str">
        <f t="shared" si="751"/>
        <v>1</v>
      </c>
      <c r="C13512" t="str">
        <f t="shared" si="752"/>
        <v>271</v>
      </c>
      <c r="D13512" t="str">
        <f>"24"</f>
        <v>24</v>
      </c>
      <c r="E13512" t="str">
        <f>"1-271-24"</f>
        <v>1-271-24</v>
      </c>
      <c r="F13512" t="s">
        <v>65</v>
      </c>
      <c r="G13512" t="s">
        <v>66</v>
      </c>
      <c r="H13512" t="s">
        <v>67</v>
      </c>
      <c r="S13512">
        <v>1</v>
      </c>
      <c r="T13512">
        <v>0</v>
      </c>
      <c r="U13512">
        <v>0</v>
      </c>
      <c r="V13512">
        <v>0</v>
      </c>
      <c r="W13512">
        <v>1</v>
      </c>
      <c r="X13512">
        <v>0</v>
      </c>
      <c r="Y13512">
        <v>1</v>
      </c>
      <c r="Z13512">
        <v>0</v>
      </c>
      <c r="AA13512">
        <v>1</v>
      </c>
      <c r="AB13512">
        <v>0</v>
      </c>
      <c r="AC13512">
        <v>0</v>
      </c>
      <c r="AD13512">
        <v>1</v>
      </c>
      <c r="AE13512">
        <v>1</v>
      </c>
      <c r="AF13512">
        <v>1</v>
      </c>
      <c r="AG13512">
        <v>1</v>
      </c>
      <c r="AH13512">
        <v>1</v>
      </c>
      <c r="AI13512">
        <v>1</v>
      </c>
      <c r="AJ13512">
        <v>1</v>
      </c>
      <c r="AK13512">
        <v>1</v>
      </c>
      <c r="AL13512">
        <v>1</v>
      </c>
      <c r="AM13512">
        <v>1</v>
      </c>
    </row>
    <row r="13513" spans="1:39" x14ac:dyDescent="0.2">
      <c r="A13513" t="str">
        <f>"13509"</f>
        <v>13509</v>
      </c>
      <c r="B13513" t="str">
        <f t="shared" si="751"/>
        <v>1</v>
      </c>
      <c r="C13513" t="str">
        <f t="shared" si="752"/>
        <v>271</v>
      </c>
      <c r="D13513" t="str">
        <f>"16"</f>
        <v>16</v>
      </c>
      <c r="E13513" t="str">
        <f>"1-271-16"</f>
        <v>1-271-16</v>
      </c>
      <c r="F13513" t="s">
        <v>65</v>
      </c>
      <c r="G13513" t="s">
        <v>66</v>
      </c>
      <c r="H13513" t="s">
        <v>67</v>
      </c>
      <c r="S13513">
        <v>1</v>
      </c>
      <c r="T13513">
        <v>0</v>
      </c>
      <c r="U13513">
        <v>0</v>
      </c>
      <c r="V13513">
        <v>0</v>
      </c>
      <c r="W13513">
        <v>1</v>
      </c>
      <c r="X13513">
        <v>0</v>
      </c>
      <c r="Y13513">
        <v>0</v>
      </c>
      <c r="Z13513">
        <v>1</v>
      </c>
      <c r="AA13513">
        <v>0</v>
      </c>
      <c r="AB13513">
        <v>1</v>
      </c>
      <c r="AC13513">
        <v>0</v>
      </c>
      <c r="AD13513">
        <v>0</v>
      </c>
      <c r="AE13513">
        <v>1</v>
      </c>
      <c r="AF13513">
        <v>1</v>
      </c>
      <c r="AG13513">
        <v>1</v>
      </c>
      <c r="AH13513">
        <v>1</v>
      </c>
      <c r="AI13513">
        <v>1</v>
      </c>
      <c r="AJ13513">
        <v>1</v>
      </c>
      <c r="AK13513">
        <v>1</v>
      </c>
      <c r="AL13513">
        <v>1</v>
      </c>
      <c r="AM13513">
        <v>1</v>
      </c>
    </row>
    <row r="13514" spans="1:39" x14ac:dyDescent="0.2">
      <c r="A13514" t="str">
        <f>"13510"</f>
        <v>13510</v>
      </c>
      <c r="B13514" t="str">
        <f t="shared" si="751"/>
        <v>1</v>
      </c>
      <c r="C13514" t="str">
        <f t="shared" si="752"/>
        <v>271</v>
      </c>
      <c r="D13514" t="str">
        <f>"2"</f>
        <v>2</v>
      </c>
      <c r="E13514" t="str">
        <f>"1-271-2"</f>
        <v>1-271-2</v>
      </c>
      <c r="F13514" t="s">
        <v>65</v>
      </c>
      <c r="G13514" t="s">
        <v>66</v>
      </c>
      <c r="H13514" t="s">
        <v>67</v>
      </c>
      <c r="S13514">
        <v>1</v>
      </c>
      <c r="T13514">
        <v>0</v>
      </c>
      <c r="U13514">
        <v>0</v>
      </c>
      <c r="V13514">
        <v>0</v>
      </c>
      <c r="W13514">
        <v>1</v>
      </c>
      <c r="X13514">
        <v>0</v>
      </c>
      <c r="Y13514">
        <v>0</v>
      </c>
      <c r="Z13514">
        <v>1</v>
      </c>
      <c r="AA13514">
        <v>1</v>
      </c>
      <c r="AB13514">
        <v>0</v>
      </c>
      <c r="AC13514">
        <v>0</v>
      </c>
      <c r="AD13514">
        <v>1</v>
      </c>
      <c r="AE13514">
        <v>1</v>
      </c>
      <c r="AF13514">
        <v>1</v>
      </c>
      <c r="AG13514">
        <v>1</v>
      </c>
      <c r="AH13514">
        <v>1</v>
      </c>
      <c r="AI13514">
        <v>1</v>
      </c>
      <c r="AJ13514">
        <v>1</v>
      </c>
      <c r="AK13514">
        <v>1</v>
      </c>
      <c r="AL13514">
        <v>1</v>
      </c>
      <c r="AM13514">
        <v>1</v>
      </c>
    </row>
    <row r="13515" spans="1:39" x14ac:dyDescent="0.2">
      <c r="A13515" t="str">
        <f>"13511"</f>
        <v>13511</v>
      </c>
      <c r="B13515" t="str">
        <f t="shared" si="751"/>
        <v>1</v>
      </c>
      <c r="C13515" t="str">
        <f t="shared" si="752"/>
        <v>271</v>
      </c>
      <c r="D13515" t="str">
        <f>"46"</f>
        <v>46</v>
      </c>
      <c r="E13515" t="str">
        <f>"1-271-46"</f>
        <v>1-271-46</v>
      </c>
      <c r="F13515" t="s">
        <v>65</v>
      </c>
      <c r="G13515" t="s">
        <v>66</v>
      </c>
      <c r="H13515" t="s">
        <v>67</v>
      </c>
      <c r="S13515">
        <v>1</v>
      </c>
      <c r="T13515">
        <v>0</v>
      </c>
      <c r="U13515">
        <v>0</v>
      </c>
      <c r="V13515">
        <v>0</v>
      </c>
      <c r="W13515">
        <v>1</v>
      </c>
      <c r="X13515">
        <v>0</v>
      </c>
      <c r="Y13515">
        <v>0</v>
      </c>
      <c r="Z13515">
        <v>1</v>
      </c>
      <c r="AA13515">
        <v>1</v>
      </c>
      <c r="AB13515">
        <v>0</v>
      </c>
      <c r="AC13515">
        <v>0</v>
      </c>
      <c r="AD13515">
        <v>1</v>
      </c>
      <c r="AE13515">
        <v>1</v>
      </c>
      <c r="AF13515">
        <v>1</v>
      </c>
      <c r="AG13515">
        <v>1</v>
      </c>
      <c r="AH13515">
        <v>1</v>
      </c>
      <c r="AI13515">
        <v>1</v>
      </c>
      <c r="AJ13515">
        <v>1</v>
      </c>
      <c r="AK13515">
        <v>1</v>
      </c>
      <c r="AL13515">
        <v>1</v>
      </c>
      <c r="AM13515">
        <v>1</v>
      </c>
    </row>
    <row r="13516" spans="1:39" x14ac:dyDescent="0.2">
      <c r="A13516" t="str">
        <f>"13512"</f>
        <v>13512</v>
      </c>
      <c r="B13516" t="str">
        <f t="shared" si="751"/>
        <v>1</v>
      </c>
      <c r="C13516" t="str">
        <f t="shared" si="752"/>
        <v>271</v>
      </c>
      <c r="D13516" t="str">
        <f>"45"</f>
        <v>45</v>
      </c>
      <c r="E13516" t="str">
        <f>"1-271-45"</f>
        <v>1-271-45</v>
      </c>
      <c r="F13516" t="s">
        <v>65</v>
      </c>
      <c r="G13516" t="s">
        <v>66</v>
      </c>
      <c r="H13516" t="s">
        <v>67</v>
      </c>
      <c r="S13516">
        <v>1</v>
      </c>
      <c r="T13516">
        <v>0</v>
      </c>
      <c r="U13516">
        <v>0</v>
      </c>
      <c r="V13516">
        <v>0</v>
      </c>
      <c r="W13516">
        <v>1</v>
      </c>
      <c r="X13516">
        <v>0</v>
      </c>
      <c r="Y13516">
        <v>1</v>
      </c>
      <c r="Z13516">
        <v>0</v>
      </c>
      <c r="AA13516">
        <v>1</v>
      </c>
      <c r="AB13516">
        <v>0</v>
      </c>
      <c r="AC13516">
        <v>0</v>
      </c>
      <c r="AD13516">
        <v>1</v>
      </c>
      <c r="AE13516">
        <v>1</v>
      </c>
      <c r="AF13516">
        <v>1</v>
      </c>
      <c r="AG13516">
        <v>1</v>
      </c>
      <c r="AH13516">
        <v>1</v>
      </c>
      <c r="AI13516">
        <v>1</v>
      </c>
      <c r="AJ13516">
        <v>1</v>
      </c>
      <c r="AK13516">
        <v>1</v>
      </c>
      <c r="AL13516">
        <v>1</v>
      </c>
      <c r="AM13516">
        <v>1</v>
      </c>
    </row>
    <row r="13517" spans="1:39" x14ac:dyDescent="0.2">
      <c r="A13517" t="str">
        <f>"13513"</f>
        <v>13513</v>
      </c>
      <c r="B13517" t="str">
        <f t="shared" si="751"/>
        <v>1</v>
      </c>
      <c r="C13517" t="str">
        <f t="shared" si="752"/>
        <v>271</v>
      </c>
      <c r="D13517" t="str">
        <f>"32"</f>
        <v>32</v>
      </c>
      <c r="E13517" t="str">
        <f>"1-271-32"</f>
        <v>1-271-32</v>
      </c>
      <c r="F13517" t="s">
        <v>65</v>
      </c>
      <c r="G13517" t="s">
        <v>66</v>
      </c>
      <c r="H13517" t="s">
        <v>67</v>
      </c>
      <c r="S13517">
        <v>0</v>
      </c>
      <c r="T13517">
        <v>1</v>
      </c>
      <c r="U13517">
        <v>0</v>
      </c>
      <c r="V13517">
        <v>0</v>
      </c>
      <c r="W13517">
        <v>1</v>
      </c>
      <c r="X13517">
        <v>0</v>
      </c>
      <c r="Y13517">
        <v>1</v>
      </c>
      <c r="Z13517">
        <v>0</v>
      </c>
      <c r="AA13517">
        <v>0</v>
      </c>
      <c r="AB13517">
        <v>1</v>
      </c>
      <c r="AC13517">
        <v>0</v>
      </c>
      <c r="AD13517">
        <v>1</v>
      </c>
      <c r="AE13517">
        <v>1</v>
      </c>
      <c r="AF13517">
        <v>1</v>
      </c>
      <c r="AG13517">
        <v>1</v>
      </c>
      <c r="AH13517">
        <v>1</v>
      </c>
      <c r="AI13517">
        <v>1</v>
      </c>
      <c r="AJ13517">
        <v>1</v>
      </c>
      <c r="AK13517">
        <v>1</v>
      </c>
      <c r="AL13517">
        <v>1</v>
      </c>
      <c r="AM13517">
        <v>1</v>
      </c>
    </row>
    <row r="13518" spans="1:39" x14ac:dyDescent="0.2">
      <c r="A13518" t="str">
        <f>"13514"</f>
        <v>13514</v>
      </c>
      <c r="B13518" t="str">
        <f t="shared" si="751"/>
        <v>1</v>
      </c>
      <c r="C13518" t="str">
        <f t="shared" si="752"/>
        <v>271</v>
      </c>
      <c r="D13518" t="str">
        <f>"17"</f>
        <v>17</v>
      </c>
      <c r="E13518" t="str">
        <f>"1-271-17"</f>
        <v>1-271-17</v>
      </c>
      <c r="F13518" t="s">
        <v>65</v>
      </c>
      <c r="G13518" t="s">
        <v>66</v>
      </c>
      <c r="H13518" t="s">
        <v>67</v>
      </c>
      <c r="S13518">
        <v>1</v>
      </c>
      <c r="T13518">
        <v>0</v>
      </c>
      <c r="U13518">
        <v>0</v>
      </c>
      <c r="V13518">
        <v>0</v>
      </c>
      <c r="W13518">
        <v>1</v>
      </c>
      <c r="X13518">
        <v>0</v>
      </c>
      <c r="Y13518">
        <v>0</v>
      </c>
      <c r="Z13518">
        <v>1</v>
      </c>
      <c r="AA13518">
        <v>0</v>
      </c>
      <c r="AB13518">
        <v>0</v>
      </c>
      <c r="AC13518">
        <v>1</v>
      </c>
      <c r="AD13518">
        <v>1</v>
      </c>
      <c r="AE13518">
        <v>1</v>
      </c>
      <c r="AF13518">
        <v>1</v>
      </c>
      <c r="AG13518">
        <v>1</v>
      </c>
      <c r="AH13518">
        <v>1</v>
      </c>
      <c r="AI13518">
        <v>1</v>
      </c>
      <c r="AJ13518">
        <v>1</v>
      </c>
      <c r="AK13518">
        <v>1</v>
      </c>
      <c r="AL13518">
        <v>1</v>
      </c>
      <c r="AM13518">
        <v>1</v>
      </c>
    </row>
    <row r="13519" spans="1:39" x14ac:dyDescent="0.2">
      <c r="A13519" t="str">
        <f>"13515"</f>
        <v>13515</v>
      </c>
      <c r="B13519" t="str">
        <f t="shared" si="751"/>
        <v>1</v>
      </c>
      <c r="C13519" t="str">
        <f t="shared" si="752"/>
        <v>271</v>
      </c>
      <c r="D13519" t="str">
        <f>"6"</f>
        <v>6</v>
      </c>
      <c r="E13519" t="str">
        <f>"1-271-6"</f>
        <v>1-271-6</v>
      </c>
      <c r="F13519" t="s">
        <v>65</v>
      </c>
      <c r="G13519" t="s">
        <v>66</v>
      </c>
      <c r="H13519" t="s">
        <v>67</v>
      </c>
      <c r="S13519">
        <v>0</v>
      </c>
      <c r="T13519">
        <v>1</v>
      </c>
      <c r="U13519">
        <v>0</v>
      </c>
      <c r="V13519">
        <v>0</v>
      </c>
      <c r="W13519">
        <v>1</v>
      </c>
      <c r="X13519">
        <v>0</v>
      </c>
      <c r="Y13519">
        <v>0</v>
      </c>
      <c r="Z13519">
        <v>0</v>
      </c>
      <c r="AA13519">
        <v>0</v>
      </c>
      <c r="AB13519">
        <v>0</v>
      </c>
      <c r="AC13519">
        <v>0</v>
      </c>
      <c r="AD13519">
        <v>1</v>
      </c>
      <c r="AE13519">
        <v>1</v>
      </c>
      <c r="AF13519">
        <v>1</v>
      </c>
      <c r="AG13519">
        <v>1</v>
      </c>
      <c r="AH13519">
        <v>1</v>
      </c>
      <c r="AI13519">
        <v>1</v>
      </c>
      <c r="AJ13519">
        <v>0</v>
      </c>
      <c r="AK13519">
        <v>0</v>
      </c>
      <c r="AL13519">
        <v>1</v>
      </c>
      <c r="AM13519">
        <v>0</v>
      </c>
    </row>
    <row r="13520" spans="1:39" x14ac:dyDescent="0.2">
      <c r="A13520" t="str">
        <f>"13516"</f>
        <v>13516</v>
      </c>
      <c r="B13520" t="str">
        <f t="shared" si="751"/>
        <v>1</v>
      </c>
      <c r="C13520" t="str">
        <f t="shared" si="752"/>
        <v>271</v>
      </c>
      <c r="D13520" t="str">
        <f>"43"</f>
        <v>43</v>
      </c>
      <c r="E13520" t="str">
        <f>"1-271-43"</f>
        <v>1-271-43</v>
      </c>
      <c r="F13520" t="s">
        <v>65</v>
      </c>
      <c r="G13520" t="s">
        <v>66</v>
      </c>
      <c r="H13520" t="s">
        <v>67</v>
      </c>
      <c r="S13520">
        <v>1</v>
      </c>
      <c r="T13520">
        <v>0</v>
      </c>
      <c r="U13520">
        <v>0</v>
      </c>
      <c r="V13520">
        <v>0</v>
      </c>
      <c r="W13520">
        <v>1</v>
      </c>
      <c r="X13520">
        <v>0</v>
      </c>
      <c r="Y13520">
        <v>1</v>
      </c>
      <c r="Z13520">
        <v>0</v>
      </c>
      <c r="AA13520">
        <v>0</v>
      </c>
      <c r="AB13520">
        <v>1</v>
      </c>
      <c r="AC13520">
        <v>0</v>
      </c>
      <c r="AD13520">
        <v>1</v>
      </c>
      <c r="AE13520">
        <v>1</v>
      </c>
      <c r="AF13520">
        <v>1</v>
      </c>
      <c r="AG13520">
        <v>1</v>
      </c>
      <c r="AH13520">
        <v>1</v>
      </c>
      <c r="AI13520">
        <v>1</v>
      </c>
      <c r="AJ13520">
        <v>1</v>
      </c>
      <c r="AK13520">
        <v>1</v>
      </c>
      <c r="AL13520">
        <v>1</v>
      </c>
      <c r="AM13520">
        <v>1</v>
      </c>
    </row>
    <row r="13521" spans="1:39" x14ac:dyDescent="0.2">
      <c r="A13521" t="str">
        <f>"13517"</f>
        <v>13517</v>
      </c>
      <c r="B13521" t="str">
        <f t="shared" si="751"/>
        <v>1</v>
      </c>
      <c r="C13521" t="str">
        <f t="shared" si="752"/>
        <v>271</v>
      </c>
      <c r="D13521" t="str">
        <f>"31"</f>
        <v>31</v>
      </c>
      <c r="E13521" t="str">
        <f>"1-271-31"</f>
        <v>1-271-31</v>
      </c>
      <c r="F13521" t="s">
        <v>65</v>
      </c>
      <c r="G13521" t="s">
        <v>66</v>
      </c>
      <c r="H13521" t="s">
        <v>67</v>
      </c>
      <c r="S13521">
        <v>0</v>
      </c>
      <c r="T13521">
        <v>1</v>
      </c>
      <c r="U13521">
        <v>0</v>
      </c>
      <c r="V13521">
        <v>0</v>
      </c>
      <c r="W13521">
        <v>1</v>
      </c>
      <c r="X13521">
        <v>0</v>
      </c>
      <c r="Y13521">
        <v>1</v>
      </c>
      <c r="Z13521">
        <v>0</v>
      </c>
      <c r="AA13521">
        <v>0</v>
      </c>
      <c r="AB13521">
        <v>1</v>
      </c>
      <c r="AC13521">
        <v>0</v>
      </c>
      <c r="AD13521">
        <v>1</v>
      </c>
      <c r="AE13521">
        <v>1</v>
      </c>
      <c r="AF13521">
        <v>1</v>
      </c>
      <c r="AG13521">
        <v>1</v>
      </c>
      <c r="AH13521">
        <v>1</v>
      </c>
      <c r="AI13521">
        <v>1</v>
      </c>
      <c r="AJ13521">
        <v>1</v>
      </c>
      <c r="AK13521">
        <v>1</v>
      </c>
      <c r="AL13521">
        <v>1</v>
      </c>
      <c r="AM13521">
        <v>1</v>
      </c>
    </row>
    <row r="13522" spans="1:39" x14ac:dyDescent="0.2">
      <c r="A13522" t="str">
        <f>"13518"</f>
        <v>13518</v>
      </c>
      <c r="B13522" t="str">
        <f t="shared" si="751"/>
        <v>1</v>
      </c>
      <c r="C13522" t="str">
        <f t="shared" si="752"/>
        <v>271</v>
      </c>
      <c r="D13522" t="str">
        <f>"18"</f>
        <v>18</v>
      </c>
      <c r="E13522" t="str">
        <f>"1-271-18"</f>
        <v>1-271-18</v>
      </c>
      <c r="F13522" t="s">
        <v>65</v>
      </c>
      <c r="G13522" t="s">
        <v>66</v>
      </c>
      <c r="H13522" t="s">
        <v>67</v>
      </c>
      <c r="S13522">
        <v>1</v>
      </c>
      <c r="T13522">
        <v>0</v>
      </c>
      <c r="U13522">
        <v>0</v>
      </c>
      <c r="V13522">
        <v>0</v>
      </c>
      <c r="W13522">
        <v>1</v>
      </c>
      <c r="X13522">
        <v>0</v>
      </c>
      <c r="Y13522">
        <v>1</v>
      </c>
      <c r="Z13522">
        <v>0</v>
      </c>
      <c r="AA13522">
        <v>0</v>
      </c>
      <c r="AB13522">
        <v>1</v>
      </c>
      <c r="AC13522">
        <v>0</v>
      </c>
      <c r="AD13522">
        <v>1</v>
      </c>
      <c r="AE13522">
        <v>1</v>
      </c>
      <c r="AF13522">
        <v>1</v>
      </c>
      <c r="AG13522">
        <v>1</v>
      </c>
      <c r="AH13522">
        <v>1</v>
      </c>
      <c r="AI13522">
        <v>1</v>
      </c>
      <c r="AJ13522">
        <v>1</v>
      </c>
      <c r="AK13522">
        <v>1</v>
      </c>
      <c r="AL13522">
        <v>1</v>
      </c>
      <c r="AM13522">
        <v>1</v>
      </c>
    </row>
    <row r="13523" spans="1:39" x14ac:dyDescent="0.2">
      <c r="A13523" t="str">
        <f>"13519"</f>
        <v>13519</v>
      </c>
      <c r="B13523" t="str">
        <f t="shared" si="751"/>
        <v>1</v>
      </c>
      <c r="C13523" t="str">
        <f t="shared" si="752"/>
        <v>271</v>
      </c>
      <c r="D13523" t="str">
        <f>"9"</f>
        <v>9</v>
      </c>
      <c r="E13523" t="str">
        <f>"1-271-9"</f>
        <v>1-271-9</v>
      </c>
      <c r="F13523" t="s">
        <v>65</v>
      </c>
      <c r="G13523" t="s">
        <v>66</v>
      </c>
      <c r="H13523" t="s">
        <v>67</v>
      </c>
      <c r="S13523">
        <v>1</v>
      </c>
      <c r="T13523">
        <v>0</v>
      </c>
      <c r="U13523">
        <v>0</v>
      </c>
      <c r="V13523">
        <v>0</v>
      </c>
      <c r="W13523">
        <v>1</v>
      </c>
      <c r="X13523">
        <v>0</v>
      </c>
      <c r="Y13523">
        <v>1</v>
      </c>
      <c r="Z13523">
        <v>0</v>
      </c>
      <c r="AA13523">
        <v>1</v>
      </c>
      <c r="AB13523">
        <v>0</v>
      </c>
      <c r="AC13523">
        <v>0</v>
      </c>
      <c r="AD13523">
        <v>1</v>
      </c>
      <c r="AE13523">
        <v>1</v>
      </c>
      <c r="AF13523">
        <v>1</v>
      </c>
      <c r="AG13523">
        <v>1</v>
      </c>
      <c r="AH13523">
        <v>1</v>
      </c>
      <c r="AI13523">
        <v>1</v>
      </c>
      <c r="AJ13523">
        <v>1</v>
      </c>
      <c r="AK13523">
        <v>1</v>
      </c>
      <c r="AL13523">
        <v>1</v>
      </c>
      <c r="AM13523">
        <v>1</v>
      </c>
    </row>
    <row r="13524" spans="1:39" x14ac:dyDescent="0.2">
      <c r="A13524" t="str">
        <f>"13520"</f>
        <v>13520</v>
      </c>
      <c r="B13524" t="str">
        <f t="shared" si="751"/>
        <v>1</v>
      </c>
      <c r="C13524" t="str">
        <f t="shared" si="752"/>
        <v>271</v>
      </c>
      <c r="D13524" t="str">
        <f>"37"</f>
        <v>37</v>
      </c>
      <c r="E13524" t="str">
        <f>"1-271-37"</f>
        <v>1-271-37</v>
      </c>
      <c r="F13524" t="s">
        <v>65</v>
      </c>
      <c r="G13524" t="s">
        <v>66</v>
      </c>
      <c r="H13524" t="s">
        <v>67</v>
      </c>
      <c r="S13524">
        <v>1</v>
      </c>
      <c r="T13524">
        <v>0</v>
      </c>
      <c r="U13524">
        <v>0</v>
      </c>
      <c r="V13524">
        <v>0</v>
      </c>
      <c r="W13524">
        <v>1</v>
      </c>
      <c r="X13524">
        <v>0</v>
      </c>
      <c r="Y13524">
        <v>1</v>
      </c>
      <c r="Z13524">
        <v>0</v>
      </c>
      <c r="AA13524">
        <v>1</v>
      </c>
      <c r="AB13524">
        <v>0</v>
      </c>
      <c r="AC13524">
        <v>0</v>
      </c>
      <c r="AD13524">
        <v>0</v>
      </c>
      <c r="AE13524">
        <v>0</v>
      </c>
      <c r="AF13524">
        <v>0</v>
      </c>
      <c r="AG13524">
        <v>0</v>
      </c>
      <c r="AH13524">
        <v>0</v>
      </c>
      <c r="AI13524">
        <v>1</v>
      </c>
      <c r="AJ13524">
        <v>0</v>
      </c>
      <c r="AK13524">
        <v>0</v>
      </c>
      <c r="AL13524">
        <v>1</v>
      </c>
      <c r="AM13524">
        <v>0</v>
      </c>
    </row>
    <row r="13525" spans="1:39" x14ac:dyDescent="0.2">
      <c r="A13525" t="str">
        <f>"13521"</f>
        <v>13521</v>
      </c>
      <c r="B13525" t="str">
        <f t="shared" si="751"/>
        <v>1</v>
      </c>
      <c r="C13525" t="str">
        <f t="shared" si="752"/>
        <v>271</v>
      </c>
      <c r="D13525" t="str">
        <f>"19"</f>
        <v>19</v>
      </c>
      <c r="E13525" t="str">
        <f>"1-271-19"</f>
        <v>1-271-19</v>
      </c>
      <c r="F13525" t="s">
        <v>65</v>
      </c>
      <c r="G13525" t="s">
        <v>66</v>
      </c>
      <c r="H13525" t="s">
        <v>67</v>
      </c>
      <c r="S13525">
        <v>1</v>
      </c>
      <c r="T13525">
        <v>0</v>
      </c>
      <c r="U13525">
        <v>0</v>
      </c>
      <c r="V13525">
        <v>0</v>
      </c>
      <c r="W13525">
        <v>1</v>
      </c>
      <c r="X13525">
        <v>0</v>
      </c>
      <c r="Y13525">
        <v>0</v>
      </c>
      <c r="Z13525">
        <v>1</v>
      </c>
      <c r="AA13525">
        <v>1</v>
      </c>
      <c r="AB13525">
        <v>0</v>
      </c>
      <c r="AC13525">
        <v>0</v>
      </c>
      <c r="AD13525">
        <v>0</v>
      </c>
      <c r="AE13525">
        <v>0</v>
      </c>
      <c r="AF13525">
        <v>0</v>
      </c>
      <c r="AG13525">
        <v>0</v>
      </c>
      <c r="AH13525">
        <v>0</v>
      </c>
      <c r="AI13525">
        <v>0</v>
      </c>
      <c r="AJ13525">
        <v>0</v>
      </c>
      <c r="AK13525">
        <v>0</v>
      </c>
      <c r="AL13525">
        <v>0</v>
      </c>
      <c r="AM13525">
        <v>0</v>
      </c>
    </row>
    <row r="13526" spans="1:39" x14ac:dyDescent="0.2">
      <c r="A13526" t="str">
        <f>"13522"</f>
        <v>13522</v>
      </c>
      <c r="B13526" t="str">
        <f t="shared" si="751"/>
        <v>1</v>
      </c>
      <c r="C13526" t="str">
        <f t="shared" si="752"/>
        <v>271</v>
      </c>
      <c r="D13526" t="str">
        <f>"10"</f>
        <v>10</v>
      </c>
      <c r="E13526" t="str">
        <f>"1-271-10"</f>
        <v>1-271-10</v>
      </c>
      <c r="F13526" t="s">
        <v>65</v>
      </c>
      <c r="G13526" t="s">
        <v>66</v>
      </c>
      <c r="H13526" t="s">
        <v>67</v>
      </c>
      <c r="S13526">
        <v>1</v>
      </c>
      <c r="T13526">
        <v>0</v>
      </c>
      <c r="U13526">
        <v>0</v>
      </c>
      <c r="V13526">
        <v>0</v>
      </c>
      <c r="W13526">
        <v>1</v>
      </c>
      <c r="X13526">
        <v>0</v>
      </c>
      <c r="Y13526">
        <v>1</v>
      </c>
      <c r="Z13526">
        <v>0</v>
      </c>
      <c r="AA13526">
        <v>1</v>
      </c>
      <c r="AB13526">
        <v>0</v>
      </c>
      <c r="AC13526">
        <v>0</v>
      </c>
      <c r="AD13526">
        <v>1</v>
      </c>
      <c r="AE13526">
        <v>1</v>
      </c>
      <c r="AF13526">
        <v>1</v>
      </c>
      <c r="AG13526">
        <v>1</v>
      </c>
      <c r="AH13526">
        <v>1</v>
      </c>
      <c r="AI13526">
        <v>1</v>
      </c>
      <c r="AJ13526">
        <v>1</v>
      </c>
      <c r="AK13526">
        <v>1</v>
      </c>
      <c r="AL13526">
        <v>1</v>
      </c>
      <c r="AM13526">
        <v>1</v>
      </c>
    </row>
    <row r="13527" spans="1:39" x14ac:dyDescent="0.2">
      <c r="A13527" t="str">
        <f>"13523"</f>
        <v>13523</v>
      </c>
      <c r="B13527" t="str">
        <f t="shared" si="751"/>
        <v>1</v>
      </c>
      <c r="C13527" t="str">
        <f t="shared" si="752"/>
        <v>271</v>
      </c>
      <c r="D13527" t="str">
        <f>"38"</f>
        <v>38</v>
      </c>
      <c r="E13527" t="str">
        <f>"1-271-38"</f>
        <v>1-271-38</v>
      </c>
      <c r="F13527" t="s">
        <v>65</v>
      </c>
      <c r="G13527" t="s">
        <v>66</v>
      </c>
      <c r="H13527" t="s">
        <v>67</v>
      </c>
      <c r="S13527">
        <v>0</v>
      </c>
      <c r="T13527">
        <v>0</v>
      </c>
      <c r="U13527">
        <v>0</v>
      </c>
      <c r="V13527">
        <v>0</v>
      </c>
      <c r="W13527">
        <v>1</v>
      </c>
      <c r="X13527">
        <v>0</v>
      </c>
      <c r="Y13527">
        <v>0</v>
      </c>
      <c r="Z13527">
        <v>0</v>
      </c>
      <c r="AA13527">
        <v>0</v>
      </c>
      <c r="AB13527">
        <v>0</v>
      </c>
      <c r="AC13527">
        <v>0</v>
      </c>
      <c r="AD13527">
        <v>0</v>
      </c>
      <c r="AE13527">
        <v>0</v>
      </c>
      <c r="AF13527">
        <v>0</v>
      </c>
      <c r="AG13527">
        <v>0</v>
      </c>
      <c r="AH13527">
        <v>0</v>
      </c>
      <c r="AI13527">
        <v>0</v>
      </c>
      <c r="AJ13527">
        <v>0</v>
      </c>
      <c r="AK13527">
        <v>0</v>
      </c>
      <c r="AL13527">
        <v>0</v>
      </c>
      <c r="AM13527">
        <v>0</v>
      </c>
    </row>
    <row r="13528" spans="1:39" x14ac:dyDescent="0.2">
      <c r="A13528" t="str">
        <f>"13524"</f>
        <v>13524</v>
      </c>
      <c r="B13528" t="str">
        <f t="shared" si="751"/>
        <v>1</v>
      </c>
      <c r="C13528" t="str">
        <f t="shared" si="752"/>
        <v>271</v>
      </c>
      <c r="D13528" t="str">
        <f>"20"</f>
        <v>20</v>
      </c>
      <c r="E13528" t="str">
        <f>"1-271-20"</f>
        <v>1-271-20</v>
      </c>
      <c r="F13528" t="s">
        <v>65</v>
      </c>
      <c r="G13528" t="s">
        <v>66</v>
      </c>
      <c r="H13528" t="s">
        <v>67</v>
      </c>
      <c r="S13528">
        <v>1</v>
      </c>
      <c r="T13528">
        <v>0</v>
      </c>
      <c r="U13528">
        <v>0</v>
      </c>
      <c r="V13528">
        <v>0</v>
      </c>
      <c r="W13528">
        <v>1</v>
      </c>
      <c r="X13528">
        <v>0</v>
      </c>
      <c r="Y13528">
        <v>0</v>
      </c>
      <c r="Z13528">
        <v>1</v>
      </c>
      <c r="AA13528">
        <v>0</v>
      </c>
      <c r="AB13528">
        <v>0</v>
      </c>
      <c r="AC13528">
        <v>1</v>
      </c>
      <c r="AD13528">
        <v>1</v>
      </c>
      <c r="AE13528">
        <v>1</v>
      </c>
      <c r="AF13528">
        <v>1</v>
      </c>
      <c r="AG13528">
        <v>1</v>
      </c>
      <c r="AH13528">
        <v>1</v>
      </c>
      <c r="AI13528">
        <v>1</v>
      </c>
      <c r="AJ13528">
        <v>1</v>
      </c>
      <c r="AK13528">
        <v>1</v>
      </c>
      <c r="AL13528">
        <v>1</v>
      </c>
      <c r="AM13528">
        <v>1</v>
      </c>
    </row>
    <row r="13529" spans="1:39" x14ac:dyDescent="0.2">
      <c r="A13529" t="str">
        <f>"13525"</f>
        <v>13525</v>
      </c>
      <c r="B13529" t="str">
        <f t="shared" si="751"/>
        <v>1</v>
      </c>
      <c r="C13529" t="str">
        <f t="shared" si="752"/>
        <v>271</v>
      </c>
      <c r="D13529" t="str">
        <f>"7"</f>
        <v>7</v>
      </c>
      <c r="E13529" t="str">
        <f>"1-271-7"</f>
        <v>1-271-7</v>
      </c>
      <c r="F13529" t="s">
        <v>65</v>
      </c>
      <c r="G13529" t="s">
        <v>66</v>
      </c>
      <c r="H13529" t="s">
        <v>67</v>
      </c>
      <c r="S13529">
        <v>0</v>
      </c>
      <c r="T13529">
        <v>1</v>
      </c>
      <c r="U13529">
        <v>0</v>
      </c>
      <c r="V13529">
        <v>0</v>
      </c>
      <c r="W13529">
        <v>1</v>
      </c>
      <c r="X13529">
        <v>0</v>
      </c>
      <c r="Y13529">
        <v>1</v>
      </c>
      <c r="Z13529">
        <v>0</v>
      </c>
      <c r="AA13529">
        <v>1</v>
      </c>
      <c r="AB13529">
        <v>0</v>
      </c>
      <c r="AC13529">
        <v>0</v>
      </c>
      <c r="AD13529">
        <v>1</v>
      </c>
      <c r="AE13529">
        <v>1</v>
      </c>
      <c r="AF13529">
        <v>1</v>
      </c>
      <c r="AG13529">
        <v>1</v>
      </c>
      <c r="AH13529">
        <v>1</v>
      </c>
      <c r="AI13529">
        <v>1</v>
      </c>
      <c r="AJ13529">
        <v>1</v>
      </c>
      <c r="AK13529">
        <v>1</v>
      </c>
      <c r="AL13529">
        <v>1</v>
      </c>
      <c r="AM13529">
        <v>1</v>
      </c>
    </row>
    <row r="13530" spans="1:39" x14ac:dyDescent="0.2">
      <c r="A13530" t="str">
        <f>"13526"</f>
        <v>13526</v>
      </c>
      <c r="B13530" t="str">
        <f t="shared" si="751"/>
        <v>1</v>
      </c>
      <c r="C13530" t="str">
        <f t="shared" si="752"/>
        <v>271</v>
      </c>
      <c r="D13530" t="str">
        <f>"39"</f>
        <v>39</v>
      </c>
      <c r="E13530" t="str">
        <f>"1-271-39"</f>
        <v>1-271-39</v>
      </c>
      <c r="F13530" t="s">
        <v>65</v>
      </c>
      <c r="G13530" t="s">
        <v>66</v>
      </c>
      <c r="H13530" t="s">
        <v>67</v>
      </c>
      <c r="S13530">
        <v>1</v>
      </c>
      <c r="T13530">
        <v>0</v>
      </c>
      <c r="U13530">
        <v>0</v>
      </c>
      <c r="V13530">
        <v>0</v>
      </c>
      <c r="W13530">
        <v>1</v>
      </c>
      <c r="X13530">
        <v>0</v>
      </c>
      <c r="Y13530">
        <v>1</v>
      </c>
      <c r="Z13530">
        <v>0</v>
      </c>
      <c r="AA13530">
        <v>1</v>
      </c>
      <c r="AB13530">
        <v>0</v>
      </c>
      <c r="AC13530">
        <v>0</v>
      </c>
      <c r="AD13530">
        <v>0</v>
      </c>
      <c r="AE13530">
        <v>0</v>
      </c>
      <c r="AF13530">
        <v>0</v>
      </c>
      <c r="AG13530">
        <v>0</v>
      </c>
      <c r="AH13530">
        <v>0</v>
      </c>
      <c r="AI13530">
        <v>0</v>
      </c>
      <c r="AJ13530">
        <v>0</v>
      </c>
      <c r="AK13530">
        <v>0</v>
      </c>
      <c r="AL13530">
        <v>1</v>
      </c>
      <c r="AM13530">
        <v>0</v>
      </c>
    </row>
    <row r="13531" spans="1:39" x14ac:dyDescent="0.2">
      <c r="A13531" t="str">
        <f>"13527"</f>
        <v>13527</v>
      </c>
      <c r="B13531" t="str">
        <f t="shared" si="751"/>
        <v>1</v>
      </c>
      <c r="C13531" t="str">
        <f t="shared" si="752"/>
        <v>271</v>
      </c>
      <c r="D13531" t="str">
        <f>"21"</f>
        <v>21</v>
      </c>
      <c r="E13531" t="str">
        <f>"1-271-21"</f>
        <v>1-271-21</v>
      </c>
      <c r="F13531" t="s">
        <v>65</v>
      </c>
      <c r="G13531" t="s">
        <v>66</v>
      </c>
      <c r="H13531" t="s">
        <v>67</v>
      </c>
      <c r="S13531">
        <v>1</v>
      </c>
      <c r="T13531">
        <v>0</v>
      </c>
      <c r="U13531">
        <v>0</v>
      </c>
      <c r="V13531">
        <v>0</v>
      </c>
      <c r="W13531">
        <v>1</v>
      </c>
      <c r="X13531">
        <v>0</v>
      </c>
      <c r="Y13531">
        <v>0</v>
      </c>
      <c r="Z13531">
        <v>0</v>
      </c>
      <c r="AA13531">
        <v>0</v>
      </c>
      <c r="AB13531">
        <v>0</v>
      </c>
      <c r="AC13531">
        <v>0</v>
      </c>
      <c r="AD13531">
        <v>0</v>
      </c>
      <c r="AE13531">
        <v>0</v>
      </c>
      <c r="AF13531">
        <v>0</v>
      </c>
      <c r="AG13531">
        <v>0</v>
      </c>
      <c r="AH13531">
        <v>0</v>
      </c>
      <c r="AI13531">
        <v>1</v>
      </c>
      <c r="AJ13531">
        <v>1</v>
      </c>
      <c r="AK13531">
        <v>0</v>
      </c>
      <c r="AL13531">
        <v>0</v>
      </c>
      <c r="AM13531">
        <v>0</v>
      </c>
    </row>
    <row r="13532" spans="1:39" x14ac:dyDescent="0.2">
      <c r="A13532" t="str">
        <f>"13528"</f>
        <v>13528</v>
      </c>
      <c r="B13532" t="str">
        <f t="shared" si="751"/>
        <v>1</v>
      </c>
      <c r="C13532" t="str">
        <f t="shared" si="752"/>
        <v>271</v>
      </c>
      <c r="D13532" t="str">
        <f>"8"</f>
        <v>8</v>
      </c>
      <c r="E13532" t="str">
        <f>"1-271-8"</f>
        <v>1-271-8</v>
      </c>
      <c r="F13532" t="s">
        <v>65</v>
      </c>
      <c r="G13532" t="s">
        <v>66</v>
      </c>
      <c r="H13532" t="s">
        <v>67</v>
      </c>
      <c r="S13532">
        <v>1</v>
      </c>
      <c r="T13532">
        <v>0</v>
      </c>
      <c r="U13532">
        <v>0</v>
      </c>
      <c r="V13532">
        <v>0</v>
      </c>
      <c r="W13532">
        <v>1</v>
      </c>
      <c r="X13532">
        <v>0</v>
      </c>
      <c r="Y13532">
        <v>0</v>
      </c>
      <c r="Z13532">
        <v>1</v>
      </c>
      <c r="AA13532">
        <v>1</v>
      </c>
      <c r="AB13532">
        <v>0</v>
      </c>
      <c r="AC13532">
        <v>0</v>
      </c>
      <c r="AD13532">
        <v>1</v>
      </c>
      <c r="AE13532">
        <v>1</v>
      </c>
      <c r="AF13532">
        <v>1</v>
      </c>
      <c r="AG13532">
        <v>1</v>
      </c>
      <c r="AH13532">
        <v>1</v>
      </c>
      <c r="AI13532">
        <v>1</v>
      </c>
      <c r="AJ13532">
        <v>1</v>
      </c>
      <c r="AK13532">
        <v>1</v>
      </c>
      <c r="AL13532">
        <v>1</v>
      </c>
      <c r="AM13532">
        <v>1</v>
      </c>
    </row>
    <row r="13533" spans="1:39" x14ac:dyDescent="0.2">
      <c r="A13533" t="str">
        <f>"13529"</f>
        <v>13529</v>
      </c>
      <c r="B13533" t="str">
        <f t="shared" si="751"/>
        <v>1</v>
      </c>
      <c r="C13533" t="str">
        <f t="shared" si="752"/>
        <v>271</v>
      </c>
      <c r="D13533" t="str">
        <f>"40"</f>
        <v>40</v>
      </c>
      <c r="E13533" t="str">
        <f>"1-271-40"</f>
        <v>1-271-40</v>
      </c>
      <c r="F13533" t="s">
        <v>65</v>
      </c>
      <c r="G13533" t="s">
        <v>66</v>
      </c>
      <c r="H13533" t="s">
        <v>67</v>
      </c>
      <c r="S13533">
        <v>1</v>
      </c>
      <c r="T13533">
        <v>0</v>
      </c>
      <c r="U13533">
        <v>0</v>
      </c>
      <c r="V13533">
        <v>0</v>
      </c>
      <c r="W13533">
        <v>1</v>
      </c>
      <c r="X13533">
        <v>0</v>
      </c>
      <c r="Y13533">
        <v>1</v>
      </c>
      <c r="Z13533">
        <v>0</v>
      </c>
      <c r="AA13533">
        <v>1</v>
      </c>
      <c r="AB13533">
        <v>0</v>
      </c>
      <c r="AC13533">
        <v>0</v>
      </c>
      <c r="AD13533">
        <v>1</v>
      </c>
      <c r="AE13533">
        <v>1</v>
      </c>
      <c r="AF13533">
        <v>1</v>
      </c>
      <c r="AG13533">
        <v>1</v>
      </c>
      <c r="AH13533">
        <v>1</v>
      </c>
      <c r="AI13533">
        <v>1</v>
      </c>
      <c r="AJ13533">
        <v>1</v>
      </c>
      <c r="AK13533">
        <v>1</v>
      </c>
      <c r="AL13533">
        <v>1</v>
      </c>
      <c r="AM13533">
        <v>1</v>
      </c>
    </row>
    <row r="13534" spans="1:39" x14ac:dyDescent="0.2">
      <c r="A13534" t="str">
        <f>"13530"</f>
        <v>13530</v>
      </c>
      <c r="B13534" t="str">
        <f t="shared" si="751"/>
        <v>1</v>
      </c>
      <c r="C13534" t="str">
        <f t="shared" si="752"/>
        <v>271</v>
      </c>
      <c r="D13534" t="str">
        <f>"22"</f>
        <v>22</v>
      </c>
      <c r="E13534" t="str">
        <f>"1-271-22"</f>
        <v>1-271-22</v>
      </c>
      <c r="F13534" t="s">
        <v>65</v>
      </c>
      <c r="G13534" t="s">
        <v>66</v>
      </c>
      <c r="H13534" t="s">
        <v>67</v>
      </c>
      <c r="S13534">
        <v>1</v>
      </c>
      <c r="T13534">
        <v>0</v>
      </c>
      <c r="U13534">
        <v>0</v>
      </c>
      <c r="V13534">
        <v>0</v>
      </c>
      <c r="W13534">
        <v>1</v>
      </c>
      <c r="X13534">
        <v>0</v>
      </c>
      <c r="Y13534">
        <v>1</v>
      </c>
      <c r="Z13534">
        <v>0</v>
      </c>
      <c r="AA13534">
        <v>1</v>
      </c>
      <c r="AB13534">
        <v>0</v>
      </c>
      <c r="AC13534">
        <v>0</v>
      </c>
      <c r="AD13534">
        <v>0</v>
      </c>
      <c r="AE13534">
        <v>0</v>
      </c>
      <c r="AF13534">
        <v>0</v>
      </c>
      <c r="AG13534">
        <v>0</v>
      </c>
      <c r="AH13534">
        <v>0</v>
      </c>
      <c r="AI13534">
        <v>0</v>
      </c>
      <c r="AJ13534">
        <v>0</v>
      </c>
      <c r="AK13534">
        <v>0</v>
      </c>
      <c r="AL13534">
        <v>0</v>
      </c>
      <c r="AM13534">
        <v>0</v>
      </c>
    </row>
    <row r="13535" spans="1:39" x14ac:dyDescent="0.2">
      <c r="A13535" t="str">
        <f>"13531"</f>
        <v>13531</v>
      </c>
      <c r="B13535" t="str">
        <f t="shared" si="751"/>
        <v>1</v>
      </c>
      <c r="C13535" t="str">
        <f t="shared" si="752"/>
        <v>271</v>
      </c>
      <c r="D13535" t="str">
        <f>"12"</f>
        <v>12</v>
      </c>
      <c r="E13535" t="str">
        <f>"1-271-12"</f>
        <v>1-271-12</v>
      </c>
      <c r="F13535" t="s">
        <v>65</v>
      </c>
      <c r="G13535" t="s">
        <v>66</v>
      </c>
      <c r="H13535" t="s">
        <v>67</v>
      </c>
      <c r="S13535">
        <v>0</v>
      </c>
      <c r="T13535">
        <v>1</v>
      </c>
      <c r="U13535">
        <v>0</v>
      </c>
      <c r="V13535">
        <v>0</v>
      </c>
      <c r="W13535">
        <v>1</v>
      </c>
      <c r="X13535">
        <v>0</v>
      </c>
      <c r="Y13535">
        <v>1</v>
      </c>
      <c r="Z13535">
        <v>0</v>
      </c>
      <c r="AA13535">
        <v>0</v>
      </c>
      <c r="AB13535">
        <v>0</v>
      </c>
      <c r="AC13535">
        <v>1</v>
      </c>
      <c r="AD13535">
        <v>1</v>
      </c>
      <c r="AE13535">
        <v>1</v>
      </c>
      <c r="AF13535">
        <v>1</v>
      </c>
      <c r="AG13535">
        <v>1</v>
      </c>
      <c r="AH13535">
        <v>1</v>
      </c>
      <c r="AI13535">
        <v>1</v>
      </c>
      <c r="AJ13535">
        <v>1</v>
      </c>
      <c r="AK13535">
        <v>1</v>
      </c>
      <c r="AL13535">
        <v>1</v>
      </c>
      <c r="AM13535">
        <v>1</v>
      </c>
    </row>
    <row r="13536" spans="1:39" x14ac:dyDescent="0.2">
      <c r="A13536" t="str">
        <f>"13532"</f>
        <v>13532</v>
      </c>
      <c r="B13536" t="str">
        <f t="shared" si="751"/>
        <v>1</v>
      </c>
      <c r="C13536" t="str">
        <f t="shared" si="752"/>
        <v>271</v>
      </c>
      <c r="D13536" t="str">
        <f>"41"</f>
        <v>41</v>
      </c>
      <c r="E13536" t="str">
        <f>"1-271-41"</f>
        <v>1-271-41</v>
      </c>
      <c r="F13536" t="s">
        <v>65</v>
      </c>
      <c r="G13536" t="s">
        <v>66</v>
      </c>
      <c r="H13536" t="s">
        <v>67</v>
      </c>
      <c r="S13536">
        <v>1</v>
      </c>
      <c r="T13536">
        <v>0</v>
      </c>
      <c r="U13536">
        <v>0</v>
      </c>
      <c r="V13536">
        <v>0</v>
      </c>
      <c r="W13536">
        <v>1</v>
      </c>
      <c r="X13536">
        <v>0</v>
      </c>
      <c r="Y13536">
        <v>0</v>
      </c>
      <c r="Z13536">
        <v>1</v>
      </c>
      <c r="AA13536">
        <v>0</v>
      </c>
      <c r="AB13536">
        <v>1</v>
      </c>
      <c r="AC13536">
        <v>0</v>
      </c>
      <c r="AD13536">
        <v>1</v>
      </c>
      <c r="AE13536">
        <v>1</v>
      </c>
      <c r="AF13536">
        <v>1</v>
      </c>
      <c r="AG13536">
        <v>1</v>
      </c>
      <c r="AH13536">
        <v>1</v>
      </c>
      <c r="AI13536">
        <v>1</v>
      </c>
      <c r="AJ13536">
        <v>1</v>
      </c>
      <c r="AK13536">
        <v>1</v>
      </c>
      <c r="AL13536">
        <v>1</v>
      </c>
      <c r="AM13536">
        <v>1</v>
      </c>
    </row>
    <row r="13537" spans="1:39" x14ac:dyDescent="0.2">
      <c r="A13537" t="str">
        <f>"13533"</f>
        <v>13533</v>
      </c>
      <c r="B13537" t="str">
        <f t="shared" si="751"/>
        <v>1</v>
      </c>
      <c r="C13537" t="str">
        <f t="shared" ref="C13537:C13554" si="753">"271"</f>
        <v>271</v>
      </c>
      <c r="D13537" t="str">
        <f>"25"</f>
        <v>25</v>
      </c>
      <c r="E13537" t="str">
        <f>"1-271-25"</f>
        <v>1-271-25</v>
      </c>
      <c r="F13537" t="s">
        <v>65</v>
      </c>
      <c r="G13537" t="s">
        <v>66</v>
      </c>
      <c r="H13537" t="s">
        <v>67</v>
      </c>
      <c r="S13537">
        <v>1</v>
      </c>
      <c r="T13537">
        <v>0</v>
      </c>
      <c r="U13537">
        <v>0</v>
      </c>
      <c r="V13537">
        <v>0</v>
      </c>
      <c r="W13537">
        <v>1</v>
      </c>
      <c r="X13537">
        <v>0</v>
      </c>
      <c r="Y13537">
        <v>1</v>
      </c>
      <c r="Z13537">
        <v>0</v>
      </c>
      <c r="AA13537">
        <v>0</v>
      </c>
      <c r="AB13537">
        <v>0</v>
      </c>
      <c r="AC13537">
        <v>1</v>
      </c>
      <c r="AD13537">
        <v>1</v>
      </c>
      <c r="AE13537">
        <v>1</v>
      </c>
      <c r="AF13537">
        <v>1</v>
      </c>
      <c r="AG13537">
        <v>1</v>
      </c>
      <c r="AH13537">
        <v>1</v>
      </c>
      <c r="AI13537">
        <v>1</v>
      </c>
      <c r="AJ13537">
        <v>1</v>
      </c>
      <c r="AK13537">
        <v>1</v>
      </c>
      <c r="AL13537">
        <v>1</v>
      </c>
      <c r="AM13537">
        <v>0</v>
      </c>
    </row>
    <row r="13538" spans="1:39" x14ac:dyDescent="0.2">
      <c r="A13538" t="str">
        <f>"13534"</f>
        <v>13534</v>
      </c>
      <c r="B13538" t="str">
        <f t="shared" si="751"/>
        <v>1</v>
      </c>
      <c r="C13538" t="str">
        <f t="shared" si="753"/>
        <v>271</v>
      </c>
      <c r="D13538" t="str">
        <f>"3"</f>
        <v>3</v>
      </c>
      <c r="E13538" t="str">
        <f>"1-271-3"</f>
        <v>1-271-3</v>
      </c>
      <c r="F13538" t="s">
        <v>65</v>
      </c>
      <c r="G13538" t="s">
        <v>66</v>
      </c>
      <c r="H13538" t="s">
        <v>67</v>
      </c>
      <c r="S13538">
        <v>1</v>
      </c>
      <c r="T13538">
        <v>0</v>
      </c>
      <c r="U13538">
        <v>0</v>
      </c>
      <c r="V13538">
        <v>0</v>
      </c>
      <c r="W13538">
        <v>1</v>
      </c>
      <c r="X13538">
        <v>0</v>
      </c>
      <c r="Y13538">
        <v>0</v>
      </c>
      <c r="Z13538">
        <v>1</v>
      </c>
      <c r="AA13538">
        <v>0</v>
      </c>
      <c r="AB13538">
        <v>0</v>
      </c>
      <c r="AC13538">
        <v>1</v>
      </c>
      <c r="AD13538">
        <v>1</v>
      </c>
      <c r="AE13538">
        <v>1</v>
      </c>
      <c r="AF13538">
        <v>1</v>
      </c>
      <c r="AG13538">
        <v>1</v>
      </c>
      <c r="AH13538">
        <v>1</v>
      </c>
      <c r="AI13538">
        <v>1</v>
      </c>
      <c r="AJ13538">
        <v>1</v>
      </c>
      <c r="AK13538">
        <v>1</v>
      </c>
      <c r="AL13538">
        <v>1</v>
      </c>
      <c r="AM13538">
        <v>1</v>
      </c>
    </row>
    <row r="13539" spans="1:39" x14ac:dyDescent="0.2">
      <c r="A13539" t="str">
        <f>"13535"</f>
        <v>13535</v>
      </c>
      <c r="B13539" t="str">
        <f t="shared" si="751"/>
        <v>1</v>
      </c>
      <c r="C13539" t="str">
        <f t="shared" si="753"/>
        <v>271</v>
      </c>
      <c r="D13539" t="str">
        <f>"50"</f>
        <v>50</v>
      </c>
      <c r="E13539" t="str">
        <f>"1-271-50"</f>
        <v>1-271-50</v>
      </c>
      <c r="F13539" t="s">
        <v>65</v>
      </c>
      <c r="G13539" t="s">
        <v>66</v>
      </c>
      <c r="H13539" t="s">
        <v>67</v>
      </c>
      <c r="S13539">
        <v>1</v>
      </c>
      <c r="T13539">
        <v>0</v>
      </c>
      <c r="U13539">
        <v>0</v>
      </c>
      <c r="V13539">
        <v>0</v>
      </c>
      <c r="W13539">
        <v>1</v>
      </c>
      <c r="X13539">
        <v>0</v>
      </c>
      <c r="Y13539">
        <v>1</v>
      </c>
      <c r="Z13539">
        <v>0</v>
      </c>
      <c r="AA13539">
        <v>1</v>
      </c>
      <c r="AB13539">
        <v>0</v>
      </c>
      <c r="AC13539">
        <v>0</v>
      </c>
      <c r="AD13539">
        <v>1</v>
      </c>
      <c r="AE13539">
        <v>1</v>
      </c>
      <c r="AF13539">
        <v>1</v>
      </c>
      <c r="AG13539">
        <v>1</v>
      </c>
      <c r="AH13539">
        <v>1</v>
      </c>
      <c r="AI13539">
        <v>1</v>
      </c>
      <c r="AJ13539">
        <v>1</v>
      </c>
      <c r="AK13539">
        <v>1</v>
      </c>
      <c r="AL13539">
        <v>1</v>
      </c>
      <c r="AM13539">
        <v>1</v>
      </c>
    </row>
    <row r="13540" spans="1:39" x14ac:dyDescent="0.2">
      <c r="A13540" t="str">
        <f>"13536"</f>
        <v>13536</v>
      </c>
      <c r="B13540" t="str">
        <f t="shared" si="751"/>
        <v>1</v>
      </c>
      <c r="C13540" t="str">
        <f t="shared" si="753"/>
        <v>271</v>
      </c>
      <c r="D13540" t="str">
        <f>"26"</f>
        <v>26</v>
      </c>
      <c r="E13540" t="str">
        <f>"1-271-26"</f>
        <v>1-271-26</v>
      </c>
      <c r="F13540" t="s">
        <v>65</v>
      </c>
      <c r="G13540" t="s">
        <v>66</v>
      </c>
      <c r="H13540" t="s">
        <v>67</v>
      </c>
      <c r="S13540">
        <v>1</v>
      </c>
      <c r="T13540">
        <v>0</v>
      </c>
      <c r="U13540">
        <v>0</v>
      </c>
      <c r="V13540">
        <v>0</v>
      </c>
      <c r="W13540">
        <v>1</v>
      </c>
      <c r="X13540">
        <v>0</v>
      </c>
      <c r="Y13540">
        <v>1</v>
      </c>
      <c r="Z13540">
        <v>0</v>
      </c>
      <c r="AA13540">
        <v>0</v>
      </c>
      <c r="AB13540">
        <v>0</v>
      </c>
      <c r="AC13540">
        <v>1</v>
      </c>
      <c r="AD13540">
        <v>1</v>
      </c>
      <c r="AE13540">
        <v>1</v>
      </c>
      <c r="AF13540">
        <v>1</v>
      </c>
      <c r="AG13540">
        <v>1</v>
      </c>
      <c r="AH13540">
        <v>1</v>
      </c>
      <c r="AI13540">
        <v>1</v>
      </c>
      <c r="AJ13540">
        <v>1</v>
      </c>
      <c r="AK13540">
        <v>1</v>
      </c>
      <c r="AL13540">
        <v>1</v>
      </c>
      <c r="AM13540">
        <v>0</v>
      </c>
    </row>
    <row r="13541" spans="1:39" x14ac:dyDescent="0.2">
      <c r="A13541" t="str">
        <f>"13537"</f>
        <v>13537</v>
      </c>
      <c r="B13541" t="str">
        <f t="shared" si="751"/>
        <v>1</v>
      </c>
      <c r="C13541" t="str">
        <f t="shared" si="753"/>
        <v>271</v>
      </c>
      <c r="D13541" t="str">
        <f>"14"</f>
        <v>14</v>
      </c>
      <c r="E13541" t="str">
        <f>"1-271-14"</f>
        <v>1-271-14</v>
      </c>
      <c r="F13541" t="s">
        <v>65</v>
      </c>
      <c r="G13541" t="s">
        <v>66</v>
      </c>
      <c r="H13541" t="s">
        <v>67</v>
      </c>
      <c r="S13541">
        <v>1</v>
      </c>
      <c r="T13541">
        <v>0</v>
      </c>
      <c r="U13541">
        <v>0</v>
      </c>
      <c r="V13541">
        <v>0</v>
      </c>
      <c r="W13541">
        <v>1</v>
      </c>
      <c r="X13541">
        <v>0</v>
      </c>
      <c r="Y13541">
        <v>1</v>
      </c>
      <c r="Z13541">
        <v>0</v>
      </c>
      <c r="AA13541">
        <v>0</v>
      </c>
      <c r="AB13541">
        <v>0</v>
      </c>
      <c r="AC13541">
        <v>1</v>
      </c>
      <c r="AD13541">
        <v>1</v>
      </c>
      <c r="AE13541">
        <v>1</v>
      </c>
      <c r="AF13541">
        <v>1</v>
      </c>
      <c r="AG13541">
        <v>1</v>
      </c>
      <c r="AH13541">
        <v>1</v>
      </c>
      <c r="AI13541">
        <v>1</v>
      </c>
      <c r="AJ13541">
        <v>1</v>
      </c>
      <c r="AK13541">
        <v>1</v>
      </c>
      <c r="AL13541">
        <v>1</v>
      </c>
      <c r="AM13541">
        <v>1</v>
      </c>
    </row>
    <row r="13542" spans="1:39" x14ac:dyDescent="0.2">
      <c r="A13542" t="str">
        <f>"13538"</f>
        <v>13538</v>
      </c>
      <c r="B13542" t="str">
        <f t="shared" si="751"/>
        <v>1</v>
      </c>
      <c r="C13542" t="str">
        <f t="shared" si="753"/>
        <v>271</v>
      </c>
      <c r="D13542" t="str">
        <f>"48"</f>
        <v>48</v>
      </c>
      <c r="E13542" t="str">
        <f>"1-271-48"</f>
        <v>1-271-48</v>
      </c>
      <c r="F13542" t="s">
        <v>65</v>
      </c>
      <c r="G13542" t="s">
        <v>66</v>
      </c>
      <c r="H13542" t="s">
        <v>67</v>
      </c>
      <c r="S13542">
        <v>1</v>
      </c>
      <c r="T13542">
        <v>0</v>
      </c>
      <c r="U13542">
        <v>0</v>
      </c>
      <c r="V13542">
        <v>0</v>
      </c>
      <c r="W13542">
        <v>1</v>
      </c>
      <c r="X13542">
        <v>0</v>
      </c>
      <c r="Y13542">
        <v>1</v>
      </c>
      <c r="Z13542">
        <v>0</v>
      </c>
      <c r="AA13542">
        <v>0</v>
      </c>
      <c r="AB13542">
        <v>1</v>
      </c>
      <c r="AC13542">
        <v>0</v>
      </c>
      <c r="AD13542">
        <v>1</v>
      </c>
      <c r="AE13542">
        <v>1</v>
      </c>
      <c r="AF13542">
        <v>1</v>
      </c>
      <c r="AG13542">
        <v>1</v>
      </c>
      <c r="AH13542">
        <v>1</v>
      </c>
      <c r="AI13542">
        <v>1</v>
      </c>
      <c r="AJ13542">
        <v>1</v>
      </c>
      <c r="AK13542">
        <v>1</v>
      </c>
      <c r="AL13542">
        <v>1</v>
      </c>
      <c r="AM13542">
        <v>1</v>
      </c>
    </row>
    <row r="13543" spans="1:39" x14ac:dyDescent="0.2">
      <c r="A13543" t="str">
        <f>"13539"</f>
        <v>13539</v>
      </c>
      <c r="B13543" t="str">
        <f t="shared" si="751"/>
        <v>1</v>
      </c>
      <c r="C13543" t="str">
        <f t="shared" si="753"/>
        <v>271</v>
      </c>
      <c r="D13543" t="str">
        <f>"27"</f>
        <v>27</v>
      </c>
      <c r="E13543" t="str">
        <f>"1-271-27"</f>
        <v>1-271-27</v>
      </c>
      <c r="F13543" t="s">
        <v>65</v>
      </c>
      <c r="G13543" t="s">
        <v>66</v>
      </c>
      <c r="H13543" t="s">
        <v>67</v>
      </c>
      <c r="S13543">
        <v>1</v>
      </c>
      <c r="T13543">
        <v>0</v>
      </c>
      <c r="U13543">
        <v>0</v>
      </c>
      <c r="V13543">
        <v>0</v>
      </c>
      <c r="W13543">
        <v>1</v>
      </c>
      <c r="X13543">
        <v>0</v>
      </c>
      <c r="Y13543">
        <v>0</v>
      </c>
      <c r="Z13543">
        <v>1</v>
      </c>
      <c r="AA13543">
        <v>0</v>
      </c>
      <c r="AB13543">
        <v>1</v>
      </c>
      <c r="AC13543">
        <v>0</v>
      </c>
      <c r="AD13543">
        <v>1</v>
      </c>
      <c r="AE13543">
        <v>1</v>
      </c>
      <c r="AF13543">
        <v>1</v>
      </c>
      <c r="AG13543">
        <v>1</v>
      </c>
      <c r="AH13543">
        <v>1</v>
      </c>
      <c r="AI13543">
        <v>1</v>
      </c>
      <c r="AJ13543">
        <v>1</v>
      </c>
      <c r="AK13543">
        <v>1</v>
      </c>
      <c r="AL13543">
        <v>1</v>
      </c>
      <c r="AM13543">
        <v>1</v>
      </c>
    </row>
    <row r="13544" spans="1:39" x14ac:dyDescent="0.2">
      <c r="A13544" t="str">
        <f>"13540"</f>
        <v>13540</v>
      </c>
      <c r="B13544" t="str">
        <f t="shared" si="751"/>
        <v>1</v>
      </c>
      <c r="C13544" t="str">
        <f t="shared" si="753"/>
        <v>271</v>
      </c>
      <c r="D13544" t="str">
        <f>"1"</f>
        <v>1</v>
      </c>
      <c r="E13544" t="str">
        <f>"1-271-1"</f>
        <v>1-271-1</v>
      </c>
      <c r="F13544" t="s">
        <v>65</v>
      </c>
      <c r="G13544" t="s">
        <v>66</v>
      </c>
      <c r="H13544" t="s">
        <v>67</v>
      </c>
      <c r="S13544">
        <v>1</v>
      </c>
      <c r="T13544">
        <v>0</v>
      </c>
      <c r="U13544">
        <v>0</v>
      </c>
      <c r="V13544">
        <v>0</v>
      </c>
      <c r="W13544">
        <v>1</v>
      </c>
      <c r="X13544">
        <v>0</v>
      </c>
      <c r="Y13544">
        <v>0</v>
      </c>
      <c r="Z13544">
        <v>1</v>
      </c>
      <c r="AA13544">
        <v>1</v>
      </c>
      <c r="AB13544">
        <v>0</v>
      </c>
      <c r="AC13544">
        <v>0</v>
      </c>
      <c r="AD13544">
        <v>1</v>
      </c>
      <c r="AE13544">
        <v>1</v>
      </c>
      <c r="AF13544">
        <v>1</v>
      </c>
      <c r="AG13544">
        <v>1</v>
      </c>
      <c r="AH13544">
        <v>1</v>
      </c>
      <c r="AI13544">
        <v>1</v>
      </c>
      <c r="AJ13544">
        <v>1</v>
      </c>
      <c r="AK13544">
        <v>1</v>
      </c>
      <c r="AL13544">
        <v>1</v>
      </c>
      <c r="AM13544">
        <v>1</v>
      </c>
    </row>
    <row r="13545" spans="1:39" x14ac:dyDescent="0.2">
      <c r="A13545" t="str">
        <f>"13541"</f>
        <v>13541</v>
      </c>
      <c r="B13545" t="str">
        <f t="shared" si="751"/>
        <v>1</v>
      </c>
      <c r="C13545" t="str">
        <f t="shared" si="753"/>
        <v>271</v>
      </c>
      <c r="D13545" t="str">
        <f>"42"</f>
        <v>42</v>
      </c>
      <c r="E13545" t="str">
        <f>"1-271-42"</f>
        <v>1-271-42</v>
      </c>
      <c r="F13545" t="s">
        <v>65</v>
      </c>
      <c r="G13545" t="s">
        <v>66</v>
      </c>
      <c r="H13545" t="s">
        <v>67</v>
      </c>
      <c r="S13545">
        <v>1</v>
      </c>
      <c r="T13545">
        <v>0</v>
      </c>
      <c r="U13545">
        <v>0</v>
      </c>
      <c r="V13545">
        <v>0</v>
      </c>
      <c r="W13545">
        <v>1</v>
      </c>
      <c r="X13545">
        <v>0</v>
      </c>
      <c r="Y13545">
        <v>1</v>
      </c>
      <c r="Z13545">
        <v>0</v>
      </c>
      <c r="AA13545">
        <v>0</v>
      </c>
      <c r="AB13545">
        <v>1</v>
      </c>
      <c r="AC13545">
        <v>0</v>
      </c>
      <c r="AD13545">
        <v>1</v>
      </c>
      <c r="AE13545">
        <v>1</v>
      </c>
      <c r="AF13545">
        <v>1</v>
      </c>
      <c r="AG13545">
        <v>1</v>
      </c>
      <c r="AH13545">
        <v>1</v>
      </c>
      <c r="AI13545">
        <v>1</v>
      </c>
      <c r="AJ13545">
        <v>1</v>
      </c>
      <c r="AK13545">
        <v>1</v>
      </c>
      <c r="AL13545">
        <v>1</v>
      </c>
      <c r="AM13545">
        <v>1</v>
      </c>
    </row>
    <row r="13546" spans="1:39" x14ac:dyDescent="0.2">
      <c r="A13546" t="str">
        <f>"13542"</f>
        <v>13542</v>
      </c>
      <c r="B13546" t="str">
        <f t="shared" si="751"/>
        <v>1</v>
      </c>
      <c r="C13546" t="str">
        <f t="shared" si="753"/>
        <v>271</v>
      </c>
      <c r="D13546" t="str">
        <f>"28"</f>
        <v>28</v>
      </c>
      <c r="E13546" t="str">
        <f>"1-271-28"</f>
        <v>1-271-28</v>
      </c>
      <c r="F13546" t="s">
        <v>65</v>
      </c>
      <c r="G13546" t="s">
        <v>66</v>
      </c>
      <c r="H13546" t="s">
        <v>67</v>
      </c>
      <c r="S13546">
        <v>1</v>
      </c>
      <c r="T13546">
        <v>0</v>
      </c>
      <c r="U13546">
        <v>0</v>
      </c>
      <c r="V13546">
        <v>0</v>
      </c>
      <c r="W13546">
        <v>1</v>
      </c>
      <c r="X13546">
        <v>0</v>
      </c>
      <c r="Y13546">
        <v>1</v>
      </c>
      <c r="Z13546">
        <v>0</v>
      </c>
      <c r="AA13546">
        <v>0</v>
      </c>
      <c r="AB13546">
        <v>1</v>
      </c>
      <c r="AC13546">
        <v>0</v>
      </c>
      <c r="AD13546">
        <v>1</v>
      </c>
      <c r="AE13546">
        <v>1</v>
      </c>
      <c r="AF13546">
        <v>1</v>
      </c>
      <c r="AG13546">
        <v>1</v>
      </c>
      <c r="AH13546">
        <v>1</v>
      </c>
      <c r="AI13546">
        <v>1</v>
      </c>
      <c r="AJ13546">
        <v>1</v>
      </c>
      <c r="AK13546">
        <v>1</v>
      </c>
      <c r="AL13546">
        <v>1</v>
      </c>
      <c r="AM13546">
        <v>1</v>
      </c>
    </row>
    <row r="13547" spans="1:39" x14ac:dyDescent="0.2">
      <c r="A13547" t="str">
        <f>"13543"</f>
        <v>13543</v>
      </c>
      <c r="B13547" t="str">
        <f t="shared" si="751"/>
        <v>1</v>
      </c>
      <c r="C13547" t="str">
        <f t="shared" si="753"/>
        <v>271</v>
      </c>
      <c r="D13547" t="str">
        <f>"11"</f>
        <v>11</v>
      </c>
      <c r="E13547" t="str">
        <f>"1-271-11"</f>
        <v>1-271-11</v>
      </c>
      <c r="F13547" t="s">
        <v>65</v>
      </c>
      <c r="G13547" t="s">
        <v>66</v>
      </c>
      <c r="H13547" t="s">
        <v>67</v>
      </c>
      <c r="S13547">
        <v>1</v>
      </c>
      <c r="T13547">
        <v>0</v>
      </c>
      <c r="U13547">
        <v>0</v>
      </c>
      <c r="V13547">
        <v>0</v>
      </c>
      <c r="W13547">
        <v>1</v>
      </c>
      <c r="X13547">
        <v>0</v>
      </c>
      <c r="Y13547">
        <v>0</v>
      </c>
      <c r="Z13547">
        <v>1</v>
      </c>
      <c r="AA13547">
        <v>1</v>
      </c>
      <c r="AB13547">
        <v>0</v>
      </c>
      <c r="AC13547">
        <v>0</v>
      </c>
      <c r="AD13547">
        <v>1</v>
      </c>
      <c r="AE13547">
        <v>1</v>
      </c>
      <c r="AF13547">
        <v>1</v>
      </c>
      <c r="AG13547">
        <v>1</v>
      </c>
      <c r="AH13547">
        <v>1</v>
      </c>
      <c r="AI13547">
        <v>1</v>
      </c>
      <c r="AJ13547">
        <v>1</v>
      </c>
      <c r="AK13547">
        <v>1</v>
      </c>
      <c r="AL13547">
        <v>1</v>
      </c>
      <c r="AM13547">
        <v>1</v>
      </c>
    </row>
    <row r="13548" spans="1:39" x14ac:dyDescent="0.2">
      <c r="A13548" t="str">
        <f>"13544"</f>
        <v>13544</v>
      </c>
      <c r="B13548" t="str">
        <f t="shared" si="751"/>
        <v>1</v>
      </c>
      <c r="C13548" t="str">
        <f t="shared" si="753"/>
        <v>271</v>
      </c>
      <c r="D13548" t="str">
        <f>"47"</f>
        <v>47</v>
      </c>
      <c r="E13548" t="str">
        <f>"1-271-47"</f>
        <v>1-271-47</v>
      </c>
      <c r="F13548" t="s">
        <v>65</v>
      </c>
      <c r="G13548" t="s">
        <v>66</v>
      </c>
      <c r="H13548" t="s">
        <v>67</v>
      </c>
      <c r="S13548">
        <v>1</v>
      </c>
      <c r="T13548">
        <v>0</v>
      </c>
      <c r="U13548">
        <v>0</v>
      </c>
      <c r="V13548">
        <v>0</v>
      </c>
      <c r="W13548">
        <v>1</v>
      </c>
      <c r="X13548">
        <v>0</v>
      </c>
      <c r="Y13548">
        <v>1</v>
      </c>
      <c r="Z13548">
        <v>0</v>
      </c>
      <c r="AA13548">
        <v>1</v>
      </c>
      <c r="AB13548">
        <v>0</v>
      </c>
      <c r="AC13548">
        <v>0</v>
      </c>
      <c r="AD13548">
        <v>0</v>
      </c>
      <c r="AE13548">
        <v>0</v>
      </c>
      <c r="AF13548">
        <v>0</v>
      </c>
      <c r="AG13548">
        <v>0</v>
      </c>
      <c r="AH13548">
        <v>0</v>
      </c>
      <c r="AI13548">
        <v>0</v>
      </c>
      <c r="AJ13548">
        <v>0</v>
      </c>
      <c r="AK13548">
        <v>0</v>
      </c>
      <c r="AL13548">
        <v>0</v>
      </c>
      <c r="AM13548">
        <v>0</v>
      </c>
    </row>
    <row r="13549" spans="1:39" x14ac:dyDescent="0.2">
      <c r="A13549" t="str">
        <f>"13545"</f>
        <v>13545</v>
      </c>
      <c r="B13549" t="str">
        <f t="shared" si="751"/>
        <v>1</v>
      </c>
      <c r="C13549" t="str">
        <f t="shared" si="753"/>
        <v>271</v>
      </c>
      <c r="D13549" t="str">
        <f>"29"</f>
        <v>29</v>
      </c>
      <c r="E13549" t="str">
        <f>"1-271-29"</f>
        <v>1-271-29</v>
      </c>
      <c r="F13549" t="s">
        <v>65</v>
      </c>
      <c r="G13549" t="s">
        <v>66</v>
      </c>
      <c r="H13549" t="s">
        <v>67</v>
      </c>
      <c r="S13549">
        <v>0</v>
      </c>
      <c r="T13549">
        <v>1</v>
      </c>
      <c r="U13549">
        <v>0</v>
      </c>
      <c r="V13549">
        <v>0</v>
      </c>
      <c r="W13549">
        <v>1</v>
      </c>
      <c r="X13549">
        <v>0</v>
      </c>
      <c r="Y13549">
        <v>1</v>
      </c>
      <c r="Z13549">
        <v>0</v>
      </c>
      <c r="AA13549">
        <v>0</v>
      </c>
      <c r="AB13549">
        <v>1</v>
      </c>
      <c r="AC13549">
        <v>0</v>
      </c>
      <c r="AD13549">
        <v>1</v>
      </c>
      <c r="AE13549">
        <v>1</v>
      </c>
      <c r="AF13549">
        <v>1</v>
      </c>
      <c r="AG13549">
        <v>1</v>
      </c>
      <c r="AH13549">
        <v>1</v>
      </c>
      <c r="AI13549">
        <v>1</v>
      </c>
      <c r="AJ13549">
        <v>1</v>
      </c>
      <c r="AK13549">
        <v>1</v>
      </c>
      <c r="AL13549">
        <v>1</v>
      </c>
      <c r="AM13549">
        <v>1</v>
      </c>
    </row>
    <row r="13550" spans="1:39" x14ac:dyDescent="0.2">
      <c r="A13550" t="str">
        <f>"13546"</f>
        <v>13546</v>
      </c>
      <c r="B13550" t="str">
        <f t="shared" si="751"/>
        <v>1</v>
      </c>
      <c r="C13550" t="str">
        <f t="shared" si="753"/>
        <v>271</v>
      </c>
      <c r="D13550" t="str">
        <f>"5"</f>
        <v>5</v>
      </c>
      <c r="E13550" t="str">
        <f>"1-271-5"</f>
        <v>1-271-5</v>
      </c>
      <c r="F13550" t="s">
        <v>65</v>
      </c>
      <c r="G13550" t="s">
        <v>66</v>
      </c>
      <c r="H13550" t="s">
        <v>67</v>
      </c>
      <c r="S13550">
        <v>1</v>
      </c>
      <c r="T13550">
        <v>0</v>
      </c>
      <c r="U13550">
        <v>0</v>
      </c>
      <c r="V13550">
        <v>0</v>
      </c>
      <c r="W13550">
        <v>1</v>
      </c>
      <c r="X13550">
        <v>0</v>
      </c>
      <c r="Y13550">
        <v>0</v>
      </c>
      <c r="Z13550">
        <v>1</v>
      </c>
      <c r="AA13550">
        <v>0</v>
      </c>
      <c r="AB13550">
        <v>1</v>
      </c>
      <c r="AC13550">
        <v>0</v>
      </c>
      <c r="AD13550">
        <v>1</v>
      </c>
      <c r="AE13550">
        <v>1</v>
      </c>
      <c r="AF13550">
        <v>1</v>
      </c>
      <c r="AG13550">
        <v>1</v>
      </c>
      <c r="AH13550">
        <v>1</v>
      </c>
      <c r="AI13550">
        <v>1</v>
      </c>
      <c r="AJ13550">
        <v>1</v>
      </c>
      <c r="AK13550">
        <v>1</v>
      </c>
      <c r="AL13550">
        <v>1</v>
      </c>
      <c r="AM13550">
        <v>1</v>
      </c>
    </row>
    <row r="13551" spans="1:39" x14ac:dyDescent="0.2">
      <c r="A13551" t="str">
        <f>"13547"</f>
        <v>13547</v>
      </c>
      <c r="B13551" t="str">
        <f t="shared" si="751"/>
        <v>1</v>
      </c>
      <c r="C13551" t="str">
        <f t="shared" si="753"/>
        <v>271</v>
      </c>
      <c r="D13551" t="str">
        <f>"49"</f>
        <v>49</v>
      </c>
      <c r="E13551" t="str">
        <f>"1-271-49"</f>
        <v>1-271-49</v>
      </c>
      <c r="F13551" t="s">
        <v>65</v>
      </c>
      <c r="G13551" t="s">
        <v>66</v>
      </c>
      <c r="H13551" t="s">
        <v>67</v>
      </c>
      <c r="S13551">
        <v>1</v>
      </c>
      <c r="T13551">
        <v>0</v>
      </c>
      <c r="U13551">
        <v>0</v>
      </c>
      <c r="V13551">
        <v>0</v>
      </c>
      <c r="W13551">
        <v>1</v>
      </c>
      <c r="X13551">
        <v>0</v>
      </c>
      <c r="Y13551">
        <v>1</v>
      </c>
      <c r="Z13551">
        <v>0</v>
      </c>
      <c r="AA13551">
        <v>0</v>
      </c>
      <c r="AB13551">
        <v>1</v>
      </c>
      <c r="AC13551">
        <v>0</v>
      </c>
      <c r="AD13551">
        <v>1</v>
      </c>
      <c r="AE13551">
        <v>1</v>
      </c>
      <c r="AF13551">
        <v>1</v>
      </c>
      <c r="AG13551">
        <v>1</v>
      </c>
      <c r="AH13551">
        <v>1</v>
      </c>
      <c r="AI13551">
        <v>1</v>
      </c>
      <c r="AJ13551">
        <v>1</v>
      </c>
      <c r="AK13551">
        <v>1</v>
      </c>
      <c r="AL13551">
        <v>1</v>
      </c>
      <c r="AM13551">
        <v>1</v>
      </c>
    </row>
    <row r="13552" spans="1:39" x14ac:dyDescent="0.2">
      <c r="A13552" t="str">
        <f>"13548"</f>
        <v>13548</v>
      </c>
      <c r="B13552" t="str">
        <f t="shared" si="751"/>
        <v>1</v>
      </c>
      <c r="C13552" t="str">
        <f t="shared" si="753"/>
        <v>271</v>
      </c>
      <c r="D13552" t="str">
        <f>"30"</f>
        <v>30</v>
      </c>
      <c r="E13552" t="str">
        <f>"1-271-30"</f>
        <v>1-271-30</v>
      </c>
      <c r="F13552" t="s">
        <v>65</v>
      </c>
      <c r="G13552" t="s">
        <v>66</v>
      </c>
      <c r="H13552" t="s">
        <v>67</v>
      </c>
      <c r="S13552">
        <v>1</v>
      </c>
      <c r="T13552">
        <v>0</v>
      </c>
      <c r="U13552">
        <v>0</v>
      </c>
      <c r="V13552">
        <v>0</v>
      </c>
      <c r="W13552">
        <v>1</v>
      </c>
      <c r="X13552">
        <v>0</v>
      </c>
      <c r="Y13552">
        <v>1</v>
      </c>
      <c r="Z13552">
        <v>0</v>
      </c>
      <c r="AA13552">
        <v>0</v>
      </c>
      <c r="AB13552">
        <v>1</v>
      </c>
      <c r="AC13552">
        <v>0</v>
      </c>
      <c r="AD13552">
        <v>1</v>
      </c>
      <c r="AE13552">
        <v>1</v>
      </c>
      <c r="AF13552">
        <v>1</v>
      </c>
      <c r="AG13552">
        <v>1</v>
      </c>
      <c r="AH13552">
        <v>1</v>
      </c>
      <c r="AI13552">
        <v>1</v>
      </c>
      <c r="AJ13552">
        <v>1</v>
      </c>
      <c r="AK13552">
        <v>1</v>
      </c>
      <c r="AL13552">
        <v>1</v>
      </c>
      <c r="AM13552">
        <v>1</v>
      </c>
    </row>
    <row r="13553" spans="1:39" x14ac:dyDescent="0.2">
      <c r="A13553" t="str">
        <f>"13549"</f>
        <v>13549</v>
      </c>
      <c r="B13553" t="str">
        <f t="shared" si="751"/>
        <v>1</v>
      </c>
      <c r="C13553" t="str">
        <f t="shared" si="753"/>
        <v>271</v>
      </c>
      <c r="D13553" t="str">
        <f>"13"</f>
        <v>13</v>
      </c>
      <c r="E13553" t="str">
        <f>"1-271-13"</f>
        <v>1-271-13</v>
      </c>
      <c r="F13553" t="s">
        <v>65</v>
      </c>
      <c r="G13553" t="s">
        <v>66</v>
      </c>
      <c r="H13553" t="s">
        <v>67</v>
      </c>
      <c r="S13553">
        <v>0</v>
      </c>
      <c r="T13553">
        <v>1</v>
      </c>
      <c r="U13553">
        <v>0</v>
      </c>
      <c r="V13553">
        <v>0</v>
      </c>
      <c r="W13553">
        <v>1</v>
      </c>
      <c r="X13553">
        <v>0</v>
      </c>
      <c r="Y13553">
        <v>1</v>
      </c>
      <c r="Z13553">
        <v>0</v>
      </c>
      <c r="AA13553">
        <v>0</v>
      </c>
      <c r="AB13553">
        <v>0</v>
      </c>
      <c r="AC13553">
        <v>1</v>
      </c>
      <c r="AD13553">
        <v>1</v>
      </c>
      <c r="AE13553">
        <v>1</v>
      </c>
      <c r="AF13553">
        <v>1</v>
      </c>
      <c r="AG13553">
        <v>1</v>
      </c>
      <c r="AH13553">
        <v>1</v>
      </c>
      <c r="AI13553">
        <v>1</v>
      </c>
      <c r="AJ13553">
        <v>1</v>
      </c>
      <c r="AK13553">
        <v>1</v>
      </c>
      <c r="AL13553">
        <v>1</v>
      </c>
      <c r="AM13553">
        <v>1</v>
      </c>
    </row>
    <row r="13554" spans="1:39" x14ac:dyDescent="0.2">
      <c r="A13554" t="str">
        <f>"13550"</f>
        <v>13550</v>
      </c>
      <c r="B13554" t="str">
        <f t="shared" si="751"/>
        <v>1</v>
      </c>
      <c r="C13554" t="str">
        <f t="shared" si="753"/>
        <v>271</v>
      </c>
      <c r="D13554" t="str">
        <f>"44"</f>
        <v>44</v>
      </c>
      <c r="E13554" t="str">
        <f>"1-271-44"</f>
        <v>1-271-44</v>
      </c>
      <c r="F13554" t="s">
        <v>65</v>
      </c>
      <c r="G13554" t="s">
        <v>66</v>
      </c>
      <c r="H13554" t="s">
        <v>67</v>
      </c>
      <c r="S13554">
        <v>1</v>
      </c>
      <c r="T13554">
        <v>0</v>
      </c>
      <c r="U13554">
        <v>0</v>
      </c>
      <c r="V13554">
        <v>0</v>
      </c>
      <c r="W13554">
        <v>1</v>
      </c>
      <c r="X13554">
        <v>0</v>
      </c>
      <c r="Y13554">
        <v>0</v>
      </c>
      <c r="Z13554">
        <v>1</v>
      </c>
      <c r="AA13554">
        <v>1</v>
      </c>
      <c r="AB13554">
        <v>0</v>
      </c>
      <c r="AC13554">
        <v>0</v>
      </c>
      <c r="AD13554">
        <v>1</v>
      </c>
      <c r="AE13554">
        <v>1</v>
      </c>
      <c r="AF13554">
        <v>1</v>
      </c>
      <c r="AG13554">
        <v>1</v>
      </c>
      <c r="AH13554">
        <v>1</v>
      </c>
      <c r="AI13554">
        <v>1</v>
      </c>
      <c r="AJ13554">
        <v>1</v>
      </c>
      <c r="AK13554">
        <v>1</v>
      </c>
      <c r="AL13554">
        <v>1</v>
      </c>
      <c r="AM13554">
        <v>1</v>
      </c>
    </row>
    <row r="13555" spans="1:39" x14ac:dyDescent="0.2">
      <c r="A13555" t="str">
        <f>"13551"</f>
        <v>13551</v>
      </c>
      <c r="B13555" t="str">
        <f t="shared" si="751"/>
        <v>1</v>
      </c>
      <c r="C13555" t="str">
        <f t="shared" ref="C13555:C13586" si="754">"272"</f>
        <v>272</v>
      </c>
      <c r="D13555" t="str">
        <f>"34"</f>
        <v>34</v>
      </c>
      <c r="E13555" t="str">
        <f>"1-272-34"</f>
        <v>1-272-34</v>
      </c>
      <c r="F13555" t="s">
        <v>65</v>
      </c>
      <c r="G13555" t="s">
        <v>66</v>
      </c>
      <c r="H13555" t="s">
        <v>67</v>
      </c>
      <c r="S13555">
        <v>1</v>
      </c>
      <c r="T13555">
        <v>0</v>
      </c>
      <c r="U13555">
        <v>0</v>
      </c>
      <c r="V13555">
        <v>0</v>
      </c>
      <c r="W13555">
        <v>1</v>
      </c>
      <c r="X13555">
        <v>0</v>
      </c>
      <c r="Y13555">
        <v>0</v>
      </c>
      <c r="Z13555">
        <v>1</v>
      </c>
      <c r="AA13555">
        <v>1</v>
      </c>
      <c r="AB13555">
        <v>0</v>
      </c>
      <c r="AC13555">
        <v>0</v>
      </c>
      <c r="AD13555">
        <v>1</v>
      </c>
      <c r="AE13555">
        <v>1</v>
      </c>
      <c r="AF13555">
        <v>1</v>
      </c>
      <c r="AG13555">
        <v>1</v>
      </c>
      <c r="AH13555">
        <v>1</v>
      </c>
      <c r="AI13555">
        <v>1</v>
      </c>
      <c r="AJ13555">
        <v>1</v>
      </c>
      <c r="AK13555">
        <v>1</v>
      </c>
      <c r="AL13555">
        <v>1</v>
      </c>
      <c r="AM13555">
        <v>1</v>
      </c>
    </row>
    <row r="13556" spans="1:39" x14ac:dyDescent="0.2">
      <c r="A13556" t="str">
        <f>"13552"</f>
        <v>13552</v>
      </c>
      <c r="B13556" t="str">
        <f t="shared" si="751"/>
        <v>1</v>
      </c>
      <c r="C13556" t="str">
        <f t="shared" si="754"/>
        <v>272</v>
      </c>
      <c r="D13556" t="str">
        <f>"33"</f>
        <v>33</v>
      </c>
      <c r="E13556" t="str">
        <f>"1-272-33"</f>
        <v>1-272-33</v>
      </c>
      <c r="F13556" t="s">
        <v>65</v>
      </c>
      <c r="G13556" t="s">
        <v>66</v>
      </c>
      <c r="H13556" t="s">
        <v>67</v>
      </c>
      <c r="S13556">
        <v>1</v>
      </c>
      <c r="T13556">
        <v>0</v>
      </c>
      <c r="U13556">
        <v>0</v>
      </c>
      <c r="V13556">
        <v>0</v>
      </c>
      <c r="W13556">
        <v>1</v>
      </c>
      <c r="X13556">
        <v>0</v>
      </c>
      <c r="Y13556">
        <v>0</v>
      </c>
      <c r="Z13556">
        <v>1</v>
      </c>
      <c r="AA13556">
        <v>1</v>
      </c>
      <c r="AB13556">
        <v>0</v>
      </c>
      <c r="AC13556">
        <v>0</v>
      </c>
      <c r="AD13556">
        <v>1</v>
      </c>
      <c r="AE13556">
        <v>1</v>
      </c>
      <c r="AF13556">
        <v>1</v>
      </c>
      <c r="AG13556">
        <v>1</v>
      </c>
      <c r="AH13556">
        <v>1</v>
      </c>
      <c r="AI13556">
        <v>1</v>
      </c>
      <c r="AJ13556">
        <v>1</v>
      </c>
      <c r="AK13556">
        <v>1</v>
      </c>
      <c r="AL13556">
        <v>1</v>
      </c>
      <c r="AM13556">
        <v>1</v>
      </c>
    </row>
    <row r="13557" spans="1:39" x14ac:dyDescent="0.2">
      <c r="A13557" t="str">
        <f>"13553"</f>
        <v>13553</v>
      </c>
      <c r="B13557" t="str">
        <f t="shared" si="751"/>
        <v>1</v>
      </c>
      <c r="C13557" t="str">
        <f t="shared" si="754"/>
        <v>272</v>
      </c>
      <c r="D13557" t="str">
        <f>"25"</f>
        <v>25</v>
      </c>
      <c r="E13557" t="str">
        <f>"1-272-25"</f>
        <v>1-272-25</v>
      </c>
      <c r="F13557" t="s">
        <v>65</v>
      </c>
      <c r="G13557" t="s">
        <v>66</v>
      </c>
      <c r="H13557" t="s">
        <v>67</v>
      </c>
      <c r="S13557">
        <v>0</v>
      </c>
      <c r="T13557">
        <v>1</v>
      </c>
      <c r="U13557">
        <v>0</v>
      </c>
      <c r="V13557">
        <v>0</v>
      </c>
      <c r="W13557">
        <v>1</v>
      </c>
      <c r="X13557">
        <v>0</v>
      </c>
      <c r="Y13557">
        <v>1</v>
      </c>
      <c r="Z13557">
        <v>0</v>
      </c>
      <c r="AA13557">
        <v>0</v>
      </c>
      <c r="AB13557">
        <v>1</v>
      </c>
      <c r="AC13557">
        <v>0</v>
      </c>
      <c r="AD13557">
        <v>0</v>
      </c>
      <c r="AE13557">
        <v>0</v>
      </c>
      <c r="AF13557">
        <v>0</v>
      </c>
      <c r="AG13557">
        <v>0</v>
      </c>
      <c r="AH13557">
        <v>1</v>
      </c>
      <c r="AI13557">
        <v>1</v>
      </c>
      <c r="AJ13557">
        <v>1</v>
      </c>
      <c r="AK13557">
        <v>0</v>
      </c>
      <c r="AL13557">
        <v>1</v>
      </c>
      <c r="AM13557">
        <v>0</v>
      </c>
    </row>
    <row r="13558" spans="1:39" x14ac:dyDescent="0.2">
      <c r="A13558" t="str">
        <f>"13554"</f>
        <v>13554</v>
      </c>
      <c r="B13558" t="str">
        <f t="shared" si="751"/>
        <v>1</v>
      </c>
      <c r="C13558" t="str">
        <f t="shared" si="754"/>
        <v>272</v>
      </c>
      <c r="D13558" t="str">
        <f>"15"</f>
        <v>15</v>
      </c>
      <c r="E13558" t="str">
        <f>"1-272-15"</f>
        <v>1-272-15</v>
      </c>
      <c r="F13558" t="s">
        <v>65</v>
      </c>
      <c r="G13558" t="s">
        <v>66</v>
      </c>
      <c r="H13558" t="s">
        <v>67</v>
      </c>
      <c r="S13558">
        <v>1</v>
      </c>
      <c r="T13558">
        <v>0</v>
      </c>
      <c r="U13558">
        <v>0</v>
      </c>
      <c r="V13558">
        <v>0</v>
      </c>
      <c r="W13558">
        <v>1</v>
      </c>
      <c r="X13558">
        <v>0</v>
      </c>
      <c r="Y13558">
        <v>0</v>
      </c>
      <c r="Z13558">
        <v>1</v>
      </c>
      <c r="AA13558">
        <v>1</v>
      </c>
      <c r="AB13558">
        <v>0</v>
      </c>
      <c r="AC13558">
        <v>0</v>
      </c>
      <c r="AD13558">
        <v>1</v>
      </c>
      <c r="AE13558">
        <v>1</v>
      </c>
      <c r="AF13558">
        <v>1</v>
      </c>
      <c r="AG13558">
        <v>1</v>
      </c>
      <c r="AH13558">
        <v>1</v>
      </c>
      <c r="AI13558">
        <v>1</v>
      </c>
      <c r="AJ13558">
        <v>1</v>
      </c>
      <c r="AK13558">
        <v>1</v>
      </c>
      <c r="AL13558">
        <v>1</v>
      </c>
      <c r="AM13558">
        <v>1</v>
      </c>
    </row>
    <row r="13559" spans="1:39" x14ac:dyDescent="0.2">
      <c r="A13559" t="str">
        <f>"13555"</f>
        <v>13555</v>
      </c>
      <c r="B13559" t="str">
        <f t="shared" ref="B13559:B13622" si="755">"1"</f>
        <v>1</v>
      </c>
      <c r="C13559" t="str">
        <f t="shared" si="754"/>
        <v>272</v>
      </c>
      <c r="D13559" t="str">
        <f>"6"</f>
        <v>6</v>
      </c>
      <c r="E13559" t="str">
        <f>"1-272-6"</f>
        <v>1-272-6</v>
      </c>
      <c r="F13559" t="s">
        <v>65</v>
      </c>
      <c r="G13559" t="s">
        <v>66</v>
      </c>
      <c r="H13559" t="s">
        <v>67</v>
      </c>
      <c r="S13559">
        <v>1</v>
      </c>
      <c r="T13559">
        <v>0</v>
      </c>
      <c r="U13559">
        <v>0</v>
      </c>
      <c r="V13559">
        <v>0</v>
      </c>
      <c r="W13559">
        <v>1</v>
      </c>
      <c r="X13559">
        <v>0</v>
      </c>
      <c r="Y13559">
        <v>1</v>
      </c>
      <c r="Z13559">
        <v>0</v>
      </c>
      <c r="AA13559">
        <v>1</v>
      </c>
      <c r="AB13559">
        <v>0</v>
      </c>
      <c r="AC13559">
        <v>0</v>
      </c>
      <c r="AD13559">
        <v>1</v>
      </c>
      <c r="AE13559">
        <v>1</v>
      </c>
      <c r="AF13559">
        <v>1</v>
      </c>
      <c r="AG13559">
        <v>1</v>
      </c>
      <c r="AH13559">
        <v>1</v>
      </c>
      <c r="AI13559">
        <v>1</v>
      </c>
      <c r="AJ13559">
        <v>1</v>
      </c>
      <c r="AK13559">
        <v>1</v>
      </c>
      <c r="AL13559">
        <v>1</v>
      </c>
      <c r="AM13559">
        <v>1</v>
      </c>
    </row>
    <row r="13560" spans="1:39" x14ac:dyDescent="0.2">
      <c r="A13560" t="str">
        <f>"13556"</f>
        <v>13556</v>
      </c>
      <c r="B13560" t="str">
        <f t="shared" si="755"/>
        <v>1</v>
      </c>
      <c r="C13560" t="str">
        <f t="shared" si="754"/>
        <v>272</v>
      </c>
      <c r="D13560" t="str">
        <f>"36"</f>
        <v>36</v>
      </c>
      <c r="E13560" t="str">
        <f>"1-272-36"</f>
        <v>1-272-36</v>
      </c>
      <c r="F13560" t="s">
        <v>65</v>
      </c>
      <c r="G13560" t="s">
        <v>66</v>
      </c>
      <c r="H13560" t="s">
        <v>67</v>
      </c>
      <c r="S13560">
        <v>1</v>
      </c>
      <c r="T13560">
        <v>0</v>
      </c>
      <c r="U13560">
        <v>0</v>
      </c>
      <c r="V13560">
        <v>0</v>
      </c>
      <c r="W13560">
        <v>1</v>
      </c>
      <c r="X13560">
        <v>0</v>
      </c>
      <c r="Y13560">
        <v>1</v>
      </c>
      <c r="Z13560">
        <v>0</v>
      </c>
      <c r="AA13560">
        <v>1</v>
      </c>
      <c r="AB13560">
        <v>0</v>
      </c>
      <c r="AC13560">
        <v>0</v>
      </c>
      <c r="AD13560">
        <v>0</v>
      </c>
      <c r="AE13560">
        <v>0</v>
      </c>
      <c r="AF13560">
        <v>0</v>
      </c>
      <c r="AG13560">
        <v>0</v>
      </c>
      <c r="AH13560">
        <v>0</v>
      </c>
      <c r="AI13560">
        <v>0</v>
      </c>
      <c r="AJ13560">
        <v>0</v>
      </c>
      <c r="AK13560">
        <v>0</v>
      </c>
      <c r="AL13560">
        <v>1</v>
      </c>
      <c r="AM13560">
        <v>1</v>
      </c>
    </row>
    <row r="13561" spans="1:39" x14ac:dyDescent="0.2">
      <c r="A13561" t="str">
        <f>"13557"</f>
        <v>13557</v>
      </c>
      <c r="B13561" t="str">
        <f t="shared" si="755"/>
        <v>1</v>
      </c>
      <c r="C13561" t="str">
        <f t="shared" si="754"/>
        <v>272</v>
      </c>
      <c r="D13561" t="str">
        <f>"35"</f>
        <v>35</v>
      </c>
      <c r="E13561" t="str">
        <f>"1-272-35"</f>
        <v>1-272-35</v>
      </c>
      <c r="F13561" t="s">
        <v>65</v>
      </c>
      <c r="G13561" t="s">
        <v>66</v>
      </c>
      <c r="H13561" t="s">
        <v>67</v>
      </c>
      <c r="S13561">
        <v>1</v>
      </c>
      <c r="T13561">
        <v>0</v>
      </c>
      <c r="U13561">
        <v>0</v>
      </c>
      <c r="V13561">
        <v>0</v>
      </c>
      <c r="W13561">
        <v>1</v>
      </c>
      <c r="X13561">
        <v>0</v>
      </c>
      <c r="Y13561">
        <v>1</v>
      </c>
      <c r="Z13561">
        <v>0</v>
      </c>
      <c r="AA13561">
        <v>1</v>
      </c>
      <c r="AB13561">
        <v>0</v>
      </c>
      <c r="AC13561">
        <v>0</v>
      </c>
      <c r="AD13561">
        <v>0</v>
      </c>
      <c r="AE13561">
        <v>0</v>
      </c>
      <c r="AF13561">
        <v>0</v>
      </c>
      <c r="AG13561">
        <v>0</v>
      </c>
      <c r="AH13561">
        <v>1</v>
      </c>
      <c r="AI13561">
        <v>1</v>
      </c>
      <c r="AJ13561">
        <v>1</v>
      </c>
      <c r="AK13561">
        <v>1</v>
      </c>
      <c r="AL13561">
        <v>1</v>
      </c>
      <c r="AM13561">
        <v>0</v>
      </c>
    </row>
    <row r="13562" spans="1:39" x14ac:dyDescent="0.2">
      <c r="A13562" t="str">
        <f>"13558"</f>
        <v>13558</v>
      </c>
      <c r="B13562" t="str">
        <f t="shared" si="755"/>
        <v>1</v>
      </c>
      <c r="C13562" t="str">
        <f t="shared" si="754"/>
        <v>272</v>
      </c>
      <c r="D13562" t="str">
        <f>"27"</f>
        <v>27</v>
      </c>
      <c r="E13562" t="str">
        <f>"1-272-27"</f>
        <v>1-272-27</v>
      </c>
      <c r="F13562" t="s">
        <v>65</v>
      </c>
      <c r="G13562" t="s">
        <v>66</v>
      </c>
      <c r="H13562" t="s">
        <v>67</v>
      </c>
      <c r="S13562">
        <v>1</v>
      </c>
      <c r="T13562">
        <v>0</v>
      </c>
      <c r="U13562">
        <v>0</v>
      </c>
      <c r="V13562">
        <v>0</v>
      </c>
      <c r="W13562">
        <v>1</v>
      </c>
      <c r="X13562">
        <v>0</v>
      </c>
      <c r="Y13562">
        <v>1</v>
      </c>
      <c r="Z13562">
        <v>0</v>
      </c>
      <c r="AA13562">
        <v>1</v>
      </c>
      <c r="AB13562">
        <v>0</v>
      </c>
      <c r="AC13562">
        <v>0</v>
      </c>
      <c r="AD13562">
        <v>1</v>
      </c>
      <c r="AE13562">
        <v>1</v>
      </c>
      <c r="AF13562">
        <v>1</v>
      </c>
      <c r="AG13562">
        <v>1</v>
      </c>
      <c r="AH13562">
        <v>1</v>
      </c>
      <c r="AI13562">
        <v>1</v>
      </c>
      <c r="AJ13562">
        <v>1</v>
      </c>
      <c r="AK13562">
        <v>1</v>
      </c>
      <c r="AL13562">
        <v>1</v>
      </c>
      <c r="AM13562">
        <v>1</v>
      </c>
    </row>
    <row r="13563" spans="1:39" x14ac:dyDescent="0.2">
      <c r="A13563" t="str">
        <f>"13559"</f>
        <v>13559</v>
      </c>
      <c r="B13563" t="str">
        <f t="shared" si="755"/>
        <v>1</v>
      </c>
      <c r="C13563" t="str">
        <f t="shared" si="754"/>
        <v>272</v>
      </c>
      <c r="D13563" t="str">
        <f>"16"</f>
        <v>16</v>
      </c>
      <c r="E13563" t="str">
        <f>"1-272-16"</f>
        <v>1-272-16</v>
      </c>
      <c r="F13563" t="s">
        <v>65</v>
      </c>
      <c r="G13563" t="s">
        <v>66</v>
      </c>
      <c r="H13563" t="s">
        <v>67</v>
      </c>
      <c r="S13563">
        <v>1</v>
      </c>
      <c r="T13563">
        <v>0</v>
      </c>
      <c r="U13563">
        <v>0</v>
      </c>
      <c r="V13563">
        <v>0</v>
      </c>
      <c r="W13563">
        <v>1</v>
      </c>
      <c r="X13563">
        <v>0</v>
      </c>
      <c r="Y13563">
        <v>1</v>
      </c>
      <c r="Z13563">
        <v>0</v>
      </c>
      <c r="AA13563">
        <v>1</v>
      </c>
      <c r="AB13563">
        <v>0</v>
      </c>
      <c r="AC13563">
        <v>0</v>
      </c>
      <c r="AD13563">
        <v>1</v>
      </c>
      <c r="AE13563">
        <v>1</v>
      </c>
      <c r="AF13563">
        <v>1</v>
      </c>
      <c r="AG13563">
        <v>1</v>
      </c>
      <c r="AH13563">
        <v>1</v>
      </c>
      <c r="AI13563">
        <v>1</v>
      </c>
      <c r="AJ13563">
        <v>1</v>
      </c>
      <c r="AK13563">
        <v>1</v>
      </c>
      <c r="AL13563">
        <v>1</v>
      </c>
      <c r="AM13563">
        <v>1</v>
      </c>
    </row>
    <row r="13564" spans="1:39" x14ac:dyDescent="0.2">
      <c r="A13564" t="str">
        <f>"13560"</f>
        <v>13560</v>
      </c>
      <c r="B13564" t="str">
        <f t="shared" si="755"/>
        <v>1</v>
      </c>
      <c r="C13564" t="str">
        <f t="shared" si="754"/>
        <v>272</v>
      </c>
      <c r="D13564" t="str">
        <f>"2"</f>
        <v>2</v>
      </c>
      <c r="E13564" t="str">
        <f>"1-272-2"</f>
        <v>1-272-2</v>
      </c>
      <c r="F13564" t="s">
        <v>65</v>
      </c>
      <c r="G13564" t="s">
        <v>66</v>
      </c>
      <c r="H13564" t="s">
        <v>67</v>
      </c>
      <c r="S13564">
        <v>0</v>
      </c>
      <c r="T13564">
        <v>1</v>
      </c>
      <c r="U13564">
        <v>0</v>
      </c>
      <c r="V13564">
        <v>0</v>
      </c>
      <c r="W13564">
        <v>1</v>
      </c>
      <c r="X13564">
        <v>0</v>
      </c>
      <c r="Y13564">
        <v>0</v>
      </c>
      <c r="Z13564">
        <v>1</v>
      </c>
      <c r="AA13564">
        <v>0</v>
      </c>
      <c r="AB13564">
        <v>1</v>
      </c>
      <c r="AC13564">
        <v>0</v>
      </c>
      <c r="AD13564">
        <v>1</v>
      </c>
      <c r="AE13564">
        <v>1</v>
      </c>
      <c r="AF13564">
        <v>1</v>
      </c>
      <c r="AG13564">
        <v>1</v>
      </c>
      <c r="AH13564">
        <v>0</v>
      </c>
      <c r="AI13564">
        <v>1</v>
      </c>
      <c r="AJ13564">
        <v>1</v>
      </c>
      <c r="AK13564">
        <v>1</v>
      </c>
      <c r="AL13564">
        <v>1</v>
      </c>
      <c r="AM13564">
        <v>1</v>
      </c>
    </row>
    <row r="13565" spans="1:39" x14ac:dyDescent="0.2">
      <c r="A13565" t="str">
        <f>"13561"</f>
        <v>13561</v>
      </c>
      <c r="B13565" t="str">
        <f t="shared" si="755"/>
        <v>1</v>
      </c>
      <c r="C13565" t="str">
        <f t="shared" si="754"/>
        <v>272</v>
      </c>
      <c r="D13565" t="str">
        <f>"44"</f>
        <v>44</v>
      </c>
      <c r="E13565" t="str">
        <f>"1-272-44"</f>
        <v>1-272-44</v>
      </c>
      <c r="F13565" t="s">
        <v>65</v>
      </c>
      <c r="G13565" t="s">
        <v>66</v>
      </c>
      <c r="H13565" t="s">
        <v>67</v>
      </c>
      <c r="S13565">
        <v>1</v>
      </c>
      <c r="T13565">
        <v>0</v>
      </c>
      <c r="U13565">
        <v>0</v>
      </c>
      <c r="V13565">
        <v>0</v>
      </c>
      <c r="W13565">
        <v>0</v>
      </c>
      <c r="X13565">
        <v>1</v>
      </c>
      <c r="Y13565">
        <v>1</v>
      </c>
      <c r="Z13565">
        <v>0</v>
      </c>
      <c r="AA13565">
        <v>1</v>
      </c>
      <c r="AB13565">
        <v>0</v>
      </c>
      <c r="AC13565">
        <v>0</v>
      </c>
      <c r="AD13565">
        <v>1</v>
      </c>
      <c r="AE13565">
        <v>1</v>
      </c>
      <c r="AF13565">
        <v>1</v>
      </c>
      <c r="AG13565">
        <v>1</v>
      </c>
      <c r="AH13565">
        <v>1</v>
      </c>
      <c r="AI13565">
        <v>1</v>
      </c>
      <c r="AJ13565">
        <v>1</v>
      </c>
      <c r="AK13565">
        <v>1</v>
      </c>
      <c r="AL13565">
        <v>1</v>
      </c>
      <c r="AM13565">
        <v>1</v>
      </c>
    </row>
    <row r="13566" spans="1:39" x14ac:dyDescent="0.2">
      <c r="A13566" t="str">
        <f>"13562"</f>
        <v>13562</v>
      </c>
      <c r="B13566" t="str">
        <f t="shared" si="755"/>
        <v>1</v>
      </c>
      <c r="C13566" t="str">
        <f t="shared" si="754"/>
        <v>272</v>
      </c>
      <c r="D13566" t="str">
        <f>"43"</f>
        <v>43</v>
      </c>
      <c r="E13566" t="str">
        <f>"1-272-43"</f>
        <v>1-272-43</v>
      </c>
      <c r="F13566" t="s">
        <v>65</v>
      </c>
      <c r="G13566" t="s">
        <v>66</v>
      </c>
      <c r="H13566" t="s">
        <v>67</v>
      </c>
      <c r="S13566">
        <v>0</v>
      </c>
      <c r="T13566">
        <v>1</v>
      </c>
      <c r="U13566">
        <v>0</v>
      </c>
      <c r="V13566">
        <v>0</v>
      </c>
      <c r="W13566">
        <v>0</v>
      </c>
      <c r="X13566">
        <v>1</v>
      </c>
      <c r="Y13566">
        <v>0</v>
      </c>
      <c r="Z13566">
        <v>1</v>
      </c>
      <c r="AA13566">
        <v>1</v>
      </c>
      <c r="AB13566">
        <v>0</v>
      </c>
      <c r="AC13566">
        <v>0</v>
      </c>
      <c r="AD13566">
        <v>1</v>
      </c>
      <c r="AE13566">
        <v>1</v>
      </c>
      <c r="AF13566">
        <v>1</v>
      </c>
      <c r="AG13566">
        <v>1</v>
      </c>
      <c r="AH13566">
        <v>1</v>
      </c>
      <c r="AI13566">
        <v>1</v>
      </c>
      <c r="AJ13566">
        <v>1</v>
      </c>
      <c r="AK13566">
        <v>1</v>
      </c>
      <c r="AL13566">
        <v>1</v>
      </c>
      <c r="AM13566">
        <v>1</v>
      </c>
    </row>
    <row r="13567" spans="1:39" x14ac:dyDescent="0.2">
      <c r="A13567" t="str">
        <f>"13563"</f>
        <v>13563</v>
      </c>
      <c r="B13567" t="str">
        <f t="shared" si="755"/>
        <v>1</v>
      </c>
      <c r="C13567" t="str">
        <f t="shared" si="754"/>
        <v>272</v>
      </c>
      <c r="D13567" t="str">
        <f>"31"</f>
        <v>31</v>
      </c>
      <c r="E13567" t="str">
        <f>"1-272-31"</f>
        <v>1-272-31</v>
      </c>
      <c r="F13567" t="s">
        <v>65</v>
      </c>
      <c r="G13567" t="s">
        <v>66</v>
      </c>
      <c r="H13567" t="s">
        <v>67</v>
      </c>
      <c r="S13567">
        <v>1</v>
      </c>
      <c r="T13567">
        <v>0</v>
      </c>
      <c r="U13567">
        <v>0</v>
      </c>
      <c r="V13567">
        <v>0</v>
      </c>
      <c r="W13567">
        <v>1</v>
      </c>
      <c r="X13567">
        <v>0</v>
      </c>
      <c r="Y13567">
        <v>0</v>
      </c>
      <c r="Z13567">
        <v>1</v>
      </c>
      <c r="AA13567">
        <v>1</v>
      </c>
      <c r="AB13567">
        <v>0</v>
      </c>
      <c r="AC13567">
        <v>0</v>
      </c>
      <c r="AD13567">
        <v>1</v>
      </c>
      <c r="AE13567">
        <v>1</v>
      </c>
      <c r="AF13567">
        <v>1</v>
      </c>
      <c r="AG13567">
        <v>1</v>
      </c>
      <c r="AH13567">
        <v>1</v>
      </c>
      <c r="AI13567">
        <v>1</v>
      </c>
      <c r="AJ13567">
        <v>1</v>
      </c>
      <c r="AK13567">
        <v>1</v>
      </c>
      <c r="AL13567">
        <v>1</v>
      </c>
      <c r="AM13567">
        <v>1</v>
      </c>
    </row>
    <row r="13568" spans="1:39" x14ac:dyDescent="0.2">
      <c r="A13568" t="str">
        <f>"13564"</f>
        <v>13564</v>
      </c>
      <c r="B13568" t="str">
        <f t="shared" si="755"/>
        <v>1</v>
      </c>
      <c r="C13568" t="str">
        <f t="shared" si="754"/>
        <v>272</v>
      </c>
      <c r="D13568" t="str">
        <f>"17"</f>
        <v>17</v>
      </c>
      <c r="E13568" t="str">
        <f>"1-272-17"</f>
        <v>1-272-17</v>
      </c>
      <c r="F13568" t="s">
        <v>65</v>
      </c>
      <c r="G13568" t="s">
        <v>66</v>
      </c>
      <c r="H13568" t="s">
        <v>67</v>
      </c>
      <c r="S13568">
        <v>1</v>
      </c>
      <c r="T13568">
        <v>0</v>
      </c>
      <c r="U13568">
        <v>0</v>
      </c>
      <c r="V13568">
        <v>0</v>
      </c>
      <c r="W13568">
        <v>1</v>
      </c>
      <c r="X13568">
        <v>0</v>
      </c>
      <c r="Y13568">
        <v>0</v>
      </c>
      <c r="Z13568">
        <v>1</v>
      </c>
      <c r="AA13568">
        <v>1</v>
      </c>
      <c r="AB13568">
        <v>0</v>
      </c>
      <c r="AC13568">
        <v>0</v>
      </c>
      <c r="AD13568">
        <v>0</v>
      </c>
      <c r="AE13568">
        <v>0</v>
      </c>
      <c r="AF13568">
        <v>0</v>
      </c>
      <c r="AG13568">
        <v>1</v>
      </c>
      <c r="AH13568">
        <v>0</v>
      </c>
      <c r="AI13568">
        <v>0</v>
      </c>
      <c r="AJ13568">
        <v>0</v>
      </c>
      <c r="AK13568">
        <v>0</v>
      </c>
      <c r="AL13568">
        <v>0</v>
      </c>
      <c r="AM13568">
        <v>0</v>
      </c>
    </row>
    <row r="13569" spans="1:39" x14ac:dyDescent="0.2">
      <c r="A13569" t="str">
        <f>"13565"</f>
        <v>13565</v>
      </c>
      <c r="B13569" t="str">
        <f t="shared" si="755"/>
        <v>1</v>
      </c>
      <c r="C13569" t="str">
        <f t="shared" si="754"/>
        <v>272</v>
      </c>
      <c r="D13569" t="str">
        <f>"3"</f>
        <v>3</v>
      </c>
      <c r="E13569" t="str">
        <f>"1-272-3"</f>
        <v>1-272-3</v>
      </c>
      <c r="F13569" t="s">
        <v>65</v>
      </c>
      <c r="G13569" t="s">
        <v>66</v>
      </c>
      <c r="H13569" t="s">
        <v>67</v>
      </c>
      <c r="S13569">
        <v>1</v>
      </c>
      <c r="T13569">
        <v>0</v>
      </c>
      <c r="U13569">
        <v>0</v>
      </c>
      <c r="V13569">
        <v>0</v>
      </c>
      <c r="W13569">
        <v>1</v>
      </c>
      <c r="X13569">
        <v>0</v>
      </c>
      <c r="Y13569">
        <v>1</v>
      </c>
      <c r="Z13569">
        <v>0</v>
      </c>
      <c r="AA13569">
        <v>0</v>
      </c>
      <c r="AB13569">
        <v>1</v>
      </c>
      <c r="AC13569">
        <v>0</v>
      </c>
      <c r="AD13569">
        <v>1</v>
      </c>
      <c r="AE13569">
        <v>1</v>
      </c>
      <c r="AF13569">
        <v>1</v>
      </c>
      <c r="AG13569">
        <v>1</v>
      </c>
      <c r="AH13569">
        <v>0</v>
      </c>
      <c r="AI13569">
        <v>1</v>
      </c>
      <c r="AJ13569">
        <v>1</v>
      </c>
      <c r="AK13569">
        <v>1</v>
      </c>
      <c r="AL13569">
        <v>1</v>
      </c>
      <c r="AM13569">
        <v>1</v>
      </c>
    </row>
    <row r="13570" spans="1:39" x14ac:dyDescent="0.2">
      <c r="A13570" t="str">
        <f>"13566"</f>
        <v>13566</v>
      </c>
      <c r="B13570" t="str">
        <f t="shared" si="755"/>
        <v>1</v>
      </c>
      <c r="C13570" t="str">
        <f t="shared" si="754"/>
        <v>272</v>
      </c>
      <c r="D13570" t="str">
        <f>"46"</f>
        <v>46</v>
      </c>
      <c r="E13570" t="str">
        <f>"1-272-46"</f>
        <v>1-272-46</v>
      </c>
      <c r="F13570" t="s">
        <v>65</v>
      </c>
      <c r="G13570" t="s">
        <v>66</v>
      </c>
      <c r="H13570" t="s">
        <v>67</v>
      </c>
      <c r="S13570">
        <v>1</v>
      </c>
      <c r="T13570">
        <v>0</v>
      </c>
      <c r="U13570">
        <v>0</v>
      </c>
      <c r="V13570">
        <v>0</v>
      </c>
      <c r="W13570">
        <v>1</v>
      </c>
      <c r="X13570">
        <v>0</v>
      </c>
      <c r="Y13570">
        <v>1</v>
      </c>
      <c r="Z13570">
        <v>0</v>
      </c>
      <c r="AA13570">
        <v>0</v>
      </c>
      <c r="AB13570">
        <v>1</v>
      </c>
      <c r="AC13570">
        <v>0</v>
      </c>
      <c r="AD13570">
        <v>0</v>
      </c>
      <c r="AE13570">
        <v>0</v>
      </c>
      <c r="AF13570">
        <v>0</v>
      </c>
      <c r="AG13570">
        <v>0</v>
      </c>
      <c r="AH13570">
        <v>0</v>
      </c>
      <c r="AI13570">
        <v>0</v>
      </c>
      <c r="AJ13570">
        <v>0</v>
      </c>
      <c r="AK13570">
        <v>0</v>
      </c>
      <c r="AL13570">
        <v>0</v>
      </c>
      <c r="AM13570">
        <v>0</v>
      </c>
    </row>
    <row r="13571" spans="1:39" x14ac:dyDescent="0.2">
      <c r="A13571" t="str">
        <f>"13567"</f>
        <v>13567</v>
      </c>
      <c r="B13571" t="str">
        <f t="shared" si="755"/>
        <v>1</v>
      </c>
      <c r="C13571" t="str">
        <f t="shared" si="754"/>
        <v>272</v>
      </c>
      <c r="D13571" t="str">
        <f>"45"</f>
        <v>45</v>
      </c>
      <c r="E13571" t="str">
        <f>"1-272-45"</f>
        <v>1-272-45</v>
      </c>
      <c r="F13571" t="s">
        <v>65</v>
      </c>
      <c r="G13571" t="s">
        <v>66</v>
      </c>
      <c r="H13571" t="s">
        <v>67</v>
      </c>
      <c r="S13571">
        <v>1</v>
      </c>
      <c r="T13571">
        <v>0</v>
      </c>
      <c r="U13571">
        <v>0</v>
      </c>
      <c r="V13571">
        <v>0</v>
      </c>
      <c r="W13571">
        <v>1</v>
      </c>
      <c r="X13571">
        <v>0</v>
      </c>
      <c r="Y13571">
        <v>1</v>
      </c>
      <c r="Z13571">
        <v>0</v>
      </c>
      <c r="AA13571">
        <v>0</v>
      </c>
      <c r="AB13571">
        <v>0</v>
      </c>
      <c r="AC13571">
        <v>1</v>
      </c>
      <c r="AD13571">
        <v>1</v>
      </c>
      <c r="AE13571">
        <v>1</v>
      </c>
      <c r="AF13571">
        <v>1</v>
      </c>
      <c r="AG13571">
        <v>1</v>
      </c>
      <c r="AH13571">
        <v>1</v>
      </c>
      <c r="AI13571">
        <v>1</v>
      </c>
      <c r="AJ13571">
        <v>1</v>
      </c>
      <c r="AK13571">
        <v>1</v>
      </c>
      <c r="AL13571">
        <v>1</v>
      </c>
      <c r="AM13571">
        <v>1</v>
      </c>
    </row>
    <row r="13572" spans="1:39" x14ac:dyDescent="0.2">
      <c r="A13572" t="str">
        <f>"13568"</f>
        <v>13568</v>
      </c>
      <c r="B13572" t="str">
        <f t="shared" si="755"/>
        <v>1</v>
      </c>
      <c r="C13572" t="str">
        <f t="shared" si="754"/>
        <v>272</v>
      </c>
      <c r="D13572" t="str">
        <f>"32"</f>
        <v>32</v>
      </c>
      <c r="E13572" t="str">
        <f>"1-272-32"</f>
        <v>1-272-32</v>
      </c>
      <c r="F13572" t="s">
        <v>65</v>
      </c>
      <c r="G13572" t="s">
        <v>66</v>
      </c>
      <c r="H13572" t="s">
        <v>67</v>
      </c>
      <c r="S13572">
        <v>0</v>
      </c>
      <c r="T13572">
        <v>0</v>
      </c>
      <c r="U13572">
        <v>0</v>
      </c>
      <c r="V13572">
        <v>0</v>
      </c>
      <c r="W13572">
        <v>1</v>
      </c>
      <c r="X13572">
        <v>0</v>
      </c>
      <c r="Y13572">
        <v>0</v>
      </c>
      <c r="Z13572">
        <v>0</v>
      </c>
      <c r="AA13572">
        <v>0</v>
      </c>
      <c r="AB13572">
        <v>0</v>
      </c>
      <c r="AC13572">
        <v>0</v>
      </c>
      <c r="AD13572">
        <v>0</v>
      </c>
      <c r="AE13572">
        <v>0</v>
      </c>
      <c r="AF13572">
        <v>0</v>
      </c>
      <c r="AG13572">
        <v>0</v>
      </c>
      <c r="AH13572">
        <v>0</v>
      </c>
      <c r="AI13572">
        <v>0</v>
      </c>
      <c r="AJ13572">
        <v>0</v>
      </c>
      <c r="AK13572">
        <v>0</v>
      </c>
      <c r="AL13572">
        <v>0</v>
      </c>
      <c r="AM13572">
        <v>0</v>
      </c>
    </row>
    <row r="13573" spans="1:39" x14ac:dyDescent="0.2">
      <c r="A13573" t="str">
        <f>"13569"</f>
        <v>13569</v>
      </c>
      <c r="B13573" t="str">
        <f t="shared" si="755"/>
        <v>1</v>
      </c>
      <c r="C13573" t="str">
        <f t="shared" si="754"/>
        <v>272</v>
      </c>
      <c r="D13573" t="str">
        <f>"18"</f>
        <v>18</v>
      </c>
      <c r="E13573" t="str">
        <f>"1-272-18"</f>
        <v>1-272-18</v>
      </c>
      <c r="F13573" t="s">
        <v>65</v>
      </c>
      <c r="G13573" t="s">
        <v>66</v>
      </c>
      <c r="H13573" t="s">
        <v>67</v>
      </c>
      <c r="S13573">
        <v>1</v>
      </c>
      <c r="T13573">
        <v>0</v>
      </c>
      <c r="U13573">
        <v>0</v>
      </c>
      <c r="V13573">
        <v>0</v>
      </c>
      <c r="W13573">
        <v>1</v>
      </c>
      <c r="X13573">
        <v>0</v>
      </c>
      <c r="Y13573">
        <v>1</v>
      </c>
      <c r="Z13573">
        <v>0</v>
      </c>
      <c r="AA13573">
        <v>1</v>
      </c>
      <c r="AB13573">
        <v>0</v>
      </c>
      <c r="AC13573">
        <v>0</v>
      </c>
      <c r="AD13573">
        <v>1</v>
      </c>
      <c r="AE13573">
        <v>1</v>
      </c>
      <c r="AF13573">
        <v>1</v>
      </c>
      <c r="AG13573">
        <v>1</v>
      </c>
      <c r="AH13573">
        <v>1</v>
      </c>
      <c r="AI13573">
        <v>1</v>
      </c>
      <c r="AJ13573">
        <v>1</v>
      </c>
      <c r="AK13573">
        <v>1</v>
      </c>
      <c r="AL13573">
        <v>1</v>
      </c>
      <c r="AM13573">
        <v>1</v>
      </c>
    </row>
    <row r="13574" spans="1:39" x14ac:dyDescent="0.2">
      <c r="A13574" t="str">
        <f>"13570"</f>
        <v>13570</v>
      </c>
      <c r="B13574" t="str">
        <f t="shared" si="755"/>
        <v>1</v>
      </c>
      <c r="C13574" t="str">
        <f t="shared" si="754"/>
        <v>272</v>
      </c>
      <c r="D13574" t="str">
        <f>"13"</f>
        <v>13</v>
      </c>
      <c r="E13574" t="str">
        <f>"1-272-13"</f>
        <v>1-272-13</v>
      </c>
      <c r="F13574" t="s">
        <v>65</v>
      </c>
      <c r="G13574" t="s">
        <v>66</v>
      </c>
      <c r="H13574" t="s">
        <v>67</v>
      </c>
      <c r="S13574">
        <v>1</v>
      </c>
      <c r="T13574">
        <v>0</v>
      </c>
      <c r="U13574">
        <v>0</v>
      </c>
      <c r="V13574">
        <v>0</v>
      </c>
      <c r="W13574">
        <v>1</v>
      </c>
      <c r="X13574">
        <v>0</v>
      </c>
      <c r="Y13574">
        <v>0</v>
      </c>
      <c r="Z13574">
        <v>1</v>
      </c>
      <c r="AA13574">
        <v>1</v>
      </c>
      <c r="AB13574">
        <v>0</v>
      </c>
      <c r="AC13574">
        <v>0</v>
      </c>
      <c r="AD13574">
        <v>0</v>
      </c>
      <c r="AE13574">
        <v>0</v>
      </c>
      <c r="AF13574">
        <v>0</v>
      </c>
      <c r="AG13574">
        <v>1</v>
      </c>
      <c r="AH13574">
        <v>0</v>
      </c>
      <c r="AI13574">
        <v>0</v>
      </c>
      <c r="AJ13574">
        <v>0</v>
      </c>
      <c r="AK13574">
        <v>0</v>
      </c>
      <c r="AL13574">
        <v>0</v>
      </c>
      <c r="AM13574">
        <v>0</v>
      </c>
    </row>
    <row r="13575" spans="1:39" x14ac:dyDescent="0.2">
      <c r="A13575" t="str">
        <f>"13571"</f>
        <v>13571</v>
      </c>
      <c r="B13575" t="str">
        <f t="shared" si="755"/>
        <v>1</v>
      </c>
      <c r="C13575" t="str">
        <f t="shared" si="754"/>
        <v>272</v>
      </c>
      <c r="D13575" t="str">
        <f>"38"</f>
        <v>38</v>
      </c>
      <c r="E13575" t="str">
        <f>"1-272-38"</f>
        <v>1-272-38</v>
      </c>
      <c r="F13575" t="s">
        <v>65</v>
      </c>
      <c r="G13575" t="s">
        <v>66</v>
      </c>
      <c r="H13575" t="s">
        <v>67</v>
      </c>
      <c r="S13575">
        <v>1</v>
      </c>
      <c r="T13575">
        <v>0</v>
      </c>
      <c r="U13575">
        <v>0</v>
      </c>
      <c r="V13575">
        <v>0</v>
      </c>
      <c r="W13575">
        <v>1</v>
      </c>
      <c r="X13575">
        <v>0</v>
      </c>
      <c r="Y13575">
        <v>1</v>
      </c>
      <c r="Z13575">
        <v>0</v>
      </c>
      <c r="AA13575">
        <v>0</v>
      </c>
      <c r="AB13575">
        <v>1</v>
      </c>
      <c r="AC13575">
        <v>0</v>
      </c>
      <c r="AD13575">
        <v>1</v>
      </c>
      <c r="AE13575">
        <v>1</v>
      </c>
      <c r="AF13575">
        <v>1</v>
      </c>
      <c r="AG13575">
        <v>1</v>
      </c>
      <c r="AH13575">
        <v>1</v>
      </c>
      <c r="AI13575">
        <v>1</v>
      </c>
      <c r="AJ13575">
        <v>1</v>
      </c>
      <c r="AK13575">
        <v>1</v>
      </c>
      <c r="AL13575">
        <v>1</v>
      </c>
      <c r="AM13575">
        <v>1</v>
      </c>
    </row>
    <row r="13576" spans="1:39" x14ac:dyDescent="0.2">
      <c r="A13576" t="str">
        <f>"13572"</f>
        <v>13572</v>
      </c>
      <c r="B13576" t="str">
        <f t="shared" si="755"/>
        <v>1</v>
      </c>
      <c r="C13576" t="str">
        <f t="shared" si="754"/>
        <v>272</v>
      </c>
      <c r="D13576" t="str">
        <f>"19"</f>
        <v>19</v>
      </c>
      <c r="E13576" t="str">
        <f>"1-272-19"</f>
        <v>1-272-19</v>
      </c>
      <c r="F13576" t="s">
        <v>65</v>
      </c>
      <c r="G13576" t="s">
        <v>66</v>
      </c>
      <c r="H13576" t="s">
        <v>67</v>
      </c>
      <c r="S13576">
        <v>0</v>
      </c>
      <c r="T13576">
        <v>0</v>
      </c>
      <c r="U13576">
        <v>0</v>
      </c>
      <c r="V13576">
        <v>0</v>
      </c>
      <c r="W13576">
        <v>1</v>
      </c>
      <c r="X13576">
        <v>0</v>
      </c>
      <c r="Y13576">
        <v>1</v>
      </c>
      <c r="Z13576">
        <v>0</v>
      </c>
      <c r="AA13576">
        <v>0</v>
      </c>
      <c r="AB13576">
        <v>1</v>
      </c>
      <c r="AC13576">
        <v>0</v>
      </c>
      <c r="AD13576">
        <v>0</v>
      </c>
      <c r="AE13576">
        <v>0</v>
      </c>
      <c r="AF13576">
        <v>0</v>
      </c>
      <c r="AG13576">
        <v>1</v>
      </c>
      <c r="AH13576">
        <v>1</v>
      </c>
      <c r="AI13576">
        <v>0</v>
      </c>
      <c r="AJ13576">
        <v>0</v>
      </c>
      <c r="AK13576">
        <v>1</v>
      </c>
      <c r="AL13576">
        <v>1</v>
      </c>
      <c r="AM13576">
        <v>1</v>
      </c>
    </row>
    <row r="13577" spans="1:39" x14ac:dyDescent="0.2">
      <c r="A13577" t="str">
        <f>"13573"</f>
        <v>13573</v>
      </c>
      <c r="B13577" t="str">
        <f t="shared" si="755"/>
        <v>1</v>
      </c>
      <c r="C13577" t="str">
        <f t="shared" si="754"/>
        <v>272</v>
      </c>
      <c r="D13577" t="str">
        <f>"4"</f>
        <v>4</v>
      </c>
      <c r="E13577" t="str">
        <f>"1-272-4"</f>
        <v>1-272-4</v>
      </c>
      <c r="F13577" t="s">
        <v>65</v>
      </c>
      <c r="G13577" t="s">
        <v>66</v>
      </c>
      <c r="H13577" t="s">
        <v>67</v>
      </c>
      <c r="S13577">
        <v>1</v>
      </c>
      <c r="T13577">
        <v>0</v>
      </c>
      <c r="U13577">
        <v>0</v>
      </c>
      <c r="V13577">
        <v>0</v>
      </c>
      <c r="W13577">
        <v>1</v>
      </c>
      <c r="X13577">
        <v>0</v>
      </c>
      <c r="Y13577">
        <v>1</v>
      </c>
      <c r="Z13577">
        <v>0</v>
      </c>
      <c r="AA13577">
        <v>0</v>
      </c>
      <c r="AB13577">
        <v>1</v>
      </c>
      <c r="AC13577">
        <v>0</v>
      </c>
      <c r="AD13577">
        <v>1</v>
      </c>
      <c r="AE13577">
        <v>1</v>
      </c>
      <c r="AF13577">
        <v>1</v>
      </c>
      <c r="AG13577">
        <v>1</v>
      </c>
      <c r="AH13577">
        <v>1</v>
      </c>
      <c r="AI13577">
        <v>1</v>
      </c>
      <c r="AJ13577">
        <v>1</v>
      </c>
      <c r="AK13577">
        <v>1</v>
      </c>
      <c r="AL13577">
        <v>1</v>
      </c>
      <c r="AM13577">
        <v>1</v>
      </c>
    </row>
    <row r="13578" spans="1:39" x14ac:dyDescent="0.2">
      <c r="A13578" t="str">
        <f>"13574"</f>
        <v>13574</v>
      </c>
      <c r="B13578" t="str">
        <f t="shared" si="755"/>
        <v>1</v>
      </c>
      <c r="C13578" t="str">
        <f t="shared" si="754"/>
        <v>272</v>
      </c>
      <c r="D13578" t="str">
        <f>"37"</f>
        <v>37</v>
      </c>
      <c r="E13578" t="str">
        <f>"1-272-37"</f>
        <v>1-272-37</v>
      </c>
      <c r="F13578" t="s">
        <v>65</v>
      </c>
      <c r="G13578" t="s">
        <v>66</v>
      </c>
      <c r="H13578" t="s">
        <v>67</v>
      </c>
      <c r="S13578">
        <v>1</v>
      </c>
      <c r="T13578">
        <v>0</v>
      </c>
      <c r="U13578">
        <v>0</v>
      </c>
      <c r="V13578">
        <v>0</v>
      </c>
      <c r="W13578">
        <v>1</v>
      </c>
      <c r="X13578">
        <v>0</v>
      </c>
      <c r="Y13578">
        <v>1</v>
      </c>
      <c r="Z13578">
        <v>0</v>
      </c>
      <c r="AA13578">
        <v>0</v>
      </c>
      <c r="AB13578">
        <v>1</v>
      </c>
      <c r="AC13578">
        <v>0</v>
      </c>
      <c r="AD13578">
        <v>1</v>
      </c>
      <c r="AE13578">
        <v>1</v>
      </c>
      <c r="AF13578">
        <v>1</v>
      </c>
      <c r="AG13578">
        <v>1</v>
      </c>
      <c r="AH13578">
        <v>1</v>
      </c>
      <c r="AI13578">
        <v>1</v>
      </c>
      <c r="AJ13578">
        <v>1</v>
      </c>
      <c r="AK13578">
        <v>1</v>
      </c>
      <c r="AL13578">
        <v>1</v>
      </c>
      <c r="AM13578">
        <v>1</v>
      </c>
    </row>
    <row r="13579" spans="1:39" x14ac:dyDescent="0.2">
      <c r="A13579" t="str">
        <f>"13575"</f>
        <v>13575</v>
      </c>
      <c r="B13579" t="str">
        <f t="shared" si="755"/>
        <v>1</v>
      </c>
      <c r="C13579" t="str">
        <f t="shared" si="754"/>
        <v>272</v>
      </c>
      <c r="D13579" t="str">
        <f>"20"</f>
        <v>20</v>
      </c>
      <c r="E13579" t="str">
        <f>"1-272-20"</f>
        <v>1-272-20</v>
      </c>
      <c r="F13579" t="s">
        <v>65</v>
      </c>
      <c r="G13579" t="s">
        <v>66</v>
      </c>
      <c r="H13579" t="s">
        <v>67</v>
      </c>
      <c r="S13579">
        <v>0</v>
      </c>
      <c r="T13579">
        <v>1</v>
      </c>
      <c r="U13579">
        <v>0</v>
      </c>
      <c r="V13579">
        <v>0</v>
      </c>
      <c r="W13579">
        <v>1</v>
      </c>
      <c r="X13579">
        <v>0</v>
      </c>
      <c r="Y13579">
        <v>0</v>
      </c>
      <c r="Z13579">
        <v>1</v>
      </c>
      <c r="AA13579">
        <v>1</v>
      </c>
      <c r="AB13579">
        <v>0</v>
      </c>
      <c r="AC13579">
        <v>0</v>
      </c>
      <c r="AD13579">
        <v>1</v>
      </c>
      <c r="AE13579">
        <v>1</v>
      </c>
      <c r="AF13579">
        <v>1</v>
      </c>
      <c r="AG13579">
        <v>1</v>
      </c>
      <c r="AH13579">
        <v>1</v>
      </c>
      <c r="AI13579">
        <v>1</v>
      </c>
      <c r="AJ13579">
        <v>1</v>
      </c>
      <c r="AK13579">
        <v>1</v>
      </c>
      <c r="AL13579">
        <v>1</v>
      </c>
      <c r="AM13579">
        <v>1</v>
      </c>
    </row>
    <row r="13580" spans="1:39" x14ac:dyDescent="0.2">
      <c r="A13580" t="str">
        <f>"13576"</f>
        <v>13576</v>
      </c>
      <c r="B13580" t="str">
        <f t="shared" si="755"/>
        <v>1</v>
      </c>
      <c r="C13580" t="str">
        <f t="shared" si="754"/>
        <v>272</v>
      </c>
      <c r="D13580" t="str">
        <f>"14"</f>
        <v>14</v>
      </c>
      <c r="E13580" t="str">
        <f>"1-272-14"</f>
        <v>1-272-14</v>
      </c>
      <c r="F13580" t="s">
        <v>65</v>
      </c>
      <c r="G13580" t="s">
        <v>66</v>
      </c>
      <c r="H13580" t="s">
        <v>67</v>
      </c>
      <c r="S13580">
        <v>1</v>
      </c>
      <c r="T13580">
        <v>0</v>
      </c>
      <c r="U13580">
        <v>0</v>
      </c>
      <c r="V13580">
        <v>0</v>
      </c>
      <c r="W13580">
        <v>1</v>
      </c>
      <c r="X13580">
        <v>0</v>
      </c>
      <c r="Y13580">
        <v>1</v>
      </c>
      <c r="Z13580">
        <v>0</v>
      </c>
      <c r="AA13580">
        <v>1</v>
      </c>
      <c r="AB13580">
        <v>0</v>
      </c>
      <c r="AC13580">
        <v>0</v>
      </c>
      <c r="AD13580">
        <v>0</v>
      </c>
      <c r="AE13580">
        <v>0</v>
      </c>
      <c r="AF13580">
        <v>0</v>
      </c>
      <c r="AG13580">
        <v>0</v>
      </c>
      <c r="AH13580">
        <v>0</v>
      </c>
      <c r="AI13580">
        <v>1</v>
      </c>
      <c r="AJ13580">
        <v>1</v>
      </c>
      <c r="AK13580">
        <v>1</v>
      </c>
      <c r="AL13580">
        <v>1</v>
      </c>
      <c r="AM13580">
        <v>0</v>
      </c>
    </row>
    <row r="13581" spans="1:39" x14ac:dyDescent="0.2">
      <c r="A13581" t="str">
        <f>"13577"</f>
        <v>13577</v>
      </c>
      <c r="B13581" t="str">
        <f t="shared" si="755"/>
        <v>1</v>
      </c>
      <c r="C13581" t="str">
        <f t="shared" si="754"/>
        <v>272</v>
      </c>
      <c r="D13581" t="str">
        <f>"40"</f>
        <v>40</v>
      </c>
      <c r="E13581" t="str">
        <f>"1-272-40"</f>
        <v>1-272-40</v>
      </c>
      <c r="F13581" t="s">
        <v>65</v>
      </c>
      <c r="G13581" t="s">
        <v>66</v>
      </c>
      <c r="H13581" t="s">
        <v>67</v>
      </c>
      <c r="S13581">
        <v>0</v>
      </c>
      <c r="T13581">
        <v>1</v>
      </c>
      <c r="U13581">
        <v>0</v>
      </c>
      <c r="V13581">
        <v>0</v>
      </c>
      <c r="W13581">
        <v>1</v>
      </c>
      <c r="X13581">
        <v>0</v>
      </c>
      <c r="Y13581">
        <v>0</v>
      </c>
      <c r="Z13581">
        <v>1</v>
      </c>
      <c r="AA13581">
        <v>1</v>
      </c>
      <c r="AB13581">
        <v>0</v>
      </c>
      <c r="AC13581">
        <v>0</v>
      </c>
      <c r="AD13581">
        <v>1</v>
      </c>
      <c r="AE13581">
        <v>1</v>
      </c>
      <c r="AF13581">
        <v>1</v>
      </c>
      <c r="AG13581">
        <v>1</v>
      </c>
      <c r="AH13581">
        <v>1</v>
      </c>
      <c r="AI13581">
        <v>1</v>
      </c>
      <c r="AJ13581">
        <v>1</v>
      </c>
      <c r="AK13581">
        <v>1</v>
      </c>
      <c r="AL13581">
        <v>1</v>
      </c>
      <c r="AM13581">
        <v>1</v>
      </c>
    </row>
    <row r="13582" spans="1:39" x14ac:dyDescent="0.2">
      <c r="A13582" t="str">
        <f>"13578"</f>
        <v>13578</v>
      </c>
      <c r="B13582" t="str">
        <f t="shared" si="755"/>
        <v>1</v>
      </c>
      <c r="C13582" t="str">
        <f t="shared" si="754"/>
        <v>272</v>
      </c>
      <c r="D13582" t="str">
        <f>"21"</f>
        <v>21</v>
      </c>
      <c r="E13582" t="str">
        <f>"1-272-21"</f>
        <v>1-272-21</v>
      </c>
      <c r="F13582" t="s">
        <v>65</v>
      </c>
      <c r="G13582" t="s">
        <v>66</v>
      </c>
      <c r="H13582" t="s">
        <v>67</v>
      </c>
      <c r="S13582">
        <v>1</v>
      </c>
      <c r="T13582">
        <v>0</v>
      </c>
      <c r="U13582">
        <v>0</v>
      </c>
      <c r="V13582">
        <v>0</v>
      </c>
      <c r="W13582">
        <v>1</v>
      </c>
      <c r="X13582">
        <v>0</v>
      </c>
      <c r="Y13582">
        <v>1</v>
      </c>
      <c r="Z13582">
        <v>0</v>
      </c>
      <c r="AA13582">
        <v>1</v>
      </c>
      <c r="AB13582">
        <v>0</v>
      </c>
      <c r="AC13582">
        <v>0</v>
      </c>
      <c r="AD13582">
        <v>1</v>
      </c>
      <c r="AE13582">
        <v>1</v>
      </c>
      <c r="AF13582">
        <v>1</v>
      </c>
      <c r="AG13582">
        <v>1</v>
      </c>
      <c r="AH13582">
        <v>1</v>
      </c>
      <c r="AI13582">
        <v>1</v>
      </c>
      <c r="AJ13582">
        <v>1</v>
      </c>
      <c r="AK13582">
        <v>1</v>
      </c>
      <c r="AL13582">
        <v>1</v>
      </c>
      <c r="AM13582">
        <v>1</v>
      </c>
    </row>
    <row r="13583" spans="1:39" x14ac:dyDescent="0.2">
      <c r="A13583" t="str">
        <f>"13579"</f>
        <v>13579</v>
      </c>
      <c r="B13583" t="str">
        <f t="shared" si="755"/>
        <v>1</v>
      </c>
      <c r="C13583" t="str">
        <f t="shared" si="754"/>
        <v>272</v>
      </c>
      <c r="D13583" t="str">
        <f>"8"</f>
        <v>8</v>
      </c>
      <c r="E13583" t="str">
        <f>"1-272-8"</f>
        <v>1-272-8</v>
      </c>
      <c r="F13583" t="s">
        <v>65</v>
      </c>
      <c r="G13583" t="s">
        <v>66</v>
      </c>
      <c r="H13583" t="s">
        <v>67</v>
      </c>
      <c r="S13583">
        <v>1</v>
      </c>
      <c r="T13583">
        <v>0</v>
      </c>
      <c r="U13583">
        <v>0</v>
      </c>
      <c r="V13583">
        <v>0</v>
      </c>
      <c r="W13583">
        <v>1</v>
      </c>
      <c r="X13583">
        <v>0</v>
      </c>
      <c r="Y13583">
        <v>1</v>
      </c>
      <c r="Z13583">
        <v>0</v>
      </c>
      <c r="AA13583">
        <v>1</v>
      </c>
      <c r="AB13583">
        <v>0</v>
      </c>
      <c r="AC13583">
        <v>0</v>
      </c>
      <c r="AD13583">
        <v>1</v>
      </c>
      <c r="AE13583">
        <v>1</v>
      </c>
      <c r="AF13583">
        <v>1</v>
      </c>
      <c r="AG13583">
        <v>0</v>
      </c>
      <c r="AH13583">
        <v>1</v>
      </c>
      <c r="AI13583">
        <v>1</v>
      </c>
      <c r="AJ13583">
        <v>1</v>
      </c>
      <c r="AK13583">
        <v>1</v>
      </c>
      <c r="AL13583">
        <v>1</v>
      </c>
      <c r="AM13583">
        <v>1</v>
      </c>
    </row>
    <row r="13584" spans="1:39" x14ac:dyDescent="0.2">
      <c r="A13584" t="str">
        <f>"13580"</f>
        <v>13580</v>
      </c>
      <c r="B13584" t="str">
        <f t="shared" si="755"/>
        <v>1</v>
      </c>
      <c r="C13584" t="str">
        <f t="shared" si="754"/>
        <v>272</v>
      </c>
      <c r="D13584" t="str">
        <f>"39"</f>
        <v>39</v>
      </c>
      <c r="E13584" t="str">
        <f>"1-272-39"</f>
        <v>1-272-39</v>
      </c>
      <c r="F13584" t="s">
        <v>65</v>
      </c>
      <c r="G13584" t="s">
        <v>66</v>
      </c>
      <c r="H13584" t="s">
        <v>67</v>
      </c>
      <c r="S13584">
        <v>1</v>
      </c>
      <c r="T13584">
        <v>0</v>
      </c>
      <c r="U13584">
        <v>0</v>
      </c>
      <c r="V13584">
        <v>0</v>
      </c>
      <c r="W13584">
        <v>1</v>
      </c>
      <c r="X13584">
        <v>0</v>
      </c>
      <c r="Y13584">
        <v>1</v>
      </c>
      <c r="Z13584">
        <v>0</v>
      </c>
      <c r="AA13584">
        <v>1</v>
      </c>
      <c r="AB13584">
        <v>0</v>
      </c>
      <c r="AC13584">
        <v>0</v>
      </c>
      <c r="AD13584">
        <v>1</v>
      </c>
      <c r="AE13584">
        <v>1</v>
      </c>
      <c r="AF13584">
        <v>1</v>
      </c>
      <c r="AG13584">
        <v>1</v>
      </c>
      <c r="AH13584">
        <v>1</v>
      </c>
      <c r="AI13584">
        <v>1</v>
      </c>
      <c r="AJ13584">
        <v>1</v>
      </c>
      <c r="AK13584">
        <v>1</v>
      </c>
      <c r="AL13584">
        <v>1</v>
      </c>
      <c r="AM13584">
        <v>1</v>
      </c>
    </row>
    <row r="13585" spans="1:39" x14ac:dyDescent="0.2">
      <c r="A13585" t="str">
        <f>"13581"</f>
        <v>13581</v>
      </c>
      <c r="B13585" t="str">
        <f t="shared" si="755"/>
        <v>1</v>
      </c>
      <c r="C13585" t="str">
        <f t="shared" si="754"/>
        <v>272</v>
      </c>
      <c r="D13585" t="str">
        <f>"22"</f>
        <v>22</v>
      </c>
      <c r="E13585" t="str">
        <f>"1-272-22"</f>
        <v>1-272-22</v>
      </c>
      <c r="F13585" t="s">
        <v>65</v>
      </c>
      <c r="G13585" t="s">
        <v>66</v>
      </c>
      <c r="H13585" t="s">
        <v>67</v>
      </c>
      <c r="S13585">
        <v>0</v>
      </c>
      <c r="T13585">
        <v>1</v>
      </c>
      <c r="U13585">
        <v>0</v>
      </c>
      <c r="V13585">
        <v>0</v>
      </c>
      <c r="W13585">
        <v>1</v>
      </c>
      <c r="X13585">
        <v>0</v>
      </c>
      <c r="Y13585">
        <v>0</v>
      </c>
      <c r="Z13585">
        <v>1</v>
      </c>
      <c r="AA13585">
        <v>0</v>
      </c>
      <c r="AB13585">
        <v>1</v>
      </c>
      <c r="AC13585">
        <v>0</v>
      </c>
      <c r="AD13585">
        <v>1</v>
      </c>
      <c r="AE13585">
        <v>1</v>
      </c>
      <c r="AF13585">
        <v>1</v>
      </c>
      <c r="AG13585">
        <v>1</v>
      </c>
      <c r="AH13585">
        <v>1</v>
      </c>
      <c r="AI13585">
        <v>1</v>
      </c>
      <c r="AJ13585">
        <v>1</v>
      </c>
      <c r="AK13585">
        <v>1</v>
      </c>
      <c r="AL13585">
        <v>1</v>
      </c>
      <c r="AM13585">
        <v>1</v>
      </c>
    </row>
    <row r="13586" spans="1:39" x14ac:dyDescent="0.2">
      <c r="A13586" t="str">
        <f>"13582"</f>
        <v>13582</v>
      </c>
      <c r="B13586" t="str">
        <f t="shared" si="755"/>
        <v>1</v>
      </c>
      <c r="C13586" t="str">
        <f t="shared" si="754"/>
        <v>272</v>
      </c>
      <c r="D13586" t="str">
        <f>"7"</f>
        <v>7</v>
      </c>
      <c r="E13586" t="str">
        <f>"1-272-7"</f>
        <v>1-272-7</v>
      </c>
      <c r="F13586" t="s">
        <v>65</v>
      </c>
      <c r="G13586" t="s">
        <v>66</v>
      </c>
      <c r="H13586" t="s">
        <v>67</v>
      </c>
      <c r="S13586">
        <v>1</v>
      </c>
      <c r="T13586">
        <v>0</v>
      </c>
      <c r="U13586">
        <v>0</v>
      </c>
      <c r="V13586">
        <v>0</v>
      </c>
      <c r="W13586">
        <v>1</v>
      </c>
      <c r="X13586">
        <v>0</v>
      </c>
      <c r="Y13586">
        <v>0</v>
      </c>
      <c r="Z13586">
        <v>1</v>
      </c>
      <c r="AA13586">
        <v>1</v>
      </c>
      <c r="AB13586">
        <v>0</v>
      </c>
      <c r="AC13586">
        <v>0</v>
      </c>
      <c r="AD13586">
        <v>1</v>
      </c>
      <c r="AE13586">
        <v>1</v>
      </c>
      <c r="AF13586">
        <v>1</v>
      </c>
      <c r="AG13586">
        <v>1</v>
      </c>
      <c r="AH13586">
        <v>0</v>
      </c>
      <c r="AI13586">
        <v>0</v>
      </c>
      <c r="AJ13586">
        <v>1</v>
      </c>
      <c r="AK13586">
        <v>1</v>
      </c>
      <c r="AL13586">
        <v>0</v>
      </c>
      <c r="AM13586">
        <v>1</v>
      </c>
    </row>
    <row r="13587" spans="1:39" x14ac:dyDescent="0.2">
      <c r="A13587" t="str">
        <f>"13583"</f>
        <v>13583</v>
      </c>
      <c r="B13587" t="str">
        <f t="shared" si="755"/>
        <v>1</v>
      </c>
      <c r="C13587" t="str">
        <f t="shared" ref="C13587:C13604" si="756">"272"</f>
        <v>272</v>
      </c>
      <c r="D13587" t="str">
        <f>"41"</f>
        <v>41</v>
      </c>
      <c r="E13587" t="str">
        <f>"1-272-41"</f>
        <v>1-272-41</v>
      </c>
      <c r="F13587" t="s">
        <v>65</v>
      </c>
      <c r="G13587" t="s">
        <v>66</v>
      </c>
      <c r="H13587" t="s">
        <v>67</v>
      </c>
      <c r="S13587">
        <v>0</v>
      </c>
      <c r="T13587">
        <v>1</v>
      </c>
      <c r="U13587">
        <v>0</v>
      </c>
      <c r="V13587">
        <v>0</v>
      </c>
      <c r="W13587">
        <v>1</v>
      </c>
      <c r="X13587">
        <v>0</v>
      </c>
      <c r="Y13587">
        <v>0</v>
      </c>
      <c r="Z13587">
        <v>1</v>
      </c>
      <c r="AA13587">
        <v>1</v>
      </c>
      <c r="AB13587">
        <v>0</v>
      </c>
      <c r="AC13587">
        <v>0</v>
      </c>
      <c r="AD13587">
        <v>1</v>
      </c>
      <c r="AE13587">
        <v>1</v>
      </c>
      <c r="AF13587">
        <v>1</v>
      </c>
      <c r="AG13587">
        <v>1</v>
      </c>
      <c r="AH13587">
        <v>1</v>
      </c>
      <c r="AI13587">
        <v>1</v>
      </c>
      <c r="AJ13587">
        <v>1</v>
      </c>
      <c r="AK13587">
        <v>1</v>
      </c>
      <c r="AL13587">
        <v>1</v>
      </c>
      <c r="AM13587">
        <v>1</v>
      </c>
    </row>
    <row r="13588" spans="1:39" x14ac:dyDescent="0.2">
      <c r="A13588" t="str">
        <f>"13584"</f>
        <v>13584</v>
      </c>
      <c r="B13588" t="str">
        <f t="shared" si="755"/>
        <v>1</v>
      </c>
      <c r="C13588" t="str">
        <f t="shared" si="756"/>
        <v>272</v>
      </c>
      <c r="D13588" t="str">
        <f>"23"</f>
        <v>23</v>
      </c>
      <c r="E13588" t="str">
        <f>"1-272-23"</f>
        <v>1-272-23</v>
      </c>
      <c r="F13588" t="s">
        <v>65</v>
      </c>
      <c r="G13588" t="s">
        <v>66</v>
      </c>
      <c r="H13588" t="s">
        <v>67</v>
      </c>
      <c r="S13588">
        <v>1</v>
      </c>
      <c r="T13588">
        <v>0</v>
      </c>
      <c r="U13588">
        <v>0</v>
      </c>
      <c r="V13588">
        <v>0</v>
      </c>
      <c r="W13588">
        <v>1</v>
      </c>
      <c r="X13588">
        <v>0</v>
      </c>
      <c r="Y13588">
        <v>0</v>
      </c>
      <c r="Z13588">
        <v>1</v>
      </c>
      <c r="AA13588">
        <v>0</v>
      </c>
      <c r="AB13588">
        <v>0</v>
      </c>
      <c r="AC13588">
        <v>1</v>
      </c>
      <c r="AD13588">
        <v>1</v>
      </c>
      <c r="AE13588">
        <v>1</v>
      </c>
      <c r="AF13588">
        <v>1</v>
      </c>
      <c r="AG13588">
        <v>1</v>
      </c>
      <c r="AH13588">
        <v>1</v>
      </c>
      <c r="AI13588">
        <v>1</v>
      </c>
      <c r="AJ13588">
        <v>1</v>
      </c>
      <c r="AK13588">
        <v>1</v>
      </c>
      <c r="AL13588">
        <v>1</v>
      </c>
      <c r="AM13588">
        <v>1</v>
      </c>
    </row>
    <row r="13589" spans="1:39" x14ac:dyDescent="0.2">
      <c r="A13589" t="str">
        <f>"13585"</f>
        <v>13585</v>
      </c>
      <c r="B13589" t="str">
        <f t="shared" si="755"/>
        <v>1</v>
      </c>
      <c r="C13589" t="str">
        <f t="shared" si="756"/>
        <v>272</v>
      </c>
      <c r="D13589" t="str">
        <f>"12"</f>
        <v>12</v>
      </c>
      <c r="E13589" t="str">
        <f>"1-272-12"</f>
        <v>1-272-12</v>
      </c>
      <c r="F13589" t="s">
        <v>65</v>
      </c>
      <c r="G13589" t="s">
        <v>66</v>
      </c>
      <c r="H13589" t="s">
        <v>67</v>
      </c>
      <c r="S13589">
        <v>1</v>
      </c>
      <c r="T13589">
        <v>0</v>
      </c>
      <c r="U13589">
        <v>0</v>
      </c>
      <c r="V13589">
        <v>0</v>
      </c>
      <c r="W13589">
        <v>0</v>
      </c>
      <c r="X13589">
        <v>1</v>
      </c>
      <c r="Y13589">
        <v>1</v>
      </c>
      <c r="Z13589">
        <v>0</v>
      </c>
      <c r="AA13589">
        <v>0</v>
      </c>
      <c r="AB13589">
        <v>0</v>
      </c>
      <c r="AC13589">
        <v>1</v>
      </c>
      <c r="AD13589">
        <v>0</v>
      </c>
      <c r="AE13589">
        <v>0</v>
      </c>
      <c r="AF13589">
        <v>0</v>
      </c>
      <c r="AG13589">
        <v>0</v>
      </c>
      <c r="AH13589">
        <v>0</v>
      </c>
      <c r="AI13589">
        <v>0</v>
      </c>
      <c r="AJ13589">
        <v>0</v>
      </c>
      <c r="AK13589">
        <v>0</v>
      </c>
      <c r="AL13589">
        <v>0</v>
      </c>
      <c r="AM13589">
        <v>0</v>
      </c>
    </row>
    <row r="13590" spans="1:39" x14ac:dyDescent="0.2">
      <c r="A13590" t="str">
        <f>"13586"</f>
        <v>13586</v>
      </c>
      <c r="B13590" t="str">
        <f t="shared" si="755"/>
        <v>1</v>
      </c>
      <c r="C13590" t="str">
        <f t="shared" si="756"/>
        <v>272</v>
      </c>
      <c r="D13590" t="str">
        <f>"42"</f>
        <v>42</v>
      </c>
      <c r="E13590" t="str">
        <f>"1-272-42"</f>
        <v>1-272-42</v>
      </c>
      <c r="F13590" t="s">
        <v>65</v>
      </c>
      <c r="G13590" t="s">
        <v>66</v>
      </c>
      <c r="H13590" t="s">
        <v>67</v>
      </c>
      <c r="S13590">
        <v>0</v>
      </c>
      <c r="T13590">
        <v>1</v>
      </c>
      <c r="U13590">
        <v>0</v>
      </c>
      <c r="V13590">
        <v>0</v>
      </c>
      <c r="W13590">
        <v>0</v>
      </c>
      <c r="X13590">
        <v>1</v>
      </c>
      <c r="Y13590">
        <v>0</v>
      </c>
      <c r="Z13590">
        <v>1</v>
      </c>
      <c r="AA13590">
        <v>1</v>
      </c>
      <c r="AB13590">
        <v>0</v>
      </c>
      <c r="AC13590">
        <v>0</v>
      </c>
      <c r="AD13590">
        <v>1</v>
      </c>
      <c r="AE13590">
        <v>1</v>
      </c>
      <c r="AF13590">
        <v>1</v>
      </c>
      <c r="AG13590">
        <v>1</v>
      </c>
      <c r="AH13590">
        <v>1</v>
      </c>
      <c r="AI13590">
        <v>1</v>
      </c>
      <c r="AJ13590">
        <v>1</v>
      </c>
      <c r="AK13590">
        <v>1</v>
      </c>
      <c r="AL13590">
        <v>1</v>
      </c>
      <c r="AM13590">
        <v>1</v>
      </c>
    </row>
    <row r="13591" spans="1:39" x14ac:dyDescent="0.2">
      <c r="A13591" t="str">
        <f>"13587"</f>
        <v>13587</v>
      </c>
      <c r="B13591" t="str">
        <f t="shared" si="755"/>
        <v>1</v>
      </c>
      <c r="C13591" t="str">
        <f t="shared" si="756"/>
        <v>272</v>
      </c>
      <c r="D13591" t="str">
        <f>"24"</f>
        <v>24</v>
      </c>
      <c r="E13591" t="str">
        <f>"1-272-24"</f>
        <v>1-272-24</v>
      </c>
      <c r="F13591" t="s">
        <v>65</v>
      </c>
      <c r="G13591" t="s">
        <v>66</v>
      </c>
      <c r="H13591" t="s">
        <v>67</v>
      </c>
      <c r="S13591">
        <v>1</v>
      </c>
      <c r="T13591">
        <v>0</v>
      </c>
      <c r="U13591">
        <v>0</v>
      </c>
      <c r="V13591">
        <v>0</v>
      </c>
      <c r="W13591">
        <v>1</v>
      </c>
      <c r="X13591">
        <v>0</v>
      </c>
      <c r="Y13591">
        <v>0</v>
      </c>
      <c r="Z13591">
        <v>1</v>
      </c>
      <c r="AA13591">
        <v>0</v>
      </c>
      <c r="AB13591">
        <v>1</v>
      </c>
      <c r="AC13591">
        <v>0</v>
      </c>
      <c r="AD13591">
        <v>1</v>
      </c>
      <c r="AE13591">
        <v>1</v>
      </c>
      <c r="AF13591">
        <v>1</v>
      </c>
      <c r="AG13591">
        <v>1</v>
      </c>
      <c r="AH13591">
        <v>1</v>
      </c>
      <c r="AI13591">
        <v>1</v>
      </c>
      <c r="AJ13591">
        <v>1</v>
      </c>
      <c r="AK13591">
        <v>1</v>
      </c>
      <c r="AL13591">
        <v>1</v>
      </c>
      <c r="AM13591">
        <v>1</v>
      </c>
    </row>
    <row r="13592" spans="1:39" x14ac:dyDescent="0.2">
      <c r="A13592" t="str">
        <f>"13588"</f>
        <v>13588</v>
      </c>
      <c r="B13592" t="str">
        <f t="shared" si="755"/>
        <v>1</v>
      </c>
      <c r="C13592" t="str">
        <f t="shared" si="756"/>
        <v>272</v>
      </c>
      <c r="D13592" t="str">
        <f>"5"</f>
        <v>5</v>
      </c>
      <c r="E13592" t="str">
        <f>"1-272-5"</f>
        <v>1-272-5</v>
      </c>
      <c r="F13592" t="s">
        <v>65</v>
      </c>
      <c r="G13592" t="s">
        <v>66</v>
      </c>
      <c r="H13592" t="s">
        <v>67</v>
      </c>
      <c r="S13592">
        <v>0</v>
      </c>
      <c r="T13592">
        <v>1</v>
      </c>
      <c r="U13592">
        <v>0</v>
      </c>
      <c r="V13592">
        <v>0</v>
      </c>
      <c r="W13592">
        <v>0</v>
      </c>
      <c r="X13592">
        <v>1</v>
      </c>
      <c r="Y13592">
        <v>1</v>
      </c>
      <c r="Z13592">
        <v>0</v>
      </c>
      <c r="AA13592">
        <v>0</v>
      </c>
      <c r="AB13592">
        <v>0</v>
      </c>
      <c r="AC13592">
        <v>1</v>
      </c>
      <c r="AD13592">
        <v>1</v>
      </c>
      <c r="AE13592">
        <v>1</v>
      </c>
      <c r="AF13592">
        <v>1</v>
      </c>
      <c r="AG13592">
        <v>1</v>
      </c>
      <c r="AH13592">
        <v>1</v>
      </c>
      <c r="AI13592">
        <v>1</v>
      </c>
      <c r="AJ13592">
        <v>1</v>
      </c>
      <c r="AK13592">
        <v>1</v>
      </c>
      <c r="AL13592">
        <v>1</v>
      </c>
      <c r="AM13592">
        <v>1</v>
      </c>
    </row>
    <row r="13593" spans="1:39" x14ac:dyDescent="0.2">
      <c r="A13593" t="str">
        <f>"13589"</f>
        <v>13589</v>
      </c>
      <c r="B13593" t="str">
        <f t="shared" si="755"/>
        <v>1</v>
      </c>
      <c r="C13593" t="str">
        <f t="shared" si="756"/>
        <v>272</v>
      </c>
      <c r="D13593" t="str">
        <f>"49"</f>
        <v>49</v>
      </c>
      <c r="E13593" t="str">
        <f>"1-272-49"</f>
        <v>1-272-49</v>
      </c>
      <c r="F13593" t="s">
        <v>65</v>
      </c>
      <c r="G13593" t="s">
        <v>66</v>
      </c>
      <c r="H13593" t="s">
        <v>67</v>
      </c>
      <c r="S13593">
        <v>1</v>
      </c>
      <c r="T13593">
        <v>0</v>
      </c>
      <c r="U13593">
        <v>0</v>
      </c>
      <c r="V13593">
        <v>0</v>
      </c>
      <c r="W13593">
        <v>1</v>
      </c>
      <c r="X13593">
        <v>0</v>
      </c>
      <c r="Y13593">
        <v>1</v>
      </c>
      <c r="Z13593">
        <v>0</v>
      </c>
      <c r="AA13593">
        <v>1</v>
      </c>
      <c r="AB13593">
        <v>0</v>
      </c>
      <c r="AC13593">
        <v>0</v>
      </c>
      <c r="AD13593">
        <v>0</v>
      </c>
      <c r="AE13593">
        <v>0</v>
      </c>
      <c r="AF13593">
        <v>0</v>
      </c>
      <c r="AG13593">
        <v>0</v>
      </c>
      <c r="AH13593">
        <v>0</v>
      </c>
      <c r="AI13593">
        <v>0</v>
      </c>
      <c r="AJ13593">
        <v>0</v>
      </c>
      <c r="AK13593">
        <v>0</v>
      </c>
      <c r="AL13593">
        <v>0</v>
      </c>
      <c r="AM13593">
        <v>0</v>
      </c>
    </row>
    <row r="13594" spans="1:39" x14ac:dyDescent="0.2">
      <c r="A13594" t="str">
        <f>"13590"</f>
        <v>13590</v>
      </c>
      <c r="B13594" t="str">
        <f t="shared" si="755"/>
        <v>1</v>
      </c>
      <c r="C13594" t="str">
        <f t="shared" si="756"/>
        <v>272</v>
      </c>
      <c r="D13594" t="str">
        <f>"26"</f>
        <v>26</v>
      </c>
      <c r="E13594" t="str">
        <f>"1-272-26"</f>
        <v>1-272-26</v>
      </c>
      <c r="F13594" t="s">
        <v>65</v>
      </c>
      <c r="G13594" t="s">
        <v>66</v>
      </c>
      <c r="H13594" t="s">
        <v>67</v>
      </c>
      <c r="S13594">
        <v>1</v>
      </c>
      <c r="T13594">
        <v>0</v>
      </c>
      <c r="U13594">
        <v>0</v>
      </c>
      <c r="V13594">
        <v>0</v>
      </c>
      <c r="W13594">
        <v>1</v>
      </c>
      <c r="X13594">
        <v>0</v>
      </c>
      <c r="Y13594">
        <v>1</v>
      </c>
      <c r="Z13594">
        <v>0</v>
      </c>
      <c r="AA13594">
        <v>1</v>
      </c>
      <c r="AB13594">
        <v>0</v>
      </c>
      <c r="AC13594">
        <v>0</v>
      </c>
      <c r="AD13594">
        <v>1</v>
      </c>
      <c r="AE13594">
        <v>1</v>
      </c>
      <c r="AF13594">
        <v>1</v>
      </c>
      <c r="AG13594">
        <v>1</v>
      </c>
      <c r="AH13594">
        <v>1</v>
      </c>
      <c r="AI13594">
        <v>1</v>
      </c>
      <c r="AJ13594">
        <v>1</v>
      </c>
      <c r="AK13594">
        <v>1</v>
      </c>
      <c r="AL13594">
        <v>1</v>
      </c>
      <c r="AM13594">
        <v>1</v>
      </c>
    </row>
    <row r="13595" spans="1:39" x14ac:dyDescent="0.2">
      <c r="A13595" t="str">
        <f>"13591"</f>
        <v>13591</v>
      </c>
      <c r="B13595" t="str">
        <f t="shared" si="755"/>
        <v>1</v>
      </c>
      <c r="C13595" t="str">
        <f t="shared" si="756"/>
        <v>272</v>
      </c>
      <c r="D13595" t="str">
        <f>"1"</f>
        <v>1</v>
      </c>
      <c r="E13595" t="str">
        <f>"1-272-1"</f>
        <v>1-272-1</v>
      </c>
      <c r="F13595" t="s">
        <v>65</v>
      </c>
      <c r="G13595" t="s">
        <v>66</v>
      </c>
      <c r="H13595" t="s">
        <v>67</v>
      </c>
      <c r="S13595">
        <v>1</v>
      </c>
      <c r="T13595">
        <v>0</v>
      </c>
      <c r="U13595">
        <v>0</v>
      </c>
      <c r="V13595">
        <v>0</v>
      </c>
      <c r="W13595">
        <v>1</v>
      </c>
      <c r="X13595">
        <v>0</v>
      </c>
      <c r="Y13595">
        <v>1</v>
      </c>
      <c r="Z13595">
        <v>0</v>
      </c>
      <c r="AA13595">
        <v>1</v>
      </c>
      <c r="AB13595">
        <v>0</v>
      </c>
      <c r="AC13595">
        <v>0</v>
      </c>
      <c r="AD13595">
        <v>1</v>
      </c>
      <c r="AE13595">
        <v>1</v>
      </c>
      <c r="AF13595">
        <v>1</v>
      </c>
      <c r="AG13595">
        <v>1</v>
      </c>
      <c r="AH13595">
        <v>1</v>
      </c>
      <c r="AI13595">
        <v>1</v>
      </c>
      <c r="AJ13595">
        <v>1</v>
      </c>
      <c r="AK13595">
        <v>1</v>
      </c>
      <c r="AL13595">
        <v>1</v>
      </c>
      <c r="AM13595">
        <v>1</v>
      </c>
    </row>
    <row r="13596" spans="1:39" x14ac:dyDescent="0.2">
      <c r="A13596" t="str">
        <f>"13592"</f>
        <v>13592</v>
      </c>
      <c r="B13596" t="str">
        <f t="shared" si="755"/>
        <v>1</v>
      </c>
      <c r="C13596" t="str">
        <f t="shared" si="756"/>
        <v>272</v>
      </c>
      <c r="D13596" t="str">
        <f>"47"</f>
        <v>47</v>
      </c>
      <c r="E13596" t="str">
        <f>"1-272-47"</f>
        <v>1-272-47</v>
      </c>
      <c r="F13596" t="s">
        <v>65</v>
      </c>
      <c r="G13596" t="s">
        <v>66</v>
      </c>
      <c r="H13596" t="s">
        <v>67</v>
      </c>
      <c r="S13596">
        <v>1</v>
      </c>
      <c r="T13596">
        <v>0</v>
      </c>
      <c r="U13596">
        <v>0</v>
      </c>
      <c r="V13596">
        <v>0</v>
      </c>
      <c r="W13596">
        <v>1</v>
      </c>
      <c r="X13596">
        <v>0</v>
      </c>
      <c r="Y13596">
        <v>1</v>
      </c>
      <c r="Z13596">
        <v>0</v>
      </c>
      <c r="AA13596">
        <v>0</v>
      </c>
      <c r="AB13596">
        <v>1</v>
      </c>
      <c r="AC13596">
        <v>0</v>
      </c>
      <c r="AD13596">
        <v>1</v>
      </c>
      <c r="AE13596">
        <v>1</v>
      </c>
      <c r="AF13596">
        <v>1</v>
      </c>
      <c r="AG13596">
        <v>1</v>
      </c>
      <c r="AH13596">
        <v>1</v>
      </c>
      <c r="AI13596">
        <v>1</v>
      </c>
      <c r="AJ13596">
        <v>1</v>
      </c>
      <c r="AK13596">
        <v>1</v>
      </c>
      <c r="AL13596">
        <v>1</v>
      </c>
      <c r="AM13596">
        <v>1</v>
      </c>
    </row>
    <row r="13597" spans="1:39" x14ac:dyDescent="0.2">
      <c r="A13597" t="str">
        <f>"13593"</f>
        <v>13593</v>
      </c>
      <c r="B13597" t="str">
        <f t="shared" si="755"/>
        <v>1</v>
      </c>
      <c r="C13597" t="str">
        <f t="shared" si="756"/>
        <v>272</v>
      </c>
      <c r="D13597" t="str">
        <f>"28"</f>
        <v>28</v>
      </c>
      <c r="E13597" t="str">
        <f>"1-272-28"</f>
        <v>1-272-28</v>
      </c>
      <c r="F13597" t="s">
        <v>65</v>
      </c>
      <c r="G13597" t="s">
        <v>66</v>
      </c>
      <c r="H13597" t="s">
        <v>67</v>
      </c>
      <c r="S13597">
        <v>0</v>
      </c>
      <c r="T13597">
        <v>1</v>
      </c>
      <c r="U13597">
        <v>0</v>
      </c>
      <c r="V13597">
        <v>0</v>
      </c>
      <c r="W13597">
        <v>1</v>
      </c>
      <c r="X13597">
        <v>0</v>
      </c>
      <c r="Y13597">
        <v>0</v>
      </c>
      <c r="Z13597">
        <v>1</v>
      </c>
      <c r="AA13597">
        <v>0</v>
      </c>
      <c r="AB13597">
        <v>1</v>
      </c>
      <c r="AC13597">
        <v>0</v>
      </c>
      <c r="AD13597">
        <v>1</v>
      </c>
      <c r="AE13597">
        <v>1</v>
      </c>
      <c r="AF13597">
        <v>1</v>
      </c>
      <c r="AG13597">
        <v>1</v>
      </c>
      <c r="AH13597">
        <v>0</v>
      </c>
      <c r="AI13597">
        <v>1</v>
      </c>
      <c r="AJ13597">
        <v>1</v>
      </c>
      <c r="AK13597">
        <v>1</v>
      </c>
      <c r="AL13597">
        <v>1</v>
      </c>
      <c r="AM13597">
        <v>1</v>
      </c>
    </row>
    <row r="13598" spans="1:39" x14ac:dyDescent="0.2">
      <c r="A13598" t="str">
        <f>"13594"</f>
        <v>13594</v>
      </c>
      <c r="B13598" t="str">
        <f t="shared" si="755"/>
        <v>1</v>
      </c>
      <c r="C13598" t="str">
        <f t="shared" si="756"/>
        <v>272</v>
      </c>
      <c r="D13598" t="str">
        <f>"10"</f>
        <v>10</v>
      </c>
      <c r="E13598" t="str">
        <f>"1-272-10"</f>
        <v>1-272-10</v>
      </c>
      <c r="F13598" t="s">
        <v>65</v>
      </c>
      <c r="G13598" t="s">
        <v>66</v>
      </c>
      <c r="H13598" t="s">
        <v>67</v>
      </c>
      <c r="S13598">
        <v>1</v>
      </c>
      <c r="T13598">
        <v>0</v>
      </c>
      <c r="U13598">
        <v>0</v>
      </c>
      <c r="V13598">
        <v>0</v>
      </c>
      <c r="W13598">
        <v>1</v>
      </c>
      <c r="X13598">
        <v>0</v>
      </c>
      <c r="Y13598">
        <v>1</v>
      </c>
      <c r="Z13598">
        <v>0</v>
      </c>
      <c r="AA13598">
        <v>1</v>
      </c>
      <c r="AB13598">
        <v>0</v>
      </c>
      <c r="AC13598">
        <v>0</v>
      </c>
      <c r="AD13598">
        <v>1</v>
      </c>
      <c r="AE13598">
        <v>1</v>
      </c>
      <c r="AF13598">
        <v>1</v>
      </c>
      <c r="AG13598">
        <v>1</v>
      </c>
      <c r="AH13598">
        <v>1</v>
      </c>
      <c r="AI13598">
        <v>1</v>
      </c>
      <c r="AJ13598">
        <v>1</v>
      </c>
      <c r="AK13598">
        <v>1</v>
      </c>
      <c r="AL13598">
        <v>1</v>
      </c>
      <c r="AM13598">
        <v>1</v>
      </c>
    </row>
    <row r="13599" spans="1:39" x14ac:dyDescent="0.2">
      <c r="A13599" t="str">
        <f>"13595"</f>
        <v>13595</v>
      </c>
      <c r="B13599" t="str">
        <f t="shared" si="755"/>
        <v>1</v>
      </c>
      <c r="C13599" t="str">
        <f t="shared" si="756"/>
        <v>272</v>
      </c>
      <c r="D13599" t="str">
        <f>"50"</f>
        <v>50</v>
      </c>
      <c r="E13599" t="str">
        <f>"1-272-50"</f>
        <v>1-272-50</v>
      </c>
      <c r="F13599" t="s">
        <v>65</v>
      </c>
      <c r="G13599" t="s">
        <v>66</v>
      </c>
      <c r="H13599" t="s">
        <v>67</v>
      </c>
      <c r="S13599">
        <v>1</v>
      </c>
      <c r="T13599">
        <v>0</v>
      </c>
      <c r="U13599">
        <v>0</v>
      </c>
      <c r="V13599">
        <v>0</v>
      </c>
      <c r="W13599">
        <v>1</v>
      </c>
      <c r="X13599">
        <v>0</v>
      </c>
      <c r="Y13599">
        <v>0</v>
      </c>
      <c r="Z13599">
        <v>1</v>
      </c>
      <c r="AA13599">
        <v>1</v>
      </c>
      <c r="AB13599">
        <v>0</v>
      </c>
      <c r="AC13599">
        <v>0</v>
      </c>
      <c r="AD13599">
        <v>1</v>
      </c>
      <c r="AE13599">
        <v>1</v>
      </c>
      <c r="AF13599">
        <v>1</v>
      </c>
      <c r="AG13599">
        <v>1</v>
      </c>
      <c r="AH13599">
        <v>1</v>
      </c>
      <c r="AI13599">
        <v>1</v>
      </c>
      <c r="AJ13599">
        <v>1</v>
      </c>
      <c r="AK13599">
        <v>1</v>
      </c>
      <c r="AL13599">
        <v>1</v>
      </c>
      <c r="AM13599">
        <v>1</v>
      </c>
    </row>
    <row r="13600" spans="1:39" x14ac:dyDescent="0.2">
      <c r="A13600" t="str">
        <f>"13596"</f>
        <v>13596</v>
      </c>
      <c r="B13600" t="str">
        <f t="shared" si="755"/>
        <v>1</v>
      </c>
      <c r="C13600" t="str">
        <f t="shared" si="756"/>
        <v>272</v>
      </c>
      <c r="D13600" t="str">
        <f>"9"</f>
        <v>9</v>
      </c>
      <c r="E13600" t="str">
        <f>"1-272-9"</f>
        <v>1-272-9</v>
      </c>
      <c r="F13600" t="s">
        <v>65</v>
      </c>
      <c r="G13600" t="s">
        <v>66</v>
      </c>
      <c r="H13600" t="s">
        <v>67</v>
      </c>
      <c r="S13600">
        <v>1</v>
      </c>
      <c r="T13600">
        <v>0</v>
      </c>
      <c r="U13600">
        <v>0</v>
      </c>
      <c r="V13600">
        <v>0</v>
      </c>
      <c r="W13600">
        <v>1</v>
      </c>
      <c r="X13600">
        <v>0</v>
      </c>
      <c r="Y13600">
        <v>1</v>
      </c>
      <c r="Z13600">
        <v>0</v>
      </c>
      <c r="AA13600">
        <v>0</v>
      </c>
      <c r="AB13600">
        <v>1</v>
      </c>
      <c r="AC13600">
        <v>0</v>
      </c>
      <c r="AD13600">
        <v>1</v>
      </c>
      <c r="AE13600">
        <v>1</v>
      </c>
      <c r="AF13600">
        <v>1</v>
      </c>
      <c r="AG13600">
        <v>1</v>
      </c>
      <c r="AH13600">
        <v>1</v>
      </c>
      <c r="AI13600">
        <v>1</v>
      </c>
      <c r="AJ13600">
        <v>1</v>
      </c>
      <c r="AK13600">
        <v>1</v>
      </c>
      <c r="AL13600">
        <v>1</v>
      </c>
      <c r="AM13600">
        <v>1</v>
      </c>
    </row>
    <row r="13601" spans="1:39" x14ac:dyDescent="0.2">
      <c r="A13601" t="str">
        <f>"13597"</f>
        <v>13597</v>
      </c>
      <c r="B13601" t="str">
        <f t="shared" si="755"/>
        <v>1</v>
      </c>
      <c r="C13601" t="str">
        <f t="shared" si="756"/>
        <v>272</v>
      </c>
      <c r="D13601" t="str">
        <f>"48"</f>
        <v>48</v>
      </c>
      <c r="E13601" t="str">
        <f>"1-272-48"</f>
        <v>1-272-48</v>
      </c>
      <c r="F13601" t="s">
        <v>65</v>
      </c>
      <c r="G13601" t="s">
        <v>66</v>
      </c>
      <c r="H13601" t="s">
        <v>67</v>
      </c>
      <c r="S13601">
        <v>1</v>
      </c>
      <c r="T13601">
        <v>0</v>
      </c>
      <c r="U13601">
        <v>0</v>
      </c>
      <c r="V13601">
        <v>0</v>
      </c>
      <c r="W13601">
        <v>1</v>
      </c>
      <c r="X13601">
        <v>0</v>
      </c>
      <c r="Y13601">
        <v>1</v>
      </c>
      <c r="Z13601">
        <v>0</v>
      </c>
      <c r="AA13601">
        <v>1</v>
      </c>
      <c r="AB13601">
        <v>0</v>
      </c>
      <c r="AC13601">
        <v>0</v>
      </c>
      <c r="AD13601">
        <v>1</v>
      </c>
      <c r="AE13601">
        <v>1</v>
      </c>
      <c r="AF13601">
        <v>1</v>
      </c>
      <c r="AG13601">
        <v>1</v>
      </c>
      <c r="AH13601">
        <v>1</v>
      </c>
      <c r="AI13601">
        <v>1</v>
      </c>
      <c r="AJ13601">
        <v>1</v>
      </c>
      <c r="AK13601">
        <v>1</v>
      </c>
      <c r="AL13601">
        <v>1</v>
      </c>
      <c r="AM13601">
        <v>1</v>
      </c>
    </row>
    <row r="13602" spans="1:39" x14ac:dyDescent="0.2">
      <c r="A13602" t="str">
        <f>"13598"</f>
        <v>13598</v>
      </c>
      <c r="B13602" t="str">
        <f t="shared" si="755"/>
        <v>1</v>
      </c>
      <c r="C13602" t="str">
        <f t="shared" si="756"/>
        <v>272</v>
      </c>
      <c r="D13602" t="str">
        <f>"30"</f>
        <v>30</v>
      </c>
      <c r="E13602" t="str">
        <f>"1-272-30"</f>
        <v>1-272-30</v>
      </c>
      <c r="F13602" t="s">
        <v>65</v>
      </c>
      <c r="G13602" t="s">
        <v>66</v>
      </c>
      <c r="H13602" t="s">
        <v>67</v>
      </c>
      <c r="S13602">
        <v>0</v>
      </c>
      <c r="T13602">
        <v>1</v>
      </c>
      <c r="U13602">
        <v>0</v>
      </c>
      <c r="V13602">
        <v>0</v>
      </c>
      <c r="W13602">
        <v>1</v>
      </c>
      <c r="X13602">
        <v>0</v>
      </c>
      <c r="Y13602">
        <v>1</v>
      </c>
      <c r="Z13602">
        <v>0</v>
      </c>
      <c r="AA13602">
        <v>0</v>
      </c>
      <c r="AB13602">
        <v>1</v>
      </c>
      <c r="AC13602">
        <v>0</v>
      </c>
      <c r="AD13602">
        <v>1</v>
      </c>
      <c r="AE13602">
        <v>1</v>
      </c>
      <c r="AF13602">
        <v>1</v>
      </c>
      <c r="AG13602">
        <v>1</v>
      </c>
      <c r="AH13602">
        <v>1</v>
      </c>
      <c r="AI13602">
        <v>1</v>
      </c>
      <c r="AJ13602">
        <v>1</v>
      </c>
      <c r="AK13602">
        <v>1</v>
      </c>
      <c r="AL13602">
        <v>1</v>
      </c>
      <c r="AM13602">
        <v>1</v>
      </c>
    </row>
    <row r="13603" spans="1:39" x14ac:dyDescent="0.2">
      <c r="A13603" t="str">
        <f>"13599"</f>
        <v>13599</v>
      </c>
      <c r="B13603" t="str">
        <f t="shared" si="755"/>
        <v>1</v>
      </c>
      <c r="C13603" t="str">
        <f t="shared" si="756"/>
        <v>272</v>
      </c>
      <c r="D13603" t="str">
        <f>"11"</f>
        <v>11</v>
      </c>
      <c r="E13603" t="str">
        <f>"1-272-11"</f>
        <v>1-272-11</v>
      </c>
      <c r="F13603" t="s">
        <v>65</v>
      </c>
      <c r="G13603" t="s">
        <v>66</v>
      </c>
      <c r="H13603" t="s">
        <v>67</v>
      </c>
      <c r="S13603">
        <v>1</v>
      </c>
      <c r="T13603">
        <v>0</v>
      </c>
      <c r="U13603">
        <v>0</v>
      </c>
      <c r="V13603">
        <v>0</v>
      </c>
      <c r="W13603">
        <v>1</v>
      </c>
      <c r="X13603">
        <v>0</v>
      </c>
      <c r="Y13603">
        <v>1</v>
      </c>
      <c r="Z13603">
        <v>0</v>
      </c>
      <c r="AA13603">
        <v>1</v>
      </c>
      <c r="AB13603">
        <v>0</v>
      </c>
      <c r="AC13603">
        <v>0</v>
      </c>
      <c r="AD13603">
        <v>1</v>
      </c>
      <c r="AE13603">
        <v>1</v>
      </c>
      <c r="AF13603">
        <v>1</v>
      </c>
      <c r="AG13603">
        <v>0</v>
      </c>
      <c r="AH13603">
        <v>1</v>
      </c>
      <c r="AI13603">
        <v>1</v>
      </c>
      <c r="AJ13603">
        <v>1</v>
      </c>
      <c r="AK13603">
        <v>1</v>
      </c>
      <c r="AL13603">
        <v>1</v>
      </c>
      <c r="AM13603">
        <v>1</v>
      </c>
    </row>
    <row r="13604" spans="1:39" x14ac:dyDescent="0.2">
      <c r="A13604" t="str">
        <f>"13600"</f>
        <v>13600</v>
      </c>
      <c r="B13604" t="str">
        <f t="shared" si="755"/>
        <v>1</v>
      </c>
      <c r="C13604" t="str">
        <f t="shared" si="756"/>
        <v>272</v>
      </c>
      <c r="D13604" t="str">
        <f>"29"</f>
        <v>29</v>
      </c>
      <c r="E13604" t="str">
        <f>"1-272-29"</f>
        <v>1-272-29</v>
      </c>
      <c r="F13604" t="s">
        <v>65</v>
      </c>
      <c r="G13604" t="s">
        <v>66</v>
      </c>
      <c r="H13604" t="s">
        <v>67</v>
      </c>
      <c r="S13604">
        <v>1</v>
      </c>
      <c r="T13604">
        <v>0</v>
      </c>
      <c r="U13604">
        <v>0</v>
      </c>
      <c r="V13604">
        <v>0</v>
      </c>
      <c r="W13604">
        <v>1</v>
      </c>
      <c r="X13604">
        <v>0</v>
      </c>
      <c r="Y13604">
        <v>1</v>
      </c>
      <c r="Z13604">
        <v>0</v>
      </c>
      <c r="AA13604">
        <v>0</v>
      </c>
      <c r="AB13604">
        <v>0</v>
      </c>
      <c r="AC13604">
        <v>1</v>
      </c>
      <c r="AD13604">
        <v>1</v>
      </c>
      <c r="AE13604">
        <v>1</v>
      </c>
      <c r="AF13604">
        <v>1</v>
      </c>
      <c r="AG13604">
        <v>1</v>
      </c>
      <c r="AH13604">
        <v>1</v>
      </c>
      <c r="AI13604">
        <v>1</v>
      </c>
      <c r="AJ13604">
        <v>1</v>
      </c>
      <c r="AK13604">
        <v>1</v>
      </c>
      <c r="AL13604">
        <v>1</v>
      </c>
      <c r="AM13604">
        <v>1</v>
      </c>
    </row>
    <row r="13605" spans="1:39" x14ac:dyDescent="0.2">
      <c r="A13605" t="str">
        <f>"13601"</f>
        <v>13601</v>
      </c>
      <c r="B13605" t="str">
        <f t="shared" si="755"/>
        <v>1</v>
      </c>
      <c r="C13605" t="str">
        <f t="shared" ref="C13605:C13636" si="757">"273"</f>
        <v>273</v>
      </c>
      <c r="D13605" t="str">
        <f>"34"</f>
        <v>34</v>
      </c>
      <c r="E13605" t="str">
        <f>"1-273-34"</f>
        <v>1-273-34</v>
      </c>
      <c r="F13605" t="s">
        <v>65</v>
      </c>
      <c r="G13605" t="s">
        <v>66</v>
      </c>
      <c r="H13605" t="s">
        <v>67</v>
      </c>
      <c r="S13605">
        <v>0</v>
      </c>
      <c r="T13605">
        <v>1</v>
      </c>
      <c r="U13605">
        <v>0</v>
      </c>
      <c r="V13605">
        <v>0</v>
      </c>
      <c r="W13605">
        <v>1</v>
      </c>
      <c r="X13605">
        <v>0</v>
      </c>
      <c r="Y13605">
        <v>0</v>
      </c>
      <c r="Z13605">
        <v>1</v>
      </c>
      <c r="AA13605">
        <v>0</v>
      </c>
      <c r="AB13605">
        <v>1</v>
      </c>
      <c r="AC13605">
        <v>0</v>
      </c>
      <c r="AD13605">
        <v>1</v>
      </c>
      <c r="AE13605">
        <v>1</v>
      </c>
      <c r="AF13605">
        <v>1</v>
      </c>
      <c r="AG13605">
        <v>1</v>
      </c>
      <c r="AH13605">
        <v>1</v>
      </c>
      <c r="AI13605">
        <v>1</v>
      </c>
      <c r="AJ13605">
        <v>1</v>
      </c>
      <c r="AK13605">
        <v>1</v>
      </c>
      <c r="AL13605">
        <v>1</v>
      </c>
      <c r="AM13605">
        <v>1</v>
      </c>
    </row>
    <row r="13606" spans="1:39" x14ac:dyDescent="0.2">
      <c r="A13606" t="str">
        <f>"13602"</f>
        <v>13602</v>
      </c>
      <c r="B13606" t="str">
        <f t="shared" si="755"/>
        <v>1</v>
      </c>
      <c r="C13606" t="str">
        <f t="shared" si="757"/>
        <v>273</v>
      </c>
      <c r="D13606" t="str">
        <f>"33"</f>
        <v>33</v>
      </c>
      <c r="E13606" t="str">
        <f>"1-273-33"</f>
        <v>1-273-33</v>
      </c>
      <c r="F13606" t="s">
        <v>65</v>
      </c>
      <c r="G13606" t="s">
        <v>66</v>
      </c>
      <c r="H13606" t="s">
        <v>67</v>
      </c>
      <c r="S13606">
        <v>0</v>
      </c>
      <c r="T13606">
        <v>0</v>
      </c>
      <c r="U13606">
        <v>0</v>
      </c>
      <c r="V13606">
        <v>0</v>
      </c>
      <c r="W13606">
        <v>1</v>
      </c>
      <c r="X13606">
        <v>0</v>
      </c>
      <c r="Y13606">
        <v>1</v>
      </c>
      <c r="Z13606">
        <v>0</v>
      </c>
      <c r="AA13606">
        <v>0</v>
      </c>
      <c r="AB13606">
        <v>0</v>
      </c>
      <c r="AC13606">
        <v>0</v>
      </c>
      <c r="AD13606">
        <v>0</v>
      </c>
      <c r="AE13606">
        <v>0</v>
      </c>
      <c r="AF13606">
        <v>0</v>
      </c>
      <c r="AG13606">
        <v>0</v>
      </c>
      <c r="AH13606">
        <v>0</v>
      </c>
      <c r="AI13606">
        <v>0</v>
      </c>
      <c r="AJ13606">
        <v>0</v>
      </c>
      <c r="AK13606">
        <v>0</v>
      </c>
      <c r="AL13606">
        <v>0</v>
      </c>
      <c r="AM13606">
        <v>0</v>
      </c>
    </row>
    <row r="13607" spans="1:39" x14ac:dyDescent="0.2">
      <c r="A13607" t="str">
        <f>"13603"</f>
        <v>13603</v>
      </c>
      <c r="B13607" t="str">
        <f t="shared" si="755"/>
        <v>1</v>
      </c>
      <c r="C13607" t="str">
        <f t="shared" si="757"/>
        <v>273</v>
      </c>
      <c r="D13607" t="str">
        <f>"26"</f>
        <v>26</v>
      </c>
      <c r="E13607" t="str">
        <f>"1-273-26"</f>
        <v>1-273-26</v>
      </c>
      <c r="F13607" t="s">
        <v>65</v>
      </c>
      <c r="G13607" t="s">
        <v>66</v>
      </c>
      <c r="H13607" t="s">
        <v>67</v>
      </c>
      <c r="S13607">
        <v>1</v>
      </c>
      <c r="T13607">
        <v>0</v>
      </c>
      <c r="U13607">
        <v>0</v>
      </c>
      <c r="V13607">
        <v>0</v>
      </c>
      <c r="W13607">
        <v>1</v>
      </c>
      <c r="X13607">
        <v>0</v>
      </c>
      <c r="Y13607">
        <v>1</v>
      </c>
      <c r="Z13607">
        <v>0</v>
      </c>
      <c r="AA13607">
        <v>1</v>
      </c>
      <c r="AB13607">
        <v>0</v>
      </c>
      <c r="AC13607">
        <v>0</v>
      </c>
      <c r="AD13607">
        <v>0</v>
      </c>
      <c r="AE13607">
        <v>0</v>
      </c>
      <c r="AF13607">
        <v>0</v>
      </c>
      <c r="AG13607">
        <v>0</v>
      </c>
      <c r="AH13607">
        <v>0</v>
      </c>
      <c r="AI13607">
        <v>1</v>
      </c>
      <c r="AJ13607">
        <v>0</v>
      </c>
      <c r="AK13607">
        <v>0</v>
      </c>
      <c r="AL13607">
        <v>1</v>
      </c>
      <c r="AM13607">
        <v>0</v>
      </c>
    </row>
    <row r="13608" spans="1:39" x14ac:dyDescent="0.2">
      <c r="A13608" t="str">
        <f>"13604"</f>
        <v>13604</v>
      </c>
      <c r="B13608" t="str">
        <f t="shared" si="755"/>
        <v>1</v>
      </c>
      <c r="C13608" t="str">
        <f t="shared" si="757"/>
        <v>273</v>
      </c>
      <c r="D13608" t="str">
        <f>"15"</f>
        <v>15</v>
      </c>
      <c r="E13608" t="str">
        <f>"1-273-15"</f>
        <v>1-273-15</v>
      </c>
      <c r="F13608" t="s">
        <v>65</v>
      </c>
      <c r="G13608" t="s">
        <v>66</v>
      </c>
      <c r="H13608" t="s">
        <v>67</v>
      </c>
      <c r="S13608">
        <v>1</v>
      </c>
      <c r="T13608">
        <v>0</v>
      </c>
      <c r="U13608">
        <v>0</v>
      </c>
      <c r="V13608">
        <v>0</v>
      </c>
      <c r="W13608">
        <v>1</v>
      </c>
      <c r="X13608">
        <v>0</v>
      </c>
      <c r="Y13608">
        <v>1</v>
      </c>
      <c r="Z13608">
        <v>0</v>
      </c>
      <c r="AA13608">
        <v>0</v>
      </c>
      <c r="AB13608">
        <v>1</v>
      </c>
      <c r="AC13608">
        <v>0</v>
      </c>
      <c r="AD13608">
        <v>1</v>
      </c>
      <c r="AE13608">
        <v>0</v>
      </c>
      <c r="AF13608">
        <v>1</v>
      </c>
      <c r="AG13608">
        <v>1</v>
      </c>
      <c r="AH13608">
        <v>1</v>
      </c>
      <c r="AI13608">
        <v>1</v>
      </c>
      <c r="AJ13608">
        <v>1</v>
      </c>
      <c r="AK13608">
        <v>1</v>
      </c>
      <c r="AL13608">
        <v>1</v>
      </c>
      <c r="AM13608">
        <v>1</v>
      </c>
    </row>
    <row r="13609" spans="1:39" x14ac:dyDescent="0.2">
      <c r="A13609" t="str">
        <f>"13605"</f>
        <v>13605</v>
      </c>
      <c r="B13609" t="str">
        <f t="shared" si="755"/>
        <v>1</v>
      </c>
      <c r="C13609" t="str">
        <f t="shared" si="757"/>
        <v>273</v>
      </c>
      <c r="D13609" t="str">
        <f>"2"</f>
        <v>2</v>
      </c>
      <c r="E13609" t="str">
        <f>"1-273-2"</f>
        <v>1-273-2</v>
      </c>
      <c r="F13609" t="s">
        <v>65</v>
      </c>
      <c r="G13609" t="s">
        <v>66</v>
      </c>
      <c r="H13609" t="s">
        <v>67</v>
      </c>
      <c r="S13609">
        <v>1</v>
      </c>
      <c r="T13609">
        <v>0</v>
      </c>
      <c r="U13609">
        <v>0</v>
      </c>
      <c r="V13609">
        <v>0</v>
      </c>
      <c r="W13609">
        <v>1</v>
      </c>
      <c r="X13609">
        <v>0</v>
      </c>
      <c r="Y13609">
        <v>0</v>
      </c>
      <c r="Z13609">
        <v>1</v>
      </c>
      <c r="AA13609">
        <v>1</v>
      </c>
      <c r="AB13609">
        <v>0</v>
      </c>
      <c r="AC13609">
        <v>0</v>
      </c>
      <c r="AD13609">
        <v>1</v>
      </c>
      <c r="AE13609">
        <v>1</v>
      </c>
      <c r="AF13609">
        <v>1</v>
      </c>
      <c r="AG13609">
        <v>1</v>
      </c>
      <c r="AH13609">
        <v>1</v>
      </c>
      <c r="AI13609">
        <v>1</v>
      </c>
      <c r="AJ13609">
        <v>1</v>
      </c>
      <c r="AK13609">
        <v>1</v>
      </c>
      <c r="AL13609">
        <v>1</v>
      </c>
      <c r="AM13609">
        <v>1</v>
      </c>
    </row>
    <row r="13610" spans="1:39" x14ac:dyDescent="0.2">
      <c r="A13610" t="str">
        <f>"13606"</f>
        <v>13606</v>
      </c>
      <c r="B13610" t="str">
        <f t="shared" si="755"/>
        <v>1</v>
      </c>
      <c r="C13610" t="str">
        <f t="shared" si="757"/>
        <v>273</v>
      </c>
      <c r="D13610" t="str">
        <f>"35"</f>
        <v>35</v>
      </c>
      <c r="E13610" t="str">
        <f>"1-273-35"</f>
        <v>1-273-35</v>
      </c>
      <c r="F13610" t="s">
        <v>65</v>
      </c>
      <c r="G13610" t="s">
        <v>66</v>
      </c>
      <c r="H13610" t="s">
        <v>67</v>
      </c>
      <c r="S13610">
        <v>0</v>
      </c>
      <c r="T13610">
        <v>1</v>
      </c>
      <c r="U13610">
        <v>0</v>
      </c>
      <c r="V13610">
        <v>0</v>
      </c>
      <c r="W13610">
        <v>1</v>
      </c>
      <c r="X13610">
        <v>0</v>
      </c>
      <c r="Y13610">
        <v>1</v>
      </c>
      <c r="Z13610">
        <v>0</v>
      </c>
      <c r="AA13610">
        <v>0</v>
      </c>
      <c r="AB13610">
        <v>1</v>
      </c>
      <c r="AC13610">
        <v>0</v>
      </c>
      <c r="AD13610">
        <v>0</v>
      </c>
      <c r="AE13610">
        <v>0</v>
      </c>
      <c r="AF13610">
        <v>0</v>
      </c>
      <c r="AG13610">
        <v>0</v>
      </c>
      <c r="AH13610">
        <v>0</v>
      </c>
      <c r="AI13610">
        <v>0</v>
      </c>
      <c r="AJ13610">
        <v>0</v>
      </c>
      <c r="AK13610">
        <v>0</v>
      </c>
      <c r="AL13610">
        <v>0</v>
      </c>
      <c r="AM13610">
        <v>0</v>
      </c>
    </row>
    <row r="13611" spans="1:39" x14ac:dyDescent="0.2">
      <c r="A13611" t="str">
        <f>"13607"</f>
        <v>13607</v>
      </c>
      <c r="B13611" t="str">
        <f t="shared" si="755"/>
        <v>1</v>
      </c>
      <c r="C13611" t="str">
        <f t="shared" si="757"/>
        <v>273</v>
      </c>
      <c r="D13611" t="str">
        <f>"25"</f>
        <v>25</v>
      </c>
      <c r="E13611" t="str">
        <f>"1-273-25"</f>
        <v>1-273-25</v>
      </c>
      <c r="F13611" t="s">
        <v>65</v>
      </c>
      <c r="G13611" t="s">
        <v>66</v>
      </c>
      <c r="H13611" t="s">
        <v>67</v>
      </c>
      <c r="S13611">
        <v>0</v>
      </c>
      <c r="T13611">
        <v>1</v>
      </c>
      <c r="U13611">
        <v>0</v>
      </c>
      <c r="V13611">
        <v>0</v>
      </c>
      <c r="W13611">
        <v>1</v>
      </c>
      <c r="X13611">
        <v>0</v>
      </c>
      <c r="Y13611">
        <v>0</v>
      </c>
      <c r="Z13611">
        <v>1</v>
      </c>
      <c r="AA13611">
        <v>0</v>
      </c>
      <c r="AB13611">
        <v>0</v>
      </c>
      <c r="AC13611">
        <v>1</v>
      </c>
      <c r="AD13611">
        <v>1</v>
      </c>
      <c r="AE13611">
        <v>1</v>
      </c>
      <c r="AF13611">
        <v>1</v>
      </c>
      <c r="AG13611">
        <v>1</v>
      </c>
      <c r="AH13611">
        <v>1</v>
      </c>
      <c r="AI13611">
        <v>1</v>
      </c>
      <c r="AJ13611">
        <v>1</v>
      </c>
      <c r="AK13611">
        <v>1</v>
      </c>
      <c r="AL13611">
        <v>1</v>
      </c>
      <c r="AM13611">
        <v>1</v>
      </c>
    </row>
    <row r="13612" spans="1:39" x14ac:dyDescent="0.2">
      <c r="A13612" t="str">
        <f>"13608"</f>
        <v>13608</v>
      </c>
      <c r="B13612" t="str">
        <f t="shared" si="755"/>
        <v>1</v>
      </c>
      <c r="C13612" t="str">
        <f t="shared" si="757"/>
        <v>273</v>
      </c>
      <c r="D13612" t="str">
        <f>"16"</f>
        <v>16</v>
      </c>
      <c r="E13612" t="str">
        <f>"1-273-16"</f>
        <v>1-273-16</v>
      </c>
      <c r="F13612" t="s">
        <v>65</v>
      </c>
      <c r="G13612" t="s">
        <v>66</v>
      </c>
      <c r="H13612" t="s">
        <v>67</v>
      </c>
      <c r="S13612">
        <v>1</v>
      </c>
      <c r="T13612">
        <v>0</v>
      </c>
      <c r="U13612">
        <v>0</v>
      </c>
      <c r="V13612">
        <v>0</v>
      </c>
      <c r="W13612">
        <v>1</v>
      </c>
      <c r="X13612">
        <v>0</v>
      </c>
      <c r="Y13612">
        <v>1</v>
      </c>
      <c r="Z13612">
        <v>0</v>
      </c>
      <c r="AA13612">
        <v>1</v>
      </c>
      <c r="AB13612">
        <v>0</v>
      </c>
      <c r="AC13612">
        <v>0</v>
      </c>
      <c r="AD13612">
        <v>1</v>
      </c>
      <c r="AE13612">
        <v>1</v>
      </c>
      <c r="AF13612">
        <v>1</v>
      </c>
      <c r="AG13612">
        <v>1</v>
      </c>
      <c r="AH13612">
        <v>1</v>
      </c>
      <c r="AI13612">
        <v>1</v>
      </c>
      <c r="AJ13612">
        <v>1</v>
      </c>
      <c r="AK13612">
        <v>1</v>
      </c>
      <c r="AL13612">
        <v>1</v>
      </c>
      <c r="AM13612">
        <v>1</v>
      </c>
    </row>
    <row r="13613" spans="1:39" x14ac:dyDescent="0.2">
      <c r="A13613" t="str">
        <f>"13609"</f>
        <v>13609</v>
      </c>
      <c r="B13613" t="str">
        <f t="shared" si="755"/>
        <v>1</v>
      </c>
      <c r="C13613" t="str">
        <f t="shared" si="757"/>
        <v>273</v>
      </c>
      <c r="D13613" t="str">
        <f>"9"</f>
        <v>9</v>
      </c>
      <c r="E13613" t="str">
        <f>"1-273-9"</f>
        <v>1-273-9</v>
      </c>
      <c r="F13613" t="s">
        <v>65</v>
      </c>
      <c r="G13613" t="s">
        <v>66</v>
      </c>
      <c r="H13613" t="s">
        <v>67</v>
      </c>
      <c r="S13613">
        <v>1</v>
      </c>
      <c r="T13613">
        <v>0</v>
      </c>
      <c r="U13613">
        <v>0</v>
      </c>
      <c r="V13613">
        <v>0</v>
      </c>
      <c r="W13613">
        <v>1</v>
      </c>
      <c r="X13613">
        <v>0</v>
      </c>
      <c r="Y13613">
        <v>1</v>
      </c>
      <c r="Z13613">
        <v>0</v>
      </c>
      <c r="AA13613">
        <v>0</v>
      </c>
      <c r="AB13613">
        <v>0</v>
      </c>
      <c r="AC13613">
        <v>1</v>
      </c>
      <c r="AD13613">
        <v>1</v>
      </c>
      <c r="AE13613">
        <v>1</v>
      </c>
      <c r="AF13613">
        <v>1</v>
      </c>
      <c r="AG13613">
        <v>1</v>
      </c>
      <c r="AH13613">
        <v>1</v>
      </c>
      <c r="AI13613">
        <v>1</v>
      </c>
      <c r="AJ13613">
        <v>1</v>
      </c>
      <c r="AK13613">
        <v>1</v>
      </c>
      <c r="AL13613">
        <v>1</v>
      </c>
      <c r="AM13613">
        <v>1</v>
      </c>
    </row>
    <row r="13614" spans="1:39" x14ac:dyDescent="0.2">
      <c r="A13614" t="str">
        <f>"13610"</f>
        <v>13610</v>
      </c>
      <c r="B13614" t="str">
        <f t="shared" si="755"/>
        <v>1</v>
      </c>
      <c r="C13614" t="str">
        <f t="shared" si="757"/>
        <v>273</v>
      </c>
      <c r="D13614" t="str">
        <f>"46"</f>
        <v>46</v>
      </c>
      <c r="E13614" t="str">
        <f>"1-273-46"</f>
        <v>1-273-46</v>
      </c>
      <c r="F13614" t="s">
        <v>65</v>
      </c>
      <c r="G13614" t="s">
        <v>66</v>
      </c>
      <c r="H13614" t="s">
        <v>67</v>
      </c>
      <c r="S13614">
        <v>1</v>
      </c>
      <c r="T13614">
        <v>0</v>
      </c>
      <c r="U13614">
        <v>0</v>
      </c>
      <c r="V13614">
        <v>0</v>
      </c>
      <c r="W13614">
        <v>1</v>
      </c>
      <c r="X13614">
        <v>0</v>
      </c>
      <c r="Y13614">
        <v>1</v>
      </c>
      <c r="Z13614">
        <v>0</v>
      </c>
      <c r="AA13614">
        <v>1</v>
      </c>
      <c r="AB13614">
        <v>0</v>
      </c>
      <c r="AC13614">
        <v>0</v>
      </c>
      <c r="AD13614">
        <v>0</v>
      </c>
      <c r="AE13614">
        <v>0</v>
      </c>
      <c r="AF13614">
        <v>0</v>
      </c>
      <c r="AG13614">
        <v>0</v>
      </c>
      <c r="AH13614">
        <v>1</v>
      </c>
      <c r="AI13614">
        <v>1</v>
      </c>
      <c r="AJ13614">
        <v>0</v>
      </c>
      <c r="AK13614">
        <v>0</v>
      </c>
      <c r="AL13614">
        <v>0</v>
      </c>
      <c r="AM13614">
        <v>0</v>
      </c>
    </row>
    <row r="13615" spans="1:39" x14ac:dyDescent="0.2">
      <c r="A13615" t="str">
        <f>"13611"</f>
        <v>13611</v>
      </c>
      <c r="B13615" t="str">
        <f t="shared" si="755"/>
        <v>1</v>
      </c>
      <c r="C13615" t="str">
        <f t="shared" si="757"/>
        <v>273</v>
      </c>
      <c r="D13615" t="str">
        <f>"45"</f>
        <v>45</v>
      </c>
      <c r="E13615" t="str">
        <f>"1-273-45"</f>
        <v>1-273-45</v>
      </c>
      <c r="F13615" t="s">
        <v>65</v>
      </c>
      <c r="G13615" t="s">
        <v>66</v>
      </c>
      <c r="H13615" t="s">
        <v>67</v>
      </c>
      <c r="S13615">
        <v>1</v>
      </c>
      <c r="T13615">
        <v>0</v>
      </c>
      <c r="U13615">
        <v>0</v>
      </c>
      <c r="V13615">
        <v>0</v>
      </c>
      <c r="W13615">
        <v>1</v>
      </c>
      <c r="X13615">
        <v>0</v>
      </c>
      <c r="Y13615">
        <v>0</v>
      </c>
      <c r="Z13615">
        <v>1</v>
      </c>
      <c r="AA13615">
        <v>1</v>
      </c>
      <c r="AB13615">
        <v>0</v>
      </c>
      <c r="AC13615">
        <v>0</v>
      </c>
      <c r="AD13615">
        <v>1</v>
      </c>
      <c r="AE13615">
        <v>1</v>
      </c>
      <c r="AF13615">
        <v>1</v>
      </c>
      <c r="AG13615">
        <v>1</v>
      </c>
      <c r="AH13615">
        <v>1</v>
      </c>
      <c r="AI13615">
        <v>1</v>
      </c>
      <c r="AJ13615">
        <v>1</v>
      </c>
      <c r="AK13615">
        <v>1</v>
      </c>
      <c r="AL13615">
        <v>1</v>
      </c>
      <c r="AM13615">
        <v>1</v>
      </c>
    </row>
    <row r="13616" spans="1:39" x14ac:dyDescent="0.2">
      <c r="A13616" t="str">
        <f>"13612"</f>
        <v>13612</v>
      </c>
      <c r="B13616" t="str">
        <f t="shared" si="755"/>
        <v>1</v>
      </c>
      <c r="C13616" t="str">
        <f t="shared" si="757"/>
        <v>273</v>
      </c>
      <c r="D13616" t="str">
        <f>"32"</f>
        <v>32</v>
      </c>
      <c r="E13616" t="str">
        <f>"1-273-32"</f>
        <v>1-273-32</v>
      </c>
      <c r="F13616" t="s">
        <v>65</v>
      </c>
      <c r="G13616" t="s">
        <v>66</v>
      </c>
      <c r="H13616" t="s">
        <v>67</v>
      </c>
      <c r="S13616">
        <v>1</v>
      </c>
      <c r="T13616">
        <v>0</v>
      </c>
      <c r="U13616">
        <v>0</v>
      </c>
      <c r="V13616">
        <v>0</v>
      </c>
      <c r="W13616">
        <v>1</v>
      </c>
      <c r="X13616">
        <v>0</v>
      </c>
      <c r="Y13616">
        <v>0</v>
      </c>
      <c r="Z13616">
        <v>1</v>
      </c>
      <c r="AA13616">
        <v>0</v>
      </c>
      <c r="AB13616">
        <v>0</v>
      </c>
      <c r="AC13616">
        <v>1</v>
      </c>
      <c r="AD13616">
        <v>0</v>
      </c>
      <c r="AE13616">
        <v>0</v>
      </c>
      <c r="AF13616">
        <v>0</v>
      </c>
      <c r="AG13616">
        <v>0</v>
      </c>
      <c r="AH13616">
        <v>1</v>
      </c>
      <c r="AI13616">
        <v>0</v>
      </c>
      <c r="AJ13616">
        <v>0</v>
      </c>
      <c r="AK13616">
        <v>0</v>
      </c>
      <c r="AL13616">
        <v>1</v>
      </c>
      <c r="AM13616">
        <v>0</v>
      </c>
    </row>
    <row r="13617" spans="1:39" x14ac:dyDescent="0.2">
      <c r="A13617" t="str">
        <f>"13613"</f>
        <v>13613</v>
      </c>
      <c r="B13617" t="str">
        <f t="shared" si="755"/>
        <v>1</v>
      </c>
      <c r="C13617" t="str">
        <f t="shared" si="757"/>
        <v>273</v>
      </c>
      <c r="D13617" t="str">
        <f>"17"</f>
        <v>17</v>
      </c>
      <c r="E13617" t="str">
        <f>"1-273-17"</f>
        <v>1-273-17</v>
      </c>
      <c r="F13617" t="s">
        <v>65</v>
      </c>
      <c r="G13617" t="s">
        <v>66</v>
      </c>
      <c r="H13617" t="s">
        <v>67</v>
      </c>
      <c r="S13617">
        <v>1</v>
      </c>
      <c r="T13617">
        <v>0</v>
      </c>
      <c r="U13617">
        <v>0</v>
      </c>
      <c r="V13617">
        <v>0</v>
      </c>
      <c r="W13617">
        <v>1</v>
      </c>
      <c r="X13617">
        <v>0</v>
      </c>
      <c r="Y13617">
        <v>1</v>
      </c>
      <c r="Z13617">
        <v>0</v>
      </c>
      <c r="AA13617">
        <v>1</v>
      </c>
      <c r="AB13617">
        <v>0</v>
      </c>
      <c r="AC13617">
        <v>0</v>
      </c>
      <c r="AD13617">
        <v>1</v>
      </c>
      <c r="AE13617">
        <v>1</v>
      </c>
      <c r="AF13617">
        <v>1</v>
      </c>
      <c r="AG13617">
        <v>1</v>
      </c>
      <c r="AH13617">
        <v>1</v>
      </c>
      <c r="AI13617">
        <v>1</v>
      </c>
      <c r="AJ13617">
        <v>1</v>
      </c>
      <c r="AK13617">
        <v>1</v>
      </c>
      <c r="AL13617">
        <v>1</v>
      </c>
      <c r="AM13617">
        <v>1</v>
      </c>
    </row>
    <row r="13618" spans="1:39" x14ac:dyDescent="0.2">
      <c r="A13618" t="str">
        <f>"13614"</f>
        <v>13614</v>
      </c>
      <c r="B13618" t="str">
        <f t="shared" si="755"/>
        <v>1</v>
      </c>
      <c r="C13618" t="str">
        <f t="shared" si="757"/>
        <v>273</v>
      </c>
      <c r="D13618" t="str">
        <f>"44"</f>
        <v>44</v>
      </c>
      <c r="E13618" t="str">
        <f>"1-273-44"</f>
        <v>1-273-44</v>
      </c>
      <c r="F13618" t="s">
        <v>65</v>
      </c>
      <c r="G13618" t="s">
        <v>66</v>
      </c>
      <c r="H13618" t="s">
        <v>67</v>
      </c>
      <c r="S13618">
        <v>1</v>
      </c>
      <c r="T13618">
        <v>0</v>
      </c>
      <c r="U13618">
        <v>0</v>
      </c>
      <c r="V13618">
        <v>0</v>
      </c>
      <c r="W13618">
        <v>1</v>
      </c>
      <c r="X13618">
        <v>0</v>
      </c>
      <c r="Y13618">
        <v>1</v>
      </c>
      <c r="Z13618">
        <v>0</v>
      </c>
      <c r="AA13618">
        <v>0</v>
      </c>
      <c r="AB13618">
        <v>0</v>
      </c>
      <c r="AC13618">
        <v>1</v>
      </c>
      <c r="AD13618">
        <v>1</v>
      </c>
      <c r="AE13618">
        <v>1</v>
      </c>
      <c r="AF13618">
        <v>1</v>
      </c>
      <c r="AG13618">
        <v>1</v>
      </c>
      <c r="AH13618">
        <v>1</v>
      </c>
      <c r="AI13618">
        <v>1</v>
      </c>
      <c r="AJ13618">
        <v>1</v>
      </c>
      <c r="AK13618">
        <v>1</v>
      </c>
      <c r="AL13618">
        <v>1</v>
      </c>
      <c r="AM13618">
        <v>1</v>
      </c>
    </row>
    <row r="13619" spans="1:39" x14ac:dyDescent="0.2">
      <c r="A13619" t="str">
        <f>"13615"</f>
        <v>13615</v>
      </c>
      <c r="B13619" t="str">
        <f t="shared" si="755"/>
        <v>1</v>
      </c>
      <c r="C13619" t="str">
        <f t="shared" si="757"/>
        <v>273</v>
      </c>
      <c r="D13619" t="str">
        <f>"43"</f>
        <v>43</v>
      </c>
      <c r="E13619" t="str">
        <f>"1-273-43"</f>
        <v>1-273-43</v>
      </c>
      <c r="F13619" t="s">
        <v>65</v>
      </c>
      <c r="G13619" t="s">
        <v>66</v>
      </c>
      <c r="H13619" t="s">
        <v>67</v>
      </c>
      <c r="S13619">
        <v>0</v>
      </c>
      <c r="T13619">
        <v>1</v>
      </c>
      <c r="U13619">
        <v>0</v>
      </c>
      <c r="V13619">
        <v>0</v>
      </c>
      <c r="W13619">
        <v>0</v>
      </c>
      <c r="X13619">
        <v>1</v>
      </c>
      <c r="Y13619">
        <v>1</v>
      </c>
      <c r="Z13619">
        <v>0</v>
      </c>
      <c r="AA13619">
        <v>0</v>
      </c>
      <c r="AB13619">
        <v>0</v>
      </c>
      <c r="AC13619">
        <v>1</v>
      </c>
      <c r="AD13619">
        <v>0</v>
      </c>
      <c r="AE13619">
        <v>0</v>
      </c>
      <c r="AF13619">
        <v>0</v>
      </c>
      <c r="AG13619">
        <v>1</v>
      </c>
      <c r="AH13619">
        <v>0</v>
      </c>
      <c r="AI13619">
        <v>0</v>
      </c>
      <c r="AJ13619">
        <v>0</v>
      </c>
      <c r="AK13619">
        <v>0</v>
      </c>
      <c r="AL13619">
        <v>0</v>
      </c>
      <c r="AM13619">
        <v>0</v>
      </c>
    </row>
    <row r="13620" spans="1:39" x14ac:dyDescent="0.2">
      <c r="A13620" t="str">
        <f>"13616"</f>
        <v>13616</v>
      </c>
      <c r="B13620" t="str">
        <f t="shared" si="755"/>
        <v>1</v>
      </c>
      <c r="C13620" t="str">
        <f t="shared" si="757"/>
        <v>273</v>
      </c>
      <c r="D13620" t="str">
        <f>"31"</f>
        <v>31</v>
      </c>
      <c r="E13620" t="str">
        <f>"1-273-31"</f>
        <v>1-273-31</v>
      </c>
      <c r="F13620" t="s">
        <v>65</v>
      </c>
      <c r="G13620" t="s">
        <v>66</v>
      </c>
      <c r="H13620" t="s">
        <v>67</v>
      </c>
      <c r="S13620">
        <v>1</v>
      </c>
      <c r="T13620">
        <v>0</v>
      </c>
      <c r="U13620">
        <v>0</v>
      </c>
      <c r="V13620">
        <v>0</v>
      </c>
      <c r="W13620">
        <v>0</v>
      </c>
      <c r="X13620">
        <v>1</v>
      </c>
      <c r="Y13620">
        <v>0</v>
      </c>
      <c r="Z13620">
        <v>1</v>
      </c>
      <c r="AA13620">
        <v>1</v>
      </c>
      <c r="AB13620">
        <v>0</v>
      </c>
      <c r="AC13620">
        <v>0</v>
      </c>
      <c r="AD13620">
        <v>1</v>
      </c>
      <c r="AE13620">
        <v>1</v>
      </c>
      <c r="AF13620">
        <v>1</v>
      </c>
      <c r="AG13620">
        <v>0</v>
      </c>
      <c r="AH13620">
        <v>0</v>
      </c>
      <c r="AI13620">
        <v>0</v>
      </c>
      <c r="AJ13620">
        <v>0</v>
      </c>
      <c r="AK13620">
        <v>0</v>
      </c>
      <c r="AL13620">
        <v>0</v>
      </c>
      <c r="AM13620">
        <v>0</v>
      </c>
    </row>
    <row r="13621" spans="1:39" x14ac:dyDescent="0.2">
      <c r="A13621" t="str">
        <f>"13617"</f>
        <v>13617</v>
      </c>
      <c r="B13621" t="str">
        <f t="shared" si="755"/>
        <v>1</v>
      </c>
      <c r="C13621" t="str">
        <f t="shared" si="757"/>
        <v>273</v>
      </c>
      <c r="D13621" t="str">
        <f>"18"</f>
        <v>18</v>
      </c>
      <c r="E13621" t="str">
        <f>"1-273-18"</f>
        <v>1-273-18</v>
      </c>
      <c r="F13621" t="s">
        <v>65</v>
      </c>
      <c r="G13621" t="s">
        <v>66</v>
      </c>
      <c r="H13621" t="s">
        <v>67</v>
      </c>
      <c r="S13621">
        <v>1</v>
      </c>
      <c r="T13621">
        <v>0</v>
      </c>
      <c r="U13621">
        <v>0</v>
      </c>
      <c r="V13621">
        <v>0</v>
      </c>
      <c r="W13621">
        <v>1</v>
      </c>
      <c r="X13621">
        <v>0</v>
      </c>
      <c r="Y13621">
        <v>0</v>
      </c>
      <c r="Z13621">
        <v>1</v>
      </c>
      <c r="AA13621">
        <v>0</v>
      </c>
      <c r="AB13621">
        <v>1</v>
      </c>
      <c r="AC13621">
        <v>0</v>
      </c>
      <c r="AD13621">
        <v>1</v>
      </c>
      <c r="AE13621">
        <v>1</v>
      </c>
      <c r="AF13621">
        <v>1</v>
      </c>
      <c r="AG13621">
        <v>1</v>
      </c>
      <c r="AH13621">
        <v>1</v>
      </c>
      <c r="AI13621">
        <v>1</v>
      </c>
      <c r="AJ13621">
        <v>1</v>
      </c>
      <c r="AK13621">
        <v>1</v>
      </c>
      <c r="AL13621">
        <v>1</v>
      </c>
      <c r="AM13621">
        <v>1</v>
      </c>
    </row>
    <row r="13622" spans="1:39" x14ac:dyDescent="0.2">
      <c r="A13622" t="str">
        <f>"13618"</f>
        <v>13618</v>
      </c>
      <c r="B13622" t="str">
        <f t="shared" si="755"/>
        <v>1</v>
      </c>
      <c r="C13622" t="str">
        <f t="shared" si="757"/>
        <v>273</v>
      </c>
      <c r="D13622" t="str">
        <f>"5"</f>
        <v>5</v>
      </c>
      <c r="E13622" t="str">
        <f>"1-273-5"</f>
        <v>1-273-5</v>
      </c>
      <c r="F13622" t="s">
        <v>65</v>
      </c>
      <c r="G13622" t="s">
        <v>66</v>
      </c>
      <c r="H13622" t="s">
        <v>67</v>
      </c>
      <c r="S13622">
        <v>1</v>
      </c>
      <c r="T13622">
        <v>0</v>
      </c>
      <c r="U13622">
        <v>0</v>
      </c>
      <c r="V13622">
        <v>0</v>
      </c>
      <c r="W13622">
        <v>1</v>
      </c>
      <c r="X13622">
        <v>0</v>
      </c>
      <c r="Y13622">
        <v>1</v>
      </c>
      <c r="Z13622">
        <v>0</v>
      </c>
      <c r="AA13622">
        <v>0</v>
      </c>
      <c r="AB13622">
        <v>0</v>
      </c>
      <c r="AC13622">
        <v>1</v>
      </c>
      <c r="AD13622">
        <v>1</v>
      </c>
      <c r="AE13622">
        <v>1</v>
      </c>
      <c r="AF13622">
        <v>1</v>
      </c>
      <c r="AG13622">
        <v>1</v>
      </c>
      <c r="AH13622">
        <v>1</v>
      </c>
      <c r="AI13622">
        <v>1</v>
      </c>
      <c r="AJ13622">
        <v>1</v>
      </c>
      <c r="AK13622">
        <v>1</v>
      </c>
      <c r="AL13622">
        <v>1</v>
      </c>
      <c r="AM13622">
        <v>1</v>
      </c>
    </row>
    <row r="13623" spans="1:39" x14ac:dyDescent="0.2">
      <c r="A13623" t="str">
        <f>"13619"</f>
        <v>13619</v>
      </c>
      <c r="B13623" t="str">
        <f t="shared" ref="B13623:B13686" si="758">"1"</f>
        <v>1</v>
      </c>
      <c r="C13623" t="str">
        <f t="shared" si="757"/>
        <v>273</v>
      </c>
      <c r="D13623" t="str">
        <f>"49"</f>
        <v>49</v>
      </c>
      <c r="E13623" t="str">
        <f>"1-273-49"</f>
        <v>1-273-49</v>
      </c>
      <c r="F13623" t="s">
        <v>65</v>
      </c>
      <c r="G13623" t="s">
        <v>66</v>
      </c>
      <c r="H13623" t="s">
        <v>67</v>
      </c>
      <c r="S13623">
        <v>1</v>
      </c>
      <c r="T13623">
        <v>0</v>
      </c>
      <c r="U13623">
        <v>0</v>
      </c>
      <c r="V13623">
        <v>0</v>
      </c>
      <c r="W13623">
        <v>0</v>
      </c>
      <c r="X13623">
        <v>1</v>
      </c>
      <c r="Y13623">
        <v>1</v>
      </c>
      <c r="Z13623">
        <v>0</v>
      </c>
      <c r="AA13623">
        <v>1</v>
      </c>
      <c r="AB13623">
        <v>0</v>
      </c>
      <c r="AC13623">
        <v>0</v>
      </c>
      <c r="AD13623">
        <v>1</v>
      </c>
      <c r="AE13623">
        <v>1</v>
      </c>
      <c r="AF13623">
        <v>1</v>
      </c>
      <c r="AG13623">
        <v>1</v>
      </c>
      <c r="AH13623">
        <v>1</v>
      </c>
      <c r="AI13623">
        <v>1</v>
      </c>
      <c r="AJ13623">
        <v>1</v>
      </c>
      <c r="AK13623">
        <v>1</v>
      </c>
      <c r="AL13623">
        <v>1</v>
      </c>
      <c r="AM13623">
        <v>1</v>
      </c>
    </row>
    <row r="13624" spans="1:39" x14ac:dyDescent="0.2">
      <c r="A13624" t="str">
        <f>"13620"</f>
        <v>13620</v>
      </c>
      <c r="B13624" t="str">
        <f t="shared" si="758"/>
        <v>1</v>
      </c>
      <c r="C13624" t="str">
        <f t="shared" si="757"/>
        <v>273</v>
      </c>
      <c r="D13624" t="str">
        <f>"48"</f>
        <v>48</v>
      </c>
      <c r="E13624" t="str">
        <f>"1-273-48"</f>
        <v>1-273-48</v>
      </c>
      <c r="F13624" t="s">
        <v>65</v>
      </c>
      <c r="G13624" t="s">
        <v>66</v>
      </c>
      <c r="H13624" t="s">
        <v>67</v>
      </c>
      <c r="S13624">
        <v>1</v>
      </c>
      <c r="T13624">
        <v>0</v>
      </c>
      <c r="U13624">
        <v>0</v>
      </c>
      <c r="V13624">
        <v>0</v>
      </c>
      <c r="W13624">
        <v>1</v>
      </c>
      <c r="X13624">
        <v>0</v>
      </c>
      <c r="Y13624">
        <v>1</v>
      </c>
      <c r="Z13624">
        <v>0</v>
      </c>
      <c r="AA13624">
        <v>1</v>
      </c>
      <c r="AB13624">
        <v>0</v>
      </c>
      <c r="AC13624">
        <v>0</v>
      </c>
      <c r="AD13624">
        <v>0</v>
      </c>
      <c r="AE13624">
        <v>1</v>
      </c>
      <c r="AF13624">
        <v>1</v>
      </c>
      <c r="AG13624">
        <v>1</v>
      </c>
      <c r="AH13624">
        <v>1</v>
      </c>
      <c r="AI13624">
        <v>1</v>
      </c>
      <c r="AJ13624">
        <v>1</v>
      </c>
      <c r="AK13624">
        <v>1</v>
      </c>
      <c r="AL13624">
        <v>1</v>
      </c>
      <c r="AM13624">
        <v>0</v>
      </c>
    </row>
    <row r="13625" spans="1:39" x14ac:dyDescent="0.2">
      <c r="A13625" t="str">
        <f>"13621"</f>
        <v>13621</v>
      </c>
      <c r="B13625" t="str">
        <f t="shared" si="758"/>
        <v>1</v>
      </c>
      <c r="C13625" t="str">
        <f t="shared" si="757"/>
        <v>273</v>
      </c>
      <c r="D13625" t="str">
        <f>"37"</f>
        <v>37</v>
      </c>
      <c r="E13625" t="str">
        <f>"1-273-37"</f>
        <v>1-273-37</v>
      </c>
      <c r="F13625" t="s">
        <v>65</v>
      </c>
      <c r="G13625" t="s">
        <v>66</v>
      </c>
      <c r="H13625" t="s">
        <v>67</v>
      </c>
      <c r="S13625">
        <v>1</v>
      </c>
      <c r="T13625">
        <v>0</v>
      </c>
      <c r="U13625">
        <v>0</v>
      </c>
      <c r="V13625">
        <v>0</v>
      </c>
      <c r="W13625">
        <v>1</v>
      </c>
      <c r="X13625">
        <v>0</v>
      </c>
      <c r="Y13625">
        <v>1</v>
      </c>
      <c r="Z13625">
        <v>0</v>
      </c>
      <c r="AA13625">
        <v>1</v>
      </c>
      <c r="AB13625">
        <v>0</v>
      </c>
      <c r="AC13625">
        <v>0</v>
      </c>
      <c r="AD13625">
        <v>1</v>
      </c>
      <c r="AE13625">
        <v>1</v>
      </c>
      <c r="AF13625">
        <v>1</v>
      </c>
      <c r="AG13625">
        <v>1</v>
      </c>
      <c r="AH13625">
        <v>1</v>
      </c>
      <c r="AI13625">
        <v>1</v>
      </c>
      <c r="AJ13625">
        <v>1</v>
      </c>
      <c r="AK13625">
        <v>1</v>
      </c>
      <c r="AL13625">
        <v>1</v>
      </c>
      <c r="AM13625">
        <v>1</v>
      </c>
    </row>
    <row r="13626" spans="1:39" x14ac:dyDescent="0.2">
      <c r="A13626" t="str">
        <f>"13622"</f>
        <v>13622</v>
      </c>
      <c r="B13626" t="str">
        <f t="shared" si="758"/>
        <v>1</v>
      </c>
      <c r="C13626" t="str">
        <f t="shared" si="757"/>
        <v>273</v>
      </c>
      <c r="D13626" t="str">
        <f>"19"</f>
        <v>19</v>
      </c>
      <c r="E13626" t="str">
        <f>"1-273-19"</f>
        <v>1-273-19</v>
      </c>
      <c r="F13626" t="s">
        <v>65</v>
      </c>
      <c r="G13626" t="s">
        <v>66</v>
      </c>
      <c r="H13626" t="s">
        <v>67</v>
      </c>
      <c r="S13626">
        <v>1</v>
      </c>
      <c r="T13626">
        <v>0</v>
      </c>
      <c r="U13626">
        <v>0</v>
      </c>
      <c r="V13626">
        <v>0</v>
      </c>
      <c r="W13626">
        <v>1</v>
      </c>
      <c r="X13626">
        <v>0</v>
      </c>
      <c r="Y13626">
        <v>1</v>
      </c>
      <c r="Z13626">
        <v>0</v>
      </c>
      <c r="AA13626">
        <v>1</v>
      </c>
      <c r="AB13626">
        <v>0</v>
      </c>
      <c r="AC13626">
        <v>0</v>
      </c>
      <c r="AD13626">
        <v>1</v>
      </c>
      <c r="AE13626">
        <v>1</v>
      </c>
      <c r="AF13626">
        <v>1</v>
      </c>
      <c r="AG13626">
        <v>1</v>
      </c>
      <c r="AH13626">
        <v>1</v>
      </c>
      <c r="AI13626">
        <v>1</v>
      </c>
      <c r="AJ13626">
        <v>1</v>
      </c>
      <c r="AK13626">
        <v>1</v>
      </c>
      <c r="AL13626">
        <v>1</v>
      </c>
      <c r="AM13626">
        <v>1</v>
      </c>
    </row>
    <row r="13627" spans="1:39" x14ac:dyDescent="0.2">
      <c r="A13627" t="str">
        <f>"13623"</f>
        <v>13623</v>
      </c>
      <c r="B13627" t="str">
        <f t="shared" si="758"/>
        <v>1</v>
      </c>
      <c r="C13627" t="str">
        <f t="shared" si="757"/>
        <v>273</v>
      </c>
      <c r="D13627" t="str">
        <f>"10"</f>
        <v>10</v>
      </c>
      <c r="E13627" t="str">
        <f>"1-273-10"</f>
        <v>1-273-10</v>
      </c>
      <c r="F13627" t="s">
        <v>65</v>
      </c>
      <c r="G13627" t="s">
        <v>66</v>
      </c>
      <c r="H13627" t="s">
        <v>67</v>
      </c>
      <c r="S13627">
        <v>0</v>
      </c>
      <c r="T13627">
        <v>1</v>
      </c>
      <c r="U13627">
        <v>0</v>
      </c>
      <c r="V13627">
        <v>0</v>
      </c>
      <c r="W13627">
        <v>1</v>
      </c>
      <c r="X13627">
        <v>0</v>
      </c>
      <c r="Y13627">
        <v>1</v>
      </c>
      <c r="Z13627">
        <v>0</v>
      </c>
      <c r="AA13627">
        <v>0</v>
      </c>
      <c r="AB13627">
        <v>0</v>
      </c>
      <c r="AC13627">
        <v>0</v>
      </c>
      <c r="AD13627">
        <v>0</v>
      </c>
      <c r="AE13627">
        <v>0</v>
      </c>
      <c r="AF13627">
        <v>0</v>
      </c>
      <c r="AG13627">
        <v>0</v>
      </c>
      <c r="AH13627">
        <v>0</v>
      </c>
      <c r="AI13627">
        <v>0</v>
      </c>
      <c r="AJ13627">
        <v>0</v>
      </c>
      <c r="AK13627">
        <v>0</v>
      </c>
      <c r="AL13627">
        <v>0</v>
      </c>
      <c r="AM13627">
        <v>0</v>
      </c>
    </row>
    <row r="13628" spans="1:39" x14ac:dyDescent="0.2">
      <c r="A13628" t="str">
        <f>"13624"</f>
        <v>13624</v>
      </c>
      <c r="B13628" t="str">
        <f t="shared" si="758"/>
        <v>1</v>
      </c>
      <c r="C13628" t="str">
        <f t="shared" si="757"/>
        <v>273</v>
      </c>
      <c r="D13628" t="str">
        <f>"50"</f>
        <v>50</v>
      </c>
      <c r="E13628" t="str">
        <f>"1-273-50"</f>
        <v>1-273-50</v>
      </c>
      <c r="F13628" t="s">
        <v>65</v>
      </c>
      <c r="G13628" t="s">
        <v>66</v>
      </c>
      <c r="H13628" t="s">
        <v>67</v>
      </c>
      <c r="S13628">
        <v>1</v>
      </c>
      <c r="T13628">
        <v>0</v>
      </c>
      <c r="U13628">
        <v>0</v>
      </c>
      <c r="V13628">
        <v>0</v>
      </c>
      <c r="W13628">
        <v>1</v>
      </c>
      <c r="X13628">
        <v>0</v>
      </c>
      <c r="Y13628">
        <v>0</v>
      </c>
      <c r="Z13628">
        <v>1</v>
      </c>
      <c r="AA13628">
        <v>0</v>
      </c>
      <c r="AB13628">
        <v>1</v>
      </c>
      <c r="AC13628">
        <v>0</v>
      </c>
      <c r="AD13628">
        <v>1</v>
      </c>
      <c r="AE13628">
        <v>1</v>
      </c>
      <c r="AF13628">
        <v>1</v>
      </c>
      <c r="AG13628">
        <v>1</v>
      </c>
      <c r="AH13628">
        <v>1</v>
      </c>
      <c r="AI13628">
        <v>1</v>
      </c>
      <c r="AJ13628">
        <v>0</v>
      </c>
      <c r="AK13628">
        <v>0</v>
      </c>
      <c r="AL13628">
        <v>0</v>
      </c>
      <c r="AM13628">
        <v>0</v>
      </c>
    </row>
    <row r="13629" spans="1:39" x14ac:dyDescent="0.2">
      <c r="A13629" t="str">
        <f>"13625"</f>
        <v>13625</v>
      </c>
      <c r="B13629" t="str">
        <f t="shared" si="758"/>
        <v>1</v>
      </c>
      <c r="C13629" t="str">
        <f t="shared" si="757"/>
        <v>273</v>
      </c>
      <c r="D13629" t="str">
        <f>"38"</f>
        <v>38</v>
      </c>
      <c r="E13629" t="str">
        <f>"1-273-38"</f>
        <v>1-273-38</v>
      </c>
      <c r="F13629" t="s">
        <v>65</v>
      </c>
      <c r="G13629" t="s">
        <v>66</v>
      </c>
      <c r="H13629" t="s">
        <v>67</v>
      </c>
      <c r="S13629">
        <v>1</v>
      </c>
      <c r="T13629">
        <v>0</v>
      </c>
      <c r="U13629">
        <v>0</v>
      </c>
      <c r="V13629">
        <v>0</v>
      </c>
      <c r="W13629">
        <v>1</v>
      </c>
      <c r="X13629">
        <v>0</v>
      </c>
      <c r="Y13629">
        <v>1</v>
      </c>
      <c r="Z13629">
        <v>0</v>
      </c>
      <c r="AA13629">
        <v>1</v>
      </c>
      <c r="AB13629">
        <v>0</v>
      </c>
      <c r="AC13629">
        <v>0</v>
      </c>
      <c r="AD13629">
        <v>1</v>
      </c>
      <c r="AE13629">
        <v>1</v>
      </c>
      <c r="AF13629">
        <v>1</v>
      </c>
      <c r="AG13629">
        <v>1</v>
      </c>
      <c r="AH13629">
        <v>1</v>
      </c>
      <c r="AI13629">
        <v>1</v>
      </c>
      <c r="AJ13629">
        <v>1</v>
      </c>
      <c r="AK13629">
        <v>1</v>
      </c>
      <c r="AL13629">
        <v>1</v>
      </c>
      <c r="AM13629">
        <v>1</v>
      </c>
    </row>
    <row r="13630" spans="1:39" x14ac:dyDescent="0.2">
      <c r="A13630" t="str">
        <f>"13626"</f>
        <v>13626</v>
      </c>
      <c r="B13630" t="str">
        <f t="shared" si="758"/>
        <v>1</v>
      </c>
      <c r="C13630" t="str">
        <f t="shared" si="757"/>
        <v>273</v>
      </c>
      <c r="D13630" t="str">
        <f>"20"</f>
        <v>20</v>
      </c>
      <c r="E13630" t="str">
        <f>"1-273-20"</f>
        <v>1-273-20</v>
      </c>
      <c r="F13630" t="s">
        <v>65</v>
      </c>
      <c r="G13630" t="s">
        <v>66</v>
      </c>
      <c r="H13630" t="s">
        <v>67</v>
      </c>
      <c r="S13630">
        <v>1</v>
      </c>
      <c r="T13630">
        <v>0</v>
      </c>
      <c r="U13630">
        <v>0</v>
      </c>
      <c r="V13630">
        <v>0</v>
      </c>
      <c r="W13630">
        <v>1</v>
      </c>
      <c r="X13630">
        <v>0</v>
      </c>
      <c r="Y13630">
        <v>0</v>
      </c>
      <c r="Z13630">
        <v>1</v>
      </c>
      <c r="AA13630">
        <v>0</v>
      </c>
      <c r="AB13630">
        <v>1</v>
      </c>
      <c r="AC13630">
        <v>0</v>
      </c>
      <c r="AD13630">
        <v>1</v>
      </c>
      <c r="AE13630">
        <v>1</v>
      </c>
      <c r="AF13630">
        <v>1</v>
      </c>
      <c r="AG13630">
        <v>1</v>
      </c>
      <c r="AH13630">
        <v>1</v>
      </c>
      <c r="AI13630">
        <v>1</v>
      </c>
      <c r="AJ13630">
        <v>1</v>
      </c>
      <c r="AK13630">
        <v>1</v>
      </c>
      <c r="AL13630">
        <v>1</v>
      </c>
      <c r="AM13630">
        <v>1</v>
      </c>
    </row>
    <row r="13631" spans="1:39" x14ac:dyDescent="0.2">
      <c r="A13631" t="str">
        <f>"13627"</f>
        <v>13627</v>
      </c>
      <c r="B13631" t="str">
        <f t="shared" si="758"/>
        <v>1</v>
      </c>
      <c r="C13631" t="str">
        <f t="shared" si="757"/>
        <v>273</v>
      </c>
      <c r="D13631" t="str">
        <f>"8"</f>
        <v>8</v>
      </c>
      <c r="E13631" t="str">
        <f>"1-273-8"</f>
        <v>1-273-8</v>
      </c>
      <c r="F13631" t="s">
        <v>65</v>
      </c>
      <c r="G13631" t="s">
        <v>66</v>
      </c>
      <c r="H13631" t="s">
        <v>67</v>
      </c>
      <c r="S13631">
        <v>1</v>
      </c>
      <c r="T13631">
        <v>0</v>
      </c>
      <c r="U13631">
        <v>0</v>
      </c>
      <c r="V13631">
        <v>0</v>
      </c>
      <c r="W13631">
        <v>0</v>
      </c>
      <c r="X13631">
        <v>1</v>
      </c>
      <c r="Y13631">
        <v>1</v>
      </c>
      <c r="Z13631">
        <v>0</v>
      </c>
      <c r="AA13631">
        <v>1</v>
      </c>
      <c r="AB13631">
        <v>0</v>
      </c>
      <c r="AC13631">
        <v>0</v>
      </c>
      <c r="AD13631">
        <v>1</v>
      </c>
      <c r="AE13631">
        <v>1</v>
      </c>
      <c r="AF13631">
        <v>1</v>
      </c>
      <c r="AG13631">
        <v>1</v>
      </c>
      <c r="AH13631">
        <v>1</v>
      </c>
      <c r="AI13631">
        <v>1</v>
      </c>
      <c r="AJ13631">
        <v>1</v>
      </c>
      <c r="AK13631">
        <v>1</v>
      </c>
      <c r="AL13631">
        <v>1</v>
      </c>
      <c r="AM13631">
        <v>1</v>
      </c>
    </row>
    <row r="13632" spans="1:39" x14ac:dyDescent="0.2">
      <c r="A13632" t="str">
        <f>"13628"</f>
        <v>13628</v>
      </c>
      <c r="B13632" t="str">
        <f t="shared" si="758"/>
        <v>1</v>
      </c>
      <c r="C13632" t="str">
        <f t="shared" si="757"/>
        <v>273</v>
      </c>
      <c r="D13632" t="str">
        <f>"21"</f>
        <v>21</v>
      </c>
      <c r="E13632" t="str">
        <f>"1-273-21"</f>
        <v>1-273-21</v>
      </c>
      <c r="F13632" t="s">
        <v>65</v>
      </c>
      <c r="G13632" t="s">
        <v>66</v>
      </c>
      <c r="H13632" t="s">
        <v>67</v>
      </c>
      <c r="S13632">
        <v>1</v>
      </c>
      <c r="T13632">
        <v>0</v>
      </c>
      <c r="U13632">
        <v>0</v>
      </c>
      <c r="V13632">
        <v>0</v>
      </c>
      <c r="W13632">
        <v>1</v>
      </c>
      <c r="X13632">
        <v>0</v>
      </c>
      <c r="Y13632">
        <v>1</v>
      </c>
      <c r="Z13632">
        <v>0</v>
      </c>
      <c r="AA13632">
        <v>0</v>
      </c>
      <c r="AB13632">
        <v>0</v>
      </c>
      <c r="AC13632">
        <v>1</v>
      </c>
      <c r="AD13632">
        <v>1</v>
      </c>
      <c r="AE13632">
        <v>1</v>
      </c>
      <c r="AF13632">
        <v>1</v>
      </c>
      <c r="AG13632">
        <v>1</v>
      </c>
      <c r="AH13632">
        <v>1</v>
      </c>
      <c r="AI13632">
        <v>1</v>
      </c>
      <c r="AJ13632">
        <v>1</v>
      </c>
      <c r="AK13632">
        <v>1</v>
      </c>
      <c r="AL13632">
        <v>1</v>
      </c>
      <c r="AM13632">
        <v>1</v>
      </c>
    </row>
    <row r="13633" spans="1:39" x14ac:dyDescent="0.2">
      <c r="A13633" t="str">
        <f>"13629"</f>
        <v>13629</v>
      </c>
      <c r="B13633" t="str">
        <f t="shared" si="758"/>
        <v>1</v>
      </c>
      <c r="C13633" t="str">
        <f t="shared" si="757"/>
        <v>273</v>
      </c>
      <c r="D13633" t="str">
        <f>"7"</f>
        <v>7</v>
      </c>
      <c r="E13633" t="str">
        <f>"1-273-7"</f>
        <v>1-273-7</v>
      </c>
      <c r="F13633" t="s">
        <v>65</v>
      </c>
      <c r="G13633" t="s">
        <v>66</v>
      </c>
      <c r="H13633" t="s">
        <v>67</v>
      </c>
      <c r="S13633">
        <v>1</v>
      </c>
      <c r="T13633">
        <v>0</v>
      </c>
      <c r="U13633">
        <v>0</v>
      </c>
      <c r="V13633">
        <v>0</v>
      </c>
      <c r="W13633">
        <v>1</v>
      </c>
      <c r="X13633">
        <v>0</v>
      </c>
      <c r="Y13633">
        <v>0</v>
      </c>
      <c r="Z13633">
        <v>1</v>
      </c>
      <c r="AA13633">
        <v>1</v>
      </c>
      <c r="AB13633">
        <v>0</v>
      </c>
      <c r="AC13633">
        <v>0</v>
      </c>
      <c r="AD13633">
        <v>1</v>
      </c>
      <c r="AE13633">
        <v>1</v>
      </c>
      <c r="AF13633">
        <v>1</v>
      </c>
      <c r="AG13633">
        <v>1</v>
      </c>
      <c r="AH13633">
        <v>1</v>
      </c>
      <c r="AI13633">
        <v>1</v>
      </c>
      <c r="AJ13633">
        <v>1</v>
      </c>
      <c r="AK13633">
        <v>1</v>
      </c>
      <c r="AL13633">
        <v>1</v>
      </c>
      <c r="AM13633">
        <v>1</v>
      </c>
    </row>
    <row r="13634" spans="1:39" x14ac:dyDescent="0.2">
      <c r="A13634" t="str">
        <f>"13630"</f>
        <v>13630</v>
      </c>
      <c r="B13634" t="str">
        <f t="shared" si="758"/>
        <v>1</v>
      </c>
      <c r="C13634" t="str">
        <f t="shared" si="757"/>
        <v>273</v>
      </c>
      <c r="D13634" t="str">
        <f>"39"</f>
        <v>39</v>
      </c>
      <c r="E13634" t="str">
        <f>"1-273-39"</f>
        <v>1-273-39</v>
      </c>
      <c r="F13634" t="s">
        <v>65</v>
      </c>
      <c r="G13634" t="s">
        <v>66</v>
      </c>
      <c r="H13634" t="s">
        <v>67</v>
      </c>
      <c r="S13634">
        <v>1</v>
      </c>
      <c r="T13634">
        <v>0</v>
      </c>
      <c r="U13634">
        <v>0</v>
      </c>
      <c r="V13634">
        <v>0</v>
      </c>
      <c r="W13634">
        <v>1</v>
      </c>
      <c r="X13634">
        <v>0</v>
      </c>
      <c r="Y13634">
        <v>1</v>
      </c>
      <c r="Z13634">
        <v>0</v>
      </c>
      <c r="AA13634">
        <v>0</v>
      </c>
      <c r="AB13634">
        <v>1</v>
      </c>
      <c r="AC13634">
        <v>0</v>
      </c>
      <c r="AD13634">
        <v>1</v>
      </c>
      <c r="AE13634">
        <v>1</v>
      </c>
      <c r="AF13634">
        <v>1</v>
      </c>
      <c r="AG13634">
        <v>1</v>
      </c>
      <c r="AH13634">
        <v>1</v>
      </c>
      <c r="AI13634">
        <v>1</v>
      </c>
      <c r="AJ13634">
        <v>1</v>
      </c>
      <c r="AK13634">
        <v>1</v>
      </c>
      <c r="AL13634">
        <v>1</v>
      </c>
      <c r="AM13634">
        <v>1</v>
      </c>
    </row>
    <row r="13635" spans="1:39" x14ac:dyDescent="0.2">
      <c r="A13635" t="str">
        <f>"13631"</f>
        <v>13631</v>
      </c>
      <c r="B13635" t="str">
        <f t="shared" si="758"/>
        <v>1</v>
      </c>
      <c r="C13635" t="str">
        <f t="shared" si="757"/>
        <v>273</v>
      </c>
      <c r="D13635" t="str">
        <f>"22"</f>
        <v>22</v>
      </c>
      <c r="E13635" t="str">
        <f>"1-273-22"</f>
        <v>1-273-22</v>
      </c>
      <c r="F13635" t="s">
        <v>65</v>
      </c>
      <c r="G13635" t="s">
        <v>66</v>
      </c>
      <c r="H13635" t="s">
        <v>67</v>
      </c>
      <c r="S13635">
        <v>1</v>
      </c>
      <c r="T13635">
        <v>0</v>
      </c>
      <c r="U13635">
        <v>0</v>
      </c>
      <c r="V13635">
        <v>0</v>
      </c>
      <c r="W13635">
        <v>1</v>
      </c>
      <c r="X13635">
        <v>0</v>
      </c>
      <c r="Y13635">
        <v>1</v>
      </c>
      <c r="Z13635">
        <v>0</v>
      </c>
      <c r="AA13635">
        <v>1</v>
      </c>
      <c r="AB13635">
        <v>0</v>
      </c>
      <c r="AC13635">
        <v>0</v>
      </c>
      <c r="AD13635">
        <v>0</v>
      </c>
      <c r="AE13635">
        <v>0</v>
      </c>
      <c r="AF13635">
        <v>0</v>
      </c>
      <c r="AG13635">
        <v>0</v>
      </c>
      <c r="AH13635">
        <v>0</v>
      </c>
      <c r="AI13635">
        <v>1</v>
      </c>
      <c r="AJ13635">
        <v>1</v>
      </c>
      <c r="AK13635">
        <v>0</v>
      </c>
      <c r="AL13635">
        <v>1</v>
      </c>
      <c r="AM13635">
        <v>0</v>
      </c>
    </row>
    <row r="13636" spans="1:39" x14ac:dyDescent="0.2">
      <c r="A13636" t="str">
        <f>"13632"</f>
        <v>13632</v>
      </c>
      <c r="B13636" t="str">
        <f t="shared" si="758"/>
        <v>1</v>
      </c>
      <c r="C13636" t="str">
        <f t="shared" si="757"/>
        <v>273</v>
      </c>
      <c r="D13636" t="str">
        <f>"14"</f>
        <v>14</v>
      </c>
      <c r="E13636" t="str">
        <f>"1-273-14"</f>
        <v>1-273-14</v>
      </c>
      <c r="F13636" t="s">
        <v>65</v>
      </c>
      <c r="G13636" t="s">
        <v>66</v>
      </c>
      <c r="H13636" t="s">
        <v>67</v>
      </c>
      <c r="S13636">
        <v>1</v>
      </c>
      <c r="T13636">
        <v>0</v>
      </c>
      <c r="U13636">
        <v>0</v>
      </c>
      <c r="V13636">
        <v>0</v>
      </c>
      <c r="W13636">
        <v>1</v>
      </c>
      <c r="X13636">
        <v>0</v>
      </c>
      <c r="Y13636">
        <v>0</v>
      </c>
      <c r="Z13636">
        <v>1</v>
      </c>
      <c r="AA13636">
        <v>1</v>
      </c>
      <c r="AB13636">
        <v>0</v>
      </c>
      <c r="AC13636">
        <v>0</v>
      </c>
      <c r="AD13636">
        <v>1</v>
      </c>
      <c r="AE13636">
        <v>1</v>
      </c>
      <c r="AF13636">
        <v>1</v>
      </c>
      <c r="AG13636">
        <v>1</v>
      </c>
      <c r="AH13636">
        <v>1</v>
      </c>
      <c r="AI13636">
        <v>1</v>
      </c>
      <c r="AJ13636">
        <v>1</v>
      </c>
      <c r="AK13636">
        <v>1</v>
      </c>
      <c r="AL13636">
        <v>1</v>
      </c>
      <c r="AM13636">
        <v>1</v>
      </c>
    </row>
    <row r="13637" spans="1:39" x14ac:dyDescent="0.2">
      <c r="A13637" t="str">
        <f>"13633"</f>
        <v>13633</v>
      </c>
      <c r="B13637" t="str">
        <f t="shared" si="758"/>
        <v>1</v>
      </c>
      <c r="C13637" t="str">
        <f t="shared" ref="C13637:C13654" si="759">"273"</f>
        <v>273</v>
      </c>
      <c r="D13637" t="str">
        <f>"40"</f>
        <v>40</v>
      </c>
      <c r="E13637" t="str">
        <f>"1-273-40"</f>
        <v>1-273-40</v>
      </c>
      <c r="F13637" t="s">
        <v>65</v>
      </c>
      <c r="G13637" t="s">
        <v>66</v>
      </c>
      <c r="H13637" t="s">
        <v>67</v>
      </c>
      <c r="S13637">
        <v>0</v>
      </c>
      <c r="T13637">
        <v>1</v>
      </c>
      <c r="U13637">
        <v>0</v>
      </c>
      <c r="V13637">
        <v>0</v>
      </c>
      <c r="W13637">
        <v>1</v>
      </c>
      <c r="X13637">
        <v>0</v>
      </c>
      <c r="Y13637">
        <v>0</v>
      </c>
      <c r="Z13637">
        <v>1</v>
      </c>
      <c r="AA13637">
        <v>0</v>
      </c>
      <c r="AB13637">
        <v>0</v>
      </c>
      <c r="AC13637">
        <v>1</v>
      </c>
      <c r="AD13637">
        <v>1</v>
      </c>
      <c r="AE13637">
        <v>1</v>
      </c>
      <c r="AF13637">
        <v>1</v>
      </c>
      <c r="AG13637">
        <v>1</v>
      </c>
      <c r="AH13637">
        <v>1</v>
      </c>
      <c r="AI13637">
        <v>1</v>
      </c>
      <c r="AJ13637">
        <v>1</v>
      </c>
      <c r="AK13637">
        <v>1</v>
      </c>
      <c r="AL13637">
        <v>1</v>
      </c>
      <c r="AM13637">
        <v>1</v>
      </c>
    </row>
    <row r="13638" spans="1:39" x14ac:dyDescent="0.2">
      <c r="A13638" t="str">
        <f>"13634"</f>
        <v>13634</v>
      </c>
      <c r="B13638" t="str">
        <f t="shared" si="758"/>
        <v>1</v>
      </c>
      <c r="C13638" t="str">
        <f t="shared" si="759"/>
        <v>273</v>
      </c>
      <c r="D13638" t="str">
        <f>"23"</f>
        <v>23</v>
      </c>
      <c r="E13638" t="str">
        <f>"1-273-23"</f>
        <v>1-273-23</v>
      </c>
      <c r="F13638" t="s">
        <v>65</v>
      </c>
      <c r="G13638" t="s">
        <v>66</v>
      </c>
      <c r="H13638" t="s">
        <v>67</v>
      </c>
      <c r="S13638">
        <v>1</v>
      </c>
      <c r="T13638">
        <v>0</v>
      </c>
      <c r="U13638">
        <v>0</v>
      </c>
      <c r="V13638">
        <v>0</v>
      </c>
      <c r="W13638">
        <v>1</v>
      </c>
      <c r="X13638">
        <v>0</v>
      </c>
      <c r="Y13638">
        <v>1</v>
      </c>
      <c r="Z13638">
        <v>0</v>
      </c>
      <c r="AA13638">
        <v>1</v>
      </c>
      <c r="AB13638">
        <v>0</v>
      </c>
      <c r="AC13638">
        <v>0</v>
      </c>
      <c r="AD13638">
        <v>1</v>
      </c>
      <c r="AE13638">
        <v>1</v>
      </c>
      <c r="AF13638">
        <v>1</v>
      </c>
      <c r="AG13638">
        <v>1</v>
      </c>
      <c r="AH13638">
        <v>1</v>
      </c>
      <c r="AI13638">
        <v>1</v>
      </c>
      <c r="AJ13638">
        <v>1</v>
      </c>
      <c r="AK13638">
        <v>1</v>
      </c>
      <c r="AL13638">
        <v>1</v>
      </c>
      <c r="AM13638">
        <v>1</v>
      </c>
    </row>
    <row r="13639" spans="1:39" x14ac:dyDescent="0.2">
      <c r="A13639" t="str">
        <f>"13635"</f>
        <v>13635</v>
      </c>
      <c r="B13639" t="str">
        <f t="shared" si="758"/>
        <v>1</v>
      </c>
      <c r="C13639" t="str">
        <f t="shared" si="759"/>
        <v>273</v>
      </c>
      <c r="D13639" t="str">
        <f>"3"</f>
        <v>3</v>
      </c>
      <c r="E13639" t="str">
        <f>"1-273-3"</f>
        <v>1-273-3</v>
      </c>
      <c r="F13639" t="s">
        <v>65</v>
      </c>
      <c r="G13639" t="s">
        <v>66</v>
      </c>
      <c r="H13639" t="s">
        <v>67</v>
      </c>
      <c r="S13639">
        <v>1</v>
      </c>
      <c r="T13639">
        <v>0</v>
      </c>
      <c r="U13639">
        <v>0</v>
      </c>
      <c r="V13639">
        <v>0</v>
      </c>
      <c r="W13639">
        <v>1</v>
      </c>
      <c r="X13639">
        <v>0</v>
      </c>
      <c r="Y13639">
        <v>1</v>
      </c>
      <c r="Z13639">
        <v>0</v>
      </c>
      <c r="AA13639">
        <v>0</v>
      </c>
      <c r="AB13639">
        <v>1</v>
      </c>
      <c r="AC13639">
        <v>0</v>
      </c>
      <c r="AD13639">
        <v>0</v>
      </c>
      <c r="AE13639">
        <v>0</v>
      </c>
      <c r="AF13639">
        <v>0</v>
      </c>
      <c r="AG13639">
        <v>1</v>
      </c>
      <c r="AH13639">
        <v>1</v>
      </c>
      <c r="AI13639">
        <v>1</v>
      </c>
      <c r="AJ13639">
        <v>1</v>
      </c>
      <c r="AK13639">
        <v>0</v>
      </c>
      <c r="AL13639">
        <v>1</v>
      </c>
      <c r="AM13639">
        <v>0</v>
      </c>
    </row>
    <row r="13640" spans="1:39" x14ac:dyDescent="0.2">
      <c r="A13640" t="str">
        <f>"13636"</f>
        <v>13636</v>
      </c>
      <c r="B13640" t="str">
        <f t="shared" si="758"/>
        <v>1</v>
      </c>
      <c r="C13640" t="str">
        <f t="shared" si="759"/>
        <v>273</v>
      </c>
      <c r="D13640" t="str">
        <f>"41"</f>
        <v>41</v>
      </c>
      <c r="E13640" t="str">
        <f>"1-273-41"</f>
        <v>1-273-41</v>
      </c>
      <c r="F13640" t="s">
        <v>65</v>
      </c>
      <c r="G13640" t="s">
        <v>66</v>
      </c>
      <c r="H13640" t="s">
        <v>67</v>
      </c>
      <c r="S13640">
        <v>0</v>
      </c>
      <c r="T13640">
        <v>1</v>
      </c>
      <c r="U13640">
        <v>0</v>
      </c>
      <c r="V13640">
        <v>0</v>
      </c>
      <c r="W13640">
        <v>0</v>
      </c>
      <c r="X13640">
        <v>1</v>
      </c>
      <c r="Y13640">
        <v>1</v>
      </c>
      <c r="Z13640">
        <v>0</v>
      </c>
      <c r="AA13640">
        <v>0</v>
      </c>
      <c r="AB13640">
        <v>0</v>
      </c>
      <c r="AC13640">
        <v>1</v>
      </c>
      <c r="AD13640">
        <v>0</v>
      </c>
      <c r="AE13640">
        <v>0</v>
      </c>
      <c r="AF13640">
        <v>0</v>
      </c>
      <c r="AG13640">
        <v>1</v>
      </c>
      <c r="AH13640">
        <v>1</v>
      </c>
      <c r="AI13640">
        <v>1</v>
      </c>
      <c r="AJ13640">
        <v>1</v>
      </c>
      <c r="AK13640">
        <v>1</v>
      </c>
      <c r="AL13640">
        <v>1</v>
      </c>
      <c r="AM13640">
        <v>0</v>
      </c>
    </row>
    <row r="13641" spans="1:39" x14ac:dyDescent="0.2">
      <c r="A13641" t="str">
        <f>"13637"</f>
        <v>13637</v>
      </c>
      <c r="B13641" t="str">
        <f t="shared" si="758"/>
        <v>1</v>
      </c>
      <c r="C13641" t="str">
        <f t="shared" si="759"/>
        <v>273</v>
      </c>
      <c r="D13641" t="str">
        <f>"24"</f>
        <v>24</v>
      </c>
      <c r="E13641" t="str">
        <f>"1-273-24"</f>
        <v>1-273-24</v>
      </c>
      <c r="F13641" t="s">
        <v>65</v>
      </c>
      <c r="G13641" t="s">
        <v>66</v>
      </c>
      <c r="H13641" t="s">
        <v>67</v>
      </c>
      <c r="S13641">
        <v>1</v>
      </c>
      <c r="T13641">
        <v>0</v>
      </c>
      <c r="U13641">
        <v>0</v>
      </c>
      <c r="V13641">
        <v>0</v>
      </c>
      <c r="W13641">
        <v>1</v>
      </c>
      <c r="X13641">
        <v>0</v>
      </c>
      <c r="Y13641">
        <v>0</v>
      </c>
      <c r="Z13641">
        <v>1</v>
      </c>
      <c r="AA13641">
        <v>1</v>
      </c>
      <c r="AB13641">
        <v>0</v>
      </c>
      <c r="AC13641">
        <v>0</v>
      </c>
      <c r="AD13641">
        <v>1</v>
      </c>
      <c r="AE13641">
        <v>1</v>
      </c>
      <c r="AF13641">
        <v>1</v>
      </c>
      <c r="AG13641">
        <v>1</v>
      </c>
      <c r="AH13641">
        <v>1</v>
      </c>
      <c r="AI13641">
        <v>1</v>
      </c>
      <c r="AJ13641">
        <v>1</v>
      </c>
      <c r="AK13641">
        <v>1</v>
      </c>
      <c r="AL13641">
        <v>1</v>
      </c>
      <c r="AM13641">
        <v>1</v>
      </c>
    </row>
    <row r="13642" spans="1:39" x14ac:dyDescent="0.2">
      <c r="A13642" t="str">
        <f>"13638"</f>
        <v>13638</v>
      </c>
      <c r="B13642" t="str">
        <f t="shared" si="758"/>
        <v>1</v>
      </c>
      <c r="C13642" t="str">
        <f t="shared" si="759"/>
        <v>273</v>
      </c>
      <c r="D13642" t="str">
        <f>"4"</f>
        <v>4</v>
      </c>
      <c r="E13642" t="str">
        <f>"1-273-4"</f>
        <v>1-273-4</v>
      </c>
      <c r="F13642" t="s">
        <v>65</v>
      </c>
      <c r="G13642" t="s">
        <v>66</v>
      </c>
      <c r="H13642" t="s">
        <v>67</v>
      </c>
      <c r="S13642">
        <v>1</v>
      </c>
      <c r="T13642">
        <v>0</v>
      </c>
      <c r="U13642">
        <v>0</v>
      </c>
      <c r="V13642">
        <v>0</v>
      </c>
      <c r="W13642">
        <v>1</v>
      </c>
      <c r="X13642">
        <v>0</v>
      </c>
      <c r="Y13642">
        <v>1</v>
      </c>
      <c r="Z13642">
        <v>0</v>
      </c>
      <c r="AA13642">
        <v>1</v>
      </c>
      <c r="AB13642">
        <v>0</v>
      </c>
      <c r="AC13642">
        <v>0</v>
      </c>
      <c r="AD13642">
        <v>0</v>
      </c>
      <c r="AE13642">
        <v>0</v>
      </c>
      <c r="AF13642">
        <v>0</v>
      </c>
      <c r="AG13642">
        <v>0</v>
      </c>
      <c r="AH13642">
        <v>0</v>
      </c>
      <c r="AI13642">
        <v>1</v>
      </c>
      <c r="AJ13642">
        <v>1</v>
      </c>
      <c r="AK13642">
        <v>0</v>
      </c>
      <c r="AL13642">
        <v>1</v>
      </c>
      <c r="AM13642">
        <v>0</v>
      </c>
    </row>
    <row r="13643" spans="1:39" x14ac:dyDescent="0.2">
      <c r="A13643" t="str">
        <f>"13639"</f>
        <v>13639</v>
      </c>
      <c r="B13643" t="str">
        <f t="shared" si="758"/>
        <v>1</v>
      </c>
      <c r="C13643" t="str">
        <f t="shared" si="759"/>
        <v>273</v>
      </c>
      <c r="D13643" t="str">
        <f>"27"</f>
        <v>27</v>
      </c>
      <c r="E13643" t="str">
        <f>"1-273-27"</f>
        <v>1-273-27</v>
      </c>
      <c r="F13643" t="s">
        <v>65</v>
      </c>
      <c r="G13643" t="s">
        <v>66</v>
      </c>
      <c r="H13643" t="s">
        <v>67</v>
      </c>
      <c r="S13643">
        <v>0</v>
      </c>
      <c r="T13643">
        <v>1</v>
      </c>
      <c r="U13643">
        <v>0</v>
      </c>
      <c r="V13643">
        <v>0</v>
      </c>
      <c r="W13643">
        <v>1</v>
      </c>
      <c r="X13643">
        <v>0</v>
      </c>
      <c r="Y13643">
        <v>0</v>
      </c>
      <c r="Z13643">
        <v>1</v>
      </c>
      <c r="AA13643">
        <v>0</v>
      </c>
      <c r="AB13643">
        <v>0</v>
      </c>
      <c r="AC13643">
        <v>1</v>
      </c>
      <c r="AD13643">
        <v>1</v>
      </c>
      <c r="AE13643">
        <v>1</v>
      </c>
      <c r="AF13643">
        <v>1</v>
      </c>
      <c r="AG13643">
        <v>1</v>
      </c>
      <c r="AH13643">
        <v>1</v>
      </c>
      <c r="AI13643">
        <v>1</v>
      </c>
      <c r="AJ13643">
        <v>1</v>
      </c>
      <c r="AK13643">
        <v>1</v>
      </c>
      <c r="AL13643">
        <v>1</v>
      </c>
      <c r="AM13643">
        <v>1</v>
      </c>
    </row>
    <row r="13644" spans="1:39" x14ac:dyDescent="0.2">
      <c r="A13644" t="str">
        <f>"13640"</f>
        <v>13640</v>
      </c>
      <c r="B13644" t="str">
        <f t="shared" si="758"/>
        <v>1</v>
      </c>
      <c r="C13644" t="str">
        <f t="shared" si="759"/>
        <v>273</v>
      </c>
      <c r="D13644" t="str">
        <f>"13"</f>
        <v>13</v>
      </c>
      <c r="E13644" t="str">
        <f>"1-273-13"</f>
        <v>1-273-13</v>
      </c>
      <c r="F13644" t="s">
        <v>65</v>
      </c>
      <c r="G13644" t="s">
        <v>66</v>
      </c>
      <c r="H13644" t="s">
        <v>67</v>
      </c>
      <c r="S13644">
        <v>0</v>
      </c>
      <c r="T13644">
        <v>1</v>
      </c>
      <c r="U13644">
        <v>0</v>
      </c>
      <c r="V13644">
        <v>0</v>
      </c>
      <c r="W13644">
        <v>1</v>
      </c>
      <c r="X13644">
        <v>0</v>
      </c>
      <c r="Y13644">
        <v>1</v>
      </c>
      <c r="Z13644">
        <v>0</v>
      </c>
      <c r="AA13644">
        <v>1</v>
      </c>
      <c r="AB13644">
        <v>0</v>
      </c>
      <c r="AC13644">
        <v>0</v>
      </c>
      <c r="AD13644">
        <v>1</v>
      </c>
      <c r="AE13644">
        <v>1</v>
      </c>
      <c r="AF13644">
        <v>1</v>
      </c>
      <c r="AG13644">
        <v>1</v>
      </c>
      <c r="AH13644">
        <v>1</v>
      </c>
      <c r="AI13644">
        <v>1</v>
      </c>
      <c r="AJ13644">
        <v>1</v>
      </c>
      <c r="AK13644">
        <v>1</v>
      </c>
      <c r="AL13644">
        <v>1</v>
      </c>
      <c r="AM13644">
        <v>1</v>
      </c>
    </row>
    <row r="13645" spans="1:39" x14ac:dyDescent="0.2">
      <c r="A13645" t="str">
        <f>"13641"</f>
        <v>13641</v>
      </c>
      <c r="B13645" t="str">
        <f t="shared" si="758"/>
        <v>1</v>
      </c>
      <c r="C13645" t="str">
        <f t="shared" si="759"/>
        <v>273</v>
      </c>
      <c r="D13645" t="str">
        <f>"28"</f>
        <v>28</v>
      </c>
      <c r="E13645" t="str">
        <f>"1-273-28"</f>
        <v>1-273-28</v>
      </c>
      <c r="F13645" t="s">
        <v>65</v>
      </c>
      <c r="G13645" t="s">
        <v>66</v>
      </c>
      <c r="H13645" t="s">
        <v>67</v>
      </c>
      <c r="S13645">
        <v>1</v>
      </c>
      <c r="T13645">
        <v>0</v>
      </c>
      <c r="U13645">
        <v>0</v>
      </c>
      <c r="V13645">
        <v>0</v>
      </c>
      <c r="W13645">
        <v>1</v>
      </c>
      <c r="X13645">
        <v>0</v>
      </c>
      <c r="Y13645">
        <v>1</v>
      </c>
      <c r="Z13645">
        <v>0</v>
      </c>
      <c r="AA13645">
        <v>0</v>
      </c>
      <c r="AB13645">
        <v>0</v>
      </c>
      <c r="AC13645">
        <v>1</v>
      </c>
      <c r="AD13645">
        <v>1</v>
      </c>
      <c r="AE13645">
        <v>1</v>
      </c>
      <c r="AF13645">
        <v>1</v>
      </c>
      <c r="AG13645">
        <v>1</v>
      </c>
      <c r="AH13645">
        <v>1</v>
      </c>
      <c r="AI13645">
        <v>1</v>
      </c>
      <c r="AJ13645">
        <v>1</v>
      </c>
      <c r="AK13645">
        <v>1</v>
      </c>
      <c r="AL13645">
        <v>1</v>
      </c>
      <c r="AM13645">
        <v>1</v>
      </c>
    </row>
    <row r="13646" spans="1:39" x14ac:dyDescent="0.2">
      <c r="A13646" t="str">
        <f>"13642"</f>
        <v>13642</v>
      </c>
      <c r="B13646" t="str">
        <f t="shared" si="758"/>
        <v>1</v>
      </c>
      <c r="C13646" t="str">
        <f t="shared" si="759"/>
        <v>273</v>
      </c>
      <c r="D13646" t="str">
        <f>"1"</f>
        <v>1</v>
      </c>
      <c r="E13646" t="str">
        <f>"1-273-1"</f>
        <v>1-273-1</v>
      </c>
      <c r="F13646" t="s">
        <v>65</v>
      </c>
      <c r="G13646" t="s">
        <v>66</v>
      </c>
      <c r="H13646" t="s">
        <v>67</v>
      </c>
      <c r="S13646">
        <v>1</v>
      </c>
      <c r="T13646">
        <v>0</v>
      </c>
      <c r="U13646">
        <v>0</v>
      </c>
      <c r="V13646">
        <v>0</v>
      </c>
      <c r="W13646">
        <v>1</v>
      </c>
      <c r="X13646">
        <v>0</v>
      </c>
      <c r="Y13646">
        <v>1</v>
      </c>
      <c r="Z13646">
        <v>0</v>
      </c>
      <c r="AA13646">
        <v>0</v>
      </c>
      <c r="AB13646">
        <v>0</v>
      </c>
      <c r="AC13646">
        <v>1</v>
      </c>
      <c r="AD13646">
        <v>1</v>
      </c>
      <c r="AE13646">
        <v>1</v>
      </c>
      <c r="AF13646">
        <v>1</v>
      </c>
      <c r="AG13646">
        <v>1</v>
      </c>
      <c r="AH13646">
        <v>1</v>
      </c>
      <c r="AI13646">
        <v>1</v>
      </c>
      <c r="AJ13646">
        <v>1</v>
      </c>
      <c r="AK13646">
        <v>1</v>
      </c>
      <c r="AL13646">
        <v>1</v>
      </c>
      <c r="AM13646">
        <v>1</v>
      </c>
    </row>
    <row r="13647" spans="1:39" x14ac:dyDescent="0.2">
      <c r="A13647" t="str">
        <f>"13643"</f>
        <v>13643</v>
      </c>
      <c r="B13647" t="str">
        <f t="shared" si="758"/>
        <v>1</v>
      </c>
      <c r="C13647" t="str">
        <f t="shared" si="759"/>
        <v>273</v>
      </c>
      <c r="D13647" t="str">
        <f>"42"</f>
        <v>42</v>
      </c>
      <c r="E13647" t="str">
        <f>"1-273-42"</f>
        <v>1-273-42</v>
      </c>
      <c r="F13647" t="s">
        <v>65</v>
      </c>
      <c r="G13647" t="s">
        <v>66</v>
      </c>
      <c r="H13647" t="s">
        <v>67</v>
      </c>
      <c r="S13647">
        <v>1</v>
      </c>
      <c r="T13647">
        <v>0</v>
      </c>
      <c r="U13647">
        <v>0</v>
      </c>
      <c r="V13647">
        <v>0</v>
      </c>
      <c r="W13647">
        <v>1</v>
      </c>
      <c r="X13647">
        <v>0</v>
      </c>
      <c r="Y13647">
        <v>1</v>
      </c>
      <c r="Z13647">
        <v>0</v>
      </c>
      <c r="AA13647">
        <v>0</v>
      </c>
      <c r="AB13647">
        <v>0</v>
      </c>
      <c r="AC13647">
        <v>1</v>
      </c>
      <c r="AD13647">
        <v>1</v>
      </c>
      <c r="AE13647">
        <v>1</v>
      </c>
      <c r="AF13647">
        <v>1</v>
      </c>
      <c r="AG13647">
        <v>1</v>
      </c>
      <c r="AH13647">
        <v>1</v>
      </c>
      <c r="AI13647">
        <v>1</v>
      </c>
      <c r="AJ13647">
        <v>1</v>
      </c>
      <c r="AK13647">
        <v>1</v>
      </c>
      <c r="AL13647">
        <v>1</v>
      </c>
      <c r="AM13647">
        <v>1</v>
      </c>
    </row>
    <row r="13648" spans="1:39" x14ac:dyDescent="0.2">
      <c r="A13648" t="str">
        <f>"13644"</f>
        <v>13644</v>
      </c>
      <c r="B13648" t="str">
        <f t="shared" si="758"/>
        <v>1</v>
      </c>
      <c r="C13648" t="str">
        <f t="shared" si="759"/>
        <v>273</v>
      </c>
      <c r="D13648" t="str">
        <f>"29"</f>
        <v>29</v>
      </c>
      <c r="E13648" t="str">
        <f>"1-273-29"</f>
        <v>1-273-29</v>
      </c>
      <c r="F13648" t="s">
        <v>65</v>
      </c>
      <c r="G13648" t="s">
        <v>66</v>
      </c>
      <c r="H13648" t="s">
        <v>67</v>
      </c>
      <c r="S13648">
        <v>1</v>
      </c>
      <c r="T13648">
        <v>0</v>
      </c>
      <c r="U13648">
        <v>0</v>
      </c>
      <c r="V13648">
        <v>0</v>
      </c>
      <c r="W13648">
        <v>1</v>
      </c>
      <c r="X13648">
        <v>0</v>
      </c>
      <c r="Y13648">
        <v>1</v>
      </c>
      <c r="Z13648">
        <v>0</v>
      </c>
      <c r="AA13648">
        <v>1</v>
      </c>
      <c r="AB13648">
        <v>0</v>
      </c>
      <c r="AC13648">
        <v>0</v>
      </c>
      <c r="AD13648">
        <v>0</v>
      </c>
      <c r="AE13648">
        <v>0</v>
      </c>
      <c r="AF13648">
        <v>0</v>
      </c>
      <c r="AG13648">
        <v>1</v>
      </c>
      <c r="AH13648">
        <v>1</v>
      </c>
      <c r="AI13648">
        <v>1</v>
      </c>
      <c r="AJ13648">
        <v>1</v>
      </c>
      <c r="AK13648">
        <v>0</v>
      </c>
      <c r="AL13648">
        <v>0</v>
      </c>
      <c r="AM13648">
        <v>0</v>
      </c>
    </row>
    <row r="13649" spans="1:39" x14ac:dyDescent="0.2">
      <c r="A13649" t="str">
        <f>"13645"</f>
        <v>13645</v>
      </c>
      <c r="B13649" t="str">
        <f t="shared" si="758"/>
        <v>1</v>
      </c>
      <c r="C13649" t="str">
        <f t="shared" si="759"/>
        <v>273</v>
      </c>
      <c r="D13649" t="str">
        <f>"11"</f>
        <v>11</v>
      </c>
      <c r="E13649" t="str">
        <f>"1-273-11"</f>
        <v>1-273-11</v>
      </c>
      <c r="F13649" t="s">
        <v>65</v>
      </c>
      <c r="G13649" t="s">
        <v>66</v>
      </c>
      <c r="H13649" t="s">
        <v>67</v>
      </c>
      <c r="S13649">
        <v>0</v>
      </c>
      <c r="T13649">
        <v>1</v>
      </c>
      <c r="U13649">
        <v>0</v>
      </c>
      <c r="V13649">
        <v>0</v>
      </c>
      <c r="W13649">
        <v>1</v>
      </c>
      <c r="X13649">
        <v>0</v>
      </c>
      <c r="Y13649">
        <v>1</v>
      </c>
      <c r="Z13649">
        <v>0</v>
      </c>
      <c r="AA13649">
        <v>1</v>
      </c>
      <c r="AB13649">
        <v>0</v>
      </c>
      <c r="AC13649">
        <v>0</v>
      </c>
      <c r="AD13649">
        <v>1</v>
      </c>
      <c r="AE13649">
        <v>1</v>
      </c>
      <c r="AF13649">
        <v>1</v>
      </c>
      <c r="AG13649">
        <v>1</v>
      </c>
      <c r="AH13649">
        <v>1</v>
      </c>
      <c r="AI13649">
        <v>1</v>
      </c>
      <c r="AJ13649">
        <v>1</v>
      </c>
      <c r="AK13649">
        <v>1</v>
      </c>
      <c r="AL13649">
        <v>1</v>
      </c>
      <c r="AM13649">
        <v>1</v>
      </c>
    </row>
    <row r="13650" spans="1:39" x14ac:dyDescent="0.2">
      <c r="A13650" t="str">
        <f>"13646"</f>
        <v>13646</v>
      </c>
      <c r="B13650" t="str">
        <f t="shared" si="758"/>
        <v>1</v>
      </c>
      <c r="C13650" t="str">
        <f t="shared" si="759"/>
        <v>273</v>
      </c>
      <c r="D13650" t="str">
        <f>"47"</f>
        <v>47</v>
      </c>
      <c r="E13650" t="str">
        <f>"1-273-47"</f>
        <v>1-273-47</v>
      </c>
      <c r="F13650" t="s">
        <v>65</v>
      </c>
      <c r="G13650" t="s">
        <v>66</v>
      </c>
      <c r="H13650" t="s">
        <v>67</v>
      </c>
      <c r="S13650">
        <v>0</v>
      </c>
      <c r="T13650">
        <v>1</v>
      </c>
      <c r="U13650">
        <v>0</v>
      </c>
      <c r="V13650">
        <v>0</v>
      </c>
      <c r="W13650">
        <v>0</v>
      </c>
      <c r="X13650">
        <v>1</v>
      </c>
      <c r="Y13650">
        <v>0</v>
      </c>
      <c r="Z13650">
        <v>1</v>
      </c>
      <c r="AA13650">
        <v>0</v>
      </c>
      <c r="AB13650">
        <v>1</v>
      </c>
      <c r="AC13650">
        <v>0</v>
      </c>
      <c r="AD13650">
        <v>1</v>
      </c>
      <c r="AE13650">
        <v>1</v>
      </c>
      <c r="AF13650">
        <v>1</v>
      </c>
      <c r="AG13650">
        <v>1</v>
      </c>
      <c r="AH13650">
        <v>1</v>
      </c>
      <c r="AI13650">
        <v>1</v>
      </c>
      <c r="AJ13650">
        <v>1</v>
      </c>
      <c r="AK13650">
        <v>1</v>
      </c>
      <c r="AL13650">
        <v>1</v>
      </c>
      <c r="AM13650">
        <v>1</v>
      </c>
    </row>
    <row r="13651" spans="1:39" x14ac:dyDescent="0.2">
      <c r="A13651" t="str">
        <f>"13647"</f>
        <v>13647</v>
      </c>
      <c r="B13651" t="str">
        <f t="shared" si="758"/>
        <v>1</v>
      </c>
      <c r="C13651" t="str">
        <f t="shared" si="759"/>
        <v>273</v>
      </c>
      <c r="D13651" t="str">
        <f>"30"</f>
        <v>30</v>
      </c>
      <c r="E13651" t="str">
        <f>"1-273-30"</f>
        <v>1-273-30</v>
      </c>
      <c r="F13651" t="s">
        <v>65</v>
      </c>
      <c r="G13651" t="s">
        <v>66</v>
      </c>
      <c r="H13651" t="s">
        <v>67</v>
      </c>
      <c r="S13651">
        <v>1</v>
      </c>
      <c r="T13651">
        <v>0</v>
      </c>
      <c r="U13651">
        <v>0</v>
      </c>
      <c r="V13651">
        <v>0</v>
      </c>
      <c r="W13651">
        <v>0</v>
      </c>
      <c r="X13651">
        <v>1</v>
      </c>
      <c r="Y13651">
        <v>0</v>
      </c>
      <c r="Z13651">
        <v>0</v>
      </c>
      <c r="AA13651">
        <v>0</v>
      </c>
      <c r="AB13651">
        <v>0</v>
      </c>
      <c r="AC13651">
        <v>1</v>
      </c>
      <c r="AD13651">
        <v>1</v>
      </c>
      <c r="AE13651">
        <v>1</v>
      </c>
      <c r="AF13651">
        <v>1</v>
      </c>
      <c r="AG13651">
        <v>1</v>
      </c>
      <c r="AH13651">
        <v>1</v>
      </c>
      <c r="AI13651">
        <v>1</v>
      </c>
      <c r="AJ13651">
        <v>1</v>
      </c>
      <c r="AK13651">
        <v>1</v>
      </c>
      <c r="AL13651">
        <v>1</v>
      </c>
      <c r="AM13651">
        <v>1</v>
      </c>
    </row>
    <row r="13652" spans="1:39" x14ac:dyDescent="0.2">
      <c r="A13652" t="str">
        <f>"13648"</f>
        <v>13648</v>
      </c>
      <c r="B13652" t="str">
        <f t="shared" si="758"/>
        <v>1</v>
      </c>
      <c r="C13652" t="str">
        <f t="shared" si="759"/>
        <v>273</v>
      </c>
      <c r="D13652" t="str">
        <f>"12"</f>
        <v>12</v>
      </c>
      <c r="E13652" t="str">
        <f>"1-273-12"</f>
        <v>1-273-12</v>
      </c>
      <c r="F13652" t="s">
        <v>65</v>
      </c>
      <c r="G13652" t="s">
        <v>66</v>
      </c>
      <c r="H13652" t="s">
        <v>67</v>
      </c>
      <c r="S13652">
        <v>0</v>
      </c>
      <c r="T13652">
        <v>1</v>
      </c>
      <c r="U13652">
        <v>0</v>
      </c>
      <c r="V13652">
        <v>0</v>
      </c>
      <c r="W13652">
        <v>1</v>
      </c>
      <c r="X13652">
        <v>0</v>
      </c>
      <c r="Y13652">
        <v>1</v>
      </c>
      <c r="Z13652">
        <v>0</v>
      </c>
      <c r="AA13652">
        <v>1</v>
      </c>
      <c r="AB13652">
        <v>0</v>
      </c>
      <c r="AC13652">
        <v>0</v>
      </c>
      <c r="AD13652">
        <v>1</v>
      </c>
      <c r="AE13652">
        <v>0</v>
      </c>
      <c r="AF13652">
        <v>1</v>
      </c>
      <c r="AG13652">
        <v>1</v>
      </c>
      <c r="AH13652">
        <v>1</v>
      </c>
      <c r="AI13652">
        <v>1</v>
      </c>
      <c r="AJ13652">
        <v>1</v>
      </c>
      <c r="AK13652">
        <v>1</v>
      </c>
      <c r="AL13652">
        <v>1</v>
      </c>
      <c r="AM13652">
        <v>1</v>
      </c>
    </row>
    <row r="13653" spans="1:39" x14ac:dyDescent="0.2">
      <c r="A13653" t="str">
        <f>"13649"</f>
        <v>13649</v>
      </c>
      <c r="B13653" t="str">
        <f t="shared" si="758"/>
        <v>1</v>
      </c>
      <c r="C13653" t="str">
        <f t="shared" si="759"/>
        <v>273</v>
      </c>
      <c r="D13653" t="str">
        <f>"36"</f>
        <v>36</v>
      </c>
      <c r="E13653" t="str">
        <f>"1-273-36"</f>
        <v>1-273-36</v>
      </c>
      <c r="F13653" t="s">
        <v>65</v>
      </c>
      <c r="G13653" t="s">
        <v>66</v>
      </c>
      <c r="H13653" t="s">
        <v>67</v>
      </c>
      <c r="S13653">
        <v>1</v>
      </c>
      <c r="T13653">
        <v>0</v>
      </c>
      <c r="U13653">
        <v>0</v>
      </c>
      <c r="V13653">
        <v>0</v>
      </c>
      <c r="W13653">
        <v>1</v>
      </c>
      <c r="X13653">
        <v>0</v>
      </c>
      <c r="Y13653">
        <v>0</v>
      </c>
      <c r="Z13653">
        <v>1</v>
      </c>
      <c r="AA13653">
        <v>1</v>
      </c>
      <c r="AB13653">
        <v>0</v>
      </c>
      <c r="AC13653">
        <v>0</v>
      </c>
      <c r="AD13653">
        <v>1</v>
      </c>
      <c r="AE13653">
        <v>1</v>
      </c>
      <c r="AF13653">
        <v>1</v>
      </c>
      <c r="AG13653">
        <v>1</v>
      </c>
      <c r="AH13653">
        <v>1</v>
      </c>
      <c r="AI13653">
        <v>1</v>
      </c>
      <c r="AJ13653">
        <v>1</v>
      </c>
      <c r="AK13653">
        <v>1</v>
      </c>
      <c r="AL13653">
        <v>1</v>
      </c>
      <c r="AM13653">
        <v>1</v>
      </c>
    </row>
    <row r="13654" spans="1:39" x14ac:dyDescent="0.2">
      <c r="A13654" t="str">
        <f>"13650"</f>
        <v>13650</v>
      </c>
      <c r="B13654" t="str">
        <f t="shared" si="758"/>
        <v>1</v>
      </c>
      <c r="C13654" t="str">
        <f t="shared" si="759"/>
        <v>273</v>
      </c>
      <c r="D13654" t="str">
        <f>"6"</f>
        <v>6</v>
      </c>
      <c r="E13654" t="str">
        <f>"1-273-6"</f>
        <v>1-273-6</v>
      </c>
      <c r="F13654" t="s">
        <v>65</v>
      </c>
      <c r="G13654" t="s">
        <v>66</v>
      </c>
      <c r="H13654" t="s">
        <v>67</v>
      </c>
      <c r="S13654">
        <v>1</v>
      </c>
      <c r="T13654">
        <v>0</v>
      </c>
      <c r="U13654">
        <v>0</v>
      </c>
      <c r="V13654">
        <v>0</v>
      </c>
      <c r="W13654">
        <v>1</v>
      </c>
      <c r="X13654">
        <v>0</v>
      </c>
      <c r="Y13654">
        <v>1</v>
      </c>
      <c r="Z13654">
        <v>0</v>
      </c>
      <c r="AA13654">
        <v>1</v>
      </c>
      <c r="AB13654">
        <v>0</v>
      </c>
      <c r="AC13654">
        <v>0</v>
      </c>
      <c r="AD13654">
        <v>1</v>
      </c>
      <c r="AE13654">
        <v>1</v>
      </c>
      <c r="AF13654">
        <v>1</v>
      </c>
      <c r="AG13654">
        <v>1</v>
      </c>
      <c r="AH13654">
        <v>1</v>
      </c>
      <c r="AI13654">
        <v>1</v>
      </c>
      <c r="AJ13654">
        <v>1</v>
      </c>
      <c r="AK13654">
        <v>1</v>
      </c>
      <c r="AL13654">
        <v>1</v>
      </c>
      <c r="AM13654">
        <v>1</v>
      </c>
    </row>
    <row r="13655" spans="1:39" x14ac:dyDescent="0.2">
      <c r="A13655" t="str">
        <f>"13651"</f>
        <v>13651</v>
      </c>
      <c r="B13655" t="str">
        <f t="shared" si="758"/>
        <v>1</v>
      </c>
      <c r="C13655" t="str">
        <f t="shared" ref="C13655:C13686" si="760">"274"</f>
        <v>274</v>
      </c>
      <c r="D13655" t="str">
        <f>"36"</f>
        <v>36</v>
      </c>
      <c r="E13655" t="str">
        <f>"1-274-36"</f>
        <v>1-274-36</v>
      </c>
      <c r="F13655" t="s">
        <v>65</v>
      </c>
      <c r="G13655" t="s">
        <v>66</v>
      </c>
      <c r="H13655" t="s">
        <v>67</v>
      </c>
      <c r="S13655">
        <v>1</v>
      </c>
      <c r="T13655">
        <v>0</v>
      </c>
      <c r="U13655">
        <v>0</v>
      </c>
      <c r="V13655">
        <v>0</v>
      </c>
      <c r="W13655">
        <v>1</v>
      </c>
      <c r="X13655">
        <v>0</v>
      </c>
      <c r="Y13655">
        <v>1</v>
      </c>
      <c r="Z13655">
        <v>0</v>
      </c>
      <c r="AA13655">
        <v>1</v>
      </c>
      <c r="AB13655">
        <v>0</v>
      </c>
      <c r="AC13655">
        <v>0</v>
      </c>
      <c r="AD13655">
        <v>1</v>
      </c>
      <c r="AE13655">
        <v>1</v>
      </c>
      <c r="AF13655">
        <v>1</v>
      </c>
      <c r="AG13655">
        <v>1</v>
      </c>
      <c r="AH13655">
        <v>1</v>
      </c>
      <c r="AI13655">
        <v>1</v>
      </c>
      <c r="AJ13655">
        <v>1</v>
      </c>
      <c r="AK13655">
        <v>1</v>
      </c>
      <c r="AL13655">
        <v>1</v>
      </c>
      <c r="AM13655">
        <v>1</v>
      </c>
    </row>
    <row r="13656" spans="1:39" x14ac:dyDescent="0.2">
      <c r="A13656" t="str">
        <f>"13652"</f>
        <v>13652</v>
      </c>
      <c r="B13656" t="str">
        <f t="shared" si="758"/>
        <v>1</v>
      </c>
      <c r="C13656" t="str">
        <f t="shared" si="760"/>
        <v>274</v>
      </c>
      <c r="D13656" t="str">
        <f>"35"</f>
        <v>35</v>
      </c>
      <c r="E13656" t="str">
        <f>"1-274-35"</f>
        <v>1-274-35</v>
      </c>
      <c r="F13656" t="s">
        <v>65</v>
      </c>
      <c r="G13656" t="s">
        <v>66</v>
      </c>
      <c r="H13656" t="s">
        <v>67</v>
      </c>
      <c r="S13656">
        <v>0</v>
      </c>
      <c r="T13656">
        <v>1</v>
      </c>
      <c r="U13656">
        <v>0</v>
      </c>
      <c r="V13656">
        <v>0</v>
      </c>
      <c r="W13656">
        <v>1</v>
      </c>
      <c r="X13656">
        <v>0</v>
      </c>
      <c r="Y13656">
        <v>0</v>
      </c>
      <c r="Z13656">
        <v>1</v>
      </c>
      <c r="AA13656">
        <v>0</v>
      </c>
      <c r="AB13656">
        <v>0</v>
      </c>
      <c r="AC13656">
        <v>1</v>
      </c>
      <c r="AD13656">
        <v>1</v>
      </c>
      <c r="AE13656">
        <v>1</v>
      </c>
      <c r="AF13656">
        <v>1</v>
      </c>
      <c r="AG13656">
        <v>1</v>
      </c>
      <c r="AH13656">
        <v>1</v>
      </c>
      <c r="AI13656">
        <v>1</v>
      </c>
      <c r="AJ13656">
        <v>1</v>
      </c>
      <c r="AK13656">
        <v>1</v>
      </c>
      <c r="AL13656">
        <v>1</v>
      </c>
      <c r="AM13656">
        <v>1</v>
      </c>
    </row>
    <row r="13657" spans="1:39" x14ac:dyDescent="0.2">
      <c r="A13657" t="str">
        <f>"13653"</f>
        <v>13653</v>
      </c>
      <c r="B13657" t="str">
        <f t="shared" si="758"/>
        <v>1</v>
      </c>
      <c r="C13657" t="str">
        <f t="shared" si="760"/>
        <v>274</v>
      </c>
      <c r="D13657" t="str">
        <f>"27"</f>
        <v>27</v>
      </c>
      <c r="E13657" t="str">
        <f>"1-274-27"</f>
        <v>1-274-27</v>
      </c>
      <c r="F13657" t="s">
        <v>65</v>
      </c>
      <c r="G13657" t="s">
        <v>66</v>
      </c>
      <c r="H13657" t="s">
        <v>67</v>
      </c>
      <c r="S13657">
        <v>0</v>
      </c>
      <c r="T13657">
        <v>1</v>
      </c>
      <c r="U13657">
        <v>0</v>
      </c>
      <c r="V13657">
        <v>0</v>
      </c>
      <c r="W13657">
        <v>1</v>
      </c>
      <c r="X13657">
        <v>0</v>
      </c>
      <c r="Y13657">
        <v>1</v>
      </c>
      <c r="Z13657">
        <v>0</v>
      </c>
      <c r="AA13657">
        <v>0</v>
      </c>
      <c r="AB13657">
        <v>0</v>
      </c>
      <c r="AC13657">
        <v>1</v>
      </c>
      <c r="AD13657">
        <v>1</v>
      </c>
      <c r="AE13657">
        <v>1</v>
      </c>
      <c r="AF13657">
        <v>1</v>
      </c>
      <c r="AG13657">
        <v>1</v>
      </c>
      <c r="AH13657">
        <v>1</v>
      </c>
      <c r="AI13657">
        <v>1</v>
      </c>
      <c r="AJ13657">
        <v>1</v>
      </c>
      <c r="AK13657">
        <v>1</v>
      </c>
      <c r="AL13657">
        <v>1</v>
      </c>
      <c r="AM13657">
        <v>1</v>
      </c>
    </row>
    <row r="13658" spans="1:39" x14ac:dyDescent="0.2">
      <c r="A13658" t="str">
        <f>"13654"</f>
        <v>13654</v>
      </c>
      <c r="B13658" t="str">
        <f t="shared" si="758"/>
        <v>1</v>
      </c>
      <c r="C13658" t="str">
        <f t="shared" si="760"/>
        <v>274</v>
      </c>
      <c r="D13658" t="str">
        <f>"26"</f>
        <v>26</v>
      </c>
      <c r="E13658" t="str">
        <f>"1-274-26"</f>
        <v>1-274-26</v>
      </c>
      <c r="F13658" t="s">
        <v>65</v>
      </c>
      <c r="G13658" t="s">
        <v>66</v>
      </c>
      <c r="H13658" t="s">
        <v>67</v>
      </c>
      <c r="S13658">
        <v>1</v>
      </c>
      <c r="T13658">
        <v>0</v>
      </c>
      <c r="U13658">
        <v>0</v>
      </c>
      <c r="V13658">
        <v>0</v>
      </c>
      <c r="W13658">
        <v>1</v>
      </c>
      <c r="X13658">
        <v>0</v>
      </c>
      <c r="Y13658">
        <v>1</v>
      </c>
      <c r="Z13658">
        <v>0</v>
      </c>
      <c r="AA13658">
        <v>0</v>
      </c>
      <c r="AB13658">
        <v>0</v>
      </c>
      <c r="AC13658">
        <v>1</v>
      </c>
      <c r="AD13658">
        <v>1</v>
      </c>
      <c r="AE13658">
        <v>1</v>
      </c>
      <c r="AF13658">
        <v>1</v>
      </c>
      <c r="AG13658">
        <v>1</v>
      </c>
      <c r="AH13658">
        <v>1</v>
      </c>
      <c r="AI13658">
        <v>1</v>
      </c>
      <c r="AJ13658">
        <v>1</v>
      </c>
      <c r="AK13658">
        <v>1</v>
      </c>
      <c r="AL13658">
        <v>1</v>
      </c>
      <c r="AM13658">
        <v>1</v>
      </c>
    </row>
    <row r="13659" spans="1:39" x14ac:dyDescent="0.2">
      <c r="A13659" t="str">
        <f>"13655"</f>
        <v>13655</v>
      </c>
      <c r="B13659" t="str">
        <f t="shared" si="758"/>
        <v>1</v>
      </c>
      <c r="C13659" t="str">
        <f t="shared" si="760"/>
        <v>274</v>
      </c>
      <c r="D13659" t="str">
        <f>"17"</f>
        <v>17</v>
      </c>
      <c r="E13659" t="str">
        <f>"1-274-17"</f>
        <v>1-274-17</v>
      </c>
      <c r="F13659" t="s">
        <v>65</v>
      </c>
      <c r="G13659" t="s">
        <v>66</v>
      </c>
      <c r="H13659" t="s">
        <v>67</v>
      </c>
      <c r="S13659">
        <v>0</v>
      </c>
      <c r="T13659">
        <v>0</v>
      </c>
      <c r="U13659">
        <v>0</v>
      </c>
      <c r="V13659">
        <v>0</v>
      </c>
      <c r="W13659">
        <v>0</v>
      </c>
      <c r="X13659">
        <v>1</v>
      </c>
      <c r="Y13659">
        <v>0</v>
      </c>
      <c r="Z13659">
        <v>0</v>
      </c>
      <c r="AA13659">
        <v>0</v>
      </c>
      <c r="AB13659">
        <v>0</v>
      </c>
      <c r="AC13659">
        <v>0</v>
      </c>
      <c r="AD13659">
        <v>0</v>
      </c>
      <c r="AE13659">
        <v>0</v>
      </c>
      <c r="AF13659">
        <v>0</v>
      </c>
      <c r="AG13659">
        <v>0</v>
      </c>
      <c r="AH13659">
        <v>1</v>
      </c>
      <c r="AI13659">
        <v>0</v>
      </c>
      <c r="AJ13659">
        <v>0</v>
      </c>
      <c r="AK13659">
        <v>0</v>
      </c>
      <c r="AL13659">
        <v>0</v>
      </c>
      <c r="AM13659">
        <v>0</v>
      </c>
    </row>
    <row r="13660" spans="1:39" x14ac:dyDescent="0.2">
      <c r="A13660" t="str">
        <f>"13656"</f>
        <v>13656</v>
      </c>
      <c r="B13660" t="str">
        <f t="shared" si="758"/>
        <v>1</v>
      </c>
      <c r="C13660" t="str">
        <f t="shared" si="760"/>
        <v>274</v>
      </c>
      <c r="D13660" t="str">
        <f>"15"</f>
        <v>15</v>
      </c>
      <c r="E13660" t="str">
        <f>"1-274-15"</f>
        <v>1-274-15</v>
      </c>
      <c r="F13660" t="s">
        <v>65</v>
      </c>
      <c r="G13660" t="s">
        <v>66</v>
      </c>
      <c r="H13660" t="s">
        <v>67</v>
      </c>
      <c r="S13660">
        <v>0</v>
      </c>
      <c r="T13660">
        <v>1</v>
      </c>
      <c r="U13660">
        <v>0</v>
      </c>
      <c r="V13660">
        <v>0</v>
      </c>
      <c r="W13660">
        <v>0</v>
      </c>
      <c r="X13660">
        <v>1</v>
      </c>
      <c r="Y13660">
        <v>0</v>
      </c>
      <c r="Z13660">
        <v>1</v>
      </c>
      <c r="AA13660">
        <v>0</v>
      </c>
      <c r="AB13660">
        <v>0</v>
      </c>
      <c r="AC13660">
        <v>1</v>
      </c>
      <c r="AD13660">
        <v>1</v>
      </c>
      <c r="AE13660">
        <v>1</v>
      </c>
      <c r="AF13660">
        <v>1</v>
      </c>
      <c r="AG13660">
        <v>1</v>
      </c>
      <c r="AH13660">
        <v>1</v>
      </c>
      <c r="AI13660">
        <v>1</v>
      </c>
      <c r="AJ13660">
        <v>1</v>
      </c>
      <c r="AK13660">
        <v>1</v>
      </c>
      <c r="AL13660">
        <v>1</v>
      </c>
      <c r="AM13660">
        <v>1</v>
      </c>
    </row>
    <row r="13661" spans="1:39" x14ac:dyDescent="0.2">
      <c r="A13661" t="str">
        <f>"13657"</f>
        <v>13657</v>
      </c>
      <c r="B13661" t="str">
        <f t="shared" si="758"/>
        <v>1</v>
      </c>
      <c r="C13661" t="str">
        <f t="shared" si="760"/>
        <v>274</v>
      </c>
      <c r="D13661" t="str">
        <f>"3"</f>
        <v>3</v>
      </c>
      <c r="E13661" t="str">
        <f>"1-274-3"</f>
        <v>1-274-3</v>
      </c>
      <c r="F13661" t="s">
        <v>65</v>
      </c>
      <c r="G13661" t="s">
        <v>66</v>
      </c>
      <c r="H13661" t="s">
        <v>67</v>
      </c>
      <c r="S13661">
        <v>0</v>
      </c>
      <c r="T13661">
        <v>1</v>
      </c>
      <c r="U13661">
        <v>0</v>
      </c>
      <c r="V13661">
        <v>0</v>
      </c>
      <c r="W13661">
        <v>1</v>
      </c>
      <c r="X13661">
        <v>0</v>
      </c>
      <c r="Y13661">
        <v>1</v>
      </c>
      <c r="Z13661">
        <v>0</v>
      </c>
      <c r="AA13661">
        <v>0</v>
      </c>
      <c r="AB13661">
        <v>1</v>
      </c>
      <c r="AC13661">
        <v>0</v>
      </c>
      <c r="AD13661">
        <v>1</v>
      </c>
      <c r="AE13661">
        <v>1</v>
      </c>
      <c r="AF13661">
        <v>1</v>
      </c>
      <c r="AG13661">
        <v>1</v>
      </c>
      <c r="AH13661">
        <v>1</v>
      </c>
      <c r="AI13661">
        <v>1</v>
      </c>
      <c r="AJ13661">
        <v>1</v>
      </c>
      <c r="AK13661">
        <v>1</v>
      </c>
      <c r="AL13661">
        <v>1</v>
      </c>
      <c r="AM13661">
        <v>1</v>
      </c>
    </row>
    <row r="13662" spans="1:39" x14ac:dyDescent="0.2">
      <c r="A13662" t="str">
        <f>"13658"</f>
        <v>13658</v>
      </c>
      <c r="B13662" t="str">
        <f t="shared" si="758"/>
        <v>1</v>
      </c>
      <c r="C13662" t="str">
        <f t="shared" si="760"/>
        <v>274</v>
      </c>
      <c r="D13662" t="str">
        <f>"24"</f>
        <v>24</v>
      </c>
      <c r="E13662" t="str">
        <f>"1-274-24"</f>
        <v>1-274-24</v>
      </c>
      <c r="F13662" t="s">
        <v>65</v>
      </c>
      <c r="G13662" t="s">
        <v>66</v>
      </c>
      <c r="H13662" t="s">
        <v>67</v>
      </c>
      <c r="S13662">
        <v>0</v>
      </c>
      <c r="T13662">
        <v>1</v>
      </c>
      <c r="U13662">
        <v>0</v>
      </c>
      <c r="V13662">
        <v>0</v>
      </c>
      <c r="W13662">
        <v>1</v>
      </c>
      <c r="X13662">
        <v>0</v>
      </c>
      <c r="Y13662">
        <v>1</v>
      </c>
      <c r="Z13662">
        <v>0</v>
      </c>
      <c r="AA13662">
        <v>0</v>
      </c>
      <c r="AB13662">
        <v>1</v>
      </c>
      <c r="AC13662">
        <v>0</v>
      </c>
      <c r="AD13662">
        <v>1</v>
      </c>
      <c r="AE13662">
        <v>1</v>
      </c>
      <c r="AF13662">
        <v>1</v>
      </c>
      <c r="AG13662">
        <v>1</v>
      </c>
      <c r="AH13662">
        <v>1</v>
      </c>
      <c r="AI13662">
        <v>1</v>
      </c>
      <c r="AJ13662">
        <v>1</v>
      </c>
      <c r="AK13662">
        <v>1</v>
      </c>
      <c r="AL13662">
        <v>1</v>
      </c>
      <c r="AM13662">
        <v>1</v>
      </c>
    </row>
    <row r="13663" spans="1:39" x14ac:dyDescent="0.2">
      <c r="A13663" t="str">
        <f>"13659"</f>
        <v>13659</v>
      </c>
      <c r="B13663" t="str">
        <f t="shared" si="758"/>
        <v>1</v>
      </c>
      <c r="C13663" t="str">
        <f t="shared" si="760"/>
        <v>274</v>
      </c>
      <c r="D13663" t="str">
        <f>"16"</f>
        <v>16</v>
      </c>
      <c r="E13663" t="str">
        <f>"1-274-16"</f>
        <v>1-274-16</v>
      </c>
      <c r="F13663" t="s">
        <v>65</v>
      </c>
      <c r="G13663" t="s">
        <v>66</v>
      </c>
      <c r="H13663" t="s">
        <v>67</v>
      </c>
      <c r="S13663">
        <v>1</v>
      </c>
      <c r="T13663">
        <v>0</v>
      </c>
      <c r="U13663">
        <v>0</v>
      </c>
      <c r="V13663">
        <v>0</v>
      </c>
      <c r="W13663">
        <v>0</v>
      </c>
      <c r="X13663">
        <v>1</v>
      </c>
      <c r="Y13663">
        <v>1</v>
      </c>
      <c r="Z13663">
        <v>0</v>
      </c>
      <c r="AA13663">
        <v>1</v>
      </c>
      <c r="AB13663">
        <v>0</v>
      </c>
      <c r="AC13663">
        <v>0</v>
      </c>
      <c r="AD13663">
        <v>1</v>
      </c>
      <c r="AE13663">
        <v>1</v>
      </c>
      <c r="AF13663">
        <v>1</v>
      </c>
      <c r="AG13663">
        <v>1</v>
      </c>
      <c r="AH13663">
        <v>1</v>
      </c>
      <c r="AI13663">
        <v>1</v>
      </c>
      <c r="AJ13663">
        <v>1</v>
      </c>
      <c r="AK13663">
        <v>1</v>
      </c>
      <c r="AL13663">
        <v>1</v>
      </c>
      <c r="AM13663">
        <v>1</v>
      </c>
    </row>
    <row r="13664" spans="1:39" x14ac:dyDescent="0.2">
      <c r="A13664" t="str">
        <f>"13660"</f>
        <v>13660</v>
      </c>
      <c r="B13664" t="str">
        <f t="shared" si="758"/>
        <v>1</v>
      </c>
      <c r="C13664" t="str">
        <f t="shared" si="760"/>
        <v>274</v>
      </c>
      <c r="D13664" t="str">
        <f>"1"</f>
        <v>1</v>
      </c>
      <c r="E13664" t="str">
        <f>"1-274-1"</f>
        <v>1-274-1</v>
      </c>
      <c r="F13664" t="s">
        <v>65</v>
      </c>
      <c r="G13664" t="s">
        <v>66</v>
      </c>
      <c r="H13664" t="s">
        <v>67</v>
      </c>
      <c r="S13664">
        <v>1</v>
      </c>
      <c r="T13664">
        <v>0</v>
      </c>
      <c r="U13664">
        <v>0</v>
      </c>
      <c r="V13664">
        <v>0</v>
      </c>
      <c r="W13664">
        <v>1</v>
      </c>
      <c r="X13664">
        <v>0</v>
      </c>
      <c r="Y13664">
        <v>1</v>
      </c>
      <c r="Z13664">
        <v>0</v>
      </c>
      <c r="AA13664">
        <v>1</v>
      </c>
      <c r="AB13664">
        <v>0</v>
      </c>
      <c r="AC13664">
        <v>0</v>
      </c>
      <c r="AD13664">
        <v>1</v>
      </c>
      <c r="AE13664">
        <v>1</v>
      </c>
      <c r="AF13664">
        <v>1</v>
      </c>
      <c r="AG13664">
        <v>1</v>
      </c>
      <c r="AH13664">
        <v>1</v>
      </c>
      <c r="AI13664">
        <v>1</v>
      </c>
      <c r="AJ13664">
        <v>1</v>
      </c>
      <c r="AK13664">
        <v>1</v>
      </c>
      <c r="AL13664">
        <v>1</v>
      </c>
      <c r="AM13664">
        <v>1</v>
      </c>
    </row>
    <row r="13665" spans="1:39" x14ac:dyDescent="0.2">
      <c r="A13665" t="str">
        <f>"13661"</f>
        <v>13661</v>
      </c>
      <c r="B13665" t="str">
        <f t="shared" si="758"/>
        <v>1</v>
      </c>
      <c r="C13665" t="str">
        <f t="shared" si="760"/>
        <v>274</v>
      </c>
      <c r="D13665" t="str">
        <f>"34"</f>
        <v>34</v>
      </c>
      <c r="E13665" t="str">
        <f>"1-274-34"</f>
        <v>1-274-34</v>
      </c>
      <c r="F13665" t="s">
        <v>65</v>
      </c>
      <c r="G13665" t="s">
        <v>66</v>
      </c>
      <c r="H13665" t="s">
        <v>67</v>
      </c>
      <c r="S13665">
        <v>1</v>
      </c>
      <c r="T13665">
        <v>0</v>
      </c>
      <c r="U13665">
        <v>0</v>
      </c>
      <c r="V13665">
        <v>0</v>
      </c>
      <c r="W13665">
        <v>1</v>
      </c>
      <c r="X13665">
        <v>0</v>
      </c>
      <c r="Y13665">
        <v>1</v>
      </c>
      <c r="Z13665">
        <v>0</v>
      </c>
      <c r="AA13665">
        <v>0</v>
      </c>
      <c r="AB13665">
        <v>0</v>
      </c>
      <c r="AC13665">
        <v>1</v>
      </c>
      <c r="AD13665">
        <v>1</v>
      </c>
      <c r="AE13665">
        <v>1</v>
      </c>
      <c r="AF13665">
        <v>1</v>
      </c>
      <c r="AG13665">
        <v>1</v>
      </c>
      <c r="AH13665">
        <v>1</v>
      </c>
      <c r="AI13665">
        <v>1</v>
      </c>
      <c r="AJ13665">
        <v>1</v>
      </c>
      <c r="AK13665">
        <v>1</v>
      </c>
      <c r="AL13665">
        <v>1</v>
      </c>
      <c r="AM13665">
        <v>1</v>
      </c>
    </row>
    <row r="13666" spans="1:39" x14ac:dyDescent="0.2">
      <c r="A13666" t="str">
        <f>"13662"</f>
        <v>13662</v>
      </c>
      <c r="B13666" t="str">
        <f t="shared" si="758"/>
        <v>1</v>
      </c>
      <c r="C13666" t="str">
        <f t="shared" si="760"/>
        <v>274</v>
      </c>
      <c r="D13666" t="str">
        <f>"18"</f>
        <v>18</v>
      </c>
      <c r="E13666" t="str">
        <f>"1-274-18"</f>
        <v>1-274-18</v>
      </c>
      <c r="F13666" t="s">
        <v>65</v>
      </c>
      <c r="G13666" t="s">
        <v>66</v>
      </c>
      <c r="H13666" t="s">
        <v>67</v>
      </c>
      <c r="S13666">
        <v>0</v>
      </c>
      <c r="T13666">
        <v>0</v>
      </c>
      <c r="U13666">
        <v>0</v>
      </c>
      <c r="V13666">
        <v>0</v>
      </c>
      <c r="W13666">
        <v>0</v>
      </c>
      <c r="X13666">
        <v>1</v>
      </c>
      <c r="Y13666">
        <v>0</v>
      </c>
      <c r="Z13666">
        <v>0</v>
      </c>
      <c r="AA13666">
        <v>0</v>
      </c>
      <c r="AB13666">
        <v>0</v>
      </c>
      <c r="AC13666">
        <v>0</v>
      </c>
      <c r="AD13666">
        <v>0</v>
      </c>
      <c r="AE13666">
        <v>0</v>
      </c>
      <c r="AF13666">
        <v>0</v>
      </c>
      <c r="AG13666">
        <v>0</v>
      </c>
      <c r="AH13666">
        <v>0</v>
      </c>
      <c r="AI13666">
        <v>0</v>
      </c>
      <c r="AJ13666">
        <v>0</v>
      </c>
      <c r="AK13666">
        <v>0</v>
      </c>
      <c r="AL13666">
        <v>0</v>
      </c>
      <c r="AM13666">
        <v>0</v>
      </c>
    </row>
    <row r="13667" spans="1:39" x14ac:dyDescent="0.2">
      <c r="A13667" t="str">
        <f>"13663"</f>
        <v>13663</v>
      </c>
      <c r="B13667" t="str">
        <f t="shared" si="758"/>
        <v>1</v>
      </c>
      <c r="C13667" t="str">
        <f t="shared" si="760"/>
        <v>274</v>
      </c>
      <c r="D13667" t="str">
        <f>"10"</f>
        <v>10</v>
      </c>
      <c r="E13667" t="str">
        <f>"1-274-10"</f>
        <v>1-274-10</v>
      </c>
      <c r="F13667" t="s">
        <v>65</v>
      </c>
      <c r="G13667" t="s">
        <v>66</v>
      </c>
      <c r="H13667" t="s">
        <v>67</v>
      </c>
      <c r="S13667">
        <v>1</v>
      </c>
      <c r="T13667">
        <v>0</v>
      </c>
      <c r="U13667">
        <v>0</v>
      </c>
      <c r="V13667">
        <v>0</v>
      </c>
      <c r="W13667">
        <v>1</v>
      </c>
      <c r="X13667">
        <v>0</v>
      </c>
      <c r="Y13667">
        <v>1</v>
      </c>
      <c r="Z13667">
        <v>0</v>
      </c>
      <c r="AA13667">
        <v>1</v>
      </c>
      <c r="AB13667">
        <v>0</v>
      </c>
      <c r="AC13667">
        <v>0</v>
      </c>
      <c r="AD13667">
        <v>0</v>
      </c>
      <c r="AE13667">
        <v>0</v>
      </c>
      <c r="AF13667">
        <v>0</v>
      </c>
      <c r="AG13667">
        <v>0</v>
      </c>
      <c r="AH13667">
        <v>0</v>
      </c>
      <c r="AI13667">
        <v>1</v>
      </c>
      <c r="AJ13667">
        <v>1</v>
      </c>
      <c r="AK13667">
        <v>1</v>
      </c>
      <c r="AL13667">
        <v>1</v>
      </c>
      <c r="AM13667">
        <v>0</v>
      </c>
    </row>
    <row r="13668" spans="1:39" x14ac:dyDescent="0.2">
      <c r="A13668" t="str">
        <f>"13664"</f>
        <v>13664</v>
      </c>
      <c r="B13668" t="str">
        <f t="shared" si="758"/>
        <v>1</v>
      </c>
      <c r="C13668" t="str">
        <f t="shared" si="760"/>
        <v>274</v>
      </c>
      <c r="D13668" t="str">
        <f>"43"</f>
        <v>43</v>
      </c>
      <c r="E13668" t="str">
        <f>"1-274-43"</f>
        <v>1-274-43</v>
      </c>
      <c r="F13668" t="s">
        <v>65</v>
      </c>
      <c r="G13668" t="s">
        <v>66</v>
      </c>
      <c r="H13668" t="s">
        <v>67</v>
      </c>
      <c r="S13668">
        <v>1</v>
      </c>
      <c r="T13668">
        <v>0</v>
      </c>
      <c r="U13668">
        <v>0</v>
      </c>
      <c r="V13668">
        <v>0</v>
      </c>
      <c r="W13668">
        <v>1</v>
      </c>
      <c r="X13668">
        <v>0</v>
      </c>
      <c r="Y13668">
        <v>0</v>
      </c>
      <c r="Z13668">
        <v>1</v>
      </c>
      <c r="AA13668">
        <v>1</v>
      </c>
      <c r="AB13668">
        <v>0</v>
      </c>
      <c r="AC13668">
        <v>0</v>
      </c>
      <c r="AD13668">
        <v>1</v>
      </c>
      <c r="AE13668">
        <v>1</v>
      </c>
      <c r="AF13668">
        <v>1</v>
      </c>
      <c r="AG13668">
        <v>1</v>
      </c>
      <c r="AH13668">
        <v>1</v>
      </c>
      <c r="AI13668">
        <v>1</v>
      </c>
      <c r="AJ13668">
        <v>1</v>
      </c>
      <c r="AK13668">
        <v>1</v>
      </c>
      <c r="AL13668">
        <v>1</v>
      </c>
      <c r="AM13668">
        <v>1</v>
      </c>
    </row>
    <row r="13669" spans="1:39" x14ac:dyDescent="0.2">
      <c r="A13669" t="str">
        <f>"13665"</f>
        <v>13665</v>
      </c>
      <c r="B13669" t="str">
        <f t="shared" si="758"/>
        <v>1</v>
      </c>
      <c r="C13669" t="str">
        <f t="shared" si="760"/>
        <v>274</v>
      </c>
      <c r="D13669" t="str">
        <f>"19"</f>
        <v>19</v>
      </c>
      <c r="E13669" t="str">
        <f>"1-274-19"</f>
        <v>1-274-19</v>
      </c>
      <c r="F13669" t="s">
        <v>65</v>
      </c>
      <c r="G13669" t="s">
        <v>66</v>
      </c>
      <c r="H13669" t="s">
        <v>67</v>
      </c>
      <c r="S13669">
        <v>1</v>
      </c>
      <c r="T13669">
        <v>0</v>
      </c>
      <c r="U13669">
        <v>0</v>
      </c>
      <c r="V13669">
        <v>0</v>
      </c>
      <c r="W13669">
        <v>1</v>
      </c>
      <c r="X13669">
        <v>0</v>
      </c>
      <c r="Y13669">
        <v>0</v>
      </c>
      <c r="Z13669">
        <v>1</v>
      </c>
      <c r="AA13669">
        <v>0</v>
      </c>
      <c r="AB13669">
        <v>1</v>
      </c>
      <c r="AC13669">
        <v>0</v>
      </c>
      <c r="AD13669">
        <v>1</v>
      </c>
      <c r="AE13669">
        <v>1</v>
      </c>
      <c r="AF13669">
        <v>1</v>
      </c>
      <c r="AG13669">
        <v>1</v>
      </c>
      <c r="AH13669">
        <v>1</v>
      </c>
      <c r="AI13669">
        <v>1</v>
      </c>
      <c r="AJ13669">
        <v>1</v>
      </c>
      <c r="AK13669">
        <v>0</v>
      </c>
      <c r="AL13669">
        <v>1</v>
      </c>
      <c r="AM13669">
        <v>1</v>
      </c>
    </row>
    <row r="13670" spans="1:39" x14ac:dyDescent="0.2">
      <c r="A13670" t="str">
        <f>"13666"</f>
        <v>13666</v>
      </c>
      <c r="B13670" t="str">
        <f t="shared" si="758"/>
        <v>1</v>
      </c>
      <c r="C13670" t="str">
        <f t="shared" si="760"/>
        <v>274</v>
      </c>
      <c r="D13670" t="str">
        <f>"2"</f>
        <v>2</v>
      </c>
      <c r="E13670" t="str">
        <f>"1-274-2"</f>
        <v>1-274-2</v>
      </c>
      <c r="F13670" t="s">
        <v>65</v>
      </c>
      <c r="G13670" t="s">
        <v>66</v>
      </c>
      <c r="H13670" t="s">
        <v>67</v>
      </c>
      <c r="S13670">
        <v>1</v>
      </c>
      <c r="T13670">
        <v>0</v>
      </c>
      <c r="U13670">
        <v>0</v>
      </c>
      <c r="V13670">
        <v>0</v>
      </c>
      <c r="W13670">
        <v>1</v>
      </c>
      <c r="X13670">
        <v>0</v>
      </c>
      <c r="Y13670">
        <v>1</v>
      </c>
      <c r="Z13670">
        <v>0</v>
      </c>
      <c r="AA13670">
        <v>1</v>
      </c>
      <c r="AB13670">
        <v>0</v>
      </c>
      <c r="AC13670">
        <v>0</v>
      </c>
      <c r="AD13670">
        <v>1</v>
      </c>
      <c r="AE13670">
        <v>1</v>
      </c>
      <c r="AF13670">
        <v>1</v>
      </c>
      <c r="AG13670">
        <v>1</v>
      </c>
      <c r="AH13670">
        <v>1</v>
      </c>
      <c r="AI13670">
        <v>1</v>
      </c>
      <c r="AJ13670">
        <v>1</v>
      </c>
      <c r="AK13670">
        <v>0</v>
      </c>
      <c r="AL13670">
        <v>1</v>
      </c>
      <c r="AM13670">
        <v>1</v>
      </c>
    </row>
    <row r="13671" spans="1:39" x14ac:dyDescent="0.2">
      <c r="A13671" t="str">
        <f>"13667"</f>
        <v>13667</v>
      </c>
      <c r="B13671" t="str">
        <f t="shared" si="758"/>
        <v>1</v>
      </c>
      <c r="C13671" t="str">
        <f t="shared" si="760"/>
        <v>274</v>
      </c>
      <c r="D13671" t="str">
        <f>"47"</f>
        <v>47</v>
      </c>
      <c r="E13671" t="str">
        <f>"1-274-47"</f>
        <v>1-274-47</v>
      </c>
      <c r="F13671" t="s">
        <v>65</v>
      </c>
      <c r="G13671" t="s">
        <v>66</v>
      </c>
      <c r="H13671" t="s">
        <v>67</v>
      </c>
      <c r="S13671">
        <v>0</v>
      </c>
      <c r="T13671">
        <v>1</v>
      </c>
      <c r="U13671">
        <v>0</v>
      </c>
      <c r="V13671">
        <v>0</v>
      </c>
      <c r="W13671">
        <v>1</v>
      </c>
      <c r="X13671">
        <v>0</v>
      </c>
      <c r="Y13671">
        <v>0</v>
      </c>
      <c r="Z13671">
        <v>1</v>
      </c>
      <c r="AA13671">
        <v>0</v>
      </c>
      <c r="AB13671">
        <v>0</v>
      </c>
      <c r="AC13671">
        <v>1</v>
      </c>
      <c r="AD13671">
        <v>1</v>
      </c>
      <c r="AE13671">
        <v>1</v>
      </c>
      <c r="AF13671">
        <v>1</v>
      </c>
      <c r="AG13671">
        <v>1</v>
      </c>
      <c r="AH13671">
        <v>1</v>
      </c>
      <c r="AI13671">
        <v>1</v>
      </c>
      <c r="AJ13671">
        <v>1</v>
      </c>
      <c r="AK13671">
        <v>1</v>
      </c>
      <c r="AL13671">
        <v>1</v>
      </c>
      <c r="AM13671">
        <v>1</v>
      </c>
    </row>
    <row r="13672" spans="1:39" x14ac:dyDescent="0.2">
      <c r="A13672" t="str">
        <f>"13668"</f>
        <v>13668</v>
      </c>
      <c r="B13672" t="str">
        <f t="shared" si="758"/>
        <v>1</v>
      </c>
      <c r="C13672" t="str">
        <f t="shared" si="760"/>
        <v>274</v>
      </c>
      <c r="D13672" t="str">
        <f>"46"</f>
        <v>46</v>
      </c>
      <c r="E13672" t="str">
        <f>"1-274-46"</f>
        <v>1-274-46</v>
      </c>
      <c r="F13672" t="s">
        <v>65</v>
      </c>
      <c r="G13672" t="s">
        <v>66</v>
      </c>
      <c r="H13672" t="s">
        <v>67</v>
      </c>
      <c r="S13672">
        <v>0</v>
      </c>
      <c r="T13672">
        <v>1</v>
      </c>
      <c r="U13672">
        <v>0</v>
      </c>
      <c r="V13672">
        <v>0</v>
      </c>
      <c r="W13672">
        <v>1</v>
      </c>
      <c r="X13672">
        <v>0</v>
      </c>
      <c r="Y13672">
        <v>0</v>
      </c>
      <c r="Z13672">
        <v>1</v>
      </c>
      <c r="AA13672">
        <v>0</v>
      </c>
      <c r="AB13672">
        <v>0</v>
      </c>
      <c r="AC13672">
        <v>1</v>
      </c>
      <c r="AD13672">
        <v>1</v>
      </c>
      <c r="AE13672">
        <v>1</v>
      </c>
      <c r="AF13672">
        <v>1</v>
      </c>
      <c r="AG13672">
        <v>1</v>
      </c>
      <c r="AH13672">
        <v>1</v>
      </c>
      <c r="AI13672">
        <v>1</v>
      </c>
      <c r="AJ13672">
        <v>1</v>
      </c>
      <c r="AK13672">
        <v>1</v>
      </c>
      <c r="AL13672">
        <v>1</v>
      </c>
      <c r="AM13672">
        <v>1</v>
      </c>
    </row>
    <row r="13673" spans="1:39" x14ac:dyDescent="0.2">
      <c r="A13673" t="str">
        <f>"13669"</f>
        <v>13669</v>
      </c>
      <c r="B13673" t="str">
        <f t="shared" si="758"/>
        <v>1</v>
      </c>
      <c r="C13673" t="str">
        <f t="shared" si="760"/>
        <v>274</v>
      </c>
      <c r="D13673" t="str">
        <f>"39"</f>
        <v>39</v>
      </c>
      <c r="E13673" t="str">
        <f>"1-274-39"</f>
        <v>1-274-39</v>
      </c>
      <c r="F13673" t="s">
        <v>65</v>
      </c>
      <c r="G13673" t="s">
        <v>66</v>
      </c>
      <c r="H13673" t="s">
        <v>67</v>
      </c>
      <c r="S13673">
        <v>0</v>
      </c>
      <c r="T13673">
        <v>1</v>
      </c>
      <c r="U13673">
        <v>0</v>
      </c>
      <c r="V13673">
        <v>0</v>
      </c>
      <c r="W13673">
        <v>1</v>
      </c>
      <c r="X13673">
        <v>0</v>
      </c>
      <c r="Y13673">
        <v>0</v>
      </c>
      <c r="Z13673">
        <v>1</v>
      </c>
      <c r="AA13673">
        <v>1</v>
      </c>
      <c r="AB13673">
        <v>0</v>
      </c>
      <c r="AC13673">
        <v>0</v>
      </c>
      <c r="AD13673">
        <v>1</v>
      </c>
      <c r="AE13673">
        <v>1</v>
      </c>
      <c r="AF13673">
        <v>1</v>
      </c>
      <c r="AG13673">
        <v>1</v>
      </c>
      <c r="AH13673">
        <v>1</v>
      </c>
      <c r="AI13673">
        <v>1</v>
      </c>
      <c r="AJ13673">
        <v>1</v>
      </c>
      <c r="AK13673">
        <v>1</v>
      </c>
      <c r="AL13673">
        <v>1</v>
      </c>
      <c r="AM13673">
        <v>1</v>
      </c>
    </row>
    <row r="13674" spans="1:39" x14ac:dyDescent="0.2">
      <c r="A13674" t="str">
        <f>"13670"</f>
        <v>13670</v>
      </c>
      <c r="B13674" t="str">
        <f t="shared" si="758"/>
        <v>1</v>
      </c>
      <c r="C13674" t="str">
        <f t="shared" si="760"/>
        <v>274</v>
      </c>
      <c r="D13674" t="str">
        <f>"20"</f>
        <v>20</v>
      </c>
      <c r="E13674" t="str">
        <f>"1-274-20"</f>
        <v>1-274-20</v>
      </c>
      <c r="F13674" t="s">
        <v>65</v>
      </c>
      <c r="G13674" t="s">
        <v>66</v>
      </c>
      <c r="H13674" t="s">
        <v>67</v>
      </c>
      <c r="S13674">
        <v>1</v>
      </c>
      <c r="T13674">
        <v>0</v>
      </c>
      <c r="U13674">
        <v>0</v>
      </c>
      <c r="V13674">
        <v>0</v>
      </c>
      <c r="W13674">
        <v>0</v>
      </c>
      <c r="X13674">
        <v>1</v>
      </c>
      <c r="Y13674">
        <v>1</v>
      </c>
      <c r="Z13674">
        <v>0</v>
      </c>
      <c r="AA13674">
        <v>1</v>
      </c>
      <c r="AB13674">
        <v>0</v>
      </c>
      <c r="AC13674">
        <v>0</v>
      </c>
      <c r="AD13674">
        <v>1</v>
      </c>
      <c r="AE13674">
        <v>1</v>
      </c>
      <c r="AF13674">
        <v>1</v>
      </c>
      <c r="AG13674">
        <v>1</v>
      </c>
      <c r="AH13674">
        <v>1</v>
      </c>
      <c r="AI13674">
        <v>1</v>
      </c>
      <c r="AJ13674">
        <v>1</v>
      </c>
      <c r="AK13674">
        <v>1</v>
      </c>
      <c r="AL13674">
        <v>1</v>
      </c>
      <c r="AM13674">
        <v>1</v>
      </c>
    </row>
    <row r="13675" spans="1:39" x14ac:dyDescent="0.2">
      <c r="A13675" t="str">
        <f>"13671"</f>
        <v>13671</v>
      </c>
      <c r="B13675" t="str">
        <f t="shared" si="758"/>
        <v>1</v>
      </c>
      <c r="C13675" t="str">
        <f t="shared" si="760"/>
        <v>274</v>
      </c>
      <c r="D13675" t="str">
        <f>"13"</f>
        <v>13</v>
      </c>
      <c r="E13675" t="str">
        <f>"1-274-13"</f>
        <v>1-274-13</v>
      </c>
      <c r="F13675" t="s">
        <v>65</v>
      </c>
      <c r="G13675" t="s">
        <v>66</v>
      </c>
      <c r="H13675" t="s">
        <v>67</v>
      </c>
      <c r="S13675">
        <v>0</v>
      </c>
      <c r="T13675">
        <v>1</v>
      </c>
      <c r="U13675">
        <v>0</v>
      </c>
      <c r="V13675">
        <v>0</v>
      </c>
      <c r="W13675">
        <v>1</v>
      </c>
      <c r="X13675">
        <v>0</v>
      </c>
      <c r="Y13675">
        <v>1</v>
      </c>
      <c r="Z13675">
        <v>0</v>
      </c>
      <c r="AA13675">
        <v>0</v>
      </c>
      <c r="AB13675">
        <v>1</v>
      </c>
      <c r="AC13675">
        <v>0</v>
      </c>
      <c r="AD13675">
        <v>1</v>
      </c>
      <c r="AE13675">
        <v>1</v>
      </c>
      <c r="AF13675">
        <v>1</v>
      </c>
      <c r="AG13675">
        <v>1</v>
      </c>
      <c r="AH13675">
        <v>1</v>
      </c>
      <c r="AI13675">
        <v>1</v>
      </c>
      <c r="AJ13675">
        <v>1</v>
      </c>
      <c r="AK13675">
        <v>1</v>
      </c>
      <c r="AL13675">
        <v>1</v>
      </c>
      <c r="AM13675">
        <v>1</v>
      </c>
    </row>
    <row r="13676" spans="1:39" x14ac:dyDescent="0.2">
      <c r="A13676" t="str">
        <f>"13672"</f>
        <v>13672</v>
      </c>
      <c r="B13676" t="str">
        <f t="shared" si="758"/>
        <v>1</v>
      </c>
      <c r="C13676" t="str">
        <f t="shared" si="760"/>
        <v>274</v>
      </c>
      <c r="D13676" t="str">
        <f>"49"</f>
        <v>49</v>
      </c>
      <c r="E13676" t="str">
        <f>"1-274-49"</f>
        <v>1-274-49</v>
      </c>
      <c r="F13676" t="s">
        <v>65</v>
      </c>
      <c r="G13676" t="s">
        <v>66</v>
      </c>
      <c r="H13676" t="s">
        <v>67</v>
      </c>
      <c r="S13676">
        <v>0</v>
      </c>
      <c r="T13676">
        <v>1</v>
      </c>
      <c r="U13676">
        <v>0</v>
      </c>
      <c r="V13676">
        <v>0</v>
      </c>
      <c r="W13676">
        <v>0</v>
      </c>
      <c r="X13676">
        <v>1</v>
      </c>
      <c r="Y13676">
        <v>1</v>
      </c>
      <c r="Z13676">
        <v>0</v>
      </c>
      <c r="AA13676">
        <v>0</v>
      </c>
      <c r="AB13676">
        <v>1</v>
      </c>
      <c r="AC13676">
        <v>0</v>
      </c>
      <c r="AD13676">
        <v>1</v>
      </c>
      <c r="AE13676">
        <v>1</v>
      </c>
      <c r="AF13676">
        <v>1</v>
      </c>
      <c r="AG13676">
        <v>1</v>
      </c>
      <c r="AH13676">
        <v>0</v>
      </c>
      <c r="AI13676">
        <v>1</v>
      </c>
      <c r="AJ13676">
        <v>1</v>
      </c>
      <c r="AK13676">
        <v>1</v>
      </c>
      <c r="AL13676">
        <v>1</v>
      </c>
      <c r="AM13676">
        <v>1</v>
      </c>
    </row>
    <row r="13677" spans="1:39" x14ac:dyDescent="0.2">
      <c r="A13677" t="str">
        <f>"13673"</f>
        <v>13673</v>
      </c>
      <c r="B13677" t="str">
        <f t="shared" si="758"/>
        <v>1</v>
      </c>
      <c r="C13677" t="str">
        <f t="shared" si="760"/>
        <v>274</v>
      </c>
      <c r="D13677" t="str">
        <f>"48"</f>
        <v>48</v>
      </c>
      <c r="E13677" t="str">
        <f>"1-274-48"</f>
        <v>1-274-48</v>
      </c>
      <c r="F13677" t="s">
        <v>65</v>
      </c>
      <c r="G13677" t="s">
        <v>66</v>
      </c>
      <c r="H13677" t="s">
        <v>67</v>
      </c>
      <c r="S13677">
        <v>0</v>
      </c>
      <c r="T13677">
        <v>1</v>
      </c>
      <c r="U13677">
        <v>0</v>
      </c>
      <c r="V13677">
        <v>0</v>
      </c>
      <c r="W13677">
        <v>0</v>
      </c>
      <c r="X13677">
        <v>1</v>
      </c>
      <c r="Y13677">
        <v>1</v>
      </c>
      <c r="Z13677">
        <v>0</v>
      </c>
      <c r="AA13677">
        <v>0</v>
      </c>
      <c r="AB13677">
        <v>1</v>
      </c>
      <c r="AC13677">
        <v>0</v>
      </c>
      <c r="AD13677">
        <v>1</v>
      </c>
      <c r="AE13677">
        <v>1</v>
      </c>
      <c r="AF13677">
        <v>1</v>
      </c>
      <c r="AG13677">
        <v>1</v>
      </c>
      <c r="AH13677">
        <v>0</v>
      </c>
      <c r="AI13677">
        <v>1</v>
      </c>
      <c r="AJ13677">
        <v>1</v>
      </c>
      <c r="AK13677">
        <v>1</v>
      </c>
      <c r="AL13677">
        <v>1</v>
      </c>
      <c r="AM13677">
        <v>1</v>
      </c>
    </row>
    <row r="13678" spans="1:39" x14ac:dyDescent="0.2">
      <c r="A13678" t="str">
        <f>"13674"</f>
        <v>13674</v>
      </c>
      <c r="B13678" t="str">
        <f t="shared" si="758"/>
        <v>1</v>
      </c>
      <c r="C13678" t="str">
        <f t="shared" si="760"/>
        <v>274</v>
      </c>
      <c r="D13678" t="str">
        <f>"38"</f>
        <v>38</v>
      </c>
      <c r="E13678" t="str">
        <f>"1-274-38"</f>
        <v>1-274-38</v>
      </c>
      <c r="F13678" t="s">
        <v>65</v>
      </c>
      <c r="G13678" t="s">
        <v>66</v>
      </c>
      <c r="H13678" t="s">
        <v>67</v>
      </c>
      <c r="S13678">
        <v>1</v>
      </c>
      <c r="T13678">
        <v>0</v>
      </c>
      <c r="U13678">
        <v>0</v>
      </c>
      <c r="V13678">
        <v>0</v>
      </c>
      <c r="W13678">
        <v>1</v>
      </c>
      <c r="X13678">
        <v>0</v>
      </c>
      <c r="Y13678">
        <v>1</v>
      </c>
      <c r="Z13678">
        <v>0</v>
      </c>
      <c r="AA13678">
        <v>0</v>
      </c>
      <c r="AB13678">
        <v>1</v>
      </c>
      <c r="AC13678">
        <v>0</v>
      </c>
      <c r="AD13678">
        <v>1</v>
      </c>
      <c r="AE13678">
        <v>1</v>
      </c>
      <c r="AF13678">
        <v>1</v>
      </c>
      <c r="AG13678">
        <v>1</v>
      </c>
      <c r="AH13678">
        <v>1</v>
      </c>
      <c r="AI13678">
        <v>1</v>
      </c>
      <c r="AJ13678">
        <v>1</v>
      </c>
      <c r="AK13678">
        <v>1</v>
      </c>
      <c r="AL13678">
        <v>1</v>
      </c>
      <c r="AM13678">
        <v>1</v>
      </c>
    </row>
    <row r="13679" spans="1:39" x14ac:dyDescent="0.2">
      <c r="A13679" t="str">
        <f>"13675"</f>
        <v>13675</v>
      </c>
      <c r="B13679" t="str">
        <f t="shared" si="758"/>
        <v>1</v>
      </c>
      <c r="C13679" t="str">
        <f t="shared" si="760"/>
        <v>274</v>
      </c>
      <c r="D13679" t="str">
        <f>"21"</f>
        <v>21</v>
      </c>
      <c r="E13679" t="str">
        <f>"1-274-21"</f>
        <v>1-274-21</v>
      </c>
      <c r="F13679" t="s">
        <v>65</v>
      </c>
      <c r="G13679" t="s">
        <v>66</v>
      </c>
      <c r="H13679" t="s">
        <v>67</v>
      </c>
      <c r="S13679">
        <v>1</v>
      </c>
      <c r="T13679">
        <v>0</v>
      </c>
      <c r="U13679">
        <v>0</v>
      </c>
      <c r="V13679">
        <v>0</v>
      </c>
      <c r="W13679">
        <v>1</v>
      </c>
      <c r="X13679">
        <v>0</v>
      </c>
      <c r="Y13679">
        <v>1</v>
      </c>
      <c r="Z13679">
        <v>0</v>
      </c>
      <c r="AA13679">
        <v>1</v>
      </c>
      <c r="AB13679">
        <v>0</v>
      </c>
      <c r="AC13679">
        <v>0</v>
      </c>
      <c r="AD13679">
        <v>1</v>
      </c>
      <c r="AE13679">
        <v>1</v>
      </c>
      <c r="AF13679">
        <v>1</v>
      </c>
      <c r="AG13679">
        <v>1</v>
      </c>
      <c r="AH13679">
        <v>1</v>
      </c>
      <c r="AI13679">
        <v>1</v>
      </c>
      <c r="AJ13679">
        <v>1</v>
      </c>
      <c r="AK13679">
        <v>1</v>
      </c>
      <c r="AL13679">
        <v>1</v>
      </c>
      <c r="AM13679">
        <v>1</v>
      </c>
    </row>
    <row r="13680" spans="1:39" x14ac:dyDescent="0.2">
      <c r="A13680" t="str">
        <f>"13676"</f>
        <v>13676</v>
      </c>
      <c r="B13680" t="str">
        <f t="shared" si="758"/>
        <v>1</v>
      </c>
      <c r="C13680" t="str">
        <f t="shared" si="760"/>
        <v>274</v>
      </c>
      <c r="D13680" t="str">
        <f>"7"</f>
        <v>7</v>
      </c>
      <c r="E13680" t="str">
        <f>"1-274-7"</f>
        <v>1-274-7</v>
      </c>
      <c r="F13680" t="s">
        <v>65</v>
      </c>
      <c r="G13680" t="s">
        <v>66</v>
      </c>
      <c r="H13680" t="s">
        <v>67</v>
      </c>
      <c r="S13680">
        <v>0</v>
      </c>
      <c r="T13680">
        <v>1</v>
      </c>
      <c r="U13680">
        <v>0</v>
      </c>
      <c r="V13680">
        <v>0</v>
      </c>
      <c r="W13680">
        <v>1</v>
      </c>
      <c r="X13680">
        <v>0</v>
      </c>
      <c r="Y13680">
        <v>1</v>
      </c>
      <c r="Z13680">
        <v>0</v>
      </c>
      <c r="AA13680">
        <v>0</v>
      </c>
      <c r="AB13680">
        <v>0</v>
      </c>
      <c r="AC13680">
        <v>1</v>
      </c>
      <c r="AD13680">
        <v>0</v>
      </c>
      <c r="AE13680">
        <v>0</v>
      </c>
      <c r="AF13680">
        <v>0</v>
      </c>
      <c r="AG13680">
        <v>0</v>
      </c>
      <c r="AH13680">
        <v>0</v>
      </c>
      <c r="AI13680">
        <v>0</v>
      </c>
      <c r="AJ13680">
        <v>0</v>
      </c>
      <c r="AK13680">
        <v>0</v>
      </c>
      <c r="AL13680">
        <v>0</v>
      </c>
      <c r="AM13680">
        <v>0</v>
      </c>
    </row>
    <row r="13681" spans="1:39" x14ac:dyDescent="0.2">
      <c r="A13681" t="str">
        <f>"13677"</f>
        <v>13677</v>
      </c>
      <c r="B13681" t="str">
        <f t="shared" si="758"/>
        <v>1</v>
      </c>
      <c r="C13681" t="str">
        <f t="shared" si="760"/>
        <v>274</v>
      </c>
      <c r="D13681" t="str">
        <f>"37"</f>
        <v>37</v>
      </c>
      <c r="E13681" t="str">
        <f>"1-274-37"</f>
        <v>1-274-37</v>
      </c>
      <c r="F13681" t="s">
        <v>65</v>
      </c>
      <c r="G13681" t="s">
        <v>66</v>
      </c>
      <c r="H13681" t="s">
        <v>67</v>
      </c>
      <c r="S13681">
        <v>1</v>
      </c>
      <c r="T13681">
        <v>0</v>
      </c>
      <c r="U13681">
        <v>0</v>
      </c>
      <c r="V13681">
        <v>0</v>
      </c>
      <c r="W13681">
        <v>1</v>
      </c>
      <c r="X13681">
        <v>0</v>
      </c>
      <c r="Y13681">
        <v>0</v>
      </c>
      <c r="Z13681">
        <v>1</v>
      </c>
      <c r="AA13681">
        <v>1</v>
      </c>
      <c r="AB13681">
        <v>0</v>
      </c>
      <c r="AC13681">
        <v>0</v>
      </c>
      <c r="AD13681">
        <v>1</v>
      </c>
      <c r="AE13681">
        <v>1</v>
      </c>
      <c r="AF13681">
        <v>1</v>
      </c>
      <c r="AG13681">
        <v>1</v>
      </c>
      <c r="AH13681">
        <v>0</v>
      </c>
      <c r="AI13681">
        <v>1</v>
      </c>
      <c r="AJ13681">
        <v>1</v>
      </c>
      <c r="AK13681">
        <v>1</v>
      </c>
      <c r="AL13681">
        <v>1</v>
      </c>
      <c r="AM13681">
        <v>1</v>
      </c>
    </row>
    <row r="13682" spans="1:39" x14ac:dyDescent="0.2">
      <c r="A13682" t="str">
        <f>"13678"</f>
        <v>13678</v>
      </c>
      <c r="B13682" t="str">
        <f t="shared" si="758"/>
        <v>1</v>
      </c>
      <c r="C13682" t="str">
        <f t="shared" si="760"/>
        <v>274</v>
      </c>
      <c r="D13682" t="str">
        <f>"22"</f>
        <v>22</v>
      </c>
      <c r="E13682" t="str">
        <f>"1-274-22"</f>
        <v>1-274-22</v>
      </c>
      <c r="F13682" t="s">
        <v>65</v>
      </c>
      <c r="G13682" t="s">
        <v>66</v>
      </c>
      <c r="H13682" t="s">
        <v>67</v>
      </c>
      <c r="S13682">
        <v>1</v>
      </c>
      <c r="T13682">
        <v>0</v>
      </c>
      <c r="U13682">
        <v>0</v>
      </c>
      <c r="V13682">
        <v>0</v>
      </c>
      <c r="W13682">
        <v>1</v>
      </c>
      <c r="X13682">
        <v>0</v>
      </c>
      <c r="Y13682">
        <v>1</v>
      </c>
      <c r="Z13682">
        <v>0</v>
      </c>
      <c r="AA13682">
        <v>0</v>
      </c>
      <c r="AB13682">
        <v>1</v>
      </c>
      <c r="AC13682">
        <v>0</v>
      </c>
      <c r="AD13682">
        <v>0</v>
      </c>
      <c r="AE13682">
        <v>1</v>
      </c>
      <c r="AF13682">
        <v>0</v>
      </c>
      <c r="AG13682">
        <v>1</v>
      </c>
      <c r="AH13682">
        <v>1</v>
      </c>
      <c r="AI13682">
        <v>0</v>
      </c>
      <c r="AJ13682">
        <v>0</v>
      </c>
      <c r="AK13682">
        <v>1</v>
      </c>
      <c r="AL13682">
        <v>1</v>
      </c>
      <c r="AM13682">
        <v>0</v>
      </c>
    </row>
    <row r="13683" spans="1:39" x14ac:dyDescent="0.2">
      <c r="A13683" t="str">
        <f>"13679"</f>
        <v>13679</v>
      </c>
      <c r="B13683" t="str">
        <f t="shared" si="758"/>
        <v>1</v>
      </c>
      <c r="C13683" t="str">
        <f t="shared" si="760"/>
        <v>274</v>
      </c>
      <c r="D13683" t="str">
        <f>"11"</f>
        <v>11</v>
      </c>
      <c r="E13683" t="str">
        <f>"1-274-11"</f>
        <v>1-274-11</v>
      </c>
      <c r="F13683" t="s">
        <v>65</v>
      </c>
      <c r="G13683" t="s">
        <v>66</v>
      </c>
      <c r="H13683" t="s">
        <v>67</v>
      </c>
      <c r="S13683">
        <v>0</v>
      </c>
      <c r="T13683">
        <v>1</v>
      </c>
      <c r="U13683">
        <v>0</v>
      </c>
      <c r="V13683">
        <v>0</v>
      </c>
      <c r="W13683">
        <v>1</v>
      </c>
      <c r="X13683">
        <v>0</v>
      </c>
      <c r="Y13683">
        <v>0</v>
      </c>
      <c r="Z13683">
        <v>1</v>
      </c>
      <c r="AA13683">
        <v>0</v>
      </c>
      <c r="AB13683">
        <v>1</v>
      </c>
      <c r="AC13683">
        <v>0</v>
      </c>
      <c r="AD13683">
        <v>1</v>
      </c>
      <c r="AE13683">
        <v>1</v>
      </c>
      <c r="AF13683">
        <v>1</v>
      </c>
      <c r="AG13683">
        <v>1</v>
      </c>
      <c r="AH13683">
        <v>1</v>
      </c>
      <c r="AI13683">
        <v>1</v>
      </c>
      <c r="AJ13683">
        <v>1</v>
      </c>
      <c r="AK13683">
        <v>1</v>
      </c>
      <c r="AL13683">
        <v>1</v>
      </c>
      <c r="AM13683">
        <v>1</v>
      </c>
    </row>
    <row r="13684" spans="1:39" x14ac:dyDescent="0.2">
      <c r="A13684" t="str">
        <f>"13680"</f>
        <v>13680</v>
      </c>
      <c r="B13684" t="str">
        <f t="shared" si="758"/>
        <v>1</v>
      </c>
      <c r="C13684" t="str">
        <f t="shared" si="760"/>
        <v>274</v>
      </c>
      <c r="D13684" t="str">
        <f>"40"</f>
        <v>40</v>
      </c>
      <c r="E13684" t="str">
        <f>"1-274-40"</f>
        <v>1-274-40</v>
      </c>
      <c r="F13684" t="s">
        <v>65</v>
      </c>
      <c r="G13684" t="s">
        <v>66</v>
      </c>
      <c r="H13684" t="s">
        <v>67</v>
      </c>
      <c r="S13684">
        <v>1</v>
      </c>
      <c r="T13684">
        <v>0</v>
      </c>
      <c r="U13684">
        <v>0</v>
      </c>
      <c r="V13684">
        <v>0</v>
      </c>
      <c r="W13684">
        <v>1</v>
      </c>
      <c r="X13684">
        <v>0</v>
      </c>
      <c r="Y13684">
        <v>1</v>
      </c>
      <c r="Z13684">
        <v>0</v>
      </c>
      <c r="AA13684">
        <v>1</v>
      </c>
      <c r="AB13684">
        <v>0</v>
      </c>
      <c r="AC13684">
        <v>0</v>
      </c>
      <c r="AD13684">
        <v>1</v>
      </c>
      <c r="AE13684">
        <v>1</v>
      </c>
      <c r="AF13684">
        <v>1</v>
      </c>
      <c r="AG13684">
        <v>1</v>
      </c>
      <c r="AH13684">
        <v>1</v>
      </c>
      <c r="AI13684">
        <v>1</v>
      </c>
      <c r="AJ13684">
        <v>1</v>
      </c>
      <c r="AK13684">
        <v>1</v>
      </c>
      <c r="AL13684">
        <v>1</v>
      </c>
      <c r="AM13684">
        <v>1</v>
      </c>
    </row>
    <row r="13685" spans="1:39" x14ac:dyDescent="0.2">
      <c r="A13685" t="str">
        <f>"13681"</f>
        <v>13681</v>
      </c>
      <c r="B13685" t="str">
        <f t="shared" si="758"/>
        <v>1</v>
      </c>
      <c r="C13685" t="str">
        <f t="shared" si="760"/>
        <v>274</v>
      </c>
      <c r="D13685" t="str">
        <f>"23"</f>
        <v>23</v>
      </c>
      <c r="E13685" t="str">
        <f>"1-274-23"</f>
        <v>1-274-23</v>
      </c>
      <c r="F13685" t="s">
        <v>65</v>
      </c>
      <c r="G13685" t="s">
        <v>66</v>
      </c>
      <c r="H13685" t="s">
        <v>67</v>
      </c>
      <c r="S13685">
        <v>0</v>
      </c>
      <c r="T13685">
        <v>1</v>
      </c>
      <c r="U13685">
        <v>0</v>
      </c>
      <c r="V13685">
        <v>0</v>
      </c>
      <c r="W13685">
        <v>0</v>
      </c>
      <c r="X13685">
        <v>1</v>
      </c>
      <c r="Y13685">
        <v>1</v>
      </c>
      <c r="Z13685">
        <v>0</v>
      </c>
      <c r="AA13685">
        <v>0</v>
      </c>
      <c r="AB13685">
        <v>0</v>
      </c>
      <c r="AC13685">
        <v>1</v>
      </c>
      <c r="AD13685">
        <v>0</v>
      </c>
      <c r="AE13685">
        <v>0</v>
      </c>
      <c r="AF13685">
        <v>0</v>
      </c>
      <c r="AG13685">
        <v>0</v>
      </c>
      <c r="AH13685">
        <v>0</v>
      </c>
      <c r="AI13685">
        <v>0</v>
      </c>
      <c r="AJ13685">
        <v>0</v>
      </c>
      <c r="AK13685">
        <v>0</v>
      </c>
      <c r="AL13685">
        <v>0</v>
      </c>
      <c r="AM13685">
        <v>0</v>
      </c>
    </row>
    <row r="13686" spans="1:39" x14ac:dyDescent="0.2">
      <c r="A13686" t="str">
        <f>"13682"</f>
        <v>13682</v>
      </c>
      <c r="B13686" t="str">
        <f t="shared" si="758"/>
        <v>1</v>
      </c>
      <c r="C13686" t="str">
        <f t="shared" si="760"/>
        <v>274</v>
      </c>
      <c r="D13686" t="str">
        <f>"14"</f>
        <v>14</v>
      </c>
      <c r="E13686" t="str">
        <f>"1-274-14"</f>
        <v>1-274-14</v>
      </c>
      <c r="F13686" t="s">
        <v>65</v>
      </c>
      <c r="G13686" t="s">
        <v>66</v>
      </c>
      <c r="H13686" t="s">
        <v>67</v>
      </c>
      <c r="S13686">
        <v>0</v>
      </c>
      <c r="T13686">
        <v>1</v>
      </c>
      <c r="U13686">
        <v>0</v>
      </c>
      <c r="V13686">
        <v>0</v>
      </c>
      <c r="W13686">
        <v>0</v>
      </c>
      <c r="X13686">
        <v>1</v>
      </c>
      <c r="Y13686">
        <v>1</v>
      </c>
      <c r="Z13686">
        <v>0</v>
      </c>
      <c r="AA13686">
        <v>1</v>
      </c>
      <c r="AB13686">
        <v>0</v>
      </c>
      <c r="AC13686">
        <v>0</v>
      </c>
      <c r="AD13686">
        <v>1</v>
      </c>
      <c r="AE13686">
        <v>1</v>
      </c>
      <c r="AF13686">
        <v>1</v>
      </c>
      <c r="AG13686">
        <v>1</v>
      </c>
      <c r="AH13686">
        <v>1</v>
      </c>
      <c r="AI13686">
        <v>1</v>
      </c>
      <c r="AJ13686">
        <v>1</v>
      </c>
      <c r="AK13686">
        <v>1</v>
      </c>
      <c r="AL13686">
        <v>1</v>
      </c>
      <c r="AM13686">
        <v>1</v>
      </c>
    </row>
    <row r="13687" spans="1:39" x14ac:dyDescent="0.2">
      <c r="A13687" t="str">
        <f>"13683"</f>
        <v>13683</v>
      </c>
      <c r="B13687" t="str">
        <f t="shared" ref="B13687:B13750" si="761">"1"</f>
        <v>1</v>
      </c>
      <c r="C13687" t="str">
        <f t="shared" ref="C13687:C13704" si="762">"274"</f>
        <v>274</v>
      </c>
      <c r="D13687" t="str">
        <f>"45"</f>
        <v>45</v>
      </c>
      <c r="E13687" t="str">
        <f>"1-274-45"</f>
        <v>1-274-45</v>
      </c>
      <c r="F13687" t="s">
        <v>65</v>
      </c>
      <c r="G13687" t="s">
        <v>66</v>
      </c>
      <c r="H13687" t="s">
        <v>67</v>
      </c>
      <c r="S13687">
        <v>0</v>
      </c>
      <c r="T13687">
        <v>0</v>
      </c>
      <c r="U13687">
        <v>0</v>
      </c>
      <c r="V13687">
        <v>0</v>
      </c>
      <c r="W13687">
        <v>1</v>
      </c>
      <c r="X13687">
        <v>0</v>
      </c>
      <c r="Y13687">
        <v>0</v>
      </c>
      <c r="Z13687">
        <v>0</v>
      </c>
      <c r="AA13687">
        <v>0</v>
      </c>
      <c r="AB13687">
        <v>0</v>
      </c>
      <c r="AC13687">
        <v>0</v>
      </c>
      <c r="AD13687">
        <v>0</v>
      </c>
      <c r="AE13687">
        <v>0</v>
      </c>
      <c r="AF13687">
        <v>0</v>
      </c>
      <c r="AG13687">
        <v>0</v>
      </c>
      <c r="AH13687">
        <v>0</v>
      </c>
      <c r="AI13687">
        <v>0</v>
      </c>
      <c r="AJ13687">
        <v>0</v>
      </c>
      <c r="AK13687">
        <v>0</v>
      </c>
      <c r="AL13687">
        <v>0</v>
      </c>
      <c r="AM13687">
        <v>0</v>
      </c>
    </row>
    <row r="13688" spans="1:39" x14ac:dyDescent="0.2">
      <c r="A13688" t="str">
        <f>"13684"</f>
        <v>13684</v>
      </c>
      <c r="B13688" t="str">
        <f t="shared" si="761"/>
        <v>1</v>
      </c>
      <c r="C13688" t="str">
        <f t="shared" si="762"/>
        <v>274</v>
      </c>
      <c r="D13688" t="str">
        <f>"44"</f>
        <v>44</v>
      </c>
      <c r="E13688" t="str">
        <f>"1-274-44"</f>
        <v>1-274-44</v>
      </c>
      <c r="F13688" t="s">
        <v>65</v>
      </c>
      <c r="G13688" t="s">
        <v>66</v>
      </c>
      <c r="H13688" t="s">
        <v>67</v>
      </c>
      <c r="S13688">
        <v>0</v>
      </c>
      <c r="T13688">
        <v>1</v>
      </c>
      <c r="U13688">
        <v>0</v>
      </c>
      <c r="V13688">
        <v>0</v>
      </c>
      <c r="W13688">
        <v>0</v>
      </c>
      <c r="X13688">
        <v>1</v>
      </c>
      <c r="Y13688">
        <v>1</v>
      </c>
      <c r="Z13688">
        <v>0</v>
      </c>
      <c r="AA13688">
        <v>1</v>
      </c>
      <c r="AB13688">
        <v>0</v>
      </c>
      <c r="AC13688">
        <v>0</v>
      </c>
      <c r="AD13688">
        <v>1</v>
      </c>
      <c r="AE13688">
        <v>1</v>
      </c>
      <c r="AF13688">
        <v>1</v>
      </c>
      <c r="AG13688">
        <v>1</v>
      </c>
      <c r="AH13688">
        <v>1</v>
      </c>
      <c r="AI13688">
        <v>1</v>
      </c>
      <c r="AJ13688">
        <v>1</v>
      </c>
      <c r="AK13688">
        <v>1</v>
      </c>
      <c r="AL13688">
        <v>1</v>
      </c>
      <c r="AM13688">
        <v>1</v>
      </c>
    </row>
    <row r="13689" spans="1:39" x14ac:dyDescent="0.2">
      <c r="A13689" t="str">
        <f>"13685"</f>
        <v>13685</v>
      </c>
      <c r="B13689" t="str">
        <f t="shared" si="761"/>
        <v>1</v>
      </c>
      <c r="C13689" t="str">
        <f t="shared" si="762"/>
        <v>274</v>
      </c>
      <c r="D13689" t="str">
        <f>"33"</f>
        <v>33</v>
      </c>
      <c r="E13689" t="str">
        <f>"1-274-33"</f>
        <v>1-274-33</v>
      </c>
      <c r="F13689" t="s">
        <v>65</v>
      </c>
      <c r="G13689" t="s">
        <v>66</v>
      </c>
      <c r="H13689" t="s">
        <v>67</v>
      </c>
      <c r="S13689">
        <v>1</v>
      </c>
      <c r="T13689">
        <v>0</v>
      </c>
      <c r="U13689">
        <v>0</v>
      </c>
      <c r="V13689">
        <v>0</v>
      </c>
      <c r="W13689">
        <v>1</v>
      </c>
      <c r="X13689">
        <v>0</v>
      </c>
      <c r="Y13689">
        <v>0</v>
      </c>
      <c r="Z13689">
        <v>1</v>
      </c>
      <c r="AA13689">
        <v>1</v>
      </c>
      <c r="AB13689">
        <v>0</v>
      </c>
      <c r="AC13689">
        <v>0</v>
      </c>
      <c r="AD13689">
        <v>1</v>
      </c>
      <c r="AE13689">
        <v>1</v>
      </c>
      <c r="AF13689">
        <v>1</v>
      </c>
      <c r="AG13689">
        <v>1</v>
      </c>
      <c r="AH13689">
        <v>1</v>
      </c>
      <c r="AI13689">
        <v>1</v>
      </c>
      <c r="AJ13689">
        <v>1</v>
      </c>
      <c r="AK13689">
        <v>1</v>
      </c>
      <c r="AL13689">
        <v>1</v>
      </c>
      <c r="AM13689">
        <v>1</v>
      </c>
    </row>
    <row r="13690" spans="1:39" x14ac:dyDescent="0.2">
      <c r="A13690" t="str">
        <f>"13686"</f>
        <v>13686</v>
      </c>
      <c r="B13690" t="str">
        <f t="shared" si="761"/>
        <v>1</v>
      </c>
      <c r="C13690" t="str">
        <f t="shared" si="762"/>
        <v>274</v>
      </c>
      <c r="D13690" t="str">
        <f>"25"</f>
        <v>25</v>
      </c>
      <c r="E13690" t="str">
        <f>"1-274-25"</f>
        <v>1-274-25</v>
      </c>
      <c r="F13690" t="s">
        <v>65</v>
      </c>
      <c r="G13690" t="s">
        <v>66</v>
      </c>
      <c r="H13690" t="s">
        <v>67</v>
      </c>
      <c r="S13690">
        <v>0</v>
      </c>
      <c r="T13690">
        <v>1</v>
      </c>
      <c r="U13690">
        <v>0</v>
      </c>
      <c r="V13690">
        <v>0</v>
      </c>
      <c r="W13690">
        <v>1</v>
      </c>
      <c r="X13690">
        <v>0</v>
      </c>
      <c r="Y13690">
        <v>0</v>
      </c>
      <c r="Z13690">
        <v>1</v>
      </c>
      <c r="AA13690">
        <v>1</v>
      </c>
      <c r="AB13690">
        <v>0</v>
      </c>
      <c r="AC13690">
        <v>0</v>
      </c>
      <c r="AD13690">
        <v>1</v>
      </c>
      <c r="AE13690">
        <v>1</v>
      </c>
      <c r="AF13690">
        <v>1</v>
      </c>
      <c r="AG13690">
        <v>1</v>
      </c>
      <c r="AH13690">
        <v>1</v>
      </c>
      <c r="AI13690">
        <v>1</v>
      </c>
      <c r="AJ13690">
        <v>1</v>
      </c>
      <c r="AK13690">
        <v>1</v>
      </c>
      <c r="AL13690">
        <v>1</v>
      </c>
      <c r="AM13690">
        <v>1</v>
      </c>
    </row>
    <row r="13691" spans="1:39" x14ac:dyDescent="0.2">
      <c r="A13691" t="str">
        <f>"13687"</f>
        <v>13687</v>
      </c>
      <c r="B13691" t="str">
        <f t="shared" si="761"/>
        <v>1</v>
      </c>
      <c r="C13691" t="str">
        <f t="shared" si="762"/>
        <v>274</v>
      </c>
      <c r="D13691" t="str">
        <f>"8"</f>
        <v>8</v>
      </c>
      <c r="E13691" t="str">
        <f>"1-274-8"</f>
        <v>1-274-8</v>
      </c>
      <c r="F13691" t="s">
        <v>65</v>
      </c>
      <c r="G13691" t="s">
        <v>66</v>
      </c>
      <c r="H13691" t="s">
        <v>67</v>
      </c>
      <c r="S13691">
        <v>1</v>
      </c>
      <c r="T13691">
        <v>0</v>
      </c>
      <c r="U13691">
        <v>0</v>
      </c>
      <c r="V13691">
        <v>0</v>
      </c>
      <c r="W13691">
        <v>1</v>
      </c>
      <c r="X13691">
        <v>0</v>
      </c>
      <c r="Y13691">
        <v>1</v>
      </c>
      <c r="Z13691">
        <v>0</v>
      </c>
      <c r="AA13691">
        <v>1</v>
      </c>
      <c r="AB13691">
        <v>0</v>
      </c>
      <c r="AC13691">
        <v>0</v>
      </c>
      <c r="AD13691">
        <v>0</v>
      </c>
      <c r="AE13691">
        <v>0</v>
      </c>
      <c r="AF13691">
        <v>0</v>
      </c>
      <c r="AG13691">
        <v>0</v>
      </c>
      <c r="AH13691">
        <v>0</v>
      </c>
      <c r="AI13691">
        <v>0</v>
      </c>
      <c r="AJ13691">
        <v>0</v>
      </c>
      <c r="AK13691">
        <v>0</v>
      </c>
      <c r="AL13691">
        <v>0</v>
      </c>
      <c r="AM13691">
        <v>0</v>
      </c>
    </row>
    <row r="13692" spans="1:39" x14ac:dyDescent="0.2">
      <c r="A13692" t="str">
        <f>"13688"</f>
        <v>13688</v>
      </c>
      <c r="B13692" t="str">
        <f t="shared" si="761"/>
        <v>1</v>
      </c>
      <c r="C13692" t="str">
        <f t="shared" si="762"/>
        <v>274</v>
      </c>
      <c r="D13692" t="str">
        <f>"28"</f>
        <v>28</v>
      </c>
      <c r="E13692" t="str">
        <f>"1-274-28"</f>
        <v>1-274-28</v>
      </c>
      <c r="F13692" t="s">
        <v>65</v>
      </c>
      <c r="G13692" t="s">
        <v>66</v>
      </c>
      <c r="H13692" t="s">
        <v>67</v>
      </c>
      <c r="S13692">
        <v>0</v>
      </c>
      <c r="T13692">
        <v>1</v>
      </c>
      <c r="U13692">
        <v>0</v>
      </c>
      <c r="V13692">
        <v>0</v>
      </c>
      <c r="W13692">
        <v>1</v>
      </c>
      <c r="X13692">
        <v>0</v>
      </c>
      <c r="Y13692">
        <v>0</v>
      </c>
      <c r="Z13692">
        <v>1</v>
      </c>
      <c r="AA13692">
        <v>1</v>
      </c>
      <c r="AB13692">
        <v>0</v>
      </c>
      <c r="AC13692">
        <v>0</v>
      </c>
      <c r="AD13692">
        <v>1</v>
      </c>
      <c r="AE13692">
        <v>1</v>
      </c>
      <c r="AF13692">
        <v>1</v>
      </c>
      <c r="AG13692">
        <v>1</v>
      </c>
      <c r="AH13692">
        <v>1</v>
      </c>
      <c r="AI13692">
        <v>1</v>
      </c>
      <c r="AJ13692">
        <v>1</v>
      </c>
      <c r="AK13692">
        <v>1</v>
      </c>
      <c r="AL13692">
        <v>1</v>
      </c>
      <c r="AM13692">
        <v>1</v>
      </c>
    </row>
    <row r="13693" spans="1:39" x14ac:dyDescent="0.2">
      <c r="A13693" t="str">
        <f>"13689"</f>
        <v>13689</v>
      </c>
      <c r="B13693" t="str">
        <f t="shared" si="761"/>
        <v>1</v>
      </c>
      <c r="C13693" t="str">
        <f t="shared" si="762"/>
        <v>274</v>
      </c>
      <c r="D13693" t="str">
        <f>"9"</f>
        <v>9</v>
      </c>
      <c r="E13693" t="str">
        <f>"1-274-9"</f>
        <v>1-274-9</v>
      </c>
      <c r="F13693" t="s">
        <v>65</v>
      </c>
      <c r="G13693" t="s">
        <v>66</v>
      </c>
      <c r="H13693" t="s">
        <v>67</v>
      </c>
      <c r="S13693">
        <v>0</v>
      </c>
      <c r="T13693">
        <v>1</v>
      </c>
      <c r="U13693">
        <v>0</v>
      </c>
      <c r="V13693">
        <v>0</v>
      </c>
      <c r="W13693">
        <v>1</v>
      </c>
      <c r="X13693">
        <v>0</v>
      </c>
      <c r="Y13693">
        <v>1</v>
      </c>
      <c r="Z13693">
        <v>0</v>
      </c>
      <c r="AA13693">
        <v>0</v>
      </c>
      <c r="AB13693">
        <v>0</v>
      </c>
      <c r="AC13693">
        <v>1</v>
      </c>
      <c r="AD13693">
        <v>1</v>
      </c>
      <c r="AE13693">
        <v>1</v>
      </c>
      <c r="AF13693">
        <v>1</v>
      </c>
      <c r="AG13693">
        <v>1</v>
      </c>
      <c r="AH13693">
        <v>1</v>
      </c>
      <c r="AI13693">
        <v>1</v>
      </c>
      <c r="AJ13693">
        <v>1</v>
      </c>
      <c r="AK13693">
        <v>1</v>
      </c>
      <c r="AL13693">
        <v>1</v>
      </c>
      <c r="AM13693">
        <v>1</v>
      </c>
    </row>
    <row r="13694" spans="1:39" x14ac:dyDescent="0.2">
      <c r="A13694" t="str">
        <f>"13690"</f>
        <v>13690</v>
      </c>
      <c r="B13694" t="str">
        <f t="shared" si="761"/>
        <v>1</v>
      </c>
      <c r="C13694" t="str">
        <f t="shared" si="762"/>
        <v>274</v>
      </c>
      <c r="D13694" t="str">
        <f>"41"</f>
        <v>41</v>
      </c>
      <c r="E13694" t="str">
        <f>"1-274-41"</f>
        <v>1-274-41</v>
      </c>
      <c r="F13694" t="s">
        <v>65</v>
      </c>
      <c r="G13694" t="s">
        <v>66</v>
      </c>
      <c r="H13694" t="s">
        <v>67</v>
      </c>
      <c r="S13694">
        <v>1</v>
      </c>
      <c r="T13694">
        <v>0</v>
      </c>
      <c r="U13694">
        <v>0</v>
      </c>
      <c r="V13694">
        <v>0</v>
      </c>
      <c r="W13694">
        <v>1</v>
      </c>
      <c r="X13694">
        <v>0</v>
      </c>
      <c r="Y13694">
        <v>1</v>
      </c>
      <c r="Z13694">
        <v>0</v>
      </c>
      <c r="AA13694">
        <v>1</v>
      </c>
      <c r="AB13694">
        <v>0</v>
      </c>
      <c r="AC13694">
        <v>0</v>
      </c>
      <c r="AD13694">
        <v>1</v>
      </c>
      <c r="AE13694">
        <v>1</v>
      </c>
      <c r="AF13694">
        <v>1</v>
      </c>
      <c r="AG13694">
        <v>1</v>
      </c>
      <c r="AH13694">
        <v>1</v>
      </c>
      <c r="AI13694">
        <v>1</v>
      </c>
      <c r="AJ13694">
        <v>1</v>
      </c>
      <c r="AK13694">
        <v>1</v>
      </c>
      <c r="AL13694">
        <v>1</v>
      </c>
      <c r="AM13694">
        <v>0</v>
      </c>
    </row>
    <row r="13695" spans="1:39" x14ac:dyDescent="0.2">
      <c r="A13695" t="str">
        <f>"13691"</f>
        <v>13691</v>
      </c>
      <c r="B13695" t="str">
        <f t="shared" si="761"/>
        <v>1</v>
      </c>
      <c r="C13695" t="str">
        <f t="shared" si="762"/>
        <v>274</v>
      </c>
      <c r="D13695" t="str">
        <f>"29"</f>
        <v>29</v>
      </c>
      <c r="E13695" t="str">
        <f>"1-274-29"</f>
        <v>1-274-29</v>
      </c>
      <c r="F13695" t="s">
        <v>65</v>
      </c>
      <c r="G13695" t="s">
        <v>66</v>
      </c>
      <c r="H13695" t="s">
        <v>67</v>
      </c>
      <c r="S13695">
        <v>0</v>
      </c>
      <c r="T13695">
        <v>1</v>
      </c>
      <c r="U13695">
        <v>0</v>
      </c>
      <c r="V13695">
        <v>0</v>
      </c>
      <c r="W13695">
        <v>1</v>
      </c>
      <c r="X13695">
        <v>0</v>
      </c>
      <c r="Y13695">
        <v>1</v>
      </c>
      <c r="Z13695">
        <v>0</v>
      </c>
      <c r="AA13695">
        <v>1</v>
      </c>
      <c r="AB13695">
        <v>0</v>
      </c>
      <c r="AC13695">
        <v>0</v>
      </c>
      <c r="AD13695">
        <v>1</v>
      </c>
      <c r="AE13695">
        <v>1</v>
      </c>
      <c r="AF13695">
        <v>1</v>
      </c>
      <c r="AG13695">
        <v>1</v>
      </c>
      <c r="AH13695">
        <v>1</v>
      </c>
      <c r="AI13695">
        <v>1</v>
      </c>
      <c r="AJ13695">
        <v>1</v>
      </c>
      <c r="AK13695">
        <v>1</v>
      </c>
      <c r="AL13695">
        <v>1</v>
      </c>
      <c r="AM13695">
        <v>1</v>
      </c>
    </row>
    <row r="13696" spans="1:39" x14ac:dyDescent="0.2">
      <c r="A13696" t="str">
        <f>"13692"</f>
        <v>13692</v>
      </c>
      <c r="B13696" t="str">
        <f t="shared" si="761"/>
        <v>1</v>
      </c>
      <c r="C13696" t="str">
        <f t="shared" si="762"/>
        <v>274</v>
      </c>
      <c r="D13696" t="str">
        <f>"5"</f>
        <v>5</v>
      </c>
      <c r="E13696" t="str">
        <f>"1-274-5"</f>
        <v>1-274-5</v>
      </c>
      <c r="F13696" t="s">
        <v>65</v>
      </c>
      <c r="G13696" t="s">
        <v>66</v>
      </c>
      <c r="H13696" t="s">
        <v>67</v>
      </c>
      <c r="S13696">
        <v>0</v>
      </c>
      <c r="T13696">
        <v>0</v>
      </c>
      <c r="U13696">
        <v>0</v>
      </c>
      <c r="V13696">
        <v>0</v>
      </c>
      <c r="W13696">
        <v>0</v>
      </c>
      <c r="X13696">
        <v>1</v>
      </c>
      <c r="Y13696">
        <v>0</v>
      </c>
      <c r="Z13696">
        <v>0</v>
      </c>
      <c r="AA13696">
        <v>0</v>
      </c>
      <c r="AB13696">
        <v>0</v>
      </c>
      <c r="AC13696">
        <v>1</v>
      </c>
      <c r="AD13696">
        <v>0</v>
      </c>
      <c r="AE13696">
        <v>0</v>
      </c>
      <c r="AF13696">
        <v>0</v>
      </c>
      <c r="AG13696">
        <v>0</v>
      </c>
      <c r="AH13696">
        <v>0</v>
      </c>
      <c r="AI13696">
        <v>0</v>
      </c>
      <c r="AJ13696">
        <v>0</v>
      </c>
      <c r="AK13696">
        <v>0</v>
      </c>
      <c r="AL13696">
        <v>0</v>
      </c>
      <c r="AM13696">
        <v>0</v>
      </c>
    </row>
    <row r="13697" spans="1:39" x14ac:dyDescent="0.2">
      <c r="A13697" t="str">
        <f>"13693"</f>
        <v>13693</v>
      </c>
      <c r="B13697" t="str">
        <f t="shared" si="761"/>
        <v>1</v>
      </c>
      <c r="C13697" t="str">
        <f t="shared" si="762"/>
        <v>274</v>
      </c>
      <c r="D13697" t="str">
        <f>"30"</f>
        <v>30</v>
      </c>
      <c r="E13697" t="str">
        <f>"1-274-30"</f>
        <v>1-274-30</v>
      </c>
      <c r="F13697" t="s">
        <v>65</v>
      </c>
      <c r="G13697" t="s">
        <v>66</v>
      </c>
      <c r="H13697" t="s">
        <v>67</v>
      </c>
      <c r="S13697">
        <v>0</v>
      </c>
      <c r="T13697">
        <v>1</v>
      </c>
      <c r="U13697">
        <v>0</v>
      </c>
      <c r="V13697">
        <v>0</v>
      </c>
      <c r="W13697">
        <v>1</v>
      </c>
      <c r="X13697">
        <v>0</v>
      </c>
      <c r="Y13697">
        <v>1</v>
      </c>
      <c r="Z13697">
        <v>0</v>
      </c>
      <c r="AA13697">
        <v>0</v>
      </c>
      <c r="AB13697">
        <v>1</v>
      </c>
      <c r="AC13697">
        <v>0</v>
      </c>
      <c r="AD13697">
        <v>1</v>
      </c>
      <c r="AE13697">
        <v>1</v>
      </c>
      <c r="AF13697">
        <v>1</v>
      </c>
      <c r="AG13697">
        <v>1</v>
      </c>
      <c r="AH13697">
        <v>1</v>
      </c>
      <c r="AI13697">
        <v>1</v>
      </c>
      <c r="AJ13697">
        <v>1</v>
      </c>
      <c r="AK13697">
        <v>1</v>
      </c>
      <c r="AL13697">
        <v>0</v>
      </c>
      <c r="AM13697">
        <v>1</v>
      </c>
    </row>
    <row r="13698" spans="1:39" x14ac:dyDescent="0.2">
      <c r="A13698" t="str">
        <f>"13694"</f>
        <v>13694</v>
      </c>
      <c r="B13698" t="str">
        <f t="shared" si="761"/>
        <v>1</v>
      </c>
      <c r="C13698" t="str">
        <f t="shared" si="762"/>
        <v>274</v>
      </c>
      <c r="D13698" t="str">
        <f>"12"</f>
        <v>12</v>
      </c>
      <c r="E13698" t="str">
        <f>"1-274-12"</f>
        <v>1-274-12</v>
      </c>
      <c r="F13698" t="s">
        <v>65</v>
      </c>
      <c r="G13698" t="s">
        <v>66</v>
      </c>
      <c r="H13698" t="s">
        <v>67</v>
      </c>
      <c r="S13698">
        <v>0</v>
      </c>
      <c r="T13698">
        <v>1</v>
      </c>
      <c r="U13698">
        <v>0</v>
      </c>
      <c r="V13698">
        <v>0</v>
      </c>
      <c r="W13698">
        <v>1</v>
      </c>
      <c r="X13698">
        <v>0</v>
      </c>
      <c r="Y13698">
        <v>1</v>
      </c>
      <c r="Z13698">
        <v>0</v>
      </c>
      <c r="AA13698">
        <v>0</v>
      </c>
      <c r="AB13698">
        <v>1</v>
      </c>
      <c r="AC13698">
        <v>0</v>
      </c>
      <c r="AD13698">
        <v>1</v>
      </c>
      <c r="AE13698">
        <v>1</v>
      </c>
      <c r="AF13698">
        <v>1</v>
      </c>
      <c r="AG13698">
        <v>1</v>
      </c>
      <c r="AH13698">
        <v>1</v>
      </c>
      <c r="AI13698">
        <v>1</v>
      </c>
      <c r="AJ13698">
        <v>1</v>
      </c>
      <c r="AK13698">
        <v>1</v>
      </c>
      <c r="AL13698">
        <v>1</v>
      </c>
      <c r="AM13698">
        <v>1</v>
      </c>
    </row>
    <row r="13699" spans="1:39" x14ac:dyDescent="0.2">
      <c r="A13699" t="str">
        <f>"13695"</f>
        <v>13695</v>
      </c>
      <c r="B13699" t="str">
        <f t="shared" si="761"/>
        <v>1</v>
      </c>
      <c r="C13699" t="str">
        <f t="shared" si="762"/>
        <v>274</v>
      </c>
      <c r="D13699" t="str">
        <f>"31"</f>
        <v>31</v>
      </c>
      <c r="E13699" t="str">
        <f>"1-274-31"</f>
        <v>1-274-31</v>
      </c>
      <c r="F13699" t="s">
        <v>65</v>
      </c>
      <c r="G13699" t="s">
        <v>66</v>
      </c>
      <c r="H13699" t="s">
        <v>67</v>
      </c>
      <c r="S13699">
        <v>1</v>
      </c>
      <c r="T13699">
        <v>0</v>
      </c>
      <c r="U13699">
        <v>0</v>
      </c>
      <c r="V13699">
        <v>0</v>
      </c>
      <c r="W13699">
        <v>1</v>
      </c>
      <c r="X13699">
        <v>0</v>
      </c>
      <c r="Y13699">
        <v>1</v>
      </c>
      <c r="Z13699">
        <v>0</v>
      </c>
      <c r="AA13699">
        <v>1</v>
      </c>
      <c r="AB13699">
        <v>0</v>
      </c>
      <c r="AC13699">
        <v>0</v>
      </c>
      <c r="AD13699">
        <v>1</v>
      </c>
      <c r="AE13699">
        <v>1</v>
      </c>
      <c r="AF13699">
        <v>1</v>
      </c>
      <c r="AG13699">
        <v>1</v>
      </c>
      <c r="AH13699">
        <v>1</v>
      </c>
      <c r="AI13699">
        <v>1</v>
      </c>
      <c r="AJ13699">
        <v>1</v>
      </c>
      <c r="AK13699">
        <v>1</v>
      </c>
      <c r="AL13699">
        <v>1</v>
      </c>
      <c r="AM13699">
        <v>1</v>
      </c>
    </row>
    <row r="13700" spans="1:39" x14ac:dyDescent="0.2">
      <c r="A13700" t="str">
        <f>"13696"</f>
        <v>13696</v>
      </c>
      <c r="B13700" t="str">
        <f t="shared" si="761"/>
        <v>1</v>
      </c>
      <c r="C13700" t="str">
        <f t="shared" si="762"/>
        <v>274</v>
      </c>
      <c r="D13700" t="str">
        <f>"4"</f>
        <v>4</v>
      </c>
      <c r="E13700" t="str">
        <f>"1-274-4"</f>
        <v>1-274-4</v>
      </c>
      <c r="F13700" t="s">
        <v>65</v>
      </c>
      <c r="G13700" t="s">
        <v>66</v>
      </c>
      <c r="H13700" t="s">
        <v>67</v>
      </c>
      <c r="S13700">
        <v>1</v>
      </c>
      <c r="T13700">
        <v>0</v>
      </c>
      <c r="U13700">
        <v>0</v>
      </c>
      <c r="V13700">
        <v>0</v>
      </c>
      <c r="W13700">
        <v>1</v>
      </c>
      <c r="X13700">
        <v>0</v>
      </c>
      <c r="Y13700">
        <v>0</v>
      </c>
      <c r="Z13700">
        <v>1</v>
      </c>
      <c r="AA13700">
        <v>1</v>
      </c>
      <c r="AB13700">
        <v>0</v>
      </c>
      <c r="AC13700">
        <v>0</v>
      </c>
      <c r="AD13700">
        <v>1</v>
      </c>
      <c r="AE13700">
        <v>0</v>
      </c>
      <c r="AF13700">
        <v>0</v>
      </c>
      <c r="AG13700">
        <v>0</v>
      </c>
      <c r="AH13700">
        <v>0</v>
      </c>
      <c r="AI13700">
        <v>0</v>
      </c>
      <c r="AJ13700">
        <v>0</v>
      </c>
      <c r="AK13700">
        <v>0</v>
      </c>
      <c r="AL13700">
        <v>1</v>
      </c>
      <c r="AM13700">
        <v>1</v>
      </c>
    </row>
    <row r="13701" spans="1:39" x14ac:dyDescent="0.2">
      <c r="A13701" t="str">
        <f>"13697"</f>
        <v>13697</v>
      </c>
      <c r="B13701" t="str">
        <f t="shared" si="761"/>
        <v>1</v>
      </c>
      <c r="C13701" t="str">
        <f t="shared" si="762"/>
        <v>274</v>
      </c>
      <c r="D13701" t="str">
        <f>"50"</f>
        <v>50</v>
      </c>
      <c r="E13701" t="str">
        <f>"1-274-50"</f>
        <v>1-274-50</v>
      </c>
      <c r="F13701" t="s">
        <v>65</v>
      </c>
      <c r="G13701" t="s">
        <v>66</v>
      </c>
      <c r="H13701" t="s">
        <v>67</v>
      </c>
      <c r="S13701">
        <v>0</v>
      </c>
      <c r="T13701">
        <v>1</v>
      </c>
      <c r="U13701">
        <v>0</v>
      </c>
      <c r="V13701">
        <v>0</v>
      </c>
      <c r="W13701">
        <v>0</v>
      </c>
      <c r="X13701">
        <v>1</v>
      </c>
      <c r="Y13701">
        <v>0</v>
      </c>
      <c r="Z13701">
        <v>0</v>
      </c>
      <c r="AA13701">
        <v>0</v>
      </c>
      <c r="AB13701">
        <v>1</v>
      </c>
      <c r="AC13701">
        <v>0</v>
      </c>
      <c r="AD13701">
        <v>0</v>
      </c>
      <c r="AE13701">
        <v>0</v>
      </c>
      <c r="AF13701">
        <v>0</v>
      </c>
      <c r="AG13701">
        <v>1</v>
      </c>
      <c r="AH13701">
        <v>0</v>
      </c>
      <c r="AI13701">
        <v>1</v>
      </c>
      <c r="AJ13701">
        <v>1</v>
      </c>
      <c r="AK13701">
        <v>1</v>
      </c>
      <c r="AL13701">
        <v>1</v>
      </c>
      <c r="AM13701">
        <v>1</v>
      </c>
    </row>
    <row r="13702" spans="1:39" x14ac:dyDescent="0.2">
      <c r="A13702" t="str">
        <f>"13698"</f>
        <v>13698</v>
      </c>
      <c r="B13702" t="str">
        <f t="shared" si="761"/>
        <v>1</v>
      </c>
      <c r="C13702" t="str">
        <f t="shared" si="762"/>
        <v>274</v>
      </c>
      <c r="D13702" t="str">
        <f>"42"</f>
        <v>42</v>
      </c>
      <c r="E13702" t="str">
        <f>"1-274-42"</f>
        <v>1-274-42</v>
      </c>
      <c r="F13702" t="s">
        <v>65</v>
      </c>
      <c r="G13702" t="s">
        <v>66</v>
      </c>
      <c r="H13702" t="s">
        <v>67</v>
      </c>
      <c r="S13702">
        <v>1</v>
      </c>
      <c r="T13702">
        <v>0</v>
      </c>
      <c r="U13702">
        <v>0</v>
      </c>
      <c r="V13702">
        <v>0</v>
      </c>
      <c r="W13702">
        <v>1</v>
      </c>
      <c r="X13702">
        <v>0</v>
      </c>
      <c r="Y13702">
        <v>0</v>
      </c>
      <c r="Z13702">
        <v>1</v>
      </c>
      <c r="AA13702">
        <v>1</v>
      </c>
      <c r="AB13702">
        <v>0</v>
      </c>
      <c r="AC13702">
        <v>0</v>
      </c>
      <c r="AD13702">
        <v>1</v>
      </c>
      <c r="AE13702">
        <v>1</v>
      </c>
      <c r="AF13702">
        <v>1</v>
      </c>
      <c r="AG13702">
        <v>1</v>
      </c>
      <c r="AH13702">
        <v>1</v>
      </c>
      <c r="AI13702">
        <v>1</v>
      </c>
      <c r="AJ13702">
        <v>1</v>
      </c>
      <c r="AK13702">
        <v>1</v>
      </c>
      <c r="AL13702">
        <v>1</v>
      </c>
      <c r="AM13702">
        <v>1</v>
      </c>
    </row>
    <row r="13703" spans="1:39" x14ac:dyDescent="0.2">
      <c r="A13703" t="str">
        <f>"13699"</f>
        <v>13699</v>
      </c>
      <c r="B13703" t="str">
        <f t="shared" si="761"/>
        <v>1</v>
      </c>
      <c r="C13703" t="str">
        <f t="shared" si="762"/>
        <v>274</v>
      </c>
      <c r="D13703" t="str">
        <f>"32"</f>
        <v>32</v>
      </c>
      <c r="E13703" t="str">
        <f>"1-274-32"</f>
        <v>1-274-32</v>
      </c>
      <c r="F13703" t="s">
        <v>65</v>
      </c>
      <c r="G13703" t="s">
        <v>66</v>
      </c>
      <c r="H13703" t="s">
        <v>67</v>
      </c>
      <c r="S13703">
        <v>1</v>
      </c>
      <c r="T13703">
        <v>0</v>
      </c>
      <c r="U13703">
        <v>0</v>
      </c>
      <c r="V13703">
        <v>0</v>
      </c>
      <c r="W13703">
        <v>0</v>
      </c>
      <c r="X13703">
        <v>1</v>
      </c>
      <c r="Y13703">
        <v>1</v>
      </c>
      <c r="Z13703">
        <v>0</v>
      </c>
      <c r="AA13703">
        <v>0</v>
      </c>
      <c r="AB13703">
        <v>1</v>
      </c>
      <c r="AC13703">
        <v>0</v>
      </c>
      <c r="AD13703">
        <v>1</v>
      </c>
      <c r="AE13703">
        <v>1</v>
      </c>
      <c r="AF13703">
        <v>1</v>
      </c>
      <c r="AG13703">
        <v>1</v>
      </c>
      <c r="AH13703">
        <v>1</v>
      </c>
      <c r="AI13703">
        <v>1</v>
      </c>
      <c r="AJ13703">
        <v>1</v>
      </c>
      <c r="AK13703">
        <v>1</v>
      </c>
      <c r="AL13703">
        <v>1</v>
      </c>
      <c r="AM13703">
        <v>1</v>
      </c>
    </row>
    <row r="13704" spans="1:39" x14ac:dyDescent="0.2">
      <c r="A13704" t="str">
        <f>"13700"</f>
        <v>13700</v>
      </c>
      <c r="B13704" t="str">
        <f t="shared" si="761"/>
        <v>1</v>
      </c>
      <c r="C13704" t="str">
        <f t="shared" si="762"/>
        <v>274</v>
      </c>
      <c r="D13704" t="str">
        <f>"6"</f>
        <v>6</v>
      </c>
      <c r="E13704" t="str">
        <f>"1-274-6"</f>
        <v>1-274-6</v>
      </c>
      <c r="F13704" t="s">
        <v>65</v>
      </c>
      <c r="G13704" t="s">
        <v>66</v>
      </c>
      <c r="H13704" t="s">
        <v>67</v>
      </c>
      <c r="S13704">
        <v>1</v>
      </c>
      <c r="T13704">
        <v>0</v>
      </c>
      <c r="U13704">
        <v>0</v>
      </c>
      <c r="V13704">
        <v>0</v>
      </c>
      <c r="W13704">
        <v>1</v>
      </c>
      <c r="X13704">
        <v>0</v>
      </c>
      <c r="Y13704">
        <v>0</v>
      </c>
      <c r="Z13704">
        <v>1</v>
      </c>
      <c r="AA13704">
        <v>1</v>
      </c>
      <c r="AB13704">
        <v>0</v>
      </c>
      <c r="AC13704">
        <v>0</v>
      </c>
      <c r="AD13704">
        <v>0</v>
      </c>
      <c r="AE13704">
        <v>0</v>
      </c>
      <c r="AF13704">
        <v>0</v>
      </c>
      <c r="AG13704">
        <v>0</v>
      </c>
      <c r="AH13704">
        <v>0</v>
      </c>
      <c r="AI13704">
        <v>0</v>
      </c>
      <c r="AJ13704">
        <v>0</v>
      </c>
      <c r="AK13704">
        <v>0</v>
      </c>
      <c r="AL13704">
        <v>0</v>
      </c>
      <c r="AM13704">
        <v>0</v>
      </c>
    </row>
    <row r="13705" spans="1:39" x14ac:dyDescent="0.2">
      <c r="A13705" t="str">
        <f>"13701"</f>
        <v>13701</v>
      </c>
      <c r="B13705" t="str">
        <f t="shared" si="761"/>
        <v>1</v>
      </c>
      <c r="C13705" t="str">
        <f t="shared" ref="C13705:C13736" si="763">"275"</f>
        <v>275</v>
      </c>
      <c r="D13705" t="str">
        <f>"32"</f>
        <v>32</v>
      </c>
      <c r="E13705" t="str">
        <f>"1-275-32"</f>
        <v>1-275-32</v>
      </c>
      <c r="F13705" t="s">
        <v>65</v>
      </c>
      <c r="G13705" t="s">
        <v>66</v>
      </c>
      <c r="H13705" t="s">
        <v>67</v>
      </c>
      <c r="S13705">
        <v>1</v>
      </c>
      <c r="T13705">
        <v>0</v>
      </c>
      <c r="U13705">
        <v>0</v>
      </c>
      <c r="V13705">
        <v>0</v>
      </c>
      <c r="W13705">
        <v>1</v>
      </c>
      <c r="X13705">
        <v>0</v>
      </c>
      <c r="Y13705">
        <v>0</v>
      </c>
      <c r="Z13705">
        <v>0</v>
      </c>
      <c r="AA13705">
        <v>1</v>
      </c>
      <c r="AB13705">
        <v>0</v>
      </c>
      <c r="AC13705">
        <v>0</v>
      </c>
      <c r="AD13705">
        <v>1</v>
      </c>
      <c r="AE13705">
        <v>1</v>
      </c>
      <c r="AF13705">
        <v>1</v>
      </c>
      <c r="AG13705">
        <v>1</v>
      </c>
      <c r="AH13705">
        <v>1</v>
      </c>
      <c r="AI13705">
        <v>1</v>
      </c>
      <c r="AJ13705">
        <v>1</v>
      </c>
      <c r="AK13705">
        <v>1</v>
      </c>
      <c r="AL13705">
        <v>1</v>
      </c>
      <c r="AM13705">
        <v>1</v>
      </c>
    </row>
    <row r="13706" spans="1:39" x14ac:dyDescent="0.2">
      <c r="A13706" t="str">
        <f>"13702"</f>
        <v>13702</v>
      </c>
      <c r="B13706" t="str">
        <f t="shared" si="761"/>
        <v>1</v>
      </c>
      <c r="C13706" t="str">
        <f t="shared" si="763"/>
        <v>275</v>
      </c>
      <c r="D13706" t="str">
        <f>"31"</f>
        <v>31</v>
      </c>
      <c r="E13706" t="str">
        <f>"1-275-31"</f>
        <v>1-275-31</v>
      </c>
      <c r="F13706" t="s">
        <v>65</v>
      </c>
      <c r="G13706" t="s">
        <v>66</v>
      </c>
      <c r="H13706" t="s">
        <v>67</v>
      </c>
      <c r="S13706">
        <v>0</v>
      </c>
      <c r="T13706">
        <v>1</v>
      </c>
      <c r="U13706">
        <v>0</v>
      </c>
      <c r="V13706">
        <v>0</v>
      </c>
      <c r="W13706">
        <v>1</v>
      </c>
      <c r="X13706">
        <v>0</v>
      </c>
      <c r="Y13706">
        <v>1</v>
      </c>
      <c r="Z13706">
        <v>0</v>
      </c>
      <c r="AA13706">
        <v>0</v>
      </c>
      <c r="AB13706">
        <v>0</v>
      </c>
      <c r="AC13706">
        <v>1</v>
      </c>
      <c r="AD13706">
        <v>1</v>
      </c>
      <c r="AE13706">
        <v>1</v>
      </c>
      <c r="AF13706">
        <v>1</v>
      </c>
      <c r="AG13706">
        <v>1</v>
      </c>
      <c r="AH13706">
        <v>1</v>
      </c>
      <c r="AI13706">
        <v>1</v>
      </c>
      <c r="AJ13706">
        <v>1</v>
      </c>
      <c r="AK13706">
        <v>1</v>
      </c>
      <c r="AL13706">
        <v>1</v>
      </c>
      <c r="AM13706">
        <v>1</v>
      </c>
    </row>
    <row r="13707" spans="1:39" x14ac:dyDescent="0.2">
      <c r="A13707" t="str">
        <f>"13703"</f>
        <v>13703</v>
      </c>
      <c r="B13707" t="str">
        <f t="shared" si="761"/>
        <v>1</v>
      </c>
      <c r="C13707" t="str">
        <f t="shared" si="763"/>
        <v>275</v>
      </c>
      <c r="D13707" t="str">
        <f>"26"</f>
        <v>26</v>
      </c>
      <c r="E13707" t="str">
        <f>"1-275-26"</f>
        <v>1-275-26</v>
      </c>
      <c r="F13707" t="s">
        <v>65</v>
      </c>
      <c r="G13707" t="s">
        <v>66</v>
      </c>
      <c r="H13707" t="s">
        <v>67</v>
      </c>
      <c r="S13707">
        <v>1</v>
      </c>
      <c r="T13707">
        <v>0</v>
      </c>
      <c r="U13707">
        <v>0</v>
      </c>
      <c r="V13707">
        <v>0</v>
      </c>
      <c r="W13707">
        <v>1</v>
      </c>
      <c r="X13707">
        <v>0</v>
      </c>
      <c r="Y13707">
        <v>1</v>
      </c>
      <c r="Z13707">
        <v>0</v>
      </c>
      <c r="AA13707">
        <v>1</v>
      </c>
      <c r="AB13707">
        <v>0</v>
      </c>
      <c r="AC13707">
        <v>0</v>
      </c>
      <c r="AD13707">
        <v>1</v>
      </c>
      <c r="AE13707">
        <v>1</v>
      </c>
      <c r="AF13707">
        <v>1</v>
      </c>
      <c r="AG13707">
        <v>1</v>
      </c>
      <c r="AH13707">
        <v>1</v>
      </c>
      <c r="AI13707">
        <v>1</v>
      </c>
      <c r="AJ13707">
        <v>1</v>
      </c>
      <c r="AK13707">
        <v>1</v>
      </c>
      <c r="AL13707">
        <v>1</v>
      </c>
      <c r="AM13707">
        <v>1</v>
      </c>
    </row>
    <row r="13708" spans="1:39" x14ac:dyDescent="0.2">
      <c r="A13708" t="str">
        <f>"13704"</f>
        <v>13704</v>
      </c>
      <c r="B13708" t="str">
        <f t="shared" si="761"/>
        <v>1</v>
      </c>
      <c r="C13708" t="str">
        <f t="shared" si="763"/>
        <v>275</v>
      </c>
      <c r="D13708" t="str">
        <f>"15"</f>
        <v>15</v>
      </c>
      <c r="E13708" t="str">
        <f>"1-275-15"</f>
        <v>1-275-15</v>
      </c>
      <c r="F13708" t="s">
        <v>65</v>
      </c>
      <c r="G13708" t="s">
        <v>66</v>
      </c>
      <c r="H13708" t="s">
        <v>67</v>
      </c>
      <c r="S13708">
        <v>1</v>
      </c>
      <c r="T13708">
        <v>0</v>
      </c>
      <c r="U13708">
        <v>0</v>
      </c>
      <c r="V13708">
        <v>0</v>
      </c>
      <c r="W13708">
        <v>1</v>
      </c>
      <c r="X13708">
        <v>0</v>
      </c>
      <c r="Y13708">
        <v>1</v>
      </c>
      <c r="Z13708">
        <v>0</v>
      </c>
      <c r="AA13708">
        <v>0</v>
      </c>
      <c r="AB13708">
        <v>0</v>
      </c>
      <c r="AC13708">
        <v>1</v>
      </c>
      <c r="AD13708">
        <v>1</v>
      </c>
      <c r="AE13708">
        <v>1</v>
      </c>
      <c r="AF13708">
        <v>1</v>
      </c>
      <c r="AG13708">
        <v>1</v>
      </c>
      <c r="AH13708">
        <v>1</v>
      </c>
      <c r="AI13708">
        <v>1</v>
      </c>
      <c r="AJ13708">
        <v>1</v>
      </c>
      <c r="AK13708">
        <v>1</v>
      </c>
      <c r="AL13708">
        <v>1</v>
      </c>
      <c r="AM13708">
        <v>1</v>
      </c>
    </row>
    <row r="13709" spans="1:39" x14ac:dyDescent="0.2">
      <c r="A13709" t="str">
        <f>"13705"</f>
        <v>13705</v>
      </c>
      <c r="B13709" t="str">
        <f t="shared" si="761"/>
        <v>1</v>
      </c>
      <c r="C13709" t="str">
        <f t="shared" si="763"/>
        <v>275</v>
      </c>
      <c r="D13709" t="str">
        <f>"6"</f>
        <v>6</v>
      </c>
      <c r="E13709" t="str">
        <f>"1-275-6"</f>
        <v>1-275-6</v>
      </c>
      <c r="F13709" t="s">
        <v>65</v>
      </c>
      <c r="G13709" t="s">
        <v>66</v>
      </c>
      <c r="H13709" t="s">
        <v>67</v>
      </c>
      <c r="S13709">
        <v>0</v>
      </c>
      <c r="T13709">
        <v>1</v>
      </c>
      <c r="U13709">
        <v>0</v>
      </c>
      <c r="V13709">
        <v>0</v>
      </c>
      <c r="W13709">
        <v>1</v>
      </c>
      <c r="X13709">
        <v>0</v>
      </c>
      <c r="Y13709">
        <v>1</v>
      </c>
      <c r="Z13709">
        <v>0</v>
      </c>
      <c r="AA13709">
        <v>1</v>
      </c>
      <c r="AB13709">
        <v>0</v>
      </c>
      <c r="AC13709">
        <v>0</v>
      </c>
      <c r="AD13709">
        <v>0</v>
      </c>
      <c r="AE13709">
        <v>0</v>
      </c>
      <c r="AF13709">
        <v>0</v>
      </c>
      <c r="AG13709">
        <v>0</v>
      </c>
      <c r="AH13709">
        <v>0</v>
      </c>
      <c r="AI13709">
        <v>0</v>
      </c>
      <c r="AJ13709">
        <v>0</v>
      </c>
      <c r="AK13709">
        <v>0</v>
      </c>
      <c r="AL13709">
        <v>0</v>
      </c>
      <c r="AM13709">
        <v>0</v>
      </c>
    </row>
    <row r="13710" spans="1:39" x14ac:dyDescent="0.2">
      <c r="A13710" t="str">
        <f>"13706"</f>
        <v>13706</v>
      </c>
      <c r="B13710" t="str">
        <f t="shared" si="761"/>
        <v>1</v>
      </c>
      <c r="C13710" t="str">
        <f t="shared" si="763"/>
        <v>275</v>
      </c>
      <c r="D13710" t="str">
        <f>"37"</f>
        <v>37</v>
      </c>
      <c r="E13710" t="str">
        <f>"1-275-37"</f>
        <v>1-275-37</v>
      </c>
      <c r="F13710" t="s">
        <v>65</v>
      </c>
      <c r="G13710" t="s">
        <v>66</v>
      </c>
      <c r="H13710" t="s">
        <v>67</v>
      </c>
      <c r="S13710">
        <v>1</v>
      </c>
      <c r="T13710">
        <v>0</v>
      </c>
      <c r="U13710">
        <v>0</v>
      </c>
      <c r="V13710">
        <v>0</v>
      </c>
      <c r="W13710">
        <v>1</v>
      </c>
      <c r="X13710">
        <v>0</v>
      </c>
      <c r="Y13710">
        <v>1</v>
      </c>
      <c r="Z13710">
        <v>0</v>
      </c>
      <c r="AA13710">
        <v>0</v>
      </c>
      <c r="AB13710">
        <v>1</v>
      </c>
      <c r="AC13710">
        <v>0</v>
      </c>
      <c r="AD13710">
        <v>1</v>
      </c>
      <c r="AE13710">
        <v>1</v>
      </c>
      <c r="AF13710">
        <v>1</v>
      </c>
      <c r="AG13710">
        <v>1</v>
      </c>
      <c r="AH13710">
        <v>1</v>
      </c>
      <c r="AI13710">
        <v>1</v>
      </c>
      <c r="AJ13710">
        <v>1</v>
      </c>
      <c r="AK13710">
        <v>1</v>
      </c>
      <c r="AL13710">
        <v>1</v>
      </c>
      <c r="AM13710">
        <v>1</v>
      </c>
    </row>
    <row r="13711" spans="1:39" x14ac:dyDescent="0.2">
      <c r="A13711" t="str">
        <f>"13707"</f>
        <v>13707</v>
      </c>
      <c r="B13711" t="str">
        <f t="shared" si="761"/>
        <v>1</v>
      </c>
      <c r="C13711" t="str">
        <f t="shared" si="763"/>
        <v>275</v>
      </c>
      <c r="D13711" t="str">
        <f>"36"</f>
        <v>36</v>
      </c>
      <c r="E13711" t="str">
        <f>"1-275-36"</f>
        <v>1-275-36</v>
      </c>
      <c r="F13711" t="s">
        <v>65</v>
      </c>
      <c r="G13711" t="s">
        <v>66</v>
      </c>
      <c r="H13711" t="s">
        <v>67</v>
      </c>
      <c r="S13711">
        <v>0</v>
      </c>
      <c r="T13711">
        <v>1</v>
      </c>
      <c r="U13711">
        <v>0</v>
      </c>
      <c r="V13711">
        <v>0</v>
      </c>
      <c r="W13711">
        <v>0</v>
      </c>
      <c r="X13711">
        <v>1</v>
      </c>
      <c r="Y13711">
        <v>0</v>
      </c>
      <c r="Z13711">
        <v>1</v>
      </c>
      <c r="AA13711">
        <v>0</v>
      </c>
      <c r="AB13711">
        <v>0</v>
      </c>
      <c r="AC13711">
        <v>1</v>
      </c>
      <c r="AD13711">
        <v>0</v>
      </c>
      <c r="AE13711">
        <v>0</v>
      </c>
      <c r="AF13711">
        <v>0</v>
      </c>
      <c r="AG13711">
        <v>1</v>
      </c>
      <c r="AH13711">
        <v>1</v>
      </c>
      <c r="AI13711">
        <v>1</v>
      </c>
      <c r="AJ13711">
        <v>1</v>
      </c>
      <c r="AK13711">
        <v>1</v>
      </c>
      <c r="AL13711">
        <v>1</v>
      </c>
      <c r="AM13711">
        <v>1</v>
      </c>
    </row>
    <row r="13712" spans="1:39" x14ac:dyDescent="0.2">
      <c r="A13712" t="str">
        <f>"13708"</f>
        <v>13708</v>
      </c>
      <c r="B13712" t="str">
        <f t="shared" si="761"/>
        <v>1</v>
      </c>
      <c r="C13712" t="str">
        <f t="shared" si="763"/>
        <v>275</v>
      </c>
      <c r="D13712" t="str">
        <f>"27"</f>
        <v>27</v>
      </c>
      <c r="E13712" t="str">
        <f>"1-275-27"</f>
        <v>1-275-27</v>
      </c>
      <c r="F13712" t="s">
        <v>65</v>
      </c>
      <c r="G13712" t="s">
        <v>66</v>
      </c>
      <c r="H13712" t="s">
        <v>67</v>
      </c>
      <c r="S13712">
        <v>1</v>
      </c>
      <c r="T13712">
        <v>0</v>
      </c>
      <c r="U13712">
        <v>0</v>
      </c>
      <c r="V13712">
        <v>0</v>
      </c>
      <c r="W13712">
        <v>1</v>
      </c>
      <c r="X13712">
        <v>0</v>
      </c>
      <c r="Y13712">
        <v>0</v>
      </c>
      <c r="Z13712">
        <v>1</v>
      </c>
      <c r="AA13712">
        <v>1</v>
      </c>
      <c r="AB13712">
        <v>0</v>
      </c>
      <c r="AC13712">
        <v>0</v>
      </c>
      <c r="AD13712">
        <v>1</v>
      </c>
      <c r="AE13712">
        <v>1</v>
      </c>
      <c r="AF13712">
        <v>1</v>
      </c>
      <c r="AG13712">
        <v>1</v>
      </c>
      <c r="AH13712">
        <v>1</v>
      </c>
      <c r="AI13712">
        <v>1</v>
      </c>
      <c r="AJ13712">
        <v>1</v>
      </c>
      <c r="AK13712">
        <v>1</v>
      </c>
      <c r="AL13712">
        <v>1</v>
      </c>
      <c r="AM13712">
        <v>1</v>
      </c>
    </row>
    <row r="13713" spans="1:39" x14ac:dyDescent="0.2">
      <c r="A13713" t="str">
        <f>"13709"</f>
        <v>13709</v>
      </c>
      <c r="B13713" t="str">
        <f t="shared" si="761"/>
        <v>1</v>
      </c>
      <c r="C13713" t="str">
        <f t="shared" si="763"/>
        <v>275</v>
      </c>
      <c r="D13713" t="str">
        <f>"16"</f>
        <v>16</v>
      </c>
      <c r="E13713" t="str">
        <f>"1-275-16"</f>
        <v>1-275-16</v>
      </c>
      <c r="F13713" t="s">
        <v>65</v>
      </c>
      <c r="G13713" t="s">
        <v>66</v>
      </c>
      <c r="H13713" t="s">
        <v>67</v>
      </c>
      <c r="S13713">
        <v>1</v>
      </c>
      <c r="T13713">
        <v>0</v>
      </c>
      <c r="U13713">
        <v>0</v>
      </c>
      <c r="V13713">
        <v>0</v>
      </c>
      <c r="W13713">
        <v>1</v>
      </c>
      <c r="X13713">
        <v>0</v>
      </c>
      <c r="Y13713">
        <v>1</v>
      </c>
      <c r="Z13713">
        <v>0</v>
      </c>
      <c r="AA13713">
        <v>1</v>
      </c>
      <c r="AB13713">
        <v>0</v>
      </c>
      <c r="AC13713">
        <v>0</v>
      </c>
      <c r="AD13713">
        <v>1</v>
      </c>
      <c r="AE13713">
        <v>1</v>
      </c>
      <c r="AF13713">
        <v>1</v>
      </c>
      <c r="AG13713">
        <v>1</v>
      </c>
      <c r="AH13713">
        <v>1</v>
      </c>
      <c r="AI13713">
        <v>1</v>
      </c>
      <c r="AJ13713">
        <v>1</v>
      </c>
      <c r="AK13713">
        <v>1</v>
      </c>
      <c r="AL13713">
        <v>1</v>
      </c>
      <c r="AM13713">
        <v>1</v>
      </c>
    </row>
    <row r="13714" spans="1:39" x14ac:dyDescent="0.2">
      <c r="A13714" t="str">
        <f>"13710"</f>
        <v>13710</v>
      </c>
      <c r="B13714" t="str">
        <f t="shared" si="761"/>
        <v>1</v>
      </c>
      <c r="C13714" t="str">
        <f t="shared" si="763"/>
        <v>275</v>
      </c>
      <c r="D13714" t="str">
        <f>"7"</f>
        <v>7</v>
      </c>
      <c r="E13714" t="str">
        <f>"1-275-7"</f>
        <v>1-275-7</v>
      </c>
      <c r="F13714" t="s">
        <v>65</v>
      </c>
      <c r="G13714" t="s">
        <v>66</v>
      </c>
      <c r="H13714" t="s">
        <v>67</v>
      </c>
      <c r="S13714">
        <v>0</v>
      </c>
      <c r="T13714">
        <v>1</v>
      </c>
      <c r="U13714">
        <v>0</v>
      </c>
      <c r="V13714">
        <v>0</v>
      </c>
      <c r="W13714">
        <v>1</v>
      </c>
      <c r="X13714">
        <v>0</v>
      </c>
      <c r="Y13714">
        <v>0</v>
      </c>
      <c r="Z13714">
        <v>1</v>
      </c>
      <c r="AA13714">
        <v>1</v>
      </c>
      <c r="AB13714">
        <v>0</v>
      </c>
      <c r="AC13714">
        <v>0</v>
      </c>
      <c r="AD13714">
        <v>1</v>
      </c>
      <c r="AE13714">
        <v>1</v>
      </c>
      <c r="AF13714">
        <v>1</v>
      </c>
      <c r="AG13714">
        <v>1</v>
      </c>
      <c r="AH13714">
        <v>0</v>
      </c>
      <c r="AI13714">
        <v>1</v>
      </c>
      <c r="AJ13714">
        <v>1</v>
      </c>
      <c r="AK13714">
        <v>1</v>
      </c>
      <c r="AL13714">
        <v>1</v>
      </c>
      <c r="AM13714">
        <v>1</v>
      </c>
    </row>
    <row r="13715" spans="1:39" x14ac:dyDescent="0.2">
      <c r="A13715" t="str">
        <f>"13711"</f>
        <v>13711</v>
      </c>
      <c r="B13715" t="str">
        <f t="shared" si="761"/>
        <v>1</v>
      </c>
      <c r="C13715" t="str">
        <f t="shared" si="763"/>
        <v>275</v>
      </c>
      <c r="D13715" t="str">
        <f>"45"</f>
        <v>45</v>
      </c>
      <c r="E13715" t="str">
        <f>"1-275-45"</f>
        <v>1-275-45</v>
      </c>
      <c r="F13715" t="s">
        <v>65</v>
      </c>
      <c r="G13715" t="s">
        <v>66</v>
      </c>
      <c r="H13715" t="s">
        <v>67</v>
      </c>
      <c r="S13715">
        <v>1</v>
      </c>
      <c r="T13715">
        <v>0</v>
      </c>
      <c r="U13715">
        <v>0</v>
      </c>
      <c r="V13715">
        <v>0</v>
      </c>
      <c r="W13715">
        <v>1</v>
      </c>
      <c r="X13715">
        <v>0</v>
      </c>
      <c r="Y13715">
        <v>0</v>
      </c>
      <c r="Z13715">
        <v>1</v>
      </c>
      <c r="AA13715">
        <v>1</v>
      </c>
      <c r="AB13715">
        <v>0</v>
      </c>
      <c r="AC13715">
        <v>0</v>
      </c>
      <c r="AD13715">
        <v>1</v>
      </c>
      <c r="AE13715">
        <v>1</v>
      </c>
      <c r="AF13715">
        <v>1</v>
      </c>
      <c r="AG13715">
        <v>1</v>
      </c>
      <c r="AH13715">
        <v>1</v>
      </c>
      <c r="AI13715">
        <v>1</v>
      </c>
      <c r="AJ13715">
        <v>1</v>
      </c>
      <c r="AK13715">
        <v>1</v>
      </c>
      <c r="AL13715">
        <v>1</v>
      </c>
      <c r="AM13715">
        <v>1</v>
      </c>
    </row>
    <row r="13716" spans="1:39" x14ac:dyDescent="0.2">
      <c r="A13716" t="str">
        <f>"13712"</f>
        <v>13712</v>
      </c>
      <c r="B13716" t="str">
        <f t="shared" si="761"/>
        <v>1</v>
      </c>
      <c r="C13716" t="str">
        <f t="shared" si="763"/>
        <v>275</v>
      </c>
      <c r="D13716" t="str">
        <f>"44"</f>
        <v>44</v>
      </c>
      <c r="E13716" t="str">
        <f>"1-275-44"</f>
        <v>1-275-44</v>
      </c>
      <c r="F13716" t="s">
        <v>65</v>
      </c>
      <c r="G13716" t="s">
        <v>66</v>
      </c>
      <c r="H13716" t="s">
        <v>67</v>
      </c>
      <c r="S13716">
        <v>1</v>
      </c>
      <c r="T13716">
        <v>0</v>
      </c>
      <c r="U13716">
        <v>0</v>
      </c>
      <c r="V13716">
        <v>0</v>
      </c>
      <c r="W13716">
        <v>1</v>
      </c>
      <c r="X13716">
        <v>0</v>
      </c>
      <c r="Y13716">
        <v>1</v>
      </c>
      <c r="Z13716">
        <v>0</v>
      </c>
      <c r="AA13716">
        <v>1</v>
      </c>
      <c r="AB13716">
        <v>0</v>
      </c>
      <c r="AC13716">
        <v>0</v>
      </c>
      <c r="AD13716">
        <v>1</v>
      </c>
      <c r="AE13716">
        <v>1</v>
      </c>
      <c r="AF13716">
        <v>1</v>
      </c>
      <c r="AG13716">
        <v>1</v>
      </c>
      <c r="AH13716">
        <v>0</v>
      </c>
      <c r="AI13716">
        <v>1</v>
      </c>
      <c r="AJ13716">
        <v>1</v>
      </c>
      <c r="AK13716">
        <v>1</v>
      </c>
      <c r="AL13716">
        <v>1</v>
      </c>
      <c r="AM13716">
        <v>1</v>
      </c>
    </row>
    <row r="13717" spans="1:39" x14ac:dyDescent="0.2">
      <c r="A13717" t="str">
        <f>"13713"</f>
        <v>13713</v>
      </c>
      <c r="B13717" t="str">
        <f t="shared" si="761"/>
        <v>1</v>
      </c>
      <c r="C13717" t="str">
        <f t="shared" si="763"/>
        <v>275</v>
      </c>
      <c r="D13717" t="str">
        <f>"33"</f>
        <v>33</v>
      </c>
      <c r="E13717" t="str">
        <f>"1-275-33"</f>
        <v>1-275-33</v>
      </c>
      <c r="F13717" t="s">
        <v>65</v>
      </c>
      <c r="G13717" t="s">
        <v>66</v>
      </c>
      <c r="H13717" t="s">
        <v>67</v>
      </c>
      <c r="S13717">
        <v>0</v>
      </c>
      <c r="T13717">
        <v>1</v>
      </c>
      <c r="U13717">
        <v>0</v>
      </c>
      <c r="V13717">
        <v>0</v>
      </c>
      <c r="W13717">
        <v>1</v>
      </c>
      <c r="X13717">
        <v>0</v>
      </c>
      <c r="Y13717">
        <v>1</v>
      </c>
      <c r="Z13717">
        <v>0</v>
      </c>
      <c r="AA13717">
        <v>0</v>
      </c>
      <c r="AB13717">
        <v>0</v>
      </c>
      <c r="AC13717">
        <v>1</v>
      </c>
      <c r="AD13717">
        <v>0</v>
      </c>
      <c r="AE13717">
        <v>0</v>
      </c>
      <c r="AF13717">
        <v>0</v>
      </c>
      <c r="AG13717">
        <v>0</v>
      </c>
      <c r="AH13717">
        <v>0</v>
      </c>
      <c r="AI13717">
        <v>0</v>
      </c>
      <c r="AJ13717">
        <v>0</v>
      </c>
      <c r="AK13717">
        <v>0</v>
      </c>
      <c r="AL13717">
        <v>0</v>
      </c>
      <c r="AM13717">
        <v>0</v>
      </c>
    </row>
    <row r="13718" spans="1:39" x14ac:dyDescent="0.2">
      <c r="A13718" t="str">
        <f>"13714"</f>
        <v>13714</v>
      </c>
      <c r="B13718" t="str">
        <f t="shared" si="761"/>
        <v>1</v>
      </c>
      <c r="C13718" t="str">
        <f t="shared" si="763"/>
        <v>275</v>
      </c>
      <c r="D13718" t="str">
        <f>"17"</f>
        <v>17</v>
      </c>
      <c r="E13718" t="str">
        <f>"1-275-17"</f>
        <v>1-275-17</v>
      </c>
      <c r="F13718" t="s">
        <v>65</v>
      </c>
      <c r="G13718" t="s">
        <v>66</v>
      </c>
      <c r="H13718" t="s">
        <v>67</v>
      </c>
      <c r="S13718">
        <v>1</v>
      </c>
      <c r="T13718">
        <v>0</v>
      </c>
      <c r="U13718">
        <v>0</v>
      </c>
      <c r="V13718">
        <v>0</v>
      </c>
      <c r="W13718">
        <v>1</v>
      </c>
      <c r="X13718">
        <v>0</v>
      </c>
      <c r="Y13718">
        <v>0</v>
      </c>
      <c r="Z13718">
        <v>1</v>
      </c>
      <c r="AA13718">
        <v>1</v>
      </c>
      <c r="AB13718">
        <v>0</v>
      </c>
      <c r="AC13718">
        <v>0</v>
      </c>
      <c r="AD13718">
        <v>1</v>
      </c>
      <c r="AE13718">
        <v>1</v>
      </c>
      <c r="AF13718">
        <v>1</v>
      </c>
      <c r="AG13718">
        <v>1</v>
      </c>
      <c r="AH13718">
        <v>1</v>
      </c>
      <c r="AI13718">
        <v>1</v>
      </c>
      <c r="AJ13718">
        <v>1</v>
      </c>
      <c r="AK13718">
        <v>1</v>
      </c>
      <c r="AL13718">
        <v>1</v>
      </c>
      <c r="AM13718">
        <v>1</v>
      </c>
    </row>
    <row r="13719" spans="1:39" x14ac:dyDescent="0.2">
      <c r="A13719" t="str">
        <f>"13715"</f>
        <v>13715</v>
      </c>
      <c r="B13719" t="str">
        <f t="shared" si="761"/>
        <v>1</v>
      </c>
      <c r="C13719" t="str">
        <f t="shared" si="763"/>
        <v>275</v>
      </c>
      <c r="D13719" t="str">
        <f>"1"</f>
        <v>1</v>
      </c>
      <c r="E13719" t="str">
        <f>"1-275-1"</f>
        <v>1-275-1</v>
      </c>
      <c r="F13719" t="s">
        <v>65</v>
      </c>
      <c r="G13719" t="s">
        <v>66</v>
      </c>
      <c r="H13719" t="s">
        <v>68</v>
      </c>
      <c r="I13719">
        <v>1</v>
      </c>
      <c r="J13719">
        <v>0</v>
      </c>
      <c r="K13719">
        <v>1</v>
      </c>
      <c r="L13719">
        <v>0</v>
      </c>
      <c r="M13719">
        <v>1</v>
      </c>
      <c r="N13719">
        <v>1</v>
      </c>
      <c r="O13719">
        <v>1</v>
      </c>
      <c r="P13719">
        <v>1</v>
      </c>
      <c r="Q13719">
        <v>1</v>
      </c>
      <c r="R13719">
        <v>1</v>
      </c>
    </row>
    <row r="13720" spans="1:39" x14ac:dyDescent="0.2">
      <c r="A13720" t="str">
        <f>"13716"</f>
        <v>13716</v>
      </c>
      <c r="B13720" t="str">
        <f t="shared" si="761"/>
        <v>1</v>
      </c>
      <c r="C13720" t="str">
        <f t="shared" si="763"/>
        <v>275</v>
      </c>
      <c r="D13720" t="str">
        <f>"34"</f>
        <v>34</v>
      </c>
      <c r="E13720" t="str">
        <f>"1-275-34"</f>
        <v>1-275-34</v>
      </c>
      <c r="F13720" t="s">
        <v>65</v>
      </c>
      <c r="G13720" t="s">
        <v>66</v>
      </c>
      <c r="H13720" t="s">
        <v>67</v>
      </c>
      <c r="S13720">
        <v>1</v>
      </c>
      <c r="T13720">
        <v>0</v>
      </c>
      <c r="U13720">
        <v>0</v>
      </c>
      <c r="V13720">
        <v>0</v>
      </c>
      <c r="W13720">
        <v>1</v>
      </c>
      <c r="X13720">
        <v>0</v>
      </c>
      <c r="Y13720">
        <v>1</v>
      </c>
      <c r="Z13720">
        <v>0</v>
      </c>
      <c r="AA13720">
        <v>1</v>
      </c>
      <c r="AB13720">
        <v>0</v>
      </c>
      <c r="AC13720">
        <v>0</v>
      </c>
      <c r="AD13720">
        <v>1</v>
      </c>
      <c r="AE13720">
        <v>1</v>
      </c>
      <c r="AF13720">
        <v>1</v>
      </c>
      <c r="AG13720">
        <v>1</v>
      </c>
      <c r="AH13720">
        <v>1</v>
      </c>
      <c r="AI13720">
        <v>1</v>
      </c>
      <c r="AJ13720">
        <v>1</v>
      </c>
      <c r="AK13720">
        <v>1</v>
      </c>
      <c r="AL13720">
        <v>1</v>
      </c>
      <c r="AM13720">
        <v>1</v>
      </c>
    </row>
    <row r="13721" spans="1:39" x14ac:dyDescent="0.2">
      <c r="A13721" t="str">
        <f>"13717"</f>
        <v>13717</v>
      </c>
      <c r="B13721" t="str">
        <f t="shared" si="761"/>
        <v>1</v>
      </c>
      <c r="C13721" t="str">
        <f t="shared" si="763"/>
        <v>275</v>
      </c>
      <c r="D13721" t="str">
        <f>"18"</f>
        <v>18</v>
      </c>
      <c r="E13721" t="str">
        <f>"1-275-18"</f>
        <v>1-275-18</v>
      </c>
      <c r="F13721" t="s">
        <v>65</v>
      </c>
      <c r="G13721" t="s">
        <v>66</v>
      </c>
      <c r="H13721" t="s">
        <v>67</v>
      </c>
      <c r="S13721">
        <v>1</v>
      </c>
      <c r="T13721">
        <v>0</v>
      </c>
      <c r="U13721">
        <v>0</v>
      </c>
      <c r="V13721">
        <v>0</v>
      </c>
      <c r="W13721">
        <v>1</v>
      </c>
      <c r="X13721">
        <v>0</v>
      </c>
      <c r="Y13721">
        <v>0</v>
      </c>
      <c r="Z13721">
        <v>0</v>
      </c>
      <c r="AA13721">
        <v>1</v>
      </c>
      <c r="AB13721">
        <v>0</v>
      </c>
      <c r="AC13721">
        <v>0</v>
      </c>
      <c r="AD13721">
        <v>0</v>
      </c>
      <c r="AE13721">
        <v>0</v>
      </c>
      <c r="AF13721">
        <v>0</v>
      </c>
      <c r="AG13721">
        <v>1</v>
      </c>
      <c r="AH13721">
        <v>0</v>
      </c>
      <c r="AI13721">
        <v>0</v>
      </c>
      <c r="AJ13721">
        <v>0</v>
      </c>
      <c r="AK13721">
        <v>0</v>
      </c>
      <c r="AL13721">
        <v>1</v>
      </c>
      <c r="AM13721">
        <v>1</v>
      </c>
    </row>
    <row r="13722" spans="1:39" x14ac:dyDescent="0.2">
      <c r="A13722" t="str">
        <f>"13718"</f>
        <v>13718</v>
      </c>
      <c r="B13722" t="str">
        <f t="shared" si="761"/>
        <v>1</v>
      </c>
      <c r="C13722" t="str">
        <f t="shared" si="763"/>
        <v>275</v>
      </c>
      <c r="D13722" t="str">
        <f>"3"</f>
        <v>3</v>
      </c>
      <c r="E13722" t="str">
        <f>"1-275-3"</f>
        <v>1-275-3</v>
      </c>
      <c r="F13722" t="s">
        <v>65</v>
      </c>
      <c r="G13722" t="s">
        <v>66</v>
      </c>
      <c r="H13722" t="s">
        <v>68</v>
      </c>
      <c r="I13722">
        <v>1</v>
      </c>
      <c r="J13722">
        <v>0</v>
      </c>
      <c r="K13722">
        <v>0</v>
      </c>
      <c r="L13722">
        <v>1</v>
      </c>
      <c r="M13722">
        <v>1</v>
      </c>
      <c r="N13722">
        <v>1</v>
      </c>
      <c r="O13722">
        <v>1</v>
      </c>
      <c r="P13722">
        <v>1</v>
      </c>
      <c r="Q13722">
        <v>1</v>
      </c>
      <c r="R13722">
        <v>1</v>
      </c>
    </row>
    <row r="13723" spans="1:39" x14ac:dyDescent="0.2">
      <c r="A13723" t="str">
        <f>"13719"</f>
        <v>13719</v>
      </c>
      <c r="B13723" t="str">
        <f t="shared" si="761"/>
        <v>1</v>
      </c>
      <c r="C13723" t="str">
        <f t="shared" si="763"/>
        <v>275</v>
      </c>
      <c r="D13723" t="str">
        <f>"50"</f>
        <v>50</v>
      </c>
      <c r="E13723" t="str">
        <f>"1-275-50"</f>
        <v>1-275-50</v>
      </c>
      <c r="F13723" t="s">
        <v>65</v>
      </c>
      <c r="G13723" t="s">
        <v>66</v>
      </c>
      <c r="H13723" t="s">
        <v>68</v>
      </c>
      <c r="I13723">
        <v>1</v>
      </c>
      <c r="J13723">
        <v>0</v>
      </c>
      <c r="K13723">
        <v>0</v>
      </c>
      <c r="L13723">
        <v>1</v>
      </c>
      <c r="M13723">
        <v>1</v>
      </c>
      <c r="N13723">
        <v>1</v>
      </c>
      <c r="O13723">
        <v>1</v>
      </c>
      <c r="P13723">
        <v>1</v>
      </c>
      <c r="Q13723">
        <v>1</v>
      </c>
      <c r="R13723">
        <v>1</v>
      </c>
    </row>
    <row r="13724" spans="1:39" x14ac:dyDescent="0.2">
      <c r="A13724" t="str">
        <f>"13720"</f>
        <v>13720</v>
      </c>
      <c r="B13724" t="str">
        <f t="shared" si="761"/>
        <v>1</v>
      </c>
      <c r="C13724" t="str">
        <f t="shared" si="763"/>
        <v>275</v>
      </c>
      <c r="D13724" t="str">
        <f>"49"</f>
        <v>49</v>
      </c>
      <c r="E13724" t="str">
        <f>"1-275-49"</f>
        <v>1-275-49</v>
      </c>
      <c r="F13724" t="s">
        <v>65</v>
      </c>
      <c r="G13724" t="s">
        <v>66</v>
      </c>
      <c r="H13724" t="s">
        <v>68</v>
      </c>
      <c r="I13724">
        <v>1</v>
      </c>
      <c r="J13724">
        <v>0</v>
      </c>
      <c r="K13724">
        <v>0</v>
      </c>
      <c r="L13724">
        <v>1</v>
      </c>
      <c r="M13724">
        <v>1</v>
      </c>
      <c r="N13724">
        <v>1</v>
      </c>
      <c r="O13724">
        <v>1</v>
      </c>
      <c r="P13724">
        <v>1</v>
      </c>
      <c r="Q13724">
        <v>1</v>
      </c>
      <c r="R13724">
        <v>1</v>
      </c>
    </row>
    <row r="13725" spans="1:39" x14ac:dyDescent="0.2">
      <c r="A13725" t="str">
        <f>"13721"</f>
        <v>13721</v>
      </c>
      <c r="B13725" t="str">
        <f t="shared" si="761"/>
        <v>1</v>
      </c>
      <c r="C13725" t="str">
        <f t="shared" si="763"/>
        <v>275</v>
      </c>
      <c r="D13725" t="str">
        <f>"35"</f>
        <v>35</v>
      </c>
      <c r="E13725" t="str">
        <f>"1-275-35"</f>
        <v>1-275-35</v>
      </c>
      <c r="F13725" t="s">
        <v>65</v>
      </c>
      <c r="G13725" t="s">
        <v>66</v>
      </c>
      <c r="H13725" t="s">
        <v>67</v>
      </c>
      <c r="S13725">
        <v>1</v>
      </c>
      <c r="T13725">
        <v>0</v>
      </c>
      <c r="U13725">
        <v>0</v>
      </c>
      <c r="V13725">
        <v>0</v>
      </c>
      <c r="W13725">
        <v>1</v>
      </c>
      <c r="X13725">
        <v>0</v>
      </c>
      <c r="Y13725">
        <v>1</v>
      </c>
      <c r="Z13725">
        <v>0</v>
      </c>
      <c r="AA13725">
        <v>1</v>
      </c>
      <c r="AB13725">
        <v>0</v>
      </c>
      <c r="AC13725">
        <v>0</v>
      </c>
      <c r="AD13725">
        <v>1</v>
      </c>
      <c r="AE13725">
        <v>1</v>
      </c>
      <c r="AF13725">
        <v>0</v>
      </c>
      <c r="AG13725">
        <v>1</v>
      </c>
      <c r="AH13725">
        <v>1</v>
      </c>
      <c r="AI13725">
        <v>1</v>
      </c>
      <c r="AJ13725">
        <v>1</v>
      </c>
      <c r="AK13725">
        <v>1</v>
      </c>
      <c r="AL13725">
        <v>1</v>
      </c>
      <c r="AM13725">
        <v>1</v>
      </c>
    </row>
    <row r="13726" spans="1:39" x14ac:dyDescent="0.2">
      <c r="A13726" t="str">
        <f>"13722"</f>
        <v>13722</v>
      </c>
      <c r="B13726" t="str">
        <f t="shared" si="761"/>
        <v>1</v>
      </c>
      <c r="C13726" t="str">
        <f t="shared" si="763"/>
        <v>275</v>
      </c>
      <c r="D13726" t="str">
        <f>"19"</f>
        <v>19</v>
      </c>
      <c r="E13726" t="str">
        <f>"1-275-19"</f>
        <v>1-275-19</v>
      </c>
      <c r="F13726" t="s">
        <v>65</v>
      </c>
      <c r="G13726" t="s">
        <v>66</v>
      </c>
      <c r="H13726" t="s">
        <v>67</v>
      </c>
      <c r="S13726">
        <v>1</v>
      </c>
      <c r="T13726">
        <v>0</v>
      </c>
      <c r="U13726">
        <v>0</v>
      </c>
      <c r="V13726">
        <v>0</v>
      </c>
      <c r="W13726">
        <v>1</v>
      </c>
      <c r="X13726">
        <v>0</v>
      </c>
      <c r="Y13726">
        <v>0</v>
      </c>
      <c r="Z13726">
        <v>0</v>
      </c>
      <c r="AA13726">
        <v>1</v>
      </c>
      <c r="AB13726">
        <v>0</v>
      </c>
      <c r="AC13726">
        <v>0</v>
      </c>
      <c r="AD13726">
        <v>1</v>
      </c>
      <c r="AE13726">
        <v>1</v>
      </c>
      <c r="AF13726">
        <v>1</v>
      </c>
      <c r="AG13726">
        <v>1</v>
      </c>
      <c r="AH13726">
        <v>1</v>
      </c>
      <c r="AI13726">
        <v>1</v>
      </c>
      <c r="AJ13726">
        <v>1</v>
      </c>
      <c r="AK13726">
        <v>1</v>
      </c>
      <c r="AL13726">
        <v>1</v>
      </c>
      <c r="AM13726">
        <v>1</v>
      </c>
    </row>
    <row r="13727" spans="1:39" x14ac:dyDescent="0.2">
      <c r="A13727" t="str">
        <f>"13723"</f>
        <v>13723</v>
      </c>
      <c r="B13727" t="str">
        <f t="shared" si="761"/>
        <v>1</v>
      </c>
      <c r="C13727" t="str">
        <f t="shared" si="763"/>
        <v>275</v>
      </c>
      <c r="D13727" t="str">
        <f>"2"</f>
        <v>2</v>
      </c>
      <c r="E13727" t="str">
        <f>"1-275-2"</f>
        <v>1-275-2</v>
      </c>
      <c r="F13727" t="s">
        <v>65</v>
      </c>
      <c r="G13727" t="s">
        <v>66</v>
      </c>
      <c r="H13727" t="s">
        <v>68</v>
      </c>
      <c r="I13727">
        <v>1</v>
      </c>
      <c r="J13727">
        <v>0</v>
      </c>
      <c r="K13727">
        <v>0</v>
      </c>
      <c r="L13727">
        <v>1</v>
      </c>
      <c r="M13727">
        <v>1</v>
      </c>
      <c r="N13727">
        <v>1</v>
      </c>
      <c r="O13727">
        <v>1</v>
      </c>
      <c r="P13727">
        <v>1</v>
      </c>
      <c r="Q13727">
        <v>1</v>
      </c>
      <c r="R13727">
        <v>1</v>
      </c>
    </row>
    <row r="13728" spans="1:39" x14ac:dyDescent="0.2">
      <c r="A13728" t="str">
        <f>"13724"</f>
        <v>13724</v>
      </c>
      <c r="B13728" t="str">
        <f t="shared" si="761"/>
        <v>1</v>
      </c>
      <c r="C13728" t="str">
        <f t="shared" si="763"/>
        <v>275</v>
      </c>
      <c r="D13728" t="str">
        <f>"38"</f>
        <v>38</v>
      </c>
      <c r="E13728" t="str">
        <f>"1-275-38"</f>
        <v>1-275-38</v>
      </c>
      <c r="F13728" t="s">
        <v>65</v>
      </c>
      <c r="G13728" t="s">
        <v>66</v>
      </c>
      <c r="H13728" t="s">
        <v>67</v>
      </c>
      <c r="S13728">
        <v>1</v>
      </c>
      <c r="T13728">
        <v>0</v>
      </c>
      <c r="U13728">
        <v>0</v>
      </c>
      <c r="V13728">
        <v>0</v>
      </c>
      <c r="W13728">
        <v>1</v>
      </c>
      <c r="X13728">
        <v>0</v>
      </c>
      <c r="Y13728">
        <v>1</v>
      </c>
      <c r="Z13728">
        <v>0</v>
      </c>
      <c r="AA13728">
        <v>0</v>
      </c>
      <c r="AB13728">
        <v>1</v>
      </c>
      <c r="AC13728">
        <v>0</v>
      </c>
      <c r="AD13728">
        <v>0</v>
      </c>
      <c r="AE13728">
        <v>0</v>
      </c>
      <c r="AF13728">
        <v>0</v>
      </c>
      <c r="AG13728">
        <v>0</v>
      </c>
      <c r="AH13728">
        <v>0</v>
      </c>
      <c r="AI13728">
        <v>0</v>
      </c>
      <c r="AJ13728">
        <v>0</v>
      </c>
      <c r="AK13728">
        <v>0</v>
      </c>
      <c r="AL13728">
        <v>0</v>
      </c>
      <c r="AM13728">
        <v>0</v>
      </c>
    </row>
    <row r="13729" spans="1:39" x14ac:dyDescent="0.2">
      <c r="A13729" t="str">
        <f>"13725"</f>
        <v>13725</v>
      </c>
      <c r="B13729" t="str">
        <f t="shared" si="761"/>
        <v>1</v>
      </c>
      <c r="C13729" t="str">
        <f t="shared" si="763"/>
        <v>275</v>
      </c>
      <c r="D13729" t="str">
        <f>"20"</f>
        <v>20</v>
      </c>
      <c r="E13729" t="str">
        <f>"1-275-20"</f>
        <v>1-275-20</v>
      </c>
      <c r="F13729" t="s">
        <v>65</v>
      </c>
      <c r="G13729" t="s">
        <v>66</v>
      </c>
      <c r="H13729" t="s">
        <v>67</v>
      </c>
      <c r="S13729">
        <v>0</v>
      </c>
      <c r="T13729">
        <v>1</v>
      </c>
      <c r="U13729">
        <v>0</v>
      </c>
      <c r="V13729">
        <v>0</v>
      </c>
      <c r="W13729">
        <v>0</v>
      </c>
      <c r="X13729">
        <v>1</v>
      </c>
      <c r="Y13729">
        <v>1</v>
      </c>
      <c r="Z13729">
        <v>0</v>
      </c>
      <c r="AA13729">
        <v>0</v>
      </c>
      <c r="AB13729">
        <v>0</v>
      </c>
      <c r="AC13729">
        <v>1</v>
      </c>
      <c r="AD13729">
        <v>1</v>
      </c>
      <c r="AE13729">
        <v>1</v>
      </c>
      <c r="AF13729">
        <v>1</v>
      </c>
      <c r="AG13729">
        <v>1</v>
      </c>
      <c r="AH13729">
        <v>1</v>
      </c>
      <c r="AI13729">
        <v>1</v>
      </c>
      <c r="AJ13729">
        <v>1</v>
      </c>
      <c r="AK13729">
        <v>1</v>
      </c>
      <c r="AL13729">
        <v>0</v>
      </c>
      <c r="AM13729">
        <v>1</v>
      </c>
    </row>
    <row r="13730" spans="1:39" x14ac:dyDescent="0.2">
      <c r="A13730" t="str">
        <f>"13726"</f>
        <v>13726</v>
      </c>
      <c r="B13730" t="str">
        <f t="shared" si="761"/>
        <v>1</v>
      </c>
      <c r="C13730" t="str">
        <f t="shared" si="763"/>
        <v>275</v>
      </c>
      <c r="D13730" t="str">
        <f>"4"</f>
        <v>4</v>
      </c>
      <c r="E13730" t="str">
        <f>"1-275-4"</f>
        <v>1-275-4</v>
      </c>
      <c r="F13730" t="s">
        <v>65</v>
      </c>
      <c r="G13730" t="s">
        <v>66</v>
      </c>
      <c r="H13730" t="s">
        <v>67</v>
      </c>
      <c r="S13730">
        <v>1</v>
      </c>
      <c r="T13730">
        <v>0</v>
      </c>
      <c r="U13730">
        <v>0</v>
      </c>
      <c r="V13730">
        <v>0</v>
      </c>
      <c r="W13730">
        <v>1</v>
      </c>
      <c r="X13730">
        <v>0</v>
      </c>
      <c r="Y13730">
        <v>1</v>
      </c>
      <c r="Z13730">
        <v>0</v>
      </c>
      <c r="AA13730">
        <v>1</v>
      </c>
      <c r="AB13730">
        <v>0</v>
      </c>
      <c r="AC13730">
        <v>0</v>
      </c>
      <c r="AD13730">
        <v>0</v>
      </c>
      <c r="AE13730">
        <v>1</v>
      </c>
      <c r="AF13730">
        <v>0</v>
      </c>
      <c r="AG13730">
        <v>0</v>
      </c>
      <c r="AH13730">
        <v>1</v>
      </c>
      <c r="AI13730">
        <v>1</v>
      </c>
      <c r="AJ13730">
        <v>1</v>
      </c>
      <c r="AK13730">
        <v>0</v>
      </c>
      <c r="AL13730">
        <v>0</v>
      </c>
      <c r="AM13730">
        <v>0</v>
      </c>
    </row>
    <row r="13731" spans="1:39" x14ac:dyDescent="0.2">
      <c r="A13731" t="str">
        <f>"13727"</f>
        <v>13727</v>
      </c>
      <c r="B13731" t="str">
        <f t="shared" si="761"/>
        <v>1</v>
      </c>
      <c r="C13731" t="str">
        <f t="shared" si="763"/>
        <v>275</v>
      </c>
      <c r="D13731" t="str">
        <f>"39"</f>
        <v>39</v>
      </c>
      <c r="E13731" t="str">
        <f>"1-275-39"</f>
        <v>1-275-39</v>
      </c>
      <c r="F13731" t="s">
        <v>65</v>
      </c>
      <c r="G13731" t="s">
        <v>66</v>
      </c>
      <c r="H13731" t="s">
        <v>67</v>
      </c>
      <c r="S13731">
        <v>1</v>
      </c>
      <c r="T13731">
        <v>0</v>
      </c>
      <c r="U13731">
        <v>0</v>
      </c>
      <c r="V13731">
        <v>0</v>
      </c>
      <c r="W13731">
        <v>1</v>
      </c>
      <c r="X13731">
        <v>0</v>
      </c>
      <c r="Y13731">
        <v>0</v>
      </c>
      <c r="Z13731">
        <v>1</v>
      </c>
      <c r="AA13731">
        <v>0</v>
      </c>
      <c r="AB13731">
        <v>0</v>
      </c>
      <c r="AC13731">
        <v>0</v>
      </c>
      <c r="AD13731">
        <v>0</v>
      </c>
      <c r="AE13731">
        <v>0</v>
      </c>
      <c r="AF13731">
        <v>0</v>
      </c>
      <c r="AG13731">
        <v>1</v>
      </c>
      <c r="AH13731">
        <v>1</v>
      </c>
      <c r="AI13731">
        <v>1</v>
      </c>
      <c r="AJ13731">
        <v>1</v>
      </c>
      <c r="AK13731">
        <v>1</v>
      </c>
      <c r="AL13731">
        <v>1</v>
      </c>
      <c r="AM13731">
        <v>0</v>
      </c>
    </row>
    <row r="13732" spans="1:39" x14ac:dyDescent="0.2">
      <c r="A13732" t="str">
        <f>"13728"</f>
        <v>13728</v>
      </c>
      <c r="B13732" t="str">
        <f t="shared" si="761"/>
        <v>1</v>
      </c>
      <c r="C13732" t="str">
        <f t="shared" si="763"/>
        <v>275</v>
      </c>
      <c r="D13732" t="str">
        <f>"21"</f>
        <v>21</v>
      </c>
      <c r="E13732" t="str">
        <f>"1-275-21"</f>
        <v>1-275-21</v>
      </c>
      <c r="F13732" t="s">
        <v>65</v>
      </c>
      <c r="G13732" t="s">
        <v>66</v>
      </c>
      <c r="H13732" t="s">
        <v>67</v>
      </c>
      <c r="S13732">
        <v>1</v>
      </c>
      <c r="T13732">
        <v>0</v>
      </c>
      <c r="U13732">
        <v>0</v>
      </c>
      <c r="V13732">
        <v>0</v>
      </c>
      <c r="W13732">
        <v>1</v>
      </c>
      <c r="X13732">
        <v>0</v>
      </c>
      <c r="Y13732">
        <v>1</v>
      </c>
      <c r="Z13732">
        <v>0</v>
      </c>
      <c r="AA13732">
        <v>1</v>
      </c>
      <c r="AB13732">
        <v>0</v>
      </c>
      <c r="AC13732">
        <v>0</v>
      </c>
      <c r="AD13732">
        <v>1</v>
      </c>
      <c r="AE13732">
        <v>1</v>
      </c>
      <c r="AF13732">
        <v>1</v>
      </c>
      <c r="AG13732">
        <v>1</v>
      </c>
      <c r="AH13732">
        <v>1</v>
      </c>
      <c r="AI13732">
        <v>1</v>
      </c>
      <c r="AJ13732">
        <v>1</v>
      </c>
      <c r="AK13732">
        <v>1</v>
      </c>
      <c r="AL13732">
        <v>1</v>
      </c>
      <c r="AM13732">
        <v>0</v>
      </c>
    </row>
    <row r="13733" spans="1:39" x14ac:dyDescent="0.2">
      <c r="A13733" t="str">
        <f>"13729"</f>
        <v>13729</v>
      </c>
      <c r="B13733" t="str">
        <f t="shared" si="761"/>
        <v>1</v>
      </c>
      <c r="C13733" t="str">
        <f t="shared" si="763"/>
        <v>275</v>
      </c>
      <c r="D13733" t="str">
        <f>"12"</f>
        <v>12</v>
      </c>
      <c r="E13733" t="str">
        <f>"1-275-12"</f>
        <v>1-275-12</v>
      </c>
      <c r="F13733" t="s">
        <v>65</v>
      </c>
      <c r="G13733" t="s">
        <v>66</v>
      </c>
      <c r="H13733" t="s">
        <v>67</v>
      </c>
      <c r="S13733">
        <v>1</v>
      </c>
      <c r="T13733">
        <v>0</v>
      </c>
      <c r="U13733">
        <v>0</v>
      </c>
      <c r="V13733">
        <v>0</v>
      </c>
      <c r="W13733">
        <v>1</v>
      </c>
      <c r="X13733">
        <v>0</v>
      </c>
      <c r="Y13733">
        <v>0</v>
      </c>
      <c r="Z13733">
        <v>1</v>
      </c>
      <c r="AA13733">
        <v>1</v>
      </c>
      <c r="AB13733">
        <v>0</v>
      </c>
      <c r="AC13733">
        <v>0</v>
      </c>
      <c r="AD13733">
        <v>1</v>
      </c>
      <c r="AE13733">
        <v>1</v>
      </c>
      <c r="AF13733">
        <v>1</v>
      </c>
      <c r="AG13733">
        <v>1</v>
      </c>
      <c r="AH13733">
        <v>1</v>
      </c>
      <c r="AI13733">
        <v>1</v>
      </c>
      <c r="AJ13733">
        <v>1</v>
      </c>
      <c r="AK13733">
        <v>1</v>
      </c>
      <c r="AL13733">
        <v>1</v>
      </c>
      <c r="AM13733">
        <v>1</v>
      </c>
    </row>
    <row r="13734" spans="1:39" x14ac:dyDescent="0.2">
      <c r="A13734" t="str">
        <f>"13730"</f>
        <v>13730</v>
      </c>
      <c r="B13734" t="str">
        <f t="shared" si="761"/>
        <v>1</v>
      </c>
      <c r="C13734" t="str">
        <f t="shared" si="763"/>
        <v>275</v>
      </c>
      <c r="D13734" t="str">
        <f>"40"</f>
        <v>40</v>
      </c>
      <c r="E13734" t="str">
        <f>"1-275-40"</f>
        <v>1-275-40</v>
      </c>
      <c r="F13734" t="s">
        <v>65</v>
      </c>
      <c r="G13734" t="s">
        <v>66</v>
      </c>
      <c r="H13734" t="s">
        <v>67</v>
      </c>
      <c r="S13734">
        <v>1</v>
      </c>
      <c r="T13734">
        <v>0</v>
      </c>
      <c r="U13734">
        <v>0</v>
      </c>
      <c r="V13734">
        <v>0</v>
      </c>
      <c r="W13734">
        <v>1</v>
      </c>
      <c r="X13734">
        <v>0</v>
      </c>
      <c r="Y13734">
        <v>0</v>
      </c>
      <c r="Z13734">
        <v>1</v>
      </c>
      <c r="AA13734">
        <v>0</v>
      </c>
      <c r="AB13734">
        <v>0</v>
      </c>
      <c r="AC13734">
        <v>0</v>
      </c>
      <c r="AD13734">
        <v>0</v>
      </c>
      <c r="AE13734">
        <v>0</v>
      </c>
      <c r="AF13734">
        <v>0</v>
      </c>
      <c r="AG13734">
        <v>1</v>
      </c>
      <c r="AH13734">
        <v>1</v>
      </c>
      <c r="AI13734">
        <v>0</v>
      </c>
      <c r="AJ13734">
        <v>1</v>
      </c>
      <c r="AK13734">
        <v>1</v>
      </c>
      <c r="AL13734">
        <v>1</v>
      </c>
      <c r="AM13734">
        <v>0</v>
      </c>
    </row>
    <row r="13735" spans="1:39" x14ac:dyDescent="0.2">
      <c r="A13735" t="str">
        <f>"13731"</f>
        <v>13731</v>
      </c>
      <c r="B13735" t="str">
        <f t="shared" si="761"/>
        <v>1</v>
      </c>
      <c r="C13735" t="str">
        <f t="shared" si="763"/>
        <v>275</v>
      </c>
      <c r="D13735" t="str">
        <f>"22"</f>
        <v>22</v>
      </c>
      <c r="E13735" t="str">
        <f>"1-275-22"</f>
        <v>1-275-22</v>
      </c>
      <c r="F13735" t="s">
        <v>65</v>
      </c>
      <c r="G13735" t="s">
        <v>66</v>
      </c>
      <c r="H13735" t="s">
        <v>67</v>
      </c>
      <c r="S13735">
        <v>1</v>
      </c>
      <c r="T13735">
        <v>0</v>
      </c>
      <c r="U13735">
        <v>0</v>
      </c>
      <c r="V13735">
        <v>0</v>
      </c>
      <c r="W13735">
        <v>1</v>
      </c>
      <c r="X13735">
        <v>0</v>
      </c>
      <c r="Y13735">
        <v>0</v>
      </c>
      <c r="Z13735">
        <v>1</v>
      </c>
      <c r="AA13735">
        <v>0</v>
      </c>
      <c r="AB13735">
        <v>1</v>
      </c>
      <c r="AC13735">
        <v>0</v>
      </c>
      <c r="AD13735">
        <v>1</v>
      </c>
      <c r="AE13735">
        <v>1</v>
      </c>
      <c r="AF13735">
        <v>1</v>
      </c>
      <c r="AG13735">
        <v>1</v>
      </c>
      <c r="AH13735">
        <v>1</v>
      </c>
      <c r="AI13735">
        <v>1</v>
      </c>
      <c r="AJ13735">
        <v>1</v>
      </c>
      <c r="AK13735">
        <v>1</v>
      </c>
      <c r="AL13735">
        <v>1</v>
      </c>
      <c r="AM13735">
        <v>1</v>
      </c>
    </row>
    <row r="13736" spans="1:39" x14ac:dyDescent="0.2">
      <c r="A13736" t="str">
        <f>"13732"</f>
        <v>13732</v>
      </c>
      <c r="B13736" t="str">
        <f t="shared" si="761"/>
        <v>1</v>
      </c>
      <c r="C13736" t="str">
        <f t="shared" si="763"/>
        <v>275</v>
      </c>
      <c r="D13736" t="str">
        <f>"10"</f>
        <v>10</v>
      </c>
      <c r="E13736" t="str">
        <f>"1-275-10"</f>
        <v>1-275-10</v>
      </c>
      <c r="F13736" t="s">
        <v>65</v>
      </c>
      <c r="G13736" t="s">
        <v>66</v>
      </c>
      <c r="H13736" t="s">
        <v>67</v>
      </c>
      <c r="S13736">
        <v>1</v>
      </c>
      <c r="T13736">
        <v>0</v>
      </c>
      <c r="U13736">
        <v>0</v>
      </c>
      <c r="V13736">
        <v>0</v>
      </c>
      <c r="W13736">
        <v>1</v>
      </c>
      <c r="X13736">
        <v>0</v>
      </c>
      <c r="Y13736">
        <v>1</v>
      </c>
      <c r="Z13736">
        <v>0</v>
      </c>
      <c r="AA13736">
        <v>1</v>
      </c>
      <c r="AB13736">
        <v>0</v>
      </c>
      <c r="AC13736">
        <v>0</v>
      </c>
      <c r="AD13736">
        <v>1</v>
      </c>
      <c r="AE13736">
        <v>1</v>
      </c>
      <c r="AF13736">
        <v>1</v>
      </c>
      <c r="AG13736">
        <v>1</v>
      </c>
      <c r="AH13736">
        <v>1</v>
      </c>
      <c r="AI13736">
        <v>1</v>
      </c>
      <c r="AJ13736">
        <v>1</v>
      </c>
      <c r="AK13736">
        <v>1</v>
      </c>
      <c r="AL13736">
        <v>1</v>
      </c>
      <c r="AM13736">
        <v>1</v>
      </c>
    </row>
    <row r="13737" spans="1:39" x14ac:dyDescent="0.2">
      <c r="A13737" t="str">
        <f>"13733"</f>
        <v>13733</v>
      </c>
      <c r="B13737" t="str">
        <f t="shared" si="761"/>
        <v>1</v>
      </c>
      <c r="C13737" t="str">
        <f t="shared" ref="C13737:C13754" si="764">"275"</f>
        <v>275</v>
      </c>
      <c r="D13737" t="str">
        <f>"42"</f>
        <v>42</v>
      </c>
      <c r="E13737" t="str">
        <f>"1-275-42"</f>
        <v>1-275-42</v>
      </c>
      <c r="F13737" t="s">
        <v>65</v>
      </c>
      <c r="G13737" t="s">
        <v>66</v>
      </c>
      <c r="H13737" t="s">
        <v>67</v>
      </c>
      <c r="S13737">
        <v>0</v>
      </c>
      <c r="T13737">
        <v>1</v>
      </c>
      <c r="U13737">
        <v>0</v>
      </c>
      <c r="V13737">
        <v>0</v>
      </c>
      <c r="W13737">
        <v>1</v>
      </c>
      <c r="X13737">
        <v>0</v>
      </c>
      <c r="Y13737">
        <v>0</v>
      </c>
      <c r="Z13737">
        <v>1</v>
      </c>
      <c r="AA13737">
        <v>0</v>
      </c>
      <c r="AB13737">
        <v>0</v>
      </c>
      <c r="AC13737">
        <v>1</v>
      </c>
      <c r="AD13737">
        <v>1</v>
      </c>
      <c r="AE13737">
        <v>1</v>
      </c>
      <c r="AF13737">
        <v>1</v>
      </c>
      <c r="AG13737">
        <v>1</v>
      </c>
      <c r="AH13737">
        <v>1</v>
      </c>
      <c r="AI13737">
        <v>1</v>
      </c>
      <c r="AJ13737">
        <v>1</v>
      </c>
      <c r="AK13737">
        <v>1</v>
      </c>
      <c r="AL13737">
        <v>1</v>
      </c>
      <c r="AM13737">
        <v>1</v>
      </c>
    </row>
    <row r="13738" spans="1:39" x14ac:dyDescent="0.2">
      <c r="A13738" t="str">
        <f>"13734"</f>
        <v>13734</v>
      </c>
      <c r="B13738" t="str">
        <f t="shared" si="761"/>
        <v>1</v>
      </c>
      <c r="C13738" t="str">
        <f t="shared" si="764"/>
        <v>275</v>
      </c>
      <c r="D13738" t="str">
        <f>"23"</f>
        <v>23</v>
      </c>
      <c r="E13738" t="str">
        <f>"1-275-23"</f>
        <v>1-275-23</v>
      </c>
      <c r="F13738" t="s">
        <v>65</v>
      </c>
      <c r="G13738" t="s">
        <v>66</v>
      </c>
      <c r="H13738" t="s">
        <v>67</v>
      </c>
      <c r="S13738">
        <v>1</v>
      </c>
      <c r="T13738">
        <v>0</v>
      </c>
      <c r="U13738">
        <v>0</v>
      </c>
      <c r="V13738">
        <v>0</v>
      </c>
      <c r="W13738">
        <v>1</v>
      </c>
      <c r="X13738">
        <v>0</v>
      </c>
      <c r="Y13738">
        <v>0</v>
      </c>
      <c r="Z13738">
        <v>1</v>
      </c>
      <c r="AA13738">
        <v>1</v>
      </c>
      <c r="AB13738">
        <v>0</v>
      </c>
      <c r="AC13738">
        <v>0</v>
      </c>
      <c r="AD13738">
        <v>1</v>
      </c>
      <c r="AE13738">
        <v>1</v>
      </c>
      <c r="AF13738">
        <v>1</v>
      </c>
      <c r="AG13738">
        <v>1</v>
      </c>
      <c r="AH13738">
        <v>1</v>
      </c>
      <c r="AI13738">
        <v>1</v>
      </c>
      <c r="AJ13738">
        <v>1</v>
      </c>
      <c r="AK13738">
        <v>1</v>
      </c>
      <c r="AL13738">
        <v>1</v>
      </c>
      <c r="AM13738">
        <v>1</v>
      </c>
    </row>
    <row r="13739" spans="1:39" x14ac:dyDescent="0.2">
      <c r="A13739" t="str">
        <f>"13735"</f>
        <v>13735</v>
      </c>
      <c r="B13739" t="str">
        <f t="shared" si="761"/>
        <v>1</v>
      </c>
      <c r="C13739" t="str">
        <f t="shared" si="764"/>
        <v>275</v>
      </c>
      <c r="D13739" t="str">
        <f>"13"</f>
        <v>13</v>
      </c>
      <c r="E13739" t="str">
        <f>"1-275-13"</f>
        <v>1-275-13</v>
      </c>
      <c r="F13739" t="s">
        <v>65</v>
      </c>
      <c r="G13739" t="s">
        <v>66</v>
      </c>
      <c r="H13739" t="s">
        <v>67</v>
      </c>
      <c r="S13739">
        <v>1</v>
      </c>
      <c r="T13739">
        <v>0</v>
      </c>
      <c r="U13739">
        <v>0</v>
      </c>
      <c r="V13739">
        <v>0</v>
      </c>
      <c r="W13739">
        <v>1</v>
      </c>
      <c r="X13739">
        <v>0</v>
      </c>
      <c r="Y13739">
        <v>0</v>
      </c>
      <c r="Z13739">
        <v>1</v>
      </c>
      <c r="AA13739">
        <v>0</v>
      </c>
      <c r="AB13739">
        <v>0</v>
      </c>
      <c r="AC13739">
        <v>1</v>
      </c>
      <c r="AD13739">
        <v>1</v>
      </c>
      <c r="AE13739">
        <v>1</v>
      </c>
      <c r="AF13739">
        <v>1</v>
      </c>
      <c r="AG13739">
        <v>1</v>
      </c>
      <c r="AH13739">
        <v>1</v>
      </c>
      <c r="AI13739">
        <v>1</v>
      </c>
      <c r="AJ13739">
        <v>1</v>
      </c>
      <c r="AK13739">
        <v>1</v>
      </c>
      <c r="AL13739">
        <v>1</v>
      </c>
      <c r="AM13739">
        <v>1</v>
      </c>
    </row>
    <row r="13740" spans="1:39" x14ac:dyDescent="0.2">
      <c r="A13740" t="str">
        <f>"13736"</f>
        <v>13736</v>
      </c>
      <c r="B13740" t="str">
        <f t="shared" si="761"/>
        <v>1</v>
      </c>
      <c r="C13740" t="str">
        <f t="shared" si="764"/>
        <v>275</v>
      </c>
      <c r="D13740" t="str">
        <f>"43"</f>
        <v>43</v>
      </c>
      <c r="E13740" t="str">
        <f>"1-275-43"</f>
        <v>1-275-43</v>
      </c>
      <c r="F13740" t="s">
        <v>65</v>
      </c>
      <c r="G13740" t="s">
        <v>66</v>
      </c>
      <c r="H13740" t="s">
        <v>67</v>
      </c>
      <c r="S13740">
        <v>1</v>
      </c>
      <c r="T13740">
        <v>0</v>
      </c>
      <c r="U13740">
        <v>0</v>
      </c>
      <c r="V13740">
        <v>0</v>
      </c>
      <c r="W13740">
        <v>1</v>
      </c>
      <c r="X13740">
        <v>0</v>
      </c>
      <c r="Y13740">
        <v>1</v>
      </c>
      <c r="Z13740">
        <v>0</v>
      </c>
      <c r="AA13740">
        <v>1</v>
      </c>
      <c r="AB13740">
        <v>0</v>
      </c>
      <c r="AC13740">
        <v>0</v>
      </c>
      <c r="AD13740">
        <v>1</v>
      </c>
      <c r="AE13740">
        <v>1</v>
      </c>
      <c r="AF13740">
        <v>1</v>
      </c>
      <c r="AG13740">
        <v>1</v>
      </c>
      <c r="AH13740">
        <v>1</v>
      </c>
      <c r="AI13740">
        <v>1</v>
      </c>
      <c r="AJ13740">
        <v>1</v>
      </c>
      <c r="AK13740">
        <v>1</v>
      </c>
      <c r="AL13740">
        <v>1</v>
      </c>
      <c r="AM13740">
        <v>1</v>
      </c>
    </row>
    <row r="13741" spans="1:39" x14ac:dyDescent="0.2">
      <c r="A13741" t="str">
        <f>"13737"</f>
        <v>13737</v>
      </c>
      <c r="B13741" t="str">
        <f t="shared" si="761"/>
        <v>1</v>
      </c>
      <c r="C13741" t="str">
        <f t="shared" si="764"/>
        <v>275</v>
      </c>
      <c r="D13741" t="str">
        <f>"24"</f>
        <v>24</v>
      </c>
      <c r="E13741" t="str">
        <f>"1-275-24"</f>
        <v>1-275-24</v>
      </c>
      <c r="F13741" t="s">
        <v>65</v>
      </c>
      <c r="G13741" t="s">
        <v>66</v>
      </c>
      <c r="H13741" t="s">
        <v>67</v>
      </c>
      <c r="S13741">
        <v>1</v>
      </c>
      <c r="T13741">
        <v>0</v>
      </c>
      <c r="U13741">
        <v>0</v>
      </c>
      <c r="V13741">
        <v>0</v>
      </c>
      <c r="W13741">
        <v>1</v>
      </c>
      <c r="X13741">
        <v>0</v>
      </c>
      <c r="Y13741">
        <v>1</v>
      </c>
      <c r="Z13741">
        <v>0</v>
      </c>
      <c r="AA13741">
        <v>0</v>
      </c>
      <c r="AB13741">
        <v>0</v>
      </c>
      <c r="AC13741">
        <v>1</v>
      </c>
      <c r="AD13741">
        <v>1</v>
      </c>
      <c r="AE13741">
        <v>1</v>
      </c>
      <c r="AF13741">
        <v>1</v>
      </c>
      <c r="AG13741">
        <v>1</v>
      </c>
      <c r="AH13741">
        <v>1</v>
      </c>
      <c r="AI13741">
        <v>1</v>
      </c>
      <c r="AJ13741">
        <v>1</v>
      </c>
      <c r="AK13741">
        <v>1</v>
      </c>
      <c r="AL13741">
        <v>1</v>
      </c>
      <c r="AM13741">
        <v>1</v>
      </c>
    </row>
    <row r="13742" spans="1:39" x14ac:dyDescent="0.2">
      <c r="A13742" t="str">
        <f>"13738"</f>
        <v>13738</v>
      </c>
      <c r="B13742" t="str">
        <f t="shared" si="761"/>
        <v>1</v>
      </c>
      <c r="C13742" t="str">
        <f t="shared" si="764"/>
        <v>275</v>
      </c>
      <c r="D13742" t="str">
        <f>"11"</f>
        <v>11</v>
      </c>
      <c r="E13742" t="str">
        <f>"1-275-11"</f>
        <v>1-275-11</v>
      </c>
      <c r="F13742" t="s">
        <v>65</v>
      </c>
      <c r="G13742" t="s">
        <v>66</v>
      </c>
      <c r="H13742" t="s">
        <v>67</v>
      </c>
      <c r="S13742">
        <v>0</v>
      </c>
      <c r="T13742">
        <v>1</v>
      </c>
      <c r="U13742">
        <v>0</v>
      </c>
      <c r="V13742">
        <v>0</v>
      </c>
      <c r="W13742">
        <v>1</v>
      </c>
      <c r="X13742">
        <v>0</v>
      </c>
      <c r="Y13742">
        <v>1</v>
      </c>
      <c r="Z13742">
        <v>0</v>
      </c>
      <c r="AA13742">
        <v>1</v>
      </c>
      <c r="AB13742">
        <v>0</v>
      </c>
      <c r="AC13742">
        <v>0</v>
      </c>
      <c r="AD13742">
        <v>1</v>
      </c>
      <c r="AE13742">
        <v>1</v>
      </c>
      <c r="AF13742">
        <v>1</v>
      </c>
      <c r="AG13742">
        <v>1</v>
      </c>
      <c r="AH13742">
        <v>1</v>
      </c>
      <c r="AI13742">
        <v>1</v>
      </c>
      <c r="AJ13742">
        <v>1</v>
      </c>
      <c r="AK13742">
        <v>1</v>
      </c>
      <c r="AL13742">
        <v>1</v>
      </c>
      <c r="AM13742">
        <v>1</v>
      </c>
    </row>
    <row r="13743" spans="1:39" x14ac:dyDescent="0.2">
      <c r="A13743" t="str">
        <f>"13739"</f>
        <v>13739</v>
      </c>
      <c r="B13743" t="str">
        <f t="shared" si="761"/>
        <v>1</v>
      </c>
      <c r="C13743" t="str">
        <f t="shared" si="764"/>
        <v>275</v>
      </c>
      <c r="D13743" t="str">
        <f>"41"</f>
        <v>41</v>
      </c>
      <c r="E13743" t="str">
        <f>"1-275-41"</f>
        <v>1-275-41</v>
      </c>
      <c r="F13743" t="s">
        <v>65</v>
      </c>
      <c r="G13743" t="s">
        <v>66</v>
      </c>
      <c r="H13743" t="s">
        <v>67</v>
      </c>
      <c r="S13743">
        <v>0</v>
      </c>
      <c r="T13743">
        <v>1</v>
      </c>
      <c r="U13743">
        <v>0</v>
      </c>
      <c r="V13743">
        <v>0</v>
      </c>
      <c r="W13743">
        <v>1</v>
      </c>
      <c r="X13743">
        <v>0</v>
      </c>
      <c r="Y13743">
        <v>1</v>
      </c>
      <c r="Z13743">
        <v>0</v>
      </c>
      <c r="AA13743">
        <v>0</v>
      </c>
      <c r="AB13743">
        <v>0</v>
      </c>
      <c r="AC13743">
        <v>1</v>
      </c>
      <c r="AD13743">
        <v>1</v>
      </c>
      <c r="AE13743">
        <v>1</v>
      </c>
      <c r="AF13743">
        <v>1</v>
      </c>
      <c r="AG13743">
        <v>1</v>
      </c>
      <c r="AH13743">
        <v>1</v>
      </c>
      <c r="AI13743">
        <v>1</v>
      </c>
      <c r="AJ13743">
        <v>1</v>
      </c>
      <c r="AK13743">
        <v>1</v>
      </c>
      <c r="AL13743">
        <v>1</v>
      </c>
      <c r="AM13743">
        <v>1</v>
      </c>
    </row>
    <row r="13744" spans="1:39" x14ac:dyDescent="0.2">
      <c r="A13744" t="str">
        <f>"13740"</f>
        <v>13740</v>
      </c>
      <c r="B13744" t="str">
        <f t="shared" si="761"/>
        <v>1</v>
      </c>
      <c r="C13744" t="str">
        <f t="shared" si="764"/>
        <v>275</v>
      </c>
      <c r="D13744" t="str">
        <f>"25"</f>
        <v>25</v>
      </c>
      <c r="E13744" t="str">
        <f>"1-275-25"</f>
        <v>1-275-25</v>
      </c>
      <c r="F13744" t="s">
        <v>65</v>
      </c>
      <c r="G13744" t="s">
        <v>66</v>
      </c>
      <c r="H13744" t="s">
        <v>67</v>
      </c>
      <c r="S13744">
        <v>1</v>
      </c>
      <c r="T13744">
        <v>0</v>
      </c>
      <c r="U13744">
        <v>0</v>
      </c>
      <c r="V13744">
        <v>0</v>
      </c>
      <c r="W13744">
        <v>1</v>
      </c>
      <c r="X13744">
        <v>0</v>
      </c>
      <c r="Y13744">
        <v>1</v>
      </c>
      <c r="Z13744">
        <v>0</v>
      </c>
      <c r="AA13744">
        <v>0</v>
      </c>
      <c r="AB13744">
        <v>1</v>
      </c>
      <c r="AC13744">
        <v>0</v>
      </c>
      <c r="AD13744">
        <v>1</v>
      </c>
      <c r="AE13744">
        <v>1</v>
      </c>
      <c r="AF13744">
        <v>1</v>
      </c>
      <c r="AG13744">
        <v>1</v>
      </c>
      <c r="AH13744">
        <v>1</v>
      </c>
      <c r="AI13744">
        <v>1</v>
      </c>
      <c r="AJ13744">
        <v>1</v>
      </c>
      <c r="AK13744">
        <v>1</v>
      </c>
      <c r="AL13744">
        <v>1</v>
      </c>
      <c r="AM13744">
        <v>0</v>
      </c>
    </row>
    <row r="13745" spans="1:39" x14ac:dyDescent="0.2">
      <c r="A13745" t="str">
        <f>"13741"</f>
        <v>13741</v>
      </c>
      <c r="B13745" t="str">
        <f t="shared" si="761"/>
        <v>1</v>
      </c>
      <c r="C13745" t="str">
        <f t="shared" si="764"/>
        <v>275</v>
      </c>
      <c r="D13745" t="str">
        <f>"14"</f>
        <v>14</v>
      </c>
      <c r="E13745" t="str">
        <f>"1-275-14"</f>
        <v>1-275-14</v>
      </c>
      <c r="F13745" t="s">
        <v>65</v>
      </c>
      <c r="G13745" t="s">
        <v>66</v>
      </c>
      <c r="H13745" t="s">
        <v>67</v>
      </c>
      <c r="S13745">
        <v>1</v>
      </c>
      <c r="T13745">
        <v>0</v>
      </c>
      <c r="U13745">
        <v>0</v>
      </c>
      <c r="V13745">
        <v>0</v>
      </c>
      <c r="W13745">
        <v>1</v>
      </c>
      <c r="X13745">
        <v>0</v>
      </c>
      <c r="Y13745">
        <v>1</v>
      </c>
      <c r="Z13745">
        <v>0</v>
      </c>
      <c r="AA13745">
        <v>1</v>
      </c>
      <c r="AB13745">
        <v>0</v>
      </c>
      <c r="AC13745">
        <v>0</v>
      </c>
      <c r="AD13745">
        <v>0</v>
      </c>
      <c r="AE13745">
        <v>1</v>
      </c>
      <c r="AF13745">
        <v>1</v>
      </c>
      <c r="AG13745">
        <v>1</v>
      </c>
      <c r="AH13745">
        <v>1</v>
      </c>
      <c r="AI13745">
        <v>1</v>
      </c>
      <c r="AJ13745">
        <v>1</v>
      </c>
      <c r="AK13745">
        <v>1</v>
      </c>
      <c r="AL13745">
        <v>1</v>
      </c>
      <c r="AM13745">
        <v>1</v>
      </c>
    </row>
    <row r="13746" spans="1:39" x14ac:dyDescent="0.2">
      <c r="A13746" t="str">
        <f>"13742"</f>
        <v>13742</v>
      </c>
      <c r="B13746" t="str">
        <f t="shared" si="761"/>
        <v>1</v>
      </c>
      <c r="C13746" t="str">
        <f t="shared" si="764"/>
        <v>275</v>
      </c>
      <c r="D13746" t="str">
        <f>"28"</f>
        <v>28</v>
      </c>
      <c r="E13746" t="str">
        <f>"1-275-28"</f>
        <v>1-275-28</v>
      </c>
      <c r="F13746" t="s">
        <v>65</v>
      </c>
      <c r="G13746" t="s">
        <v>66</v>
      </c>
      <c r="H13746" t="s">
        <v>67</v>
      </c>
      <c r="S13746">
        <v>1</v>
      </c>
      <c r="T13746">
        <v>0</v>
      </c>
      <c r="U13746">
        <v>0</v>
      </c>
      <c r="V13746">
        <v>0</v>
      </c>
      <c r="W13746">
        <v>1</v>
      </c>
      <c r="X13746">
        <v>0</v>
      </c>
      <c r="Y13746">
        <v>0</v>
      </c>
      <c r="Z13746">
        <v>1</v>
      </c>
      <c r="AA13746">
        <v>1</v>
      </c>
      <c r="AB13746">
        <v>0</v>
      </c>
      <c r="AC13746">
        <v>0</v>
      </c>
      <c r="AD13746">
        <v>1</v>
      </c>
      <c r="AE13746">
        <v>1</v>
      </c>
      <c r="AF13746">
        <v>1</v>
      </c>
      <c r="AG13746">
        <v>1</v>
      </c>
      <c r="AH13746">
        <v>1</v>
      </c>
      <c r="AI13746">
        <v>1</v>
      </c>
      <c r="AJ13746">
        <v>1</v>
      </c>
      <c r="AK13746">
        <v>1</v>
      </c>
      <c r="AL13746">
        <v>1</v>
      </c>
      <c r="AM13746">
        <v>1</v>
      </c>
    </row>
    <row r="13747" spans="1:39" x14ac:dyDescent="0.2">
      <c r="A13747" t="str">
        <f>"13743"</f>
        <v>13743</v>
      </c>
      <c r="B13747" t="str">
        <f t="shared" si="761"/>
        <v>1</v>
      </c>
      <c r="C13747" t="str">
        <f t="shared" si="764"/>
        <v>275</v>
      </c>
      <c r="D13747" t="str">
        <f>"5"</f>
        <v>5</v>
      </c>
      <c r="E13747" t="str">
        <f>"1-275-5"</f>
        <v>1-275-5</v>
      </c>
      <c r="F13747" t="s">
        <v>65</v>
      </c>
      <c r="G13747" t="s">
        <v>66</v>
      </c>
      <c r="H13747" t="s">
        <v>67</v>
      </c>
      <c r="S13747">
        <v>1</v>
      </c>
      <c r="T13747">
        <v>0</v>
      </c>
      <c r="U13747">
        <v>0</v>
      </c>
      <c r="V13747">
        <v>0</v>
      </c>
      <c r="W13747">
        <v>1</v>
      </c>
      <c r="X13747">
        <v>0</v>
      </c>
      <c r="Y13747">
        <v>1</v>
      </c>
      <c r="Z13747">
        <v>0</v>
      </c>
      <c r="AA13747">
        <v>1</v>
      </c>
      <c r="AB13747">
        <v>0</v>
      </c>
      <c r="AC13747">
        <v>0</v>
      </c>
      <c r="AD13747">
        <v>1</v>
      </c>
      <c r="AE13747">
        <v>1</v>
      </c>
      <c r="AF13747">
        <v>1</v>
      </c>
      <c r="AG13747">
        <v>1</v>
      </c>
      <c r="AH13747">
        <v>0</v>
      </c>
      <c r="AI13747">
        <v>1</v>
      </c>
      <c r="AJ13747">
        <v>1</v>
      </c>
      <c r="AK13747">
        <v>1</v>
      </c>
      <c r="AL13747">
        <v>1</v>
      </c>
      <c r="AM13747">
        <v>1</v>
      </c>
    </row>
    <row r="13748" spans="1:39" x14ac:dyDescent="0.2">
      <c r="A13748" t="str">
        <f>"13744"</f>
        <v>13744</v>
      </c>
      <c r="B13748" t="str">
        <f t="shared" si="761"/>
        <v>1</v>
      </c>
      <c r="C13748" t="str">
        <f t="shared" si="764"/>
        <v>275</v>
      </c>
      <c r="D13748" t="str">
        <f>"46"</f>
        <v>46</v>
      </c>
      <c r="E13748" t="str">
        <f>"1-275-46"</f>
        <v>1-275-46</v>
      </c>
      <c r="F13748" t="s">
        <v>65</v>
      </c>
      <c r="G13748" t="s">
        <v>66</v>
      </c>
      <c r="H13748" t="s">
        <v>68</v>
      </c>
      <c r="I13748">
        <v>1</v>
      </c>
      <c r="J13748">
        <v>0</v>
      </c>
      <c r="K13748">
        <v>0</v>
      </c>
      <c r="L13748">
        <v>1</v>
      </c>
      <c r="M13748">
        <v>1</v>
      </c>
      <c r="N13748">
        <v>1</v>
      </c>
      <c r="O13748">
        <v>1</v>
      </c>
      <c r="P13748">
        <v>1</v>
      </c>
      <c r="Q13748">
        <v>1</v>
      </c>
      <c r="R13748">
        <v>1</v>
      </c>
    </row>
    <row r="13749" spans="1:39" x14ac:dyDescent="0.2">
      <c r="A13749" t="str">
        <f>"13745"</f>
        <v>13745</v>
      </c>
      <c r="B13749" t="str">
        <f t="shared" si="761"/>
        <v>1</v>
      </c>
      <c r="C13749" t="str">
        <f t="shared" si="764"/>
        <v>275</v>
      </c>
      <c r="D13749" t="str">
        <f>"29"</f>
        <v>29</v>
      </c>
      <c r="E13749" t="str">
        <f>"1-275-29"</f>
        <v>1-275-29</v>
      </c>
      <c r="F13749" t="s">
        <v>65</v>
      </c>
      <c r="G13749" t="s">
        <v>66</v>
      </c>
      <c r="H13749" t="s">
        <v>67</v>
      </c>
      <c r="S13749">
        <v>0</v>
      </c>
      <c r="T13749">
        <v>1</v>
      </c>
      <c r="U13749">
        <v>0</v>
      </c>
      <c r="V13749">
        <v>0</v>
      </c>
      <c r="W13749">
        <v>1</v>
      </c>
      <c r="X13749">
        <v>0</v>
      </c>
      <c r="Y13749">
        <v>0</v>
      </c>
      <c r="Z13749">
        <v>1</v>
      </c>
      <c r="AA13749">
        <v>0</v>
      </c>
      <c r="AB13749">
        <v>1</v>
      </c>
      <c r="AC13749">
        <v>0</v>
      </c>
      <c r="AD13749">
        <v>1</v>
      </c>
      <c r="AE13749">
        <v>0</v>
      </c>
      <c r="AF13749">
        <v>0</v>
      </c>
      <c r="AG13749">
        <v>0</v>
      </c>
      <c r="AH13749">
        <v>0</v>
      </c>
      <c r="AI13749">
        <v>0</v>
      </c>
      <c r="AJ13749">
        <v>1</v>
      </c>
      <c r="AK13749">
        <v>0</v>
      </c>
      <c r="AL13749">
        <v>0</v>
      </c>
      <c r="AM13749">
        <v>1</v>
      </c>
    </row>
    <row r="13750" spans="1:39" x14ac:dyDescent="0.2">
      <c r="A13750" t="str">
        <f>"13746"</f>
        <v>13746</v>
      </c>
      <c r="B13750" t="str">
        <f t="shared" si="761"/>
        <v>1</v>
      </c>
      <c r="C13750" t="str">
        <f t="shared" si="764"/>
        <v>275</v>
      </c>
      <c r="D13750" t="str">
        <f>"8"</f>
        <v>8</v>
      </c>
      <c r="E13750" t="str">
        <f>"1-275-8"</f>
        <v>1-275-8</v>
      </c>
      <c r="F13750" t="s">
        <v>65</v>
      </c>
      <c r="G13750" t="s">
        <v>66</v>
      </c>
      <c r="H13750" t="s">
        <v>67</v>
      </c>
      <c r="S13750">
        <v>1</v>
      </c>
      <c r="T13750">
        <v>0</v>
      </c>
      <c r="U13750">
        <v>0</v>
      </c>
      <c r="V13750">
        <v>0</v>
      </c>
      <c r="W13750">
        <v>1</v>
      </c>
      <c r="X13750">
        <v>0</v>
      </c>
      <c r="Y13750">
        <v>1</v>
      </c>
      <c r="Z13750">
        <v>0</v>
      </c>
      <c r="AA13750">
        <v>1</v>
      </c>
      <c r="AB13750">
        <v>0</v>
      </c>
      <c r="AC13750">
        <v>0</v>
      </c>
      <c r="AD13750">
        <v>1</v>
      </c>
      <c r="AE13750">
        <v>1</v>
      </c>
      <c r="AF13750">
        <v>1</v>
      </c>
      <c r="AG13750">
        <v>1</v>
      </c>
      <c r="AH13750">
        <v>1</v>
      </c>
      <c r="AI13750">
        <v>1</v>
      </c>
      <c r="AJ13750">
        <v>1</v>
      </c>
      <c r="AK13750">
        <v>1</v>
      </c>
      <c r="AL13750">
        <v>1</v>
      </c>
      <c r="AM13750">
        <v>1</v>
      </c>
    </row>
    <row r="13751" spans="1:39" x14ac:dyDescent="0.2">
      <c r="A13751" t="str">
        <f>"13747"</f>
        <v>13747</v>
      </c>
      <c r="B13751" t="str">
        <f t="shared" ref="B13751:B13814" si="765">"1"</f>
        <v>1</v>
      </c>
      <c r="C13751" t="str">
        <f t="shared" si="764"/>
        <v>275</v>
      </c>
      <c r="D13751" t="str">
        <f>"48"</f>
        <v>48</v>
      </c>
      <c r="E13751" t="str">
        <f>"1-275-48"</f>
        <v>1-275-48</v>
      </c>
      <c r="F13751" t="s">
        <v>65</v>
      </c>
      <c r="G13751" t="s">
        <v>66</v>
      </c>
      <c r="H13751" t="s">
        <v>68</v>
      </c>
      <c r="I13751">
        <v>1</v>
      </c>
      <c r="J13751">
        <v>0</v>
      </c>
      <c r="K13751">
        <v>0</v>
      </c>
      <c r="L13751">
        <v>1</v>
      </c>
      <c r="M13751">
        <v>1</v>
      </c>
      <c r="N13751">
        <v>1</v>
      </c>
      <c r="O13751">
        <v>1</v>
      </c>
      <c r="P13751">
        <v>1</v>
      </c>
      <c r="Q13751">
        <v>1</v>
      </c>
      <c r="R13751">
        <v>1</v>
      </c>
    </row>
    <row r="13752" spans="1:39" x14ac:dyDescent="0.2">
      <c r="A13752" t="str">
        <f>"13748"</f>
        <v>13748</v>
      </c>
      <c r="B13752" t="str">
        <f t="shared" si="765"/>
        <v>1</v>
      </c>
      <c r="C13752" t="str">
        <f t="shared" si="764"/>
        <v>275</v>
      </c>
      <c r="D13752" t="str">
        <f>"30"</f>
        <v>30</v>
      </c>
      <c r="E13752" t="str">
        <f>"1-275-30"</f>
        <v>1-275-30</v>
      </c>
      <c r="F13752" t="s">
        <v>65</v>
      </c>
      <c r="G13752" t="s">
        <v>66</v>
      </c>
      <c r="H13752" t="s">
        <v>67</v>
      </c>
      <c r="S13752">
        <v>1</v>
      </c>
      <c r="T13752">
        <v>0</v>
      </c>
      <c r="U13752">
        <v>0</v>
      </c>
      <c r="V13752">
        <v>0</v>
      </c>
      <c r="W13752">
        <v>1</v>
      </c>
      <c r="X13752">
        <v>0</v>
      </c>
      <c r="Y13752">
        <v>1</v>
      </c>
      <c r="Z13752">
        <v>0</v>
      </c>
      <c r="AA13752">
        <v>1</v>
      </c>
      <c r="AB13752">
        <v>0</v>
      </c>
      <c r="AC13752">
        <v>0</v>
      </c>
      <c r="AD13752">
        <v>1</v>
      </c>
      <c r="AE13752">
        <v>1</v>
      </c>
      <c r="AF13752">
        <v>1</v>
      </c>
      <c r="AG13752">
        <v>1</v>
      </c>
      <c r="AH13752">
        <v>1</v>
      </c>
      <c r="AI13752">
        <v>1</v>
      </c>
      <c r="AJ13752">
        <v>1</v>
      </c>
      <c r="AK13752">
        <v>1</v>
      </c>
      <c r="AL13752">
        <v>1</v>
      </c>
      <c r="AM13752">
        <v>1</v>
      </c>
    </row>
    <row r="13753" spans="1:39" x14ac:dyDescent="0.2">
      <c r="A13753" t="str">
        <f>"13749"</f>
        <v>13749</v>
      </c>
      <c r="B13753" t="str">
        <f t="shared" si="765"/>
        <v>1</v>
      </c>
      <c r="C13753" t="str">
        <f t="shared" si="764"/>
        <v>275</v>
      </c>
      <c r="D13753" t="str">
        <f>"9"</f>
        <v>9</v>
      </c>
      <c r="E13753" t="str">
        <f>"1-275-9"</f>
        <v>1-275-9</v>
      </c>
      <c r="F13753" t="s">
        <v>65</v>
      </c>
      <c r="G13753" t="s">
        <v>66</v>
      </c>
      <c r="H13753" t="s">
        <v>67</v>
      </c>
      <c r="S13753">
        <v>1</v>
      </c>
      <c r="T13753">
        <v>0</v>
      </c>
      <c r="U13753">
        <v>0</v>
      </c>
      <c r="V13753">
        <v>0</v>
      </c>
      <c r="W13753">
        <v>1</v>
      </c>
      <c r="X13753">
        <v>0</v>
      </c>
      <c r="Y13753">
        <v>1</v>
      </c>
      <c r="Z13753">
        <v>0</v>
      </c>
      <c r="AA13753">
        <v>1</v>
      </c>
      <c r="AB13753">
        <v>0</v>
      </c>
      <c r="AC13753">
        <v>0</v>
      </c>
      <c r="AD13753">
        <v>1</v>
      </c>
      <c r="AE13753">
        <v>1</v>
      </c>
      <c r="AF13753">
        <v>1</v>
      </c>
      <c r="AG13753">
        <v>1</v>
      </c>
      <c r="AH13753">
        <v>1</v>
      </c>
      <c r="AI13753">
        <v>1</v>
      </c>
      <c r="AJ13753">
        <v>1</v>
      </c>
      <c r="AK13753">
        <v>1</v>
      </c>
      <c r="AL13753">
        <v>1</v>
      </c>
      <c r="AM13753">
        <v>1</v>
      </c>
    </row>
    <row r="13754" spans="1:39" x14ac:dyDescent="0.2">
      <c r="A13754" t="str">
        <f>"13750"</f>
        <v>13750</v>
      </c>
      <c r="B13754" t="str">
        <f t="shared" si="765"/>
        <v>1</v>
      </c>
      <c r="C13754" t="str">
        <f t="shared" si="764"/>
        <v>275</v>
      </c>
      <c r="D13754" t="str">
        <f>"47"</f>
        <v>47</v>
      </c>
      <c r="E13754" t="str">
        <f>"1-275-47"</f>
        <v>1-275-47</v>
      </c>
      <c r="F13754" t="s">
        <v>65</v>
      </c>
      <c r="G13754" t="s">
        <v>66</v>
      </c>
      <c r="H13754" t="s">
        <v>68</v>
      </c>
      <c r="I13754">
        <v>0</v>
      </c>
      <c r="J13754">
        <v>0</v>
      </c>
      <c r="K13754">
        <v>0</v>
      </c>
      <c r="L13754">
        <v>0</v>
      </c>
      <c r="M13754">
        <v>1</v>
      </c>
      <c r="N13754">
        <v>1</v>
      </c>
      <c r="O13754">
        <v>1</v>
      </c>
      <c r="P13754">
        <v>1</v>
      </c>
      <c r="Q13754">
        <v>1</v>
      </c>
      <c r="R13754">
        <v>1</v>
      </c>
    </row>
    <row r="13755" spans="1:39" x14ac:dyDescent="0.2">
      <c r="A13755" t="str">
        <f>"13751"</f>
        <v>13751</v>
      </c>
      <c r="B13755" t="str">
        <f t="shared" si="765"/>
        <v>1</v>
      </c>
      <c r="C13755" t="str">
        <f t="shared" ref="C13755:C13786" si="766">"276"</f>
        <v>276</v>
      </c>
      <c r="D13755" t="str">
        <f>"34"</f>
        <v>34</v>
      </c>
      <c r="E13755" t="str">
        <f>"1-276-34"</f>
        <v>1-276-34</v>
      </c>
      <c r="F13755" t="s">
        <v>65</v>
      </c>
      <c r="G13755" t="s">
        <v>66</v>
      </c>
      <c r="H13755" t="s">
        <v>67</v>
      </c>
      <c r="S13755">
        <v>0</v>
      </c>
      <c r="T13755">
        <v>0</v>
      </c>
      <c r="U13755">
        <v>0</v>
      </c>
      <c r="V13755">
        <v>0</v>
      </c>
      <c r="W13755">
        <v>0</v>
      </c>
      <c r="X13755">
        <v>1</v>
      </c>
      <c r="Y13755">
        <v>0</v>
      </c>
      <c r="Z13755">
        <v>1</v>
      </c>
      <c r="AA13755">
        <v>0</v>
      </c>
      <c r="AB13755">
        <v>0</v>
      </c>
      <c r="AC13755">
        <v>0</v>
      </c>
      <c r="AD13755">
        <v>0</v>
      </c>
      <c r="AE13755">
        <v>0</v>
      </c>
      <c r="AF13755">
        <v>0</v>
      </c>
      <c r="AG13755">
        <v>1</v>
      </c>
      <c r="AH13755">
        <v>1</v>
      </c>
      <c r="AI13755">
        <v>1</v>
      </c>
      <c r="AJ13755">
        <v>0</v>
      </c>
      <c r="AK13755">
        <v>0</v>
      </c>
      <c r="AL13755">
        <v>1</v>
      </c>
      <c r="AM13755">
        <v>0</v>
      </c>
    </row>
    <row r="13756" spans="1:39" x14ac:dyDescent="0.2">
      <c r="A13756" t="str">
        <f>"13752"</f>
        <v>13752</v>
      </c>
      <c r="B13756" t="str">
        <f t="shared" si="765"/>
        <v>1</v>
      </c>
      <c r="C13756" t="str">
        <f t="shared" si="766"/>
        <v>276</v>
      </c>
      <c r="D13756" t="str">
        <f>"33"</f>
        <v>33</v>
      </c>
      <c r="E13756" t="str">
        <f>"1-276-33"</f>
        <v>1-276-33</v>
      </c>
      <c r="F13756" t="s">
        <v>65</v>
      </c>
      <c r="G13756" t="s">
        <v>66</v>
      </c>
      <c r="H13756" t="s">
        <v>67</v>
      </c>
      <c r="S13756">
        <v>1</v>
      </c>
      <c r="T13756">
        <v>0</v>
      </c>
      <c r="U13756">
        <v>0</v>
      </c>
      <c r="V13756">
        <v>0</v>
      </c>
      <c r="W13756">
        <v>1</v>
      </c>
      <c r="X13756">
        <v>0</v>
      </c>
      <c r="Y13756">
        <v>1</v>
      </c>
      <c r="Z13756">
        <v>0</v>
      </c>
      <c r="AA13756">
        <v>1</v>
      </c>
      <c r="AB13756">
        <v>0</v>
      </c>
      <c r="AC13756">
        <v>0</v>
      </c>
      <c r="AD13756">
        <v>0</v>
      </c>
      <c r="AE13756">
        <v>0</v>
      </c>
      <c r="AF13756">
        <v>0</v>
      </c>
      <c r="AG13756">
        <v>0</v>
      </c>
      <c r="AH13756">
        <v>0</v>
      </c>
      <c r="AI13756">
        <v>0</v>
      </c>
      <c r="AJ13756">
        <v>0</v>
      </c>
      <c r="AK13756">
        <v>0</v>
      </c>
      <c r="AL13756">
        <v>0</v>
      </c>
      <c r="AM13756">
        <v>0</v>
      </c>
    </row>
    <row r="13757" spans="1:39" x14ac:dyDescent="0.2">
      <c r="A13757" t="str">
        <f>"13753"</f>
        <v>13753</v>
      </c>
      <c r="B13757" t="str">
        <f t="shared" si="765"/>
        <v>1</v>
      </c>
      <c r="C13757" t="str">
        <f t="shared" si="766"/>
        <v>276</v>
      </c>
      <c r="D13757" t="str">
        <f>"23"</f>
        <v>23</v>
      </c>
      <c r="E13757" t="str">
        <f>"1-276-23"</f>
        <v>1-276-23</v>
      </c>
      <c r="F13757" t="s">
        <v>65</v>
      </c>
      <c r="G13757" t="s">
        <v>66</v>
      </c>
      <c r="H13757" t="s">
        <v>67</v>
      </c>
      <c r="S13757">
        <v>0</v>
      </c>
      <c r="T13757">
        <v>1</v>
      </c>
      <c r="U13757">
        <v>0</v>
      </c>
      <c r="V13757">
        <v>0</v>
      </c>
      <c r="W13757">
        <v>1</v>
      </c>
      <c r="X13757">
        <v>0</v>
      </c>
      <c r="Y13757">
        <v>0</v>
      </c>
      <c r="Z13757">
        <v>1</v>
      </c>
      <c r="AA13757">
        <v>1</v>
      </c>
      <c r="AB13757">
        <v>0</v>
      </c>
      <c r="AC13757">
        <v>0</v>
      </c>
      <c r="AD13757">
        <v>0</v>
      </c>
      <c r="AE13757">
        <v>0</v>
      </c>
      <c r="AF13757">
        <v>0</v>
      </c>
      <c r="AG13757">
        <v>0</v>
      </c>
      <c r="AH13757">
        <v>0</v>
      </c>
      <c r="AI13757">
        <v>0</v>
      </c>
      <c r="AJ13757">
        <v>0</v>
      </c>
      <c r="AK13757">
        <v>0</v>
      </c>
      <c r="AL13757">
        <v>0</v>
      </c>
      <c r="AM13757">
        <v>0</v>
      </c>
    </row>
    <row r="13758" spans="1:39" x14ac:dyDescent="0.2">
      <c r="A13758" t="str">
        <f>"13754"</f>
        <v>13754</v>
      </c>
      <c r="B13758" t="str">
        <f t="shared" si="765"/>
        <v>1</v>
      </c>
      <c r="C13758" t="str">
        <f t="shared" si="766"/>
        <v>276</v>
      </c>
      <c r="D13758" t="str">
        <f>"15"</f>
        <v>15</v>
      </c>
      <c r="E13758" t="str">
        <f>"1-276-15"</f>
        <v>1-276-15</v>
      </c>
      <c r="F13758" t="s">
        <v>65</v>
      </c>
      <c r="G13758" t="s">
        <v>66</v>
      </c>
      <c r="H13758" t="s">
        <v>67</v>
      </c>
      <c r="S13758">
        <v>1</v>
      </c>
      <c r="T13758">
        <v>0</v>
      </c>
      <c r="U13758">
        <v>0</v>
      </c>
      <c r="V13758">
        <v>0</v>
      </c>
      <c r="W13758">
        <v>0</v>
      </c>
      <c r="X13758">
        <v>1</v>
      </c>
      <c r="Y13758">
        <v>0</v>
      </c>
      <c r="Z13758">
        <v>0</v>
      </c>
      <c r="AA13758">
        <v>0</v>
      </c>
      <c r="AB13758">
        <v>0</v>
      </c>
      <c r="AC13758">
        <v>0</v>
      </c>
      <c r="AD13758">
        <v>1</v>
      </c>
      <c r="AE13758">
        <v>1</v>
      </c>
      <c r="AF13758">
        <v>1</v>
      </c>
      <c r="AG13758">
        <v>1</v>
      </c>
      <c r="AH13758">
        <v>1</v>
      </c>
      <c r="AI13758">
        <v>1</v>
      </c>
      <c r="AJ13758">
        <v>1</v>
      </c>
      <c r="AK13758">
        <v>1</v>
      </c>
      <c r="AL13758">
        <v>1</v>
      </c>
      <c r="AM13758">
        <v>1</v>
      </c>
    </row>
    <row r="13759" spans="1:39" x14ac:dyDescent="0.2">
      <c r="A13759" t="str">
        <f>"13755"</f>
        <v>13755</v>
      </c>
      <c r="B13759" t="str">
        <f t="shared" si="765"/>
        <v>1</v>
      </c>
      <c r="C13759" t="str">
        <f t="shared" si="766"/>
        <v>276</v>
      </c>
      <c r="D13759" t="str">
        <f>"1"</f>
        <v>1</v>
      </c>
      <c r="E13759" t="str">
        <f>"1-276-1"</f>
        <v>1-276-1</v>
      </c>
      <c r="F13759" t="s">
        <v>65</v>
      </c>
      <c r="G13759" t="s">
        <v>66</v>
      </c>
      <c r="H13759" t="s">
        <v>68</v>
      </c>
      <c r="I13759">
        <v>1</v>
      </c>
      <c r="J13759">
        <v>1</v>
      </c>
      <c r="K13759">
        <v>0</v>
      </c>
      <c r="L13759">
        <v>0</v>
      </c>
      <c r="M13759">
        <v>1</v>
      </c>
      <c r="N13759">
        <v>1</v>
      </c>
      <c r="O13759">
        <v>1</v>
      </c>
      <c r="P13759">
        <v>1</v>
      </c>
      <c r="Q13759">
        <v>1</v>
      </c>
      <c r="R13759">
        <v>1</v>
      </c>
    </row>
    <row r="13760" spans="1:39" x14ac:dyDescent="0.2">
      <c r="A13760" t="str">
        <f>"13756"</f>
        <v>13756</v>
      </c>
      <c r="B13760" t="str">
        <f t="shared" si="765"/>
        <v>1</v>
      </c>
      <c r="C13760" t="str">
        <f t="shared" si="766"/>
        <v>276</v>
      </c>
      <c r="D13760" t="str">
        <f>"40"</f>
        <v>40</v>
      </c>
      <c r="E13760" t="str">
        <f>"1-276-40"</f>
        <v>1-276-40</v>
      </c>
      <c r="F13760" t="s">
        <v>65</v>
      </c>
      <c r="G13760" t="s">
        <v>66</v>
      </c>
      <c r="H13760" t="s">
        <v>67</v>
      </c>
      <c r="S13760">
        <v>0</v>
      </c>
      <c r="T13760">
        <v>1</v>
      </c>
      <c r="U13760">
        <v>0</v>
      </c>
      <c r="V13760">
        <v>0</v>
      </c>
      <c r="W13760">
        <v>1</v>
      </c>
      <c r="X13760">
        <v>0</v>
      </c>
      <c r="Y13760">
        <v>0</v>
      </c>
      <c r="Z13760">
        <v>1</v>
      </c>
      <c r="AA13760">
        <v>0</v>
      </c>
      <c r="AB13760">
        <v>0</v>
      </c>
      <c r="AC13760">
        <v>1</v>
      </c>
      <c r="AD13760">
        <v>0</v>
      </c>
      <c r="AE13760">
        <v>0</v>
      </c>
      <c r="AF13760">
        <v>0</v>
      </c>
      <c r="AG13760">
        <v>1</v>
      </c>
      <c r="AH13760">
        <v>0</v>
      </c>
      <c r="AI13760">
        <v>0</v>
      </c>
      <c r="AJ13760">
        <v>0</v>
      </c>
      <c r="AK13760">
        <v>0</v>
      </c>
      <c r="AL13760">
        <v>0</v>
      </c>
      <c r="AM13760">
        <v>0</v>
      </c>
    </row>
    <row r="13761" spans="1:39" x14ac:dyDescent="0.2">
      <c r="A13761" t="str">
        <f>"13757"</f>
        <v>13757</v>
      </c>
      <c r="B13761" t="str">
        <f t="shared" si="765"/>
        <v>1</v>
      </c>
      <c r="C13761" t="str">
        <f t="shared" si="766"/>
        <v>276</v>
      </c>
      <c r="D13761" t="str">
        <f>"39"</f>
        <v>39</v>
      </c>
      <c r="E13761" t="str">
        <f>"1-276-39"</f>
        <v>1-276-39</v>
      </c>
      <c r="F13761" t="s">
        <v>65</v>
      </c>
      <c r="G13761" t="s">
        <v>66</v>
      </c>
      <c r="H13761" t="s">
        <v>67</v>
      </c>
      <c r="S13761">
        <v>0</v>
      </c>
      <c r="T13761">
        <v>1</v>
      </c>
      <c r="U13761">
        <v>0</v>
      </c>
      <c r="V13761">
        <v>0</v>
      </c>
      <c r="W13761">
        <v>1</v>
      </c>
      <c r="X13761">
        <v>0</v>
      </c>
      <c r="Y13761">
        <v>1</v>
      </c>
      <c r="Z13761">
        <v>0</v>
      </c>
      <c r="AA13761">
        <v>1</v>
      </c>
      <c r="AB13761">
        <v>0</v>
      </c>
      <c r="AC13761">
        <v>0</v>
      </c>
      <c r="AD13761">
        <v>0</v>
      </c>
      <c r="AE13761">
        <v>0</v>
      </c>
      <c r="AF13761">
        <v>0</v>
      </c>
      <c r="AG13761">
        <v>0</v>
      </c>
      <c r="AH13761">
        <v>0</v>
      </c>
      <c r="AI13761">
        <v>0</v>
      </c>
      <c r="AJ13761">
        <v>0</v>
      </c>
      <c r="AK13761">
        <v>0</v>
      </c>
      <c r="AL13761">
        <v>0</v>
      </c>
      <c r="AM13761">
        <v>0</v>
      </c>
    </row>
    <row r="13762" spans="1:39" x14ac:dyDescent="0.2">
      <c r="A13762" t="str">
        <f>"13758"</f>
        <v>13758</v>
      </c>
      <c r="B13762" t="str">
        <f t="shared" si="765"/>
        <v>1</v>
      </c>
      <c r="C13762" t="str">
        <f t="shared" si="766"/>
        <v>276</v>
      </c>
      <c r="D13762" t="str">
        <f>"29"</f>
        <v>29</v>
      </c>
      <c r="E13762" t="str">
        <f>"1-276-29"</f>
        <v>1-276-29</v>
      </c>
      <c r="F13762" t="s">
        <v>65</v>
      </c>
      <c r="G13762" t="s">
        <v>66</v>
      </c>
      <c r="H13762" t="s">
        <v>67</v>
      </c>
      <c r="S13762">
        <v>0</v>
      </c>
      <c r="T13762">
        <v>1</v>
      </c>
      <c r="U13762">
        <v>0</v>
      </c>
      <c r="V13762">
        <v>0</v>
      </c>
      <c r="W13762">
        <v>0</v>
      </c>
      <c r="X13762">
        <v>1</v>
      </c>
      <c r="Y13762">
        <v>1</v>
      </c>
      <c r="Z13762">
        <v>0</v>
      </c>
      <c r="AA13762">
        <v>0</v>
      </c>
      <c r="AB13762">
        <v>0</v>
      </c>
      <c r="AC13762">
        <v>1</v>
      </c>
      <c r="AD13762">
        <v>1</v>
      </c>
      <c r="AE13762">
        <v>1</v>
      </c>
      <c r="AF13762">
        <v>1</v>
      </c>
      <c r="AG13762">
        <v>1</v>
      </c>
      <c r="AH13762">
        <v>1</v>
      </c>
      <c r="AI13762">
        <v>1</v>
      </c>
      <c r="AJ13762">
        <v>1</v>
      </c>
      <c r="AK13762">
        <v>1</v>
      </c>
      <c r="AL13762">
        <v>1</v>
      </c>
      <c r="AM13762">
        <v>1</v>
      </c>
    </row>
    <row r="13763" spans="1:39" x14ac:dyDescent="0.2">
      <c r="A13763" t="str">
        <f>"13759"</f>
        <v>13759</v>
      </c>
      <c r="B13763" t="str">
        <f t="shared" si="765"/>
        <v>1</v>
      </c>
      <c r="C13763" t="str">
        <f t="shared" si="766"/>
        <v>276</v>
      </c>
      <c r="D13763" t="str">
        <f>"16"</f>
        <v>16</v>
      </c>
      <c r="E13763" t="str">
        <f>"1-276-16"</f>
        <v>1-276-16</v>
      </c>
      <c r="F13763" t="s">
        <v>65</v>
      </c>
      <c r="G13763" t="s">
        <v>66</v>
      </c>
      <c r="H13763" t="s">
        <v>67</v>
      </c>
      <c r="S13763">
        <v>1</v>
      </c>
      <c r="T13763">
        <v>0</v>
      </c>
      <c r="U13763">
        <v>0</v>
      </c>
      <c r="V13763">
        <v>0</v>
      </c>
      <c r="W13763">
        <v>0</v>
      </c>
      <c r="X13763">
        <v>1</v>
      </c>
      <c r="Y13763">
        <v>0</v>
      </c>
      <c r="Z13763">
        <v>1</v>
      </c>
      <c r="AA13763">
        <v>0</v>
      </c>
      <c r="AB13763">
        <v>0</v>
      </c>
      <c r="AC13763">
        <v>1</v>
      </c>
      <c r="AD13763">
        <v>1</v>
      </c>
      <c r="AE13763">
        <v>1</v>
      </c>
      <c r="AF13763">
        <v>1</v>
      </c>
      <c r="AG13763">
        <v>1</v>
      </c>
      <c r="AH13763">
        <v>1</v>
      </c>
      <c r="AI13763">
        <v>1</v>
      </c>
      <c r="AJ13763">
        <v>1</v>
      </c>
      <c r="AK13763">
        <v>1</v>
      </c>
      <c r="AL13763">
        <v>1</v>
      </c>
      <c r="AM13763">
        <v>1</v>
      </c>
    </row>
    <row r="13764" spans="1:39" x14ac:dyDescent="0.2">
      <c r="A13764" t="str">
        <f>"13760"</f>
        <v>13760</v>
      </c>
      <c r="B13764" t="str">
        <f t="shared" si="765"/>
        <v>1</v>
      </c>
      <c r="C13764" t="str">
        <f t="shared" si="766"/>
        <v>276</v>
      </c>
      <c r="D13764" t="str">
        <f>"2"</f>
        <v>2</v>
      </c>
      <c r="E13764" t="str">
        <f>"1-276-2"</f>
        <v>1-276-2</v>
      </c>
      <c r="F13764" t="s">
        <v>65</v>
      </c>
      <c r="G13764" t="s">
        <v>66</v>
      </c>
      <c r="H13764" t="s">
        <v>68</v>
      </c>
      <c r="I13764">
        <v>1</v>
      </c>
      <c r="J13764">
        <v>1</v>
      </c>
      <c r="K13764">
        <v>0</v>
      </c>
      <c r="L13764">
        <v>0</v>
      </c>
      <c r="M13764">
        <v>1</v>
      </c>
      <c r="N13764">
        <v>1</v>
      </c>
      <c r="O13764">
        <v>1</v>
      </c>
      <c r="P13764">
        <v>1</v>
      </c>
      <c r="Q13764">
        <v>1</v>
      </c>
      <c r="R13764">
        <v>1</v>
      </c>
    </row>
    <row r="13765" spans="1:39" x14ac:dyDescent="0.2">
      <c r="A13765" t="str">
        <f>"13761"</f>
        <v>13761</v>
      </c>
      <c r="B13765" t="str">
        <f t="shared" si="765"/>
        <v>1</v>
      </c>
      <c r="C13765" t="str">
        <f t="shared" si="766"/>
        <v>276</v>
      </c>
      <c r="D13765" t="str">
        <f>"32"</f>
        <v>32</v>
      </c>
      <c r="E13765" t="str">
        <f>"1-276-32"</f>
        <v>1-276-32</v>
      </c>
      <c r="F13765" t="s">
        <v>65</v>
      </c>
      <c r="G13765" t="s">
        <v>66</v>
      </c>
      <c r="H13765" t="s">
        <v>67</v>
      </c>
      <c r="S13765">
        <v>1</v>
      </c>
      <c r="T13765">
        <v>0</v>
      </c>
      <c r="U13765">
        <v>0</v>
      </c>
      <c r="V13765">
        <v>0</v>
      </c>
      <c r="W13765">
        <v>1</v>
      </c>
      <c r="X13765">
        <v>0</v>
      </c>
      <c r="Y13765">
        <v>0</v>
      </c>
      <c r="Z13765">
        <v>1</v>
      </c>
      <c r="AA13765">
        <v>0</v>
      </c>
      <c r="AB13765">
        <v>0</v>
      </c>
      <c r="AC13765">
        <v>1</v>
      </c>
      <c r="AD13765">
        <v>1</v>
      </c>
      <c r="AE13765">
        <v>1</v>
      </c>
      <c r="AF13765">
        <v>1</v>
      </c>
      <c r="AG13765">
        <v>1</v>
      </c>
      <c r="AH13765">
        <v>1</v>
      </c>
      <c r="AI13765">
        <v>1</v>
      </c>
      <c r="AJ13765">
        <v>1</v>
      </c>
      <c r="AK13765">
        <v>1</v>
      </c>
      <c r="AL13765">
        <v>1</v>
      </c>
      <c r="AM13765">
        <v>1</v>
      </c>
    </row>
    <row r="13766" spans="1:39" x14ac:dyDescent="0.2">
      <c r="A13766" t="str">
        <f>"13762"</f>
        <v>13762</v>
      </c>
      <c r="B13766" t="str">
        <f t="shared" si="765"/>
        <v>1</v>
      </c>
      <c r="C13766" t="str">
        <f t="shared" si="766"/>
        <v>276</v>
      </c>
      <c r="D13766" t="str">
        <f>"17"</f>
        <v>17</v>
      </c>
      <c r="E13766" t="str">
        <f>"1-276-17"</f>
        <v>1-276-17</v>
      </c>
      <c r="F13766" t="s">
        <v>65</v>
      </c>
      <c r="G13766" t="s">
        <v>66</v>
      </c>
      <c r="H13766" t="s">
        <v>67</v>
      </c>
      <c r="S13766">
        <v>0</v>
      </c>
      <c r="T13766">
        <v>0</v>
      </c>
      <c r="U13766">
        <v>0</v>
      </c>
      <c r="V13766">
        <v>0</v>
      </c>
      <c r="W13766">
        <v>0</v>
      </c>
      <c r="X13766">
        <v>1</v>
      </c>
      <c r="Y13766">
        <v>0</v>
      </c>
      <c r="Z13766">
        <v>0</v>
      </c>
      <c r="AA13766">
        <v>0</v>
      </c>
      <c r="AB13766">
        <v>0</v>
      </c>
      <c r="AC13766">
        <v>1</v>
      </c>
      <c r="AD13766">
        <v>0</v>
      </c>
      <c r="AE13766">
        <v>0</v>
      </c>
      <c r="AF13766">
        <v>0</v>
      </c>
      <c r="AG13766">
        <v>1</v>
      </c>
      <c r="AH13766">
        <v>0</v>
      </c>
      <c r="AI13766">
        <v>1</v>
      </c>
      <c r="AJ13766">
        <v>1</v>
      </c>
      <c r="AK13766">
        <v>0</v>
      </c>
      <c r="AL13766">
        <v>0</v>
      </c>
      <c r="AM13766">
        <v>0</v>
      </c>
    </row>
    <row r="13767" spans="1:39" x14ac:dyDescent="0.2">
      <c r="A13767" t="str">
        <f>"13763"</f>
        <v>13763</v>
      </c>
      <c r="B13767" t="str">
        <f t="shared" si="765"/>
        <v>1</v>
      </c>
      <c r="C13767" t="str">
        <f t="shared" si="766"/>
        <v>276</v>
      </c>
      <c r="D13767" t="str">
        <f>"8"</f>
        <v>8</v>
      </c>
      <c r="E13767" t="str">
        <f>"1-276-8"</f>
        <v>1-276-8</v>
      </c>
      <c r="F13767" t="s">
        <v>65</v>
      </c>
      <c r="G13767" t="s">
        <v>66</v>
      </c>
      <c r="H13767" t="s">
        <v>68</v>
      </c>
      <c r="I13767">
        <v>1</v>
      </c>
      <c r="J13767">
        <v>1</v>
      </c>
      <c r="K13767">
        <v>0</v>
      </c>
      <c r="L13767">
        <v>0</v>
      </c>
      <c r="M13767">
        <v>1</v>
      </c>
      <c r="N13767">
        <v>1</v>
      </c>
      <c r="O13767">
        <v>1</v>
      </c>
      <c r="P13767">
        <v>1</v>
      </c>
      <c r="Q13767">
        <v>1</v>
      </c>
      <c r="R13767">
        <v>1</v>
      </c>
    </row>
    <row r="13768" spans="1:39" x14ac:dyDescent="0.2">
      <c r="A13768" t="str">
        <f>"13764"</f>
        <v>13764</v>
      </c>
      <c r="B13768" t="str">
        <f t="shared" si="765"/>
        <v>1</v>
      </c>
      <c r="C13768" t="str">
        <f t="shared" si="766"/>
        <v>276</v>
      </c>
      <c r="D13768" t="str">
        <f>"35"</f>
        <v>35</v>
      </c>
      <c r="E13768" t="str">
        <f>"1-276-35"</f>
        <v>1-276-35</v>
      </c>
      <c r="F13768" t="s">
        <v>65</v>
      </c>
      <c r="G13768" t="s">
        <v>66</v>
      </c>
      <c r="H13768" t="s">
        <v>67</v>
      </c>
      <c r="S13768">
        <v>0</v>
      </c>
      <c r="T13768">
        <v>1</v>
      </c>
      <c r="U13768">
        <v>0</v>
      </c>
      <c r="V13768">
        <v>0</v>
      </c>
      <c r="W13768">
        <v>0</v>
      </c>
      <c r="X13768">
        <v>1</v>
      </c>
      <c r="Y13768">
        <v>1</v>
      </c>
      <c r="Z13768">
        <v>0</v>
      </c>
      <c r="AA13768">
        <v>0</v>
      </c>
      <c r="AB13768">
        <v>0</v>
      </c>
      <c r="AC13768">
        <v>0</v>
      </c>
      <c r="AD13768">
        <v>0</v>
      </c>
      <c r="AE13768">
        <v>0</v>
      </c>
      <c r="AF13768">
        <v>0</v>
      </c>
      <c r="AG13768">
        <v>0</v>
      </c>
      <c r="AH13768">
        <v>0</v>
      </c>
      <c r="AI13768">
        <v>1</v>
      </c>
      <c r="AJ13768">
        <v>0</v>
      </c>
      <c r="AK13768">
        <v>0</v>
      </c>
      <c r="AL13768">
        <v>1</v>
      </c>
      <c r="AM13768">
        <v>0</v>
      </c>
    </row>
    <row r="13769" spans="1:39" x14ac:dyDescent="0.2">
      <c r="A13769" t="str">
        <f>"13765"</f>
        <v>13765</v>
      </c>
      <c r="B13769" t="str">
        <f t="shared" si="765"/>
        <v>1</v>
      </c>
      <c r="C13769" t="str">
        <f t="shared" si="766"/>
        <v>276</v>
      </c>
      <c r="D13769" t="str">
        <f>"18"</f>
        <v>18</v>
      </c>
      <c r="E13769" t="str">
        <f>"1-276-18"</f>
        <v>1-276-18</v>
      </c>
      <c r="F13769" t="s">
        <v>65</v>
      </c>
      <c r="G13769" t="s">
        <v>66</v>
      </c>
      <c r="H13769" t="s">
        <v>67</v>
      </c>
      <c r="S13769">
        <v>0</v>
      </c>
      <c r="T13769">
        <v>1</v>
      </c>
      <c r="U13769">
        <v>0</v>
      </c>
      <c r="V13769">
        <v>0</v>
      </c>
      <c r="W13769">
        <v>0</v>
      </c>
      <c r="X13769">
        <v>1</v>
      </c>
      <c r="Y13769">
        <v>0</v>
      </c>
      <c r="Z13769">
        <v>0</v>
      </c>
      <c r="AA13769">
        <v>0</v>
      </c>
      <c r="AB13769">
        <v>0</v>
      </c>
      <c r="AC13769">
        <v>1</v>
      </c>
      <c r="AD13769">
        <v>1</v>
      </c>
      <c r="AE13769">
        <v>1</v>
      </c>
      <c r="AF13769">
        <v>1</v>
      </c>
      <c r="AG13769">
        <v>1</v>
      </c>
      <c r="AH13769">
        <v>1</v>
      </c>
      <c r="AI13769">
        <v>1</v>
      </c>
      <c r="AJ13769">
        <v>1</v>
      </c>
      <c r="AK13769">
        <v>1</v>
      </c>
      <c r="AL13769">
        <v>1</v>
      </c>
      <c r="AM13769">
        <v>0</v>
      </c>
    </row>
    <row r="13770" spans="1:39" x14ac:dyDescent="0.2">
      <c r="A13770" t="str">
        <f>"13766"</f>
        <v>13766</v>
      </c>
      <c r="B13770" t="str">
        <f t="shared" si="765"/>
        <v>1</v>
      </c>
      <c r="C13770" t="str">
        <f t="shared" si="766"/>
        <v>276</v>
      </c>
      <c r="D13770" t="str">
        <f>"5"</f>
        <v>5</v>
      </c>
      <c r="E13770" t="str">
        <f>"1-276-5"</f>
        <v>1-276-5</v>
      </c>
      <c r="F13770" t="s">
        <v>65</v>
      </c>
      <c r="G13770" t="s">
        <v>66</v>
      </c>
      <c r="H13770" t="s">
        <v>68</v>
      </c>
      <c r="I13770">
        <v>1</v>
      </c>
      <c r="J13770">
        <v>1</v>
      </c>
      <c r="K13770">
        <v>0</v>
      </c>
      <c r="L13770">
        <v>0</v>
      </c>
      <c r="M13770">
        <v>1</v>
      </c>
      <c r="N13770">
        <v>1</v>
      </c>
      <c r="O13770">
        <v>1</v>
      </c>
      <c r="P13770">
        <v>1</v>
      </c>
      <c r="Q13770">
        <v>1</v>
      </c>
      <c r="R13770">
        <v>1</v>
      </c>
    </row>
    <row r="13771" spans="1:39" x14ac:dyDescent="0.2">
      <c r="A13771" t="str">
        <f>"13767"</f>
        <v>13767</v>
      </c>
      <c r="B13771" t="str">
        <f t="shared" si="765"/>
        <v>1</v>
      </c>
      <c r="C13771" t="str">
        <f t="shared" si="766"/>
        <v>276</v>
      </c>
      <c r="D13771" t="str">
        <f>"44"</f>
        <v>44</v>
      </c>
      <c r="E13771" t="str">
        <f>"1-276-44"</f>
        <v>1-276-44</v>
      </c>
      <c r="F13771" t="s">
        <v>65</v>
      </c>
      <c r="G13771" t="s">
        <v>66</v>
      </c>
      <c r="H13771" t="s">
        <v>67</v>
      </c>
      <c r="S13771">
        <v>0</v>
      </c>
      <c r="T13771">
        <v>0</v>
      </c>
      <c r="U13771">
        <v>0</v>
      </c>
      <c r="V13771">
        <v>0</v>
      </c>
      <c r="W13771">
        <v>0</v>
      </c>
      <c r="X13771">
        <v>1</v>
      </c>
      <c r="Y13771">
        <v>0</v>
      </c>
      <c r="Z13771">
        <v>1</v>
      </c>
      <c r="AA13771">
        <v>0</v>
      </c>
      <c r="AB13771">
        <v>0</v>
      </c>
      <c r="AC13771">
        <v>0</v>
      </c>
      <c r="AD13771">
        <v>0</v>
      </c>
      <c r="AE13771">
        <v>0</v>
      </c>
      <c r="AF13771">
        <v>0</v>
      </c>
      <c r="AG13771">
        <v>1</v>
      </c>
      <c r="AH13771">
        <v>1</v>
      </c>
      <c r="AI13771">
        <v>1</v>
      </c>
      <c r="AJ13771">
        <v>0</v>
      </c>
      <c r="AK13771">
        <v>0</v>
      </c>
      <c r="AL13771">
        <v>1</v>
      </c>
      <c r="AM13771">
        <v>0</v>
      </c>
    </row>
    <row r="13772" spans="1:39" x14ac:dyDescent="0.2">
      <c r="A13772" t="str">
        <f>"13768"</f>
        <v>13768</v>
      </c>
      <c r="B13772" t="str">
        <f t="shared" si="765"/>
        <v>1</v>
      </c>
      <c r="C13772" t="str">
        <f t="shared" si="766"/>
        <v>276</v>
      </c>
      <c r="D13772" t="str">
        <f>"43"</f>
        <v>43</v>
      </c>
      <c r="E13772" t="str">
        <f>"1-276-43"</f>
        <v>1-276-43</v>
      </c>
      <c r="F13772" t="s">
        <v>65</v>
      </c>
      <c r="G13772" t="s">
        <v>66</v>
      </c>
      <c r="H13772" t="s">
        <v>67</v>
      </c>
      <c r="S13772">
        <v>1</v>
      </c>
      <c r="T13772">
        <v>0</v>
      </c>
      <c r="U13772">
        <v>0</v>
      </c>
      <c r="V13772">
        <v>0</v>
      </c>
      <c r="W13772">
        <v>1</v>
      </c>
      <c r="X13772">
        <v>0</v>
      </c>
      <c r="Y13772">
        <v>1</v>
      </c>
      <c r="Z13772">
        <v>0</v>
      </c>
      <c r="AA13772">
        <v>0</v>
      </c>
      <c r="AB13772">
        <v>1</v>
      </c>
      <c r="AC13772">
        <v>0</v>
      </c>
      <c r="AD13772">
        <v>1</v>
      </c>
      <c r="AE13772">
        <v>1</v>
      </c>
      <c r="AF13772">
        <v>1</v>
      </c>
      <c r="AG13772">
        <v>1</v>
      </c>
      <c r="AH13772">
        <v>1</v>
      </c>
      <c r="AI13772">
        <v>1</v>
      </c>
      <c r="AJ13772">
        <v>1</v>
      </c>
      <c r="AK13772">
        <v>1</v>
      </c>
      <c r="AL13772">
        <v>1</v>
      </c>
      <c r="AM13772">
        <v>1</v>
      </c>
    </row>
    <row r="13773" spans="1:39" x14ac:dyDescent="0.2">
      <c r="A13773" t="str">
        <f>"13769"</f>
        <v>13769</v>
      </c>
      <c r="B13773" t="str">
        <f t="shared" si="765"/>
        <v>1</v>
      </c>
      <c r="C13773" t="str">
        <f t="shared" si="766"/>
        <v>276</v>
      </c>
      <c r="D13773" t="str">
        <f>"31"</f>
        <v>31</v>
      </c>
      <c r="E13773" t="str">
        <f>"1-276-31"</f>
        <v>1-276-31</v>
      </c>
      <c r="F13773" t="s">
        <v>65</v>
      </c>
      <c r="G13773" t="s">
        <v>66</v>
      </c>
      <c r="H13773" t="s">
        <v>67</v>
      </c>
      <c r="S13773">
        <v>1</v>
      </c>
      <c r="T13773">
        <v>0</v>
      </c>
      <c r="U13773">
        <v>0</v>
      </c>
      <c r="V13773">
        <v>0</v>
      </c>
      <c r="W13773">
        <v>1</v>
      </c>
      <c r="X13773">
        <v>0</v>
      </c>
      <c r="Y13773">
        <v>1</v>
      </c>
      <c r="Z13773">
        <v>0</v>
      </c>
      <c r="AA13773">
        <v>0</v>
      </c>
      <c r="AB13773">
        <v>1</v>
      </c>
      <c r="AC13773">
        <v>0</v>
      </c>
      <c r="AD13773">
        <v>1</v>
      </c>
      <c r="AE13773">
        <v>1</v>
      </c>
      <c r="AF13773">
        <v>1</v>
      </c>
      <c r="AG13773">
        <v>1</v>
      </c>
      <c r="AH13773">
        <v>1</v>
      </c>
      <c r="AI13773">
        <v>1</v>
      </c>
      <c r="AJ13773">
        <v>1</v>
      </c>
      <c r="AK13773">
        <v>1</v>
      </c>
      <c r="AL13773">
        <v>1</v>
      </c>
      <c r="AM13773">
        <v>1</v>
      </c>
    </row>
    <row r="13774" spans="1:39" x14ac:dyDescent="0.2">
      <c r="A13774" t="str">
        <f>"13770"</f>
        <v>13770</v>
      </c>
      <c r="B13774" t="str">
        <f t="shared" si="765"/>
        <v>1</v>
      </c>
      <c r="C13774" t="str">
        <f t="shared" si="766"/>
        <v>276</v>
      </c>
      <c r="D13774" t="str">
        <f>"19"</f>
        <v>19</v>
      </c>
      <c r="E13774" t="str">
        <f>"1-276-19"</f>
        <v>1-276-19</v>
      </c>
      <c r="F13774" t="s">
        <v>65</v>
      </c>
      <c r="G13774" t="s">
        <v>66</v>
      </c>
      <c r="H13774" t="s">
        <v>67</v>
      </c>
      <c r="S13774">
        <v>1</v>
      </c>
      <c r="T13774">
        <v>0</v>
      </c>
      <c r="U13774">
        <v>0</v>
      </c>
      <c r="V13774">
        <v>0</v>
      </c>
      <c r="W13774">
        <v>1</v>
      </c>
      <c r="X13774">
        <v>0</v>
      </c>
      <c r="Y13774">
        <v>1</v>
      </c>
      <c r="Z13774">
        <v>0</v>
      </c>
      <c r="AA13774">
        <v>1</v>
      </c>
      <c r="AB13774">
        <v>0</v>
      </c>
      <c r="AC13774">
        <v>0</v>
      </c>
      <c r="AD13774">
        <v>0</v>
      </c>
      <c r="AE13774">
        <v>0</v>
      </c>
      <c r="AF13774">
        <v>0</v>
      </c>
      <c r="AG13774">
        <v>0</v>
      </c>
      <c r="AH13774">
        <v>0</v>
      </c>
      <c r="AI13774">
        <v>0</v>
      </c>
      <c r="AJ13774">
        <v>0</v>
      </c>
      <c r="AK13774">
        <v>0</v>
      </c>
      <c r="AL13774">
        <v>0</v>
      </c>
      <c r="AM13774">
        <v>0</v>
      </c>
    </row>
    <row r="13775" spans="1:39" x14ac:dyDescent="0.2">
      <c r="A13775" t="str">
        <f>"13771"</f>
        <v>13771</v>
      </c>
      <c r="B13775" t="str">
        <f t="shared" si="765"/>
        <v>1</v>
      </c>
      <c r="C13775" t="str">
        <f t="shared" si="766"/>
        <v>276</v>
      </c>
      <c r="D13775" t="str">
        <f>"13"</f>
        <v>13</v>
      </c>
      <c r="E13775" t="str">
        <f>"1-276-13"</f>
        <v>1-276-13</v>
      </c>
      <c r="F13775" t="s">
        <v>65</v>
      </c>
      <c r="G13775" t="s">
        <v>66</v>
      </c>
      <c r="H13775" t="s">
        <v>67</v>
      </c>
      <c r="S13775">
        <v>0</v>
      </c>
      <c r="T13775">
        <v>1</v>
      </c>
      <c r="U13775">
        <v>0</v>
      </c>
      <c r="V13775">
        <v>0</v>
      </c>
      <c r="W13775">
        <v>0</v>
      </c>
      <c r="X13775">
        <v>1</v>
      </c>
      <c r="Y13775">
        <v>1</v>
      </c>
      <c r="Z13775">
        <v>0</v>
      </c>
      <c r="AA13775">
        <v>0</v>
      </c>
      <c r="AB13775">
        <v>0</v>
      </c>
      <c r="AC13775">
        <v>1</v>
      </c>
      <c r="AD13775">
        <v>0</v>
      </c>
      <c r="AE13775">
        <v>0</v>
      </c>
      <c r="AF13775">
        <v>0</v>
      </c>
      <c r="AG13775">
        <v>0</v>
      </c>
      <c r="AH13775">
        <v>0</v>
      </c>
      <c r="AI13775">
        <v>0</v>
      </c>
      <c r="AJ13775">
        <v>0</v>
      </c>
      <c r="AK13775">
        <v>0</v>
      </c>
      <c r="AL13775">
        <v>0</v>
      </c>
      <c r="AM13775">
        <v>0</v>
      </c>
    </row>
    <row r="13776" spans="1:39" x14ac:dyDescent="0.2">
      <c r="A13776" t="str">
        <f>"13772"</f>
        <v>13772</v>
      </c>
      <c r="B13776" t="str">
        <f t="shared" si="765"/>
        <v>1</v>
      </c>
      <c r="C13776" t="str">
        <f t="shared" si="766"/>
        <v>276</v>
      </c>
      <c r="D13776" t="str">
        <f>"36"</f>
        <v>36</v>
      </c>
      <c r="E13776" t="str">
        <f>"1-276-36"</f>
        <v>1-276-36</v>
      </c>
      <c r="F13776" t="s">
        <v>65</v>
      </c>
      <c r="G13776" t="s">
        <v>66</v>
      </c>
      <c r="H13776" t="s">
        <v>67</v>
      </c>
      <c r="S13776">
        <v>0</v>
      </c>
      <c r="T13776">
        <v>1</v>
      </c>
      <c r="U13776">
        <v>0</v>
      </c>
      <c r="V13776">
        <v>0</v>
      </c>
      <c r="W13776">
        <v>0</v>
      </c>
      <c r="X13776">
        <v>1</v>
      </c>
      <c r="Y13776">
        <v>0</v>
      </c>
      <c r="Z13776">
        <v>1</v>
      </c>
      <c r="AA13776">
        <v>1</v>
      </c>
      <c r="AB13776">
        <v>0</v>
      </c>
      <c r="AC13776">
        <v>0</v>
      </c>
      <c r="AD13776">
        <v>0</v>
      </c>
      <c r="AE13776">
        <v>0</v>
      </c>
      <c r="AF13776">
        <v>0</v>
      </c>
      <c r="AG13776">
        <v>0</v>
      </c>
      <c r="AH13776">
        <v>0</v>
      </c>
      <c r="AI13776">
        <v>0</v>
      </c>
      <c r="AJ13776">
        <v>0</v>
      </c>
      <c r="AK13776">
        <v>0</v>
      </c>
      <c r="AL13776">
        <v>0</v>
      </c>
      <c r="AM13776">
        <v>0</v>
      </c>
    </row>
    <row r="13777" spans="1:39" x14ac:dyDescent="0.2">
      <c r="A13777" t="str">
        <f>"13773"</f>
        <v>13773</v>
      </c>
      <c r="B13777" t="str">
        <f t="shared" si="765"/>
        <v>1</v>
      </c>
      <c r="C13777" t="str">
        <f t="shared" si="766"/>
        <v>276</v>
      </c>
      <c r="D13777" t="str">
        <f>"20"</f>
        <v>20</v>
      </c>
      <c r="E13777" t="str">
        <f>"1-276-20"</f>
        <v>1-276-20</v>
      </c>
      <c r="F13777" t="s">
        <v>65</v>
      </c>
      <c r="G13777" t="s">
        <v>66</v>
      </c>
      <c r="H13777" t="s">
        <v>67</v>
      </c>
      <c r="S13777">
        <v>0</v>
      </c>
      <c r="T13777">
        <v>0</v>
      </c>
      <c r="U13777">
        <v>0</v>
      </c>
      <c r="V13777">
        <v>0</v>
      </c>
      <c r="W13777">
        <v>0</v>
      </c>
      <c r="X13777">
        <v>1</v>
      </c>
      <c r="Y13777">
        <v>1</v>
      </c>
      <c r="Z13777">
        <v>0</v>
      </c>
      <c r="AA13777">
        <v>0</v>
      </c>
      <c r="AB13777">
        <v>0</v>
      </c>
      <c r="AC13777">
        <v>1</v>
      </c>
      <c r="AD13777">
        <v>0</v>
      </c>
      <c r="AE13777">
        <v>0</v>
      </c>
      <c r="AF13777">
        <v>0</v>
      </c>
      <c r="AG13777">
        <v>0</v>
      </c>
      <c r="AH13777">
        <v>0</v>
      </c>
      <c r="AI13777">
        <v>0</v>
      </c>
      <c r="AJ13777">
        <v>0</v>
      </c>
      <c r="AK13777">
        <v>0</v>
      </c>
      <c r="AL13777">
        <v>0</v>
      </c>
      <c r="AM13777">
        <v>0</v>
      </c>
    </row>
    <row r="13778" spans="1:39" x14ac:dyDescent="0.2">
      <c r="A13778" t="str">
        <f>"13774"</f>
        <v>13774</v>
      </c>
      <c r="B13778" t="str">
        <f t="shared" si="765"/>
        <v>1</v>
      </c>
      <c r="C13778" t="str">
        <f t="shared" si="766"/>
        <v>276</v>
      </c>
      <c r="D13778" t="str">
        <f>"6"</f>
        <v>6</v>
      </c>
      <c r="E13778" t="str">
        <f>"1-276-6"</f>
        <v>1-276-6</v>
      </c>
      <c r="F13778" t="s">
        <v>65</v>
      </c>
      <c r="G13778" t="s">
        <v>66</v>
      </c>
      <c r="H13778" t="s">
        <v>68</v>
      </c>
      <c r="I13778">
        <v>1</v>
      </c>
      <c r="J13778">
        <v>1</v>
      </c>
      <c r="K13778">
        <v>0</v>
      </c>
      <c r="L13778">
        <v>0</v>
      </c>
      <c r="M13778">
        <v>1</v>
      </c>
      <c r="N13778">
        <v>1</v>
      </c>
      <c r="O13778">
        <v>1</v>
      </c>
      <c r="P13778">
        <v>1</v>
      </c>
      <c r="Q13778">
        <v>1</v>
      </c>
      <c r="R13778">
        <v>1</v>
      </c>
    </row>
    <row r="13779" spans="1:39" x14ac:dyDescent="0.2">
      <c r="A13779" t="str">
        <f>"13775"</f>
        <v>13775</v>
      </c>
      <c r="B13779" t="str">
        <f t="shared" si="765"/>
        <v>1</v>
      </c>
      <c r="C13779" t="str">
        <f t="shared" si="766"/>
        <v>276</v>
      </c>
      <c r="D13779" t="str">
        <f>"37"</f>
        <v>37</v>
      </c>
      <c r="E13779" t="str">
        <f>"1-276-37"</f>
        <v>1-276-37</v>
      </c>
      <c r="F13779" t="s">
        <v>65</v>
      </c>
      <c r="G13779" t="s">
        <v>66</v>
      </c>
      <c r="H13779" t="s">
        <v>67</v>
      </c>
      <c r="S13779">
        <v>1</v>
      </c>
      <c r="T13779">
        <v>0</v>
      </c>
      <c r="U13779">
        <v>0</v>
      </c>
      <c r="V13779">
        <v>0</v>
      </c>
      <c r="W13779">
        <v>1</v>
      </c>
      <c r="X13779">
        <v>0</v>
      </c>
      <c r="Y13779">
        <v>0</v>
      </c>
      <c r="Z13779">
        <v>1</v>
      </c>
      <c r="AA13779">
        <v>1</v>
      </c>
      <c r="AB13779">
        <v>0</v>
      </c>
      <c r="AC13779">
        <v>0</v>
      </c>
      <c r="AD13779">
        <v>0</v>
      </c>
      <c r="AE13779">
        <v>0</v>
      </c>
      <c r="AF13779">
        <v>1</v>
      </c>
      <c r="AG13779">
        <v>0</v>
      </c>
      <c r="AH13779">
        <v>0</v>
      </c>
      <c r="AI13779">
        <v>0</v>
      </c>
      <c r="AJ13779">
        <v>0</v>
      </c>
      <c r="AK13779">
        <v>0</v>
      </c>
      <c r="AL13779">
        <v>0</v>
      </c>
      <c r="AM13779">
        <v>0</v>
      </c>
    </row>
    <row r="13780" spans="1:39" x14ac:dyDescent="0.2">
      <c r="A13780" t="str">
        <f>"13776"</f>
        <v>13776</v>
      </c>
      <c r="B13780" t="str">
        <f t="shared" si="765"/>
        <v>1</v>
      </c>
      <c r="C13780" t="str">
        <f t="shared" si="766"/>
        <v>276</v>
      </c>
      <c r="D13780" t="str">
        <f>"21"</f>
        <v>21</v>
      </c>
      <c r="E13780" t="str">
        <f>"1-276-21"</f>
        <v>1-276-21</v>
      </c>
      <c r="F13780" t="s">
        <v>65</v>
      </c>
      <c r="G13780" t="s">
        <v>66</v>
      </c>
      <c r="H13780" t="s">
        <v>67</v>
      </c>
      <c r="S13780">
        <v>0</v>
      </c>
      <c r="T13780">
        <v>1</v>
      </c>
      <c r="U13780">
        <v>0</v>
      </c>
      <c r="V13780">
        <v>0</v>
      </c>
      <c r="W13780">
        <v>0</v>
      </c>
      <c r="X13780">
        <v>1</v>
      </c>
      <c r="Y13780">
        <v>0</v>
      </c>
      <c r="Z13780">
        <v>1</v>
      </c>
      <c r="AA13780">
        <v>0</v>
      </c>
      <c r="AB13780">
        <v>0</v>
      </c>
      <c r="AC13780">
        <v>1</v>
      </c>
      <c r="AD13780">
        <v>0</v>
      </c>
      <c r="AE13780">
        <v>0</v>
      </c>
      <c r="AF13780">
        <v>0</v>
      </c>
      <c r="AG13780">
        <v>1</v>
      </c>
      <c r="AH13780">
        <v>1</v>
      </c>
      <c r="AI13780">
        <v>0</v>
      </c>
      <c r="AJ13780">
        <v>0</v>
      </c>
      <c r="AK13780">
        <v>0</v>
      </c>
      <c r="AL13780">
        <v>1</v>
      </c>
      <c r="AM13780">
        <v>1</v>
      </c>
    </row>
    <row r="13781" spans="1:39" x14ac:dyDescent="0.2">
      <c r="A13781" t="str">
        <f>"13777"</f>
        <v>13777</v>
      </c>
      <c r="B13781" t="str">
        <f t="shared" si="765"/>
        <v>1</v>
      </c>
      <c r="C13781" t="str">
        <f t="shared" si="766"/>
        <v>276</v>
      </c>
      <c r="D13781" t="str">
        <f>"14"</f>
        <v>14</v>
      </c>
      <c r="E13781" t="str">
        <f>"1-276-14"</f>
        <v>1-276-14</v>
      </c>
      <c r="F13781" t="s">
        <v>65</v>
      </c>
      <c r="G13781" t="s">
        <v>66</v>
      </c>
      <c r="H13781" t="s">
        <v>67</v>
      </c>
      <c r="S13781">
        <v>0</v>
      </c>
      <c r="T13781">
        <v>1</v>
      </c>
      <c r="U13781">
        <v>0</v>
      </c>
      <c r="V13781">
        <v>0</v>
      </c>
      <c r="W13781">
        <v>0</v>
      </c>
      <c r="X13781">
        <v>1</v>
      </c>
      <c r="Y13781">
        <v>0</v>
      </c>
      <c r="Z13781">
        <v>1</v>
      </c>
      <c r="AA13781">
        <v>0</v>
      </c>
      <c r="AB13781">
        <v>0</v>
      </c>
      <c r="AC13781">
        <v>1</v>
      </c>
      <c r="AD13781">
        <v>0</v>
      </c>
      <c r="AE13781">
        <v>0</v>
      </c>
      <c r="AF13781">
        <v>0</v>
      </c>
      <c r="AG13781">
        <v>0</v>
      </c>
      <c r="AH13781">
        <v>0</v>
      </c>
      <c r="AI13781">
        <v>0</v>
      </c>
      <c r="AJ13781">
        <v>0</v>
      </c>
      <c r="AK13781">
        <v>0</v>
      </c>
      <c r="AL13781">
        <v>0</v>
      </c>
      <c r="AM13781">
        <v>0</v>
      </c>
    </row>
    <row r="13782" spans="1:39" x14ac:dyDescent="0.2">
      <c r="A13782" t="str">
        <f>"13778"</f>
        <v>13778</v>
      </c>
      <c r="B13782" t="str">
        <f t="shared" si="765"/>
        <v>1</v>
      </c>
      <c r="C13782" t="str">
        <f t="shared" si="766"/>
        <v>276</v>
      </c>
      <c r="D13782" t="str">
        <f>"38"</f>
        <v>38</v>
      </c>
      <c r="E13782" t="str">
        <f>"1-276-38"</f>
        <v>1-276-38</v>
      </c>
      <c r="F13782" t="s">
        <v>65</v>
      </c>
      <c r="G13782" t="s">
        <v>66</v>
      </c>
      <c r="H13782" t="s">
        <v>67</v>
      </c>
      <c r="S13782">
        <v>1</v>
      </c>
      <c r="T13782">
        <v>0</v>
      </c>
      <c r="U13782">
        <v>0</v>
      </c>
      <c r="V13782">
        <v>0</v>
      </c>
      <c r="W13782">
        <v>1</v>
      </c>
      <c r="X13782">
        <v>0</v>
      </c>
      <c r="Y13782">
        <v>0</v>
      </c>
      <c r="Z13782">
        <v>1</v>
      </c>
      <c r="AA13782">
        <v>1</v>
      </c>
      <c r="AB13782">
        <v>0</v>
      </c>
      <c r="AC13782">
        <v>0</v>
      </c>
      <c r="AD13782">
        <v>0</v>
      </c>
      <c r="AE13782">
        <v>0</v>
      </c>
      <c r="AF13782">
        <v>1</v>
      </c>
      <c r="AG13782">
        <v>0</v>
      </c>
      <c r="AH13782">
        <v>0</v>
      </c>
      <c r="AI13782">
        <v>0</v>
      </c>
      <c r="AJ13782">
        <v>0</v>
      </c>
      <c r="AK13782">
        <v>0</v>
      </c>
      <c r="AL13782">
        <v>0</v>
      </c>
      <c r="AM13782">
        <v>0</v>
      </c>
    </row>
    <row r="13783" spans="1:39" x14ac:dyDescent="0.2">
      <c r="A13783" t="str">
        <f>"13779"</f>
        <v>13779</v>
      </c>
      <c r="B13783" t="str">
        <f t="shared" si="765"/>
        <v>1</v>
      </c>
      <c r="C13783" t="str">
        <f t="shared" si="766"/>
        <v>276</v>
      </c>
      <c r="D13783" t="str">
        <f>"22"</f>
        <v>22</v>
      </c>
      <c r="E13783" t="str">
        <f>"1-276-22"</f>
        <v>1-276-22</v>
      </c>
      <c r="F13783" t="s">
        <v>65</v>
      </c>
      <c r="G13783" t="s">
        <v>66</v>
      </c>
      <c r="H13783" t="s">
        <v>67</v>
      </c>
      <c r="S13783">
        <v>1</v>
      </c>
      <c r="T13783">
        <v>0</v>
      </c>
      <c r="U13783">
        <v>0</v>
      </c>
      <c r="V13783">
        <v>0</v>
      </c>
      <c r="W13783">
        <v>1</v>
      </c>
      <c r="X13783">
        <v>0</v>
      </c>
      <c r="Y13783">
        <v>1</v>
      </c>
      <c r="Z13783">
        <v>0</v>
      </c>
      <c r="AA13783">
        <v>0</v>
      </c>
      <c r="AB13783">
        <v>1</v>
      </c>
      <c r="AC13783">
        <v>0</v>
      </c>
      <c r="AD13783">
        <v>0</v>
      </c>
      <c r="AE13783">
        <v>0</v>
      </c>
      <c r="AF13783">
        <v>0</v>
      </c>
      <c r="AG13783">
        <v>0</v>
      </c>
      <c r="AH13783">
        <v>0</v>
      </c>
      <c r="AI13783">
        <v>0</v>
      </c>
      <c r="AJ13783">
        <v>0</v>
      </c>
      <c r="AK13783">
        <v>0</v>
      </c>
      <c r="AL13783">
        <v>1</v>
      </c>
      <c r="AM13783">
        <v>0</v>
      </c>
    </row>
    <row r="13784" spans="1:39" x14ac:dyDescent="0.2">
      <c r="A13784" t="str">
        <f>"13780"</f>
        <v>13780</v>
      </c>
      <c r="B13784" t="str">
        <f t="shared" si="765"/>
        <v>1</v>
      </c>
      <c r="C13784" t="str">
        <f t="shared" si="766"/>
        <v>276</v>
      </c>
      <c r="D13784" t="str">
        <f>"11"</f>
        <v>11</v>
      </c>
      <c r="E13784" t="str">
        <f>"1-276-11"</f>
        <v>1-276-11</v>
      </c>
      <c r="F13784" t="s">
        <v>65</v>
      </c>
      <c r="G13784" t="s">
        <v>66</v>
      </c>
      <c r="H13784" t="s">
        <v>67</v>
      </c>
      <c r="S13784">
        <v>1</v>
      </c>
      <c r="T13784">
        <v>0</v>
      </c>
      <c r="U13784">
        <v>0</v>
      </c>
      <c r="V13784">
        <v>0</v>
      </c>
      <c r="W13784">
        <v>1</v>
      </c>
      <c r="X13784">
        <v>0</v>
      </c>
      <c r="Y13784">
        <v>1</v>
      </c>
      <c r="Z13784">
        <v>0</v>
      </c>
      <c r="AA13784">
        <v>0</v>
      </c>
      <c r="AB13784">
        <v>0</v>
      </c>
      <c r="AC13784">
        <v>1</v>
      </c>
      <c r="AD13784">
        <v>1</v>
      </c>
      <c r="AE13784">
        <v>1</v>
      </c>
      <c r="AF13784">
        <v>1</v>
      </c>
      <c r="AG13784">
        <v>1</v>
      </c>
      <c r="AH13784">
        <v>1</v>
      </c>
      <c r="AI13784">
        <v>1</v>
      </c>
      <c r="AJ13784">
        <v>1</v>
      </c>
      <c r="AK13784">
        <v>1</v>
      </c>
      <c r="AL13784">
        <v>1</v>
      </c>
      <c r="AM13784">
        <v>1</v>
      </c>
    </row>
    <row r="13785" spans="1:39" x14ac:dyDescent="0.2">
      <c r="A13785" t="str">
        <f>"13781"</f>
        <v>13781</v>
      </c>
      <c r="B13785" t="str">
        <f t="shared" si="765"/>
        <v>1</v>
      </c>
      <c r="C13785" t="str">
        <f t="shared" si="766"/>
        <v>276</v>
      </c>
      <c r="D13785" t="str">
        <f>"41"</f>
        <v>41</v>
      </c>
      <c r="E13785" t="str">
        <f>"1-276-41"</f>
        <v>1-276-41</v>
      </c>
      <c r="F13785" t="s">
        <v>65</v>
      </c>
      <c r="G13785" t="s">
        <v>66</v>
      </c>
      <c r="H13785" t="s">
        <v>67</v>
      </c>
      <c r="S13785">
        <v>1</v>
      </c>
      <c r="T13785">
        <v>0</v>
      </c>
      <c r="U13785">
        <v>0</v>
      </c>
      <c r="V13785">
        <v>0</v>
      </c>
      <c r="W13785">
        <v>1</v>
      </c>
      <c r="X13785">
        <v>0</v>
      </c>
      <c r="Y13785">
        <v>1</v>
      </c>
      <c r="Z13785">
        <v>0</v>
      </c>
      <c r="AA13785">
        <v>1</v>
      </c>
      <c r="AB13785">
        <v>0</v>
      </c>
      <c r="AC13785">
        <v>0</v>
      </c>
      <c r="AD13785">
        <v>1</v>
      </c>
      <c r="AE13785">
        <v>1</v>
      </c>
      <c r="AF13785">
        <v>1</v>
      </c>
      <c r="AG13785">
        <v>1</v>
      </c>
      <c r="AH13785">
        <v>1</v>
      </c>
      <c r="AI13785">
        <v>1</v>
      </c>
      <c r="AJ13785">
        <v>1</v>
      </c>
      <c r="AK13785">
        <v>1</v>
      </c>
      <c r="AL13785">
        <v>1</v>
      </c>
      <c r="AM13785">
        <v>1</v>
      </c>
    </row>
    <row r="13786" spans="1:39" x14ac:dyDescent="0.2">
      <c r="A13786" t="str">
        <f>"13782"</f>
        <v>13782</v>
      </c>
      <c r="B13786" t="str">
        <f t="shared" si="765"/>
        <v>1</v>
      </c>
      <c r="C13786" t="str">
        <f t="shared" si="766"/>
        <v>276</v>
      </c>
      <c r="D13786" t="str">
        <f>"24"</f>
        <v>24</v>
      </c>
      <c r="E13786" t="str">
        <f>"1-276-24"</f>
        <v>1-276-24</v>
      </c>
      <c r="F13786" t="s">
        <v>65</v>
      </c>
      <c r="G13786" t="s">
        <v>66</v>
      </c>
      <c r="H13786" t="s">
        <v>67</v>
      </c>
      <c r="S13786">
        <v>0</v>
      </c>
      <c r="T13786">
        <v>1</v>
      </c>
      <c r="U13786">
        <v>0</v>
      </c>
      <c r="V13786">
        <v>0</v>
      </c>
      <c r="W13786">
        <v>0</v>
      </c>
      <c r="X13786">
        <v>1</v>
      </c>
      <c r="Y13786">
        <v>0</v>
      </c>
      <c r="Z13786">
        <v>1</v>
      </c>
      <c r="AA13786">
        <v>0</v>
      </c>
      <c r="AB13786">
        <v>1</v>
      </c>
      <c r="AC13786">
        <v>0</v>
      </c>
      <c r="AD13786">
        <v>0</v>
      </c>
      <c r="AE13786">
        <v>0</v>
      </c>
      <c r="AF13786">
        <v>0</v>
      </c>
      <c r="AG13786">
        <v>0</v>
      </c>
      <c r="AH13786">
        <v>0</v>
      </c>
      <c r="AI13786">
        <v>0</v>
      </c>
      <c r="AJ13786">
        <v>0</v>
      </c>
      <c r="AK13786">
        <v>0</v>
      </c>
      <c r="AL13786">
        <v>0</v>
      </c>
      <c r="AM13786">
        <v>0</v>
      </c>
    </row>
    <row r="13787" spans="1:39" x14ac:dyDescent="0.2">
      <c r="A13787" t="str">
        <f>"13783"</f>
        <v>13783</v>
      </c>
      <c r="B13787" t="str">
        <f t="shared" si="765"/>
        <v>1</v>
      </c>
      <c r="C13787" t="str">
        <f t="shared" ref="C13787:C13804" si="767">"276"</f>
        <v>276</v>
      </c>
      <c r="D13787" t="str">
        <f>"7"</f>
        <v>7</v>
      </c>
      <c r="E13787" t="str">
        <f>"1-276-7"</f>
        <v>1-276-7</v>
      </c>
      <c r="F13787" t="s">
        <v>65</v>
      </c>
      <c r="G13787" t="s">
        <v>66</v>
      </c>
      <c r="H13787" t="s">
        <v>68</v>
      </c>
      <c r="I13787">
        <v>1</v>
      </c>
      <c r="J13787">
        <v>0</v>
      </c>
      <c r="K13787">
        <v>0</v>
      </c>
      <c r="L13787">
        <v>1</v>
      </c>
      <c r="M13787">
        <v>1</v>
      </c>
      <c r="N13787">
        <v>1</v>
      </c>
      <c r="O13787">
        <v>1</v>
      </c>
      <c r="P13787">
        <v>1</v>
      </c>
      <c r="Q13787">
        <v>1</v>
      </c>
      <c r="R13787">
        <v>1</v>
      </c>
    </row>
    <row r="13788" spans="1:39" x14ac:dyDescent="0.2">
      <c r="A13788" t="str">
        <f>"13784"</f>
        <v>13784</v>
      </c>
      <c r="B13788" t="str">
        <f t="shared" si="765"/>
        <v>1</v>
      </c>
      <c r="C13788" t="str">
        <f t="shared" si="767"/>
        <v>276</v>
      </c>
      <c r="D13788" t="str">
        <f>"45"</f>
        <v>45</v>
      </c>
      <c r="E13788" t="str">
        <f>"1-276-45"</f>
        <v>1-276-45</v>
      </c>
      <c r="F13788" t="s">
        <v>65</v>
      </c>
      <c r="G13788" t="s">
        <v>66</v>
      </c>
      <c r="H13788" t="s">
        <v>67</v>
      </c>
      <c r="S13788">
        <v>1</v>
      </c>
      <c r="T13788">
        <v>0</v>
      </c>
      <c r="U13788">
        <v>0</v>
      </c>
      <c r="V13788">
        <v>0</v>
      </c>
      <c r="W13788">
        <v>1</v>
      </c>
      <c r="X13788">
        <v>0</v>
      </c>
      <c r="Y13788">
        <v>0</v>
      </c>
      <c r="Z13788">
        <v>0</v>
      </c>
      <c r="AA13788">
        <v>1</v>
      </c>
      <c r="AB13788">
        <v>0</v>
      </c>
      <c r="AC13788">
        <v>0</v>
      </c>
      <c r="AD13788">
        <v>0</v>
      </c>
      <c r="AE13788">
        <v>0</v>
      </c>
      <c r="AF13788">
        <v>0</v>
      </c>
      <c r="AG13788">
        <v>0</v>
      </c>
      <c r="AH13788">
        <v>0</v>
      </c>
      <c r="AI13788">
        <v>0</v>
      </c>
      <c r="AJ13788">
        <v>0</v>
      </c>
      <c r="AK13788">
        <v>0</v>
      </c>
      <c r="AL13788">
        <v>0</v>
      </c>
      <c r="AM13788">
        <v>0</v>
      </c>
    </row>
    <row r="13789" spans="1:39" x14ac:dyDescent="0.2">
      <c r="A13789" t="str">
        <f>"13785"</f>
        <v>13785</v>
      </c>
      <c r="B13789" t="str">
        <f t="shared" si="765"/>
        <v>1</v>
      </c>
      <c r="C13789" t="str">
        <f t="shared" si="767"/>
        <v>276</v>
      </c>
      <c r="D13789" t="str">
        <f>"25"</f>
        <v>25</v>
      </c>
      <c r="E13789" t="str">
        <f>"1-276-25"</f>
        <v>1-276-25</v>
      </c>
      <c r="F13789" t="s">
        <v>65</v>
      </c>
      <c r="G13789" t="s">
        <v>66</v>
      </c>
      <c r="H13789" t="s">
        <v>67</v>
      </c>
      <c r="S13789">
        <v>0</v>
      </c>
      <c r="T13789">
        <v>1</v>
      </c>
      <c r="U13789">
        <v>0</v>
      </c>
      <c r="V13789">
        <v>0</v>
      </c>
      <c r="W13789">
        <v>1</v>
      </c>
      <c r="X13789">
        <v>0</v>
      </c>
      <c r="Y13789">
        <v>1</v>
      </c>
      <c r="Z13789">
        <v>0</v>
      </c>
      <c r="AA13789">
        <v>1</v>
      </c>
      <c r="AB13789">
        <v>0</v>
      </c>
      <c r="AC13789">
        <v>0</v>
      </c>
      <c r="AD13789">
        <v>1</v>
      </c>
      <c r="AE13789">
        <v>1</v>
      </c>
      <c r="AF13789">
        <v>1</v>
      </c>
      <c r="AG13789">
        <v>1</v>
      </c>
      <c r="AH13789">
        <v>1</v>
      </c>
      <c r="AI13789">
        <v>1</v>
      </c>
      <c r="AJ13789">
        <v>1</v>
      </c>
      <c r="AK13789">
        <v>1</v>
      </c>
      <c r="AL13789">
        <v>1</v>
      </c>
      <c r="AM13789">
        <v>1</v>
      </c>
    </row>
    <row r="13790" spans="1:39" x14ac:dyDescent="0.2">
      <c r="A13790" t="str">
        <f>"13786"</f>
        <v>13786</v>
      </c>
      <c r="B13790" t="str">
        <f t="shared" si="765"/>
        <v>1</v>
      </c>
      <c r="C13790" t="str">
        <f t="shared" si="767"/>
        <v>276</v>
      </c>
      <c r="D13790" t="str">
        <f>"3"</f>
        <v>3</v>
      </c>
      <c r="E13790" t="str">
        <f>"1-276-3"</f>
        <v>1-276-3</v>
      </c>
      <c r="F13790" t="s">
        <v>65</v>
      </c>
      <c r="G13790" t="s">
        <v>66</v>
      </c>
      <c r="H13790" t="s">
        <v>68</v>
      </c>
      <c r="I13790">
        <v>1</v>
      </c>
      <c r="J13790">
        <v>0</v>
      </c>
      <c r="K13790">
        <v>1</v>
      </c>
      <c r="L13790">
        <v>0</v>
      </c>
      <c r="M13790">
        <v>1</v>
      </c>
      <c r="N13790">
        <v>1</v>
      </c>
      <c r="O13790">
        <v>1</v>
      </c>
      <c r="P13790">
        <v>1</v>
      </c>
      <c r="Q13790">
        <v>1</v>
      </c>
      <c r="R13790">
        <v>1</v>
      </c>
    </row>
    <row r="13791" spans="1:39" x14ac:dyDescent="0.2">
      <c r="A13791" t="str">
        <f>"13787"</f>
        <v>13787</v>
      </c>
      <c r="B13791" t="str">
        <f t="shared" si="765"/>
        <v>1</v>
      </c>
      <c r="C13791" t="str">
        <f t="shared" si="767"/>
        <v>276</v>
      </c>
      <c r="D13791" t="str">
        <f>"46"</f>
        <v>46</v>
      </c>
      <c r="E13791" t="str">
        <f>"1-276-46"</f>
        <v>1-276-46</v>
      </c>
      <c r="F13791" t="s">
        <v>65</v>
      </c>
      <c r="G13791" t="s">
        <v>66</v>
      </c>
      <c r="H13791" t="s">
        <v>67</v>
      </c>
      <c r="S13791">
        <v>0</v>
      </c>
      <c r="T13791">
        <v>0</v>
      </c>
      <c r="U13791">
        <v>0</v>
      </c>
      <c r="V13791">
        <v>0</v>
      </c>
      <c r="W13791">
        <v>0</v>
      </c>
      <c r="X13791">
        <v>1</v>
      </c>
      <c r="Y13791">
        <v>0</v>
      </c>
      <c r="Z13791">
        <v>0</v>
      </c>
      <c r="AA13791">
        <v>0</v>
      </c>
      <c r="AB13791">
        <v>0</v>
      </c>
      <c r="AC13791">
        <v>1</v>
      </c>
      <c r="AD13791">
        <v>0</v>
      </c>
      <c r="AE13791">
        <v>0</v>
      </c>
      <c r="AF13791">
        <v>0</v>
      </c>
      <c r="AG13791">
        <v>1</v>
      </c>
      <c r="AH13791">
        <v>1</v>
      </c>
      <c r="AI13791">
        <v>1</v>
      </c>
      <c r="AJ13791">
        <v>1</v>
      </c>
      <c r="AK13791">
        <v>0</v>
      </c>
      <c r="AL13791">
        <v>0</v>
      </c>
      <c r="AM13791">
        <v>0</v>
      </c>
    </row>
    <row r="13792" spans="1:39" x14ac:dyDescent="0.2">
      <c r="A13792" t="str">
        <f>"13788"</f>
        <v>13788</v>
      </c>
      <c r="B13792" t="str">
        <f t="shared" si="765"/>
        <v>1</v>
      </c>
      <c r="C13792" t="str">
        <f t="shared" si="767"/>
        <v>276</v>
      </c>
      <c r="D13792" t="str">
        <f>"26"</f>
        <v>26</v>
      </c>
      <c r="E13792" t="str">
        <f>"1-276-26"</f>
        <v>1-276-26</v>
      </c>
      <c r="F13792" t="s">
        <v>65</v>
      </c>
      <c r="G13792" t="s">
        <v>66</v>
      </c>
      <c r="H13792" t="s">
        <v>67</v>
      </c>
      <c r="S13792">
        <v>1</v>
      </c>
      <c r="T13792">
        <v>0</v>
      </c>
      <c r="U13792">
        <v>0</v>
      </c>
      <c r="V13792">
        <v>0</v>
      </c>
      <c r="W13792">
        <v>1</v>
      </c>
      <c r="X13792">
        <v>0</v>
      </c>
      <c r="Y13792">
        <v>1</v>
      </c>
      <c r="Z13792">
        <v>0</v>
      </c>
      <c r="AA13792">
        <v>1</v>
      </c>
      <c r="AB13792">
        <v>0</v>
      </c>
      <c r="AC13792">
        <v>0</v>
      </c>
      <c r="AD13792">
        <v>1</v>
      </c>
      <c r="AE13792">
        <v>1</v>
      </c>
      <c r="AF13792">
        <v>0</v>
      </c>
      <c r="AG13792">
        <v>1</v>
      </c>
      <c r="AH13792">
        <v>0</v>
      </c>
      <c r="AI13792">
        <v>0</v>
      </c>
      <c r="AJ13792">
        <v>0</v>
      </c>
      <c r="AK13792">
        <v>0</v>
      </c>
      <c r="AL13792">
        <v>1</v>
      </c>
      <c r="AM13792">
        <v>1</v>
      </c>
    </row>
    <row r="13793" spans="1:39" x14ac:dyDescent="0.2">
      <c r="A13793" t="str">
        <f>"13789"</f>
        <v>13789</v>
      </c>
      <c r="B13793" t="str">
        <f t="shared" si="765"/>
        <v>1</v>
      </c>
      <c r="C13793" t="str">
        <f t="shared" si="767"/>
        <v>276</v>
      </c>
      <c r="D13793" t="str">
        <f>"4"</f>
        <v>4</v>
      </c>
      <c r="E13793" t="str">
        <f>"1-276-4"</f>
        <v>1-276-4</v>
      </c>
      <c r="F13793" t="s">
        <v>65</v>
      </c>
      <c r="G13793" t="s">
        <v>66</v>
      </c>
      <c r="H13793" t="s">
        <v>68</v>
      </c>
      <c r="I13793">
        <v>1</v>
      </c>
      <c r="J13793">
        <v>0</v>
      </c>
      <c r="K13793">
        <v>0</v>
      </c>
      <c r="L13793">
        <v>1</v>
      </c>
      <c r="M13793">
        <v>1</v>
      </c>
      <c r="N13793">
        <v>1</v>
      </c>
      <c r="O13793">
        <v>1</v>
      </c>
      <c r="P13793">
        <v>1</v>
      </c>
      <c r="Q13793">
        <v>1</v>
      </c>
      <c r="R13793">
        <v>1</v>
      </c>
    </row>
    <row r="13794" spans="1:39" x14ac:dyDescent="0.2">
      <c r="A13794" t="str">
        <f>"13790"</f>
        <v>13790</v>
      </c>
      <c r="B13794" t="str">
        <f t="shared" si="765"/>
        <v>1</v>
      </c>
      <c r="C13794" t="str">
        <f t="shared" si="767"/>
        <v>276</v>
      </c>
      <c r="D13794" t="str">
        <f>"47"</f>
        <v>47</v>
      </c>
      <c r="E13794" t="str">
        <f>"1-276-47"</f>
        <v>1-276-47</v>
      </c>
      <c r="F13794" t="s">
        <v>65</v>
      </c>
      <c r="G13794" t="s">
        <v>66</v>
      </c>
      <c r="H13794" t="s">
        <v>68</v>
      </c>
      <c r="I13794">
        <v>1</v>
      </c>
      <c r="J13794">
        <v>1</v>
      </c>
      <c r="K13794">
        <v>0</v>
      </c>
      <c r="L13794">
        <v>0</v>
      </c>
      <c r="M13794">
        <v>1</v>
      </c>
      <c r="N13794">
        <v>1</v>
      </c>
      <c r="O13794">
        <v>1</v>
      </c>
      <c r="P13794">
        <v>1</v>
      </c>
      <c r="Q13794">
        <v>1</v>
      </c>
      <c r="R13794">
        <v>1</v>
      </c>
    </row>
    <row r="13795" spans="1:39" x14ac:dyDescent="0.2">
      <c r="A13795" t="str">
        <f>"13791"</f>
        <v>13791</v>
      </c>
      <c r="B13795" t="str">
        <f t="shared" si="765"/>
        <v>1</v>
      </c>
      <c r="C13795" t="str">
        <f t="shared" si="767"/>
        <v>276</v>
      </c>
      <c r="D13795" t="str">
        <f>"27"</f>
        <v>27</v>
      </c>
      <c r="E13795" t="str">
        <f>"1-276-27"</f>
        <v>1-276-27</v>
      </c>
      <c r="F13795" t="s">
        <v>65</v>
      </c>
      <c r="G13795" t="s">
        <v>66</v>
      </c>
      <c r="H13795" t="s">
        <v>67</v>
      </c>
      <c r="S13795">
        <v>1</v>
      </c>
      <c r="T13795">
        <v>0</v>
      </c>
      <c r="U13795">
        <v>0</v>
      </c>
      <c r="V13795">
        <v>0</v>
      </c>
      <c r="W13795">
        <v>1</v>
      </c>
      <c r="X13795">
        <v>0</v>
      </c>
      <c r="Y13795">
        <v>1</v>
      </c>
      <c r="Z13795">
        <v>0</v>
      </c>
      <c r="AA13795">
        <v>1</v>
      </c>
      <c r="AB13795">
        <v>0</v>
      </c>
      <c r="AC13795">
        <v>0</v>
      </c>
      <c r="AD13795">
        <v>1</v>
      </c>
      <c r="AE13795">
        <v>1</v>
      </c>
      <c r="AF13795">
        <v>1</v>
      </c>
      <c r="AG13795">
        <v>1</v>
      </c>
      <c r="AH13795">
        <v>1</v>
      </c>
      <c r="AI13795">
        <v>1</v>
      </c>
      <c r="AJ13795">
        <v>1</v>
      </c>
      <c r="AK13795">
        <v>1</v>
      </c>
      <c r="AL13795">
        <v>1</v>
      </c>
      <c r="AM13795">
        <v>1</v>
      </c>
    </row>
    <row r="13796" spans="1:39" x14ac:dyDescent="0.2">
      <c r="A13796" t="str">
        <f>"13792"</f>
        <v>13792</v>
      </c>
      <c r="B13796" t="str">
        <f t="shared" si="765"/>
        <v>1</v>
      </c>
      <c r="C13796" t="str">
        <f t="shared" si="767"/>
        <v>276</v>
      </c>
      <c r="D13796" t="str">
        <f>"10"</f>
        <v>10</v>
      </c>
      <c r="E13796" t="str">
        <f>"1-276-10"</f>
        <v>1-276-10</v>
      </c>
      <c r="F13796" t="s">
        <v>65</v>
      </c>
      <c r="G13796" t="s">
        <v>66</v>
      </c>
      <c r="H13796" t="s">
        <v>67</v>
      </c>
      <c r="S13796">
        <v>1</v>
      </c>
      <c r="T13796">
        <v>0</v>
      </c>
      <c r="U13796">
        <v>0</v>
      </c>
      <c r="V13796">
        <v>0</v>
      </c>
      <c r="W13796">
        <v>1</v>
      </c>
      <c r="X13796">
        <v>0</v>
      </c>
      <c r="Y13796">
        <v>1</v>
      </c>
      <c r="Z13796">
        <v>0</v>
      </c>
      <c r="AA13796">
        <v>1</v>
      </c>
      <c r="AB13796">
        <v>0</v>
      </c>
      <c r="AC13796">
        <v>0</v>
      </c>
      <c r="AD13796">
        <v>1</v>
      </c>
      <c r="AE13796">
        <v>1</v>
      </c>
      <c r="AF13796">
        <v>1</v>
      </c>
      <c r="AG13796">
        <v>1</v>
      </c>
      <c r="AH13796">
        <v>1</v>
      </c>
      <c r="AI13796">
        <v>1</v>
      </c>
      <c r="AJ13796">
        <v>1</v>
      </c>
      <c r="AK13796">
        <v>1</v>
      </c>
      <c r="AL13796">
        <v>1</v>
      </c>
      <c r="AM13796">
        <v>1</v>
      </c>
    </row>
    <row r="13797" spans="1:39" x14ac:dyDescent="0.2">
      <c r="A13797" t="str">
        <f>"13793"</f>
        <v>13793</v>
      </c>
      <c r="B13797" t="str">
        <f t="shared" si="765"/>
        <v>1</v>
      </c>
      <c r="C13797" t="str">
        <f t="shared" si="767"/>
        <v>276</v>
      </c>
      <c r="D13797" t="str">
        <f>"48"</f>
        <v>48</v>
      </c>
      <c r="E13797" t="str">
        <f>"1-276-48"</f>
        <v>1-276-48</v>
      </c>
      <c r="F13797" t="s">
        <v>65</v>
      </c>
      <c r="G13797" t="s">
        <v>66</v>
      </c>
      <c r="H13797" t="s">
        <v>67</v>
      </c>
      <c r="S13797">
        <v>0</v>
      </c>
      <c r="T13797">
        <v>0</v>
      </c>
      <c r="U13797">
        <v>0</v>
      </c>
      <c r="V13797">
        <v>0</v>
      </c>
      <c r="W13797">
        <v>1</v>
      </c>
      <c r="X13797">
        <v>0</v>
      </c>
      <c r="Y13797">
        <v>0</v>
      </c>
      <c r="Z13797">
        <v>0</v>
      </c>
      <c r="AA13797">
        <v>0</v>
      </c>
      <c r="AB13797">
        <v>0</v>
      </c>
      <c r="AC13797">
        <v>0</v>
      </c>
      <c r="AD13797">
        <v>0</v>
      </c>
      <c r="AE13797">
        <v>0</v>
      </c>
      <c r="AF13797">
        <v>0</v>
      </c>
      <c r="AG13797">
        <v>0</v>
      </c>
      <c r="AH13797">
        <v>0</v>
      </c>
      <c r="AI13797">
        <v>0</v>
      </c>
      <c r="AJ13797">
        <v>0</v>
      </c>
      <c r="AK13797">
        <v>0</v>
      </c>
      <c r="AL13797">
        <v>0</v>
      </c>
      <c r="AM13797">
        <v>0</v>
      </c>
    </row>
    <row r="13798" spans="1:39" x14ac:dyDescent="0.2">
      <c r="A13798" t="str">
        <f>"13794"</f>
        <v>13794</v>
      </c>
      <c r="B13798" t="str">
        <f t="shared" si="765"/>
        <v>1</v>
      </c>
      <c r="C13798" t="str">
        <f t="shared" si="767"/>
        <v>276</v>
      </c>
      <c r="D13798" t="str">
        <f>"28"</f>
        <v>28</v>
      </c>
      <c r="E13798" t="str">
        <f>"1-276-28"</f>
        <v>1-276-28</v>
      </c>
      <c r="F13798" t="s">
        <v>65</v>
      </c>
      <c r="G13798" t="s">
        <v>66</v>
      </c>
      <c r="H13798" t="s">
        <v>67</v>
      </c>
      <c r="S13798">
        <v>1</v>
      </c>
      <c r="T13798">
        <v>0</v>
      </c>
      <c r="U13798">
        <v>0</v>
      </c>
      <c r="V13798">
        <v>0</v>
      </c>
      <c r="W13798">
        <v>1</v>
      </c>
      <c r="X13798">
        <v>0</v>
      </c>
      <c r="Y13798">
        <v>1</v>
      </c>
      <c r="Z13798">
        <v>0</v>
      </c>
      <c r="AA13798">
        <v>1</v>
      </c>
      <c r="AB13798">
        <v>0</v>
      </c>
      <c r="AC13798">
        <v>0</v>
      </c>
      <c r="AD13798">
        <v>1</v>
      </c>
      <c r="AE13798">
        <v>1</v>
      </c>
      <c r="AF13798">
        <v>1</v>
      </c>
      <c r="AG13798">
        <v>1</v>
      </c>
      <c r="AH13798">
        <v>1</v>
      </c>
      <c r="AI13798">
        <v>1</v>
      </c>
      <c r="AJ13798">
        <v>1</v>
      </c>
      <c r="AK13798">
        <v>1</v>
      </c>
      <c r="AL13798">
        <v>1</v>
      </c>
      <c r="AM13798">
        <v>1</v>
      </c>
    </row>
    <row r="13799" spans="1:39" x14ac:dyDescent="0.2">
      <c r="A13799" t="str">
        <f>"13795"</f>
        <v>13795</v>
      </c>
      <c r="B13799" t="str">
        <f t="shared" si="765"/>
        <v>1</v>
      </c>
      <c r="C13799" t="str">
        <f t="shared" si="767"/>
        <v>276</v>
      </c>
      <c r="D13799" t="str">
        <f>"9"</f>
        <v>9</v>
      </c>
      <c r="E13799" t="str">
        <f>"1-276-9"</f>
        <v>1-276-9</v>
      </c>
      <c r="F13799" t="s">
        <v>65</v>
      </c>
      <c r="G13799" t="s">
        <v>66</v>
      </c>
      <c r="H13799" t="s">
        <v>67</v>
      </c>
      <c r="S13799">
        <v>0</v>
      </c>
      <c r="T13799">
        <v>1</v>
      </c>
      <c r="U13799">
        <v>0</v>
      </c>
      <c r="V13799">
        <v>0</v>
      </c>
      <c r="W13799">
        <v>1</v>
      </c>
      <c r="X13799">
        <v>0</v>
      </c>
      <c r="Y13799">
        <v>1</v>
      </c>
      <c r="Z13799">
        <v>0</v>
      </c>
      <c r="AA13799">
        <v>0</v>
      </c>
      <c r="AB13799">
        <v>1</v>
      </c>
      <c r="AC13799">
        <v>0</v>
      </c>
      <c r="AD13799">
        <v>1</v>
      </c>
      <c r="AE13799">
        <v>1</v>
      </c>
      <c r="AF13799">
        <v>1</v>
      </c>
      <c r="AG13799">
        <v>1</v>
      </c>
      <c r="AH13799">
        <v>1</v>
      </c>
      <c r="AI13799">
        <v>1</v>
      </c>
      <c r="AJ13799">
        <v>1</v>
      </c>
      <c r="AK13799">
        <v>1</v>
      </c>
      <c r="AL13799">
        <v>1</v>
      </c>
      <c r="AM13799">
        <v>1</v>
      </c>
    </row>
    <row r="13800" spans="1:39" x14ac:dyDescent="0.2">
      <c r="A13800" t="str">
        <f>"13796"</f>
        <v>13796</v>
      </c>
      <c r="B13800" t="str">
        <f t="shared" si="765"/>
        <v>1</v>
      </c>
      <c r="C13800" t="str">
        <f t="shared" si="767"/>
        <v>276</v>
      </c>
      <c r="D13800" t="str">
        <f>"42"</f>
        <v>42</v>
      </c>
      <c r="E13800" t="str">
        <f>"1-276-42"</f>
        <v>1-276-42</v>
      </c>
      <c r="F13800" t="s">
        <v>65</v>
      </c>
      <c r="G13800" t="s">
        <v>66</v>
      </c>
      <c r="H13800" t="s">
        <v>67</v>
      </c>
      <c r="S13800">
        <v>1</v>
      </c>
      <c r="T13800">
        <v>0</v>
      </c>
      <c r="U13800">
        <v>0</v>
      </c>
      <c r="V13800">
        <v>0</v>
      </c>
      <c r="W13800">
        <v>1</v>
      </c>
      <c r="X13800">
        <v>0</v>
      </c>
      <c r="Y13800">
        <v>1</v>
      </c>
      <c r="Z13800">
        <v>0</v>
      </c>
      <c r="AA13800">
        <v>1</v>
      </c>
      <c r="AB13800">
        <v>0</v>
      </c>
      <c r="AC13800">
        <v>0</v>
      </c>
      <c r="AD13800">
        <v>1</v>
      </c>
      <c r="AE13800">
        <v>1</v>
      </c>
      <c r="AF13800">
        <v>1</v>
      </c>
      <c r="AG13800">
        <v>1</v>
      </c>
      <c r="AH13800">
        <v>1</v>
      </c>
      <c r="AI13800">
        <v>1</v>
      </c>
      <c r="AJ13800">
        <v>1</v>
      </c>
      <c r="AK13800">
        <v>1</v>
      </c>
      <c r="AL13800">
        <v>1</v>
      </c>
      <c r="AM13800">
        <v>1</v>
      </c>
    </row>
    <row r="13801" spans="1:39" x14ac:dyDescent="0.2">
      <c r="A13801" t="str">
        <f>"13797"</f>
        <v>13797</v>
      </c>
      <c r="B13801" t="str">
        <f t="shared" si="765"/>
        <v>1</v>
      </c>
      <c r="C13801" t="str">
        <f t="shared" si="767"/>
        <v>276</v>
      </c>
      <c r="D13801" t="str">
        <f>"30"</f>
        <v>30</v>
      </c>
      <c r="E13801" t="str">
        <f>"1-276-30"</f>
        <v>1-276-30</v>
      </c>
      <c r="F13801" t="s">
        <v>65</v>
      </c>
      <c r="G13801" t="s">
        <v>66</v>
      </c>
      <c r="H13801" t="s">
        <v>67</v>
      </c>
      <c r="S13801">
        <v>0</v>
      </c>
      <c r="T13801">
        <v>1</v>
      </c>
      <c r="U13801">
        <v>0</v>
      </c>
      <c r="V13801">
        <v>0</v>
      </c>
      <c r="W13801">
        <v>0</v>
      </c>
      <c r="X13801">
        <v>1</v>
      </c>
      <c r="Y13801">
        <v>0</v>
      </c>
      <c r="Z13801">
        <v>1</v>
      </c>
      <c r="AA13801">
        <v>0</v>
      </c>
      <c r="AB13801">
        <v>0</v>
      </c>
      <c r="AC13801">
        <v>1</v>
      </c>
      <c r="AD13801">
        <v>1</v>
      </c>
      <c r="AE13801">
        <v>1</v>
      </c>
      <c r="AF13801">
        <v>1</v>
      </c>
      <c r="AG13801">
        <v>1</v>
      </c>
      <c r="AH13801">
        <v>1</v>
      </c>
      <c r="AI13801">
        <v>1</v>
      </c>
      <c r="AJ13801">
        <v>1</v>
      </c>
      <c r="AK13801">
        <v>1</v>
      </c>
      <c r="AL13801">
        <v>1</v>
      </c>
      <c r="AM13801">
        <v>1</v>
      </c>
    </row>
    <row r="13802" spans="1:39" x14ac:dyDescent="0.2">
      <c r="A13802" t="str">
        <f>"13798"</f>
        <v>13798</v>
      </c>
      <c r="B13802" t="str">
        <f t="shared" si="765"/>
        <v>1</v>
      </c>
      <c r="C13802" t="str">
        <f t="shared" si="767"/>
        <v>276</v>
      </c>
      <c r="D13802" t="str">
        <f>"12"</f>
        <v>12</v>
      </c>
      <c r="E13802" t="str">
        <f>"1-276-12"</f>
        <v>1-276-12</v>
      </c>
      <c r="F13802" t="s">
        <v>65</v>
      </c>
      <c r="G13802" t="s">
        <v>66</v>
      </c>
      <c r="H13802" t="s">
        <v>67</v>
      </c>
      <c r="S13802">
        <v>1</v>
      </c>
      <c r="T13802">
        <v>0</v>
      </c>
      <c r="U13802">
        <v>0</v>
      </c>
      <c r="V13802">
        <v>0</v>
      </c>
      <c r="W13802">
        <v>0</v>
      </c>
      <c r="X13802">
        <v>1</v>
      </c>
      <c r="Y13802">
        <v>1</v>
      </c>
      <c r="Z13802">
        <v>0</v>
      </c>
      <c r="AA13802">
        <v>0</v>
      </c>
      <c r="AB13802">
        <v>0</v>
      </c>
      <c r="AC13802">
        <v>0</v>
      </c>
      <c r="AD13802">
        <v>1</v>
      </c>
      <c r="AE13802">
        <v>1</v>
      </c>
      <c r="AF13802">
        <v>1</v>
      </c>
      <c r="AG13802">
        <v>1</v>
      </c>
      <c r="AH13802">
        <v>1</v>
      </c>
      <c r="AI13802">
        <v>1</v>
      </c>
      <c r="AJ13802">
        <v>1</v>
      </c>
      <c r="AK13802">
        <v>1</v>
      </c>
      <c r="AL13802">
        <v>1</v>
      </c>
      <c r="AM13802">
        <v>1</v>
      </c>
    </row>
    <row r="13803" spans="1:39" x14ac:dyDescent="0.2">
      <c r="A13803" t="str">
        <f>"13799"</f>
        <v>13799</v>
      </c>
      <c r="B13803" t="str">
        <f t="shared" si="765"/>
        <v>1</v>
      </c>
      <c r="C13803" t="str">
        <f t="shared" si="767"/>
        <v>276</v>
      </c>
      <c r="D13803" t="str">
        <f>"49"</f>
        <v>49</v>
      </c>
      <c r="E13803" t="str">
        <f>"1-276-49"</f>
        <v>1-276-49</v>
      </c>
      <c r="F13803" t="s">
        <v>65</v>
      </c>
      <c r="G13803" t="s">
        <v>66</v>
      </c>
      <c r="H13803" t="s">
        <v>67</v>
      </c>
      <c r="S13803">
        <v>0</v>
      </c>
      <c r="T13803">
        <v>0</v>
      </c>
      <c r="U13803">
        <v>0</v>
      </c>
      <c r="V13803">
        <v>1</v>
      </c>
      <c r="W13803">
        <v>1</v>
      </c>
      <c r="X13803">
        <v>0</v>
      </c>
      <c r="Y13803">
        <v>0</v>
      </c>
      <c r="Z13803">
        <v>1</v>
      </c>
      <c r="AA13803">
        <v>0</v>
      </c>
      <c r="AB13803">
        <v>0</v>
      </c>
      <c r="AC13803">
        <v>1</v>
      </c>
      <c r="AD13803">
        <v>1</v>
      </c>
      <c r="AE13803">
        <v>1</v>
      </c>
      <c r="AF13803">
        <v>1</v>
      </c>
      <c r="AG13803">
        <v>1</v>
      </c>
      <c r="AH13803">
        <v>1</v>
      </c>
      <c r="AI13803">
        <v>1</v>
      </c>
      <c r="AJ13803">
        <v>1</v>
      </c>
      <c r="AK13803">
        <v>1</v>
      </c>
      <c r="AL13803">
        <v>1</v>
      </c>
      <c r="AM13803">
        <v>1</v>
      </c>
    </row>
    <row r="13804" spans="1:39" x14ac:dyDescent="0.2">
      <c r="A13804" t="str">
        <f>"13800"</f>
        <v>13800</v>
      </c>
      <c r="B13804" t="str">
        <f t="shared" si="765"/>
        <v>1</v>
      </c>
      <c r="C13804" t="str">
        <f t="shared" si="767"/>
        <v>276</v>
      </c>
      <c r="D13804" t="str">
        <f>"50"</f>
        <v>50</v>
      </c>
      <c r="E13804" t="str">
        <f>"1-276-50"</f>
        <v>1-276-50</v>
      </c>
      <c r="F13804" t="s">
        <v>65</v>
      </c>
      <c r="G13804" t="s">
        <v>66</v>
      </c>
      <c r="H13804" t="s">
        <v>67</v>
      </c>
      <c r="S13804">
        <v>0</v>
      </c>
      <c r="T13804">
        <v>0</v>
      </c>
      <c r="U13804">
        <v>0</v>
      </c>
      <c r="V13804">
        <v>1</v>
      </c>
      <c r="W13804">
        <v>1</v>
      </c>
      <c r="X13804">
        <v>0</v>
      </c>
      <c r="Y13804">
        <v>1</v>
      </c>
      <c r="Z13804">
        <v>0</v>
      </c>
      <c r="AA13804">
        <v>1</v>
      </c>
      <c r="AB13804">
        <v>0</v>
      </c>
      <c r="AC13804">
        <v>0</v>
      </c>
      <c r="AD13804">
        <v>1</v>
      </c>
      <c r="AE13804">
        <v>1</v>
      </c>
      <c r="AF13804">
        <v>1</v>
      </c>
      <c r="AG13804">
        <v>1</v>
      </c>
      <c r="AH13804">
        <v>1</v>
      </c>
      <c r="AI13804">
        <v>1</v>
      </c>
      <c r="AJ13804">
        <v>1</v>
      </c>
      <c r="AK13804">
        <v>1</v>
      </c>
      <c r="AL13804">
        <v>1</v>
      </c>
      <c r="AM13804">
        <v>1</v>
      </c>
    </row>
    <row r="13805" spans="1:39" x14ac:dyDescent="0.2">
      <c r="A13805" t="str">
        <f>"13801"</f>
        <v>13801</v>
      </c>
      <c r="B13805" t="str">
        <f t="shared" si="765"/>
        <v>1</v>
      </c>
      <c r="C13805" t="str">
        <f t="shared" ref="C13805:C13836" si="768">"277"</f>
        <v>277</v>
      </c>
      <c r="D13805" t="str">
        <f>"33"</f>
        <v>33</v>
      </c>
      <c r="E13805" t="str">
        <f>"1-277-33"</f>
        <v>1-277-33</v>
      </c>
      <c r="F13805" t="s">
        <v>65</v>
      </c>
      <c r="G13805" t="s">
        <v>66</v>
      </c>
      <c r="H13805" t="s">
        <v>67</v>
      </c>
      <c r="S13805">
        <v>1</v>
      </c>
      <c r="T13805">
        <v>0</v>
      </c>
      <c r="U13805">
        <v>0</v>
      </c>
      <c r="V13805">
        <v>0</v>
      </c>
      <c r="W13805">
        <v>1</v>
      </c>
      <c r="X13805">
        <v>0</v>
      </c>
      <c r="Y13805">
        <v>1</v>
      </c>
      <c r="Z13805">
        <v>0</v>
      </c>
      <c r="AA13805">
        <v>1</v>
      </c>
      <c r="AB13805">
        <v>0</v>
      </c>
      <c r="AC13805">
        <v>0</v>
      </c>
      <c r="AD13805">
        <v>1</v>
      </c>
      <c r="AE13805">
        <v>1</v>
      </c>
      <c r="AF13805">
        <v>1</v>
      </c>
      <c r="AG13805">
        <v>1</v>
      </c>
      <c r="AH13805">
        <v>1</v>
      </c>
      <c r="AI13805">
        <v>1</v>
      </c>
      <c r="AJ13805">
        <v>1</v>
      </c>
      <c r="AK13805">
        <v>1</v>
      </c>
      <c r="AL13805">
        <v>1</v>
      </c>
      <c r="AM13805">
        <v>1</v>
      </c>
    </row>
    <row r="13806" spans="1:39" x14ac:dyDescent="0.2">
      <c r="A13806" t="str">
        <f>"13802"</f>
        <v>13802</v>
      </c>
      <c r="B13806" t="str">
        <f t="shared" si="765"/>
        <v>1</v>
      </c>
      <c r="C13806" t="str">
        <f t="shared" si="768"/>
        <v>277</v>
      </c>
      <c r="D13806" t="str">
        <f>"32"</f>
        <v>32</v>
      </c>
      <c r="E13806" t="str">
        <f>"1-277-32"</f>
        <v>1-277-32</v>
      </c>
      <c r="F13806" t="s">
        <v>65</v>
      </c>
      <c r="G13806" t="s">
        <v>66</v>
      </c>
      <c r="H13806" t="s">
        <v>67</v>
      </c>
      <c r="S13806">
        <v>0</v>
      </c>
      <c r="T13806">
        <v>0</v>
      </c>
      <c r="U13806">
        <v>0</v>
      </c>
      <c r="V13806">
        <v>0</v>
      </c>
      <c r="W13806">
        <v>1</v>
      </c>
      <c r="X13806">
        <v>0</v>
      </c>
      <c r="Y13806">
        <v>0</v>
      </c>
      <c r="Z13806">
        <v>1</v>
      </c>
      <c r="AA13806">
        <v>0</v>
      </c>
      <c r="AB13806">
        <v>0</v>
      </c>
      <c r="AC13806">
        <v>0</v>
      </c>
      <c r="AD13806">
        <v>0</v>
      </c>
      <c r="AE13806">
        <v>0</v>
      </c>
      <c r="AF13806">
        <v>0</v>
      </c>
      <c r="AG13806">
        <v>0</v>
      </c>
      <c r="AH13806">
        <v>0</v>
      </c>
      <c r="AI13806">
        <v>0</v>
      </c>
      <c r="AJ13806">
        <v>0</v>
      </c>
      <c r="AK13806">
        <v>0</v>
      </c>
      <c r="AL13806">
        <v>0</v>
      </c>
      <c r="AM13806">
        <v>0</v>
      </c>
    </row>
    <row r="13807" spans="1:39" x14ac:dyDescent="0.2">
      <c r="A13807" t="str">
        <f>"13803"</f>
        <v>13803</v>
      </c>
      <c r="B13807" t="str">
        <f t="shared" si="765"/>
        <v>1</v>
      </c>
      <c r="C13807" t="str">
        <f t="shared" si="768"/>
        <v>277</v>
      </c>
      <c r="D13807" t="str">
        <f>"25"</f>
        <v>25</v>
      </c>
      <c r="E13807" t="str">
        <f>"1-277-25"</f>
        <v>1-277-25</v>
      </c>
      <c r="F13807" t="s">
        <v>65</v>
      </c>
      <c r="G13807" t="s">
        <v>66</v>
      </c>
      <c r="H13807" t="s">
        <v>67</v>
      </c>
      <c r="S13807">
        <v>0</v>
      </c>
      <c r="T13807">
        <v>1</v>
      </c>
      <c r="U13807">
        <v>0</v>
      </c>
      <c r="V13807">
        <v>0</v>
      </c>
      <c r="W13807">
        <v>0</v>
      </c>
      <c r="X13807">
        <v>1</v>
      </c>
      <c r="Y13807">
        <v>1</v>
      </c>
      <c r="Z13807">
        <v>0</v>
      </c>
      <c r="AA13807">
        <v>0</v>
      </c>
      <c r="AB13807">
        <v>0</v>
      </c>
      <c r="AC13807">
        <v>0</v>
      </c>
      <c r="AD13807">
        <v>1</v>
      </c>
      <c r="AE13807">
        <v>1</v>
      </c>
      <c r="AF13807">
        <v>1</v>
      </c>
      <c r="AG13807">
        <v>1</v>
      </c>
      <c r="AH13807">
        <v>1</v>
      </c>
      <c r="AI13807">
        <v>1</v>
      </c>
      <c r="AJ13807">
        <v>1</v>
      </c>
      <c r="AK13807">
        <v>1</v>
      </c>
      <c r="AL13807">
        <v>1</v>
      </c>
      <c r="AM13807">
        <v>1</v>
      </c>
    </row>
    <row r="13808" spans="1:39" x14ac:dyDescent="0.2">
      <c r="A13808" t="str">
        <f>"13804"</f>
        <v>13804</v>
      </c>
      <c r="B13808" t="str">
        <f t="shared" si="765"/>
        <v>1</v>
      </c>
      <c r="C13808" t="str">
        <f t="shared" si="768"/>
        <v>277</v>
      </c>
      <c r="D13808" t="str">
        <f>"15"</f>
        <v>15</v>
      </c>
      <c r="E13808" t="str">
        <f>"1-277-15"</f>
        <v>1-277-15</v>
      </c>
      <c r="F13808" t="s">
        <v>65</v>
      </c>
      <c r="G13808" t="s">
        <v>66</v>
      </c>
      <c r="H13808" t="s">
        <v>67</v>
      </c>
      <c r="S13808">
        <v>1</v>
      </c>
      <c r="T13808">
        <v>0</v>
      </c>
      <c r="U13808">
        <v>0</v>
      </c>
      <c r="V13808">
        <v>0</v>
      </c>
      <c r="W13808">
        <v>1</v>
      </c>
      <c r="X13808">
        <v>0</v>
      </c>
      <c r="Y13808">
        <v>0</v>
      </c>
      <c r="Z13808">
        <v>1</v>
      </c>
      <c r="AA13808">
        <v>0</v>
      </c>
      <c r="AB13808">
        <v>1</v>
      </c>
      <c r="AC13808">
        <v>0</v>
      </c>
      <c r="AD13808">
        <v>1</v>
      </c>
      <c r="AE13808">
        <v>1</v>
      </c>
      <c r="AF13808">
        <v>1</v>
      </c>
      <c r="AG13808">
        <v>1</v>
      </c>
      <c r="AH13808">
        <v>1</v>
      </c>
      <c r="AI13808">
        <v>1</v>
      </c>
      <c r="AJ13808">
        <v>1</v>
      </c>
      <c r="AK13808">
        <v>1</v>
      </c>
      <c r="AL13808">
        <v>1</v>
      </c>
      <c r="AM13808">
        <v>1</v>
      </c>
    </row>
    <row r="13809" spans="1:39" x14ac:dyDescent="0.2">
      <c r="A13809" t="str">
        <f>"13805"</f>
        <v>13805</v>
      </c>
      <c r="B13809" t="str">
        <f t="shared" si="765"/>
        <v>1</v>
      </c>
      <c r="C13809" t="str">
        <f t="shared" si="768"/>
        <v>277</v>
      </c>
      <c r="D13809" t="str">
        <f>"2"</f>
        <v>2</v>
      </c>
      <c r="E13809" t="str">
        <f>"1-277-2"</f>
        <v>1-277-2</v>
      </c>
      <c r="F13809" t="s">
        <v>65</v>
      </c>
      <c r="G13809" t="s">
        <v>66</v>
      </c>
      <c r="H13809" t="s">
        <v>68</v>
      </c>
      <c r="I13809">
        <v>1</v>
      </c>
      <c r="J13809">
        <v>1</v>
      </c>
      <c r="K13809">
        <v>0</v>
      </c>
      <c r="L13809">
        <v>0</v>
      </c>
      <c r="M13809">
        <v>1</v>
      </c>
      <c r="N13809">
        <v>1</v>
      </c>
      <c r="O13809">
        <v>1</v>
      </c>
      <c r="P13809">
        <v>1</v>
      </c>
      <c r="Q13809">
        <v>0</v>
      </c>
      <c r="R13809">
        <v>1</v>
      </c>
    </row>
    <row r="13810" spans="1:39" x14ac:dyDescent="0.2">
      <c r="A13810" t="str">
        <f>"13806"</f>
        <v>13806</v>
      </c>
      <c r="B13810" t="str">
        <f t="shared" si="765"/>
        <v>1</v>
      </c>
      <c r="C13810" t="str">
        <f t="shared" si="768"/>
        <v>277</v>
      </c>
      <c r="D13810" t="str">
        <f>"34"</f>
        <v>34</v>
      </c>
      <c r="E13810" t="str">
        <f>"1-277-34"</f>
        <v>1-277-34</v>
      </c>
      <c r="F13810" t="s">
        <v>65</v>
      </c>
      <c r="G13810" t="s">
        <v>66</v>
      </c>
      <c r="H13810" t="s">
        <v>67</v>
      </c>
      <c r="S13810">
        <v>0</v>
      </c>
      <c r="T13810">
        <v>0</v>
      </c>
      <c r="U13810">
        <v>0</v>
      </c>
      <c r="V13810">
        <v>0</v>
      </c>
      <c r="W13810">
        <v>1</v>
      </c>
      <c r="X13810">
        <v>0</v>
      </c>
      <c r="Y13810">
        <v>0</v>
      </c>
      <c r="Z13810">
        <v>1</v>
      </c>
      <c r="AA13810">
        <v>1</v>
      </c>
      <c r="AB13810">
        <v>0</v>
      </c>
      <c r="AC13810">
        <v>0</v>
      </c>
      <c r="AD13810">
        <v>0</v>
      </c>
      <c r="AE13810">
        <v>0</v>
      </c>
      <c r="AF13810">
        <v>0</v>
      </c>
      <c r="AG13810">
        <v>1</v>
      </c>
      <c r="AH13810">
        <v>1</v>
      </c>
      <c r="AI13810">
        <v>0</v>
      </c>
      <c r="AJ13810">
        <v>0</v>
      </c>
      <c r="AK13810">
        <v>0</v>
      </c>
      <c r="AL13810">
        <v>1</v>
      </c>
      <c r="AM13810">
        <v>0</v>
      </c>
    </row>
    <row r="13811" spans="1:39" x14ac:dyDescent="0.2">
      <c r="A13811" t="str">
        <f>"13807"</f>
        <v>13807</v>
      </c>
      <c r="B13811" t="str">
        <f t="shared" si="765"/>
        <v>1</v>
      </c>
      <c r="C13811" t="str">
        <f t="shared" si="768"/>
        <v>277</v>
      </c>
      <c r="D13811" t="str">
        <f>"16"</f>
        <v>16</v>
      </c>
      <c r="E13811" t="str">
        <f>"1-277-16"</f>
        <v>1-277-16</v>
      </c>
      <c r="F13811" t="s">
        <v>65</v>
      </c>
      <c r="G13811" t="s">
        <v>66</v>
      </c>
      <c r="H13811" t="s">
        <v>67</v>
      </c>
      <c r="S13811">
        <v>0</v>
      </c>
      <c r="T13811">
        <v>0</v>
      </c>
      <c r="U13811">
        <v>0</v>
      </c>
      <c r="V13811">
        <v>0</v>
      </c>
      <c r="W13811">
        <v>0</v>
      </c>
      <c r="X13811">
        <v>1</v>
      </c>
      <c r="Y13811">
        <v>0</v>
      </c>
      <c r="Z13811">
        <v>0</v>
      </c>
      <c r="AA13811">
        <v>0</v>
      </c>
      <c r="AB13811">
        <v>0</v>
      </c>
      <c r="AC13811">
        <v>0</v>
      </c>
      <c r="AD13811">
        <v>0</v>
      </c>
      <c r="AE13811">
        <v>0</v>
      </c>
      <c r="AF13811">
        <v>0</v>
      </c>
      <c r="AG13811">
        <v>0</v>
      </c>
      <c r="AH13811">
        <v>0</v>
      </c>
      <c r="AI13811">
        <v>0</v>
      </c>
      <c r="AJ13811">
        <v>0</v>
      </c>
      <c r="AK13811">
        <v>0</v>
      </c>
      <c r="AL13811">
        <v>0</v>
      </c>
      <c r="AM13811">
        <v>0</v>
      </c>
    </row>
    <row r="13812" spans="1:39" x14ac:dyDescent="0.2">
      <c r="A13812" t="str">
        <f>"13808"</f>
        <v>13808</v>
      </c>
      <c r="B13812" t="str">
        <f t="shared" si="765"/>
        <v>1</v>
      </c>
      <c r="C13812" t="str">
        <f t="shared" si="768"/>
        <v>277</v>
      </c>
      <c r="D13812" t="str">
        <f>"3"</f>
        <v>3</v>
      </c>
      <c r="E13812" t="str">
        <f>"1-277-3"</f>
        <v>1-277-3</v>
      </c>
      <c r="F13812" t="s">
        <v>65</v>
      </c>
      <c r="G13812" t="s">
        <v>66</v>
      </c>
      <c r="H13812" t="s">
        <v>68</v>
      </c>
      <c r="I13812">
        <v>1</v>
      </c>
      <c r="J13812">
        <v>0</v>
      </c>
      <c r="K13812">
        <v>1</v>
      </c>
      <c r="L13812">
        <v>0</v>
      </c>
      <c r="M13812">
        <v>1</v>
      </c>
      <c r="N13812">
        <v>1</v>
      </c>
      <c r="O13812">
        <v>1</v>
      </c>
      <c r="P13812">
        <v>1</v>
      </c>
      <c r="Q13812">
        <v>1</v>
      </c>
      <c r="R13812">
        <v>1</v>
      </c>
    </row>
    <row r="13813" spans="1:39" x14ac:dyDescent="0.2">
      <c r="A13813" t="str">
        <f>"13809"</f>
        <v>13809</v>
      </c>
      <c r="B13813" t="str">
        <f t="shared" si="765"/>
        <v>1</v>
      </c>
      <c r="C13813" t="str">
        <f t="shared" si="768"/>
        <v>277</v>
      </c>
      <c r="D13813" t="str">
        <f>"47"</f>
        <v>47</v>
      </c>
      <c r="E13813" t="str">
        <f>"1-277-47"</f>
        <v>1-277-47</v>
      </c>
      <c r="F13813" t="s">
        <v>65</v>
      </c>
      <c r="G13813" t="s">
        <v>66</v>
      </c>
      <c r="H13813" t="s">
        <v>67</v>
      </c>
      <c r="S13813">
        <v>1</v>
      </c>
      <c r="T13813">
        <v>0</v>
      </c>
      <c r="U13813">
        <v>0</v>
      </c>
      <c r="V13813">
        <v>0</v>
      </c>
      <c r="W13813">
        <v>1</v>
      </c>
      <c r="X13813">
        <v>0</v>
      </c>
      <c r="Y13813">
        <v>1</v>
      </c>
      <c r="Z13813">
        <v>0</v>
      </c>
      <c r="AA13813">
        <v>0</v>
      </c>
      <c r="AB13813">
        <v>1</v>
      </c>
      <c r="AC13813">
        <v>0</v>
      </c>
      <c r="AD13813">
        <v>1</v>
      </c>
      <c r="AE13813">
        <v>1</v>
      </c>
      <c r="AF13813">
        <v>1</v>
      </c>
      <c r="AG13813">
        <v>1</v>
      </c>
      <c r="AH13813">
        <v>1</v>
      </c>
      <c r="AI13813">
        <v>1</v>
      </c>
      <c r="AJ13813">
        <v>1</v>
      </c>
      <c r="AK13813">
        <v>1</v>
      </c>
      <c r="AL13813">
        <v>1</v>
      </c>
      <c r="AM13813">
        <v>1</v>
      </c>
    </row>
    <row r="13814" spans="1:39" x14ac:dyDescent="0.2">
      <c r="A13814" t="str">
        <f>"13810"</f>
        <v>13810</v>
      </c>
      <c r="B13814" t="str">
        <f t="shared" si="765"/>
        <v>1</v>
      </c>
      <c r="C13814" t="str">
        <f t="shared" si="768"/>
        <v>277</v>
      </c>
      <c r="D13814" t="str">
        <f>"46"</f>
        <v>46</v>
      </c>
      <c r="E13814" t="str">
        <f>"1-277-46"</f>
        <v>1-277-46</v>
      </c>
      <c r="F13814" t="s">
        <v>65</v>
      </c>
      <c r="G13814" t="s">
        <v>66</v>
      </c>
      <c r="H13814" t="s">
        <v>67</v>
      </c>
      <c r="S13814">
        <v>1</v>
      </c>
      <c r="T13814">
        <v>0</v>
      </c>
      <c r="U13814">
        <v>0</v>
      </c>
      <c r="V13814">
        <v>0</v>
      </c>
      <c r="W13814">
        <v>1</v>
      </c>
      <c r="X13814">
        <v>0</v>
      </c>
      <c r="Y13814">
        <v>0</v>
      </c>
      <c r="Z13814">
        <v>1</v>
      </c>
      <c r="AA13814">
        <v>0</v>
      </c>
      <c r="AB13814">
        <v>1</v>
      </c>
      <c r="AC13814">
        <v>0</v>
      </c>
      <c r="AD13814">
        <v>1</v>
      </c>
      <c r="AE13814">
        <v>1</v>
      </c>
      <c r="AF13814">
        <v>1</v>
      </c>
      <c r="AG13814">
        <v>1</v>
      </c>
      <c r="AH13814">
        <v>1</v>
      </c>
      <c r="AI13814">
        <v>1</v>
      </c>
      <c r="AJ13814">
        <v>1</v>
      </c>
      <c r="AK13814">
        <v>1</v>
      </c>
      <c r="AL13814">
        <v>1</v>
      </c>
      <c r="AM13814">
        <v>1</v>
      </c>
    </row>
    <row r="13815" spans="1:39" x14ac:dyDescent="0.2">
      <c r="A13815" t="str">
        <f>"13811"</f>
        <v>13811</v>
      </c>
      <c r="B13815" t="str">
        <f t="shared" ref="B13815:B13878" si="769">"1"</f>
        <v>1</v>
      </c>
      <c r="C13815" t="str">
        <f t="shared" si="768"/>
        <v>277</v>
      </c>
      <c r="D13815" t="str">
        <f>"31"</f>
        <v>31</v>
      </c>
      <c r="E13815" t="str">
        <f>"1-277-31"</f>
        <v>1-277-31</v>
      </c>
      <c r="F13815" t="s">
        <v>65</v>
      </c>
      <c r="G13815" t="s">
        <v>66</v>
      </c>
      <c r="H13815" t="s">
        <v>67</v>
      </c>
      <c r="S13815">
        <v>1</v>
      </c>
      <c r="T13815">
        <v>0</v>
      </c>
      <c r="U13815">
        <v>0</v>
      </c>
      <c r="V13815">
        <v>0</v>
      </c>
      <c r="W13815">
        <v>1</v>
      </c>
      <c r="X13815">
        <v>0</v>
      </c>
      <c r="Y13815">
        <v>1</v>
      </c>
      <c r="Z13815">
        <v>0</v>
      </c>
      <c r="AA13815">
        <v>1</v>
      </c>
      <c r="AB13815">
        <v>0</v>
      </c>
      <c r="AC13815">
        <v>0</v>
      </c>
      <c r="AD13815">
        <v>1</v>
      </c>
      <c r="AE13815">
        <v>1</v>
      </c>
      <c r="AF13815">
        <v>1</v>
      </c>
      <c r="AG13815">
        <v>1</v>
      </c>
      <c r="AH13815">
        <v>1</v>
      </c>
      <c r="AI13815">
        <v>1</v>
      </c>
      <c r="AJ13815">
        <v>1</v>
      </c>
      <c r="AK13815">
        <v>1</v>
      </c>
      <c r="AL13815">
        <v>1</v>
      </c>
      <c r="AM13815">
        <v>1</v>
      </c>
    </row>
    <row r="13816" spans="1:39" x14ac:dyDescent="0.2">
      <c r="A13816" t="str">
        <f>"13812"</f>
        <v>13812</v>
      </c>
      <c r="B13816" t="str">
        <f t="shared" si="769"/>
        <v>1</v>
      </c>
      <c r="C13816" t="str">
        <f t="shared" si="768"/>
        <v>277</v>
      </c>
      <c r="D13816" t="str">
        <f>"17"</f>
        <v>17</v>
      </c>
      <c r="E13816" t="str">
        <f>"1-277-17"</f>
        <v>1-277-17</v>
      </c>
      <c r="F13816" t="s">
        <v>65</v>
      </c>
      <c r="G13816" t="s">
        <v>66</v>
      </c>
      <c r="H13816" t="s">
        <v>67</v>
      </c>
      <c r="S13816">
        <v>1</v>
      </c>
      <c r="T13816">
        <v>0</v>
      </c>
      <c r="U13816">
        <v>0</v>
      </c>
      <c r="V13816">
        <v>0</v>
      </c>
      <c r="W13816">
        <v>1</v>
      </c>
      <c r="X13816">
        <v>0</v>
      </c>
      <c r="Y13816">
        <v>0</v>
      </c>
      <c r="Z13816">
        <v>1</v>
      </c>
      <c r="AA13816">
        <v>0</v>
      </c>
      <c r="AB13816">
        <v>1</v>
      </c>
      <c r="AC13816">
        <v>0</v>
      </c>
      <c r="AD13816">
        <v>1</v>
      </c>
      <c r="AE13816">
        <v>1</v>
      </c>
      <c r="AF13816">
        <v>1</v>
      </c>
      <c r="AG13816">
        <v>1</v>
      </c>
      <c r="AH13816">
        <v>1</v>
      </c>
      <c r="AI13816">
        <v>1</v>
      </c>
      <c r="AJ13816">
        <v>1</v>
      </c>
      <c r="AK13816">
        <v>1</v>
      </c>
      <c r="AL13816">
        <v>1</v>
      </c>
      <c r="AM13816">
        <v>1</v>
      </c>
    </row>
    <row r="13817" spans="1:39" x14ac:dyDescent="0.2">
      <c r="A13817" t="str">
        <f>"13813"</f>
        <v>13813</v>
      </c>
      <c r="B13817" t="str">
        <f t="shared" si="769"/>
        <v>1</v>
      </c>
      <c r="C13817" t="str">
        <f t="shared" si="768"/>
        <v>277</v>
      </c>
      <c r="D13817" t="str">
        <f>"1"</f>
        <v>1</v>
      </c>
      <c r="E13817" t="str">
        <f>"1-277-1"</f>
        <v>1-277-1</v>
      </c>
      <c r="F13817" t="s">
        <v>65</v>
      </c>
      <c r="G13817" t="s">
        <v>66</v>
      </c>
      <c r="H13817" t="s">
        <v>68</v>
      </c>
      <c r="I13817">
        <v>1</v>
      </c>
      <c r="J13817">
        <v>0</v>
      </c>
      <c r="K13817">
        <v>0</v>
      </c>
      <c r="L13817">
        <v>1</v>
      </c>
      <c r="M13817">
        <v>1</v>
      </c>
      <c r="N13817">
        <v>1</v>
      </c>
      <c r="O13817">
        <v>1</v>
      </c>
      <c r="P13817">
        <v>1</v>
      </c>
      <c r="Q13817">
        <v>1</v>
      </c>
      <c r="R13817">
        <v>1</v>
      </c>
    </row>
    <row r="13818" spans="1:39" x14ac:dyDescent="0.2">
      <c r="A13818" t="str">
        <f>"13814"</f>
        <v>13814</v>
      </c>
      <c r="B13818" t="str">
        <f t="shared" si="769"/>
        <v>1</v>
      </c>
      <c r="C13818" t="str">
        <f t="shared" si="768"/>
        <v>277</v>
      </c>
      <c r="D13818" t="str">
        <f>"39"</f>
        <v>39</v>
      </c>
      <c r="E13818" t="str">
        <f>"1-277-39"</f>
        <v>1-277-39</v>
      </c>
      <c r="F13818" t="s">
        <v>65</v>
      </c>
      <c r="G13818" t="s">
        <v>66</v>
      </c>
      <c r="H13818" t="s">
        <v>67</v>
      </c>
      <c r="S13818">
        <v>0</v>
      </c>
      <c r="T13818">
        <v>1</v>
      </c>
      <c r="U13818">
        <v>0</v>
      </c>
      <c r="V13818">
        <v>0</v>
      </c>
      <c r="W13818">
        <v>1</v>
      </c>
      <c r="X13818">
        <v>0</v>
      </c>
      <c r="Y13818">
        <v>0</v>
      </c>
      <c r="Z13818">
        <v>1</v>
      </c>
      <c r="AA13818">
        <v>1</v>
      </c>
      <c r="AB13818">
        <v>0</v>
      </c>
      <c r="AC13818">
        <v>0</v>
      </c>
      <c r="AD13818">
        <v>1</v>
      </c>
      <c r="AE13818">
        <v>1</v>
      </c>
      <c r="AF13818">
        <v>1</v>
      </c>
      <c r="AG13818">
        <v>1</v>
      </c>
      <c r="AH13818">
        <v>1</v>
      </c>
      <c r="AI13818">
        <v>1</v>
      </c>
      <c r="AJ13818">
        <v>1</v>
      </c>
      <c r="AK13818">
        <v>1</v>
      </c>
      <c r="AL13818">
        <v>1</v>
      </c>
      <c r="AM13818">
        <v>1</v>
      </c>
    </row>
    <row r="13819" spans="1:39" x14ac:dyDescent="0.2">
      <c r="A13819" t="str">
        <f>"13815"</f>
        <v>13815</v>
      </c>
      <c r="B13819" t="str">
        <f t="shared" si="769"/>
        <v>1</v>
      </c>
      <c r="C13819" t="str">
        <f t="shared" si="768"/>
        <v>277</v>
      </c>
      <c r="D13819" t="str">
        <f>"38"</f>
        <v>38</v>
      </c>
      <c r="E13819" t="str">
        <f>"1-277-38"</f>
        <v>1-277-38</v>
      </c>
      <c r="F13819" t="s">
        <v>65</v>
      </c>
      <c r="G13819" t="s">
        <v>66</v>
      </c>
      <c r="H13819" t="s">
        <v>67</v>
      </c>
      <c r="S13819">
        <v>1</v>
      </c>
      <c r="T13819">
        <v>0</v>
      </c>
      <c r="U13819">
        <v>0</v>
      </c>
      <c r="V13819">
        <v>0</v>
      </c>
      <c r="W13819">
        <v>1</v>
      </c>
      <c r="X13819">
        <v>0</v>
      </c>
      <c r="Y13819">
        <v>1</v>
      </c>
      <c r="Z13819">
        <v>0</v>
      </c>
      <c r="AA13819">
        <v>0</v>
      </c>
      <c r="AB13819">
        <v>1</v>
      </c>
      <c r="AC13819">
        <v>0</v>
      </c>
      <c r="AD13819">
        <v>0</v>
      </c>
      <c r="AE13819">
        <v>0</v>
      </c>
      <c r="AF13819">
        <v>0</v>
      </c>
      <c r="AG13819">
        <v>0</v>
      </c>
      <c r="AH13819">
        <v>0</v>
      </c>
      <c r="AI13819">
        <v>1</v>
      </c>
      <c r="AJ13819">
        <v>0</v>
      </c>
      <c r="AK13819">
        <v>0</v>
      </c>
      <c r="AL13819">
        <v>1</v>
      </c>
      <c r="AM13819">
        <v>0</v>
      </c>
    </row>
    <row r="13820" spans="1:39" x14ac:dyDescent="0.2">
      <c r="A13820" t="str">
        <f>"13816"</f>
        <v>13816</v>
      </c>
      <c r="B13820" t="str">
        <f t="shared" si="769"/>
        <v>1</v>
      </c>
      <c r="C13820" t="str">
        <f t="shared" si="768"/>
        <v>277</v>
      </c>
      <c r="D13820" t="str">
        <f>"30"</f>
        <v>30</v>
      </c>
      <c r="E13820" t="str">
        <f>"1-277-30"</f>
        <v>1-277-30</v>
      </c>
      <c r="F13820" t="s">
        <v>65</v>
      </c>
      <c r="G13820" t="s">
        <v>66</v>
      </c>
      <c r="H13820" t="s">
        <v>67</v>
      </c>
      <c r="S13820">
        <v>0</v>
      </c>
      <c r="T13820">
        <v>1</v>
      </c>
      <c r="U13820">
        <v>0</v>
      </c>
      <c r="V13820">
        <v>0</v>
      </c>
      <c r="W13820">
        <v>0</v>
      </c>
      <c r="X13820">
        <v>1</v>
      </c>
      <c r="Y13820">
        <v>0</v>
      </c>
      <c r="Z13820">
        <v>1</v>
      </c>
      <c r="AA13820">
        <v>0</v>
      </c>
      <c r="AB13820">
        <v>1</v>
      </c>
      <c r="AC13820">
        <v>0</v>
      </c>
      <c r="AD13820">
        <v>1</v>
      </c>
      <c r="AE13820">
        <v>1</v>
      </c>
      <c r="AF13820">
        <v>1</v>
      </c>
      <c r="AG13820">
        <v>1</v>
      </c>
      <c r="AH13820">
        <v>1</v>
      </c>
      <c r="AI13820">
        <v>1</v>
      </c>
      <c r="AJ13820">
        <v>1</v>
      </c>
      <c r="AK13820">
        <v>1</v>
      </c>
      <c r="AL13820">
        <v>1</v>
      </c>
      <c r="AM13820">
        <v>0</v>
      </c>
    </row>
    <row r="13821" spans="1:39" x14ac:dyDescent="0.2">
      <c r="A13821" t="str">
        <f>"13817"</f>
        <v>13817</v>
      </c>
      <c r="B13821" t="str">
        <f t="shared" si="769"/>
        <v>1</v>
      </c>
      <c r="C13821" t="str">
        <f t="shared" si="768"/>
        <v>277</v>
      </c>
      <c r="D13821" t="str">
        <f>"18"</f>
        <v>18</v>
      </c>
      <c r="E13821" t="str">
        <f>"1-277-18"</f>
        <v>1-277-18</v>
      </c>
      <c r="F13821" t="s">
        <v>65</v>
      </c>
      <c r="G13821" t="s">
        <v>66</v>
      </c>
      <c r="H13821" t="s">
        <v>67</v>
      </c>
      <c r="S13821">
        <v>1</v>
      </c>
      <c r="T13821">
        <v>0</v>
      </c>
      <c r="U13821">
        <v>0</v>
      </c>
      <c r="V13821">
        <v>0</v>
      </c>
      <c r="W13821">
        <v>1</v>
      </c>
      <c r="X13821">
        <v>0</v>
      </c>
      <c r="Y13821">
        <v>0</v>
      </c>
      <c r="Z13821">
        <v>1</v>
      </c>
      <c r="AA13821">
        <v>0</v>
      </c>
      <c r="AB13821">
        <v>1</v>
      </c>
      <c r="AC13821">
        <v>0</v>
      </c>
      <c r="AD13821">
        <v>1</v>
      </c>
      <c r="AE13821">
        <v>1</v>
      </c>
      <c r="AF13821">
        <v>1</v>
      </c>
      <c r="AG13821">
        <v>1</v>
      </c>
      <c r="AH13821">
        <v>1</v>
      </c>
      <c r="AI13821">
        <v>1</v>
      </c>
      <c r="AJ13821">
        <v>1</v>
      </c>
      <c r="AK13821">
        <v>1</v>
      </c>
      <c r="AL13821">
        <v>1</v>
      </c>
      <c r="AM13821">
        <v>1</v>
      </c>
    </row>
    <row r="13822" spans="1:39" x14ac:dyDescent="0.2">
      <c r="A13822" t="str">
        <f>"13818"</f>
        <v>13818</v>
      </c>
      <c r="B13822" t="str">
        <f t="shared" si="769"/>
        <v>1</v>
      </c>
      <c r="C13822" t="str">
        <f t="shared" si="768"/>
        <v>277</v>
      </c>
      <c r="D13822" t="str">
        <f>"7"</f>
        <v>7</v>
      </c>
      <c r="E13822" t="str">
        <f>"1-277-7"</f>
        <v>1-277-7</v>
      </c>
      <c r="F13822" t="s">
        <v>65</v>
      </c>
      <c r="G13822" t="s">
        <v>66</v>
      </c>
      <c r="H13822" t="s">
        <v>68</v>
      </c>
      <c r="I13822">
        <v>1</v>
      </c>
      <c r="J13822">
        <v>0</v>
      </c>
      <c r="K13822">
        <v>0</v>
      </c>
      <c r="L13822">
        <v>1</v>
      </c>
      <c r="M13822">
        <v>1</v>
      </c>
      <c r="N13822">
        <v>1</v>
      </c>
      <c r="O13822">
        <v>1</v>
      </c>
      <c r="P13822">
        <v>1</v>
      </c>
      <c r="Q13822">
        <v>1</v>
      </c>
      <c r="R13822">
        <v>1</v>
      </c>
    </row>
    <row r="13823" spans="1:39" x14ac:dyDescent="0.2">
      <c r="A13823" t="str">
        <f>"13819"</f>
        <v>13819</v>
      </c>
      <c r="B13823" t="str">
        <f t="shared" si="769"/>
        <v>1</v>
      </c>
      <c r="C13823" t="str">
        <f t="shared" si="768"/>
        <v>277</v>
      </c>
      <c r="D13823" t="str">
        <f>"36"</f>
        <v>36</v>
      </c>
      <c r="E13823" t="str">
        <f>"1-277-36"</f>
        <v>1-277-36</v>
      </c>
      <c r="F13823" t="s">
        <v>65</v>
      </c>
      <c r="G13823" t="s">
        <v>66</v>
      </c>
      <c r="H13823" t="s">
        <v>67</v>
      </c>
      <c r="S13823">
        <v>0</v>
      </c>
      <c r="T13823">
        <v>0</v>
      </c>
      <c r="U13823">
        <v>0</v>
      </c>
      <c r="V13823">
        <v>0</v>
      </c>
      <c r="W13823">
        <v>0</v>
      </c>
      <c r="X13823">
        <v>1</v>
      </c>
      <c r="Y13823">
        <v>0</v>
      </c>
      <c r="Z13823">
        <v>1</v>
      </c>
      <c r="AA13823">
        <v>0</v>
      </c>
      <c r="AB13823">
        <v>0</v>
      </c>
      <c r="AC13823">
        <v>1</v>
      </c>
      <c r="AD13823">
        <v>0</v>
      </c>
      <c r="AE13823">
        <v>0</v>
      </c>
      <c r="AF13823">
        <v>0</v>
      </c>
      <c r="AG13823">
        <v>1</v>
      </c>
      <c r="AH13823">
        <v>1</v>
      </c>
      <c r="AI13823">
        <v>0</v>
      </c>
      <c r="AJ13823">
        <v>1</v>
      </c>
      <c r="AK13823">
        <v>0</v>
      </c>
      <c r="AL13823">
        <v>1</v>
      </c>
      <c r="AM13823">
        <v>0</v>
      </c>
    </row>
    <row r="13824" spans="1:39" x14ac:dyDescent="0.2">
      <c r="A13824" t="str">
        <f>"13820"</f>
        <v>13820</v>
      </c>
      <c r="B13824" t="str">
        <f t="shared" si="769"/>
        <v>1</v>
      </c>
      <c r="C13824" t="str">
        <f t="shared" si="768"/>
        <v>277</v>
      </c>
      <c r="D13824" t="str">
        <f>"19"</f>
        <v>19</v>
      </c>
      <c r="E13824" t="str">
        <f>"1-277-19"</f>
        <v>1-277-19</v>
      </c>
      <c r="F13824" t="s">
        <v>65</v>
      </c>
      <c r="G13824" t="s">
        <v>66</v>
      </c>
      <c r="H13824" t="s">
        <v>67</v>
      </c>
      <c r="S13824">
        <v>0</v>
      </c>
      <c r="T13824">
        <v>1</v>
      </c>
      <c r="U13824">
        <v>0</v>
      </c>
      <c r="V13824">
        <v>0</v>
      </c>
      <c r="W13824">
        <v>0</v>
      </c>
      <c r="X13824">
        <v>1</v>
      </c>
      <c r="Y13824">
        <v>0</v>
      </c>
      <c r="Z13824">
        <v>1</v>
      </c>
      <c r="AA13824">
        <v>0</v>
      </c>
      <c r="AB13824">
        <v>0</v>
      </c>
      <c r="AC13824">
        <v>1</v>
      </c>
      <c r="AD13824">
        <v>0</v>
      </c>
      <c r="AE13824">
        <v>0</v>
      </c>
      <c r="AF13824">
        <v>0</v>
      </c>
      <c r="AG13824">
        <v>0</v>
      </c>
      <c r="AH13824">
        <v>0</v>
      </c>
      <c r="AI13824">
        <v>0</v>
      </c>
      <c r="AJ13824">
        <v>0</v>
      </c>
      <c r="AK13824">
        <v>0</v>
      </c>
      <c r="AL13824">
        <v>0</v>
      </c>
      <c r="AM13824">
        <v>0</v>
      </c>
    </row>
    <row r="13825" spans="1:39" x14ac:dyDescent="0.2">
      <c r="A13825" t="str">
        <f>"13821"</f>
        <v>13821</v>
      </c>
      <c r="B13825" t="str">
        <f t="shared" si="769"/>
        <v>1</v>
      </c>
      <c r="C13825" t="str">
        <f t="shared" si="768"/>
        <v>277</v>
      </c>
      <c r="D13825" t="str">
        <f>"9"</f>
        <v>9</v>
      </c>
      <c r="E13825" t="str">
        <f>"1-277-9"</f>
        <v>1-277-9</v>
      </c>
      <c r="F13825" t="s">
        <v>65</v>
      </c>
      <c r="G13825" t="s">
        <v>66</v>
      </c>
      <c r="H13825" t="s">
        <v>68</v>
      </c>
      <c r="I13825">
        <v>1</v>
      </c>
      <c r="J13825">
        <v>1</v>
      </c>
      <c r="K13825">
        <v>0</v>
      </c>
      <c r="L13825">
        <v>0</v>
      </c>
      <c r="M13825">
        <v>1</v>
      </c>
      <c r="N13825">
        <v>1</v>
      </c>
      <c r="O13825">
        <v>1</v>
      </c>
      <c r="P13825">
        <v>1</v>
      </c>
      <c r="Q13825">
        <v>1</v>
      </c>
      <c r="R13825">
        <v>1</v>
      </c>
    </row>
    <row r="13826" spans="1:39" x14ac:dyDescent="0.2">
      <c r="A13826" t="str">
        <f>"13822"</f>
        <v>13822</v>
      </c>
      <c r="B13826" t="str">
        <f t="shared" si="769"/>
        <v>1</v>
      </c>
      <c r="C13826" t="str">
        <f t="shared" si="768"/>
        <v>277</v>
      </c>
      <c r="D13826" t="str">
        <f>"35"</f>
        <v>35</v>
      </c>
      <c r="E13826" t="str">
        <f>"1-277-35"</f>
        <v>1-277-35</v>
      </c>
      <c r="F13826" t="s">
        <v>65</v>
      </c>
      <c r="G13826" t="s">
        <v>66</v>
      </c>
      <c r="H13826" t="s">
        <v>67</v>
      </c>
      <c r="S13826">
        <v>0</v>
      </c>
      <c r="T13826">
        <v>1</v>
      </c>
      <c r="U13826">
        <v>0</v>
      </c>
      <c r="V13826">
        <v>0</v>
      </c>
      <c r="W13826">
        <v>1</v>
      </c>
      <c r="X13826">
        <v>0</v>
      </c>
      <c r="Y13826">
        <v>0</v>
      </c>
      <c r="Z13826">
        <v>1</v>
      </c>
      <c r="AA13826">
        <v>0</v>
      </c>
      <c r="AB13826">
        <v>0</v>
      </c>
      <c r="AC13826">
        <v>1</v>
      </c>
      <c r="AD13826">
        <v>1</v>
      </c>
      <c r="AE13826">
        <v>1</v>
      </c>
      <c r="AF13826">
        <v>1</v>
      </c>
      <c r="AG13826">
        <v>1</v>
      </c>
      <c r="AH13826">
        <v>1</v>
      </c>
      <c r="AI13826">
        <v>1</v>
      </c>
      <c r="AJ13826">
        <v>1</v>
      </c>
      <c r="AK13826">
        <v>1</v>
      </c>
      <c r="AL13826">
        <v>1</v>
      </c>
      <c r="AM13826">
        <v>1</v>
      </c>
    </row>
    <row r="13827" spans="1:39" x14ac:dyDescent="0.2">
      <c r="A13827" t="str">
        <f>"13823"</f>
        <v>13823</v>
      </c>
      <c r="B13827" t="str">
        <f t="shared" si="769"/>
        <v>1</v>
      </c>
      <c r="C13827" t="str">
        <f t="shared" si="768"/>
        <v>277</v>
      </c>
      <c r="D13827" t="str">
        <f>"20"</f>
        <v>20</v>
      </c>
      <c r="E13827" t="str">
        <f>"1-277-20"</f>
        <v>1-277-20</v>
      </c>
      <c r="F13827" t="s">
        <v>65</v>
      </c>
      <c r="G13827" t="s">
        <v>66</v>
      </c>
      <c r="H13827" t="s">
        <v>67</v>
      </c>
      <c r="S13827">
        <v>0</v>
      </c>
      <c r="T13827">
        <v>1</v>
      </c>
      <c r="U13827">
        <v>0</v>
      </c>
      <c r="V13827">
        <v>0</v>
      </c>
      <c r="W13827">
        <v>1</v>
      </c>
      <c r="X13827">
        <v>0</v>
      </c>
      <c r="Y13827">
        <v>0</v>
      </c>
      <c r="Z13827">
        <v>1</v>
      </c>
      <c r="AA13827">
        <v>1</v>
      </c>
      <c r="AB13827">
        <v>0</v>
      </c>
      <c r="AC13827">
        <v>0</v>
      </c>
      <c r="AD13827">
        <v>1</v>
      </c>
      <c r="AE13827">
        <v>1</v>
      </c>
      <c r="AF13827">
        <v>1</v>
      </c>
      <c r="AG13827">
        <v>1</v>
      </c>
      <c r="AH13827">
        <v>1</v>
      </c>
      <c r="AI13827">
        <v>1</v>
      </c>
      <c r="AJ13827">
        <v>1</v>
      </c>
      <c r="AK13827">
        <v>1</v>
      </c>
      <c r="AL13827">
        <v>1</v>
      </c>
      <c r="AM13827">
        <v>1</v>
      </c>
    </row>
    <row r="13828" spans="1:39" x14ac:dyDescent="0.2">
      <c r="A13828" t="str">
        <f>"13824"</f>
        <v>13824</v>
      </c>
      <c r="B13828" t="str">
        <f t="shared" si="769"/>
        <v>1</v>
      </c>
      <c r="C13828" t="str">
        <f t="shared" si="768"/>
        <v>277</v>
      </c>
      <c r="D13828" t="str">
        <f>"8"</f>
        <v>8</v>
      </c>
      <c r="E13828" t="str">
        <f>"1-277-8"</f>
        <v>1-277-8</v>
      </c>
      <c r="F13828" t="s">
        <v>65</v>
      </c>
      <c r="G13828" t="s">
        <v>66</v>
      </c>
      <c r="H13828" t="s">
        <v>68</v>
      </c>
      <c r="I13828">
        <v>0</v>
      </c>
      <c r="J13828">
        <v>1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  <c r="Q13828">
        <v>0</v>
      </c>
      <c r="R13828">
        <v>0</v>
      </c>
    </row>
    <row r="13829" spans="1:39" x14ac:dyDescent="0.2">
      <c r="A13829" t="str">
        <f>"13825"</f>
        <v>13825</v>
      </c>
      <c r="B13829" t="str">
        <f t="shared" si="769"/>
        <v>1</v>
      </c>
      <c r="C13829" t="str">
        <f t="shared" si="768"/>
        <v>277</v>
      </c>
      <c r="D13829" t="str">
        <f>"50"</f>
        <v>50</v>
      </c>
      <c r="E13829" t="str">
        <f>"1-277-50"</f>
        <v>1-277-50</v>
      </c>
      <c r="F13829" t="s">
        <v>65</v>
      </c>
      <c r="G13829" t="s">
        <v>66</v>
      </c>
      <c r="H13829" t="s">
        <v>67</v>
      </c>
      <c r="S13829">
        <v>0</v>
      </c>
      <c r="T13829">
        <v>1</v>
      </c>
      <c r="U13829">
        <v>0</v>
      </c>
      <c r="V13829">
        <v>0</v>
      </c>
      <c r="W13829">
        <v>0</v>
      </c>
      <c r="X13829">
        <v>1</v>
      </c>
      <c r="Y13829">
        <v>0</v>
      </c>
      <c r="Z13829">
        <v>0</v>
      </c>
      <c r="AA13829">
        <v>0</v>
      </c>
      <c r="AB13829">
        <v>0</v>
      </c>
      <c r="AC13829">
        <v>0</v>
      </c>
      <c r="AD13829">
        <v>0</v>
      </c>
      <c r="AE13829">
        <v>0</v>
      </c>
      <c r="AF13829">
        <v>0</v>
      </c>
      <c r="AG13829">
        <v>0</v>
      </c>
      <c r="AH13829">
        <v>0</v>
      </c>
      <c r="AI13829">
        <v>0</v>
      </c>
      <c r="AJ13829">
        <v>0</v>
      </c>
      <c r="AK13829">
        <v>0</v>
      </c>
      <c r="AL13829">
        <v>0</v>
      </c>
      <c r="AM13829">
        <v>0</v>
      </c>
    </row>
    <row r="13830" spans="1:39" x14ac:dyDescent="0.2">
      <c r="A13830" t="str">
        <f>"13826"</f>
        <v>13826</v>
      </c>
      <c r="B13830" t="str">
        <f t="shared" si="769"/>
        <v>1</v>
      </c>
      <c r="C13830" t="str">
        <f t="shared" si="768"/>
        <v>277</v>
      </c>
      <c r="D13830" t="str">
        <f>"49"</f>
        <v>49</v>
      </c>
      <c r="E13830" t="str">
        <f>"1-277-49"</f>
        <v>1-277-49</v>
      </c>
      <c r="F13830" t="s">
        <v>65</v>
      </c>
      <c r="G13830" t="s">
        <v>66</v>
      </c>
      <c r="H13830" t="s">
        <v>67</v>
      </c>
      <c r="S13830">
        <v>0</v>
      </c>
      <c r="T13830">
        <v>1</v>
      </c>
      <c r="U13830">
        <v>0</v>
      </c>
      <c r="V13830">
        <v>0</v>
      </c>
      <c r="W13830">
        <v>0</v>
      </c>
      <c r="X13830">
        <v>1</v>
      </c>
      <c r="Y13830">
        <v>0</v>
      </c>
      <c r="Z13830">
        <v>0</v>
      </c>
      <c r="AA13830">
        <v>0</v>
      </c>
      <c r="AB13830">
        <v>0</v>
      </c>
      <c r="AC13830">
        <v>1</v>
      </c>
      <c r="AD13830">
        <v>0</v>
      </c>
      <c r="AE13830">
        <v>0</v>
      </c>
      <c r="AF13830">
        <v>0</v>
      </c>
      <c r="AG13830">
        <v>0</v>
      </c>
      <c r="AH13830">
        <v>0</v>
      </c>
      <c r="AI13830">
        <v>0</v>
      </c>
      <c r="AJ13830">
        <v>0</v>
      </c>
      <c r="AK13830">
        <v>0</v>
      </c>
      <c r="AL13830">
        <v>0</v>
      </c>
      <c r="AM13830">
        <v>0</v>
      </c>
    </row>
    <row r="13831" spans="1:39" x14ac:dyDescent="0.2">
      <c r="A13831" t="str">
        <f>"13827"</f>
        <v>13827</v>
      </c>
      <c r="B13831" t="str">
        <f t="shared" si="769"/>
        <v>1</v>
      </c>
      <c r="C13831" t="str">
        <f t="shared" si="768"/>
        <v>277</v>
      </c>
      <c r="D13831" t="str">
        <f>"37"</f>
        <v>37</v>
      </c>
      <c r="E13831" t="str">
        <f>"1-277-37"</f>
        <v>1-277-37</v>
      </c>
      <c r="F13831" t="s">
        <v>65</v>
      </c>
      <c r="G13831" t="s">
        <v>66</v>
      </c>
      <c r="H13831" t="s">
        <v>67</v>
      </c>
      <c r="S13831">
        <v>0</v>
      </c>
      <c r="T13831">
        <v>1</v>
      </c>
      <c r="U13831">
        <v>0</v>
      </c>
      <c r="V13831">
        <v>0</v>
      </c>
      <c r="W13831">
        <v>0</v>
      </c>
      <c r="X13831">
        <v>1</v>
      </c>
      <c r="Y13831">
        <v>0</v>
      </c>
      <c r="Z13831">
        <v>0</v>
      </c>
      <c r="AA13831">
        <v>0</v>
      </c>
      <c r="AB13831">
        <v>1</v>
      </c>
      <c r="AC13831">
        <v>0</v>
      </c>
      <c r="AD13831">
        <v>0</v>
      </c>
      <c r="AE13831">
        <v>0</v>
      </c>
      <c r="AF13831">
        <v>0</v>
      </c>
      <c r="AG13831">
        <v>0</v>
      </c>
      <c r="AH13831">
        <v>0</v>
      </c>
      <c r="AI13831">
        <v>0</v>
      </c>
      <c r="AJ13831">
        <v>0</v>
      </c>
      <c r="AK13831">
        <v>0</v>
      </c>
      <c r="AL13831">
        <v>0</v>
      </c>
      <c r="AM13831">
        <v>0</v>
      </c>
    </row>
    <row r="13832" spans="1:39" x14ac:dyDescent="0.2">
      <c r="A13832" t="str">
        <f>"13828"</f>
        <v>13828</v>
      </c>
      <c r="B13832" t="str">
        <f t="shared" si="769"/>
        <v>1</v>
      </c>
      <c r="C13832" t="str">
        <f t="shared" si="768"/>
        <v>277</v>
      </c>
      <c r="D13832" t="str">
        <f>"21"</f>
        <v>21</v>
      </c>
      <c r="E13832" t="str">
        <f>"1-277-21"</f>
        <v>1-277-21</v>
      </c>
      <c r="F13832" t="s">
        <v>65</v>
      </c>
      <c r="G13832" t="s">
        <v>66</v>
      </c>
      <c r="H13832" t="s">
        <v>67</v>
      </c>
      <c r="S13832">
        <v>0</v>
      </c>
      <c r="T13832">
        <v>0</v>
      </c>
      <c r="U13832">
        <v>0</v>
      </c>
      <c r="V13832">
        <v>0</v>
      </c>
      <c r="W13832">
        <v>0</v>
      </c>
      <c r="X13832">
        <v>1</v>
      </c>
      <c r="Y13832">
        <v>0</v>
      </c>
      <c r="Z13832">
        <v>1</v>
      </c>
      <c r="AA13832">
        <v>1</v>
      </c>
      <c r="AB13832">
        <v>0</v>
      </c>
      <c r="AC13832">
        <v>0</v>
      </c>
      <c r="AD13832">
        <v>0</v>
      </c>
      <c r="AE13832">
        <v>0</v>
      </c>
      <c r="AF13832">
        <v>0</v>
      </c>
      <c r="AG13832">
        <v>0</v>
      </c>
      <c r="AH13832">
        <v>0</v>
      </c>
      <c r="AI13832">
        <v>0</v>
      </c>
      <c r="AJ13832">
        <v>0</v>
      </c>
      <c r="AK13832">
        <v>0</v>
      </c>
      <c r="AL13832">
        <v>0</v>
      </c>
      <c r="AM13832">
        <v>0</v>
      </c>
    </row>
    <row r="13833" spans="1:39" x14ac:dyDescent="0.2">
      <c r="A13833" t="str">
        <f>"13829"</f>
        <v>13829</v>
      </c>
      <c r="B13833" t="str">
        <f t="shared" si="769"/>
        <v>1</v>
      </c>
      <c r="C13833" t="str">
        <f t="shared" si="768"/>
        <v>277</v>
      </c>
      <c r="D13833" t="str">
        <f>"11"</f>
        <v>11</v>
      </c>
      <c r="E13833" t="str">
        <f>"1-277-11"</f>
        <v>1-277-11</v>
      </c>
      <c r="F13833" t="s">
        <v>65</v>
      </c>
      <c r="G13833" t="s">
        <v>66</v>
      </c>
      <c r="H13833" t="s">
        <v>67</v>
      </c>
      <c r="S13833">
        <v>1</v>
      </c>
      <c r="T13833">
        <v>0</v>
      </c>
      <c r="U13833">
        <v>0</v>
      </c>
      <c r="V13833">
        <v>0</v>
      </c>
      <c r="W13833">
        <v>1</v>
      </c>
      <c r="X13833">
        <v>0</v>
      </c>
      <c r="Y13833">
        <v>1</v>
      </c>
      <c r="Z13833">
        <v>0</v>
      </c>
      <c r="AA13833">
        <v>1</v>
      </c>
      <c r="AB13833">
        <v>0</v>
      </c>
      <c r="AC13833">
        <v>0</v>
      </c>
      <c r="AD13833">
        <v>1</v>
      </c>
      <c r="AE13833">
        <v>1</v>
      </c>
      <c r="AF13833">
        <v>1</v>
      </c>
      <c r="AG13833">
        <v>1</v>
      </c>
      <c r="AH13833">
        <v>1</v>
      </c>
      <c r="AI13833">
        <v>1</v>
      </c>
      <c r="AJ13833">
        <v>1</v>
      </c>
      <c r="AK13833">
        <v>1</v>
      </c>
      <c r="AL13833">
        <v>1</v>
      </c>
      <c r="AM13833">
        <v>1</v>
      </c>
    </row>
    <row r="13834" spans="1:39" x14ac:dyDescent="0.2">
      <c r="A13834" t="str">
        <f>"13830"</f>
        <v>13830</v>
      </c>
      <c r="B13834" t="str">
        <f t="shared" si="769"/>
        <v>1</v>
      </c>
      <c r="C13834" t="str">
        <f t="shared" si="768"/>
        <v>277</v>
      </c>
      <c r="D13834" t="str">
        <f>"40"</f>
        <v>40</v>
      </c>
      <c r="E13834" t="str">
        <f>"1-277-40"</f>
        <v>1-277-40</v>
      </c>
      <c r="F13834" t="s">
        <v>65</v>
      </c>
      <c r="G13834" t="s">
        <v>66</v>
      </c>
      <c r="H13834" t="s">
        <v>67</v>
      </c>
      <c r="S13834">
        <v>0</v>
      </c>
      <c r="T13834">
        <v>1</v>
      </c>
      <c r="U13834">
        <v>0</v>
      </c>
      <c r="V13834">
        <v>0</v>
      </c>
      <c r="W13834">
        <v>1</v>
      </c>
      <c r="X13834">
        <v>0</v>
      </c>
      <c r="Y13834">
        <v>1</v>
      </c>
      <c r="Z13834">
        <v>0</v>
      </c>
      <c r="AA13834">
        <v>1</v>
      </c>
      <c r="AB13834">
        <v>0</v>
      </c>
      <c r="AC13834">
        <v>0</v>
      </c>
      <c r="AD13834">
        <v>1</v>
      </c>
      <c r="AE13834">
        <v>1</v>
      </c>
      <c r="AF13834">
        <v>1</v>
      </c>
      <c r="AG13834">
        <v>1</v>
      </c>
      <c r="AH13834">
        <v>1</v>
      </c>
      <c r="AI13834">
        <v>1</v>
      </c>
      <c r="AJ13834">
        <v>1</v>
      </c>
      <c r="AK13834">
        <v>1</v>
      </c>
      <c r="AL13834">
        <v>1</v>
      </c>
      <c r="AM13834">
        <v>1</v>
      </c>
    </row>
    <row r="13835" spans="1:39" x14ac:dyDescent="0.2">
      <c r="A13835" t="str">
        <f>"13831"</f>
        <v>13831</v>
      </c>
      <c r="B13835" t="str">
        <f t="shared" si="769"/>
        <v>1</v>
      </c>
      <c r="C13835" t="str">
        <f t="shared" si="768"/>
        <v>277</v>
      </c>
      <c r="D13835" t="str">
        <f>"22"</f>
        <v>22</v>
      </c>
      <c r="E13835" t="str">
        <f>"1-277-22"</f>
        <v>1-277-22</v>
      </c>
      <c r="F13835" t="s">
        <v>65</v>
      </c>
      <c r="G13835" t="s">
        <v>66</v>
      </c>
      <c r="H13835" t="s">
        <v>67</v>
      </c>
      <c r="S13835">
        <v>1</v>
      </c>
      <c r="T13835">
        <v>0</v>
      </c>
      <c r="U13835">
        <v>0</v>
      </c>
      <c r="V13835">
        <v>0</v>
      </c>
      <c r="W13835">
        <v>1</v>
      </c>
      <c r="X13835">
        <v>0</v>
      </c>
      <c r="Y13835">
        <v>0</v>
      </c>
      <c r="Z13835">
        <v>1</v>
      </c>
      <c r="AA13835">
        <v>0</v>
      </c>
      <c r="AB13835">
        <v>0</v>
      </c>
      <c r="AC13835">
        <v>1</v>
      </c>
      <c r="AD13835">
        <v>1</v>
      </c>
      <c r="AE13835">
        <v>1</v>
      </c>
      <c r="AF13835">
        <v>1</v>
      </c>
      <c r="AG13835">
        <v>1</v>
      </c>
      <c r="AH13835">
        <v>1</v>
      </c>
      <c r="AI13835">
        <v>1</v>
      </c>
      <c r="AJ13835">
        <v>1</v>
      </c>
      <c r="AK13835">
        <v>1</v>
      </c>
      <c r="AL13835">
        <v>1</v>
      </c>
      <c r="AM13835">
        <v>1</v>
      </c>
    </row>
    <row r="13836" spans="1:39" x14ac:dyDescent="0.2">
      <c r="A13836" t="str">
        <f>"13832"</f>
        <v>13832</v>
      </c>
      <c r="B13836" t="str">
        <f t="shared" si="769"/>
        <v>1</v>
      </c>
      <c r="C13836" t="str">
        <f t="shared" si="768"/>
        <v>277</v>
      </c>
      <c r="D13836" t="str">
        <f>"4"</f>
        <v>4</v>
      </c>
      <c r="E13836" t="str">
        <f>"1-277-4"</f>
        <v>1-277-4</v>
      </c>
      <c r="F13836" t="s">
        <v>65</v>
      </c>
      <c r="G13836" t="s">
        <v>66</v>
      </c>
      <c r="H13836" t="s">
        <v>68</v>
      </c>
      <c r="I13836">
        <v>1</v>
      </c>
      <c r="J13836">
        <v>0</v>
      </c>
      <c r="K13836">
        <v>1</v>
      </c>
      <c r="L13836">
        <v>0</v>
      </c>
      <c r="M13836">
        <v>1</v>
      </c>
      <c r="N13836">
        <v>1</v>
      </c>
      <c r="O13836">
        <v>1</v>
      </c>
      <c r="P13836">
        <v>1</v>
      </c>
      <c r="Q13836">
        <v>1</v>
      </c>
      <c r="R13836">
        <v>1</v>
      </c>
    </row>
    <row r="13837" spans="1:39" x14ac:dyDescent="0.2">
      <c r="A13837" t="str">
        <f>"13833"</f>
        <v>13833</v>
      </c>
      <c r="B13837" t="str">
        <f t="shared" si="769"/>
        <v>1</v>
      </c>
      <c r="C13837" t="str">
        <f t="shared" ref="C13837:C13854" si="770">"277"</f>
        <v>277</v>
      </c>
      <c r="D13837" t="str">
        <f>"41"</f>
        <v>41</v>
      </c>
      <c r="E13837" t="str">
        <f>"1-277-41"</f>
        <v>1-277-41</v>
      </c>
      <c r="F13837" t="s">
        <v>65</v>
      </c>
      <c r="G13837" t="s">
        <v>66</v>
      </c>
      <c r="H13837" t="s">
        <v>67</v>
      </c>
      <c r="S13837">
        <v>0</v>
      </c>
      <c r="T13837">
        <v>1</v>
      </c>
      <c r="U13837">
        <v>0</v>
      </c>
      <c r="V13837">
        <v>0</v>
      </c>
      <c r="W13837">
        <v>1</v>
      </c>
      <c r="X13837">
        <v>0</v>
      </c>
      <c r="Y13837">
        <v>0</v>
      </c>
      <c r="Z13837">
        <v>1</v>
      </c>
      <c r="AA13837">
        <v>1</v>
      </c>
      <c r="AB13837">
        <v>0</v>
      </c>
      <c r="AC13837">
        <v>0</v>
      </c>
      <c r="AD13837">
        <v>1</v>
      </c>
      <c r="AE13837">
        <v>1</v>
      </c>
      <c r="AF13837">
        <v>1</v>
      </c>
      <c r="AG13837">
        <v>1</v>
      </c>
      <c r="AH13837">
        <v>1</v>
      </c>
      <c r="AI13837">
        <v>1</v>
      </c>
      <c r="AJ13837">
        <v>1</v>
      </c>
      <c r="AK13837">
        <v>1</v>
      </c>
      <c r="AL13837">
        <v>1</v>
      </c>
      <c r="AM13837">
        <v>1</v>
      </c>
    </row>
    <row r="13838" spans="1:39" x14ac:dyDescent="0.2">
      <c r="A13838" t="str">
        <f>"13834"</f>
        <v>13834</v>
      </c>
      <c r="B13838" t="str">
        <f t="shared" si="769"/>
        <v>1</v>
      </c>
      <c r="C13838" t="str">
        <f t="shared" si="770"/>
        <v>277</v>
      </c>
      <c r="D13838" t="str">
        <f>"23"</f>
        <v>23</v>
      </c>
      <c r="E13838" t="str">
        <f>"1-277-23"</f>
        <v>1-277-23</v>
      </c>
      <c r="F13838" t="s">
        <v>65</v>
      </c>
      <c r="G13838" t="s">
        <v>66</v>
      </c>
      <c r="H13838" t="s">
        <v>67</v>
      </c>
      <c r="S13838">
        <v>1</v>
      </c>
      <c r="T13838">
        <v>0</v>
      </c>
      <c r="U13838">
        <v>0</v>
      </c>
      <c r="V13838">
        <v>0</v>
      </c>
      <c r="W13838">
        <v>1</v>
      </c>
      <c r="X13838">
        <v>0</v>
      </c>
      <c r="Y13838">
        <v>1</v>
      </c>
      <c r="Z13838">
        <v>0</v>
      </c>
      <c r="AA13838">
        <v>0</v>
      </c>
      <c r="AB13838">
        <v>1</v>
      </c>
      <c r="AC13838">
        <v>0</v>
      </c>
      <c r="AD13838">
        <v>1</v>
      </c>
      <c r="AE13838">
        <v>1</v>
      </c>
      <c r="AF13838">
        <v>1</v>
      </c>
      <c r="AG13838">
        <v>1</v>
      </c>
      <c r="AH13838">
        <v>1</v>
      </c>
      <c r="AI13838">
        <v>1</v>
      </c>
      <c r="AJ13838">
        <v>1</v>
      </c>
      <c r="AK13838">
        <v>1</v>
      </c>
      <c r="AL13838">
        <v>1</v>
      </c>
      <c r="AM13838">
        <v>1</v>
      </c>
    </row>
    <row r="13839" spans="1:39" x14ac:dyDescent="0.2">
      <c r="A13839" t="str">
        <f>"13835"</f>
        <v>13835</v>
      </c>
      <c r="B13839" t="str">
        <f t="shared" si="769"/>
        <v>1</v>
      </c>
      <c r="C13839" t="str">
        <f t="shared" si="770"/>
        <v>277</v>
      </c>
      <c r="D13839" t="str">
        <f>"5"</f>
        <v>5</v>
      </c>
      <c r="E13839" t="str">
        <f>"1-277-5"</f>
        <v>1-277-5</v>
      </c>
      <c r="F13839" t="s">
        <v>65</v>
      </c>
      <c r="G13839" t="s">
        <v>66</v>
      </c>
      <c r="H13839" t="s">
        <v>68</v>
      </c>
      <c r="I13839">
        <v>1</v>
      </c>
      <c r="J13839">
        <v>0</v>
      </c>
      <c r="K13839">
        <v>1</v>
      </c>
      <c r="L13839">
        <v>0</v>
      </c>
      <c r="M13839">
        <v>1</v>
      </c>
      <c r="N13839">
        <v>1</v>
      </c>
      <c r="O13839">
        <v>1</v>
      </c>
      <c r="P13839">
        <v>1</v>
      </c>
      <c r="Q13839">
        <v>1</v>
      </c>
      <c r="R13839">
        <v>1</v>
      </c>
    </row>
    <row r="13840" spans="1:39" x14ac:dyDescent="0.2">
      <c r="A13840" t="str">
        <f>"13836"</f>
        <v>13836</v>
      </c>
      <c r="B13840" t="str">
        <f t="shared" si="769"/>
        <v>1</v>
      </c>
      <c r="C13840" t="str">
        <f t="shared" si="770"/>
        <v>277</v>
      </c>
      <c r="D13840" t="str">
        <f>"42"</f>
        <v>42</v>
      </c>
      <c r="E13840" t="str">
        <f>"1-277-42"</f>
        <v>1-277-42</v>
      </c>
      <c r="F13840" t="s">
        <v>65</v>
      </c>
      <c r="G13840" t="s">
        <v>66</v>
      </c>
      <c r="H13840" t="s">
        <v>67</v>
      </c>
      <c r="S13840">
        <v>1</v>
      </c>
      <c r="T13840">
        <v>0</v>
      </c>
      <c r="U13840">
        <v>0</v>
      </c>
      <c r="V13840">
        <v>0</v>
      </c>
      <c r="W13840">
        <v>1</v>
      </c>
      <c r="X13840">
        <v>0</v>
      </c>
      <c r="Y13840">
        <v>0</v>
      </c>
      <c r="Z13840">
        <v>1</v>
      </c>
      <c r="AA13840">
        <v>0</v>
      </c>
      <c r="AB13840">
        <v>1</v>
      </c>
      <c r="AC13840">
        <v>0</v>
      </c>
      <c r="AD13840">
        <v>1</v>
      </c>
      <c r="AE13840">
        <v>1</v>
      </c>
      <c r="AF13840">
        <v>1</v>
      </c>
      <c r="AG13840">
        <v>1</v>
      </c>
      <c r="AH13840">
        <v>1</v>
      </c>
      <c r="AI13840">
        <v>1</v>
      </c>
      <c r="AJ13840">
        <v>1</v>
      </c>
      <c r="AK13840">
        <v>1</v>
      </c>
      <c r="AL13840">
        <v>1</v>
      </c>
      <c r="AM13840">
        <v>1</v>
      </c>
    </row>
    <row r="13841" spans="1:39" x14ac:dyDescent="0.2">
      <c r="A13841" t="str">
        <f>"13837"</f>
        <v>13837</v>
      </c>
      <c r="B13841" t="str">
        <f t="shared" si="769"/>
        <v>1</v>
      </c>
      <c r="C13841" t="str">
        <f t="shared" si="770"/>
        <v>277</v>
      </c>
      <c r="D13841" t="str">
        <f>"24"</f>
        <v>24</v>
      </c>
      <c r="E13841" t="str">
        <f>"1-277-24"</f>
        <v>1-277-24</v>
      </c>
      <c r="F13841" t="s">
        <v>65</v>
      </c>
      <c r="G13841" t="s">
        <v>66</v>
      </c>
      <c r="H13841" t="s">
        <v>67</v>
      </c>
      <c r="S13841">
        <v>0</v>
      </c>
      <c r="T13841">
        <v>0</v>
      </c>
      <c r="U13841">
        <v>0</v>
      </c>
      <c r="V13841">
        <v>0</v>
      </c>
      <c r="W13841">
        <v>0</v>
      </c>
      <c r="X13841">
        <v>1</v>
      </c>
      <c r="Y13841">
        <v>0</v>
      </c>
      <c r="Z13841">
        <v>0</v>
      </c>
      <c r="AA13841">
        <v>0</v>
      </c>
      <c r="AB13841">
        <v>0</v>
      </c>
      <c r="AC13841">
        <v>0</v>
      </c>
      <c r="AD13841">
        <v>0</v>
      </c>
      <c r="AE13841">
        <v>0</v>
      </c>
      <c r="AF13841">
        <v>0</v>
      </c>
      <c r="AG13841">
        <v>0</v>
      </c>
      <c r="AH13841">
        <v>0</v>
      </c>
      <c r="AI13841">
        <v>0</v>
      </c>
      <c r="AJ13841">
        <v>0</v>
      </c>
      <c r="AK13841">
        <v>0</v>
      </c>
      <c r="AL13841">
        <v>1</v>
      </c>
      <c r="AM13841">
        <v>0</v>
      </c>
    </row>
    <row r="13842" spans="1:39" x14ac:dyDescent="0.2">
      <c r="A13842" t="str">
        <f>"13838"</f>
        <v>13838</v>
      </c>
      <c r="B13842" t="str">
        <f t="shared" si="769"/>
        <v>1</v>
      </c>
      <c r="C13842" t="str">
        <f t="shared" si="770"/>
        <v>277</v>
      </c>
      <c r="D13842" t="str">
        <f>"6"</f>
        <v>6</v>
      </c>
      <c r="E13842" t="str">
        <f>"1-277-6"</f>
        <v>1-277-6</v>
      </c>
      <c r="F13842" t="s">
        <v>65</v>
      </c>
      <c r="G13842" t="s">
        <v>66</v>
      </c>
      <c r="H13842" t="s">
        <v>68</v>
      </c>
      <c r="I13842">
        <v>1</v>
      </c>
      <c r="J13842">
        <v>1</v>
      </c>
      <c r="K13842">
        <v>0</v>
      </c>
      <c r="L13842">
        <v>0</v>
      </c>
      <c r="M13842">
        <v>1</v>
      </c>
      <c r="N13842">
        <v>1</v>
      </c>
      <c r="O13842">
        <v>1</v>
      </c>
      <c r="P13842">
        <v>1</v>
      </c>
      <c r="Q13842">
        <v>1</v>
      </c>
      <c r="R13842">
        <v>1</v>
      </c>
    </row>
    <row r="13843" spans="1:39" x14ac:dyDescent="0.2">
      <c r="A13843" t="str">
        <f>"13839"</f>
        <v>13839</v>
      </c>
      <c r="B13843" t="str">
        <f t="shared" si="769"/>
        <v>1</v>
      </c>
      <c r="C13843" t="str">
        <f t="shared" si="770"/>
        <v>277</v>
      </c>
      <c r="D13843" t="str">
        <f>"43"</f>
        <v>43</v>
      </c>
      <c r="E13843" t="str">
        <f>"1-277-43"</f>
        <v>1-277-43</v>
      </c>
      <c r="F13843" t="s">
        <v>65</v>
      </c>
      <c r="G13843" t="s">
        <v>66</v>
      </c>
      <c r="H13843" t="s">
        <v>67</v>
      </c>
      <c r="S13843">
        <v>0</v>
      </c>
      <c r="T13843">
        <v>0</v>
      </c>
      <c r="U13843">
        <v>0</v>
      </c>
      <c r="V13843">
        <v>0</v>
      </c>
      <c r="W13843">
        <v>1</v>
      </c>
      <c r="X13843">
        <v>0</v>
      </c>
      <c r="Y13843">
        <v>0</v>
      </c>
      <c r="Z13843">
        <v>0</v>
      </c>
      <c r="AA13843">
        <v>1</v>
      </c>
      <c r="AB13843">
        <v>0</v>
      </c>
      <c r="AC13843">
        <v>0</v>
      </c>
      <c r="AD13843">
        <v>0</v>
      </c>
      <c r="AE13843">
        <v>0</v>
      </c>
      <c r="AF13843">
        <v>0</v>
      </c>
      <c r="AG13843">
        <v>0</v>
      </c>
      <c r="AH13843">
        <v>0</v>
      </c>
      <c r="AI13843">
        <v>0</v>
      </c>
      <c r="AJ13843">
        <v>0</v>
      </c>
      <c r="AK13843">
        <v>0</v>
      </c>
      <c r="AL13843">
        <v>0</v>
      </c>
      <c r="AM13843">
        <v>0</v>
      </c>
    </row>
    <row r="13844" spans="1:39" x14ac:dyDescent="0.2">
      <c r="A13844" t="str">
        <f>"13840"</f>
        <v>13840</v>
      </c>
      <c r="B13844" t="str">
        <f t="shared" si="769"/>
        <v>1</v>
      </c>
      <c r="C13844" t="str">
        <f t="shared" si="770"/>
        <v>277</v>
      </c>
      <c r="D13844" t="str">
        <f>"26"</f>
        <v>26</v>
      </c>
      <c r="E13844" t="str">
        <f>"1-277-26"</f>
        <v>1-277-26</v>
      </c>
      <c r="F13844" t="s">
        <v>65</v>
      </c>
      <c r="G13844" t="s">
        <v>66</v>
      </c>
      <c r="H13844" t="s">
        <v>67</v>
      </c>
      <c r="S13844">
        <v>1</v>
      </c>
      <c r="T13844">
        <v>0</v>
      </c>
      <c r="U13844">
        <v>0</v>
      </c>
      <c r="V13844">
        <v>0</v>
      </c>
      <c r="W13844">
        <v>1</v>
      </c>
      <c r="X13844">
        <v>0</v>
      </c>
      <c r="Y13844">
        <v>1</v>
      </c>
      <c r="Z13844">
        <v>0</v>
      </c>
      <c r="AA13844">
        <v>1</v>
      </c>
      <c r="AB13844">
        <v>0</v>
      </c>
      <c r="AC13844">
        <v>0</v>
      </c>
      <c r="AD13844">
        <v>0</v>
      </c>
      <c r="AE13844">
        <v>0</v>
      </c>
      <c r="AF13844">
        <v>0</v>
      </c>
      <c r="AG13844">
        <v>0</v>
      </c>
      <c r="AH13844">
        <v>1</v>
      </c>
      <c r="AI13844">
        <v>0</v>
      </c>
      <c r="AJ13844">
        <v>0</v>
      </c>
      <c r="AK13844">
        <v>0</v>
      </c>
      <c r="AL13844">
        <v>0</v>
      </c>
      <c r="AM13844">
        <v>0</v>
      </c>
    </row>
    <row r="13845" spans="1:39" x14ac:dyDescent="0.2">
      <c r="A13845" t="str">
        <f>"13841"</f>
        <v>13841</v>
      </c>
      <c r="B13845" t="str">
        <f t="shared" si="769"/>
        <v>1</v>
      </c>
      <c r="C13845" t="str">
        <f t="shared" si="770"/>
        <v>277</v>
      </c>
      <c r="D13845" t="str">
        <f>"12"</f>
        <v>12</v>
      </c>
      <c r="E13845" t="str">
        <f>"1-277-12"</f>
        <v>1-277-12</v>
      </c>
      <c r="F13845" t="s">
        <v>65</v>
      </c>
      <c r="G13845" t="s">
        <v>66</v>
      </c>
      <c r="H13845" t="s">
        <v>67</v>
      </c>
      <c r="S13845">
        <v>0</v>
      </c>
      <c r="T13845">
        <v>1</v>
      </c>
      <c r="U13845">
        <v>0</v>
      </c>
      <c r="V13845">
        <v>0</v>
      </c>
      <c r="W13845">
        <v>1</v>
      </c>
      <c r="X13845">
        <v>0</v>
      </c>
      <c r="Y13845">
        <v>0</v>
      </c>
      <c r="Z13845">
        <v>1</v>
      </c>
      <c r="AA13845">
        <v>0</v>
      </c>
      <c r="AB13845">
        <v>1</v>
      </c>
      <c r="AC13845">
        <v>0</v>
      </c>
      <c r="AD13845">
        <v>0</v>
      </c>
      <c r="AE13845">
        <v>0</v>
      </c>
      <c r="AF13845">
        <v>0</v>
      </c>
      <c r="AG13845">
        <v>0</v>
      </c>
      <c r="AH13845">
        <v>0</v>
      </c>
      <c r="AI13845">
        <v>0</v>
      </c>
      <c r="AJ13845">
        <v>0</v>
      </c>
      <c r="AK13845">
        <v>0</v>
      </c>
      <c r="AL13845">
        <v>0</v>
      </c>
      <c r="AM13845">
        <v>0</v>
      </c>
    </row>
    <row r="13846" spans="1:39" x14ac:dyDescent="0.2">
      <c r="A13846" t="str">
        <f>"13842"</f>
        <v>13842</v>
      </c>
      <c r="B13846" t="str">
        <f t="shared" si="769"/>
        <v>1</v>
      </c>
      <c r="C13846" t="str">
        <f t="shared" si="770"/>
        <v>277</v>
      </c>
      <c r="D13846" t="str">
        <f>"45"</f>
        <v>45</v>
      </c>
      <c r="E13846" t="str">
        <f>"1-277-45"</f>
        <v>1-277-45</v>
      </c>
      <c r="F13846" t="s">
        <v>65</v>
      </c>
      <c r="G13846" t="s">
        <v>66</v>
      </c>
      <c r="H13846" t="s">
        <v>67</v>
      </c>
      <c r="S13846">
        <v>0</v>
      </c>
      <c r="T13846">
        <v>0</v>
      </c>
      <c r="U13846">
        <v>0</v>
      </c>
      <c r="V13846">
        <v>0</v>
      </c>
      <c r="W13846">
        <v>0</v>
      </c>
      <c r="X13846">
        <v>1</v>
      </c>
      <c r="Y13846">
        <v>0</v>
      </c>
      <c r="Z13846">
        <v>0</v>
      </c>
      <c r="AA13846">
        <v>0</v>
      </c>
      <c r="AB13846">
        <v>0</v>
      </c>
      <c r="AC13846">
        <v>0</v>
      </c>
      <c r="AD13846">
        <v>0</v>
      </c>
      <c r="AE13846">
        <v>0</v>
      </c>
      <c r="AF13846">
        <v>0</v>
      </c>
      <c r="AG13846">
        <v>0</v>
      </c>
      <c r="AH13846">
        <v>0</v>
      </c>
      <c r="AI13846">
        <v>0</v>
      </c>
      <c r="AJ13846">
        <v>0</v>
      </c>
      <c r="AK13846">
        <v>0</v>
      </c>
      <c r="AL13846">
        <v>0</v>
      </c>
      <c r="AM13846">
        <v>0</v>
      </c>
    </row>
    <row r="13847" spans="1:39" x14ac:dyDescent="0.2">
      <c r="A13847" t="str">
        <f>"13843"</f>
        <v>13843</v>
      </c>
      <c r="B13847" t="str">
        <f t="shared" si="769"/>
        <v>1</v>
      </c>
      <c r="C13847" t="str">
        <f t="shared" si="770"/>
        <v>277</v>
      </c>
      <c r="D13847" t="str">
        <f>"27"</f>
        <v>27</v>
      </c>
      <c r="E13847" t="str">
        <f>"1-277-27"</f>
        <v>1-277-27</v>
      </c>
      <c r="F13847" t="s">
        <v>65</v>
      </c>
      <c r="G13847" t="s">
        <v>66</v>
      </c>
      <c r="H13847" t="s">
        <v>67</v>
      </c>
      <c r="S13847">
        <v>0</v>
      </c>
      <c r="T13847">
        <v>1</v>
      </c>
      <c r="U13847">
        <v>0</v>
      </c>
      <c r="V13847">
        <v>0</v>
      </c>
      <c r="W13847">
        <v>1</v>
      </c>
      <c r="X13847">
        <v>0</v>
      </c>
      <c r="Y13847">
        <v>0</v>
      </c>
      <c r="Z13847">
        <v>1</v>
      </c>
      <c r="AA13847">
        <v>1</v>
      </c>
      <c r="AB13847">
        <v>0</v>
      </c>
      <c r="AC13847">
        <v>0</v>
      </c>
      <c r="AD13847">
        <v>1</v>
      </c>
      <c r="AE13847">
        <v>1</v>
      </c>
      <c r="AF13847">
        <v>1</v>
      </c>
      <c r="AG13847">
        <v>1</v>
      </c>
      <c r="AH13847">
        <v>1</v>
      </c>
      <c r="AI13847">
        <v>1</v>
      </c>
      <c r="AJ13847">
        <v>1</v>
      </c>
      <c r="AK13847">
        <v>1</v>
      </c>
      <c r="AL13847">
        <v>1</v>
      </c>
      <c r="AM13847">
        <v>1</v>
      </c>
    </row>
    <row r="13848" spans="1:39" x14ac:dyDescent="0.2">
      <c r="A13848" t="str">
        <f>"13844"</f>
        <v>13844</v>
      </c>
      <c r="B13848" t="str">
        <f t="shared" si="769"/>
        <v>1</v>
      </c>
      <c r="C13848" t="str">
        <f t="shared" si="770"/>
        <v>277</v>
      </c>
      <c r="D13848" t="str">
        <f>"10"</f>
        <v>10</v>
      </c>
      <c r="E13848" t="str">
        <f>"1-277-10"</f>
        <v>1-277-10</v>
      </c>
      <c r="F13848" t="s">
        <v>65</v>
      </c>
      <c r="G13848" t="s">
        <v>66</v>
      </c>
      <c r="H13848" t="s">
        <v>67</v>
      </c>
      <c r="S13848">
        <v>0</v>
      </c>
      <c r="T13848">
        <v>0</v>
      </c>
      <c r="U13848">
        <v>0</v>
      </c>
      <c r="V13848">
        <v>0</v>
      </c>
      <c r="W13848">
        <v>0</v>
      </c>
      <c r="X13848">
        <v>1</v>
      </c>
      <c r="Y13848">
        <v>1</v>
      </c>
      <c r="Z13848">
        <v>0</v>
      </c>
      <c r="AA13848">
        <v>0</v>
      </c>
      <c r="AB13848">
        <v>0</v>
      </c>
      <c r="AC13848">
        <v>0</v>
      </c>
      <c r="AD13848">
        <v>0</v>
      </c>
      <c r="AE13848">
        <v>0</v>
      </c>
      <c r="AF13848">
        <v>0</v>
      </c>
      <c r="AG13848">
        <v>0</v>
      </c>
      <c r="AH13848">
        <v>0</v>
      </c>
      <c r="AI13848">
        <v>0</v>
      </c>
      <c r="AJ13848">
        <v>0</v>
      </c>
      <c r="AK13848">
        <v>0</v>
      </c>
      <c r="AL13848">
        <v>0</v>
      </c>
      <c r="AM13848">
        <v>0</v>
      </c>
    </row>
    <row r="13849" spans="1:39" x14ac:dyDescent="0.2">
      <c r="A13849" t="str">
        <f>"13845"</f>
        <v>13845</v>
      </c>
      <c r="B13849" t="str">
        <f t="shared" si="769"/>
        <v>1</v>
      </c>
      <c r="C13849" t="str">
        <f t="shared" si="770"/>
        <v>277</v>
      </c>
      <c r="D13849" t="str">
        <f>"44"</f>
        <v>44</v>
      </c>
      <c r="E13849" t="str">
        <f>"1-277-44"</f>
        <v>1-277-44</v>
      </c>
      <c r="F13849" t="s">
        <v>65</v>
      </c>
      <c r="G13849" t="s">
        <v>66</v>
      </c>
      <c r="H13849" t="s">
        <v>67</v>
      </c>
      <c r="S13849">
        <v>0</v>
      </c>
      <c r="T13849">
        <v>0</v>
      </c>
      <c r="U13849">
        <v>0</v>
      </c>
      <c r="V13849">
        <v>0</v>
      </c>
      <c r="W13849">
        <v>0</v>
      </c>
      <c r="X13849">
        <v>1</v>
      </c>
      <c r="Y13849">
        <v>0</v>
      </c>
      <c r="Z13849">
        <v>0</v>
      </c>
      <c r="AA13849">
        <v>0</v>
      </c>
      <c r="AB13849">
        <v>0</v>
      </c>
      <c r="AC13849">
        <v>0</v>
      </c>
      <c r="AD13849">
        <v>0</v>
      </c>
      <c r="AE13849">
        <v>0</v>
      </c>
      <c r="AF13849">
        <v>0</v>
      </c>
      <c r="AG13849">
        <v>0</v>
      </c>
      <c r="AH13849">
        <v>0</v>
      </c>
      <c r="AI13849">
        <v>0</v>
      </c>
      <c r="AJ13849">
        <v>0</v>
      </c>
      <c r="AK13849">
        <v>0</v>
      </c>
      <c r="AL13849">
        <v>0</v>
      </c>
      <c r="AM13849">
        <v>0</v>
      </c>
    </row>
    <row r="13850" spans="1:39" x14ac:dyDescent="0.2">
      <c r="A13850" t="str">
        <f>"13846"</f>
        <v>13846</v>
      </c>
      <c r="B13850" t="str">
        <f t="shared" si="769"/>
        <v>1</v>
      </c>
      <c r="C13850" t="str">
        <f t="shared" si="770"/>
        <v>277</v>
      </c>
      <c r="D13850" t="str">
        <f>"28"</f>
        <v>28</v>
      </c>
      <c r="E13850" t="str">
        <f>"1-277-28"</f>
        <v>1-277-28</v>
      </c>
      <c r="F13850" t="s">
        <v>65</v>
      </c>
      <c r="G13850" t="s">
        <v>66</v>
      </c>
      <c r="H13850" t="s">
        <v>67</v>
      </c>
      <c r="S13850">
        <v>0</v>
      </c>
      <c r="T13850">
        <v>1</v>
      </c>
      <c r="U13850">
        <v>0</v>
      </c>
      <c r="V13850">
        <v>0</v>
      </c>
      <c r="W13850">
        <v>0</v>
      </c>
      <c r="X13850">
        <v>1</v>
      </c>
      <c r="Y13850">
        <v>0</v>
      </c>
      <c r="Z13850">
        <v>1</v>
      </c>
      <c r="AA13850">
        <v>0</v>
      </c>
      <c r="AB13850">
        <v>0</v>
      </c>
      <c r="AC13850">
        <v>1</v>
      </c>
      <c r="AD13850">
        <v>0</v>
      </c>
      <c r="AE13850">
        <v>0</v>
      </c>
      <c r="AF13850">
        <v>0</v>
      </c>
      <c r="AG13850">
        <v>0</v>
      </c>
      <c r="AH13850">
        <v>1</v>
      </c>
      <c r="AI13850">
        <v>1</v>
      </c>
      <c r="AJ13850">
        <v>1</v>
      </c>
      <c r="AK13850">
        <v>1</v>
      </c>
      <c r="AL13850">
        <v>1</v>
      </c>
      <c r="AM13850">
        <v>1</v>
      </c>
    </row>
    <row r="13851" spans="1:39" x14ac:dyDescent="0.2">
      <c r="A13851" t="str">
        <f>"13847"</f>
        <v>13847</v>
      </c>
      <c r="B13851" t="str">
        <f t="shared" si="769"/>
        <v>1</v>
      </c>
      <c r="C13851" t="str">
        <f t="shared" si="770"/>
        <v>277</v>
      </c>
      <c r="D13851" t="str">
        <f>"14"</f>
        <v>14</v>
      </c>
      <c r="E13851" t="str">
        <f>"1-277-14"</f>
        <v>1-277-14</v>
      </c>
      <c r="F13851" t="s">
        <v>65</v>
      </c>
      <c r="G13851" t="s">
        <v>66</v>
      </c>
      <c r="H13851" t="s">
        <v>67</v>
      </c>
      <c r="S13851">
        <v>0</v>
      </c>
      <c r="T13851">
        <v>1</v>
      </c>
      <c r="U13851">
        <v>0</v>
      </c>
      <c r="V13851">
        <v>0</v>
      </c>
      <c r="W13851">
        <v>0</v>
      </c>
      <c r="X13851">
        <v>1</v>
      </c>
      <c r="Y13851">
        <v>0</v>
      </c>
      <c r="Z13851">
        <v>1</v>
      </c>
      <c r="AA13851">
        <v>0</v>
      </c>
      <c r="AB13851">
        <v>0</v>
      </c>
      <c r="AC13851">
        <v>1</v>
      </c>
      <c r="AD13851">
        <v>0</v>
      </c>
      <c r="AE13851">
        <v>0</v>
      </c>
      <c r="AF13851">
        <v>0</v>
      </c>
      <c r="AG13851">
        <v>0</v>
      </c>
      <c r="AH13851">
        <v>0</v>
      </c>
      <c r="AI13851">
        <v>0</v>
      </c>
      <c r="AJ13851">
        <v>0</v>
      </c>
      <c r="AK13851">
        <v>0</v>
      </c>
      <c r="AL13851">
        <v>0</v>
      </c>
      <c r="AM13851">
        <v>0</v>
      </c>
    </row>
    <row r="13852" spans="1:39" x14ac:dyDescent="0.2">
      <c r="A13852" t="str">
        <f>"13848"</f>
        <v>13848</v>
      </c>
      <c r="B13852" t="str">
        <f t="shared" si="769"/>
        <v>1</v>
      </c>
      <c r="C13852" t="str">
        <f t="shared" si="770"/>
        <v>277</v>
      </c>
      <c r="D13852" t="str">
        <f>"48"</f>
        <v>48</v>
      </c>
      <c r="E13852" t="str">
        <f>"1-277-48"</f>
        <v>1-277-48</v>
      </c>
      <c r="F13852" t="s">
        <v>65</v>
      </c>
      <c r="G13852" t="s">
        <v>66</v>
      </c>
      <c r="H13852" t="s">
        <v>67</v>
      </c>
      <c r="S13852">
        <v>0</v>
      </c>
      <c r="T13852">
        <v>1</v>
      </c>
      <c r="U13852">
        <v>0</v>
      </c>
      <c r="V13852">
        <v>0</v>
      </c>
      <c r="W13852">
        <v>0</v>
      </c>
      <c r="X13852">
        <v>1</v>
      </c>
      <c r="Y13852">
        <v>0</v>
      </c>
      <c r="Z13852">
        <v>1</v>
      </c>
      <c r="AA13852">
        <v>0</v>
      </c>
      <c r="AB13852">
        <v>0</v>
      </c>
      <c r="AC13852">
        <v>1</v>
      </c>
      <c r="AD13852">
        <v>0</v>
      </c>
      <c r="AE13852">
        <v>0</v>
      </c>
      <c r="AF13852">
        <v>0</v>
      </c>
      <c r="AG13852">
        <v>0</v>
      </c>
      <c r="AH13852">
        <v>0</v>
      </c>
      <c r="AI13852">
        <v>0</v>
      </c>
      <c r="AJ13852">
        <v>0</v>
      </c>
      <c r="AK13852">
        <v>0</v>
      </c>
      <c r="AL13852">
        <v>0</v>
      </c>
      <c r="AM13852">
        <v>0</v>
      </c>
    </row>
    <row r="13853" spans="1:39" x14ac:dyDescent="0.2">
      <c r="A13853" t="str">
        <f>"13849"</f>
        <v>13849</v>
      </c>
      <c r="B13853" t="str">
        <f t="shared" si="769"/>
        <v>1</v>
      </c>
      <c r="C13853" t="str">
        <f t="shared" si="770"/>
        <v>277</v>
      </c>
      <c r="D13853" t="str">
        <f>"29"</f>
        <v>29</v>
      </c>
      <c r="E13853" t="str">
        <f>"1-277-29"</f>
        <v>1-277-29</v>
      </c>
      <c r="F13853" t="s">
        <v>65</v>
      </c>
      <c r="G13853" t="s">
        <v>66</v>
      </c>
      <c r="H13853" t="s">
        <v>67</v>
      </c>
      <c r="S13853">
        <v>0</v>
      </c>
      <c r="T13853">
        <v>1</v>
      </c>
      <c r="U13853">
        <v>0</v>
      </c>
      <c r="V13853">
        <v>0</v>
      </c>
      <c r="W13853">
        <v>1</v>
      </c>
      <c r="X13853">
        <v>0</v>
      </c>
      <c r="Y13853">
        <v>1</v>
      </c>
      <c r="Z13853">
        <v>0</v>
      </c>
      <c r="AA13853">
        <v>0</v>
      </c>
      <c r="AB13853">
        <v>1</v>
      </c>
      <c r="AC13853">
        <v>0</v>
      </c>
      <c r="AD13853">
        <v>1</v>
      </c>
      <c r="AE13853">
        <v>1</v>
      </c>
      <c r="AF13853">
        <v>1</v>
      </c>
      <c r="AG13853">
        <v>1</v>
      </c>
      <c r="AH13853">
        <v>1</v>
      </c>
      <c r="AI13853">
        <v>1</v>
      </c>
      <c r="AJ13853">
        <v>1</v>
      </c>
      <c r="AK13853">
        <v>1</v>
      </c>
      <c r="AL13853">
        <v>1</v>
      </c>
      <c r="AM13853">
        <v>0</v>
      </c>
    </row>
    <row r="13854" spans="1:39" x14ac:dyDescent="0.2">
      <c r="A13854" t="str">
        <f>"13850"</f>
        <v>13850</v>
      </c>
      <c r="B13854" t="str">
        <f t="shared" si="769"/>
        <v>1</v>
      </c>
      <c r="C13854" t="str">
        <f t="shared" si="770"/>
        <v>277</v>
      </c>
      <c r="D13854" t="str">
        <f>"13"</f>
        <v>13</v>
      </c>
      <c r="E13854" t="str">
        <f>"1-277-13"</f>
        <v>1-277-13</v>
      </c>
      <c r="F13854" t="s">
        <v>65</v>
      </c>
      <c r="G13854" t="s">
        <v>66</v>
      </c>
      <c r="H13854" t="s">
        <v>67</v>
      </c>
      <c r="S13854">
        <v>1</v>
      </c>
      <c r="T13854">
        <v>0</v>
      </c>
      <c r="U13854">
        <v>0</v>
      </c>
      <c r="V13854">
        <v>0</v>
      </c>
      <c r="W13854">
        <v>1</v>
      </c>
      <c r="X13854">
        <v>0</v>
      </c>
      <c r="Y13854">
        <v>0</v>
      </c>
      <c r="Z13854">
        <v>1</v>
      </c>
      <c r="AA13854">
        <v>0</v>
      </c>
      <c r="AB13854">
        <v>0</v>
      </c>
      <c r="AC13854">
        <v>1</v>
      </c>
      <c r="AD13854">
        <v>1</v>
      </c>
      <c r="AE13854">
        <v>1</v>
      </c>
      <c r="AF13854">
        <v>1</v>
      </c>
      <c r="AG13854">
        <v>1</v>
      </c>
      <c r="AH13854">
        <v>1</v>
      </c>
      <c r="AI13854">
        <v>1</v>
      </c>
      <c r="AJ13854">
        <v>1</v>
      </c>
      <c r="AK13854">
        <v>1</v>
      </c>
      <c r="AL13854">
        <v>1</v>
      </c>
      <c r="AM13854">
        <v>1</v>
      </c>
    </row>
    <row r="13855" spans="1:39" x14ac:dyDescent="0.2">
      <c r="A13855" t="str">
        <f>"13851"</f>
        <v>13851</v>
      </c>
      <c r="B13855" t="str">
        <f t="shared" si="769"/>
        <v>1</v>
      </c>
      <c r="C13855" t="str">
        <f t="shared" ref="C13855:C13886" si="771">"278"</f>
        <v>278</v>
      </c>
      <c r="D13855" t="str">
        <f>"34"</f>
        <v>34</v>
      </c>
      <c r="E13855" t="str">
        <f>"1-278-34"</f>
        <v>1-278-34</v>
      </c>
      <c r="F13855" t="s">
        <v>65</v>
      </c>
      <c r="G13855" t="s">
        <v>66</v>
      </c>
      <c r="H13855" t="s">
        <v>67</v>
      </c>
      <c r="S13855">
        <v>0</v>
      </c>
      <c r="T13855">
        <v>1</v>
      </c>
      <c r="U13855">
        <v>0</v>
      </c>
      <c r="V13855">
        <v>0</v>
      </c>
      <c r="W13855">
        <v>0</v>
      </c>
      <c r="X13855">
        <v>1</v>
      </c>
      <c r="Y13855">
        <v>0</v>
      </c>
      <c r="Z13855">
        <v>1</v>
      </c>
      <c r="AA13855">
        <v>1</v>
      </c>
      <c r="AB13855">
        <v>0</v>
      </c>
      <c r="AC13855">
        <v>0</v>
      </c>
      <c r="AD13855">
        <v>0</v>
      </c>
      <c r="AE13855">
        <v>0</v>
      </c>
      <c r="AF13855">
        <v>0</v>
      </c>
      <c r="AG13855">
        <v>0</v>
      </c>
      <c r="AH13855">
        <v>0</v>
      </c>
      <c r="AI13855">
        <v>0</v>
      </c>
      <c r="AJ13855">
        <v>0</v>
      </c>
      <c r="AK13855">
        <v>0</v>
      </c>
      <c r="AL13855">
        <v>0</v>
      </c>
      <c r="AM13855">
        <v>0</v>
      </c>
    </row>
    <row r="13856" spans="1:39" x14ac:dyDescent="0.2">
      <c r="A13856" t="str">
        <f>"13852"</f>
        <v>13852</v>
      </c>
      <c r="B13856" t="str">
        <f t="shared" si="769"/>
        <v>1</v>
      </c>
      <c r="C13856" t="str">
        <f t="shared" si="771"/>
        <v>278</v>
      </c>
      <c r="D13856" t="str">
        <f>"33"</f>
        <v>33</v>
      </c>
      <c r="E13856" t="str">
        <f>"1-278-33"</f>
        <v>1-278-33</v>
      </c>
      <c r="F13856" t="s">
        <v>65</v>
      </c>
      <c r="G13856" t="s">
        <v>66</v>
      </c>
      <c r="H13856" t="s">
        <v>67</v>
      </c>
      <c r="S13856">
        <v>1</v>
      </c>
      <c r="T13856">
        <v>0</v>
      </c>
      <c r="U13856">
        <v>0</v>
      </c>
      <c r="V13856">
        <v>0</v>
      </c>
      <c r="W13856">
        <v>1</v>
      </c>
      <c r="X13856">
        <v>0</v>
      </c>
      <c r="Y13856">
        <v>1</v>
      </c>
      <c r="Z13856">
        <v>0</v>
      </c>
      <c r="AA13856">
        <v>1</v>
      </c>
      <c r="AB13856">
        <v>0</v>
      </c>
      <c r="AC13856">
        <v>0</v>
      </c>
      <c r="AD13856">
        <v>0</v>
      </c>
      <c r="AE13856">
        <v>1</v>
      </c>
      <c r="AF13856">
        <v>1</v>
      </c>
      <c r="AG13856">
        <v>1</v>
      </c>
      <c r="AH13856">
        <v>1</v>
      </c>
      <c r="AI13856">
        <v>1</v>
      </c>
      <c r="AJ13856">
        <v>1</v>
      </c>
      <c r="AK13856">
        <v>1</v>
      </c>
      <c r="AL13856">
        <v>1</v>
      </c>
      <c r="AM13856">
        <v>1</v>
      </c>
    </row>
    <row r="13857" spans="1:39" x14ac:dyDescent="0.2">
      <c r="A13857" t="str">
        <f>"13853"</f>
        <v>13853</v>
      </c>
      <c r="B13857" t="str">
        <f t="shared" si="769"/>
        <v>1</v>
      </c>
      <c r="C13857" t="str">
        <f t="shared" si="771"/>
        <v>278</v>
      </c>
      <c r="D13857" t="str">
        <f>"24"</f>
        <v>24</v>
      </c>
      <c r="E13857" t="str">
        <f>"1-278-24"</f>
        <v>1-278-24</v>
      </c>
      <c r="F13857" t="s">
        <v>65</v>
      </c>
      <c r="G13857" t="s">
        <v>66</v>
      </c>
      <c r="H13857" t="s">
        <v>67</v>
      </c>
      <c r="S13857">
        <v>1</v>
      </c>
      <c r="T13857">
        <v>0</v>
      </c>
      <c r="U13857">
        <v>0</v>
      </c>
      <c r="V13857">
        <v>0</v>
      </c>
      <c r="W13857">
        <v>1</v>
      </c>
      <c r="X13857">
        <v>0</v>
      </c>
      <c r="Y13857">
        <v>0</v>
      </c>
      <c r="Z13857">
        <v>1</v>
      </c>
      <c r="AA13857">
        <v>0</v>
      </c>
      <c r="AB13857">
        <v>0</v>
      </c>
      <c r="AC13857">
        <v>0</v>
      </c>
      <c r="AD13857">
        <v>0</v>
      </c>
      <c r="AE13857">
        <v>0</v>
      </c>
      <c r="AF13857">
        <v>0</v>
      </c>
      <c r="AG13857">
        <v>0</v>
      </c>
      <c r="AH13857">
        <v>0</v>
      </c>
      <c r="AI13857">
        <v>0</v>
      </c>
      <c r="AJ13857">
        <v>0</v>
      </c>
      <c r="AK13857">
        <v>0</v>
      </c>
      <c r="AL13857">
        <v>0</v>
      </c>
      <c r="AM13857">
        <v>0</v>
      </c>
    </row>
    <row r="13858" spans="1:39" x14ac:dyDescent="0.2">
      <c r="A13858" t="str">
        <f>"13854"</f>
        <v>13854</v>
      </c>
      <c r="B13858" t="str">
        <f t="shared" si="769"/>
        <v>1</v>
      </c>
      <c r="C13858" t="str">
        <f t="shared" si="771"/>
        <v>278</v>
      </c>
      <c r="D13858" t="str">
        <f>"15"</f>
        <v>15</v>
      </c>
      <c r="E13858" t="str">
        <f>"1-278-15"</f>
        <v>1-278-15</v>
      </c>
      <c r="F13858" t="s">
        <v>65</v>
      </c>
      <c r="G13858" t="s">
        <v>66</v>
      </c>
      <c r="H13858" t="s">
        <v>68</v>
      </c>
      <c r="I13858">
        <v>0</v>
      </c>
      <c r="J13858">
        <v>0</v>
      </c>
      <c r="K13858">
        <v>0</v>
      </c>
      <c r="L13858">
        <v>0</v>
      </c>
      <c r="M13858">
        <v>1</v>
      </c>
      <c r="N13858">
        <v>0</v>
      </c>
      <c r="O13858">
        <v>0</v>
      </c>
      <c r="P13858">
        <v>1</v>
      </c>
      <c r="Q13858">
        <v>0</v>
      </c>
      <c r="R13858">
        <v>0</v>
      </c>
    </row>
    <row r="13859" spans="1:39" x14ac:dyDescent="0.2">
      <c r="A13859" t="str">
        <f>"13855"</f>
        <v>13855</v>
      </c>
      <c r="B13859" t="str">
        <f t="shared" si="769"/>
        <v>1</v>
      </c>
      <c r="C13859" t="str">
        <f t="shared" si="771"/>
        <v>278</v>
      </c>
      <c r="D13859" t="str">
        <f>"7"</f>
        <v>7</v>
      </c>
      <c r="E13859" t="str">
        <f>"1-278-7"</f>
        <v>1-278-7</v>
      </c>
      <c r="F13859" t="s">
        <v>65</v>
      </c>
      <c r="G13859" t="s">
        <v>66</v>
      </c>
      <c r="H13859" t="s">
        <v>67</v>
      </c>
      <c r="S13859">
        <v>1</v>
      </c>
      <c r="T13859">
        <v>0</v>
      </c>
      <c r="U13859">
        <v>0</v>
      </c>
      <c r="V13859">
        <v>0</v>
      </c>
      <c r="W13859">
        <v>1</v>
      </c>
      <c r="X13859">
        <v>0</v>
      </c>
      <c r="Y13859">
        <v>1</v>
      </c>
      <c r="Z13859">
        <v>0</v>
      </c>
      <c r="AA13859">
        <v>1</v>
      </c>
      <c r="AB13859">
        <v>0</v>
      </c>
      <c r="AC13859">
        <v>0</v>
      </c>
      <c r="AD13859">
        <v>0</v>
      </c>
      <c r="AE13859">
        <v>0</v>
      </c>
      <c r="AF13859">
        <v>0</v>
      </c>
      <c r="AG13859">
        <v>0</v>
      </c>
      <c r="AH13859">
        <v>0</v>
      </c>
      <c r="AI13859">
        <v>0</v>
      </c>
      <c r="AJ13859">
        <v>0</v>
      </c>
      <c r="AK13859">
        <v>0</v>
      </c>
      <c r="AL13859">
        <v>1</v>
      </c>
      <c r="AM13859">
        <v>0</v>
      </c>
    </row>
    <row r="13860" spans="1:39" x14ac:dyDescent="0.2">
      <c r="A13860" t="str">
        <f>"13856"</f>
        <v>13856</v>
      </c>
      <c r="B13860" t="str">
        <f t="shared" si="769"/>
        <v>1</v>
      </c>
      <c r="C13860" t="str">
        <f t="shared" si="771"/>
        <v>278</v>
      </c>
      <c r="D13860" t="str">
        <f>"36"</f>
        <v>36</v>
      </c>
      <c r="E13860" t="str">
        <f>"1-278-36"</f>
        <v>1-278-36</v>
      </c>
      <c r="F13860" t="s">
        <v>65</v>
      </c>
      <c r="G13860" t="s">
        <v>66</v>
      </c>
      <c r="H13860" t="s">
        <v>67</v>
      </c>
      <c r="S13860">
        <v>0</v>
      </c>
      <c r="T13860">
        <v>1</v>
      </c>
      <c r="U13860">
        <v>0</v>
      </c>
      <c r="V13860">
        <v>0</v>
      </c>
      <c r="W13860">
        <v>1</v>
      </c>
      <c r="X13860">
        <v>0</v>
      </c>
      <c r="Y13860">
        <v>1</v>
      </c>
      <c r="Z13860">
        <v>0</v>
      </c>
      <c r="AA13860">
        <v>1</v>
      </c>
      <c r="AB13860">
        <v>0</v>
      </c>
      <c r="AC13860">
        <v>0</v>
      </c>
      <c r="AD13860">
        <v>1</v>
      </c>
      <c r="AE13860">
        <v>1</v>
      </c>
      <c r="AF13860">
        <v>1</v>
      </c>
      <c r="AG13860">
        <v>1</v>
      </c>
      <c r="AH13860">
        <v>1</v>
      </c>
      <c r="AI13860">
        <v>1</v>
      </c>
      <c r="AJ13860">
        <v>1</v>
      </c>
      <c r="AK13860">
        <v>1</v>
      </c>
      <c r="AL13860">
        <v>1</v>
      </c>
      <c r="AM13860">
        <v>1</v>
      </c>
    </row>
    <row r="13861" spans="1:39" x14ac:dyDescent="0.2">
      <c r="A13861" t="str">
        <f>"13857"</f>
        <v>13857</v>
      </c>
      <c r="B13861" t="str">
        <f t="shared" si="769"/>
        <v>1</v>
      </c>
      <c r="C13861" t="str">
        <f t="shared" si="771"/>
        <v>278</v>
      </c>
      <c r="D13861" t="str">
        <f>"35"</f>
        <v>35</v>
      </c>
      <c r="E13861" t="str">
        <f>"1-278-35"</f>
        <v>1-278-35</v>
      </c>
      <c r="F13861" t="s">
        <v>65</v>
      </c>
      <c r="G13861" t="s">
        <v>66</v>
      </c>
      <c r="H13861" t="s">
        <v>67</v>
      </c>
      <c r="S13861">
        <v>1</v>
      </c>
      <c r="T13861">
        <v>0</v>
      </c>
      <c r="U13861">
        <v>0</v>
      </c>
      <c r="V13861">
        <v>0</v>
      </c>
      <c r="W13861">
        <v>1</v>
      </c>
      <c r="X13861">
        <v>0</v>
      </c>
      <c r="Y13861">
        <v>1</v>
      </c>
      <c r="Z13861">
        <v>0</v>
      </c>
      <c r="AA13861">
        <v>0</v>
      </c>
      <c r="AB13861">
        <v>0</v>
      </c>
      <c r="AC13861">
        <v>0</v>
      </c>
      <c r="AD13861">
        <v>0</v>
      </c>
      <c r="AE13861">
        <v>0</v>
      </c>
      <c r="AF13861">
        <v>0</v>
      </c>
      <c r="AG13861">
        <v>0</v>
      </c>
      <c r="AH13861">
        <v>0</v>
      </c>
      <c r="AI13861">
        <v>0</v>
      </c>
      <c r="AJ13861">
        <v>0</v>
      </c>
      <c r="AK13861">
        <v>0</v>
      </c>
      <c r="AL13861">
        <v>0</v>
      </c>
      <c r="AM13861">
        <v>0</v>
      </c>
    </row>
    <row r="13862" spans="1:39" x14ac:dyDescent="0.2">
      <c r="A13862" t="str">
        <f>"13858"</f>
        <v>13858</v>
      </c>
      <c r="B13862" t="str">
        <f t="shared" si="769"/>
        <v>1</v>
      </c>
      <c r="C13862" t="str">
        <f t="shared" si="771"/>
        <v>278</v>
      </c>
      <c r="D13862" t="str">
        <f>"25"</f>
        <v>25</v>
      </c>
      <c r="E13862" t="str">
        <f>"1-278-25"</f>
        <v>1-278-25</v>
      </c>
      <c r="F13862" t="s">
        <v>65</v>
      </c>
      <c r="G13862" t="s">
        <v>66</v>
      </c>
      <c r="H13862" t="s">
        <v>67</v>
      </c>
      <c r="S13862">
        <v>1</v>
      </c>
      <c r="T13862">
        <v>0</v>
      </c>
      <c r="U13862">
        <v>0</v>
      </c>
      <c r="V13862">
        <v>0</v>
      </c>
      <c r="W13862">
        <v>0</v>
      </c>
      <c r="X13862">
        <v>1</v>
      </c>
      <c r="Y13862">
        <v>1</v>
      </c>
      <c r="Z13862">
        <v>0</v>
      </c>
      <c r="AA13862">
        <v>0</v>
      </c>
      <c r="AB13862">
        <v>1</v>
      </c>
      <c r="AC13862">
        <v>0</v>
      </c>
      <c r="AD13862">
        <v>1</v>
      </c>
      <c r="AE13862">
        <v>1</v>
      </c>
      <c r="AF13862">
        <v>1</v>
      </c>
      <c r="AG13862">
        <v>1</v>
      </c>
      <c r="AH13862">
        <v>1</v>
      </c>
      <c r="AI13862">
        <v>1</v>
      </c>
      <c r="AJ13862">
        <v>1</v>
      </c>
      <c r="AK13862">
        <v>1</v>
      </c>
      <c r="AL13862">
        <v>1</v>
      </c>
      <c r="AM13862">
        <v>1</v>
      </c>
    </row>
    <row r="13863" spans="1:39" x14ac:dyDescent="0.2">
      <c r="A13863" t="str">
        <f>"13859"</f>
        <v>13859</v>
      </c>
      <c r="B13863" t="str">
        <f t="shared" si="769"/>
        <v>1</v>
      </c>
      <c r="C13863" t="str">
        <f t="shared" si="771"/>
        <v>278</v>
      </c>
      <c r="D13863" t="str">
        <f>"16"</f>
        <v>16</v>
      </c>
      <c r="E13863" t="str">
        <f>"1-278-16"</f>
        <v>1-278-16</v>
      </c>
      <c r="F13863" t="s">
        <v>65</v>
      </c>
      <c r="G13863" t="s">
        <v>66</v>
      </c>
      <c r="H13863" t="s">
        <v>68</v>
      </c>
      <c r="I13863">
        <v>1</v>
      </c>
      <c r="J13863">
        <v>0</v>
      </c>
      <c r="K13863">
        <v>0</v>
      </c>
      <c r="L13863">
        <v>1</v>
      </c>
      <c r="M13863">
        <v>1</v>
      </c>
      <c r="N13863">
        <v>1</v>
      </c>
      <c r="O13863">
        <v>1</v>
      </c>
      <c r="P13863">
        <v>1</v>
      </c>
      <c r="Q13863">
        <v>1</v>
      </c>
      <c r="R13863">
        <v>1</v>
      </c>
    </row>
    <row r="13864" spans="1:39" x14ac:dyDescent="0.2">
      <c r="A13864" t="str">
        <f>"13860"</f>
        <v>13860</v>
      </c>
      <c r="B13864" t="str">
        <f t="shared" si="769"/>
        <v>1</v>
      </c>
      <c r="C13864" t="str">
        <f t="shared" si="771"/>
        <v>278</v>
      </c>
      <c r="D13864" t="str">
        <f>"4"</f>
        <v>4</v>
      </c>
      <c r="E13864" t="str">
        <f>"1-278-4"</f>
        <v>1-278-4</v>
      </c>
      <c r="F13864" t="s">
        <v>65</v>
      </c>
      <c r="G13864" t="s">
        <v>66</v>
      </c>
      <c r="H13864" t="s">
        <v>67</v>
      </c>
      <c r="S13864">
        <v>0</v>
      </c>
      <c r="T13864">
        <v>1</v>
      </c>
      <c r="U13864">
        <v>0</v>
      </c>
      <c r="V13864">
        <v>0</v>
      </c>
      <c r="W13864">
        <v>1</v>
      </c>
      <c r="X13864">
        <v>0</v>
      </c>
      <c r="Y13864">
        <v>0</v>
      </c>
      <c r="Z13864">
        <v>1</v>
      </c>
      <c r="AA13864">
        <v>1</v>
      </c>
      <c r="AB13864">
        <v>0</v>
      </c>
      <c r="AC13864">
        <v>0</v>
      </c>
      <c r="AD13864">
        <v>1</v>
      </c>
      <c r="AE13864">
        <v>1</v>
      </c>
      <c r="AF13864">
        <v>1</v>
      </c>
      <c r="AG13864">
        <v>1</v>
      </c>
      <c r="AH13864">
        <v>0</v>
      </c>
      <c r="AI13864">
        <v>1</v>
      </c>
      <c r="AJ13864">
        <v>1</v>
      </c>
      <c r="AK13864">
        <v>1</v>
      </c>
      <c r="AL13864">
        <v>1</v>
      </c>
      <c r="AM13864">
        <v>1</v>
      </c>
    </row>
    <row r="13865" spans="1:39" x14ac:dyDescent="0.2">
      <c r="A13865" t="str">
        <f>"13861"</f>
        <v>13861</v>
      </c>
      <c r="B13865" t="str">
        <f t="shared" si="769"/>
        <v>1</v>
      </c>
      <c r="C13865" t="str">
        <f t="shared" si="771"/>
        <v>278</v>
      </c>
      <c r="D13865" t="str">
        <f>"43"</f>
        <v>43</v>
      </c>
      <c r="E13865" t="str">
        <f>"1-278-43"</f>
        <v>1-278-43</v>
      </c>
      <c r="F13865" t="s">
        <v>65</v>
      </c>
      <c r="G13865" t="s">
        <v>66</v>
      </c>
      <c r="H13865" t="s">
        <v>67</v>
      </c>
      <c r="S13865">
        <v>0</v>
      </c>
      <c r="T13865">
        <v>1</v>
      </c>
      <c r="U13865">
        <v>0</v>
      </c>
      <c r="V13865">
        <v>0</v>
      </c>
      <c r="W13865">
        <v>0</v>
      </c>
      <c r="X13865">
        <v>1</v>
      </c>
      <c r="Y13865">
        <v>0</v>
      </c>
      <c r="Z13865">
        <v>0</v>
      </c>
      <c r="AA13865">
        <v>0</v>
      </c>
      <c r="AB13865">
        <v>0</v>
      </c>
      <c r="AC13865">
        <v>1</v>
      </c>
      <c r="AD13865">
        <v>0</v>
      </c>
      <c r="AE13865">
        <v>0</v>
      </c>
      <c r="AF13865">
        <v>0</v>
      </c>
      <c r="AG13865">
        <v>0</v>
      </c>
      <c r="AH13865">
        <v>0</v>
      </c>
      <c r="AI13865">
        <v>0</v>
      </c>
      <c r="AJ13865">
        <v>0</v>
      </c>
      <c r="AK13865">
        <v>0</v>
      </c>
      <c r="AL13865">
        <v>0</v>
      </c>
      <c r="AM13865">
        <v>0</v>
      </c>
    </row>
    <row r="13866" spans="1:39" x14ac:dyDescent="0.2">
      <c r="A13866" t="str">
        <f>"13862"</f>
        <v>13862</v>
      </c>
      <c r="B13866" t="str">
        <f t="shared" si="769"/>
        <v>1</v>
      </c>
      <c r="C13866" t="str">
        <f t="shared" si="771"/>
        <v>278</v>
      </c>
      <c r="D13866" t="str">
        <f>"42"</f>
        <v>42</v>
      </c>
      <c r="E13866" t="str">
        <f>"1-278-42"</f>
        <v>1-278-42</v>
      </c>
      <c r="F13866" t="s">
        <v>65</v>
      </c>
      <c r="G13866" t="s">
        <v>66</v>
      </c>
      <c r="H13866" t="s">
        <v>67</v>
      </c>
      <c r="S13866">
        <v>0</v>
      </c>
      <c r="T13866">
        <v>0</v>
      </c>
      <c r="U13866">
        <v>0</v>
      </c>
      <c r="V13866">
        <v>0</v>
      </c>
      <c r="W13866">
        <v>0</v>
      </c>
      <c r="X13866">
        <v>1</v>
      </c>
      <c r="Y13866">
        <v>1</v>
      </c>
      <c r="Z13866">
        <v>0</v>
      </c>
      <c r="AA13866">
        <v>0</v>
      </c>
      <c r="AB13866">
        <v>1</v>
      </c>
      <c r="AC13866">
        <v>0</v>
      </c>
      <c r="AD13866">
        <v>0</v>
      </c>
      <c r="AE13866">
        <v>0</v>
      </c>
      <c r="AF13866">
        <v>0</v>
      </c>
      <c r="AG13866">
        <v>0</v>
      </c>
      <c r="AH13866">
        <v>0</v>
      </c>
      <c r="AI13866">
        <v>0</v>
      </c>
      <c r="AJ13866">
        <v>0</v>
      </c>
      <c r="AK13866">
        <v>0</v>
      </c>
      <c r="AL13866">
        <v>0</v>
      </c>
      <c r="AM13866">
        <v>0</v>
      </c>
    </row>
    <row r="13867" spans="1:39" x14ac:dyDescent="0.2">
      <c r="A13867" t="str">
        <f>"13863"</f>
        <v>13863</v>
      </c>
      <c r="B13867" t="str">
        <f t="shared" si="769"/>
        <v>1</v>
      </c>
      <c r="C13867" t="str">
        <f t="shared" si="771"/>
        <v>278</v>
      </c>
      <c r="D13867" t="str">
        <f>"31"</f>
        <v>31</v>
      </c>
      <c r="E13867" t="str">
        <f>"1-278-31"</f>
        <v>1-278-31</v>
      </c>
      <c r="F13867" t="s">
        <v>65</v>
      </c>
      <c r="G13867" t="s">
        <v>66</v>
      </c>
      <c r="H13867" t="s">
        <v>67</v>
      </c>
      <c r="S13867">
        <v>0</v>
      </c>
      <c r="T13867">
        <v>0</v>
      </c>
      <c r="U13867">
        <v>0</v>
      </c>
      <c r="V13867">
        <v>0</v>
      </c>
      <c r="W13867">
        <v>0</v>
      </c>
      <c r="X13867">
        <v>1</v>
      </c>
      <c r="Y13867">
        <v>0</v>
      </c>
      <c r="Z13867">
        <v>0</v>
      </c>
      <c r="AA13867">
        <v>0</v>
      </c>
      <c r="AB13867">
        <v>0</v>
      </c>
      <c r="AC13867">
        <v>0</v>
      </c>
      <c r="AD13867">
        <v>1</v>
      </c>
      <c r="AE13867">
        <v>1</v>
      </c>
      <c r="AF13867">
        <v>1</v>
      </c>
      <c r="AG13867">
        <v>1</v>
      </c>
      <c r="AH13867">
        <v>1</v>
      </c>
      <c r="AI13867">
        <v>1</v>
      </c>
      <c r="AJ13867">
        <v>1</v>
      </c>
      <c r="AK13867">
        <v>1</v>
      </c>
      <c r="AL13867">
        <v>1</v>
      </c>
      <c r="AM13867">
        <v>1</v>
      </c>
    </row>
    <row r="13868" spans="1:39" x14ac:dyDescent="0.2">
      <c r="A13868" t="str">
        <f>"13864"</f>
        <v>13864</v>
      </c>
      <c r="B13868" t="str">
        <f t="shared" si="769"/>
        <v>1</v>
      </c>
      <c r="C13868" t="str">
        <f t="shared" si="771"/>
        <v>278</v>
      </c>
      <c r="D13868" t="str">
        <f>"17"</f>
        <v>17</v>
      </c>
      <c r="E13868" t="str">
        <f>"1-278-17"</f>
        <v>1-278-17</v>
      </c>
      <c r="F13868" t="s">
        <v>65</v>
      </c>
      <c r="G13868" t="s">
        <v>66</v>
      </c>
      <c r="H13868" t="s">
        <v>68</v>
      </c>
      <c r="I13868">
        <v>1</v>
      </c>
      <c r="J13868">
        <v>0</v>
      </c>
      <c r="K13868">
        <v>1</v>
      </c>
      <c r="L13868">
        <v>0</v>
      </c>
      <c r="M13868">
        <v>1</v>
      </c>
      <c r="N13868">
        <v>1</v>
      </c>
      <c r="O13868">
        <v>1</v>
      </c>
      <c r="P13868">
        <v>1</v>
      </c>
      <c r="Q13868">
        <v>1</v>
      </c>
      <c r="R13868">
        <v>1</v>
      </c>
    </row>
    <row r="13869" spans="1:39" x14ac:dyDescent="0.2">
      <c r="A13869" t="str">
        <f>"13865"</f>
        <v>13865</v>
      </c>
      <c r="B13869" t="str">
        <f t="shared" si="769"/>
        <v>1</v>
      </c>
      <c r="C13869" t="str">
        <f t="shared" si="771"/>
        <v>278</v>
      </c>
      <c r="D13869" t="str">
        <f>"1"</f>
        <v>1</v>
      </c>
      <c r="E13869" t="str">
        <f>"1-278-1"</f>
        <v>1-278-1</v>
      </c>
      <c r="F13869" t="s">
        <v>65</v>
      </c>
      <c r="G13869" t="s">
        <v>66</v>
      </c>
      <c r="H13869" t="s">
        <v>68</v>
      </c>
      <c r="I13869">
        <v>1</v>
      </c>
      <c r="J13869">
        <v>0</v>
      </c>
      <c r="K13869">
        <v>0</v>
      </c>
      <c r="L13869">
        <v>1</v>
      </c>
      <c r="M13869">
        <v>1</v>
      </c>
      <c r="N13869">
        <v>1</v>
      </c>
      <c r="O13869">
        <v>1</v>
      </c>
      <c r="P13869">
        <v>1</v>
      </c>
      <c r="Q13869">
        <v>1</v>
      </c>
      <c r="R13869">
        <v>1</v>
      </c>
    </row>
    <row r="13870" spans="1:39" x14ac:dyDescent="0.2">
      <c r="A13870" t="str">
        <f>"13866"</f>
        <v>13866</v>
      </c>
      <c r="B13870" t="str">
        <f t="shared" si="769"/>
        <v>1</v>
      </c>
      <c r="C13870" t="str">
        <f t="shared" si="771"/>
        <v>278</v>
      </c>
      <c r="D13870" t="str">
        <f>"45"</f>
        <v>45</v>
      </c>
      <c r="E13870" t="str">
        <f>"1-278-45"</f>
        <v>1-278-45</v>
      </c>
      <c r="F13870" t="s">
        <v>65</v>
      </c>
      <c r="G13870" t="s">
        <v>66</v>
      </c>
      <c r="H13870" t="s">
        <v>67</v>
      </c>
      <c r="S13870">
        <v>1</v>
      </c>
      <c r="T13870">
        <v>0</v>
      </c>
      <c r="U13870">
        <v>0</v>
      </c>
      <c r="V13870">
        <v>0</v>
      </c>
      <c r="W13870">
        <v>1</v>
      </c>
      <c r="X13870">
        <v>0</v>
      </c>
      <c r="Y13870">
        <v>1</v>
      </c>
      <c r="Z13870">
        <v>0</v>
      </c>
      <c r="AA13870">
        <v>1</v>
      </c>
      <c r="AB13870">
        <v>0</v>
      </c>
      <c r="AC13870">
        <v>0</v>
      </c>
      <c r="AD13870">
        <v>1</v>
      </c>
      <c r="AE13870">
        <v>1</v>
      </c>
      <c r="AF13870">
        <v>1</v>
      </c>
      <c r="AG13870">
        <v>1</v>
      </c>
      <c r="AH13870">
        <v>1</v>
      </c>
      <c r="AI13870">
        <v>1</v>
      </c>
      <c r="AJ13870">
        <v>1</v>
      </c>
      <c r="AK13870">
        <v>1</v>
      </c>
      <c r="AL13870">
        <v>1</v>
      </c>
      <c r="AM13870">
        <v>1</v>
      </c>
    </row>
    <row r="13871" spans="1:39" x14ac:dyDescent="0.2">
      <c r="A13871" t="str">
        <f>"13867"</f>
        <v>13867</v>
      </c>
      <c r="B13871" t="str">
        <f t="shared" si="769"/>
        <v>1</v>
      </c>
      <c r="C13871" t="str">
        <f t="shared" si="771"/>
        <v>278</v>
      </c>
      <c r="D13871" t="str">
        <f>"44"</f>
        <v>44</v>
      </c>
      <c r="E13871" t="str">
        <f>"1-278-44"</f>
        <v>1-278-44</v>
      </c>
      <c r="F13871" t="s">
        <v>65</v>
      </c>
      <c r="G13871" t="s">
        <v>66</v>
      </c>
      <c r="H13871" t="s">
        <v>67</v>
      </c>
      <c r="S13871">
        <v>1</v>
      </c>
      <c r="T13871">
        <v>0</v>
      </c>
      <c r="U13871">
        <v>0</v>
      </c>
      <c r="V13871">
        <v>0</v>
      </c>
      <c r="W13871">
        <v>0</v>
      </c>
      <c r="X13871">
        <v>1</v>
      </c>
      <c r="Y13871">
        <v>0</v>
      </c>
      <c r="Z13871">
        <v>1</v>
      </c>
      <c r="AA13871">
        <v>0</v>
      </c>
      <c r="AB13871">
        <v>0</v>
      </c>
      <c r="AC13871">
        <v>1</v>
      </c>
      <c r="AD13871">
        <v>1</v>
      </c>
      <c r="AE13871">
        <v>1</v>
      </c>
      <c r="AF13871">
        <v>1</v>
      </c>
      <c r="AG13871">
        <v>1</v>
      </c>
      <c r="AH13871">
        <v>1</v>
      </c>
      <c r="AI13871">
        <v>1</v>
      </c>
      <c r="AJ13871">
        <v>1</v>
      </c>
      <c r="AK13871">
        <v>1</v>
      </c>
      <c r="AL13871">
        <v>0</v>
      </c>
      <c r="AM13871">
        <v>1</v>
      </c>
    </row>
    <row r="13872" spans="1:39" x14ac:dyDescent="0.2">
      <c r="A13872" t="str">
        <f>"13868"</f>
        <v>13868</v>
      </c>
      <c r="B13872" t="str">
        <f t="shared" si="769"/>
        <v>1</v>
      </c>
      <c r="C13872" t="str">
        <f t="shared" si="771"/>
        <v>278</v>
      </c>
      <c r="D13872" t="str">
        <f>"29"</f>
        <v>29</v>
      </c>
      <c r="E13872" t="str">
        <f>"1-278-29"</f>
        <v>1-278-29</v>
      </c>
      <c r="F13872" t="s">
        <v>65</v>
      </c>
      <c r="G13872" t="s">
        <v>66</v>
      </c>
      <c r="H13872" t="s">
        <v>67</v>
      </c>
      <c r="S13872">
        <v>1</v>
      </c>
      <c r="T13872">
        <v>0</v>
      </c>
      <c r="U13872">
        <v>0</v>
      </c>
      <c r="V13872">
        <v>0</v>
      </c>
      <c r="W13872">
        <v>1</v>
      </c>
      <c r="X13872">
        <v>0</v>
      </c>
      <c r="Y13872">
        <v>1</v>
      </c>
      <c r="Z13872">
        <v>0</v>
      </c>
      <c r="AA13872">
        <v>1</v>
      </c>
      <c r="AB13872">
        <v>0</v>
      </c>
      <c r="AC13872">
        <v>0</v>
      </c>
      <c r="AD13872">
        <v>1</v>
      </c>
      <c r="AE13872">
        <v>1</v>
      </c>
      <c r="AF13872">
        <v>1</v>
      </c>
      <c r="AG13872">
        <v>1</v>
      </c>
      <c r="AH13872">
        <v>1</v>
      </c>
      <c r="AI13872">
        <v>1</v>
      </c>
      <c r="AJ13872">
        <v>1</v>
      </c>
      <c r="AK13872">
        <v>1</v>
      </c>
      <c r="AL13872">
        <v>1</v>
      </c>
      <c r="AM13872">
        <v>1</v>
      </c>
    </row>
    <row r="13873" spans="1:39" x14ac:dyDescent="0.2">
      <c r="A13873" t="str">
        <f>"13869"</f>
        <v>13869</v>
      </c>
      <c r="B13873" t="str">
        <f t="shared" si="769"/>
        <v>1</v>
      </c>
      <c r="C13873" t="str">
        <f t="shared" si="771"/>
        <v>278</v>
      </c>
      <c r="D13873" t="str">
        <f>"18"</f>
        <v>18</v>
      </c>
      <c r="E13873" t="str">
        <f>"1-278-18"</f>
        <v>1-278-18</v>
      </c>
      <c r="F13873" t="s">
        <v>65</v>
      </c>
      <c r="G13873" t="s">
        <v>66</v>
      </c>
      <c r="H13873" t="s">
        <v>68</v>
      </c>
      <c r="I13873">
        <v>1</v>
      </c>
      <c r="J13873">
        <v>1</v>
      </c>
      <c r="K13873">
        <v>0</v>
      </c>
      <c r="L13873">
        <v>0</v>
      </c>
      <c r="M13873">
        <v>1</v>
      </c>
      <c r="N13873">
        <v>1</v>
      </c>
      <c r="O13873">
        <v>1</v>
      </c>
      <c r="P13873">
        <v>1</v>
      </c>
      <c r="Q13873">
        <v>1</v>
      </c>
      <c r="R13873">
        <v>1</v>
      </c>
    </row>
    <row r="13874" spans="1:39" x14ac:dyDescent="0.2">
      <c r="A13874" t="str">
        <f>"13870"</f>
        <v>13870</v>
      </c>
      <c r="B13874" t="str">
        <f t="shared" si="769"/>
        <v>1</v>
      </c>
      <c r="C13874" t="str">
        <f t="shared" si="771"/>
        <v>278</v>
      </c>
      <c r="D13874" t="str">
        <f>"14"</f>
        <v>14</v>
      </c>
      <c r="E13874" t="str">
        <f>"1-278-14"</f>
        <v>1-278-14</v>
      </c>
      <c r="F13874" t="s">
        <v>65</v>
      </c>
      <c r="G13874" t="s">
        <v>66</v>
      </c>
      <c r="H13874" t="s">
        <v>68</v>
      </c>
      <c r="I13874">
        <v>1</v>
      </c>
      <c r="J13874">
        <v>0</v>
      </c>
      <c r="K13874">
        <v>0</v>
      </c>
      <c r="L13874">
        <v>1</v>
      </c>
      <c r="M13874">
        <v>1</v>
      </c>
      <c r="N13874">
        <v>1</v>
      </c>
      <c r="O13874">
        <v>1</v>
      </c>
      <c r="P13874">
        <v>1</v>
      </c>
      <c r="Q13874">
        <v>1</v>
      </c>
      <c r="R13874">
        <v>1</v>
      </c>
    </row>
    <row r="13875" spans="1:39" x14ac:dyDescent="0.2">
      <c r="A13875" t="str">
        <f>"13871"</f>
        <v>13871</v>
      </c>
      <c r="B13875" t="str">
        <f t="shared" si="769"/>
        <v>1</v>
      </c>
      <c r="C13875" t="str">
        <f t="shared" si="771"/>
        <v>278</v>
      </c>
      <c r="D13875" t="str">
        <f>"39"</f>
        <v>39</v>
      </c>
      <c r="E13875" t="str">
        <f>"1-278-39"</f>
        <v>1-278-39</v>
      </c>
      <c r="F13875" t="s">
        <v>65</v>
      </c>
      <c r="G13875" t="s">
        <v>66</v>
      </c>
      <c r="H13875" t="s">
        <v>67</v>
      </c>
      <c r="S13875">
        <v>1</v>
      </c>
      <c r="T13875">
        <v>0</v>
      </c>
      <c r="U13875">
        <v>0</v>
      </c>
      <c r="V13875">
        <v>0</v>
      </c>
      <c r="W13875">
        <v>1</v>
      </c>
      <c r="X13875">
        <v>0</v>
      </c>
      <c r="Y13875">
        <v>1</v>
      </c>
      <c r="Z13875">
        <v>0</v>
      </c>
      <c r="AA13875">
        <v>1</v>
      </c>
      <c r="AB13875">
        <v>0</v>
      </c>
      <c r="AC13875">
        <v>0</v>
      </c>
      <c r="AD13875">
        <v>0</v>
      </c>
      <c r="AE13875">
        <v>0</v>
      </c>
      <c r="AF13875">
        <v>0</v>
      </c>
      <c r="AG13875">
        <v>0</v>
      </c>
      <c r="AH13875">
        <v>0</v>
      </c>
      <c r="AI13875">
        <v>0</v>
      </c>
      <c r="AJ13875">
        <v>0</v>
      </c>
      <c r="AK13875">
        <v>0</v>
      </c>
      <c r="AL13875">
        <v>0</v>
      </c>
      <c r="AM13875">
        <v>0</v>
      </c>
    </row>
    <row r="13876" spans="1:39" x14ac:dyDescent="0.2">
      <c r="A13876" t="str">
        <f>"13872"</f>
        <v>13872</v>
      </c>
      <c r="B13876" t="str">
        <f t="shared" si="769"/>
        <v>1</v>
      </c>
      <c r="C13876" t="str">
        <f t="shared" si="771"/>
        <v>278</v>
      </c>
      <c r="D13876" t="str">
        <f>"19"</f>
        <v>19</v>
      </c>
      <c r="E13876" t="str">
        <f>"1-278-19"</f>
        <v>1-278-19</v>
      </c>
      <c r="F13876" t="s">
        <v>65</v>
      </c>
      <c r="G13876" t="s">
        <v>66</v>
      </c>
      <c r="H13876" t="s">
        <v>67</v>
      </c>
      <c r="S13876">
        <v>1</v>
      </c>
      <c r="T13876">
        <v>0</v>
      </c>
      <c r="U13876">
        <v>0</v>
      </c>
      <c r="V13876">
        <v>0</v>
      </c>
      <c r="W13876">
        <v>1</v>
      </c>
      <c r="X13876">
        <v>0</v>
      </c>
      <c r="Y13876">
        <v>0</v>
      </c>
      <c r="Z13876">
        <v>1</v>
      </c>
      <c r="AA13876">
        <v>1</v>
      </c>
      <c r="AB13876">
        <v>0</v>
      </c>
      <c r="AC13876">
        <v>0</v>
      </c>
      <c r="AD13876">
        <v>1</v>
      </c>
      <c r="AE13876">
        <v>1</v>
      </c>
      <c r="AF13876">
        <v>1</v>
      </c>
      <c r="AG13876">
        <v>1</v>
      </c>
      <c r="AH13876">
        <v>1</v>
      </c>
      <c r="AI13876">
        <v>1</v>
      </c>
      <c r="AJ13876">
        <v>1</v>
      </c>
      <c r="AK13876">
        <v>1</v>
      </c>
      <c r="AL13876">
        <v>1</v>
      </c>
      <c r="AM13876">
        <v>1</v>
      </c>
    </row>
    <row r="13877" spans="1:39" x14ac:dyDescent="0.2">
      <c r="A13877" t="str">
        <f>"13873"</f>
        <v>13873</v>
      </c>
      <c r="B13877" t="str">
        <f t="shared" si="769"/>
        <v>1</v>
      </c>
      <c r="C13877" t="str">
        <f t="shared" si="771"/>
        <v>278</v>
      </c>
      <c r="D13877" t="str">
        <f>"13"</f>
        <v>13</v>
      </c>
      <c r="E13877" t="str">
        <f>"1-278-13"</f>
        <v>1-278-13</v>
      </c>
      <c r="F13877" t="s">
        <v>65</v>
      </c>
      <c r="G13877" t="s">
        <v>66</v>
      </c>
      <c r="H13877" t="s">
        <v>68</v>
      </c>
      <c r="I13877">
        <v>1</v>
      </c>
      <c r="J13877">
        <v>1</v>
      </c>
      <c r="K13877">
        <v>0</v>
      </c>
      <c r="L13877">
        <v>0</v>
      </c>
      <c r="M13877">
        <v>1</v>
      </c>
      <c r="N13877">
        <v>1</v>
      </c>
      <c r="O13877">
        <v>1</v>
      </c>
      <c r="P13877">
        <v>1</v>
      </c>
      <c r="Q13877">
        <v>1</v>
      </c>
      <c r="R13877">
        <v>1</v>
      </c>
    </row>
    <row r="13878" spans="1:39" x14ac:dyDescent="0.2">
      <c r="A13878" t="str">
        <f>"13874"</f>
        <v>13874</v>
      </c>
      <c r="B13878" t="str">
        <f t="shared" si="769"/>
        <v>1</v>
      </c>
      <c r="C13878" t="str">
        <f t="shared" si="771"/>
        <v>278</v>
      </c>
      <c r="D13878" t="str">
        <f>"38"</f>
        <v>38</v>
      </c>
      <c r="E13878" t="str">
        <f>"1-278-38"</f>
        <v>1-278-38</v>
      </c>
      <c r="F13878" t="s">
        <v>65</v>
      </c>
      <c r="G13878" t="s">
        <v>66</v>
      </c>
      <c r="H13878" t="s">
        <v>67</v>
      </c>
      <c r="S13878">
        <v>0</v>
      </c>
      <c r="T13878">
        <v>0</v>
      </c>
      <c r="U13878">
        <v>0</v>
      </c>
      <c r="V13878">
        <v>0</v>
      </c>
      <c r="W13878">
        <v>0</v>
      </c>
      <c r="X13878">
        <v>1</v>
      </c>
      <c r="Y13878">
        <v>0</v>
      </c>
      <c r="Z13878">
        <v>0</v>
      </c>
      <c r="AA13878">
        <v>0</v>
      </c>
      <c r="AB13878">
        <v>0</v>
      </c>
      <c r="AC13878">
        <v>0</v>
      </c>
      <c r="AD13878">
        <v>0</v>
      </c>
      <c r="AE13878">
        <v>0</v>
      </c>
      <c r="AF13878">
        <v>0</v>
      </c>
      <c r="AG13878">
        <v>0</v>
      </c>
      <c r="AH13878">
        <v>0</v>
      </c>
      <c r="AI13878">
        <v>0</v>
      </c>
      <c r="AJ13878">
        <v>0</v>
      </c>
      <c r="AK13878">
        <v>0</v>
      </c>
      <c r="AL13878">
        <v>0</v>
      </c>
      <c r="AM13878">
        <v>0</v>
      </c>
    </row>
    <row r="13879" spans="1:39" x14ac:dyDescent="0.2">
      <c r="A13879" t="str">
        <f>"13875"</f>
        <v>13875</v>
      </c>
      <c r="B13879" t="str">
        <f t="shared" ref="B13879:B13942" si="772">"1"</f>
        <v>1</v>
      </c>
      <c r="C13879" t="str">
        <f t="shared" si="771"/>
        <v>278</v>
      </c>
      <c r="D13879" t="str">
        <f>"20"</f>
        <v>20</v>
      </c>
      <c r="E13879" t="str">
        <f>"1-278-20"</f>
        <v>1-278-20</v>
      </c>
      <c r="F13879" t="s">
        <v>65</v>
      </c>
      <c r="G13879" t="s">
        <v>66</v>
      </c>
      <c r="H13879" t="s">
        <v>67</v>
      </c>
      <c r="S13879">
        <v>1</v>
      </c>
      <c r="T13879">
        <v>0</v>
      </c>
      <c r="U13879">
        <v>0</v>
      </c>
      <c r="V13879">
        <v>0</v>
      </c>
      <c r="W13879">
        <v>1</v>
      </c>
      <c r="X13879">
        <v>0</v>
      </c>
      <c r="Y13879">
        <v>1</v>
      </c>
      <c r="Z13879">
        <v>0</v>
      </c>
      <c r="AA13879">
        <v>1</v>
      </c>
      <c r="AB13879">
        <v>0</v>
      </c>
      <c r="AC13879">
        <v>0</v>
      </c>
      <c r="AD13879">
        <v>1</v>
      </c>
      <c r="AE13879">
        <v>1</v>
      </c>
      <c r="AF13879">
        <v>1</v>
      </c>
      <c r="AG13879">
        <v>1</v>
      </c>
      <c r="AH13879">
        <v>1</v>
      </c>
      <c r="AI13879">
        <v>1</v>
      </c>
      <c r="AJ13879">
        <v>1</v>
      </c>
      <c r="AK13879">
        <v>1</v>
      </c>
      <c r="AL13879">
        <v>1</v>
      </c>
      <c r="AM13879">
        <v>1</v>
      </c>
    </row>
    <row r="13880" spans="1:39" x14ac:dyDescent="0.2">
      <c r="A13880" t="str">
        <f>"13876"</f>
        <v>13876</v>
      </c>
      <c r="B13880" t="str">
        <f t="shared" si="772"/>
        <v>1</v>
      </c>
      <c r="C13880" t="str">
        <f t="shared" si="771"/>
        <v>278</v>
      </c>
      <c r="D13880" t="str">
        <f>"3"</f>
        <v>3</v>
      </c>
      <c r="E13880" t="str">
        <f>"1-278-3"</f>
        <v>1-278-3</v>
      </c>
      <c r="F13880" t="s">
        <v>65</v>
      </c>
      <c r="G13880" t="s">
        <v>66</v>
      </c>
      <c r="H13880" t="s">
        <v>67</v>
      </c>
      <c r="S13880">
        <v>0</v>
      </c>
      <c r="T13880">
        <v>1</v>
      </c>
      <c r="U13880">
        <v>0</v>
      </c>
      <c r="V13880">
        <v>0</v>
      </c>
      <c r="W13880">
        <v>1</v>
      </c>
      <c r="X13880">
        <v>0</v>
      </c>
      <c r="Y13880">
        <v>1</v>
      </c>
      <c r="Z13880">
        <v>0</v>
      </c>
      <c r="AA13880">
        <v>0</v>
      </c>
      <c r="AB13880">
        <v>1</v>
      </c>
      <c r="AC13880">
        <v>0</v>
      </c>
      <c r="AD13880">
        <v>1</v>
      </c>
      <c r="AE13880">
        <v>1</v>
      </c>
      <c r="AF13880">
        <v>1</v>
      </c>
      <c r="AG13880">
        <v>1</v>
      </c>
      <c r="AH13880">
        <v>1</v>
      </c>
      <c r="AI13880">
        <v>1</v>
      </c>
      <c r="AJ13880">
        <v>1</v>
      </c>
      <c r="AK13880">
        <v>1</v>
      </c>
      <c r="AL13880">
        <v>1</v>
      </c>
      <c r="AM13880">
        <v>0</v>
      </c>
    </row>
    <row r="13881" spans="1:39" x14ac:dyDescent="0.2">
      <c r="A13881" t="str">
        <f>"13877"</f>
        <v>13877</v>
      </c>
      <c r="B13881" t="str">
        <f t="shared" si="772"/>
        <v>1</v>
      </c>
      <c r="C13881" t="str">
        <f t="shared" si="771"/>
        <v>278</v>
      </c>
      <c r="D13881" t="str">
        <f>"40"</f>
        <v>40</v>
      </c>
      <c r="E13881" t="str">
        <f>"1-278-40"</f>
        <v>1-278-40</v>
      </c>
      <c r="F13881" t="s">
        <v>65</v>
      </c>
      <c r="G13881" t="s">
        <v>66</v>
      </c>
      <c r="H13881" t="s">
        <v>67</v>
      </c>
      <c r="S13881">
        <v>1</v>
      </c>
      <c r="T13881">
        <v>0</v>
      </c>
      <c r="U13881">
        <v>0</v>
      </c>
      <c r="V13881">
        <v>0</v>
      </c>
      <c r="W13881">
        <v>1</v>
      </c>
      <c r="X13881">
        <v>0</v>
      </c>
      <c r="Y13881">
        <v>1</v>
      </c>
      <c r="Z13881">
        <v>0</v>
      </c>
      <c r="AA13881">
        <v>1</v>
      </c>
      <c r="AB13881">
        <v>0</v>
      </c>
      <c r="AC13881">
        <v>0</v>
      </c>
      <c r="AD13881">
        <v>1</v>
      </c>
      <c r="AE13881">
        <v>1</v>
      </c>
      <c r="AF13881">
        <v>1</v>
      </c>
      <c r="AG13881">
        <v>1</v>
      </c>
      <c r="AH13881">
        <v>1</v>
      </c>
      <c r="AI13881">
        <v>1</v>
      </c>
      <c r="AJ13881">
        <v>1</v>
      </c>
      <c r="AK13881">
        <v>1</v>
      </c>
      <c r="AL13881">
        <v>1</v>
      </c>
      <c r="AM13881">
        <v>1</v>
      </c>
    </row>
    <row r="13882" spans="1:39" x14ac:dyDescent="0.2">
      <c r="A13882" t="str">
        <f>"13878"</f>
        <v>13878</v>
      </c>
      <c r="B13882" t="str">
        <f t="shared" si="772"/>
        <v>1</v>
      </c>
      <c r="C13882" t="str">
        <f t="shared" si="771"/>
        <v>278</v>
      </c>
      <c r="D13882" t="str">
        <f>"21"</f>
        <v>21</v>
      </c>
      <c r="E13882" t="str">
        <f>"1-278-21"</f>
        <v>1-278-21</v>
      </c>
      <c r="F13882" t="s">
        <v>65</v>
      </c>
      <c r="G13882" t="s">
        <v>66</v>
      </c>
      <c r="H13882" t="s">
        <v>67</v>
      </c>
      <c r="S13882">
        <v>1</v>
      </c>
      <c r="T13882">
        <v>0</v>
      </c>
      <c r="U13882">
        <v>0</v>
      </c>
      <c r="V13882">
        <v>0</v>
      </c>
      <c r="W13882">
        <v>1</v>
      </c>
      <c r="X13882">
        <v>0</v>
      </c>
      <c r="Y13882">
        <v>1</v>
      </c>
      <c r="Z13882">
        <v>0</v>
      </c>
      <c r="AA13882">
        <v>1</v>
      </c>
      <c r="AB13882">
        <v>0</v>
      </c>
      <c r="AC13882">
        <v>0</v>
      </c>
      <c r="AD13882">
        <v>1</v>
      </c>
      <c r="AE13882">
        <v>1</v>
      </c>
      <c r="AF13882">
        <v>1</v>
      </c>
      <c r="AG13882">
        <v>1</v>
      </c>
      <c r="AH13882">
        <v>1</v>
      </c>
      <c r="AI13882">
        <v>1</v>
      </c>
      <c r="AJ13882">
        <v>1</v>
      </c>
      <c r="AK13882">
        <v>1</v>
      </c>
      <c r="AL13882">
        <v>1</v>
      </c>
      <c r="AM13882">
        <v>1</v>
      </c>
    </row>
    <row r="13883" spans="1:39" x14ac:dyDescent="0.2">
      <c r="A13883" t="str">
        <f>"13879"</f>
        <v>13879</v>
      </c>
      <c r="B13883" t="str">
        <f t="shared" si="772"/>
        <v>1</v>
      </c>
      <c r="C13883" t="str">
        <f t="shared" si="771"/>
        <v>278</v>
      </c>
      <c r="D13883" t="str">
        <f>"11"</f>
        <v>11</v>
      </c>
      <c r="E13883" t="str">
        <f>"1-278-11"</f>
        <v>1-278-11</v>
      </c>
      <c r="F13883" t="s">
        <v>65</v>
      </c>
      <c r="G13883" t="s">
        <v>66</v>
      </c>
      <c r="H13883" t="s">
        <v>68</v>
      </c>
      <c r="I13883">
        <v>1</v>
      </c>
      <c r="J13883">
        <v>0</v>
      </c>
      <c r="K13883">
        <v>0</v>
      </c>
      <c r="L13883">
        <v>1</v>
      </c>
      <c r="M13883">
        <v>1</v>
      </c>
      <c r="N13883">
        <v>1</v>
      </c>
      <c r="O13883">
        <v>1</v>
      </c>
      <c r="P13883">
        <v>1</v>
      </c>
      <c r="Q13883">
        <v>1</v>
      </c>
      <c r="R13883">
        <v>1</v>
      </c>
    </row>
    <row r="13884" spans="1:39" x14ac:dyDescent="0.2">
      <c r="A13884" t="str">
        <f>"13880"</f>
        <v>13880</v>
      </c>
      <c r="B13884" t="str">
        <f t="shared" si="772"/>
        <v>1</v>
      </c>
      <c r="C13884" t="str">
        <f t="shared" si="771"/>
        <v>278</v>
      </c>
      <c r="D13884" t="str">
        <f>"37"</f>
        <v>37</v>
      </c>
      <c r="E13884" t="str">
        <f>"1-278-37"</f>
        <v>1-278-37</v>
      </c>
      <c r="F13884" t="s">
        <v>65</v>
      </c>
      <c r="G13884" t="s">
        <v>66</v>
      </c>
      <c r="H13884" t="s">
        <v>67</v>
      </c>
      <c r="S13884">
        <v>1</v>
      </c>
      <c r="T13884">
        <v>0</v>
      </c>
      <c r="U13884">
        <v>0</v>
      </c>
      <c r="V13884">
        <v>0</v>
      </c>
      <c r="W13884">
        <v>1</v>
      </c>
      <c r="X13884">
        <v>0</v>
      </c>
      <c r="Y13884">
        <v>1</v>
      </c>
      <c r="Z13884">
        <v>0</v>
      </c>
      <c r="AA13884">
        <v>0</v>
      </c>
      <c r="AB13884">
        <v>1</v>
      </c>
      <c r="AC13884">
        <v>0</v>
      </c>
      <c r="AD13884">
        <v>0</v>
      </c>
      <c r="AE13884">
        <v>0</v>
      </c>
      <c r="AF13884">
        <v>0</v>
      </c>
      <c r="AG13884">
        <v>0</v>
      </c>
      <c r="AH13884">
        <v>0</v>
      </c>
      <c r="AI13884">
        <v>0</v>
      </c>
      <c r="AJ13884">
        <v>0</v>
      </c>
      <c r="AK13884">
        <v>0</v>
      </c>
      <c r="AL13884">
        <v>0</v>
      </c>
      <c r="AM13884">
        <v>0</v>
      </c>
    </row>
    <row r="13885" spans="1:39" x14ac:dyDescent="0.2">
      <c r="A13885" t="str">
        <f>"13881"</f>
        <v>13881</v>
      </c>
      <c r="B13885" t="str">
        <f t="shared" si="772"/>
        <v>1</v>
      </c>
      <c r="C13885" t="str">
        <f t="shared" si="771"/>
        <v>278</v>
      </c>
      <c r="D13885" t="str">
        <f>"22"</f>
        <v>22</v>
      </c>
      <c r="E13885" t="str">
        <f>"1-278-22"</f>
        <v>1-278-22</v>
      </c>
      <c r="F13885" t="s">
        <v>65</v>
      </c>
      <c r="G13885" t="s">
        <v>66</v>
      </c>
      <c r="H13885" t="s">
        <v>67</v>
      </c>
      <c r="S13885">
        <v>1</v>
      </c>
      <c r="T13885">
        <v>0</v>
      </c>
      <c r="U13885">
        <v>0</v>
      </c>
      <c r="V13885">
        <v>0</v>
      </c>
      <c r="W13885">
        <v>1</v>
      </c>
      <c r="X13885">
        <v>0</v>
      </c>
      <c r="Y13885">
        <v>1</v>
      </c>
      <c r="Z13885">
        <v>0</v>
      </c>
      <c r="AA13885">
        <v>1</v>
      </c>
      <c r="AB13885">
        <v>0</v>
      </c>
      <c r="AC13885">
        <v>0</v>
      </c>
      <c r="AD13885">
        <v>0</v>
      </c>
      <c r="AE13885">
        <v>0</v>
      </c>
      <c r="AF13885">
        <v>0</v>
      </c>
      <c r="AG13885">
        <v>0</v>
      </c>
      <c r="AH13885">
        <v>0</v>
      </c>
      <c r="AI13885">
        <v>0</v>
      </c>
      <c r="AJ13885">
        <v>0</v>
      </c>
      <c r="AK13885">
        <v>0</v>
      </c>
      <c r="AL13885">
        <v>0</v>
      </c>
      <c r="AM13885">
        <v>0</v>
      </c>
    </row>
    <row r="13886" spans="1:39" x14ac:dyDescent="0.2">
      <c r="A13886" t="str">
        <f>"13882"</f>
        <v>13882</v>
      </c>
      <c r="B13886" t="str">
        <f t="shared" si="772"/>
        <v>1</v>
      </c>
      <c r="C13886" t="str">
        <f t="shared" si="771"/>
        <v>278</v>
      </c>
      <c r="D13886" t="str">
        <f>"10"</f>
        <v>10</v>
      </c>
      <c r="E13886" t="str">
        <f>"1-278-10"</f>
        <v>1-278-10</v>
      </c>
      <c r="F13886" t="s">
        <v>65</v>
      </c>
      <c r="G13886" t="s">
        <v>66</v>
      </c>
      <c r="H13886" t="s">
        <v>67</v>
      </c>
      <c r="S13886">
        <v>1</v>
      </c>
      <c r="T13886">
        <v>0</v>
      </c>
      <c r="U13886">
        <v>0</v>
      </c>
      <c r="V13886">
        <v>0</v>
      </c>
      <c r="W13886">
        <v>1</v>
      </c>
      <c r="X13886">
        <v>0</v>
      </c>
      <c r="Y13886">
        <v>1</v>
      </c>
      <c r="Z13886">
        <v>0</v>
      </c>
      <c r="AA13886">
        <v>0</v>
      </c>
      <c r="AB13886">
        <v>1</v>
      </c>
      <c r="AC13886">
        <v>0</v>
      </c>
      <c r="AD13886">
        <v>1</v>
      </c>
      <c r="AE13886">
        <v>1</v>
      </c>
      <c r="AF13886">
        <v>1</v>
      </c>
      <c r="AG13886">
        <v>1</v>
      </c>
      <c r="AH13886">
        <v>1</v>
      </c>
      <c r="AI13886">
        <v>1</v>
      </c>
      <c r="AJ13886">
        <v>1</v>
      </c>
      <c r="AK13886">
        <v>1</v>
      </c>
      <c r="AL13886">
        <v>1</v>
      </c>
      <c r="AM13886">
        <v>1</v>
      </c>
    </row>
    <row r="13887" spans="1:39" x14ac:dyDescent="0.2">
      <c r="A13887" t="str">
        <f>"13883"</f>
        <v>13883</v>
      </c>
      <c r="B13887" t="str">
        <f t="shared" si="772"/>
        <v>1</v>
      </c>
      <c r="C13887" t="str">
        <f t="shared" ref="C13887:C13904" si="773">"278"</f>
        <v>278</v>
      </c>
      <c r="D13887" t="str">
        <f>"41"</f>
        <v>41</v>
      </c>
      <c r="E13887" t="str">
        <f>"1-278-41"</f>
        <v>1-278-41</v>
      </c>
      <c r="F13887" t="s">
        <v>65</v>
      </c>
      <c r="G13887" t="s">
        <v>66</v>
      </c>
      <c r="H13887" t="s">
        <v>67</v>
      </c>
      <c r="S13887">
        <v>1</v>
      </c>
      <c r="T13887">
        <v>0</v>
      </c>
      <c r="U13887">
        <v>0</v>
      </c>
      <c r="V13887">
        <v>0</v>
      </c>
      <c r="W13887">
        <v>1</v>
      </c>
      <c r="X13887">
        <v>0</v>
      </c>
      <c r="Y13887">
        <v>0</v>
      </c>
      <c r="Z13887">
        <v>1</v>
      </c>
      <c r="AA13887">
        <v>0</v>
      </c>
      <c r="AB13887">
        <v>0</v>
      </c>
      <c r="AC13887">
        <v>1</v>
      </c>
      <c r="AD13887">
        <v>1</v>
      </c>
      <c r="AE13887">
        <v>1</v>
      </c>
      <c r="AF13887">
        <v>1</v>
      </c>
      <c r="AG13887">
        <v>1</v>
      </c>
      <c r="AH13887">
        <v>1</v>
      </c>
      <c r="AI13887">
        <v>1</v>
      </c>
      <c r="AJ13887">
        <v>1</v>
      </c>
      <c r="AK13887">
        <v>1</v>
      </c>
      <c r="AL13887">
        <v>1</v>
      </c>
      <c r="AM13887">
        <v>1</v>
      </c>
    </row>
    <row r="13888" spans="1:39" x14ac:dyDescent="0.2">
      <c r="A13888" t="str">
        <f>"13884"</f>
        <v>13884</v>
      </c>
      <c r="B13888" t="str">
        <f t="shared" si="772"/>
        <v>1</v>
      </c>
      <c r="C13888" t="str">
        <f t="shared" si="773"/>
        <v>278</v>
      </c>
      <c r="D13888" t="str">
        <f>"23"</f>
        <v>23</v>
      </c>
      <c r="E13888" t="str">
        <f>"1-278-23"</f>
        <v>1-278-23</v>
      </c>
      <c r="F13888" t="s">
        <v>65</v>
      </c>
      <c r="G13888" t="s">
        <v>66</v>
      </c>
      <c r="H13888" t="s">
        <v>67</v>
      </c>
      <c r="S13888">
        <v>1</v>
      </c>
      <c r="T13888">
        <v>0</v>
      </c>
      <c r="U13888">
        <v>0</v>
      </c>
      <c r="V13888">
        <v>0</v>
      </c>
      <c r="W13888">
        <v>1</v>
      </c>
      <c r="X13888">
        <v>0</v>
      </c>
      <c r="Y13888">
        <v>1</v>
      </c>
      <c r="Z13888">
        <v>0</v>
      </c>
      <c r="AA13888">
        <v>1</v>
      </c>
      <c r="AB13888">
        <v>0</v>
      </c>
      <c r="AC13888">
        <v>0</v>
      </c>
      <c r="AD13888">
        <v>1</v>
      </c>
      <c r="AE13888">
        <v>1</v>
      </c>
      <c r="AF13888">
        <v>1</v>
      </c>
      <c r="AG13888">
        <v>1</v>
      </c>
      <c r="AH13888">
        <v>1</v>
      </c>
      <c r="AI13888">
        <v>1</v>
      </c>
      <c r="AJ13888">
        <v>1</v>
      </c>
      <c r="AK13888">
        <v>1</v>
      </c>
      <c r="AL13888">
        <v>1</v>
      </c>
      <c r="AM13888">
        <v>1</v>
      </c>
    </row>
    <row r="13889" spans="1:39" x14ac:dyDescent="0.2">
      <c r="A13889" t="str">
        <f>"13885"</f>
        <v>13885</v>
      </c>
      <c r="B13889" t="str">
        <f t="shared" si="772"/>
        <v>1</v>
      </c>
      <c r="C13889" t="str">
        <f t="shared" si="773"/>
        <v>278</v>
      </c>
      <c r="D13889" t="str">
        <f>"12"</f>
        <v>12</v>
      </c>
      <c r="E13889" t="str">
        <f>"1-278-12"</f>
        <v>1-278-12</v>
      </c>
      <c r="F13889" t="s">
        <v>65</v>
      </c>
      <c r="G13889" t="s">
        <v>66</v>
      </c>
      <c r="H13889" t="s">
        <v>68</v>
      </c>
      <c r="I13889">
        <v>1</v>
      </c>
      <c r="J13889">
        <v>1</v>
      </c>
      <c r="K13889">
        <v>0</v>
      </c>
      <c r="L13889">
        <v>0</v>
      </c>
      <c r="M13889">
        <v>1</v>
      </c>
      <c r="N13889">
        <v>1</v>
      </c>
      <c r="O13889">
        <v>1</v>
      </c>
      <c r="P13889">
        <v>1</v>
      </c>
      <c r="Q13889">
        <v>1</v>
      </c>
      <c r="R13889">
        <v>1</v>
      </c>
    </row>
    <row r="13890" spans="1:39" x14ac:dyDescent="0.2">
      <c r="A13890" t="str">
        <f>"13886"</f>
        <v>13886</v>
      </c>
      <c r="B13890" t="str">
        <f t="shared" si="772"/>
        <v>1</v>
      </c>
      <c r="C13890" t="str">
        <f t="shared" si="773"/>
        <v>278</v>
      </c>
      <c r="D13890" t="str">
        <f>"46"</f>
        <v>46</v>
      </c>
      <c r="E13890" t="str">
        <f>"1-278-46"</f>
        <v>1-278-46</v>
      </c>
      <c r="F13890" t="s">
        <v>65</v>
      </c>
      <c r="G13890" t="s">
        <v>66</v>
      </c>
      <c r="H13890" t="s">
        <v>67</v>
      </c>
      <c r="S13890">
        <v>0</v>
      </c>
      <c r="T13890">
        <v>1</v>
      </c>
      <c r="U13890">
        <v>0</v>
      </c>
      <c r="V13890">
        <v>0</v>
      </c>
      <c r="W13890">
        <v>0</v>
      </c>
      <c r="X13890">
        <v>1</v>
      </c>
      <c r="Y13890">
        <v>0</v>
      </c>
      <c r="Z13890">
        <v>1</v>
      </c>
      <c r="AA13890">
        <v>0</v>
      </c>
      <c r="AB13890">
        <v>0</v>
      </c>
      <c r="AC13890">
        <v>1</v>
      </c>
      <c r="AD13890">
        <v>1</v>
      </c>
      <c r="AE13890">
        <v>1</v>
      </c>
      <c r="AF13890">
        <v>1</v>
      </c>
      <c r="AG13890">
        <v>1</v>
      </c>
      <c r="AH13890">
        <v>1</v>
      </c>
      <c r="AI13890">
        <v>1</v>
      </c>
      <c r="AJ13890">
        <v>1</v>
      </c>
      <c r="AK13890">
        <v>1</v>
      </c>
      <c r="AL13890">
        <v>1</v>
      </c>
      <c r="AM13890">
        <v>1</v>
      </c>
    </row>
    <row r="13891" spans="1:39" x14ac:dyDescent="0.2">
      <c r="A13891" t="str">
        <f>"13887"</f>
        <v>13887</v>
      </c>
      <c r="B13891" t="str">
        <f t="shared" si="772"/>
        <v>1</v>
      </c>
      <c r="C13891" t="str">
        <f t="shared" si="773"/>
        <v>278</v>
      </c>
      <c r="D13891" t="str">
        <f>"26"</f>
        <v>26</v>
      </c>
      <c r="E13891" t="str">
        <f>"1-278-26"</f>
        <v>1-278-26</v>
      </c>
      <c r="F13891" t="s">
        <v>65</v>
      </c>
      <c r="G13891" t="s">
        <v>66</v>
      </c>
      <c r="H13891" t="s">
        <v>67</v>
      </c>
      <c r="S13891">
        <v>1</v>
      </c>
      <c r="T13891">
        <v>0</v>
      </c>
      <c r="U13891">
        <v>0</v>
      </c>
      <c r="V13891">
        <v>0</v>
      </c>
      <c r="W13891">
        <v>0</v>
      </c>
      <c r="X13891">
        <v>1</v>
      </c>
      <c r="Y13891">
        <v>0</v>
      </c>
      <c r="Z13891">
        <v>1</v>
      </c>
      <c r="AA13891">
        <v>0</v>
      </c>
      <c r="AB13891">
        <v>0</v>
      </c>
      <c r="AC13891">
        <v>1</v>
      </c>
      <c r="AD13891">
        <v>1</v>
      </c>
      <c r="AE13891">
        <v>1</v>
      </c>
      <c r="AF13891">
        <v>1</v>
      </c>
      <c r="AG13891">
        <v>1</v>
      </c>
      <c r="AH13891">
        <v>1</v>
      </c>
      <c r="AI13891">
        <v>1</v>
      </c>
      <c r="AJ13891">
        <v>1</v>
      </c>
      <c r="AK13891">
        <v>1</v>
      </c>
      <c r="AL13891">
        <v>1</v>
      </c>
      <c r="AM13891">
        <v>1</v>
      </c>
    </row>
    <row r="13892" spans="1:39" x14ac:dyDescent="0.2">
      <c r="A13892" t="str">
        <f>"13888"</f>
        <v>13888</v>
      </c>
      <c r="B13892" t="str">
        <f t="shared" si="772"/>
        <v>1</v>
      </c>
      <c r="C13892" t="str">
        <f t="shared" si="773"/>
        <v>278</v>
      </c>
      <c r="D13892" t="str">
        <f>"5"</f>
        <v>5</v>
      </c>
      <c r="E13892" t="str">
        <f>"1-278-5"</f>
        <v>1-278-5</v>
      </c>
      <c r="F13892" t="s">
        <v>65</v>
      </c>
      <c r="G13892" t="s">
        <v>66</v>
      </c>
      <c r="H13892" t="s">
        <v>67</v>
      </c>
      <c r="S13892">
        <v>0</v>
      </c>
      <c r="T13892">
        <v>1</v>
      </c>
      <c r="U13892">
        <v>0</v>
      </c>
      <c r="V13892">
        <v>0</v>
      </c>
      <c r="W13892">
        <v>1</v>
      </c>
      <c r="X13892">
        <v>0</v>
      </c>
      <c r="Y13892">
        <v>0</v>
      </c>
      <c r="Z13892">
        <v>1</v>
      </c>
      <c r="AA13892">
        <v>0</v>
      </c>
      <c r="AB13892">
        <v>0</v>
      </c>
      <c r="AC13892">
        <v>0</v>
      </c>
      <c r="AD13892">
        <v>0</v>
      </c>
      <c r="AE13892">
        <v>0</v>
      </c>
      <c r="AF13892">
        <v>0</v>
      </c>
      <c r="AG13892">
        <v>1</v>
      </c>
      <c r="AH13892">
        <v>1</v>
      </c>
      <c r="AI13892">
        <v>1</v>
      </c>
      <c r="AJ13892">
        <v>1</v>
      </c>
      <c r="AK13892">
        <v>1</v>
      </c>
      <c r="AL13892">
        <v>1</v>
      </c>
      <c r="AM13892">
        <v>1</v>
      </c>
    </row>
    <row r="13893" spans="1:39" x14ac:dyDescent="0.2">
      <c r="A13893" t="str">
        <f>"13889"</f>
        <v>13889</v>
      </c>
      <c r="B13893" t="str">
        <f t="shared" si="772"/>
        <v>1</v>
      </c>
      <c r="C13893" t="str">
        <f t="shared" si="773"/>
        <v>278</v>
      </c>
      <c r="D13893" t="str">
        <f>"27"</f>
        <v>27</v>
      </c>
      <c r="E13893" t="str">
        <f>"1-278-27"</f>
        <v>1-278-27</v>
      </c>
      <c r="F13893" t="s">
        <v>65</v>
      </c>
      <c r="G13893" t="s">
        <v>66</v>
      </c>
      <c r="H13893" t="s">
        <v>67</v>
      </c>
      <c r="S13893">
        <v>0</v>
      </c>
      <c r="T13893">
        <v>1</v>
      </c>
      <c r="U13893">
        <v>0</v>
      </c>
      <c r="V13893">
        <v>0</v>
      </c>
      <c r="W13893">
        <v>0</v>
      </c>
      <c r="X13893">
        <v>1</v>
      </c>
      <c r="Y13893">
        <v>0</v>
      </c>
      <c r="Z13893">
        <v>1</v>
      </c>
      <c r="AA13893">
        <v>0</v>
      </c>
      <c r="AB13893">
        <v>0</v>
      </c>
      <c r="AC13893">
        <v>1</v>
      </c>
      <c r="AD13893">
        <v>1</v>
      </c>
      <c r="AE13893">
        <v>1</v>
      </c>
      <c r="AF13893">
        <v>1</v>
      </c>
      <c r="AG13893">
        <v>1</v>
      </c>
      <c r="AH13893">
        <v>1</v>
      </c>
      <c r="AI13893">
        <v>1</v>
      </c>
      <c r="AJ13893">
        <v>1</v>
      </c>
      <c r="AK13893">
        <v>1</v>
      </c>
      <c r="AL13893">
        <v>1</v>
      </c>
      <c r="AM13893">
        <v>1</v>
      </c>
    </row>
    <row r="13894" spans="1:39" x14ac:dyDescent="0.2">
      <c r="A13894" t="str">
        <f>"13890"</f>
        <v>13890</v>
      </c>
      <c r="B13894" t="str">
        <f t="shared" si="772"/>
        <v>1</v>
      </c>
      <c r="C13894" t="str">
        <f t="shared" si="773"/>
        <v>278</v>
      </c>
      <c r="D13894" t="str">
        <f>"6"</f>
        <v>6</v>
      </c>
      <c r="E13894" t="str">
        <f>"1-278-6"</f>
        <v>1-278-6</v>
      </c>
      <c r="F13894" t="s">
        <v>65</v>
      </c>
      <c r="G13894" t="s">
        <v>66</v>
      </c>
      <c r="H13894" t="s">
        <v>67</v>
      </c>
      <c r="S13894">
        <v>1</v>
      </c>
      <c r="T13894">
        <v>0</v>
      </c>
      <c r="U13894">
        <v>0</v>
      </c>
      <c r="V13894">
        <v>0</v>
      </c>
      <c r="W13894">
        <v>1</v>
      </c>
      <c r="X13894">
        <v>0</v>
      </c>
      <c r="Y13894">
        <v>0</v>
      </c>
      <c r="Z13894">
        <v>1</v>
      </c>
      <c r="AA13894">
        <v>0</v>
      </c>
      <c r="AB13894">
        <v>0</v>
      </c>
      <c r="AC13894">
        <v>1</v>
      </c>
      <c r="AD13894">
        <v>1</v>
      </c>
      <c r="AE13894">
        <v>1</v>
      </c>
      <c r="AF13894">
        <v>1</v>
      </c>
      <c r="AG13894">
        <v>1</v>
      </c>
      <c r="AH13894">
        <v>1</v>
      </c>
      <c r="AI13894">
        <v>1</v>
      </c>
      <c r="AJ13894">
        <v>1</v>
      </c>
      <c r="AK13894">
        <v>1</v>
      </c>
      <c r="AL13894">
        <v>1</v>
      </c>
      <c r="AM13894">
        <v>1</v>
      </c>
    </row>
    <row r="13895" spans="1:39" x14ac:dyDescent="0.2">
      <c r="A13895" t="str">
        <f>"13891"</f>
        <v>13891</v>
      </c>
      <c r="B13895" t="str">
        <f t="shared" si="772"/>
        <v>1</v>
      </c>
      <c r="C13895" t="str">
        <f t="shared" si="773"/>
        <v>278</v>
      </c>
      <c r="D13895" t="str">
        <f>"47"</f>
        <v>47</v>
      </c>
      <c r="E13895" t="str">
        <f>"1-278-47"</f>
        <v>1-278-47</v>
      </c>
      <c r="F13895" t="s">
        <v>65</v>
      </c>
      <c r="G13895" t="s">
        <v>66</v>
      </c>
      <c r="H13895" t="s">
        <v>67</v>
      </c>
      <c r="S13895">
        <v>0</v>
      </c>
      <c r="T13895">
        <v>0</v>
      </c>
      <c r="U13895">
        <v>0</v>
      </c>
      <c r="V13895">
        <v>0</v>
      </c>
      <c r="W13895">
        <v>0</v>
      </c>
      <c r="X13895">
        <v>1</v>
      </c>
      <c r="Y13895">
        <v>0</v>
      </c>
      <c r="Z13895">
        <v>0</v>
      </c>
      <c r="AA13895">
        <v>0</v>
      </c>
      <c r="AB13895">
        <v>0</v>
      </c>
      <c r="AC13895">
        <v>1</v>
      </c>
      <c r="AD13895">
        <v>0</v>
      </c>
      <c r="AE13895">
        <v>0</v>
      </c>
      <c r="AF13895">
        <v>0</v>
      </c>
      <c r="AG13895">
        <v>0</v>
      </c>
      <c r="AH13895">
        <v>0</v>
      </c>
      <c r="AI13895">
        <v>0</v>
      </c>
      <c r="AJ13895">
        <v>0</v>
      </c>
      <c r="AK13895">
        <v>0</v>
      </c>
      <c r="AL13895">
        <v>0</v>
      </c>
      <c r="AM13895">
        <v>0</v>
      </c>
    </row>
    <row r="13896" spans="1:39" x14ac:dyDescent="0.2">
      <c r="A13896" t="str">
        <f>"13892"</f>
        <v>13892</v>
      </c>
      <c r="B13896" t="str">
        <f t="shared" si="772"/>
        <v>1</v>
      </c>
      <c r="C13896" t="str">
        <f t="shared" si="773"/>
        <v>278</v>
      </c>
      <c r="D13896" t="str">
        <f>"28"</f>
        <v>28</v>
      </c>
      <c r="E13896" t="str">
        <f>"1-278-28"</f>
        <v>1-278-28</v>
      </c>
      <c r="F13896" t="s">
        <v>65</v>
      </c>
      <c r="G13896" t="s">
        <v>66</v>
      </c>
      <c r="H13896" t="s">
        <v>67</v>
      </c>
      <c r="S13896">
        <v>0</v>
      </c>
      <c r="T13896">
        <v>1</v>
      </c>
      <c r="U13896">
        <v>0</v>
      </c>
      <c r="V13896">
        <v>0</v>
      </c>
      <c r="W13896">
        <v>1</v>
      </c>
      <c r="X13896">
        <v>0</v>
      </c>
      <c r="Y13896">
        <v>0</v>
      </c>
      <c r="Z13896">
        <v>1</v>
      </c>
      <c r="AA13896">
        <v>1</v>
      </c>
      <c r="AB13896">
        <v>0</v>
      </c>
      <c r="AC13896">
        <v>0</v>
      </c>
      <c r="AD13896">
        <v>1</v>
      </c>
      <c r="AE13896">
        <v>1</v>
      </c>
      <c r="AF13896">
        <v>1</v>
      </c>
      <c r="AG13896">
        <v>1</v>
      </c>
      <c r="AH13896">
        <v>1</v>
      </c>
      <c r="AI13896">
        <v>1</v>
      </c>
      <c r="AJ13896">
        <v>1</v>
      </c>
      <c r="AK13896">
        <v>1</v>
      </c>
      <c r="AL13896">
        <v>1</v>
      </c>
      <c r="AM13896">
        <v>1</v>
      </c>
    </row>
    <row r="13897" spans="1:39" x14ac:dyDescent="0.2">
      <c r="A13897" t="str">
        <f>"13893"</f>
        <v>13893</v>
      </c>
      <c r="B13897" t="str">
        <f t="shared" si="772"/>
        <v>1</v>
      </c>
      <c r="C13897" t="str">
        <f t="shared" si="773"/>
        <v>278</v>
      </c>
      <c r="D13897" t="str">
        <f>"9"</f>
        <v>9</v>
      </c>
      <c r="E13897" t="str">
        <f>"1-278-9"</f>
        <v>1-278-9</v>
      </c>
      <c r="F13897" t="s">
        <v>65</v>
      </c>
      <c r="G13897" t="s">
        <v>66</v>
      </c>
      <c r="H13897" t="s">
        <v>67</v>
      </c>
      <c r="S13897">
        <v>1</v>
      </c>
      <c r="T13897">
        <v>0</v>
      </c>
      <c r="U13897">
        <v>0</v>
      </c>
      <c r="V13897">
        <v>0</v>
      </c>
      <c r="W13897">
        <v>1</v>
      </c>
      <c r="X13897">
        <v>0</v>
      </c>
      <c r="Y13897">
        <v>1</v>
      </c>
      <c r="Z13897">
        <v>0</v>
      </c>
      <c r="AA13897">
        <v>0</v>
      </c>
      <c r="AB13897">
        <v>1</v>
      </c>
      <c r="AC13897">
        <v>0</v>
      </c>
      <c r="AD13897">
        <v>1</v>
      </c>
      <c r="AE13897">
        <v>1</v>
      </c>
      <c r="AF13897">
        <v>1</v>
      </c>
      <c r="AG13897">
        <v>1</v>
      </c>
      <c r="AH13897">
        <v>1</v>
      </c>
      <c r="AI13897">
        <v>1</v>
      </c>
      <c r="AJ13897">
        <v>1</v>
      </c>
      <c r="AK13897">
        <v>1</v>
      </c>
      <c r="AL13897">
        <v>1</v>
      </c>
      <c r="AM13897">
        <v>1</v>
      </c>
    </row>
    <row r="13898" spans="1:39" x14ac:dyDescent="0.2">
      <c r="A13898" t="str">
        <f>"13894"</f>
        <v>13894</v>
      </c>
      <c r="B13898" t="str">
        <f t="shared" si="772"/>
        <v>1</v>
      </c>
      <c r="C13898" t="str">
        <f t="shared" si="773"/>
        <v>278</v>
      </c>
      <c r="D13898" t="str">
        <f>"30"</f>
        <v>30</v>
      </c>
      <c r="E13898" t="str">
        <f>"1-278-30"</f>
        <v>1-278-30</v>
      </c>
      <c r="F13898" t="s">
        <v>65</v>
      </c>
      <c r="G13898" t="s">
        <v>66</v>
      </c>
      <c r="H13898" t="s">
        <v>67</v>
      </c>
      <c r="S13898">
        <v>1</v>
      </c>
      <c r="T13898">
        <v>0</v>
      </c>
      <c r="U13898">
        <v>0</v>
      </c>
      <c r="V13898">
        <v>0</v>
      </c>
      <c r="W13898">
        <v>0</v>
      </c>
      <c r="X13898">
        <v>1</v>
      </c>
      <c r="Y13898">
        <v>0</v>
      </c>
      <c r="Z13898">
        <v>1</v>
      </c>
      <c r="AA13898">
        <v>0</v>
      </c>
      <c r="AB13898">
        <v>0</v>
      </c>
      <c r="AC13898">
        <v>1</v>
      </c>
      <c r="AD13898">
        <v>1</v>
      </c>
      <c r="AE13898">
        <v>1</v>
      </c>
      <c r="AF13898">
        <v>1</v>
      </c>
      <c r="AG13898">
        <v>1</v>
      </c>
      <c r="AH13898">
        <v>1</v>
      </c>
      <c r="AI13898">
        <v>1</v>
      </c>
      <c r="AJ13898">
        <v>1</v>
      </c>
      <c r="AK13898">
        <v>1</v>
      </c>
      <c r="AL13898">
        <v>1</v>
      </c>
      <c r="AM13898">
        <v>1</v>
      </c>
    </row>
    <row r="13899" spans="1:39" x14ac:dyDescent="0.2">
      <c r="A13899" t="str">
        <f>"13895"</f>
        <v>13895</v>
      </c>
      <c r="B13899" t="str">
        <f t="shared" si="772"/>
        <v>1</v>
      </c>
      <c r="C13899" t="str">
        <f t="shared" si="773"/>
        <v>278</v>
      </c>
      <c r="D13899" t="str">
        <f>"2"</f>
        <v>2</v>
      </c>
      <c r="E13899" t="str">
        <f>"1-278-2"</f>
        <v>1-278-2</v>
      </c>
      <c r="F13899" t="s">
        <v>65</v>
      </c>
      <c r="G13899" t="s">
        <v>66</v>
      </c>
      <c r="H13899" t="s">
        <v>67</v>
      </c>
      <c r="S13899">
        <v>1</v>
      </c>
      <c r="T13899">
        <v>0</v>
      </c>
      <c r="U13899">
        <v>0</v>
      </c>
      <c r="V13899">
        <v>0</v>
      </c>
      <c r="W13899">
        <v>1</v>
      </c>
      <c r="X13899">
        <v>0</v>
      </c>
      <c r="Y13899">
        <v>1</v>
      </c>
      <c r="Z13899">
        <v>0</v>
      </c>
      <c r="AA13899">
        <v>0</v>
      </c>
      <c r="AB13899">
        <v>1</v>
      </c>
      <c r="AC13899">
        <v>0</v>
      </c>
      <c r="AD13899">
        <v>0</v>
      </c>
      <c r="AE13899">
        <v>0</v>
      </c>
      <c r="AF13899">
        <v>0</v>
      </c>
      <c r="AG13899">
        <v>0</v>
      </c>
      <c r="AH13899">
        <v>0</v>
      </c>
      <c r="AI13899">
        <v>0</v>
      </c>
      <c r="AJ13899">
        <v>0</v>
      </c>
      <c r="AK13899">
        <v>0</v>
      </c>
      <c r="AL13899">
        <v>1</v>
      </c>
      <c r="AM13899">
        <v>0</v>
      </c>
    </row>
    <row r="13900" spans="1:39" x14ac:dyDescent="0.2">
      <c r="A13900" t="str">
        <f>"13896"</f>
        <v>13896</v>
      </c>
      <c r="B13900" t="str">
        <f t="shared" si="772"/>
        <v>1</v>
      </c>
      <c r="C13900" t="str">
        <f t="shared" si="773"/>
        <v>278</v>
      </c>
      <c r="D13900" t="str">
        <f>"49"</f>
        <v>49</v>
      </c>
      <c r="E13900" t="str">
        <f>"1-278-49"</f>
        <v>1-278-49</v>
      </c>
      <c r="F13900" t="s">
        <v>65</v>
      </c>
      <c r="G13900" t="s">
        <v>66</v>
      </c>
      <c r="H13900" t="s">
        <v>67</v>
      </c>
      <c r="S13900">
        <v>1</v>
      </c>
      <c r="T13900">
        <v>0</v>
      </c>
      <c r="U13900">
        <v>0</v>
      </c>
      <c r="V13900">
        <v>0</v>
      </c>
      <c r="W13900">
        <v>1</v>
      </c>
      <c r="X13900">
        <v>0</v>
      </c>
      <c r="Y13900">
        <v>0</v>
      </c>
      <c r="Z13900">
        <v>0</v>
      </c>
      <c r="AA13900">
        <v>1</v>
      </c>
      <c r="AB13900">
        <v>0</v>
      </c>
      <c r="AC13900">
        <v>0</v>
      </c>
      <c r="AD13900">
        <v>1</v>
      </c>
      <c r="AE13900">
        <v>1</v>
      </c>
      <c r="AF13900">
        <v>1</v>
      </c>
      <c r="AG13900">
        <v>1</v>
      </c>
      <c r="AH13900">
        <v>1</v>
      </c>
      <c r="AI13900">
        <v>1</v>
      </c>
      <c r="AJ13900">
        <v>1</v>
      </c>
      <c r="AK13900">
        <v>1</v>
      </c>
      <c r="AL13900">
        <v>1</v>
      </c>
      <c r="AM13900">
        <v>1</v>
      </c>
    </row>
    <row r="13901" spans="1:39" x14ac:dyDescent="0.2">
      <c r="A13901" t="str">
        <f>"13897"</f>
        <v>13897</v>
      </c>
      <c r="B13901" t="str">
        <f t="shared" si="772"/>
        <v>1</v>
      </c>
      <c r="C13901" t="str">
        <f t="shared" si="773"/>
        <v>278</v>
      </c>
      <c r="D13901" t="str">
        <f>"32"</f>
        <v>32</v>
      </c>
      <c r="E13901" t="str">
        <f>"1-278-32"</f>
        <v>1-278-32</v>
      </c>
      <c r="F13901" t="s">
        <v>65</v>
      </c>
      <c r="G13901" t="s">
        <v>66</v>
      </c>
      <c r="H13901" t="s">
        <v>67</v>
      </c>
      <c r="S13901">
        <v>0</v>
      </c>
      <c r="T13901">
        <v>1</v>
      </c>
      <c r="U13901">
        <v>0</v>
      </c>
      <c r="V13901">
        <v>0</v>
      </c>
      <c r="W13901">
        <v>1</v>
      </c>
      <c r="X13901">
        <v>0</v>
      </c>
      <c r="Y13901">
        <v>0</v>
      </c>
      <c r="Z13901">
        <v>1</v>
      </c>
      <c r="AA13901">
        <v>1</v>
      </c>
      <c r="AB13901">
        <v>0</v>
      </c>
      <c r="AC13901">
        <v>0</v>
      </c>
      <c r="AD13901">
        <v>0</v>
      </c>
      <c r="AE13901">
        <v>0</v>
      </c>
      <c r="AF13901">
        <v>0</v>
      </c>
      <c r="AG13901">
        <v>1</v>
      </c>
      <c r="AH13901">
        <v>0</v>
      </c>
      <c r="AI13901">
        <v>0</v>
      </c>
      <c r="AJ13901">
        <v>0</v>
      </c>
      <c r="AK13901">
        <v>0</v>
      </c>
      <c r="AL13901">
        <v>1</v>
      </c>
      <c r="AM13901">
        <v>1</v>
      </c>
    </row>
    <row r="13902" spans="1:39" x14ac:dyDescent="0.2">
      <c r="A13902" t="str">
        <f>"13898"</f>
        <v>13898</v>
      </c>
      <c r="B13902" t="str">
        <f t="shared" si="772"/>
        <v>1</v>
      </c>
      <c r="C13902" t="str">
        <f t="shared" si="773"/>
        <v>278</v>
      </c>
      <c r="D13902" t="str">
        <f>"8"</f>
        <v>8</v>
      </c>
      <c r="E13902" t="str">
        <f>"1-278-8"</f>
        <v>1-278-8</v>
      </c>
      <c r="F13902" t="s">
        <v>65</v>
      </c>
      <c r="G13902" t="s">
        <v>66</v>
      </c>
      <c r="H13902" t="s">
        <v>67</v>
      </c>
      <c r="S13902">
        <v>1</v>
      </c>
      <c r="T13902">
        <v>0</v>
      </c>
      <c r="U13902">
        <v>0</v>
      </c>
      <c r="V13902">
        <v>0</v>
      </c>
      <c r="W13902">
        <v>1</v>
      </c>
      <c r="X13902">
        <v>0</v>
      </c>
      <c r="Y13902">
        <v>1</v>
      </c>
      <c r="Z13902">
        <v>0</v>
      </c>
      <c r="AA13902">
        <v>1</v>
      </c>
      <c r="AB13902">
        <v>0</v>
      </c>
      <c r="AC13902">
        <v>0</v>
      </c>
      <c r="AD13902">
        <v>1</v>
      </c>
      <c r="AE13902">
        <v>1</v>
      </c>
      <c r="AF13902">
        <v>1</v>
      </c>
      <c r="AG13902">
        <v>1</v>
      </c>
      <c r="AH13902">
        <v>1</v>
      </c>
      <c r="AI13902">
        <v>1</v>
      </c>
      <c r="AJ13902">
        <v>1</v>
      </c>
      <c r="AK13902">
        <v>1</v>
      </c>
      <c r="AL13902">
        <v>1</v>
      </c>
      <c r="AM13902">
        <v>1</v>
      </c>
    </row>
    <row r="13903" spans="1:39" x14ac:dyDescent="0.2">
      <c r="A13903" t="str">
        <f>"13899"</f>
        <v>13899</v>
      </c>
      <c r="B13903" t="str">
        <f t="shared" si="772"/>
        <v>1</v>
      </c>
      <c r="C13903" t="str">
        <f t="shared" si="773"/>
        <v>278</v>
      </c>
      <c r="D13903" t="str">
        <f>"48"</f>
        <v>48</v>
      </c>
      <c r="E13903" t="str">
        <f>"1-278-48"</f>
        <v>1-278-48</v>
      </c>
      <c r="F13903" t="s">
        <v>65</v>
      </c>
      <c r="G13903" t="s">
        <v>66</v>
      </c>
      <c r="H13903" t="s">
        <v>67</v>
      </c>
      <c r="S13903">
        <v>1</v>
      </c>
      <c r="T13903">
        <v>0</v>
      </c>
      <c r="U13903">
        <v>0</v>
      </c>
      <c r="V13903">
        <v>0</v>
      </c>
      <c r="W13903">
        <v>1</v>
      </c>
      <c r="X13903">
        <v>0</v>
      </c>
      <c r="Y13903">
        <v>0</v>
      </c>
      <c r="Z13903">
        <v>0</v>
      </c>
      <c r="AA13903">
        <v>0</v>
      </c>
      <c r="AB13903">
        <v>0</v>
      </c>
      <c r="AC13903">
        <v>1</v>
      </c>
      <c r="AD13903">
        <v>1</v>
      </c>
      <c r="AE13903">
        <v>1</v>
      </c>
      <c r="AF13903">
        <v>1</v>
      </c>
      <c r="AG13903">
        <v>1</v>
      </c>
      <c r="AH13903">
        <v>1</v>
      </c>
      <c r="AI13903">
        <v>1</v>
      </c>
      <c r="AJ13903">
        <v>1</v>
      </c>
      <c r="AK13903">
        <v>1</v>
      </c>
      <c r="AL13903">
        <v>1</v>
      </c>
      <c r="AM13903">
        <v>1</v>
      </c>
    </row>
    <row r="13904" spans="1:39" x14ac:dyDescent="0.2">
      <c r="A13904" t="str">
        <f>"13900"</f>
        <v>13900</v>
      </c>
      <c r="B13904" t="str">
        <f t="shared" si="772"/>
        <v>1</v>
      </c>
      <c r="C13904" t="str">
        <f t="shared" si="773"/>
        <v>278</v>
      </c>
      <c r="D13904" t="str">
        <f>"50"</f>
        <v>50</v>
      </c>
      <c r="E13904" t="str">
        <f>"1-278-50"</f>
        <v>1-278-50</v>
      </c>
      <c r="F13904" t="s">
        <v>65</v>
      </c>
      <c r="G13904" t="s">
        <v>66</v>
      </c>
      <c r="H13904" t="s">
        <v>67</v>
      </c>
      <c r="S13904">
        <v>0</v>
      </c>
      <c r="T13904">
        <v>1</v>
      </c>
      <c r="U13904">
        <v>0</v>
      </c>
      <c r="V13904">
        <v>0</v>
      </c>
      <c r="W13904">
        <v>0</v>
      </c>
      <c r="X13904">
        <v>1</v>
      </c>
      <c r="Y13904">
        <v>0</v>
      </c>
      <c r="Z13904">
        <v>1</v>
      </c>
      <c r="AA13904">
        <v>0</v>
      </c>
      <c r="AB13904">
        <v>0</v>
      </c>
      <c r="AC13904">
        <v>1</v>
      </c>
      <c r="AD13904">
        <v>0</v>
      </c>
      <c r="AE13904">
        <v>0</v>
      </c>
      <c r="AF13904">
        <v>0</v>
      </c>
      <c r="AG13904">
        <v>0</v>
      </c>
      <c r="AH13904">
        <v>0</v>
      </c>
      <c r="AI13904">
        <v>0</v>
      </c>
      <c r="AJ13904">
        <v>0</v>
      </c>
      <c r="AK13904">
        <v>1</v>
      </c>
      <c r="AL13904">
        <v>0</v>
      </c>
      <c r="AM13904">
        <v>0</v>
      </c>
    </row>
    <row r="13905" spans="1:18" x14ac:dyDescent="0.2">
      <c r="A13905" t="str">
        <f>"13901"</f>
        <v>13901</v>
      </c>
      <c r="B13905" t="str">
        <f t="shared" si="772"/>
        <v>1</v>
      </c>
      <c r="C13905" t="str">
        <f t="shared" ref="C13905:C13936" si="774">"279"</f>
        <v>279</v>
      </c>
      <c r="D13905" t="str">
        <f>"38"</f>
        <v>38</v>
      </c>
      <c r="E13905" t="str">
        <f>"1-279-38"</f>
        <v>1-279-38</v>
      </c>
      <c r="F13905" t="s">
        <v>65</v>
      </c>
      <c r="G13905" t="s">
        <v>66</v>
      </c>
      <c r="H13905" t="s">
        <v>68</v>
      </c>
      <c r="I13905">
        <v>1</v>
      </c>
      <c r="J13905">
        <v>0</v>
      </c>
      <c r="K13905">
        <v>1</v>
      </c>
      <c r="L13905">
        <v>0</v>
      </c>
      <c r="M13905">
        <v>1</v>
      </c>
      <c r="N13905">
        <v>1</v>
      </c>
      <c r="O13905">
        <v>1</v>
      </c>
      <c r="P13905">
        <v>1</v>
      </c>
      <c r="Q13905">
        <v>1</v>
      </c>
      <c r="R13905">
        <v>1</v>
      </c>
    </row>
    <row r="13906" spans="1:18" x14ac:dyDescent="0.2">
      <c r="A13906" t="str">
        <f>"13902"</f>
        <v>13902</v>
      </c>
      <c r="B13906" t="str">
        <f t="shared" si="772"/>
        <v>1</v>
      </c>
      <c r="C13906" t="str">
        <f t="shared" si="774"/>
        <v>279</v>
      </c>
      <c r="D13906" t="str">
        <f>"37"</f>
        <v>37</v>
      </c>
      <c r="E13906" t="str">
        <f>"1-279-37"</f>
        <v>1-279-37</v>
      </c>
      <c r="F13906" t="s">
        <v>65</v>
      </c>
      <c r="G13906" t="s">
        <v>66</v>
      </c>
      <c r="H13906" t="s">
        <v>68</v>
      </c>
      <c r="I13906">
        <v>1</v>
      </c>
      <c r="J13906">
        <v>0</v>
      </c>
      <c r="K13906">
        <v>0</v>
      </c>
      <c r="L13906">
        <v>1</v>
      </c>
      <c r="M13906">
        <v>1</v>
      </c>
      <c r="N13906">
        <v>1</v>
      </c>
      <c r="O13906">
        <v>1</v>
      </c>
      <c r="P13906">
        <v>1</v>
      </c>
      <c r="Q13906">
        <v>1</v>
      </c>
      <c r="R13906">
        <v>1</v>
      </c>
    </row>
    <row r="13907" spans="1:18" x14ac:dyDescent="0.2">
      <c r="A13907" t="str">
        <f>"13903"</f>
        <v>13903</v>
      </c>
      <c r="B13907" t="str">
        <f t="shared" si="772"/>
        <v>1</v>
      </c>
      <c r="C13907" t="str">
        <f t="shared" si="774"/>
        <v>279</v>
      </c>
      <c r="D13907" t="str">
        <f>"29"</f>
        <v>29</v>
      </c>
      <c r="E13907" t="str">
        <f>"1-279-29"</f>
        <v>1-279-29</v>
      </c>
      <c r="F13907" t="s">
        <v>65</v>
      </c>
      <c r="G13907" t="s">
        <v>66</v>
      </c>
      <c r="H13907" t="s">
        <v>68</v>
      </c>
      <c r="I13907">
        <v>1</v>
      </c>
      <c r="J13907">
        <v>0</v>
      </c>
      <c r="K13907">
        <v>0</v>
      </c>
      <c r="L13907">
        <v>1</v>
      </c>
      <c r="M13907">
        <v>1</v>
      </c>
      <c r="N13907">
        <v>1</v>
      </c>
      <c r="O13907">
        <v>1</v>
      </c>
      <c r="P13907">
        <v>1</v>
      </c>
      <c r="Q13907">
        <v>1</v>
      </c>
      <c r="R13907">
        <v>1</v>
      </c>
    </row>
    <row r="13908" spans="1:18" x14ac:dyDescent="0.2">
      <c r="A13908" t="str">
        <f>"13904"</f>
        <v>13904</v>
      </c>
      <c r="B13908" t="str">
        <f t="shared" si="772"/>
        <v>1</v>
      </c>
      <c r="C13908" t="str">
        <f t="shared" si="774"/>
        <v>279</v>
      </c>
      <c r="D13908" t="str">
        <f>"15"</f>
        <v>15</v>
      </c>
      <c r="E13908" t="str">
        <f>"1-279-15"</f>
        <v>1-279-15</v>
      </c>
      <c r="F13908" t="s">
        <v>65</v>
      </c>
      <c r="G13908" t="s">
        <v>66</v>
      </c>
      <c r="H13908" t="s">
        <v>68</v>
      </c>
      <c r="I13908">
        <v>1</v>
      </c>
      <c r="J13908">
        <v>0</v>
      </c>
      <c r="K13908">
        <v>1</v>
      </c>
      <c r="L13908">
        <v>0</v>
      </c>
      <c r="M13908">
        <v>1</v>
      </c>
      <c r="N13908">
        <v>1</v>
      </c>
      <c r="O13908">
        <v>1</v>
      </c>
      <c r="P13908">
        <v>1</v>
      </c>
      <c r="Q13908">
        <v>1</v>
      </c>
      <c r="R13908">
        <v>1</v>
      </c>
    </row>
    <row r="13909" spans="1:18" x14ac:dyDescent="0.2">
      <c r="A13909" t="str">
        <f>"13905"</f>
        <v>13905</v>
      </c>
      <c r="B13909" t="str">
        <f t="shared" si="772"/>
        <v>1</v>
      </c>
      <c r="C13909" t="str">
        <f t="shared" si="774"/>
        <v>279</v>
      </c>
      <c r="D13909" t="str">
        <f>"4"</f>
        <v>4</v>
      </c>
      <c r="E13909" t="str">
        <f>"1-279-4"</f>
        <v>1-279-4</v>
      </c>
      <c r="F13909" t="s">
        <v>65</v>
      </c>
      <c r="G13909" t="s">
        <v>66</v>
      </c>
      <c r="H13909" t="s">
        <v>68</v>
      </c>
      <c r="I13909">
        <v>0</v>
      </c>
      <c r="J13909">
        <v>1</v>
      </c>
      <c r="K13909">
        <v>0</v>
      </c>
      <c r="L13909">
        <v>0</v>
      </c>
      <c r="M13909">
        <v>0</v>
      </c>
      <c r="N13909">
        <v>1</v>
      </c>
      <c r="O13909">
        <v>1</v>
      </c>
      <c r="P13909">
        <v>0</v>
      </c>
      <c r="Q13909">
        <v>0</v>
      </c>
      <c r="R13909">
        <v>0</v>
      </c>
    </row>
    <row r="13910" spans="1:18" x14ac:dyDescent="0.2">
      <c r="A13910" t="str">
        <f>"13906"</f>
        <v>13906</v>
      </c>
      <c r="B13910" t="str">
        <f t="shared" si="772"/>
        <v>1</v>
      </c>
      <c r="C13910" t="str">
        <f t="shared" si="774"/>
        <v>279</v>
      </c>
      <c r="D13910" t="str">
        <f>"34"</f>
        <v>34</v>
      </c>
      <c r="E13910" t="str">
        <f>"1-279-34"</f>
        <v>1-279-34</v>
      </c>
      <c r="F13910" t="s">
        <v>65</v>
      </c>
      <c r="G13910" t="s">
        <v>66</v>
      </c>
      <c r="H13910" t="s">
        <v>68</v>
      </c>
      <c r="I13910">
        <v>1</v>
      </c>
      <c r="J13910">
        <v>0</v>
      </c>
      <c r="K13910">
        <v>0</v>
      </c>
      <c r="L13910">
        <v>1</v>
      </c>
      <c r="M13910">
        <v>1</v>
      </c>
      <c r="N13910">
        <v>1</v>
      </c>
      <c r="O13910">
        <v>1</v>
      </c>
      <c r="P13910">
        <v>1</v>
      </c>
      <c r="Q13910">
        <v>1</v>
      </c>
      <c r="R13910">
        <v>1</v>
      </c>
    </row>
    <row r="13911" spans="1:18" x14ac:dyDescent="0.2">
      <c r="A13911" t="str">
        <f>"13907"</f>
        <v>13907</v>
      </c>
      <c r="B13911" t="str">
        <f t="shared" si="772"/>
        <v>1</v>
      </c>
      <c r="C13911" t="str">
        <f t="shared" si="774"/>
        <v>279</v>
      </c>
      <c r="D13911" t="str">
        <f>"33"</f>
        <v>33</v>
      </c>
      <c r="E13911" t="str">
        <f>"1-279-33"</f>
        <v>1-279-33</v>
      </c>
      <c r="F13911" t="s">
        <v>65</v>
      </c>
      <c r="G13911" t="s">
        <v>66</v>
      </c>
      <c r="H13911" t="s">
        <v>68</v>
      </c>
      <c r="I13911">
        <v>1</v>
      </c>
      <c r="J13911">
        <v>0</v>
      </c>
      <c r="K13911">
        <v>1</v>
      </c>
      <c r="L13911">
        <v>0</v>
      </c>
      <c r="M13911">
        <v>1</v>
      </c>
      <c r="N13911">
        <v>1</v>
      </c>
      <c r="O13911">
        <v>1</v>
      </c>
      <c r="P13911">
        <v>1</v>
      </c>
      <c r="Q13911">
        <v>1</v>
      </c>
      <c r="R13911">
        <v>1</v>
      </c>
    </row>
    <row r="13912" spans="1:18" x14ac:dyDescent="0.2">
      <c r="A13912" t="str">
        <f>"13908"</f>
        <v>13908</v>
      </c>
      <c r="B13912" t="str">
        <f t="shared" si="772"/>
        <v>1</v>
      </c>
      <c r="C13912" t="str">
        <f t="shared" si="774"/>
        <v>279</v>
      </c>
      <c r="D13912" t="str">
        <f>"27"</f>
        <v>27</v>
      </c>
      <c r="E13912" t="str">
        <f>"1-279-27"</f>
        <v>1-279-27</v>
      </c>
      <c r="F13912" t="s">
        <v>65</v>
      </c>
      <c r="G13912" t="s">
        <v>66</v>
      </c>
      <c r="H13912" t="s">
        <v>68</v>
      </c>
      <c r="I13912">
        <v>1</v>
      </c>
      <c r="J13912">
        <v>0</v>
      </c>
      <c r="K13912">
        <v>0</v>
      </c>
      <c r="L13912">
        <v>1</v>
      </c>
      <c r="M13912">
        <v>1</v>
      </c>
      <c r="N13912">
        <v>1</v>
      </c>
      <c r="O13912">
        <v>1</v>
      </c>
      <c r="P13912">
        <v>1</v>
      </c>
      <c r="Q13912">
        <v>1</v>
      </c>
      <c r="R13912">
        <v>1</v>
      </c>
    </row>
    <row r="13913" spans="1:18" x14ac:dyDescent="0.2">
      <c r="A13913" t="str">
        <f>"13909"</f>
        <v>13909</v>
      </c>
      <c r="B13913" t="str">
        <f t="shared" si="772"/>
        <v>1</v>
      </c>
      <c r="C13913" t="str">
        <f t="shared" si="774"/>
        <v>279</v>
      </c>
      <c r="D13913" t="str">
        <f>"16"</f>
        <v>16</v>
      </c>
      <c r="E13913" t="str">
        <f>"1-279-16"</f>
        <v>1-279-16</v>
      </c>
      <c r="F13913" t="s">
        <v>65</v>
      </c>
      <c r="G13913" t="s">
        <v>66</v>
      </c>
      <c r="H13913" t="s">
        <v>68</v>
      </c>
      <c r="I13913">
        <v>1</v>
      </c>
      <c r="J13913">
        <v>1</v>
      </c>
      <c r="K13913">
        <v>0</v>
      </c>
      <c r="L13913">
        <v>0</v>
      </c>
      <c r="M13913">
        <v>1</v>
      </c>
      <c r="N13913">
        <v>1</v>
      </c>
      <c r="O13913">
        <v>1</v>
      </c>
      <c r="P13913">
        <v>1</v>
      </c>
      <c r="Q13913">
        <v>1</v>
      </c>
      <c r="R13913">
        <v>1</v>
      </c>
    </row>
    <row r="13914" spans="1:18" x14ac:dyDescent="0.2">
      <c r="A13914" t="str">
        <f>"13910"</f>
        <v>13910</v>
      </c>
      <c r="B13914" t="str">
        <f t="shared" si="772"/>
        <v>1</v>
      </c>
      <c r="C13914" t="str">
        <f t="shared" si="774"/>
        <v>279</v>
      </c>
      <c r="D13914" t="str">
        <f>"8"</f>
        <v>8</v>
      </c>
      <c r="E13914" t="str">
        <f>"1-279-8"</f>
        <v>1-279-8</v>
      </c>
      <c r="F13914" t="s">
        <v>65</v>
      </c>
      <c r="G13914" t="s">
        <v>66</v>
      </c>
      <c r="H13914" t="s">
        <v>68</v>
      </c>
      <c r="I13914">
        <v>1</v>
      </c>
      <c r="J13914">
        <v>0</v>
      </c>
      <c r="K13914">
        <v>0</v>
      </c>
      <c r="L13914">
        <v>1</v>
      </c>
      <c r="M13914">
        <v>1</v>
      </c>
      <c r="N13914">
        <v>1</v>
      </c>
      <c r="O13914">
        <v>1</v>
      </c>
      <c r="P13914">
        <v>1</v>
      </c>
      <c r="Q13914">
        <v>1</v>
      </c>
      <c r="R13914">
        <v>1</v>
      </c>
    </row>
    <row r="13915" spans="1:18" x14ac:dyDescent="0.2">
      <c r="A13915" t="str">
        <f>"13911"</f>
        <v>13911</v>
      </c>
      <c r="B13915" t="str">
        <f t="shared" si="772"/>
        <v>1</v>
      </c>
      <c r="C13915" t="str">
        <f t="shared" si="774"/>
        <v>279</v>
      </c>
      <c r="D13915" t="str">
        <f>"50"</f>
        <v>50</v>
      </c>
      <c r="E13915" t="str">
        <f>"1-279-50"</f>
        <v>1-279-50</v>
      </c>
      <c r="F13915" t="s">
        <v>65</v>
      </c>
      <c r="G13915" t="s">
        <v>66</v>
      </c>
      <c r="H13915" t="s">
        <v>68</v>
      </c>
      <c r="I13915">
        <v>1</v>
      </c>
      <c r="J13915">
        <v>0</v>
      </c>
      <c r="K13915">
        <v>1</v>
      </c>
      <c r="L13915">
        <v>0</v>
      </c>
      <c r="M13915">
        <v>1</v>
      </c>
      <c r="N13915">
        <v>1</v>
      </c>
      <c r="O13915">
        <v>1</v>
      </c>
      <c r="P13915">
        <v>1</v>
      </c>
      <c r="Q13915">
        <v>1</v>
      </c>
      <c r="R13915">
        <v>1</v>
      </c>
    </row>
    <row r="13916" spans="1:18" x14ac:dyDescent="0.2">
      <c r="A13916" t="str">
        <f>"13912"</f>
        <v>13912</v>
      </c>
      <c r="B13916" t="str">
        <f t="shared" si="772"/>
        <v>1</v>
      </c>
      <c r="C13916" t="str">
        <f t="shared" si="774"/>
        <v>279</v>
      </c>
      <c r="D13916" t="str">
        <f>"49"</f>
        <v>49</v>
      </c>
      <c r="E13916" t="str">
        <f>"1-279-49"</f>
        <v>1-279-49</v>
      </c>
      <c r="F13916" t="s">
        <v>65</v>
      </c>
      <c r="G13916" t="s">
        <v>66</v>
      </c>
      <c r="H13916" t="s">
        <v>68</v>
      </c>
      <c r="I13916">
        <v>1</v>
      </c>
      <c r="J13916">
        <v>1</v>
      </c>
      <c r="K13916">
        <v>0</v>
      </c>
      <c r="L13916">
        <v>0</v>
      </c>
      <c r="M13916">
        <v>1</v>
      </c>
      <c r="N13916">
        <v>1</v>
      </c>
      <c r="O13916">
        <v>1</v>
      </c>
      <c r="P13916">
        <v>1</v>
      </c>
      <c r="Q13916">
        <v>1</v>
      </c>
      <c r="R13916">
        <v>1</v>
      </c>
    </row>
    <row r="13917" spans="1:18" x14ac:dyDescent="0.2">
      <c r="A13917" t="str">
        <f>"13913"</f>
        <v>13913</v>
      </c>
      <c r="B13917" t="str">
        <f t="shared" si="772"/>
        <v>1</v>
      </c>
      <c r="C13917" t="str">
        <f t="shared" si="774"/>
        <v>279</v>
      </c>
      <c r="D13917" t="str">
        <f>"31"</f>
        <v>31</v>
      </c>
      <c r="E13917" t="str">
        <f>"1-279-31"</f>
        <v>1-279-31</v>
      </c>
      <c r="F13917" t="s">
        <v>65</v>
      </c>
      <c r="G13917" t="s">
        <v>66</v>
      </c>
      <c r="H13917" t="s">
        <v>68</v>
      </c>
      <c r="I13917">
        <v>1</v>
      </c>
      <c r="J13917">
        <v>0</v>
      </c>
      <c r="K13917">
        <v>1</v>
      </c>
      <c r="L13917">
        <v>0</v>
      </c>
      <c r="M13917">
        <v>1</v>
      </c>
      <c r="N13917">
        <v>1</v>
      </c>
      <c r="O13917">
        <v>1</v>
      </c>
      <c r="P13917">
        <v>1</v>
      </c>
      <c r="Q13917">
        <v>1</v>
      </c>
      <c r="R13917">
        <v>1</v>
      </c>
    </row>
    <row r="13918" spans="1:18" x14ac:dyDescent="0.2">
      <c r="A13918" t="str">
        <f>"13914"</f>
        <v>13914</v>
      </c>
      <c r="B13918" t="str">
        <f t="shared" si="772"/>
        <v>1</v>
      </c>
      <c r="C13918" t="str">
        <f t="shared" si="774"/>
        <v>279</v>
      </c>
      <c r="D13918" t="str">
        <f>"17"</f>
        <v>17</v>
      </c>
      <c r="E13918" t="str">
        <f>"1-279-17"</f>
        <v>1-279-17</v>
      </c>
      <c r="F13918" t="s">
        <v>65</v>
      </c>
      <c r="G13918" t="s">
        <v>66</v>
      </c>
      <c r="H13918" t="s">
        <v>68</v>
      </c>
      <c r="I13918">
        <v>1</v>
      </c>
      <c r="J13918">
        <v>1</v>
      </c>
      <c r="K13918">
        <v>0</v>
      </c>
      <c r="L13918">
        <v>0</v>
      </c>
      <c r="M13918">
        <v>1</v>
      </c>
      <c r="N13918">
        <v>0</v>
      </c>
      <c r="O13918">
        <v>0</v>
      </c>
      <c r="P13918">
        <v>1</v>
      </c>
      <c r="Q13918">
        <v>1</v>
      </c>
      <c r="R13918">
        <v>1</v>
      </c>
    </row>
    <row r="13919" spans="1:18" x14ac:dyDescent="0.2">
      <c r="A13919" t="str">
        <f>"13915"</f>
        <v>13915</v>
      </c>
      <c r="B13919" t="str">
        <f t="shared" si="772"/>
        <v>1</v>
      </c>
      <c r="C13919" t="str">
        <f t="shared" si="774"/>
        <v>279</v>
      </c>
      <c r="D13919" t="str">
        <f>"47"</f>
        <v>47</v>
      </c>
      <c r="E13919" t="str">
        <f>"1-279-47"</f>
        <v>1-279-47</v>
      </c>
      <c r="F13919" t="s">
        <v>65</v>
      </c>
      <c r="G13919" t="s">
        <v>66</v>
      </c>
      <c r="H13919" t="s">
        <v>68</v>
      </c>
      <c r="I13919">
        <v>1</v>
      </c>
      <c r="J13919">
        <v>1</v>
      </c>
      <c r="K13919">
        <v>0</v>
      </c>
      <c r="L13919">
        <v>0</v>
      </c>
      <c r="M13919">
        <v>1</v>
      </c>
      <c r="N13919">
        <v>1</v>
      </c>
      <c r="O13919">
        <v>1</v>
      </c>
      <c r="P13919">
        <v>1</v>
      </c>
      <c r="Q13919">
        <v>1</v>
      </c>
      <c r="R13919">
        <v>1</v>
      </c>
    </row>
    <row r="13920" spans="1:18" x14ac:dyDescent="0.2">
      <c r="A13920" t="str">
        <f>"13916"</f>
        <v>13916</v>
      </c>
      <c r="B13920" t="str">
        <f t="shared" si="772"/>
        <v>1</v>
      </c>
      <c r="C13920" t="str">
        <f t="shared" si="774"/>
        <v>279</v>
      </c>
      <c r="D13920" t="str">
        <f>"46"</f>
        <v>46</v>
      </c>
      <c r="E13920" t="str">
        <f>"1-279-46"</f>
        <v>1-279-46</v>
      </c>
      <c r="F13920" t="s">
        <v>65</v>
      </c>
      <c r="G13920" t="s">
        <v>66</v>
      </c>
      <c r="H13920" t="s">
        <v>68</v>
      </c>
      <c r="I13920">
        <v>1</v>
      </c>
      <c r="J13920">
        <v>0</v>
      </c>
      <c r="K13920">
        <v>1</v>
      </c>
      <c r="L13920">
        <v>0</v>
      </c>
      <c r="M13920">
        <v>1</v>
      </c>
      <c r="N13920">
        <v>1</v>
      </c>
      <c r="O13920">
        <v>1</v>
      </c>
      <c r="P13920">
        <v>1</v>
      </c>
      <c r="Q13920">
        <v>1</v>
      </c>
      <c r="R13920">
        <v>1</v>
      </c>
    </row>
    <row r="13921" spans="1:18" x14ac:dyDescent="0.2">
      <c r="A13921" t="str">
        <f>"13917"</f>
        <v>13917</v>
      </c>
      <c r="B13921" t="str">
        <f t="shared" si="772"/>
        <v>1</v>
      </c>
      <c r="C13921" t="str">
        <f t="shared" si="774"/>
        <v>279</v>
      </c>
      <c r="D13921" t="str">
        <f>"32"</f>
        <v>32</v>
      </c>
      <c r="E13921" t="str">
        <f>"1-279-32"</f>
        <v>1-279-32</v>
      </c>
      <c r="F13921" t="s">
        <v>65</v>
      </c>
      <c r="G13921" t="s">
        <v>66</v>
      </c>
      <c r="H13921" t="s">
        <v>68</v>
      </c>
      <c r="I13921">
        <v>1</v>
      </c>
      <c r="J13921">
        <v>0</v>
      </c>
      <c r="K13921">
        <v>1</v>
      </c>
      <c r="L13921">
        <v>0</v>
      </c>
      <c r="M13921">
        <v>1</v>
      </c>
      <c r="N13921">
        <v>1</v>
      </c>
      <c r="O13921">
        <v>1</v>
      </c>
      <c r="P13921">
        <v>1</v>
      </c>
      <c r="Q13921">
        <v>1</v>
      </c>
      <c r="R13921">
        <v>1</v>
      </c>
    </row>
    <row r="13922" spans="1:18" x14ac:dyDescent="0.2">
      <c r="A13922" t="str">
        <f>"13918"</f>
        <v>13918</v>
      </c>
      <c r="B13922" t="str">
        <f t="shared" si="772"/>
        <v>1</v>
      </c>
      <c r="C13922" t="str">
        <f t="shared" si="774"/>
        <v>279</v>
      </c>
      <c r="D13922" t="str">
        <f>"18"</f>
        <v>18</v>
      </c>
      <c r="E13922" t="str">
        <f>"1-279-18"</f>
        <v>1-279-18</v>
      </c>
      <c r="F13922" t="s">
        <v>65</v>
      </c>
      <c r="G13922" t="s">
        <v>66</v>
      </c>
      <c r="H13922" t="s">
        <v>68</v>
      </c>
      <c r="I13922">
        <v>1</v>
      </c>
      <c r="J13922">
        <v>0</v>
      </c>
      <c r="K13922">
        <v>0</v>
      </c>
      <c r="L13922">
        <v>1</v>
      </c>
      <c r="M13922">
        <v>1</v>
      </c>
      <c r="N13922">
        <v>1</v>
      </c>
      <c r="O13922">
        <v>1</v>
      </c>
      <c r="P13922">
        <v>1</v>
      </c>
      <c r="Q13922">
        <v>1</v>
      </c>
      <c r="R13922">
        <v>1</v>
      </c>
    </row>
    <row r="13923" spans="1:18" x14ac:dyDescent="0.2">
      <c r="A13923" t="str">
        <f>"13919"</f>
        <v>13919</v>
      </c>
      <c r="B13923" t="str">
        <f t="shared" si="772"/>
        <v>1</v>
      </c>
      <c r="C13923" t="str">
        <f t="shared" si="774"/>
        <v>279</v>
      </c>
      <c r="D13923" t="str">
        <f>"14"</f>
        <v>14</v>
      </c>
      <c r="E13923" t="str">
        <f>"1-279-14"</f>
        <v>1-279-14</v>
      </c>
      <c r="F13923" t="s">
        <v>65</v>
      </c>
      <c r="G13923" t="s">
        <v>66</v>
      </c>
      <c r="H13923" t="s">
        <v>68</v>
      </c>
      <c r="I13923">
        <v>1</v>
      </c>
      <c r="J13923">
        <v>0</v>
      </c>
      <c r="K13923">
        <v>1</v>
      </c>
      <c r="L13923">
        <v>0</v>
      </c>
      <c r="M13923">
        <v>1</v>
      </c>
      <c r="N13923">
        <v>1</v>
      </c>
      <c r="O13923">
        <v>1</v>
      </c>
      <c r="P13923">
        <v>1</v>
      </c>
      <c r="Q13923">
        <v>1</v>
      </c>
      <c r="R13923">
        <v>1</v>
      </c>
    </row>
    <row r="13924" spans="1:18" x14ac:dyDescent="0.2">
      <c r="A13924" t="str">
        <f>"13920"</f>
        <v>13920</v>
      </c>
      <c r="B13924" t="str">
        <f t="shared" si="772"/>
        <v>1</v>
      </c>
      <c r="C13924" t="str">
        <f t="shared" si="774"/>
        <v>279</v>
      </c>
      <c r="D13924" t="str">
        <f>"35"</f>
        <v>35</v>
      </c>
      <c r="E13924" t="str">
        <f>"1-279-35"</f>
        <v>1-279-35</v>
      </c>
      <c r="F13924" t="s">
        <v>65</v>
      </c>
      <c r="G13924" t="s">
        <v>66</v>
      </c>
      <c r="H13924" t="s">
        <v>68</v>
      </c>
      <c r="I13924">
        <v>0</v>
      </c>
      <c r="J13924">
        <v>0</v>
      </c>
      <c r="K13924">
        <v>0</v>
      </c>
      <c r="L13924">
        <v>1</v>
      </c>
      <c r="M13924">
        <v>1</v>
      </c>
      <c r="N13924">
        <v>1</v>
      </c>
      <c r="O13924">
        <v>1</v>
      </c>
      <c r="P13924">
        <v>0</v>
      </c>
      <c r="Q13924">
        <v>1</v>
      </c>
      <c r="R13924">
        <v>1</v>
      </c>
    </row>
    <row r="13925" spans="1:18" x14ac:dyDescent="0.2">
      <c r="A13925" t="str">
        <f>"13921"</f>
        <v>13921</v>
      </c>
      <c r="B13925" t="str">
        <f t="shared" si="772"/>
        <v>1</v>
      </c>
      <c r="C13925" t="str">
        <f t="shared" si="774"/>
        <v>279</v>
      </c>
      <c r="D13925" t="str">
        <f>"19"</f>
        <v>19</v>
      </c>
      <c r="E13925" t="str">
        <f>"1-279-19"</f>
        <v>1-279-19</v>
      </c>
      <c r="F13925" t="s">
        <v>65</v>
      </c>
      <c r="G13925" t="s">
        <v>66</v>
      </c>
      <c r="H13925" t="s">
        <v>68</v>
      </c>
      <c r="I13925">
        <v>0</v>
      </c>
      <c r="J13925">
        <v>0</v>
      </c>
      <c r="K13925">
        <v>0</v>
      </c>
      <c r="L13925">
        <v>1</v>
      </c>
      <c r="M13925">
        <v>0</v>
      </c>
      <c r="N13925">
        <v>0</v>
      </c>
      <c r="O13925">
        <v>1</v>
      </c>
      <c r="P13925">
        <v>0</v>
      </c>
      <c r="Q13925">
        <v>0</v>
      </c>
      <c r="R13925">
        <v>0</v>
      </c>
    </row>
    <row r="13926" spans="1:18" x14ac:dyDescent="0.2">
      <c r="A13926" t="str">
        <f>"13922"</f>
        <v>13922</v>
      </c>
      <c r="B13926" t="str">
        <f t="shared" si="772"/>
        <v>1</v>
      </c>
      <c r="C13926" t="str">
        <f t="shared" si="774"/>
        <v>279</v>
      </c>
      <c r="D13926" t="str">
        <f>"6"</f>
        <v>6</v>
      </c>
      <c r="E13926" t="str">
        <f>"1-279-6"</f>
        <v>1-279-6</v>
      </c>
      <c r="F13926" t="s">
        <v>65</v>
      </c>
      <c r="G13926" t="s">
        <v>66</v>
      </c>
      <c r="H13926" t="s">
        <v>68</v>
      </c>
      <c r="I13926">
        <v>0</v>
      </c>
      <c r="J13926">
        <v>1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  <c r="Q13926">
        <v>0</v>
      </c>
      <c r="R13926">
        <v>0</v>
      </c>
    </row>
    <row r="13927" spans="1:18" x14ac:dyDescent="0.2">
      <c r="A13927" t="str">
        <f>"13923"</f>
        <v>13923</v>
      </c>
      <c r="B13927" t="str">
        <f t="shared" si="772"/>
        <v>1</v>
      </c>
      <c r="C13927" t="str">
        <f t="shared" si="774"/>
        <v>279</v>
      </c>
      <c r="D13927" t="str">
        <f>"36"</f>
        <v>36</v>
      </c>
      <c r="E13927" t="str">
        <f>"1-279-36"</f>
        <v>1-279-36</v>
      </c>
      <c r="F13927" t="s">
        <v>65</v>
      </c>
      <c r="G13927" t="s">
        <v>66</v>
      </c>
      <c r="H13927" t="s">
        <v>68</v>
      </c>
      <c r="I13927">
        <v>1</v>
      </c>
      <c r="J13927">
        <v>0</v>
      </c>
      <c r="K13927">
        <v>0</v>
      </c>
      <c r="L13927">
        <v>1</v>
      </c>
      <c r="M13927">
        <v>1</v>
      </c>
      <c r="N13927">
        <v>1</v>
      </c>
      <c r="O13927">
        <v>1</v>
      </c>
      <c r="P13927">
        <v>1</v>
      </c>
      <c r="Q13927">
        <v>1</v>
      </c>
      <c r="R13927">
        <v>1</v>
      </c>
    </row>
    <row r="13928" spans="1:18" x14ac:dyDescent="0.2">
      <c r="A13928" t="str">
        <f>"13924"</f>
        <v>13924</v>
      </c>
      <c r="B13928" t="str">
        <f t="shared" si="772"/>
        <v>1</v>
      </c>
      <c r="C13928" t="str">
        <f t="shared" si="774"/>
        <v>279</v>
      </c>
      <c r="D13928" t="str">
        <f>"20"</f>
        <v>20</v>
      </c>
      <c r="E13928" t="str">
        <f>"1-279-20"</f>
        <v>1-279-20</v>
      </c>
      <c r="F13928" t="s">
        <v>65</v>
      </c>
      <c r="G13928" t="s">
        <v>66</v>
      </c>
      <c r="H13928" t="s">
        <v>68</v>
      </c>
      <c r="I13928">
        <v>1</v>
      </c>
      <c r="J13928">
        <v>0</v>
      </c>
      <c r="K13928">
        <v>0</v>
      </c>
      <c r="L13928">
        <v>1</v>
      </c>
      <c r="M13928">
        <v>1</v>
      </c>
      <c r="N13928">
        <v>1</v>
      </c>
      <c r="O13928">
        <v>1</v>
      </c>
      <c r="P13928">
        <v>1</v>
      </c>
      <c r="Q13928">
        <v>1</v>
      </c>
      <c r="R13928">
        <v>1</v>
      </c>
    </row>
    <row r="13929" spans="1:18" x14ac:dyDescent="0.2">
      <c r="A13929" t="str">
        <f>"13925"</f>
        <v>13925</v>
      </c>
      <c r="B13929" t="str">
        <f t="shared" si="772"/>
        <v>1</v>
      </c>
      <c r="C13929" t="str">
        <f t="shared" si="774"/>
        <v>279</v>
      </c>
      <c r="D13929" t="str">
        <f>"11"</f>
        <v>11</v>
      </c>
      <c r="E13929" t="str">
        <f>"1-279-11"</f>
        <v>1-279-11</v>
      </c>
      <c r="F13929" t="s">
        <v>65</v>
      </c>
      <c r="G13929" t="s">
        <v>66</v>
      </c>
      <c r="H13929" t="s">
        <v>68</v>
      </c>
      <c r="I13929">
        <v>1</v>
      </c>
      <c r="J13929">
        <v>0</v>
      </c>
      <c r="K13929">
        <v>0</v>
      </c>
      <c r="L13929">
        <v>1</v>
      </c>
      <c r="M13929">
        <v>1</v>
      </c>
      <c r="N13929">
        <v>1</v>
      </c>
      <c r="O13929">
        <v>1</v>
      </c>
      <c r="P13929">
        <v>1</v>
      </c>
      <c r="Q13929">
        <v>1</v>
      </c>
      <c r="R13929">
        <v>1</v>
      </c>
    </row>
    <row r="13930" spans="1:18" x14ac:dyDescent="0.2">
      <c r="A13930" t="str">
        <f>"13926"</f>
        <v>13926</v>
      </c>
      <c r="B13930" t="str">
        <f t="shared" si="772"/>
        <v>1</v>
      </c>
      <c r="C13930" t="str">
        <f t="shared" si="774"/>
        <v>279</v>
      </c>
      <c r="D13930" t="str">
        <f>"39"</f>
        <v>39</v>
      </c>
      <c r="E13930" t="str">
        <f>"1-279-39"</f>
        <v>1-279-39</v>
      </c>
      <c r="F13930" t="s">
        <v>65</v>
      </c>
      <c r="G13930" t="s">
        <v>66</v>
      </c>
      <c r="H13930" t="s">
        <v>68</v>
      </c>
      <c r="I13930">
        <v>1</v>
      </c>
      <c r="J13930">
        <v>0</v>
      </c>
      <c r="K13930">
        <v>0</v>
      </c>
      <c r="L13930">
        <v>1</v>
      </c>
      <c r="M13930">
        <v>1</v>
      </c>
      <c r="N13930">
        <v>1</v>
      </c>
      <c r="O13930">
        <v>1</v>
      </c>
      <c r="P13930">
        <v>1</v>
      </c>
      <c r="Q13930">
        <v>1</v>
      </c>
      <c r="R13930">
        <v>1</v>
      </c>
    </row>
    <row r="13931" spans="1:18" x14ac:dyDescent="0.2">
      <c r="A13931" t="str">
        <f>"13927"</f>
        <v>13927</v>
      </c>
      <c r="B13931" t="str">
        <f t="shared" si="772"/>
        <v>1</v>
      </c>
      <c r="C13931" t="str">
        <f t="shared" si="774"/>
        <v>279</v>
      </c>
      <c r="D13931" t="str">
        <f>"21"</f>
        <v>21</v>
      </c>
      <c r="E13931" t="str">
        <f>"1-279-21"</f>
        <v>1-279-21</v>
      </c>
      <c r="F13931" t="s">
        <v>65</v>
      </c>
      <c r="G13931" t="s">
        <v>66</v>
      </c>
      <c r="H13931" t="s">
        <v>68</v>
      </c>
      <c r="I13931">
        <v>1</v>
      </c>
      <c r="J13931">
        <v>1</v>
      </c>
      <c r="K13931">
        <v>0</v>
      </c>
      <c r="L13931">
        <v>0</v>
      </c>
      <c r="M13931">
        <v>1</v>
      </c>
      <c r="N13931">
        <v>1</v>
      </c>
      <c r="O13931">
        <v>1</v>
      </c>
      <c r="P13931">
        <v>1</v>
      </c>
      <c r="Q13931">
        <v>1</v>
      </c>
      <c r="R13931">
        <v>1</v>
      </c>
    </row>
    <row r="13932" spans="1:18" x14ac:dyDescent="0.2">
      <c r="A13932" t="str">
        <f>"13928"</f>
        <v>13928</v>
      </c>
      <c r="B13932" t="str">
        <f t="shared" si="772"/>
        <v>1</v>
      </c>
      <c r="C13932" t="str">
        <f t="shared" si="774"/>
        <v>279</v>
      </c>
      <c r="D13932" t="str">
        <f>"2"</f>
        <v>2</v>
      </c>
      <c r="E13932" t="str">
        <f>"1-279-2"</f>
        <v>1-279-2</v>
      </c>
      <c r="F13932" t="s">
        <v>65</v>
      </c>
      <c r="G13932" t="s">
        <v>66</v>
      </c>
      <c r="H13932" t="s">
        <v>68</v>
      </c>
      <c r="I13932">
        <v>0</v>
      </c>
      <c r="J13932">
        <v>0</v>
      </c>
      <c r="K13932">
        <v>1</v>
      </c>
      <c r="L13932">
        <v>0</v>
      </c>
      <c r="M13932">
        <v>0</v>
      </c>
      <c r="N13932">
        <v>1</v>
      </c>
      <c r="O13932">
        <v>0</v>
      </c>
      <c r="P13932">
        <v>0</v>
      </c>
      <c r="Q13932">
        <v>1</v>
      </c>
      <c r="R13932">
        <v>1</v>
      </c>
    </row>
    <row r="13933" spans="1:18" x14ac:dyDescent="0.2">
      <c r="A13933" t="str">
        <f>"13929"</f>
        <v>13929</v>
      </c>
      <c r="B13933" t="str">
        <f t="shared" si="772"/>
        <v>1</v>
      </c>
      <c r="C13933" t="str">
        <f t="shared" si="774"/>
        <v>279</v>
      </c>
      <c r="D13933" t="str">
        <f>"40"</f>
        <v>40</v>
      </c>
      <c r="E13933" t="str">
        <f>"1-279-40"</f>
        <v>1-279-40</v>
      </c>
      <c r="F13933" t="s">
        <v>65</v>
      </c>
      <c r="G13933" t="s">
        <v>66</v>
      </c>
      <c r="H13933" t="s">
        <v>68</v>
      </c>
      <c r="I13933">
        <v>1</v>
      </c>
      <c r="J13933">
        <v>0</v>
      </c>
      <c r="K13933">
        <v>0</v>
      </c>
      <c r="L13933">
        <v>1</v>
      </c>
      <c r="M13933">
        <v>1</v>
      </c>
      <c r="N13933">
        <v>1</v>
      </c>
      <c r="O13933">
        <v>1</v>
      </c>
      <c r="P13933">
        <v>1</v>
      </c>
      <c r="Q13933">
        <v>1</v>
      </c>
      <c r="R13933">
        <v>1</v>
      </c>
    </row>
    <row r="13934" spans="1:18" x14ac:dyDescent="0.2">
      <c r="A13934" t="str">
        <f>"13930"</f>
        <v>13930</v>
      </c>
      <c r="B13934" t="str">
        <f t="shared" si="772"/>
        <v>1</v>
      </c>
      <c r="C13934" t="str">
        <f t="shared" si="774"/>
        <v>279</v>
      </c>
      <c r="D13934" t="str">
        <f>"22"</f>
        <v>22</v>
      </c>
      <c r="E13934" t="str">
        <f>"1-279-22"</f>
        <v>1-279-22</v>
      </c>
      <c r="F13934" t="s">
        <v>65</v>
      </c>
      <c r="G13934" t="s">
        <v>66</v>
      </c>
      <c r="H13934" t="s">
        <v>68</v>
      </c>
      <c r="I13934">
        <v>0</v>
      </c>
      <c r="J13934">
        <v>0</v>
      </c>
      <c r="K13934">
        <v>0</v>
      </c>
      <c r="L13934">
        <v>1</v>
      </c>
      <c r="M13934">
        <v>0</v>
      </c>
      <c r="N13934">
        <v>0</v>
      </c>
      <c r="O13934">
        <v>0</v>
      </c>
      <c r="P13934">
        <v>0</v>
      </c>
      <c r="Q13934">
        <v>0</v>
      </c>
      <c r="R13934">
        <v>0</v>
      </c>
    </row>
    <row r="13935" spans="1:18" x14ac:dyDescent="0.2">
      <c r="A13935" t="str">
        <f>"13931"</f>
        <v>13931</v>
      </c>
      <c r="B13935" t="str">
        <f t="shared" si="772"/>
        <v>1</v>
      </c>
      <c r="C13935" t="str">
        <f t="shared" si="774"/>
        <v>279</v>
      </c>
      <c r="D13935" t="str">
        <f>"13"</f>
        <v>13</v>
      </c>
      <c r="E13935" t="str">
        <f>"1-279-13"</f>
        <v>1-279-13</v>
      </c>
      <c r="F13935" t="s">
        <v>65</v>
      </c>
      <c r="G13935" t="s">
        <v>66</v>
      </c>
      <c r="H13935" t="s">
        <v>68</v>
      </c>
      <c r="I13935">
        <v>1</v>
      </c>
      <c r="J13935">
        <v>1</v>
      </c>
      <c r="K13935">
        <v>0</v>
      </c>
      <c r="L13935">
        <v>0</v>
      </c>
      <c r="M13935">
        <v>1</v>
      </c>
      <c r="N13935">
        <v>1</v>
      </c>
      <c r="O13935">
        <v>1</v>
      </c>
      <c r="P13935">
        <v>1</v>
      </c>
      <c r="Q13935">
        <v>1</v>
      </c>
      <c r="R13935">
        <v>1</v>
      </c>
    </row>
    <row r="13936" spans="1:18" x14ac:dyDescent="0.2">
      <c r="A13936" t="str">
        <f>"13932"</f>
        <v>13932</v>
      </c>
      <c r="B13936" t="str">
        <f t="shared" si="772"/>
        <v>1</v>
      </c>
      <c r="C13936" t="str">
        <f t="shared" si="774"/>
        <v>279</v>
      </c>
      <c r="D13936" t="str">
        <f>"44"</f>
        <v>44</v>
      </c>
      <c r="E13936" t="str">
        <f>"1-279-44"</f>
        <v>1-279-44</v>
      </c>
      <c r="F13936" t="s">
        <v>65</v>
      </c>
      <c r="G13936" t="s">
        <v>66</v>
      </c>
      <c r="H13936" t="s">
        <v>68</v>
      </c>
      <c r="I13936">
        <v>1</v>
      </c>
      <c r="J13936">
        <v>0</v>
      </c>
      <c r="K13936">
        <v>0</v>
      </c>
      <c r="L13936">
        <v>1</v>
      </c>
      <c r="M13936">
        <v>1</v>
      </c>
      <c r="N13936">
        <v>1</v>
      </c>
      <c r="O13936">
        <v>0</v>
      </c>
      <c r="P13936">
        <v>1</v>
      </c>
      <c r="Q13936">
        <v>1</v>
      </c>
      <c r="R13936">
        <v>1</v>
      </c>
    </row>
    <row r="13937" spans="1:18" x14ac:dyDescent="0.2">
      <c r="A13937" t="str">
        <f>"13933"</f>
        <v>13933</v>
      </c>
      <c r="B13937" t="str">
        <f t="shared" si="772"/>
        <v>1</v>
      </c>
      <c r="C13937" t="str">
        <f t="shared" ref="C13937:C13954" si="775">"279"</f>
        <v>279</v>
      </c>
      <c r="D13937" t="str">
        <f>"23"</f>
        <v>23</v>
      </c>
      <c r="E13937" t="str">
        <f>"1-279-23"</f>
        <v>1-279-23</v>
      </c>
      <c r="F13937" t="s">
        <v>65</v>
      </c>
      <c r="G13937" t="s">
        <v>66</v>
      </c>
      <c r="H13937" t="s">
        <v>68</v>
      </c>
      <c r="I13937">
        <v>1</v>
      </c>
      <c r="J13937">
        <v>0</v>
      </c>
      <c r="K13937">
        <v>0</v>
      </c>
      <c r="L13937">
        <v>1</v>
      </c>
      <c r="M13937">
        <v>1</v>
      </c>
      <c r="N13937">
        <v>0</v>
      </c>
      <c r="O13937">
        <v>0</v>
      </c>
      <c r="P13937">
        <v>1</v>
      </c>
      <c r="Q13937">
        <v>0</v>
      </c>
      <c r="R13937">
        <v>0</v>
      </c>
    </row>
    <row r="13938" spans="1:18" x14ac:dyDescent="0.2">
      <c r="A13938" t="str">
        <f>"13934"</f>
        <v>13934</v>
      </c>
      <c r="B13938" t="str">
        <f t="shared" si="772"/>
        <v>1</v>
      </c>
      <c r="C13938" t="str">
        <f t="shared" si="775"/>
        <v>279</v>
      </c>
      <c r="D13938" t="str">
        <f>"12"</f>
        <v>12</v>
      </c>
      <c r="E13938" t="str">
        <f>"1-279-12"</f>
        <v>1-279-12</v>
      </c>
      <c r="F13938" t="s">
        <v>65</v>
      </c>
      <c r="G13938" t="s">
        <v>66</v>
      </c>
      <c r="H13938" t="s">
        <v>68</v>
      </c>
      <c r="I13938">
        <v>1</v>
      </c>
      <c r="J13938">
        <v>0</v>
      </c>
      <c r="K13938">
        <v>1</v>
      </c>
      <c r="L13938">
        <v>0</v>
      </c>
      <c r="M13938">
        <v>1</v>
      </c>
      <c r="N13938">
        <v>1</v>
      </c>
      <c r="O13938">
        <v>1</v>
      </c>
      <c r="P13938">
        <v>1</v>
      </c>
      <c r="Q13938">
        <v>1</v>
      </c>
      <c r="R13938">
        <v>1</v>
      </c>
    </row>
    <row r="13939" spans="1:18" x14ac:dyDescent="0.2">
      <c r="A13939" t="str">
        <f>"13935"</f>
        <v>13935</v>
      </c>
      <c r="B13939" t="str">
        <f t="shared" si="772"/>
        <v>1</v>
      </c>
      <c r="C13939" t="str">
        <f t="shared" si="775"/>
        <v>279</v>
      </c>
      <c r="D13939" t="str">
        <f>"41"</f>
        <v>41</v>
      </c>
      <c r="E13939" t="str">
        <f>"1-279-41"</f>
        <v>1-279-41</v>
      </c>
      <c r="F13939" t="s">
        <v>65</v>
      </c>
      <c r="G13939" t="s">
        <v>66</v>
      </c>
      <c r="H13939" t="s">
        <v>68</v>
      </c>
      <c r="I13939">
        <v>1</v>
      </c>
      <c r="J13939">
        <v>1</v>
      </c>
      <c r="K13939">
        <v>0</v>
      </c>
      <c r="L13939">
        <v>0</v>
      </c>
      <c r="M13939">
        <v>1</v>
      </c>
      <c r="N13939">
        <v>1</v>
      </c>
      <c r="O13939">
        <v>1</v>
      </c>
      <c r="P13939">
        <v>1</v>
      </c>
      <c r="Q13939">
        <v>1</v>
      </c>
      <c r="R13939">
        <v>1</v>
      </c>
    </row>
    <row r="13940" spans="1:18" x14ac:dyDescent="0.2">
      <c r="A13940" t="str">
        <f>"13936"</f>
        <v>13936</v>
      </c>
      <c r="B13940" t="str">
        <f t="shared" si="772"/>
        <v>1</v>
      </c>
      <c r="C13940" t="str">
        <f t="shared" si="775"/>
        <v>279</v>
      </c>
      <c r="D13940" t="str">
        <f>"24"</f>
        <v>24</v>
      </c>
      <c r="E13940" t="str">
        <f>"1-279-24"</f>
        <v>1-279-24</v>
      </c>
      <c r="F13940" t="s">
        <v>65</v>
      </c>
      <c r="G13940" t="s">
        <v>66</v>
      </c>
      <c r="H13940" t="s">
        <v>68</v>
      </c>
      <c r="I13940">
        <v>1</v>
      </c>
      <c r="J13940">
        <v>0</v>
      </c>
      <c r="K13940">
        <v>1</v>
      </c>
      <c r="L13940">
        <v>0</v>
      </c>
      <c r="M13940">
        <v>0</v>
      </c>
      <c r="N13940">
        <v>0</v>
      </c>
      <c r="O13940">
        <v>1</v>
      </c>
      <c r="P13940">
        <v>1</v>
      </c>
      <c r="Q13940">
        <v>1</v>
      </c>
      <c r="R13940">
        <v>1</v>
      </c>
    </row>
    <row r="13941" spans="1:18" x14ac:dyDescent="0.2">
      <c r="A13941" t="str">
        <f>"13937"</f>
        <v>13937</v>
      </c>
      <c r="B13941" t="str">
        <f t="shared" si="772"/>
        <v>1</v>
      </c>
      <c r="C13941" t="str">
        <f t="shared" si="775"/>
        <v>279</v>
      </c>
      <c r="D13941" t="str">
        <f>"9"</f>
        <v>9</v>
      </c>
      <c r="E13941" t="str">
        <f>"1-279-9"</f>
        <v>1-279-9</v>
      </c>
      <c r="F13941" t="s">
        <v>65</v>
      </c>
      <c r="G13941" t="s">
        <v>66</v>
      </c>
      <c r="H13941" t="s">
        <v>68</v>
      </c>
      <c r="I13941">
        <v>1</v>
      </c>
      <c r="J13941">
        <v>0</v>
      </c>
      <c r="K13941">
        <v>0</v>
      </c>
      <c r="L13941">
        <v>1</v>
      </c>
      <c r="M13941">
        <v>1</v>
      </c>
      <c r="N13941">
        <v>1</v>
      </c>
      <c r="O13941">
        <v>1</v>
      </c>
      <c r="P13941">
        <v>0</v>
      </c>
      <c r="Q13941">
        <v>0</v>
      </c>
      <c r="R13941">
        <v>0</v>
      </c>
    </row>
    <row r="13942" spans="1:18" x14ac:dyDescent="0.2">
      <c r="A13942" t="str">
        <f>"13938"</f>
        <v>13938</v>
      </c>
      <c r="B13942" t="str">
        <f t="shared" si="772"/>
        <v>1</v>
      </c>
      <c r="C13942" t="str">
        <f t="shared" si="775"/>
        <v>279</v>
      </c>
      <c r="D13942" t="str">
        <f>"42"</f>
        <v>42</v>
      </c>
      <c r="E13942" t="str">
        <f>"1-279-42"</f>
        <v>1-279-42</v>
      </c>
      <c r="F13942" t="s">
        <v>65</v>
      </c>
      <c r="G13942" t="s">
        <v>66</v>
      </c>
      <c r="H13942" t="s">
        <v>68</v>
      </c>
      <c r="I13942">
        <v>1</v>
      </c>
      <c r="J13942">
        <v>0</v>
      </c>
      <c r="K13942">
        <v>1</v>
      </c>
      <c r="L13942">
        <v>0</v>
      </c>
      <c r="M13942">
        <v>1</v>
      </c>
      <c r="N13942">
        <v>1</v>
      </c>
      <c r="O13942">
        <v>1</v>
      </c>
      <c r="P13942">
        <v>0</v>
      </c>
      <c r="Q13942">
        <v>1</v>
      </c>
      <c r="R13942">
        <v>1</v>
      </c>
    </row>
    <row r="13943" spans="1:18" x14ac:dyDescent="0.2">
      <c r="A13943" t="str">
        <f>"13939"</f>
        <v>13939</v>
      </c>
      <c r="B13943" t="str">
        <f t="shared" ref="B13943:B14006" si="776">"1"</f>
        <v>1</v>
      </c>
      <c r="C13943" t="str">
        <f t="shared" si="775"/>
        <v>279</v>
      </c>
      <c r="D13943" t="str">
        <f>"25"</f>
        <v>25</v>
      </c>
      <c r="E13943" t="str">
        <f>"1-279-25"</f>
        <v>1-279-25</v>
      </c>
      <c r="F13943" t="s">
        <v>65</v>
      </c>
      <c r="G13943" t="s">
        <v>66</v>
      </c>
      <c r="H13943" t="s">
        <v>68</v>
      </c>
      <c r="I13943">
        <v>1</v>
      </c>
      <c r="J13943">
        <v>0</v>
      </c>
      <c r="K13943">
        <v>0</v>
      </c>
      <c r="L13943">
        <v>1</v>
      </c>
      <c r="M13943">
        <v>0</v>
      </c>
      <c r="N13943">
        <v>1</v>
      </c>
      <c r="O13943">
        <v>1</v>
      </c>
      <c r="P13943">
        <v>1</v>
      </c>
      <c r="Q13943">
        <v>1</v>
      </c>
      <c r="R13943">
        <v>1</v>
      </c>
    </row>
    <row r="13944" spans="1:18" x14ac:dyDescent="0.2">
      <c r="A13944" t="str">
        <f>"13940"</f>
        <v>13940</v>
      </c>
      <c r="B13944" t="str">
        <f t="shared" si="776"/>
        <v>1</v>
      </c>
      <c r="C13944" t="str">
        <f t="shared" si="775"/>
        <v>279</v>
      </c>
      <c r="D13944" t="str">
        <f>"5"</f>
        <v>5</v>
      </c>
      <c r="E13944" t="str">
        <f>"1-279-5"</f>
        <v>1-279-5</v>
      </c>
      <c r="F13944" t="s">
        <v>65</v>
      </c>
      <c r="G13944" t="s">
        <v>66</v>
      </c>
      <c r="H13944" t="s">
        <v>68</v>
      </c>
      <c r="I13944">
        <v>1</v>
      </c>
      <c r="J13944">
        <v>0</v>
      </c>
      <c r="K13944">
        <v>0</v>
      </c>
      <c r="L13944">
        <v>1</v>
      </c>
      <c r="M13944">
        <v>1</v>
      </c>
      <c r="N13944">
        <v>1</v>
      </c>
      <c r="O13944">
        <v>1</v>
      </c>
      <c r="P13944">
        <v>1</v>
      </c>
      <c r="Q13944">
        <v>0</v>
      </c>
      <c r="R13944">
        <v>1</v>
      </c>
    </row>
    <row r="13945" spans="1:18" x14ac:dyDescent="0.2">
      <c r="A13945" t="str">
        <f>"13941"</f>
        <v>13941</v>
      </c>
      <c r="B13945" t="str">
        <f t="shared" si="776"/>
        <v>1</v>
      </c>
      <c r="C13945" t="str">
        <f t="shared" si="775"/>
        <v>279</v>
      </c>
      <c r="D13945" t="str">
        <f>"43"</f>
        <v>43</v>
      </c>
      <c r="E13945" t="str">
        <f>"1-279-43"</f>
        <v>1-279-43</v>
      </c>
      <c r="F13945" t="s">
        <v>65</v>
      </c>
      <c r="G13945" t="s">
        <v>66</v>
      </c>
      <c r="H13945" t="s">
        <v>68</v>
      </c>
      <c r="I13945">
        <v>1</v>
      </c>
      <c r="J13945">
        <v>1</v>
      </c>
      <c r="K13945">
        <v>0</v>
      </c>
      <c r="L13945">
        <v>0</v>
      </c>
      <c r="M13945">
        <v>1</v>
      </c>
      <c r="N13945">
        <v>1</v>
      </c>
      <c r="O13945">
        <v>1</v>
      </c>
      <c r="P13945">
        <v>1</v>
      </c>
      <c r="Q13945">
        <v>1</v>
      </c>
      <c r="R13945">
        <v>1</v>
      </c>
    </row>
    <row r="13946" spans="1:18" x14ac:dyDescent="0.2">
      <c r="A13946" t="str">
        <f>"13942"</f>
        <v>13942</v>
      </c>
      <c r="B13946" t="str">
        <f t="shared" si="776"/>
        <v>1</v>
      </c>
      <c r="C13946" t="str">
        <f t="shared" si="775"/>
        <v>279</v>
      </c>
      <c r="D13946" t="str">
        <f>"26"</f>
        <v>26</v>
      </c>
      <c r="E13946" t="str">
        <f>"1-279-26"</f>
        <v>1-279-26</v>
      </c>
      <c r="F13946" t="s">
        <v>65</v>
      </c>
      <c r="G13946" t="s">
        <v>66</v>
      </c>
      <c r="H13946" t="s">
        <v>68</v>
      </c>
      <c r="I13946">
        <v>1</v>
      </c>
      <c r="J13946">
        <v>0</v>
      </c>
      <c r="K13946">
        <v>0</v>
      </c>
      <c r="L13946">
        <v>1</v>
      </c>
      <c r="M13946">
        <v>1</v>
      </c>
      <c r="N13946">
        <v>1</v>
      </c>
      <c r="O13946">
        <v>1</v>
      </c>
      <c r="P13946">
        <v>1</v>
      </c>
      <c r="Q13946">
        <v>1</v>
      </c>
      <c r="R13946">
        <v>1</v>
      </c>
    </row>
    <row r="13947" spans="1:18" x14ac:dyDescent="0.2">
      <c r="A13947" t="str">
        <f>"13943"</f>
        <v>13943</v>
      </c>
      <c r="B13947" t="str">
        <f t="shared" si="776"/>
        <v>1</v>
      </c>
      <c r="C13947" t="str">
        <f t="shared" si="775"/>
        <v>279</v>
      </c>
      <c r="D13947" t="str">
        <f>"7"</f>
        <v>7</v>
      </c>
      <c r="E13947" t="str">
        <f>"1-279-7"</f>
        <v>1-279-7</v>
      </c>
      <c r="F13947" t="s">
        <v>65</v>
      </c>
      <c r="G13947" t="s">
        <v>66</v>
      </c>
      <c r="H13947" t="s">
        <v>68</v>
      </c>
      <c r="I13947">
        <v>1</v>
      </c>
      <c r="J13947">
        <v>0</v>
      </c>
      <c r="K13947">
        <v>0</v>
      </c>
      <c r="L13947">
        <v>1</v>
      </c>
      <c r="M13947">
        <v>1</v>
      </c>
      <c r="N13947">
        <v>1</v>
      </c>
      <c r="O13947">
        <v>1</v>
      </c>
      <c r="P13947">
        <v>1</v>
      </c>
      <c r="Q13947">
        <v>1</v>
      </c>
      <c r="R13947">
        <v>1</v>
      </c>
    </row>
    <row r="13948" spans="1:18" x14ac:dyDescent="0.2">
      <c r="A13948" t="str">
        <f>"13944"</f>
        <v>13944</v>
      </c>
      <c r="B13948" t="str">
        <f t="shared" si="776"/>
        <v>1</v>
      </c>
      <c r="C13948" t="str">
        <f t="shared" si="775"/>
        <v>279</v>
      </c>
      <c r="D13948" t="str">
        <f>"45"</f>
        <v>45</v>
      </c>
      <c r="E13948" t="str">
        <f>"1-279-45"</f>
        <v>1-279-45</v>
      </c>
      <c r="F13948" t="s">
        <v>65</v>
      </c>
      <c r="G13948" t="s">
        <v>66</v>
      </c>
      <c r="H13948" t="s">
        <v>68</v>
      </c>
      <c r="I13948">
        <v>1</v>
      </c>
      <c r="J13948">
        <v>0</v>
      </c>
      <c r="K13948">
        <v>1</v>
      </c>
      <c r="L13948">
        <v>0</v>
      </c>
      <c r="M13948">
        <v>1</v>
      </c>
      <c r="N13948">
        <v>1</v>
      </c>
      <c r="O13948">
        <v>1</v>
      </c>
      <c r="P13948">
        <v>1</v>
      </c>
      <c r="Q13948">
        <v>1</v>
      </c>
      <c r="R13948">
        <v>1</v>
      </c>
    </row>
    <row r="13949" spans="1:18" x14ac:dyDescent="0.2">
      <c r="A13949" t="str">
        <f>"13945"</f>
        <v>13945</v>
      </c>
      <c r="B13949" t="str">
        <f t="shared" si="776"/>
        <v>1</v>
      </c>
      <c r="C13949" t="str">
        <f t="shared" si="775"/>
        <v>279</v>
      </c>
      <c r="D13949" t="str">
        <f>"28"</f>
        <v>28</v>
      </c>
      <c r="E13949" t="str">
        <f>"1-279-28"</f>
        <v>1-279-28</v>
      </c>
      <c r="F13949" t="s">
        <v>65</v>
      </c>
      <c r="G13949" t="s">
        <v>66</v>
      </c>
      <c r="H13949" t="s">
        <v>68</v>
      </c>
      <c r="I13949">
        <v>1</v>
      </c>
      <c r="J13949">
        <v>0</v>
      </c>
      <c r="K13949">
        <v>0</v>
      </c>
      <c r="L13949">
        <v>1</v>
      </c>
      <c r="M13949">
        <v>1</v>
      </c>
      <c r="N13949">
        <v>1</v>
      </c>
      <c r="O13949">
        <v>1</v>
      </c>
      <c r="P13949">
        <v>1</v>
      </c>
      <c r="Q13949">
        <v>1</v>
      </c>
      <c r="R13949">
        <v>1</v>
      </c>
    </row>
    <row r="13950" spans="1:18" x14ac:dyDescent="0.2">
      <c r="A13950" t="str">
        <f>"13946"</f>
        <v>13946</v>
      </c>
      <c r="B13950" t="str">
        <f t="shared" si="776"/>
        <v>1</v>
      </c>
      <c r="C13950" t="str">
        <f t="shared" si="775"/>
        <v>279</v>
      </c>
      <c r="D13950" t="str">
        <f>"3"</f>
        <v>3</v>
      </c>
      <c r="E13950" t="str">
        <f>"1-279-3"</f>
        <v>1-279-3</v>
      </c>
      <c r="F13950" t="s">
        <v>65</v>
      </c>
      <c r="G13950" t="s">
        <v>66</v>
      </c>
      <c r="H13950" t="s">
        <v>68</v>
      </c>
      <c r="I13950">
        <v>1</v>
      </c>
      <c r="J13950">
        <v>0</v>
      </c>
      <c r="K13950">
        <v>0</v>
      </c>
      <c r="L13950">
        <v>1</v>
      </c>
      <c r="M13950">
        <v>1</v>
      </c>
      <c r="N13950">
        <v>1</v>
      </c>
      <c r="O13950">
        <v>1</v>
      </c>
      <c r="P13950">
        <v>1</v>
      </c>
      <c r="Q13950">
        <v>1</v>
      </c>
      <c r="R13950">
        <v>1</v>
      </c>
    </row>
    <row r="13951" spans="1:18" x14ac:dyDescent="0.2">
      <c r="A13951" t="str">
        <f>"13947"</f>
        <v>13947</v>
      </c>
      <c r="B13951" t="str">
        <f t="shared" si="776"/>
        <v>1</v>
      </c>
      <c r="C13951" t="str">
        <f t="shared" si="775"/>
        <v>279</v>
      </c>
      <c r="D13951" t="str">
        <f>"48"</f>
        <v>48</v>
      </c>
      <c r="E13951" t="str">
        <f>"1-279-48"</f>
        <v>1-279-48</v>
      </c>
      <c r="F13951" t="s">
        <v>65</v>
      </c>
      <c r="G13951" t="s">
        <v>66</v>
      </c>
      <c r="H13951" t="s">
        <v>68</v>
      </c>
      <c r="I13951">
        <v>1</v>
      </c>
      <c r="J13951">
        <v>0</v>
      </c>
      <c r="K13951">
        <v>0</v>
      </c>
      <c r="L13951">
        <v>1</v>
      </c>
      <c r="M13951">
        <v>1</v>
      </c>
      <c r="N13951">
        <v>1</v>
      </c>
      <c r="O13951">
        <v>1</v>
      </c>
      <c r="P13951">
        <v>1</v>
      </c>
      <c r="Q13951">
        <v>1</v>
      </c>
      <c r="R13951">
        <v>1</v>
      </c>
    </row>
    <row r="13952" spans="1:18" x14ac:dyDescent="0.2">
      <c r="A13952" t="str">
        <f>"13948"</f>
        <v>13948</v>
      </c>
      <c r="B13952" t="str">
        <f t="shared" si="776"/>
        <v>1</v>
      </c>
      <c r="C13952" t="str">
        <f t="shared" si="775"/>
        <v>279</v>
      </c>
      <c r="D13952" t="str">
        <f>"30"</f>
        <v>30</v>
      </c>
      <c r="E13952" t="str">
        <f>"1-279-30"</f>
        <v>1-279-30</v>
      </c>
      <c r="F13952" t="s">
        <v>65</v>
      </c>
      <c r="G13952" t="s">
        <v>66</v>
      </c>
      <c r="H13952" t="s">
        <v>68</v>
      </c>
      <c r="I13952">
        <v>1</v>
      </c>
      <c r="J13952">
        <v>0</v>
      </c>
      <c r="K13952">
        <v>1</v>
      </c>
      <c r="L13952">
        <v>0</v>
      </c>
      <c r="M13952">
        <v>1</v>
      </c>
      <c r="N13952">
        <v>1</v>
      </c>
      <c r="O13952">
        <v>1</v>
      </c>
      <c r="P13952">
        <v>1</v>
      </c>
      <c r="Q13952">
        <v>1</v>
      </c>
      <c r="R13952">
        <v>1</v>
      </c>
    </row>
    <row r="13953" spans="1:39" x14ac:dyDescent="0.2">
      <c r="A13953" t="str">
        <f>"13949"</f>
        <v>13949</v>
      </c>
      <c r="B13953" t="str">
        <f t="shared" si="776"/>
        <v>1</v>
      </c>
      <c r="C13953" t="str">
        <f t="shared" si="775"/>
        <v>279</v>
      </c>
      <c r="D13953" t="str">
        <f>"10"</f>
        <v>10</v>
      </c>
      <c r="E13953" t="str">
        <f>"1-279-10"</f>
        <v>1-279-10</v>
      </c>
      <c r="F13953" t="s">
        <v>65</v>
      </c>
      <c r="G13953" t="s">
        <v>66</v>
      </c>
      <c r="H13953" t="s">
        <v>68</v>
      </c>
      <c r="I13953">
        <v>1</v>
      </c>
      <c r="J13953">
        <v>0</v>
      </c>
      <c r="K13953">
        <v>0</v>
      </c>
      <c r="L13953">
        <v>1</v>
      </c>
      <c r="M13953">
        <v>1</v>
      </c>
      <c r="N13953">
        <v>1</v>
      </c>
      <c r="O13953">
        <v>1</v>
      </c>
      <c r="P13953">
        <v>1</v>
      </c>
      <c r="Q13953">
        <v>1</v>
      </c>
      <c r="R13953">
        <v>1</v>
      </c>
    </row>
    <row r="13954" spans="1:39" x14ac:dyDescent="0.2">
      <c r="A13954" t="str">
        <f>"13950"</f>
        <v>13950</v>
      </c>
      <c r="B13954" t="str">
        <f t="shared" si="776"/>
        <v>1</v>
      </c>
      <c r="C13954" t="str">
        <f t="shared" si="775"/>
        <v>279</v>
      </c>
      <c r="D13954" t="str">
        <f>"1"</f>
        <v>1</v>
      </c>
      <c r="E13954" t="str">
        <f>"1-279-1"</f>
        <v>1-279-1</v>
      </c>
      <c r="F13954" t="s">
        <v>65</v>
      </c>
      <c r="G13954" t="s">
        <v>66</v>
      </c>
      <c r="H13954" t="s">
        <v>68</v>
      </c>
      <c r="I13954">
        <v>1</v>
      </c>
      <c r="J13954">
        <v>0</v>
      </c>
      <c r="K13954">
        <v>0</v>
      </c>
      <c r="L13954">
        <v>0</v>
      </c>
      <c r="M13954">
        <v>1</v>
      </c>
      <c r="N13954">
        <v>1</v>
      </c>
      <c r="O13954">
        <v>1</v>
      </c>
      <c r="P13954">
        <v>1</v>
      </c>
      <c r="Q13954">
        <v>1</v>
      </c>
      <c r="R13954">
        <v>1</v>
      </c>
    </row>
    <row r="13955" spans="1:39" x14ac:dyDescent="0.2">
      <c r="A13955" t="str">
        <f>"13951"</f>
        <v>13951</v>
      </c>
      <c r="B13955" t="str">
        <f t="shared" si="776"/>
        <v>1</v>
      </c>
      <c r="C13955" t="str">
        <f t="shared" ref="C13955:C13986" si="777">"280"</f>
        <v>280</v>
      </c>
      <c r="D13955" t="str">
        <f>"43"</f>
        <v>43</v>
      </c>
      <c r="E13955" t="str">
        <f>"1-280-43"</f>
        <v>1-280-43</v>
      </c>
      <c r="F13955" t="s">
        <v>65</v>
      </c>
      <c r="G13955" t="s">
        <v>66</v>
      </c>
      <c r="H13955" t="s">
        <v>67</v>
      </c>
      <c r="S13955">
        <v>0</v>
      </c>
      <c r="T13955">
        <v>1</v>
      </c>
      <c r="U13955">
        <v>0</v>
      </c>
      <c r="V13955">
        <v>0</v>
      </c>
      <c r="W13955">
        <v>1</v>
      </c>
      <c r="X13955">
        <v>0</v>
      </c>
      <c r="Y13955">
        <v>1</v>
      </c>
      <c r="Z13955">
        <v>0</v>
      </c>
      <c r="AA13955">
        <v>0</v>
      </c>
      <c r="AB13955">
        <v>0</v>
      </c>
      <c r="AC13955">
        <v>1</v>
      </c>
      <c r="AD13955">
        <v>1</v>
      </c>
      <c r="AE13955">
        <v>1</v>
      </c>
      <c r="AF13955">
        <v>1</v>
      </c>
      <c r="AG13955">
        <v>1</v>
      </c>
      <c r="AH13955">
        <v>1</v>
      </c>
      <c r="AI13955">
        <v>1</v>
      </c>
      <c r="AJ13955">
        <v>1</v>
      </c>
      <c r="AK13955">
        <v>1</v>
      </c>
      <c r="AL13955">
        <v>1</v>
      </c>
      <c r="AM13955">
        <v>1</v>
      </c>
    </row>
    <row r="13956" spans="1:39" x14ac:dyDescent="0.2">
      <c r="A13956" t="str">
        <f>"13952"</f>
        <v>13952</v>
      </c>
      <c r="B13956" t="str">
        <f t="shared" si="776"/>
        <v>1</v>
      </c>
      <c r="C13956" t="str">
        <f t="shared" si="777"/>
        <v>280</v>
      </c>
      <c r="D13956" t="str">
        <f>"42"</f>
        <v>42</v>
      </c>
      <c r="E13956" t="str">
        <f>"1-280-42"</f>
        <v>1-280-42</v>
      </c>
      <c r="F13956" t="s">
        <v>65</v>
      </c>
      <c r="G13956" t="s">
        <v>66</v>
      </c>
      <c r="H13956" t="s">
        <v>67</v>
      </c>
      <c r="S13956">
        <v>1</v>
      </c>
      <c r="T13956">
        <v>0</v>
      </c>
      <c r="U13956">
        <v>0</v>
      </c>
      <c r="V13956">
        <v>0</v>
      </c>
      <c r="W13956">
        <v>1</v>
      </c>
      <c r="X13956">
        <v>0</v>
      </c>
      <c r="Y13956">
        <v>1</v>
      </c>
      <c r="Z13956">
        <v>0</v>
      </c>
      <c r="AA13956">
        <v>1</v>
      </c>
      <c r="AB13956">
        <v>0</v>
      </c>
      <c r="AC13956">
        <v>0</v>
      </c>
      <c r="AD13956">
        <v>1</v>
      </c>
      <c r="AE13956">
        <v>1</v>
      </c>
      <c r="AF13956">
        <v>1</v>
      </c>
      <c r="AG13956">
        <v>1</v>
      </c>
      <c r="AH13956">
        <v>1</v>
      </c>
      <c r="AI13956">
        <v>0</v>
      </c>
      <c r="AJ13956">
        <v>1</v>
      </c>
      <c r="AK13956">
        <v>1</v>
      </c>
      <c r="AL13956">
        <v>1</v>
      </c>
      <c r="AM13956">
        <v>1</v>
      </c>
    </row>
    <row r="13957" spans="1:39" x14ac:dyDescent="0.2">
      <c r="A13957" t="str">
        <f>"13953"</f>
        <v>13953</v>
      </c>
      <c r="B13957" t="str">
        <f t="shared" si="776"/>
        <v>1</v>
      </c>
      <c r="C13957" t="str">
        <f t="shared" si="777"/>
        <v>280</v>
      </c>
      <c r="D13957" t="str">
        <f>"31"</f>
        <v>31</v>
      </c>
      <c r="E13957" t="str">
        <f>"1-280-31"</f>
        <v>1-280-31</v>
      </c>
      <c r="F13957" t="s">
        <v>65</v>
      </c>
      <c r="G13957" t="s">
        <v>66</v>
      </c>
      <c r="H13957" t="s">
        <v>67</v>
      </c>
      <c r="S13957">
        <v>1</v>
      </c>
      <c r="T13957">
        <v>0</v>
      </c>
      <c r="U13957">
        <v>0</v>
      </c>
      <c r="V13957">
        <v>0</v>
      </c>
      <c r="W13957">
        <v>1</v>
      </c>
      <c r="X13957">
        <v>0</v>
      </c>
      <c r="Y13957">
        <v>1</v>
      </c>
      <c r="Z13957">
        <v>0</v>
      </c>
      <c r="AA13957">
        <v>1</v>
      </c>
      <c r="AB13957">
        <v>0</v>
      </c>
      <c r="AC13957">
        <v>0</v>
      </c>
      <c r="AD13957">
        <v>1</v>
      </c>
      <c r="AE13957">
        <v>1</v>
      </c>
      <c r="AF13957">
        <v>1</v>
      </c>
      <c r="AG13957">
        <v>1</v>
      </c>
      <c r="AH13957">
        <v>1</v>
      </c>
      <c r="AI13957">
        <v>1</v>
      </c>
      <c r="AJ13957">
        <v>1</v>
      </c>
      <c r="AK13957">
        <v>1</v>
      </c>
      <c r="AL13957">
        <v>1</v>
      </c>
      <c r="AM13957">
        <v>1</v>
      </c>
    </row>
    <row r="13958" spans="1:39" x14ac:dyDescent="0.2">
      <c r="A13958" t="str">
        <f>"13954"</f>
        <v>13954</v>
      </c>
      <c r="B13958" t="str">
        <f t="shared" si="776"/>
        <v>1</v>
      </c>
      <c r="C13958" t="str">
        <f t="shared" si="777"/>
        <v>280</v>
      </c>
      <c r="D13958" t="str">
        <f>"30"</f>
        <v>30</v>
      </c>
      <c r="E13958" t="str">
        <f>"1-280-30"</f>
        <v>1-280-30</v>
      </c>
      <c r="F13958" t="s">
        <v>65</v>
      </c>
      <c r="G13958" t="s">
        <v>66</v>
      </c>
      <c r="H13958" t="s">
        <v>67</v>
      </c>
      <c r="S13958">
        <v>0</v>
      </c>
      <c r="T13958">
        <v>1</v>
      </c>
      <c r="U13958">
        <v>0</v>
      </c>
      <c r="V13958">
        <v>0</v>
      </c>
      <c r="W13958">
        <v>1</v>
      </c>
      <c r="X13958">
        <v>0</v>
      </c>
      <c r="Y13958">
        <v>1</v>
      </c>
      <c r="Z13958">
        <v>0</v>
      </c>
      <c r="AA13958">
        <v>1</v>
      </c>
      <c r="AB13958">
        <v>0</v>
      </c>
      <c r="AC13958">
        <v>0</v>
      </c>
      <c r="AD13958">
        <v>1</v>
      </c>
      <c r="AE13958">
        <v>1</v>
      </c>
      <c r="AF13958">
        <v>1</v>
      </c>
      <c r="AG13958">
        <v>1</v>
      </c>
      <c r="AH13958">
        <v>1</v>
      </c>
      <c r="AI13958">
        <v>1</v>
      </c>
      <c r="AJ13958">
        <v>1</v>
      </c>
      <c r="AK13958">
        <v>1</v>
      </c>
      <c r="AL13958">
        <v>1</v>
      </c>
      <c r="AM13958">
        <v>1</v>
      </c>
    </row>
    <row r="13959" spans="1:39" x14ac:dyDescent="0.2">
      <c r="A13959" t="str">
        <f>"13955"</f>
        <v>13955</v>
      </c>
      <c r="B13959" t="str">
        <f t="shared" si="776"/>
        <v>1</v>
      </c>
      <c r="C13959" t="str">
        <f t="shared" si="777"/>
        <v>280</v>
      </c>
      <c r="D13959" t="str">
        <f>"20"</f>
        <v>20</v>
      </c>
      <c r="E13959" t="str">
        <f>"1-280-20"</f>
        <v>1-280-20</v>
      </c>
      <c r="F13959" t="s">
        <v>65</v>
      </c>
      <c r="G13959" t="s">
        <v>66</v>
      </c>
      <c r="H13959" t="s">
        <v>68</v>
      </c>
      <c r="I13959">
        <v>0</v>
      </c>
      <c r="J13959">
        <v>1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  <c r="Q13959">
        <v>0</v>
      </c>
      <c r="R13959">
        <v>0</v>
      </c>
    </row>
    <row r="13960" spans="1:39" x14ac:dyDescent="0.2">
      <c r="A13960" t="str">
        <f>"13956"</f>
        <v>13956</v>
      </c>
      <c r="B13960" t="str">
        <f t="shared" si="776"/>
        <v>1</v>
      </c>
      <c r="C13960" t="str">
        <f t="shared" si="777"/>
        <v>280</v>
      </c>
      <c r="D13960" t="str">
        <f>"15"</f>
        <v>15</v>
      </c>
      <c r="E13960" t="str">
        <f>"1-280-15"</f>
        <v>1-280-15</v>
      </c>
      <c r="F13960" t="s">
        <v>65</v>
      </c>
      <c r="G13960" t="s">
        <v>66</v>
      </c>
      <c r="H13960" t="s">
        <v>67</v>
      </c>
      <c r="S13960">
        <v>1</v>
      </c>
      <c r="T13960">
        <v>0</v>
      </c>
      <c r="U13960">
        <v>0</v>
      </c>
      <c r="V13960">
        <v>0</v>
      </c>
      <c r="W13960">
        <v>1</v>
      </c>
      <c r="X13960">
        <v>0</v>
      </c>
      <c r="Y13960">
        <v>1</v>
      </c>
      <c r="Z13960">
        <v>0</v>
      </c>
      <c r="AA13960">
        <v>0</v>
      </c>
      <c r="AB13960">
        <v>0</v>
      </c>
      <c r="AC13960">
        <v>1</v>
      </c>
      <c r="AD13960">
        <v>0</v>
      </c>
      <c r="AE13960">
        <v>0</v>
      </c>
      <c r="AF13960">
        <v>0</v>
      </c>
      <c r="AG13960">
        <v>1</v>
      </c>
      <c r="AH13960">
        <v>1</v>
      </c>
      <c r="AI13960">
        <v>1</v>
      </c>
      <c r="AJ13960">
        <v>1</v>
      </c>
      <c r="AK13960">
        <v>1</v>
      </c>
      <c r="AL13960">
        <v>1</v>
      </c>
      <c r="AM13960">
        <v>0</v>
      </c>
    </row>
    <row r="13961" spans="1:39" x14ac:dyDescent="0.2">
      <c r="A13961" t="str">
        <f>"13957"</f>
        <v>13957</v>
      </c>
      <c r="B13961" t="str">
        <f t="shared" si="776"/>
        <v>1</v>
      </c>
      <c r="C13961" t="str">
        <f t="shared" si="777"/>
        <v>280</v>
      </c>
      <c r="D13961" t="str">
        <f>"4"</f>
        <v>4</v>
      </c>
      <c r="E13961" t="str">
        <f>"1-280-4"</f>
        <v>1-280-4</v>
      </c>
      <c r="F13961" t="s">
        <v>65</v>
      </c>
      <c r="G13961" t="s">
        <v>66</v>
      </c>
      <c r="H13961" t="s">
        <v>67</v>
      </c>
      <c r="S13961">
        <v>1</v>
      </c>
      <c r="T13961">
        <v>0</v>
      </c>
      <c r="U13961">
        <v>0</v>
      </c>
      <c r="V13961">
        <v>0</v>
      </c>
      <c r="W13961">
        <v>1</v>
      </c>
      <c r="X13961">
        <v>0</v>
      </c>
      <c r="Y13961">
        <v>1</v>
      </c>
      <c r="Z13961">
        <v>0</v>
      </c>
      <c r="AA13961">
        <v>1</v>
      </c>
      <c r="AB13961">
        <v>0</v>
      </c>
      <c r="AC13961">
        <v>0</v>
      </c>
      <c r="AD13961">
        <v>1</v>
      </c>
      <c r="AE13961">
        <v>1</v>
      </c>
      <c r="AF13961">
        <v>1</v>
      </c>
      <c r="AG13961">
        <v>1</v>
      </c>
      <c r="AH13961">
        <v>0</v>
      </c>
      <c r="AI13961">
        <v>1</v>
      </c>
      <c r="AJ13961">
        <v>1</v>
      </c>
      <c r="AK13961">
        <v>1</v>
      </c>
      <c r="AL13961">
        <v>1</v>
      </c>
      <c r="AM13961">
        <v>1</v>
      </c>
    </row>
    <row r="13962" spans="1:39" x14ac:dyDescent="0.2">
      <c r="A13962" t="str">
        <f>"13958"</f>
        <v>13958</v>
      </c>
      <c r="B13962" t="str">
        <f t="shared" si="776"/>
        <v>1</v>
      </c>
      <c r="C13962" t="str">
        <f t="shared" si="777"/>
        <v>280</v>
      </c>
      <c r="D13962" t="str">
        <f>"50"</f>
        <v>50</v>
      </c>
      <c r="E13962" t="str">
        <f>"1-280-50"</f>
        <v>1-280-50</v>
      </c>
      <c r="F13962" t="s">
        <v>65</v>
      </c>
      <c r="G13962" t="s">
        <v>66</v>
      </c>
      <c r="H13962" t="s">
        <v>68</v>
      </c>
      <c r="I13962">
        <v>1</v>
      </c>
      <c r="J13962">
        <v>0</v>
      </c>
      <c r="K13962">
        <v>0</v>
      </c>
      <c r="L13962">
        <v>1</v>
      </c>
      <c r="M13962">
        <v>1</v>
      </c>
      <c r="N13962">
        <v>1</v>
      </c>
      <c r="O13962">
        <v>1</v>
      </c>
      <c r="P13962">
        <v>1</v>
      </c>
      <c r="Q13962">
        <v>1</v>
      </c>
      <c r="R13962">
        <v>1</v>
      </c>
    </row>
    <row r="13963" spans="1:39" x14ac:dyDescent="0.2">
      <c r="A13963" t="str">
        <f>"13959"</f>
        <v>13959</v>
      </c>
      <c r="B13963" t="str">
        <f t="shared" si="776"/>
        <v>1</v>
      </c>
      <c r="C13963" t="str">
        <f t="shared" si="777"/>
        <v>280</v>
      </c>
      <c r="D13963" t="str">
        <f>"49"</f>
        <v>49</v>
      </c>
      <c r="E13963" t="str">
        <f>"1-280-49"</f>
        <v>1-280-49</v>
      </c>
      <c r="F13963" t="s">
        <v>65</v>
      </c>
      <c r="G13963" t="s">
        <v>66</v>
      </c>
      <c r="H13963" t="s">
        <v>68</v>
      </c>
      <c r="I13963">
        <v>0</v>
      </c>
      <c r="J13963">
        <v>1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  <c r="Q13963">
        <v>0</v>
      </c>
      <c r="R13963">
        <v>0</v>
      </c>
    </row>
    <row r="13964" spans="1:39" x14ac:dyDescent="0.2">
      <c r="A13964" t="str">
        <f>"13960"</f>
        <v>13960</v>
      </c>
      <c r="B13964" t="str">
        <f t="shared" si="776"/>
        <v>1</v>
      </c>
      <c r="C13964" t="str">
        <f t="shared" si="777"/>
        <v>280</v>
      </c>
      <c r="D13964" t="str">
        <f>"34"</f>
        <v>34</v>
      </c>
      <c r="E13964" t="str">
        <f>"1-280-34"</f>
        <v>1-280-34</v>
      </c>
      <c r="F13964" t="s">
        <v>65</v>
      </c>
      <c r="G13964" t="s">
        <v>66</v>
      </c>
      <c r="H13964" t="s">
        <v>68</v>
      </c>
      <c r="I13964">
        <v>1</v>
      </c>
      <c r="J13964">
        <v>1</v>
      </c>
      <c r="K13964">
        <v>0</v>
      </c>
      <c r="L13964">
        <v>0</v>
      </c>
      <c r="M13964">
        <v>1</v>
      </c>
      <c r="N13964">
        <v>1</v>
      </c>
      <c r="O13964">
        <v>1</v>
      </c>
      <c r="P13964">
        <v>1</v>
      </c>
      <c r="Q13964">
        <v>1</v>
      </c>
      <c r="R13964">
        <v>1</v>
      </c>
    </row>
    <row r="13965" spans="1:39" x14ac:dyDescent="0.2">
      <c r="A13965" t="str">
        <f>"13961"</f>
        <v>13961</v>
      </c>
      <c r="B13965" t="str">
        <f t="shared" si="776"/>
        <v>1</v>
      </c>
      <c r="C13965" t="str">
        <f t="shared" si="777"/>
        <v>280</v>
      </c>
      <c r="D13965" t="str">
        <f>"33"</f>
        <v>33</v>
      </c>
      <c r="E13965" t="str">
        <f>"1-280-33"</f>
        <v>1-280-33</v>
      </c>
      <c r="F13965" t="s">
        <v>65</v>
      </c>
      <c r="G13965" t="s">
        <v>66</v>
      </c>
      <c r="H13965" t="s">
        <v>68</v>
      </c>
      <c r="I13965">
        <v>1</v>
      </c>
      <c r="J13965">
        <v>0</v>
      </c>
      <c r="K13965">
        <v>0</v>
      </c>
      <c r="L13965">
        <v>1</v>
      </c>
      <c r="M13965">
        <v>1</v>
      </c>
      <c r="N13965">
        <v>1</v>
      </c>
      <c r="O13965">
        <v>1</v>
      </c>
      <c r="P13965">
        <v>1</v>
      </c>
      <c r="Q13965">
        <v>0</v>
      </c>
      <c r="R13965">
        <v>1</v>
      </c>
    </row>
    <row r="13966" spans="1:39" x14ac:dyDescent="0.2">
      <c r="A13966" t="str">
        <f>"13962"</f>
        <v>13962</v>
      </c>
      <c r="B13966" t="str">
        <f t="shared" si="776"/>
        <v>1</v>
      </c>
      <c r="C13966" t="str">
        <f t="shared" si="777"/>
        <v>280</v>
      </c>
      <c r="D13966" t="str">
        <f>"21"</f>
        <v>21</v>
      </c>
      <c r="E13966" t="str">
        <f>"1-280-21"</f>
        <v>1-280-21</v>
      </c>
      <c r="F13966" t="s">
        <v>65</v>
      </c>
      <c r="G13966" t="s">
        <v>66</v>
      </c>
      <c r="H13966" t="s">
        <v>68</v>
      </c>
      <c r="I13966">
        <v>1</v>
      </c>
      <c r="J13966">
        <v>0</v>
      </c>
      <c r="K13966">
        <v>1</v>
      </c>
      <c r="L13966">
        <v>0</v>
      </c>
      <c r="M13966">
        <v>1</v>
      </c>
      <c r="N13966">
        <v>1</v>
      </c>
      <c r="O13966">
        <v>1</v>
      </c>
      <c r="P13966">
        <v>1</v>
      </c>
      <c r="Q13966">
        <v>1</v>
      </c>
      <c r="R13966">
        <v>1</v>
      </c>
    </row>
    <row r="13967" spans="1:39" x14ac:dyDescent="0.2">
      <c r="A13967" t="str">
        <f>"13963"</f>
        <v>13963</v>
      </c>
      <c r="B13967" t="str">
        <f t="shared" si="776"/>
        <v>1</v>
      </c>
      <c r="C13967" t="str">
        <f t="shared" si="777"/>
        <v>280</v>
      </c>
      <c r="D13967" t="str">
        <f>"16"</f>
        <v>16</v>
      </c>
      <c r="E13967" t="str">
        <f>"1-280-16"</f>
        <v>1-280-16</v>
      </c>
      <c r="F13967" t="s">
        <v>65</v>
      </c>
      <c r="G13967" t="s">
        <v>66</v>
      </c>
      <c r="H13967" t="s">
        <v>67</v>
      </c>
      <c r="S13967">
        <v>1</v>
      </c>
      <c r="T13967">
        <v>0</v>
      </c>
      <c r="U13967">
        <v>0</v>
      </c>
      <c r="V13967">
        <v>0</v>
      </c>
      <c r="W13967">
        <v>1</v>
      </c>
      <c r="X13967">
        <v>0</v>
      </c>
      <c r="Y13967">
        <v>0</v>
      </c>
      <c r="Z13967">
        <v>1</v>
      </c>
      <c r="AA13967">
        <v>1</v>
      </c>
      <c r="AB13967">
        <v>0</v>
      </c>
      <c r="AC13967">
        <v>0</v>
      </c>
      <c r="AD13967">
        <v>1</v>
      </c>
      <c r="AE13967">
        <v>1</v>
      </c>
      <c r="AF13967">
        <v>1</v>
      </c>
      <c r="AG13967">
        <v>1</v>
      </c>
      <c r="AH13967">
        <v>1</v>
      </c>
      <c r="AI13967">
        <v>1</v>
      </c>
      <c r="AJ13967">
        <v>1</v>
      </c>
      <c r="AK13967">
        <v>1</v>
      </c>
      <c r="AL13967">
        <v>1</v>
      </c>
      <c r="AM13967">
        <v>1</v>
      </c>
    </row>
    <row r="13968" spans="1:39" x14ac:dyDescent="0.2">
      <c r="A13968" t="str">
        <f>"13964"</f>
        <v>13964</v>
      </c>
      <c r="B13968" t="str">
        <f t="shared" si="776"/>
        <v>1</v>
      </c>
      <c r="C13968" t="str">
        <f t="shared" si="777"/>
        <v>280</v>
      </c>
      <c r="D13968" t="str">
        <f>"3"</f>
        <v>3</v>
      </c>
      <c r="E13968" t="str">
        <f>"1-280-3"</f>
        <v>1-280-3</v>
      </c>
      <c r="F13968" t="s">
        <v>65</v>
      </c>
      <c r="G13968" t="s">
        <v>66</v>
      </c>
      <c r="H13968" t="s">
        <v>67</v>
      </c>
      <c r="S13968">
        <v>1</v>
      </c>
      <c r="T13968">
        <v>0</v>
      </c>
      <c r="U13968">
        <v>0</v>
      </c>
      <c r="V13968">
        <v>0</v>
      </c>
      <c r="W13968">
        <v>1</v>
      </c>
      <c r="X13968">
        <v>0</v>
      </c>
      <c r="Y13968">
        <v>1</v>
      </c>
      <c r="Z13968">
        <v>0</v>
      </c>
      <c r="AA13968">
        <v>0</v>
      </c>
      <c r="AB13968">
        <v>1</v>
      </c>
      <c r="AC13968">
        <v>0</v>
      </c>
      <c r="AD13968">
        <v>0</v>
      </c>
      <c r="AE13968">
        <v>0</v>
      </c>
      <c r="AF13968">
        <v>0</v>
      </c>
      <c r="AG13968">
        <v>0</v>
      </c>
      <c r="AH13968">
        <v>0</v>
      </c>
      <c r="AI13968">
        <v>0</v>
      </c>
      <c r="AJ13968">
        <v>0</v>
      </c>
      <c r="AK13968">
        <v>0</v>
      </c>
      <c r="AL13968">
        <v>0</v>
      </c>
      <c r="AM13968">
        <v>0</v>
      </c>
    </row>
    <row r="13969" spans="1:39" x14ac:dyDescent="0.2">
      <c r="A13969" t="str">
        <f>"13965"</f>
        <v>13965</v>
      </c>
      <c r="B13969" t="str">
        <f t="shared" si="776"/>
        <v>1</v>
      </c>
      <c r="C13969" t="str">
        <f t="shared" si="777"/>
        <v>280</v>
      </c>
      <c r="D13969" t="str">
        <f>"46"</f>
        <v>46</v>
      </c>
      <c r="E13969" t="str">
        <f>"1-280-46"</f>
        <v>1-280-46</v>
      </c>
      <c r="F13969" t="s">
        <v>65</v>
      </c>
      <c r="G13969" t="s">
        <v>66</v>
      </c>
      <c r="H13969" t="s">
        <v>67</v>
      </c>
      <c r="S13969">
        <v>1</v>
      </c>
      <c r="T13969">
        <v>0</v>
      </c>
      <c r="U13969">
        <v>0</v>
      </c>
      <c r="V13969">
        <v>0</v>
      </c>
      <c r="W13969">
        <v>1</v>
      </c>
      <c r="X13969">
        <v>0</v>
      </c>
      <c r="Y13969">
        <v>1</v>
      </c>
      <c r="Z13969">
        <v>0</v>
      </c>
      <c r="AA13969">
        <v>1</v>
      </c>
      <c r="AB13969">
        <v>0</v>
      </c>
      <c r="AC13969">
        <v>0</v>
      </c>
      <c r="AD13969">
        <v>1</v>
      </c>
      <c r="AE13969">
        <v>1</v>
      </c>
      <c r="AF13969">
        <v>1</v>
      </c>
      <c r="AG13969">
        <v>1</v>
      </c>
      <c r="AH13969">
        <v>1</v>
      </c>
      <c r="AI13969">
        <v>1</v>
      </c>
      <c r="AJ13969">
        <v>1</v>
      </c>
      <c r="AK13969">
        <v>1</v>
      </c>
      <c r="AL13969">
        <v>1</v>
      </c>
      <c r="AM13969">
        <v>1</v>
      </c>
    </row>
    <row r="13970" spans="1:39" x14ac:dyDescent="0.2">
      <c r="A13970" t="str">
        <f>"13966"</f>
        <v>13966</v>
      </c>
      <c r="B13970" t="str">
        <f t="shared" si="776"/>
        <v>1</v>
      </c>
      <c r="C13970" t="str">
        <f t="shared" si="777"/>
        <v>280</v>
      </c>
      <c r="D13970" t="str">
        <f>"45"</f>
        <v>45</v>
      </c>
      <c r="E13970" t="str">
        <f>"1-280-45"</f>
        <v>1-280-45</v>
      </c>
      <c r="F13970" t="s">
        <v>65</v>
      </c>
      <c r="G13970" t="s">
        <v>66</v>
      </c>
      <c r="H13970" t="s">
        <v>67</v>
      </c>
      <c r="S13970">
        <v>0</v>
      </c>
      <c r="T13970">
        <v>1</v>
      </c>
      <c r="U13970">
        <v>0</v>
      </c>
      <c r="V13970">
        <v>0</v>
      </c>
      <c r="W13970">
        <v>0</v>
      </c>
      <c r="X13970">
        <v>1</v>
      </c>
      <c r="Y13970">
        <v>0</v>
      </c>
      <c r="Z13970">
        <v>0</v>
      </c>
      <c r="AA13970">
        <v>0</v>
      </c>
      <c r="AB13970">
        <v>0</v>
      </c>
      <c r="AC13970">
        <v>1</v>
      </c>
      <c r="AD13970">
        <v>0</v>
      </c>
      <c r="AE13970">
        <v>0</v>
      </c>
      <c r="AF13970">
        <v>0</v>
      </c>
      <c r="AG13970">
        <v>0</v>
      </c>
      <c r="AH13970">
        <v>1</v>
      </c>
      <c r="AI13970">
        <v>0</v>
      </c>
      <c r="AJ13970">
        <v>0</v>
      </c>
      <c r="AK13970">
        <v>0</v>
      </c>
      <c r="AL13970">
        <v>0</v>
      </c>
      <c r="AM13970">
        <v>0</v>
      </c>
    </row>
    <row r="13971" spans="1:39" x14ac:dyDescent="0.2">
      <c r="A13971" t="str">
        <f>"13967"</f>
        <v>13967</v>
      </c>
      <c r="B13971" t="str">
        <f t="shared" si="776"/>
        <v>1</v>
      </c>
      <c r="C13971" t="str">
        <f t="shared" si="777"/>
        <v>280</v>
      </c>
      <c r="D13971" t="str">
        <f>"35"</f>
        <v>35</v>
      </c>
      <c r="E13971" t="str">
        <f>"1-280-35"</f>
        <v>1-280-35</v>
      </c>
      <c r="F13971" t="s">
        <v>65</v>
      </c>
      <c r="G13971" t="s">
        <v>66</v>
      </c>
      <c r="H13971" t="s">
        <v>68</v>
      </c>
      <c r="I13971">
        <v>1</v>
      </c>
      <c r="J13971">
        <v>0</v>
      </c>
      <c r="K13971">
        <v>0</v>
      </c>
      <c r="L13971">
        <v>1</v>
      </c>
      <c r="M13971">
        <v>1</v>
      </c>
      <c r="N13971">
        <v>1</v>
      </c>
      <c r="O13971">
        <v>1</v>
      </c>
      <c r="P13971">
        <v>1</v>
      </c>
      <c r="Q13971">
        <v>1</v>
      </c>
      <c r="R13971">
        <v>1</v>
      </c>
    </row>
    <row r="13972" spans="1:39" x14ac:dyDescent="0.2">
      <c r="A13972" t="str">
        <f>"13968"</f>
        <v>13968</v>
      </c>
      <c r="B13972" t="str">
        <f t="shared" si="776"/>
        <v>1</v>
      </c>
      <c r="C13972" t="str">
        <f t="shared" si="777"/>
        <v>280</v>
      </c>
      <c r="D13972" t="str">
        <f>"17"</f>
        <v>17</v>
      </c>
      <c r="E13972" t="str">
        <f>"1-280-17"</f>
        <v>1-280-17</v>
      </c>
      <c r="F13972" t="s">
        <v>65</v>
      </c>
      <c r="G13972" t="s">
        <v>66</v>
      </c>
      <c r="H13972" t="s">
        <v>67</v>
      </c>
      <c r="S13972">
        <v>0</v>
      </c>
      <c r="T13972">
        <v>1</v>
      </c>
      <c r="U13972">
        <v>0</v>
      </c>
      <c r="V13972">
        <v>0</v>
      </c>
      <c r="W13972">
        <v>1</v>
      </c>
      <c r="X13972">
        <v>0</v>
      </c>
      <c r="Y13972">
        <v>0</v>
      </c>
      <c r="Z13972">
        <v>1</v>
      </c>
      <c r="AA13972">
        <v>0</v>
      </c>
      <c r="AB13972">
        <v>1</v>
      </c>
      <c r="AC13972">
        <v>0</v>
      </c>
      <c r="AD13972">
        <v>1</v>
      </c>
      <c r="AE13972">
        <v>1</v>
      </c>
      <c r="AF13972">
        <v>1</v>
      </c>
      <c r="AG13972">
        <v>1</v>
      </c>
      <c r="AH13972">
        <v>1</v>
      </c>
      <c r="AI13972">
        <v>1</v>
      </c>
      <c r="AJ13972">
        <v>1</v>
      </c>
      <c r="AK13972">
        <v>1</v>
      </c>
      <c r="AL13972">
        <v>1</v>
      </c>
      <c r="AM13972">
        <v>1</v>
      </c>
    </row>
    <row r="13973" spans="1:39" x14ac:dyDescent="0.2">
      <c r="A13973" t="str">
        <f>"13969"</f>
        <v>13969</v>
      </c>
      <c r="B13973" t="str">
        <f t="shared" si="776"/>
        <v>1</v>
      </c>
      <c r="C13973" t="str">
        <f t="shared" si="777"/>
        <v>280</v>
      </c>
      <c r="D13973" t="str">
        <f>"1"</f>
        <v>1</v>
      </c>
      <c r="E13973" t="str">
        <f>"1-280-1"</f>
        <v>1-280-1</v>
      </c>
      <c r="F13973" t="s">
        <v>65</v>
      </c>
      <c r="G13973" t="s">
        <v>66</v>
      </c>
      <c r="H13973" t="s">
        <v>67</v>
      </c>
      <c r="S13973">
        <v>1</v>
      </c>
      <c r="T13973">
        <v>0</v>
      </c>
      <c r="U13973">
        <v>0</v>
      </c>
      <c r="V13973">
        <v>0</v>
      </c>
      <c r="W13973">
        <v>1</v>
      </c>
      <c r="X13973">
        <v>0</v>
      </c>
      <c r="Y13973">
        <v>1</v>
      </c>
      <c r="Z13973">
        <v>0</v>
      </c>
      <c r="AA13973">
        <v>1</v>
      </c>
      <c r="AB13973">
        <v>0</v>
      </c>
      <c r="AC13973">
        <v>0</v>
      </c>
      <c r="AD13973">
        <v>1</v>
      </c>
      <c r="AE13973">
        <v>1</v>
      </c>
      <c r="AF13973">
        <v>1</v>
      </c>
      <c r="AG13973">
        <v>1</v>
      </c>
      <c r="AH13973">
        <v>1</v>
      </c>
      <c r="AI13973">
        <v>1</v>
      </c>
      <c r="AJ13973">
        <v>1</v>
      </c>
      <c r="AK13973">
        <v>1</v>
      </c>
      <c r="AL13973">
        <v>1</v>
      </c>
      <c r="AM13973">
        <v>1</v>
      </c>
    </row>
    <row r="13974" spans="1:39" x14ac:dyDescent="0.2">
      <c r="A13974" t="str">
        <f>"13970"</f>
        <v>13970</v>
      </c>
      <c r="B13974" t="str">
        <f t="shared" si="776"/>
        <v>1</v>
      </c>
      <c r="C13974" t="str">
        <f t="shared" si="777"/>
        <v>280</v>
      </c>
      <c r="D13974" t="str">
        <f>"37"</f>
        <v>37</v>
      </c>
      <c r="E13974" t="str">
        <f>"1-280-37"</f>
        <v>1-280-37</v>
      </c>
      <c r="F13974" t="s">
        <v>65</v>
      </c>
      <c r="G13974" t="s">
        <v>66</v>
      </c>
      <c r="H13974" t="s">
        <v>67</v>
      </c>
      <c r="S13974">
        <v>0</v>
      </c>
      <c r="T13974">
        <v>1</v>
      </c>
      <c r="U13974">
        <v>0</v>
      </c>
      <c r="V13974">
        <v>0</v>
      </c>
      <c r="W13974">
        <v>0</v>
      </c>
      <c r="X13974">
        <v>1</v>
      </c>
      <c r="Y13974">
        <v>0</v>
      </c>
      <c r="Z13974">
        <v>1</v>
      </c>
      <c r="AA13974">
        <v>0</v>
      </c>
      <c r="AB13974">
        <v>0</v>
      </c>
      <c r="AC13974">
        <v>1</v>
      </c>
      <c r="AD13974">
        <v>1</v>
      </c>
      <c r="AE13974">
        <v>1</v>
      </c>
      <c r="AF13974">
        <v>1</v>
      </c>
      <c r="AG13974">
        <v>1</v>
      </c>
      <c r="AH13974">
        <v>1</v>
      </c>
      <c r="AI13974">
        <v>1</v>
      </c>
      <c r="AJ13974">
        <v>1</v>
      </c>
      <c r="AK13974">
        <v>1</v>
      </c>
      <c r="AL13974">
        <v>1</v>
      </c>
      <c r="AM13974">
        <v>1</v>
      </c>
    </row>
    <row r="13975" spans="1:39" x14ac:dyDescent="0.2">
      <c r="A13975" t="str">
        <f>"13971"</f>
        <v>13971</v>
      </c>
      <c r="B13975" t="str">
        <f t="shared" si="776"/>
        <v>1</v>
      </c>
      <c r="C13975" t="str">
        <f t="shared" si="777"/>
        <v>280</v>
      </c>
      <c r="D13975" t="str">
        <f>"18"</f>
        <v>18</v>
      </c>
      <c r="E13975" t="str">
        <f>"1-280-18"</f>
        <v>1-280-18</v>
      </c>
      <c r="F13975" t="s">
        <v>65</v>
      </c>
      <c r="G13975" t="s">
        <v>66</v>
      </c>
      <c r="H13975" t="s">
        <v>67</v>
      </c>
      <c r="S13975">
        <v>1</v>
      </c>
      <c r="T13975">
        <v>0</v>
      </c>
      <c r="U13975">
        <v>0</v>
      </c>
      <c r="V13975">
        <v>0</v>
      </c>
      <c r="W13975">
        <v>1</v>
      </c>
      <c r="X13975">
        <v>0</v>
      </c>
      <c r="Y13975">
        <v>0</v>
      </c>
      <c r="Z13975">
        <v>1</v>
      </c>
      <c r="AA13975">
        <v>0</v>
      </c>
      <c r="AB13975">
        <v>1</v>
      </c>
      <c r="AC13975">
        <v>0</v>
      </c>
      <c r="AD13975">
        <v>1</v>
      </c>
      <c r="AE13975">
        <v>1</v>
      </c>
      <c r="AF13975">
        <v>1</v>
      </c>
      <c r="AG13975">
        <v>1</v>
      </c>
      <c r="AH13975">
        <v>1</v>
      </c>
      <c r="AI13975">
        <v>1</v>
      </c>
      <c r="AJ13975">
        <v>1</v>
      </c>
      <c r="AK13975">
        <v>1</v>
      </c>
      <c r="AL13975">
        <v>1</v>
      </c>
      <c r="AM13975">
        <v>1</v>
      </c>
    </row>
    <row r="13976" spans="1:39" x14ac:dyDescent="0.2">
      <c r="A13976" t="str">
        <f>"13972"</f>
        <v>13972</v>
      </c>
      <c r="B13976" t="str">
        <f t="shared" si="776"/>
        <v>1</v>
      </c>
      <c r="C13976" t="str">
        <f t="shared" si="777"/>
        <v>280</v>
      </c>
      <c r="D13976" t="str">
        <f>"14"</f>
        <v>14</v>
      </c>
      <c r="E13976" t="str">
        <f>"1-280-14"</f>
        <v>1-280-14</v>
      </c>
      <c r="F13976" t="s">
        <v>65</v>
      </c>
      <c r="G13976" t="s">
        <v>66</v>
      </c>
      <c r="H13976" t="s">
        <v>67</v>
      </c>
      <c r="S13976">
        <v>1</v>
      </c>
      <c r="T13976">
        <v>0</v>
      </c>
      <c r="U13976">
        <v>0</v>
      </c>
      <c r="V13976">
        <v>0</v>
      </c>
      <c r="W13976">
        <v>0</v>
      </c>
      <c r="X13976">
        <v>1</v>
      </c>
      <c r="Y13976">
        <v>0</v>
      </c>
      <c r="Z13976">
        <v>0</v>
      </c>
      <c r="AA13976">
        <v>0</v>
      </c>
      <c r="AB13976">
        <v>0</v>
      </c>
      <c r="AC13976">
        <v>0</v>
      </c>
      <c r="AD13976">
        <v>0</v>
      </c>
      <c r="AE13976">
        <v>0</v>
      </c>
      <c r="AF13976">
        <v>0</v>
      </c>
      <c r="AG13976">
        <v>0</v>
      </c>
      <c r="AH13976">
        <v>0</v>
      </c>
      <c r="AI13976">
        <v>1</v>
      </c>
      <c r="AJ13976">
        <v>1</v>
      </c>
      <c r="AK13976">
        <v>1</v>
      </c>
      <c r="AL13976">
        <v>1</v>
      </c>
      <c r="AM13976">
        <v>1</v>
      </c>
    </row>
    <row r="13977" spans="1:39" x14ac:dyDescent="0.2">
      <c r="A13977" t="str">
        <f>"13973"</f>
        <v>13973</v>
      </c>
      <c r="B13977" t="str">
        <f t="shared" si="776"/>
        <v>1</v>
      </c>
      <c r="C13977" t="str">
        <f t="shared" si="777"/>
        <v>280</v>
      </c>
      <c r="D13977" t="str">
        <f>"36"</f>
        <v>36</v>
      </c>
      <c r="E13977" t="str">
        <f>"1-280-36"</f>
        <v>1-280-36</v>
      </c>
      <c r="F13977" t="s">
        <v>65</v>
      </c>
      <c r="G13977" t="s">
        <v>66</v>
      </c>
      <c r="H13977" t="s">
        <v>67</v>
      </c>
      <c r="S13977">
        <v>0</v>
      </c>
      <c r="T13977">
        <v>1</v>
      </c>
      <c r="U13977">
        <v>0</v>
      </c>
      <c r="V13977">
        <v>0</v>
      </c>
      <c r="W13977">
        <v>1</v>
      </c>
      <c r="X13977">
        <v>0</v>
      </c>
      <c r="Y13977">
        <v>1</v>
      </c>
      <c r="Z13977">
        <v>0</v>
      </c>
      <c r="AA13977">
        <v>0</v>
      </c>
      <c r="AB13977">
        <v>1</v>
      </c>
      <c r="AC13977">
        <v>0</v>
      </c>
      <c r="AD13977">
        <v>1</v>
      </c>
      <c r="AE13977">
        <v>1</v>
      </c>
      <c r="AF13977">
        <v>1</v>
      </c>
      <c r="AG13977">
        <v>1</v>
      </c>
      <c r="AH13977">
        <v>1</v>
      </c>
      <c r="AI13977">
        <v>1</v>
      </c>
      <c r="AJ13977">
        <v>1</v>
      </c>
      <c r="AK13977">
        <v>1</v>
      </c>
      <c r="AL13977">
        <v>1</v>
      </c>
      <c r="AM13977">
        <v>1</v>
      </c>
    </row>
    <row r="13978" spans="1:39" x14ac:dyDescent="0.2">
      <c r="A13978" t="str">
        <f>"13974"</f>
        <v>13974</v>
      </c>
      <c r="B13978" t="str">
        <f t="shared" si="776"/>
        <v>1</v>
      </c>
      <c r="C13978" t="str">
        <f t="shared" si="777"/>
        <v>280</v>
      </c>
      <c r="D13978" t="str">
        <f>"19"</f>
        <v>19</v>
      </c>
      <c r="E13978" t="str">
        <f>"1-280-19"</f>
        <v>1-280-19</v>
      </c>
      <c r="F13978" t="s">
        <v>65</v>
      </c>
      <c r="G13978" t="s">
        <v>66</v>
      </c>
      <c r="H13978" t="s">
        <v>68</v>
      </c>
      <c r="I13978">
        <v>1</v>
      </c>
      <c r="J13978">
        <v>1</v>
      </c>
      <c r="K13978">
        <v>0</v>
      </c>
      <c r="L13978">
        <v>0</v>
      </c>
      <c r="M13978">
        <v>1</v>
      </c>
      <c r="N13978">
        <v>1</v>
      </c>
      <c r="O13978">
        <v>1</v>
      </c>
      <c r="P13978">
        <v>1</v>
      </c>
      <c r="Q13978">
        <v>1</v>
      </c>
      <c r="R13978">
        <v>1</v>
      </c>
    </row>
    <row r="13979" spans="1:39" x14ac:dyDescent="0.2">
      <c r="A13979" t="str">
        <f>"13975"</f>
        <v>13975</v>
      </c>
      <c r="B13979" t="str">
        <f t="shared" si="776"/>
        <v>1</v>
      </c>
      <c r="C13979" t="str">
        <f t="shared" si="777"/>
        <v>280</v>
      </c>
      <c r="D13979" t="str">
        <f>"2"</f>
        <v>2</v>
      </c>
      <c r="E13979" t="str">
        <f>"1-280-2"</f>
        <v>1-280-2</v>
      </c>
      <c r="F13979" t="s">
        <v>65</v>
      </c>
      <c r="G13979" t="s">
        <v>66</v>
      </c>
      <c r="H13979" t="s">
        <v>68</v>
      </c>
      <c r="I13979">
        <v>1</v>
      </c>
      <c r="J13979">
        <v>0</v>
      </c>
      <c r="K13979">
        <v>0</v>
      </c>
      <c r="L13979">
        <v>1</v>
      </c>
      <c r="M13979">
        <v>1</v>
      </c>
      <c r="N13979">
        <v>1</v>
      </c>
      <c r="O13979">
        <v>1</v>
      </c>
      <c r="P13979">
        <v>1</v>
      </c>
      <c r="Q13979">
        <v>1</v>
      </c>
      <c r="R13979">
        <v>1</v>
      </c>
    </row>
    <row r="13980" spans="1:39" x14ac:dyDescent="0.2">
      <c r="A13980" t="str">
        <f>"13976"</f>
        <v>13976</v>
      </c>
      <c r="B13980" t="str">
        <f t="shared" si="776"/>
        <v>1</v>
      </c>
      <c r="C13980" t="str">
        <f t="shared" si="777"/>
        <v>280</v>
      </c>
      <c r="D13980" t="str">
        <f>"40"</f>
        <v>40</v>
      </c>
      <c r="E13980" t="str">
        <f>"1-280-40"</f>
        <v>1-280-40</v>
      </c>
      <c r="F13980" t="s">
        <v>65</v>
      </c>
      <c r="G13980" t="s">
        <v>66</v>
      </c>
      <c r="H13980" t="s">
        <v>67</v>
      </c>
      <c r="S13980">
        <v>0</v>
      </c>
      <c r="T13980">
        <v>1</v>
      </c>
      <c r="U13980">
        <v>0</v>
      </c>
      <c r="V13980">
        <v>0</v>
      </c>
      <c r="W13980">
        <v>1</v>
      </c>
      <c r="X13980">
        <v>0</v>
      </c>
      <c r="Y13980">
        <v>0</v>
      </c>
      <c r="Z13980">
        <v>1</v>
      </c>
      <c r="AA13980">
        <v>0</v>
      </c>
      <c r="AB13980">
        <v>1</v>
      </c>
      <c r="AC13980">
        <v>0</v>
      </c>
      <c r="AD13980">
        <v>1</v>
      </c>
      <c r="AE13980">
        <v>1</v>
      </c>
      <c r="AF13980">
        <v>1</v>
      </c>
      <c r="AG13980">
        <v>1</v>
      </c>
      <c r="AH13980">
        <v>1</v>
      </c>
      <c r="AI13980">
        <v>1</v>
      </c>
      <c r="AJ13980">
        <v>1</v>
      </c>
      <c r="AK13980">
        <v>1</v>
      </c>
      <c r="AL13980">
        <v>1</v>
      </c>
      <c r="AM13980">
        <v>1</v>
      </c>
    </row>
    <row r="13981" spans="1:39" x14ac:dyDescent="0.2">
      <c r="A13981" t="str">
        <f>"13977"</f>
        <v>13977</v>
      </c>
      <c r="B13981" t="str">
        <f t="shared" si="776"/>
        <v>1</v>
      </c>
      <c r="C13981" t="str">
        <f t="shared" si="777"/>
        <v>280</v>
      </c>
      <c r="D13981" t="str">
        <f>"22"</f>
        <v>22</v>
      </c>
      <c r="E13981" t="str">
        <f>"1-280-22"</f>
        <v>1-280-22</v>
      </c>
      <c r="F13981" t="s">
        <v>65</v>
      </c>
      <c r="G13981" t="s">
        <v>66</v>
      </c>
      <c r="H13981" t="s">
        <v>68</v>
      </c>
      <c r="I13981">
        <v>1</v>
      </c>
      <c r="J13981">
        <v>0</v>
      </c>
      <c r="K13981">
        <v>0</v>
      </c>
      <c r="L13981">
        <v>1</v>
      </c>
      <c r="M13981">
        <v>1</v>
      </c>
      <c r="N13981">
        <v>1</v>
      </c>
      <c r="O13981">
        <v>1</v>
      </c>
      <c r="P13981">
        <v>1</v>
      </c>
      <c r="Q13981">
        <v>1</v>
      </c>
      <c r="R13981">
        <v>1</v>
      </c>
    </row>
    <row r="13982" spans="1:39" x14ac:dyDescent="0.2">
      <c r="A13982" t="str">
        <f>"13978"</f>
        <v>13978</v>
      </c>
      <c r="B13982" t="str">
        <f t="shared" si="776"/>
        <v>1</v>
      </c>
      <c r="C13982" t="str">
        <f t="shared" si="777"/>
        <v>280</v>
      </c>
      <c r="D13982" t="str">
        <f>"9"</f>
        <v>9</v>
      </c>
      <c r="E13982" t="str">
        <f>"1-280-9"</f>
        <v>1-280-9</v>
      </c>
      <c r="F13982" t="s">
        <v>65</v>
      </c>
      <c r="G13982" t="s">
        <v>66</v>
      </c>
      <c r="H13982" t="s">
        <v>67</v>
      </c>
      <c r="S13982">
        <v>0</v>
      </c>
      <c r="T13982">
        <v>0</v>
      </c>
      <c r="U13982">
        <v>0</v>
      </c>
      <c r="V13982">
        <v>0</v>
      </c>
      <c r="W13982">
        <v>0</v>
      </c>
      <c r="X13982">
        <v>1</v>
      </c>
      <c r="Y13982">
        <v>0</v>
      </c>
      <c r="Z13982">
        <v>0</v>
      </c>
      <c r="AA13982">
        <v>0</v>
      </c>
      <c r="AB13982">
        <v>1</v>
      </c>
      <c r="AC13982">
        <v>0</v>
      </c>
      <c r="AD13982">
        <v>0</v>
      </c>
      <c r="AE13982">
        <v>0</v>
      </c>
      <c r="AF13982">
        <v>0</v>
      </c>
      <c r="AG13982">
        <v>1</v>
      </c>
      <c r="AH13982">
        <v>1</v>
      </c>
      <c r="AI13982">
        <v>1</v>
      </c>
      <c r="AJ13982">
        <v>1</v>
      </c>
      <c r="AK13982">
        <v>1</v>
      </c>
      <c r="AL13982">
        <v>1</v>
      </c>
      <c r="AM13982">
        <v>0</v>
      </c>
    </row>
    <row r="13983" spans="1:39" x14ac:dyDescent="0.2">
      <c r="A13983" t="str">
        <f>"13979"</f>
        <v>13979</v>
      </c>
      <c r="B13983" t="str">
        <f t="shared" si="776"/>
        <v>1</v>
      </c>
      <c r="C13983" t="str">
        <f t="shared" si="777"/>
        <v>280</v>
      </c>
      <c r="D13983" t="str">
        <f>"41"</f>
        <v>41</v>
      </c>
      <c r="E13983" t="str">
        <f>"1-280-41"</f>
        <v>1-280-41</v>
      </c>
      <c r="F13983" t="s">
        <v>65</v>
      </c>
      <c r="G13983" t="s">
        <v>66</v>
      </c>
      <c r="H13983" t="s">
        <v>67</v>
      </c>
      <c r="S13983">
        <v>0</v>
      </c>
      <c r="T13983">
        <v>1</v>
      </c>
      <c r="U13983">
        <v>0</v>
      </c>
      <c r="V13983">
        <v>0</v>
      </c>
      <c r="W13983">
        <v>1</v>
      </c>
      <c r="X13983">
        <v>0</v>
      </c>
      <c r="Y13983">
        <v>1</v>
      </c>
      <c r="Z13983">
        <v>0</v>
      </c>
      <c r="AA13983">
        <v>0</v>
      </c>
      <c r="AB13983">
        <v>1</v>
      </c>
      <c r="AC13983">
        <v>0</v>
      </c>
      <c r="AD13983">
        <v>1</v>
      </c>
      <c r="AE13983">
        <v>1</v>
      </c>
      <c r="AF13983">
        <v>1</v>
      </c>
      <c r="AG13983">
        <v>1</v>
      </c>
      <c r="AH13983">
        <v>1</v>
      </c>
      <c r="AI13983">
        <v>1</v>
      </c>
      <c r="AJ13983">
        <v>1</v>
      </c>
      <c r="AK13983">
        <v>1</v>
      </c>
      <c r="AL13983">
        <v>1</v>
      </c>
      <c r="AM13983">
        <v>1</v>
      </c>
    </row>
    <row r="13984" spans="1:39" x14ac:dyDescent="0.2">
      <c r="A13984" t="str">
        <f>"13980"</f>
        <v>13980</v>
      </c>
      <c r="B13984" t="str">
        <f t="shared" si="776"/>
        <v>1</v>
      </c>
      <c r="C13984" t="str">
        <f t="shared" si="777"/>
        <v>280</v>
      </c>
      <c r="D13984" t="str">
        <f>"23"</f>
        <v>23</v>
      </c>
      <c r="E13984" t="str">
        <f>"1-280-23"</f>
        <v>1-280-23</v>
      </c>
      <c r="F13984" t="s">
        <v>65</v>
      </c>
      <c r="G13984" t="s">
        <v>66</v>
      </c>
      <c r="H13984" t="s">
        <v>68</v>
      </c>
      <c r="I13984">
        <v>1</v>
      </c>
      <c r="J13984">
        <v>1</v>
      </c>
      <c r="K13984">
        <v>0</v>
      </c>
      <c r="L13984">
        <v>0</v>
      </c>
      <c r="M13984">
        <v>1</v>
      </c>
      <c r="N13984">
        <v>1</v>
      </c>
      <c r="O13984">
        <v>1</v>
      </c>
      <c r="P13984">
        <v>1</v>
      </c>
      <c r="Q13984">
        <v>1</v>
      </c>
      <c r="R13984">
        <v>1</v>
      </c>
    </row>
    <row r="13985" spans="1:39" x14ac:dyDescent="0.2">
      <c r="A13985" t="str">
        <f>"13981"</f>
        <v>13981</v>
      </c>
      <c r="B13985" t="str">
        <f t="shared" si="776"/>
        <v>1</v>
      </c>
      <c r="C13985" t="str">
        <f t="shared" si="777"/>
        <v>280</v>
      </c>
      <c r="D13985" t="str">
        <f>"6"</f>
        <v>6</v>
      </c>
      <c r="E13985" t="str">
        <f>"1-280-6"</f>
        <v>1-280-6</v>
      </c>
      <c r="F13985" t="s">
        <v>65</v>
      </c>
      <c r="G13985" t="s">
        <v>66</v>
      </c>
      <c r="H13985" t="s">
        <v>67</v>
      </c>
      <c r="S13985">
        <v>1</v>
      </c>
      <c r="T13985">
        <v>0</v>
      </c>
      <c r="U13985">
        <v>0</v>
      </c>
      <c r="V13985">
        <v>0</v>
      </c>
      <c r="W13985">
        <v>1</v>
      </c>
      <c r="X13985">
        <v>0</v>
      </c>
      <c r="Y13985">
        <v>0</v>
      </c>
      <c r="Z13985">
        <v>1</v>
      </c>
      <c r="AA13985">
        <v>1</v>
      </c>
      <c r="AB13985">
        <v>0</v>
      </c>
      <c r="AC13985">
        <v>0</v>
      </c>
      <c r="AD13985">
        <v>1</v>
      </c>
      <c r="AE13985">
        <v>1</v>
      </c>
      <c r="AF13985">
        <v>1</v>
      </c>
      <c r="AG13985">
        <v>1</v>
      </c>
      <c r="AH13985">
        <v>1</v>
      </c>
      <c r="AI13985">
        <v>1</v>
      </c>
      <c r="AJ13985">
        <v>1</v>
      </c>
      <c r="AK13985">
        <v>1</v>
      </c>
      <c r="AL13985">
        <v>1</v>
      </c>
      <c r="AM13985">
        <v>1</v>
      </c>
    </row>
    <row r="13986" spans="1:39" x14ac:dyDescent="0.2">
      <c r="A13986" t="str">
        <f>"13982"</f>
        <v>13982</v>
      </c>
      <c r="B13986" t="str">
        <f t="shared" si="776"/>
        <v>1</v>
      </c>
      <c r="C13986" t="str">
        <f t="shared" si="777"/>
        <v>280</v>
      </c>
      <c r="D13986" t="str">
        <f>"38"</f>
        <v>38</v>
      </c>
      <c r="E13986" t="str">
        <f>"1-280-38"</f>
        <v>1-280-38</v>
      </c>
      <c r="F13986" t="s">
        <v>65</v>
      </c>
      <c r="G13986" t="s">
        <v>66</v>
      </c>
      <c r="H13986" t="s">
        <v>67</v>
      </c>
      <c r="S13986">
        <v>0</v>
      </c>
      <c r="T13986">
        <v>1</v>
      </c>
      <c r="U13986">
        <v>0</v>
      </c>
      <c r="V13986">
        <v>0</v>
      </c>
      <c r="W13986">
        <v>0</v>
      </c>
      <c r="X13986">
        <v>1</v>
      </c>
      <c r="Y13986">
        <v>0</v>
      </c>
      <c r="Z13986">
        <v>1</v>
      </c>
      <c r="AA13986">
        <v>0</v>
      </c>
      <c r="AB13986">
        <v>1</v>
      </c>
      <c r="AC13986">
        <v>0</v>
      </c>
      <c r="AD13986">
        <v>1</v>
      </c>
      <c r="AE13986">
        <v>1</v>
      </c>
      <c r="AF13986">
        <v>1</v>
      </c>
      <c r="AG13986">
        <v>1</v>
      </c>
      <c r="AH13986">
        <v>0</v>
      </c>
      <c r="AI13986">
        <v>1</v>
      </c>
      <c r="AJ13986">
        <v>0</v>
      </c>
      <c r="AK13986">
        <v>0</v>
      </c>
      <c r="AL13986">
        <v>1</v>
      </c>
      <c r="AM13986">
        <v>0</v>
      </c>
    </row>
    <row r="13987" spans="1:39" x14ac:dyDescent="0.2">
      <c r="A13987" t="str">
        <f>"13983"</f>
        <v>13983</v>
      </c>
      <c r="B13987" t="str">
        <f t="shared" si="776"/>
        <v>1</v>
      </c>
      <c r="C13987" t="str">
        <f t="shared" ref="C13987:C14004" si="778">"280"</f>
        <v>280</v>
      </c>
      <c r="D13987" t="str">
        <f>"24"</f>
        <v>24</v>
      </c>
      <c r="E13987" t="str">
        <f>"1-280-24"</f>
        <v>1-280-24</v>
      </c>
      <c r="F13987" t="s">
        <v>65</v>
      </c>
      <c r="G13987" t="s">
        <v>66</v>
      </c>
      <c r="H13987" t="s">
        <v>68</v>
      </c>
      <c r="I13987">
        <v>1</v>
      </c>
      <c r="J13987">
        <v>0</v>
      </c>
      <c r="K13987">
        <v>0</v>
      </c>
      <c r="L13987">
        <v>1</v>
      </c>
      <c r="M13987">
        <v>1</v>
      </c>
      <c r="N13987">
        <v>1</v>
      </c>
      <c r="O13987">
        <v>1</v>
      </c>
      <c r="P13987">
        <v>1</v>
      </c>
      <c r="Q13987">
        <v>1</v>
      </c>
      <c r="R13987">
        <v>1</v>
      </c>
    </row>
    <row r="13988" spans="1:39" x14ac:dyDescent="0.2">
      <c r="A13988" t="str">
        <f>"13984"</f>
        <v>13984</v>
      </c>
      <c r="B13988" t="str">
        <f t="shared" si="776"/>
        <v>1</v>
      </c>
      <c r="C13988" t="str">
        <f t="shared" si="778"/>
        <v>280</v>
      </c>
      <c r="D13988" t="str">
        <f>"5"</f>
        <v>5</v>
      </c>
      <c r="E13988" t="str">
        <f>"1-280-5"</f>
        <v>1-280-5</v>
      </c>
      <c r="F13988" t="s">
        <v>65</v>
      </c>
      <c r="G13988" t="s">
        <v>66</v>
      </c>
      <c r="H13988" t="s">
        <v>67</v>
      </c>
      <c r="S13988">
        <v>1</v>
      </c>
      <c r="T13988">
        <v>0</v>
      </c>
      <c r="U13988">
        <v>0</v>
      </c>
      <c r="V13988">
        <v>0</v>
      </c>
      <c r="W13988">
        <v>1</v>
      </c>
      <c r="X13988">
        <v>0</v>
      </c>
      <c r="Y13988">
        <v>1</v>
      </c>
      <c r="Z13988">
        <v>0</v>
      </c>
      <c r="AA13988">
        <v>1</v>
      </c>
      <c r="AB13988">
        <v>0</v>
      </c>
      <c r="AC13988">
        <v>0</v>
      </c>
      <c r="AD13988">
        <v>1</v>
      </c>
      <c r="AE13988">
        <v>1</v>
      </c>
      <c r="AF13988">
        <v>1</v>
      </c>
      <c r="AG13988">
        <v>1</v>
      </c>
      <c r="AH13988">
        <v>1</v>
      </c>
      <c r="AI13988">
        <v>1</v>
      </c>
      <c r="AJ13988">
        <v>1</v>
      </c>
      <c r="AK13988">
        <v>1</v>
      </c>
      <c r="AL13988">
        <v>1</v>
      </c>
      <c r="AM13988">
        <v>1</v>
      </c>
    </row>
    <row r="13989" spans="1:39" x14ac:dyDescent="0.2">
      <c r="A13989" t="str">
        <f>"13985"</f>
        <v>13985</v>
      </c>
      <c r="B13989" t="str">
        <f t="shared" si="776"/>
        <v>1</v>
      </c>
      <c r="C13989" t="str">
        <f t="shared" si="778"/>
        <v>280</v>
      </c>
      <c r="D13989" t="str">
        <f>"44"</f>
        <v>44</v>
      </c>
      <c r="E13989" t="str">
        <f>"1-280-44"</f>
        <v>1-280-44</v>
      </c>
      <c r="F13989" t="s">
        <v>65</v>
      </c>
      <c r="G13989" t="s">
        <v>66</v>
      </c>
      <c r="H13989" t="s">
        <v>67</v>
      </c>
      <c r="S13989">
        <v>1</v>
      </c>
      <c r="T13989">
        <v>0</v>
      </c>
      <c r="U13989">
        <v>0</v>
      </c>
      <c r="V13989">
        <v>0</v>
      </c>
      <c r="W13989">
        <v>1</v>
      </c>
      <c r="X13989">
        <v>0</v>
      </c>
      <c r="Y13989">
        <v>1</v>
      </c>
      <c r="Z13989">
        <v>0</v>
      </c>
      <c r="AA13989">
        <v>1</v>
      </c>
      <c r="AB13989">
        <v>0</v>
      </c>
      <c r="AC13989">
        <v>0</v>
      </c>
      <c r="AD13989">
        <v>1</v>
      </c>
      <c r="AE13989">
        <v>1</v>
      </c>
      <c r="AF13989">
        <v>1</v>
      </c>
      <c r="AG13989">
        <v>1</v>
      </c>
      <c r="AH13989">
        <v>1</v>
      </c>
      <c r="AI13989">
        <v>0</v>
      </c>
      <c r="AJ13989">
        <v>1</v>
      </c>
      <c r="AK13989">
        <v>1</v>
      </c>
      <c r="AL13989">
        <v>1</v>
      </c>
      <c r="AM13989">
        <v>1</v>
      </c>
    </row>
    <row r="13990" spans="1:39" x14ac:dyDescent="0.2">
      <c r="A13990" t="str">
        <f>"13986"</f>
        <v>13986</v>
      </c>
      <c r="B13990" t="str">
        <f t="shared" si="776"/>
        <v>1</v>
      </c>
      <c r="C13990" t="str">
        <f t="shared" si="778"/>
        <v>280</v>
      </c>
      <c r="D13990" t="str">
        <f>"25"</f>
        <v>25</v>
      </c>
      <c r="E13990" t="str">
        <f>"1-280-25"</f>
        <v>1-280-25</v>
      </c>
      <c r="F13990" t="s">
        <v>65</v>
      </c>
      <c r="G13990" t="s">
        <v>66</v>
      </c>
      <c r="H13990" t="s">
        <v>68</v>
      </c>
      <c r="I13990">
        <v>1</v>
      </c>
      <c r="J13990">
        <v>0</v>
      </c>
      <c r="K13990">
        <v>0</v>
      </c>
      <c r="L13990">
        <v>1</v>
      </c>
      <c r="M13990">
        <v>1</v>
      </c>
      <c r="N13990">
        <v>1</v>
      </c>
      <c r="O13990">
        <v>1</v>
      </c>
      <c r="P13990">
        <v>1</v>
      </c>
      <c r="Q13990">
        <v>1</v>
      </c>
      <c r="R13990">
        <v>1</v>
      </c>
    </row>
    <row r="13991" spans="1:39" x14ac:dyDescent="0.2">
      <c r="A13991" t="str">
        <f>"13987"</f>
        <v>13987</v>
      </c>
      <c r="B13991" t="str">
        <f t="shared" si="776"/>
        <v>1</v>
      </c>
      <c r="C13991" t="str">
        <f t="shared" si="778"/>
        <v>280</v>
      </c>
      <c r="D13991" t="str">
        <f>"8"</f>
        <v>8</v>
      </c>
      <c r="E13991" t="str">
        <f>"1-280-8"</f>
        <v>1-280-8</v>
      </c>
      <c r="F13991" t="s">
        <v>65</v>
      </c>
      <c r="G13991" t="s">
        <v>66</v>
      </c>
      <c r="H13991" t="s">
        <v>67</v>
      </c>
      <c r="S13991">
        <v>1</v>
      </c>
      <c r="T13991">
        <v>0</v>
      </c>
      <c r="U13991">
        <v>0</v>
      </c>
      <c r="V13991">
        <v>0</v>
      </c>
      <c r="W13991">
        <v>1</v>
      </c>
      <c r="X13991">
        <v>0</v>
      </c>
      <c r="Y13991">
        <v>1</v>
      </c>
      <c r="Z13991">
        <v>0</v>
      </c>
      <c r="AA13991">
        <v>1</v>
      </c>
      <c r="AB13991">
        <v>0</v>
      </c>
      <c r="AC13991">
        <v>0</v>
      </c>
      <c r="AD13991">
        <v>1</v>
      </c>
      <c r="AE13991">
        <v>1</v>
      </c>
      <c r="AF13991">
        <v>1</v>
      </c>
      <c r="AG13991">
        <v>1</v>
      </c>
      <c r="AH13991">
        <v>1</v>
      </c>
      <c r="AI13991">
        <v>1</v>
      </c>
      <c r="AJ13991">
        <v>1</v>
      </c>
      <c r="AK13991">
        <v>1</v>
      </c>
      <c r="AL13991">
        <v>1</v>
      </c>
      <c r="AM13991">
        <v>1</v>
      </c>
    </row>
    <row r="13992" spans="1:39" x14ac:dyDescent="0.2">
      <c r="A13992" t="str">
        <f>"13988"</f>
        <v>13988</v>
      </c>
      <c r="B13992" t="str">
        <f t="shared" si="776"/>
        <v>1</v>
      </c>
      <c r="C13992" t="str">
        <f t="shared" si="778"/>
        <v>280</v>
      </c>
      <c r="D13992" t="str">
        <f>"39"</f>
        <v>39</v>
      </c>
      <c r="E13992" t="str">
        <f>"1-280-39"</f>
        <v>1-280-39</v>
      </c>
      <c r="F13992" t="s">
        <v>65</v>
      </c>
      <c r="G13992" t="s">
        <v>66</v>
      </c>
      <c r="H13992" t="s">
        <v>67</v>
      </c>
      <c r="S13992">
        <v>1</v>
      </c>
      <c r="T13992">
        <v>0</v>
      </c>
      <c r="U13992">
        <v>0</v>
      </c>
      <c r="V13992">
        <v>0</v>
      </c>
      <c r="W13992">
        <v>1</v>
      </c>
      <c r="X13992">
        <v>0</v>
      </c>
      <c r="Y13992">
        <v>0</v>
      </c>
      <c r="Z13992">
        <v>1</v>
      </c>
      <c r="AA13992">
        <v>0</v>
      </c>
      <c r="AB13992">
        <v>1</v>
      </c>
      <c r="AC13992">
        <v>0</v>
      </c>
      <c r="AD13992">
        <v>1</v>
      </c>
      <c r="AE13992">
        <v>1</v>
      </c>
      <c r="AF13992">
        <v>1</v>
      </c>
      <c r="AG13992">
        <v>1</v>
      </c>
      <c r="AH13992">
        <v>1</v>
      </c>
      <c r="AI13992">
        <v>1</v>
      </c>
      <c r="AJ13992">
        <v>1</v>
      </c>
      <c r="AK13992">
        <v>1</v>
      </c>
      <c r="AL13992">
        <v>1</v>
      </c>
      <c r="AM13992">
        <v>1</v>
      </c>
    </row>
    <row r="13993" spans="1:39" x14ac:dyDescent="0.2">
      <c r="A13993" t="str">
        <f>"13989"</f>
        <v>13989</v>
      </c>
      <c r="B13993" t="str">
        <f t="shared" si="776"/>
        <v>1</v>
      </c>
      <c r="C13993" t="str">
        <f t="shared" si="778"/>
        <v>280</v>
      </c>
      <c r="D13993" t="str">
        <f>"26"</f>
        <v>26</v>
      </c>
      <c r="E13993" t="str">
        <f>"1-280-26"</f>
        <v>1-280-26</v>
      </c>
      <c r="F13993" t="s">
        <v>65</v>
      </c>
      <c r="G13993" t="s">
        <v>66</v>
      </c>
      <c r="H13993" t="s">
        <v>68</v>
      </c>
      <c r="I13993">
        <v>1</v>
      </c>
      <c r="J13993">
        <v>1</v>
      </c>
      <c r="K13993">
        <v>0</v>
      </c>
      <c r="L13993">
        <v>0</v>
      </c>
      <c r="M13993">
        <v>1</v>
      </c>
      <c r="N13993">
        <v>1</v>
      </c>
      <c r="O13993">
        <v>1</v>
      </c>
      <c r="P13993">
        <v>1</v>
      </c>
      <c r="Q13993">
        <v>1</v>
      </c>
      <c r="R13993">
        <v>1</v>
      </c>
    </row>
    <row r="13994" spans="1:39" x14ac:dyDescent="0.2">
      <c r="A13994" t="str">
        <f>"13990"</f>
        <v>13990</v>
      </c>
      <c r="B13994" t="str">
        <f t="shared" si="776"/>
        <v>1</v>
      </c>
      <c r="C13994" t="str">
        <f t="shared" si="778"/>
        <v>280</v>
      </c>
      <c r="D13994" t="str">
        <f>"7"</f>
        <v>7</v>
      </c>
      <c r="E13994" t="str">
        <f>"1-280-7"</f>
        <v>1-280-7</v>
      </c>
      <c r="F13994" t="s">
        <v>65</v>
      </c>
      <c r="G13994" t="s">
        <v>66</v>
      </c>
      <c r="H13994" t="s">
        <v>67</v>
      </c>
      <c r="S13994">
        <v>0</v>
      </c>
      <c r="T13994">
        <v>1</v>
      </c>
      <c r="U13994">
        <v>0</v>
      </c>
      <c r="V13994">
        <v>0</v>
      </c>
      <c r="W13994">
        <v>1</v>
      </c>
      <c r="X13994">
        <v>0</v>
      </c>
      <c r="Y13994">
        <v>0</v>
      </c>
      <c r="Z13994">
        <v>1</v>
      </c>
      <c r="AA13994">
        <v>1</v>
      </c>
      <c r="AB13994">
        <v>0</v>
      </c>
      <c r="AC13994">
        <v>0</v>
      </c>
      <c r="AD13994">
        <v>1</v>
      </c>
      <c r="AE13994">
        <v>1</v>
      </c>
      <c r="AF13994">
        <v>1</v>
      </c>
      <c r="AG13994">
        <v>1</v>
      </c>
      <c r="AH13994">
        <v>1</v>
      </c>
      <c r="AI13994">
        <v>1</v>
      </c>
      <c r="AJ13994">
        <v>1</v>
      </c>
      <c r="AK13994">
        <v>1</v>
      </c>
      <c r="AL13994">
        <v>1</v>
      </c>
      <c r="AM13994">
        <v>1</v>
      </c>
    </row>
    <row r="13995" spans="1:39" x14ac:dyDescent="0.2">
      <c r="A13995" t="str">
        <f>"13991"</f>
        <v>13991</v>
      </c>
      <c r="B13995" t="str">
        <f t="shared" si="776"/>
        <v>1</v>
      </c>
      <c r="C13995" t="str">
        <f t="shared" si="778"/>
        <v>280</v>
      </c>
      <c r="D13995" t="str">
        <f>"48"</f>
        <v>48</v>
      </c>
      <c r="E13995" t="str">
        <f>"1-280-48"</f>
        <v>1-280-48</v>
      </c>
      <c r="F13995" t="s">
        <v>65</v>
      </c>
      <c r="G13995" t="s">
        <v>66</v>
      </c>
      <c r="H13995" t="s">
        <v>67</v>
      </c>
      <c r="S13995">
        <v>1</v>
      </c>
      <c r="T13995">
        <v>0</v>
      </c>
      <c r="U13995">
        <v>0</v>
      </c>
      <c r="V13995">
        <v>0</v>
      </c>
      <c r="W13995">
        <v>1</v>
      </c>
      <c r="X13995">
        <v>0</v>
      </c>
      <c r="Y13995">
        <v>1</v>
      </c>
      <c r="Z13995">
        <v>0</v>
      </c>
      <c r="AA13995">
        <v>1</v>
      </c>
      <c r="AB13995">
        <v>0</v>
      </c>
      <c r="AC13995">
        <v>0</v>
      </c>
      <c r="AD13995">
        <v>1</v>
      </c>
      <c r="AE13995">
        <v>1</v>
      </c>
      <c r="AF13995">
        <v>1</v>
      </c>
      <c r="AG13995">
        <v>1</v>
      </c>
      <c r="AH13995">
        <v>1</v>
      </c>
      <c r="AI13995">
        <v>1</v>
      </c>
      <c r="AJ13995">
        <v>1</v>
      </c>
      <c r="AK13995">
        <v>1</v>
      </c>
      <c r="AL13995">
        <v>1</v>
      </c>
      <c r="AM13995">
        <v>1</v>
      </c>
    </row>
    <row r="13996" spans="1:39" x14ac:dyDescent="0.2">
      <c r="A13996" t="str">
        <f>"13992"</f>
        <v>13992</v>
      </c>
      <c r="B13996" t="str">
        <f t="shared" si="776"/>
        <v>1</v>
      </c>
      <c r="C13996" t="str">
        <f t="shared" si="778"/>
        <v>280</v>
      </c>
      <c r="D13996" t="str">
        <f>"27"</f>
        <v>27</v>
      </c>
      <c r="E13996" t="str">
        <f>"1-280-27"</f>
        <v>1-280-27</v>
      </c>
      <c r="F13996" t="s">
        <v>65</v>
      </c>
      <c r="G13996" t="s">
        <v>66</v>
      </c>
      <c r="H13996" t="s">
        <v>67</v>
      </c>
      <c r="S13996">
        <v>1</v>
      </c>
      <c r="T13996">
        <v>0</v>
      </c>
      <c r="U13996">
        <v>0</v>
      </c>
      <c r="V13996">
        <v>0</v>
      </c>
      <c r="W13996">
        <v>0</v>
      </c>
      <c r="X13996">
        <v>1</v>
      </c>
      <c r="Y13996">
        <v>0</v>
      </c>
      <c r="Z13996">
        <v>1</v>
      </c>
      <c r="AA13996">
        <v>0</v>
      </c>
      <c r="AB13996">
        <v>1</v>
      </c>
      <c r="AC13996">
        <v>0</v>
      </c>
      <c r="AD13996">
        <v>1</v>
      </c>
      <c r="AE13996">
        <v>1</v>
      </c>
      <c r="AF13996">
        <v>1</v>
      </c>
      <c r="AG13996">
        <v>1</v>
      </c>
      <c r="AH13996">
        <v>1</v>
      </c>
      <c r="AI13996">
        <v>1</v>
      </c>
      <c r="AJ13996">
        <v>1</v>
      </c>
      <c r="AK13996">
        <v>1</v>
      </c>
      <c r="AL13996">
        <v>1</v>
      </c>
      <c r="AM13996">
        <v>1</v>
      </c>
    </row>
    <row r="13997" spans="1:39" x14ac:dyDescent="0.2">
      <c r="A13997" t="str">
        <f>"13993"</f>
        <v>13993</v>
      </c>
      <c r="B13997" t="str">
        <f t="shared" si="776"/>
        <v>1</v>
      </c>
      <c r="C13997" t="str">
        <f t="shared" si="778"/>
        <v>280</v>
      </c>
      <c r="D13997" t="str">
        <f>"11"</f>
        <v>11</v>
      </c>
      <c r="E13997" t="str">
        <f>"1-280-11"</f>
        <v>1-280-11</v>
      </c>
      <c r="F13997" t="s">
        <v>65</v>
      </c>
      <c r="G13997" t="s">
        <v>66</v>
      </c>
      <c r="H13997" t="s">
        <v>67</v>
      </c>
      <c r="S13997">
        <v>1</v>
      </c>
      <c r="T13997">
        <v>0</v>
      </c>
      <c r="U13997">
        <v>0</v>
      </c>
      <c r="V13997">
        <v>0</v>
      </c>
      <c r="W13997">
        <v>1</v>
      </c>
      <c r="X13997">
        <v>0</v>
      </c>
      <c r="Y13997">
        <v>1</v>
      </c>
      <c r="Z13997">
        <v>0</v>
      </c>
      <c r="AA13997">
        <v>1</v>
      </c>
      <c r="AB13997">
        <v>0</v>
      </c>
      <c r="AC13997">
        <v>0</v>
      </c>
      <c r="AD13997">
        <v>0</v>
      </c>
      <c r="AE13997">
        <v>0</v>
      </c>
      <c r="AF13997">
        <v>0</v>
      </c>
      <c r="AG13997">
        <v>0</v>
      </c>
      <c r="AH13997">
        <v>1</v>
      </c>
      <c r="AI13997">
        <v>1</v>
      </c>
      <c r="AJ13997">
        <v>1</v>
      </c>
      <c r="AK13997">
        <v>0</v>
      </c>
      <c r="AL13997">
        <v>1</v>
      </c>
      <c r="AM13997">
        <v>1</v>
      </c>
    </row>
    <row r="13998" spans="1:39" x14ac:dyDescent="0.2">
      <c r="A13998" t="str">
        <f>"13994"</f>
        <v>13994</v>
      </c>
      <c r="B13998" t="str">
        <f t="shared" si="776"/>
        <v>1</v>
      </c>
      <c r="C13998" t="str">
        <f t="shared" si="778"/>
        <v>280</v>
      </c>
      <c r="D13998" t="str">
        <f>"47"</f>
        <v>47</v>
      </c>
      <c r="E13998" t="str">
        <f>"1-280-47"</f>
        <v>1-280-47</v>
      </c>
      <c r="F13998" t="s">
        <v>65</v>
      </c>
      <c r="G13998" t="s">
        <v>66</v>
      </c>
      <c r="H13998" t="s">
        <v>67</v>
      </c>
      <c r="S13998">
        <v>1</v>
      </c>
      <c r="T13998">
        <v>0</v>
      </c>
      <c r="U13998">
        <v>0</v>
      </c>
      <c r="V13998">
        <v>0</v>
      </c>
      <c r="W13998">
        <v>1</v>
      </c>
      <c r="X13998">
        <v>0</v>
      </c>
      <c r="Y13998">
        <v>1</v>
      </c>
      <c r="Z13998">
        <v>0</v>
      </c>
      <c r="AA13998">
        <v>1</v>
      </c>
      <c r="AB13998">
        <v>0</v>
      </c>
      <c r="AC13998">
        <v>0</v>
      </c>
      <c r="AD13998">
        <v>1</v>
      </c>
      <c r="AE13998">
        <v>1</v>
      </c>
      <c r="AF13998">
        <v>1</v>
      </c>
      <c r="AG13998">
        <v>1</v>
      </c>
      <c r="AH13998">
        <v>1</v>
      </c>
      <c r="AI13998">
        <v>1</v>
      </c>
      <c r="AJ13998">
        <v>1</v>
      </c>
      <c r="AK13998">
        <v>1</v>
      </c>
      <c r="AL13998">
        <v>1</v>
      </c>
      <c r="AM13998">
        <v>1</v>
      </c>
    </row>
    <row r="13999" spans="1:39" x14ac:dyDescent="0.2">
      <c r="A13999" t="str">
        <f>"13995"</f>
        <v>13995</v>
      </c>
      <c r="B13999" t="str">
        <f t="shared" si="776"/>
        <v>1</v>
      </c>
      <c r="C13999" t="str">
        <f t="shared" si="778"/>
        <v>280</v>
      </c>
      <c r="D13999" t="str">
        <f>"28"</f>
        <v>28</v>
      </c>
      <c r="E13999" t="str">
        <f>"1-280-28"</f>
        <v>1-280-28</v>
      </c>
      <c r="F13999" t="s">
        <v>65</v>
      </c>
      <c r="G13999" t="s">
        <v>66</v>
      </c>
      <c r="H13999" t="s">
        <v>67</v>
      </c>
      <c r="S13999">
        <v>1</v>
      </c>
      <c r="T13999">
        <v>0</v>
      </c>
      <c r="U13999">
        <v>0</v>
      </c>
      <c r="V13999">
        <v>0</v>
      </c>
      <c r="W13999">
        <v>1</v>
      </c>
      <c r="X13999">
        <v>0</v>
      </c>
      <c r="Y13999">
        <v>1</v>
      </c>
      <c r="Z13999">
        <v>0</v>
      </c>
      <c r="AA13999">
        <v>1</v>
      </c>
      <c r="AB13999">
        <v>0</v>
      </c>
      <c r="AC13999">
        <v>0</v>
      </c>
      <c r="AD13999">
        <v>1</v>
      </c>
      <c r="AE13999">
        <v>1</v>
      </c>
      <c r="AF13999">
        <v>1</v>
      </c>
      <c r="AG13999">
        <v>1</v>
      </c>
      <c r="AH13999">
        <v>1</v>
      </c>
      <c r="AI13999">
        <v>1</v>
      </c>
      <c r="AJ13999">
        <v>1</v>
      </c>
      <c r="AK13999">
        <v>1</v>
      </c>
      <c r="AL13999">
        <v>1</v>
      </c>
      <c r="AM13999">
        <v>1</v>
      </c>
    </row>
    <row r="14000" spans="1:39" x14ac:dyDescent="0.2">
      <c r="A14000" t="str">
        <f>"13996"</f>
        <v>13996</v>
      </c>
      <c r="B14000" t="str">
        <f t="shared" si="776"/>
        <v>1</v>
      </c>
      <c r="C14000" t="str">
        <f t="shared" si="778"/>
        <v>280</v>
      </c>
      <c r="D14000" t="str">
        <f>"12"</f>
        <v>12</v>
      </c>
      <c r="E14000" t="str">
        <f>"1-280-12"</f>
        <v>1-280-12</v>
      </c>
      <c r="F14000" t="s">
        <v>65</v>
      </c>
      <c r="G14000" t="s">
        <v>66</v>
      </c>
      <c r="H14000" t="s">
        <v>67</v>
      </c>
      <c r="S14000">
        <v>0</v>
      </c>
      <c r="T14000">
        <v>1</v>
      </c>
      <c r="U14000">
        <v>0</v>
      </c>
      <c r="V14000">
        <v>0</v>
      </c>
      <c r="W14000">
        <v>0</v>
      </c>
      <c r="X14000">
        <v>1</v>
      </c>
      <c r="Y14000">
        <v>0</v>
      </c>
      <c r="Z14000">
        <v>1</v>
      </c>
      <c r="AA14000">
        <v>0</v>
      </c>
      <c r="AB14000">
        <v>0</v>
      </c>
      <c r="AC14000">
        <v>1</v>
      </c>
      <c r="AD14000">
        <v>0</v>
      </c>
      <c r="AE14000">
        <v>0</v>
      </c>
      <c r="AF14000">
        <v>0</v>
      </c>
      <c r="AG14000">
        <v>0</v>
      </c>
      <c r="AH14000">
        <v>0</v>
      </c>
      <c r="AI14000">
        <v>0</v>
      </c>
      <c r="AJ14000">
        <v>1</v>
      </c>
      <c r="AK14000">
        <v>1</v>
      </c>
      <c r="AL14000">
        <v>0</v>
      </c>
      <c r="AM14000">
        <v>0</v>
      </c>
    </row>
    <row r="14001" spans="1:39" x14ac:dyDescent="0.2">
      <c r="A14001" t="str">
        <f>"13997"</f>
        <v>13997</v>
      </c>
      <c r="B14001" t="str">
        <f t="shared" si="776"/>
        <v>1</v>
      </c>
      <c r="C14001" t="str">
        <f t="shared" si="778"/>
        <v>280</v>
      </c>
      <c r="D14001" t="str">
        <f>"29"</f>
        <v>29</v>
      </c>
      <c r="E14001" t="str">
        <f>"1-280-29"</f>
        <v>1-280-29</v>
      </c>
      <c r="F14001" t="s">
        <v>65</v>
      </c>
      <c r="G14001" t="s">
        <v>66</v>
      </c>
      <c r="H14001" t="s">
        <v>67</v>
      </c>
      <c r="S14001">
        <v>1</v>
      </c>
      <c r="T14001">
        <v>0</v>
      </c>
      <c r="U14001">
        <v>0</v>
      </c>
      <c r="V14001">
        <v>0</v>
      </c>
      <c r="W14001">
        <v>1</v>
      </c>
      <c r="X14001">
        <v>0</v>
      </c>
      <c r="Y14001">
        <v>1</v>
      </c>
      <c r="Z14001">
        <v>0</v>
      </c>
      <c r="AA14001">
        <v>1</v>
      </c>
      <c r="AB14001">
        <v>0</v>
      </c>
      <c r="AC14001">
        <v>0</v>
      </c>
      <c r="AD14001">
        <v>1</v>
      </c>
      <c r="AE14001">
        <v>1</v>
      </c>
      <c r="AF14001">
        <v>1</v>
      </c>
      <c r="AG14001">
        <v>1</v>
      </c>
      <c r="AH14001">
        <v>1</v>
      </c>
      <c r="AI14001">
        <v>1</v>
      </c>
      <c r="AJ14001">
        <v>1</v>
      </c>
      <c r="AK14001">
        <v>1</v>
      </c>
      <c r="AL14001">
        <v>1</v>
      </c>
      <c r="AM14001">
        <v>1</v>
      </c>
    </row>
    <row r="14002" spans="1:39" x14ac:dyDescent="0.2">
      <c r="A14002" t="str">
        <f>"13998"</f>
        <v>13998</v>
      </c>
      <c r="B14002" t="str">
        <f t="shared" si="776"/>
        <v>1</v>
      </c>
      <c r="C14002" t="str">
        <f t="shared" si="778"/>
        <v>280</v>
      </c>
      <c r="D14002" t="str">
        <f>"10"</f>
        <v>10</v>
      </c>
      <c r="E14002" t="str">
        <f>"1-280-10"</f>
        <v>1-280-10</v>
      </c>
      <c r="F14002" t="s">
        <v>65</v>
      </c>
      <c r="G14002" t="s">
        <v>66</v>
      </c>
      <c r="H14002" t="s">
        <v>67</v>
      </c>
      <c r="S14002">
        <v>0</v>
      </c>
      <c r="T14002">
        <v>1</v>
      </c>
      <c r="U14002">
        <v>0</v>
      </c>
      <c r="V14002">
        <v>0</v>
      </c>
      <c r="W14002">
        <v>1</v>
      </c>
      <c r="X14002">
        <v>0</v>
      </c>
      <c r="Y14002">
        <v>1</v>
      </c>
      <c r="Z14002">
        <v>0</v>
      </c>
      <c r="AA14002">
        <v>1</v>
      </c>
      <c r="AB14002">
        <v>0</v>
      </c>
      <c r="AC14002">
        <v>0</v>
      </c>
      <c r="AD14002">
        <v>1</v>
      </c>
      <c r="AE14002">
        <v>1</v>
      </c>
      <c r="AF14002">
        <v>1</v>
      </c>
      <c r="AG14002">
        <v>1</v>
      </c>
      <c r="AH14002">
        <v>1</v>
      </c>
      <c r="AI14002">
        <v>1</v>
      </c>
      <c r="AJ14002">
        <v>1</v>
      </c>
      <c r="AK14002">
        <v>1</v>
      </c>
      <c r="AL14002">
        <v>1</v>
      </c>
      <c r="AM14002">
        <v>1</v>
      </c>
    </row>
    <row r="14003" spans="1:39" x14ac:dyDescent="0.2">
      <c r="A14003" t="str">
        <f>"13999"</f>
        <v>13999</v>
      </c>
      <c r="B14003" t="str">
        <f t="shared" si="776"/>
        <v>1</v>
      </c>
      <c r="C14003" t="str">
        <f t="shared" si="778"/>
        <v>280</v>
      </c>
      <c r="D14003" t="str">
        <f>"32"</f>
        <v>32</v>
      </c>
      <c r="E14003" t="str">
        <f>"1-280-32"</f>
        <v>1-280-32</v>
      </c>
      <c r="F14003" t="s">
        <v>65</v>
      </c>
      <c r="G14003" t="s">
        <v>66</v>
      </c>
      <c r="H14003" t="s">
        <v>67</v>
      </c>
      <c r="S14003">
        <v>1</v>
      </c>
      <c r="T14003">
        <v>0</v>
      </c>
      <c r="U14003">
        <v>0</v>
      </c>
      <c r="V14003">
        <v>0</v>
      </c>
      <c r="W14003">
        <v>1</v>
      </c>
      <c r="X14003">
        <v>0</v>
      </c>
      <c r="Y14003">
        <v>0</v>
      </c>
      <c r="Z14003">
        <v>1</v>
      </c>
      <c r="AA14003">
        <v>0</v>
      </c>
      <c r="AB14003">
        <v>1</v>
      </c>
      <c r="AC14003">
        <v>0</v>
      </c>
      <c r="AD14003">
        <v>1</v>
      </c>
      <c r="AE14003">
        <v>1</v>
      </c>
      <c r="AF14003">
        <v>1</v>
      </c>
      <c r="AG14003">
        <v>1</v>
      </c>
      <c r="AH14003">
        <v>1</v>
      </c>
      <c r="AI14003">
        <v>1</v>
      </c>
      <c r="AJ14003">
        <v>1</v>
      </c>
      <c r="AK14003">
        <v>1</v>
      </c>
      <c r="AL14003">
        <v>1</v>
      </c>
      <c r="AM14003">
        <v>1</v>
      </c>
    </row>
    <row r="14004" spans="1:39" x14ac:dyDescent="0.2">
      <c r="A14004" t="str">
        <f>"14000"</f>
        <v>14000</v>
      </c>
      <c r="B14004" t="str">
        <f t="shared" si="776"/>
        <v>1</v>
      </c>
      <c r="C14004" t="str">
        <f t="shared" si="778"/>
        <v>280</v>
      </c>
      <c r="D14004" t="str">
        <f>"13"</f>
        <v>13</v>
      </c>
      <c r="E14004" t="str">
        <f>"1-280-13"</f>
        <v>1-280-13</v>
      </c>
      <c r="F14004" t="s">
        <v>65</v>
      </c>
      <c r="G14004" t="s">
        <v>66</v>
      </c>
      <c r="H14004" t="s">
        <v>67</v>
      </c>
      <c r="S14004">
        <v>1</v>
      </c>
      <c r="T14004">
        <v>0</v>
      </c>
      <c r="U14004">
        <v>0</v>
      </c>
      <c r="V14004">
        <v>0</v>
      </c>
      <c r="W14004">
        <v>1</v>
      </c>
      <c r="X14004">
        <v>0</v>
      </c>
      <c r="Y14004">
        <v>1</v>
      </c>
      <c r="Z14004">
        <v>0</v>
      </c>
      <c r="AA14004">
        <v>0</v>
      </c>
      <c r="AB14004">
        <v>0</v>
      </c>
      <c r="AC14004">
        <v>1</v>
      </c>
      <c r="AD14004">
        <v>1</v>
      </c>
      <c r="AE14004">
        <v>1</v>
      </c>
      <c r="AF14004">
        <v>1</v>
      </c>
      <c r="AG14004">
        <v>1</v>
      </c>
      <c r="AH14004">
        <v>1</v>
      </c>
      <c r="AI14004">
        <v>1</v>
      </c>
      <c r="AJ14004">
        <v>1</v>
      </c>
      <c r="AK14004">
        <v>1</v>
      </c>
      <c r="AL14004">
        <v>1</v>
      </c>
      <c r="AM14004">
        <v>1</v>
      </c>
    </row>
    <row r="14005" spans="1:39" x14ac:dyDescent="0.2">
      <c r="A14005" t="str">
        <f>"14001"</f>
        <v>14001</v>
      </c>
      <c r="B14005" t="str">
        <f t="shared" si="776"/>
        <v>1</v>
      </c>
      <c r="C14005" t="str">
        <f t="shared" ref="C14005:C14046" si="779">"281"</f>
        <v>281</v>
      </c>
      <c r="D14005" t="str">
        <f>"39"</f>
        <v>39</v>
      </c>
      <c r="E14005" t="str">
        <f>"1-281-39"</f>
        <v>1-281-39</v>
      </c>
      <c r="F14005" t="s">
        <v>65</v>
      </c>
      <c r="G14005" t="s">
        <v>66</v>
      </c>
      <c r="H14005" t="s">
        <v>67</v>
      </c>
      <c r="S14005">
        <v>1</v>
      </c>
      <c r="T14005">
        <v>0</v>
      </c>
      <c r="U14005">
        <v>0</v>
      </c>
      <c r="V14005">
        <v>0</v>
      </c>
      <c r="W14005">
        <v>1</v>
      </c>
      <c r="X14005">
        <v>0</v>
      </c>
      <c r="Y14005">
        <v>1</v>
      </c>
      <c r="Z14005">
        <v>0</v>
      </c>
      <c r="AA14005">
        <v>1</v>
      </c>
      <c r="AB14005">
        <v>0</v>
      </c>
      <c r="AC14005">
        <v>0</v>
      </c>
      <c r="AD14005">
        <v>1</v>
      </c>
      <c r="AE14005">
        <v>1</v>
      </c>
      <c r="AF14005">
        <v>1</v>
      </c>
      <c r="AG14005">
        <v>1</v>
      </c>
      <c r="AH14005">
        <v>1</v>
      </c>
      <c r="AI14005">
        <v>1</v>
      </c>
      <c r="AJ14005">
        <v>1</v>
      </c>
      <c r="AK14005">
        <v>1</v>
      </c>
      <c r="AL14005">
        <v>1</v>
      </c>
      <c r="AM14005">
        <v>1</v>
      </c>
    </row>
    <row r="14006" spans="1:39" x14ac:dyDescent="0.2">
      <c r="A14006" t="str">
        <f>"14002"</f>
        <v>14002</v>
      </c>
      <c r="B14006" t="str">
        <f t="shared" si="776"/>
        <v>1</v>
      </c>
      <c r="C14006" t="str">
        <f t="shared" si="779"/>
        <v>281</v>
      </c>
      <c r="D14006" t="str">
        <f>"27"</f>
        <v>27</v>
      </c>
      <c r="E14006" t="str">
        <f>"1-281-27"</f>
        <v>1-281-27</v>
      </c>
      <c r="F14006" t="s">
        <v>65</v>
      </c>
      <c r="G14006" t="s">
        <v>66</v>
      </c>
      <c r="H14006" t="s">
        <v>67</v>
      </c>
      <c r="S14006">
        <v>0</v>
      </c>
      <c r="T14006">
        <v>1</v>
      </c>
      <c r="U14006">
        <v>0</v>
      </c>
      <c r="V14006">
        <v>0</v>
      </c>
      <c r="W14006">
        <v>1</v>
      </c>
      <c r="X14006">
        <v>0</v>
      </c>
      <c r="Y14006">
        <v>1</v>
      </c>
      <c r="Z14006">
        <v>0</v>
      </c>
      <c r="AA14006">
        <v>1</v>
      </c>
      <c r="AB14006">
        <v>0</v>
      </c>
      <c r="AC14006">
        <v>0</v>
      </c>
      <c r="AD14006">
        <v>1</v>
      </c>
      <c r="AE14006">
        <v>1</v>
      </c>
      <c r="AF14006">
        <v>1</v>
      </c>
      <c r="AG14006">
        <v>1</v>
      </c>
      <c r="AH14006">
        <v>1</v>
      </c>
      <c r="AI14006">
        <v>1</v>
      </c>
      <c r="AJ14006">
        <v>1</v>
      </c>
      <c r="AK14006">
        <v>1</v>
      </c>
      <c r="AL14006">
        <v>1</v>
      </c>
      <c r="AM14006">
        <v>1</v>
      </c>
    </row>
    <row r="14007" spans="1:39" x14ac:dyDescent="0.2">
      <c r="A14007" t="str">
        <f>"14003"</f>
        <v>14003</v>
      </c>
      <c r="B14007" t="str">
        <f t="shared" ref="B14007:B14046" si="780">"1"</f>
        <v>1</v>
      </c>
      <c r="C14007" t="str">
        <f t="shared" si="779"/>
        <v>281</v>
      </c>
      <c r="D14007" t="str">
        <f>"26"</f>
        <v>26</v>
      </c>
      <c r="E14007" t="str">
        <f>"1-281-26"</f>
        <v>1-281-26</v>
      </c>
      <c r="F14007" t="s">
        <v>65</v>
      </c>
      <c r="G14007" t="s">
        <v>66</v>
      </c>
      <c r="H14007" t="s">
        <v>67</v>
      </c>
      <c r="S14007">
        <v>0</v>
      </c>
      <c r="T14007">
        <v>1</v>
      </c>
      <c r="U14007">
        <v>0</v>
      </c>
      <c r="V14007">
        <v>0</v>
      </c>
      <c r="W14007">
        <v>1</v>
      </c>
      <c r="X14007">
        <v>0</v>
      </c>
      <c r="Y14007">
        <v>1</v>
      </c>
      <c r="Z14007">
        <v>0</v>
      </c>
      <c r="AA14007">
        <v>1</v>
      </c>
      <c r="AB14007">
        <v>0</v>
      </c>
      <c r="AC14007">
        <v>0</v>
      </c>
      <c r="AD14007">
        <v>1</v>
      </c>
      <c r="AE14007">
        <v>1</v>
      </c>
      <c r="AF14007">
        <v>1</v>
      </c>
      <c r="AG14007">
        <v>1</v>
      </c>
      <c r="AH14007">
        <v>1</v>
      </c>
      <c r="AI14007">
        <v>1</v>
      </c>
      <c r="AJ14007">
        <v>1</v>
      </c>
      <c r="AK14007">
        <v>1</v>
      </c>
      <c r="AL14007">
        <v>1</v>
      </c>
      <c r="AM14007">
        <v>1</v>
      </c>
    </row>
    <row r="14008" spans="1:39" x14ac:dyDescent="0.2">
      <c r="A14008" t="str">
        <f>"14004"</f>
        <v>14004</v>
      </c>
      <c r="B14008" t="str">
        <f t="shared" si="780"/>
        <v>1</v>
      </c>
      <c r="C14008" t="str">
        <f t="shared" si="779"/>
        <v>281</v>
      </c>
      <c r="D14008" t="str">
        <f>"17"</f>
        <v>17</v>
      </c>
      <c r="E14008" t="str">
        <f>"1-281-17"</f>
        <v>1-281-17</v>
      </c>
      <c r="F14008" t="s">
        <v>65</v>
      </c>
      <c r="G14008" t="s">
        <v>66</v>
      </c>
      <c r="H14008" t="s">
        <v>67</v>
      </c>
      <c r="S14008">
        <v>0</v>
      </c>
      <c r="T14008">
        <v>1</v>
      </c>
      <c r="U14008">
        <v>0</v>
      </c>
      <c r="V14008">
        <v>0</v>
      </c>
      <c r="W14008">
        <v>0</v>
      </c>
      <c r="X14008">
        <v>1</v>
      </c>
      <c r="Y14008">
        <v>0</v>
      </c>
      <c r="Z14008">
        <v>1</v>
      </c>
      <c r="AA14008">
        <v>0</v>
      </c>
      <c r="AB14008">
        <v>0</v>
      </c>
      <c r="AC14008">
        <v>1</v>
      </c>
      <c r="AD14008">
        <v>1</v>
      </c>
      <c r="AE14008">
        <v>1</v>
      </c>
      <c r="AF14008">
        <v>1</v>
      </c>
      <c r="AG14008">
        <v>1</v>
      </c>
      <c r="AH14008">
        <v>1</v>
      </c>
      <c r="AI14008">
        <v>1</v>
      </c>
      <c r="AJ14008">
        <v>1</v>
      </c>
      <c r="AK14008">
        <v>1</v>
      </c>
      <c r="AL14008">
        <v>1</v>
      </c>
      <c r="AM14008">
        <v>1</v>
      </c>
    </row>
    <row r="14009" spans="1:39" x14ac:dyDescent="0.2">
      <c r="A14009" t="str">
        <f>"14005"</f>
        <v>14005</v>
      </c>
      <c r="B14009" t="str">
        <f t="shared" si="780"/>
        <v>1</v>
      </c>
      <c r="C14009" t="str">
        <f t="shared" si="779"/>
        <v>281</v>
      </c>
      <c r="D14009" t="str">
        <f>"15"</f>
        <v>15</v>
      </c>
      <c r="E14009" t="str">
        <f>"1-281-15"</f>
        <v>1-281-15</v>
      </c>
      <c r="F14009" t="s">
        <v>65</v>
      </c>
      <c r="G14009" t="s">
        <v>66</v>
      </c>
      <c r="H14009" t="s">
        <v>68</v>
      </c>
      <c r="I14009">
        <v>1</v>
      </c>
      <c r="J14009">
        <v>0</v>
      </c>
      <c r="K14009">
        <v>1</v>
      </c>
      <c r="L14009">
        <v>0</v>
      </c>
      <c r="M14009">
        <v>1</v>
      </c>
      <c r="N14009">
        <v>1</v>
      </c>
      <c r="O14009">
        <v>1</v>
      </c>
      <c r="P14009">
        <v>1</v>
      </c>
      <c r="Q14009">
        <v>1</v>
      </c>
      <c r="R14009">
        <v>1</v>
      </c>
    </row>
    <row r="14010" spans="1:39" x14ac:dyDescent="0.2">
      <c r="A14010" t="str">
        <f>"14006"</f>
        <v>14006</v>
      </c>
      <c r="B14010" t="str">
        <f t="shared" si="780"/>
        <v>1</v>
      </c>
      <c r="C14010" t="str">
        <f t="shared" si="779"/>
        <v>281</v>
      </c>
      <c r="D14010" t="str">
        <f>"1"</f>
        <v>1</v>
      </c>
      <c r="E14010" t="str">
        <f>"1-281-1"</f>
        <v>1-281-1</v>
      </c>
      <c r="F14010" t="s">
        <v>65</v>
      </c>
      <c r="G14010" t="s">
        <v>66</v>
      </c>
      <c r="H14010" t="s">
        <v>67</v>
      </c>
      <c r="S14010">
        <v>0</v>
      </c>
      <c r="T14010">
        <v>1</v>
      </c>
      <c r="U14010">
        <v>0</v>
      </c>
      <c r="V14010">
        <v>0</v>
      </c>
      <c r="W14010">
        <v>1</v>
      </c>
      <c r="X14010">
        <v>0</v>
      </c>
      <c r="Y14010">
        <v>1</v>
      </c>
      <c r="Z14010">
        <v>0</v>
      </c>
      <c r="AA14010">
        <v>1</v>
      </c>
      <c r="AB14010">
        <v>0</v>
      </c>
      <c r="AC14010">
        <v>0</v>
      </c>
      <c r="AD14010">
        <v>1</v>
      </c>
      <c r="AE14010">
        <v>1</v>
      </c>
      <c r="AF14010">
        <v>1</v>
      </c>
      <c r="AG14010">
        <v>1</v>
      </c>
      <c r="AH14010">
        <v>1</v>
      </c>
      <c r="AI14010">
        <v>1</v>
      </c>
      <c r="AJ14010">
        <v>1</v>
      </c>
      <c r="AK14010">
        <v>1</v>
      </c>
      <c r="AL14010">
        <v>1</v>
      </c>
      <c r="AM14010">
        <v>1</v>
      </c>
    </row>
    <row r="14011" spans="1:39" x14ac:dyDescent="0.2">
      <c r="A14011" t="str">
        <f>"14007"</f>
        <v>14007</v>
      </c>
      <c r="B14011" t="str">
        <f t="shared" si="780"/>
        <v>1</v>
      </c>
      <c r="C14011" t="str">
        <f t="shared" si="779"/>
        <v>281</v>
      </c>
      <c r="D14011" t="str">
        <f>"34"</f>
        <v>34</v>
      </c>
      <c r="E14011" t="str">
        <f>"1-281-34"</f>
        <v>1-281-34</v>
      </c>
      <c r="F14011" t="s">
        <v>65</v>
      </c>
      <c r="G14011" t="s">
        <v>66</v>
      </c>
      <c r="H14011" t="s">
        <v>68</v>
      </c>
      <c r="I14011">
        <v>1</v>
      </c>
      <c r="J14011">
        <v>0</v>
      </c>
      <c r="K14011">
        <v>1</v>
      </c>
      <c r="L14011">
        <v>0</v>
      </c>
      <c r="M14011">
        <v>1</v>
      </c>
      <c r="N14011">
        <v>1</v>
      </c>
      <c r="O14011">
        <v>1</v>
      </c>
      <c r="P14011">
        <v>1</v>
      </c>
      <c r="Q14011">
        <v>1</v>
      </c>
      <c r="R14011">
        <v>1</v>
      </c>
    </row>
    <row r="14012" spans="1:39" x14ac:dyDescent="0.2">
      <c r="A14012" t="str">
        <f>"14008"</f>
        <v>14008</v>
      </c>
      <c r="B14012" t="str">
        <f t="shared" si="780"/>
        <v>1</v>
      </c>
      <c r="C14012" t="str">
        <f t="shared" si="779"/>
        <v>281</v>
      </c>
      <c r="D14012" t="str">
        <f>"33"</f>
        <v>33</v>
      </c>
      <c r="E14012" t="str">
        <f>"1-281-33"</f>
        <v>1-281-33</v>
      </c>
      <c r="F14012" t="s">
        <v>65</v>
      </c>
      <c r="G14012" t="s">
        <v>66</v>
      </c>
      <c r="H14012" t="s">
        <v>68</v>
      </c>
      <c r="I14012">
        <v>1</v>
      </c>
      <c r="J14012">
        <v>0</v>
      </c>
      <c r="K14012">
        <v>0</v>
      </c>
      <c r="L14012">
        <v>1</v>
      </c>
      <c r="M14012">
        <v>1</v>
      </c>
      <c r="N14012">
        <v>1</v>
      </c>
      <c r="O14012">
        <v>1</v>
      </c>
      <c r="P14012">
        <v>1</v>
      </c>
      <c r="Q14012">
        <v>1</v>
      </c>
      <c r="R14012">
        <v>1</v>
      </c>
    </row>
    <row r="14013" spans="1:39" x14ac:dyDescent="0.2">
      <c r="A14013" t="str">
        <f>"14009"</f>
        <v>14009</v>
      </c>
      <c r="B14013" t="str">
        <f t="shared" si="780"/>
        <v>1</v>
      </c>
      <c r="C14013" t="str">
        <f t="shared" si="779"/>
        <v>281</v>
      </c>
      <c r="D14013" t="str">
        <f>"24"</f>
        <v>24</v>
      </c>
      <c r="E14013" t="str">
        <f>"1-281-24"</f>
        <v>1-281-24</v>
      </c>
      <c r="F14013" t="s">
        <v>65</v>
      </c>
      <c r="G14013" t="s">
        <v>66</v>
      </c>
      <c r="H14013" t="s">
        <v>67</v>
      </c>
      <c r="S14013">
        <v>1</v>
      </c>
      <c r="T14013">
        <v>0</v>
      </c>
      <c r="U14013">
        <v>0</v>
      </c>
      <c r="V14013">
        <v>0</v>
      </c>
      <c r="W14013">
        <v>1</v>
      </c>
      <c r="X14013">
        <v>0</v>
      </c>
      <c r="Y14013">
        <v>1</v>
      </c>
      <c r="Z14013">
        <v>0</v>
      </c>
      <c r="AA14013">
        <v>1</v>
      </c>
      <c r="AB14013">
        <v>0</v>
      </c>
      <c r="AC14013">
        <v>0</v>
      </c>
      <c r="AD14013">
        <v>1</v>
      </c>
      <c r="AE14013">
        <v>1</v>
      </c>
      <c r="AF14013">
        <v>1</v>
      </c>
      <c r="AG14013">
        <v>1</v>
      </c>
      <c r="AH14013">
        <v>1</v>
      </c>
      <c r="AI14013">
        <v>1</v>
      </c>
      <c r="AJ14013">
        <v>1</v>
      </c>
      <c r="AK14013">
        <v>1</v>
      </c>
      <c r="AL14013">
        <v>1</v>
      </c>
      <c r="AM14013">
        <v>1</v>
      </c>
    </row>
    <row r="14014" spans="1:39" x14ac:dyDescent="0.2">
      <c r="A14014" t="str">
        <f>"14010"</f>
        <v>14010</v>
      </c>
      <c r="B14014" t="str">
        <f t="shared" si="780"/>
        <v>1</v>
      </c>
      <c r="C14014" t="str">
        <f t="shared" si="779"/>
        <v>281</v>
      </c>
      <c r="D14014" t="str">
        <f>"16"</f>
        <v>16</v>
      </c>
      <c r="E14014" t="str">
        <f>"1-281-16"</f>
        <v>1-281-16</v>
      </c>
      <c r="F14014" t="s">
        <v>65</v>
      </c>
      <c r="G14014" t="s">
        <v>66</v>
      </c>
      <c r="H14014" t="s">
        <v>67</v>
      </c>
      <c r="S14014">
        <v>1</v>
      </c>
      <c r="T14014">
        <v>0</v>
      </c>
      <c r="U14014">
        <v>0</v>
      </c>
      <c r="V14014">
        <v>0</v>
      </c>
      <c r="W14014">
        <v>1</v>
      </c>
      <c r="X14014">
        <v>0</v>
      </c>
      <c r="Y14014">
        <v>0</v>
      </c>
      <c r="Z14014">
        <v>1</v>
      </c>
      <c r="AA14014">
        <v>1</v>
      </c>
      <c r="AB14014">
        <v>0</v>
      </c>
      <c r="AC14014">
        <v>0</v>
      </c>
      <c r="AD14014">
        <v>1</v>
      </c>
      <c r="AE14014">
        <v>1</v>
      </c>
      <c r="AF14014">
        <v>1</v>
      </c>
      <c r="AG14014">
        <v>1</v>
      </c>
      <c r="AH14014">
        <v>1</v>
      </c>
      <c r="AI14014">
        <v>1</v>
      </c>
      <c r="AJ14014">
        <v>1</v>
      </c>
      <c r="AK14014">
        <v>1</v>
      </c>
      <c r="AL14014">
        <v>1</v>
      </c>
      <c r="AM14014">
        <v>1</v>
      </c>
    </row>
    <row r="14015" spans="1:39" x14ac:dyDescent="0.2">
      <c r="A14015" t="str">
        <f>"14011"</f>
        <v>14011</v>
      </c>
      <c r="B14015" t="str">
        <f t="shared" si="780"/>
        <v>1</v>
      </c>
      <c r="C14015" t="str">
        <f t="shared" si="779"/>
        <v>281</v>
      </c>
      <c r="D14015" t="str">
        <f>"9"</f>
        <v>9</v>
      </c>
      <c r="E14015" t="str">
        <f>"1-281-9"</f>
        <v>1-281-9</v>
      </c>
      <c r="F14015" t="s">
        <v>65</v>
      </c>
      <c r="G14015" t="s">
        <v>66</v>
      </c>
      <c r="H14015" t="s">
        <v>67</v>
      </c>
      <c r="S14015">
        <v>0</v>
      </c>
      <c r="T14015">
        <v>1</v>
      </c>
      <c r="U14015">
        <v>0</v>
      </c>
      <c r="V14015">
        <v>0</v>
      </c>
      <c r="W14015">
        <v>1</v>
      </c>
      <c r="X14015">
        <v>0</v>
      </c>
      <c r="Y14015">
        <v>1</v>
      </c>
      <c r="Z14015">
        <v>0</v>
      </c>
      <c r="AA14015">
        <v>0</v>
      </c>
      <c r="AB14015">
        <v>0</v>
      </c>
      <c r="AC14015">
        <v>1</v>
      </c>
      <c r="AD14015">
        <v>1</v>
      </c>
      <c r="AE14015">
        <v>1</v>
      </c>
      <c r="AF14015">
        <v>1</v>
      </c>
      <c r="AG14015">
        <v>0</v>
      </c>
      <c r="AH14015">
        <v>1</v>
      </c>
      <c r="AI14015">
        <v>1</v>
      </c>
      <c r="AJ14015">
        <v>1</v>
      </c>
      <c r="AK14015">
        <v>1</v>
      </c>
      <c r="AL14015">
        <v>1</v>
      </c>
      <c r="AM14015">
        <v>1</v>
      </c>
    </row>
    <row r="14016" spans="1:39" x14ac:dyDescent="0.2">
      <c r="A14016" t="str">
        <f>"14012"</f>
        <v>14012</v>
      </c>
      <c r="B14016" t="str">
        <f t="shared" si="780"/>
        <v>1</v>
      </c>
      <c r="C14016" t="str">
        <f t="shared" si="779"/>
        <v>281</v>
      </c>
      <c r="D14016" t="str">
        <f>"37"</f>
        <v>37</v>
      </c>
      <c r="E14016" t="str">
        <f>"1-281-37"</f>
        <v>1-281-37</v>
      </c>
      <c r="F14016" t="s">
        <v>65</v>
      </c>
      <c r="G14016" t="s">
        <v>66</v>
      </c>
      <c r="H14016" t="s">
        <v>68</v>
      </c>
      <c r="I14016">
        <v>1</v>
      </c>
      <c r="J14016">
        <v>0</v>
      </c>
      <c r="K14016">
        <v>0</v>
      </c>
      <c r="L14016">
        <v>1</v>
      </c>
      <c r="M14016">
        <v>0</v>
      </c>
      <c r="N14016">
        <v>0</v>
      </c>
      <c r="O14016">
        <v>0</v>
      </c>
      <c r="P14016">
        <v>0</v>
      </c>
      <c r="Q14016">
        <v>0</v>
      </c>
      <c r="R14016">
        <v>0</v>
      </c>
    </row>
    <row r="14017" spans="1:39" x14ac:dyDescent="0.2">
      <c r="A14017" t="str">
        <f>"14013"</f>
        <v>14013</v>
      </c>
      <c r="B14017" t="str">
        <f t="shared" si="780"/>
        <v>1</v>
      </c>
      <c r="C14017" t="str">
        <f t="shared" si="779"/>
        <v>281</v>
      </c>
      <c r="D14017" t="str">
        <f>"18"</f>
        <v>18</v>
      </c>
      <c r="E14017" t="str">
        <f>"1-281-18"</f>
        <v>1-281-18</v>
      </c>
      <c r="F14017" t="s">
        <v>65</v>
      </c>
      <c r="G14017" t="s">
        <v>66</v>
      </c>
      <c r="H14017" t="s">
        <v>67</v>
      </c>
      <c r="S14017">
        <v>1</v>
      </c>
      <c r="T14017">
        <v>0</v>
      </c>
      <c r="U14017">
        <v>0</v>
      </c>
      <c r="V14017">
        <v>0</v>
      </c>
      <c r="W14017">
        <v>1</v>
      </c>
      <c r="X14017">
        <v>0</v>
      </c>
      <c r="Y14017">
        <v>1</v>
      </c>
      <c r="Z14017">
        <v>0</v>
      </c>
      <c r="AA14017">
        <v>0</v>
      </c>
      <c r="AB14017">
        <v>0</v>
      </c>
      <c r="AC14017">
        <v>0</v>
      </c>
      <c r="AD14017">
        <v>0</v>
      </c>
      <c r="AE14017">
        <v>0</v>
      </c>
      <c r="AF14017">
        <v>0</v>
      </c>
      <c r="AG14017">
        <v>0</v>
      </c>
      <c r="AH14017">
        <v>0</v>
      </c>
      <c r="AI14017">
        <v>0</v>
      </c>
      <c r="AJ14017">
        <v>0</v>
      </c>
      <c r="AK14017">
        <v>0</v>
      </c>
      <c r="AL14017">
        <v>0</v>
      </c>
      <c r="AM14017">
        <v>0</v>
      </c>
    </row>
    <row r="14018" spans="1:39" x14ac:dyDescent="0.2">
      <c r="A14018" t="str">
        <f>"14014"</f>
        <v>14014</v>
      </c>
      <c r="B14018" t="str">
        <f t="shared" si="780"/>
        <v>1</v>
      </c>
      <c r="C14018" t="str">
        <f t="shared" si="779"/>
        <v>281</v>
      </c>
      <c r="D14018" t="str">
        <f>"5"</f>
        <v>5</v>
      </c>
      <c r="E14018" t="str">
        <f>"1-281-5"</f>
        <v>1-281-5</v>
      </c>
      <c r="F14018" t="s">
        <v>65</v>
      </c>
      <c r="G14018" t="s">
        <v>66</v>
      </c>
      <c r="H14018" t="s">
        <v>68</v>
      </c>
      <c r="I14018">
        <v>1</v>
      </c>
      <c r="J14018">
        <v>0</v>
      </c>
      <c r="K14018">
        <v>1</v>
      </c>
      <c r="L14018">
        <v>0</v>
      </c>
      <c r="M14018">
        <v>1</v>
      </c>
      <c r="N14018">
        <v>1</v>
      </c>
      <c r="O14018">
        <v>1</v>
      </c>
      <c r="P14018">
        <v>1</v>
      </c>
      <c r="Q14018">
        <v>1</v>
      </c>
      <c r="R14018">
        <v>1</v>
      </c>
    </row>
    <row r="14019" spans="1:39" x14ac:dyDescent="0.2">
      <c r="A14019" t="str">
        <f>"14015"</f>
        <v>14015</v>
      </c>
      <c r="B14019" t="str">
        <f t="shared" si="780"/>
        <v>1</v>
      </c>
      <c r="C14019" t="str">
        <f t="shared" si="779"/>
        <v>281</v>
      </c>
      <c r="D14019" t="str">
        <f>"35"</f>
        <v>35</v>
      </c>
      <c r="E14019" t="str">
        <f>"1-281-35"</f>
        <v>1-281-35</v>
      </c>
      <c r="F14019" t="s">
        <v>65</v>
      </c>
      <c r="G14019" t="s">
        <v>66</v>
      </c>
      <c r="H14019" t="s">
        <v>68</v>
      </c>
      <c r="I14019">
        <v>1</v>
      </c>
      <c r="J14019">
        <v>1</v>
      </c>
      <c r="K14019">
        <v>0</v>
      </c>
      <c r="L14019">
        <v>0</v>
      </c>
      <c r="M14019">
        <v>1</v>
      </c>
      <c r="N14019">
        <v>1</v>
      </c>
      <c r="O14019">
        <v>1</v>
      </c>
      <c r="P14019">
        <v>1</v>
      </c>
      <c r="Q14019">
        <v>1</v>
      </c>
      <c r="R14019">
        <v>1</v>
      </c>
    </row>
    <row r="14020" spans="1:39" x14ac:dyDescent="0.2">
      <c r="A14020" t="str">
        <f>"14016"</f>
        <v>14016</v>
      </c>
      <c r="B14020" t="str">
        <f t="shared" si="780"/>
        <v>1</v>
      </c>
      <c r="C14020" t="str">
        <f t="shared" si="779"/>
        <v>281</v>
      </c>
      <c r="D14020" t="str">
        <f>"19"</f>
        <v>19</v>
      </c>
      <c r="E14020" t="str">
        <f>"1-281-19"</f>
        <v>1-281-19</v>
      </c>
      <c r="F14020" t="s">
        <v>65</v>
      </c>
      <c r="G14020" t="s">
        <v>66</v>
      </c>
      <c r="H14020" t="s">
        <v>67</v>
      </c>
      <c r="S14020">
        <v>0</v>
      </c>
      <c r="T14020">
        <v>1</v>
      </c>
      <c r="U14020">
        <v>0</v>
      </c>
      <c r="V14020">
        <v>0</v>
      </c>
      <c r="W14020">
        <v>1</v>
      </c>
      <c r="X14020">
        <v>0</v>
      </c>
      <c r="Y14020">
        <v>1</v>
      </c>
      <c r="Z14020">
        <v>0</v>
      </c>
      <c r="AA14020">
        <v>0</v>
      </c>
      <c r="AB14020">
        <v>1</v>
      </c>
      <c r="AC14020">
        <v>0</v>
      </c>
      <c r="AD14020">
        <v>1</v>
      </c>
      <c r="AE14020">
        <v>1</v>
      </c>
      <c r="AF14020">
        <v>1</v>
      </c>
      <c r="AG14020">
        <v>1</v>
      </c>
      <c r="AH14020">
        <v>1</v>
      </c>
      <c r="AI14020">
        <v>1</v>
      </c>
      <c r="AJ14020">
        <v>1</v>
      </c>
      <c r="AK14020">
        <v>1</v>
      </c>
      <c r="AL14020">
        <v>1</v>
      </c>
      <c r="AM14020">
        <v>1</v>
      </c>
    </row>
    <row r="14021" spans="1:39" x14ac:dyDescent="0.2">
      <c r="A14021" t="str">
        <f>"14017"</f>
        <v>14017</v>
      </c>
      <c r="B14021" t="str">
        <f t="shared" si="780"/>
        <v>1</v>
      </c>
      <c r="C14021" t="str">
        <f t="shared" si="779"/>
        <v>281</v>
      </c>
      <c r="D14021" t="str">
        <f>"13"</f>
        <v>13</v>
      </c>
      <c r="E14021" t="str">
        <f>"1-281-13"</f>
        <v>1-281-13</v>
      </c>
      <c r="F14021" t="s">
        <v>65</v>
      </c>
      <c r="G14021" t="s">
        <v>66</v>
      </c>
      <c r="H14021" t="s">
        <v>67</v>
      </c>
      <c r="S14021">
        <v>1</v>
      </c>
      <c r="T14021">
        <v>0</v>
      </c>
      <c r="U14021">
        <v>0</v>
      </c>
      <c r="V14021">
        <v>0</v>
      </c>
      <c r="W14021">
        <v>1</v>
      </c>
      <c r="X14021">
        <v>0</v>
      </c>
      <c r="Y14021">
        <v>1</v>
      </c>
      <c r="Z14021">
        <v>0</v>
      </c>
      <c r="AA14021">
        <v>1</v>
      </c>
      <c r="AB14021">
        <v>0</v>
      </c>
      <c r="AC14021">
        <v>0</v>
      </c>
      <c r="AD14021">
        <v>0</v>
      </c>
      <c r="AE14021">
        <v>0</v>
      </c>
      <c r="AF14021">
        <v>0</v>
      </c>
      <c r="AG14021">
        <v>0</v>
      </c>
      <c r="AH14021">
        <v>0</v>
      </c>
      <c r="AI14021">
        <v>0</v>
      </c>
      <c r="AJ14021">
        <v>0</v>
      </c>
      <c r="AK14021">
        <v>0</v>
      </c>
      <c r="AL14021">
        <v>1</v>
      </c>
      <c r="AM14021">
        <v>0</v>
      </c>
    </row>
    <row r="14022" spans="1:39" x14ac:dyDescent="0.2">
      <c r="A14022" t="str">
        <f>"14018"</f>
        <v>14018</v>
      </c>
      <c r="B14022" t="str">
        <f t="shared" si="780"/>
        <v>1</v>
      </c>
      <c r="C14022" t="str">
        <f t="shared" si="779"/>
        <v>281</v>
      </c>
      <c r="D14022" t="str">
        <f>"20"</f>
        <v>20</v>
      </c>
      <c r="E14022" t="str">
        <f>"1-281-20"</f>
        <v>1-281-20</v>
      </c>
      <c r="F14022" t="s">
        <v>65</v>
      </c>
      <c r="G14022" t="s">
        <v>66</v>
      </c>
      <c r="H14022" t="s">
        <v>67</v>
      </c>
      <c r="S14022">
        <v>1</v>
      </c>
      <c r="T14022">
        <v>0</v>
      </c>
      <c r="U14022">
        <v>0</v>
      </c>
      <c r="V14022">
        <v>0</v>
      </c>
      <c r="W14022">
        <v>1</v>
      </c>
      <c r="X14022">
        <v>0</v>
      </c>
      <c r="Y14022">
        <v>1</v>
      </c>
      <c r="Z14022">
        <v>0</v>
      </c>
      <c r="AA14022">
        <v>0</v>
      </c>
      <c r="AB14022">
        <v>0</v>
      </c>
      <c r="AC14022">
        <v>1</v>
      </c>
      <c r="AD14022">
        <v>1</v>
      </c>
      <c r="AE14022">
        <v>1</v>
      </c>
      <c r="AF14022">
        <v>1</v>
      </c>
      <c r="AG14022">
        <v>1</v>
      </c>
      <c r="AH14022">
        <v>1</v>
      </c>
      <c r="AI14022">
        <v>0</v>
      </c>
      <c r="AJ14022">
        <v>1</v>
      </c>
      <c r="AK14022">
        <v>1</v>
      </c>
      <c r="AL14022">
        <v>1</v>
      </c>
      <c r="AM14022">
        <v>1</v>
      </c>
    </row>
    <row r="14023" spans="1:39" x14ac:dyDescent="0.2">
      <c r="A14023" t="str">
        <f>"14019"</f>
        <v>14019</v>
      </c>
      <c r="B14023" t="str">
        <f t="shared" si="780"/>
        <v>1</v>
      </c>
      <c r="C14023" t="str">
        <f t="shared" si="779"/>
        <v>281</v>
      </c>
      <c r="D14023" t="str">
        <f>"4"</f>
        <v>4</v>
      </c>
      <c r="E14023" t="str">
        <f>"1-281-4"</f>
        <v>1-281-4</v>
      </c>
      <c r="F14023" t="s">
        <v>65</v>
      </c>
      <c r="G14023" t="s">
        <v>66</v>
      </c>
      <c r="H14023" t="s">
        <v>67</v>
      </c>
      <c r="S14023">
        <v>1</v>
      </c>
      <c r="T14023">
        <v>0</v>
      </c>
      <c r="U14023">
        <v>0</v>
      </c>
      <c r="V14023">
        <v>0</v>
      </c>
      <c r="W14023">
        <v>0</v>
      </c>
      <c r="X14023">
        <v>0</v>
      </c>
      <c r="Y14023">
        <v>1</v>
      </c>
      <c r="Z14023">
        <v>0</v>
      </c>
      <c r="AA14023">
        <v>0</v>
      </c>
      <c r="AB14023">
        <v>1</v>
      </c>
      <c r="AC14023">
        <v>0</v>
      </c>
      <c r="AD14023">
        <v>0</v>
      </c>
      <c r="AE14023">
        <v>1</v>
      </c>
      <c r="AF14023">
        <v>1</v>
      </c>
      <c r="AG14023">
        <v>0</v>
      </c>
      <c r="AH14023">
        <v>0</v>
      </c>
      <c r="AI14023">
        <v>0</v>
      </c>
      <c r="AJ14023">
        <v>0</v>
      </c>
      <c r="AK14023">
        <v>0</v>
      </c>
      <c r="AL14023">
        <v>0</v>
      </c>
      <c r="AM14023">
        <v>0</v>
      </c>
    </row>
    <row r="14024" spans="1:39" x14ac:dyDescent="0.2">
      <c r="A14024" t="str">
        <f>"14020"</f>
        <v>14020</v>
      </c>
      <c r="B14024" t="str">
        <f t="shared" si="780"/>
        <v>1</v>
      </c>
      <c r="C14024" t="str">
        <f t="shared" si="779"/>
        <v>281</v>
      </c>
      <c r="D14024" t="str">
        <f>"38"</f>
        <v>38</v>
      </c>
      <c r="E14024" t="str">
        <f>"1-281-38"</f>
        <v>1-281-38</v>
      </c>
      <c r="F14024" t="s">
        <v>65</v>
      </c>
      <c r="G14024" t="s">
        <v>66</v>
      </c>
      <c r="H14024" t="s">
        <v>67</v>
      </c>
      <c r="S14024">
        <v>0</v>
      </c>
      <c r="T14024">
        <v>1</v>
      </c>
      <c r="U14024">
        <v>0</v>
      </c>
      <c r="V14024">
        <v>0</v>
      </c>
      <c r="W14024">
        <v>1</v>
      </c>
      <c r="X14024">
        <v>0</v>
      </c>
      <c r="Y14024">
        <v>0</v>
      </c>
      <c r="Z14024">
        <v>0</v>
      </c>
      <c r="AA14024">
        <v>1</v>
      </c>
      <c r="AB14024">
        <v>0</v>
      </c>
      <c r="AC14024">
        <v>0</v>
      </c>
      <c r="AD14024">
        <v>0</v>
      </c>
      <c r="AE14024">
        <v>0</v>
      </c>
      <c r="AF14024">
        <v>0</v>
      </c>
      <c r="AG14024">
        <v>0</v>
      </c>
      <c r="AH14024">
        <v>0</v>
      </c>
      <c r="AI14024">
        <v>0</v>
      </c>
      <c r="AJ14024">
        <v>0</v>
      </c>
      <c r="AK14024">
        <v>0</v>
      </c>
      <c r="AL14024">
        <v>0</v>
      </c>
      <c r="AM14024">
        <v>0</v>
      </c>
    </row>
    <row r="14025" spans="1:39" x14ac:dyDescent="0.2">
      <c r="A14025" t="str">
        <f>"14021"</f>
        <v>14021</v>
      </c>
      <c r="B14025" t="str">
        <f t="shared" si="780"/>
        <v>1</v>
      </c>
      <c r="C14025" t="str">
        <f t="shared" si="779"/>
        <v>281</v>
      </c>
      <c r="D14025" t="str">
        <f>"21"</f>
        <v>21</v>
      </c>
      <c r="E14025" t="str">
        <f>"1-281-21"</f>
        <v>1-281-21</v>
      </c>
      <c r="F14025" t="s">
        <v>65</v>
      </c>
      <c r="G14025" t="s">
        <v>66</v>
      </c>
      <c r="H14025" t="s">
        <v>67</v>
      </c>
      <c r="S14025">
        <v>1</v>
      </c>
      <c r="T14025">
        <v>0</v>
      </c>
      <c r="U14025">
        <v>0</v>
      </c>
      <c r="V14025">
        <v>0</v>
      </c>
      <c r="W14025">
        <v>1</v>
      </c>
      <c r="X14025">
        <v>0</v>
      </c>
      <c r="Y14025">
        <v>0</v>
      </c>
      <c r="Z14025">
        <v>1</v>
      </c>
      <c r="AA14025">
        <v>1</v>
      </c>
      <c r="AB14025">
        <v>0</v>
      </c>
      <c r="AC14025">
        <v>0</v>
      </c>
      <c r="AD14025">
        <v>1</v>
      </c>
      <c r="AE14025">
        <v>1</v>
      </c>
      <c r="AF14025">
        <v>0</v>
      </c>
      <c r="AG14025">
        <v>1</v>
      </c>
      <c r="AH14025">
        <v>1</v>
      </c>
      <c r="AI14025">
        <v>1</v>
      </c>
      <c r="AJ14025">
        <v>1</v>
      </c>
      <c r="AK14025">
        <v>1</v>
      </c>
      <c r="AL14025">
        <v>1</v>
      </c>
      <c r="AM14025">
        <v>1</v>
      </c>
    </row>
    <row r="14026" spans="1:39" x14ac:dyDescent="0.2">
      <c r="A14026" t="str">
        <f>"14022"</f>
        <v>14022</v>
      </c>
      <c r="B14026" t="str">
        <f t="shared" si="780"/>
        <v>1</v>
      </c>
      <c r="C14026" t="str">
        <f t="shared" si="779"/>
        <v>281</v>
      </c>
      <c r="D14026" t="str">
        <f>"6"</f>
        <v>6</v>
      </c>
      <c r="E14026" t="str">
        <f>"1-281-6"</f>
        <v>1-281-6</v>
      </c>
      <c r="F14026" t="s">
        <v>65</v>
      </c>
      <c r="G14026" t="s">
        <v>66</v>
      </c>
      <c r="H14026" t="s">
        <v>68</v>
      </c>
      <c r="I14026">
        <v>1</v>
      </c>
      <c r="J14026">
        <v>0</v>
      </c>
      <c r="K14026">
        <v>0</v>
      </c>
      <c r="L14026">
        <v>0</v>
      </c>
      <c r="M14026">
        <v>1</v>
      </c>
      <c r="N14026">
        <v>1</v>
      </c>
      <c r="O14026">
        <v>1</v>
      </c>
      <c r="P14026">
        <v>1</v>
      </c>
      <c r="Q14026">
        <v>1</v>
      </c>
      <c r="R14026">
        <v>0</v>
      </c>
    </row>
    <row r="14027" spans="1:39" x14ac:dyDescent="0.2">
      <c r="A14027" t="str">
        <f>"14023"</f>
        <v>14023</v>
      </c>
      <c r="B14027" t="str">
        <f t="shared" si="780"/>
        <v>1</v>
      </c>
      <c r="C14027" t="str">
        <f t="shared" si="779"/>
        <v>281</v>
      </c>
      <c r="D14027" t="str">
        <f>"22"</f>
        <v>22</v>
      </c>
      <c r="E14027" t="str">
        <f>"1-281-22"</f>
        <v>1-281-22</v>
      </c>
      <c r="F14027" t="s">
        <v>65</v>
      </c>
      <c r="G14027" t="s">
        <v>66</v>
      </c>
      <c r="H14027" t="s">
        <v>67</v>
      </c>
      <c r="S14027">
        <v>0</v>
      </c>
      <c r="T14027">
        <v>1</v>
      </c>
      <c r="U14027">
        <v>0</v>
      </c>
      <c r="V14027">
        <v>0</v>
      </c>
      <c r="W14027">
        <v>0</v>
      </c>
      <c r="X14027">
        <v>1</v>
      </c>
      <c r="Y14027">
        <v>0</v>
      </c>
      <c r="Z14027">
        <v>1</v>
      </c>
      <c r="AA14027">
        <v>0</v>
      </c>
      <c r="AB14027">
        <v>0</v>
      </c>
      <c r="AC14027">
        <v>1</v>
      </c>
      <c r="AD14027">
        <v>1</v>
      </c>
      <c r="AE14027">
        <v>1</v>
      </c>
      <c r="AF14027">
        <v>1</v>
      </c>
      <c r="AG14027">
        <v>1</v>
      </c>
      <c r="AH14027">
        <v>1</v>
      </c>
      <c r="AI14027">
        <v>1</v>
      </c>
      <c r="AJ14027">
        <v>1</v>
      </c>
      <c r="AK14027">
        <v>1</v>
      </c>
      <c r="AL14027">
        <v>1</v>
      </c>
      <c r="AM14027">
        <v>1</v>
      </c>
    </row>
    <row r="14028" spans="1:39" x14ac:dyDescent="0.2">
      <c r="A14028" t="str">
        <f>"14024"</f>
        <v>14024</v>
      </c>
      <c r="B14028" t="str">
        <f t="shared" si="780"/>
        <v>1</v>
      </c>
      <c r="C14028" t="str">
        <f t="shared" si="779"/>
        <v>281</v>
      </c>
      <c r="D14028" t="str">
        <f>"12"</f>
        <v>12</v>
      </c>
      <c r="E14028" t="str">
        <f>"1-281-12"</f>
        <v>1-281-12</v>
      </c>
      <c r="F14028" t="s">
        <v>65</v>
      </c>
      <c r="G14028" t="s">
        <v>66</v>
      </c>
      <c r="H14028" t="s">
        <v>67</v>
      </c>
      <c r="S14028">
        <v>1</v>
      </c>
      <c r="T14028">
        <v>0</v>
      </c>
      <c r="U14028">
        <v>0</v>
      </c>
      <c r="V14028">
        <v>0</v>
      </c>
      <c r="W14028">
        <v>1</v>
      </c>
      <c r="X14028">
        <v>0</v>
      </c>
      <c r="Y14028">
        <v>1</v>
      </c>
      <c r="Z14028">
        <v>0</v>
      </c>
      <c r="AA14028">
        <v>1</v>
      </c>
      <c r="AB14028">
        <v>0</v>
      </c>
      <c r="AC14028">
        <v>0</v>
      </c>
      <c r="AD14028">
        <v>1</v>
      </c>
      <c r="AE14028">
        <v>1</v>
      </c>
      <c r="AF14028">
        <v>1</v>
      </c>
      <c r="AG14028">
        <v>1</v>
      </c>
      <c r="AH14028">
        <v>1</v>
      </c>
      <c r="AI14028">
        <v>1</v>
      </c>
      <c r="AJ14028">
        <v>1</v>
      </c>
      <c r="AK14028">
        <v>1</v>
      </c>
      <c r="AL14028">
        <v>1</v>
      </c>
      <c r="AM14028">
        <v>1</v>
      </c>
    </row>
    <row r="14029" spans="1:39" x14ac:dyDescent="0.2">
      <c r="A14029" t="str">
        <f>"14025"</f>
        <v>14025</v>
      </c>
      <c r="B14029" t="str">
        <f t="shared" si="780"/>
        <v>1</v>
      </c>
      <c r="C14029" t="str">
        <f t="shared" si="779"/>
        <v>281</v>
      </c>
      <c r="D14029" t="str">
        <f>"23"</f>
        <v>23</v>
      </c>
      <c r="E14029" t="str">
        <f>"1-281-23"</f>
        <v>1-281-23</v>
      </c>
      <c r="F14029" t="s">
        <v>65</v>
      </c>
      <c r="G14029" t="s">
        <v>66</v>
      </c>
      <c r="H14029" t="s">
        <v>67</v>
      </c>
      <c r="S14029">
        <v>0</v>
      </c>
      <c r="T14029">
        <v>1</v>
      </c>
      <c r="U14029">
        <v>0</v>
      </c>
      <c r="V14029">
        <v>0</v>
      </c>
      <c r="W14029">
        <v>0</v>
      </c>
      <c r="X14029">
        <v>1</v>
      </c>
      <c r="Y14029">
        <v>0</v>
      </c>
      <c r="Z14029">
        <v>1</v>
      </c>
      <c r="AA14029">
        <v>0</v>
      </c>
      <c r="AB14029">
        <v>0</v>
      </c>
      <c r="AC14029">
        <v>1</v>
      </c>
      <c r="AD14029">
        <v>1</v>
      </c>
      <c r="AE14029">
        <v>1</v>
      </c>
      <c r="AF14029">
        <v>1</v>
      </c>
      <c r="AG14029">
        <v>1</v>
      </c>
      <c r="AH14029">
        <v>1</v>
      </c>
      <c r="AI14029">
        <v>1</v>
      </c>
      <c r="AJ14029">
        <v>1</v>
      </c>
      <c r="AK14029">
        <v>1</v>
      </c>
      <c r="AL14029">
        <v>1</v>
      </c>
      <c r="AM14029">
        <v>1</v>
      </c>
    </row>
    <row r="14030" spans="1:39" x14ac:dyDescent="0.2">
      <c r="A14030" t="str">
        <f>"14026"</f>
        <v>14026</v>
      </c>
      <c r="B14030" t="str">
        <f t="shared" si="780"/>
        <v>1</v>
      </c>
      <c r="C14030" t="str">
        <f t="shared" si="779"/>
        <v>281</v>
      </c>
      <c r="D14030" t="str">
        <f>"14"</f>
        <v>14</v>
      </c>
      <c r="E14030" t="str">
        <f>"1-281-14"</f>
        <v>1-281-14</v>
      </c>
      <c r="F14030" t="s">
        <v>65</v>
      </c>
      <c r="G14030" t="s">
        <v>66</v>
      </c>
      <c r="H14030" t="s">
        <v>67</v>
      </c>
      <c r="S14030">
        <v>1</v>
      </c>
      <c r="T14030">
        <v>0</v>
      </c>
      <c r="U14030">
        <v>0</v>
      </c>
      <c r="V14030">
        <v>0</v>
      </c>
      <c r="W14030">
        <v>1</v>
      </c>
      <c r="X14030">
        <v>0</v>
      </c>
      <c r="Y14030">
        <v>0</v>
      </c>
      <c r="Z14030">
        <v>1</v>
      </c>
      <c r="AA14030">
        <v>0</v>
      </c>
      <c r="AB14030">
        <v>1</v>
      </c>
      <c r="AC14030">
        <v>0</v>
      </c>
      <c r="AD14030">
        <v>1</v>
      </c>
      <c r="AE14030">
        <v>1</v>
      </c>
      <c r="AF14030">
        <v>1</v>
      </c>
      <c r="AG14030">
        <v>1</v>
      </c>
      <c r="AH14030">
        <v>1</v>
      </c>
      <c r="AI14030">
        <v>1</v>
      </c>
      <c r="AJ14030">
        <v>1</v>
      </c>
      <c r="AK14030">
        <v>1</v>
      </c>
      <c r="AL14030">
        <v>1</v>
      </c>
      <c r="AM14030">
        <v>1</v>
      </c>
    </row>
    <row r="14031" spans="1:39" x14ac:dyDescent="0.2">
      <c r="A14031" t="str">
        <f>"14027"</f>
        <v>14027</v>
      </c>
      <c r="B14031" t="str">
        <f t="shared" si="780"/>
        <v>1</v>
      </c>
      <c r="C14031" t="str">
        <f t="shared" si="779"/>
        <v>281</v>
      </c>
      <c r="D14031" t="str">
        <f>"42"</f>
        <v>42</v>
      </c>
      <c r="E14031" t="str">
        <f>"1-281-42"</f>
        <v>1-281-42</v>
      </c>
      <c r="F14031" t="s">
        <v>65</v>
      </c>
      <c r="G14031" t="s">
        <v>66</v>
      </c>
      <c r="H14031" t="s">
        <v>67</v>
      </c>
      <c r="S14031">
        <v>1</v>
      </c>
      <c r="T14031">
        <v>0</v>
      </c>
      <c r="U14031">
        <v>0</v>
      </c>
      <c r="V14031">
        <v>0</v>
      </c>
      <c r="W14031">
        <v>1</v>
      </c>
      <c r="X14031">
        <v>0</v>
      </c>
      <c r="Y14031">
        <v>0</v>
      </c>
      <c r="Z14031">
        <v>1</v>
      </c>
      <c r="AA14031">
        <v>1</v>
      </c>
      <c r="AB14031">
        <v>0</v>
      </c>
      <c r="AC14031">
        <v>0</v>
      </c>
      <c r="AD14031">
        <v>1</v>
      </c>
      <c r="AE14031">
        <v>1</v>
      </c>
      <c r="AF14031">
        <v>1</v>
      </c>
      <c r="AG14031">
        <v>1</v>
      </c>
      <c r="AH14031">
        <v>1</v>
      </c>
      <c r="AI14031">
        <v>1</v>
      </c>
      <c r="AJ14031">
        <v>1</v>
      </c>
      <c r="AK14031">
        <v>1</v>
      </c>
      <c r="AL14031">
        <v>1</v>
      </c>
      <c r="AM14031">
        <v>1</v>
      </c>
    </row>
    <row r="14032" spans="1:39" x14ac:dyDescent="0.2">
      <c r="A14032" t="str">
        <f>"14028"</f>
        <v>14028</v>
      </c>
      <c r="B14032" t="str">
        <f t="shared" si="780"/>
        <v>1</v>
      </c>
      <c r="C14032" t="str">
        <f t="shared" si="779"/>
        <v>281</v>
      </c>
      <c r="D14032" t="str">
        <f>"25"</f>
        <v>25</v>
      </c>
      <c r="E14032" t="str">
        <f>"1-281-25"</f>
        <v>1-281-25</v>
      </c>
      <c r="F14032" t="s">
        <v>65</v>
      </c>
      <c r="G14032" t="s">
        <v>66</v>
      </c>
      <c r="H14032" t="s">
        <v>67</v>
      </c>
      <c r="S14032">
        <v>1</v>
      </c>
      <c r="T14032">
        <v>0</v>
      </c>
      <c r="U14032">
        <v>0</v>
      </c>
      <c r="V14032">
        <v>0</v>
      </c>
      <c r="W14032">
        <v>1</v>
      </c>
      <c r="X14032">
        <v>0</v>
      </c>
      <c r="Y14032">
        <v>1</v>
      </c>
      <c r="Z14032">
        <v>0</v>
      </c>
      <c r="AA14032">
        <v>1</v>
      </c>
      <c r="AB14032">
        <v>0</v>
      </c>
      <c r="AC14032">
        <v>0</v>
      </c>
      <c r="AD14032">
        <v>1</v>
      </c>
      <c r="AE14032">
        <v>1</v>
      </c>
      <c r="AF14032">
        <v>1</v>
      </c>
      <c r="AG14032">
        <v>1</v>
      </c>
      <c r="AH14032">
        <v>1</v>
      </c>
      <c r="AI14032">
        <v>1</v>
      </c>
      <c r="AJ14032">
        <v>1</v>
      </c>
      <c r="AK14032">
        <v>1</v>
      </c>
      <c r="AL14032">
        <v>1</v>
      </c>
      <c r="AM14032">
        <v>1</v>
      </c>
    </row>
    <row r="14033" spans="1:39" x14ac:dyDescent="0.2">
      <c r="A14033" t="str">
        <f>"14029"</f>
        <v>14029</v>
      </c>
      <c r="B14033" t="str">
        <f t="shared" si="780"/>
        <v>1</v>
      </c>
      <c r="C14033" t="str">
        <f t="shared" si="779"/>
        <v>281</v>
      </c>
      <c r="D14033" t="str">
        <f>"3"</f>
        <v>3</v>
      </c>
      <c r="E14033" t="str">
        <f>"1-281-3"</f>
        <v>1-281-3</v>
      </c>
      <c r="F14033" t="s">
        <v>65</v>
      </c>
      <c r="G14033" t="s">
        <v>66</v>
      </c>
      <c r="H14033" t="s">
        <v>67</v>
      </c>
      <c r="S14033">
        <v>1</v>
      </c>
      <c r="T14033">
        <v>0</v>
      </c>
      <c r="U14033">
        <v>0</v>
      </c>
      <c r="V14033">
        <v>0</v>
      </c>
      <c r="W14033">
        <v>0</v>
      </c>
      <c r="X14033">
        <v>0</v>
      </c>
      <c r="Y14033">
        <v>1</v>
      </c>
      <c r="Z14033">
        <v>0</v>
      </c>
      <c r="AA14033">
        <v>1</v>
      </c>
      <c r="AB14033">
        <v>0</v>
      </c>
      <c r="AC14033">
        <v>0</v>
      </c>
      <c r="AD14033">
        <v>1</v>
      </c>
      <c r="AE14033">
        <v>1</v>
      </c>
      <c r="AF14033">
        <v>1</v>
      </c>
      <c r="AG14033">
        <v>0</v>
      </c>
      <c r="AH14033">
        <v>0</v>
      </c>
      <c r="AI14033">
        <v>0</v>
      </c>
      <c r="AJ14033">
        <v>0</v>
      </c>
      <c r="AK14033">
        <v>0</v>
      </c>
      <c r="AL14033">
        <v>0</v>
      </c>
      <c r="AM14033">
        <v>0</v>
      </c>
    </row>
    <row r="14034" spans="1:39" x14ac:dyDescent="0.2">
      <c r="A14034" t="str">
        <f>"14030"</f>
        <v>14030</v>
      </c>
      <c r="B14034" t="str">
        <f t="shared" si="780"/>
        <v>1</v>
      </c>
      <c r="C14034" t="str">
        <f t="shared" si="779"/>
        <v>281</v>
      </c>
      <c r="D14034" t="str">
        <f>"28"</f>
        <v>28</v>
      </c>
      <c r="E14034" t="str">
        <f>"1-281-28"</f>
        <v>1-281-28</v>
      </c>
      <c r="F14034" t="s">
        <v>65</v>
      </c>
      <c r="G14034" t="s">
        <v>66</v>
      </c>
      <c r="H14034" t="s">
        <v>67</v>
      </c>
      <c r="S14034">
        <v>0</v>
      </c>
      <c r="T14034">
        <v>1</v>
      </c>
      <c r="U14034">
        <v>0</v>
      </c>
      <c r="V14034">
        <v>0</v>
      </c>
      <c r="W14034">
        <v>1</v>
      </c>
      <c r="X14034">
        <v>0</v>
      </c>
      <c r="Y14034">
        <v>0</v>
      </c>
      <c r="Z14034">
        <v>1</v>
      </c>
      <c r="AA14034">
        <v>0</v>
      </c>
      <c r="AB14034">
        <v>1</v>
      </c>
      <c r="AC14034">
        <v>0</v>
      </c>
      <c r="AD14034">
        <v>1</v>
      </c>
      <c r="AE14034">
        <v>1</v>
      </c>
      <c r="AF14034">
        <v>1</v>
      </c>
      <c r="AG14034">
        <v>1</v>
      </c>
      <c r="AH14034">
        <v>1</v>
      </c>
      <c r="AI14034">
        <v>1</v>
      </c>
      <c r="AJ14034">
        <v>1</v>
      </c>
      <c r="AK14034">
        <v>1</v>
      </c>
      <c r="AL14034">
        <v>1</v>
      </c>
      <c r="AM14034">
        <v>1</v>
      </c>
    </row>
    <row r="14035" spans="1:39" x14ac:dyDescent="0.2">
      <c r="A14035" t="str">
        <f>"14031"</f>
        <v>14031</v>
      </c>
      <c r="B14035" t="str">
        <f t="shared" si="780"/>
        <v>1</v>
      </c>
      <c r="C14035" t="str">
        <f t="shared" si="779"/>
        <v>281</v>
      </c>
      <c r="D14035" t="str">
        <f>"10"</f>
        <v>10</v>
      </c>
      <c r="E14035" t="str">
        <f>"1-281-10"</f>
        <v>1-281-10</v>
      </c>
      <c r="F14035" t="s">
        <v>65</v>
      </c>
      <c r="G14035" t="s">
        <v>66</v>
      </c>
      <c r="H14035" t="s">
        <v>67</v>
      </c>
      <c r="S14035">
        <v>1</v>
      </c>
      <c r="T14035">
        <v>0</v>
      </c>
      <c r="U14035">
        <v>0</v>
      </c>
      <c r="V14035">
        <v>0</v>
      </c>
      <c r="W14035">
        <v>1</v>
      </c>
      <c r="X14035">
        <v>0</v>
      </c>
      <c r="Y14035">
        <v>1</v>
      </c>
      <c r="Z14035">
        <v>0</v>
      </c>
      <c r="AA14035">
        <v>1</v>
      </c>
      <c r="AB14035">
        <v>0</v>
      </c>
      <c r="AC14035">
        <v>0</v>
      </c>
      <c r="AD14035">
        <v>0</v>
      </c>
      <c r="AE14035">
        <v>0</v>
      </c>
      <c r="AF14035">
        <v>0</v>
      </c>
      <c r="AG14035">
        <v>0</v>
      </c>
      <c r="AH14035">
        <v>0</v>
      </c>
      <c r="AI14035">
        <v>0</v>
      </c>
      <c r="AJ14035">
        <v>0</v>
      </c>
      <c r="AK14035">
        <v>0</v>
      </c>
      <c r="AL14035">
        <v>0</v>
      </c>
      <c r="AM14035">
        <v>0</v>
      </c>
    </row>
    <row r="14036" spans="1:39" x14ac:dyDescent="0.2">
      <c r="A14036" t="str">
        <f>"14032"</f>
        <v>14032</v>
      </c>
      <c r="B14036" t="str">
        <f t="shared" si="780"/>
        <v>1</v>
      </c>
      <c r="C14036" t="str">
        <f t="shared" si="779"/>
        <v>281</v>
      </c>
      <c r="D14036" t="str">
        <f>"29"</f>
        <v>29</v>
      </c>
      <c r="E14036" t="str">
        <f>"1-281-29"</f>
        <v>1-281-29</v>
      </c>
      <c r="F14036" t="s">
        <v>65</v>
      </c>
      <c r="G14036" t="s">
        <v>66</v>
      </c>
      <c r="H14036" t="s">
        <v>68</v>
      </c>
      <c r="I14036">
        <v>1</v>
      </c>
      <c r="J14036">
        <v>1</v>
      </c>
      <c r="K14036">
        <v>0</v>
      </c>
      <c r="L14036">
        <v>0</v>
      </c>
      <c r="M14036">
        <v>1</v>
      </c>
      <c r="N14036">
        <v>1</v>
      </c>
      <c r="O14036">
        <v>1</v>
      </c>
      <c r="P14036">
        <v>1</v>
      </c>
      <c r="Q14036">
        <v>1</v>
      </c>
      <c r="R14036">
        <v>1</v>
      </c>
    </row>
    <row r="14037" spans="1:39" x14ac:dyDescent="0.2">
      <c r="A14037" t="str">
        <f>"14033"</f>
        <v>14033</v>
      </c>
      <c r="B14037" t="str">
        <f t="shared" si="780"/>
        <v>1</v>
      </c>
      <c r="C14037" t="str">
        <f t="shared" si="779"/>
        <v>281</v>
      </c>
      <c r="D14037" t="str">
        <f>"7"</f>
        <v>7</v>
      </c>
      <c r="E14037" t="str">
        <f>"1-281-7"</f>
        <v>1-281-7</v>
      </c>
      <c r="F14037" t="s">
        <v>65</v>
      </c>
      <c r="G14037" t="s">
        <v>66</v>
      </c>
      <c r="H14037" t="s">
        <v>67</v>
      </c>
      <c r="S14037">
        <v>0</v>
      </c>
      <c r="T14037">
        <v>1</v>
      </c>
      <c r="U14037">
        <v>0</v>
      </c>
      <c r="V14037">
        <v>0</v>
      </c>
      <c r="W14037">
        <v>1</v>
      </c>
      <c r="X14037">
        <v>0</v>
      </c>
      <c r="Y14037">
        <v>0</v>
      </c>
      <c r="Z14037">
        <v>0</v>
      </c>
      <c r="AA14037">
        <v>0</v>
      </c>
      <c r="AB14037">
        <v>0</v>
      </c>
      <c r="AC14037">
        <v>0</v>
      </c>
      <c r="AD14037">
        <v>0</v>
      </c>
      <c r="AE14037">
        <v>0</v>
      </c>
      <c r="AF14037">
        <v>0</v>
      </c>
      <c r="AG14037">
        <v>1</v>
      </c>
      <c r="AH14037">
        <v>0</v>
      </c>
      <c r="AI14037">
        <v>0</v>
      </c>
      <c r="AJ14037">
        <v>1</v>
      </c>
      <c r="AK14037">
        <v>0</v>
      </c>
      <c r="AL14037">
        <v>1</v>
      </c>
      <c r="AM14037">
        <v>0</v>
      </c>
    </row>
    <row r="14038" spans="1:39" x14ac:dyDescent="0.2">
      <c r="A14038" t="str">
        <f>"14034"</f>
        <v>14034</v>
      </c>
      <c r="B14038" t="str">
        <f t="shared" si="780"/>
        <v>1</v>
      </c>
      <c r="C14038" t="str">
        <f t="shared" si="779"/>
        <v>281</v>
      </c>
      <c r="D14038" t="str">
        <f>"30"</f>
        <v>30</v>
      </c>
      <c r="E14038" t="str">
        <f>"1-281-30"</f>
        <v>1-281-30</v>
      </c>
      <c r="F14038" t="s">
        <v>65</v>
      </c>
      <c r="G14038" t="s">
        <v>66</v>
      </c>
      <c r="H14038" t="s">
        <v>68</v>
      </c>
      <c r="I14038">
        <v>1</v>
      </c>
      <c r="J14038">
        <v>0</v>
      </c>
      <c r="K14038">
        <v>0</v>
      </c>
      <c r="L14038">
        <v>1</v>
      </c>
      <c r="M14038">
        <v>1</v>
      </c>
      <c r="N14038">
        <v>1</v>
      </c>
      <c r="O14038">
        <v>1</v>
      </c>
      <c r="P14038">
        <v>1</v>
      </c>
      <c r="Q14038">
        <v>1</v>
      </c>
      <c r="R14038">
        <v>1</v>
      </c>
    </row>
    <row r="14039" spans="1:39" x14ac:dyDescent="0.2">
      <c r="A14039" t="str">
        <f>"14035"</f>
        <v>14035</v>
      </c>
      <c r="B14039" t="str">
        <f t="shared" si="780"/>
        <v>1</v>
      </c>
      <c r="C14039" t="str">
        <f t="shared" si="779"/>
        <v>281</v>
      </c>
      <c r="D14039" t="str">
        <f>"2"</f>
        <v>2</v>
      </c>
      <c r="E14039" t="str">
        <f>"1-281-2"</f>
        <v>1-281-2</v>
      </c>
      <c r="F14039" t="s">
        <v>65</v>
      </c>
      <c r="G14039" t="s">
        <v>66</v>
      </c>
      <c r="H14039" t="s">
        <v>67</v>
      </c>
      <c r="S14039">
        <v>0</v>
      </c>
      <c r="T14039">
        <v>1</v>
      </c>
      <c r="U14039">
        <v>0</v>
      </c>
      <c r="V14039">
        <v>0</v>
      </c>
      <c r="W14039">
        <v>1</v>
      </c>
      <c r="X14039">
        <v>0</v>
      </c>
      <c r="Y14039">
        <v>0</v>
      </c>
      <c r="Z14039">
        <v>1</v>
      </c>
      <c r="AA14039">
        <v>0</v>
      </c>
      <c r="AB14039">
        <v>0</v>
      </c>
      <c r="AC14039">
        <v>1</v>
      </c>
      <c r="AD14039">
        <v>1</v>
      </c>
      <c r="AE14039">
        <v>1</v>
      </c>
      <c r="AF14039">
        <v>1</v>
      </c>
      <c r="AG14039">
        <v>1</v>
      </c>
      <c r="AH14039">
        <v>1</v>
      </c>
      <c r="AI14039">
        <v>1</v>
      </c>
      <c r="AJ14039">
        <v>1</v>
      </c>
      <c r="AK14039">
        <v>1</v>
      </c>
      <c r="AL14039">
        <v>1</v>
      </c>
      <c r="AM14039">
        <v>1</v>
      </c>
    </row>
    <row r="14040" spans="1:39" x14ac:dyDescent="0.2">
      <c r="A14040" t="str">
        <f>"14036"</f>
        <v>14036</v>
      </c>
      <c r="B14040" t="str">
        <f t="shared" si="780"/>
        <v>1</v>
      </c>
      <c r="C14040" t="str">
        <f t="shared" si="779"/>
        <v>281</v>
      </c>
      <c r="D14040" t="str">
        <f>"31"</f>
        <v>31</v>
      </c>
      <c r="E14040" t="str">
        <f>"1-281-31"</f>
        <v>1-281-31</v>
      </c>
      <c r="F14040" t="s">
        <v>65</v>
      </c>
      <c r="G14040" t="s">
        <v>66</v>
      </c>
      <c r="H14040" t="s">
        <v>68</v>
      </c>
      <c r="I14040">
        <v>1</v>
      </c>
      <c r="J14040">
        <v>1</v>
      </c>
      <c r="K14040">
        <v>0</v>
      </c>
      <c r="L14040">
        <v>0</v>
      </c>
      <c r="M14040">
        <v>1</v>
      </c>
      <c r="N14040">
        <v>1</v>
      </c>
      <c r="O14040">
        <v>1</v>
      </c>
      <c r="P14040">
        <v>1</v>
      </c>
      <c r="Q14040">
        <v>1</v>
      </c>
      <c r="R14040">
        <v>1</v>
      </c>
    </row>
    <row r="14041" spans="1:39" x14ac:dyDescent="0.2">
      <c r="A14041" t="str">
        <f>"14037"</f>
        <v>14037</v>
      </c>
      <c r="B14041" t="str">
        <f t="shared" si="780"/>
        <v>1</v>
      </c>
      <c r="C14041" t="str">
        <f t="shared" si="779"/>
        <v>281</v>
      </c>
      <c r="D14041" t="str">
        <f>"8"</f>
        <v>8</v>
      </c>
      <c r="E14041" t="str">
        <f>"1-281-8"</f>
        <v>1-281-8</v>
      </c>
      <c r="F14041" t="s">
        <v>65</v>
      </c>
      <c r="G14041" t="s">
        <v>66</v>
      </c>
      <c r="H14041" t="s">
        <v>67</v>
      </c>
      <c r="S14041">
        <v>0</v>
      </c>
      <c r="T14041">
        <v>1</v>
      </c>
      <c r="U14041">
        <v>0</v>
      </c>
      <c r="V14041">
        <v>0</v>
      </c>
      <c r="W14041">
        <v>1</v>
      </c>
      <c r="X14041">
        <v>0</v>
      </c>
      <c r="Y14041">
        <v>1</v>
      </c>
      <c r="Z14041">
        <v>0</v>
      </c>
      <c r="AA14041">
        <v>0</v>
      </c>
      <c r="AB14041">
        <v>0</v>
      </c>
      <c r="AC14041">
        <v>1</v>
      </c>
      <c r="AD14041">
        <v>0</v>
      </c>
      <c r="AE14041">
        <v>1</v>
      </c>
      <c r="AF14041">
        <v>1</v>
      </c>
      <c r="AG14041">
        <v>1</v>
      </c>
      <c r="AH14041">
        <v>1</v>
      </c>
      <c r="AI14041">
        <v>1</v>
      </c>
      <c r="AJ14041">
        <v>1</v>
      </c>
      <c r="AK14041">
        <v>1</v>
      </c>
      <c r="AL14041">
        <v>1</v>
      </c>
      <c r="AM14041">
        <v>1</v>
      </c>
    </row>
    <row r="14042" spans="1:39" x14ac:dyDescent="0.2">
      <c r="A14042" t="str">
        <f>"14038"</f>
        <v>14038</v>
      </c>
      <c r="B14042" t="str">
        <f t="shared" si="780"/>
        <v>1</v>
      </c>
      <c r="C14042" t="str">
        <f t="shared" si="779"/>
        <v>281</v>
      </c>
      <c r="D14042" t="str">
        <f>"32"</f>
        <v>32</v>
      </c>
      <c r="E14042" t="str">
        <f>"1-281-32"</f>
        <v>1-281-32</v>
      </c>
      <c r="F14042" t="s">
        <v>65</v>
      </c>
      <c r="G14042" t="s">
        <v>66</v>
      </c>
      <c r="H14042" t="s">
        <v>68</v>
      </c>
      <c r="I14042">
        <v>1</v>
      </c>
      <c r="J14042">
        <v>1</v>
      </c>
      <c r="K14042">
        <v>0</v>
      </c>
      <c r="L14042">
        <v>0</v>
      </c>
      <c r="M14042">
        <v>1</v>
      </c>
      <c r="N14042">
        <v>1</v>
      </c>
      <c r="O14042">
        <v>1</v>
      </c>
      <c r="P14042">
        <v>1</v>
      </c>
      <c r="Q14042">
        <v>1</v>
      </c>
      <c r="R14042">
        <v>1</v>
      </c>
    </row>
    <row r="14043" spans="1:39" x14ac:dyDescent="0.2">
      <c r="A14043" t="str">
        <f>"14039"</f>
        <v>14039</v>
      </c>
      <c r="B14043" t="str">
        <f t="shared" si="780"/>
        <v>1</v>
      </c>
      <c r="C14043" t="str">
        <f t="shared" si="779"/>
        <v>281</v>
      </c>
      <c r="D14043" t="str">
        <f>"11"</f>
        <v>11</v>
      </c>
      <c r="E14043" t="str">
        <f>"1-281-11"</f>
        <v>1-281-11</v>
      </c>
      <c r="F14043" t="s">
        <v>65</v>
      </c>
      <c r="G14043" t="s">
        <v>66</v>
      </c>
      <c r="H14043" t="s">
        <v>67</v>
      </c>
      <c r="S14043">
        <v>0</v>
      </c>
      <c r="T14043">
        <v>0</v>
      </c>
      <c r="U14043">
        <v>0</v>
      </c>
      <c r="V14043">
        <v>0</v>
      </c>
      <c r="W14043">
        <v>0</v>
      </c>
      <c r="X14043">
        <v>0</v>
      </c>
      <c r="Y14043">
        <v>0</v>
      </c>
      <c r="Z14043">
        <v>0</v>
      </c>
      <c r="AA14043">
        <v>0</v>
      </c>
      <c r="AB14043">
        <v>0</v>
      </c>
      <c r="AC14043">
        <v>0</v>
      </c>
      <c r="AD14043">
        <v>1</v>
      </c>
      <c r="AE14043">
        <v>1</v>
      </c>
      <c r="AF14043">
        <v>1</v>
      </c>
      <c r="AG14043">
        <v>1</v>
      </c>
      <c r="AH14043">
        <v>1</v>
      </c>
      <c r="AI14043">
        <v>1</v>
      </c>
      <c r="AJ14043">
        <v>1</v>
      </c>
      <c r="AK14043">
        <v>1</v>
      </c>
      <c r="AL14043">
        <v>1</v>
      </c>
      <c r="AM14043">
        <v>1</v>
      </c>
    </row>
    <row r="14044" spans="1:39" x14ac:dyDescent="0.2">
      <c r="A14044" t="str">
        <f>"14040"</f>
        <v>14040</v>
      </c>
      <c r="B14044" t="str">
        <f t="shared" si="780"/>
        <v>1</v>
      </c>
      <c r="C14044" t="str">
        <f t="shared" si="779"/>
        <v>281</v>
      </c>
      <c r="D14044" t="str">
        <f>"36"</f>
        <v>36</v>
      </c>
      <c r="E14044" t="str">
        <f>"1-281-36"</f>
        <v>1-281-36</v>
      </c>
      <c r="F14044" t="s">
        <v>65</v>
      </c>
      <c r="G14044" t="s">
        <v>66</v>
      </c>
      <c r="H14044" t="s">
        <v>68</v>
      </c>
      <c r="I14044">
        <v>0</v>
      </c>
      <c r="J14044">
        <v>0</v>
      </c>
      <c r="K14044">
        <v>1</v>
      </c>
      <c r="L14044">
        <v>0</v>
      </c>
      <c r="M14044">
        <v>0</v>
      </c>
      <c r="N14044">
        <v>0</v>
      </c>
      <c r="O14044">
        <v>0</v>
      </c>
      <c r="P14044">
        <v>0</v>
      </c>
      <c r="Q14044">
        <v>0</v>
      </c>
      <c r="R14044">
        <v>0</v>
      </c>
    </row>
    <row r="14045" spans="1:39" x14ac:dyDescent="0.2">
      <c r="A14045" t="str">
        <f>"14041"</f>
        <v>14041</v>
      </c>
      <c r="B14045" t="str">
        <f t="shared" si="780"/>
        <v>1</v>
      </c>
      <c r="C14045" t="str">
        <f t="shared" si="779"/>
        <v>281</v>
      </c>
      <c r="D14045" t="str">
        <f>"40"</f>
        <v>40</v>
      </c>
      <c r="E14045" t="str">
        <f>"1-281-40"</f>
        <v>1-281-40</v>
      </c>
      <c r="F14045" t="s">
        <v>65</v>
      </c>
      <c r="G14045" t="s">
        <v>66</v>
      </c>
      <c r="H14045" t="s">
        <v>67</v>
      </c>
      <c r="S14045">
        <v>1</v>
      </c>
      <c r="T14045">
        <v>0</v>
      </c>
      <c r="U14045">
        <v>0</v>
      </c>
      <c r="V14045">
        <v>0</v>
      </c>
      <c r="W14045">
        <v>1</v>
      </c>
      <c r="X14045">
        <v>0</v>
      </c>
      <c r="Y14045">
        <v>0</v>
      </c>
      <c r="Z14045">
        <v>1</v>
      </c>
      <c r="AA14045">
        <v>0</v>
      </c>
      <c r="AB14045">
        <v>0</v>
      </c>
      <c r="AC14045">
        <v>1</v>
      </c>
      <c r="AD14045">
        <v>0</v>
      </c>
      <c r="AE14045">
        <v>0</v>
      </c>
      <c r="AF14045">
        <v>0</v>
      </c>
      <c r="AG14045">
        <v>0</v>
      </c>
      <c r="AH14045">
        <v>0</v>
      </c>
      <c r="AI14045">
        <v>0</v>
      </c>
      <c r="AJ14045">
        <v>0</v>
      </c>
      <c r="AK14045">
        <v>0</v>
      </c>
      <c r="AL14045">
        <v>0</v>
      </c>
      <c r="AM14045">
        <v>0</v>
      </c>
    </row>
    <row r="14046" spans="1:39" x14ac:dyDescent="0.2">
      <c r="A14046" t="str">
        <f>"14042"</f>
        <v>14042</v>
      </c>
      <c r="B14046" t="str">
        <f t="shared" si="780"/>
        <v>1</v>
      </c>
      <c r="C14046" t="str">
        <f t="shared" si="779"/>
        <v>281</v>
      </c>
      <c r="D14046" t="str">
        <f>"41"</f>
        <v>41</v>
      </c>
      <c r="E14046" t="str">
        <f>"1-281-41"</f>
        <v>1-281-41</v>
      </c>
      <c r="F14046" t="s">
        <v>65</v>
      </c>
      <c r="G14046" t="s">
        <v>66</v>
      </c>
      <c r="H14046" t="s">
        <v>67</v>
      </c>
      <c r="S14046">
        <v>0</v>
      </c>
      <c r="T14046">
        <v>1</v>
      </c>
      <c r="U14046">
        <v>0</v>
      </c>
      <c r="V14046">
        <v>0</v>
      </c>
      <c r="W14046">
        <v>1</v>
      </c>
      <c r="X14046">
        <v>0</v>
      </c>
      <c r="Y14046">
        <v>0</v>
      </c>
      <c r="Z14046">
        <v>1</v>
      </c>
      <c r="AA14046">
        <v>0</v>
      </c>
      <c r="AB14046">
        <v>1</v>
      </c>
      <c r="AC14046">
        <v>0</v>
      </c>
      <c r="AD14046">
        <v>1</v>
      </c>
      <c r="AE14046">
        <v>1</v>
      </c>
      <c r="AF14046">
        <v>1</v>
      </c>
      <c r="AG14046">
        <v>1</v>
      </c>
      <c r="AH14046">
        <v>1</v>
      </c>
      <c r="AI14046">
        <v>1</v>
      </c>
      <c r="AJ14046">
        <v>1</v>
      </c>
      <c r="AK14046">
        <v>1</v>
      </c>
      <c r="AL14046">
        <v>1</v>
      </c>
      <c r="AM14046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CVR_Export_20220707101935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Brown</dc:creator>
  <cp:lastModifiedBy>Amy Grant</cp:lastModifiedBy>
  <dcterms:created xsi:type="dcterms:W3CDTF">2022-07-07T21:27:23Z</dcterms:created>
  <dcterms:modified xsi:type="dcterms:W3CDTF">2023-07-13T15:26:28Z</dcterms:modified>
</cp:coreProperties>
</file>